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hidden" name="Convert Name to Number" sheetId="2" r:id="rId5"/>
    <sheet state="visible" name="RawTotals" sheetId="3" r:id="rId6"/>
    <sheet state="hidden" name="Defense Calculations" sheetId="4" r:id="rId7"/>
    <sheet state="visible" name="Match Schedule Strategy" sheetId="5" r:id="rId8"/>
    <sheet state="visible" name="Team Parser" sheetId="6" r:id="rId9"/>
    <sheet state="visible" name="Picklist" sheetId="7" r:id="rId10"/>
    <sheet state="visible" name="Team Comparer" sheetId="8" r:id="rId11"/>
    <sheet state="visible" name="Playoff Strategy" sheetId="9" r:id="rId12"/>
    <sheet state="visible" name="Charts and Graphs" sheetId="10" r:id="rId13"/>
    <sheet state="hidden" name="SortData" sheetId="11" r:id="rId14"/>
    <sheet state="visible" name="Setup" sheetId="12" r:id="rId15"/>
    <sheet state="hidden" name="Sheet20" sheetId="13" r:id="rId16"/>
    <sheet state="visible" name="PicklistComputer" sheetId="14" r:id="rId17"/>
    <sheet state="hidden" name="Validation" sheetId="15" r:id="rId18"/>
    <sheet state="visible" name="DriverInfo" sheetId="16" r:id="rId19"/>
    <sheet state="visible" name="Pit Scouting Responses" sheetId="17" r:id="rId20"/>
    <sheet state="visible" name="Old Picklist" sheetId="18" r:id="rId21"/>
  </sheets>
  <definedNames>
    <definedName hidden="1" localSheetId="2" name="_xlnm._FilterDatabase">RawTotals!$A$1:$AL$49</definedName>
  </definedNames>
  <calcPr/>
</workbook>
</file>

<file path=xl/sharedStrings.xml><?xml version="1.0" encoding="utf-8"?>
<sst xmlns="http://schemas.openxmlformats.org/spreadsheetml/2006/main" count="3761" uniqueCount="676">
  <si>
    <t>Scouter</t>
  </si>
  <si>
    <t>Team</t>
  </si>
  <si>
    <t>Timestamp</t>
  </si>
  <si>
    <t>Match</t>
  </si>
  <si>
    <t>Alliance</t>
  </si>
  <si>
    <t>Robot Errors</t>
  </si>
  <si>
    <t>Auto Top Score</t>
  </si>
  <si>
    <t>Auto Bottom Score</t>
  </si>
  <si>
    <t>No Auto</t>
  </si>
  <si>
    <t>Attempted Auto</t>
  </si>
  <si>
    <t>Teleop Top Score</t>
  </si>
  <si>
    <t>Teleop Bottom Score</t>
  </si>
  <si>
    <t>Missed Shots</t>
  </si>
  <si>
    <t>Endgame</t>
  </si>
  <si>
    <t>Results</t>
  </si>
  <si>
    <t>Thomas Mills</t>
  </si>
  <si>
    <t>16-112200</t>
  </si>
  <si>
    <t>blue</t>
  </si>
  <si>
    <t>MIDDLE</t>
  </si>
  <si>
    <t>Win</t>
  </si>
  <si>
    <t>Nicolai</t>
  </si>
  <si>
    <t>30-125935</t>
  </si>
  <si>
    <t>red</t>
  </si>
  <si>
    <t>Mason</t>
  </si>
  <si>
    <t>07-065853</t>
  </si>
  <si>
    <t>Loss</t>
  </si>
  <si>
    <t>Ethan</t>
  </si>
  <si>
    <t>16-141605</t>
  </si>
  <si>
    <t>FAIL</t>
  </si>
  <si>
    <t>07-091637</t>
  </si>
  <si>
    <t>gus</t>
  </si>
  <si>
    <t>16-160832</t>
  </si>
  <si>
    <t>LOW</t>
  </si>
  <si>
    <t>16-171303</t>
  </si>
  <si>
    <t>TRAVERSE</t>
  </si>
  <si>
    <t>16-050600</t>
  </si>
  <si>
    <t>16-113343</t>
  </si>
  <si>
    <t>Alex Kercher</t>
  </si>
  <si>
    <t>07-061104</t>
  </si>
  <si>
    <t>NONE</t>
  </si>
  <si>
    <t>played defense entire time</t>
  </si>
  <si>
    <t>16-130950</t>
  </si>
  <si>
    <t>HIGH</t>
  </si>
  <si>
    <t>Hasten.P</t>
  </si>
  <si>
    <t>07-084556</t>
  </si>
  <si>
    <t>Fell off the middle rung once. Climbed again. Played decent defense.</t>
  </si>
  <si>
    <t>Rob</t>
  </si>
  <si>
    <t>16-152901</t>
  </si>
  <si>
    <t>takes a long time to climb compared to other traversals</t>
  </si>
  <si>
    <t>joan</t>
  </si>
  <si>
    <t>16-164320</t>
  </si>
  <si>
    <t>gwen m</t>
  </si>
  <si>
    <t>16-121350</t>
  </si>
  <si>
    <t>valeria</t>
  </si>
  <si>
    <t>30-112435</t>
  </si>
  <si>
    <t>Angel</t>
  </si>
  <si>
    <t>16-111250</t>
  </si>
  <si>
    <t>16-120206</t>
  </si>
  <si>
    <t>16-131431</t>
  </si>
  <si>
    <t>16-142352</t>
  </si>
  <si>
    <t>16-145526</t>
  </si>
  <si>
    <t>07-103009</t>
  </si>
  <si>
    <t>30-180130</t>
  </si>
  <si>
    <t>07-043753</t>
  </si>
  <si>
    <t>very fast climb, kind of shaky whdn moving around the field</t>
  </si>
  <si>
    <t>16-105130</t>
  </si>
  <si>
    <t>16-114318</t>
  </si>
  <si>
    <t>fast and smooth intake</t>
  </si>
  <si>
    <t>16-093232</t>
  </si>
  <si>
    <t>16-080953</t>
  </si>
  <si>
    <t>18 sec traverse climb, fast intake</t>
  </si>
  <si>
    <t>paul</t>
  </si>
  <si>
    <t>16-140217</t>
  </si>
  <si>
    <t>16-101010</t>
  </si>
  <si>
    <t>16-162123</t>
  </si>
  <si>
    <t>consistent. i like them.</t>
  </si>
  <si>
    <t>16-105823</t>
  </si>
  <si>
    <t>Sam</t>
  </si>
  <si>
    <t>30-123807</t>
  </si>
  <si>
    <t>16-130839</t>
  </si>
  <si>
    <t>16-141131</t>
  </si>
  <si>
    <t>very fast and effective</t>
  </si>
  <si>
    <t>07-090953</t>
  </si>
  <si>
    <t>did good in both sides of the field</t>
  </si>
  <si>
    <t>07-104411</t>
  </si>
  <si>
    <t>30-181557</t>
  </si>
  <si>
    <t>16-101331</t>
  </si>
  <si>
    <t>16-112736</t>
  </si>
  <si>
    <t>16-121803</t>
  </si>
  <si>
    <t>07-072419</t>
  </si>
  <si>
    <t>16-144347</t>
  </si>
  <si>
    <t>win</t>
  </si>
  <si>
    <t>16-164456</t>
  </si>
  <si>
    <t>16-101826</t>
  </si>
  <si>
    <t>16-054618</t>
  </si>
  <si>
    <t>played defense but didn't really stop anything</t>
  </si>
  <si>
    <t>16-121223</t>
  </si>
  <si>
    <t>Interesting climber.</t>
  </si>
  <si>
    <t>16-133639</t>
  </si>
  <si>
    <t>07-082516</t>
  </si>
  <si>
    <t>16-152914</t>
  </si>
  <si>
    <t>elenA</t>
  </si>
  <si>
    <t>30-110706</t>
  </si>
  <si>
    <t>16-172734</t>
  </si>
  <si>
    <t>Disabled</t>
  </si>
  <si>
    <t>gus b</t>
  </si>
  <si>
    <t>16-060817</t>
  </si>
  <si>
    <t>got stuck on low bar</t>
  </si>
  <si>
    <t>07-055603</t>
  </si>
  <si>
    <t>too slow on climb</t>
  </si>
  <si>
    <t>16-135350</t>
  </si>
  <si>
    <t>30-154955</t>
  </si>
  <si>
    <t>elena</t>
  </si>
  <si>
    <t>30-162541</t>
  </si>
  <si>
    <t>16-110329</t>
  </si>
  <si>
    <t>07-041217</t>
  </si>
  <si>
    <t>defended</t>
  </si>
  <si>
    <t>16-063001</t>
  </si>
  <si>
    <t>marianne</t>
  </si>
  <si>
    <t>16-124429</t>
  </si>
  <si>
    <t>defense prevented most shots</t>
  </si>
  <si>
    <t>16-131745</t>
  </si>
  <si>
    <t>30-145829</t>
  </si>
  <si>
    <t>07-093737</t>
  </si>
  <si>
    <t>16-100213</t>
  </si>
  <si>
    <t>16-163043</t>
  </si>
  <si>
    <t>they did good, though 4028 was going crazy</t>
  </si>
  <si>
    <t>16-171331</t>
  </si>
  <si>
    <t>07-052853</t>
  </si>
  <si>
    <t>16-124534</t>
  </si>
  <si>
    <t>Froze for 25 ish seconds.</t>
  </si>
  <si>
    <t>30-142651</t>
  </si>
  <si>
    <t>Max</t>
  </si>
  <si>
    <t>16-093936</t>
  </si>
  <si>
    <t>slow</t>
  </si>
  <si>
    <t>07-081030</t>
  </si>
  <si>
    <t>30-161239</t>
  </si>
  <si>
    <t>single balls but accurate and fast cycle tIme. climbed quickly and then dropped down before 5 second limit</t>
  </si>
  <si>
    <t>07-101007</t>
  </si>
  <si>
    <t>16-171954</t>
  </si>
  <si>
    <t>16-105048</t>
  </si>
  <si>
    <t>16-114903</t>
  </si>
  <si>
    <t>07-073914</t>
  </si>
  <si>
    <t>16-143123</t>
  </si>
  <si>
    <t>spent most of the match damaging their intake</t>
  </si>
  <si>
    <t>30-104435</t>
  </si>
  <si>
    <t>16-152523</t>
  </si>
  <si>
    <t>16-105426</t>
  </si>
  <si>
    <t>fell on first climb attemot and barely stayed on 2nd.</t>
  </si>
  <si>
    <t>16-115457</t>
  </si>
  <si>
    <t>30-102902</t>
  </si>
  <si>
    <t>gwen</t>
  </si>
  <si>
    <t>16-080209</t>
  </si>
  <si>
    <t>16-091933</t>
  </si>
  <si>
    <t>2 black semitransparent pieces fell off during the match.</t>
  </si>
  <si>
    <t>07-090312</t>
  </si>
  <si>
    <t>ryan</t>
  </si>
  <si>
    <t>30-171506</t>
  </si>
  <si>
    <t>had plenty of time to climb but must have grabbed wrong because it just gave up</t>
  </si>
  <si>
    <t>16-170735</t>
  </si>
  <si>
    <t>minor brownout at the end, but normal otherwise</t>
  </si>
  <si>
    <t>16-104305</t>
  </si>
  <si>
    <t>switched to defense. intake error maybe</t>
  </si>
  <si>
    <t>16-111510</t>
  </si>
  <si>
    <t>very good scorer. shoots 3 ball bursts</t>
  </si>
  <si>
    <t>16-064927</t>
  </si>
  <si>
    <t>30-141919</t>
  </si>
  <si>
    <t>16-085655</t>
  </si>
  <si>
    <t>16-101659</t>
  </si>
  <si>
    <t>move and shoot during auto</t>
  </si>
  <si>
    <t>16-161705</t>
  </si>
  <si>
    <t>16-171919</t>
  </si>
  <si>
    <t>30-111523</t>
  </si>
  <si>
    <t>30-120947</t>
  </si>
  <si>
    <t>angel</t>
  </si>
  <si>
    <t>16-114859</t>
  </si>
  <si>
    <t>16-130150</t>
  </si>
  <si>
    <t>the missed shot in auto was the human player not rolling cargo in time</t>
  </si>
  <si>
    <t>16-094032</t>
  </si>
  <si>
    <t>Was defended while shooting. Too slow on climb. Tried to intake a ball a teammate was in the process of intaking</t>
  </si>
  <si>
    <t>16-152235</t>
  </si>
  <si>
    <t>30-170502</t>
  </si>
  <si>
    <t>16-122127</t>
  </si>
  <si>
    <t>16-052308</t>
  </si>
  <si>
    <t>played well while getting defended</t>
  </si>
  <si>
    <t>07-053521</t>
  </si>
  <si>
    <t>16-125118</t>
  </si>
  <si>
    <t>16-083316</t>
  </si>
  <si>
    <t>07-085444</t>
  </si>
  <si>
    <t>16-153643</t>
  </si>
  <si>
    <t>16-165926</t>
  </si>
  <si>
    <t>very accurate shooter</t>
  </si>
  <si>
    <t>16-051355</t>
  </si>
  <si>
    <t>played defense most the match</t>
  </si>
  <si>
    <t>16-112027</t>
  </si>
  <si>
    <t>auto is just taxi</t>
  </si>
  <si>
    <t>30-134025</t>
  </si>
  <si>
    <t>played defense</t>
  </si>
  <si>
    <t>16-084827</t>
  </si>
  <si>
    <t>used mostly as defence</t>
  </si>
  <si>
    <t>16-142848</t>
  </si>
  <si>
    <t>16-150950</t>
  </si>
  <si>
    <t>30-175521</t>
  </si>
  <si>
    <t>16-102825</t>
  </si>
  <si>
    <t>30-122357</t>
  </si>
  <si>
    <t>07-061827</t>
  </si>
  <si>
    <t>07-071633</t>
  </si>
  <si>
    <t>Good intake and shooter</t>
  </si>
  <si>
    <t>16-140344</t>
  </si>
  <si>
    <t>16-154410</t>
  </si>
  <si>
    <t>16-095638</t>
  </si>
  <si>
    <t>Climber misaligned with the bar so robot didnt leave ground</t>
  </si>
  <si>
    <t>16-113752</t>
  </si>
  <si>
    <t>16-110706</t>
  </si>
  <si>
    <t>didnt really try to pick up more than one ball at a time, also only really shot one at a time</t>
  </si>
  <si>
    <t>07-054255</t>
  </si>
  <si>
    <t>16-125206</t>
  </si>
  <si>
    <t>30-151954</t>
  </si>
  <si>
    <t>16-044314</t>
  </si>
  <si>
    <t>16-151459</t>
  </si>
  <si>
    <t>16-163740</t>
  </si>
  <si>
    <t>they were ballin</t>
  </si>
  <si>
    <t>16-063633</t>
  </si>
  <si>
    <t>07-033317</t>
  </si>
  <si>
    <t>defended mostly</t>
  </si>
  <si>
    <t>30-135402</t>
  </si>
  <si>
    <t>16-094808</t>
  </si>
  <si>
    <t>16-153053</t>
  </si>
  <si>
    <t>16-165105</t>
  </si>
  <si>
    <t>defense</t>
  </si>
  <si>
    <t>16-104336</t>
  </si>
  <si>
    <t>16-061450</t>
  </si>
  <si>
    <t>hook came off of bar otherwise they woyld have gone higher</t>
  </si>
  <si>
    <t>16-042711</t>
  </si>
  <si>
    <t>slower than average, must be stationary to shoot and can only hold one ball at a time.</t>
  </si>
  <si>
    <t>16-115708</t>
  </si>
  <si>
    <t>16-133033</t>
  </si>
  <si>
    <t>16-142933</t>
  </si>
  <si>
    <t>30-164904</t>
  </si>
  <si>
    <t>07-103843</t>
  </si>
  <si>
    <t>16-171407</t>
  </si>
  <si>
    <t>30-120250</t>
  </si>
  <si>
    <t>16-120433</t>
  </si>
  <si>
    <t>16-130738</t>
  </si>
  <si>
    <t>16-135632</t>
  </si>
  <si>
    <t>16-104738</t>
  </si>
  <si>
    <t>16-165028</t>
  </si>
  <si>
    <t>16-101101</t>
  </si>
  <si>
    <t>16-114817</t>
  </si>
  <si>
    <t>16-125705</t>
  </si>
  <si>
    <t>16-143701</t>
  </si>
  <si>
    <t>16-152347</t>
  </si>
  <si>
    <t>put ine red cargo into hanger during auto</t>
  </si>
  <si>
    <t>07-040310</t>
  </si>
  <si>
    <t>16-160306</t>
  </si>
  <si>
    <t>very efficient, but slow on intake due to driver</t>
  </si>
  <si>
    <t>16-170538</t>
  </si>
  <si>
    <t>quick traversal climb</t>
  </si>
  <si>
    <t>07-044433</t>
  </si>
  <si>
    <t>intakw has issues picking up balls at an angke, 20 sec climb to traversal</t>
  </si>
  <si>
    <t>07-052129</t>
  </si>
  <si>
    <t>There appeared to be something wrong with the game firing mechanism at the end</t>
  </si>
  <si>
    <t>16-070506</t>
  </si>
  <si>
    <t>hook (one) on high bar but bumper on floor</t>
  </si>
  <si>
    <t>07-070943</t>
  </si>
  <si>
    <t>they played defense and disabled 2767 with only 4 points penalty</t>
  </si>
  <si>
    <t>30-154051</t>
  </si>
  <si>
    <t>30-164020</t>
  </si>
  <si>
    <t>16-112347</t>
  </si>
  <si>
    <t>07-110607</t>
  </si>
  <si>
    <t>Decent defense.</t>
  </si>
  <si>
    <t>16-103655</t>
  </si>
  <si>
    <t>16-105905</t>
  </si>
  <si>
    <t>robot was not able to climb due to technical difficulties</t>
  </si>
  <si>
    <t>16-125114</t>
  </si>
  <si>
    <t>only played defense</t>
  </si>
  <si>
    <t>16-135308</t>
  </si>
  <si>
    <t>30-152605</t>
  </si>
  <si>
    <t>got a pinning foul this match</t>
  </si>
  <si>
    <t>07-094516</t>
  </si>
  <si>
    <t>16-045701</t>
  </si>
  <si>
    <t>looks loke manual aim</t>
  </si>
  <si>
    <t>16-114516</t>
  </si>
  <si>
    <t>16-172649</t>
  </si>
  <si>
    <t>30-114802</t>
  </si>
  <si>
    <t>i think they played defense</t>
  </si>
  <si>
    <t>30-125105</t>
  </si>
  <si>
    <t>16-075228</t>
  </si>
  <si>
    <t>defensive</t>
  </si>
  <si>
    <t>16-043555</t>
  </si>
  <si>
    <t>mostly defensive and attempted to climb but ran out of time.</t>
  </si>
  <si>
    <t>07-080337</t>
  </si>
  <si>
    <t>16-150156</t>
  </si>
  <si>
    <t>held 2 blue cargo emtire match. played defense against team 118 entire match</t>
  </si>
  <si>
    <t>16-165330</t>
  </si>
  <si>
    <t>no battery i think</t>
  </si>
  <si>
    <t>16-111336</t>
  </si>
  <si>
    <t>16-064337</t>
  </si>
  <si>
    <t>16-092730</t>
  </si>
  <si>
    <t>Attempted traverse but ran out of time. Struggled against defense. Can shoot from anywhere on tge field</t>
  </si>
  <si>
    <t>16-134151</t>
  </si>
  <si>
    <t>07-083128</t>
  </si>
  <si>
    <t>16-150326</t>
  </si>
  <si>
    <t>very vulnerable to being pinned for the whole match</t>
  </si>
  <si>
    <t>16-161735</t>
  </si>
  <si>
    <t>16-120251</t>
  </si>
  <si>
    <t>16-094017</t>
  </si>
  <si>
    <t>30-143837</t>
  </si>
  <si>
    <t>16-091152</t>
  </si>
  <si>
    <t>Quick fire rate even with mild defense against them. Strong team</t>
  </si>
  <si>
    <t>16-153834</t>
  </si>
  <si>
    <t>30-174637</t>
  </si>
  <si>
    <t>16-053812</t>
  </si>
  <si>
    <t>30-121625</t>
  </si>
  <si>
    <t>16-071318</t>
  </si>
  <si>
    <t>incapacitated halfway through</t>
  </si>
  <si>
    <t>16-133038</t>
  </si>
  <si>
    <t>16-141648</t>
  </si>
  <si>
    <t>16-150055</t>
  </si>
  <si>
    <t>16-160851</t>
  </si>
  <si>
    <t>disconnected at the 30 sec. mark</t>
  </si>
  <si>
    <t>16-120741</t>
  </si>
  <si>
    <t>16-103112</t>
  </si>
  <si>
    <t>16-062233</t>
  </si>
  <si>
    <t>16-093136</t>
  </si>
  <si>
    <t>often did one ball cycles</t>
  </si>
  <si>
    <t>16-123828</t>
  </si>
  <si>
    <t>16-144451</t>
  </si>
  <si>
    <t>30-161856</t>
  </si>
  <si>
    <t>accuarate shootEr close and far missed shots due to aggressive defense</t>
  </si>
  <si>
    <t>30-165535</t>
  </si>
  <si>
    <t>16-112734</t>
  </si>
  <si>
    <t>30-130621</t>
  </si>
  <si>
    <t>16-133753</t>
  </si>
  <si>
    <t>30-151258</t>
  </si>
  <si>
    <t>16-095653</t>
  </si>
  <si>
    <t>30-105809</t>
  </si>
  <si>
    <t>07-101823</t>
  </si>
  <si>
    <t>16-114156</t>
  </si>
  <si>
    <t>16-131515</t>
  </si>
  <si>
    <t>16-093555</t>
  </si>
  <si>
    <t>Struggled with climb, had to realign twice and still bareky made it up. Quick shots but shaky intake</t>
  </si>
  <si>
    <t>16-093125</t>
  </si>
  <si>
    <t>16-151657</t>
  </si>
  <si>
    <t>16-113154</t>
  </si>
  <si>
    <t>16-103749</t>
  </si>
  <si>
    <t>16-073904</t>
  </si>
  <si>
    <t>on defense, likely due to shooter problems</t>
  </si>
  <si>
    <t>16-081807</t>
  </si>
  <si>
    <t>keeping teo red balls off the field, fast climb</t>
  </si>
  <si>
    <t>07-081752</t>
  </si>
  <si>
    <t>07-034921</t>
  </si>
  <si>
    <t>30-160452</t>
  </si>
  <si>
    <t>played skillful defense no offense</t>
  </si>
  <si>
    <t>07-112806</t>
  </si>
  <si>
    <t>30-113947</t>
  </si>
  <si>
    <t>30-115518</t>
  </si>
  <si>
    <t>16-113611</t>
  </si>
  <si>
    <t>intake is iffy at sn angle</t>
  </si>
  <si>
    <t>16-132318</t>
  </si>
  <si>
    <t>07-034137</t>
  </si>
  <si>
    <t>played 2+1 auto</t>
  </si>
  <si>
    <t>16-140137</t>
  </si>
  <si>
    <t>16-150847</t>
  </si>
  <si>
    <t>didnt perform during auto</t>
  </si>
  <si>
    <t>16-155905</t>
  </si>
  <si>
    <t>07-045234</t>
  </si>
  <si>
    <t>16-114112</t>
  </si>
  <si>
    <t>07-075248</t>
  </si>
  <si>
    <t>16-143907</t>
  </si>
  <si>
    <t>16-155200</t>
  </si>
  <si>
    <t>16-100127</t>
  </si>
  <si>
    <t>16-115334</t>
  </si>
  <si>
    <t>16-110545</t>
  </si>
  <si>
    <t>30-131408</t>
  </si>
  <si>
    <t>16-134804</t>
  </si>
  <si>
    <t>16-094740</t>
  </si>
  <si>
    <t>climbed 15 seconds early</t>
  </si>
  <si>
    <t>16-145329</t>
  </si>
  <si>
    <t>16-103044</t>
  </si>
  <si>
    <t>lot of opposing defense</t>
  </si>
  <si>
    <t>30-172526</t>
  </si>
  <si>
    <t>07-112043</t>
  </si>
  <si>
    <t>16-111931</t>
  </si>
  <si>
    <t>07-064513</t>
  </si>
  <si>
    <t>16-134538</t>
  </si>
  <si>
    <t>07-083755</t>
  </si>
  <si>
    <t>16-102357</t>
  </si>
  <si>
    <t>07-105231</t>
  </si>
  <si>
    <t>Second hook of climber didn't connect, and it was too much strain for one hook by itself.</t>
  </si>
  <si>
    <t>30-113323</t>
  </si>
  <si>
    <t>16-105342</t>
  </si>
  <si>
    <t>Near the half of the match, the bot started to go to defense.</t>
  </si>
  <si>
    <t>16-065720</t>
  </si>
  <si>
    <t>30-140433</t>
  </si>
  <si>
    <t>16-140928</t>
  </si>
  <si>
    <t>16-153614</t>
  </si>
  <si>
    <t>07-110008</t>
  </si>
  <si>
    <t>16-100510</t>
  </si>
  <si>
    <t>16-112836</t>
  </si>
  <si>
    <t>just pushed people around and were generally shaky</t>
  </si>
  <si>
    <t>16-074603</t>
  </si>
  <si>
    <t>defensive, likely due to shooter difficulties</t>
  </si>
  <si>
    <t>30-145008</t>
  </si>
  <si>
    <t>16-143602</t>
  </si>
  <si>
    <t>07-095351</t>
  </si>
  <si>
    <t>they kept breaking down</t>
  </si>
  <si>
    <t>30-173924</t>
  </si>
  <si>
    <t>16-103619</t>
  </si>
  <si>
    <t>16-113421</t>
  </si>
  <si>
    <t>16-124330</t>
  </si>
  <si>
    <t>07-073139</t>
  </si>
  <si>
    <t>16-144747</t>
  </si>
  <si>
    <t>16-154323</t>
  </si>
  <si>
    <t>16-162911</t>
  </si>
  <si>
    <t>07-042938</t>
  </si>
  <si>
    <t>started climb at 14 sec</t>
  </si>
  <si>
    <t>16-110802</t>
  </si>
  <si>
    <t>windmill climber</t>
  </si>
  <si>
    <t>16-115459</t>
  </si>
  <si>
    <t>intake unreliable as balls kept slipping out, decided to play defense last minute but robot died halfway through the gams</t>
  </si>
  <si>
    <t>16-125800</t>
  </si>
  <si>
    <t>30-150539</t>
  </si>
  <si>
    <t>16-100306</t>
  </si>
  <si>
    <t>10 second traversal</t>
  </si>
  <si>
    <t>16-163745</t>
  </si>
  <si>
    <t>tipped over mid game</t>
  </si>
  <si>
    <t>16-053207</t>
  </si>
  <si>
    <t>kept getting pinned</t>
  </si>
  <si>
    <t>16-060108</t>
  </si>
  <si>
    <t>30-124512</t>
  </si>
  <si>
    <t>16-132451</t>
  </si>
  <si>
    <t>16-090405</t>
  </si>
  <si>
    <t>Played defense</t>
  </si>
  <si>
    <t>30-155806</t>
  </si>
  <si>
    <t>defense held blue ball entire match. fell off during climb but reclimbed to middle rung</t>
  </si>
  <si>
    <t>16-155948</t>
  </si>
  <si>
    <t>30-182321</t>
  </si>
  <si>
    <t>16-101910</t>
  </si>
  <si>
    <t>16-055344</t>
  </si>
  <si>
    <t>Didn't attempt climb</t>
  </si>
  <si>
    <t>07-054855</t>
  </si>
  <si>
    <t>completely overshot auto</t>
  </si>
  <si>
    <t>30-141142</t>
  </si>
  <si>
    <t>16-094314</t>
  </si>
  <si>
    <t>Slow turning, quick climb once lined up properly</t>
  </si>
  <si>
    <t>16-145254</t>
  </si>
  <si>
    <t>16-155246</t>
  </si>
  <si>
    <t>30-173336</t>
  </si>
  <si>
    <t>30-180913</t>
  </si>
  <si>
    <t>30-123033</t>
  </si>
  <si>
    <t>16-121807</t>
  </si>
  <si>
    <t>crashed early stopped picking up balls and played defrnse. almost tipped over</t>
  </si>
  <si>
    <t>16-084059</t>
  </si>
  <si>
    <t>16-142431</t>
  </si>
  <si>
    <t>their climber was very smooth</t>
  </si>
  <si>
    <t>07-092335</t>
  </si>
  <si>
    <t>16-111201</t>
  </si>
  <si>
    <t>16-170525</t>
  </si>
  <si>
    <t>16-101014</t>
  </si>
  <si>
    <t>16-104615</t>
  </si>
  <si>
    <t>07-065212</t>
  </si>
  <si>
    <t>it got flipped</t>
  </si>
  <si>
    <t>16-082523</t>
  </si>
  <si>
    <t>16-140845</t>
  </si>
  <si>
    <t>16-094823</t>
  </si>
  <si>
    <t>07-093029</t>
  </si>
  <si>
    <t>climber barely works</t>
  </si>
  <si>
    <t>16-161201</t>
  </si>
  <si>
    <t>suddenly began throwing balls to the moon 1\2 way through</t>
  </si>
  <si>
    <t>16-115947</t>
  </si>
  <si>
    <t>07-051439</t>
  </si>
  <si>
    <t>fast climb</t>
  </si>
  <si>
    <t>16-120921</t>
  </si>
  <si>
    <t>30-103636</t>
  </si>
  <si>
    <t>30-144234</t>
  </si>
  <si>
    <t>16-092442</t>
  </si>
  <si>
    <t>30-163303</t>
  </si>
  <si>
    <t>16-172208</t>
  </si>
  <si>
    <t>16-110044</t>
  </si>
  <si>
    <t>attempted traversal</t>
  </si>
  <si>
    <t>30-134733</t>
  </si>
  <si>
    <t>16-134617</t>
  </si>
  <si>
    <t>16-142311</t>
  </si>
  <si>
    <t>16-150754</t>
  </si>
  <si>
    <t>07-100048</t>
  </si>
  <si>
    <t>07-111407</t>
  </si>
  <si>
    <t>16-102736</t>
  </si>
  <si>
    <t>07-050007</t>
  </si>
  <si>
    <t>went to climb a little before 30 but didnt move past mid</t>
  </si>
  <si>
    <t>16-121028</t>
  </si>
  <si>
    <t>very slow. easy to play defense against</t>
  </si>
  <si>
    <t>16-134037</t>
  </si>
  <si>
    <t>16-141818</t>
  </si>
  <si>
    <t>16-151535</t>
  </si>
  <si>
    <t>07-042009</t>
  </si>
  <si>
    <t>defended for a majority of the game</t>
  </si>
  <si>
    <t>07-050732</t>
  </si>
  <si>
    <t>07-060427</t>
  </si>
  <si>
    <t>1 side unhooked when climbing due to massive swinging. Robot stayed on high bar though</t>
  </si>
  <si>
    <t>16-132232</t>
  </si>
  <si>
    <t>30-153312</t>
  </si>
  <si>
    <t>16-104045</t>
  </si>
  <si>
    <t>Something happened in the middle as the power behind the shots was lost so the cargo wasn't getting enough height. They also lined up to climb but then never extended their climber and left the hanger shortly after.</t>
  </si>
  <si>
    <t>16-165858</t>
  </si>
  <si>
    <t>16-102233</t>
  </si>
  <si>
    <t>Divide BY</t>
  </si>
  <si>
    <t/>
  </si>
  <si>
    <t>Winrate</t>
  </si>
  <si>
    <t>Auto Low Shots</t>
  </si>
  <si>
    <t>Auto High Shots</t>
  </si>
  <si>
    <t>Auto High Z Score</t>
  </si>
  <si>
    <t>Auto Accuracy</t>
  </si>
  <si>
    <t>1 or 2 Auto Accuracy</t>
  </si>
  <si>
    <t>% Matches Scored in Auto</t>
  </si>
  <si>
    <t>Average Auto % MOD</t>
  </si>
  <si>
    <t>Average Auto % MOD Z score</t>
  </si>
  <si>
    <t>Tele Low Shots</t>
  </si>
  <si>
    <t>Tele High Shots</t>
  </si>
  <si>
    <t>Tele High Z Score</t>
  </si>
  <si>
    <t>Accuracy</t>
  </si>
  <si>
    <t>Hang Points</t>
  </si>
  <si>
    <t>Modified Hang Points</t>
  </si>
  <si>
    <t>MOD Hang Z Score</t>
  </si>
  <si>
    <t>Hang Success %</t>
  </si>
  <si>
    <t>Hang Low %</t>
  </si>
  <si>
    <t>Hang Mid %</t>
  </si>
  <si>
    <t>Hang High %</t>
  </si>
  <si>
    <t>Hang Traverse %</t>
  </si>
  <si>
    <t>Hang Traverse % Z Score</t>
  </si>
  <si>
    <t>Total Auto</t>
  </si>
  <si>
    <t>Total Tele</t>
  </si>
  <si>
    <t>Cargo Points</t>
  </si>
  <si>
    <t>Average Cargo High Z Score</t>
  </si>
  <si>
    <t>Max Cargo High</t>
  </si>
  <si>
    <t>Max Cargo High Z Score</t>
  </si>
  <si>
    <t>Total Shots</t>
  </si>
  <si>
    <t>Total Points</t>
  </si>
  <si>
    <t>1st Pickability</t>
  </si>
  <si>
    <t>2nd Pickability</t>
  </si>
  <si>
    <t>Notes</t>
  </si>
  <si>
    <t>Teleop Score</t>
  </si>
  <si>
    <t>Defense Score</t>
  </si>
  <si>
    <t>Defense Z Score</t>
  </si>
  <si>
    <t>Team Count</t>
  </si>
  <si>
    <t>Size</t>
  </si>
  <si>
    <t>TeamNumberText</t>
  </si>
  <si>
    <t>Get Teams Defended &amp; Match</t>
  </si>
  <si>
    <t>Averages</t>
  </si>
  <si>
    <t>Average cargo high</t>
  </si>
  <si>
    <t>traversal %</t>
  </si>
  <si>
    <t>average auto cargo</t>
  </si>
  <si>
    <t>hang points</t>
  </si>
  <si>
    <t>Max cargo high</t>
  </si>
  <si>
    <t>Average Tele high</t>
  </si>
  <si>
    <t>Defense</t>
  </si>
  <si>
    <t>Standard Deviations</t>
  </si>
  <si>
    <t>END OF TEAM INPUT</t>
  </si>
  <si>
    <t>\/.\/.\/ Change this Box to the match number for a prediction of the game results</t>
  </si>
  <si>
    <t>Drivetrain</t>
  </si>
  <si>
    <t>Auto Low</t>
  </si>
  <si>
    <t>Auto High</t>
  </si>
  <si>
    <t>Tele Low</t>
  </si>
  <si>
    <t>Tele High</t>
  </si>
  <si>
    <t>Hang</t>
  </si>
  <si>
    <t>Hang Success Rate</t>
  </si>
  <si>
    <t>Hang Middle %</t>
  </si>
  <si>
    <t>% Played Defense</t>
  </si>
  <si>
    <t>% Breakdown</t>
  </si>
  <si>
    <t>Defender</t>
  </si>
  <si>
    <t>Total</t>
  </si>
  <si>
    <t xml:space="preserve">                                                                                                                                                                                                                    </t>
  </si>
  <si>
    <t xml:space="preserve">  </t>
  </si>
  <si>
    <t xml:space="preserve">Team Number </t>
  </si>
  <si>
    <t>Totall Teams</t>
  </si>
  <si>
    <t>Average Data</t>
  </si>
  <si>
    <t>Auto Points</t>
  </si>
  <si>
    <t>Teleop Points</t>
  </si>
  <si>
    <t>MATH TO SORT</t>
  </si>
  <si>
    <t>Rank</t>
  </si>
  <si>
    <t>.</t>
  </si>
  <si>
    <t>Match Number</t>
  </si>
  <si>
    <t>Comments</t>
  </si>
  <si>
    <t>Scouter Name</t>
  </si>
  <si>
    <t>Game Points</t>
  </si>
  <si>
    <t>Indirect Team Number</t>
  </si>
  <si>
    <t>Intended Rank</t>
  </si>
  <si>
    <t>Shifting Team Number</t>
  </si>
  <si>
    <t>Auto MOD</t>
  </si>
  <si>
    <t>Auto Cargo</t>
  </si>
  <si>
    <t>Tele Cargo</t>
  </si>
  <si>
    <t>Max Cargo</t>
  </si>
  <si>
    <t>Traversal %</t>
  </si>
  <si>
    <t>Hang Points MOD</t>
  </si>
  <si>
    <t>1st Pickability Weighting Categories</t>
  </si>
  <si>
    <t>Weightings</t>
  </si>
  <si>
    <t>Weight %</t>
  </si>
  <si>
    <t>Teleop Cargo</t>
  </si>
  <si>
    <t>MOD Hang Points</t>
  </si>
  <si>
    <t>2nd Pickability Weighting Categories</t>
  </si>
  <si>
    <t>ELIMS</t>
  </si>
  <si>
    <t>Hang MIDDLEDLEdle %</t>
  </si>
  <si>
    <t>Played Defense %</t>
  </si>
  <si>
    <t>Breakdown %</t>
  </si>
  <si>
    <t>Auto Capabilities</t>
  </si>
  <si>
    <t>Sort By:</t>
  </si>
  <si>
    <t xml:space="preserve"> </t>
  </si>
  <si>
    <t>red1</t>
  </si>
  <si>
    <t>red2</t>
  </si>
  <si>
    <t>red3</t>
  </si>
  <si>
    <t>blue1</t>
  </si>
  <si>
    <t>blue2</t>
  </si>
  <si>
    <t>blue3</t>
  </si>
  <si>
    <t>TeamList</t>
  </si>
  <si>
    <t>Event Code</t>
  </si>
  <si>
    <t>Robot Pictures Drive ID</t>
  </si>
  <si>
    <t>File To Send To Tablets</t>
  </si>
  <si>
    <t>2022iri</t>
  </si>
  <si>
    <t>16c8KLX9iNmCrz0NFMxBBzVJZH378einH</t>
  </si>
  <si>
    <t>Team From RT</t>
  </si>
  <si>
    <t>Rank From RT</t>
  </si>
  <si>
    <t>Computational New Ranks</t>
  </si>
  <si>
    <t>Counter</t>
  </si>
  <si>
    <t>New Ranks and Teams Unsorted</t>
  </si>
  <si>
    <t>Team Number</t>
  </si>
  <si>
    <t>Error</t>
  </si>
  <si>
    <t># Top Shots</t>
  </si>
  <si>
    <t># Bottom Shots</t>
  </si>
  <si>
    <t>Function</t>
  </si>
  <si>
    <t>Has you drive team changed?</t>
  </si>
  <si>
    <t>Have you made any changes to your robot?</t>
  </si>
  <si>
    <t>Is there anything else we should know?</t>
  </si>
  <si>
    <t>No</t>
  </si>
  <si>
    <t>Better shooter</t>
  </si>
  <si>
    <t>Not really</t>
  </si>
  <si>
    <t>Swerve</t>
  </si>
  <si>
    <t>Yes python to java</t>
  </si>
  <si>
    <t>They said no</t>
  </si>
  <si>
    <t>Yes</t>
  </si>
  <si>
    <t>‘We’re just trying our best’</t>
  </si>
  <si>
    <t>Auto improvements, field ball camera</t>
  </si>
  <si>
    <t>Better and more reliable climber</t>
  </si>
  <si>
    <t>Effective</t>
  </si>
  <si>
    <t>Tank</t>
  </si>
  <si>
    <t>More reliable</t>
  </si>
  <si>
    <t>Dialing in shots and speed improvements</t>
  </si>
  <si>
    <t>swerve</t>
  </si>
  <si>
    <t>Very robust</t>
  </si>
  <si>
    <t>None</t>
  </si>
  <si>
    <t>Improved reliability</t>
  </si>
  <si>
    <t>Said no</t>
  </si>
  <si>
    <t xml:space="preserve">Good intake and shooter </t>
  </si>
  <si>
    <t>No major changes</t>
  </si>
  <si>
    <t>Reliable auto</t>
  </si>
  <si>
    <t>Nope</t>
  </si>
  <si>
    <t>Unique tower that is effective</t>
  </si>
  <si>
    <t>Climber changed</t>
  </si>
  <si>
    <t>Climber is 6 seconds now</t>
  </si>
  <si>
    <t>Better climber that can do traversal</t>
  </si>
  <si>
    <t>Changing a roller to belt</t>
  </si>
  <si>
    <t>Nothing major</t>
  </si>
  <si>
    <t>5 ball auto, shooter auto targeting, on a good day 7 second climb to high</t>
  </si>
  <si>
    <t>Really good intake</t>
  </si>
  <si>
    <t>Broken parts, autonomous (4 ball)</t>
  </si>
  <si>
    <t>Climber only has 1 stage</t>
  </si>
  <si>
    <t>Cairo rejection system</t>
  </si>
  <si>
    <t>Exactly the same as worlds</t>
  </si>
  <si>
    <t>Rebuilt intake for 5" wider</t>
  </si>
  <si>
    <t>Cool climber</t>
  </si>
  <si>
    <t>MOVE AND SHOOT</t>
  </si>
  <si>
    <t>Color sensor</t>
  </si>
  <si>
    <t>Maintenance</t>
  </si>
  <si>
    <t xml:space="preserve">Probably triple traverse capable, catapult </t>
  </si>
  <si>
    <t xml:space="preserve">Tank makes it herd to get away from the wall, they claim that they can push anyone around </t>
  </si>
  <si>
    <t>Auto*</t>
  </si>
  <si>
    <t>Hang*</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</si>
</sst>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0"/>
    <numFmt numFmtId="165" formatCode="#,##0.00000"/>
    <numFmt numFmtId="166" formatCode="0.00000"/>
    <numFmt numFmtId="167" formatCode="0.0"/>
    <numFmt numFmtId="168" formatCode="m/d/yyyy h:mm:ss"/>
  </numFmts>
  <fonts count="25">
    <font>
      <sz val="10.0"/>
      <color rgb="FF000000"/>
      <name val="Arial"/>
      <scheme val="minor"/>
    </font>
    <font>
      <sz val="11.0"/>
      <color rgb="FF000000"/>
      <name val="Calibri"/>
    </font>
    <font>
      <color theme="1"/>
      <name val="Roboto"/>
    </font>
    <font>
      <sz val="11.0"/>
      <color theme="1"/>
      <name val="Calibri"/>
    </font>
    <font>
      <color theme="1"/>
      <name val="Arial"/>
      <scheme val="minor"/>
    </font>
    <font>
      <sz val="11.0"/>
      <color theme="1"/>
      <name val="Arial"/>
      <scheme val="minor"/>
    </font>
    <font>
      <sz val="11.0"/>
      <color rgb="FFF7981D"/>
      <name val="Arial"/>
      <scheme val="minor"/>
    </font>
    <font>
      <b/>
      <sz val="11.0"/>
      <color theme="1"/>
      <name val="Arial"/>
      <scheme val="minor"/>
    </font>
    <font>
      <b/>
      <color theme="1"/>
      <name val="Arial"/>
      <scheme val="minor"/>
    </font>
    <font>
      <sz val="11.0"/>
      <color rgb="FF000000"/>
      <name val="Inconsolata"/>
    </font>
    <font>
      <sz val="11.0"/>
      <color rgb="FF000000"/>
      <name val="Arial"/>
      <scheme val="minor"/>
    </font>
    <font>
      <sz val="11.0"/>
      <color theme="1"/>
      <name val="Arial"/>
    </font>
    <font>
      <color rgb="FF000000"/>
      <name val="Arial"/>
      <scheme val="minor"/>
    </font>
    <font>
      <b/>
      <color theme="1"/>
      <name val="Arial"/>
    </font>
    <font>
      <color theme="1"/>
      <name val="Arial"/>
    </font>
    <font>
      <sz val="11.0"/>
      <color theme="1"/>
      <name val="Inconsolata"/>
    </font>
    <font>
      <b/>
      <sz val="12.0"/>
      <color theme="1"/>
      <name val="Arial"/>
      <scheme val="minor"/>
    </font>
    <font>
      <sz val="12.0"/>
      <color rgb="FF198639"/>
      <name val="Monospace"/>
    </font>
    <font>
      <b/>
      <sz val="10.0"/>
      <color theme="1"/>
      <name val="Arial"/>
      <scheme val="minor"/>
    </font>
    <font>
      <sz val="10.0"/>
      <color theme="1"/>
      <name val="Arial"/>
      <scheme val="minor"/>
    </font>
    <font>
      <sz val="12.0"/>
      <color theme="1"/>
      <name val="Inconsolata"/>
    </font>
    <font>
      <b/>
      <u/>
      <sz val="11.0"/>
      <color theme="1"/>
      <name val="Arial"/>
      <scheme val="minor"/>
    </font>
    <font>
      <b/>
      <u/>
      <color theme="1"/>
      <name val="Arial"/>
      <scheme val="minor"/>
    </font>
    <font>
      <u/>
      <color rgb="FF0000FF"/>
    </font>
    <font>
      <color rgb="FFB31412"/>
      <name val="&quot;Roboto Mono&quot;"/>
    </font>
  </fonts>
  <fills count="266">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FFF00"/>
        <bgColor rgb="FFFFFF00"/>
      </patternFill>
    </fill>
    <fill>
      <patternFill patternType="solid">
        <fgColor rgb="FFEA9999"/>
        <bgColor rgb="FFEA9999"/>
      </patternFill>
    </fill>
    <fill>
      <patternFill patternType="solid">
        <fgColor rgb="FF9FC5E8"/>
        <bgColor rgb="FF9FC5E8"/>
      </patternFill>
    </fill>
    <fill>
      <patternFill patternType="solid">
        <fgColor rgb="FFA2C4C9"/>
        <bgColor rgb="FFA2C4C9"/>
      </patternFill>
    </fill>
    <fill>
      <patternFill patternType="solid">
        <fgColor rgb="FFB7B7B7"/>
        <bgColor rgb="FFB7B7B7"/>
      </patternFill>
    </fill>
    <fill>
      <patternFill patternType="solid">
        <fgColor rgb="FFFFFFFE"/>
        <bgColor rgb="FFFFFFFE"/>
      </patternFill>
    </fill>
    <fill>
      <patternFill patternType="solid">
        <fgColor rgb="FF57BB8A"/>
        <bgColor rgb="FF57BB8A"/>
      </patternFill>
    </fill>
    <fill>
      <patternFill patternType="solid">
        <fgColor rgb="FF5BBD8D"/>
        <bgColor rgb="FF5BBD8D"/>
      </patternFill>
    </fill>
    <fill>
      <patternFill patternType="solid">
        <fgColor rgb="FF78C9A1"/>
        <bgColor rgb="FF78C9A1"/>
      </patternFill>
    </fill>
    <fill>
      <patternFill patternType="solid">
        <fgColor rgb="FF72C69D"/>
        <bgColor rgb="FF72C69D"/>
      </patternFill>
    </fill>
    <fill>
      <patternFill patternType="solid">
        <fgColor rgb="FF77C8A0"/>
        <bgColor rgb="FF77C8A0"/>
      </patternFill>
    </fill>
    <fill>
      <patternFill patternType="solid">
        <fgColor rgb="FF8DD1B0"/>
        <bgColor rgb="FF8DD1B0"/>
      </patternFill>
    </fill>
    <fill>
      <patternFill patternType="solid">
        <fgColor rgb="FF76C8A0"/>
        <bgColor rgb="FF76C8A0"/>
      </patternFill>
    </fill>
    <fill>
      <patternFill patternType="solid">
        <fgColor rgb="FF7DCBA5"/>
        <bgColor rgb="FF7DCBA5"/>
      </patternFill>
    </fill>
    <fill>
      <patternFill patternType="solid">
        <fgColor rgb="FF7CCAA4"/>
        <bgColor rgb="FF7CCAA4"/>
      </patternFill>
    </fill>
    <fill>
      <patternFill patternType="solid">
        <fgColor rgb="FF87CFAC"/>
        <bgColor rgb="FF87CFAC"/>
      </patternFill>
    </fill>
    <fill>
      <patternFill patternType="solid">
        <fgColor rgb="FF86CEAB"/>
        <bgColor rgb="FF86CEAB"/>
      </patternFill>
    </fill>
    <fill>
      <patternFill patternType="solid">
        <fgColor rgb="FFADDEC6"/>
        <bgColor rgb="FFADDEC6"/>
      </patternFill>
    </fill>
    <fill>
      <patternFill patternType="solid">
        <fgColor rgb="FF95D4B5"/>
        <bgColor rgb="FF95D4B5"/>
      </patternFill>
    </fill>
    <fill>
      <patternFill patternType="solid">
        <fgColor rgb="FF9ED8BC"/>
        <bgColor rgb="FF9ED8BC"/>
      </patternFill>
    </fill>
    <fill>
      <patternFill patternType="solid">
        <fgColor rgb="FFA7DCC2"/>
        <bgColor rgb="FFA7DCC2"/>
      </patternFill>
    </fill>
    <fill>
      <patternFill patternType="solid">
        <fgColor rgb="FFABDDC5"/>
        <bgColor rgb="FFABDDC5"/>
      </patternFill>
    </fill>
    <fill>
      <patternFill patternType="solid">
        <fgColor rgb="FFA2DABE"/>
        <bgColor rgb="FFA2DABE"/>
      </patternFill>
    </fill>
    <fill>
      <patternFill patternType="solid">
        <fgColor rgb="FF68C296"/>
        <bgColor rgb="FF68C296"/>
      </patternFill>
    </fill>
    <fill>
      <patternFill patternType="solid">
        <fgColor rgb="FF85CEAB"/>
        <bgColor rgb="FF85CEAB"/>
      </patternFill>
    </fill>
    <fill>
      <patternFill patternType="solid">
        <fgColor rgb="FF8BD1AF"/>
        <bgColor rgb="FF8BD1AF"/>
      </patternFill>
    </fill>
    <fill>
      <patternFill patternType="solid">
        <fgColor rgb="FF9CD7BA"/>
        <bgColor rgb="FF9CD7BA"/>
      </patternFill>
    </fill>
    <fill>
      <patternFill patternType="solid">
        <fgColor rgb="FF9BD7B9"/>
        <bgColor rgb="FF9BD7B9"/>
      </patternFill>
    </fill>
    <fill>
      <patternFill patternType="solid">
        <fgColor rgb="FF66C194"/>
        <bgColor rgb="FF66C194"/>
      </patternFill>
    </fill>
    <fill>
      <patternFill patternType="solid">
        <fgColor rgb="FF8AD0AE"/>
        <bgColor rgb="FF8AD0AE"/>
      </patternFill>
    </fill>
    <fill>
      <patternFill patternType="solid">
        <fgColor rgb="FFA3DABF"/>
        <bgColor rgb="FFA3DABF"/>
      </patternFill>
    </fill>
    <fill>
      <patternFill patternType="solid">
        <fgColor rgb="FFC1E6D4"/>
        <bgColor rgb="FFC1E6D4"/>
      </patternFill>
    </fill>
    <fill>
      <patternFill patternType="solid">
        <fgColor rgb="FFE5F5ED"/>
        <bgColor rgb="FFE5F5ED"/>
      </patternFill>
    </fill>
    <fill>
      <patternFill patternType="solid">
        <fgColor rgb="FF8FD2B1"/>
        <bgColor rgb="FF8FD2B1"/>
      </patternFill>
    </fill>
    <fill>
      <patternFill patternType="solid">
        <fgColor rgb="FF6CC499"/>
        <bgColor rgb="FF6CC499"/>
      </patternFill>
    </fill>
    <fill>
      <patternFill patternType="solid">
        <fgColor rgb="FFB2E0CA"/>
        <bgColor rgb="FFB2E0CA"/>
      </patternFill>
    </fill>
    <fill>
      <patternFill patternType="solid">
        <fgColor rgb="FFFDF7F6"/>
        <bgColor rgb="FFFDF7F6"/>
      </patternFill>
    </fill>
    <fill>
      <patternFill patternType="solid">
        <fgColor rgb="FFFBFEFD"/>
        <bgColor rgb="FFFBFEFD"/>
      </patternFill>
    </fill>
    <fill>
      <patternFill patternType="solid">
        <fgColor rgb="FF96D5B6"/>
        <bgColor rgb="FF96D5B6"/>
      </patternFill>
    </fill>
    <fill>
      <patternFill patternType="solid">
        <fgColor rgb="FF90D2B2"/>
        <bgColor rgb="FF90D2B2"/>
      </patternFill>
    </fill>
    <fill>
      <patternFill patternType="solid">
        <fgColor rgb="FF8CD1AF"/>
        <bgColor rgb="FF8CD1AF"/>
      </patternFill>
    </fill>
    <fill>
      <patternFill patternType="solid">
        <fgColor rgb="FF84CDA9"/>
        <bgColor rgb="FF84CDA9"/>
      </patternFill>
    </fill>
    <fill>
      <patternFill patternType="solid">
        <fgColor rgb="FFACDEC5"/>
        <bgColor rgb="FFACDEC5"/>
      </patternFill>
    </fill>
    <fill>
      <patternFill patternType="solid">
        <fgColor rgb="FFBBE4D0"/>
        <bgColor rgb="FFBBE4D0"/>
      </patternFill>
    </fill>
    <fill>
      <patternFill patternType="solid">
        <fgColor rgb="FF9BD7BA"/>
        <bgColor rgb="FF9BD7BA"/>
      </patternFill>
    </fill>
    <fill>
      <patternFill patternType="solid">
        <fgColor rgb="FF82CDA8"/>
        <bgColor rgb="FF82CDA8"/>
      </patternFill>
    </fill>
    <fill>
      <patternFill patternType="solid">
        <fgColor rgb="FFA6DBC1"/>
        <bgColor rgb="FFA6DBC1"/>
      </patternFill>
    </fill>
    <fill>
      <patternFill patternType="solid">
        <fgColor rgb="FFB4E1CB"/>
        <bgColor rgb="FFB4E1CB"/>
      </patternFill>
    </fill>
    <fill>
      <patternFill patternType="solid">
        <fgColor rgb="FFC2E7D5"/>
        <bgColor rgb="FFC2E7D5"/>
      </patternFill>
    </fill>
    <fill>
      <patternFill patternType="solid">
        <fgColor rgb="FFA1D9BE"/>
        <bgColor rgb="FFA1D9BE"/>
      </patternFill>
    </fill>
    <fill>
      <patternFill patternType="solid">
        <fgColor rgb="FFFBEEED"/>
        <bgColor rgb="FFFBEEED"/>
      </patternFill>
    </fill>
    <fill>
      <patternFill patternType="solid">
        <fgColor rgb="FF9AD6B9"/>
        <bgColor rgb="FF9AD6B9"/>
      </patternFill>
    </fill>
    <fill>
      <patternFill patternType="solid">
        <fgColor rgb="FF7ECBA5"/>
        <bgColor rgb="FF7ECBA5"/>
      </patternFill>
    </fill>
    <fill>
      <patternFill patternType="solid">
        <fgColor rgb="FF74C79E"/>
        <bgColor rgb="FF74C79E"/>
      </patternFill>
    </fill>
    <fill>
      <patternFill patternType="solid">
        <fgColor rgb="FFA5DBC0"/>
        <bgColor rgb="FFA5DBC0"/>
      </patternFill>
    </fill>
    <fill>
      <patternFill patternType="solid">
        <fgColor rgb="FFA9DDC3"/>
        <bgColor rgb="FFA9DDC3"/>
      </patternFill>
    </fill>
    <fill>
      <patternFill patternType="solid">
        <fgColor rgb="FFD1EDDF"/>
        <bgColor rgb="FFD1EDDF"/>
      </patternFill>
    </fill>
    <fill>
      <patternFill patternType="solid">
        <fgColor rgb="FFBFE5D2"/>
        <bgColor rgb="FFBFE5D2"/>
      </patternFill>
    </fill>
    <fill>
      <patternFill patternType="solid">
        <fgColor rgb="FF73C79E"/>
        <bgColor rgb="FF73C79E"/>
      </patternFill>
    </fill>
    <fill>
      <patternFill patternType="solid">
        <fgColor rgb="FFA8DCC2"/>
        <bgColor rgb="FFA8DCC2"/>
      </patternFill>
    </fill>
    <fill>
      <patternFill patternType="solid">
        <fgColor rgb="FFB5E1CB"/>
        <bgColor rgb="FFB5E1CB"/>
      </patternFill>
    </fill>
    <fill>
      <patternFill patternType="solid">
        <fgColor rgb="FF79C9A2"/>
        <bgColor rgb="FF79C9A2"/>
      </patternFill>
    </fill>
    <fill>
      <patternFill patternType="solid">
        <fgColor rgb="FFB0DFC8"/>
        <bgColor rgb="FFB0DFC8"/>
      </patternFill>
    </fill>
    <fill>
      <patternFill patternType="solid">
        <fgColor rgb="FFA2DABF"/>
        <bgColor rgb="FFA2DABF"/>
      </patternFill>
    </fill>
    <fill>
      <patternFill patternType="solid">
        <fgColor rgb="FF94D4B5"/>
        <bgColor rgb="FF94D4B5"/>
      </patternFill>
    </fill>
    <fill>
      <patternFill patternType="solid">
        <fgColor rgb="FFC3E7D5"/>
        <bgColor rgb="FFC3E7D5"/>
      </patternFill>
    </fill>
    <fill>
      <patternFill patternType="solid">
        <fgColor rgb="FFB3E1CA"/>
        <bgColor rgb="FFB3E1CA"/>
      </patternFill>
    </fill>
    <fill>
      <patternFill patternType="solid">
        <fgColor rgb="FF6BC498"/>
        <bgColor rgb="FF6BC498"/>
      </patternFill>
    </fill>
    <fill>
      <patternFill patternType="solid">
        <fgColor rgb="FFACDEC6"/>
        <bgColor rgb="FFACDEC6"/>
      </patternFill>
    </fill>
    <fill>
      <patternFill patternType="solid">
        <fgColor rgb="FF97D5B7"/>
        <bgColor rgb="FF97D5B7"/>
      </patternFill>
    </fill>
    <fill>
      <patternFill patternType="solid">
        <fgColor rgb="FFEAF7F1"/>
        <bgColor rgb="FFEAF7F1"/>
      </patternFill>
    </fill>
    <fill>
      <patternFill patternType="solid">
        <fgColor rgb="FFB8E3CE"/>
        <bgColor rgb="FFB8E3CE"/>
      </patternFill>
    </fill>
    <fill>
      <patternFill patternType="solid">
        <fgColor rgb="FFA4DBC0"/>
        <bgColor rgb="FFA4DBC0"/>
      </patternFill>
    </fill>
    <fill>
      <patternFill patternType="solid">
        <fgColor rgb="FFC6E8D8"/>
        <bgColor rgb="FFC6E8D8"/>
      </patternFill>
    </fill>
    <fill>
      <patternFill patternType="solid">
        <fgColor rgb="FFC8E9D9"/>
        <bgColor rgb="FFC8E9D9"/>
      </patternFill>
    </fill>
    <fill>
      <patternFill patternType="solid">
        <fgColor rgb="FFD9F0E5"/>
        <bgColor rgb="FFD9F0E5"/>
      </patternFill>
    </fill>
    <fill>
      <patternFill patternType="solid">
        <fgColor rgb="FFB9E3CE"/>
        <bgColor rgb="FFB9E3CE"/>
      </patternFill>
    </fill>
    <fill>
      <patternFill patternType="solid">
        <fgColor rgb="FFD0ECDF"/>
        <bgColor rgb="FFD0ECDF"/>
      </patternFill>
    </fill>
    <fill>
      <patternFill patternType="solid">
        <fgColor rgb="FFF0F9F5"/>
        <bgColor rgb="FFF0F9F5"/>
      </patternFill>
    </fill>
    <fill>
      <patternFill patternType="solid">
        <fgColor rgb="FFE1F3EA"/>
        <bgColor rgb="FFE1F3EA"/>
      </patternFill>
    </fill>
    <fill>
      <patternFill patternType="solid">
        <fgColor rgb="FFBAE3CF"/>
        <bgColor rgb="FFBAE3CF"/>
      </patternFill>
    </fill>
    <fill>
      <patternFill patternType="solid">
        <fgColor rgb="FFD8EFE4"/>
        <bgColor rgb="FFD8EFE4"/>
      </patternFill>
    </fill>
    <fill>
      <patternFill patternType="solid">
        <fgColor rgb="FFB5E1CC"/>
        <bgColor rgb="FFB5E1CC"/>
      </patternFill>
    </fill>
    <fill>
      <patternFill patternType="solid">
        <fgColor rgb="FFC0E6D4"/>
        <bgColor rgb="FFC0E6D4"/>
      </patternFill>
    </fill>
    <fill>
      <patternFill patternType="solid">
        <fgColor rgb="FF7FCCA6"/>
        <bgColor rgb="FF7FCCA6"/>
      </patternFill>
    </fill>
    <fill>
      <patternFill patternType="solid">
        <fgColor rgb="FFBCE4D0"/>
        <bgColor rgb="FFBCE4D0"/>
      </patternFill>
    </fill>
    <fill>
      <patternFill patternType="solid">
        <fgColor rgb="FFB7E2CD"/>
        <bgColor rgb="FFB7E2CD"/>
      </patternFill>
    </fill>
    <fill>
      <patternFill patternType="solid">
        <fgColor rgb="FFDFF2E9"/>
        <bgColor rgb="FFDFF2E9"/>
      </patternFill>
    </fill>
    <fill>
      <patternFill patternType="solid">
        <fgColor rgb="FFBDE5D1"/>
        <bgColor rgb="FFBDE5D1"/>
      </patternFill>
    </fill>
    <fill>
      <patternFill patternType="solid">
        <fgColor rgb="FF6EC59A"/>
        <bgColor rgb="FF6EC59A"/>
      </patternFill>
    </fill>
    <fill>
      <patternFill patternType="solid">
        <fgColor rgb="FFE67C73"/>
        <bgColor rgb="FFE67C73"/>
      </patternFill>
    </fill>
    <fill>
      <patternFill patternType="solid">
        <fgColor rgb="FFFEFBFB"/>
        <bgColor rgb="FFFEFBFB"/>
      </patternFill>
    </fill>
    <fill>
      <patternFill patternType="solid">
        <fgColor rgb="FFD7EFE3"/>
        <bgColor rgb="FFD7EFE3"/>
      </patternFill>
    </fill>
    <fill>
      <patternFill patternType="solid">
        <fgColor rgb="FFDDF2E8"/>
        <bgColor rgb="FFDDF2E8"/>
      </patternFill>
    </fill>
    <fill>
      <patternFill patternType="solid">
        <fgColor rgb="FFD2EDE0"/>
        <bgColor rgb="FFD2EDE0"/>
      </patternFill>
    </fill>
    <fill>
      <patternFill patternType="solid">
        <fgColor rgb="FFCBEADB"/>
        <bgColor rgb="FFCBEADB"/>
      </patternFill>
    </fill>
    <fill>
      <patternFill patternType="solid">
        <fgColor rgb="FFF4FBF7"/>
        <bgColor rgb="FFF4FBF7"/>
      </patternFill>
    </fill>
    <fill>
      <patternFill patternType="solid">
        <fgColor rgb="FFC4E8D6"/>
        <bgColor rgb="FFC4E8D6"/>
      </patternFill>
    </fill>
    <fill>
      <patternFill patternType="solid">
        <fgColor rgb="FFBEE5D2"/>
        <bgColor rgb="FFBEE5D2"/>
      </patternFill>
    </fill>
    <fill>
      <patternFill patternType="solid">
        <fgColor rgb="FFDAF0E5"/>
        <bgColor rgb="FFDAF0E5"/>
      </patternFill>
    </fill>
    <fill>
      <patternFill patternType="solid">
        <fgColor rgb="FF70C69C"/>
        <bgColor rgb="FF70C69C"/>
      </patternFill>
    </fill>
    <fill>
      <patternFill patternType="solid">
        <fgColor rgb="FFC7E9D8"/>
        <bgColor rgb="FFC7E9D8"/>
      </patternFill>
    </fill>
    <fill>
      <patternFill patternType="solid">
        <fgColor rgb="FFC5E8D6"/>
        <bgColor rgb="FFC5E8D6"/>
      </patternFill>
    </fill>
    <fill>
      <patternFill patternType="solid">
        <fgColor rgb="FFC9E9DA"/>
        <bgColor rgb="FFC9E9DA"/>
      </patternFill>
    </fill>
    <fill>
      <patternFill patternType="solid">
        <fgColor rgb="FFBDE5D2"/>
        <bgColor rgb="FFBDE5D2"/>
      </patternFill>
    </fill>
    <fill>
      <patternFill patternType="solid">
        <fgColor rgb="FFFAFDFC"/>
        <bgColor rgb="FFFAFDFC"/>
      </patternFill>
    </fill>
    <fill>
      <patternFill patternType="solid">
        <fgColor rgb="FFE9F6F0"/>
        <bgColor rgb="FFE9F6F0"/>
      </patternFill>
    </fill>
    <fill>
      <patternFill patternType="solid">
        <fgColor rgb="FF6FC59B"/>
        <bgColor rgb="FF6FC59B"/>
      </patternFill>
    </fill>
    <fill>
      <patternFill patternType="solid">
        <fgColor rgb="FFC9EADA"/>
        <bgColor rgb="FFC9EADA"/>
      </patternFill>
    </fill>
    <fill>
      <patternFill patternType="solid">
        <fgColor rgb="FFDBF1E6"/>
        <bgColor rgb="FFDBF1E6"/>
      </patternFill>
    </fill>
    <fill>
      <patternFill patternType="solid">
        <fgColor rgb="FFFAE9E7"/>
        <bgColor rgb="FFFAE9E7"/>
      </patternFill>
    </fill>
    <fill>
      <patternFill patternType="solid">
        <fgColor rgb="FFC4E7D6"/>
        <bgColor rgb="FFC4E7D6"/>
      </patternFill>
    </fill>
    <fill>
      <patternFill patternType="solid">
        <fgColor rgb="FFCCEBDC"/>
        <bgColor rgb="FFCCEBDC"/>
      </patternFill>
    </fill>
    <fill>
      <patternFill patternType="solid">
        <fgColor rgb="FFDDF1E7"/>
        <bgColor rgb="FFDDF1E7"/>
      </patternFill>
    </fill>
    <fill>
      <patternFill patternType="solid">
        <fgColor rgb="FFCCEBDB"/>
        <bgColor rgb="FFCCEBDB"/>
      </patternFill>
    </fill>
    <fill>
      <patternFill patternType="solid">
        <fgColor rgb="FFCEEBDD"/>
        <bgColor rgb="FFCEEBDD"/>
      </patternFill>
    </fill>
    <fill>
      <patternFill patternType="solid">
        <fgColor rgb="FFCFECDD"/>
        <bgColor rgb="FFCFECDD"/>
      </patternFill>
    </fill>
    <fill>
      <patternFill patternType="solid">
        <fgColor rgb="FFC6E8D7"/>
        <bgColor rgb="FFC6E8D7"/>
      </patternFill>
    </fill>
    <fill>
      <patternFill patternType="solid">
        <fgColor rgb="FFDCF1E7"/>
        <bgColor rgb="FFDCF1E7"/>
      </patternFill>
    </fill>
    <fill>
      <patternFill patternType="solid">
        <fgColor rgb="FFF9FDFB"/>
        <bgColor rgb="FFF9FDFB"/>
      </patternFill>
    </fill>
    <fill>
      <patternFill patternType="solid">
        <fgColor rgb="FFD0ECDE"/>
        <bgColor rgb="FFD0ECDE"/>
      </patternFill>
    </fill>
    <fill>
      <patternFill patternType="solid">
        <fgColor rgb="FFE7F6EF"/>
        <bgColor rgb="FFE7F6EF"/>
      </patternFill>
    </fill>
    <fill>
      <patternFill patternType="solid">
        <fgColor rgb="FFEBF7F1"/>
        <bgColor rgb="FFEBF7F1"/>
      </patternFill>
    </fill>
    <fill>
      <patternFill patternType="solid">
        <fgColor rgb="FFF4FBF8"/>
        <bgColor rgb="FFF4FBF8"/>
      </patternFill>
    </fill>
    <fill>
      <patternFill patternType="solid">
        <fgColor rgb="FFF5CFCB"/>
        <bgColor rgb="FFF5CFCB"/>
      </patternFill>
    </fill>
    <fill>
      <patternFill patternType="solid">
        <fgColor rgb="FFF7D5D2"/>
        <bgColor rgb="FFF7D5D2"/>
      </patternFill>
    </fill>
    <fill>
      <patternFill patternType="solid">
        <fgColor rgb="FFC5E8D7"/>
        <bgColor rgb="FFC5E8D7"/>
      </patternFill>
    </fill>
    <fill>
      <patternFill patternType="solid">
        <fgColor rgb="FFCAEADA"/>
        <bgColor rgb="FFCAEADA"/>
      </patternFill>
    </fill>
    <fill>
      <patternFill patternType="solid">
        <fgColor rgb="FF75C89F"/>
        <bgColor rgb="FF75C89F"/>
      </patternFill>
    </fill>
    <fill>
      <patternFill patternType="solid">
        <fgColor rgb="FFD6EFE3"/>
        <bgColor rgb="FFD6EFE3"/>
      </patternFill>
    </fill>
    <fill>
      <patternFill patternType="solid">
        <fgColor rgb="FFF6D2CF"/>
        <bgColor rgb="FFF6D2CF"/>
      </patternFill>
    </fill>
    <fill>
      <patternFill patternType="solid">
        <fgColor rgb="FFD4EEE1"/>
        <bgColor rgb="FFD4EEE1"/>
      </patternFill>
    </fill>
    <fill>
      <patternFill patternType="solid">
        <fgColor rgb="FFE2F4EB"/>
        <bgColor rgb="FFE2F4EB"/>
      </patternFill>
    </fill>
    <fill>
      <patternFill patternType="solid">
        <fgColor rgb="FFF9E1DF"/>
        <bgColor rgb="FFF9E1DF"/>
      </patternFill>
    </fill>
    <fill>
      <patternFill patternType="solid">
        <fgColor rgb="FFE2F3EB"/>
        <bgColor rgb="FFE2F3EB"/>
      </patternFill>
    </fill>
    <fill>
      <patternFill patternType="solid">
        <fgColor rgb="FFFCF3F2"/>
        <bgColor rgb="FFFCF3F2"/>
      </patternFill>
    </fill>
    <fill>
      <patternFill patternType="solid">
        <fgColor rgb="FFE4F4EC"/>
        <bgColor rgb="FFE4F4EC"/>
      </patternFill>
    </fill>
    <fill>
      <patternFill patternType="solid">
        <fgColor rgb="FFF2FAF6"/>
        <bgColor rgb="FFF2FAF6"/>
      </patternFill>
    </fill>
    <fill>
      <patternFill patternType="solid">
        <fgColor rgb="FFBCE4D1"/>
        <bgColor rgb="FFBCE4D1"/>
      </patternFill>
    </fill>
    <fill>
      <patternFill patternType="solid">
        <fgColor rgb="FF99D6B8"/>
        <bgColor rgb="FF99D6B8"/>
      </patternFill>
    </fill>
    <fill>
      <patternFill patternType="solid">
        <fgColor rgb="FFD4EEE2"/>
        <bgColor rgb="FFD4EEE2"/>
      </patternFill>
    </fill>
    <fill>
      <patternFill patternType="solid">
        <fgColor rgb="FFEFF9F4"/>
        <bgColor rgb="FFEFF9F4"/>
      </patternFill>
    </fill>
    <fill>
      <patternFill patternType="solid">
        <fgColor rgb="FFFDF9F9"/>
        <bgColor rgb="FFFDF9F9"/>
      </patternFill>
    </fill>
    <fill>
      <patternFill patternType="solid">
        <fgColor rgb="FFFEFCFC"/>
        <bgColor rgb="FFFEFCFC"/>
      </patternFill>
    </fill>
    <fill>
      <patternFill patternType="solid">
        <fgColor rgb="FFDAF0E6"/>
        <bgColor rgb="FFDAF0E6"/>
      </patternFill>
    </fill>
    <fill>
      <patternFill patternType="solid">
        <fgColor rgb="FFECF8F2"/>
        <bgColor rgb="FFECF8F2"/>
      </patternFill>
    </fill>
    <fill>
      <patternFill patternType="solid">
        <fgColor rgb="FFF8DEDC"/>
        <bgColor rgb="FFF8DEDC"/>
      </patternFill>
    </fill>
    <fill>
      <patternFill patternType="solid">
        <fgColor rgb="FFFAE7E5"/>
        <bgColor rgb="FFFAE7E5"/>
      </patternFill>
    </fill>
    <fill>
      <patternFill patternType="solid">
        <fgColor rgb="FF81CCA8"/>
        <bgColor rgb="FF81CCA8"/>
      </patternFill>
    </fill>
    <fill>
      <patternFill patternType="solid">
        <fgColor rgb="FFFEFBFA"/>
        <bgColor rgb="FFFEFBFA"/>
      </patternFill>
    </fill>
    <fill>
      <patternFill patternType="solid">
        <fgColor rgb="FFFCF1F0"/>
        <bgColor rgb="FFFCF1F0"/>
      </patternFill>
    </fill>
    <fill>
      <patternFill patternType="solid">
        <fgColor rgb="FFF3FAF6"/>
        <bgColor rgb="FFF3FAF6"/>
      </patternFill>
    </fill>
    <fill>
      <patternFill patternType="solid">
        <fgColor rgb="FFF5FBF8"/>
        <bgColor rgb="FFF5FBF8"/>
      </patternFill>
    </fill>
    <fill>
      <patternFill patternType="solid">
        <fgColor rgb="FFFAFDFB"/>
        <bgColor rgb="FFFAFDFB"/>
      </patternFill>
    </fill>
    <fill>
      <patternFill patternType="solid">
        <fgColor rgb="FF7BCAA3"/>
        <bgColor rgb="FF7BCAA3"/>
      </patternFill>
    </fill>
    <fill>
      <patternFill patternType="solid">
        <fgColor rgb="FFFDFEFE"/>
        <bgColor rgb="FFFDFEFE"/>
      </patternFill>
    </fill>
    <fill>
      <patternFill patternType="solid">
        <fgColor rgb="FFFCEFEE"/>
        <bgColor rgb="FFFCEFEE"/>
      </patternFill>
    </fill>
    <fill>
      <patternFill patternType="solid">
        <fgColor rgb="FFABDDC4"/>
        <bgColor rgb="FFABDDC4"/>
      </patternFill>
    </fill>
    <fill>
      <patternFill patternType="solid">
        <fgColor rgb="FFFEFAFA"/>
        <bgColor rgb="FFFEFAFA"/>
      </patternFill>
    </fill>
    <fill>
      <patternFill patternType="solid">
        <fgColor rgb="FFFDF6F5"/>
        <bgColor rgb="FFFDF6F5"/>
      </patternFill>
    </fill>
    <fill>
      <patternFill patternType="solid">
        <fgColor rgb="FFE88A82"/>
        <bgColor rgb="FFE88A82"/>
      </patternFill>
    </fill>
    <fill>
      <patternFill patternType="solid">
        <fgColor rgb="FFF3C3BF"/>
        <bgColor rgb="FFF3C3BF"/>
      </patternFill>
    </fill>
    <fill>
      <patternFill patternType="solid">
        <fgColor rgb="FFFCF2F1"/>
        <bgColor rgb="FFFCF2F1"/>
      </patternFill>
    </fill>
    <fill>
      <patternFill patternType="solid">
        <fgColor rgb="FFFDFFFE"/>
        <bgColor rgb="FFFDFFFE"/>
      </patternFill>
    </fill>
    <fill>
      <patternFill patternType="solid">
        <fgColor rgb="FFF8FCFA"/>
        <bgColor rgb="FFF8FCFA"/>
      </patternFill>
    </fill>
    <fill>
      <patternFill patternType="solid">
        <fgColor rgb="FFE8F6EF"/>
        <bgColor rgb="FFE8F6EF"/>
      </patternFill>
    </fill>
    <fill>
      <patternFill patternType="solid">
        <fgColor rgb="FFE7F6EE"/>
        <bgColor rgb="FFE7F6EE"/>
      </patternFill>
    </fill>
    <fill>
      <patternFill patternType="solid">
        <fgColor rgb="FFFDF7F7"/>
        <bgColor rgb="FFFDF7F7"/>
      </patternFill>
    </fill>
    <fill>
      <patternFill patternType="solid">
        <fgColor rgb="FFEDF8F2"/>
        <bgColor rgb="FFEDF8F2"/>
      </patternFill>
    </fill>
    <fill>
      <patternFill patternType="solid">
        <fgColor rgb="FFFAE9E8"/>
        <bgColor rgb="FFFAE9E8"/>
      </patternFill>
    </fill>
    <fill>
      <patternFill patternType="solid">
        <fgColor rgb="FFFCF4F3"/>
        <bgColor rgb="FFFCF4F3"/>
      </patternFill>
    </fill>
    <fill>
      <patternFill patternType="solid">
        <fgColor rgb="FFBFE5D3"/>
        <bgColor rgb="FFBFE5D3"/>
      </patternFill>
    </fill>
    <fill>
      <patternFill patternType="solid">
        <fgColor rgb="FFFDF6F6"/>
        <bgColor rgb="FFFDF6F6"/>
      </patternFill>
    </fill>
    <fill>
      <patternFill patternType="solid">
        <fgColor rgb="FFE3F4EC"/>
        <bgColor rgb="FFE3F4EC"/>
      </patternFill>
    </fill>
    <fill>
      <patternFill patternType="solid">
        <fgColor rgb="FFFDF5F5"/>
        <bgColor rgb="FFFDF5F5"/>
      </patternFill>
    </fill>
    <fill>
      <patternFill patternType="solid">
        <fgColor rgb="FFFDF5F4"/>
        <bgColor rgb="FFFDF5F4"/>
      </patternFill>
    </fill>
    <fill>
      <patternFill patternType="solid">
        <fgColor rgb="FFF9E3E1"/>
        <bgColor rgb="FFF9E3E1"/>
      </patternFill>
    </fill>
    <fill>
      <patternFill patternType="solid">
        <fgColor rgb="FFFCF1F1"/>
        <bgColor rgb="FFFCF1F1"/>
      </patternFill>
    </fill>
    <fill>
      <patternFill patternType="solid">
        <fgColor rgb="FFFCF0EF"/>
        <bgColor rgb="FFFCF0EF"/>
      </patternFill>
    </fill>
    <fill>
      <patternFill patternType="solid">
        <fgColor rgb="FFFEFAF9"/>
        <bgColor rgb="FFFEFAF9"/>
      </patternFill>
    </fill>
    <fill>
      <patternFill patternType="solid">
        <fgColor rgb="FFEFAEA9"/>
        <bgColor rgb="FFEFAEA9"/>
      </patternFill>
    </fill>
    <fill>
      <patternFill patternType="solid">
        <fgColor rgb="FFEA918A"/>
        <bgColor rgb="FFEA918A"/>
      </patternFill>
    </fill>
    <fill>
      <patternFill patternType="solid">
        <fgColor rgb="FFEFABA5"/>
        <bgColor rgb="FFEFABA5"/>
      </patternFill>
    </fill>
    <fill>
      <patternFill patternType="solid">
        <fgColor rgb="FFFBEFEE"/>
        <bgColor rgb="FFFBEFEE"/>
      </patternFill>
    </fill>
    <fill>
      <patternFill patternType="solid">
        <fgColor rgb="FFF6FCF9"/>
        <bgColor rgb="FFF6FCF9"/>
      </patternFill>
    </fill>
    <fill>
      <patternFill patternType="solid">
        <fgColor rgb="FFFBEDEB"/>
        <bgColor rgb="FFFBEDEB"/>
      </patternFill>
    </fill>
    <fill>
      <patternFill patternType="solid">
        <fgColor rgb="FFFBEFED"/>
        <bgColor rgb="FFFBEFED"/>
      </patternFill>
    </fill>
    <fill>
      <patternFill patternType="solid">
        <fgColor rgb="FFA0D9BD"/>
        <bgColor rgb="FFA0D9BD"/>
      </patternFill>
    </fill>
    <fill>
      <patternFill patternType="solid">
        <fgColor rgb="FFE7F5EE"/>
        <bgColor rgb="FFE7F5EE"/>
      </patternFill>
    </fill>
    <fill>
      <patternFill patternType="solid">
        <fgColor rgb="FFFBEBE9"/>
        <bgColor rgb="FFFBEBE9"/>
      </patternFill>
    </fill>
    <fill>
      <patternFill patternType="solid">
        <fgColor rgb="FFF2BDB9"/>
        <bgColor rgb="FFF2BDB9"/>
      </patternFill>
    </fill>
    <fill>
      <patternFill patternType="solid">
        <fgColor rgb="FFEA9189"/>
        <bgColor rgb="FFEA9189"/>
      </patternFill>
    </fill>
    <fill>
      <patternFill patternType="solid">
        <fgColor rgb="FFF1B7B2"/>
        <bgColor rgb="FFF1B7B2"/>
      </patternFill>
    </fill>
    <fill>
      <patternFill patternType="solid">
        <fgColor rgb="FF9FD9BD"/>
        <bgColor rgb="FF9FD9BD"/>
      </patternFill>
    </fill>
    <fill>
      <patternFill patternType="solid">
        <fgColor rgb="FFFAE7E6"/>
        <bgColor rgb="FFFAE7E6"/>
      </patternFill>
    </fill>
    <fill>
      <patternFill patternType="solid">
        <fgColor rgb="FFFAE5E4"/>
        <bgColor rgb="FFFAE5E4"/>
      </patternFill>
    </fill>
    <fill>
      <patternFill patternType="solid">
        <fgColor rgb="FFFBEDEC"/>
        <bgColor rgb="FFFBEDEC"/>
      </patternFill>
    </fill>
    <fill>
      <patternFill patternType="solid">
        <fgColor rgb="FFF9E0DE"/>
        <bgColor rgb="FFF9E0DE"/>
      </patternFill>
    </fill>
    <fill>
      <patternFill patternType="solid">
        <fgColor rgb="FFF8DCD9"/>
        <bgColor rgb="FFF8DCD9"/>
      </patternFill>
    </fill>
    <fill>
      <patternFill patternType="solid">
        <fgColor rgb="FFF7FCFA"/>
        <bgColor rgb="FFF7FCFA"/>
      </patternFill>
    </fill>
    <fill>
      <patternFill patternType="solid">
        <fgColor rgb="FFF7DAD7"/>
        <bgColor rgb="FFF7DAD7"/>
      </patternFill>
    </fill>
    <fill>
      <patternFill patternType="solid">
        <fgColor rgb="FFF7FCF9"/>
        <bgColor rgb="FFF7FCF9"/>
      </patternFill>
    </fill>
    <fill>
      <patternFill patternType="solid">
        <fgColor rgb="FFF9DFDD"/>
        <bgColor rgb="FFF9DFDD"/>
      </patternFill>
    </fill>
    <fill>
      <patternFill patternType="solid">
        <fgColor rgb="FFF7D7D5"/>
        <bgColor rgb="FFF7D7D5"/>
      </patternFill>
    </fill>
    <fill>
      <patternFill patternType="solid">
        <fgColor rgb="FFF0B1AB"/>
        <bgColor rgb="FFF0B1AB"/>
      </patternFill>
    </fill>
    <fill>
      <patternFill patternType="solid">
        <fgColor rgb="FFF7D7D4"/>
        <bgColor rgb="FFF7D7D4"/>
      </patternFill>
    </fill>
    <fill>
      <patternFill patternType="solid">
        <fgColor rgb="FFF8DCDA"/>
        <bgColor rgb="FFF8DCDA"/>
      </patternFill>
    </fill>
    <fill>
      <patternFill patternType="solid">
        <fgColor rgb="FFF8FDFA"/>
        <bgColor rgb="FFF8FDFA"/>
      </patternFill>
    </fill>
    <fill>
      <patternFill patternType="solid">
        <fgColor rgb="FFF6D3D0"/>
        <bgColor rgb="FFF6D3D0"/>
      </patternFill>
    </fill>
    <fill>
      <patternFill patternType="solid">
        <fgColor rgb="FFF7D6D4"/>
        <bgColor rgb="FFF7D6D4"/>
      </patternFill>
    </fill>
    <fill>
      <patternFill patternType="solid">
        <fgColor rgb="FFF8DAD8"/>
        <bgColor rgb="FFF8DAD8"/>
      </patternFill>
    </fill>
    <fill>
      <patternFill patternType="solid">
        <fgColor rgb="FFE88880"/>
        <bgColor rgb="FFE88880"/>
      </patternFill>
    </fill>
    <fill>
      <patternFill patternType="solid">
        <fgColor rgb="FFE8877F"/>
        <bgColor rgb="FFE8877F"/>
      </patternFill>
    </fill>
    <fill>
      <patternFill patternType="solid">
        <fgColor rgb="FFB8E2CE"/>
        <bgColor rgb="FFB8E2CE"/>
      </patternFill>
    </fill>
    <fill>
      <patternFill patternType="solid">
        <fgColor rgb="FFF6D1CE"/>
        <bgColor rgb="FFF6D1CE"/>
      </patternFill>
    </fill>
    <fill>
      <patternFill patternType="solid">
        <fgColor rgb="FFE88B83"/>
        <bgColor rgb="FFE88B83"/>
      </patternFill>
    </fill>
    <fill>
      <patternFill patternType="solid">
        <fgColor rgb="FFEC9F99"/>
        <bgColor rgb="FFEC9F99"/>
      </patternFill>
    </fill>
    <fill>
      <patternFill patternType="solid">
        <fgColor rgb="FFD5EEE2"/>
        <bgColor rgb="FFD5EEE2"/>
      </patternFill>
    </fill>
    <fill>
      <patternFill patternType="solid">
        <fgColor rgb="FFF5CDC9"/>
        <bgColor rgb="FFF5CDC9"/>
      </patternFill>
    </fill>
    <fill>
      <patternFill patternType="solid">
        <fgColor rgb="FFEFADA7"/>
        <bgColor rgb="FFEFADA7"/>
      </patternFill>
    </fill>
    <fill>
      <patternFill patternType="solid">
        <fgColor rgb="FFF5CFCC"/>
        <bgColor rgb="FFF5CFCC"/>
      </patternFill>
    </fill>
    <fill>
      <patternFill patternType="solid">
        <fgColor rgb="FFF5CCC8"/>
        <bgColor rgb="FFF5CCC8"/>
      </patternFill>
    </fill>
    <fill>
      <patternFill patternType="solid">
        <fgColor rgb="FFF5CECA"/>
        <bgColor rgb="FFF5CECA"/>
      </patternFill>
    </fill>
    <fill>
      <patternFill patternType="solid">
        <fgColor rgb="FFFBECEB"/>
        <bgColor rgb="FFFBECEB"/>
      </patternFill>
    </fill>
    <fill>
      <patternFill patternType="solid">
        <fgColor rgb="FFF5CBC8"/>
        <bgColor rgb="FFF5CBC8"/>
      </patternFill>
    </fill>
    <fill>
      <patternFill patternType="solid">
        <fgColor rgb="FFF4C8C5"/>
        <bgColor rgb="FFF4C8C5"/>
      </patternFill>
    </fill>
    <fill>
      <patternFill patternType="solid">
        <fgColor rgb="FFF5CCC9"/>
        <bgColor rgb="FFF5CCC9"/>
      </patternFill>
    </fill>
    <fill>
      <patternFill patternType="solid">
        <fgColor rgb="FFF4C8C4"/>
        <bgColor rgb="FFF4C8C4"/>
      </patternFill>
    </fill>
    <fill>
      <patternFill patternType="solid">
        <fgColor rgb="FFF8DBD8"/>
        <bgColor rgb="FFF8DBD8"/>
      </patternFill>
    </fill>
    <fill>
      <patternFill patternType="solid">
        <fgColor rgb="FFF3C4C0"/>
        <bgColor rgb="FFF3C4C0"/>
      </patternFill>
    </fill>
    <fill>
      <patternFill patternType="solid">
        <fgColor rgb="FFF2C0BB"/>
        <bgColor rgb="FFF2C0BB"/>
      </patternFill>
    </fill>
    <fill>
      <patternFill patternType="solid">
        <fgColor rgb="FFF2BEBA"/>
        <bgColor rgb="FFF2BEBA"/>
      </patternFill>
    </fill>
    <fill>
      <patternFill patternType="solid">
        <fgColor rgb="FFF7D9D6"/>
        <bgColor rgb="FFF7D9D6"/>
      </patternFill>
    </fill>
    <fill>
      <patternFill patternType="solid">
        <fgColor rgb="FFF3C2BE"/>
        <bgColor rgb="FFF3C2BE"/>
      </patternFill>
    </fill>
    <fill>
      <patternFill patternType="solid">
        <fgColor rgb="FFF4CAC6"/>
        <bgColor rgb="FFF4CAC6"/>
      </patternFill>
    </fill>
    <fill>
      <patternFill patternType="solid">
        <fgColor rgb="FFEDA39D"/>
        <bgColor rgb="FFEDA39D"/>
      </patternFill>
    </fill>
    <fill>
      <patternFill patternType="solid">
        <fgColor rgb="FFF3C2BD"/>
        <bgColor rgb="FFF3C2BD"/>
      </patternFill>
    </fill>
    <fill>
      <patternFill patternType="solid">
        <fgColor rgb="FFF3C1BD"/>
        <bgColor rgb="FFF3C1BD"/>
      </patternFill>
    </fill>
    <fill>
      <patternFill patternType="solid">
        <fgColor rgb="FFF9E4E2"/>
        <bgColor rgb="FFF9E4E2"/>
      </patternFill>
    </fill>
    <fill>
      <patternFill patternType="solid">
        <fgColor rgb="FFF2BBB7"/>
        <bgColor rgb="FFF2BBB7"/>
      </patternFill>
    </fill>
    <fill>
      <patternFill patternType="solid">
        <fgColor rgb="FFF3C0BC"/>
        <bgColor rgb="FFF3C0BC"/>
      </patternFill>
    </fill>
    <fill>
      <patternFill patternType="solid">
        <fgColor rgb="FFF2BCB7"/>
        <bgColor rgb="FFF2BCB7"/>
      </patternFill>
    </fill>
    <fill>
      <patternFill patternType="solid">
        <fgColor rgb="FFEC9F98"/>
        <bgColor rgb="FFEC9F98"/>
      </patternFill>
    </fill>
    <fill>
      <patternFill patternType="solid">
        <fgColor rgb="FFEEA6A0"/>
        <bgColor rgb="FFEEA6A0"/>
      </patternFill>
    </fill>
    <fill>
      <patternFill patternType="solid">
        <fgColor rgb="FFFBEBEA"/>
        <bgColor rgb="FFFBEBEA"/>
      </patternFill>
    </fill>
    <fill>
      <patternFill patternType="solid">
        <fgColor rgb="FFF0B3AE"/>
        <bgColor rgb="FFF0B3AE"/>
      </patternFill>
    </fill>
    <fill>
      <patternFill patternType="solid">
        <fgColor rgb="FFF1BAB5"/>
        <bgColor rgb="FFF1BAB5"/>
      </patternFill>
    </fill>
    <fill>
      <patternFill patternType="solid">
        <fgColor rgb="FFF8DDDB"/>
        <bgColor rgb="FFF8DDDB"/>
      </patternFill>
    </fill>
    <fill>
      <patternFill patternType="solid">
        <fgColor rgb="FFEC9D97"/>
        <bgColor rgb="FFEC9D97"/>
      </patternFill>
    </fill>
    <fill>
      <patternFill patternType="solid">
        <fgColor rgb="FFEEAAA4"/>
        <bgColor rgb="FFEEAAA4"/>
      </patternFill>
    </fill>
    <fill>
      <patternFill patternType="solid">
        <fgColor rgb="FFEFABA6"/>
        <bgColor rgb="FFEFABA6"/>
      </patternFill>
    </fill>
    <fill>
      <patternFill patternType="solid">
        <fgColor rgb="FFEEA7A1"/>
        <bgColor rgb="FFEEA7A1"/>
      </patternFill>
    </fill>
    <fill>
      <patternFill patternType="solid">
        <fgColor rgb="FFE78279"/>
        <bgColor rgb="FFE78279"/>
      </patternFill>
    </fill>
    <fill>
      <patternFill patternType="solid">
        <fgColor rgb="FFEDA19A"/>
        <bgColor rgb="FFEDA19A"/>
      </patternFill>
    </fill>
    <fill>
      <patternFill patternType="solid">
        <fgColor rgb="FFEDA49D"/>
        <bgColor rgb="FFEDA49D"/>
      </patternFill>
    </fill>
    <fill>
      <patternFill patternType="solid">
        <fgColor rgb="FFEB9891"/>
        <bgColor rgb="FFEB9891"/>
      </patternFill>
    </fill>
    <fill>
      <patternFill patternType="solid">
        <fgColor rgb="FFF0B5B0"/>
        <bgColor rgb="FFF0B5B0"/>
      </patternFill>
    </fill>
    <fill>
      <patternFill patternType="solid">
        <fgColor rgb="FFE67F76"/>
        <bgColor rgb="FFE67F76"/>
      </patternFill>
    </fill>
    <fill>
      <patternFill patternType="solid">
        <fgColor rgb="FFEA938C"/>
        <bgColor rgb="FFEA938C"/>
      </patternFill>
    </fill>
    <fill>
      <patternFill patternType="solid">
        <fgColor rgb="FFE99088"/>
        <bgColor rgb="FFE99088"/>
      </patternFill>
    </fill>
    <fill>
      <patternFill patternType="solid">
        <fgColor rgb="FFEA928B"/>
        <bgColor rgb="FFEA928B"/>
      </patternFill>
    </fill>
    <fill>
      <patternFill patternType="solid">
        <fgColor rgb="FFE98C84"/>
        <bgColor rgb="FFE98C84"/>
      </patternFill>
    </fill>
  </fills>
  <borders count="17">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border>
    <border>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ck">
        <color rgb="FF000000"/>
      </left>
      <right style="thick">
        <color rgb="FF000000"/>
      </right>
      <top style="thick">
        <color rgb="FF000000"/>
      </top>
      <bottom style="thick">
        <color rgb="FF000000"/>
      </bottom>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539">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horizontal="right" readingOrder="0" shrinkToFit="0" vertical="bottom" wrapText="0"/>
    </xf>
    <xf borderId="0" fillId="0" fontId="1" numFmtId="0" xfId="0" applyAlignment="1" applyFont="1">
      <alignment horizontal="center" readingOrder="0" shrinkToFit="0" vertical="bottom" wrapText="0"/>
    </xf>
    <xf borderId="0" fillId="0" fontId="1" numFmtId="0" xfId="0" applyAlignment="1" applyFont="1">
      <alignment shrinkToFit="0" vertical="bottom" wrapText="0"/>
    </xf>
    <xf borderId="0" fillId="0" fontId="1" numFmtId="49" xfId="0" applyAlignment="1" applyFont="1" applyNumberFormat="1">
      <alignment horizontal="right" readingOrder="0" shrinkToFit="0" vertical="bottom" wrapText="0"/>
    </xf>
    <xf borderId="0" fillId="0" fontId="1" numFmtId="0" xfId="0" applyAlignment="1" applyFont="1">
      <alignment shrinkToFit="0" vertical="bottom" wrapText="0"/>
    </xf>
    <xf borderId="0" fillId="0" fontId="1" numFmtId="1" xfId="0" applyAlignment="1" applyFont="1" applyNumberFormat="1">
      <alignment horizontal="right" readingOrder="0" shrinkToFit="0" vertical="bottom" wrapText="0"/>
    </xf>
    <xf borderId="0" fillId="0" fontId="2" numFmtId="0" xfId="0" applyAlignment="1" applyFont="1">
      <alignment horizontal="right" vertical="bottom"/>
    </xf>
    <xf borderId="0" fillId="0" fontId="2" numFmtId="0" xfId="0" applyAlignment="1" applyFont="1">
      <alignment horizontal="right" vertical="bottom"/>
    </xf>
    <xf borderId="0" fillId="0" fontId="3" numFmtId="0" xfId="0" applyAlignment="1" applyFont="1">
      <alignment vertical="bottom"/>
    </xf>
    <xf borderId="0" fillId="0" fontId="2" numFmtId="0" xfId="0" applyAlignment="1" applyFont="1">
      <alignment vertical="bottom"/>
    </xf>
    <xf borderId="0" fillId="0" fontId="4" numFmtId="0" xfId="0" applyAlignment="1" applyFont="1">
      <alignment shrinkToFit="0" wrapText="0"/>
    </xf>
    <xf borderId="0" fillId="0" fontId="2" numFmtId="0" xfId="0" applyAlignment="1" applyFont="1">
      <alignment readingOrder="0" vertical="bottom"/>
    </xf>
    <xf borderId="0" fillId="0" fontId="4" numFmtId="0" xfId="0" applyAlignment="1" applyFont="1">
      <alignment horizontal="right"/>
    </xf>
    <xf borderId="0" fillId="0" fontId="4" numFmtId="0" xfId="0" applyFont="1"/>
    <xf borderId="0" fillId="0" fontId="5" numFmtId="0" xfId="0" applyFont="1"/>
    <xf borderId="0" fillId="0" fontId="6" numFmtId="0" xfId="0" applyFont="1"/>
    <xf borderId="0" fillId="0" fontId="4" numFmtId="0" xfId="0" applyAlignment="1" applyFont="1">
      <alignment readingOrder="0"/>
    </xf>
    <xf borderId="0" fillId="2" fontId="7" numFmtId="0" xfId="0" applyAlignment="1" applyFill="1" applyFont="1">
      <alignment horizontal="center" vertical="bottom"/>
    </xf>
    <xf borderId="0" fillId="2" fontId="7" numFmtId="9" xfId="0" applyAlignment="1" applyFont="1" applyNumberFormat="1">
      <alignment horizontal="center" vertical="bottom"/>
    </xf>
    <xf borderId="0" fillId="2" fontId="7" numFmtId="0" xfId="0" applyAlignment="1" applyFont="1">
      <alignment horizontal="center" readingOrder="0" vertical="bottom"/>
    </xf>
    <xf borderId="0" fillId="2" fontId="7" numFmtId="0" xfId="0" applyAlignment="1" applyFont="1">
      <alignment horizontal="center" vertical="bottom"/>
    </xf>
    <xf borderId="0" fillId="2" fontId="8" numFmtId="0" xfId="0" applyAlignment="1" applyFont="1">
      <alignment horizontal="center" readingOrder="0"/>
    </xf>
    <xf borderId="0" fillId="2" fontId="7" numFmtId="0" xfId="0" applyAlignment="1" applyFont="1">
      <alignment horizontal="center" readingOrder="0" shrinkToFit="0" wrapText="0"/>
    </xf>
    <xf borderId="0" fillId="2" fontId="8" numFmtId="0" xfId="0" applyAlignment="1" applyFont="1">
      <alignment readingOrder="0"/>
    </xf>
    <xf borderId="1" fillId="0" fontId="8" numFmtId="0" xfId="0" applyAlignment="1" applyBorder="1" applyFont="1">
      <alignment readingOrder="0"/>
    </xf>
    <xf borderId="0" fillId="0" fontId="8" numFmtId="0" xfId="0" applyAlignment="1" applyFont="1">
      <alignment readingOrder="0"/>
    </xf>
    <xf borderId="0" fillId="0" fontId="4" numFmtId="49" xfId="0" applyAlignment="1" applyFont="1" applyNumberFormat="1">
      <alignment readingOrder="0"/>
    </xf>
    <xf borderId="0" fillId="0" fontId="9" numFmtId="0" xfId="0" applyFont="1"/>
    <xf borderId="0" fillId="0" fontId="5" numFmtId="9" xfId="0" applyAlignment="1" applyFont="1" applyNumberFormat="1">
      <alignment horizontal="center"/>
    </xf>
    <xf borderId="0" fillId="0" fontId="5" numFmtId="2" xfId="0" applyAlignment="1" applyFont="1" applyNumberFormat="1">
      <alignment horizontal="center"/>
    </xf>
    <xf borderId="0" fillId="0" fontId="5" numFmtId="10" xfId="0" applyAlignment="1" applyFont="1" applyNumberFormat="1">
      <alignment horizontal="center"/>
    </xf>
    <xf borderId="0" fillId="3" fontId="10" numFmtId="10" xfId="0" applyAlignment="1" applyFill="1" applyFont="1" applyNumberFormat="1">
      <alignment horizontal="center"/>
    </xf>
    <xf borderId="0" fillId="0" fontId="5" numFmtId="4" xfId="0" applyAlignment="1" applyFont="1" applyNumberFormat="1">
      <alignment horizontal="center"/>
    </xf>
    <xf borderId="0" fillId="3" fontId="5" numFmtId="2" xfId="0" applyAlignment="1" applyFont="1" applyNumberFormat="1">
      <alignment horizontal="center"/>
    </xf>
    <xf borderId="0" fillId="3" fontId="11" numFmtId="164" xfId="0" applyAlignment="1" applyFont="1" applyNumberFormat="1">
      <alignment horizontal="center" vertical="bottom"/>
    </xf>
    <xf borderId="0" fillId="3" fontId="11" numFmtId="10" xfId="0" applyAlignment="1" applyFont="1" applyNumberFormat="1">
      <alignment horizontal="center" vertical="bottom"/>
    </xf>
    <xf borderId="0" fillId="3" fontId="5" numFmtId="10" xfId="0" applyAlignment="1" applyFont="1" applyNumberFormat="1">
      <alignment horizontal="center"/>
    </xf>
    <xf borderId="0" fillId="3" fontId="5" numFmtId="165" xfId="0" applyAlignment="1" applyFont="1" applyNumberFormat="1">
      <alignment horizontal="center"/>
    </xf>
    <xf borderId="0" fillId="0" fontId="5" numFmtId="166" xfId="0" applyAlignment="1" applyFont="1" applyNumberFormat="1">
      <alignment horizontal="center"/>
    </xf>
    <xf borderId="0" fillId="0" fontId="5" numFmtId="0" xfId="0" applyAlignment="1" applyFont="1">
      <alignment horizontal="center"/>
    </xf>
    <xf borderId="0" fillId="3" fontId="9" numFmtId="167" xfId="0" applyAlignment="1" applyFont="1" applyNumberFormat="1">
      <alignment horizontal="center"/>
    </xf>
    <xf borderId="0" fillId="0" fontId="1" numFmtId="167" xfId="0" applyAlignment="1" applyFont="1" applyNumberFormat="1">
      <alignment horizontal="center" shrinkToFit="0" vertical="bottom" wrapText="0"/>
    </xf>
    <xf borderId="0" fillId="3" fontId="5" numFmtId="0" xfId="0" applyAlignment="1" applyFont="1">
      <alignment horizontal="left" readingOrder="0" shrinkToFit="0" wrapText="0"/>
    </xf>
    <xf borderId="0" fillId="0" fontId="5" numFmtId="2" xfId="0" applyFont="1" applyNumberFormat="1"/>
    <xf borderId="0" fillId="3" fontId="9" numFmtId="0" xfId="0" applyFont="1"/>
    <xf borderId="1" fillId="0" fontId="4" numFmtId="49" xfId="0" applyBorder="1" applyFont="1" applyNumberFormat="1"/>
    <xf borderId="0" fillId="0" fontId="9" numFmtId="0" xfId="0" applyFont="1"/>
    <xf borderId="0" fillId="0" fontId="4" numFmtId="2" xfId="0" applyFont="1" applyNumberFormat="1"/>
    <xf borderId="0" fillId="0" fontId="4" numFmtId="49" xfId="0" applyFont="1" applyNumberFormat="1"/>
    <xf borderId="0" fillId="3" fontId="9" numFmtId="0" xfId="0" applyFont="1"/>
    <xf borderId="0" fillId="3" fontId="9" numFmtId="0" xfId="0" applyAlignment="1" applyFont="1">
      <alignment readingOrder="0"/>
    </xf>
    <xf borderId="0" fillId="0" fontId="5" numFmtId="0" xfId="0" applyAlignment="1" applyFont="1">
      <alignment horizontal="center" vertical="bottom"/>
    </xf>
    <xf borderId="0" fillId="0" fontId="5" numFmtId="0" xfId="0" applyAlignment="1" applyFont="1">
      <alignment horizontal="right" vertical="bottom"/>
    </xf>
    <xf borderId="0" fillId="0" fontId="5" numFmtId="9" xfId="0" applyFont="1" applyNumberFormat="1"/>
    <xf borderId="0" fillId="0" fontId="5" numFmtId="10" xfId="0" applyFont="1" applyNumberFormat="1"/>
    <xf borderId="0" fillId="3" fontId="5" numFmtId="2" xfId="0" applyFont="1" applyNumberFormat="1"/>
    <xf borderId="0" fillId="3" fontId="11" numFmtId="10" xfId="0" applyAlignment="1" applyFont="1" applyNumberFormat="1">
      <alignment horizontal="right" vertical="bottom"/>
    </xf>
    <xf borderId="0" fillId="3" fontId="5" numFmtId="10" xfId="0" applyFont="1" applyNumberFormat="1"/>
    <xf borderId="0" fillId="3" fontId="5" numFmtId="165" xfId="0" applyFont="1" applyNumberFormat="1"/>
    <xf borderId="1" fillId="0" fontId="4" numFmtId="0" xfId="0" applyBorder="1" applyFont="1"/>
    <xf borderId="0" fillId="0" fontId="4" numFmtId="9" xfId="0" applyFont="1" applyNumberFormat="1"/>
    <xf borderId="0" fillId="0" fontId="12" numFmtId="0" xfId="0" applyAlignment="1" applyFont="1">
      <alignment readingOrder="0"/>
    </xf>
    <xf borderId="1" fillId="0" fontId="12" numFmtId="0" xfId="0" applyBorder="1" applyFont="1"/>
    <xf borderId="0" fillId="0" fontId="12" numFmtId="0" xfId="0" applyFont="1"/>
    <xf borderId="2" fillId="0" fontId="12" numFmtId="0" xfId="0" applyBorder="1" applyFont="1"/>
    <xf borderId="0" fillId="0" fontId="0" numFmtId="0" xfId="0" applyFont="1"/>
    <xf borderId="1" fillId="0" fontId="10" numFmtId="0" xfId="0" applyBorder="1" applyFont="1"/>
    <xf borderId="0" fillId="0" fontId="10" numFmtId="0" xfId="0" applyFont="1"/>
    <xf borderId="2" fillId="0" fontId="10" numFmtId="0" xfId="0" applyBorder="1" applyFont="1"/>
    <xf borderId="1" fillId="0" fontId="5" numFmtId="0" xfId="0" applyBorder="1" applyFont="1"/>
    <xf borderId="2" fillId="0" fontId="5" numFmtId="0" xfId="0" applyBorder="1" applyFont="1"/>
    <xf borderId="2" fillId="0" fontId="4" numFmtId="0" xfId="0" applyBorder="1" applyFont="1"/>
    <xf borderId="0" fillId="0" fontId="13" numFmtId="0" xfId="0" applyAlignment="1" applyFont="1">
      <alignment horizontal="center" vertical="bottom"/>
    </xf>
    <xf borderId="0" fillId="0" fontId="14" numFmtId="0" xfId="0" applyAlignment="1" applyFont="1">
      <alignment horizontal="center" vertical="bottom"/>
    </xf>
    <xf borderId="0" fillId="0" fontId="4" numFmtId="0" xfId="0" applyAlignment="1" applyFont="1">
      <alignment horizontal="center"/>
    </xf>
    <xf borderId="3" fillId="4" fontId="14" numFmtId="0" xfId="0" applyAlignment="1" applyBorder="1" applyFill="1" applyFont="1">
      <alignment horizontal="center" readingOrder="0" vertical="bottom"/>
    </xf>
    <xf borderId="3" fillId="0" fontId="13" numFmtId="0" xfId="0" applyAlignment="1" applyBorder="1" applyFont="1">
      <alignment horizontal="center" vertical="bottom"/>
    </xf>
    <xf borderId="3" fillId="0" fontId="13" numFmtId="0" xfId="0" applyAlignment="1" applyBorder="1" applyFont="1">
      <alignment horizontal="center" vertical="bottom"/>
    </xf>
    <xf borderId="3" fillId="0" fontId="13" numFmtId="0" xfId="0" applyAlignment="1" applyBorder="1" applyFont="1">
      <alignment horizontal="center" readingOrder="0" vertical="bottom"/>
    </xf>
    <xf borderId="4" fillId="0" fontId="13" numFmtId="0" xfId="0" applyAlignment="1" applyBorder="1" applyFont="1">
      <alignment horizontal="center" readingOrder="0" vertical="bottom"/>
    </xf>
    <xf borderId="0" fillId="3" fontId="14" numFmtId="2" xfId="0" applyAlignment="1" applyFont="1" applyNumberFormat="1">
      <alignment horizontal="center" vertical="bottom"/>
    </xf>
    <xf borderId="0" fillId="0" fontId="14" numFmtId="2" xfId="0" applyAlignment="1" applyFont="1" applyNumberFormat="1">
      <alignment horizontal="center" vertical="bottom"/>
    </xf>
    <xf borderId="0" fillId="3" fontId="15" numFmtId="2" xfId="0" applyAlignment="1" applyFont="1" applyNumberFormat="1">
      <alignment horizontal="center" vertical="bottom"/>
    </xf>
    <xf borderId="0" fillId="3" fontId="15" numFmtId="10" xfId="0" applyAlignment="1" applyFont="1" applyNumberFormat="1">
      <alignment horizontal="center" vertical="bottom"/>
    </xf>
    <xf borderId="0" fillId="3" fontId="9" numFmtId="10" xfId="0" applyAlignment="1" applyFont="1" applyNumberFormat="1">
      <alignment horizontal="center"/>
    </xf>
    <xf borderId="0" fillId="0" fontId="14" numFmtId="0" xfId="0" applyAlignment="1" applyFont="1">
      <alignment horizontal="center" readingOrder="0" vertical="bottom"/>
    </xf>
    <xf borderId="5" fillId="3" fontId="15" numFmtId="2" xfId="0" applyAlignment="1" applyBorder="1" applyFont="1" applyNumberFormat="1">
      <alignment horizontal="center" vertical="bottom"/>
    </xf>
    <xf borderId="0" fillId="3" fontId="14" numFmtId="0" xfId="0" applyAlignment="1" applyFont="1">
      <alignment horizontal="center" vertical="bottom"/>
    </xf>
    <xf borderId="3" fillId="5" fontId="13" numFmtId="0" xfId="0" applyAlignment="1" applyBorder="1" applyFill="1" applyFont="1">
      <alignment horizontal="center" vertical="bottom"/>
    </xf>
    <xf borderId="4" fillId="5" fontId="14" numFmtId="2" xfId="0" applyAlignment="1" applyBorder="1" applyFont="1" applyNumberFormat="1">
      <alignment horizontal="center" vertical="bottom"/>
    </xf>
    <xf borderId="6" fillId="5" fontId="14" numFmtId="2" xfId="0" applyAlignment="1" applyBorder="1" applyFont="1" applyNumberFormat="1">
      <alignment horizontal="center" vertical="bottom"/>
    </xf>
    <xf borderId="6" fillId="5" fontId="14" numFmtId="10" xfId="0" applyAlignment="1" applyBorder="1" applyFont="1" applyNumberFormat="1">
      <alignment horizontal="center" vertical="bottom"/>
    </xf>
    <xf borderId="6" fillId="5" fontId="14" numFmtId="0" xfId="0" applyAlignment="1" applyBorder="1" applyFont="1">
      <alignment horizontal="center" vertical="bottom"/>
    </xf>
    <xf borderId="7" fillId="5" fontId="14" numFmtId="2" xfId="0" applyAlignment="1" applyBorder="1" applyFont="1" applyNumberFormat="1">
      <alignment horizontal="center" vertical="bottom"/>
    </xf>
    <xf borderId="0" fillId="0" fontId="14" numFmtId="10" xfId="0" applyAlignment="1" applyFont="1" applyNumberFormat="1">
      <alignment horizontal="center" vertical="bottom"/>
    </xf>
    <xf borderId="6" fillId="0" fontId="14" numFmtId="2" xfId="0" applyAlignment="1" applyBorder="1" applyFont="1" applyNumberFormat="1">
      <alignment horizontal="center" vertical="bottom"/>
    </xf>
    <xf borderId="8" fillId="3" fontId="14" numFmtId="2" xfId="0" applyAlignment="1" applyBorder="1" applyFont="1" applyNumberFormat="1">
      <alignment horizontal="center" vertical="bottom"/>
    </xf>
    <xf borderId="9" fillId="0" fontId="14" numFmtId="2" xfId="0" applyAlignment="1" applyBorder="1" applyFont="1" applyNumberFormat="1">
      <alignment horizontal="center" vertical="bottom"/>
    </xf>
    <xf borderId="9" fillId="3" fontId="15" numFmtId="2" xfId="0" applyAlignment="1" applyBorder="1" applyFont="1" applyNumberFormat="1">
      <alignment horizontal="center" vertical="bottom"/>
    </xf>
    <xf borderId="9" fillId="3" fontId="15" numFmtId="10" xfId="0" applyAlignment="1" applyBorder="1" applyFont="1" applyNumberFormat="1">
      <alignment horizontal="center" vertical="bottom"/>
    </xf>
    <xf borderId="9" fillId="3" fontId="9" numFmtId="10" xfId="0" applyAlignment="1" applyBorder="1" applyFont="1" applyNumberFormat="1">
      <alignment horizontal="center"/>
    </xf>
    <xf borderId="9" fillId="0" fontId="14" numFmtId="0" xfId="0" applyAlignment="1" applyBorder="1" applyFont="1">
      <alignment horizontal="center" vertical="bottom"/>
    </xf>
    <xf borderId="1" fillId="3" fontId="14" numFmtId="2" xfId="0" applyAlignment="1" applyBorder="1" applyFont="1" applyNumberFormat="1">
      <alignment horizontal="center" vertical="bottom"/>
    </xf>
    <xf borderId="0" fillId="3" fontId="14" numFmtId="10" xfId="0" applyAlignment="1" applyFont="1" applyNumberFormat="1">
      <alignment horizontal="center" vertical="bottom"/>
    </xf>
    <xf borderId="3" fillId="6" fontId="13" numFmtId="0" xfId="0" applyAlignment="1" applyBorder="1" applyFill="1" applyFont="1">
      <alignment horizontal="center" vertical="bottom"/>
    </xf>
    <xf borderId="4" fillId="6" fontId="14" numFmtId="2" xfId="0" applyAlignment="1" applyBorder="1" applyFont="1" applyNumberFormat="1">
      <alignment horizontal="center" vertical="bottom"/>
    </xf>
    <xf borderId="6" fillId="6" fontId="14" numFmtId="2" xfId="0" applyAlignment="1" applyBorder="1" applyFont="1" applyNumberFormat="1">
      <alignment horizontal="center" vertical="bottom"/>
    </xf>
    <xf borderId="6" fillId="7" fontId="14" numFmtId="0" xfId="0" applyAlignment="1" applyBorder="1" applyFill="1" applyFont="1">
      <alignment horizontal="center" vertical="bottom"/>
    </xf>
    <xf borderId="3" fillId="6" fontId="14" numFmtId="2" xfId="0" applyAlignment="1" applyBorder="1" applyFont="1" applyNumberFormat="1">
      <alignment horizontal="center" vertical="bottom"/>
    </xf>
    <xf borderId="0" fillId="0" fontId="4" numFmtId="0" xfId="0" applyAlignment="1" applyFont="1">
      <alignment horizontal="center" readingOrder="0"/>
    </xf>
    <xf borderId="0" fillId="0" fontId="16" numFmtId="0" xfId="0" applyAlignment="1" applyFont="1">
      <alignment readingOrder="0"/>
    </xf>
    <xf borderId="10" fillId="0" fontId="13" numFmtId="0" xfId="0" applyAlignment="1" applyBorder="1" applyFont="1">
      <alignment horizontal="center" readingOrder="0" vertical="bottom"/>
    </xf>
    <xf borderId="0" fillId="0" fontId="4" numFmtId="0" xfId="0" applyAlignment="1" applyFont="1">
      <alignment shrinkToFit="0" wrapText="1"/>
    </xf>
    <xf borderId="0" fillId="3" fontId="17" numFmtId="0" xfId="0" applyAlignment="1" applyFont="1">
      <alignment horizontal="left" readingOrder="0"/>
    </xf>
    <xf borderId="8" fillId="2" fontId="13" numFmtId="0" xfId="0" applyAlignment="1" applyBorder="1" applyFont="1">
      <alignment horizontal="center" vertical="bottom"/>
    </xf>
    <xf borderId="9" fillId="2" fontId="13" numFmtId="0" xfId="0" applyAlignment="1" applyBorder="1" applyFont="1">
      <alignment horizontal="center" vertical="bottom"/>
    </xf>
    <xf borderId="9" fillId="2" fontId="13" numFmtId="0" xfId="0" applyAlignment="1" applyBorder="1" applyFont="1">
      <alignment horizontal="center" readingOrder="0" vertical="bottom"/>
    </xf>
    <xf borderId="11" fillId="8" fontId="8" numFmtId="0" xfId="0" applyAlignment="1" applyBorder="1" applyFill="1" applyFont="1">
      <alignment horizontal="center" readingOrder="0" shrinkToFit="0" wrapText="1"/>
    </xf>
    <xf borderId="12" fillId="0" fontId="14" numFmtId="2" xfId="0" applyAlignment="1" applyBorder="1" applyFont="1" applyNumberFormat="1">
      <alignment horizontal="center" vertical="bottom"/>
    </xf>
    <xf borderId="13" fillId="3" fontId="15" numFmtId="2" xfId="0" applyAlignment="1" applyBorder="1" applyFont="1" applyNumberFormat="1">
      <alignment horizontal="center" vertical="bottom"/>
    </xf>
    <xf borderId="13" fillId="3" fontId="15" numFmtId="10" xfId="0" applyAlignment="1" applyBorder="1" applyFont="1" applyNumberFormat="1">
      <alignment horizontal="center" vertical="bottom"/>
    </xf>
    <xf borderId="13" fillId="3" fontId="9" numFmtId="2" xfId="0" applyAlignment="1" applyBorder="1" applyFont="1" applyNumberFormat="1">
      <alignment horizontal="center"/>
    </xf>
    <xf borderId="14" fillId="0" fontId="4" numFmtId="0" xfId="0" applyAlignment="1" applyBorder="1" applyFont="1">
      <alignment horizontal="center" shrinkToFit="0" wrapText="1"/>
    </xf>
    <xf borderId="3" fillId="2" fontId="8" numFmtId="0" xfId="0" applyAlignment="1" applyBorder="1" applyFont="1">
      <alignment readingOrder="0"/>
    </xf>
    <xf borderId="6" fillId="2" fontId="13" numFmtId="0" xfId="0" applyAlignment="1" applyBorder="1" applyFont="1">
      <alignment horizontal="center" vertical="bottom"/>
    </xf>
    <xf borderId="6" fillId="2" fontId="13" numFmtId="0" xfId="0" applyAlignment="1" applyBorder="1" applyFont="1">
      <alignment horizontal="center" readingOrder="0" vertical="bottom"/>
    </xf>
    <xf borderId="6" fillId="2" fontId="8" numFmtId="0" xfId="0" applyAlignment="1" applyBorder="1" applyFont="1">
      <alignment readingOrder="0"/>
    </xf>
    <xf borderId="15" fillId="2" fontId="13" numFmtId="0" xfId="0" applyAlignment="1" applyBorder="1" applyFont="1">
      <alignment horizontal="center" readingOrder="0" shrinkToFit="0" vertical="bottom" wrapText="1"/>
    </xf>
    <xf borderId="1" fillId="2" fontId="8" numFmtId="0" xfId="0" applyAlignment="1" applyBorder="1" applyFont="1">
      <alignment horizontal="center" readingOrder="0"/>
    </xf>
    <xf borderId="8" fillId="2" fontId="8" numFmtId="0" xfId="0" applyAlignment="1" applyBorder="1" applyFont="1">
      <alignment readingOrder="0"/>
    </xf>
    <xf borderId="11" fillId="2" fontId="13" numFmtId="0" xfId="0" applyAlignment="1" applyBorder="1" applyFont="1">
      <alignment horizontal="center" vertical="bottom"/>
    </xf>
    <xf borderId="5" fillId="0" fontId="14" numFmtId="1" xfId="0" applyAlignment="1" applyBorder="1" applyFont="1" applyNumberFormat="1">
      <alignment horizontal="center" readingOrder="0" vertical="bottom"/>
    </xf>
    <xf borderId="0" fillId="0" fontId="14" numFmtId="1" xfId="0" applyAlignment="1" applyFont="1" applyNumberFormat="1">
      <alignment horizontal="center" readingOrder="0" vertical="bottom"/>
    </xf>
    <xf borderId="0" fillId="3" fontId="9" numFmtId="1" xfId="0" applyFont="1" applyNumberFormat="1"/>
    <xf borderId="2" fillId="3" fontId="9" numFmtId="0" xfId="0" applyAlignment="1" applyBorder="1" applyFont="1">
      <alignment shrinkToFit="0" wrapText="1"/>
    </xf>
    <xf borderId="1" fillId="3" fontId="9" numFmtId="0" xfId="0" applyBorder="1" applyFont="1"/>
    <xf borderId="1" fillId="0" fontId="14" numFmtId="1" xfId="0" applyAlignment="1" applyBorder="1" applyFont="1" applyNumberFormat="1">
      <alignment horizontal="center" readingOrder="0" vertical="bottom"/>
    </xf>
    <xf borderId="2" fillId="0" fontId="14" numFmtId="1" xfId="0" applyAlignment="1" applyBorder="1" applyFont="1" applyNumberFormat="1">
      <alignment horizontal="center" readingOrder="0" vertical="bottom"/>
    </xf>
    <xf borderId="0" fillId="0" fontId="8" numFmtId="0" xfId="0" applyFont="1"/>
    <xf borderId="5" fillId="0" fontId="4" numFmtId="1" xfId="0" applyBorder="1" applyFont="1" applyNumberFormat="1"/>
    <xf borderId="16" fillId="0" fontId="4" numFmtId="1" xfId="0" applyBorder="1" applyFont="1" applyNumberFormat="1"/>
    <xf borderId="0" fillId="0" fontId="4" numFmtId="1" xfId="0" applyFont="1" applyNumberFormat="1"/>
    <xf borderId="5" fillId="3" fontId="9" numFmtId="0" xfId="0" applyBorder="1" applyFont="1"/>
    <xf borderId="16" fillId="3" fontId="9" numFmtId="0" xfId="0" applyBorder="1" applyFont="1"/>
    <xf borderId="0" fillId="2" fontId="18" numFmtId="0" xfId="0" applyAlignment="1" applyFont="1">
      <alignment horizontal="center" readingOrder="0" vertical="bottom"/>
    </xf>
    <xf borderId="0" fillId="2" fontId="18" numFmtId="0" xfId="0" applyAlignment="1" applyFont="1">
      <alignment horizontal="center" readingOrder="0"/>
    </xf>
    <xf borderId="0" fillId="2" fontId="13" numFmtId="0" xfId="0" applyAlignment="1" applyFont="1">
      <alignment horizontal="center" readingOrder="0" vertical="bottom"/>
    </xf>
    <xf borderId="0" fillId="2" fontId="13" numFmtId="0" xfId="0" applyAlignment="1" applyFont="1">
      <alignment horizontal="center" vertical="bottom"/>
    </xf>
    <xf borderId="0" fillId="0" fontId="19" numFmtId="0" xfId="0" applyAlignment="1" applyFont="1">
      <alignment horizontal="center" readingOrder="0"/>
    </xf>
    <xf borderId="0" fillId="0" fontId="19" numFmtId="1" xfId="0" applyAlignment="1" applyFont="1" applyNumberFormat="1">
      <alignment horizontal="center" readingOrder="0"/>
    </xf>
    <xf borderId="0" fillId="3" fontId="0" numFmtId="1" xfId="0" applyAlignment="1" applyFont="1" applyNumberFormat="1">
      <alignment horizontal="center" readingOrder="0"/>
    </xf>
    <xf borderId="0" fillId="3" fontId="0" numFmtId="167" xfId="0" applyAlignment="1" applyFont="1" applyNumberFormat="1">
      <alignment horizontal="center"/>
    </xf>
    <xf borderId="0" fillId="3" fontId="0" numFmtId="10" xfId="0" applyAlignment="1" applyFont="1" applyNumberFormat="1">
      <alignment horizontal="center"/>
    </xf>
    <xf borderId="0" fillId="3" fontId="9" numFmtId="4" xfId="0" applyAlignment="1" applyFont="1" applyNumberFormat="1">
      <alignment horizontal="center"/>
    </xf>
    <xf borderId="0" fillId="3" fontId="9" numFmtId="167" xfId="0" applyAlignment="1" applyFont="1" applyNumberFormat="1">
      <alignment horizontal="center"/>
    </xf>
    <xf borderId="0" fillId="0" fontId="0" numFmtId="167" xfId="0" applyAlignment="1" applyFont="1" applyNumberFormat="1">
      <alignment horizontal="center" shrinkToFit="0" vertical="bottom" wrapText="0"/>
    </xf>
    <xf borderId="0" fillId="0" fontId="1" numFmtId="167" xfId="0" applyAlignment="1" applyFont="1" applyNumberFormat="1">
      <alignment horizontal="center" shrinkToFit="0" vertical="bottom" wrapText="0"/>
    </xf>
    <xf borderId="3" fillId="2" fontId="8" numFmtId="0" xfId="0" applyAlignment="1" applyBorder="1" applyFont="1">
      <alignment horizontal="center" readingOrder="0"/>
    </xf>
    <xf borderId="0" fillId="3" fontId="9" numFmtId="0" xfId="0" applyAlignment="1" applyFont="1">
      <alignment horizontal="center"/>
    </xf>
    <xf borderId="0" fillId="3" fontId="9" numFmtId="0" xfId="0" applyAlignment="1" applyFont="1">
      <alignment horizontal="center"/>
    </xf>
    <xf borderId="3" fillId="0" fontId="8" numFmtId="0" xfId="0" applyAlignment="1" applyBorder="1" applyFont="1">
      <alignment horizontal="center" readingOrder="0"/>
    </xf>
    <xf borderId="3" fillId="0" fontId="4" numFmtId="10" xfId="0" applyAlignment="1" applyBorder="1" applyFont="1" applyNumberFormat="1">
      <alignment horizontal="center"/>
    </xf>
    <xf borderId="0" fillId="3" fontId="0" numFmtId="1" xfId="0" applyAlignment="1" applyFont="1" applyNumberFormat="1">
      <alignment horizontal="center"/>
    </xf>
    <xf borderId="3" fillId="0" fontId="8" numFmtId="0" xfId="0" applyAlignment="1" applyBorder="1" applyFont="1">
      <alignment horizontal="center"/>
    </xf>
    <xf borderId="9" fillId="0" fontId="8" numFmtId="0" xfId="0" applyAlignment="1" applyBorder="1" applyFont="1">
      <alignment horizontal="center"/>
    </xf>
    <xf borderId="9" fillId="0" fontId="8" numFmtId="0" xfId="0" applyAlignment="1" applyBorder="1" applyFont="1">
      <alignment horizontal="center" readingOrder="0"/>
    </xf>
    <xf borderId="0" fillId="0" fontId="19" numFmtId="1" xfId="0" applyAlignment="1" applyFont="1" applyNumberFormat="1">
      <alignment horizontal="center"/>
    </xf>
    <xf borderId="7" fillId="0" fontId="8" numFmtId="0" xfId="0" applyAlignment="1" applyBorder="1" applyFont="1">
      <alignment horizontal="center"/>
    </xf>
    <xf borderId="0" fillId="0" fontId="4" numFmtId="1" xfId="0" applyAlignment="1" applyFont="1" applyNumberFormat="1">
      <alignment horizontal="center"/>
    </xf>
    <xf borderId="0" fillId="3" fontId="9" numFmtId="1" xfId="0" applyAlignment="1" applyFont="1" applyNumberFormat="1">
      <alignment horizontal="center"/>
    </xf>
    <xf borderId="0" fillId="0" fontId="14" numFmtId="0" xfId="0" applyAlignment="1" applyFont="1">
      <alignment horizontal="center" vertical="bottom"/>
    </xf>
    <xf borderId="0" fillId="0" fontId="4" numFmtId="167" xfId="0" applyAlignment="1" applyFont="1" applyNumberFormat="1">
      <alignment horizontal="center"/>
    </xf>
    <xf borderId="0" fillId="0" fontId="1" numFmtId="10" xfId="0" applyAlignment="1" applyFont="1" applyNumberFormat="1">
      <alignment horizontal="center" shrinkToFit="0" vertical="bottom" wrapText="0"/>
    </xf>
    <xf borderId="0" fillId="0" fontId="4" numFmtId="10" xfId="0" applyAlignment="1" applyFont="1" applyNumberFormat="1">
      <alignment horizontal="center"/>
    </xf>
    <xf borderId="0" fillId="0" fontId="15" numFmtId="1" xfId="0" applyAlignment="1" applyFont="1" applyNumberFormat="1">
      <alignment horizontal="center" readingOrder="0" vertical="bottom"/>
    </xf>
    <xf borderId="3" fillId="0" fontId="20" numFmtId="2" xfId="0" applyAlignment="1" applyBorder="1" applyFont="1" applyNumberFormat="1">
      <alignment horizontal="center" vertical="bottom"/>
    </xf>
    <xf borderId="3" fillId="3" fontId="20" numFmtId="2" xfId="0" applyAlignment="1" applyBorder="1" applyFont="1" applyNumberFormat="1">
      <alignment horizontal="center" vertical="bottom"/>
    </xf>
    <xf borderId="0" fillId="0" fontId="15" numFmtId="0" xfId="0" applyAlignment="1" applyFont="1">
      <alignment horizontal="center"/>
    </xf>
    <xf borderId="0" fillId="0" fontId="13" numFmtId="0" xfId="0" applyAlignment="1" applyFont="1">
      <alignment horizontal="left" vertical="bottom"/>
    </xf>
    <xf borderId="0" fillId="0" fontId="13" numFmtId="0" xfId="0" applyAlignment="1" applyFont="1">
      <alignment horizontal="center" vertical="bottom"/>
    </xf>
    <xf borderId="3" fillId="0" fontId="14" numFmtId="0" xfId="0" applyAlignment="1" applyBorder="1" applyFont="1">
      <alignment horizontal="center" readingOrder="0" vertical="bottom"/>
    </xf>
    <xf borderId="2" fillId="3" fontId="15" numFmtId="2" xfId="0" applyAlignment="1" applyBorder="1" applyFont="1" applyNumberFormat="1">
      <alignment horizontal="center" vertical="bottom"/>
    </xf>
    <xf borderId="15" fillId="5" fontId="14" numFmtId="2" xfId="0" applyAlignment="1" applyBorder="1" applyFont="1" applyNumberFormat="1">
      <alignment horizontal="center" vertical="bottom"/>
    </xf>
    <xf borderId="13" fillId="0" fontId="14" numFmtId="10" xfId="0" applyAlignment="1" applyBorder="1" applyFont="1" applyNumberFormat="1">
      <alignment horizontal="center" vertical="bottom"/>
    </xf>
    <xf borderId="11" fillId="3" fontId="15" numFmtId="2" xfId="0" applyAlignment="1" applyBorder="1" applyFont="1" applyNumberFormat="1">
      <alignment horizontal="center" vertical="bottom"/>
    </xf>
    <xf borderId="15" fillId="6" fontId="14" numFmtId="2" xfId="0" applyAlignment="1" applyBorder="1" applyFont="1" applyNumberFormat="1">
      <alignment horizontal="center" vertical="bottom"/>
    </xf>
    <xf borderId="0" fillId="0" fontId="14" numFmtId="0" xfId="0" applyAlignment="1" applyFont="1">
      <alignment readingOrder="0" vertical="bottom"/>
    </xf>
    <xf borderId="0" fillId="0" fontId="7" numFmtId="0" xfId="0" applyAlignment="1" applyFont="1">
      <alignment horizontal="center" vertical="bottom"/>
    </xf>
    <xf borderId="0" fillId="0" fontId="21" numFmtId="0" xfId="0" applyAlignment="1" applyFont="1">
      <alignment horizontal="center" readingOrder="0" vertical="bottom"/>
    </xf>
    <xf borderId="0" fillId="0" fontId="7" numFmtId="0" xfId="0" applyAlignment="1" applyFont="1">
      <alignment horizontal="center" readingOrder="0" vertical="bottom"/>
    </xf>
    <xf borderId="0" fillId="0" fontId="7" numFmtId="0" xfId="0" applyAlignment="1" applyFont="1">
      <alignment horizontal="center" vertical="bottom"/>
    </xf>
    <xf borderId="0" fillId="0" fontId="7" numFmtId="0" xfId="0" applyAlignment="1" applyFont="1">
      <alignment horizontal="center" readingOrder="0"/>
    </xf>
    <xf borderId="0" fillId="0" fontId="14" numFmtId="0" xfId="0" applyAlignment="1" applyFont="1">
      <alignment vertical="bottom"/>
    </xf>
    <xf borderId="0" fillId="0" fontId="4" numFmtId="0" xfId="0" applyFont="1"/>
    <xf borderId="0" fillId="0" fontId="4" numFmtId="10" xfId="0" applyFont="1" applyNumberFormat="1"/>
    <xf borderId="0" fillId="0" fontId="4" numFmtId="4" xfId="0" applyFont="1" applyNumberFormat="1"/>
    <xf borderId="0" fillId="0" fontId="4" numFmtId="164" xfId="0" applyFont="1" applyNumberFormat="1"/>
    <xf borderId="0" fillId="0" fontId="4" numFmtId="165" xfId="0" applyFont="1" applyNumberFormat="1"/>
    <xf borderId="0" fillId="0" fontId="4" numFmtId="166" xfId="0" applyFont="1" applyNumberFormat="1"/>
    <xf borderId="0" fillId="0" fontId="4" numFmtId="167" xfId="0" applyFont="1" applyNumberFormat="1"/>
    <xf borderId="15" fillId="2" fontId="8" numFmtId="0" xfId="0" applyAlignment="1" applyBorder="1" applyFont="1">
      <alignment horizontal="center" readingOrder="0"/>
    </xf>
    <xf borderId="13" fillId="2" fontId="8" numFmtId="0" xfId="0" applyAlignment="1" applyBorder="1" applyFont="1">
      <alignment horizontal="center" readingOrder="0"/>
    </xf>
    <xf borderId="14" fillId="2" fontId="8" numFmtId="0" xfId="0" applyAlignment="1" applyBorder="1" applyFont="1">
      <alignment horizontal="center" readingOrder="0"/>
    </xf>
    <xf borderId="0" fillId="0" fontId="22" numFmtId="0" xfId="0" applyAlignment="1" applyFont="1">
      <alignment readingOrder="0"/>
    </xf>
    <xf borderId="0" fillId="0" fontId="23" numFmtId="0" xfId="0" applyFont="1"/>
    <xf borderId="2" fillId="0" fontId="4" numFmtId="0" xfId="0" applyAlignment="1" applyBorder="1" applyFont="1">
      <alignment readingOrder="0"/>
    </xf>
    <xf borderId="0" fillId="9" fontId="24" numFmtId="0" xfId="0" applyAlignment="1" applyFill="1" applyFont="1">
      <alignment readingOrder="0"/>
    </xf>
    <xf borderId="0" fillId="0" fontId="19" numFmtId="0" xfId="0" applyFont="1"/>
    <xf borderId="0" fillId="3" fontId="19" numFmtId="0" xfId="0" applyFont="1"/>
    <xf borderId="12" fillId="0" fontId="4" numFmtId="0" xfId="0" applyBorder="1" applyFont="1"/>
    <xf borderId="13" fillId="0" fontId="4" numFmtId="0" xfId="0" applyBorder="1" applyFont="1"/>
    <xf borderId="14" fillId="0" fontId="4" numFmtId="0" xfId="0" applyBorder="1" applyFont="1"/>
    <xf borderId="0" fillId="0" fontId="4" numFmtId="1" xfId="0" applyAlignment="1" applyFont="1" applyNumberFormat="1">
      <alignment readingOrder="0"/>
    </xf>
    <xf borderId="0" fillId="0" fontId="13" numFmtId="0" xfId="0" applyAlignment="1" applyFont="1">
      <alignment vertical="bottom"/>
    </xf>
    <xf borderId="4" fillId="2" fontId="13" numFmtId="0" xfId="0" applyAlignment="1" applyBorder="1" applyFont="1">
      <alignment horizontal="center" vertical="bottom"/>
    </xf>
    <xf borderId="6" fillId="8" fontId="13" numFmtId="0" xfId="0" applyAlignment="1" applyBorder="1" applyFont="1">
      <alignment horizontal="center" vertical="bottom"/>
    </xf>
    <xf borderId="6" fillId="2" fontId="13" numFmtId="0" xfId="0" applyAlignment="1" applyBorder="1" applyFont="1">
      <alignment horizontal="center" vertical="bottom"/>
    </xf>
    <xf borderId="15" fillId="2" fontId="13" numFmtId="0" xfId="0" applyAlignment="1" applyBorder="1" applyFont="1">
      <alignment horizontal="center" vertical="bottom"/>
    </xf>
    <xf borderId="5" fillId="0" fontId="14" numFmtId="0" xfId="0" applyAlignment="1" applyBorder="1" applyFont="1">
      <alignment horizontal="right" vertical="bottom"/>
    </xf>
    <xf borderId="0" fillId="3" fontId="15" numFmtId="1" xfId="0" applyAlignment="1" applyFont="1" applyNumberFormat="1">
      <alignment horizontal="center" vertical="bottom"/>
    </xf>
    <xf borderId="0" fillId="3" fontId="14" numFmtId="0" xfId="0" applyAlignment="1" applyFont="1">
      <alignment vertical="bottom"/>
    </xf>
    <xf borderId="2" fillId="0" fontId="14" numFmtId="0" xfId="0" applyAlignment="1" applyBorder="1" applyFont="1">
      <alignment vertical="bottom"/>
    </xf>
    <xf borderId="5" fillId="0" fontId="14" numFmtId="0" xfId="0" applyAlignment="1" applyBorder="1" applyFont="1">
      <alignment vertical="bottom"/>
    </xf>
    <xf borderId="0" fillId="0" fontId="15" numFmtId="0" xfId="0" applyAlignment="1" applyFont="1">
      <alignment horizontal="center" vertical="bottom"/>
    </xf>
    <xf borderId="0" fillId="3" fontId="15" numFmtId="0" xfId="0" applyAlignment="1" applyFont="1">
      <alignment horizontal="center" vertical="bottom"/>
    </xf>
    <xf borderId="16" fillId="0" fontId="14" numFmtId="0" xfId="0" applyAlignment="1" applyBorder="1" applyFont="1">
      <alignment vertical="bottom"/>
    </xf>
    <xf borderId="13" fillId="0" fontId="14" numFmtId="0" xfId="0" applyAlignment="1" applyBorder="1" applyFont="1">
      <alignment horizontal="center" vertical="bottom"/>
    </xf>
    <xf borderId="13" fillId="3" fontId="15" numFmtId="1" xfId="0" applyAlignment="1" applyBorder="1" applyFont="1" applyNumberFormat="1">
      <alignment horizontal="center" vertical="bottom"/>
    </xf>
    <xf borderId="13" fillId="0" fontId="15" numFmtId="0" xfId="0" applyAlignment="1" applyBorder="1" applyFont="1">
      <alignment horizontal="center" vertical="bottom"/>
    </xf>
    <xf borderId="13" fillId="3" fontId="15" numFmtId="0" xfId="0" applyAlignment="1" applyBorder="1" applyFont="1">
      <alignment horizontal="center" vertical="bottom"/>
    </xf>
    <xf borderId="14" fillId="0" fontId="14" numFmtId="0" xfId="0" applyAlignment="1" applyBorder="1" applyFont="1">
      <alignment vertical="bottom"/>
    </xf>
    <xf borderId="0" fillId="0" fontId="4" numFmtId="168" xfId="0" applyAlignment="1" applyFont="1" applyNumberFormat="1">
      <alignment readingOrder="0"/>
    </xf>
    <xf borderId="0" fillId="2" fontId="13" numFmtId="167" xfId="0" applyAlignment="1" applyFont="1" applyNumberFormat="1">
      <alignment horizontal="center" vertical="bottom"/>
    </xf>
    <xf borderId="0" fillId="2" fontId="13" numFmtId="10" xfId="0" applyAlignment="1" applyFont="1" applyNumberFormat="1">
      <alignment horizontal="center" vertical="bottom"/>
    </xf>
    <xf borderId="0" fillId="2" fontId="13" numFmtId="0" xfId="0" applyAlignment="1" applyFont="1">
      <alignment horizontal="center" vertical="bottom"/>
    </xf>
    <xf borderId="0" fillId="10" fontId="3" numFmtId="167" xfId="0" applyAlignment="1" applyFill="1" applyFont="1" applyNumberFormat="1">
      <alignment horizontal="center" vertical="bottom"/>
    </xf>
    <xf borderId="0" fillId="10" fontId="3" numFmtId="10" xfId="0" applyAlignment="1" applyFont="1" applyNumberFormat="1">
      <alignment horizontal="center" vertical="bottom"/>
    </xf>
    <xf borderId="0" fillId="11" fontId="3" numFmtId="167" xfId="0" applyAlignment="1" applyFill="1" applyFont="1" applyNumberFormat="1">
      <alignment horizontal="center" vertical="bottom"/>
    </xf>
    <xf borderId="0" fillId="12" fontId="3" numFmtId="167" xfId="0" applyAlignment="1" applyFill="1" applyFont="1" applyNumberFormat="1">
      <alignment horizontal="center" vertical="bottom"/>
    </xf>
    <xf borderId="0" fillId="13" fontId="3" numFmtId="167" xfId="0" applyAlignment="1" applyFill="1" applyFont="1" applyNumberFormat="1">
      <alignment horizontal="center" vertical="bottom"/>
    </xf>
    <xf borderId="0" fillId="14" fontId="3" numFmtId="167" xfId="0" applyAlignment="1" applyFill="1" applyFont="1" applyNumberFormat="1">
      <alignment horizontal="center" vertical="bottom"/>
    </xf>
    <xf borderId="0" fillId="15" fontId="3" numFmtId="167" xfId="0" applyAlignment="1" applyFill="1" applyFont="1" applyNumberFormat="1">
      <alignment horizontal="center" vertical="bottom"/>
    </xf>
    <xf borderId="0" fillId="16" fontId="3" numFmtId="167" xfId="0" applyAlignment="1" applyFill="1" applyFont="1" applyNumberFormat="1">
      <alignment horizontal="center" vertical="bottom"/>
    </xf>
    <xf borderId="0" fillId="17" fontId="3" numFmtId="10" xfId="0" applyAlignment="1" applyFill="1" applyFont="1" applyNumberFormat="1">
      <alignment horizontal="center" vertical="bottom"/>
    </xf>
    <xf borderId="0" fillId="18" fontId="3" numFmtId="167" xfId="0" applyAlignment="1" applyFill="1" applyFont="1" applyNumberFormat="1">
      <alignment horizontal="center" vertical="bottom"/>
    </xf>
    <xf borderId="0" fillId="19" fontId="3" numFmtId="167" xfId="0" applyAlignment="1" applyFill="1" applyFont="1" applyNumberFormat="1">
      <alignment horizontal="center" vertical="bottom"/>
    </xf>
    <xf borderId="0" fillId="20" fontId="3" numFmtId="10" xfId="0" applyAlignment="1" applyFill="1" applyFont="1" applyNumberFormat="1">
      <alignment horizontal="center" vertical="bottom"/>
    </xf>
    <xf borderId="0" fillId="21" fontId="3" numFmtId="167" xfId="0" applyAlignment="1" applyFill="1" applyFont="1" applyNumberFormat="1">
      <alignment horizontal="center" vertical="bottom"/>
    </xf>
    <xf borderId="0" fillId="20" fontId="3" numFmtId="167" xfId="0" applyAlignment="1" applyFont="1" applyNumberFormat="1">
      <alignment horizontal="center" vertical="bottom"/>
    </xf>
    <xf borderId="0" fillId="22" fontId="3" numFmtId="167" xfId="0" applyAlignment="1" applyFill="1" applyFont="1" applyNumberFormat="1">
      <alignment horizontal="center" vertical="bottom"/>
    </xf>
    <xf borderId="0" fillId="23" fontId="3" numFmtId="10" xfId="0" applyAlignment="1" applyFill="1" applyFont="1" applyNumberFormat="1">
      <alignment horizontal="center" vertical="bottom"/>
    </xf>
    <xf borderId="0" fillId="24" fontId="3" numFmtId="167" xfId="0" applyAlignment="1" applyFill="1" applyFont="1" applyNumberFormat="1">
      <alignment horizontal="center" vertical="bottom"/>
    </xf>
    <xf borderId="0" fillId="25" fontId="3" numFmtId="167" xfId="0" applyAlignment="1" applyFill="1" applyFont="1" applyNumberFormat="1">
      <alignment horizontal="center" vertical="bottom"/>
    </xf>
    <xf borderId="0" fillId="26" fontId="3" numFmtId="10" xfId="0" applyAlignment="1" applyFill="1" applyFont="1" applyNumberFormat="1">
      <alignment horizontal="center" vertical="bottom"/>
    </xf>
    <xf borderId="0" fillId="27" fontId="3" numFmtId="167" xfId="0" applyAlignment="1" applyFill="1" applyFont="1" applyNumberFormat="1">
      <alignment horizontal="center" vertical="bottom"/>
    </xf>
    <xf borderId="0" fillId="28" fontId="3" numFmtId="167" xfId="0" applyAlignment="1" applyFill="1" applyFont="1" applyNumberFormat="1">
      <alignment horizontal="center" vertical="bottom"/>
    </xf>
    <xf borderId="0" fillId="29" fontId="3" numFmtId="167" xfId="0" applyAlignment="1" applyFill="1" applyFont="1" applyNumberFormat="1">
      <alignment horizontal="center" vertical="bottom"/>
    </xf>
    <xf borderId="0" fillId="30" fontId="3" numFmtId="167" xfId="0" applyAlignment="1" applyFill="1" applyFont="1" applyNumberFormat="1">
      <alignment horizontal="center" vertical="bottom"/>
    </xf>
    <xf borderId="0" fillId="31" fontId="3" numFmtId="10" xfId="0" applyAlignment="1" applyFill="1" applyFont="1" applyNumberFormat="1">
      <alignment horizontal="center" vertical="bottom"/>
    </xf>
    <xf borderId="0" fillId="32" fontId="3" numFmtId="167" xfId="0" applyAlignment="1" applyFill="1" applyFont="1" applyNumberFormat="1">
      <alignment horizontal="center" vertical="bottom"/>
    </xf>
    <xf borderId="0" fillId="33" fontId="3" numFmtId="167" xfId="0" applyAlignment="1" applyFill="1" applyFont="1" applyNumberFormat="1">
      <alignment horizontal="center" vertical="bottom"/>
    </xf>
    <xf borderId="0" fillId="34" fontId="3" numFmtId="167" xfId="0" applyAlignment="1" applyFill="1" applyFont="1" applyNumberFormat="1">
      <alignment horizontal="center" vertical="bottom"/>
    </xf>
    <xf borderId="0" fillId="35" fontId="3" numFmtId="10" xfId="0" applyAlignment="1" applyFill="1" applyFont="1" applyNumberFormat="1">
      <alignment horizontal="center" vertical="bottom"/>
    </xf>
    <xf borderId="0" fillId="36" fontId="3" numFmtId="167" xfId="0" applyAlignment="1" applyFill="1" applyFont="1" applyNumberFormat="1">
      <alignment horizontal="center" vertical="bottom"/>
    </xf>
    <xf borderId="0" fillId="37" fontId="3" numFmtId="167" xfId="0" applyAlignment="1" applyFill="1" applyFont="1" applyNumberFormat="1">
      <alignment horizontal="center" vertical="bottom"/>
    </xf>
    <xf borderId="0" fillId="38" fontId="3" numFmtId="10" xfId="0" applyAlignment="1" applyFill="1" applyFont="1" applyNumberFormat="1">
      <alignment horizontal="center" vertical="bottom"/>
    </xf>
    <xf borderId="0" fillId="39" fontId="3" numFmtId="167" xfId="0" applyAlignment="1" applyFill="1" applyFont="1" applyNumberFormat="1">
      <alignment horizontal="center" vertical="bottom"/>
    </xf>
    <xf borderId="0" fillId="40" fontId="3" numFmtId="10" xfId="0" applyAlignment="1" applyFill="1" applyFont="1" applyNumberFormat="1">
      <alignment horizontal="center" vertical="bottom"/>
    </xf>
    <xf borderId="0" fillId="41" fontId="3" numFmtId="167" xfId="0" applyAlignment="1" applyFill="1" applyFont="1" applyNumberFormat="1">
      <alignment horizontal="center" vertical="bottom"/>
    </xf>
    <xf borderId="0" fillId="42" fontId="3" numFmtId="167" xfId="0" applyAlignment="1" applyFill="1" applyFont="1" applyNumberFormat="1">
      <alignment horizontal="center" vertical="bottom"/>
    </xf>
    <xf borderId="0" fillId="43" fontId="3" numFmtId="10" xfId="0" applyAlignment="1" applyFill="1" applyFont="1" applyNumberFormat="1">
      <alignment horizontal="center" vertical="bottom"/>
    </xf>
    <xf borderId="0" fillId="44" fontId="3" numFmtId="167" xfId="0" applyAlignment="1" applyFill="1" applyFont="1" applyNumberFormat="1">
      <alignment horizontal="center" vertical="bottom"/>
    </xf>
    <xf borderId="0" fillId="45" fontId="3" numFmtId="167" xfId="0" applyAlignment="1" applyFill="1" applyFont="1" applyNumberFormat="1">
      <alignment horizontal="center" vertical="bottom"/>
    </xf>
    <xf borderId="0" fillId="46" fontId="3" numFmtId="167" xfId="0" applyAlignment="1" applyFill="1" applyFont="1" applyNumberFormat="1">
      <alignment horizontal="center" vertical="bottom"/>
    </xf>
    <xf borderId="0" fillId="47" fontId="3" numFmtId="167" xfId="0" applyAlignment="1" applyFill="1" applyFont="1" applyNumberFormat="1">
      <alignment horizontal="center" vertical="bottom"/>
    </xf>
    <xf borderId="0" fillId="19" fontId="3" numFmtId="10" xfId="0" applyAlignment="1" applyFont="1" applyNumberFormat="1">
      <alignment horizontal="center" vertical="bottom"/>
    </xf>
    <xf borderId="0" fillId="23" fontId="3" numFmtId="167" xfId="0" applyAlignment="1" applyFont="1" applyNumberFormat="1">
      <alignment horizontal="center" vertical="bottom"/>
    </xf>
    <xf borderId="0" fillId="48" fontId="3" numFmtId="167" xfId="0" applyAlignment="1" applyFill="1" applyFont="1" applyNumberFormat="1">
      <alignment horizontal="center" vertical="bottom"/>
    </xf>
    <xf borderId="0" fillId="49" fontId="3" numFmtId="10" xfId="0" applyAlignment="1" applyFill="1" applyFont="1" applyNumberFormat="1">
      <alignment horizontal="center" vertical="bottom"/>
    </xf>
    <xf borderId="0" fillId="50" fontId="3" numFmtId="167" xfId="0" applyAlignment="1" applyFill="1" applyFont="1" applyNumberFormat="1">
      <alignment horizontal="center" vertical="bottom"/>
    </xf>
    <xf borderId="0" fillId="51" fontId="3" numFmtId="167" xfId="0" applyAlignment="1" applyFill="1" applyFont="1" applyNumberFormat="1">
      <alignment horizontal="center" vertical="bottom"/>
    </xf>
    <xf borderId="0" fillId="52" fontId="3" numFmtId="167" xfId="0" applyAlignment="1" applyFill="1" applyFont="1" applyNumberFormat="1">
      <alignment horizontal="center" vertical="bottom"/>
    </xf>
    <xf borderId="0" fillId="27" fontId="3" numFmtId="10" xfId="0" applyAlignment="1" applyFont="1" applyNumberFormat="1">
      <alignment horizontal="center" vertical="bottom"/>
    </xf>
    <xf borderId="0" fillId="53" fontId="3" numFmtId="167" xfId="0" applyAlignment="1" applyFill="1" applyFont="1" applyNumberFormat="1">
      <alignment horizontal="center" vertical="bottom"/>
    </xf>
    <xf borderId="0" fillId="54" fontId="3" numFmtId="10" xfId="0" applyAlignment="1" applyFill="1" applyFont="1" applyNumberFormat="1">
      <alignment horizontal="center" vertical="bottom"/>
    </xf>
    <xf borderId="0" fillId="55" fontId="3" numFmtId="167" xfId="0" applyAlignment="1" applyFill="1" applyFont="1" applyNumberFormat="1">
      <alignment horizontal="center" vertical="bottom"/>
    </xf>
    <xf borderId="0" fillId="56" fontId="3" numFmtId="167" xfId="0" applyAlignment="1" applyFill="1" applyFont="1" applyNumberFormat="1">
      <alignment horizontal="center" vertical="bottom"/>
    </xf>
    <xf borderId="0" fillId="25" fontId="3" numFmtId="10" xfId="0" applyAlignment="1" applyFont="1" applyNumberFormat="1">
      <alignment horizontal="center" vertical="bottom"/>
    </xf>
    <xf borderId="0" fillId="57" fontId="3" numFmtId="167" xfId="0" applyAlignment="1" applyFill="1" applyFont="1" applyNumberFormat="1">
      <alignment horizontal="center" vertical="bottom"/>
    </xf>
    <xf borderId="0" fillId="58" fontId="3" numFmtId="167" xfId="0" applyAlignment="1" applyFill="1" applyFont="1" applyNumberFormat="1">
      <alignment horizontal="center" vertical="bottom"/>
    </xf>
    <xf borderId="0" fillId="59" fontId="3" numFmtId="167" xfId="0" applyAlignment="1" applyFill="1" applyFont="1" applyNumberFormat="1">
      <alignment horizontal="center" vertical="bottom"/>
    </xf>
    <xf borderId="0" fillId="60" fontId="3" numFmtId="167" xfId="0" applyAlignment="1" applyFill="1" applyFont="1" applyNumberFormat="1">
      <alignment horizontal="center" vertical="bottom"/>
    </xf>
    <xf borderId="0" fillId="61" fontId="3" numFmtId="167" xfId="0" applyAlignment="1" applyFill="1" applyFont="1" applyNumberFormat="1">
      <alignment horizontal="center" vertical="bottom"/>
    </xf>
    <xf borderId="0" fillId="62" fontId="3" numFmtId="10" xfId="0" applyAlignment="1" applyFill="1" applyFont="1" applyNumberFormat="1">
      <alignment horizontal="center" vertical="bottom"/>
    </xf>
    <xf borderId="0" fillId="63" fontId="3" numFmtId="167" xfId="0" applyAlignment="1" applyFill="1" applyFont="1" applyNumberFormat="1">
      <alignment horizontal="center" vertical="bottom"/>
    </xf>
    <xf borderId="0" fillId="64" fontId="3" numFmtId="10" xfId="0" applyAlignment="1" applyFill="1" applyFont="1" applyNumberFormat="1">
      <alignment horizontal="center" vertical="bottom"/>
    </xf>
    <xf borderId="0" fillId="65" fontId="3" numFmtId="167" xfId="0" applyAlignment="1" applyFill="1" applyFont="1" applyNumberFormat="1">
      <alignment horizontal="center" vertical="bottom"/>
    </xf>
    <xf borderId="0" fillId="66" fontId="3" numFmtId="167" xfId="0" applyAlignment="1" applyFill="1" applyFont="1" applyNumberFormat="1">
      <alignment horizontal="center" vertical="bottom"/>
    </xf>
    <xf borderId="0" fillId="67" fontId="3" numFmtId="167" xfId="0" applyAlignment="1" applyFill="1" applyFont="1" applyNumberFormat="1">
      <alignment horizontal="center" vertical="bottom"/>
    </xf>
    <xf borderId="0" fillId="44" fontId="3" numFmtId="10" xfId="0" applyAlignment="1" applyFont="1" applyNumberFormat="1">
      <alignment horizontal="center" vertical="bottom"/>
    </xf>
    <xf borderId="0" fillId="68" fontId="3" numFmtId="167" xfId="0" applyAlignment="1" applyFill="1" applyFont="1" applyNumberFormat="1">
      <alignment horizontal="center" vertical="bottom"/>
    </xf>
    <xf borderId="0" fillId="69" fontId="3" numFmtId="167" xfId="0" applyAlignment="1" applyFill="1" applyFont="1" applyNumberFormat="1">
      <alignment horizontal="center" vertical="bottom"/>
    </xf>
    <xf borderId="0" fillId="70" fontId="3" numFmtId="167" xfId="0" applyAlignment="1" applyFill="1" applyFont="1" applyNumberFormat="1">
      <alignment horizontal="center" vertical="bottom"/>
    </xf>
    <xf borderId="0" fillId="71" fontId="3" numFmtId="167" xfId="0" applyAlignment="1" applyFill="1" applyFont="1" applyNumberFormat="1">
      <alignment horizontal="center" vertical="bottom"/>
    </xf>
    <xf borderId="0" fillId="64" fontId="3" numFmtId="167" xfId="0" applyAlignment="1" applyFont="1" applyNumberFormat="1">
      <alignment horizontal="center" vertical="bottom"/>
    </xf>
    <xf borderId="0" fillId="72" fontId="3" numFmtId="167" xfId="0" applyAlignment="1" applyFill="1" applyFont="1" applyNumberFormat="1">
      <alignment horizontal="center" vertical="bottom"/>
    </xf>
    <xf borderId="0" fillId="73" fontId="3" numFmtId="167" xfId="0" applyAlignment="1" applyFill="1" applyFont="1" applyNumberFormat="1">
      <alignment horizontal="center" vertical="bottom"/>
    </xf>
    <xf borderId="0" fillId="74" fontId="3" numFmtId="10" xfId="0" applyAlignment="1" applyFill="1" applyFont="1" applyNumberFormat="1">
      <alignment horizontal="center" vertical="bottom"/>
    </xf>
    <xf borderId="0" fillId="75" fontId="3" numFmtId="167" xfId="0" applyAlignment="1" applyFill="1" applyFont="1" applyNumberFormat="1">
      <alignment horizontal="center" vertical="bottom"/>
    </xf>
    <xf borderId="0" fillId="76" fontId="3" numFmtId="10" xfId="0" applyAlignment="1" applyFill="1" applyFont="1" applyNumberFormat="1">
      <alignment horizontal="center" vertical="bottom"/>
    </xf>
    <xf borderId="0" fillId="77" fontId="3" numFmtId="167" xfId="0" applyAlignment="1" applyFill="1" applyFont="1" applyNumberFormat="1">
      <alignment horizontal="center" vertical="bottom"/>
    </xf>
    <xf borderId="0" fillId="78" fontId="3" numFmtId="167" xfId="0" applyAlignment="1" applyFill="1" applyFont="1" applyNumberFormat="1">
      <alignment horizontal="center" vertical="bottom"/>
    </xf>
    <xf borderId="0" fillId="79" fontId="3" numFmtId="167" xfId="0" applyAlignment="1" applyFill="1" applyFont="1" applyNumberFormat="1">
      <alignment horizontal="center" vertical="bottom"/>
    </xf>
    <xf borderId="0" fillId="80" fontId="3" numFmtId="167" xfId="0" applyAlignment="1" applyFill="1" applyFont="1" applyNumberFormat="1">
      <alignment horizontal="center" vertical="bottom"/>
    </xf>
    <xf borderId="0" fillId="81" fontId="3" numFmtId="10" xfId="0" applyAlignment="1" applyFill="1" applyFont="1" applyNumberFormat="1">
      <alignment horizontal="center" vertical="bottom"/>
    </xf>
    <xf borderId="0" fillId="82" fontId="3" numFmtId="167" xfId="0" applyAlignment="1" applyFill="1" applyFont="1" applyNumberFormat="1">
      <alignment horizontal="center" vertical="bottom"/>
    </xf>
    <xf borderId="0" fillId="81" fontId="3" numFmtId="167" xfId="0" applyAlignment="1" applyFont="1" applyNumberFormat="1">
      <alignment horizontal="center" vertical="bottom"/>
    </xf>
    <xf borderId="0" fillId="83" fontId="3" numFmtId="167" xfId="0" applyAlignment="1" applyFill="1" applyFont="1" applyNumberFormat="1">
      <alignment horizontal="center" vertical="bottom"/>
    </xf>
    <xf borderId="0" fillId="84" fontId="3" numFmtId="167" xfId="0" applyAlignment="1" applyFill="1" applyFont="1" applyNumberFormat="1">
      <alignment horizontal="center" vertical="bottom"/>
    </xf>
    <xf borderId="0" fillId="13" fontId="3" numFmtId="10" xfId="0" applyAlignment="1" applyFont="1" applyNumberFormat="1">
      <alignment horizontal="center" vertical="bottom"/>
    </xf>
    <xf borderId="0" fillId="85" fontId="3" numFmtId="167" xfId="0" applyAlignment="1" applyFill="1" applyFont="1" applyNumberFormat="1">
      <alignment horizontal="center" vertical="bottom"/>
    </xf>
    <xf borderId="0" fillId="86" fontId="3" numFmtId="167" xfId="0" applyAlignment="1" applyFill="1" applyFont="1" applyNumberFormat="1">
      <alignment horizontal="center" vertical="bottom"/>
    </xf>
    <xf borderId="0" fillId="87" fontId="3" numFmtId="10" xfId="0" applyAlignment="1" applyFill="1" applyFont="1" applyNumberFormat="1">
      <alignment horizontal="center" vertical="bottom"/>
    </xf>
    <xf borderId="0" fillId="88" fontId="3" numFmtId="167" xfId="0" applyAlignment="1" applyFill="1" applyFont="1" applyNumberFormat="1">
      <alignment horizontal="center" vertical="bottom"/>
    </xf>
    <xf borderId="0" fillId="89" fontId="3" numFmtId="167" xfId="0" applyAlignment="1" applyFill="1" applyFont="1" applyNumberFormat="1">
      <alignment horizontal="center" vertical="bottom"/>
    </xf>
    <xf borderId="0" fillId="90" fontId="3" numFmtId="167" xfId="0" applyAlignment="1" applyFill="1" applyFont="1" applyNumberFormat="1">
      <alignment horizontal="center" vertical="bottom"/>
    </xf>
    <xf borderId="0" fillId="91" fontId="3" numFmtId="167" xfId="0" applyAlignment="1" applyFill="1" applyFont="1" applyNumberFormat="1">
      <alignment horizontal="center" vertical="bottom"/>
    </xf>
    <xf borderId="0" fillId="92" fontId="3" numFmtId="167" xfId="0" applyAlignment="1" applyFill="1" applyFont="1" applyNumberFormat="1">
      <alignment horizontal="center" vertical="bottom"/>
    </xf>
    <xf borderId="0" fillId="35" fontId="3" numFmtId="167" xfId="0" applyAlignment="1" applyFont="1" applyNumberFormat="1">
      <alignment horizontal="center" vertical="bottom"/>
    </xf>
    <xf borderId="0" fillId="38" fontId="3" numFmtId="167" xfId="0" applyAlignment="1" applyFont="1" applyNumberFormat="1">
      <alignment horizontal="center" vertical="bottom"/>
    </xf>
    <xf borderId="0" fillId="93" fontId="3" numFmtId="167" xfId="0" applyAlignment="1" applyFill="1" applyFont="1" applyNumberFormat="1">
      <alignment horizontal="center" vertical="bottom"/>
    </xf>
    <xf borderId="0" fillId="94" fontId="3" numFmtId="10" xfId="0" applyAlignment="1" applyFill="1" applyFont="1" applyNumberFormat="1">
      <alignment horizontal="center" vertical="bottom"/>
    </xf>
    <xf borderId="0" fillId="95" fontId="3" numFmtId="167" xfId="0" applyAlignment="1" applyFill="1" applyFont="1" applyNumberFormat="1">
      <alignment horizontal="center" vertical="bottom"/>
    </xf>
    <xf borderId="0" fillId="96" fontId="3" numFmtId="167" xfId="0" applyAlignment="1" applyFill="1" applyFont="1" applyNumberFormat="1">
      <alignment horizontal="center" vertical="bottom"/>
    </xf>
    <xf borderId="0" fillId="97" fontId="3" numFmtId="167" xfId="0" applyAlignment="1" applyFill="1" applyFont="1" applyNumberFormat="1">
      <alignment horizontal="center" vertical="bottom"/>
    </xf>
    <xf borderId="0" fillId="98" fontId="3" numFmtId="167" xfId="0" applyAlignment="1" applyFill="1" applyFont="1" applyNumberFormat="1">
      <alignment horizontal="center" vertical="bottom"/>
    </xf>
    <xf borderId="0" fillId="99" fontId="3" numFmtId="167" xfId="0" applyAlignment="1" applyFill="1" applyFont="1" applyNumberFormat="1">
      <alignment horizontal="center" vertical="bottom"/>
    </xf>
    <xf borderId="0" fillId="100" fontId="3" numFmtId="167" xfId="0" applyAlignment="1" applyFill="1" applyFont="1" applyNumberFormat="1">
      <alignment horizontal="center" vertical="bottom"/>
    </xf>
    <xf borderId="0" fillId="101" fontId="3" numFmtId="167" xfId="0" applyAlignment="1" applyFill="1" applyFont="1" applyNumberFormat="1">
      <alignment horizontal="center" vertical="bottom"/>
    </xf>
    <xf borderId="0" fillId="102" fontId="3" numFmtId="167" xfId="0" applyAlignment="1" applyFill="1" applyFont="1" applyNumberFormat="1">
      <alignment horizontal="center" vertical="bottom"/>
    </xf>
    <xf borderId="0" fillId="103" fontId="3" numFmtId="167" xfId="0" applyAlignment="1" applyFill="1" applyFont="1" applyNumberFormat="1">
      <alignment horizontal="center" vertical="bottom"/>
    </xf>
    <xf borderId="0" fillId="104" fontId="3" numFmtId="167" xfId="0" applyAlignment="1" applyFill="1" applyFont="1" applyNumberFormat="1">
      <alignment horizontal="center" vertical="bottom"/>
    </xf>
    <xf borderId="0" fillId="105" fontId="3" numFmtId="167" xfId="0" applyAlignment="1" applyFill="1" applyFont="1" applyNumberFormat="1">
      <alignment horizontal="center" vertical="bottom"/>
    </xf>
    <xf borderId="0" fillId="106" fontId="3" numFmtId="167" xfId="0" applyAlignment="1" applyFill="1" applyFont="1" applyNumberFormat="1">
      <alignment horizontal="center" vertical="bottom"/>
    </xf>
    <xf borderId="0" fillId="16" fontId="3" numFmtId="10" xfId="0" applyAlignment="1" applyFont="1" applyNumberFormat="1">
      <alignment horizontal="center" vertical="bottom"/>
    </xf>
    <xf borderId="0" fillId="107" fontId="3" numFmtId="167" xfId="0" applyAlignment="1" applyFill="1" applyFont="1" applyNumberFormat="1">
      <alignment horizontal="center" vertical="bottom"/>
    </xf>
    <xf borderId="0" fillId="108" fontId="3" numFmtId="167" xfId="0" applyAlignment="1" applyFill="1" applyFont="1" applyNumberFormat="1">
      <alignment horizontal="center" vertical="bottom"/>
    </xf>
    <xf borderId="0" fillId="109" fontId="3" numFmtId="167" xfId="0" applyAlignment="1" applyFill="1" applyFont="1" applyNumberFormat="1">
      <alignment horizontal="center" vertical="bottom"/>
    </xf>
    <xf borderId="0" fillId="110" fontId="3" numFmtId="167" xfId="0" applyAlignment="1" applyFill="1" applyFont="1" applyNumberFormat="1">
      <alignment horizontal="center" vertical="bottom"/>
    </xf>
    <xf borderId="0" fillId="111" fontId="3" numFmtId="10" xfId="0" applyAlignment="1" applyFill="1" applyFont="1" applyNumberFormat="1">
      <alignment horizontal="center" vertical="bottom"/>
    </xf>
    <xf borderId="0" fillId="112" fontId="3" numFmtId="167" xfId="0" applyAlignment="1" applyFill="1" applyFont="1" applyNumberFormat="1">
      <alignment horizontal="center" vertical="bottom"/>
    </xf>
    <xf borderId="0" fillId="113" fontId="3" numFmtId="167" xfId="0" applyAlignment="1" applyFill="1" applyFont="1" applyNumberFormat="1">
      <alignment horizontal="center" vertical="bottom"/>
    </xf>
    <xf borderId="0" fillId="114" fontId="3" numFmtId="10" xfId="0" applyAlignment="1" applyFill="1" applyFont="1" applyNumberFormat="1">
      <alignment horizontal="center" vertical="bottom"/>
    </xf>
    <xf borderId="0" fillId="115" fontId="3" numFmtId="167" xfId="0" applyAlignment="1" applyFill="1" applyFont="1" applyNumberFormat="1">
      <alignment horizontal="center" vertical="bottom"/>
    </xf>
    <xf borderId="0" fillId="116" fontId="3" numFmtId="167" xfId="0" applyAlignment="1" applyFill="1" applyFont="1" applyNumberFormat="1">
      <alignment horizontal="center" vertical="bottom"/>
    </xf>
    <xf borderId="0" fillId="117" fontId="3" numFmtId="167" xfId="0" applyAlignment="1" applyFill="1" applyFont="1" applyNumberFormat="1">
      <alignment horizontal="center" vertical="bottom"/>
    </xf>
    <xf borderId="0" fillId="46" fontId="3" numFmtId="10" xfId="0" applyAlignment="1" applyFont="1" applyNumberFormat="1">
      <alignment horizontal="center" vertical="bottom"/>
    </xf>
    <xf borderId="0" fillId="118" fontId="3" numFmtId="167" xfId="0" applyAlignment="1" applyFill="1" applyFont="1" applyNumberFormat="1">
      <alignment horizontal="center" vertical="bottom"/>
    </xf>
    <xf borderId="0" fillId="119" fontId="3" numFmtId="167" xfId="0" applyAlignment="1" applyFill="1" applyFont="1" applyNumberFormat="1">
      <alignment horizontal="center" vertical="bottom"/>
    </xf>
    <xf borderId="0" fillId="42" fontId="3" numFmtId="10" xfId="0" applyAlignment="1" applyFont="1" applyNumberFormat="1">
      <alignment horizontal="center" vertical="bottom"/>
    </xf>
    <xf borderId="0" fillId="120" fontId="3" numFmtId="167" xfId="0" applyAlignment="1" applyFill="1" applyFont="1" applyNumberFormat="1">
      <alignment horizontal="center" vertical="bottom"/>
    </xf>
    <xf borderId="0" fillId="121" fontId="3" numFmtId="167" xfId="0" applyAlignment="1" applyFill="1" applyFont="1" applyNumberFormat="1">
      <alignment horizontal="center" vertical="bottom"/>
    </xf>
    <xf borderId="0" fillId="122" fontId="3" numFmtId="167" xfId="0" applyAlignment="1" applyFill="1" applyFont="1" applyNumberFormat="1">
      <alignment horizontal="center" vertical="bottom"/>
    </xf>
    <xf borderId="0" fillId="123" fontId="3" numFmtId="167" xfId="0" applyAlignment="1" applyFill="1" applyFont="1" applyNumberFormat="1">
      <alignment horizontal="center" vertical="bottom"/>
    </xf>
    <xf borderId="0" fillId="3" fontId="3" numFmtId="167" xfId="0" applyAlignment="1" applyFont="1" applyNumberFormat="1">
      <alignment horizontal="center" vertical="bottom"/>
    </xf>
    <xf borderId="0" fillId="33" fontId="3" numFmtId="10" xfId="0" applyAlignment="1" applyFont="1" applyNumberFormat="1">
      <alignment horizontal="center" vertical="bottom"/>
    </xf>
    <xf borderId="0" fillId="124" fontId="3" numFmtId="167" xfId="0" applyAlignment="1" applyFill="1" applyFont="1" applyNumberFormat="1">
      <alignment horizontal="center" vertical="bottom"/>
    </xf>
    <xf borderId="0" fillId="125" fontId="3" numFmtId="167" xfId="0" applyAlignment="1" applyFill="1" applyFont="1" applyNumberFormat="1">
      <alignment horizontal="center" vertical="bottom"/>
    </xf>
    <xf borderId="0" fillId="126" fontId="3" numFmtId="10" xfId="0" applyAlignment="1" applyFill="1" applyFont="1" applyNumberFormat="1">
      <alignment horizontal="center" vertical="bottom"/>
    </xf>
    <xf borderId="0" fillId="127" fontId="3" numFmtId="167" xfId="0" applyAlignment="1" applyFill="1" applyFont="1" applyNumberFormat="1">
      <alignment horizontal="center" vertical="bottom"/>
    </xf>
    <xf borderId="0" fillId="74" fontId="3" numFmtId="167" xfId="0" applyAlignment="1" applyFont="1" applyNumberFormat="1">
      <alignment horizontal="center" vertical="bottom"/>
    </xf>
    <xf borderId="0" fillId="128" fontId="3" numFmtId="10" xfId="0" applyAlignment="1" applyFill="1" applyFont="1" applyNumberFormat="1">
      <alignment horizontal="center" vertical="bottom"/>
    </xf>
    <xf borderId="0" fillId="129" fontId="3" numFmtId="167" xfId="0" applyAlignment="1" applyFill="1" applyFont="1" applyNumberFormat="1">
      <alignment horizontal="center" vertical="bottom"/>
    </xf>
    <xf borderId="0" fillId="130" fontId="3" numFmtId="167" xfId="0" applyAlignment="1" applyFill="1" applyFont="1" applyNumberFormat="1">
      <alignment horizontal="center" vertical="bottom"/>
    </xf>
    <xf borderId="0" fillId="131" fontId="3" numFmtId="167" xfId="0" applyAlignment="1" applyFill="1" applyFont="1" applyNumberFormat="1">
      <alignment horizontal="center" vertical="bottom"/>
    </xf>
    <xf borderId="0" fillId="132" fontId="3" numFmtId="167" xfId="0" applyAlignment="1" applyFill="1" applyFont="1" applyNumberFormat="1">
      <alignment horizontal="center" vertical="bottom"/>
    </xf>
    <xf borderId="0" fillId="133" fontId="3" numFmtId="167" xfId="0" applyAlignment="1" applyFill="1" applyFont="1" applyNumberFormat="1">
      <alignment horizontal="center" vertical="bottom"/>
    </xf>
    <xf borderId="0" fillId="134" fontId="3" numFmtId="10" xfId="0" applyAlignment="1" applyFill="1" applyFont="1" applyNumberFormat="1">
      <alignment horizontal="center" vertical="bottom"/>
    </xf>
    <xf borderId="0" fillId="54" fontId="3" numFmtId="167" xfId="0" applyAlignment="1" applyFont="1" applyNumberFormat="1">
      <alignment horizontal="center" vertical="bottom"/>
    </xf>
    <xf borderId="0" fillId="135" fontId="3" numFmtId="167" xfId="0" applyAlignment="1" applyFill="1" applyFont="1" applyNumberFormat="1">
      <alignment horizontal="center" vertical="bottom"/>
    </xf>
    <xf borderId="0" fillId="136" fontId="3" numFmtId="167" xfId="0" applyAlignment="1" applyFill="1" applyFont="1" applyNumberFormat="1">
      <alignment horizontal="center" vertical="bottom"/>
    </xf>
    <xf borderId="0" fillId="137" fontId="3" numFmtId="10" xfId="0" applyAlignment="1" applyFill="1" applyFont="1" applyNumberFormat="1">
      <alignment horizontal="center" vertical="bottom"/>
    </xf>
    <xf borderId="0" fillId="138" fontId="3" numFmtId="167" xfId="0" applyAlignment="1" applyFill="1" applyFont="1" applyNumberFormat="1">
      <alignment horizontal="center" vertical="bottom"/>
    </xf>
    <xf borderId="0" fillId="139" fontId="3" numFmtId="167" xfId="0" applyAlignment="1" applyFill="1" applyFont="1" applyNumberFormat="1">
      <alignment horizontal="center" vertical="bottom"/>
    </xf>
    <xf borderId="0" fillId="140" fontId="3" numFmtId="167" xfId="0" applyAlignment="1" applyFill="1" applyFont="1" applyNumberFormat="1">
      <alignment horizontal="center" vertical="bottom"/>
    </xf>
    <xf borderId="0" fillId="83" fontId="3" numFmtId="10" xfId="0" applyAlignment="1" applyFont="1" applyNumberFormat="1">
      <alignment horizontal="center" vertical="bottom"/>
    </xf>
    <xf borderId="0" fillId="141" fontId="3" numFmtId="167" xfId="0" applyAlignment="1" applyFill="1" applyFont="1" applyNumberFormat="1">
      <alignment horizontal="center" vertical="bottom"/>
    </xf>
    <xf borderId="0" fillId="142" fontId="3" numFmtId="10" xfId="0" applyAlignment="1" applyFill="1" applyFont="1" applyNumberFormat="1">
      <alignment horizontal="center" vertical="bottom"/>
    </xf>
    <xf borderId="0" fillId="143" fontId="3" numFmtId="167" xfId="0" applyAlignment="1" applyFill="1" applyFont="1" applyNumberFormat="1">
      <alignment horizontal="center" vertical="bottom"/>
    </xf>
    <xf borderId="0" fillId="144" fontId="3" numFmtId="167" xfId="0" applyAlignment="1" applyFill="1" applyFont="1" applyNumberFormat="1">
      <alignment horizontal="center" vertical="bottom"/>
    </xf>
    <xf borderId="0" fillId="113" fontId="3" numFmtId="10" xfId="0" applyAlignment="1" applyFont="1" applyNumberFormat="1">
      <alignment horizontal="center" vertical="bottom"/>
    </xf>
    <xf borderId="0" fillId="145" fontId="3" numFmtId="167" xfId="0" applyAlignment="1" applyFill="1" applyFont="1" applyNumberFormat="1">
      <alignment horizontal="center" vertical="bottom"/>
    </xf>
    <xf borderId="0" fillId="146" fontId="3" numFmtId="167" xfId="0" applyAlignment="1" applyFill="1" applyFont="1" applyNumberFormat="1">
      <alignment horizontal="center" vertical="bottom"/>
    </xf>
    <xf borderId="0" fillId="147" fontId="3" numFmtId="10" xfId="0" applyAlignment="1" applyFill="1" applyFont="1" applyNumberFormat="1">
      <alignment horizontal="center" vertical="bottom"/>
    </xf>
    <xf borderId="0" fillId="114" fontId="3" numFmtId="167" xfId="0" applyAlignment="1" applyFont="1" applyNumberFormat="1">
      <alignment horizontal="center" vertical="bottom"/>
    </xf>
    <xf borderId="0" fillId="148" fontId="3" numFmtId="167" xfId="0" applyAlignment="1" applyFill="1" applyFont="1" applyNumberFormat="1">
      <alignment horizontal="center" vertical="bottom"/>
    </xf>
    <xf borderId="0" fillId="79" fontId="3" numFmtId="10" xfId="0" applyAlignment="1" applyFont="1" applyNumberFormat="1">
      <alignment horizontal="center" vertical="bottom"/>
    </xf>
    <xf borderId="0" fillId="149" fontId="3" numFmtId="167" xfId="0" applyAlignment="1" applyFill="1" applyFont="1" applyNumberFormat="1">
      <alignment horizontal="center" vertical="bottom"/>
    </xf>
    <xf borderId="0" fillId="150" fontId="3" numFmtId="167" xfId="0" applyAlignment="1" applyFill="1" applyFont="1" applyNumberFormat="1">
      <alignment horizontal="center" vertical="bottom"/>
    </xf>
    <xf borderId="0" fillId="151" fontId="3" numFmtId="167" xfId="0" applyAlignment="1" applyFill="1" applyFont="1" applyNumberFormat="1">
      <alignment horizontal="center" vertical="bottom"/>
    </xf>
    <xf borderId="0" fillId="152" fontId="3" numFmtId="10" xfId="0" applyAlignment="1" applyFill="1" applyFont="1" applyNumberFormat="1">
      <alignment horizontal="center" vertical="bottom"/>
    </xf>
    <xf borderId="0" fillId="126" fontId="3" numFmtId="167" xfId="0" applyAlignment="1" applyFont="1" applyNumberFormat="1">
      <alignment horizontal="center" vertical="bottom"/>
    </xf>
    <xf borderId="0" fillId="153" fontId="3" numFmtId="10" xfId="0" applyAlignment="1" applyFill="1" applyFont="1" applyNumberFormat="1">
      <alignment horizontal="center" vertical="bottom"/>
    </xf>
    <xf borderId="0" fillId="154" fontId="3" numFmtId="167" xfId="0" applyAlignment="1" applyFill="1" applyFont="1" applyNumberFormat="1">
      <alignment horizontal="center" vertical="bottom"/>
    </xf>
    <xf borderId="0" fillId="155" fontId="3" numFmtId="167" xfId="0" applyAlignment="1" applyFill="1" applyFont="1" applyNumberFormat="1">
      <alignment horizontal="center" vertical="bottom"/>
    </xf>
    <xf borderId="0" fillId="156" fontId="3" numFmtId="167" xfId="0" applyAlignment="1" applyFill="1" applyFont="1" applyNumberFormat="1">
      <alignment horizontal="center" vertical="bottom"/>
    </xf>
    <xf borderId="0" fillId="82" fontId="3" numFmtId="10" xfId="0" applyAlignment="1" applyFont="1" applyNumberFormat="1">
      <alignment horizontal="center" vertical="bottom"/>
    </xf>
    <xf borderId="0" fillId="157" fontId="3" numFmtId="167" xfId="0" applyAlignment="1" applyFill="1" applyFont="1" applyNumberFormat="1">
      <alignment horizontal="center" vertical="bottom"/>
    </xf>
    <xf borderId="0" fillId="158" fontId="3" numFmtId="167" xfId="0" applyAlignment="1" applyFill="1" applyFont="1" applyNumberFormat="1">
      <alignment horizontal="center" vertical="bottom"/>
    </xf>
    <xf borderId="0" fillId="159" fontId="3" numFmtId="167" xfId="0" applyAlignment="1" applyFill="1" applyFont="1" applyNumberFormat="1">
      <alignment horizontal="center" vertical="bottom"/>
    </xf>
    <xf borderId="0" fillId="160" fontId="3" numFmtId="10" xfId="0" applyAlignment="1" applyFill="1" applyFont="1" applyNumberFormat="1">
      <alignment horizontal="center" vertical="bottom"/>
    </xf>
    <xf borderId="0" fillId="78" fontId="3" numFmtId="10" xfId="0" applyAlignment="1" applyFont="1" applyNumberFormat="1">
      <alignment horizontal="center" vertical="bottom"/>
    </xf>
    <xf borderId="0" fillId="161" fontId="3" numFmtId="167" xfId="0" applyAlignment="1" applyFill="1" applyFont="1" applyNumberFormat="1">
      <alignment horizontal="center" vertical="bottom"/>
    </xf>
    <xf borderId="0" fillId="162" fontId="3" numFmtId="167" xfId="0" applyAlignment="1" applyFill="1" applyFont="1" applyNumberFormat="1">
      <alignment horizontal="center" vertical="bottom"/>
    </xf>
    <xf borderId="0" fillId="163" fontId="3" numFmtId="10" xfId="0" applyAlignment="1" applyFill="1" applyFont="1" applyNumberFormat="1">
      <alignment horizontal="center" vertical="bottom"/>
    </xf>
    <xf borderId="0" fillId="94" fontId="3" numFmtId="167" xfId="0" applyAlignment="1" applyFont="1" applyNumberFormat="1">
      <alignment horizontal="center" vertical="bottom"/>
    </xf>
    <xf borderId="0" fillId="164" fontId="3" numFmtId="167" xfId="0" applyAlignment="1" applyFill="1" applyFont="1" applyNumberFormat="1">
      <alignment horizontal="center" vertical="bottom"/>
    </xf>
    <xf borderId="0" fillId="165" fontId="3" numFmtId="167" xfId="0" applyAlignment="1" applyFill="1" applyFont="1" applyNumberFormat="1">
      <alignment horizontal="center" vertical="bottom"/>
    </xf>
    <xf borderId="0" fillId="166" fontId="3" numFmtId="167" xfId="0" applyAlignment="1" applyFill="1" applyFont="1" applyNumberFormat="1">
      <alignment horizontal="center" vertical="bottom"/>
    </xf>
    <xf borderId="0" fillId="167" fontId="3" numFmtId="10" xfId="0" applyAlignment="1" applyFill="1" applyFont="1" applyNumberFormat="1">
      <alignment horizontal="center" vertical="bottom"/>
    </xf>
    <xf borderId="0" fillId="168" fontId="3" numFmtId="167" xfId="0" applyAlignment="1" applyFill="1" applyFont="1" applyNumberFormat="1">
      <alignment horizontal="center" vertical="bottom"/>
    </xf>
    <xf borderId="0" fillId="169" fontId="3" numFmtId="10" xfId="0" applyAlignment="1" applyFill="1" applyFont="1" applyNumberFormat="1">
      <alignment horizontal="center" vertical="bottom"/>
    </xf>
    <xf borderId="0" fillId="170" fontId="3" numFmtId="167" xfId="0" applyAlignment="1" applyFill="1" applyFont="1" applyNumberFormat="1">
      <alignment horizontal="center" vertical="bottom"/>
    </xf>
    <xf borderId="0" fillId="171" fontId="3" numFmtId="167" xfId="0" applyAlignment="1" applyFill="1" applyFont="1" applyNumberFormat="1">
      <alignment horizontal="center" vertical="bottom"/>
    </xf>
    <xf borderId="0" fillId="163" fontId="3" numFmtId="167" xfId="0" applyAlignment="1" applyFont="1" applyNumberFormat="1">
      <alignment horizontal="center" vertical="bottom"/>
    </xf>
    <xf borderId="0" fillId="86" fontId="3" numFmtId="10" xfId="0" applyAlignment="1" applyFont="1" applyNumberFormat="1">
      <alignment horizontal="center" vertical="bottom"/>
    </xf>
    <xf borderId="0" fillId="172" fontId="3" numFmtId="10" xfId="0" applyAlignment="1" applyFill="1" applyFont="1" applyNumberFormat="1">
      <alignment horizontal="center" vertical="bottom"/>
    </xf>
    <xf borderId="0" fillId="173" fontId="3" numFmtId="167" xfId="0" applyAlignment="1" applyFill="1" applyFont="1" applyNumberFormat="1">
      <alignment horizontal="center" vertical="bottom"/>
    </xf>
    <xf borderId="0" fillId="174" fontId="3" numFmtId="167" xfId="0" applyAlignment="1" applyFill="1" applyFont="1" applyNumberFormat="1">
      <alignment horizontal="center" vertical="bottom"/>
    </xf>
    <xf borderId="0" fillId="175" fontId="3" numFmtId="167" xfId="0" applyAlignment="1" applyFill="1" applyFont="1" applyNumberFormat="1">
      <alignment horizontal="center" vertical="bottom"/>
    </xf>
    <xf borderId="0" fillId="176" fontId="3" numFmtId="167" xfId="0" applyAlignment="1" applyFill="1" applyFont="1" applyNumberFormat="1">
      <alignment horizontal="center" vertical="bottom"/>
    </xf>
    <xf borderId="0" fillId="169" fontId="3" numFmtId="167" xfId="0" applyAlignment="1" applyFont="1" applyNumberFormat="1">
      <alignment horizontal="center" vertical="bottom"/>
    </xf>
    <xf borderId="0" fillId="177" fontId="3" numFmtId="167" xfId="0" applyAlignment="1" applyFill="1" applyFont="1" applyNumberFormat="1">
      <alignment horizontal="center" vertical="bottom"/>
    </xf>
    <xf borderId="0" fillId="178" fontId="3" numFmtId="167" xfId="0" applyAlignment="1" applyFill="1" applyFont="1" applyNumberFormat="1">
      <alignment horizontal="center" vertical="bottom"/>
    </xf>
    <xf borderId="0" fillId="179" fontId="3" numFmtId="167" xfId="0" applyAlignment="1" applyFill="1" applyFont="1" applyNumberFormat="1">
      <alignment horizontal="center" vertical="bottom"/>
    </xf>
    <xf borderId="0" fillId="180" fontId="3" numFmtId="167" xfId="0" applyAlignment="1" applyFill="1" applyFont="1" applyNumberFormat="1">
      <alignment horizontal="center" vertical="bottom"/>
    </xf>
    <xf borderId="0" fillId="181" fontId="3" numFmtId="167" xfId="0" applyAlignment="1" applyFill="1" applyFont="1" applyNumberFormat="1">
      <alignment horizontal="center" vertical="bottom"/>
    </xf>
    <xf borderId="0" fillId="182" fontId="3" numFmtId="167" xfId="0" applyAlignment="1" applyFill="1" applyFont="1" applyNumberFormat="1">
      <alignment horizontal="center" vertical="bottom"/>
    </xf>
    <xf borderId="0" fillId="183" fontId="3" numFmtId="10" xfId="0" applyAlignment="1" applyFill="1" applyFont="1" applyNumberFormat="1">
      <alignment horizontal="center" vertical="bottom"/>
    </xf>
    <xf borderId="0" fillId="184" fontId="3" numFmtId="167" xfId="0" applyAlignment="1" applyFill="1" applyFont="1" applyNumberFormat="1">
      <alignment horizontal="center" vertical="bottom"/>
    </xf>
    <xf borderId="0" fillId="185" fontId="3" numFmtId="167" xfId="0" applyAlignment="1" applyFill="1" applyFont="1" applyNumberFormat="1">
      <alignment horizontal="center" vertical="bottom"/>
    </xf>
    <xf borderId="0" fillId="186" fontId="3" numFmtId="167" xfId="0" applyAlignment="1" applyFill="1" applyFont="1" applyNumberFormat="1">
      <alignment horizontal="center" vertical="bottom"/>
    </xf>
    <xf borderId="0" fillId="187" fontId="3" numFmtId="167" xfId="0" applyAlignment="1" applyFill="1" applyFont="1" applyNumberFormat="1">
      <alignment horizontal="center" vertical="bottom"/>
    </xf>
    <xf borderId="0" fillId="188" fontId="3" numFmtId="10" xfId="0" applyAlignment="1" applyFill="1" applyFont="1" applyNumberFormat="1">
      <alignment horizontal="center" vertical="bottom"/>
    </xf>
    <xf borderId="0" fillId="189" fontId="3" numFmtId="167" xfId="0" applyAlignment="1" applyFill="1" applyFont="1" applyNumberFormat="1">
      <alignment horizontal="center" vertical="bottom"/>
    </xf>
    <xf borderId="0" fillId="190" fontId="3" numFmtId="167" xfId="0" applyAlignment="1" applyFill="1" applyFont="1" applyNumberFormat="1">
      <alignment horizontal="center" vertical="bottom"/>
    </xf>
    <xf borderId="0" fillId="191" fontId="3" numFmtId="10" xfId="0" applyAlignment="1" applyFill="1" applyFont="1" applyNumberFormat="1">
      <alignment horizontal="center" vertical="bottom"/>
    </xf>
    <xf borderId="0" fillId="192" fontId="3" numFmtId="167" xfId="0" applyAlignment="1" applyFill="1" applyFont="1" applyNumberFormat="1">
      <alignment horizontal="center" vertical="bottom"/>
    </xf>
    <xf borderId="0" fillId="193" fontId="3" numFmtId="167" xfId="0" applyAlignment="1" applyFill="1" applyFont="1" applyNumberFormat="1">
      <alignment horizontal="center" vertical="bottom"/>
    </xf>
    <xf borderId="0" fillId="165" fontId="3" numFmtId="10" xfId="0" applyAlignment="1" applyFont="1" applyNumberFormat="1">
      <alignment horizontal="center" vertical="bottom"/>
    </xf>
    <xf borderId="0" fillId="194" fontId="3" numFmtId="167" xfId="0" applyAlignment="1" applyFill="1" applyFont="1" applyNumberFormat="1">
      <alignment horizontal="center" vertical="bottom"/>
    </xf>
    <xf borderId="0" fillId="195" fontId="3" numFmtId="167" xfId="0" applyAlignment="1" applyFill="1" applyFont="1" applyNumberFormat="1">
      <alignment horizontal="center" vertical="bottom"/>
    </xf>
    <xf borderId="0" fillId="196" fontId="3" numFmtId="167" xfId="0" applyAlignment="1" applyFill="1" applyFont="1" applyNumberFormat="1">
      <alignment horizontal="center" vertical="bottom"/>
    </xf>
    <xf borderId="0" fillId="197" fontId="3" numFmtId="10" xfId="0" applyAlignment="1" applyFill="1" applyFont="1" applyNumberFormat="1">
      <alignment horizontal="center" vertical="bottom"/>
    </xf>
    <xf borderId="0" fillId="198" fontId="3" numFmtId="167" xfId="0" applyAlignment="1" applyFill="1" applyFont="1" applyNumberFormat="1">
      <alignment horizontal="center" vertical="bottom"/>
    </xf>
    <xf borderId="0" fillId="199" fontId="3" numFmtId="167" xfId="0" applyAlignment="1" applyFill="1" applyFont="1" applyNumberFormat="1">
      <alignment horizontal="center" vertical="bottom"/>
    </xf>
    <xf borderId="0" fillId="200" fontId="3" numFmtId="10" xfId="0" applyAlignment="1" applyFill="1" applyFont="1" applyNumberFormat="1">
      <alignment horizontal="center" vertical="bottom"/>
    </xf>
    <xf borderId="0" fillId="201" fontId="3" numFmtId="167" xfId="0" applyAlignment="1" applyFill="1" applyFont="1" applyNumberFormat="1">
      <alignment horizontal="center" vertical="bottom"/>
    </xf>
    <xf borderId="0" fillId="202" fontId="3" numFmtId="167" xfId="0" applyAlignment="1" applyFill="1" applyFont="1" applyNumberFormat="1">
      <alignment horizontal="center" vertical="bottom"/>
    </xf>
    <xf borderId="0" fillId="201" fontId="3" numFmtId="10" xfId="0" applyAlignment="1" applyFont="1" applyNumberFormat="1">
      <alignment horizontal="center" vertical="bottom"/>
    </xf>
    <xf borderId="0" fillId="147" fontId="3" numFmtId="167" xfId="0" applyAlignment="1" applyFont="1" applyNumberFormat="1">
      <alignment horizontal="center" vertical="bottom"/>
    </xf>
    <xf borderId="0" fillId="203" fontId="3" numFmtId="167" xfId="0" applyAlignment="1" applyFill="1" applyFont="1" applyNumberFormat="1">
      <alignment horizontal="center" vertical="bottom"/>
    </xf>
    <xf borderId="0" fillId="204" fontId="3" numFmtId="167" xfId="0" applyAlignment="1" applyFill="1" applyFont="1" applyNumberFormat="1">
      <alignment horizontal="center" vertical="bottom"/>
    </xf>
    <xf borderId="0" fillId="205" fontId="3" numFmtId="167" xfId="0" applyAlignment="1" applyFill="1" applyFont="1" applyNumberFormat="1">
      <alignment horizontal="center" vertical="bottom"/>
    </xf>
    <xf borderId="0" fillId="206" fontId="3" numFmtId="167" xfId="0" applyAlignment="1" applyFill="1" applyFont="1" applyNumberFormat="1">
      <alignment horizontal="center" vertical="bottom"/>
    </xf>
    <xf borderId="0" fillId="207" fontId="3" numFmtId="167" xfId="0" applyAlignment="1" applyFill="1" applyFont="1" applyNumberFormat="1">
      <alignment horizontal="center" vertical="bottom"/>
    </xf>
    <xf borderId="0" fillId="208" fontId="3" numFmtId="167" xfId="0" applyAlignment="1" applyFill="1" applyFont="1" applyNumberFormat="1">
      <alignment horizontal="center" vertical="bottom"/>
    </xf>
    <xf borderId="0" fillId="209" fontId="3" numFmtId="167" xfId="0" applyAlignment="1" applyFill="1" applyFont="1" applyNumberFormat="1">
      <alignment horizontal="center" vertical="bottom"/>
    </xf>
    <xf borderId="0" fillId="210" fontId="3" numFmtId="167" xfId="0" applyAlignment="1" applyFill="1" applyFont="1" applyNumberFormat="1">
      <alignment horizontal="center" vertical="bottom"/>
    </xf>
    <xf borderId="0" fillId="211" fontId="3" numFmtId="167" xfId="0" applyAlignment="1" applyFill="1" applyFont="1" applyNumberFormat="1">
      <alignment horizontal="center" vertical="bottom"/>
    </xf>
    <xf borderId="0" fillId="212" fontId="3" numFmtId="167" xfId="0" applyAlignment="1" applyFill="1" applyFont="1" applyNumberFormat="1">
      <alignment horizontal="center" vertical="bottom"/>
    </xf>
    <xf borderId="0" fillId="213" fontId="3" numFmtId="167" xfId="0" applyAlignment="1" applyFill="1" applyFont="1" applyNumberFormat="1">
      <alignment horizontal="center" vertical="bottom"/>
    </xf>
    <xf borderId="0" fillId="214" fontId="3" numFmtId="167" xfId="0" applyAlignment="1" applyFill="1" applyFont="1" applyNumberFormat="1">
      <alignment horizontal="center" vertical="bottom"/>
    </xf>
    <xf borderId="0" fillId="215" fontId="3" numFmtId="167" xfId="0" applyAlignment="1" applyFill="1" applyFont="1" applyNumberFormat="1">
      <alignment horizontal="center" vertical="bottom"/>
    </xf>
    <xf borderId="0" fillId="216" fontId="3" numFmtId="167" xfId="0" applyAlignment="1" applyFill="1" applyFont="1" applyNumberFormat="1">
      <alignment horizontal="center" vertical="bottom"/>
    </xf>
    <xf borderId="0" fillId="217" fontId="3" numFmtId="167" xfId="0" applyAlignment="1" applyFill="1" applyFont="1" applyNumberFormat="1">
      <alignment horizontal="center" vertical="bottom"/>
    </xf>
    <xf borderId="0" fillId="128" fontId="3" numFmtId="167" xfId="0" applyAlignment="1" applyFont="1" applyNumberFormat="1">
      <alignment horizontal="center" vertical="bottom"/>
    </xf>
    <xf borderId="0" fillId="218" fontId="3" numFmtId="167" xfId="0" applyAlignment="1" applyFill="1" applyFont="1" applyNumberFormat="1">
      <alignment horizontal="center" vertical="bottom"/>
    </xf>
    <xf borderId="0" fillId="219" fontId="3" numFmtId="167" xfId="0" applyAlignment="1" applyFill="1" applyFont="1" applyNumberFormat="1">
      <alignment horizontal="center" vertical="bottom"/>
    </xf>
    <xf borderId="0" fillId="220" fontId="3" numFmtId="167" xfId="0" applyAlignment="1" applyFill="1" applyFont="1" applyNumberFormat="1">
      <alignment horizontal="center" vertical="bottom"/>
    </xf>
    <xf borderId="0" fillId="221" fontId="3" numFmtId="10" xfId="0" applyAlignment="1" applyFill="1" applyFont="1" applyNumberFormat="1">
      <alignment horizontal="center" vertical="bottom"/>
    </xf>
    <xf borderId="0" fillId="222" fontId="3" numFmtId="167" xfId="0" applyAlignment="1" applyFill="1" applyFont="1" applyNumberFormat="1">
      <alignment horizontal="center" vertical="bottom"/>
    </xf>
    <xf borderId="0" fillId="223" fontId="3" numFmtId="167" xfId="0" applyAlignment="1" applyFill="1" applyFont="1" applyNumberFormat="1">
      <alignment horizontal="center" vertical="bottom"/>
    </xf>
    <xf borderId="0" fillId="224" fontId="3" numFmtId="167" xfId="0" applyAlignment="1" applyFill="1" applyFont="1" applyNumberFormat="1">
      <alignment horizontal="center" vertical="bottom"/>
    </xf>
    <xf borderId="0" fillId="225" fontId="3" numFmtId="167" xfId="0" applyAlignment="1" applyFill="1" applyFont="1" applyNumberFormat="1">
      <alignment horizontal="center" vertical="bottom"/>
    </xf>
    <xf borderId="0" fillId="226" fontId="3" numFmtId="167" xfId="0" applyAlignment="1" applyFill="1" applyFont="1" applyNumberFormat="1">
      <alignment horizontal="center" vertical="bottom"/>
    </xf>
    <xf borderId="0" fillId="67" fontId="3" numFmtId="10" xfId="0" applyAlignment="1" applyFont="1" applyNumberFormat="1">
      <alignment horizontal="center" vertical="bottom"/>
    </xf>
    <xf borderId="0" fillId="227" fontId="3" numFmtId="167" xfId="0" applyAlignment="1" applyFill="1" applyFont="1" applyNumberFormat="1">
      <alignment horizontal="center" vertical="bottom"/>
    </xf>
    <xf borderId="0" fillId="228" fontId="3" numFmtId="167" xfId="0" applyAlignment="1" applyFill="1" applyFont="1" applyNumberFormat="1">
      <alignment horizontal="center" vertical="bottom"/>
    </xf>
    <xf borderId="0" fillId="229" fontId="3" numFmtId="167" xfId="0" applyAlignment="1" applyFill="1" applyFont="1" applyNumberFormat="1">
      <alignment horizontal="center" vertical="bottom"/>
    </xf>
    <xf borderId="0" fillId="230" fontId="3" numFmtId="167" xfId="0" applyAlignment="1" applyFill="1" applyFont="1" applyNumberFormat="1">
      <alignment horizontal="center" vertical="bottom"/>
    </xf>
    <xf borderId="0" fillId="137" fontId="3" numFmtId="167" xfId="0" applyAlignment="1" applyFont="1" applyNumberFormat="1">
      <alignment horizontal="center" vertical="bottom"/>
    </xf>
    <xf borderId="0" fillId="231" fontId="3" numFmtId="167" xfId="0" applyAlignment="1" applyFill="1" applyFont="1" applyNumberFormat="1">
      <alignment horizontal="center" vertical="bottom"/>
    </xf>
    <xf borderId="0" fillId="232" fontId="3" numFmtId="167" xfId="0" applyAlignment="1" applyFill="1" applyFont="1" applyNumberFormat="1">
      <alignment horizontal="center" vertical="bottom"/>
    </xf>
    <xf borderId="0" fillId="233" fontId="3" numFmtId="167" xfId="0" applyAlignment="1" applyFill="1" applyFont="1" applyNumberFormat="1">
      <alignment horizontal="center" vertical="bottom"/>
    </xf>
    <xf borderId="0" fillId="234" fontId="3" numFmtId="167" xfId="0" applyAlignment="1" applyFill="1" applyFont="1" applyNumberFormat="1">
      <alignment horizontal="center" vertical="bottom"/>
    </xf>
    <xf borderId="0" fillId="235" fontId="3" numFmtId="10" xfId="0" applyAlignment="1" applyFill="1" applyFont="1" applyNumberFormat="1">
      <alignment horizontal="center" vertical="bottom"/>
    </xf>
    <xf borderId="0" fillId="236" fontId="3" numFmtId="167" xfId="0" applyAlignment="1" applyFill="1" applyFont="1" applyNumberFormat="1">
      <alignment horizontal="center" vertical="bottom"/>
    </xf>
    <xf borderId="0" fillId="237" fontId="3" numFmtId="167" xfId="0" applyAlignment="1" applyFill="1" applyFont="1" applyNumberFormat="1">
      <alignment horizontal="center" vertical="bottom"/>
    </xf>
    <xf borderId="0" fillId="238" fontId="3" numFmtId="167" xfId="0" applyAlignment="1" applyFill="1" applyFont="1" applyNumberFormat="1">
      <alignment horizontal="center" vertical="bottom"/>
    </xf>
    <xf borderId="0" fillId="12" fontId="3" numFmtId="10" xfId="0" applyAlignment="1" applyFont="1" applyNumberFormat="1">
      <alignment horizontal="center" vertical="bottom"/>
    </xf>
    <xf borderId="0" fillId="239" fontId="3" numFmtId="167" xfId="0" applyAlignment="1" applyFill="1" applyFont="1" applyNumberFormat="1">
      <alignment horizontal="center" vertical="bottom"/>
    </xf>
    <xf borderId="0" fillId="240" fontId="3" numFmtId="167" xfId="0" applyAlignment="1" applyFill="1" applyFont="1" applyNumberFormat="1">
      <alignment horizontal="center" vertical="bottom"/>
    </xf>
    <xf borderId="0" fillId="241" fontId="3" numFmtId="167" xfId="0" applyAlignment="1" applyFill="1" applyFont="1" applyNumberFormat="1">
      <alignment horizontal="center" vertical="bottom"/>
    </xf>
    <xf borderId="0" fillId="3" fontId="3" numFmtId="10" xfId="0" applyAlignment="1" applyFont="1" applyNumberFormat="1">
      <alignment horizontal="center" vertical="bottom"/>
    </xf>
    <xf borderId="0" fillId="242" fontId="3" numFmtId="167" xfId="0" applyAlignment="1" applyFill="1" applyFont="1" applyNumberFormat="1">
      <alignment horizontal="center" vertical="bottom"/>
    </xf>
    <xf borderId="0" fillId="243" fontId="3" numFmtId="167" xfId="0" applyAlignment="1" applyFill="1" applyFont="1" applyNumberFormat="1">
      <alignment horizontal="center" vertical="bottom"/>
    </xf>
    <xf borderId="0" fillId="244" fontId="3" numFmtId="167" xfId="0" applyAlignment="1" applyFill="1" applyFont="1" applyNumberFormat="1">
      <alignment horizontal="center" vertical="bottom"/>
    </xf>
    <xf borderId="0" fillId="245" fontId="3" numFmtId="10" xfId="0" applyAlignment="1" applyFill="1" applyFont="1" applyNumberFormat="1">
      <alignment horizontal="center" vertical="bottom"/>
    </xf>
    <xf borderId="0" fillId="246" fontId="3" numFmtId="167" xfId="0" applyAlignment="1" applyFill="1" applyFont="1" applyNumberFormat="1">
      <alignment horizontal="center" vertical="bottom"/>
    </xf>
    <xf borderId="0" fillId="245" fontId="3" numFmtId="167" xfId="0" applyAlignment="1" applyFont="1" applyNumberFormat="1">
      <alignment horizontal="center" vertical="bottom"/>
    </xf>
    <xf borderId="0" fillId="207" fontId="3" numFmtId="10" xfId="0" applyAlignment="1" applyFont="1" applyNumberFormat="1">
      <alignment horizontal="center" vertical="bottom"/>
    </xf>
    <xf borderId="0" fillId="247" fontId="3" numFmtId="167" xfId="0" applyAlignment="1" applyFill="1" applyFont="1" applyNumberFormat="1">
      <alignment horizontal="center" vertical="bottom"/>
    </xf>
    <xf borderId="0" fillId="248" fontId="3" numFmtId="167" xfId="0" applyAlignment="1" applyFill="1" applyFont="1" applyNumberFormat="1">
      <alignment horizontal="center" vertical="bottom"/>
    </xf>
    <xf borderId="0" fillId="249" fontId="3" numFmtId="167" xfId="0" applyAlignment="1" applyFill="1" applyFont="1" applyNumberFormat="1">
      <alignment horizontal="center" vertical="bottom"/>
    </xf>
    <xf borderId="0" fillId="250" fontId="3" numFmtId="167" xfId="0" applyAlignment="1" applyFill="1" applyFont="1" applyNumberFormat="1">
      <alignment horizontal="center" vertical="bottom"/>
    </xf>
    <xf borderId="0" fillId="251" fontId="3" numFmtId="10" xfId="0" applyAlignment="1" applyFill="1" applyFont="1" applyNumberFormat="1">
      <alignment horizontal="center" vertical="bottom"/>
    </xf>
    <xf borderId="0" fillId="252" fontId="3" numFmtId="167" xfId="0" applyAlignment="1" applyFill="1" applyFont="1" applyNumberFormat="1">
      <alignment horizontal="center" vertical="bottom"/>
    </xf>
    <xf borderId="0" fillId="253" fontId="3" numFmtId="167" xfId="0" applyAlignment="1" applyFill="1" applyFont="1" applyNumberFormat="1">
      <alignment horizontal="center" vertical="bottom"/>
    </xf>
    <xf borderId="0" fillId="254" fontId="3" numFmtId="167" xfId="0" applyAlignment="1" applyFill="1" applyFont="1" applyNumberFormat="1">
      <alignment horizontal="center" vertical="bottom"/>
    </xf>
    <xf borderId="0" fillId="255" fontId="3" numFmtId="10" xfId="0" applyAlignment="1" applyFill="1" applyFont="1" applyNumberFormat="1">
      <alignment horizontal="center" vertical="bottom"/>
    </xf>
    <xf borderId="0" fillId="256" fontId="3" numFmtId="167" xfId="0" applyAlignment="1" applyFill="1" applyFont="1" applyNumberFormat="1">
      <alignment horizontal="center" vertical="bottom"/>
    </xf>
    <xf borderId="0" fillId="257" fontId="3" numFmtId="167" xfId="0" applyAlignment="1" applyFill="1" applyFont="1" applyNumberFormat="1">
      <alignment horizontal="center" vertical="bottom"/>
    </xf>
    <xf borderId="0" fillId="258" fontId="3" numFmtId="167" xfId="0" applyAlignment="1" applyFill="1" applyFont="1" applyNumberFormat="1">
      <alignment horizontal="center" vertical="bottom"/>
    </xf>
    <xf borderId="0" fillId="259" fontId="3" numFmtId="167" xfId="0" applyAlignment="1" applyFill="1" applyFont="1" applyNumberFormat="1">
      <alignment horizontal="center" vertical="bottom"/>
    </xf>
    <xf borderId="0" fillId="255" fontId="3" numFmtId="167" xfId="0" applyAlignment="1" applyFont="1" applyNumberFormat="1">
      <alignment horizontal="center" vertical="bottom"/>
    </xf>
    <xf borderId="0" fillId="227" fontId="3" numFmtId="10" xfId="0" applyAlignment="1" applyFont="1" applyNumberFormat="1">
      <alignment horizontal="center" vertical="bottom"/>
    </xf>
    <xf borderId="0" fillId="260" fontId="3" numFmtId="167" xfId="0" applyAlignment="1" applyFill="1" applyFont="1" applyNumberFormat="1">
      <alignment horizontal="center" vertical="bottom"/>
    </xf>
    <xf borderId="0" fillId="261" fontId="3" numFmtId="167" xfId="0" applyAlignment="1" applyFill="1" applyFont="1" applyNumberFormat="1">
      <alignment horizontal="center" vertical="bottom"/>
    </xf>
    <xf borderId="0" fillId="262" fontId="3" numFmtId="167" xfId="0" applyAlignment="1" applyFill="1" applyFont="1" applyNumberFormat="1">
      <alignment horizontal="center" vertical="bottom"/>
    </xf>
    <xf borderId="0" fillId="263" fontId="3" numFmtId="167" xfId="0" applyAlignment="1" applyFill="1" applyFont="1" applyNumberFormat="1">
      <alignment horizontal="center" vertical="bottom"/>
    </xf>
    <xf borderId="0" fillId="264" fontId="3" numFmtId="167" xfId="0" applyAlignment="1" applyFill="1" applyFont="1" applyNumberFormat="1">
      <alignment horizontal="center" vertical="bottom"/>
    </xf>
    <xf borderId="0" fillId="265" fontId="3" numFmtId="167" xfId="0" applyAlignment="1" applyFill="1" applyFont="1" applyNumberFormat="1">
      <alignment horizontal="center" vertical="bottom"/>
    </xf>
    <xf borderId="0" fillId="0" fontId="14" numFmtId="0" xfId="0" applyAlignment="1" applyFont="1">
      <alignment vertical="bottom"/>
    </xf>
    <xf borderId="0" fillId="3" fontId="14" numFmtId="167" xfId="0" applyAlignment="1" applyFont="1" applyNumberFormat="1">
      <alignment vertical="bottom"/>
    </xf>
    <xf borderId="0" fillId="0" fontId="14" numFmtId="167" xfId="0" applyAlignment="1" applyFont="1" applyNumberFormat="1">
      <alignment vertical="bottom"/>
    </xf>
    <xf borderId="0" fillId="0" fontId="14" numFmtId="10" xfId="0" applyAlignment="1" applyFont="1" applyNumberFormat="1">
      <alignment vertical="bottom"/>
    </xf>
  </cellXfs>
  <cellStyles count="1">
    <cellStyle xfId="0" name="Normal" builtinId="0"/>
  </cellStyles>
  <dxfs count="4">
    <dxf>
      <font/>
      <fill>
        <patternFill patternType="solid">
          <fgColor rgb="FF34A853"/>
          <bgColor rgb="FF34A853"/>
        </patternFill>
      </fill>
      <border/>
    </dxf>
    <dxf>
      <font/>
      <fill>
        <patternFill patternType="solid">
          <fgColor rgb="FFFF0000"/>
          <bgColor rgb="FFFF0000"/>
        </patternFill>
      </fill>
      <border/>
    </dxf>
    <dxf>
      <font/>
      <fill>
        <patternFill patternType="solid">
          <fgColor rgb="FFFF9900"/>
          <bgColor rgb="FFFF9900"/>
        </patternFill>
      </fill>
      <border/>
    </dxf>
    <dxf>
      <font/>
      <fill>
        <patternFill patternType="solid">
          <fgColor rgb="FFFFFF00"/>
          <bgColor rgb="FFFFFF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Points vs. Round</a:t>
            </a:r>
          </a:p>
        </c:rich>
      </c:tx>
      <c:overlay val="0"/>
    </c:title>
    <c:plotArea>
      <c:layout/>
      <c:lineChart>
        <c:ser>
          <c:idx val="0"/>
          <c:order val="0"/>
          <c:tx>
            <c:strRef>
              <c:f>'Team Parser'!$H$8</c:f>
            </c:strRef>
          </c:tx>
          <c:spPr>
            <a:ln cmpd="sng">
              <a:solidFill>
                <a:srgbClr val="4285F4"/>
              </a:solidFill>
            </a:ln>
          </c:spPr>
          <c:marker>
            <c:symbol val="circle"/>
            <c:size val="7"/>
            <c:spPr>
              <a:solidFill>
                <a:srgbClr val="4285F4"/>
              </a:solidFill>
              <a:ln cmpd="sng">
                <a:solidFill>
                  <a:srgbClr val="4285F4"/>
                </a:solidFill>
              </a:ln>
            </c:spPr>
          </c:marker>
          <c:cat>
            <c:strRef>
              <c:f>'Team Parser'!$A$9:$A$1000</c:f>
            </c:strRef>
          </c:cat>
          <c:val>
            <c:numRef>
              <c:f>'Team Parser'!$H$9:$H$1000</c:f>
              <c:numCache/>
            </c:numRef>
          </c:val>
          <c:smooth val="0"/>
        </c:ser>
        <c:ser>
          <c:idx val="1"/>
          <c:order val="1"/>
          <c:tx>
            <c:strRef>
              <c:f>'Team Parser'!$I$8</c:f>
            </c:strRef>
          </c:tx>
          <c:spPr>
            <a:ln cmpd="sng">
              <a:solidFill>
                <a:srgbClr val="EA4335"/>
              </a:solidFill>
            </a:ln>
          </c:spPr>
          <c:marker>
            <c:symbol val="circle"/>
            <c:size val="7"/>
            <c:spPr>
              <a:solidFill>
                <a:srgbClr val="EA4335"/>
              </a:solidFill>
              <a:ln cmpd="sng">
                <a:solidFill>
                  <a:srgbClr val="EA4335"/>
                </a:solidFill>
              </a:ln>
            </c:spPr>
          </c:marker>
          <c:cat>
            <c:strRef>
              <c:f>'Team Parser'!$A$9:$A$1000</c:f>
            </c:strRef>
          </c:cat>
          <c:val>
            <c:numRef>
              <c:f>'Team Parser'!$I$9:$I$1000</c:f>
              <c:numCache/>
            </c:numRef>
          </c:val>
          <c:smooth val="0"/>
        </c:ser>
        <c:ser>
          <c:idx val="2"/>
          <c:order val="2"/>
          <c:tx>
            <c:strRef>
              <c:f>'Team Parser'!$T$8</c:f>
            </c:strRef>
          </c:tx>
          <c:spPr>
            <a:ln cmpd="sng">
              <a:solidFill>
                <a:srgbClr val="FBBC04"/>
              </a:solidFill>
            </a:ln>
          </c:spPr>
          <c:marker>
            <c:symbol val="circle"/>
            <c:size val="7"/>
            <c:spPr>
              <a:solidFill>
                <a:srgbClr val="FBBC04"/>
              </a:solidFill>
              <a:ln cmpd="sng">
                <a:solidFill>
                  <a:srgbClr val="FBBC04"/>
                </a:solidFill>
              </a:ln>
            </c:spPr>
          </c:marker>
          <c:cat>
            <c:strRef>
              <c:f>'Team Parser'!$A$9:$A$1000</c:f>
            </c:strRef>
          </c:cat>
          <c:val>
            <c:numRef>
              <c:f>'Team Parser'!$T$9:$T$1000</c:f>
              <c:numCache/>
            </c:numRef>
          </c:val>
          <c:smooth val="0"/>
        </c:ser>
        <c:axId val="1970972901"/>
        <c:axId val="319432365"/>
      </c:lineChart>
      <c:catAx>
        <c:axId val="19709729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Round #</a:t>
                </a:r>
              </a:p>
            </c:rich>
          </c:tx>
          <c:overlay val="0"/>
        </c:title>
        <c:numFmt formatCode="General" sourceLinked="1"/>
        <c:majorTickMark val="none"/>
        <c:minorTickMark val="none"/>
        <c:spPr/>
        <c:txPr>
          <a:bodyPr/>
          <a:lstStyle/>
          <a:p>
            <a:pPr lvl="0">
              <a:defRPr b="0">
                <a:solidFill>
                  <a:srgbClr val="000000"/>
                </a:solidFill>
                <a:latin typeface="+mn-lt"/>
              </a:defRPr>
            </a:pPr>
          </a:p>
        </c:txPr>
        <c:crossAx val="319432365"/>
      </c:catAx>
      <c:valAx>
        <c:axId val="3194323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Points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097290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radarChart>
        <c:radarStyle val="marker"/>
        <c:ser>
          <c:idx val="0"/>
          <c:order val="0"/>
          <c:tx>
            <c:strRef>
              <c:f>'Team Comparer'!$B$12</c:f>
            </c:strRef>
          </c:tx>
          <c:spPr>
            <a:ln cmpd="sng" w="38100">
              <a:solidFill>
                <a:srgbClr val="4285F4"/>
              </a:solidFill>
            </a:ln>
          </c:spPr>
          <c:marker>
            <c:symbol val="none"/>
          </c:marker>
          <c:cat>
            <c:strRef>
              <c:f>'Team Comparer'!$A$13:$A$17</c:f>
            </c:strRef>
          </c:cat>
          <c:val>
            <c:numRef>
              <c:f>'Team Comparer'!$B$13:$B$17</c:f>
              <c:numCache/>
            </c:numRef>
          </c:val>
          <c:smooth val="1"/>
        </c:ser>
        <c:ser>
          <c:idx val="1"/>
          <c:order val="1"/>
          <c:tx>
            <c:strRef>
              <c:f>'Team Comparer'!$C$12</c:f>
            </c:strRef>
          </c:tx>
          <c:spPr>
            <a:ln cmpd="sng" w="38100">
              <a:solidFill>
                <a:srgbClr val="EA4335"/>
              </a:solidFill>
            </a:ln>
          </c:spPr>
          <c:marker>
            <c:symbol val="none"/>
          </c:marker>
          <c:cat>
            <c:strRef>
              <c:f>'Team Comparer'!$A$13:$A$17</c:f>
            </c:strRef>
          </c:cat>
          <c:val>
            <c:numRef>
              <c:f>'Team Comparer'!$C$13:$C$17</c:f>
              <c:numCache/>
            </c:numRef>
          </c:val>
          <c:smooth val="1"/>
        </c:ser>
        <c:ser>
          <c:idx val="2"/>
          <c:order val="2"/>
          <c:tx>
            <c:strRef>
              <c:f>'Team Comparer'!$D$12</c:f>
            </c:strRef>
          </c:tx>
          <c:spPr>
            <a:ln cmpd="sng" w="38100">
              <a:solidFill>
                <a:srgbClr val="FBBC04"/>
              </a:solidFill>
            </a:ln>
          </c:spPr>
          <c:marker>
            <c:symbol val="none"/>
          </c:marker>
          <c:cat>
            <c:strRef>
              <c:f>'Team Comparer'!$A$13:$A$17</c:f>
            </c:strRef>
          </c:cat>
          <c:val>
            <c:numRef>
              <c:f>'Team Comparer'!$D$13:$D$17</c:f>
              <c:numCache/>
            </c:numRef>
          </c:val>
          <c:smooth val="1"/>
        </c:ser>
        <c:ser>
          <c:idx val="3"/>
          <c:order val="3"/>
          <c:tx>
            <c:strRef>
              <c:f>'Team Comparer'!$E$12</c:f>
            </c:strRef>
          </c:tx>
          <c:spPr>
            <a:ln cmpd="sng" w="38100">
              <a:solidFill>
                <a:srgbClr val="34A853"/>
              </a:solidFill>
            </a:ln>
          </c:spPr>
          <c:marker>
            <c:symbol val="none"/>
          </c:marker>
          <c:cat>
            <c:strRef>
              <c:f>'Team Comparer'!$A$13:$A$17</c:f>
            </c:strRef>
          </c:cat>
          <c:val>
            <c:numRef>
              <c:f>'Team Comparer'!$E$13:$E$17</c:f>
              <c:numCache/>
            </c:numRef>
          </c:val>
          <c:smooth val="1"/>
        </c:ser>
        <c:ser>
          <c:idx val="4"/>
          <c:order val="4"/>
          <c:tx>
            <c:strRef>
              <c:f>'Team Comparer'!$F$12</c:f>
            </c:strRef>
          </c:tx>
          <c:spPr>
            <a:ln cmpd="sng" w="38100">
              <a:solidFill>
                <a:srgbClr val="FF6D01"/>
              </a:solidFill>
            </a:ln>
          </c:spPr>
          <c:marker>
            <c:symbol val="none"/>
          </c:marker>
          <c:cat>
            <c:strRef>
              <c:f>'Team Comparer'!$A$13:$A$17</c:f>
            </c:strRef>
          </c:cat>
          <c:val>
            <c:numRef>
              <c:f>'Team Comparer'!$F$13:$F$17</c:f>
              <c:numCache/>
            </c:numRef>
          </c:val>
          <c:smooth val="1"/>
        </c:ser>
        <c:ser>
          <c:idx val="5"/>
          <c:order val="5"/>
          <c:tx>
            <c:strRef>
              <c:f>'Team Comparer'!$G$12</c:f>
            </c:strRef>
          </c:tx>
          <c:spPr>
            <a:ln cmpd="sng" w="38100">
              <a:solidFill>
                <a:srgbClr val="46BDC6"/>
              </a:solidFill>
            </a:ln>
          </c:spPr>
          <c:marker>
            <c:symbol val="none"/>
          </c:marker>
          <c:cat>
            <c:strRef>
              <c:f>'Team Comparer'!$A$13:$A$17</c:f>
            </c:strRef>
          </c:cat>
          <c:val>
            <c:numRef>
              <c:f>'Team Comparer'!$G$13:$G$17</c:f>
              <c:numCache/>
            </c:numRef>
          </c:val>
          <c:smooth val="1"/>
        </c:ser>
        <c:axId val="437303105"/>
        <c:axId val="505324734"/>
      </c:radarChart>
      <c:catAx>
        <c:axId val="4373031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05324734"/>
      </c:catAx>
      <c:valAx>
        <c:axId val="505324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730310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Accuracy vs Shots</a:t>
            </a:r>
          </a:p>
        </c:rich>
      </c:tx>
      <c:overlay val="0"/>
    </c:title>
    <c:plotArea>
      <c:layout/>
      <c:bubbleChart>
        <c:ser>
          <c:idx val="0"/>
          <c:order val="0"/>
          <c:tx>
            <c:strRef>
              <c:f>RawTotals!$BC$2</c:f>
            </c:strRef>
          </c:tx>
          <c:dLbls>
            <c:dLblPos val="ctr"/>
            <c:showLegendKey val="0"/>
            <c:showVal val="0"/>
            <c:showCatName val="0"/>
            <c:showSerName val="1"/>
            <c:showPercent val="0"/>
            <c:showBubbleSize val="0"/>
          </c:dLbls>
          <c:xVal>
            <c:strRef>
              <c:f>RawTotals!$AE$2</c:f>
            </c:strRef>
          </c:xVal>
          <c:yVal>
            <c:numRef>
              <c:f>RawTotals!$O$2</c:f>
              <c:numCache/>
            </c:numRef>
          </c:yVal>
          <c:bubbleSize>
            <c:numRef>
              <c:f>RawTotals!$BB$2</c:f>
            </c:numRef>
          </c:bubbleSize>
        </c:ser>
        <c:ser>
          <c:idx val="1"/>
          <c:order val="1"/>
          <c:tx>
            <c:strRef>
              <c:f>RawTotals!$BC$3</c:f>
            </c:strRef>
          </c:tx>
          <c:dLbls>
            <c:dLblPos val="ctr"/>
            <c:showLegendKey val="0"/>
            <c:showVal val="0"/>
            <c:showCatName val="0"/>
            <c:showSerName val="1"/>
            <c:showPercent val="0"/>
            <c:showBubbleSize val="0"/>
          </c:dLbls>
          <c:xVal>
            <c:strRef>
              <c:f>RawTotals!$AE$3</c:f>
            </c:strRef>
          </c:xVal>
          <c:yVal>
            <c:numRef>
              <c:f>RawTotals!$O$3</c:f>
              <c:numCache/>
            </c:numRef>
          </c:yVal>
          <c:bubbleSize>
            <c:numRef>
              <c:f>RawTotals!$BB$3</c:f>
            </c:numRef>
          </c:bubbleSize>
        </c:ser>
        <c:ser>
          <c:idx val="2"/>
          <c:order val="2"/>
          <c:tx>
            <c:strRef>
              <c:f>RawTotals!$BC$4</c:f>
            </c:strRef>
          </c:tx>
          <c:dLbls>
            <c:dLblPos val="ctr"/>
            <c:showLegendKey val="0"/>
            <c:showVal val="0"/>
            <c:showCatName val="0"/>
            <c:showSerName val="1"/>
            <c:showPercent val="0"/>
            <c:showBubbleSize val="0"/>
          </c:dLbls>
          <c:xVal>
            <c:strRef>
              <c:f>RawTotals!$AE$4</c:f>
            </c:strRef>
          </c:xVal>
          <c:yVal>
            <c:numRef>
              <c:f>RawTotals!$O$4</c:f>
              <c:numCache/>
            </c:numRef>
          </c:yVal>
          <c:bubbleSize>
            <c:numRef>
              <c:f>RawTotals!$BB$4</c:f>
            </c:numRef>
          </c:bubbleSize>
        </c:ser>
        <c:ser>
          <c:idx val="3"/>
          <c:order val="3"/>
          <c:tx>
            <c:strRef>
              <c:f>RawTotals!$BC$5</c:f>
            </c:strRef>
          </c:tx>
          <c:dLbls>
            <c:dLblPos val="ctr"/>
            <c:showLegendKey val="0"/>
            <c:showVal val="0"/>
            <c:showCatName val="0"/>
            <c:showSerName val="1"/>
            <c:showPercent val="0"/>
            <c:showBubbleSize val="0"/>
          </c:dLbls>
          <c:xVal>
            <c:strRef>
              <c:f>RawTotals!$AE$5</c:f>
            </c:strRef>
          </c:xVal>
          <c:yVal>
            <c:numRef>
              <c:f>RawTotals!$O$5</c:f>
              <c:numCache/>
            </c:numRef>
          </c:yVal>
          <c:bubbleSize>
            <c:numRef>
              <c:f>RawTotals!$BB$5</c:f>
            </c:numRef>
          </c:bubbleSize>
        </c:ser>
        <c:ser>
          <c:idx val="4"/>
          <c:order val="4"/>
          <c:tx>
            <c:strRef>
              <c:f>RawTotals!$BC$6</c:f>
            </c:strRef>
          </c:tx>
          <c:dLbls>
            <c:dLblPos val="ctr"/>
            <c:showLegendKey val="0"/>
            <c:showVal val="0"/>
            <c:showCatName val="0"/>
            <c:showSerName val="1"/>
            <c:showPercent val="0"/>
            <c:showBubbleSize val="0"/>
          </c:dLbls>
          <c:xVal>
            <c:strRef>
              <c:f>RawTotals!$AE$6</c:f>
            </c:strRef>
          </c:xVal>
          <c:yVal>
            <c:numRef>
              <c:f>RawTotals!$O$6</c:f>
              <c:numCache/>
            </c:numRef>
          </c:yVal>
          <c:bubbleSize>
            <c:numRef>
              <c:f>RawTotals!$BB$6</c:f>
            </c:numRef>
          </c:bubbleSize>
        </c:ser>
        <c:ser>
          <c:idx val="5"/>
          <c:order val="5"/>
          <c:tx>
            <c:strRef>
              <c:f>RawTotals!$BC$7</c:f>
            </c:strRef>
          </c:tx>
          <c:dLbls>
            <c:dLblPos val="ctr"/>
            <c:showLegendKey val="0"/>
            <c:showVal val="0"/>
            <c:showCatName val="0"/>
            <c:showSerName val="1"/>
            <c:showPercent val="0"/>
            <c:showBubbleSize val="0"/>
          </c:dLbls>
          <c:xVal>
            <c:strRef>
              <c:f>RawTotals!$AE$7</c:f>
            </c:strRef>
          </c:xVal>
          <c:yVal>
            <c:numRef>
              <c:f>RawTotals!$O$7</c:f>
              <c:numCache/>
            </c:numRef>
          </c:yVal>
          <c:bubbleSize>
            <c:numRef>
              <c:f>RawTotals!$BB$7</c:f>
            </c:numRef>
          </c:bubbleSize>
        </c:ser>
        <c:ser>
          <c:idx val="6"/>
          <c:order val="6"/>
          <c:tx>
            <c:strRef>
              <c:f>RawTotals!$BC$8</c:f>
            </c:strRef>
          </c:tx>
          <c:dLbls>
            <c:dLblPos val="ctr"/>
            <c:showLegendKey val="0"/>
            <c:showVal val="0"/>
            <c:showCatName val="0"/>
            <c:showSerName val="1"/>
            <c:showPercent val="0"/>
            <c:showBubbleSize val="0"/>
          </c:dLbls>
          <c:xVal>
            <c:strRef>
              <c:f>RawTotals!$AE$8</c:f>
            </c:strRef>
          </c:xVal>
          <c:yVal>
            <c:numRef>
              <c:f>RawTotals!$O$8</c:f>
              <c:numCache/>
            </c:numRef>
          </c:yVal>
          <c:bubbleSize>
            <c:numRef>
              <c:f>RawTotals!$BB$8</c:f>
            </c:numRef>
          </c:bubbleSize>
        </c:ser>
        <c:ser>
          <c:idx val="7"/>
          <c:order val="7"/>
          <c:tx>
            <c:strRef>
              <c:f>RawTotals!$BC$9</c:f>
            </c:strRef>
          </c:tx>
          <c:dLbls>
            <c:dLblPos val="ctr"/>
            <c:showLegendKey val="0"/>
            <c:showVal val="0"/>
            <c:showCatName val="0"/>
            <c:showSerName val="1"/>
            <c:showPercent val="0"/>
            <c:showBubbleSize val="0"/>
          </c:dLbls>
          <c:xVal>
            <c:strRef>
              <c:f>RawTotals!$AE$9</c:f>
            </c:strRef>
          </c:xVal>
          <c:yVal>
            <c:numRef>
              <c:f>RawTotals!$O$9</c:f>
              <c:numCache/>
            </c:numRef>
          </c:yVal>
          <c:bubbleSize>
            <c:numRef>
              <c:f>RawTotals!$BB$9</c:f>
            </c:numRef>
          </c:bubbleSize>
        </c:ser>
        <c:ser>
          <c:idx val="8"/>
          <c:order val="8"/>
          <c:tx>
            <c:strRef>
              <c:f>RawTotals!$BC$10</c:f>
            </c:strRef>
          </c:tx>
          <c:dLbls>
            <c:dLblPos val="ctr"/>
            <c:showLegendKey val="0"/>
            <c:showVal val="0"/>
            <c:showCatName val="0"/>
            <c:showSerName val="1"/>
            <c:showPercent val="0"/>
            <c:showBubbleSize val="0"/>
          </c:dLbls>
          <c:xVal>
            <c:strRef>
              <c:f>RawTotals!$AE$10</c:f>
            </c:strRef>
          </c:xVal>
          <c:yVal>
            <c:numRef>
              <c:f>RawTotals!$O$10</c:f>
              <c:numCache/>
            </c:numRef>
          </c:yVal>
          <c:bubbleSize>
            <c:numRef>
              <c:f>RawTotals!$BB$10</c:f>
            </c:numRef>
          </c:bubbleSize>
        </c:ser>
        <c:ser>
          <c:idx val="9"/>
          <c:order val="9"/>
          <c:tx>
            <c:strRef>
              <c:f>RawTotals!$BC$11</c:f>
            </c:strRef>
          </c:tx>
          <c:dLbls>
            <c:dLblPos val="ctr"/>
            <c:showLegendKey val="0"/>
            <c:showVal val="0"/>
            <c:showCatName val="0"/>
            <c:showSerName val="1"/>
            <c:showPercent val="0"/>
            <c:showBubbleSize val="0"/>
          </c:dLbls>
          <c:xVal>
            <c:strRef>
              <c:f>RawTotals!$AE$11</c:f>
            </c:strRef>
          </c:xVal>
          <c:yVal>
            <c:numRef>
              <c:f>RawTotals!$O$11</c:f>
              <c:numCache/>
            </c:numRef>
          </c:yVal>
          <c:bubbleSize>
            <c:numRef>
              <c:f>RawTotals!$BB$11</c:f>
            </c:numRef>
          </c:bubbleSize>
        </c:ser>
        <c:ser>
          <c:idx val="10"/>
          <c:order val="10"/>
          <c:tx>
            <c:strRef>
              <c:f>RawTotals!$BC$12</c:f>
            </c:strRef>
          </c:tx>
          <c:dLbls>
            <c:dLblPos val="ctr"/>
            <c:showLegendKey val="0"/>
            <c:showVal val="0"/>
            <c:showCatName val="0"/>
            <c:showSerName val="1"/>
            <c:showPercent val="0"/>
            <c:showBubbleSize val="0"/>
          </c:dLbls>
          <c:xVal>
            <c:strRef>
              <c:f>RawTotals!$AE$12</c:f>
            </c:strRef>
          </c:xVal>
          <c:yVal>
            <c:numRef>
              <c:f>RawTotals!$O$12</c:f>
              <c:numCache/>
            </c:numRef>
          </c:yVal>
          <c:bubbleSize>
            <c:numRef>
              <c:f>RawTotals!$BB$12</c:f>
            </c:numRef>
          </c:bubbleSize>
        </c:ser>
        <c:ser>
          <c:idx val="11"/>
          <c:order val="11"/>
          <c:tx>
            <c:strRef>
              <c:f>RawTotals!$BC$13</c:f>
            </c:strRef>
          </c:tx>
          <c:dLbls>
            <c:dLblPos val="ctr"/>
            <c:showLegendKey val="0"/>
            <c:showVal val="0"/>
            <c:showCatName val="0"/>
            <c:showSerName val="1"/>
            <c:showPercent val="0"/>
            <c:showBubbleSize val="0"/>
          </c:dLbls>
          <c:xVal>
            <c:strRef>
              <c:f>RawTotals!$AE$13</c:f>
            </c:strRef>
          </c:xVal>
          <c:yVal>
            <c:numRef>
              <c:f>RawTotals!$O$13</c:f>
              <c:numCache/>
            </c:numRef>
          </c:yVal>
          <c:bubbleSize>
            <c:numRef>
              <c:f>RawTotals!$BB$13</c:f>
            </c:numRef>
          </c:bubbleSize>
        </c:ser>
        <c:ser>
          <c:idx val="12"/>
          <c:order val="12"/>
          <c:tx>
            <c:strRef>
              <c:f>RawTotals!$BC$14</c:f>
            </c:strRef>
          </c:tx>
          <c:dLbls>
            <c:dLblPos val="ctr"/>
            <c:showLegendKey val="0"/>
            <c:showVal val="0"/>
            <c:showCatName val="0"/>
            <c:showSerName val="1"/>
            <c:showPercent val="0"/>
            <c:showBubbleSize val="0"/>
          </c:dLbls>
          <c:xVal>
            <c:strRef>
              <c:f>RawTotals!$AE$14</c:f>
            </c:strRef>
          </c:xVal>
          <c:yVal>
            <c:numRef>
              <c:f>RawTotals!$O$14</c:f>
              <c:numCache/>
            </c:numRef>
          </c:yVal>
          <c:bubbleSize>
            <c:numRef>
              <c:f>RawTotals!$BB$14</c:f>
            </c:numRef>
          </c:bubbleSize>
        </c:ser>
        <c:ser>
          <c:idx val="13"/>
          <c:order val="13"/>
          <c:tx>
            <c:strRef>
              <c:f>RawTotals!$BC$15</c:f>
            </c:strRef>
          </c:tx>
          <c:dLbls>
            <c:dLblPos val="ctr"/>
            <c:showLegendKey val="0"/>
            <c:showVal val="0"/>
            <c:showCatName val="0"/>
            <c:showSerName val="1"/>
            <c:showPercent val="0"/>
            <c:showBubbleSize val="0"/>
          </c:dLbls>
          <c:xVal>
            <c:strRef>
              <c:f>RawTotals!$AE$15</c:f>
            </c:strRef>
          </c:xVal>
          <c:yVal>
            <c:numRef>
              <c:f>RawTotals!$O$15</c:f>
              <c:numCache/>
            </c:numRef>
          </c:yVal>
          <c:bubbleSize>
            <c:numRef>
              <c:f>RawTotals!$BB$15</c:f>
            </c:numRef>
          </c:bubbleSize>
        </c:ser>
        <c:ser>
          <c:idx val="14"/>
          <c:order val="14"/>
          <c:tx>
            <c:strRef>
              <c:f>RawTotals!$BC$16</c:f>
            </c:strRef>
          </c:tx>
          <c:dLbls>
            <c:dLblPos val="ctr"/>
            <c:showLegendKey val="0"/>
            <c:showVal val="0"/>
            <c:showCatName val="0"/>
            <c:showSerName val="1"/>
            <c:showPercent val="0"/>
            <c:showBubbleSize val="0"/>
          </c:dLbls>
          <c:xVal>
            <c:strRef>
              <c:f>RawTotals!$AE$16</c:f>
            </c:strRef>
          </c:xVal>
          <c:yVal>
            <c:numRef>
              <c:f>RawTotals!$O$16</c:f>
              <c:numCache/>
            </c:numRef>
          </c:yVal>
          <c:bubbleSize>
            <c:numRef>
              <c:f>RawTotals!$BB$16</c:f>
            </c:numRef>
          </c:bubbleSize>
        </c:ser>
        <c:ser>
          <c:idx val="15"/>
          <c:order val="15"/>
          <c:tx>
            <c:strRef>
              <c:f>RawTotals!$BC$17</c:f>
            </c:strRef>
          </c:tx>
          <c:dLbls>
            <c:dLblPos val="ctr"/>
            <c:showLegendKey val="0"/>
            <c:showVal val="0"/>
            <c:showCatName val="0"/>
            <c:showSerName val="1"/>
            <c:showPercent val="0"/>
            <c:showBubbleSize val="0"/>
          </c:dLbls>
          <c:xVal>
            <c:strRef>
              <c:f>RawTotals!$AE$17</c:f>
            </c:strRef>
          </c:xVal>
          <c:yVal>
            <c:numRef>
              <c:f>RawTotals!$O$17</c:f>
              <c:numCache/>
            </c:numRef>
          </c:yVal>
          <c:bubbleSize>
            <c:numRef>
              <c:f>RawTotals!$BB$17</c:f>
            </c:numRef>
          </c:bubbleSize>
        </c:ser>
        <c:ser>
          <c:idx val="16"/>
          <c:order val="16"/>
          <c:tx>
            <c:strRef>
              <c:f>RawTotals!$BC$18</c:f>
            </c:strRef>
          </c:tx>
          <c:dLbls>
            <c:dLblPos val="ctr"/>
            <c:showLegendKey val="0"/>
            <c:showVal val="0"/>
            <c:showCatName val="0"/>
            <c:showSerName val="1"/>
            <c:showPercent val="0"/>
            <c:showBubbleSize val="0"/>
          </c:dLbls>
          <c:xVal>
            <c:strRef>
              <c:f>RawTotals!$AE$18</c:f>
            </c:strRef>
          </c:xVal>
          <c:yVal>
            <c:numRef>
              <c:f>RawTotals!$O$18</c:f>
              <c:numCache/>
            </c:numRef>
          </c:yVal>
          <c:bubbleSize>
            <c:numRef>
              <c:f>RawTotals!$BB$18</c:f>
            </c:numRef>
          </c:bubbleSize>
        </c:ser>
        <c:ser>
          <c:idx val="17"/>
          <c:order val="17"/>
          <c:tx>
            <c:strRef>
              <c:f>RawTotals!$BC$19</c:f>
            </c:strRef>
          </c:tx>
          <c:dLbls>
            <c:dLblPos val="ctr"/>
            <c:showLegendKey val="0"/>
            <c:showVal val="0"/>
            <c:showCatName val="0"/>
            <c:showSerName val="1"/>
            <c:showPercent val="0"/>
            <c:showBubbleSize val="0"/>
          </c:dLbls>
          <c:xVal>
            <c:strRef>
              <c:f>RawTotals!$AE$19</c:f>
            </c:strRef>
          </c:xVal>
          <c:yVal>
            <c:numRef>
              <c:f>RawTotals!$O$19</c:f>
              <c:numCache/>
            </c:numRef>
          </c:yVal>
          <c:bubbleSize>
            <c:numRef>
              <c:f>RawTotals!$BB$19</c:f>
            </c:numRef>
          </c:bubbleSize>
        </c:ser>
        <c:ser>
          <c:idx val="18"/>
          <c:order val="18"/>
          <c:tx>
            <c:strRef>
              <c:f>RawTotals!$BC$20</c:f>
            </c:strRef>
          </c:tx>
          <c:dLbls>
            <c:dLblPos val="ctr"/>
            <c:showLegendKey val="0"/>
            <c:showVal val="0"/>
            <c:showCatName val="0"/>
            <c:showSerName val="1"/>
            <c:showPercent val="0"/>
            <c:showBubbleSize val="0"/>
          </c:dLbls>
          <c:xVal>
            <c:strRef>
              <c:f>RawTotals!$AE$20</c:f>
            </c:strRef>
          </c:xVal>
          <c:yVal>
            <c:numRef>
              <c:f>RawTotals!$O$20</c:f>
              <c:numCache/>
            </c:numRef>
          </c:yVal>
          <c:bubbleSize>
            <c:numRef>
              <c:f>RawTotals!$BB$20</c:f>
            </c:numRef>
          </c:bubbleSize>
        </c:ser>
        <c:ser>
          <c:idx val="19"/>
          <c:order val="19"/>
          <c:tx>
            <c:strRef>
              <c:f>RawTotals!$BC$21</c:f>
            </c:strRef>
          </c:tx>
          <c:dLbls>
            <c:dLblPos val="ctr"/>
            <c:showLegendKey val="0"/>
            <c:showVal val="0"/>
            <c:showCatName val="0"/>
            <c:showSerName val="1"/>
            <c:showPercent val="0"/>
            <c:showBubbleSize val="0"/>
          </c:dLbls>
          <c:xVal>
            <c:strRef>
              <c:f>RawTotals!$AE$21</c:f>
            </c:strRef>
          </c:xVal>
          <c:yVal>
            <c:numRef>
              <c:f>RawTotals!$O$21</c:f>
              <c:numCache/>
            </c:numRef>
          </c:yVal>
          <c:bubbleSize>
            <c:numRef>
              <c:f>RawTotals!$BB$21</c:f>
            </c:numRef>
          </c:bubbleSize>
        </c:ser>
        <c:ser>
          <c:idx val="20"/>
          <c:order val="20"/>
          <c:tx>
            <c:strRef>
              <c:f>RawTotals!$BC$22</c:f>
            </c:strRef>
          </c:tx>
          <c:dLbls>
            <c:dLblPos val="ctr"/>
            <c:showLegendKey val="0"/>
            <c:showVal val="0"/>
            <c:showCatName val="0"/>
            <c:showSerName val="1"/>
            <c:showPercent val="0"/>
            <c:showBubbleSize val="0"/>
          </c:dLbls>
          <c:xVal>
            <c:strRef>
              <c:f>RawTotals!$AE$22</c:f>
            </c:strRef>
          </c:xVal>
          <c:yVal>
            <c:numRef>
              <c:f>RawTotals!$O$22</c:f>
              <c:numCache/>
            </c:numRef>
          </c:yVal>
          <c:bubbleSize>
            <c:numRef>
              <c:f>RawTotals!$BB$22</c:f>
            </c:numRef>
          </c:bubbleSize>
        </c:ser>
        <c:ser>
          <c:idx val="21"/>
          <c:order val="21"/>
          <c:tx>
            <c:strRef>
              <c:f>RawTotals!$BC$23</c:f>
            </c:strRef>
          </c:tx>
          <c:dLbls>
            <c:dLblPos val="ctr"/>
            <c:showLegendKey val="0"/>
            <c:showVal val="0"/>
            <c:showCatName val="0"/>
            <c:showSerName val="1"/>
            <c:showPercent val="0"/>
            <c:showBubbleSize val="0"/>
          </c:dLbls>
          <c:xVal>
            <c:strRef>
              <c:f>RawTotals!$AE$23</c:f>
            </c:strRef>
          </c:xVal>
          <c:yVal>
            <c:numRef>
              <c:f>RawTotals!$O$23</c:f>
              <c:numCache/>
            </c:numRef>
          </c:yVal>
          <c:bubbleSize>
            <c:numRef>
              <c:f>RawTotals!$BB$23</c:f>
            </c:numRef>
          </c:bubbleSize>
        </c:ser>
        <c:ser>
          <c:idx val="22"/>
          <c:order val="22"/>
          <c:tx>
            <c:strRef>
              <c:f>RawTotals!$BC$24</c:f>
            </c:strRef>
          </c:tx>
          <c:dLbls>
            <c:dLblPos val="ctr"/>
            <c:showLegendKey val="0"/>
            <c:showVal val="0"/>
            <c:showCatName val="0"/>
            <c:showSerName val="1"/>
            <c:showPercent val="0"/>
            <c:showBubbleSize val="0"/>
          </c:dLbls>
          <c:xVal>
            <c:strRef>
              <c:f>RawTotals!$AE$24</c:f>
            </c:strRef>
          </c:xVal>
          <c:yVal>
            <c:numRef>
              <c:f>RawTotals!$O$24</c:f>
              <c:numCache/>
            </c:numRef>
          </c:yVal>
          <c:bubbleSize>
            <c:numRef>
              <c:f>RawTotals!$BB$24</c:f>
            </c:numRef>
          </c:bubbleSize>
        </c:ser>
        <c:ser>
          <c:idx val="23"/>
          <c:order val="23"/>
          <c:tx>
            <c:strRef>
              <c:f>RawTotals!$BC$25</c:f>
            </c:strRef>
          </c:tx>
          <c:dLbls>
            <c:dLblPos val="ctr"/>
            <c:showLegendKey val="0"/>
            <c:showVal val="0"/>
            <c:showCatName val="0"/>
            <c:showSerName val="1"/>
            <c:showPercent val="0"/>
            <c:showBubbleSize val="0"/>
          </c:dLbls>
          <c:xVal>
            <c:strRef>
              <c:f>RawTotals!$AE$25</c:f>
            </c:strRef>
          </c:xVal>
          <c:yVal>
            <c:numRef>
              <c:f>RawTotals!$O$25</c:f>
              <c:numCache/>
            </c:numRef>
          </c:yVal>
          <c:bubbleSize>
            <c:numRef>
              <c:f>RawTotals!$BB$25</c:f>
            </c:numRef>
          </c:bubbleSize>
        </c:ser>
        <c:ser>
          <c:idx val="24"/>
          <c:order val="24"/>
          <c:tx>
            <c:strRef>
              <c:f>RawTotals!$BC$26</c:f>
            </c:strRef>
          </c:tx>
          <c:dLbls>
            <c:dLblPos val="ctr"/>
            <c:showLegendKey val="0"/>
            <c:showVal val="0"/>
            <c:showCatName val="0"/>
            <c:showSerName val="1"/>
            <c:showPercent val="0"/>
            <c:showBubbleSize val="0"/>
          </c:dLbls>
          <c:xVal>
            <c:strRef>
              <c:f>RawTotals!$AE$26</c:f>
            </c:strRef>
          </c:xVal>
          <c:yVal>
            <c:numRef>
              <c:f>RawTotals!$O$26</c:f>
              <c:numCache/>
            </c:numRef>
          </c:yVal>
          <c:bubbleSize>
            <c:numRef>
              <c:f>RawTotals!$BB$26</c:f>
            </c:numRef>
          </c:bubbleSize>
        </c:ser>
        <c:ser>
          <c:idx val="25"/>
          <c:order val="25"/>
          <c:tx>
            <c:strRef>
              <c:f>RawTotals!$BC$27</c:f>
            </c:strRef>
          </c:tx>
          <c:dLbls>
            <c:dLblPos val="ctr"/>
            <c:showLegendKey val="0"/>
            <c:showVal val="0"/>
            <c:showCatName val="0"/>
            <c:showSerName val="1"/>
            <c:showPercent val="0"/>
            <c:showBubbleSize val="0"/>
          </c:dLbls>
          <c:xVal>
            <c:strRef>
              <c:f>RawTotals!$AE$27</c:f>
            </c:strRef>
          </c:xVal>
          <c:yVal>
            <c:numRef>
              <c:f>RawTotals!$O$27</c:f>
              <c:numCache/>
            </c:numRef>
          </c:yVal>
          <c:bubbleSize>
            <c:numRef>
              <c:f>RawTotals!$BB$27</c:f>
            </c:numRef>
          </c:bubbleSize>
        </c:ser>
        <c:ser>
          <c:idx val="26"/>
          <c:order val="26"/>
          <c:tx>
            <c:strRef>
              <c:f>RawTotals!$BC$28</c:f>
            </c:strRef>
          </c:tx>
          <c:dLbls>
            <c:dLblPos val="ctr"/>
            <c:showLegendKey val="0"/>
            <c:showVal val="0"/>
            <c:showCatName val="0"/>
            <c:showSerName val="1"/>
            <c:showPercent val="0"/>
            <c:showBubbleSize val="0"/>
          </c:dLbls>
          <c:xVal>
            <c:strRef>
              <c:f>RawTotals!$AE$28</c:f>
            </c:strRef>
          </c:xVal>
          <c:yVal>
            <c:numRef>
              <c:f>RawTotals!$O$28</c:f>
              <c:numCache/>
            </c:numRef>
          </c:yVal>
          <c:bubbleSize>
            <c:numRef>
              <c:f>RawTotals!$BB$28</c:f>
            </c:numRef>
          </c:bubbleSize>
        </c:ser>
        <c:ser>
          <c:idx val="27"/>
          <c:order val="27"/>
          <c:tx>
            <c:strRef>
              <c:f>RawTotals!$BC$29</c:f>
            </c:strRef>
          </c:tx>
          <c:dLbls>
            <c:dLblPos val="ctr"/>
            <c:showLegendKey val="0"/>
            <c:showVal val="0"/>
            <c:showCatName val="0"/>
            <c:showSerName val="1"/>
            <c:showPercent val="0"/>
            <c:showBubbleSize val="0"/>
          </c:dLbls>
          <c:xVal>
            <c:strRef>
              <c:f>RawTotals!$AE$29</c:f>
            </c:strRef>
          </c:xVal>
          <c:yVal>
            <c:numRef>
              <c:f>RawTotals!$O$29</c:f>
              <c:numCache/>
            </c:numRef>
          </c:yVal>
          <c:bubbleSize>
            <c:numRef>
              <c:f>RawTotals!$BB$29</c:f>
            </c:numRef>
          </c:bubbleSize>
        </c:ser>
        <c:ser>
          <c:idx val="28"/>
          <c:order val="28"/>
          <c:tx>
            <c:strRef>
              <c:f>RawTotals!$BC$30</c:f>
            </c:strRef>
          </c:tx>
          <c:dLbls>
            <c:dLblPos val="ctr"/>
            <c:showLegendKey val="0"/>
            <c:showVal val="0"/>
            <c:showCatName val="0"/>
            <c:showSerName val="1"/>
            <c:showPercent val="0"/>
            <c:showBubbleSize val="0"/>
          </c:dLbls>
          <c:xVal>
            <c:strRef>
              <c:f>RawTotals!$AE$30</c:f>
            </c:strRef>
          </c:xVal>
          <c:yVal>
            <c:numRef>
              <c:f>RawTotals!$O$30</c:f>
              <c:numCache/>
            </c:numRef>
          </c:yVal>
          <c:bubbleSize>
            <c:numRef>
              <c:f>RawTotals!$BB$30</c:f>
            </c:numRef>
          </c:bubbleSize>
        </c:ser>
        <c:ser>
          <c:idx val="29"/>
          <c:order val="29"/>
          <c:tx>
            <c:strRef>
              <c:f>RawTotals!$BC$31</c:f>
            </c:strRef>
          </c:tx>
          <c:dLbls>
            <c:dLblPos val="ctr"/>
            <c:showLegendKey val="0"/>
            <c:showVal val="0"/>
            <c:showCatName val="0"/>
            <c:showSerName val="1"/>
            <c:showPercent val="0"/>
            <c:showBubbleSize val="0"/>
          </c:dLbls>
          <c:xVal>
            <c:strRef>
              <c:f>RawTotals!$AE$31</c:f>
            </c:strRef>
          </c:xVal>
          <c:yVal>
            <c:numRef>
              <c:f>RawTotals!$O$31</c:f>
              <c:numCache/>
            </c:numRef>
          </c:yVal>
          <c:bubbleSize>
            <c:numRef>
              <c:f>RawTotals!$BB$31</c:f>
            </c:numRef>
          </c:bubbleSize>
        </c:ser>
        <c:ser>
          <c:idx val="30"/>
          <c:order val="30"/>
          <c:tx>
            <c:strRef>
              <c:f>RawTotals!$BC$32</c:f>
            </c:strRef>
          </c:tx>
          <c:dLbls>
            <c:dLblPos val="ctr"/>
            <c:showLegendKey val="0"/>
            <c:showVal val="0"/>
            <c:showCatName val="0"/>
            <c:showSerName val="1"/>
            <c:showPercent val="0"/>
            <c:showBubbleSize val="0"/>
          </c:dLbls>
          <c:xVal>
            <c:strRef>
              <c:f>RawTotals!$AE$32</c:f>
            </c:strRef>
          </c:xVal>
          <c:yVal>
            <c:numRef>
              <c:f>RawTotals!$O$32</c:f>
              <c:numCache/>
            </c:numRef>
          </c:yVal>
          <c:bubbleSize>
            <c:numRef>
              <c:f>RawTotals!$BB$32</c:f>
            </c:numRef>
          </c:bubbleSize>
        </c:ser>
        <c:ser>
          <c:idx val="31"/>
          <c:order val="31"/>
          <c:tx>
            <c:strRef>
              <c:f>RawTotals!$BC$33</c:f>
            </c:strRef>
          </c:tx>
          <c:dLbls>
            <c:dLblPos val="ctr"/>
            <c:showLegendKey val="0"/>
            <c:showVal val="0"/>
            <c:showCatName val="0"/>
            <c:showSerName val="1"/>
            <c:showPercent val="0"/>
            <c:showBubbleSize val="0"/>
          </c:dLbls>
          <c:xVal>
            <c:strRef>
              <c:f>RawTotals!$AE$33</c:f>
            </c:strRef>
          </c:xVal>
          <c:yVal>
            <c:numRef>
              <c:f>RawTotals!$O$33</c:f>
              <c:numCache/>
            </c:numRef>
          </c:yVal>
          <c:bubbleSize>
            <c:numRef>
              <c:f>RawTotals!$BB$33</c:f>
            </c:numRef>
          </c:bubbleSize>
        </c:ser>
        <c:ser>
          <c:idx val="32"/>
          <c:order val="32"/>
          <c:tx>
            <c:strRef>
              <c:f>RawTotals!$BC$34</c:f>
            </c:strRef>
          </c:tx>
          <c:dLbls>
            <c:dLblPos val="ctr"/>
            <c:showLegendKey val="0"/>
            <c:showVal val="0"/>
            <c:showCatName val="0"/>
            <c:showSerName val="1"/>
            <c:showPercent val="0"/>
            <c:showBubbleSize val="0"/>
          </c:dLbls>
          <c:xVal>
            <c:strRef>
              <c:f>RawTotals!$AE$34</c:f>
            </c:strRef>
          </c:xVal>
          <c:yVal>
            <c:numRef>
              <c:f>RawTotals!$O$34</c:f>
              <c:numCache/>
            </c:numRef>
          </c:yVal>
          <c:bubbleSize>
            <c:numRef>
              <c:f>RawTotals!$BB$34</c:f>
            </c:numRef>
          </c:bubbleSize>
        </c:ser>
        <c:ser>
          <c:idx val="33"/>
          <c:order val="33"/>
          <c:tx>
            <c:strRef>
              <c:f>RawTotals!$BC$35</c:f>
            </c:strRef>
          </c:tx>
          <c:dLbls>
            <c:dLblPos val="ctr"/>
            <c:showLegendKey val="0"/>
            <c:showVal val="0"/>
            <c:showCatName val="0"/>
            <c:showSerName val="1"/>
            <c:showPercent val="0"/>
            <c:showBubbleSize val="0"/>
          </c:dLbls>
          <c:xVal>
            <c:strRef>
              <c:f>RawTotals!$AE$35</c:f>
            </c:strRef>
          </c:xVal>
          <c:yVal>
            <c:numRef>
              <c:f>RawTotals!$O$35</c:f>
              <c:numCache/>
            </c:numRef>
          </c:yVal>
          <c:bubbleSize>
            <c:numRef>
              <c:f>RawTotals!$BB$35</c:f>
            </c:numRef>
          </c:bubbleSize>
        </c:ser>
        <c:ser>
          <c:idx val="34"/>
          <c:order val="34"/>
          <c:tx>
            <c:strRef>
              <c:f>RawTotals!$BC$36</c:f>
            </c:strRef>
          </c:tx>
          <c:dLbls>
            <c:dLblPos val="ctr"/>
            <c:showLegendKey val="0"/>
            <c:showVal val="0"/>
            <c:showCatName val="0"/>
            <c:showSerName val="1"/>
            <c:showPercent val="0"/>
            <c:showBubbleSize val="0"/>
          </c:dLbls>
          <c:xVal>
            <c:strRef>
              <c:f>RawTotals!$AE$36</c:f>
            </c:strRef>
          </c:xVal>
          <c:yVal>
            <c:numRef>
              <c:f>RawTotals!$O$36</c:f>
              <c:numCache/>
            </c:numRef>
          </c:yVal>
          <c:bubbleSize>
            <c:numRef>
              <c:f>RawTotals!$BB$36</c:f>
            </c:numRef>
          </c:bubbleSize>
        </c:ser>
        <c:ser>
          <c:idx val="35"/>
          <c:order val="35"/>
          <c:tx>
            <c:strRef>
              <c:f>RawTotals!$BC$37</c:f>
            </c:strRef>
          </c:tx>
          <c:dLbls>
            <c:dLblPos val="ctr"/>
            <c:showLegendKey val="0"/>
            <c:showVal val="0"/>
            <c:showCatName val="0"/>
            <c:showSerName val="1"/>
            <c:showPercent val="0"/>
            <c:showBubbleSize val="0"/>
          </c:dLbls>
          <c:xVal>
            <c:strRef>
              <c:f>RawTotals!$AE$37</c:f>
            </c:strRef>
          </c:xVal>
          <c:yVal>
            <c:numRef>
              <c:f>RawTotals!$O$37</c:f>
              <c:numCache/>
            </c:numRef>
          </c:yVal>
          <c:bubbleSize>
            <c:numRef>
              <c:f>RawTotals!$BB$37</c:f>
            </c:numRef>
          </c:bubbleSize>
        </c:ser>
        <c:ser>
          <c:idx val="36"/>
          <c:order val="36"/>
          <c:tx>
            <c:strRef>
              <c:f>RawTotals!$BC$38</c:f>
            </c:strRef>
          </c:tx>
          <c:dLbls>
            <c:dLblPos val="ctr"/>
            <c:showLegendKey val="0"/>
            <c:showVal val="0"/>
            <c:showCatName val="0"/>
            <c:showSerName val="1"/>
            <c:showPercent val="0"/>
            <c:showBubbleSize val="0"/>
          </c:dLbls>
          <c:xVal>
            <c:strRef>
              <c:f>RawTotals!$AE$38</c:f>
            </c:strRef>
          </c:xVal>
          <c:yVal>
            <c:numRef>
              <c:f>RawTotals!$O$38</c:f>
              <c:numCache/>
            </c:numRef>
          </c:yVal>
          <c:bubbleSize>
            <c:numRef>
              <c:f>RawTotals!$BB$38</c:f>
            </c:numRef>
          </c:bubbleSize>
        </c:ser>
        <c:ser>
          <c:idx val="37"/>
          <c:order val="37"/>
          <c:tx>
            <c:strRef>
              <c:f>RawTotals!$BC$39</c:f>
            </c:strRef>
          </c:tx>
          <c:dLbls>
            <c:dLblPos val="ctr"/>
            <c:showLegendKey val="0"/>
            <c:showVal val="0"/>
            <c:showCatName val="0"/>
            <c:showSerName val="1"/>
            <c:showPercent val="0"/>
            <c:showBubbleSize val="0"/>
          </c:dLbls>
          <c:xVal>
            <c:strRef>
              <c:f>RawTotals!$AE$39</c:f>
            </c:strRef>
          </c:xVal>
          <c:yVal>
            <c:numRef>
              <c:f>RawTotals!$O$39</c:f>
              <c:numCache/>
            </c:numRef>
          </c:yVal>
          <c:bubbleSize>
            <c:numRef>
              <c:f>RawTotals!$BB$39</c:f>
            </c:numRef>
          </c:bubbleSize>
        </c:ser>
        <c:ser>
          <c:idx val="38"/>
          <c:order val="38"/>
          <c:tx>
            <c:strRef>
              <c:f>RawTotals!$BC$40</c:f>
            </c:strRef>
          </c:tx>
          <c:dLbls>
            <c:dLblPos val="ctr"/>
            <c:showLegendKey val="0"/>
            <c:showVal val="0"/>
            <c:showCatName val="0"/>
            <c:showSerName val="1"/>
            <c:showPercent val="0"/>
            <c:showBubbleSize val="0"/>
          </c:dLbls>
          <c:xVal>
            <c:strRef>
              <c:f>RawTotals!$AE$40</c:f>
            </c:strRef>
          </c:xVal>
          <c:yVal>
            <c:numRef>
              <c:f>RawTotals!$O$40</c:f>
              <c:numCache/>
            </c:numRef>
          </c:yVal>
          <c:bubbleSize>
            <c:numRef>
              <c:f>RawTotals!$BB$40</c:f>
            </c:numRef>
          </c:bubbleSize>
        </c:ser>
        <c:ser>
          <c:idx val="39"/>
          <c:order val="39"/>
          <c:tx>
            <c:strRef>
              <c:f>RawTotals!$BC$41</c:f>
            </c:strRef>
          </c:tx>
          <c:dLbls>
            <c:dLblPos val="ctr"/>
            <c:showLegendKey val="0"/>
            <c:showVal val="0"/>
            <c:showCatName val="0"/>
            <c:showSerName val="1"/>
            <c:showPercent val="0"/>
            <c:showBubbleSize val="0"/>
          </c:dLbls>
          <c:xVal>
            <c:strRef>
              <c:f>RawTotals!$AE$41</c:f>
            </c:strRef>
          </c:xVal>
          <c:yVal>
            <c:numRef>
              <c:f>RawTotals!$O$41</c:f>
              <c:numCache/>
            </c:numRef>
          </c:yVal>
          <c:bubbleSize>
            <c:numRef>
              <c:f>RawTotals!$BB$41</c:f>
            </c:numRef>
          </c:bubbleSize>
        </c:ser>
        <c:ser>
          <c:idx val="40"/>
          <c:order val="40"/>
          <c:tx>
            <c:strRef>
              <c:f>RawTotals!$BC$42</c:f>
            </c:strRef>
          </c:tx>
          <c:dLbls>
            <c:dLblPos val="ctr"/>
            <c:showLegendKey val="0"/>
            <c:showVal val="0"/>
            <c:showCatName val="0"/>
            <c:showSerName val="1"/>
            <c:showPercent val="0"/>
            <c:showBubbleSize val="0"/>
          </c:dLbls>
          <c:xVal>
            <c:strRef>
              <c:f>RawTotals!$AE$42</c:f>
            </c:strRef>
          </c:xVal>
          <c:yVal>
            <c:numRef>
              <c:f>RawTotals!$O$42</c:f>
              <c:numCache/>
            </c:numRef>
          </c:yVal>
          <c:bubbleSize>
            <c:numRef>
              <c:f>RawTotals!$BB$42</c:f>
            </c:numRef>
          </c:bubbleSize>
        </c:ser>
        <c:ser>
          <c:idx val="41"/>
          <c:order val="41"/>
          <c:tx>
            <c:strRef>
              <c:f>RawTotals!$BC$43</c:f>
            </c:strRef>
          </c:tx>
          <c:dLbls>
            <c:dLblPos val="ctr"/>
            <c:showLegendKey val="0"/>
            <c:showVal val="0"/>
            <c:showCatName val="0"/>
            <c:showSerName val="1"/>
            <c:showPercent val="0"/>
            <c:showBubbleSize val="0"/>
          </c:dLbls>
          <c:xVal>
            <c:strRef>
              <c:f>RawTotals!$AE$43</c:f>
            </c:strRef>
          </c:xVal>
          <c:yVal>
            <c:numRef>
              <c:f>RawTotals!$O$43</c:f>
              <c:numCache/>
            </c:numRef>
          </c:yVal>
          <c:bubbleSize>
            <c:numRef>
              <c:f>RawTotals!$BB$43</c:f>
            </c:numRef>
          </c:bubbleSize>
        </c:ser>
        <c:ser>
          <c:idx val="42"/>
          <c:order val="42"/>
          <c:tx>
            <c:strRef>
              <c:f>RawTotals!$BC$44</c:f>
            </c:strRef>
          </c:tx>
          <c:dLbls>
            <c:dLblPos val="ctr"/>
            <c:showLegendKey val="0"/>
            <c:showVal val="0"/>
            <c:showCatName val="0"/>
            <c:showSerName val="1"/>
            <c:showPercent val="0"/>
            <c:showBubbleSize val="0"/>
          </c:dLbls>
          <c:xVal>
            <c:strRef>
              <c:f>RawTotals!$AE$44</c:f>
            </c:strRef>
          </c:xVal>
          <c:yVal>
            <c:numRef>
              <c:f>RawTotals!$O$44</c:f>
              <c:numCache/>
            </c:numRef>
          </c:yVal>
          <c:bubbleSize>
            <c:numRef>
              <c:f>RawTotals!$BB$44</c:f>
            </c:numRef>
          </c:bubbleSize>
        </c:ser>
        <c:ser>
          <c:idx val="43"/>
          <c:order val="43"/>
          <c:tx>
            <c:strRef>
              <c:f>RawTotals!$BC$45</c:f>
            </c:strRef>
          </c:tx>
          <c:dLbls>
            <c:dLblPos val="ctr"/>
            <c:showLegendKey val="0"/>
            <c:showVal val="0"/>
            <c:showCatName val="0"/>
            <c:showSerName val="1"/>
            <c:showPercent val="0"/>
            <c:showBubbleSize val="0"/>
          </c:dLbls>
          <c:xVal>
            <c:strRef>
              <c:f>RawTotals!$AE$45</c:f>
            </c:strRef>
          </c:xVal>
          <c:yVal>
            <c:numRef>
              <c:f>RawTotals!$O$45</c:f>
              <c:numCache/>
            </c:numRef>
          </c:yVal>
          <c:bubbleSize>
            <c:numRef>
              <c:f>RawTotals!$BB$45</c:f>
            </c:numRef>
          </c:bubbleSize>
        </c:ser>
        <c:ser>
          <c:idx val="44"/>
          <c:order val="44"/>
          <c:tx>
            <c:strRef>
              <c:f>RawTotals!$BC$46</c:f>
            </c:strRef>
          </c:tx>
          <c:dLbls>
            <c:dLblPos val="ctr"/>
            <c:showLegendKey val="0"/>
            <c:showVal val="0"/>
            <c:showCatName val="0"/>
            <c:showSerName val="1"/>
            <c:showPercent val="0"/>
            <c:showBubbleSize val="0"/>
          </c:dLbls>
          <c:xVal>
            <c:strRef>
              <c:f>RawTotals!$AE$46</c:f>
            </c:strRef>
          </c:xVal>
          <c:yVal>
            <c:numRef>
              <c:f>RawTotals!$O$46</c:f>
              <c:numCache/>
            </c:numRef>
          </c:yVal>
          <c:bubbleSize>
            <c:numRef>
              <c:f>RawTotals!$BB$46</c:f>
            </c:numRef>
          </c:bubbleSize>
        </c:ser>
        <c:ser>
          <c:idx val="45"/>
          <c:order val="45"/>
          <c:tx>
            <c:strRef>
              <c:f>RawTotals!$BC$47</c:f>
            </c:strRef>
          </c:tx>
          <c:dLbls>
            <c:dLblPos val="ctr"/>
            <c:showLegendKey val="0"/>
            <c:showVal val="0"/>
            <c:showCatName val="0"/>
            <c:showSerName val="1"/>
            <c:showPercent val="0"/>
            <c:showBubbleSize val="0"/>
          </c:dLbls>
          <c:xVal>
            <c:strRef>
              <c:f>RawTotals!$AE$47</c:f>
            </c:strRef>
          </c:xVal>
          <c:yVal>
            <c:numRef>
              <c:f>RawTotals!$O$47</c:f>
              <c:numCache/>
            </c:numRef>
          </c:yVal>
          <c:bubbleSize>
            <c:numRef>
              <c:f>RawTotals!$BB$47</c:f>
            </c:numRef>
          </c:bubbleSize>
        </c:ser>
        <c:ser>
          <c:idx val="46"/>
          <c:order val="46"/>
          <c:tx>
            <c:strRef>
              <c:f>RawTotals!$BC$48</c:f>
            </c:strRef>
          </c:tx>
          <c:dLbls>
            <c:dLblPos val="ctr"/>
            <c:showLegendKey val="0"/>
            <c:showVal val="0"/>
            <c:showCatName val="0"/>
            <c:showSerName val="1"/>
            <c:showPercent val="0"/>
            <c:showBubbleSize val="0"/>
          </c:dLbls>
          <c:xVal>
            <c:strRef>
              <c:f>RawTotals!$AE$48</c:f>
            </c:strRef>
          </c:xVal>
          <c:yVal>
            <c:numRef>
              <c:f>RawTotals!$O$48</c:f>
              <c:numCache/>
            </c:numRef>
          </c:yVal>
          <c:bubbleSize>
            <c:numRef>
              <c:f>RawTotals!$BB$48</c:f>
            </c:numRef>
          </c:bubbleSize>
        </c:ser>
        <c:ser>
          <c:idx val="47"/>
          <c:order val="47"/>
          <c:tx>
            <c:strRef>
              <c:f>RawTotals!$BC$49</c:f>
            </c:strRef>
          </c:tx>
          <c:dLbls>
            <c:dLblPos val="ctr"/>
            <c:showLegendKey val="0"/>
            <c:showVal val="0"/>
            <c:showCatName val="0"/>
            <c:showSerName val="1"/>
            <c:showPercent val="0"/>
            <c:showBubbleSize val="0"/>
          </c:dLbls>
          <c:xVal>
            <c:strRef>
              <c:f>RawTotals!$AE$49</c:f>
            </c:strRef>
          </c:xVal>
          <c:yVal>
            <c:numRef>
              <c:f>RawTotals!$O$49</c:f>
              <c:numCache/>
            </c:numRef>
          </c:yVal>
          <c:bubbleSize>
            <c:numRef>
              <c:f>RawTotals!$BB$49</c:f>
            </c:numRef>
          </c:bubbleSize>
        </c:ser>
        <c:ser>
          <c:idx val="48"/>
          <c:order val="48"/>
          <c:tx>
            <c:strRef>
              <c:f>RawTotals!$BC$50</c:f>
            </c:strRef>
          </c:tx>
          <c:dLbls>
            <c:dLblPos val="ctr"/>
            <c:showLegendKey val="0"/>
            <c:showVal val="0"/>
            <c:showCatName val="0"/>
            <c:showSerName val="1"/>
            <c:showPercent val="0"/>
            <c:showBubbleSize val="0"/>
          </c:dLbls>
          <c:xVal>
            <c:strRef>
              <c:f>RawTotals!$AE$50</c:f>
            </c:strRef>
          </c:xVal>
          <c:yVal>
            <c:numRef>
              <c:f>RawTotals!$O$50</c:f>
              <c:numCache/>
            </c:numRef>
          </c:yVal>
          <c:bubbleSize>
            <c:numRef>
              <c:f>RawTotals!$BB$50</c:f>
            </c:numRef>
          </c:bubbleSize>
        </c:ser>
        <c:ser>
          <c:idx val="49"/>
          <c:order val="49"/>
          <c:tx>
            <c:strRef>
              <c:f>RawTotals!$BC$51</c:f>
            </c:strRef>
          </c:tx>
          <c:dLbls>
            <c:dLblPos val="ctr"/>
            <c:showLegendKey val="0"/>
            <c:showVal val="0"/>
            <c:showCatName val="0"/>
            <c:showSerName val="1"/>
            <c:showPercent val="0"/>
            <c:showBubbleSize val="0"/>
          </c:dLbls>
          <c:xVal>
            <c:strRef>
              <c:f>RawTotals!$AE$51</c:f>
            </c:strRef>
          </c:xVal>
          <c:yVal>
            <c:numRef>
              <c:f>RawTotals!$O$51</c:f>
              <c:numCache/>
            </c:numRef>
          </c:yVal>
          <c:bubbleSize>
            <c:numRef>
              <c:f>RawTotals!$BB$51</c:f>
            </c:numRef>
          </c:bubbleSize>
        </c:ser>
        <c:ser>
          <c:idx val="50"/>
          <c:order val="50"/>
          <c:tx>
            <c:strRef>
              <c:f>RawTotals!$BC$52</c:f>
            </c:strRef>
          </c:tx>
          <c:dLbls>
            <c:dLblPos val="ctr"/>
            <c:showLegendKey val="0"/>
            <c:showVal val="0"/>
            <c:showCatName val="0"/>
            <c:showSerName val="1"/>
            <c:showPercent val="0"/>
            <c:showBubbleSize val="0"/>
          </c:dLbls>
          <c:xVal>
            <c:strRef>
              <c:f>RawTotals!$AE$52</c:f>
            </c:strRef>
          </c:xVal>
          <c:yVal>
            <c:numRef>
              <c:f>RawTotals!$O$52</c:f>
              <c:numCache/>
            </c:numRef>
          </c:yVal>
          <c:bubbleSize>
            <c:numRef>
              <c:f>RawTotals!$BB$52</c:f>
            </c:numRef>
          </c:bubbleSize>
        </c:ser>
        <c:ser>
          <c:idx val="51"/>
          <c:order val="51"/>
          <c:tx>
            <c:strRef>
              <c:f>RawTotals!$BC$53</c:f>
            </c:strRef>
          </c:tx>
          <c:dLbls>
            <c:dLblPos val="ctr"/>
            <c:showLegendKey val="0"/>
            <c:showVal val="0"/>
            <c:showCatName val="0"/>
            <c:showSerName val="1"/>
            <c:showPercent val="0"/>
            <c:showBubbleSize val="0"/>
          </c:dLbls>
          <c:xVal>
            <c:strRef>
              <c:f>RawTotals!$AE$53</c:f>
            </c:strRef>
          </c:xVal>
          <c:yVal>
            <c:numRef>
              <c:f>RawTotals!$O$53</c:f>
              <c:numCache/>
            </c:numRef>
          </c:yVal>
          <c:bubbleSize>
            <c:numRef>
              <c:f>RawTotals!$BB$53</c:f>
            </c:numRef>
          </c:bubbleSize>
        </c:ser>
        <c:ser>
          <c:idx val="52"/>
          <c:order val="52"/>
          <c:tx>
            <c:strRef>
              <c:f>RawTotals!$BC$54</c:f>
            </c:strRef>
          </c:tx>
          <c:dLbls>
            <c:dLblPos val="ctr"/>
            <c:showLegendKey val="0"/>
            <c:showVal val="0"/>
            <c:showCatName val="0"/>
            <c:showSerName val="1"/>
            <c:showPercent val="0"/>
            <c:showBubbleSize val="0"/>
          </c:dLbls>
          <c:xVal>
            <c:strRef>
              <c:f>RawTotals!$AE$54</c:f>
            </c:strRef>
          </c:xVal>
          <c:yVal>
            <c:numRef>
              <c:f>RawTotals!$O$54</c:f>
              <c:numCache/>
            </c:numRef>
          </c:yVal>
          <c:bubbleSize>
            <c:numRef>
              <c:f>RawTotals!$BB$54</c:f>
            </c:numRef>
          </c:bubbleSize>
        </c:ser>
        <c:ser>
          <c:idx val="53"/>
          <c:order val="53"/>
          <c:tx>
            <c:strRef>
              <c:f>RawTotals!$BC$55</c:f>
            </c:strRef>
          </c:tx>
          <c:dLbls>
            <c:dLblPos val="ctr"/>
            <c:showLegendKey val="0"/>
            <c:showVal val="0"/>
            <c:showCatName val="0"/>
            <c:showSerName val="1"/>
            <c:showPercent val="0"/>
            <c:showBubbleSize val="0"/>
          </c:dLbls>
          <c:xVal>
            <c:strRef>
              <c:f>RawTotals!$AE$55</c:f>
            </c:strRef>
          </c:xVal>
          <c:yVal>
            <c:numRef>
              <c:f>RawTotals!$O$55</c:f>
              <c:numCache/>
            </c:numRef>
          </c:yVal>
          <c:bubbleSize>
            <c:numRef>
              <c:f>RawTotals!$BB$55</c:f>
            </c:numRef>
          </c:bubbleSize>
        </c:ser>
        <c:ser>
          <c:idx val="54"/>
          <c:order val="54"/>
          <c:tx>
            <c:strRef>
              <c:f>RawTotals!$BC$56</c:f>
            </c:strRef>
          </c:tx>
          <c:dLbls>
            <c:dLblPos val="ctr"/>
            <c:showLegendKey val="0"/>
            <c:showVal val="0"/>
            <c:showCatName val="0"/>
            <c:showSerName val="1"/>
            <c:showPercent val="0"/>
            <c:showBubbleSize val="0"/>
          </c:dLbls>
          <c:xVal>
            <c:strRef>
              <c:f>RawTotals!$AE$56</c:f>
            </c:strRef>
          </c:xVal>
          <c:yVal>
            <c:numRef>
              <c:f>RawTotals!$O$56</c:f>
              <c:numCache/>
            </c:numRef>
          </c:yVal>
          <c:bubbleSize>
            <c:numRef>
              <c:f>RawTotals!$BB$56</c:f>
            </c:numRef>
          </c:bubbleSize>
        </c:ser>
        <c:ser>
          <c:idx val="55"/>
          <c:order val="55"/>
          <c:tx>
            <c:strRef>
              <c:f>RawTotals!$BC$57</c:f>
            </c:strRef>
          </c:tx>
          <c:dLbls>
            <c:dLblPos val="ctr"/>
            <c:showLegendKey val="0"/>
            <c:showVal val="0"/>
            <c:showCatName val="0"/>
            <c:showSerName val="1"/>
            <c:showPercent val="0"/>
            <c:showBubbleSize val="0"/>
          </c:dLbls>
          <c:xVal>
            <c:strRef>
              <c:f>RawTotals!$AE$57</c:f>
            </c:strRef>
          </c:xVal>
          <c:yVal>
            <c:numRef>
              <c:f>RawTotals!$O$57</c:f>
              <c:numCache/>
            </c:numRef>
          </c:yVal>
          <c:bubbleSize>
            <c:numRef>
              <c:f>RawTotals!$BB$57</c:f>
            </c:numRef>
          </c:bubbleSize>
        </c:ser>
        <c:ser>
          <c:idx val="56"/>
          <c:order val="56"/>
          <c:tx>
            <c:strRef>
              <c:f>RawTotals!$BC$58</c:f>
            </c:strRef>
          </c:tx>
          <c:dLbls>
            <c:dLblPos val="ctr"/>
            <c:showLegendKey val="0"/>
            <c:showVal val="0"/>
            <c:showCatName val="0"/>
            <c:showSerName val="1"/>
            <c:showPercent val="0"/>
            <c:showBubbleSize val="0"/>
          </c:dLbls>
          <c:xVal>
            <c:strRef>
              <c:f>RawTotals!$AE$58</c:f>
            </c:strRef>
          </c:xVal>
          <c:yVal>
            <c:numRef>
              <c:f>RawTotals!$O$58</c:f>
              <c:numCache/>
            </c:numRef>
          </c:yVal>
          <c:bubbleSize>
            <c:numRef>
              <c:f>RawTotals!$BB$58</c:f>
            </c:numRef>
          </c:bubbleSize>
        </c:ser>
        <c:ser>
          <c:idx val="57"/>
          <c:order val="57"/>
          <c:tx>
            <c:strRef>
              <c:f>RawTotals!$BC$59</c:f>
            </c:strRef>
          </c:tx>
          <c:dLbls>
            <c:dLblPos val="ctr"/>
            <c:showLegendKey val="0"/>
            <c:showVal val="0"/>
            <c:showCatName val="0"/>
            <c:showSerName val="1"/>
            <c:showPercent val="0"/>
            <c:showBubbleSize val="0"/>
          </c:dLbls>
          <c:xVal>
            <c:strRef>
              <c:f>RawTotals!$AE$59</c:f>
            </c:strRef>
          </c:xVal>
          <c:yVal>
            <c:numRef>
              <c:f>RawTotals!$O$59</c:f>
              <c:numCache/>
            </c:numRef>
          </c:yVal>
          <c:bubbleSize>
            <c:numRef>
              <c:f>RawTotals!$BB$59</c:f>
            </c:numRef>
          </c:bubbleSize>
        </c:ser>
        <c:ser>
          <c:idx val="58"/>
          <c:order val="58"/>
          <c:tx>
            <c:strRef>
              <c:f>RawTotals!$BC$60</c:f>
            </c:strRef>
          </c:tx>
          <c:dLbls>
            <c:dLblPos val="ctr"/>
            <c:showLegendKey val="0"/>
            <c:showVal val="0"/>
            <c:showCatName val="0"/>
            <c:showSerName val="1"/>
            <c:showPercent val="0"/>
            <c:showBubbleSize val="0"/>
          </c:dLbls>
          <c:xVal>
            <c:strRef>
              <c:f>RawTotals!$AE$60</c:f>
            </c:strRef>
          </c:xVal>
          <c:yVal>
            <c:numRef>
              <c:f>RawTotals!$O$60</c:f>
              <c:numCache/>
            </c:numRef>
          </c:yVal>
          <c:bubbleSize>
            <c:numRef>
              <c:f>RawTotals!$BB$60</c:f>
            </c:numRef>
          </c:bubbleSize>
        </c:ser>
        <c:ser>
          <c:idx val="59"/>
          <c:order val="59"/>
          <c:tx>
            <c:strRef>
              <c:f>RawTotals!$BC$61</c:f>
            </c:strRef>
          </c:tx>
          <c:dLbls>
            <c:dLblPos val="ctr"/>
            <c:showLegendKey val="0"/>
            <c:showVal val="0"/>
            <c:showCatName val="0"/>
            <c:showSerName val="1"/>
            <c:showPercent val="0"/>
            <c:showBubbleSize val="0"/>
          </c:dLbls>
          <c:xVal>
            <c:strRef>
              <c:f>RawTotals!$AE$61</c:f>
            </c:strRef>
          </c:xVal>
          <c:yVal>
            <c:numRef>
              <c:f>RawTotals!$O$61</c:f>
              <c:numCache/>
            </c:numRef>
          </c:yVal>
          <c:bubbleSize>
            <c:numRef>
              <c:f>RawTotals!$BB$61</c:f>
            </c:numRef>
          </c:bubbleSize>
        </c:ser>
        <c:ser>
          <c:idx val="60"/>
          <c:order val="60"/>
          <c:tx>
            <c:strRef>
              <c:f>RawTotals!$BC$62</c:f>
            </c:strRef>
          </c:tx>
          <c:dLbls>
            <c:dLblPos val="ctr"/>
            <c:showLegendKey val="0"/>
            <c:showVal val="0"/>
            <c:showCatName val="0"/>
            <c:showSerName val="1"/>
            <c:showPercent val="0"/>
            <c:showBubbleSize val="0"/>
          </c:dLbls>
          <c:xVal>
            <c:strRef>
              <c:f>RawTotals!$AE$62</c:f>
            </c:strRef>
          </c:xVal>
          <c:yVal>
            <c:numRef>
              <c:f>RawTotals!$O$62</c:f>
              <c:numCache/>
            </c:numRef>
          </c:yVal>
          <c:bubbleSize>
            <c:numRef>
              <c:f>RawTotals!$BB$62</c:f>
            </c:numRef>
          </c:bubbleSize>
        </c:ser>
        <c:ser>
          <c:idx val="61"/>
          <c:order val="61"/>
          <c:tx>
            <c:strRef>
              <c:f>RawTotals!$BC$63</c:f>
            </c:strRef>
          </c:tx>
          <c:dLbls>
            <c:dLblPos val="ctr"/>
            <c:showLegendKey val="0"/>
            <c:showVal val="0"/>
            <c:showCatName val="0"/>
            <c:showSerName val="1"/>
            <c:showPercent val="0"/>
            <c:showBubbleSize val="0"/>
          </c:dLbls>
          <c:xVal>
            <c:strRef>
              <c:f>RawTotals!$AE$63</c:f>
            </c:strRef>
          </c:xVal>
          <c:yVal>
            <c:numRef>
              <c:f>RawTotals!$O$63</c:f>
              <c:numCache/>
            </c:numRef>
          </c:yVal>
          <c:bubbleSize>
            <c:numRef>
              <c:f>RawTotals!$BB$63</c:f>
            </c:numRef>
          </c:bubbleSize>
        </c:ser>
        <c:ser>
          <c:idx val="62"/>
          <c:order val="62"/>
          <c:tx>
            <c:strRef>
              <c:f>RawTotals!$BC$64</c:f>
            </c:strRef>
          </c:tx>
          <c:dLbls>
            <c:dLblPos val="ctr"/>
            <c:showLegendKey val="0"/>
            <c:showVal val="0"/>
            <c:showCatName val="0"/>
            <c:showSerName val="1"/>
            <c:showPercent val="0"/>
            <c:showBubbleSize val="0"/>
          </c:dLbls>
          <c:xVal>
            <c:strRef>
              <c:f>RawTotals!$AE$64</c:f>
            </c:strRef>
          </c:xVal>
          <c:yVal>
            <c:numRef>
              <c:f>RawTotals!$O$64</c:f>
              <c:numCache/>
            </c:numRef>
          </c:yVal>
          <c:bubbleSize>
            <c:numRef>
              <c:f>RawTotals!$BB$64</c:f>
            </c:numRef>
          </c:bubbleSize>
        </c:ser>
        <c:ser>
          <c:idx val="63"/>
          <c:order val="63"/>
          <c:tx>
            <c:strRef>
              <c:f>RawTotals!$BC$65</c:f>
            </c:strRef>
          </c:tx>
          <c:dLbls>
            <c:dLblPos val="ctr"/>
            <c:showLegendKey val="0"/>
            <c:showVal val="0"/>
            <c:showCatName val="0"/>
            <c:showSerName val="1"/>
            <c:showPercent val="0"/>
            <c:showBubbleSize val="0"/>
          </c:dLbls>
          <c:xVal>
            <c:strRef>
              <c:f>RawTotals!$AE$65</c:f>
            </c:strRef>
          </c:xVal>
          <c:yVal>
            <c:numRef>
              <c:f>RawTotals!$O$65</c:f>
              <c:numCache/>
            </c:numRef>
          </c:yVal>
          <c:bubbleSize>
            <c:numRef>
              <c:f>RawTotals!$BB$65</c:f>
            </c:numRef>
          </c:bubbleSize>
        </c:ser>
        <c:ser>
          <c:idx val="64"/>
          <c:order val="64"/>
          <c:tx>
            <c:strRef>
              <c:f>RawTotals!$BC$66</c:f>
            </c:strRef>
          </c:tx>
          <c:dLbls>
            <c:dLblPos val="ctr"/>
            <c:showLegendKey val="0"/>
            <c:showVal val="0"/>
            <c:showCatName val="0"/>
            <c:showSerName val="1"/>
            <c:showPercent val="0"/>
            <c:showBubbleSize val="0"/>
          </c:dLbls>
          <c:xVal>
            <c:strRef>
              <c:f>RawTotals!$AE$66</c:f>
            </c:strRef>
          </c:xVal>
          <c:yVal>
            <c:numRef>
              <c:f>RawTotals!$O$66</c:f>
              <c:numCache/>
            </c:numRef>
          </c:yVal>
          <c:bubbleSize>
            <c:numRef>
              <c:f>RawTotals!$BB$66</c:f>
            </c:numRef>
          </c:bubbleSize>
        </c:ser>
        <c:ser>
          <c:idx val="65"/>
          <c:order val="65"/>
          <c:tx>
            <c:strRef>
              <c:f>RawTotals!$BC$67</c:f>
            </c:strRef>
          </c:tx>
          <c:dLbls>
            <c:dLblPos val="ctr"/>
            <c:showLegendKey val="0"/>
            <c:showVal val="0"/>
            <c:showCatName val="0"/>
            <c:showSerName val="1"/>
            <c:showPercent val="0"/>
            <c:showBubbleSize val="0"/>
          </c:dLbls>
          <c:xVal>
            <c:strRef>
              <c:f>RawTotals!$AE$67</c:f>
            </c:strRef>
          </c:xVal>
          <c:yVal>
            <c:numRef>
              <c:f>RawTotals!$O$67</c:f>
              <c:numCache/>
            </c:numRef>
          </c:yVal>
          <c:bubbleSize>
            <c:numRef>
              <c:f>RawTotals!$BB$67</c:f>
            </c:numRef>
          </c:bubbleSize>
        </c:ser>
        <c:ser>
          <c:idx val="66"/>
          <c:order val="66"/>
          <c:tx>
            <c:strRef>
              <c:f>RawTotals!$BC$68</c:f>
            </c:strRef>
          </c:tx>
          <c:dLbls>
            <c:dLblPos val="ctr"/>
            <c:showLegendKey val="0"/>
            <c:showVal val="0"/>
            <c:showCatName val="0"/>
            <c:showSerName val="1"/>
            <c:showPercent val="0"/>
            <c:showBubbleSize val="0"/>
          </c:dLbls>
          <c:xVal>
            <c:strRef>
              <c:f>RawTotals!$AE$68</c:f>
            </c:strRef>
          </c:xVal>
          <c:yVal>
            <c:numRef>
              <c:f>RawTotals!$O$68</c:f>
              <c:numCache/>
            </c:numRef>
          </c:yVal>
          <c:bubbleSize>
            <c:numRef>
              <c:f>RawTotals!$BB$68</c:f>
            </c:numRef>
          </c:bubbleSize>
        </c:ser>
        <c:ser>
          <c:idx val="67"/>
          <c:order val="67"/>
          <c:tx>
            <c:strRef>
              <c:f>RawTotals!$BC$69</c:f>
            </c:strRef>
          </c:tx>
          <c:dLbls>
            <c:dLblPos val="ctr"/>
            <c:showLegendKey val="0"/>
            <c:showVal val="0"/>
            <c:showCatName val="0"/>
            <c:showSerName val="1"/>
            <c:showPercent val="0"/>
            <c:showBubbleSize val="0"/>
          </c:dLbls>
          <c:xVal>
            <c:strRef>
              <c:f>RawTotals!$AE$69</c:f>
            </c:strRef>
          </c:xVal>
          <c:yVal>
            <c:numRef>
              <c:f>RawTotals!$O$69</c:f>
              <c:numCache/>
            </c:numRef>
          </c:yVal>
          <c:bubbleSize>
            <c:numRef>
              <c:f>RawTotals!$BB$69</c:f>
            </c:numRef>
          </c:bubbleSize>
        </c:ser>
        <c:ser>
          <c:idx val="68"/>
          <c:order val="68"/>
          <c:tx>
            <c:strRef>
              <c:f>RawTotals!$BC$70</c:f>
            </c:strRef>
          </c:tx>
          <c:dLbls>
            <c:dLblPos val="ctr"/>
            <c:showLegendKey val="0"/>
            <c:showVal val="0"/>
            <c:showCatName val="0"/>
            <c:showSerName val="1"/>
            <c:showPercent val="0"/>
            <c:showBubbleSize val="0"/>
          </c:dLbls>
          <c:xVal>
            <c:strRef>
              <c:f>RawTotals!$AE$70</c:f>
            </c:strRef>
          </c:xVal>
          <c:yVal>
            <c:numRef>
              <c:f>RawTotals!$O$70</c:f>
              <c:numCache/>
            </c:numRef>
          </c:yVal>
          <c:bubbleSize>
            <c:numRef>
              <c:f>RawTotals!$BB$70</c:f>
            </c:numRef>
          </c:bubbleSize>
        </c:ser>
        <c:ser>
          <c:idx val="69"/>
          <c:order val="69"/>
          <c:tx>
            <c:strRef>
              <c:f>RawTotals!$BC$71</c:f>
            </c:strRef>
          </c:tx>
          <c:dLbls>
            <c:dLblPos val="ctr"/>
            <c:showLegendKey val="0"/>
            <c:showVal val="0"/>
            <c:showCatName val="0"/>
            <c:showSerName val="1"/>
            <c:showPercent val="0"/>
            <c:showBubbleSize val="0"/>
          </c:dLbls>
          <c:xVal>
            <c:strRef>
              <c:f>RawTotals!$AE$71</c:f>
            </c:strRef>
          </c:xVal>
          <c:yVal>
            <c:numRef>
              <c:f>RawTotals!$O$71</c:f>
              <c:numCache/>
            </c:numRef>
          </c:yVal>
          <c:bubbleSize>
            <c:numRef>
              <c:f>RawTotals!$BB$71</c:f>
            </c:numRef>
          </c:bubbleSize>
        </c:ser>
        <c:ser>
          <c:idx val="70"/>
          <c:order val="70"/>
          <c:tx>
            <c:strRef>
              <c:f>RawTotals!$BC$72</c:f>
            </c:strRef>
          </c:tx>
          <c:dLbls>
            <c:dLblPos val="ctr"/>
            <c:showLegendKey val="0"/>
            <c:showVal val="0"/>
            <c:showCatName val="0"/>
            <c:showSerName val="1"/>
            <c:showPercent val="0"/>
            <c:showBubbleSize val="0"/>
          </c:dLbls>
          <c:xVal>
            <c:strRef>
              <c:f>RawTotals!$AE$72</c:f>
            </c:strRef>
          </c:xVal>
          <c:yVal>
            <c:numRef>
              <c:f>RawTotals!$O$72</c:f>
              <c:numCache/>
            </c:numRef>
          </c:yVal>
          <c:bubbleSize>
            <c:numRef>
              <c:f>RawTotals!$BB$72</c:f>
            </c:numRef>
          </c:bubbleSize>
        </c:ser>
        <c:ser>
          <c:idx val="71"/>
          <c:order val="71"/>
          <c:tx>
            <c:strRef>
              <c:f>RawTotals!$BC$73</c:f>
            </c:strRef>
          </c:tx>
          <c:dLbls>
            <c:dLblPos val="ctr"/>
            <c:showLegendKey val="0"/>
            <c:showVal val="0"/>
            <c:showCatName val="0"/>
            <c:showSerName val="1"/>
            <c:showPercent val="0"/>
            <c:showBubbleSize val="0"/>
          </c:dLbls>
          <c:xVal>
            <c:strRef>
              <c:f>RawTotals!$AE$73</c:f>
            </c:strRef>
          </c:xVal>
          <c:yVal>
            <c:numRef>
              <c:f>RawTotals!$O$73</c:f>
              <c:numCache/>
            </c:numRef>
          </c:yVal>
          <c:bubbleSize>
            <c:numRef>
              <c:f>RawTotals!$BB$73</c:f>
            </c:numRef>
          </c:bubbleSize>
        </c:ser>
        <c:ser>
          <c:idx val="72"/>
          <c:order val="72"/>
          <c:tx>
            <c:strRef>
              <c:f>RawTotals!$BC$74</c:f>
            </c:strRef>
          </c:tx>
          <c:dLbls>
            <c:dLblPos val="ctr"/>
            <c:showLegendKey val="0"/>
            <c:showVal val="0"/>
            <c:showCatName val="0"/>
            <c:showSerName val="1"/>
            <c:showPercent val="0"/>
            <c:showBubbleSize val="0"/>
          </c:dLbls>
          <c:xVal>
            <c:strRef>
              <c:f>RawTotals!$AE$74</c:f>
            </c:strRef>
          </c:xVal>
          <c:yVal>
            <c:numRef>
              <c:f>RawTotals!$O$74</c:f>
              <c:numCache/>
            </c:numRef>
          </c:yVal>
          <c:bubbleSize>
            <c:numRef>
              <c:f>RawTotals!$BB$74</c:f>
            </c:numRef>
          </c:bubbleSize>
        </c:ser>
        <c:ser>
          <c:idx val="73"/>
          <c:order val="73"/>
          <c:tx>
            <c:strRef>
              <c:f>RawTotals!$BC$75</c:f>
            </c:strRef>
          </c:tx>
          <c:dLbls>
            <c:dLblPos val="ctr"/>
            <c:showLegendKey val="0"/>
            <c:showVal val="0"/>
            <c:showCatName val="0"/>
            <c:showSerName val="1"/>
            <c:showPercent val="0"/>
            <c:showBubbleSize val="0"/>
          </c:dLbls>
          <c:xVal>
            <c:strRef>
              <c:f>RawTotals!$AE$75</c:f>
            </c:strRef>
          </c:xVal>
          <c:yVal>
            <c:numRef>
              <c:f>RawTotals!$O$75</c:f>
              <c:numCache/>
            </c:numRef>
          </c:yVal>
          <c:bubbleSize>
            <c:numRef>
              <c:f>RawTotals!$BB$75</c:f>
            </c:numRef>
          </c:bubbleSize>
        </c:ser>
        <c:ser>
          <c:idx val="74"/>
          <c:order val="74"/>
          <c:tx>
            <c:strRef>
              <c:f>RawTotals!$BC$76</c:f>
            </c:strRef>
          </c:tx>
          <c:dLbls>
            <c:dLblPos val="ctr"/>
            <c:showLegendKey val="0"/>
            <c:showVal val="0"/>
            <c:showCatName val="0"/>
            <c:showSerName val="1"/>
            <c:showPercent val="0"/>
            <c:showBubbleSize val="0"/>
          </c:dLbls>
          <c:xVal>
            <c:strRef>
              <c:f>RawTotals!$AE$76</c:f>
            </c:strRef>
          </c:xVal>
          <c:yVal>
            <c:numRef>
              <c:f>RawTotals!$O$76</c:f>
              <c:numCache/>
            </c:numRef>
          </c:yVal>
          <c:bubbleSize>
            <c:numRef>
              <c:f>RawTotals!$BB$76</c:f>
            </c:numRef>
          </c:bubbleSize>
        </c:ser>
        <c:ser>
          <c:idx val="75"/>
          <c:order val="75"/>
          <c:tx>
            <c:strRef>
              <c:f>RawTotals!$BC$77</c:f>
            </c:strRef>
          </c:tx>
          <c:dLbls>
            <c:dLblPos val="ctr"/>
            <c:showLegendKey val="0"/>
            <c:showVal val="0"/>
            <c:showCatName val="0"/>
            <c:showSerName val="1"/>
            <c:showPercent val="0"/>
            <c:showBubbleSize val="0"/>
          </c:dLbls>
          <c:xVal>
            <c:strRef>
              <c:f>RawTotals!$AE$77</c:f>
            </c:strRef>
          </c:xVal>
          <c:yVal>
            <c:numRef>
              <c:f>RawTotals!$O$77</c:f>
              <c:numCache/>
            </c:numRef>
          </c:yVal>
          <c:bubbleSize>
            <c:numRef>
              <c:f>RawTotals!$BB$77</c:f>
            </c:numRef>
          </c:bubbleSize>
        </c:ser>
        <c:ser>
          <c:idx val="76"/>
          <c:order val="76"/>
          <c:tx>
            <c:strRef>
              <c:f>RawTotals!$BC$78</c:f>
            </c:strRef>
          </c:tx>
          <c:dLbls>
            <c:dLblPos val="ctr"/>
            <c:showLegendKey val="0"/>
            <c:showVal val="0"/>
            <c:showCatName val="0"/>
            <c:showSerName val="1"/>
            <c:showPercent val="0"/>
            <c:showBubbleSize val="0"/>
          </c:dLbls>
          <c:xVal>
            <c:strRef>
              <c:f>RawTotals!$AE$78</c:f>
            </c:strRef>
          </c:xVal>
          <c:yVal>
            <c:numRef>
              <c:f>RawTotals!$O$78</c:f>
              <c:numCache/>
            </c:numRef>
          </c:yVal>
          <c:bubbleSize>
            <c:numRef>
              <c:f>RawTotals!$BB$78</c:f>
            </c:numRef>
          </c:bubbleSize>
        </c:ser>
        <c:ser>
          <c:idx val="77"/>
          <c:order val="77"/>
          <c:tx>
            <c:strRef>
              <c:f>RawTotals!$BC$79</c:f>
            </c:strRef>
          </c:tx>
          <c:dLbls>
            <c:dLblPos val="ctr"/>
            <c:showLegendKey val="0"/>
            <c:showVal val="0"/>
            <c:showCatName val="0"/>
            <c:showSerName val="1"/>
            <c:showPercent val="0"/>
            <c:showBubbleSize val="0"/>
          </c:dLbls>
          <c:xVal>
            <c:strRef>
              <c:f>RawTotals!$AE$79</c:f>
            </c:strRef>
          </c:xVal>
          <c:yVal>
            <c:numRef>
              <c:f>RawTotals!$O$79</c:f>
              <c:numCache/>
            </c:numRef>
          </c:yVal>
          <c:bubbleSize>
            <c:numRef>
              <c:f>RawTotals!$BB$79</c:f>
            </c:numRef>
          </c:bubbleSize>
        </c:ser>
        <c:ser>
          <c:idx val="78"/>
          <c:order val="78"/>
          <c:tx>
            <c:strRef>
              <c:f>RawTotals!$BC$80</c:f>
            </c:strRef>
          </c:tx>
          <c:dLbls>
            <c:dLblPos val="ctr"/>
            <c:showLegendKey val="0"/>
            <c:showVal val="0"/>
            <c:showCatName val="0"/>
            <c:showSerName val="1"/>
            <c:showPercent val="0"/>
            <c:showBubbleSize val="0"/>
          </c:dLbls>
          <c:xVal>
            <c:strRef>
              <c:f>RawTotals!$AE$80</c:f>
            </c:strRef>
          </c:xVal>
          <c:yVal>
            <c:numRef>
              <c:f>RawTotals!$O$80</c:f>
              <c:numCache/>
            </c:numRef>
          </c:yVal>
          <c:bubbleSize>
            <c:numRef>
              <c:f>RawTotals!$BB$80</c:f>
            </c:numRef>
          </c:bubbleSize>
        </c:ser>
        <c:ser>
          <c:idx val="79"/>
          <c:order val="79"/>
          <c:tx>
            <c:strRef>
              <c:f>RawTotals!$BC$81</c:f>
            </c:strRef>
          </c:tx>
          <c:dLbls>
            <c:dLblPos val="ctr"/>
            <c:showLegendKey val="0"/>
            <c:showVal val="0"/>
            <c:showCatName val="0"/>
            <c:showSerName val="1"/>
            <c:showPercent val="0"/>
            <c:showBubbleSize val="0"/>
          </c:dLbls>
          <c:xVal>
            <c:strRef>
              <c:f>RawTotals!$AE$81</c:f>
            </c:strRef>
          </c:xVal>
          <c:yVal>
            <c:numRef>
              <c:f>RawTotals!$O$81</c:f>
              <c:numCache/>
            </c:numRef>
          </c:yVal>
          <c:bubbleSize>
            <c:numRef>
              <c:f>RawTotals!$BB$81</c:f>
            </c:numRef>
          </c:bubbleSize>
        </c:ser>
        <c:ser>
          <c:idx val="80"/>
          <c:order val="80"/>
          <c:tx>
            <c:strRef>
              <c:f>RawTotals!$BC$82</c:f>
            </c:strRef>
          </c:tx>
          <c:dLbls>
            <c:dLblPos val="ctr"/>
            <c:showLegendKey val="0"/>
            <c:showVal val="0"/>
            <c:showCatName val="0"/>
            <c:showSerName val="1"/>
            <c:showPercent val="0"/>
            <c:showBubbleSize val="0"/>
          </c:dLbls>
          <c:xVal>
            <c:strRef>
              <c:f>RawTotals!$AE$82</c:f>
            </c:strRef>
          </c:xVal>
          <c:yVal>
            <c:numRef>
              <c:f>RawTotals!$O$82</c:f>
              <c:numCache/>
            </c:numRef>
          </c:yVal>
          <c:bubbleSize>
            <c:numRef>
              <c:f>RawTotals!$BB$82</c:f>
            </c:numRef>
          </c:bubbleSize>
        </c:ser>
        <c:ser>
          <c:idx val="81"/>
          <c:order val="81"/>
          <c:tx>
            <c:strRef>
              <c:f>RawTotals!$BC$83</c:f>
            </c:strRef>
          </c:tx>
          <c:dLbls>
            <c:dLblPos val="ctr"/>
            <c:showLegendKey val="0"/>
            <c:showVal val="0"/>
            <c:showCatName val="0"/>
            <c:showSerName val="1"/>
            <c:showPercent val="0"/>
            <c:showBubbleSize val="0"/>
          </c:dLbls>
          <c:xVal>
            <c:strRef>
              <c:f>RawTotals!$AE$83</c:f>
            </c:strRef>
          </c:xVal>
          <c:yVal>
            <c:numRef>
              <c:f>RawTotals!$O$83</c:f>
              <c:numCache/>
            </c:numRef>
          </c:yVal>
          <c:bubbleSize>
            <c:numRef>
              <c:f>RawTotals!$BB$83</c:f>
            </c:numRef>
          </c:bubbleSize>
        </c:ser>
        <c:ser>
          <c:idx val="82"/>
          <c:order val="82"/>
          <c:tx>
            <c:strRef>
              <c:f>RawTotals!$BC$84</c:f>
            </c:strRef>
          </c:tx>
          <c:dLbls>
            <c:dLblPos val="ctr"/>
            <c:showLegendKey val="0"/>
            <c:showVal val="0"/>
            <c:showCatName val="0"/>
            <c:showSerName val="1"/>
            <c:showPercent val="0"/>
            <c:showBubbleSize val="0"/>
          </c:dLbls>
          <c:xVal>
            <c:strRef>
              <c:f>RawTotals!$AE$84</c:f>
            </c:strRef>
          </c:xVal>
          <c:yVal>
            <c:numRef>
              <c:f>RawTotals!$O$84</c:f>
              <c:numCache/>
            </c:numRef>
          </c:yVal>
          <c:bubbleSize>
            <c:numRef>
              <c:f>RawTotals!$BB$84</c:f>
            </c:numRef>
          </c:bubbleSize>
        </c:ser>
        <c:ser>
          <c:idx val="83"/>
          <c:order val="83"/>
          <c:tx>
            <c:strRef>
              <c:f>RawTotals!$BC$85</c:f>
            </c:strRef>
          </c:tx>
          <c:dLbls>
            <c:dLblPos val="ctr"/>
            <c:showLegendKey val="0"/>
            <c:showVal val="0"/>
            <c:showCatName val="0"/>
            <c:showSerName val="1"/>
            <c:showPercent val="0"/>
            <c:showBubbleSize val="0"/>
          </c:dLbls>
          <c:xVal>
            <c:strRef>
              <c:f>RawTotals!$AE$85</c:f>
            </c:strRef>
          </c:xVal>
          <c:yVal>
            <c:numRef>
              <c:f>RawTotals!$O$85</c:f>
              <c:numCache/>
            </c:numRef>
          </c:yVal>
          <c:bubbleSize>
            <c:numRef>
              <c:f>RawTotals!$BB$85</c:f>
            </c:numRef>
          </c:bubbleSize>
        </c:ser>
        <c:ser>
          <c:idx val="84"/>
          <c:order val="84"/>
          <c:tx>
            <c:strRef>
              <c:f>RawTotals!$BC$86</c:f>
            </c:strRef>
          </c:tx>
          <c:dLbls>
            <c:dLblPos val="ctr"/>
            <c:showLegendKey val="0"/>
            <c:showVal val="0"/>
            <c:showCatName val="0"/>
            <c:showSerName val="1"/>
            <c:showPercent val="0"/>
            <c:showBubbleSize val="0"/>
          </c:dLbls>
          <c:xVal>
            <c:strRef>
              <c:f>RawTotals!$AE$86</c:f>
            </c:strRef>
          </c:xVal>
          <c:yVal>
            <c:numRef>
              <c:f>RawTotals!$O$86</c:f>
              <c:numCache/>
            </c:numRef>
          </c:yVal>
          <c:bubbleSize>
            <c:numRef>
              <c:f>RawTotals!$BB$86</c:f>
            </c:numRef>
          </c:bubbleSize>
        </c:ser>
        <c:ser>
          <c:idx val="85"/>
          <c:order val="85"/>
          <c:tx>
            <c:strRef>
              <c:f>RawTotals!$BC$87</c:f>
            </c:strRef>
          </c:tx>
          <c:dLbls>
            <c:dLblPos val="ctr"/>
            <c:showLegendKey val="0"/>
            <c:showVal val="0"/>
            <c:showCatName val="0"/>
            <c:showSerName val="1"/>
            <c:showPercent val="0"/>
            <c:showBubbleSize val="0"/>
          </c:dLbls>
          <c:xVal>
            <c:strRef>
              <c:f>RawTotals!$AE$87</c:f>
            </c:strRef>
          </c:xVal>
          <c:yVal>
            <c:numRef>
              <c:f>RawTotals!$O$87</c:f>
              <c:numCache/>
            </c:numRef>
          </c:yVal>
          <c:bubbleSize>
            <c:numRef>
              <c:f>RawTotals!$BB$87</c:f>
            </c:numRef>
          </c:bubbleSize>
        </c:ser>
        <c:ser>
          <c:idx val="86"/>
          <c:order val="86"/>
          <c:tx>
            <c:strRef>
              <c:f>RawTotals!$BC$88</c:f>
            </c:strRef>
          </c:tx>
          <c:dLbls>
            <c:dLblPos val="ctr"/>
            <c:showLegendKey val="0"/>
            <c:showVal val="0"/>
            <c:showCatName val="0"/>
            <c:showSerName val="1"/>
            <c:showPercent val="0"/>
            <c:showBubbleSize val="0"/>
          </c:dLbls>
          <c:xVal>
            <c:strRef>
              <c:f>RawTotals!$AE$88</c:f>
            </c:strRef>
          </c:xVal>
          <c:yVal>
            <c:numRef>
              <c:f>RawTotals!$O$88</c:f>
              <c:numCache/>
            </c:numRef>
          </c:yVal>
          <c:bubbleSize>
            <c:numRef>
              <c:f>RawTotals!$BB$88</c:f>
            </c:numRef>
          </c:bubbleSize>
        </c:ser>
        <c:ser>
          <c:idx val="87"/>
          <c:order val="87"/>
          <c:tx>
            <c:strRef>
              <c:f>RawTotals!$BC$89</c:f>
            </c:strRef>
          </c:tx>
          <c:dLbls>
            <c:dLblPos val="ctr"/>
            <c:showLegendKey val="0"/>
            <c:showVal val="0"/>
            <c:showCatName val="0"/>
            <c:showSerName val="1"/>
            <c:showPercent val="0"/>
            <c:showBubbleSize val="0"/>
          </c:dLbls>
          <c:xVal>
            <c:strRef>
              <c:f>RawTotals!$AE$89</c:f>
            </c:strRef>
          </c:xVal>
          <c:yVal>
            <c:numRef>
              <c:f>RawTotals!$O$89</c:f>
              <c:numCache/>
            </c:numRef>
          </c:yVal>
          <c:bubbleSize>
            <c:numRef>
              <c:f>RawTotals!$BB$89</c:f>
            </c:numRef>
          </c:bubbleSize>
        </c:ser>
        <c:ser>
          <c:idx val="88"/>
          <c:order val="88"/>
          <c:tx>
            <c:strRef>
              <c:f>RawTotals!$BC$90</c:f>
            </c:strRef>
          </c:tx>
          <c:dLbls>
            <c:dLblPos val="ctr"/>
            <c:showLegendKey val="0"/>
            <c:showVal val="0"/>
            <c:showCatName val="0"/>
            <c:showSerName val="1"/>
            <c:showPercent val="0"/>
            <c:showBubbleSize val="0"/>
          </c:dLbls>
          <c:xVal>
            <c:strRef>
              <c:f>RawTotals!$AE$90</c:f>
            </c:strRef>
          </c:xVal>
          <c:yVal>
            <c:numRef>
              <c:f>RawTotals!$O$90</c:f>
              <c:numCache/>
            </c:numRef>
          </c:yVal>
          <c:bubbleSize>
            <c:numRef>
              <c:f>RawTotals!$BB$90</c:f>
            </c:numRef>
          </c:bubbleSize>
        </c:ser>
        <c:ser>
          <c:idx val="89"/>
          <c:order val="89"/>
          <c:tx>
            <c:strRef>
              <c:f>RawTotals!$BC$91</c:f>
            </c:strRef>
          </c:tx>
          <c:dLbls>
            <c:dLblPos val="ctr"/>
            <c:showLegendKey val="0"/>
            <c:showVal val="0"/>
            <c:showCatName val="0"/>
            <c:showSerName val="1"/>
            <c:showPercent val="0"/>
            <c:showBubbleSize val="0"/>
          </c:dLbls>
          <c:xVal>
            <c:strRef>
              <c:f>RawTotals!$AE$91</c:f>
            </c:strRef>
          </c:xVal>
          <c:yVal>
            <c:numRef>
              <c:f>RawTotals!$O$91</c:f>
              <c:numCache/>
            </c:numRef>
          </c:yVal>
          <c:bubbleSize>
            <c:numRef>
              <c:f>RawTotals!$BB$91</c:f>
            </c:numRef>
          </c:bubbleSize>
        </c:ser>
        <c:ser>
          <c:idx val="90"/>
          <c:order val="90"/>
          <c:tx>
            <c:strRef>
              <c:f>RawTotals!$BC$92</c:f>
            </c:strRef>
          </c:tx>
          <c:dLbls>
            <c:dLblPos val="ctr"/>
            <c:showLegendKey val="0"/>
            <c:showVal val="0"/>
            <c:showCatName val="0"/>
            <c:showSerName val="1"/>
            <c:showPercent val="0"/>
            <c:showBubbleSize val="0"/>
          </c:dLbls>
          <c:xVal>
            <c:strRef>
              <c:f>RawTotals!$AE$92</c:f>
            </c:strRef>
          </c:xVal>
          <c:yVal>
            <c:numRef>
              <c:f>RawTotals!$O$92</c:f>
              <c:numCache/>
            </c:numRef>
          </c:yVal>
          <c:bubbleSize>
            <c:numRef>
              <c:f>RawTotals!$BB$92</c:f>
            </c:numRef>
          </c:bubbleSize>
        </c:ser>
        <c:ser>
          <c:idx val="91"/>
          <c:order val="91"/>
          <c:tx>
            <c:strRef>
              <c:f>RawTotals!$BC$93</c:f>
            </c:strRef>
          </c:tx>
          <c:dLbls>
            <c:dLblPos val="ctr"/>
            <c:showLegendKey val="0"/>
            <c:showVal val="0"/>
            <c:showCatName val="0"/>
            <c:showSerName val="1"/>
            <c:showPercent val="0"/>
            <c:showBubbleSize val="0"/>
          </c:dLbls>
          <c:xVal>
            <c:strRef>
              <c:f>RawTotals!$AE$93</c:f>
            </c:strRef>
          </c:xVal>
          <c:yVal>
            <c:numRef>
              <c:f>RawTotals!$O$93</c:f>
              <c:numCache/>
            </c:numRef>
          </c:yVal>
          <c:bubbleSize>
            <c:numRef>
              <c:f>RawTotals!$BB$93</c:f>
            </c:numRef>
          </c:bubbleSize>
        </c:ser>
        <c:ser>
          <c:idx val="92"/>
          <c:order val="92"/>
          <c:tx>
            <c:strRef>
              <c:f>RawTotals!$BC$94</c:f>
            </c:strRef>
          </c:tx>
          <c:dLbls>
            <c:dLblPos val="ctr"/>
            <c:showLegendKey val="0"/>
            <c:showVal val="0"/>
            <c:showCatName val="0"/>
            <c:showSerName val="1"/>
            <c:showPercent val="0"/>
            <c:showBubbleSize val="0"/>
          </c:dLbls>
          <c:xVal>
            <c:strRef>
              <c:f>RawTotals!$AE$94</c:f>
            </c:strRef>
          </c:xVal>
          <c:yVal>
            <c:numRef>
              <c:f>RawTotals!$O$94</c:f>
              <c:numCache/>
            </c:numRef>
          </c:yVal>
          <c:bubbleSize>
            <c:numRef>
              <c:f>RawTotals!$BB$94</c:f>
            </c:numRef>
          </c:bubbleSize>
        </c:ser>
        <c:ser>
          <c:idx val="93"/>
          <c:order val="93"/>
          <c:tx>
            <c:strRef>
              <c:f>RawTotals!$BC$95</c:f>
            </c:strRef>
          </c:tx>
          <c:dLbls>
            <c:dLblPos val="ctr"/>
            <c:showLegendKey val="0"/>
            <c:showVal val="0"/>
            <c:showCatName val="0"/>
            <c:showSerName val="1"/>
            <c:showPercent val="0"/>
            <c:showBubbleSize val="0"/>
          </c:dLbls>
          <c:xVal>
            <c:strRef>
              <c:f>RawTotals!$AE$95</c:f>
            </c:strRef>
          </c:xVal>
          <c:yVal>
            <c:numRef>
              <c:f>RawTotals!$O$95</c:f>
              <c:numCache/>
            </c:numRef>
          </c:yVal>
          <c:bubbleSize>
            <c:numRef>
              <c:f>RawTotals!$BB$95</c:f>
            </c:numRef>
          </c:bubbleSize>
        </c:ser>
        <c:ser>
          <c:idx val="94"/>
          <c:order val="94"/>
          <c:tx>
            <c:strRef>
              <c:f>RawTotals!$BC$96</c:f>
            </c:strRef>
          </c:tx>
          <c:dLbls>
            <c:dLblPos val="ctr"/>
            <c:showLegendKey val="0"/>
            <c:showVal val="0"/>
            <c:showCatName val="0"/>
            <c:showSerName val="1"/>
            <c:showPercent val="0"/>
            <c:showBubbleSize val="0"/>
          </c:dLbls>
          <c:xVal>
            <c:strRef>
              <c:f>RawTotals!$AE$96</c:f>
            </c:strRef>
          </c:xVal>
          <c:yVal>
            <c:numRef>
              <c:f>RawTotals!$O$96</c:f>
              <c:numCache/>
            </c:numRef>
          </c:yVal>
          <c:bubbleSize>
            <c:numRef>
              <c:f>RawTotals!$BB$96</c:f>
            </c:numRef>
          </c:bubbleSize>
        </c:ser>
        <c:ser>
          <c:idx val="95"/>
          <c:order val="95"/>
          <c:tx>
            <c:strRef>
              <c:f>RawTotals!$BC$97</c:f>
            </c:strRef>
          </c:tx>
          <c:dLbls>
            <c:dLblPos val="ctr"/>
            <c:showLegendKey val="0"/>
            <c:showVal val="0"/>
            <c:showCatName val="0"/>
            <c:showSerName val="1"/>
            <c:showPercent val="0"/>
            <c:showBubbleSize val="0"/>
          </c:dLbls>
          <c:xVal>
            <c:strRef>
              <c:f>RawTotals!$AE$97</c:f>
            </c:strRef>
          </c:xVal>
          <c:yVal>
            <c:numRef>
              <c:f>RawTotals!$O$97</c:f>
              <c:numCache/>
            </c:numRef>
          </c:yVal>
          <c:bubbleSize>
            <c:numRef>
              <c:f>RawTotals!$BB$97</c:f>
            </c:numRef>
          </c:bubbleSize>
        </c:ser>
        <c:ser>
          <c:idx val="96"/>
          <c:order val="96"/>
          <c:tx>
            <c:strRef>
              <c:f>RawTotals!$BC$98</c:f>
            </c:strRef>
          </c:tx>
          <c:dLbls>
            <c:dLblPos val="ctr"/>
            <c:showLegendKey val="0"/>
            <c:showVal val="0"/>
            <c:showCatName val="0"/>
            <c:showSerName val="1"/>
            <c:showPercent val="0"/>
            <c:showBubbleSize val="0"/>
          </c:dLbls>
          <c:xVal>
            <c:strRef>
              <c:f>RawTotals!$AE$98</c:f>
            </c:strRef>
          </c:xVal>
          <c:yVal>
            <c:numRef>
              <c:f>RawTotals!$O$98</c:f>
              <c:numCache/>
            </c:numRef>
          </c:yVal>
          <c:bubbleSize>
            <c:numRef>
              <c:f>RawTotals!$BB$98</c:f>
            </c:numRef>
          </c:bubbleSize>
        </c:ser>
        <c:ser>
          <c:idx val="97"/>
          <c:order val="97"/>
          <c:tx>
            <c:strRef>
              <c:f>RawTotals!$BC$99</c:f>
            </c:strRef>
          </c:tx>
          <c:dLbls>
            <c:dLblPos val="ctr"/>
            <c:showLegendKey val="0"/>
            <c:showVal val="0"/>
            <c:showCatName val="0"/>
            <c:showSerName val="1"/>
            <c:showPercent val="0"/>
            <c:showBubbleSize val="0"/>
          </c:dLbls>
          <c:xVal>
            <c:strRef>
              <c:f>RawTotals!$AE$99</c:f>
            </c:strRef>
          </c:xVal>
          <c:yVal>
            <c:numRef>
              <c:f>RawTotals!$O$99</c:f>
              <c:numCache/>
            </c:numRef>
          </c:yVal>
          <c:bubbleSize>
            <c:numRef>
              <c:f>RawTotals!$BB$99</c:f>
            </c:numRef>
          </c:bubbleSize>
        </c:ser>
        <c:ser>
          <c:idx val="98"/>
          <c:order val="98"/>
          <c:tx>
            <c:strRef>
              <c:f>RawTotals!$BC$100</c:f>
            </c:strRef>
          </c:tx>
          <c:dLbls>
            <c:dLblPos val="ctr"/>
            <c:showLegendKey val="0"/>
            <c:showVal val="0"/>
            <c:showCatName val="0"/>
            <c:showSerName val="1"/>
            <c:showPercent val="0"/>
            <c:showBubbleSize val="0"/>
          </c:dLbls>
          <c:xVal>
            <c:strRef>
              <c:f>RawTotals!$AE$100</c:f>
            </c:strRef>
          </c:xVal>
          <c:yVal>
            <c:numRef>
              <c:f>RawTotals!$O$100</c:f>
              <c:numCache/>
            </c:numRef>
          </c:yVal>
          <c:bubbleSize>
            <c:numRef>
              <c:f>RawTotals!$BB$100</c:f>
            </c:numRef>
          </c:bubbleSize>
        </c:ser>
        <c:axId val="1962618593"/>
        <c:axId val="1657948470"/>
      </c:bubbleChart>
      <c:valAx>
        <c:axId val="196261859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Shots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7948470"/>
      </c:valAx>
      <c:valAx>
        <c:axId val="1657948470"/>
        <c:scaling>
          <c:orientation val="minMax"/>
          <c:min val="0.65"/>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Accuracy</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2618593"/>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Hang Percentages</a:t>
            </a:r>
          </a:p>
        </c:rich>
      </c:tx>
      <c:overlay val="0"/>
    </c:title>
    <c:plotArea>
      <c:layout/>
      <c:barChart>
        <c:barDir val="bar"/>
        <c:grouping val="stacked"/>
        <c:ser>
          <c:idx val="0"/>
          <c:order val="0"/>
          <c:tx>
            <c:strRef>
              <c:f>SortData!$W$1</c:f>
            </c:strRef>
          </c:tx>
          <c:spPr>
            <a:solidFill>
              <a:schemeClr val="accent1"/>
            </a:solidFill>
            <a:ln cmpd="sng">
              <a:solidFill>
                <a:srgbClr val="000000"/>
              </a:solidFill>
            </a:ln>
          </c:spPr>
          <c:cat>
            <c:strRef>
              <c:f>SortData!$A$2:$A$15</c:f>
            </c:strRef>
          </c:cat>
          <c:val>
            <c:numRef>
              <c:f>SortData!$W$2:$W$15</c:f>
              <c:numCache/>
            </c:numRef>
          </c:val>
        </c:ser>
        <c:ser>
          <c:idx val="1"/>
          <c:order val="1"/>
          <c:tx>
            <c:strRef>
              <c:f>SortData!$V$1</c:f>
            </c:strRef>
          </c:tx>
          <c:spPr>
            <a:solidFill>
              <a:schemeClr val="accent2"/>
            </a:solidFill>
            <a:ln cmpd="sng">
              <a:solidFill>
                <a:srgbClr val="000000"/>
              </a:solidFill>
            </a:ln>
          </c:spPr>
          <c:cat>
            <c:strRef>
              <c:f>SortData!$A$2:$A$15</c:f>
            </c:strRef>
          </c:cat>
          <c:val>
            <c:numRef>
              <c:f>SortData!$V$2:$V$15</c:f>
              <c:numCache/>
            </c:numRef>
          </c:val>
        </c:ser>
        <c:ser>
          <c:idx val="2"/>
          <c:order val="2"/>
          <c:tx>
            <c:strRef>
              <c:f>SortData!$U$1</c:f>
            </c:strRef>
          </c:tx>
          <c:spPr>
            <a:solidFill>
              <a:schemeClr val="accent3"/>
            </a:solidFill>
            <a:ln cmpd="sng">
              <a:solidFill>
                <a:srgbClr val="000000"/>
              </a:solidFill>
            </a:ln>
          </c:spPr>
          <c:cat>
            <c:strRef>
              <c:f>SortData!$A$2:$A$15</c:f>
            </c:strRef>
          </c:cat>
          <c:val>
            <c:numRef>
              <c:f>SortData!$U$2:$U$15</c:f>
              <c:numCache/>
            </c:numRef>
          </c:val>
        </c:ser>
        <c:ser>
          <c:idx val="3"/>
          <c:order val="3"/>
          <c:tx>
            <c:strRef>
              <c:f>SortData!$T$1</c:f>
            </c:strRef>
          </c:tx>
          <c:spPr>
            <a:solidFill>
              <a:schemeClr val="accent4"/>
            </a:solidFill>
            <a:ln cmpd="sng">
              <a:solidFill>
                <a:srgbClr val="000000"/>
              </a:solidFill>
            </a:ln>
          </c:spPr>
          <c:dPt>
            <c:idx val="5"/>
          </c:dPt>
          <c:cat>
            <c:strRef>
              <c:f>SortData!$A$2:$A$15</c:f>
            </c:strRef>
          </c:cat>
          <c:val>
            <c:numRef>
              <c:f>SortData!$T$2:$T$15</c:f>
              <c:numCache/>
            </c:numRef>
          </c:val>
        </c:ser>
        <c:overlap val="100"/>
        <c:axId val="134528463"/>
        <c:axId val="16831662"/>
      </c:barChart>
      <c:catAx>
        <c:axId val="13452846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831662"/>
      </c:catAx>
      <c:valAx>
        <c:axId val="168316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528463"/>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Point Composition</a:t>
            </a:r>
          </a:p>
        </c:rich>
      </c:tx>
      <c:overlay val="0"/>
    </c:title>
    <c:plotArea>
      <c:layout/>
      <c:barChart>
        <c:barDir val="bar"/>
        <c:grouping val="stacked"/>
        <c:ser>
          <c:idx val="0"/>
          <c:order val="0"/>
          <c:tx>
            <c:strRef>
              <c:f>SortData!$C$1</c:f>
            </c:strRef>
          </c:tx>
          <c:spPr>
            <a:solidFill>
              <a:schemeClr val="accent1"/>
            </a:solidFill>
            <a:ln cmpd="sng">
              <a:solidFill>
                <a:srgbClr val="000000"/>
              </a:solidFill>
            </a:ln>
          </c:spPr>
          <c:cat>
            <c:strRef>
              <c:f>SortData!$A$2:$A$15</c:f>
            </c:strRef>
          </c:cat>
          <c:val>
            <c:numRef>
              <c:f>SortData!$C$2:$C$15</c:f>
              <c:numCache/>
            </c:numRef>
          </c:val>
        </c:ser>
        <c:ser>
          <c:idx val="1"/>
          <c:order val="1"/>
          <c:tx>
            <c:strRef>
              <c:f>SortData!$D$1</c:f>
            </c:strRef>
          </c:tx>
          <c:spPr>
            <a:solidFill>
              <a:schemeClr val="accent2"/>
            </a:solidFill>
            <a:ln cmpd="sng">
              <a:solidFill>
                <a:srgbClr val="000000"/>
              </a:solidFill>
            </a:ln>
          </c:spPr>
          <c:cat>
            <c:strRef>
              <c:f>SortData!$A$2:$A$15</c:f>
            </c:strRef>
          </c:cat>
          <c:val>
            <c:numRef>
              <c:f>SortData!$D$2:$D$15</c:f>
              <c:numCache/>
            </c:numRef>
          </c:val>
        </c:ser>
        <c:ser>
          <c:idx val="2"/>
          <c:order val="2"/>
          <c:tx>
            <c:strRef>
              <c:f>SortData!$L$1</c:f>
            </c:strRef>
          </c:tx>
          <c:spPr>
            <a:solidFill>
              <a:schemeClr val="accent3"/>
            </a:solidFill>
            <a:ln cmpd="sng">
              <a:solidFill>
                <a:srgbClr val="000000"/>
              </a:solidFill>
            </a:ln>
          </c:spPr>
          <c:dPt>
            <c:idx val="7"/>
          </c:dPt>
          <c:cat>
            <c:strRef>
              <c:f>SortData!$A$2:$A$15</c:f>
            </c:strRef>
          </c:cat>
          <c:val>
            <c:numRef>
              <c:f>SortData!$L$2:$L$15</c:f>
              <c:numCache/>
            </c:numRef>
          </c:val>
        </c:ser>
        <c:ser>
          <c:idx val="3"/>
          <c:order val="3"/>
          <c:tx>
            <c:strRef>
              <c:f>SortData!$M$1</c:f>
            </c:strRef>
          </c:tx>
          <c:spPr>
            <a:solidFill>
              <a:schemeClr val="accent4"/>
            </a:solidFill>
            <a:ln cmpd="sng">
              <a:solidFill>
                <a:srgbClr val="000000"/>
              </a:solidFill>
            </a:ln>
          </c:spPr>
          <c:cat>
            <c:strRef>
              <c:f>SortData!$A$2:$A$15</c:f>
            </c:strRef>
          </c:cat>
          <c:val>
            <c:numRef>
              <c:f>SortData!$M$2:$M$15</c:f>
              <c:numCache/>
            </c:numRef>
          </c:val>
        </c:ser>
        <c:ser>
          <c:idx val="4"/>
          <c:order val="4"/>
          <c:tx>
            <c:strRef>
              <c:f>SortData!$P$1</c:f>
            </c:strRef>
          </c:tx>
          <c:spPr>
            <a:solidFill>
              <a:schemeClr val="accent6"/>
            </a:solidFill>
            <a:ln cmpd="sng">
              <a:solidFill>
                <a:srgbClr val="000000"/>
              </a:solidFill>
            </a:ln>
          </c:spPr>
          <c:cat>
            <c:strRef>
              <c:f>SortData!$A$2:$A$15</c:f>
            </c:strRef>
          </c:cat>
          <c:val>
            <c:numRef>
              <c:f>SortData!$P$2:$P$15</c:f>
              <c:numCache/>
            </c:numRef>
          </c:val>
        </c:ser>
        <c:overlap val="100"/>
        <c:axId val="76877567"/>
        <c:axId val="1509621500"/>
      </c:barChart>
      <c:catAx>
        <c:axId val="7687756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9621500"/>
      </c:catAx>
      <c:valAx>
        <c:axId val="1509621500"/>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a:solidFill>
                  <a:srgbClr val="000000"/>
                </a:solidFill>
                <a:latin typeface="+mn-lt"/>
              </a:defRPr>
            </a:pPr>
          </a:p>
        </c:txPr>
        <c:crossAx val="76877567"/>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png"/><Relationship Id="rId3" Type="http://schemas.openxmlformats.org/officeDocument/2006/relationships/image" Target="../media/image2.jpg"/></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 Id="rId3"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1933575</xdr:colOff>
      <xdr:row>6</xdr:row>
      <xdr:rowOff>180975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133350</xdr:colOff>
      <xdr:row>0</xdr:row>
      <xdr:rowOff>0</xdr:rowOff>
    </xdr:from>
    <xdr:ext cx="1552575" cy="2095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19</xdr:row>
      <xdr:rowOff>0</xdr:rowOff>
    </xdr:from>
    <xdr:ext cx="6096000" cy="4572000"/>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85725</xdr:rowOff>
    </xdr:from>
    <xdr:ext cx="80391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76200</xdr:colOff>
      <xdr:row>0</xdr:row>
      <xdr:rowOff>0</xdr:rowOff>
    </xdr:from>
    <xdr:ext cx="6276975" cy="388620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17</xdr:row>
      <xdr:rowOff>190500</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0</xdr:row>
      <xdr:rowOff>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88"/>
    <col customWidth="1" min="2" max="2" width="5.0"/>
    <col customWidth="1" min="3" max="3" width="9.25"/>
    <col customWidth="1" min="4" max="4" width="5.75"/>
    <col customWidth="1" min="5" max="5" width="6.88"/>
    <col customWidth="1" min="6" max="6" width="10.38"/>
    <col customWidth="1" min="7" max="7" width="12.13"/>
    <col customWidth="1" min="8" max="8" width="15.0"/>
    <col customWidth="1" min="9" max="9" width="7.13"/>
    <col customWidth="1" min="10" max="10" width="13.0"/>
    <col customWidth="1" min="11" max="11" width="13.5"/>
    <col customWidth="1" min="12" max="12" width="16.38"/>
    <col customWidth="1" min="13" max="13" width="10.75"/>
    <col customWidth="1" min="14" max="14" width="8.5"/>
    <col customWidth="1" min="15" max="15" width="6.25"/>
    <col customWidth="1" min="16" max="16" width="162.0"/>
    <col customWidth="1" min="17" max="17" width="12.38"/>
    <col customWidth="1" min="18" max="18" width="13.38"/>
    <col customWidth="1" min="19" max="19" width="11.13"/>
    <col customWidth="1" min="20" max="20" width="9.38"/>
    <col customWidth="1" min="21" max="26" width="12.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c r="Q1" s="1"/>
      <c r="R1" s="1"/>
      <c r="S1" s="1"/>
      <c r="U1" s="1"/>
      <c r="V1" s="1"/>
      <c r="W1" s="1"/>
      <c r="X1" s="1"/>
    </row>
    <row r="2">
      <c r="A2" s="1" t="s">
        <v>15</v>
      </c>
      <c r="B2" s="2">
        <v>1023.0</v>
      </c>
      <c r="C2" s="1" t="s">
        <v>16</v>
      </c>
      <c r="D2" s="2">
        <v>15.0</v>
      </c>
      <c r="E2" s="1" t="s">
        <v>17</v>
      </c>
      <c r="F2" s="3" t="b">
        <v>0</v>
      </c>
      <c r="G2" s="2">
        <v>0.0</v>
      </c>
      <c r="H2" s="2">
        <v>0.0</v>
      </c>
      <c r="I2" s="3" t="b">
        <v>1</v>
      </c>
      <c r="J2" s="2">
        <v>0.0</v>
      </c>
      <c r="K2" s="2">
        <v>13.0</v>
      </c>
      <c r="L2" s="2">
        <v>0.0</v>
      </c>
      <c r="M2" s="2">
        <v>1.0</v>
      </c>
      <c r="N2" s="1" t="s">
        <v>18</v>
      </c>
      <c r="O2" s="1" t="s">
        <v>19</v>
      </c>
      <c r="P2" s="4"/>
      <c r="Q2" s="1"/>
      <c r="R2" s="5"/>
      <c r="S2" s="2"/>
      <c r="U2" s="2"/>
      <c r="V2" s="1"/>
      <c r="W2" s="1"/>
      <c r="X2" s="6"/>
    </row>
    <row r="3">
      <c r="A3" s="1" t="s">
        <v>20</v>
      </c>
      <c r="B3" s="2">
        <v>1023.0</v>
      </c>
      <c r="C3" s="1" t="s">
        <v>21</v>
      </c>
      <c r="D3" s="2">
        <v>20.0</v>
      </c>
      <c r="E3" s="1" t="s">
        <v>22</v>
      </c>
      <c r="F3" s="3" t="b">
        <v>0</v>
      </c>
      <c r="G3" s="2">
        <v>2.0</v>
      </c>
      <c r="H3" s="2">
        <v>0.0</v>
      </c>
      <c r="I3" s="3" t="b">
        <v>0</v>
      </c>
      <c r="J3" s="2">
        <v>2.0</v>
      </c>
      <c r="K3" s="2">
        <v>9.0</v>
      </c>
      <c r="L3" s="2">
        <v>0.0</v>
      </c>
      <c r="M3" s="2">
        <v>1.0</v>
      </c>
      <c r="N3" s="1" t="s">
        <v>18</v>
      </c>
      <c r="O3" s="1" t="s">
        <v>19</v>
      </c>
      <c r="P3" s="4"/>
      <c r="Q3" s="1"/>
      <c r="R3" s="5"/>
      <c r="S3" s="2"/>
      <c r="U3" s="2"/>
      <c r="V3" s="1"/>
      <c r="W3" s="1"/>
      <c r="X3" s="6"/>
    </row>
    <row r="4">
      <c r="A4" s="1" t="s">
        <v>23</v>
      </c>
      <c r="B4" s="2">
        <v>1023.0</v>
      </c>
      <c r="C4" s="1" t="s">
        <v>24</v>
      </c>
      <c r="D4" s="2">
        <v>25.0</v>
      </c>
      <c r="E4" s="1" t="s">
        <v>17</v>
      </c>
      <c r="F4" s="3" t="b">
        <v>0</v>
      </c>
      <c r="G4" s="2">
        <v>1.0</v>
      </c>
      <c r="H4" s="2">
        <v>0.0</v>
      </c>
      <c r="I4" s="3" t="b">
        <v>0</v>
      </c>
      <c r="J4" s="2">
        <v>4.0</v>
      </c>
      <c r="K4" s="2">
        <v>12.0</v>
      </c>
      <c r="L4" s="2">
        <v>0.0</v>
      </c>
      <c r="M4" s="2">
        <v>3.0</v>
      </c>
      <c r="N4" s="1" t="s">
        <v>18</v>
      </c>
      <c r="O4" s="1" t="s">
        <v>25</v>
      </c>
      <c r="P4" s="4"/>
      <c r="Q4" s="4"/>
      <c r="R4" s="5"/>
      <c r="S4" s="2"/>
      <c r="U4" s="2"/>
      <c r="V4" s="1"/>
      <c r="W4" s="1"/>
      <c r="X4" s="6"/>
    </row>
    <row r="5">
      <c r="A5" s="1" t="s">
        <v>26</v>
      </c>
      <c r="B5" s="2">
        <v>1023.0</v>
      </c>
      <c r="C5" s="1" t="s">
        <v>27</v>
      </c>
      <c r="D5" s="2">
        <v>35.0</v>
      </c>
      <c r="E5" s="1" t="s">
        <v>22</v>
      </c>
      <c r="F5" s="3" t="b">
        <v>0</v>
      </c>
      <c r="G5" s="2">
        <v>2.0</v>
      </c>
      <c r="H5" s="2">
        <v>0.0</v>
      </c>
      <c r="I5" s="3" t="b">
        <v>0</v>
      </c>
      <c r="J5" s="2">
        <v>2.0</v>
      </c>
      <c r="K5" s="2">
        <v>12.0</v>
      </c>
      <c r="L5" s="2">
        <v>0.0</v>
      </c>
      <c r="M5" s="2">
        <v>7.0</v>
      </c>
      <c r="N5" s="1" t="s">
        <v>28</v>
      </c>
      <c r="O5" s="1" t="s">
        <v>25</v>
      </c>
      <c r="P5" s="4"/>
      <c r="Q5" s="4"/>
      <c r="R5" s="5"/>
      <c r="S5" s="2"/>
      <c r="U5" s="2"/>
      <c r="V5" s="1"/>
      <c r="W5" s="1"/>
      <c r="X5" s="6"/>
    </row>
    <row r="6">
      <c r="A6" s="1" t="s">
        <v>23</v>
      </c>
      <c r="B6" s="2">
        <v>1023.0</v>
      </c>
      <c r="C6" s="1" t="s">
        <v>29</v>
      </c>
      <c r="D6" s="2">
        <v>43.0</v>
      </c>
      <c r="E6" s="1" t="s">
        <v>17</v>
      </c>
      <c r="F6" s="3" t="b">
        <v>0</v>
      </c>
      <c r="G6" s="2">
        <v>0.0</v>
      </c>
      <c r="H6" s="2">
        <v>0.0</v>
      </c>
      <c r="I6" s="3" t="b">
        <v>0</v>
      </c>
      <c r="J6" s="2">
        <v>6.0</v>
      </c>
      <c r="K6" s="2">
        <v>20.0</v>
      </c>
      <c r="L6" s="2">
        <v>0.0</v>
      </c>
      <c r="M6" s="2">
        <v>0.0</v>
      </c>
      <c r="N6" s="1" t="s">
        <v>18</v>
      </c>
      <c r="O6" s="1" t="s">
        <v>25</v>
      </c>
      <c r="P6" s="4"/>
      <c r="Q6" s="4"/>
      <c r="R6" s="5"/>
      <c r="S6" s="2"/>
      <c r="U6" s="2"/>
      <c r="V6" s="1"/>
      <c r="W6" s="1"/>
      <c r="X6" s="6"/>
    </row>
    <row r="7">
      <c r="A7" s="1" t="s">
        <v>30</v>
      </c>
      <c r="B7" s="2">
        <v>1023.0</v>
      </c>
      <c r="C7" s="1" t="s">
        <v>31</v>
      </c>
      <c r="D7" s="2">
        <v>49.0</v>
      </c>
      <c r="E7" s="1" t="s">
        <v>17</v>
      </c>
      <c r="F7" s="3" t="b">
        <v>0</v>
      </c>
      <c r="G7" s="2">
        <v>1.0</v>
      </c>
      <c r="H7" s="2">
        <v>0.0</v>
      </c>
      <c r="I7" s="3" t="b">
        <v>0</v>
      </c>
      <c r="J7" s="2">
        <v>1.0</v>
      </c>
      <c r="K7" s="2">
        <v>7.0</v>
      </c>
      <c r="L7" s="2">
        <v>0.0</v>
      </c>
      <c r="M7" s="2">
        <v>2.0</v>
      </c>
      <c r="N7" s="1" t="s">
        <v>32</v>
      </c>
      <c r="O7" s="1" t="s">
        <v>19</v>
      </c>
      <c r="P7" s="4"/>
      <c r="Q7" s="4"/>
      <c r="R7" s="5"/>
      <c r="S7" s="2"/>
      <c r="U7" s="2"/>
      <c r="V7" s="1"/>
      <c r="W7" s="1"/>
      <c r="X7" s="6"/>
    </row>
    <row r="8">
      <c r="A8" s="1" t="s">
        <v>26</v>
      </c>
      <c r="B8" s="2">
        <v>1023.0</v>
      </c>
      <c r="C8" s="1" t="s">
        <v>33</v>
      </c>
      <c r="D8" s="2">
        <v>58.0</v>
      </c>
      <c r="E8" s="1" t="s">
        <v>22</v>
      </c>
      <c r="F8" s="3" t="b">
        <v>0</v>
      </c>
      <c r="G8" s="2">
        <v>2.0</v>
      </c>
      <c r="H8" s="2">
        <v>0.0</v>
      </c>
      <c r="I8" s="3" t="b">
        <v>0</v>
      </c>
      <c r="J8" s="2">
        <v>2.0</v>
      </c>
      <c r="K8" s="2">
        <v>13.0</v>
      </c>
      <c r="L8" s="2">
        <v>0.0</v>
      </c>
      <c r="M8" s="2">
        <v>4.0</v>
      </c>
      <c r="N8" s="1" t="s">
        <v>34</v>
      </c>
      <c r="O8" s="1" t="s">
        <v>25</v>
      </c>
      <c r="P8" s="4"/>
      <c r="Q8" s="4"/>
      <c r="R8" s="5"/>
      <c r="S8" s="2"/>
      <c r="U8" s="2"/>
      <c r="V8" s="1"/>
      <c r="W8" s="1"/>
      <c r="X8" s="1"/>
    </row>
    <row r="9">
      <c r="A9" s="1" t="s">
        <v>23</v>
      </c>
      <c r="B9" s="2">
        <v>1023.0</v>
      </c>
      <c r="C9" s="1" t="s">
        <v>35</v>
      </c>
      <c r="D9" s="2">
        <v>5.0</v>
      </c>
      <c r="E9" s="1" t="s">
        <v>17</v>
      </c>
      <c r="F9" s="3" t="b">
        <v>0</v>
      </c>
      <c r="G9" s="2">
        <v>3.0</v>
      </c>
      <c r="H9" s="2">
        <v>0.0</v>
      </c>
      <c r="I9" s="3" t="b">
        <v>0</v>
      </c>
      <c r="J9" s="2">
        <v>5.0</v>
      </c>
      <c r="K9" s="2">
        <v>15.0</v>
      </c>
      <c r="L9" s="2">
        <v>0.0</v>
      </c>
      <c r="M9" s="2">
        <v>5.0</v>
      </c>
      <c r="N9" s="1" t="s">
        <v>18</v>
      </c>
      <c r="O9" s="1" t="s">
        <v>19</v>
      </c>
      <c r="P9" s="1"/>
      <c r="R9" s="5"/>
      <c r="S9" s="2"/>
      <c r="U9" s="2"/>
      <c r="V9" s="1"/>
      <c r="W9" s="1"/>
      <c r="X9" s="6"/>
      <c r="Y9" s="6"/>
      <c r="Z9" s="6"/>
    </row>
    <row r="10">
      <c r="A10" s="1" t="s">
        <v>26</v>
      </c>
      <c r="B10" s="2">
        <v>1024.0</v>
      </c>
      <c r="C10" s="1" t="s">
        <v>36</v>
      </c>
      <c r="D10" s="2">
        <v>16.0</v>
      </c>
      <c r="E10" s="1" t="s">
        <v>22</v>
      </c>
      <c r="F10" s="3" t="b">
        <v>0</v>
      </c>
      <c r="G10" s="2">
        <v>0.0</v>
      </c>
      <c r="H10" s="2">
        <v>0.0</v>
      </c>
      <c r="I10" s="3" t="b">
        <v>0</v>
      </c>
      <c r="J10" s="2">
        <v>1.0</v>
      </c>
      <c r="K10" s="2">
        <v>1.0</v>
      </c>
      <c r="L10" s="2">
        <v>1.0</v>
      </c>
      <c r="M10" s="2">
        <v>3.0</v>
      </c>
      <c r="N10" s="1" t="s">
        <v>34</v>
      </c>
      <c r="O10" s="1" t="s">
        <v>19</v>
      </c>
      <c r="P10" s="4"/>
      <c r="Q10" s="1"/>
      <c r="R10" s="5"/>
      <c r="S10" s="2"/>
      <c r="U10" s="2"/>
      <c r="V10" s="1"/>
      <c r="W10" s="1"/>
      <c r="X10" s="1"/>
      <c r="Y10" s="6"/>
      <c r="Z10" s="6"/>
    </row>
    <row r="11">
      <c r="A11" s="1" t="s">
        <v>37</v>
      </c>
      <c r="B11" s="2">
        <v>1024.0</v>
      </c>
      <c r="C11" s="1" t="s">
        <v>38</v>
      </c>
      <c r="D11" s="2">
        <v>21.0</v>
      </c>
      <c r="E11" s="1" t="s">
        <v>17</v>
      </c>
      <c r="F11" s="3" t="b">
        <v>0</v>
      </c>
      <c r="G11" s="2">
        <v>2.0</v>
      </c>
      <c r="H11" s="2">
        <v>0.0</v>
      </c>
      <c r="I11" s="3" t="b">
        <v>0</v>
      </c>
      <c r="J11" s="2">
        <v>2.0</v>
      </c>
      <c r="K11" s="2">
        <v>0.0</v>
      </c>
      <c r="L11" s="2">
        <v>0.0</v>
      </c>
      <c r="M11" s="2">
        <v>0.0</v>
      </c>
      <c r="N11" s="1" t="s">
        <v>39</v>
      </c>
      <c r="O11" s="1" t="s">
        <v>19</v>
      </c>
      <c r="P11" s="1" t="s">
        <v>40</v>
      </c>
      <c r="R11" s="5"/>
      <c r="S11" s="2"/>
      <c r="U11" s="2"/>
      <c r="V11" s="1"/>
      <c r="W11" s="1"/>
      <c r="X11" s="6"/>
      <c r="Y11" s="6"/>
      <c r="Z11" s="6"/>
    </row>
    <row r="12">
      <c r="A12" s="1" t="s">
        <v>30</v>
      </c>
      <c r="B12" s="2">
        <v>1024.0</v>
      </c>
      <c r="C12" s="1" t="s">
        <v>41</v>
      </c>
      <c r="D12" s="2">
        <v>27.0</v>
      </c>
      <c r="E12" s="1" t="s">
        <v>17</v>
      </c>
      <c r="F12" s="3" t="b">
        <v>0</v>
      </c>
      <c r="G12" s="2">
        <v>1.0</v>
      </c>
      <c r="H12" s="2">
        <v>0.0</v>
      </c>
      <c r="I12" s="3" t="b">
        <v>0</v>
      </c>
      <c r="J12" s="2">
        <v>1.0</v>
      </c>
      <c r="K12" s="2">
        <v>10.0</v>
      </c>
      <c r="L12" s="7">
        <v>0.0</v>
      </c>
      <c r="M12" s="7">
        <v>0.0</v>
      </c>
      <c r="N12" s="1" t="s">
        <v>42</v>
      </c>
      <c r="O12" s="1" t="s">
        <v>19</v>
      </c>
      <c r="P12" s="4"/>
      <c r="Q12" s="4"/>
      <c r="R12" s="5"/>
      <c r="S12" s="2"/>
      <c r="U12" s="2"/>
      <c r="V12" s="1"/>
      <c r="W12" s="1"/>
      <c r="X12" s="1"/>
      <c r="Y12" s="4"/>
      <c r="Z12" s="4"/>
    </row>
    <row r="13">
      <c r="A13" s="1" t="s">
        <v>43</v>
      </c>
      <c r="B13" s="2">
        <v>1024.0</v>
      </c>
      <c r="C13" s="1" t="s">
        <v>44</v>
      </c>
      <c r="D13" s="2">
        <v>39.0</v>
      </c>
      <c r="E13" s="1" t="s">
        <v>17</v>
      </c>
      <c r="F13" s="3" t="b">
        <v>0</v>
      </c>
      <c r="G13" s="2">
        <v>2.0</v>
      </c>
      <c r="H13" s="2">
        <v>0.0</v>
      </c>
      <c r="I13" s="3" t="b">
        <v>0</v>
      </c>
      <c r="J13" s="2">
        <v>2.0</v>
      </c>
      <c r="K13" s="2">
        <v>0.0</v>
      </c>
      <c r="L13" s="2">
        <v>0.0</v>
      </c>
      <c r="M13" s="2">
        <v>0.0</v>
      </c>
      <c r="N13" s="1" t="s">
        <v>42</v>
      </c>
      <c r="O13" s="1" t="s">
        <v>25</v>
      </c>
      <c r="P13" s="1" t="s">
        <v>45</v>
      </c>
      <c r="R13" s="5"/>
      <c r="S13" s="2"/>
      <c r="U13" s="2"/>
      <c r="V13" s="1"/>
      <c r="W13" s="1"/>
      <c r="X13" s="1"/>
    </row>
    <row r="14">
      <c r="A14" s="1" t="s">
        <v>46</v>
      </c>
      <c r="B14" s="2">
        <v>1024.0</v>
      </c>
      <c r="C14" s="1" t="s">
        <v>47</v>
      </c>
      <c r="D14" s="2">
        <v>45.0</v>
      </c>
      <c r="E14" s="1" t="s">
        <v>22</v>
      </c>
      <c r="F14" s="3" t="b">
        <v>0</v>
      </c>
      <c r="G14" s="2">
        <v>1.0</v>
      </c>
      <c r="H14" s="2">
        <v>0.0</v>
      </c>
      <c r="I14" s="3" t="b">
        <v>0</v>
      </c>
      <c r="J14" s="2">
        <v>1.0</v>
      </c>
      <c r="K14" s="2">
        <v>6.0</v>
      </c>
      <c r="L14" s="2">
        <v>0.0</v>
      </c>
      <c r="M14" s="2">
        <v>1.0</v>
      </c>
      <c r="N14" s="1" t="s">
        <v>34</v>
      </c>
      <c r="O14" s="1" t="s">
        <v>25</v>
      </c>
      <c r="P14" s="1" t="s">
        <v>48</v>
      </c>
      <c r="R14" s="5"/>
      <c r="S14" s="2"/>
      <c r="U14" s="2"/>
      <c r="V14" s="1"/>
      <c r="W14" s="1"/>
      <c r="X14" s="6"/>
      <c r="Y14" s="6"/>
      <c r="Z14" s="6"/>
    </row>
    <row r="15">
      <c r="A15" s="1" t="s">
        <v>49</v>
      </c>
      <c r="B15" s="2">
        <v>1024.0</v>
      </c>
      <c r="C15" s="1" t="s">
        <v>50</v>
      </c>
      <c r="D15" s="2">
        <v>54.0</v>
      </c>
      <c r="E15" s="1" t="s">
        <v>22</v>
      </c>
      <c r="F15" s="3" t="b">
        <v>0</v>
      </c>
      <c r="G15" s="2">
        <v>2.0</v>
      </c>
      <c r="H15" s="2">
        <v>0.0</v>
      </c>
      <c r="I15" s="3" t="b">
        <v>0</v>
      </c>
      <c r="J15" s="2">
        <v>2.0</v>
      </c>
      <c r="K15" s="2">
        <v>3.0</v>
      </c>
      <c r="L15" s="2">
        <v>1.0</v>
      </c>
      <c r="M15" s="7">
        <v>2.0</v>
      </c>
      <c r="N15" s="1" t="s">
        <v>34</v>
      </c>
      <c r="O15" s="1" t="s">
        <v>25</v>
      </c>
      <c r="P15" s="4"/>
      <c r="Q15" s="4"/>
      <c r="R15" s="5"/>
      <c r="S15" s="2"/>
      <c r="U15" s="2"/>
      <c r="V15" s="1"/>
      <c r="W15" s="1"/>
      <c r="X15" s="6"/>
      <c r="Y15" s="6"/>
      <c r="Z15" s="6"/>
    </row>
    <row r="16">
      <c r="A16" s="1" t="s">
        <v>51</v>
      </c>
      <c r="B16" s="2">
        <v>1024.0</v>
      </c>
      <c r="C16" s="1" t="s">
        <v>52</v>
      </c>
      <c r="D16" s="2">
        <v>59.0</v>
      </c>
      <c r="E16" s="1" t="s">
        <v>17</v>
      </c>
      <c r="F16" s="3" t="b">
        <v>0</v>
      </c>
      <c r="G16" s="2">
        <v>3.0</v>
      </c>
      <c r="H16" s="2">
        <v>0.0</v>
      </c>
      <c r="I16" s="3" t="b">
        <v>0</v>
      </c>
      <c r="J16" s="2">
        <v>3.0</v>
      </c>
      <c r="K16" s="2">
        <v>9.0</v>
      </c>
      <c r="L16" s="2">
        <v>0.0</v>
      </c>
      <c r="M16" s="2">
        <v>2.0</v>
      </c>
      <c r="N16" s="1" t="s">
        <v>42</v>
      </c>
      <c r="O16" s="1" t="s">
        <v>25</v>
      </c>
      <c r="P16" s="4"/>
      <c r="Q16" s="4"/>
      <c r="R16" s="5"/>
      <c r="S16" s="2"/>
      <c r="U16" s="2"/>
      <c r="V16" s="1"/>
      <c r="W16" s="1"/>
      <c r="X16" s="6"/>
    </row>
    <row r="17">
      <c r="A17" s="1" t="s">
        <v>53</v>
      </c>
      <c r="B17" s="2">
        <v>1024.0</v>
      </c>
      <c r="C17" s="1" t="s">
        <v>54</v>
      </c>
      <c r="D17" s="2">
        <v>7.0</v>
      </c>
      <c r="E17" s="1" t="s">
        <v>22</v>
      </c>
      <c r="F17" s="3" t="b">
        <v>0</v>
      </c>
      <c r="G17" s="2">
        <v>2.0</v>
      </c>
      <c r="H17" s="2">
        <v>0.0</v>
      </c>
      <c r="I17" s="3" t="b">
        <v>0</v>
      </c>
      <c r="J17" s="2">
        <v>2.0</v>
      </c>
      <c r="K17" s="2">
        <v>7.0</v>
      </c>
      <c r="L17" s="2">
        <v>0.0</v>
      </c>
      <c r="M17" s="2">
        <v>4.0</v>
      </c>
      <c r="N17" s="1" t="s">
        <v>34</v>
      </c>
      <c r="O17" s="1" t="s">
        <v>25</v>
      </c>
      <c r="P17" s="4"/>
      <c r="Q17" s="4"/>
      <c r="R17" s="5"/>
      <c r="S17" s="2"/>
      <c r="U17" s="2"/>
      <c r="V17" s="1"/>
      <c r="W17" s="1"/>
      <c r="X17" s="6"/>
    </row>
    <row r="18">
      <c r="A18" s="1" t="s">
        <v>55</v>
      </c>
      <c r="B18" s="2">
        <v>118.0</v>
      </c>
      <c r="C18" s="1" t="s">
        <v>56</v>
      </c>
      <c r="D18" s="2">
        <v>13.0</v>
      </c>
      <c r="E18" s="1" t="s">
        <v>22</v>
      </c>
      <c r="F18" s="3" t="b">
        <v>0</v>
      </c>
      <c r="G18" s="2">
        <v>0.0</v>
      </c>
      <c r="H18" s="2">
        <v>0.0</v>
      </c>
      <c r="I18" s="3" t="b">
        <v>0</v>
      </c>
      <c r="J18" s="2">
        <v>2.0</v>
      </c>
      <c r="K18" s="2">
        <v>17.0</v>
      </c>
      <c r="L18" s="2">
        <v>0.0</v>
      </c>
      <c r="M18" s="2">
        <v>2.0</v>
      </c>
      <c r="N18" s="1" t="s">
        <v>34</v>
      </c>
      <c r="O18" s="1" t="s">
        <v>19</v>
      </c>
      <c r="P18" s="4"/>
      <c r="Q18" s="4"/>
      <c r="R18" s="5"/>
      <c r="S18" s="2"/>
      <c r="U18" s="2"/>
      <c r="V18" s="1"/>
      <c r="W18" s="1"/>
      <c r="X18" s="6"/>
    </row>
    <row r="19">
      <c r="A19" s="1" t="s">
        <v>53</v>
      </c>
      <c r="B19" s="2">
        <v>118.0</v>
      </c>
      <c r="C19" s="1" t="s">
        <v>57</v>
      </c>
      <c r="D19" s="2">
        <v>20.0</v>
      </c>
      <c r="E19" s="1" t="s">
        <v>22</v>
      </c>
      <c r="F19" s="3" t="b">
        <v>0</v>
      </c>
      <c r="G19" s="2">
        <v>4.0</v>
      </c>
      <c r="H19" s="2">
        <v>0.0</v>
      </c>
      <c r="I19" s="3" t="b">
        <v>0</v>
      </c>
      <c r="J19" s="2">
        <v>4.0</v>
      </c>
      <c r="K19" s="2">
        <v>21.0</v>
      </c>
      <c r="L19" s="2">
        <v>0.0</v>
      </c>
      <c r="M19" s="2">
        <v>0.0</v>
      </c>
      <c r="N19" s="1" t="s">
        <v>34</v>
      </c>
      <c r="O19" s="1" t="s">
        <v>19</v>
      </c>
      <c r="P19" s="4"/>
      <c r="Q19" s="4"/>
      <c r="R19" s="5"/>
      <c r="S19" s="2"/>
      <c r="U19" s="2"/>
      <c r="V19" s="1"/>
      <c r="W19" s="1"/>
      <c r="X19" s="6"/>
    </row>
    <row r="20">
      <c r="A20" s="1" t="s">
        <v>20</v>
      </c>
      <c r="B20" s="2">
        <v>118.0</v>
      </c>
      <c r="C20" s="1" t="s">
        <v>58</v>
      </c>
      <c r="D20" s="2">
        <v>27.0</v>
      </c>
      <c r="E20" s="1" t="s">
        <v>22</v>
      </c>
      <c r="F20" s="3" t="b">
        <v>0</v>
      </c>
      <c r="G20" s="2">
        <v>0.0</v>
      </c>
      <c r="H20" s="2">
        <v>0.0</v>
      </c>
      <c r="I20" s="3" t="b">
        <v>0</v>
      </c>
      <c r="J20" s="2">
        <v>0.0</v>
      </c>
      <c r="K20" s="2">
        <v>6.0</v>
      </c>
      <c r="L20" s="2">
        <v>0.0</v>
      </c>
      <c r="M20" s="7">
        <v>2.0</v>
      </c>
      <c r="N20" s="1" t="s">
        <v>34</v>
      </c>
      <c r="O20" s="1" t="s">
        <v>25</v>
      </c>
      <c r="P20" s="4"/>
      <c r="Q20" s="4"/>
      <c r="R20" s="5"/>
      <c r="S20" s="2"/>
      <c r="U20" s="2"/>
      <c r="V20" s="1"/>
      <c r="W20" s="1"/>
      <c r="X20" s="1"/>
    </row>
    <row r="21">
      <c r="A21" s="1" t="s">
        <v>55</v>
      </c>
      <c r="B21" s="2">
        <v>118.0</v>
      </c>
      <c r="C21" s="1" t="s">
        <v>59</v>
      </c>
      <c r="D21" s="2">
        <v>36.0</v>
      </c>
      <c r="E21" s="1" t="s">
        <v>22</v>
      </c>
      <c r="F21" s="3" t="b">
        <v>0</v>
      </c>
      <c r="G21" s="2">
        <v>0.0</v>
      </c>
      <c r="H21" s="2">
        <v>0.0</v>
      </c>
      <c r="I21" s="3" t="b">
        <v>0</v>
      </c>
      <c r="J21" s="2">
        <v>0.0</v>
      </c>
      <c r="K21" s="2">
        <v>12.0</v>
      </c>
      <c r="L21" s="2">
        <v>0.0</v>
      </c>
      <c r="M21" s="2">
        <v>2.0</v>
      </c>
      <c r="N21" s="1" t="s">
        <v>39</v>
      </c>
      <c r="O21" s="1" t="s">
        <v>25</v>
      </c>
      <c r="P21" s="4"/>
      <c r="Q21" s="4"/>
      <c r="R21" s="5"/>
      <c r="S21" s="2"/>
      <c r="U21" s="2"/>
      <c r="V21" s="1"/>
      <c r="W21" s="1"/>
      <c r="X21" s="6"/>
    </row>
    <row r="22">
      <c r="A22" s="1" t="s">
        <v>15</v>
      </c>
      <c r="B22" s="2">
        <v>118.0</v>
      </c>
      <c r="C22" s="1" t="s">
        <v>60</v>
      </c>
      <c r="D22" s="2">
        <v>41.0</v>
      </c>
      <c r="E22" s="1" t="s">
        <v>17</v>
      </c>
      <c r="F22" s="3" t="b">
        <v>0</v>
      </c>
      <c r="G22" s="2">
        <v>4.0</v>
      </c>
      <c r="H22" s="2">
        <v>0.0</v>
      </c>
      <c r="I22" s="3" t="b">
        <v>0</v>
      </c>
      <c r="J22" s="2">
        <v>4.0</v>
      </c>
      <c r="K22" s="2">
        <v>12.0</v>
      </c>
      <c r="L22" s="2">
        <v>0.0</v>
      </c>
      <c r="M22" s="2">
        <v>1.0</v>
      </c>
      <c r="N22" s="1" t="s">
        <v>28</v>
      </c>
      <c r="O22" s="1" t="s">
        <v>19</v>
      </c>
      <c r="P22" s="4"/>
      <c r="Q22" s="4"/>
      <c r="R22" s="5"/>
      <c r="S22" s="2"/>
      <c r="U22" s="2"/>
      <c r="V22" s="1"/>
      <c r="W22" s="1"/>
      <c r="X22" s="1"/>
    </row>
    <row r="23">
      <c r="A23" s="1" t="s">
        <v>43</v>
      </c>
      <c r="B23" s="2">
        <v>118.0</v>
      </c>
      <c r="C23" s="1" t="s">
        <v>61</v>
      </c>
      <c r="D23" s="2">
        <v>52.0</v>
      </c>
      <c r="E23" s="1" t="s">
        <v>17</v>
      </c>
      <c r="F23" s="3" t="b">
        <v>0</v>
      </c>
      <c r="G23" s="2">
        <v>3.0</v>
      </c>
      <c r="H23" s="2">
        <v>0.0</v>
      </c>
      <c r="I23" s="3" t="b">
        <v>0</v>
      </c>
      <c r="J23" s="2">
        <v>3.0</v>
      </c>
      <c r="K23" s="2">
        <v>10.0</v>
      </c>
      <c r="L23" s="2">
        <v>0.0</v>
      </c>
      <c r="M23" s="2">
        <v>2.0</v>
      </c>
      <c r="N23" s="1" t="s">
        <v>34</v>
      </c>
      <c r="O23" s="1" t="s">
        <v>19</v>
      </c>
      <c r="P23" s="4"/>
      <c r="Q23" s="4"/>
      <c r="R23" s="2"/>
      <c r="S23" s="2"/>
      <c r="U23" s="2"/>
      <c r="V23" s="1"/>
      <c r="W23" s="1"/>
      <c r="X23" s="6"/>
    </row>
    <row r="24">
      <c r="A24" s="1" t="s">
        <v>55</v>
      </c>
      <c r="B24" s="2">
        <v>118.0</v>
      </c>
      <c r="C24" s="1" t="s">
        <v>62</v>
      </c>
      <c r="D24" s="2">
        <v>57.0</v>
      </c>
      <c r="E24" s="1" t="s">
        <v>22</v>
      </c>
      <c r="F24" s="3" t="b">
        <v>0</v>
      </c>
      <c r="G24" s="2">
        <v>2.0</v>
      </c>
      <c r="H24" s="2">
        <v>0.0</v>
      </c>
      <c r="I24" s="3" t="b">
        <v>0</v>
      </c>
      <c r="J24" s="2">
        <v>2.0</v>
      </c>
      <c r="K24" s="2">
        <v>5.0</v>
      </c>
      <c r="L24" s="2">
        <v>0.0</v>
      </c>
      <c r="M24" s="2">
        <v>2.0</v>
      </c>
      <c r="N24" s="1" t="s">
        <v>34</v>
      </c>
      <c r="O24" s="1" t="s">
        <v>19</v>
      </c>
      <c r="P24" s="4"/>
      <c r="Q24" s="4"/>
      <c r="R24" s="2"/>
      <c r="S24" s="2"/>
      <c r="U24" s="2"/>
      <c r="V24" s="1"/>
      <c r="W24" s="1"/>
      <c r="X24" s="1"/>
      <c r="Y24" s="6"/>
      <c r="Z24" s="6"/>
    </row>
    <row r="25">
      <c r="A25" s="1" t="s">
        <v>51</v>
      </c>
      <c r="B25" s="2">
        <v>118.0</v>
      </c>
      <c r="C25" s="1" t="s">
        <v>63</v>
      </c>
      <c r="D25" s="2">
        <v>8.0</v>
      </c>
      <c r="E25" s="1" t="s">
        <v>17</v>
      </c>
      <c r="F25" s="3" t="b">
        <v>0</v>
      </c>
      <c r="G25" s="2">
        <v>1.0</v>
      </c>
      <c r="H25" s="2">
        <v>0.0</v>
      </c>
      <c r="I25" s="3" t="b">
        <v>0</v>
      </c>
      <c r="J25" s="2">
        <v>2.0</v>
      </c>
      <c r="K25" s="2">
        <v>8.0</v>
      </c>
      <c r="L25" s="2">
        <v>0.0</v>
      </c>
      <c r="M25" s="2">
        <v>2.0</v>
      </c>
      <c r="N25" s="1" t="s">
        <v>34</v>
      </c>
      <c r="O25" s="1" t="s">
        <v>19</v>
      </c>
      <c r="P25" s="1" t="s">
        <v>64</v>
      </c>
      <c r="R25" s="2"/>
      <c r="S25" s="2"/>
      <c r="U25" s="2"/>
      <c r="V25" s="1"/>
      <c r="W25" s="1"/>
      <c r="X25" s="6"/>
      <c r="Y25" s="6"/>
      <c r="Z25" s="6"/>
    </row>
    <row r="26">
      <c r="A26" s="1" t="s">
        <v>26</v>
      </c>
      <c r="B26" s="2">
        <v>1339.0</v>
      </c>
      <c r="C26" s="1" t="s">
        <v>65</v>
      </c>
      <c r="D26" s="2">
        <v>10.0</v>
      </c>
      <c r="E26" s="1" t="s">
        <v>22</v>
      </c>
      <c r="F26" s="3" t="b">
        <v>0</v>
      </c>
      <c r="G26" s="2">
        <v>2.0</v>
      </c>
      <c r="H26" s="2">
        <v>0.0</v>
      </c>
      <c r="I26" s="3" t="b">
        <v>0</v>
      </c>
      <c r="J26" s="2">
        <v>2.0</v>
      </c>
      <c r="K26" s="2">
        <v>14.0</v>
      </c>
      <c r="L26" s="2">
        <v>0.0</v>
      </c>
      <c r="M26" s="2">
        <v>2.0</v>
      </c>
      <c r="N26" s="1" t="s">
        <v>34</v>
      </c>
      <c r="O26" s="1" t="s">
        <v>19</v>
      </c>
      <c r="P26" s="4"/>
      <c r="Q26" s="4"/>
      <c r="R26" s="2"/>
      <c r="S26" s="2"/>
      <c r="U26" s="2"/>
      <c r="V26" s="1"/>
      <c r="W26" s="1"/>
      <c r="X26" s="6"/>
      <c r="Y26" s="6"/>
      <c r="Z26" s="6"/>
    </row>
    <row r="27">
      <c r="A27" s="1" t="s">
        <v>51</v>
      </c>
      <c r="B27" s="2">
        <v>1339.0</v>
      </c>
      <c r="C27" s="1" t="s">
        <v>66</v>
      </c>
      <c r="D27" s="2">
        <v>18.0</v>
      </c>
      <c r="E27" s="1" t="s">
        <v>17</v>
      </c>
      <c r="F27" s="3" t="b">
        <v>0</v>
      </c>
      <c r="G27" s="2">
        <v>1.0</v>
      </c>
      <c r="H27" s="2">
        <v>0.0</v>
      </c>
      <c r="I27" s="3" t="b">
        <v>0</v>
      </c>
      <c r="J27" s="2">
        <v>1.0</v>
      </c>
      <c r="K27" s="2">
        <v>15.0</v>
      </c>
      <c r="L27" s="2">
        <v>0.0</v>
      </c>
      <c r="M27" s="2">
        <v>0.0</v>
      </c>
      <c r="N27" s="1" t="s">
        <v>34</v>
      </c>
      <c r="O27" s="1" t="s">
        <v>25</v>
      </c>
      <c r="P27" s="1" t="s">
        <v>67</v>
      </c>
      <c r="R27" s="2"/>
      <c r="S27" s="2"/>
      <c r="U27" s="2"/>
      <c r="V27" s="1"/>
      <c r="W27" s="1"/>
      <c r="X27" s="6"/>
    </row>
    <row r="28">
      <c r="A28" s="1" t="s">
        <v>46</v>
      </c>
      <c r="B28" s="2">
        <v>1339.0</v>
      </c>
      <c r="C28" s="1" t="s">
        <v>68</v>
      </c>
      <c r="D28" s="2">
        <v>1.0</v>
      </c>
      <c r="E28" s="1" t="s">
        <v>22</v>
      </c>
      <c r="F28" s="3" t="b">
        <v>0</v>
      </c>
      <c r="G28" s="2">
        <v>2.0</v>
      </c>
      <c r="H28" s="2">
        <v>0.0</v>
      </c>
      <c r="I28" s="3" t="b">
        <v>0</v>
      </c>
      <c r="J28" s="2">
        <v>2.0</v>
      </c>
      <c r="K28" s="2">
        <v>13.0</v>
      </c>
      <c r="L28" s="2">
        <v>0.0</v>
      </c>
      <c r="M28" s="2">
        <v>4.0</v>
      </c>
      <c r="N28" s="1" t="s">
        <v>34</v>
      </c>
      <c r="O28" s="1" t="s">
        <v>19</v>
      </c>
      <c r="P28" s="4"/>
      <c r="Q28" s="4"/>
      <c r="R28" s="2"/>
      <c r="S28" s="2"/>
      <c r="U28" s="2"/>
      <c r="V28" s="1"/>
      <c r="W28" s="1"/>
      <c r="X28" s="6"/>
    </row>
    <row r="29">
      <c r="A29" s="1" t="s">
        <v>51</v>
      </c>
      <c r="B29" s="2">
        <v>1339.0</v>
      </c>
      <c r="C29" s="1" t="s">
        <v>69</v>
      </c>
      <c r="D29" s="2">
        <v>27.0</v>
      </c>
      <c r="E29" s="1" t="s">
        <v>17</v>
      </c>
      <c r="F29" s="3" t="b">
        <v>0</v>
      </c>
      <c r="G29" s="2">
        <v>2.0</v>
      </c>
      <c r="H29" s="2">
        <v>0.0</v>
      </c>
      <c r="I29" s="3" t="b">
        <v>0</v>
      </c>
      <c r="J29" s="2">
        <v>2.0</v>
      </c>
      <c r="K29" s="2">
        <v>14.0</v>
      </c>
      <c r="L29" s="2">
        <v>0.0</v>
      </c>
      <c r="M29" s="2">
        <v>1.0</v>
      </c>
      <c r="N29" s="1" t="s">
        <v>34</v>
      </c>
      <c r="O29" s="1" t="s">
        <v>19</v>
      </c>
      <c r="P29" s="1" t="s">
        <v>70</v>
      </c>
      <c r="R29" s="2"/>
      <c r="S29" s="2"/>
      <c r="U29" s="2"/>
      <c r="V29" s="1"/>
      <c r="W29" s="1"/>
      <c r="X29" s="6"/>
    </row>
    <row r="30">
      <c r="A30" s="1" t="s">
        <v>71</v>
      </c>
      <c r="B30" s="2">
        <v>1339.0</v>
      </c>
      <c r="C30" s="1" t="s">
        <v>72</v>
      </c>
      <c r="D30" s="2">
        <v>33.0</v>
      </c>
      <c r="E30" s="1" t="s">
        <v>22</v>
      </c>
      <c r="F30" s="3" t="b">
        <v>0</v>
      </c>
      <c r="G30" s="2">
        <v>0.0</v>
      </c>
      <c r="H30" s="2">
        <v>0.0</v>
      </c>
      <c r="I30" s="3" t="b">
        <v>0</v>
      </c>
      <c r="J30" s="2">
        <v>0.0</v>
      </c>
      <c r="K30" s="2">
        <v>10.0</v>
      </c>
      <c r="L30" s="2">
        <v>0.0</v>
      </c>
      <c r="M30" s="2">
        <v>2.0</v>
      </c>
      <c r="N30" s="1" t="s">
        <v>34</v>
      </c>
      <c r="O30" s="1" t="s">
        <v>19</v>
      </c>
      <c r="P30" s="4"/>
      <c r="Q30" s="4"/>
      <c r="R30" s="2"/>
      <c r="S30" s="2"/>
      <c r="U30" s="2"/>
      <c r="V30" s="1"/>
      <c r="W30" s="1"/>
      <c r="X30" s="1"/>
    </row>
    <row r="31">
      <c r="A31" s="1" t="s">
        <v>37</v>
      </c>
      <c r="B31" s="2">
        <v>1339.0</v>
      </c>
      <c r="C31" s="1" t="s">
        <v>73</v>
      </c>
      <c r="D31" s="2">
        <v>43.0</v>
      </c>
      <c r="E31" s="1" t="s">
        <v>17</v>
      </c>
      <c r="F31" s="3" t="b">
        <v>0</v>
      </c>
      <c r="G31" s="2">
        <v>4.0</v>
      </c>
      <c r="H31" s="2">
        <v>0.0</v>
      </c>
      <c r="I31" s="3" t="b">
        <v>0</v>
      </c>
      <c r="J31" s="2">
        <v>4.0</v>
      </c>
      <c r="K31" s="2">
        <v>12.0</v>
      </c>
      <c r="L31" s="2">
        <v>0.0</v>
      </c>
      <c r="M31" s="7">
        <v>4.0</v>
      </c>
      <c r="N31" s="1" t="s">
        <v>34</v>
      </c>
      <c r="O31" s="1" t="s">
        <v>25</v>
      </c>
      <c r="P31" s="4"/>
      <c r="Q31" s="4"/>
      <c r="R31" s="2"/>
      <c r="S31" s="2"/>
      <c r="U31" s="2"/>
      <c r="V31" s="1"/>
      <c r="W31" s="1"/>
      <c r="X31" s="1"/>
      <c r="Y31" s="6"/>
      <c r="Z31" s="6"/>
    </row>
    <row r="32">
      <c r="A32" s="1" t="s">
        <v>15</v>
      </c>
      <c r="B32" s="2">
        <v>1339.0</v>
      </c>
      <c r="C32" s="1" t="s">
        <v>74</v>
      </c>
      <c r="D32" s="2">
        <v>52.0</v>
      </c>
      <c r="E32" s="1" t="s">
        <v>17</v>
      </c>
      <c r="F32" s="3" t="b">
        <v>0</v>
      </c>
      <c r="G32" s="2">
        <v>3.0</v>
      </c>
      <c r="H32" s="2">
        <v>0.0</v>
      </c>
      <c r="I32" s="3" t="b">
        <v>0</v>
      </c>
      <c r="J32" s="2">
        <v>3.0</v>
      </c>
      <c r="K32" s="2">
        <v>19.0</v>
      </c>
      <c r="L32" s="2">
        <v>0.0</v>
      </c>
      <c r="M32" s="7">
        <v>2.0</v>
      </c>
      <c r="N32" s="1" t="s">
        <v>34</v>
      </c>
      <c r="O32" s="1" t="s">
        <v>19</v>
      </c>
      <c r="P32" s="1" t="s">
        <v>75</v>
      </c>
      <c r="R32" s="2"/>
      <c r="S32" s="2"/>
      <c r="U32" s="2"/>
      <c r="V32" s="1"/>
      <c r="W32" s="1"/>
      <c r="X32" s="6"/>
      <c r="Y32" s="6"/>
      <c r="Z32" s="6"/>
    </row>
    <row r="33">
      <c r="A33" s="1" t="s">
        <v>55</v>
      </c>
      <c r="B33" s="2">
        <v>1533.0</v>
      </c>
      <c r="C33" s="1" t="s">
        <v>76</v>
      </c>
      <c r="D33" s="2">
        <v>11.0</v>
      </c>
      <c r="E33" s="1" t="s">
        <v>22</v>
      </c>
      <c r="F33" s="3" t="b">
        <v>0</v>
      </c>
      <c r="G33" s="2">
        <v>1.0</v>
      </c>
      <c r="H33" s="2">
        <v>0.0</v>
      </c>
      <c r="I33" s="3" t="b">
        <v>0</v>
      </c>
      <c r="J33" s="2">
        <v>1.0</v>
      </c>
      <c r="K33" s="2">
        <v>17.0</v>
      </c>
      <c r="L33" s="2">
        <v>0.0</v>
      </c>
      <c r="M33" s="7">
        <v>2.0</v>
      </c>
      <c r="N33" s="1" t="s">
        <v>39</v>
      </c>
      <c r="O33" s="1" t="s">
        <v>25</v>
      </c>
      <c r="P33" s="4"/>
      <c r="Q33" s="4"/>
      <c r="R33" s="2"/>
      <c r="S33" s="2"/>
      <c r="U33" s="2"/>
      <c r="V33" s="1"/>
      <c r="W33" s="1"/>
      <c r="X33" s="4"/>
      <c r="Y33" s="4"/>
      <c r="Z33" s="4"/>
    </row>
    <row r="34">
      <c r="A34" s="1" t="s">
        <v>77</v>
      </c>
      <c r="B34" s="2">
        <v>1533.0</v>
      </c>
      <c r="C34" s="1" t="s">
        <v>78</v>
      </c>
      <c r="D34" s="2">
        <v>17.0</v>
      </c>
      <c r="E34" s="1" t="s">
        <v>22</v>
      </c>
      <c r="F34" s="3" t="b">
        <v>0</v>
      </c>
      <c r="G34" s="2">
        <v>1.0</v>
      </c>
      <c r="H34" s="2">
        <v>0.0</v>
      </c>
      <c r="I34" s="3" t="b">
        <v>0</v>
      </c>
      <c r="J34" s="2">
        <v>2.0</v>
      </c>
      <c r="K34" s="2">
        <v>14.0</v>
      </c>
      <c r="L34" s="2">
        <v>0.0</v>
      </c>
      <c r="M34" s="2">
        <v>7.0</v>
      </c>
      <c r="N34" s="1" t="s">
        <v>39</v>
      </c>
      <c r="O34" s="1" t="s">
        <v>25</v>
      </c>
      <c r="P34" s="4"/>
      <c r="Q34" s="4"/>
      <c r="R34" s="2"/>
      <c r="S34" s="2"/>
      <c r="U34" s="2"/>
      <c r="V34" s="1"/>
      <c r="W34" s="1"/>
      <c r="X34" s="6"/>
      <c r="Y34" s="6"/>
      <c r="Z34" s="6"/>
    </row>
    <row r="35">
      <c r="A35" s="1" t="s">
        <v>71</v>
      </c>
      <c r="B35" s="2">
        <v>1533.0</v>
      </c>
      <c r="C35" s="1" t="s">
        <v>79</v>
      </c>
      <c r="D35" s="2">
        <v>26.0</v>
      </c>
      <c r="E35" s="1" t="s">
        <v>22</v>
      </c>
      <c r="F35" s="3" t="b">
        <v>0</v>
      </c>
      <c r="G35" s="2">
        <v>1.0</v>
      </c>
      <c r="H35" s="2">
        <v>0.0</v>
      </c>
      <c r="I35" s="3" t="b">
        <v>0</v>
      </c>
      <c r="J35" s="2">
        <v>0.0</v>
      </c>
      <c r="K35" s="2">
        <v>5.0</v>
      </c>
      <c r="L35" s="2">
        <v>0.0</v>
      </c>
      <c r="M35" s="2">
        <v>7.0</v>
      </c>
      <c r="N35" s="1" t="s">
        <v>39</v>
      </c>
      <c r="O35" s="1" t="s">
        <v>19</v>
      </c>
      <c r="P35" s="4"/>
      <c r="Q35" s="4"/>
      <c r="R35" s="2"/>
      <c r="S35" s="2"/>
      <c r="U35" s="2"/>
      <c r="V35" s="1"/>
      <c r="W35" s="1"/>
      <c r="X35" s="4"/>
      <c r="Y35" s="6"/>
      <c r="Z35" s="6"/>
    </row>
    <row r="36">
      <c r="A36" s="1" t="s">
        <v>15</v>
      </c>
      <c r="B36" s="2">
        <v>1533.0</v>
      </c>
      <c r="C36" s="1" t="s">
        <v>80</v>
      </c>
      <c r="D36" s="2">
        <v>35.0</v>
      </c>
      <c r="E36" s="1" t="s">
        <v>17</v>
      </c>
      <c r="F36" s="3" t="b">
        <v>0</v>
      </c>
      <c r="G36" s="2">
        <v>0.0</v>
      </c>
      <c r="H36" s="2">
        <v>0.0</v>
      </c>
      <c r="I36" s="3" t="b">
        <v>0</v>
      </c>
      <c r="J36" s="2">
        <v>0.0</v>
      </c>
      <c r="K36" s="2">
        <v>17.0</v>
      </c>
      <c r="L36" s="2">
        <v>0.0</v>
      </c>
      <c r="M36" s="2">
        <v>2.0</v>
      </c>
      <c r="N36" s="1" t="s">
        <v>18</v>
      </c>
      <c r="O36" s="1" t="s">
        <v>19</v>
      </c>
      <c r="P36" s="1" t="s">
        <v>81</v>
      </c>
      <c r="R36" s="2"/>
      <c r="S36" s="2"/>
      <c r="U36" s="2"/>
      <c r="V36" s="1"/>
      <c r="W36" s="1"/>
      <c r="X36" s="6"/>
      <c r="Y36" s="6"/>
      <c r="Z36" s="6"/>
    </row>
    <row r="37">
      <c r="A37" s="1" t="s">
        <v>23</v>
      </c>
      <c r="B37" s="2">
        <v>1533.0</v>
      </c>
      <c r="C37" s="1" t="s">
        <v>82</v>
      </c>
      <c r="D37" s="2">
        <v>42.0</v>
      </c>
      <c r="E37" s="1" t="s">
        <v>17</v>
      </c>
      <c r="F37" s="3" t="b">
        <v>0</v>
      </c>
      <c r="G37" s="2">
        <v>1.0</v>
      </c>
      <c r="H37" s="2">
        <v>0.0</v>
      </c>
      <c r="I37" s="3" t="b">
        <v>0</v>
      </c>
      <c r="J37" s="2">
        <v>1.0</v>
      </c>
      <c r="K37" s="2">
        <v>10.0</v>
      </c>
      <c r="L37" s="2">
        <v>0.0</v>
      </c>
      <c r="M37" s="2">
        <v>3.0</v>
      </c>
      <c r="N37" s="1" t="s">
        <v>39</v>
      </c>
      <c r="O37" s="1" t="s">
        <v>19</v>
      </c>
      <c r="P37" s="1" t="s">
        <v>83</v>
      </c>
      <c r="R37" s="2"/>
      <c r="S37" s="2"/>
      <c r="U37" s="2"/>
      <c r="V37" s="1"/>
      <c r="W37" s="1"/>
      <c r="X37" s="6"/>
    </row>
    <row r="38">
      <c r="A38" s="1" t="s">
        <v>43</v>
      </c>
      <c r="B38" s="2">
        <v>1533.0</v>
      </c>
      <c r="C38" s="1" t="s">
        <v>84</v>
      </c>
      <c r="D38" s="2">
        <v>54.0</v>
      </c>
      <c r="E38" s="1" t="s">
        <v>17</v>
      </c>
      <c r="F38" s="3" t="b">
        <v>0</v>
      </c>
      <c r="G38" s="2">
        <v>0.0</v>
      </c>
      <c r="H38" s="2">
        <v>0.0</v>
      </c>
      <c r="I38" s="3" t="b">
        <v>0</v>
      </c>
      <c r="J38" s="2">
        <v>1.0</v>
      </c>
      <c r="K38" s="2">
        <v>11.0</v>
      </c>
      <c r="L38" s="2">
        <v>0.0</v>
      </c>
      <c r="M38" s="2">
        <v>3.0</v>
      </c>
      <c r="N38" s="1" t="s">
        <v>34</v>
      </c>
      <c r="O38" s="1" t="s">
        <v>19</v>
      </c>
      <c r="P38" s="4"/>
      <c r="Q38" s="4"/>
      <c r="R38" s="2"/>
      <c r="S38" s="2"/>
      <c r="U38" s="2"/>
      <c r="V38" s="1"/>
      <c r="W38" s="1"/>
      <c r="X38" s="6"/>
    </row>
    <row r="39">
      <c r="A39" s="1" t="s">
        <v>55</v>
      </c>
      <c r="B39" s="2">
        <v>1533.0</v>
      </c>
      <c r="C39" s="1" t="s">
        <v>85</v>
      </c>
      <c r="D39" s="2">
        <v>59.0</v>
      </c>
      <c r="E39" s="1" t="s">
        <v>22</v>
      </c>
      <c r="F39" s="3" t="b">
        <v>0</v>
      </c>
      <c r="G39" s="2">
        <v>1.0</v>
      </c>
      <c r="H39" s="2">
        <v>0.0</v>
      </c>
      <c r="I39" s="3" t="b">
        <v>0</v>
      </c>
      <c r="J39" s="2">
        <v>1.0</v>
      </c>
      <c r="K39" s="2">
        <v>8.0</v>
      </c>
      <c r="L39" s="2">
        <v>0.0</v>
      </c>
      <c r="M39" s="2">
        <v>3.0</v>
      </c>
      <c r="N39" s="1" t="s">
        <v>34</v>
      </c>
      <c r="O39" s="1" t="s">
        <v>19</v>
      </c>
      <c r="P39" s="4"/>
      <c r="Q39" s="4"/>
      <c r="R39" s="2"/>
      <c r="S39" s="2"/>
      <c r="U39" s="2"/>
      <c r="V39" s="1"/>
      <c r="W39" s="1"/>
      <c r="X39" s="1"/>
    </row>
    <row r="40">
      <c r="A40" s="1" t="s">
        <v>43</v>
      </c>
      <c r="B40" s="2">
        <v>1533.0</v>
      </c>
      <c r="C40" s="1" t="s">
        <v>86</v>
      </c>
      <c r="D40" s="2">
        <v>6.0</v>
      </c>
      <c r="E40" s="1" t="s">
        <v>17</v>
      </c>
      <c r="F40" s="3" t="b">
        <v>0</v>
      </c>
      <c r="G40" s="2">
        <v>1.0</v>
      </c>
      <c r="H40" s="2">
        <v>0.0</v>
      </c>
      <c r="I40" s="3" t="b">
        <v>0</v>
      </c>
      <c r="J40" s="2">
        <v>1.0</v>
      </c>
      <c r="K40" s="2">
        <v>0.0</v>
      </c>
      <c r="L40" s="2">
        <v>0.0</v>
      </c>
      <c r="M40" s="2">
        <v>0.0</v>
      </c>
      <c r="N40" s="1" t="s">
        <v>34</v>
      </c>
      <c r="O40" s="1" t="s">
        <v>25</v>
      </c>
      <c r="P40" s="4"/>
      <c r="Q40" s="4"/>
      <c r="R40" s="2"/>
      <c r="S40" s="2"/>
      <c r="U40" s="2"/>
      <c r="V40" s="1"/>
      <c r="W40" s="1"/>
      <c r="X40" s="1"/>
    </row>
    <row r="41">
      <c r="A41" s="1" t="s">
        <v>46</v>
      </c>
      <c r="B41" s="2">
        <v>1706.0</v>
      </c>
      <c r="C41" s="1" t="s">
        <v>87</v>
      </c>
      <c r="D41" s="2">
        <v>15.0</v>
      </c>
      <c r="E41" s="1" t="s">
        <v>22</v>
      </c>
      <c r="F41" s="3" t="b">
        <v>0</v>
      </c>
      <c r="G41" s="2">
        <v>4.0</v>
      </c>
      <c r="H41" s="2">
        <v>0.0</v>
      </c>
      <c r="I41" s="3" t="b">
        <v>0</v>
      </c>
      <c r="J41" s="2">
        <v>5.0</v>
      </c>
      <c r="K41" s="2">
        <v>19.0</v>
      </c>
      <c r="L41" s="2">
        <v>0.0</v>
      </c>
      <c r="M41" s="2">
        <v>7.0</v>
      </c>
      <c r="N41" s="1" t="s">
        <v>28</v>
      </c>
      <c r="O41" s="1" t="s">
        <v>25</v>
      </c>
      <c r="P41" s="4"/>
      <c r="Q41" s="4"/>
      <c r="R41" s="2"/>
      <c r="S41" s="2"/>
      <c r="U41" s="2"/>
      <c r="V41" s="1"/>
      <c r="W41" s="1"/>
      <c r="X41" s="6"/>
    </row>
    <row r="42">
      <c r="A42" s="1" t="s">
        <v>53</v>
      </c>
      <c r="B42" s="2">
        <v>1706.0</v>
      </c>
      <c r="C42" s="1" t="s">
        <v>88</v>
      </c>
      <c r="D42" s="2">
        <v>22.0</v>
      </c>
      <c r="E42" s="1" t="s">
        <v>22</v>
      </c>
      <c r="F42" s="3" t="b">
        <v>0</v>
      </c>
      <c r="G42" s="2">
        <v>4.0</v>
      </c>
      <c r="H42" s="2">
        <v>0.0</v>
      </c>
      <c r="I42" s="3" t="b">
        <v>0</v>
      </c>
      <c r="J42" s="2">
        <v>5.0</v>
      </c>
      <c r="K42" s="2">
        <v>14.0</v>
      </c>
      <c r="L42" s="2">
        <v>0.0</v>
      </c>
      <c r="M42" s="2">
        <v>1.0</v>
      </c>
      <c r="N42" s="1" t="s">
        <v>39</v>
      </c>
      <c r="O42" s="1" t="s">
        <v>19</v>
      </c>
      <c r="P42" s="4"/>
      <c r="Q42" s="4"/>
      <c r="R42" s="2"/>
      <c r="S42" s="2"/>
      <c r="U42" s="2"/>
      <c r="V42" s="1"/>
      <c r="W42" s="1"/>
      <c r="X42" s="6"/>
    </row>
    <row r="43">
      <c r="A43" s="1" t="s">
        <v>23</v>
      </c>
      <c r="B43" s="2">
        <v>1706.0</v>
      </c>
      <c r="C43" s="1" t="s">
        <v>89</v>
      </c>
      <c r="D43" s="2">
        <v>28.0</v>
      </c>
      <c r="E43" s="1" t="s">
        <v>17</v>
      </c>
      <c r="F43" s="3" t="b">
        <v>0</v>
      </c>
      <c r="G43" s="2">
        <v>5.0</v>
      </c>
      <c r="H43" s="2">
        <v>0.0</v>
      </c>
      <c r="I43" s="3" t="b">
        <v>0</v>
      </c>
      <c r="J43" s="2">
        <v>5.0</v>
      </c>
      <c r="K43" s="2">
        <v>24.0</v>
      </c>
      <c r="L43" s="2">
        <v>0.0</v>
      </c>
      <c r="M43" s="2">
        <v>5.0</v>
      </c>
      <c r="N43" s="1" t="s">
        <v>39</v>
      </c>
      <c r="O43" s="1" t="s">
        <v>25</v>
      </c>
      <c r="P43" s="4"/>
      <c r="Q43" s="4"/>
      <c r="R43" s="2"/>
      <c r="S43" s="2"/>
      <c r="U43" s="2"/>
      <c r="V43" s="1"/>
      <c r="W43" s="1"/>
      <c r="X43" s="6"/>
    </row>
    <row r="44">
      <c r="A44" s="1" t="s">
        <v>77</v>
      </c>
      <c r="B44" s="2">
        <v>1706.0</v>
      </c>
      <c r="C44" s="1" t="s">
        <v>90</v>
      </c>
      <c r="D44" s="2">
        <v>39.0</v>
      </c>
      <c r="E44" s="1" t="s">
        <v>22</v>
      </c>
      <c r="F44" s="3" t="b">
        <v>0</v>
      </c>
      <c r="G44" s="2">
        <v>3.0</v>
      </c>
      <c r="H44" s="2">
        <v>0.0</v>
      </c>
      <c r="I44" s="3" t="b">
        <v>0</v>
      </c>
      <c r="J44" s="2">
        <v>3.0</v>
      </c>
      <c r="K44" s="2">
        <v>19.0</v>
      </c>
      <c r="L44" s="2">
        <v>0.0</v>
      </c>
      <c r="M44" s="2">
        <v>3.0</v>
      </c>
      <c r="N44" s="1" t="s">
        <v>39</v>
      </c>
      <c r="O44" s="1" t="s">
        <v>19</v>
      </c>
      <c r="P44" s="4"/>
      <c r="Q44" s="4"/>
      <c r="R44" s="2"/>
      <c r="S44" s="2"/>
      <c r="U44" s="2"/>
      <c r="V44" s="1"/>
      <c r="W44" s="1"/>
      <c r="X44" s="6"/>
    </row>
    <row r="45">
      <c r="A45" s="1" t="s">
        <v>30</v>
      </c>
      <c r="B45" s="2">
        <v>1706.0</v>
      </c>
      <c r="C45" s="1" t="s">
        <v>31</v>
      </c>
      <c r="D45" s="2">
        <v>48.0</v>
      </c>
      <c r="E45" s="1" t="s">
        <v>17</v>
      </c>
      <c r="F45" s="3" t="b">
        <v>0</v>
      </c>
      <c r="G45" s="2">
        <v>2.0</v>
      </c>
      <c r="H45" s="2">
        <v>0.0</v>
      </c>
      <c r="I45" s="3" t="b">
        <v>0</v>
      </c>
      <c r="J45" s="2">
        <v>2.0</v>
      </c>
      <c r="K45" s="2">
        <v>15.0</v>
      </c>
      <c r="L45" s="2">
        <v>0.0</v>
      </c>
      <c r="M45" s="2">
        <v>0.0</v>
      </c>
      <c r="N45" s="1" t="s">
        <v>28</v>
      </c>
      <c r="O45" s="1" t="s">
        <v>91</v>
      </c>
      <c r="P45" s="4"/>
      <c r="Q45" s="4"/>
      <c r="R45" s="2"/>
      <c r="S45" s="2"/>
      <c r="U45" s="2"/>
      <c r="V45" s="1"/>
      <c r="W45" s="1"/>
      <c r="X45" s="1"/>
    </row>
    <row r="46">
      <c r="A46" s="1" t="s">
        <v>15</v>
      </c>
      <c r="B46" s="2">
        <v>1706.0</v>
      </c>
      <c r="C46" s="1" t="s">
        <v>92</v>
      </c>
      <c r="D46" s="2">
        <v>55.0</v>
      </c>
      <c r="E46" s="1" t="s">
        <v>17</v>
      </c>
      <c r="F46" s="3" t="b">
        <v>0</v>
      </c>
      <c r="G46" s="2">
        <v>3.0</v>
      </c>
      <c r="H46" s="2">
        <v>0.0</v>
      </c>
      <c r="I46" s="3" t="b">
        <v>0</v>
      </c>
      <c r="J46" s="2">
        <v>3.0</v>
      </c>
      <c r="K46" s="2">
        <v>13.0</v>
      </c>
      <c r="L46" s="2">
        <v>0.0</v>
      </c>
      <c r="M46" s="7">
        <v>3.0</v>
      </c>
      <c r="N46" s="1" t="s">
        <v>18</v>
      </c>
      <c r="O46" s="1" t="s">
        <v>25</v>
      </c>
      <c r="P46" s="4"/>
      <c r="Q46" s="4"/>
      <c r="R46" s="2"/>
      <c r="S46" s="2"/>
      <c r="U46" s="2"/>
      <c r="V46" s="1"/>
      <c r="W46" s="1"/>
      <c r="X46" s="1"/>
    </row>
    <row r="47">
      <c r="A47" s="1" t="s">
        <v>55</v>
      </c>
      <c r="B47" s="2">
        <v>1706.0</v>
      </c>
      <c r="C47" s="1" t="s">
        <v>93</v>
      </c>
      <c r="D47" s="2">
        <v>6.0</v>
      </c>
      <c r="E47" s="1" t="s">
        <v>22</v>
      </c>
      <c r="F47" s="3" t="b">
        <v>0</v>
      </c>
      <c r="G47" s="2">
        <v>2.0</v>
      </c>
      <c r="H47" s="2">
        <v>0.0</v>
      </c>
      <c r="I47" s="3" t="b">
        <v>0</v>
      </c>
      <c r="J47" s="2">
        <v>2.0</v>
      </c>
      <c r="K47" s="2">
        <v>20.0</v>
      </c>
      <c r="L47" s="2">
        <v>0.0</v>
      </c>
      <c r="M47" s="2">
        <v>5.0</v>
      </c>
      <c r="N47" s="1" t="s">
        <v>18</v>
      </c>
      <c r="O47" s="1" t="s">
        <v>19</v>
      </c>
      <c r="P47" s="4"/>
      <c r="Q47" s="4"/>
      <c r="R47" s="2"/>
      <c r="S47" s="2"/>
      <c r="U47" s="2"/>
      <c r="V47" s="1"/>
      <c r="W47" s="1"/>
      <c r="X47" s="6"/>
    </row>
    <row r="48">
      <c r="A48" s="1" t="s">
        <v>23</v>
      </c>
      <c r="B48" s="2">
        <v>1720.0</v>
      </c>
      <c r="C48" s="1" t="s">
        <v>94</v>
      </c>
      <c r="D48" s="2">
        <v>10.0</v>
      </c>
      <c r="E48" s="1" t="s">
        <v>17</v>
      </c>
      <c r="F48" s="3" t="b">
        <v>0</v>
      </c>
      <c r="G48" s="2">
        <v>1.0</v>
      </c>
      <c r="H48" s="2">
        <v>0.0</v>
      </c>
      <c r="I48" s="3" t="b">
        <v>0</v>
      </c>
      <c r="J48" s="2">
        <v>1.0</v>
      </c>
      <c r="K48" s="2">
        <v>0.0</v>
      </c>
      <c r="L48" s="2">
        <v>0.0</v>
      </c>
      <c r="M48" s="2">
        <v>0.0</v>
      </c>
      <c r="N48" s="1" t="s">
        <v>39</v>
      </c>
      <c r="O48" s="1" t="s">
        <v>25</v>
      </c>
      <c r="P48" s="1" t="s">
        <v>95</v>
      </c>
      <c r="R48" s="2"/>
      <c r="S48" s="2"/>
      <c r="U48" s="2"/>
      <c r="V48" s="1"/>
      <c r="W48" s="1"/>
      <c r="X48" s="6"/>
    </row>
    <row r="49">
      <c r="A49" s="1" t="s">
        <v>43</v>
      </c>
      <c r="B49" s="2">
        <v>1720.0</v>
      </c>
      <c r="C49" s="1" t="s">
        <v>96</v>
      </c>
      <c r="D49" s="2">
        <v>22.0</v>
      </c>
      <c r="E49" s="1" t="s">
        <v>17</v>
      </c>
      <c r="F49" s="3" t="b">
        <v>0</v>
      </c>
      <c r="G49" s="2">
        <v>2.0</v>
      </c>
      <c r="H49" s="2">
        <v>0.0</v>
      </c>
      <c r="I49" s="3" t="b">
        <v>0</v>
      </c>
      <c r="J49" s="2">
        <v>2.0</v>
      </c>
      <c r="K49" s="2">
        <v>5.0</v>
      </c>
      <c r="L49" s="2">
        <v>0.0</v>
      </c>
      <c r="M49" s="2">
        <v>0.0</v>
      </c>
      <c r="N49" s="1" t="s">
        <v>39</v>
      </c>
      <c r="O49" s="1" t="s">
        <v>25</v>
      </c>
      <c r="P49" s="1" t="s">
        <v>97</v>
      </c>
      <c r="R49" s="2"/>
      <c r="S49" s="2"/>
      <c r="U49" s="2"/>
      <c r="V49" s="1"/>
      <c r="W49" s="1"/>
      <c r="X49" s="6"/>
    </row>
    <row r="50">
      <c r="A50" s="1" t="s">
        <v>30</v>
      </c>
      <c r="B50" s="2">
        <v>1720.0</v>
      </c>
      <c r="C50" s="1" t="s">
        <v>98</v>
      </c>
      <c r="D50" s="2">
        <v>30.0</v>
      </c>
      <c r="E50" s="1" t="s">
        <v>17</v>
      </c>
      <c r="F50" s="3" t="b">
        <v>0</v>
      </c>
      <c r="G50" s="2">
        <v>0.0</v>
      </c>
      <c r="H50" s="2">
        <v>0.0</v>
      </c>
      <c r="I50" s="3" t="b">
        <v>0</v>
      </c>
      <c r="J50" s="2">
        <v>0.0</v>
      </c>
      <c r="K50" s="2">
        <v>2.0</v>
      </c>
      <c r="L50" s="2">
        <v>0.0</v>
      </c>
      <c r="M50" s="2">
        <v>0.0</v>
      </c>
      <c r="N50" s="1" t="s">
        <v>18</v>
      </c>
      <c r="O50" s="1" t="s">
        <v>25</v>
      </c>
      <c r="P50" s="4"/>
      <c r="Q50" s="4"/>
      <c r="R50" s="2"/>
      <c r="S50" s="2"/>
      <c r="U50" s="2"/>
      <c r="V50" s="1"/>
      <c r="W50" s="1"/>
      <c r="X50" s="6"/>
    </row>
    <row r="51">
      <c r="A51" s="1" t="s">
        <v>43</v>
      </c>
      <c r="B51" s="2">
        <v>1720.0</v>
      </c>
      <c r="C51" s="1" t="s">
        <v>99</v>
      </c>
      <c r="D51" s="2">
        <v>36.0</v>
      </c>
      <c r="E51" s="1" t="s">
        <v>17</v>
      </c>
      <c r="F51" s="3" t="b">
        <v>0</v>
      </c>
      <c r="G51" s="2">
        <v>0.0</v>
      </c>
      <c r="H51" s="2">
        <v>0.0</v>
      </c>
      <c r="I51" s="3" t="b">
        <v>0</v>
      </c>
      <c r="J51" s="2">
        <v>0.0</v>
      </c>
      <c r="K51" s="2">
        <v>12.0</v>
      </c>
      <c r="L51" s="2">
        <v>2.0</v>
      </c>
      <c r="M51" s="2">
        <v>3.0</v>
      </c>
      <c r="N51" s="1" t="s">
        <v>39</v>
      </c>
      <c r="O51" s="1" t="s">
        <v>19</v>
      </c>
      <c r="P51" s="4"/>
      <c r="Q51" s="4"/>
      <c r="R51" s="2"/>
      <c r="S51" s="2"/>
      <c r="U51" s="2"/>
      <c r="V51" s="1"/>
      <c r="W51" s="1"/>
      <c r="X51" s="1"/>
    </row>
    <row r="52">
      <c r="A52" s="1" t="s">
        <v>26</v>
      </c>
      <c r="B52" s="2">
        <v>1720.0</v>
      </c>
      <c r="C52" s="1" t="s">
        <v>100</v>
      </c>
      <c r="D52" s="2">
        <v>45.0</v>
      </c>
      <c r="E52" s="1" t="s">
        <v>22</v>
      </c>
      <c r="F52" s="3" t="b">
        <v>0</v>
      </c>
      <c r="G52" s="2">
        <v>0.0</v>
      </c>
      <c r="H52" s="2">
        <v>0.0</v>
      </c>
      <c r="I52" s="3" t="b">
        <v>0</v>
      </c>
      <c r="J52" s="2">
        <v>0.0</v>
      </c>
      <c r="K52" s="2">
        <v>9.0</v>
      </c>
      <c r="L52" s="2">
        <v>0.0</v>
      </c>
      <c r="M52" s="2">
        <v>4.0</v>
      </c>
      <c r="N52" s="1" t="s">
        <v>39</v>
      </c>
      <c r="O52" s="1" t="s">
        <v>25</v>
      </c>
      <c r="P52" s="4"/>
      <c r="Q52" s="4"/>
      <c r="R52" s="2"/>
      <c r="S52" s="2"/>
      <c r="U52" s="2"/>
      <c r="V52" s="1"/>
      <c r="W52" s="1"/>
      <c r="X52" s="6"/>
    </row>
    <row r="53">
      <c r="A53" s="1" t="s">
        <v>101</v>
      </c>
      <c r="B53" s="2">
        <v>1720.0</v>
      </c>
      <c r="C53" s="1" t="s">
        <v>102</v>
      </c>
      <c r="D53" s="2">
        <v>5.0</v>
      </c>
      <c r="E53" s="1" t="s">
        <v>22</v>
      </c>
      <c r="F53" s="3" t="b">
        <v>0</v>
      </c>
      <c r="G53" s="2">
        <v>1.0</v>
      </c>
      <c r="H53" s="2">
        <v>0.0</v>
      </c>
      <c r="I53" s="3" t="b">
        <v>0</v>
      </c>
      <c r="J53" s="2">
        <v>2.0</v>
      </c>
      <c r="K53" s="2">
        <v>12.0</v>
      </c>
      <c r="L53" s="2">
        <v>0.0</v>
      </c>
      <c r="M53" s="2">
        <v>0.0</v>
      </c>
      <c r="N53" s="1" t="s">
        <v>42</v>
      </c>
      <c r="O53" s="1" t="s">
        <v>25</v>
      </c>
      <c r="P53" s="4"/>
      <c r="Q53" s="4"/>
      <c r="R53" s="2"/>
      <c r="S53" s="2"/>
      <c r="U53" s="2"/>
      <c r="V53" s="1"/>
      <c r="W53" s="1"/>
      <c r="X53" s="1"/>
    </row>
    <row r="54">
      <c r="A54" s="1" t="s">
        <v>77</v>
      </c>
      <c r="B54" s="2">
        <v>1720.0</v>
      </c>
      <c r="C54" s="1" t="s">
        <v>103</v>
      </c>
      <c r="D54" s="2">
        <v>60.0</v>
      </c>
      <c r="E54" s="1" t="s">
        <v>22</v>
      </c>
      <c r="F54" s="3" t="b">
        <v>1</v>
      </c>
      <c r="G54" s="2">
        <v>0.0</v>
      </c>
      <c r="H54" s="2">
        <v>0.0</v>
      </c>
      <c r="I54" s="3" t="b">
        <v>1</v>
      </c>
      <c r="J54" s="2">
        <v>0.0</v>
      </c>
      <c r="K54" s="2">
        <v>2.0</v>
      </c>
      <c r="L54" s="2">
        <v>0.0</v>
      </c>
      <c r="M54" s="2">
        <v>0.0</v>
      </c>
      <c r="N54" s="1" t="s">
        <v>39</v>
      </c>
      <c r="O54" s="1" t="s">
        <v>25</v>
      </c>
      <c r="P54" s="1" t="s">
        <v>104</v>
      </c>
      <c r="Q54" s="4"/>
      <c r="R54" s="2"/>
      <c r="S54" s="2"/>
      <c r="U54" s="2"/>
      <c r="V54" s="1"/>
      <c r="W54" s="1"/>
      <c r="X54" s="6"/>
    </row>
    <row r="55">
      <c r="A55" s="1" t="s">
        <v>105</v>
      </c>
      <c r="B55" s="2">
        <v>1730.0</v>
      </c>
      <c r="C55" s="1" t="s">
        <v>106</v>
      </c>
      <c r="D55" s="2">
        <v>13.0</v>
      </c>
      <c r="E55" s="1" t="s">
        <v>17</v>
      </c>
      <c r="F55" s="3" t="b">
        <v>0</v>
      </c>
      <c r="G55" s="2">
        <v>1.0</v>
      </c>
      <c r="H55" s="2">
        <v>0.0</v>
      </c>
      <c r="I55" s="3" t="b">
        <v>0</v>
      </c>
      <c r="J55" s="2">
        <v>1.0</v>
      </c>
      <c r="K55" s="2">
        <v>12.0</v>
      </c>
      <c r="L55" s="2">
        <v>0.0</v>
      </c>
      <c r="M55" s="2">
        <v>7.0</v>
      </c>
      <c r="N55" s="1" t="s">
        <v>28</v>
      </c>
      <c r="O55" s="1" t="s">
        <v>25</v>
      </c>
      <c r="P55" s="1" t="s">
        <v>107</v>
      </c>
      <c r="R55" s="2"/>
      <c r="S55" s="2"/>
      <c r="U55" s="2"/>
      <c r="V55" s="1"/>
      <c r="W55" s="1"/>
      <c r="X55" s="6"/>
    </row>
    <row r="56">
      <c r="A56" s="1" t="s">
        <v>37</v>
      </c>
      <c r="B56" s="2">
        <v>1730.0</v>
      </c>
      <c r="C56" s="1" t="s">
        <v>108</v>
      </c>
      <c r="D56" s="2">
        <v>19.0</v>
      </c>
      <c r="E56" s="1" t="s">
        <v>17</v>
      </c>
      <c r="F56" s="3" t="b">
        <v>0</v>
      </c>
      <c r="G56" s="2">
        <v>2.0</v>
      </c>
      <c r="H56" s="2">
        <v>0.0</v>
      </c>
      <c r="I56" s="3" t="b">
        <v>0</v>
      </c>
      <c r="J56" s="2">
        <v>2.0</v>
      </c>
      <c r="K56" s="2">
        <v>9.0</v>
      </c>
      <c r="L56" s="2">
        <v>0.0</v>
      </c>
      <c r="M56" s="2">
        <v>4.0</v>
      </c>
      <c r="N56" s="1" t="s">
        <v>28</v>
      </c>
      <c r="O56" s="1" t="s">
        <v>19</v>
      </c>
      <c r="P56" s="1" t="s">
        <v>109</v>
      </c>
      <c r="R56" s="2"/>
      <c r="S56" s="2"/>
      <c r="U56" s="2"/>
      <c r="V56" s="1"/>
      <c r="W56" s="1"/>
      <c r="X56" s="6"/>
    </row>
    <row r="57">
      <c r="A57" s="1" t="s">
        <v>71</v>
      </c>
      <c r="B57" s="2">
        <v>1730.0</v>
      </c>
      <c r="C57" s="1" t="s">
        <v>110</v>
      </c>
      <c r="D57" s="2">
        <v>32.0</v>
      </c>
      <c r="E57" s="1" t="s">
        <v>22</v>
      </c>
      <c r="F57" s="3" t="b">
        <v>0</v>
      </c>
      <c r="G57" s="2">
        <v>2.0</v>
      </c>
      <c r="H57" s="2">
        <v>0.0</v>
      </c>
      <c r="I57" s="3" t="b">
        <v>0</v>
      </c>
      <c r="J57" s="2">
        <v>2.0</v>
      </c>
      <c r="K57" s="2">
        <v>3.0</v>
      </c>
      <c r="L57" s="2">
        <v>0.0</v>
      </c>
      <c r="M57" s="2">
        <v>0.0</v>
      </c>
      <c r="N57" s="1" t="s">
        <v>42</v>
      </c>
      <c r="O57" s="1" t="s">
        <v>25</v>
      </c>
      <c r="P57" s="4"/>
      <c r="Q57" s="4"/>
      <c r="R57" s="2"/>
      <c r="S57" s="2"/>
      <c r="U57" s="2"/>
      <c r="V57" s="1"/>
      <c r="W57" s="1"/>
      <c r="X57" s="6"/>
    </row>
    <row r="58">
      <c r="A58" s="1" t="s">
        <v>20</v>
      </c>
      <c r="B58" s="2">
        <v>1730.0</v>
      </c>
      <c r="C58" s="1" t="s">
        <v>111</v>
      </c>
      <c r="D58" s="2">
        <v>40.0</v>
      </c>
      <c r="E58" s="1" t="s">
        <v>22</v>
      </c>
      <c r="F58" s="3" t="b">
        <v>0</v>
      </c>
      <c r="G58" s="2">
        <v>1.0</v>
      </c>
      <c r="H58" s="2">
        <v>0.0</v>
      </c>
      <c r="I58" s="3" t="b">
        <v>0</v>
      </c>
      <c r="J58" s="2">
        <v>1.0</v>
      </c>
      <c r="K58" s="2">
        <v>6.0</v>
      </c>
      <c r="L58" s="2">
        <v>0.0</v>
      </c>
      <c r="M58" s="2">
        <v>3.0</v>
      </c>
      <c r="N58" s="1" t="s">
        <v>28</v>
      </c>
      <c r="O58" s="1" t="s">
        <v>19</v>
      </c>
      <c r="P58" s="4"/>
      <c r="Q58" s="4"/>
      <c r="R58" s="2"/>
      <c r="S58" s="2"/>
      <c r="U58" s="2"/>
      <c r="V58" s="1"/>
      <c r="W58" s="1"/>
      <c r="X58" s="6"/>
    </row>
    <row r="59">
      <c r="A59" s="1" t="s">
        <v>112</v>
      </c>
      <c r="B59" s="2">
        <v>1730.0</v>
      </c>
      <c r="C59" s="1" t="s">
        <v>113</v>
      </c>
      <c r="D59" s="2">
        <v>45.0</v>
      </c>
      <c r="E59" s="1" t="s">
        <v>22</v>
      </c>
      <c r="F59" s="3" t="b">
        <v>0</v>
      </c>
      <c r="G59" s="2">
        <v>3.0</v>
      </c>
      <c r="H59" s="2">
        <v>0.0</v>
      </c>
      <c r="I59" s="3" t="b">
        <v>0</v>
      </c>
      <c r="J59" s="2">
        <v>3.0</v>
      </c>
      <c r="K59" s="2">
        <v>10.0</v>
      </c>
      <c r="L59" s="2">
        <v>0.0</v>
      </c>
      <c r="M59" s="2">
        <v>2.0</v>
      </c>
      <c r="N59" s="1" t="s">
        <v>34</v>
      </c>
      <c r="O59" s="1" t="s">
        <v>25</v>
      </c>
      <c r="P59" s="4"/>
      <c r="Q59" s="4"/>
      <c r="R59" s="2"/>
      <c r="S59" s="2"/>
      <c r="U59" s="2"/>
      <c r="V59" s="1"/>
      <c r="W59" s="1"/>
      <c r="X59" s="1"/>
    </row>
    <row r="60">
      <c r="A60" s="1" t="s">
        <v>51</v>
      </c>
      <c r="B60" s="2">
        <v>1730.0</v>
      </c>
      <c r="C60" s="1" t="s">
        <v>114</v>
      </c>
      <c r="D60" s="2">
        <v>50.0</v>
      </c>
      <c r="E60" s="1" t="s">
        <v>17</v>
      </c>
      <c r="F60" s="3" t="b">
        <v>0</v>
      </c>
      <c r="G60" s="2">
        <v>1.0</v>
      </c>
      <c r="H60" s="2">
        <v>0.0</v>
      </c>
      <c r="I60" s="3" t="b">
        <v>0</v>
      </c>
      <c r="J60" s="2">
        <v>1.0</v>
      </c>
      <c r="K60" s="2">
        <v>10.0</v>
      </c>
      <c r="L60" s="2">
        <v>1.0</v>
      </c>
      <c r="M60" s="2">
        <v>5.0</v>
      </c>
      <c r="N60" s="1" t="s">
        <v>34</v>
      </c>
      <c r="O60" s="1" t="s">
        <v>19</v>
      </c>
      <c r="P60" s="4"/>
      <c r="Q60" s="4"/>
      <c r="R60" s="2"/>
      <c r="S60" s="2"/>
      <c r="U60" s="2"/>
      <c r="V60" s="1"/>
      <c r="W60" s="1"/>
      <c r="X60" s="6"/>
    </row>
    <row r="61">
      <c r="A61" s="1" t="s">
        <v>105</v>
      </c>
      <c r="B61" s="2">
        <v>1730.0</v>
      </c>
      <c r="C61" s="1" t="s">
        <v>115</v>
      </c>
      <c r="D61" s="2">
        <v>5.0</v>
      </c>
      <c r="E61" s="1" t="s">
        <v>17</v>
      </c>
      <c r="F61" s="3" t="b">
        <v>0</v>
      </c>
      <c r="G61" s="2">
        <v>2.0</v>
      </c>
      <c r="H61" s="2">
        <v>0.0</v>
      </c>
      <c r="I61" s="3" t="b">
        <v>0</v>
      </c>
      <c r="J61" s="2">
        <v>2.0</v>
      </c>
      <c r="K61" s="2">
        <v>0.0</v>
      </c>
      <c r="L61" s="2">
        <v>0.0</v>
      </c>
      <c r="M61" s="2">
        <v>0.0</v>
      </c>
      <c r="N61" s="1" t="s">
        <v>34</v>
      </c>
      <c r="O61" s="1" t="s">
        <v>19</v>
      </c>
      <c r="P61" s="1" t="s">
        <v>116</v>
      </c>
      <c r="Q61" s="4"/>
      <c r="R61" s="2"/>
      <c r="S61" s="2"/>
      <c r="U61" s="2"/>
      <c r="V61" s="1"/>
      <c r="W61" s="1"/>
      <c r="X61" s="1"/>
    </row>
    <row r="62">
      <c r="A62" s="1" t="s">
        <v>105</v>
      </c>
      <c r="B62" s="2">
        <v>1732.0</v>
      </c>
      <c r="C62" s="1" t="s">
        <v>117</v>
      </c>
      <c r="D62" s="2">
        <v>16.0</v>
      </c>
      <c r="E62" s="1" t="s">
        <v>17</v>
      </c>
      <c r="F62" s="3" t="b">
        <v>0</v>
      </c>
      <c r="G62" s="2">
        <v>5.0</v>
      </c>
      <c r="H62" s="2">
        <v>0.0</v>
      </c>
      <c r="I62" s="3" t="b">
        <v>0</v>
      </c>
      <c r="J62" s="2">
        <v>5.0</v>
      </c>
      <c r="K62" s="2">
        <v>7.0</v>
      </c>
      <c r="L62" s="2">
        <v>0.0</v>
      </c>
      <c r="M62" s="2">
        <v>2.0</v>
      </c>
      <c r="N62" s="1" t="s">
        <v>32</v>
      </c>
      <c r="O62" s="1" t="s">
        <v>25</v>
      </c>
      <c r="P62" s="4"/>
      <c r="Q62" s="4"/>
      <c r="R62" s="2"/>
      <c r="S62" s="2"/>
      <c r="U62" s="2"/>
      <c r="V62" s="1"/>
      <c r="W62" s="1"/>
      <c r="X62" s="6"/>
    </row>
    <row r="63">
      <c r="A63" s="1" t="s">
        <v>118</v>
      </c>
      <c r="B63" s="2">
        <v>1732.0</v>
      </c>
      <c r="C63" s="1" t="s">
        <v>119</v>
      </c>
      <c r="D63" s="2">
        <v>23.0</v>
      </c>
      <c r="E63" s="1" t="s">
        <v>22</v>
      </c>
      <c r="F63" s="3" t="b">
        <v>0</v>
      </c>
      <c r="G63" s="2">
        <v>4.0</v>
      </c>
      <c r="H63" s="2">
        <v>0.0</v>
      </c>
      <c r="I63" s="3" t="b">
        <v>0</v>
      </c>
      <c r="J63" s="2">
        <v>5.0</v>
      </c>
      <c r="K63" s="2">
        <v>6.0</v>
      </c>
      <c r="L63" s="2">
        <v>0.0</v>
      </c>
      <c r="M63" s="2">
        <v>4.0</v>
      </c>
      <c r="N63" s="1" t="s">
        <v>28</v>
      </c>
      <c r="O63" s="1" t="s">
        <v>25</v>
      </c>
      <c r="P63" s="1" t="s">
        <v>120</v>
      </c>
      <c r="R63" s="2"/>
      <c r="S63" s="2"/>
      <c r="U63" s="2"/>
      <c r="V63" s="1"/>
      <c r="W63" s="1"/>
      <c r="X63" s="1"/>
    </row>
    <row r="64">
      <c r="A64" s="1" t="s">
        <v>30</v>
      </c>
      <c r="B64" s="2">
        <v>1732.0</v>
      </c>
      <c r="C64" s="1" t="s">
        <v>121</v>
      </c>
      <c r="D64" s="2">
        <v>28.0</v>
      </c>
      <c r="E64" s="1" t="s">
        <v>17</v>
      </c>
      <c r="F64" s="3" t="b">
        <v>0</v>
      </c>
      <c r="G64" s="2">
        <v>0.0</v>
      </c>
      <c r="H64" s="2">
        <v>0.0</v>
      </c>
      <c r="I64" s="3" t="b">
        <v>0</v>
      </c>
      <c r="J64" s="2">
        <v>0.0</v>
      </c>
      <c r="K64" s="2">
        <v>8.0</v>
      </c>
      <c r="L64" s="2">
        <v>0.0</v>
      </c>
      <c r="M64" s="2">
        <v>2.0</v>
      </c>
      <c r="N64" s="1" t="s">
        <v>18</v>
      </c>
      <c r="O64" s="1" t="s">
        <v>25</v>
      </c>
      <c r="P64" s="4"/>
      <c r="Q64" s="4"/>
      <c r="R64" s="2"/>
      <c r="S64" s="2"/>
      <c r="U64" s="2"/>
      <c r="V64" s="1"/>
      <c r="W64" s="1"/>
      <c r="X64" s="6"/>
    </row>
    <row r="65">
      <c r="A65" s="1" t="s">
        <v>101</v>
      </c>
      <c r="B65" s="2">
        <v>1732.0</v>
      </c>
      <c r="C65" s="1" t="s">
        <v>122</v>
      </c>
      <c r="D65" s="2">
        <v>33.0</v>
      </c>
      <c r="E65" s="1" t="s">
        <v>22</v>
      </c>
      <c r="F65" s="3" t="b">
        <v>0</v>
      </c>
      <c r="G65" s="2">
        <v>0.0</v>
      </c>
      <c r="H65" s="2">
        <v>0.0</v>
      </c>
      <c r="I65" s="3" t="b">
        <v>0</v>
      </c>
      <c r="J65" s="2">
        <v>4.0</v>
      </c>
      <c r="K65" s="2">
        <v>7.0</v>
      </c>
      <c r="L65" s="2">
        <v>0.0</v>
      </c>
      <c r="M65" s="7">
        <v>4.0</v>
      </c>
      <c r="N65" s="1" t="s">
        <v>32</v>
      </c>
      <c r="O65" s="1" t="s">
        <v>19</v>
      </c>
      <c r="P65" s="4"/>
      <c r="Q65" s="4"/>
      <c r="R65" s="2"/>
      <c r="S65" s="2"/>
      <c r="U65" s="2"/>
      <c r="V65" s="1"/>
      <c r="W65" s="1"/>
      <c r="X65" s="6"/>
    </row>
    <row r="66">
      <c r="A66" s="1" t="s">
        <v>23</v>
      </c>
      <c r="B66" s="2">
        <v>1732.0</v>
      </c>
      <c r="C66" s="1" t="s">
        <v>123</v>
      </c>
      <c r="D66" s="2">
        <v>46.0</v>
      </c>
      <c r="E66" s="1" t="s">
        <v>17</v>
      </c>
      <c r="F66" s="3" t="b">
        <v>0</v>
      </c>
      <c r="G66" s="2">
        <v>2.0</v>
      </c>
      <c r="H66" s="2">
        <v>0.0</v>
      </c>
      <c r="I66" s="3" t="b">
        <v>0</v>
      </c>
      <c r="J66" s="2">
        <v>2.0</v>
      </c>
      <c r="K66" s="2">
        <v>13.0</v>
      </c>
      <c r="L66" s="2">
        <v>0.0</v>
      </c>
      <c r="M66" s="2">
        <v>6.0</v>
      </c>
      <c r="N66" s="1" t="s">
        <v>39</v>
      </c>
      <c r="O66" s="1" t="s">
        <v>19</v>
      </c>
      <c r="P66" s="4"/>
      <c r="Q66" s="4"/>
      <c r="R66" s="2"/>
      <c r="S66" s="2"/>
      <c r="U66" s="2"/>
      <c r="V66" s="1"/>
      <c r="W66" s="1"/>
      <c r="X66" s="6"/>
    </row>
    <row r="67">
      <c r="A67" s="1" t="s">
        <v>20</v>
      </c>
      <c r="B67" s="2">
        <v>1732.0</v>
      </c>
      <c r="C67" s="1" t="s">
        <v>124</v>
      </c>
      <c r="D67" s="2">
        <v>4.0</v>
      </c>
      <c r="E67" s="1" t="s">
        <v>22</v>
      </c>
      <c r="F67" s="3" t="b">
        <v>0</v>
      </c>
      <c r="G67" s="2">
        <v>3.0</v>
      </c>
      <c r="H67" s="2">
        <v>0.0</v>
      </c>
      <c r="I67" s="3" t="b">
        <v>0</v>
      </c>
      <c r="J67" s="2">
        <v>3.0</v>
      </c>
      <c r="K67" s="2">
        <v>12.0</v>
      </c>
      <c r="L67" s="2">
        <v>0.0</v>
      </c>
      <c r="M67" s="2">
        <v>1.0</v>
      </c>
      <c r="N67" s="1" t="s">
        <v>18</v>
      </c>
      <c r="O67" s="1" t="s">
        <v>19</v>
      </c>
      <c r="P67" s="4"/>
      <c r="Q67" s="4"/>
      <c r="R67" s="2"/>
      <c r="S67" s="2"/>
      <c r="U67" s="2"/>
      <c r="V67" s="1"/>
      <c r="W67" s="1"/>
      <c r="X67" s="6"/>
    </row>
    <row r="68">
      <c r="A68" s="1" t="s">
        <v>15</v>
      </c>
      <c r="B68" s="2">
        <v>1732.0</v>
      </c>
      <c r="C68" s="1" t="s">
        <v>125</v>
      </c>
      <c r="D68" s="2">
        <v>53.0</v>
      </c>
      <c r="E68" s="1" t="s">
        <v>17</v>
      </c>
      <c r="F68" s="3" t="b">
        <v>0</v>
      </c>
      <c r="G68" s="2">
        <v>2.0</v>
      </c>
      <c r="H68" s="2">
        <v>0.0</v>
      </c>
      <c r="I68" s="3" t="b">
        <v>0</v>
      </c>
      <c r="J68" s="2">
        <v>2.0</v>
      </c>
      <c r="K68" s="2">
        <v>13.0</v>
      </c>
      <c r="L68" s="2">
        <v>0.0</v>
      </c>
      <c r="M68" s="2">
        <v>2.0</v>
      </c>
      <c r="N68" s="1" t="s">
        <v>18</v>
      </c>
      <c r="O68" s="1" t="s">
        <v>25</v>
      </c>
      <c r="P68" s="1" t="s">
        <v>126</v>
      </c>
      <c r="R68" s="2"/>
      <c r="S68" s="2"/>
      <c r="U68" s="2"/>
      <c r="V68" s="1"/>
      <c r="W68" s="1"/>
      <c r="X68" s="1"/>
    </row>
    <row r="69">
      <c r="A69" s="1" t="s">
        <v>118</v>
      </c>
      <c r="B69" s="2">
        <v>1732.0</v>
      </c>
      <c r="C69" s="1" t="s">
        <v>127</v>
      </c>
      <c r="D69" s="2">
        <v>58.0</v>
      </c>
      <c r="E69" s="1" t="s">
        <v>22</v>
      </c>
      <c r="F69" s="3" t="b">
        <v>0</v>
      </c>
      <c r="G69" s="2">
        <v>5.0</v>
      </c>
      <c r="H69" s="2">
        <v>0.0</v>
      </c>
      <c r="I69" s="3" t="b">
        <v>0</v>
      </c>
      <c r="J69" s="2">
        <v>5.0</v>
      </c>
      <c r="K69" s="2">
        <v>16.0</v>
      </c>
      <c r="L69" s="2">
        <v>0.0</v>
      </c>
      <c r="M69" s="2">
        <v>2.0</v>
      </c>
      <c r="N69" s="1" t="s">
        <v>18</v>
      </c>
      <c r="O69" s="1" t="s">
        <v>25</v>
      </c>
      <c r="P69" s="4"/>
      <c r="Q69" s="4"/>
      <c r="R69" s="2"/>
      <c r="S69" s="2"/>
      <c r="U69" s="2"/>
      <c r="V69" s="1"/>
      <c r="W69" s="1"/>
      <c r="X69" s="6"/>
    </row>
    <row r="70">
      <c r="A70" s="1" t="s">
        <v>37</v>
      </c>
      <c r="B70" s="2">
        <v>180.0</v>
      </c>
      <c r="C70" s="1" t="s">
        <v>128</v>
      </c>
      <c r="D70" s="2">
        <v>15.0</v>
      </c>
      <c r="E70" s="1" t="s">
        <v>17</v>
      </c>
      <c r="F70" s="3" t="b">
        <v>0</v>
      </c>
      <c r="G70" s="2">
        <v>2.0</v>
      </c>
      <c r="H70" s="2">
        <v>0.0</v>
      </c>
      <c r="I70" s="3" t="b">
        <v>0</v>
      </c>
      <c r="J70" s="2">
        <v>2.0</v>
      </c>
      <c r="K70" s="2">
        <v>19.0</v>
      </c>
      <c r="L70" s="2">
        <v>0.0</v>
      </c>
      <c r="M70" s="2">
        <v>1.0</v>
      </c>
      <c r="N70" s="1" t="s">
        <v>42</v>
      </c>
      <c r="O70" s="1" t="s">
        <v>19</v>
      </c>
      <c r="P70" s="4"/>
      <c r="Q70" s="4"/>
      <c r="R70" s="2"/>
      <c r="S70" s="2"/>
      <c r="U70" s="2"/>
      <c r="V70" s="1"/>
      <c r="W70" s="1"/>
      <c r="X70" s="6"/>
    </row>
    <row r="71">
      <c r="A71" s="1" t="s">
        <v>43</v>
      </c>
      <c r="B71" s="2">
        <v>180.0</v>
      </c>
      <c r="C71" s="1" t="s">
        <v>129</v>
      </c>
      <c r="D71" s="2">
        <v>24.0</v>
      </c>
      <c r="E71" s="1" t="s">
        <v>17</v>
      </c>
      <c r="F71" s="3" t="b">
        <v>1</v>
      </c>
      <c r="G71" s="2">
        <v>1.0</v>
      </c>
      <c r="H71" s="2">
        <v>0.0</v>
      </c>
      <c r="I71" s="3" t="b">
        <v>0</v>
      </c>
      <c r="J71" s="2">
        <v>1.0</v>
      </c>
      <c r="K71" s="2">
        <v>7.0</v>
      </c>
      <c r="L71" s="2">
        <v>0.0</v>
      </c>
      <c r="M71" s="2">
        <v>0.0</v>
      </c>
      <c r="N71" s="1" t="s">
        <v>42</v>
      </c>
      <c r="O71" s="1" t="s">
        <v>25</v>
      </c>
      <c r="P71" s="1" t="s">
        <v>130</v>
      </c>
      <c r="R71" s="2"/>
      <c r="S71" s="2"/>
      <c r="U71" s="2"/>
      <c r="V71" s="1"/>
      <c r="W71" s="1"/>
      <c r="X71" s="1"/>
    </row>
    <row r="72">
      <c r="A72" s="1" t="s">
        <v>77</v>
      </c>
      <c r="B72" s="2">
        <v>180.0</v>
      </c>
      <c r="C72" s="1" t="s">
        <v>131</v>
      </c>
      <c r="D72" s="2">
        <v>29.0</v>
      </c>
      <c r="E72" s="1" t="s">
        <v>22</v>
      </c>
      <c r="F72" s="3" t="b">
        <v>0</v>
      </c>
      <c r="G72" s="2">
        <v>4.0</v>
      </c>
      <c r="H72" s="2">
        <v>0.0</v>
      </c>
      <c r="I72" s="3" t="b">
        <v>0</v>
      </c>
      <c r="J72" s="2">
        <v>4.0</v>
      </c>
      <c r="K72" s="2">
        <v>18.0</v>
      </c>
      <c r="L72" s="2">
        <v>0.0</v>
      </c>
      <c r="M72" s="2">
        <v>2.0</v>
      </c>
      <c r="N72" s="1" t="s">
        <v>42</v>
      </c>
      <c r="O72" s="1" t="s">
        <v>19</v>
      </c>
      <c r="P72" s="4"/>
      <c r="Q72" s="4"/>
      <c r="R72" s="2"/>
      <c r="S72" s="2"/>
      <c r="U72" s="2"/>
      <c r="V72" s="1"/>
      <c r="W72" s="1"/>
      <c r="X72" s="6"/>
    </row>
    <row r="73">
      <c r="A73" s="1" t="s">
        <v>132</v>
      </c>
      <c r="B73" s="2">
        <v>180.0</v>
      </c>
      <c r="C73" s="1" t="s">
        <v>133</v>
      </c>
      <c r="D73" s="2">
        <v>2.0</v>
      </c>
      <c r="E73" s="1" t="s">
        <v>22</v>
      </c>
      <c r="F73" s="3" t="b">
        <v>0</v>
      </c>
      <c r="G73" s="2">
        <v>0.0</v>
      </c>
      <c r="H73" s="2">
        <v>0.0</v>
      </c>
      <c r="I73" s="3" t="b">
        <v>0</v>
      </c>
      <c r="J73" s="2">
        <v>1.0</v>
      </c>
      <c r="K73" s="2">
        <v>21.0</v>
      </c>
      <c r="L73" s="2">
        <v>0.0</v>
      </c>
      <c r="M73" s="2">
        <v>1.0</v>
      </c>
      <c r="N73" s="1" t="s">
        <v>39</v>
      </c>
      <c r="O73" s="1" t="s">
        <v>19</v>
      </c>
      <c r="P73" s="1" t="s">
        <v>134</v>
      </c>
      <c r="Q73" s="4"/>
      <c r="R73" s="2"/>
      <c r="S73" s="2"/>
      <c r="U73" s="2"/>
      <c r="V73" s="1"/>
      <c r="W73" s="1"/>
      <c r="X73" s="6"/>
    </row>
    <row r="74">
      <c r="A74" s="1" t="s">
        <v>43</v>
      </c>
      <c r="B74" s="2">
        <v>180.0</v>
      </c>
      <c r="C74" s="1" t="s">
        <v>135</v>
      </c>
      <c r="D74" s="2">
        <v>34.0</v>
      </c>
      <c r="E74" s="1" t="s">
        <v>17</v>
      </c>
      <c r="F74" s="3" t="b">
        <v>0</v>
      </c>
      <c r="G74" s="2">
        <v>5.0</v>
      </c>
      <c r="H74" s="2">
        <v>0.0</v>
      </c>
      <c r="I74" s="3" t="b">
        <v>0</v>
      </c>
      <c r="J74" s="2">
        <v>5.0</v>
      </c>
      <c r="K74" s="2">
        <v>19.0</v>
      </c>
      <c r="L74" s="2">
        <v>0.0</v>
      </c>
      <c r="M74" s="2">
        <v>3.0</v>
      </c>
      <c r="N74" s="1" t="s">
        <v>18</v>
      </c>
      <c r="O74" s="1" t="s">
        <v>19</v>
      </c>
      <c r="P74" s="4"/>
      <c r="Q74" s="4"/>
      <c r="R74" s="2"/>
      <c r="S74" s="2"/>
      <c r="U74" s="2"/>
      <c r="V74" s="1"/>
      <c r="W74" s="1"/>
      <c r="X74" s="6"/>
    </row>
    <row r="75">
      <c r="A75" s="1" t="s">
        <v>118</v>
      </c>
      <c r="B75" s="2">
        <v>180.0</v>
      </c>
      <c r="C75" s="1" t="s">
        <v>136</v>
      </c>
      <c r="D75" s="2">
        <v>43.0</v>
      </c>
      <c r="E75" s="1" t="s">
        <v>22</v>
      </c>
      <c r="F75" s="3" t="b">
        <v>0</v>
      </c>
      <c r="G75" s="2">
        <v>5.0</v>
      </c>
      <c r="H75" s="2">
        <v>0.0</v>
      </c>
      <c r="I75" s="3" t="b">
        <v>0</v>
      </c>
      <c r="J75" s="2">
        <v>5.0</v>
      </c>
      <c r="K75" s="2">
        <v>20.0</v>
      </c>
      <c r="L75" s="2">
        <v>0.0</v>
      </c>
      <c r="M75" s="2">
        <v>0.0</v>
      </c>
      <c r="N75" s="1" t="s">
        <v>28</v>
      </c>
      <c r="O75" s="1" t="s">
        <v>19</v>
      </c>
      <c r="P75" s="1" t="s">
        <v>137</v>
      </c>
      <c r="R75" s="2"/>
      <c r="S75" s="2"/>
      <c r="U75" s="2"/>
      <c r="V75" s="1"/>
      <c r="W75" s="1"/>
      <c r="X75" s="1"/>
    </row>
    <row r="76">
      <c r="A76" s="1" t="s">
        <v>43</v>
      </c>
      <c r="B76" s="2">
        <v>180.0</v>
      </c>
      <c r="C76" s="1" t="s">
        <v>138</v>
      </c>
      <c r="D76" s="2">
        <v>50.0</v>
      </c>
      <c r="E76" s="1" t="s">
        <v>17</v>
      </c>
      <c r="F76" s="3" t="b">
        <v>0</v>
      </c>
      <c r="G76" s="2">
        <v>4.0</v>
      </c>
      <c r="H76" s="2">
        <v>0.0</v>
      </c>
      <c r="I76" s="3" t="b">
        <v>0</v>
      </c>
      <c r="J76" s="2">
        <v>5.0</v>
      </c>
      <c r="K76" s="2">
        <v>26.0</v>
      </c>
      <c r="L76" s="2">
        <v>0.0</v>
      </c>
      <c r="M76" s="2">
        <v>2.0</v>
      </c>
      <c r="N76" s="1" t="s">
        <v>18</v>
      </c>
      <c r="O76" s="1" t="s">
        <v>19</v>
      </c>
      <c r="P76" s="4"/>
      <c r="Q76" s="4"/>
      <c r="R76" s="2"/>
      <c r="S76" s="2"/>
      <c r="U76" s="2"/>
      <c r="V76" s="1"/>
      <c r="W76" s="1"/>
      <c r="X76" s="6"/>
    </row>
    <row r="77">
      <c r="A77" s="1" t="s">
        <v>77</v>
      </c>
      <c r="B77" s="2">
        <v>180.0</v>
      </c>
      <c r="C77" s="1" t="s">
        <v>139</v>
      </c>
      <c r="D77" s="2">
        <v>59.0</v>
      </c>
      <c r="E77" s="1" t="s">
        <v>22</v>
      </c>
      <c r="F77" s="3" t="b">
        <v>0</v>
      </c>
      <c r="G77" s="2">
        <v>2.0</v>
      </c>
      <c r="H77" s="2">
        <v>0.0</v>
      </c>
      <c r="I77" s="3" t="b">
        <v>0</v>
      </c>
      <c r="J77" s="2">
        <v>2.0</v>
      </c>
      <c r="K77" s="2">
        <v>19.0</v>
      </c>
      <c r="L77" s="2">
        <v>0.0</v>
      </c>
      <c r="M77" s="2">
        <v>3.0</v>
      </c>
      <c r="N77" s="1" t="s">
        <v>39</v>
      </c>
      <c r="O77" s="1" t="s">
        <v>19</v>
      </c>
      <c r="P77" s="4"/>
      <c r="Q77" s="4"/>
      <c r="R77" s="2"/>
      <c r="S77" s="2"/>
      <c r="U77" s="2"/>
      <c r="V77" s="1"/>
      <c r="W77" s="1"/>
      <c r="X77" s="1"/>
    </row>
    <row r="78">
      <c r="A78" s="1" t="s">
        <v>77</v>
      </c>
      <c r="B78" s="2">
        <v>195.0</v>
      </c>
      <c r="C78" s="1" t="s">
        <v>140</v>
      </c>
      <c r="D78" s="2">
        <v>10.0</v>
      </c>
      <c r="E78" s="1" t="s">
        <v>22</v>
      </c>
      <c r="F78" s="3" t="b">
        <v>0</v>
      </c>
      <c r="G78" s="2">
        <v>4.0</v>
      </c>
      <c r="H78" s="2">
        <v>0.0</v>
      </c>
      <c r="I78" s="3" t="b">
        <v>0</v>
      </c>
      <c r="J78" s="2">
        <v>5.0</v>
      </c>
      <c r="K78" s="2">
        <v>6.0</v>
      </c>
      <c r="L78" s="2">
        <v>0.0</v>
      </c>
      <c r="M78" s="2">
        <v>2.0</v>
      </c>
      <c r="N78" s="1" t="s">
        <v>34</v>
      </c>
      <c r="O78" s="1" t="s">
        <v>19</v>
      </c>
      <c r="P78" s="4"/>
      <c r="Q78" s="4"/>
      <c r="R78" s="2"/>
      <c r="S78" s="2"/>
      <c r="U78" s="2"/>
      <c r="V78" s="1"/>
      <c r="W78" s="1"/>
      <c r="X78" s="1"/>
    </row>
    <row r="79">
      <c r="A79" s="1" t="s">
        <v>51</v>
      </c>
      <c r="B79" s="2">
        <v>195.0</v>
      </c>
      <c r="C79" s="1" t="s">
        <v>141</v>
      </c>
      <c r="D79" s="2">
        <v>19.0</v>
      </c>
      <c r="E79" s="1" t="s">
        <v>17</v>
      </c>
      <c r="F79" s="3" t="b">
        <v>0</v>
      </c>
      <c r="G79" s="2">
        <v>1.0</v>
      </c>
      <c r="H79" s="2">
        <v>0.0</v>
      </c>
      <c r="I79" s="3" t="b">
        <v>0</v>
      </c>
      <c r="J79" s="2">
        <v>1.0</v>
      </c>
      <c r="K79" s="2">
        <v>9.0</v>
      </c>
      <c r="L79" s="2">
        <v>0.0</v>
      </c>
      <c r="M79" s="2">
        <v>3.0</v>
      </c>
      <c r="N79" s="1" t="s">
        <v>34</v>
      </c>
      <c r="O79" s="1" t="s">
        <v>19</v>
      </c>
      <c r="P79" s="4"/>
      <c r="Q79" s="4"/>
      <c r="R79" s="2"/>
      <c r="S79" s="2"/>
      <c r="U79" s="2"/>
      <c r="V79" s="1"/>
      <c r="W79" s="1"/>
      <c r="X79" s="6"/>
    </row>
    <row r="80">
      <c r="A80" s="1" t="s">
        <v>23</v>
      </c>
      <c r="B80" s="2">
        <v>195.0</v>
      </c>
      <c r="C80" s="1" t="s">
        <v>142</v>
      </c>
      <c r="D80" s="2">
        <v>30.0</v>
      </c>
      <c r="E80" s="1" t="s">
        <v>17</v>
      </c>
      <c r="F80" s="3" t="b">
        <v>0</v>
      </c>
      <c r="G80" s="2">
        <v>3.0</v>
      </c>
      <c r="H80" s="2">
        <v>0.0</v>
      </c>
      <c r="I80" s="3" t="b">
        <v>0</v>
      </c>
      <c r="J80" s="2">
        <v>4.0</v>
      </c>
      <c r="K80" s="2">
        <v>12.0</v>
      </c>
      <c r="L80" s="2">
        <v>0.0</v>
      </c>
      <c r="M80" s="2">
        <v>2.0</v>
      </c>
      <c r="N80" s="1" t="s">
        <v>34</v>
      </c>
      <c r="O80" s="1" t="s">
        <v>25</v>
      </c>
      <c r="P80" s="4"/>
      <c r="Q80" s="4"/>
      <c r="R80" s="2"/>
      <c r="S80" s="2"/>
      <c r="U80" s="2"/>
      <c r="V80" s="1"/>
      <c r="W80" s="1"/>
      <c r="X80" s="6"/>
    </row>
    <row r="81">
      <c r="A81" s="1" t="s">
        <v>15</v>
      </c>
      <c r="B81" s="2">
        <v>195.0</v>
      </c>
      <c r="C81" s="1" t="s">
        <v>143</v>
      </c>
      <c r="D81" s="2">
        <v>38.0</v>
      </c>
      <c r="E81" s="1" t="s">
        <v>17</v>
      </c>
      <c r="F81" s="3" t="b">
        <v>0</v>
      </c>
      <c r="G81" s="2">
        <v>2.0</v>
      </c>
      <c r="H81" s="2">
        <v>0.0</v>
      </c>
      <c r="I81" s="3" t="b">
        <v>0</v>
      </c>
      <c r="J81" s="2">
        <v>2.0</v>
      </c>
      <c r="K81" s="2">
        <v>8.0</v>
      </c>
      <c r="L81" s="2">
        <v>0.0</v>
      </c>
      <c r="M81" s="2">
        <v>3.0</v>
      </c>
      <c r="N81" s="1" t="s">
        <v>34</v>
      </c>
      <c r="O81" s="1" t="s">
        <v>19</v>
      </c>
      <c r="P81" s="1" t="s">
        <v>144</v>
      </c>
      <c r="R81" s="2"/>
      <c r="S81" s="2"/>
      <c r="U81" s="2"/>
      <c r="V81" s="1"/>
      <c r="W81" s="1"/>
      <c r="X81" s="6"/>
    </row>
    <row r="82">
      <c r="A82" s="1" t="s">
        <v>26</v>
      </c>
      <c r="B82" s="2">
        <v>195.0</v>
      </c>
      <c r="C82" s="1" t="s">
        <v>145</v>
      </c>
      <c r="D82" s="2">
        <v>3.0</v>
      </c>
      <c r="E82" s="1" t="s">
        <v>22</v>
      </c>
      <c r="F82" s="3" t="b">
        <v>0</v>
      </c>
      <c r="G82" s="2">
        <v>0.0</v>
      </c>
      <c r="H82" s="2">
        <v>0.0</v>
      </c>
      <c r="I82" s="3" t="b">
        <v>0</v>
      </c>
      <c r="J82" s="2">
        <v>0.0</v>
      </c>
      <c r="K82" s="2">
        <v>11.0</v>
      </c>
      <c r="L82" s="2">
        <v>0.0</v>
      </c>
      <c r="M82" s="2">
        <v>2.0</v>
      </c>
      <c r="N82" s="1" t="s">
        <v>34</v>
      </c>
      <c r="O82" s="1" t="s">
        <v>19</v>
      </c>
      <c r="P82" s="4"/>
      <c r="Q82" s="4"/>
      <c r="R82" s="2"/>
      <c r="S82" s="2"/>
      <c r="U82" s="2"/>
      <c r="V82" s="1"/>
      <c r="W82" s="1"/>
      <c r="X82" s="1"/>
    </row>
    <row r="83">
      <c r="A83" s="1" t="s">
        <v>46</v>
      </c>
      <c r="B83" s="2">
        <v>195.0</v>
      </c>
      <c r="C83" s="1" t="s">
        <v>146</v>
      </c>
      <c r="D83" s="2">
        <v>44.0</v>
      </c>
      <c r="E83" s="1" t="s">
        <v>22</v>
      </c>
      <c r="F83" s="3" t="b">
        <v>0</v>
      </c>
      <c r="G83" s="2">
        <v>0.0</v>
      </c>
      <c r="H83" s="2">
        <v>0.0</v>
      </c>
      <c r="I83" s="3" t="b">
        <v>0</v>
      </c>
      <c r="J83" s="2">
        <v>1.0</v>
      </c>
      <c r="K83" s="2">
        <v>5.0</v>
      </c>
      <c r="L83" s="2">
        <v>0.0</v>
      </c>
      <c r="M83" s="2">
        <v>4.0</v>
      </c>
      <c r="N83" s="1" t="s">
        <v>42</v>
      </c>
      <c r="O83" s="1" t="s">
        <v>25</v>
      </c>
      <c r="P83" s="4"/>
      <c r="Q83" s="4"/>
      <c r="R83" s="2"/>
      <c r="S83" s="2"/>
      <c r="U83" s="2"/>
      <c r="V83" s="1"/>
      <c r="W83" s="1"/>
      <c r="X83" s="6"/>
    </row>
    <row r="84">
      <c r="A84" s="1" t="s">
        <v>37</v>
      </c>
      <c r="B84" s="2">
        <v>195.0</v>
      </c>
      <c r="C84" s="1" t="s">
        <v>147</v>
      </c>
      <c r="D84" s="2">
        <v>49.0</v>
      </c>
      <c r="E84" s="1" t="s">
        <v>17</v>
      </c>
      <c r="F84" s="3" t="b">
        <v>0</v>
      </c>
      <c r="G84" s="2">
        <v>1.0</v>
      </c>
      <c r="H84" s="2">
        <v>0.0</v>
      </c>
      <c r="I84" s="3" t="b">
        <v>0</v>
      </c>
      <c r="J84" s="2">
        <v>1.0</v>
      </c>
      <c r="K84" s="2">
        <v>10.0</v>
      </c>
      <c r="L84" s="2">
        <v>0.0</v>
      </c>
      <c r="M84" s="2">
        <v>2.0</v>
      </c>
      <c r="N84" s="1" t="s">
        <v>18</v>
      </c>
      <c r="O84" s="1" t="s">
        <v>19</v>
      </c>
      <c r="P84" s="1" t="s">
        <v>148</v>
      </c>
      <c r="R84" s="2"/>
      <c r="S84" s="2"/>
      <c r="U84" s="2"/>
      <c r="V84" s="1"/>
      <c r="W84" s="1"/>
      <c r="X84" s="6"/>
    </row>
    <row r="85">
      <c r="A85" s="1" t="s">
        <v>49</v>
      </c>
      <c r="B85" s="2">
        <v>1987.0</v>
      </c>
      <c r="C85" s="1" t="s">
        <v>149</v>
      </c>
      <c r="D85" s="2">
        <v>19.0</v>
      </c>
      <c r="E85" s="1" t="s">
        <v>22</v>
      </c>
      <c r="F85" s="3" t="b">
        <v>0</v>
      </c>
      <c r="G85" s="2">
        <v>2.0</v>
      </c>
      <c r="H85" s="2">
        <v>0.0</v>
      </c>
      <c r="I85" s="3" t="b">
        <v>0</v>
      </c>
      <c r="J85" s="2">
        <v>2.0</v>
      </c>
      <c r="K85" s="2">
        <v>10.0</v>
      </c>
      <c r="L85" s="2">
        <v>0.0</v>
      </c>
      <c r="M85" s="7">
        <v>2.0</v>
      </c>
      <c r="N85" s="1" t="s">
        <v>34</v>
      </c>
      <c r="O85" s="1" t="s">
        <v>25</v>
      </c>
      <c r="P85" s="4"/>
      <c r="Q85" s="4"/>
      <c r="R85" s="2"/>
      <c r="S85" s="2"/>
      <c r="U85" s="2"/>
      <c r="V85" s="1"/>
      <c r="W85" s="1"/>
      <c r="X85" s="6"/>
      <c r="Y85" s="6"/>
      <c r="Z85" s="6"/>
    </row>
    <row r="86">
      <c r="A86" s="1" t="s">
        <v>26</v>
      </c>
      <c r="B86" s="2">
        <v>1987.0</v>
      </c>
      <c r="C86" s="1" t="s">
        <v>150</v>
      </c>
      <c r="D86" s="2">
        <v>1.0</v>
      </c>
      <c r="E86" s="1" t="s">
        <v>22</v>
      </c>
      <c r="F86" s="3" t="b">
        <v>0</v>
      </c>
      <c r="G86" s="2">
        <v>0.0</v>
      </c>
      <c r="H86" s="2">
        <v>0.0</v>
      </c>
      <c r="I86" s="3" t="b">
        <v>0</v>
      </c>
      <c r="J86" s="2">
        <v>1.0</v>
      </c>
      <c r="K86" s="2">
        <v>9.0</v>
      </c>
      <c r="L86" s="2">
        <v>0.0</v>
      </c>
      <c r="M86" s="2">
        <v>0.0</v>
      </c>
      <c r="N86" s="1" t="s">
        <v>28</v>
      </c>
      <c r="O86" s="1" t="s">
        <v>19</v>
      </c>
      <c r="P86" s="4"/>
      <c r="Q86" s="4"/>
      <c r="R86" s="2"/>
      <c r="S86" s="2"/>
      <c r="U86" s="2"/>
      <c r="V86" s="1"/>
      <c r="W86" s="1"/>
      <c r="X86" s="1"/>
    </row>
    <row r="87">
      <c r="A87" s="1" t="s">
        <v>151</v>
      </c>
      <c r="B87" s="2">
        <v>1987.0</v>
      </c>
      <c r="C87" s="1" t="s">
        <v>152</v>
      </c>
      <c r="D87" s="2">
        <v>26.0</v>
      </c>
      <c r="E87" s="1" t="s">
        <v>17</v>
      </c>
      <c r="F87" s="3" t="b">
        <v>0</v>
      </c>
      <c r="G87" s="2">
        <v>2.0</v>
      </c>
      <c r="H87" s="2">
        <v>0.0</v>
      </c>
      <c r="I87" s="3" t="b">
        <v>0</v>
      </c>
      <c r="J87" s="2">
        <v>2.0</v>
      </c>
      <c r="K87" s="2">
        <v>9.0</v>
      </c>
      <c r="L87" s="2">
        <v>0.0</v>
      </c>
      <c r="M87" s="2">
        <v>1.0</v>
      </c>
      <c r="N87" s="1" t="s">
        <v>18</v>
      </c>
      <c r="O87" s="1" t="s">
        <v>25</v>
      </c>
      <c r="P87" s="4"/>
      <c r="Q87" s="4"/>
      <c r="R87" s="2"/>
      <c r="S87" s="2"/>
      <c r="U87" s="2"/>
      <c r="V87" s="1"/>
      <c r="W87" s="1"/>
      <c r="X87" s="1"/>
    </row>
    <row r="88">
      <c r="A88" s="1" t="s">
        <v>37</v>
      </c>
      <c r="B88" s="2">
        <v>1987.0</v>
      </c>
      <c r="C88" s="1" t="s">
        <v>153</v>
      </c>
      <c r="D88" s="2">
        <v>36.0</v>
      </c>
      <c r="E88" s="1" t="s">
        <v>17</v>
      </c>
      <c r="F88" s="3" t="b">
        <v>1</v>
      </c>
      <c r="G88" s="2">
        <v>2.0</v>
      </c>
      <c r="H88" s="2">
        <v>0.0</v>
      </c>
      <c r="I88" s="3" t="b">
        <v>0</v>
      </c>
      <c r="J88" s="2">
        <v>2.0</v>
      </c>
      <c r="K88" s="2">
        <v>11.0</v>
      </c>
      <c r="L88" s="2">
        <v>0.0</v>
      </c>
      <c r="M88" s="2">
        <v>0.0</v>
      </c>
      <c r="N88" s="1" t="s">
        <v>34</v>
      </c>
      <c r="O88" s="1" t="s">
        <v>19</v>
      </c>
      <c r="P88" s="1" t="s">
        <v>154</v>
      </c>
      <c r="R88" s="2"/>
      <c r="S88" s="2"/>
      <c r="U88" s="2"/>
      <c r="V88" s="1"/>
      <c r="W88" s="1"/>
      <c r="X88" s="6"/>
    </row>
    <row r="89">
      <c r="A89" s="1" t="s">
        <v>43</v>
      </c>
      <c r="B89" s="2">
        <v>1987.0</v>
      </c>
      <c r="C89" s="1" t="s">
        <v>155</v>
      </c>
      <c r="D89" s="2">
        <v>41.0</v>
      </c>
      <c r="E89" s="1" t="s">
        <v>17</v>
      </c>
      <c r="F89" s="3" t="b">
        <v>0</v>
      </c>
      <c r="G89" s="2">
        <v>2.0</v>
      </c>
      <c r="H89" s="2">
        <v>0.0</v>
      </c>
      <c r="I89" s="3" t="b">
        <v>0</v>
      </c>
      <c r="J89" s="2">
        <v>2.0</v>
      </c>
      <c r="K89" s="2">
        <v>7.0</v>
      </c>
      <c r="L89" s="2">
        <v>0.0</v>
      </c>
      <c r="M89" s="2">
        <v>2.0</v>
      </c>
      <c r="N89" s="1" t="s">
        <v>39</v>
      </c>
      <c r="O89" s="1" t="s">
        <v>25</v>
      </c>
      <c r="P89" s="4"/>
      <c r="Q89" s="4"/>
      <c r="R89" s="2"/>
      <c r="S89" s="2"/>
      <c r="U89" s="2"/>
      <c r="V89" s="1"/>
      <c r="W89" s="1"/>
      <c r="X89" s="6"/>
    </row>
    <row r="90">
      <c r="A90" s="1" t="s">
        <v>156</v>
      </c>
      <c r="B90" s="2">
        <v>1987.0</v>
      </c>
      <c r="C90" s="1" t="s">
        <v>157</v>
      </c>
      <c r="D90" s="2">
        <v>51.0</v>
      </c>
      <c r="E90" s="1" t="s">
        <v>22</v>
      </c>
      <c r="F90" s="3" t="b">
        <v>0</v>
      </c>
      <c r="G90" s="2">
        <v>2.0</v>
      </c>
      <c r="H90" s="2">
        <v>0.0</v>
      </c>
      <c r="I90" s="3" t="b">
        <v>0</v>
      </c>
      <c r="J90" s="2">
        <v>2.0</v>
      </c>
      <c r="K90" s="2">
        <v>11.0</v>
      </c>
      <c r="L90" s="2">
        <v>0.0</v>
      </c>
      <c r="M90" s="2">
        <v>3.0</v>
      </c>
      <c r="N90" s="1" t="s">
        <v>28</v>
      </c>
      <c r="O90" s="1" t="s">
        <v>19</v>
      </c>
      <c r="P90" s="1" t="s">
        <v>158</v>
      </c>
      <c r="R90" s="2"/>
      <c r="S90" s="2"/>
      <c r="U90" s="2"/>
      <c r="V90" s="1"/>
      <c r="W90" s="1"/>
      <c r="X90" s="1"/>
    </row>
    <row r="91">
      <c r="A91" s="1" t="s">
        <v>15</v>
      </c>
      <c r="B91" s="2">
        <v>1987.0</v>
      </c>
      <c r="C91" s="1" t="s">
        <v>159</v>
      </c>
      <c r="D91" s="2">
        <v>58.0</v>
      </c>
      <c r="E91" s="1" t="s">
        <v>17</v>
      </c>
      <c r="F91" s="3" t="b">
        <v>0</v>
      </c>
      <c r="G91" s="2">
        <v>2.0</v>
      </c>
      <c r="H91" s="2">
        <v>0.0</v>
      </c>
      <c r="I91" s="3" t="b">
        <v>0</v>
      </c>
      <c r="J91" s="2">
        <v>2.0</v>
      </c>
      <c r="K91" s="2">
        <v>14.0</v>
      </c>
      <c r="L91" s="2">
        <v>0.0</v>
      </c>
      <c r="M91" s="2">
        <v>1.0</v>
      </c>
      <c r="N91" s="1" t="s">
        <v>39</v>
      </c>
      <c r="O91" s="1" t="s">
        <v>19</v>
      </c>
      <c r="P91" s="1" t="s">
        <v>160</v>
      </c>
      <c r="R91" s="2"/>
      <c r="S91" s="2"/>
      <c r="U91" s="2"/>
      <c r="V91" s="1"/>
      <c r="W91" s="1"/>
      <c r="X91" s="6"/>
    </row>
    <row r="92">
      <c r="A92" s="1" t="s">
        <v>77</v>
      </c>
      <c r="B92" s="2">
        <v>1987.0</v>
      </c>
      <c r="C92" s="1" t="s">
        <v>161</v>
      </c>
      <c r="D92" s="2">
        <v>9.0</v>
      </c>
      <c r="E92" s="1" t="s">
        <v>22</v>
      </c>
      <c r="F92" s="3" t="b">
        <v>1</v>
      </c>
      <c r="G92" s="2">
        <v>3.0</v>
      </c>
      <c r="H92" s="2">
        <v>0.0</v>
      </c>
      <c r="I92" s="3" t="b">
        <v>0</v>
      </c>
      <c r="J92" s="2">
        <v>3.0</v>
      </c>
      <c r="K92" s="2">
        <v>6.0</v>
      </c>
      <c r="L92" s="2">
        <v>0.0</v>
      </c>
      <c r="M92" s="2">
        <v>0.0</v>
      </c>
      <c r="N92" s="1" t="s">
        <v>39</v>
      </c>
      <c r="O92" s="1" t="s">
        <v>25</v>
      </c>
      <c r="P92" s="1" t="s">
        <v>162</v>
      </c>
      <c r="R92" s="2"/>
      <c r="S92" s="2"/>
      <c r="U92" s="2"/>
      <c r="V92" s="1"/>
      <c r="W92" s="1"/>
      <c r="X92" s="6"/>
    </row>
    <row r="93">
      <c r="A93" s="1" t="s">
        <v>15</v>
      </c>
      <c r="B93" s="2">
        <v>2056.0</v>
      </c>
      <c r="C93" s="1" t="s">
        <v>163</v>
      </c>
      <c r="D93" s="2">
        <v>14.0</v>
      </c>
      <c r="E93" s="1" t="s">
        <v>17</v>
      </c>
      <c r="F93" s="3" t="b">
        <v>0</v>
      </c>
      <c r="G93" s="2">
        <v>3.0</v>
      </c>
      <c r="H93" s="2">
        <v>0.0</v>
      </c>
      <c r="I93" s="3" t="b">
        <v>0</v>
      </c>
      <c r="J93" s="2">
        <v>3.0</v>
      </c>
      <c r="K93" s="2">
        <v>20.0</v>
      </c>
      <c r="L93" s="2">
        <v>0.0</v>
      </c>
      <c r="M93" s="2">
        <v>3.0</v>
      </c>
      <c r="N93" s="1" t="s">
        <v>34</v>
      </c>
      <c r="O93" s="1" t="s">
        <v>19</v>
      </c>
      <c r="P93" s="1" t="s">
        <v>164</v>
      </c>
      <c r="R93" s="2"/>
      <c r="S93" s="2"/>
      <c r="U93" s="2"/>
      <c r="V93" s="1"/>
      <c r="W93" s="1"/>
      <c r="X93" s="6"/>
    </row>
    <row r="94">
      <c r="A94" s="1" t="s">
        <v>105</v>
      </c>
      <c r="B94" s="2">
        <v>2056.0</v>
      </c>
      <c r="C94" s="1" t="s">
        <v>165</v>
      </c>
      <c r="D94" s="2">
        <v>19.0</v>
      </c>
      <c r="E94" s="1" t="s">
        <v>17</v>
      </c>
      <c r="F94" s="3" t="b">
        <v>0</v>
      </c>
      <c r="G94" s="2">
        <v>4.0</v>
      </c>
      <c r="H94" s="2">
        <v>0.0</v>
      </c>
      <c r="I94" s="3" t="b">
        <v>0</v>
      </c>
      <c r="J94" s="2">
        <v>4.0</v>
      </c>
      <c r="K94" s="2">
        <v>4.0</v>
      </c>
      <c r="L94" s="2">
        <v>0.0</v>
      </c>
      <c r="M94" s="2">
        <v>1.0</v>
      </c>
      <c r="N94" s="1" t="s">
        <v>42</v>
      </c>
      <c r="O94" s="1" t="s">
        <v>19</v>
      </c>
      <c r="P94" s="4"/>
      <c r="Q94" s="4"/>
      <c r="R94" s="2"/>
      <c r="S94" s="2"/>
      <c r="U94" s="2"/>
      <c r="V94" s="1"/>
      <c r="W94" s="1"/>
      <c r="X94" s="6"/>
    </row>
    <row r="95">
      <c r="A95" s="1" t="s">
        <v>77</v>
      </c>
      <c r="B95" s="2">
        <v>2056.0</v>
      </c>
      <c r="C95" s="1" t="s">
        <v>166</v>
      </c>
      <c r="D95" s="2">
        <v>28.0</v>
      </c>
      <c r="E95" s="1" t="s">
        <v>22</v>
      </c>
      <c r="F95" s="3" t="b">
        <v>0</v>
      </c>
      <c r="G95" s="2">
        <v>4.0</v>
      </c>
      <c r="H95" s="2">
        <v>0.0</v>
      </c>
      <c r="I95" s="3" t="b">
        <v>0</v>
      </c>
      <c r="J95" s="2">
        <v>4.0</v>
      </c>
      <c r="K95" s="2">
        <v>10.0</v>
      </c>
      <c r="L95" s="2">
        <v>0.0</v>
      </c>
      <c r="M95" s="2">
        <v>4.0</v>
      </c>
      <c r="N95" s="1" t="s">
        <v>39</v>
      </c>
      <c r="O95" s="1" t="s">
        <v>19</v>
      </c>
      <c r="P95" s="4"/>
      <c r="Q95" s="4"/>
      <c r="R95" s="2"/>
      <c r="S95" s="2"/>
      <c r="U95" s="2"/>
      <c r="V95" s="1"/>
      <c r="W95" s="1"/>
      <c r="X95" s="6"/>
    </row>
    <row r="96">
      <c r="A96" s="1" t="s">
        <v>51</v>
      </c>
      <c r="B96" s="2">
        <v>2056.0</v>
      </c>
      <c r="C96" s="1" t="s">
        <v>167</v>
      </c>
      <c r="D96" s="2">
        <v>33.0</v>
      </c>
      <c r="E96" s="1" t="s">
        <v>17</v>
      </c>
      <c r="F96" s="3" t="b">
        <v>0</v>
      </c>
      <c r="G96" s="2">
        <v>5.0</v>
      </c>
      <c r="H96" s="2">
        <v>0.0</v>
      </c>
      <c r="I96" s="3" t="b">
        <v>0</v>
      </c>
      <c r="J96" s="2">
        <v>5.0</v>
      </c>
      <c r="K96" s="2">
        <v>12.0</v>
      </c>
      <c r="L96" s="2">
        <v>0.0</v>
      </c>
      <c r="M96" s="2">
        <v>4.0</v>
      </c>
      <c r="N96" s="1" t="s">
        <v>34</v>
      </c>
      <c r="O96" s="1" t="s">
        <v>25</v>
      </c>
      <c r="P96" s="4"/>
      <c r="Q96" s="4"/>
      <c r="R96" s="2"/>
      <c r="S96" s="2"/>
      <c r="U96" s="2"/>
      <c r="V96" s="1"/>
      <c r="W96" s="1"/>
      <c r="X96" s="1"/>
    </row>
    <row r="97">
      <c r="A97" s="1" t="s">
        <v>37</v>
      </c>
      <c r="B97" s="2">
        <v>2056.0</v>
      </c>
      <c r="C97" s="1" t="s">
        <v>168</v>
      </c>
      <c r="D97" s="2">
        <v>44.0</v>
      </c>
      <c r="E97" s="1" t="s">
        <v>17</v>
      </c>
      <c r="F97" s="3" t="b">
        <v>0</v>
      </c>
      <c r="G97" s="2">
        <v>4.0</v>
      </c>
      <c r="H97" s="2">
        <v>0.0</v>
      </c>
      <c r="I97" s="3" t="b">
        <v>0</v>
      </c>
      <c r="J97" s="2">
        <v>4.0</v>
      </c>
      <c r="K97" s="2">
        <v>26.0</v>
      </c>
      <c r="L97" s="2">
        <v>0.0</v>
      </c>
      <c r="M97" s="2">
        <v>0.0</v>
      </c>
      <c r="N97" s="1" t="s">
        <v>39</v>
      </c>
      <c r="O97" s="1" t="s">
        <v>19</v>
      </c>
      <c r="P97" s="1" t="s">
        <v>169</v>
      </c>
      <c r="R97" s="2"/>
      <c r="S97" s="2"/>
      <c r="U97" s="2"/>
      <c r="V97" s="1"/>
      <c r="W97" s="1"/>
      <c r="X97" s="1"/>
    </row>
    <row r="98">
      <c r="A98" s="1" t="s">
        <v>26</v>
      </c>
      <c r="B98" s="2">
        <v>2056.0</v>
      </c>
      <c r="C98" s="1" t="s">
        <v>170</v>
      </c>
      <c r="D98" s="2">
        <v>51.0</v>
      </c>
      <c r="E98" s="1" t="s">
        <v>22</v>
      </c>
      <c r="F98" s="3" t="b">
        <v>0</v>
      </c>
      <c r="G98" s="2">
        <v>4.0</v>
      </c>
      <c r="H98" s="2">
        <v>0.0</v>
      </c>
      <c r="I98" s="3" t="b">
        <v>0</v>
      </c>
      <c r="J98" s="2">
        <v>4.0</v>
      </c>
      <c r="K98" s="2">
        <v>17.0</v>
      </c>
      <c r="L98" s="2">
        <v>0.0</v>
      </c>
      <c r="M98" s="2">
        <v>3.0</v>
      </c>
      <c r="N98" s="1" t="s">
        <v>39</v>
      </c>
      <c r="O98" s="1" t="s">
        <v>19</v>
      </c>
      <c r="P98" s="4"/>
      <c r="Q98" s="4"/>
      <c r="R98" s="2"/>
      <c r="S98" s="2"/>
      <c r="U98" s="2"/>
      <c r="V98" s="1"/>
      <c r="W98" s="1"/>
      <c r="X98" s="1"/>
    </row>
    <row r="99">
      <c r="A99" s="1" t="s">
        <v>26</v>
      </c>
      <c r="B99" s="2">
        <v>2056.0</v>
      </c>
      <c r="C99" s="1" t="s">
        <v>171</v>
      </c>
      <c r="D99" s="2">
        <v>59.0</v>
      </c>
      <c r="E99" s="1" t="s">
        <v>22</v>
      </c>
      <c r="F99" s="3" t="b">
        <v>0</v>
      </c>
      <c r="G99" s="2">
        <v>6.0</v>
      </c>
      <c r="H99" s="2">
        <v>0.0</v>
      </c>
      <c r="I99" s="3" t="b">
        <v>0</v>
      </c>
      <c r="J99" s="2">
        <v>6.0</v>
      </c>
      <c r="K99" s="2">
        <v>19.0</v>
      </c>
      <c r="L99" s="2">
        <v>0.0</v>
      </c>
      <c r="M99" s="2">
        <v>1.0</v>
      </c>
      <c r="N99" s="1" t="s">
        <v>18</v>
      </c>
      <c r="O99" s="1" t="s">
        <v>19</v>
      </c>
      <c r="P99" s="4"/>
      <c r="Q99" s="4"/>
      <c r="R99" s="2"/>
      <c r="S99" s="2"/>
      <c r="U99" s="2"/>
      <c r="V99" s="1"/>
      <c r="W99" s="1"/>
      <c r="X99" s="1"/>
    </row>
    <row r="100">
      <c r="A100" s="1" t="s">
        <v>101</v>
      </c>
      <c r="B100" s="2">
        <v>2056.0</v>
      </c>
      <c r="C100" s="1" t="s">
        <v>172</v>
      </c>
      <c r="D100" s="2">
        <v>6.0</v>
      </c>
      <c r="E100" s="1" t="s">
        <v>22</v>
      </c>
      <c r="F100" s="3" t="b">
        <v>0</v>
      </c>
      <c r="G100" s="2">
        <v>2.0</v>
      </c>
      <c r="H100" s="2">
        <v>0.0</v>
      </c>
      <c r="I100" s="3" t="b">
        <v>0</v>
      </c>
      <c r="J100" s="2">
        <v>2.0</v>
      </c>
      <c r="K100" s="2">
        <v>14.0</v>
      </c>
      <c r="L100" s="2">
        <v>0.0</v>
      </c>
      <c r="M100" s="2">
        <v>3.0</v>
      </c>
      <c r="N100" s="1" t="s">
        <v>34</v>
      </c>
      <c r="O100" s="1" t="s">
        <v>19</v>
      </c>
      <c r="P100" s="4"/>
      <c r="Q100" s="4"/>
      <c r="R100" s="2"/>
      <c r="S100" s="2"/>
      <c r="U100" s="2"/>
      <c r="V100" s="1"/>
      <c r="W100" s="1"/>
      <c r="X100" s="6"/>
    </row>
    <row r="101">
      <c r="A101" s="1" t="s">
        <v>53</v>
      </c>
      <c r="B101" s="2">
        <v>2075.0</v>
      </c>
      <c r="C101" s="1" t="s">
        <v>173</v>
      </c>
      <c r="D101" s="2">
        <v>13.0</v>
      </c>
      <c r="E101" s="1" t="s">
        <v>22</v>
      </c>
      <c r="F101" s="3" t="b">
        <v>0</v>
      </c>
      <c r="G101" s="2">
        <v>2.0</v>
      </c>
      <c r="H101" s="2">
        <v>0.0</v>
      </c>
      <c r="I101" s="3" t="b">
        <v>0</v>
      </c>
      <c r="J101" s="2">
        <v>3.0</v>
      </c>
      <c r="K101" s="2">
        <v>10.0</v>
      </c>
      <c r="L101" s="2">
        <v>0.0</v>
      </c>
      <c r="M101" s="2">
        <v>1.0</v>
      </c>
      <c r="N101" s="1" t="s">
        <v>39</v>
      </c>
      <c r="O101" s="1" t="s">
        <v>19</v>
      </c>
      <c r="P101" s="4"/>
      <c r="Q101" s="4"/>
      <c r="R101" s="2"/>
      <c r="S101" s="2"/>
      <c r="U101" s="2"/>
      <c r="V101" s="1"/>
      <c r="W101" s="1"/>
      <c r="X101" s="1"/>
    </row>
    <row r="102">
      <c r="A102" s="1" t="s">
        <v>174</v>
      </c>
      <c r="B102" s="2">
        <v>2075.0</v>
      </c>
      <c r="C102" s="1" t="s">
        <v>175</v>
      </c>
      <c r="D102" s="2">
        <v>18.0</v>
      </c>
      <c r="E102" s="1" t="s">
        <v>22</v>
      </c>
      <c r="F102" s="3" t="b">
        <v>0</v>
      </c>
      <c r="G102" s="2">
        <v>2.0</v>
      </c>
      <c r="H102" s="2">
        <v>0.0</v>
      </c>
      <c r="I102" s="3" t="b">
        <v>0</v>
      </c>
      <c r="J102" s="2">
        <v>2.0</v>
      </c>
      <c r="K102" s="2">
        <v>6.0</v>
      </c>
      <c r="L102" s="2">
        <v>0.0</v>
      </c>
      <c r="M102" s="2">
        <v>2.0</v>
      </c>
      <c r="N102" s="1" t="s">
        <v>18</v>
      </c>
      <c r="O102" s="1" t="s">
        <v>19</v>
      </c>
      <c r="P102" s="4"/>
      <c r="Q102" s="4"/>
      <c r="R102" s="2"/>
      <c r="S102" s="2"/>
      <c r="U102" s="2"/>
      <c r="V102" s="1"/>
      <c r="W102" s="1"/>
      <c r="X102" s="1"/>
    </row>
    <row r="103">
      <c r="A103" s="1" t="s">
        <v>30</v>
      </c>
      <c r="B103" s="2">
        <v>2075.0</v>
      </c>
      <c r="C103" s="1" t="s">
        <v>176</v>
      </c>
      <c r="D103" s="2">
        <v>26.0</v>
      </c>
      <c r="E103" s="1" t="s">
        <v>17</v>
      </c>
      <c r="F103" s="3" t="b">
        <v>0</v>
      </c>
      <c r="G103" s="2">
        <v>4.0</v>
      </c>
      <c r="H103" s="2">
        <v>0.0</v>
      </c>
      <c r="I103" s="3" t="b">
        <v>0</v>
      </c>
      <c r="J103" s="2">
        <v>5.0</v>
      </c>
      <c r="K103" s="2">
        <v>14.0</v>
      </c>
      <c r="L103" s="2">
        <v>0.0</v>
      </c>
      <c r="M103" s="2">
        <v>0.0</v>
      </c>
      <c r="N103" s="1" t="s">
        <v>18</v>
      </c>
      <c r="O103" s="1" t="s">
        <v>25</v>
      </c>
      <c r="P103" s="1" t="s">
        <v>177</v>
      </c>
      <c r="R103" s="2"/>
      <c r="S103" s="2"/>
      <c r="U103" s="2"/>
      <c r="V103" s="1"/>
      <c r="W103" s="1"/>
      <c r="X103" s="6"/>
    </row>
    <row r="104">
      <c r="A104" s="1" t="s">
        <v>37</v>
      </c>
      <c r="B104" s="2">
        <v>2075.0</v>
      </c>
      <c r="C104" s="1" t="s">
        <v>178</v>
      </c>
      <c r="D104" s="2">
        <v>39.0</v>
      </c>
      <c r="E104" s="1" t="s">
        <v>17</v>
      </c>
      <c r="F104" s="3" t="b">
        <v>0</v>
      </c>
      <c r="G104" s="2">
        <v>3.0</v>
      </c>
      <c r="H104" s="2">
        <v>0.0</v>
      </c>
      <c r="I104" s="3" t="b">
        <v>0</v>
      </c>
      <c r="J104" s="2">
        <v>4.0</v>
      </c>
      <c r="K104" s="2">
        <v>9.0</v>
      </c>
      <c r="L104" s="2">
        <v>0.0</v>
      </c>
      <c r="M104" s="2">
        <v>5.0</v>
      </c>
      <c r="N104" s="1" t="s">
        <v>28</v>
      </c>
      <c r="O104" s="1" t="s">
        <v>25</v>
      </c>
      <c r="P104" s="1" t="s">
        <v>179</v>
      </c>
      <c r="R104" s="2"/>
      <c r="S104" s="2"/>
      <c r="U104" s="2"/>
      <c r="V104" s="1"/>
      <c r="W104" s="1"/>
      <c r="X104" s="6"/>
    </row>
    <row r="105">
      <c r="A105" s="1" t="s">
        <v>49</v>
      </c>
      <c r="B105" s="2">
        <v>2075.0</v>
      </c>
      <c r="C105" s="1" t="s">
        <v>180</v>
      </c>
      <c r="D105" s="2">
        <v>44.0</v>
      </c>
      <c r="E105" s="1" t="s">
        <v>22</v>
      </c>
      <c r="F105" s="3" t="b">
        <v>0</v>
      </c>
      <c r="G105" s="2">
        <v>2.0</v>
      </c>
      <c r="H105" s="2">
        <v>0.0</v>
      </c>
      <c r="I105" s="3" t="b">
        <v>0</v>
      </c>
      <c r="J105" s="2">
        <v>2.0</v>
      </c>
      <c r="K105" s="2">
        <v>10.0</v>
      </c>
      <c r="L105" s="2">
        <v>0.0</v>
      </c>
      <c r="M105" s="2">
        <v>6.0</v>
      </c>
      <c r="N105" s="1" t="s">
        <v>39</v>
      </c>
      <c r="O105" s="1" t="s">
        <v>25</v>
      </c>
      <c r="P105" s="4"/>
      <c r="Q105" s="4"/>
      <c r="R105" s="2"/>
      <c r="S105" s="2"/>
      <c r="U105" s="2"/>
      <c r="V105" s="1"/>
      <c r="W105" s="1"/>
      <c r="X105" s="1"/>
      <c r="Y105" s="6"/>
      <c r="Z105" s="6"/>
    </row>
    <row r="106">
      <c r="A106" s="1" t="s">
        <v>112</v>
      </c>
      <c r="B106" s="2">
        <v>2075.0</v>
      </c>
      <c r="C106" s="1" t="s">
        <v>181</v>
      </c>
      <c r="D106" s="2">
        <v>50.0</v>
      </c>
      <c r="E106" s="1" t="s">
        <v>22</v>
      </c>
      <c r="F106" s="3" t="b">
        <v>0</v>
      </c>
      <c r="G106" s="2">
        <v>4.0</v>
      </c>
      <c r="H106" s="2">
        <v>0.0</v>
      </c>
      <c r="I106" s="3" t="b">
        <v>0</v>
      </c>
      <c r="J106" s="2">
        <v>4.0</v>
      </c>
      <c r="K106" s="2">
        <v>14.0</v>
      </c>
      <c r="L106" s="2">
        <v>0.0</v>
      </c>
      <c r="M106" s="2">
        <v>4.0</v>
      </c>
      <c r="N106" s="1" t="s">
        <v>42</v>
      </c>
      <c r="O106" s="1" t="s">
        <v>25</v>
      </c>
      <c r="P106" s="4"/>
      <c r="Q106" s="4"/>
      <c r="R106" s="2"/>
      <c r="S106" s="2"/>
      <c r="U106" s="2"/>
      <c r="V106" s="1"/>
      <c r="W106" s="1"/>
      <c r="X106" s="6"/>
      <c r="Y106" s="6"/>
      <c r="Z106" s="6"/>
    </row>
    <row r="107">
      <c r="A107" s="1" t="s">
        <v>51</v>
      </c>
      <c r="B107" s="2">
        <v>2075.0</v>
      </c>
      <c r="C107" s="1" t="s">
        <v>182</v>
      </c>
      <c r="D107" s="2">
        <v>60.0</v>
      </c>
      <c r="E107" s="1" t="s">
        <v>17</v>
      </c>
      <c r="F107" s="3" t="b">
        <v>0</v>
      </c>
      <c r="G107" s="2">
        <v>2.0</v>
      </c>
      <c r="H107" s="2">
        <v>0.0</v>
      </c>
      <c r="I107" s="3" t="b">
        <v>0</v>
      </c>
      <c r="J107" s="2">
        <v>2.0</v>
      </c>
      <c r="K107" s="2">
        <v>20.0</v>
      </c>
      <c r="L107" s="2">
        <v>0.0</v>
      </c>
      <c r="M107" s="2">
        <v>1.0</v>
      </c>
      <c r="N107" s="1" t="s">
        <v>39</v>
      </c>
      <c r="O107" s="1" t="s">
        <v>19</v>
      </c>
      <c r="P107" s="4"/>
      <c r="Q107" s="4"/>
      <c r="R107" s="2"/>
      <c r="S107" s="2"/>
      <c r="U107" s="2"/>
      <c r="V107" s="1"/>
      <c r="W107" s="1"/>
      <c r="X107" s="6"/>
    </row>
    <row r="108">
      <c r="A108" s="1" t="s">
        <v>23</v>
      </c>
      <c r="B108" s="2">
        <v>2075.0</v>
      </c>
      <c r="C108" s="1" t="s">
        <v>183</v>
      </c>
      <c r="D108" s="2">
        <v>7.0</v>
      </c>
      <c r="E108" s="1" t="s">
        <v>17</v>
      </c>
      <c r="F108" s="3" t="b">
        <v>0</v>
      </c>
      <c r="G108" s="2">
        <v>1.0</v>
      </c>
      <c r="H108" s="2">
        <v>0.0</v>
      </c>
      <c r="I108" s="3" t="b">
        <v>0</v>
      </c>
      <c r="J108" s="2">
        <v>2.0</v>
      </c>
      <c r="K108" s="2">
        <v>10.0</v>
      </c>
      <c r="L108" s="2">
        <v>0.0</v>
      </c>
      <c r="M108" s="2">
        <v>4.0</v>
      </c>
      <c r="N108" s="1" t="s">
        <v>39</v>
      </c>
      <c r="O108" s="1" t="s">
        <v>19</v>
      </c>
      <c r="P108" s="1" t="s">
        <v>184</v>
      </c>
      <c r="R108" s="2"/>
      <c r="S108" s="2"/>
      <c r="U108" s="2"/>
      <c r="V108" s="1"/>
      <c r="W108" s="1"/>
      <c r="X108" s="1"/>
    </row>
    <row r="109">
      <c r="A109" s="1" t="s">
        <v>37</v>
      </c>
      <c r="B109" s="2">
        <v>2338.0</v>
      </c>
      <c r="C109" s="1" t="s">
        <v>185</v>
      </c>
      <c r="D109" s="2">
        <v>16.0</v>
      </c>
      <c r="E109" s="1" t="s">
        <v>17</v>
      </c>
      <c r="F109" s="3" t="b">
        <v>0</v>
      </c>
      <c r="G109" s="2">
        <v>2.0</v>
      </c>
      <c r="H109" s="2">
        <v>0.0</v>
      </c>
      <c r="I109" s="3" t="b">
        <v>0</v>
      </c>
      <c r="J109" s="2">
        <v>2.0</v>
      </c>
      <c r="K109" s="2">
        <v>15.0</v>
      </c>
      <c r="L109" s="2">
        <v>0.0</v>
      </c>
      <c r="M109" s="2">
        <v>2.0</v>
      </c>
      <c r="N109" s="1" t="s">
        <v>42</v>
      </c>
      <c r="O109" s="1" t="s">
        <v>25</v>
      </c>
      <c r="P109" s="4"/>
      <c r="Q109" s="4"/>
      <c r="R109" s="2"/>
      <c r="S109" s="2"/>
      <c r="U109" s="2"/>
      <c r="V109" s="1"/>
      <c r="W109" s="1"/>
      <c r="X109" s="1"/>
    </row>
    <row r="110">
      <c r="A110" s="1" t="s">
        <v>118</v>
      </c>
      <c r="B110" s="2">
        <v>2338.0</v>
      </c>
      <c r="C110" s="1" t="s">
        <v>186</v>
      </c>
      <c r="D110" s="2">
        <v>24.0</v>
      </c>
      <c r="E110" s="1" t="s">
        <v>22</v>
      </c>
      <c r="F110" s="3" t="b">
        <v>0</v>
      </c>
      <c r="G110" s="2">
        <v>2.0</v>
      </c>
      <c r="H110" s="2">
        <v>0.0</v>
      </c>
      <c r="I110" s="3" t="b">
        <v>0</v>
      </c>
      <c r="J110" s="2">
        <v>2.0</v>
      </c>
      <c r="K110" s="2">
        <v>7.0</v>
      </c>
      <c r="L110" s="2">
        <v>0.0</v>
      </c>
      <c r="M110" s="2">
        <v>2.0</v>
      </c>
      <c r="N110" s="1" t="s">
        <v>34</v>
      </c>
      <c r="O110" s="1" t="s">
        <v>19</v>
      </c>
      <c r="P110" s="4"/>
      <c r="Q110" s="4"/>
      <c r="R110" s="2"/>
      <c r="S110" s="2"/>
      <c r="U110" s="2"/>
      <c r="V110" s="1"/>
      <c r="W110" s="1"/>
      <c r="X110" s="6"/>
    </row>
    <row r="111">
      <c r="A111" s="1" t="s">
        <v>51</v>
      </c>
      <c r="B111" s="2">
        <v>2338.0</v>
      </c>
      <c r="C111" s="1" t="s">
        <v>187</v>
      </c>
      <c r="D111" s="2">
        <v>30.0</v>
      </c>
      <c r="E111" s="1" t="s">
        <v>17</v>
      </c>
      <c r="F111" s="3" t="b">
        <v>0</v>
      </c>
      <c r="G111" s="2">
        <v>2.0</v>
      </c>
      <c r="H111" s="2">
        <v>0.0</v>
      </c>
      <c r="I111" s="3" t="b">
        <v>0</v>
      </c>
      <c r="J111" s="2">
        <v>2.0</v>
      </c>
      <c r="K111" s="2">
        <v>10.0</v>
      </c>
      <c r="L111" s="2">
        <v>0.0</v>
      </c>
      <c r="M111" s="2">
        <v>0.0</v>
      </c>
      <c r="N111" s="1" t="s">
        <v>34</v>
      </c>
      <c r="O111" s="1" t="s">
        <v>25</v>
      </c>
      <c r="P111" s="4"/>
      <c r="Q111" s="4"/>
      <c r="R111" s="2"/>
      <c r="S111" s="2"/>
      <c r="U111" s="2"/>
      <c r="V111" s="1"/>
      <c r="W111" s="1"/>
      <c r="X111" s="6"/>
    </row>
    <row r="112">
      <c r="A112" s="1" t="s">
        <v>43</v>
      </c>
      <c r="B112" s="2">
        <v>2338.0</v>
      </c>
      <c r="C112" s="1" t="s">
        <v>188</v>
      </c>
      <c r="D112" s="2">
        <v>40.0</v>
      </c>
      <c r="E112" s="1" t="s">
        <v>17</v>
      </c>
      <c r="F112" s="3" t="b">
        <v>0</v>
      </c>
      <c r="G112" s="2">
        <v>3.0</v>
      </c>
      <c r="H112" s="2">
        <v>0.0</v>
      </c>
      <c r="I112" s="3" t="b">
        <v>0</v>
      </c>
      <c r="J112" s="2">
        <v>3.0</v>
      </c>
      <c r="K112" s="2">
        <v>12.0</v>
      </c>
      <c r="L112" s="2">
        <v>0.0</v>
      </c>
      <c r="M112" s="2">
        <v>1.0</v>
      </c>
      <c r="N112" s="1" t="s">
        <v>34</v>
      </c>
      <c r="O112" s="1" t="s">
        <v>25</v>
      </c>
      <c r="P112" s="4"/>
      <c r="Q112" s="4"/>
      <c r="R112" s="2"/>
      <c r="S112" s="2"/>
      <c r="U112" s="2"/>
      <c r="V112" s="1"/>
      <c r="W112" s="1"/>
      <c r="X112" s="6"/>
    </row>
    <row r="113">
      <c r="A113" s="1" t="s">
        <v>26</v>
      </c>
      <c r="B113" s="2">
        <v>2338.0</v>
      </c>
      <c r="C113" s="1" t="s">
        <v>189</v>
      </c>
      <c r="D113" s="2">
        <v>46.0</v>
      </c>
      <c r="E113" s="1" t="s">
        <v>22</v>
      </c>
      <c r="F113" s="3" t="b">
        <v>0</v>
      </c>
      <c r="G113" s="2">
        <v>1.0</v>
      </c>
      <c r="H113" s="2">
        <v>0.0</v>
      </c>
      <c r="I113" s="3" t="b">
        <v>0</v>
      </c>
      <c r="J113" s="2">
        <v>1.0</v>
      </c>
      <c r="K113" s="2">
        <v>8.0</v>
      </c>
      <c r="L113" s="2">
        <v>0.0</v>
      </c>
      <c r="M113" s="2">
        <v>0.0</v>
      </c>
      <c r="N113" s="1" t="s">
        <v>34</v>
      </c>
      <c r="O113" s="1" t="s">
        <v>25</v>
      </c>
      <c r="P113" s="4"/>
      <c r="Q113" s="4"/>
      <c r="R113" s="2"/>
      <c r="S113" s="2"/>
      <c r="U113" s="2"/>
      <c r="V113" s="1"/>
      <c r="W113" s="1"/>
      <c r="X113" s="6"/>
    </row>
    <row r="114">
      <c r="A114" s="1" t="s">
        <v>118</v>
      </c>
      <c r="B114" s="2">
        <v>2338.0</v>
      </c>
      <c r="C114" s="1" t="s">
        <v>190</v>
      </c>
      <c r="D114" s="2">
        <v>56.0</v>
      </c>
      <c r="E114" s="1" t="s">
        <v>22</v>
      </c>
      <c r="F114" s="3" t="b">
        <v>0</v>
      </c>
      <c r="G114" s="2">
        <v>3.0</v>
      </c>
      <c r="H114" s="2">
        <v>0.0</v>
      </c>
      <c r="I114" s="3" t="b">
        <v>0</v>
      </c>
      <c r="J114" s="2">
        <v>5.0</v>
      </c>
      <c r="K114" s="2">
        <v>13.0</v>
      </c>
      <c r="L114" s="2">
        <v>0.0</v>
      </c>
      <c r="M114" s="2">
        <v>0.0</v>
      </c>
      <c r="N114" s="1" t="s">
        <v>34</v>
      </c>
      <c r="O114" s="1" t="s">
        <v>25</v>
      </c>
      <c r="P114" s="1" t="s">
        <v>191</v>
      </c>
      <c r="R114" s="2"/>
      <c r="S114" s="2"/>
      <c r="U114" s="2"/>
      <c r="V114" s="1"/>
      <c r="W114" s="1"/>
      <c r="X114" s="6"/>
    </row>
    <row r="115">
      <c r="A115" s="1" t="s">
        <v>23</v>
      </c>
      <c r="B115" s="2">
        <v>2338.0</v>
      </c>
      <c r="C115" s="1" t="s">
        <v>192</v>
      </c>
      <c r="D115" s="2">
        <v>6.0</v>
      </c>
      <c r="E115" s="1" t="s">
        <v>17</v>
      </c>
      <c r="F115" s="3" t="b">
        <v>0</v>
      </c>
      <c r="G115" s="2">
        <v>3.0</v>
      </c>
      <c r="H115" s="2">
        <v>0.0</v>
      </c>
      <c r="I115" s="3" t="b">
        <v>0</v>
      </c>
      <c r="J115" s="2">
        <v>5.0</v>
      </c>
      <c r="K115" s="2">
        <v>6.0</v>
      </c>
      <c r="L115" s="2">
        <v>0.0</v>
      </c>
      <c r="M115" s="2">
        <v>2.0</v>
      </c>
      <c r="N115" s="1" t="s">
        <v>34</v>
      </c>
      <c r="O115" s="1" t="s">
        <v>25</v>
      </c>
      <c r="P115" s="1" t="s">
        <v>193</v>
      </c>
      <c r="R115" s="2"/>
      <c r="S115" s="2"/>
      <c r="U115" s="2"/>
      <c r="V115" s="1"/>
      <c r="W115" s="1"/>
      <c r="X115" s="6"/>
    </row>
    <row r="116">
      <c r="A116" s="1" t="s">
        <v>46</v>
      </c>
      <c r="B116" s="2">
        <v>234.0</v>
      </c>
      <c r="C116" s="1" t="s">
        <v>194</v>
      </c>
      <c r="D116" s="2">
        <v>14.0</v>
      </c>
      <c r="E116" s="1" t="s">
        <v>22</v>
      </c>
      <c r="F116" s="3" t="b">
        <v>0</v>
      </c>
      <c r="G116" s="2">
        <v>0.0</v>
      </c>
      <c r="H116" s="2">
        <v>0.0</v>
      </c>
      <c r="I116" s="3" t="b">
        <v>0</v>
      </c>
      <c r="J116" s="2">
        <v>0.0</v>
      </c>
      <c r="K116" s="2">
        <v>1.0</v>
      </c>
      <c r="L116" s="2">
        <v>0.0</v>
      </c>
      <c r="M116" s="2">
        <v>2.0</v>
      </c>
      <c r="N116" s="1" t="s">
        <v>42</v>
      </c>
      <c r="O116" s="1" t="s">
        <v>25</v>
      </c>
      <c r="P116" s="1" t="s">
        <v>195</v>
      </c>
      <c r="R116" s="2"/>
      <c r="S116" s="2"/>
      <c r="U116" s="2"/>
      <c r="V116" s="1"/>
      <c r="W116" s="1"/>
      <c r="X116" s="1"/>
    </row>
    <row r="117">
      <c r="A117" s="1" t="s">
        <v>26</v>
      </c>
      <c r="B117" s="2">
        <v>234.0</v>
      </c>
      <c r="C117" s="1" t="s">
        <v>196</v>
      </c>
      <c r="D117" s="2">
        <v>23.0</v>
      </c>
      <c r="E117" s="1" t="s">
        <v>22</v>
      </c>
      <c r="F117" s="3" t="b">
        <v>0</v>
      </c>
      <c r="G117" s="2">
        <v>0.0</v>
      </c>
      <c r="H117" s="2">
        <v>0.0</v>
      </c>
      <c r="I117" s="3" t="b">
        <v>0</v>
      </c>
      <c r="J117" s="2">
        <v>0.0</v>
      </c>
      <c r="K117" s="2">
        <v>1.0</v>
      </c>
      <c r="L117" s="2">
        <v>0.0</v>
      </c>
      <c r="M117" s="2">
        <v>1.0</v>
      </c>
      <c r="N117" s="1" t="s">
        <v>34</v>
      </c>
      <c r="O117" s="1" t="s">
        <v>25</v>
      </c>
      <c r="P117" s="1" t="s">
        <v>197</v>
      </c>
      <c r="R117" s="2"/>
      <c r="S117" s="2"/>
      <c r="U117" s="2"/>
      <c r="V117" s="1"/>
      <c r="W117" s="1"/>
      <c r="X117" s="6"/>
    </row>
    <row r="118">
      <c r="A118" s="1" t="s">
        <v>51</v>
      </c>
      <c r="B118" s="2">
        <v>234.0</v>
      </c>
      <c r="C118" s="1" t="s">
        <v>198</v>
      </c>
      <c r="D118" s="2">
        <v>32.0</v>
      </c>
      <c r="E118" s="1" t="s">
        <v>17</v>
      </c>
      <c r="F118" s="3" t="b">
        <v>0</v>
      </c>
      <c r="G118" s="2">
        <v>0.0</v>
      </c>
      <c r="H118" s="2">
        <v>0.0</v>
      </c>
      <c r="I118" s="3" t="b">
        <v>0</v>
      </c>
      <c r="J118" s="2">
        <v>1.0</v>
      </c>
      <c r="K118" s="2">
        <v>5.0</v>
      </c>
      <c r="L118" s="2">
        <v>0.0</v>
      </c>
      <c r="M118" s="2">
        <v>1.0</v>
      </c>
      <c r="N118" s="1" t="s">
        <v>39</v>
      </c>
      <c r="O118" s="1" t="s">
        <v>19</v>
      </c>
      <c r="P118" s="1" t="s">
        <v>199</v>
      </c>
      <c r="R118" s="2"/>
      <c r="S118" s="2"/>
      <c r="U118" s="2"/>
      <c r="V118" s="1"/>
      <c r="W118" s="1"/>
      <c r="X118" s="1"/>
    </row>
    <row r="119">
      <c r="A119" s="1" t="s">
        <v>26</v>
      </c>
      <c r="B119" s="2">
        <v>234.0</v>
      </c>
      <c r="C119" s="1" t="s">
        <v>200</v>
      </c>
      <c r="D119" s="2">
        <v>37.0</v>
      </c>
      <c r="E119" s="1" t="s">
        <v>22</v>
      </c>
      <c r="F119" s="3" t="b">
        <v>0</v>
      </c>
      <c r="G119" s="2">
        <v>2.0</v>
      </c>
      <c r="H119" s="2">
        <v>0.0</v>
      </c>
      <c r="I119" s="3" t="b">
        <v>0</v>
      </c>
      <c r="J119" s="2">
        <v>2.0</v>
      </c>
      <c r="K119" s="2">
        <v>1.0</v>
      </c>
      <c r="L119" s="2">
        <v>0.0</v>
      </c>
      <c r="M119" s="2">
        <v>1.0</v>
      </c>
      <c r="N119" s="1" t="s">
        <v>28</v>
      </c>
      <c r="O119" s="1" t="s">
        <v>25</v>
      </c>
      <c r="P119" s="4"/>
      <c r="Q119" s="4"/>
      <c r="R119" s="2"/>
      <c r="S119" s="2"/>
      <c r="U119" s="2"/>
      <c r="V119" s="1"/>
      <c r="W119" s="1"/>
      <c r="X119" s="1"/>
    </row>
    <row r="120">
      <c r="A120" s="1" t="s">
        <v>105</v>
      </c>
      <c r="B120" s="2">
        <v>234.0</v>
      </c>
      <c r="C120" s="1" t="s">
        <v>201</v>
      </c>
      <c r="D120" s="2">
        <v>43.0</v>
      </c>
      <c r="E120" s="1" t="s">
        <v>17</v>
      </c>
      <c r="F120" s="3" t="b">
        <v>0</v>
      </c>
      <c r="G120" s="2">
        <v>2.0</v>
      </c>
      <c r="H120" s="2">
        <v>0.0</v>
      </c>
      <c r="I120" s="3" t="b">
        <v>0</v>
      </c>
      <c r="J120" s="2">
        <v>2.0</v>
      </c>
      <c r="K120" s="2">
        <v>0.0</v>
      </c>
      <c r="L120" s="2">
        <v>0.0</v>
      </c>
      <c r="M120" s="2">
        <v>1.0</v>
      </c>
      <c r="N120" s="1" t="s">
        <v>34</v>
      </c>
      <c r="O120" s="1" t="s">
        <v>25</v>
      </c>
      <c r="P120" s="1" t="s">
        <v>197</v>
      </c>
      <c r="R120" s="2"/>
      <c r="S120" s="2"/>
      <c r="U120" s="2"/>
      <c r="V120" s="1"/>
      <c r="W120" s="1"/>
      <c r="X120" s="6"/>
    </row>
    <row r="121">
      <c r="A121" s="1" t="s">
        <v>55</v>
      </c>
      <c r="B121" s="2">
        <v>234.0</v>
      </c>
      <c r="C121" s="1" t="s">
        <v>202</v>
      </c>
      <c r="D121" s="2">
        <v>56.0</v>
      </c>
      <c r="E121" s="1" t="s">
        <v>22</v>
      </c>
      <c r="F121" s="3" t="b">
        <v>0</v>
      </c>
      <c r="G121" s="2">
        <v>0.0</v>
      </c>
      <c r="H121" s="2">
        <v>0.0</v>
      </c>
      <c r="I121" s="3" t="b">
        <v>0</v>
      </c>
      <c r="J121" s="2">
        <v>1.0</v>
      </c>
      <c r="K121" s="2">
        <v>0.0</v>
      </c>
      <c r="L121" s="2">
        <v>0.0</v>
      </c>
      <c r="M121" s="2">
        <v>0.0</v>
      </c>
      <c r="N121" s="1" t="s">
        <v>34</v>
      </c>
      <c r="O121" s="1" t="s">
        <v>25</v>
      </c>
      <c r="P121" s="4"/>
      <c r="Q121" s="4"/>
      <c r="R121" s="2"/>
      <c r="S121" s="2"/>
      <c r="U121" s="2"/>
      <c r="V121" s="1"/>
      <c r="W121" s="1"/>
      <c r="X121" s="1"/>
    </row>
    <row r="122">
      <c r="A122" s="1" t="s">
        <v>26</v>
      </c>
      <c r="B122" s="2">
        <v>234.0</v>
      </c>
      <c r="C122" s="1" t="s">
        <v>203</v>
      </c>
      <c r="D122" s="2">
        <v>7.0</v>
      </c>
      <c r="E122" s="1" t="s">
        <v>22</v>
      </c>
      <c r="F122" s="3" t="b">
        <v>0</v>
      </c>
      <c r="G122" s="2">
        <v>1.0</v>
      </c>
      <c r="H122" s="2">
        <v>0.0</v>
      </c>
      <c r="I122" s="3" t="b">
        <v>0</v>
      </c>
      <c r="J122" s="2">
        <v>2.0</v>
      </c>
      <c r="K122" s="2">
        <v>2.0</v>
      </c>
      <c r="L122" s="2">
        <v>0.0</v>
      </c>
      <c r="M122" s="2">
        <v>0.0</v>
      </c>
      <c r="N122" s="1" t="s">
        <v>32</v>
      </c>
      <c r="O122" s="1" t="s">
        <v>25</v>
      </c>
      <c r="P122" s="1" t="s">
        <v>197</v>
      </c>
      <c r="R122" s="2"/>
      <c r="S122" s="2"/>
      <c r="U122" s="2"/>
      <c r="V122" s="1"/>
      <c r="W122" s="1"/>
      <c r="X122" s="1"/>
    </row>
    <row r="123">
      <c r="A123" s="1" t="s">
        <v>77</v>
      </c>
      <c r="B123" s="2">
        <v>2363.0</v>
      </c>
      <c r="C123" s="1" t="s">
        <v>204</v>
      </c>
      <c r="D123" s="2">
        <v>15.0</v>
      </c>
      <c r="E123" s="1" t="s">
        <v>22</v>
      </c>
      <c r="F123" s="3" t="b">
        <v>0</v>
      </c>
      <c r="G123" s="2">
        <v>0.0</v>
      </c>
      <c r="H123" s="2">
        <v>0.0</v>
      </c>
      <c r="I123" s="3" t="b">
        <v>0</v>
      </c>
      <c r="J123" s="2">
        <v>0.0</v>
      </c>
      <c r="K123" s="2">
        <v>6.0</v>
      </c>
      <c r="L123" s="2">
        <v>0.0</v>
      </c>
      <c r="M123" s="7">
        <v>3.0</v>
      </c>
      <c r="N123" s="1" t="s">
        <v>28</v>
      </c>
      <c r="O123" s="1" t="s">
        <v>25</v>
      </c>
      <c r="P123" s="4"/>
      <c r="Q123" s="4"/>
      <c r="R123" s="2"/>
      <c r="S123" s="2"/>
      <c r="U123" s="2"/>
      <c r="V123" s="1"/>
      <c r="W123" s="1"/>
      <c r="X123" s="6"/>
    </row>
    <row r="124">
      <c r="A124" s="1" t="s">
        <v>23</v>
      </c>
      <c r="B124" s="2">
        <v>2363.0</v>
      </c>
      <c r="C124" s="1" t="s">
        <v>205</v>
      </c>
      <c r="D124" s="2">
        <v>22.0</v>
      </c>
      <c r="E124" s="1" t="s">
        <v>17</v>
      </c>
      <c r="F124" s="3" t="b">
        <v>0</v>
      </c>
      <c r="G124" s="2">
        <v>4.0</v>
      </c>
      <c r="H124" s="2">
        <v>0.0</v>
      </c>
      <c r="I124" s="3" t="b">
        <v>0</v>
      </c>
      <c r="J124" s="2">
        <v>4.0</v>
      </c>
      <c r="K124" s="2">
        <v>14.0</v>
      </c>
      <c r="L124" s="2">
        <v>0.0</v>
      </c>
      <c r="M124" s="2">
        <v>5.0</v>
      </c>
      <c r="N124" s="1" t="s">
        <v>39</v>
      </c>
      <c r="O124" s="1" t="s">
        <v>25</v>
      </c>
      <c r="P124" s="4"/>
      <c r="Q124" s="4"/>
      <c r="R124" s="2"/>
      <c r="S124" s="2"/>
      <c r="U124" s="2"/>
      <c r="V124" s="1"/>
      <c r="W124" s="1"/>
      <c r="X124" s="6"/>
    </row>
    <row r="125">
      <c r="A125" s="1" t="s">
        <v>23</v>
      </c>
      <c r="B125" s="2">
        <v>2363.0</v>
      </c>
      <c r="C125" s="1" t="s">
        <v>206</v>
      </c>
      <c r="D125" s="2">
        <v>27.0</v>
      </c>
      <c r="E125" s="1" t="s">
        <v>17</v>
      </c>
      <c r="F125" s="3" t="b">
        <v>0</v>
      </c>
      <c r="G125" s="2">
        <v>2.0</v>
      </c>
      <c r="H125" s="2">
        <v>0.0</v>
      </c>
      <c r="I125" s="3" t="b">
        <v>0</v>
      </c>
      <c r="J125" s="2">
        <v>3.0</v>
      </c>
      <c r="K125" s="2">
        <v>21.0</v>
      </c>
      <c r="L125" s="2">
        <v>0.0</v>
      </c>
      <c r="M125" s="2">
        <v>2.0</v>
      </c>
      <c r="N125" s="1" t="s">
        <v>18</v>
      </c>
      <c r="O125" s="1" t="s">
        <v>19</v>
      </c>
      <c r="P125" s="1" t="s">
        <v>207</v>
      </c>
      <c r="R125" s="2"/>
      <c r="S125" s="2"/>
      <c r="U125" s="2"/>
      <c r="V125" s="1"/>
      <c r="W125" s="1"/>
      <c r="X125" s="6"/>
    </row>
    <row r="126">
      <c r="A126" s="1" t="s">
        <v>15</v>
      </c>
      <c r="B126" s="2">
        <v>2363.0</v>
      </c>
      <c r="C126" s="1" t="s">
        <v>208</v>
      </c>
      <c r="D126" s="2">
        <v>34.0</v>
      </c>
      <c r="E126" s="1" t="s">
        <v>17</v>
      </c>
      <c r="F126" s="3" t="b">
        <v>0</v>
      </c>
      <c r="G126" s="2">
        <v>1.0</v>
      </c>
      <c r="H126" s="2">
        <v>0.0</v>
      </c>
      <c r="I126" s="3" t="b">
        <v>0</v>
      </c>
      <c r="J126" s="2">
        <v>1.0</v>
      </c>
      <c r="K126" s="2">
        <v>17.0</v>
      </c>
      <c r="L126" s="2">
        <v>0.0</v>
      </c>
      <c r="M126" s="2">
        <v>4.0</v>
      </c>
      <c r="N126" s="1" t="s">
        <v>18</v>
      </c>
      <c r="O126" s="1" t="s">
        <v>19</v>
      </c>
      <c r="P126" s="4"/>
      <c r="Q126" s="4"/>
      <c r="R126" s="2"/>
      <c r="S126" s="2"/>
      <c r="U126" s="2"/>
      <c r="V126" s="1"/>
      <c r="W126" s="1"/>
      <c r="X126" s="4"/>
      <c r="Y126" s="4"/>
      <c r="Z126" s="4"/>
    </row>
    <row r="127">
      <c r="A127" s="1" t="s">
        <v>26</v>
      </c>
      <c r="B127" s="2">
        <v>2363.0</v>
      </c>
      <c r="C127" s="1" t="s">
        <v>209</v>
      </c>
      <c r="D127" s="2">
        <v>47.0</v>
      </c>
      <c r="E127" s="1" t="s">
        <v>22</v>
      </c>
      <c r="F127" s="3" t="b">
        <v>0</v>
      </c>
      <c r="G127" s="2">
        <v>2.0</v>
      </c>
      <c r="H127" s="2">
        <v>0.0</v>
      </c>
      <c r="I127" s="3" t="b">
        <v>0</v>
      </c>
      <c r="J127" s="2">
        <v>2.0</v>
      </c>
      <c r="K127" s="2">
        <v>11.0</v>
      </c>
      <c r="L127" s="2">
        <v>0.0</v>
      </c>
      <c r="M127" s="2">
        <v>4.0</v>
      </c>
      <c r="N127" s="1" t="s">
        <v>18</v>
      </c>
      <c r="O127" s="1" t="s">
        <v>19</v>
      </c>
      <c r="P127" s="4"/>
      <c r="Q127" s="4"/>
      <c r="R127" s="2"/>
      <c r="S127" s="2"/>
      <c r="U127" s="2"/>
      <c r="V127" s="1"/>
      <c r="W127" s="1"/>
      <c r="X127" s="6"/>
      <c r="Y127" s="6"/>
      <c r="Z127" s="6"/>
    </row>
    <row r="128">
      <c r="A128" s="1" t="s">
        <v>37</v>
      </c>
      <c r="B128" s="2">
        <v>2363.0</v>
      </c>
      <c r="C128" s="1" t="s">
        <v>210</v>
      </c>
      <c r="D128" s="2">
        <v>4.0</v>
      </c>
      <c r="E128" s="1" t="s">
        <v>17</v>
      </c>
      <c r="F128" s="3" t="b">
        <v>0</v>
      </c>
      <c r="G128" s="2">
        <v>2.0</v>
      </c>
      <c r="H128" s="2">
        <v>0.0</v>
      </c>
      <c r="I128" s="3" t="b">
        <v>0</v>
      </c>
      <c r="J128" s="2">
        <v>2.0</v>
      </c>
      <c r="K128" s="2">
        <v>14.0</v>
      </c>
      <c r="L128" s="2">
        <v>0.0</v>
      </c>
      <c r="M128" s="2">
        <v>3.0</v>
      </c>
      <c r="N128" s="1" t="s">
        <v>28</v>
      </c>
      <c r="O128" s="1" t="s">
        <v>25</v>
      </c>
      <c r="P128" s="1" t="s">
        <v>211</v>
      </c>
      <c r="R128" s="2"/>
      <c r="S128" s="2"/>
      <c r="U128" s="2"/>
      <c r="V128" s="1"/>
      <c r="W128" s="1"/>
      <c r="X128" s="6"/>
      <c r="Y128" s="6"/>
      <c r="Z128" s="6"/>
    </row>
    <row r="129">
      <c r="A129" s="1" t="s">
        <v>51</v>
      </c>
      <c r="B129" s="2">
        <v>2363.0</v>
      </c>
      <c r="C129" s="1" t="s">
        <v>212</v>
      </c>
      <c r="D129" s="2">
        <v>54.0</v>
      </c>
      <c r="E129" s="1" t="s">
        <v>17</v>
      </c>
      <c r="F129" s="3" t="b">
        <v>0</v>
      </c>
      <c r="G129" s="2">
        <v>2.0</v>
      </c>
      <c r="H129" s="2">
        <v>0.0</v>
      </c>
      <c r="I129" s="3" t="b">
        <v>0</v>
      </c>
      <c r="J129" s="2">
        <v>2.0</v>
      </c>
      <c r="K129" s="2">
        <v>9.0</v>
      </c>
      <c r="L129" s="2">
        <v>0.0</v>
      </c>
      <c r="M129" s="2">
        <v>1.0</v>
      </c>
      <c r="N129" s="1" t="s">
        <v>18</v>
      </c>
      <c r="O129" s="1" t="s">
        <v>19</v>
      </c>
      <c r="P129" s="4"/>
      <c r="Q129" s="4"/>
      <c r="R129" s="2"/>
      <c r="S129" s="2"/>
      <c r="U129" s="2"/>
      <c r="V129" s="1"/>
      <c r="W129" s="1"/>
      <c r="X129" s="6"/>
    </row>
    <row r="130">
      <c r="A130" s="1" t="s">
        <v>20</v>
      </c>
      <c r="B130" s="2">
        <v>2468.0</v>
      </c>
      <c r="C130" s="1" t="s">
        <v>213</v>
      </c>
      <c r="D130" s="2">
        <v>12.0</v>
      </c>
      <c r="E130" s="1" t="s">
        <v>22</v>
      </c>
      <c r="F130" s="3" t="b">
        <v>0</v>
      </c>
      <c r="G130" s="2">
        <v>1.0</v>
      </c>
      <c r="H130" s="2">
        <v>0.0</v>
      </c>
      <c r="I130" s="3" t="b">
        <v>0</v>
      </c>
      <c r="J130" s="2">
        <v>1.0</v>
      </c>
      <c r="K130" s="2">
        <v>6.0</v>
      </c>
      <c r="L130" s="2">
        <v>0.0</v>
      </c>
      <c r="M130" s="2">
        <v>0.0</v>
      </c>
      <c r="N130" s="1" t="s">
        <v>32</v>
      </c>
      <c r="O130" s="1" t="s">
        <v>19</v>
      </c>
      <c r="P130" s="1" t="s">
        <v>214</v>
      </c>
      <c r="R130" s="2"/>
      <c r="S130" s="2"/>
      <c r="U130" s="2"/>
      <c r="V130" s="1"/>
      <c r="W130" s="1"/>
      <c r="X130" s="6"/>
    </row>
    <row r="131">
      <c r="A131" s="1" t="s">
        <v>37</v>
      </c>
      <c r="B131" s="2">
        <v>2468.0</v>
      </c>
      <c r="C131" s="1" t="s">
        <v>215</v>
      </c>
      <c r="D131" s="2">
        <v>17.0</v>
      </c>
      <c r="E131" s="1" t="s">
        <v>17</v>
      </c>
      <c r="F131" s="3" t="b">
        <v>0</v>
      </c>
      <c r="G131" s="2">
        <v>1.0</v>
      </c>
      <c r="H131" s="2">
        <v>0.0</v>
      </c>
      <c r="I131" s="3" t="b">
        <v>0</v>
      </c>
      <c r="J131" s="2">
        <v>2.0</v>
      </c>
      <c r="K131" s="2">
        <v>10.0</v>
      </c>
      <c r="L131" s="2">
        <v>0.0</v>
      </c>
      <c r="M131" s="2">
        <v>2.0</v>
      </c>
      <c r="N131" s="1" t="s">
        <v>34</v>
      </c>
      <c r="O131" s="1" t="s">
        <v>19</v>
      </c>
      <c r="P131" s="4"/>
      <c r="Q131" s="4"/>
      <c r="R131" s="2"/>
      <c r="S131" s="2"/>
      <c r="U131" s="2"/>
      <c r="V131" s="1"/>
      <c r="W131" s="1"/>
      <c r="X131" s="6"/>
    </row>
    <row r="132">
      <c r="A132" s="1" t="s">
        <v>43</v>
      </c>
      <c r="B132" s="2">
        <v>2468.0</v>
      </c>
      <c r="C132" s="1" t="s">
        <v>216</v>
      </c>
      <c r="D132" s="2">
        <v>25.0</v>
      </c>
      <c r="E132" s="1" t="s">
        <v>17</v>
      </c>
      <c r="F132" s="3" t="b">
        <v>0</v>
      </c>
      <c r="G132" s="2">
        <v>1.0</v>
      </c>
      <c r="H132" s="2">
        <v>0.0</v>
      </c>
      <c r="I132" s="3" t="b">
        <v>0</v>
      </c>
      <c r="J132" s="2">
        <v>1.0</v>
      </c>
      <c r="K132" s="2">
        <v>12.0</v>
      </c>
      <c r="L132" s="2">
        <v>0.0</v>
      </c>
      <c r="M132" s="2">
        <v>0.0</v>
      </c>
      <c r="N132" s="1" t="s">
        <v>34</v>
      </c>
      <c r="O132" s="1" t="s">
        <v>25</v>
      </c>
      <c r="P132" s="4"/>
      <c r="Q132" s="4"/>
      <c r="R132" s="2"/>
      <c r="S132" s="2"/>
      <c r="U132" s="2"/>
      <c r="V132" s="1"/>
      <c r="W132" s="1"/>
      <c r="X132" s="6"/>
    </row>
    <row r="133">
      <c r="A133" s="1" t="s">
        <v>20</v>
      </c>
      <c r="B133" s="2">
        <v>2468.0</v>
      </c>
      <c r="C133" s="1" t="s">
        <v>217</v>
      </c>
      <c r="D133" s="2">
        <v>36.0</v>
      </c>
      <c r="E133" s="1" t="s">
        <v>22</v>
      </c>
      <c r="F133" s="3" t="b">
        <v>0</v>
      </c>
      <c r="G133" s="2">
        <v>0.0</v>
      </c>
      <c r="H133" s="2">
        <v>0.0</v>
      </c>
      <c r="I133" s="3" t="b">
        <v>0</v>
      </c>
      <c r="J133" s="2">
        <v>0.0</v>
      </c>
      <c r="K133" s="2">
        <v>6.0</v>
      </c>
      <c r="L133" s="2">
        <v>0.0</v>
      </c>
      <c r="M133" s="2">
        <v>2.0</v>
      </c>
      <c r="N133" s="1" t="s">
        <v>39</v>
      </c>
      <c r="O133" s="1" t="s">
        <v>25</v>
      </c>
      <c r="P133" s="4"/>
      <c r="Q133" s="4"/>
      <c r="R133" s="2"/>
      <c r="S133" s="2"/>
      <c r="U133" s="2"/>
      <c r="V133" s="1"/>
      <c r="W133" s="1"/>
      <c r="X133" s="6"/>
      <c r="Y133" s="6"/>
      <c r="Z133" s="6"/>
    </row>
    <row r="134">
      <c r="A134" s="1" t="s">
        <v>15</v>
      </c>
      <c r="B134" s="2">
        <v>2468.0</v>
      </c>
      <c r="C134" s="1" t="s">
        <v>218</v>
      </c>
      <c r="D134" s="2">
        <v>3.0</v>
      </c>
      <c r="E134" s="1" t="s">
        <v>17</v>
      </c>
      <c r="F134" s="3" t="b">
        <v>0</v>
      </c>
      <c r="G134" s="2">
        <v>2.0</v>
      </c>
      <c r="H134" s="2">
        <v>0.0</v>
      </c>
      <c r="I134" s="3" t="b">
        <v>0</v>
      </c>
      <c r="J134" s="2">
        <v>3.0</v>
      </c>
      <c r="K134" s="2">
        <v>13.0</v>
      </c>
      <c r="L134" s="2">
        <v>0.0</v>
      </c>
      <c r="M134" s="2">
        <v>3.0</v>
      </c>
      <c r="N134" s="1" t="s">
        <v>34</v>
      </c>
      <c r="O134" s="1" t="s">
        <v>19</v>
      </c>
      <c r="P134" s="4"/>
      <c r="Q134" s="4"/>
      <c r="R134" s="2"/>
      <c r="S134" s="2"/>
      <c r="U134" s="2"/>
      <c r="V134" s="1"/>
      <c r="W134" s="1"/>
      <c r="X134" s="6"/>
      <c r="Y134" s="6"/>
      <c r="Z134" s="6"/>
    </row>
    <row r="135">
      <c r="A135" s="1" t="s">
        <v>46</v>
      </c>
      <c r="B135" s="2">
        <v>2468.0</v>
      </c>
      <c r="C135" s="1" t="s">
        <v>219</v>
      </c>
      <c r="D135" s="2">
        <v>43.0</v>
      </c>
      <c r="E135" s="1" t="s">
        <v>22</v>
      </c>
      <c r="F135" s="3" t="b">
        <v>0</v>
      </c>
      <c r="G135" s="2">
        <v>2.0</v>
      </c>
      <c r="H135" s="2">
        <v>0.0</v>
      </c>
      <c r="I135" s="3" t="b">
        <v>0</v>
      </c>
      <c r="J135" s="2">
        <v>2.0</v>
      </c>
      <c r="K135" s="2">
        <v>5.0</v>
      </c>
      <c r="L135" s="2">
        <v>0.0</v>
      </c>
      <c r="M135" s="2">
        <v>1.0</v>
      </c>
      <c r="N135" s="1" t="s">
        <v>42</v>
      </c>
      <c r="O135" s="1" t="s">
        <v>19</v>
      </c>
      <c r="P135" s="4"/>
      <c r="Q135" s="4"/>
      <c r="R135" s="2"/>
      <c r="S135" s="2"/>
      <c r="U135" s="2"/>
      <c r="V135" s="1"/>
      <c r="W135" s="1"/>
      <c r="X135" s="6"/>
    </row>
    <row r="136">
      <c r="A136" s="1" t="s">
        <v>15</v>
      </c>
      <c r="B136" s="2">
        <v>2468.0</v>
      </c>
      <c r="C136" s="1" t="s">
        <v>220</v>
      </c>
      <c r="D136" s="2">
        <v>54.0</v>
      </c>
      <c r="E136" s="1" t="s">
        <v>17</v>
      </c>
      <c r="F136" s="3" t="b">
        <v>0</v>
      </c>
      <c r="G136" s="2">
        <v>3.0</v>
      </c>
      <c r="H136" s="2">
        <v>0.0</v>
      </c>
      <c r="I136" s="3" t="b">
        <v>0</v>
      </c>
      <c r="J136" s="2">
        <v>4.0</v>
      </c>
      <c r="K136" s="2">
        <v>9.0</v>
      </c>
      <c r="L136" s="2">
        <v>0.0</v>
      </c>
      <c r="M136" s="2">
        <v>1.0</v>
      </c>
      <c r="N136" s="1" t="s">
        <v>34</v>
      </c>
      <c r="O136" s="1" t="s">
        <v>19</v>
      </c>
      <c r="P136" s="1" t="s">
        <v>221</v>
      </c>
      <c r="R136" s="2"/>
      <c r="S136" s="2"/>
      <c r="U136" s="2"/>
      <c r="V136" s="1"/>
      <c r="W136" s="1"/>
      <c r="X136" s="1"/>
    </row>
    <row r="137">
      <c r="A137" s="1" t="s">
        <v>105</v>
      </c>
      <c r="B137" s="2">
        <v>2539.0</v>
      </c>
      <c r="C137" s="1" t="s">
        <v>222</v>
      </c>
      <c r="D137" s="2">
        <v>17.0</v>
      </c>
      <c r="E137" s="1" t="s">
        <v>17</v>
      </c>
      <c r="F137" s="3" t="b">
        <v>0</v>
      </c>
      <c r="G137" s="2">
        <v>3.0</v>
      </c>
      <c r="H137" s="2">
        <v>0.0</v>
      </c>
      <c r="I137" s="3" t="b">
        <v>0</v>
      </c>
      <c r="J137" s="2">
        <v>4.0</v>
      </c>
      <c r="K137" s="2">
        <v>6.0</v>
      </c>
      <c r="L137" s="2">
        <v>0.0</v>
      </c>
      <c r="M137" s="2">
        <v>2.0</v>
      </c>
      <c r="N137" s="1" t="s">
        <v>34</v>
      </c>
      <c r="O137" s="1" t="s">
        <v>19</v>
      </c>
      <c r="P137" s="4"/>
      <c r="Q137" s="4"/>
      <c r="R137" s="2"/>
      <c r="S137" s="2"/>
      <c r="U137" s="2"/>
      <c r="V137" s="1"/>
      <c r="W137" s="1"/>
      <c r="X137" s="6"/>
    </row>
    <row r="138">
      <c r="A138" s="1" t="s">
        <v>105</v>
      </c>
      <c r="B138" s="2">
        <v>2539.0</v>
      </c>
      <c r="C138" s="1" t="s">
        <v>223</v>
      </c>
      <c r="D138" s="2">
        <v>1.0</v>
      </c>
      <c r="E138" s="1" t="s">
        <v>17</v>
      </c>
      <c r="F138" s="3" t="b">
        <v>0</v>
      </c>
      <c r="G138" s="2">
        <v>2.0</v>
      </c>
      <c r="H138" s="2">
        <v>0.0</v>
      </c>
      <c r="I138" s="3" t="b">
        <v>0</v>
      </c>
      <c r="J138" s="2">
        <v>3.0</v>
      </c>
      <c r="K138" s="2">
        <v>1.0</v>
      </c>
      <c r="L138" s="2">
        <v>0.0</v>
      </c>
      <c r="M138" s="2">
        <v>1.0</v>
      </c>
      <c r="N138" s="1" t="s">
        <v>42</v>
      </c>
      <c r="O138" s="1" t="s">
        <v>25</v>
      </c>
      <c r="P138" s="1" t="s">
        <v>224</v>
      </c>
      <c r="R138" s="2"/>
      <c r="S138" s="2"/>
      <c r="U138" s="2"/>
      <c r="V138" s="1"/>
      <c r="W138" s="1"/>
      <c r="X138" s="1"/>
    </row>
    <row r="139">
      <c r="A139" s="1" t="s">
        <v>55</v>
      </c>
      <c r="B139" s="2">
        <v>2539.0</v>
      </c>
      <c r="C139" s="1" t="s">
        <v>225</v>
      </c>
      <c r="D139" s="2">
        <v>25.0</v>
      </c>
      <c r="E139" s="1" t="s">
        <v>22</v>
      </c>
      <c r="F139" s="3" t="b">
        <v>0</v>
      </c>
      <c r="G139" s="2">
        <v>1.0</v>
      </c>
      <c r="H139" s="2">
        <v>0.0</v>
      </c>
      <c r="I139" s="3" t="b">
        <v>0</v>
      </c>
      <c r="J139" s="2">
        <v>1.0</v>
      </c>
      <c r="K139" s="2">
        <v>9.0</v>
      </c>
      <c r="L139" s="2">
        <v>0.0</v>
      </c>
      <c r="M139" s="2">
        <v>2.0</v>
      </c>
      <c r="N139" s="1" t="s">
        <v>42</v>
      </c>
      <c r="O139" s="1" t="s">
        <v>19</v>
      </c>
      <c r="P139" s="4"/>
      <c r="Q139" s="4"/>
      <c r="R139" s="2"/>
      <c r="S139" s="2"/>
      <c r="U139" s="2"/>
      <c r="V139" s="1"/>
      <c r="W139" s="1"/>
      <c r="X139" s="1"/>
    </row>
    <row r="140">
      <c r="A140" s="1" t="s">
        <v>37</v>
      </c>
      <c r="B140" s="2">
        <v>2539.0</v>
      </c>
      <c r="C140" s="1" t="s">
        <v>226</v>
      </c>
      <c r="D140" s="2">
        <v>40.0</v>
      </c>
      <c r="E140" s="1" t="s">
        <v>17</v>
      </c>
      <c r="F140" s="3" t="b">
        <v>0</v>
      </c>
      <c r="G140" s="2">
        <v>2.0</v>
      </c>
      <c r="H140" s="2">
        <v>0.0</v>
      </c>
      <c r="I140" s="3" t="b">
        <v>0</v>
      </c>
      <c r="J140" s="2">
        <v>2.0</v>
      </c>
      <c r="K140" s="2">
        <v>0.0</v>
      </c>
      <c r="L140" s="2">
        <v>0.0</v>
      </c>
      <c r="M140" s="2">
        <v>0.0</v>
      </c>
      <c r="N140" s="1" t="s">
        <v>34</v>
      </c>
      <c r="O140" s="1" t="s">
        <v>25</v>
      </c>
      <c r="P140" s="1" t="s">
        <v>197</v>
      </c>
      <c r="R140" s="2"/>
      <c r="S140" s="2"/>
      <c r="U140" s="2"/>
      <c r="V140" s="1"/>
      <c r="W140" s="1"/>
      <c r="X140" s="1"/>
    </row>
    <row r="141">
      <c r="A141" s="1" t="s">
        <v>105</v>
      </c>
      <c r="B141" s="2">
        <v>2539.0</v>
      </c>
      <c r="C141" s="1" t="s">
        <v>227</v>
      </c>
      <c r="D141" s="2">
        <v>46.0</v>
      </c>
      <c r="E141" s="1" t="s">
        <v>17</v>
      </c>
      <c r="F141" s="3" t="b">
        <v>0</v>
      </c>
      <c r="G141" s="2">
        <v>1.0</v>
      </c>
      <c r="H141" s="2">
        <v>0.0</v>
      </c>
      <c r="I141" s="3" t="b">
        <v>0</v>
      </c>
      <c r="J141" s="2">
        <v>2.0</v>
      </c>
      <c r="K141" s="2">
        <v>0.0</v>
      </c>
      <c r="L141" s="2">
        <v>0.0</v>
      </c>
      <c r="M141" s="2">
        <v>1.0</v>
      </c>
      <c r="N141" s="1" t="s">
        <v>34</v>
      </c>
      <c r="O141" s="1" t="s">
        <v>19</v>
      </c>
      <c r="P141" s="1" t="s">
        <v>197</v>
      </c>
      <c r="R141" s="2"/>
      <c r="S141" s="2"/>
      <c r="U141" s="2"/>
      <c r="V141" s="1"/>
      <c r="W141" s="1"/>
      <c r="X141" s="1"/>
    </row>
    <row r="142">
      <c r="A142" s="1" t="s">
        <v>118</v>
      </c>
      <c r="B142" s="2">
        <v>2539.0</v>
      </c>
      <c r="C142" s="1" t="s">
        <v>228</v>
      </c>
      <c r="D142" s="2">
        <v>55.0</v>
      </c>
      <c r="E142" s="1" t="s">
        <v>22</v>
      </c>
      <c r="F142" s="3" t="b">
        <v>0</v>
      </c>
      <c r="G142" s="2">
        <v>2.0</v>
      </c>
      <c r="H142" s="2">
        <v>0.0</v>
      </c>
      <c r="I142" s="3" t="b">
        <v>0</v>
      </c>
      <c r="J142" s="2">
        <v>2.0</v>
      </c>
      <c r="K142" s="2">
        <v>0.0</v>
      </c>
      <c r="L142" s="2">
        <v>0.0</v>
      </c>
      <c r="M142" s="2">
        <v>0.0</v>
      </c>
      <c r="N142" s="1" t="s">
        <v>34</v>
      </c>
      <c r="O142" s="1" t="s">
        <v>19</v>
      </c>
      <c r="P142" s="1" t="s">
        <v>229</v>
      </c>
      <c r="Q142" s="4"/>
      <c r="R142" s="2"/>
      <c r="S142" s="2"/>
      <c r="U142" s="2"/>
      <c r="V142" s="1"/>
      <c r="W142" s="1"/>
      <c r="X142" s="1"/>
    </row>
    <row r="143">
      <c r="A143" s="1" t="s">
        <v>26</v>
      </c>
      <c r="B143" s="2">
        <v>2539.0</v>
      </c>
      <c r="C143" s="1" t="s">
        <v>230</v>
      </c>
      <c r="D143" s="2">
        <v>9.0</v>
      </c>
      <c r="E143" s="1" t="s">
        <v>22</v>
      </c>
      <c r="F143" s="3" t="b">
        <v>0</v>
      </c>
      <c r="G143" s="2">
        <v>2.0</v>
      </c>
      <c r="H143" s="2">
        <v>0.0</v>
      </c>
      <c r="I143" s="3" t="b">
        <v>0</v>
      </c>
      <c r="J143" s="2">
        <v>2.0</v>
      </c>
      <c r="K143" s="2">
        <v>15.0</v>
      </c>
      <c r="L143" s="2">
        <v>0.0</v>
      </c>
      <c r="M143" s="2">
        <v>1.0</v>
      </c>
      <c r="N143" s="1" t="s">
        <v>34</v>
      </c>
      <c r="O143" s="1" t="s">
        <v>25</v>
      </c>
      <c r="P143" s="4"/>
      <c r="Q143" s="4"/>
      <c r="R143" s="2"/>
      <c r="S143" s="2"/>
      <c r="U143" s="2"/>
      <c r="V143" s="1"/>
      <c r="W143" s="1"/>
      <c r="X143" s="6"/>
    </row>
    <row r="144">
      <c r="A144" s="1" t="s">
        <v>105</v>
      </c>
      <c r="B144" s="2">
        <v>2614.0</v>
      </c>
      <c r="C144" s="1" t="s">
        <v>231</v>
      </c>
      <c r="D144" s="2">
        <v>14.0</v>
      </c>
      <c r="E144" s="1" t="s">
        <v>17</v>
      </c>
      <c r="F144" s="3" t="b">
        <v>0</v>
      </c>
      <c r="G144" s="2">
        <v>2.0</v>
      </c>
      <c r="H144" s="2">
        <v>0.0</v>
      </c>
      <c r="I144" s="3" t="b">
        <v>0</v>
      </c>
      <c r="J144" s="2">
        <v>2.0</v>
      </c>
      <c r="K144" s="2">
        <v>5.0</v>
      </c>
      <c r="L144" s="2">
        <v>0.0</v>
      </c>
      <c r="M144" s="2">
        <v>4.0</v>
      </c>
      <c r="N144" s="1" t="s">
        <v>18</v>
      </c>
      <c r="O144" s="1" t="s">
        <v>19</v>
      </c>
      <c r="P144" s="1" t="s">
        <v>232</v>
      </c>
      <c r="R144" s="2"/>
      <c r="S144" s="2"/>
      <c r="U144" s="2"/>
      <c r="V144" s="1"/>
      <c r="W144" s="1"/>
      <c r="X144" s="6"/>
    </row>
    <row r="145">
      <c r="A145" s="1" t="s">
        <v>15</v>
      </c>
      <c r="B145" s="2">
        <v>2614.0</v>
      </c>
      <c r="C145" s="1" t="s">
        <v>233</v>
      </c>
      <c r="D145" s="2">
        <v>1.0</v>
      </c>
      <c r="E145" s="1" t="s">
        <v>17</v>
      </c>
      <c r="F145" s="3" t="b">
        <v>0</v>
      </c>
      <c r="G145" s="2">
        <v>0.0</v>
      </c>
      <c r="H145" s="2">
        <v>0.0</v>
      </c>
      <c r="I145" s="3" t="b">
        <v>0</v>
      </c>
      <c r="J145" s="2">
        <v>2.0</v>
      </c>
      <c r="K145" s="2">
        <v>8.0</v>
      </c>
      <c r="L145" s="2">
        <v>0.0</v>
      </c>
      <c r="M145" s="2">
        <v>2.0</v>
      </c>
      <c r="N145" s="1" t="s">
        <v>39</v>
      </c>
      <c r="O145" s="1" t="s">
        <v>25</v>
      </c>
      <c r="P145" s="1" t="s">
        <v>234</v>
      </c>
      <c r="R145" s="2"/>
      <c r="S145" s="2"/>
      <c r="U145" s="2"/>
      <c r="V145" s="1"/>
      <c r="W145" s="1"/>
      <c r="X145" s="6"/>
    </row>
    <row r="146">
      <c r="A146" s="1" t="s">
        <v>151</v>
      </c>
      <c r="B146" s="2">
        <v>2614.0</v>
      </c>
      <c r="C146" s="1" t="s">
        <v>235</v>
      </c>
      <c r="D146" s="2">
        <v>20.0</v>
      </c>
      <c r="E146" s="1" t="s">
        <v>17</v>
      </c>
      <c r="F146" s="3" t="b">
        <v>0</v>
      </c>
      <c r="G146" s="2">
        <v>2.0</v>
      </c>
      <c r="H146" s="2">
        <v>0.0</v>
      </c>
      <c r="I146" s="3" t="b">
        <v>0</v>
      </c>
      <c r="J146" s="2">
        <v>2.0</v>
      </c>
      <c r="K146" s="2">
        <v>9.0</v>
      </c>
      <c r="L146" s="2">
        <v>0.0</v>
      </c>
      <c r="M146" s="2">
        <v>0.0</v>
      </c>
      <c r="N146" s="1" t="s">
        <v>39</v>
      </c>
      <c r="O146" s="1" t="s">
        <v>25</v>
      </c>
      <c r="P146" s="4"/>
      <c r="Q146" s="4"/>
      <c r="R146" s="2"/>
      <c r="S146" s="2"/>
      <c r="U146" s="2"/>
      <c r="V146" s="1"/>
      <c r="W146" s="1"/>
      <c r="X146" s="1"/>
    </row>
    <row r="147">
      <c r="A147" s="1" t="s">
        <v>71</v>
      </c>
      <c r="B147" s="2">
        <v>2614.0</v>
      </c>
      <c r="C147" s="1" t="s">
        <v>236</v>
      </c>
      <c r="D147" s="2">
        <v>29.0</v>
      </c>
      <c r="E147" s="1" t="s">
        <v>22</v>
      </c>
      <c r="F147" s="3" t="b">
        <v>0</v>
      </c>
      <c r="G147" s="2">
        <v>2.0</v>
      </c>
      <c r="H147" s="2">
        <v>0.0</v>
      </c>
      <c r="I147" s="3" t="b">
        <v>0</v>
      </c>
      <c r="J147" s="2">
        <v>2.0</v>
      </c>
      <c r="K147" s="2">
        <v>4.0</v>
      </c>
      <c r="L147" s="2">
        <v>0.0</v>
      </c>
      <c r="M147" s="2">
        <v>1.0</v>
      </c>
      <c r="N147" s="1" t="s">
        <v>39</v>
      </c>
      <c r="O147" s="1" t="s">
        <v>19</v>
      </c>
      <c r="P147" s="4"/>
      <c r="Q147" s="4"/>
      <c r="R147" s="2"/>
      <c r="S147" s="2"/>
      <c r="U147" s="2"/>
      <c r="V147" s="1"/>
      <c r="W147" s="1"/>
      <c r="X147" s="1"/>
    </row>
    <row r="148">
      <c r="A148" s="1" t="s">
        <v>55</v>
      </c>
      <c r="B148" s="2">
        <v>2614.0</v>
      </c>
      <c r="C148" s="1" t="s">
        <v>237</v>
      </c>
      <c r="D148" s="2">
        <v>37.0</v>
      </c>
      <c r="E148" s="1" t="s">
        <v>22</v>
      </c>
      <c r="F148" s="3" t="b">
        <v>0</v>
      </c>
      <c r="G148" s="2">
        <v>0.0</v>
      </c>
      <c r="H148" s="2">
        <v>0.0</v>
      </c>
      <c r="I148" s="3" t="b">
        <v>0</v>
      </c>
      <c r="J148" s="2">
        <v>2.0</v>
      </c>
      <c r="K148" s="2">
        <v>3.0</v>
      </c>
      <c r="L148" s="2">
        <v>1.0</v>
      </c>
      <c r="M148" s="2">
        <v>1.0</v>
      </c>
      <c r="N148" s="1" t="s">
        <v>18</v>
      </c>
      <c r="O148" s="1" t="s">
        <v>25</v>
      </c>
      <c r="P148" s="4"/>
      <c r="Q148" s="4"/>
      <c r="R148" s="2"/>
      <c r="S148" s="2"/>
      <c r="U148" s="2"/>
      <c r="V148" s="1"/>
      <c r="W148" s="1"/>
      <c r="X148" s="6"/>
    </row>
    <row r="149">
      <c r="A149" s="1" t="s">
        <v>112</v>
      </c>
      <c r="B149" s="2">
        <v>2614.0</v>
      </c>
      <c r="C149" s="1" t="s">
        <v>238</v>
      </c>
      <c r="D149" s="2">
        <v>48.0</v>
      </c>
      <c r="E149" s="1" t="s">
        <v>22</v>
      </c>
      <c r="F149" s="3" t="b">
        <v>0</v>
      </c>
      <c r="G149" s="2">
        <v>2.0</v>
      </c>
      <c r="H149" s="2">
        <v>0.0</v>
      </c>
      <c r="I149" s="3" t="b">
        <v>0</v>
      </c>
      <c r="J149" s="2">
        <v>2.0</v>
      </c>
      <c r="K149" s="2">
        <v>6.0</v>
      </c>
      <c r="L149" s="2">
        <v>0.0</v>
      </c>
      <c r="M149" s="2">
        <v>0.0</v>
      </c>
      <c r="N149" s="1" t="s">
        <v>18</v>
      </c>
      <c r="O149" s="1" t="s">
        <v>25</v>
      </c>
      <c r="P149" s="4"/>
      <c r="Q149" s="4"/>
      <c r="R149" s="2"/>
      <c r="S149" s="2"/>
      <c r="U149" s="2"/>
      <c r="V149" s="1"/>
      <c r="W149" s="1"/>
      <c r="X149" s="1"/>
    </row>
    <row r="150">
      <c r="A150" s="1" t="s">
        <v>43</v>
      </c>
      <c r="B150" s="2">
        <v>2614.0</v>
      </c>
      <c r="C150" s="1" t="s">
        <v>239</v>
      </c>
      <c r="D150" s="2">
        <v>53.0</v>
      </c>
      <c r="E150" s="1" t="s">
        <v>17</v>
      </c>
      <c r="F150" s="3" t="b">
        <v>0</v>
      </c>
      <c r="G150" s="2">
        <v>2.0</v>
      </c>
      <c r="H150" s="2">
        <v>0.0</v>
      </c>
      <c r="I150" s="3" t="b">
        <v>0</v>
      </c>
      <c r="J150" s="2">
        <v>2.0</v>
      </c>
      <c r="K150" s="2">
        <v>0.0</v>
      </c>
      <c r="L150" s="2">
        <v>0.0</v>
      </c>
      <c r="M150" s="2">
        <v>1.0</v>
      </c>
      <c r="N150" s="1" t="s">
        <v>39</v>
      </c>
      <c r="O150" s="1" t="s">
        <v>25</v>
      </c>
      <c r="P150" s="4"/>
      <c r="Q150" s="4"/>
      <c r="R150" s="2"/>
      <c r="S150" s="2"/>
      <c r="U150" s="2"/>
      <c r="V150" s="1"/>
      <c r="W150" s="1"/>
      <c r="X150" s="6"/>
    </row>
    <row r="151">
      <c r="A151" s="1" t="s">
        <v>15</v>
      </c>
      <c r="B151" s="2">
        <v>2614.0</v>
      </c>
      <c r="C151" s="1" t="s">
        <v>240</v>
      </c>
      <c r="D151" s="2">
        <v>59.0</v>
      </c>
      <c r="E151" s="1" t="s">
        <v>17</v>
      </c>
      <c r="F151" s="3" t="b">
        <v>0</v>
      </c>
      <c r="G151" s="2">
        <v>0.0</v>
      </c>
      <c r="H151" s="2">
        <v>0.0</v>
      </c>
      <c r="I151" s="3" t="b">
        <v>1</v>
      </c>
      <c r="J151" s="2">
        <v>0.0</v>
      </c>
      <c r="K151" s="2">
        <v>5.0</v>
      </c>
      <c r="L151" s="2">
        <v>0.0</v>
      </c>
      <c r="M151" s="2">
        <v>2.0</v>
      </c>
      <c r="N151" s="1" t="s">
        <v>39</v>
      </c>
      <c r="O151" s="1" t="s">
        <v>25</v>
      </c>
      <c r="P151" s="4"/>
      <c r="Q151" s="4"/>
      <c r="R151" s="2"/>
      <c r="S151" s="2"/>
      <c r="U151" s="2"/>
      <c r="V151" s="1"/>
      <c r="W151" s="1"/>
      <c r="X151" s="1"/>
    </row>
    <row r="152">
      <c r="A152" s="1" t="s">
        <v>53</v>
      </c>
      <c r="B152" s="2">
        <v>2767.0</v>
      </c>
      <c r="C152" s="1" t="s">
        <v>241</v>
      </c>
      <c r="D152" s="2">
        <v>12.0</v>
      </c>
      <c r="E152" s="1" t="s">
        <v>22</v>
      </c>
      <c r="F152" s="3" t="b">
        <v>0</v>
      </c>
      <c r="G152" s="2">
        <v>1.0</v>
      </c>
      <c r="H152" s="2">
        <v>0.0</v>
      </c>
      <c r="I152" s="3" t="b">
        <v>0</v>
      </c>
      <c r="J152" s="2">
        <v>1.0</v>
      </c>
      <c r="K152" s="2">
        <v>16.0</v>
      </c>
      <c r="L152" s="2">
        <v>0.0</v>
      </c>
      <c r="M152" s="2">
        <v>0.0</v>
      </c>
      <c r="N152" s="1" t="s">
        <v>34</v>
      </c>
      <c r="O152" s="1" t="s">
        <v>19</v>
      </c>
      <c r="P152" s="4"/>
      <c r="Q152" s="4"/>
      <c r="R152" s="2"/>
      <c r="S152" s="2"/>
      <c r="U152" s="2"/>
      <c r="V152" s="1"/>
      <c r="W152" s="1"/>
      <c r="X152" s="1"/>
      <c r="Y152" s="6"/>
      <c r="Z152" s="6"/>
    </row>
    <row r="153">
      <c r="A153" s="1" t="s">
        <v>151</v>
      </c>
      <c r="B153" s="2">
        <v>2767.0</v>
      </c>
      <c r="C153" s="1" t="s">
        <v>242</v>
      </c>
      <c r="D153" s="2">
        <v>21.0</v>
      </c>
      <c r="E153" s="1" t="s">
        <v>17</v>
      </c>
      <c r="F153" s="3" t="b">
        <v>0</v>
      </c>
      <c r="G153" s="2">
        <v>4.0</v>
      </c>
      <c r="H153" s="2">
        <v>0.0</v>
      </c>
      <c r="I153" s="3" t="b">
        <v>0</v>
      </c>
      <c r="J153" s="2">
        <v>5.0</v>
      </c>
      <c r="K153" s="2">
        <v>13.0</v>
      </c>
      <c r="L153" s="2">
        <v>0.0</v>
      </c>
      <c r="M153" s="2">
        <v>2.0</v>
      </c>
      <c r="N153" s="1" t="s">
        <v>34</v>
      </c>
      <c r="O153" s="1" t="s">
        <v>19</v>
      </c>
      <c r="P153" s="4"/>
      <c r="Q153" s="4"/>
      <c r="R153" s="2"/>
      <c r="S153" s="2"/>
      <c r="U153" s="2"/>
      <c r="V153" s="1"/>
      <c r="W153" s="1"/>
      <c r="X153" s="6"/>
      <c r="Y153" s="6"/>
      <c r="Z153" s="6"/>
    </row>
    <row r="154">
      <c r="A154" s="1" t="s">
        <v>20</v>
      </c>
      <c r="B154" s="2">
        <v>2767.0</v>
      </c>
      <c r="C154" s="1" t="s">
        <v>243</v>
      </c>
      <c r="D154" s="2">
        <v>26.0</v>
      </c>
      <c r="E154" s="1" t="s">
        <v>22</v>
      </c>
      <c r="F154" s="3" t="b">
        <v>0</v>
      </c>
      <c r="G154" s="2">
        <v>5.0</v>
      </c>
      <c r="H154" s="2">
        <v>0.0</v>
      </c>
      <c r="I154" s="3" t="b">
        <v>0</v>
      </c>
      <c r="J154" s="2">
        <v>5.0</v>
      </c>
      <c r="K154" s="2">
        <v>6.0</v>
      </c>
      <c r="L154" s="2">
        <v>2.0</v>
      </c>
      <c r="M154" s="2">
        <v>0.0</v>
      </c>
      <c r="N154" s="1" t="s">
        <v>34</v>
      </c>
      <c r="O154" s="1" t="s">
        <v>19</v>
      </c>
      <c r="P154" s="4"/>
      <c r="Q154" s="4"/>
      <c r="R154" s="2"/>
      <c r="S154" s="2"/>
      <c r="U154" s="2"/>
      <c r="V154" s="1"/>
      <c r="W154" s="1"/>
      <c r="X154" s="1"/>
      <c r="Y154" s="6"/>
      <c r="Z154" s="6"/>
    </row>
    <row r="155">
      <c r="A155" s="1" t="s">
        <v>30</v>
      </c>
      <c r="B155" s="2">
        <v>2767.0</v>
      </c>
      <c r="C155" s="1" t="s">
        <v>244</v>
      </c>
      <c r="D155" s="2">
        <v>33.0</v>
      </c>
      <c r="E155" s="1" t="s">
        <v>17</v>
      </c>
      <c r="F155" s="3" t="b">
        <v>0</v>
      </c>
      <c r="G155" s="2">
        <v>2.0</v>
      </c>
      <c r="H155" s="2">
        <v>0.0</v>
      </c>
      <c r="I155" s="3" t="b">
        <v>0</v>
      </c>
      <c r="J155" s="2">
        <v>2.0</v>
      </c>
      <c r="K155" s="2">
        <v>6.0</v>
      </c>
      <c r="L155" s="2">
        <v>0.0</v>
      </c>
      <c r="M155" s="2">
        <v>3.0</v>
      </c>
      <c r="N155" s="1" t="s">
        <v>39</v>
      </c>
      <c r="O155" s="1" t="s">
        <v>25</v>
      </c>
      <c r="P155" s="4"/>
      <c r="Q155" s="4"/>
      <c r="R155" s="2"/>
      <c r="S155" s="2"/>
      <c r="U155" s="2"/>
      <c r="V155" s="1"/>
      <c r="W155" s="1"/>
      <c r="X155" s="1"/>
    </row>
    <row r="156">
      <c r="A156" s="1" t="s">
        <v>37</v>
      </c>
      <c r="B156" s="2">
        <v>2767.0</v>
      </c>
      <c r="C156" s="1" t="s">
        <v>245</v>
      </c>
      <c r="D156" s="2">
        <v>48.0</v>
      </c>
      <c r="E156" s="1" t="s">
        <v>17</v>
      </c>
      <c r="F156" s="3" t="b">
        <v>0</v>
      </c>
      <c r="G156" s="2">
        <v>2.0</v>
      </c>
      <c r="H156" s="2">
        <v>0.0</v>
      </c>
      <c r="I156" s="3" t="b">
        <v>0</v>
      </c>
      <c r="J156" s="2">
        <v>2.0</v>
      </c>
      <c r="K156" s="2">
        <v>13.0</v>
      </c>
      <c r="L156" s="2">
        <v>0.0</v>
      </c>
      <c r="M156" s="2">
        <v>1.0</v>
      </c>
      <c r="N156" s="1" t="s">
        <v>34</v>
      </c>
      <c r="O156" s="1" t="s">
        <v>19</v>
      </c>
      <c r="P156" s="4"/>
      <c r="Q156" s="4"/>
      <c r="R156" s="2"/>
      <c r="S156" s="2"/>
      <c r="U156" s="2"/>
      <c r="V156" s="1"/>
      <c r="W156" s="1"/>
      <c r="X156" s="1"/>
    </row>
    <row r="157">
      <c r="A157" s="1" t="s">
        <v>26</v>
      </c>
      <c r="B157" s="2">
        <v>2767.0</v>
      </c>
      <c r="C157" s="1" t="s">
        <v>246</v>
      </c>
      <c r="D157" s="2">
        <v>55.0</v>
      </c>
      <c r="E157" s="1" t="s">
        <v>22</v>
      </c>
      <c r="F157" s="3" t="b">
        <v>0</v>
      </c>
      <c r="G157" s="2">
        <v>1.0</v>
      </c>
      <c r="H157" s="2">
        <v>0.0</v>
      </c>
      <c r="I157" s="3" t="b">
        <v>0</v>
      </c>
      <c r="J157" s="2">
        <v>1.0</v>
      </c>
      <c r="K157" s="2">
        <v>10.0</v>
      </c>
      <c r="L157" s="2">
        <v>0.0</v>
      </c>
      <c r="M157" s="2">
        <v>0.0</v>
      </c>
      <c r="N157" s="1" t="s">
        <v>34</v>
      </c>
      <c r="O157" s="1" t="s">
        <v>19</v>
      </c>
      <c r="P157" s="4"/>
      <c r="Q157" s="4"/>
      <c r="R157" s="2"/>
      <c r="S157" s="2"/>
      <c r="U157" s="2"/>
      <c r="V157" s="1"/>
      <c r="W157" s="1"/>
      <c r="X157" s="1"/>
    </row>
    <row r="158">
      <c r="A158" s="1" t="s">
        <v>20</v>
      </c>
      <c r="B158" s="2">
        <v>2767.0</v>
      </c>
      <c r="C158" s="1" t="s">
        <v>247</v>
      </c>
      <c r="D158" s="2">
        <v>5.0</v>
      </c>
      <c r="E158" s="1" t="s">
        <v>22</v>
      </c>
      <c r="F158" s="3" t="b">
        <v>0</v>
      </c>
      <c r="G158" s="2">
        <v>4.0</v>
      </c>
      <c r="H158" s="2">
        <v>0.0</v>
      </c>
      <c r="I158" s="3" t="b">
        <v>0</v>
      </c>
      <c r="J158" s="2">
        <v>5.0</v>
      </c>
      <c r="K158" s="2">
        <v>12.0</v>
      </c>
      <c r="L158" s="2">
        <v>0.0</v>
      </c>
      <c r="M158" s="2">
        <v>0.0</v>
      </c>
      <c r="N158" s="1" t="s">
        <v>34</v>
      </c>
      <c r="O158" s="1" t="s">
        <v>25</v>
      </c>
      <c r="P158" s="4"/>
      <c r="Q158" s="4"/>
      <c r="R158" s="2"/>
      <c r="S158" s="2"/>
      <c r="U158" s="2"/>
      <c r="V158" s="1"/>
      <c r="W158" s="1"/>
      <c r="X158" s="6"/>
    </row>
    <row r="159">
      <c r="A159" s="1" t="s">
        <v>53</v>
      </c>
      <c r="B159" s="2">
        <v>27.0</v>
      </c>
      <c r="C159" s="1" t="s">
        <v>248</v>
      </c>
      <c r="D159" s="2">
        <v>18.0</v>
      </c>
      <c r="E159" s="1" t="s">
        <v>22</v>
      </c>
      <c r="F159" s="3" t="b">
        <v>0</v>
      </c>
      <c r="G159" s="2">
        <v>4.0</v>
      </c>
      <c r="H159" s="2">
        <v>0.0</v>
      </c>
      <c r="I159" s="3" t="b">
        <v>0</v>
      </c>
      <c r="J159" s="2">
        <v>4.0</v>
      </c>
      <c r="K159" s="2">
        <v>7.0</v>
      </c>
      <c r="L159" s="2">
        <v>0.0</v>
      </c>
      <c r="M159" s="2">
        <v>0.0</v>
      </c>
      <c r="N159" s="1" t="s">
        <v>34</v>
      </c>
      <c r="O159" s="1" t="s">
        <v>19</v>
      </c>
      <c r="P159" s="4"/>
      <c r="Q159" s="4"/>
      <c r="R159" s="2"/>
      <c r="S159" s="2"/>
      <c r="U159" s="2"/>
      <c r="V159" s="1"/>
      <c r="W159" s="1"/>
      <c r="X159" s="6"/>
      <c r="Y159" s="6"/>
      <c r="Z159" s="6"/>
    </row>
    <row r="160">
      <c r="A160" s="1" t="s">
        <v>46</v>
      </c>
      <c r="B160" s="2">
        <v>27.0</v>
      </c>
      <c r="C160" s="1" t="s">
        <v>249</v>
      </c>
      <c r="D160" s="2">
        <v>25.0</v>
      </c>
      <c r="E160" s="1" t="s">
        <v>22</v>
      </c>
      <c r="F160" s="3" t="b">
        <v>0</v>
      </c>
      <c r="G160" s="2">
        <v>2.0</v>
      </c>
      <c r="H160" s="2">
        <v>0.0</v>
      </c>
      <c r="I160" s="3" t="b">
        <v>0</v>
      </c>
      <c r="J160" s="2">
        <v>2.0</v>
      </c>
      <c r="K160" s="2">
        <v>6.0</v>
      </c>
      <c r="L160" s="2">
        <v>0.0</v>
      </c>
      <c r="M160" s="2">
        <v>6.0</v>
      </c>
      <c r="N160" s="1" t="s">
        <v>34</v>
      </c>
      <c r="O160" s="1" t="s">
        <v>19</v>
      </c>
      <c r="P160" s="4"/>
      <c r="Q160" s="4"/>
      <c r="R160" s="2"/>
      <c r="S160" s="2"/>
      <c r="U160" s="2"/>
      <c r="V160" s="1"/>
      <c r="W160" s="1"/>
      <c r="X160" s="1"/>
      <c r="Y160" s="6"/>
      <c r="Z160" s="6"/>
    </row>
    <row r="161">
      <c r="A161" s="1" t="s">
        <v>55</v>
      </c>
      <c r="B161" s="2">
        <v>27.0</v>
      </c>
      <c r="C161" s="1" t="s">
        <v>250</v>
      </c>
      <c r="D161" s="2">
        <v>38.0</v>
      </c>
      <c r="E161" s="1" t="s">
        <v>22</v>
      </c>
      <c r="F161" s="3" t="b">
        <v>0</v>
      </c>
      <c r="G161" s="2">
        <v>3.0</v>
      </c>
      <c r="H161" s="2">
        <v>0.0</v>
      </c>
      <c r="I161" s="3" t="b">
        <v>0</v>
      </c>
      <c r="J161" s="2">
        <v>4.0</v>
      </c>
      <c r="K161" s="2">
        <v>13.0</v>
      </c>
      <c r="L161" s="2">
        <v>0.0</v>
      </c>
      <c r="M161" s="2">
        <v>3.0</v>
      </c>
      <c r="N161" s="1" t="s">
        <v>34</v>
      </c>
      <c r="O161" s="1" t="s">
        <v>25</v>
      </c>
      <c r="P161" s="4"/>
      <c r="Q161" s="4"/>
      <c r="R161" s="2"/>
      <c r="S161" s="2"/>
      <c r="U161" s="2"/>
      <c r="V161" s="1"/>
      <c r="W161" s="1"/>
      <c r="X161" s="6"/>
      <c r="Y161" s="6"/>
      <c r="Z161" s="6"/>
    </row>
    <row r="162">
      <c r="A162" s="1" t="s">
        <v>105</v>
      </c>
      <c r="B162" s="2">
        <v>27.0</v>
      </c>
      <c r="C162" s="1" t="s">
        <v>251</v>
      </c>
      <c r="D162" s="2">
        <v>45.0</v>
      </c>
      <c r="E162" s="1" t="s">
        <v>17</v>
      </c>
      <c r="F162" s="3" t="b">
        <v>0</v>
      </c>
      <c r="G162" s="2">
        <v>2.0</v>
      </c>
      <c r="H162" s="2">
        <v>0.0</v>
      </c>
      <c r="I162" s="3" t="b">
        <v>0</v>
      </c>
      <c r="J162" s="2">
        <v>2.0</v>
      </c>
      <c r="K162" s="2">
        <v>9.0</v>
      </c>
      <c r="L162" s="2">
        <v>0.0</v>
      </c>
      <c r="M162" s="2">
        <v>2.0</v>
      </c>
      <c r="N162" s="1" t="s">
        <v>34</v>
      </c>
      <c r="O162" s="1" t="s">
        <v>19</v>
      </c>
      <c r="P162" s="1" t="s">
        <v>252</v>
      </c>
      <c r="R162" s="2"/>
      <c r="S162" s="2"/>
      <c r="U162" s="2"/>
      <c r="V162" s="1"/>
      <c r="W162" s="1"/>
      <c r="X162" s="6"/>
      <c r="Y162" s="6"/>
      <c r="Z162" s="6"/>
    </row>
    <row r="163">
      <c r="A163" s="1" t="s">
        <v>105</v>
      </c>
      <c r="B163" s="2">
        <v>27.0</v>
      </c>
      <c r="C163" s="1" t="s">
        <v>253</v>
      </c>
      <c r="D163" s="2">
        <v>4.0</v>
      </c>
      <c r="E163" s="1" t="s">
        <v>17</v>
      </c>
      <c r="F163" s="3" t="b">
        <v>0</v>
      </c>
      <c r="G163" s="2">
        <v>5.0</v>
      </c>
      <c r="H163" s="2">
        <v>0.0</v>
      </c>
      <c r="I163" s="3" t="b">
        <v>0</v>
      </c>
      <c r="J163" s="2">
        <v>5.0</v>
      </c>
      <c r="K163" s="2">
        <v>7.0</v>
      </c>
      <c r="L163" s="2">
        <v>0.0</v>
      </c>
      <c r="M163" s="2">
        <v>4.0</v>
      </c>
      <c r="N163" s="1" t="s">
        <v>42</v>
      </c>
      <c r="O163" s="1" t="s">
        <v>25</v>
      </c>
      <c r="P163" s="4"/>
      <c r="Q163" s="4"/>
      <c r="R163" s="2"/>
      <c r="S163" s="2"/>
      <c r="U163" s="2"/>
      <c r="V163" s="1"/>
      <c r="W163" s="1"/>
      <c r="X163" s="1"/>
    </row>
    <row r="164">
      <c r="A164" s="1" t="s">
        <v>15</v>
      </c>
      <c r="B164" s="2">
        <v>27.0</v>
      </c>
      <c r="C164" s="1" t="s">
        <v>254</v>
      </c>
      <c r="D164" s="2">
        <v>50.0</v>
      </c>
      <c r="E164" s="1" t="s">
        <v>17</v>
      </c>
      <c r="F164" s="3" t="b">
        <v>0</v>
      </c>
      <c r="G164" s="2">
        <v>1.0</v>
      </c>
      <c r="H164" s="2">
        <v>0.0</v>
      </c>
      <c r="I164" s="3" t="b">
        <v>0</v>
      </c>
      <c r="J164" s="2">
        <v>2.0</v>
      </c>
      <c r="K164" s="2">
        <v>12.0</v>
      </c>
      <c r="L164" s="2">
        <v>0.0</v>
      </c>
      <c r="M164" s="2">
        <v>1.0</v>
      </c>
      <c r="N164" s="1" t="s">
        <v>34</v>
      </c>
      <c r="O164" s="1" t="s">
        <v>19</v>
      </c>
      <c r="P164" s="1" t="s">
        <v>255</v>
      </c>
      <c r="R164" s="2"/>
      <c r="S164" s="2"/>
      <c r="U164" s="2"/>
      <c r="V164" s="1"/>
      <c r="W164" s="1"/>
      <c r="X164" s="6"/>
    </row>
    <row r="165">
      <c r="A165" s="1" t="s">
        <v>118</v>
      </c>
      <c r="B165" s="2">
        <v>27.0</v>
      </c>
      <c r="C165" s="1" t="s">
        <v>256</v>
      </c>
      <c r="D165" s="2">
        <v>57.0</v>
      </c>
      <c r="E165" s="1" t="s">
        <v>22</v>
      </c>
      <c r="F165" s="3" t="b">
        <v>0</v>
      </c>
      <c r="G165" s="2">
        <v>2.0</v>
      </c>
      <c r="H165" s="2">
        <v>0.0</v>
      </c>
      <c r="I165" s="3" t="b">
        <v>0</v>
      </c>
      <c r="J165" s="2">
        <v>2.0</v>
      </c>
      <c r="K165" s="2">
        <v>11.0</v>
      </c>
      <c r="L165" s="2">
        <v>0.0</v>
      </c>
      <c r="M165" s="2">
        <v>1.0</v>
      </c>
      <c r="N165" s="1" t="s">
        <v>34</v>
      </c>
      <c r="O165" s="1" t="s">
        <v>19</v>
      </c>
      <c r="P165" s="1" t="s">
        <v>257</v>
      </c>
      <c r="R165" s="2"/>
      <c r="S165" s="2"/>
      <c r="U165" s="2"/>
      <c r="V165" s="1"/>
      <c r="W165" s="1"/>
      <c r="X165" s="6"/>
    </row>
    <row r="166">
      <c r="A166" s="1" t="s">
        <v>51</v>
      </c>
      <c r="B166" s="2">
        <v>27.0</v>
      </c>
      <c r="C166" s="1" t="s">
        <v>258</v>
      </c>
      <c r="D166" s="2">
        <v>9.0</v>
      </c>
      <c r="E166" s="1" t="s">
        <v>17</v>
      </c>
      <c r="F166" s="3" t="b">
        <v>0</v>
      </c>
      <c r="G166" s="2">
        <v>1.0</v>
      </c>
      <c r="H166" s="2">
        <v>0.0</v>
      </c>
      <c r="I166" s="3" t="b">
        <v>0</v>
      </c>
      <c r="J166" s="2">
        <v>1.0</v>
      </c>
      <c r="K166" s="2">
        <v>10.0</v>
      </c>
      <c r="L166" s="2">
        <v>0.0</v>
      </c>
      <c r="M166" s="2">
        <v>1.0</v>
      </c>
      <c r="N166" s="1" t="s">
        <v>34</v>
      </c>
      <c r="O166" s="1" t="s">
        <v>19</v>
      </c>
      <c r="P166" s="1" t="s">
        <v>259</v>
      </c>
      <c r="R166" s="2"/>
      <c r="S166" s="2"/>
      <c r="U166" s="2"/>
      <c r="V166" s="1"/>
      <c r="W166" s="1"/>
      <c r="X166" s="6"/>
    </row>
    <row r="167">
      <c r="A167" s="1" t="s">
        <v>37</v>
      </c>
      <c r="B167" s="2">
        <v>3175.0</v>
      </c>
      <c r="C167" s="1" t="s">
        <v>260</v>
      </c>
      <c r="D167" s="2">
        <v>14.0</v>
      </c>
      <c r="E167" s="1" t="s">
        <v>17</v>
      </c>
      <c r="F167" s="3" t="b">
        <v>1</v>
      </c>
      <c r="G167" s="2">
        <v>2.0</v>
      </c>
      <c r="H167" s="2">
        <v>0.0</v>
      </c>
      <c r="I167" s="3" t="b">
        <v>0</v>
      </c>
      <c r="J167" s="2">
        <v>2.0</v>
      </c>
      <c r="K167" s="2">
        <v>7.0</v>
      </c>
      <c r="L167" s="2">
        <v>0.0</v>
      </c>
      <c r="M167" s="2">
        <v>1.0</v>
      </c>
      <c r="N167" s="1" t="s">
        <v>39</v>
      </c>
      <c r="O167" s="1" t="s">
        <v>19</v>
      </c>
      <c r="P167" s="1" t="s">
        <v>261</v>
      </c>
      <c r="R167" s="2"/>
      <c r="S167" s="2"/>
      <c r="U167" s="2"/>
      <c r="V167" s="1"/>
      <c r="W167" s="1"/>
      <c r="X167" s="1"/>
    </row>
    <row r="168">
      <c r="A168" s="1" t="s">
        <v>105</v>
      </c>
      <c r="B168" s="2">
        <v>3175.0</v>
      </c>
      <c r="C168" s="1" t="s">
        <v>262</v>
      </c>
      <c r="D168" s="2">
        <v>21.0</v>
      </c>
      <c r="E168" s="1" t="s">
        <v>17</v>
      </c>
      <c r="F168" s="3" t="b">
        <v>0</v>
      </c>
      <c r="G168" s="2">
        <v>3.0</v>
      </c>
      <c r="H168" s="2">
        <v>0.0</v>
      </c>
      <c r="I168" s="3" t="b">
        <v>0</v>
      </c>
      <c r="J168" s="2">
        <v>4.0</v>
      </c>
      <c r="K168" s="2">
        <v>4.0</v>
      </c>
      <c r="L168" s="2">
        <v>0.0</v>
      </c>
      <c r="M168" s="2">
        <v>1.0</v>
      </c>
      <c r="N168" s="1" t="s">
        <v>28</v>
      </c>
      <c r="O168" s="1" t="s">
        <v>19</v>
      </c>
      <c r="P168" s="1" t="s">
        <v>263</v>
      </c>
      <c r="R168" s="2"/>
      <c r="S168" s="2"/>
      <c r="U168" s="2"/>
      <c r="V168" s="1"/>
      <c r="W168" s="1"/>
      <c r="X168" s="6"/>
    </row>
    <row r="169">
      <c r="A169" s="1" t="s">
        <v>23</v>
      </c>
      <c r="B169" s="2">
        <v>3175.0</v>
      </c>
      <c r="C169" s="1" t="s">
        <v>264</v>
      </c>
      <c r="D169" s="2">
        <v>26.0</v>
      </c>
      <c r="E169" s="1" t="s">
        <v>17</v>
      </c>
      <c r="F169" s="3" t="b">
        <v>0</v>
      </c>
      <c r="G169" s="2">
        <v>0.0</v>
      </c>
      <c r="H169" s="2">
        <v>0.0</v>
      </c>
      <c r="I169" s="3" t="b">
        <v>0</v>
      </c>
      <c r="J169" s="2">
        <v>1.0</v>
      </c>
      <c r="K169" s="2">
        <v>5.0</v>
      </c>
      <c r="L169" s="2">
        <v>0.0</v>
      </c>
      <c r="M169" s="2">
        <v>1.0</v>
      </c>
      <c r="N169" s="1" t="s">
        <v>39</v>
      </c>
      <c r="O169" s="1" t="s">
        <v>25</v>
      </c>
      <c r="P169" s="1" t="s">
        <v>265</v>
      </c>
      <c r="R169" s="2"/>
      <c r="S169" s="2"/>
      <c r="U169" s="2"/>
      <c r="V169" s="1"/>
      <c r="W169" s="1"/>
      <c r="X169" s="6"/>
    </row>
    <row r="170">
      <c r="A170" s="1" t="s">
        <v>20</v>
      </c>
      <c r="B170" s="2">
        <v>3175.0</v>
      </c>
      <c r="C170" s="1" t="s">
        <v>266</v>
      </c>
      <c r="D170" s="2">
        <v>39.0</v>
      </c>
      <c r="E170" s="1" t="s">
        <v>22</v>
      </c>
      <c r="F170" s="3" t="b">
        <v>0</v>
      </c>
      <c r="G170" s="2">
        <v>0.0</v>
      </c>
      <c r="H170" s="2">
        <v>0.0</v>
      </c>
      <c r="I170" s="3" t="b">
        <v>0</v>
      </c>
      <c r="J170" s="2">
        <v>0.0</v>
      </c>
      <c r="K170" s="2">
        <v>0.0</v>
      </c>
      <c r="L170" s="2">
        <v>0.0</v>
      </c>
      <c r="M170" s="2">
        <v>0.0</v>
      </c>
      <c r="N170" s="1" t="s">
        <v>28</v>
      </c>
      <c r="O170" s="1" t="s">
        <v>19</v>
      </c>
      <c r="P170" s="4"/>
      <c r="Q170" s="4"/>
      <c r="R170" s="2"/>
      <c r="S170" s="2"/>
      <c r="U170" s="2"/>
      <c r="V170" s="1"/>
      <c r="W170" s="1"/>
      <c r="X170" s="6"/>
    </row>
    <row r="171">
      <c r="A171" s="1" t="s">
        <v>112</v>
      </c>
      <c r="B171" s="2">
        <v>3175.0</v>
      </c>
      <c r="C171" s="1" t="s">
        <v>267</v>
      </c>
      <c r="D171" s="2">
        <v>47.0</v>
      </c>
      <c r="E171" s="1" t="s">
        <v>22</v>
      </c>
      <c r="F171" s="3" t="b">
        <v>0</v>
      </c>
      <c r="G171" s="2">
        <v>1.0</v>
      </c>
      <c r="H171" s="2">
        <v>0.0</v>
      </c>
      <c r="I171" s="3" t="b">
        <v>0</v>
      </c>
      <c r="J171" s="2">
        <v>1.0</v>
      </c>
      <c r="K171" s="2">
        <v>7.0</v>
      </c>
      <c r="L171" s="2">
        <v>0.0</v>
      </c>
      <c r="M171" s="2">
        <v>2.0</v>
      </c>
      <c r="N171" s="1" t="s">
        <v>39</v>
      </c>
      <c r="O171" s="1" t="s">
        <v>19</v>
      </c>
      <c r="P171" s="4"/>
      <c r="Q171" s="4"/>
      <c r="R171" s="2"/>
      <c r="S171" s="2"/>
      <c r="U171" s="2"/>
      <c r="V171" s="1"/>
      <c r="W171" s="1"/>
      <c r="X171" s="1"/>
    </row>
    <row r="172">
      <c r="A172" s="1" t="s">
        <v>51</v>
      </c>
      <c r="B172" s="2">
        <v>3175.0</v>
      </c>
      <c r="C172" s="1" t="s">
        <v>268</v>
      </c>
      <c r="D172" s="2">
        <v>52.0</v>
      </c>
      <c r="E172" s="1" t="s">
        <v>17</v>
      </c>
      <c r="F172" s="3" t="b">
        <v>0</v>
      </c>
      <c r="G172" s="2">
        <v>1.0</v>
      </c>
      <c r="H172" s="2">
        <v>0.0</v>
      </c>
      <c r="I172" s="3" t="b">
        <v>0</v>
      </c>
      <c r="J172" s="2">
        <v>2.0</v>
      </c>
      <c r="K172" s="2">
        <v>2.0</v>
      </c>
      <c r="L172" s="2">
        <v>0.0</v>
      </c>
      <c r="M172" s="2">
        <v>1.0</v>
      </c>
      <c r="N172" s="1" t="s">
        <v>39</v>
      </c>
      <c r="O172" s="1" t="s">
        <v>19</v>
      </c>
      <c r="P172" s="4"/>
      <c r="Q172" s="4"/>
      <c r="R172" s="2"/>
      <c r="S172" s="2"/>
      <c r="U172" s="2"/>
      <c r="V172" s="1"/>
      <c r="W172" s="1"/>
      <c r="X172" s="6"/>
    </row>
    <row r="173">
      <c r="A173" s="1" t="s">
        <v>43</v>
      </c>
      <c r="B173" s="2">
        <v>3175.0</v>
      </c>
      <c r="C173" s="1" t="s">
        <v>269</v>
      </c>
      <c r="D173" s="2">
        <v>57.0</v>
      </c>
      <c r="E173" s="1" t="s">
        <v>17</v>
      </c>
      <c r="F173" s="3" t="b">
        <v>0</v>
      </c>
      <c r="G173" s="2">
        <v>1.0</v>
      </c>
      <c r="H173" s="2">
        <v>0.0</v>
      </c>
      <c r="I173" s="3" t="b">
        <v>0</v>
      </c>
      <c r="J173" s="2">
        <v>1.0</v>
      </c>
      <c r="K173" s="2">
        <v>0.0</v>
      </c>
      <c r="L173" s="2">
        <v>0.0</v>
      </c>
      <c r="M173" s="2">
        <v>0.0</v>
      </c>
      <c r="N173" s="1" t="s">
        <v>39</v>
      </c>
      <c r="O173" s="1" t="s">
        <v>25</v>
      </c>
      <c r="P173" s="1" t="s">
        <v>270</v>
      </c>
      <c r="R173" s="2"/>
      <c r="S173" s="2"/>
      <c r="U173" s="2"/>
      <c r="V173" s="1"/>
      <c r="W173" s="1"/>
      <c r="X173" s="6"/>
    </row>
    <row r="174">
      <c r="A174" s="1" t="s">
        <v>26</v>
      </c>
      <c r="B174" s="2">
        <v>3175.0</v>
      </c>
      <c r="C174" s="1" t="s">
        <v>271</v>
      </c>
      <c r="D174" s="2">
        <v>8.0</v>
      </c>
      <c r="E174" s="1" t="s">
        <v>22</v>
      </c>
      <c r="F174" s="3" t="b">
        <v>0</v>
      </c>
      <c r="G174" s="2">
        <v>2.0</v>
      </c>
      <c r="H174" s="2">
        <v>0.0</v>
      </c>
      <c r="I174" s="3" t="b">
        <v>0</v>
      </c>
      <c r="J174" s="2">
        <v>2.0</v>
      </c>
      <c r="K174" s="2">
        <v>13.0</v>
      </c>
      <c r="L174" s="2">
        <v>0.0</v>
      </c>
      <c r="M174" s="2">
        <v>3.0</v>
      </c>
      <c r="N174" s="1" t="s">
        <v>39</v>
      </c>
      <c r="O174" s="1" t="s">
        <v>25</v>
      </c>
      <c r="P174" s="4"/>
      <c r="Q174" s="4"/>
      <c r="R174" s="2"/>
      <c r="S174" s="2"/>
      <c r="U174" s="2"/>
      <c r="V174" s="1"/>
      <c r="W174" s="1"/>
      <c r="X174" s="6"/>
    </row>
    <row r="175">
      <c r="A175" s="1" t="s">
        <v>20</v>
      </c>
      <c r="B175" s="2">
        <v>3176.0</v>
      </c>
      <c r="C175" s="1" t="s">
        <v>272</v>
      </c>
      <c r="D175" s="2">
        <v>11.0</v>
      </c>
      <c r="E175" s="1" t="s">
        <v>22</v>
      </c>
      <c r="F175" s="3" t="b">
        <v>1</v>
      </c>
      <c r="G175" s="2">
        <v>2.0</v>
      </c>
      <c r="H175" s="2">
        <v>0.0</v>
      </c>
      <c r="I175" s="3" t="b">
        <v>0</v>
      </c>
      <c r="J175" s="2">
        <v>2.0</v>
      </c>
      <c r="K175" s="2">
        <v>4.0</v>
      </c>
      <c r="L175" s="2">
        <v>0.0</v>
      </c>
      <c r="M175" s="2">
        <v>0.0</v>
      </c>
      <c r="N175" s="1" t="s">
        <v>39</v>
      </c>
      <c r="O175" s="1" t="s">
        <v>25</v>
      </c>
      <c r="P175" s="1" t="s">
        <v>273</v>
      </c>
      <c r="R175" s="2"/>
      <c r="S175" s="2"/>
      <c r="U175" s="2"/>
      <c r="V175" s="1"/>
      <c r="W175" s="1"/>
      <c r="X175" s="1"/>
    </row>
    <row r="176">
      <c r="A176" s="1" t="s">
        <v>46</v>
      </c>
      <c r="B176" s="2">
        <v>3176.0</v>
      </c>
      <c r="C176" s="1" t="s">
        <v>274</v>
      </c>
      <c r="D176" s="2">
        <v>24.0</v>
      </c>
      <c r="E176" s="1" t="s">
        <v>22</v>
      </c>
      <c r="F176" s="3" t="b">
        <v>0</v>
      </c>
      <c r="G176" s="2">
        <v>1.0</v>
      </c>
      <c r="H176" s="2">
        <v>0.0</v>
      </c>
      <c r="I176" s="3" t="b">
        <v>0</v>
      </c>
      <c r="J176" s="2">
        <v>1.0</v>
      </c>
      <c r="K176" s="2">
        <v>0.0</v>
      </c>
      <c r="L176" s="2">
        <v>0.0</v>
      </c>
      <c r="M176" s="2">
        <v>0.0</v>
      </c>
      <c r="N176" s="1" t="s">
        <v>39</v>
      </c>
      <c r="O176" s="1" t="s">
        <v>19</v>
      </c>
      <c r="P176" s="1" t="s">
        <v>275</v>
      </c>
      <c r="R176" s="2"/>
      <c r="S176" s="2"/>
      <c r="U176" s="2"/>
      <c r="V176" s="1"/>
      <c r="W176" s="1"/>
      <c r="X176" s="6"/>
    </row>
    <row r="177">
      <c r="A177" s="1" t="s">
        <v>77</v>
      </c>
      <c r="B177" s="2">
        <v>3176.0</v>
      </c>
      <c r="C177" s="1" t="s">
        <v>276</v>
      </c>
      <c r="D177" s="2">
        <v>32.0</v>
      </c>
      <c r="E177" s="1" t="s">
        <v>22</v>
      </c>
      <c r="F177" s="3" t="b">
        <v>0</v>
      </c>
      <c r="G177" s="2">
        <v>1.0</v>
      </c>
      <c r="H177" s="2">
        <v>0.0</v>
      </c>
      <c r="I177" s="3" t="b">
        <v>0</v>
      </c>
      <c r="J177" s="2">
        <v>2.0</v>
      </c>
      <c r="K177" s="2">
        <v>10.0</v>
      </c>
      <c r="L177" s="2">
        <v>0.0</v>
      </c>
      <c r="M177" s="2">
        <v>0.0</v>
      </c>
      <c r="N177" s="1" t="s">
        <v>32</v>
      </c>
      <c r="O177" s="1" t="s">
        <v>25</v>
      </c>
      <c r="P177" s="4"/>
      <c r="Q177" s="4"/>
      <c r="R177" s="2"/>
      <c r="S177" s="2"/>
      <c r="U177" s="2"/>
      <c r="V177" s="1"/>
      <c r="W177" s="1"/>
      <c r="X177" s="6"/>
    </row>
    <row r="178">
      <c r="A178" s="1" t="s">
        <v>20</v>
      </c>
      <c r="B178" s="2">
        <v>3176.0</v>
      </c>
      <c r="C178" s="1" t="s">
        <v>277</v>
      </c>
      <c r="D178" s="2">
        <v>37.0</v>
      </c>
      <c r="E178" s="1" t="s">
        <v>22</v>
      </c>
      <c r="F178" s="3" t="b">
        <v>0</v>
      </c>
      <c r="G178" s="2">
        <v>2.0</v>
      </c>
      <c r="H178" s="2">
        <v>0.0</v>
      </c>
      <c r="I178" s="3" t="b">
        <v>0</v>
      </c>
      <c r="J178" s="2">
        <v>2.0</v>
      </c>
      <c r="K178" s="2">
        <v>2.0</v>
      </c>
      <c r="L178" s="2">
        <v>0.0</v>
      </c>
      <c r="M178" s="2">
        <v>1.0</v>
      </c>
      <c r="N178" s="1" t="s">
        <v>28</v>
      </c>
      <c r="O178" s="1" t="s">
        <v>25</v>
      </c>
      <c r="P178" s="1" t="s">
        <v>278</v>
      </c>
      <c r="R178" s="2"/>
      <c r="S178" s="2"/>
      <c r="U178" s="2"/>
      <c r="V178" s="1"/>
      <c r="W178" s="1"/>
      <c r="X178" s="1"/>
    </row>
    <row r="179">
      <c r="A179" s="1" t="s">
        <v>23</v>
      </c>
      <c r="B179" s="2">
        <v>3176.0</v>
      </c>
      <c r="C179" s="1" t="s">
        <v>279</v>
      </c>
      <c r="D179" s="2">
        <v>47.0</v>
      </c>
      <c r="E179" s="1" t="s">
        <v>17</v>
      </c>
      <c r="F179" s="3" t="b">
        <v>0</v>
      </c>
      <c r="G179" s="2">
        <v>2.0</v>
      </c>
      <c r="H179" s="2">
        <v>0.0</v>
      </c>
      <c r="I179" s="3" t="b">
        <v>0</v>
      </c>
      <c r="J179" s="2">
        <v>2.0</v>
      </c>
      <c r="K179" s="2">
        <v>9.0</v>
      </c>
      <c r="L179" s="2">
        <v>0.0</v>
      </c>
      <c r="M179" s="2">
        <v>0.0</v>
      </c>
      <c r="N179" s="1" t="s">
        <v>32</v>
      </c>
      <c r="O179" s="1" t="s">
        <v>25</v>
      </c>
      <c r="P179" s="4"/>
      <c r="Q179" s="4"/>
      <c r="R179" s="2"/>
      <c r="S179" s="2"/>
      <c r="U179" s="2"/>
      <c r="V179" s="1"/>
      <c r="W179" s="1"/>
      <c r="X179" s="6"/>
    </row>
    <row r="180">
      <c r="A180" s="1" t="s">
        <v>15</v>
      </c>
      <c r="B180" s="2">
        <v>3176.0</v>
      </c>
      <c r="C180" s="1" t="s">
        <v>280</v>
      </c>
      <c r="D180" s="2">
        <v>4.0</v>
      </c>
      <c r="E180" s="1" t="s">
        <v>17</v>
      </c>
      <c r="F180" s="3" t="b">
        <v>0</v>
      </c>
      <c r="G180" s="2">
        <v>1.0</v>
      </c>
      <c r="H180" s="2">
        <v>0.0</v>
      </c>
      <c r="I180" s="3" t="b">
        <v>0</v>
      </c>
      <c r="J180" s="2">
        <v>1.0</v>
      </c>
      <c r="K180" s="2">
        <v>3.0</v>
      </c>
      <c r="L180" s="2">
        <v>0.0</v>
      </c>
      <c r="M180" s="2">
        <v>7.0</v>
      </c>
      <c r="N180" s="1" t="s">
        <v>39</v>
      </c>
      <c r="O180" s="1" t="s">
        <v>25</v>
      </c>
      <c r="P180" s="1" t="s">
        <v>281</v>
      </c>
      <c r="R180" s="2"/>
      <c r="S180" s="2"/>
      <c r="U180" s="2"/>
      <c r="V180" s="1"/>
      <c r="W180" s="1"/>
      <c r="X180" s="6"/>
    </row>
    <row r="181">
      <c r="A181" s="1" t="s">
        <v>51</v>
      </c>
      <c r="B181" s="2">
        <v>3176.0</v>
      </c>
      <c r="C181" s="1" t="s">
        <v>282</v>
      </c>
      <c r="D181" s="2">
        <v>55.0</v>
      </c>
      <c r="E181" s="1" t="s">
        <v>17</v>
      </c>
      <c r="F181" s="3" t="b">
        <v>0</v>
      </c>
      <c r="G181" s="2">
        <v>0.0</v>
      </c>
      <c r="H181" s="2">
        <v>0.0</v>
      </c>
      <c r="I181" s="3" t="b">
        <v>0</v>
      </c>
      <c r="J181" s="2">
        <v>1.0</v>
      </c>
      <c r="K181" s="2">
        <v>6.0</v>
      </c>
      <c r="L181" s="2">
        <v>0.0</v>
      </c>
      <c r="M181" s="2">
        <v>1.0</v>
      </c>
      <c r="N181" s="1" t="s">
        <v>32</v>
      </c>
      <c r="O181" s="1" t="s">
        <v>25</v>
      </c>
      <c r="P181" s="4"/>
      <c r="Q181" s="4"/>
      <c r="R181" s="2"/>
      <c r="S181" s="2"/>
      <c r="U181" s="2"/>
      <c r="V181" s="1"/>
      <c r="W181" s="1"/>
      <c r="X181" s="1"/>
    </row>
    <row r="182">
      <c r="A182" s="1" t="s">
        <v>26</v>
      </c>
      <c r="B182" s="2">
        <v>3176.0</v>
      </c>
      <c r="C182" s="1" t="s">
        <v>283</v>
      </c>
      <c r="D182" s="2">
        <v>60.0</v>
      </c>
      <c r="E182" s="1" t="s">
        <v>22</v>
      </c>
      <c r="F182" s="3" t="b">
        <v>0</v>
      </c>
      <c r="G182" s="2">
        <v>3.0</v>
      </c>
      <c r="H182" s="2">
        <v>0.0</v>
      </c>
      <c r="I182" s="3" t="b">
        <v>0</v>
      </c>
      <c r="J182" s="2">
        <v>3.0</v>
      </c>
      <c r="K182" s="2">
        <v>10.0</v>
      </c>
      <c r="L182" s="2">
        <v>2.0</v>
      </c>
      <c r="M182" s="2">
        <v>2.0</v>
      </c>
      <c r="N182" s="1" t="s">
        <v>39</v>
      </c>
      <c r="O182" s="1" t="s">
        <v>25</v>
      </c>
      <c r="P182" s="4"/>
      <c r="Q182" s="4"/>
      <c r="R182" s="2"/>
      <c r="S182" s="2"/>
      <c r="U182" s="2"/>
      <c r="V182" s="1"/>
      <c r="W182" s="1"/>
      <c r="X182" s="6"/>
    </row>
    <row r="183">
      <c r="A183" s="1" t="s">
        <v>53</v>
      </c>
      <c r="B183" s="2">
        <v>325.0</v>
      </c>
      <c r="C183" s="1" t="s">
        <v>284</v>
      </c>
      <c r="D183" s="2">
        <v>10.0</v>
      </c>
      <c r="E183" s="1" t="s">
        <v>22</v>
      </c>
      <c r="F183" s="3" t="b">
        <v>0</v>
      </c>
      <c r="G183" s="2">
        <v>2.0</v>
      </c>
      <c r="H183" s="2">
        <v>0.0</v>
      </c>
      <c r="I183" s="3" t="b">
        <v>0</v>
      </c>
      <c r="J183" s="2">
        <v>2.0</v>
      </c>
      <c r="K183" s="2">
        <v>0.0</v>
      </c>
      <c r="L183" s="2">
        <v>0.0</v>
      </c>
      <c r="M183" s="2">
        <v>0.0</v>
      </c>
      <c r="N183" s="1" t="s">
        <v>39</v>
      </c>
      <c r="O183" s="1" t="s">
        <v>19</v>
      </c>
      <c r="P183" s="1" t="s">
        <v>285</v>
      </c>
      <c r="R183" s="2"/>
      <c r="S183" s="2"/>
      <c r="U183" s="2"/>
      <c r="V183" s="1"/>
      <c r="W183" s="1"/>
      <c r="X183" s="6"/>
    </row>
    <row r="184">
      <c r="A184" s="1" t="s">
        <v>20</v>
      </c>
      <c r="B184" s="2">
        <v>325.0</v>
      </c>
      <c r="C184" s="1" t="s">
        <v>286</v>
      </c>
      <c r="D184" s="2">
        <v>19.0</v>
      </c>
      <c r="E184" s="1" t="s">
        <v>22</v>
      </c>
      <c r="F184" s="3" t="b">
        <v>0</v>
      </c>
      <c r="G184" s="2">
        <v>2.0</v>
      </c>
      <c r="H184" s="2">
        <v>0.0</v>
      </c>
      <c r="I184" s="3" t="b">
        <v>0</v>
      </c>
      <c r="J184" s="2">
        <v>2.0</v>
      </c>
      <c r="K184" s="2">
        <v>0.0</v>
      </c>
      <c r="L184" s="2">
        <v>0.0</v>
      </c>
      <c r="M184" s="2">
        <v>0.0</v>
      </c>
      <c r="N184" s="1" t="s">
        <v>39</v>
      </c>
      <c r="O184" s="1" t="s">
        <v>25</v>
      </c>
      <c r="P184" s="4"/>
      <c r="Q184" s="4"/>
      <c r="R184" s="2"/>
      <c r="S184" s="2"/>
      <c r="U184" s="2"/>
      <c r="V184" s="1"/>
      <c r="W184" s="1"/>
      <c r="X184" s="6"/>
    </row>
    <row r="185">
      <c r="A185" s="1" t="s">
        <v>15</v>
      </c>
      <c r="B185" s="2">
        <v>325.0</v>
      </c>
      <c r="C185" s="1" t="s">
        <v>287</v>
      </c>
      <c r="D185" s="2">
        <v>25.0</v>
      </c>
      <c r="E185" s="1" t="s">
        <v>17</v>
      </c>
      <c r="F185" s="3" t="b">
        <v>0</v>
      </c>
      <c r="G185" s="2">
        <v>2.0</v>
      </c>
      <c r="H185" s="2">
        <v>0.0</v>
      </c>
      <c r="I185" s="3" t="b">
        <v>0</v>
      </c>
      <c r="J185" s="2">
        <v>2.0</v>
      </c>
      <c r="K185" s="2">
        <v>0.0</v>
      </c>
      <c r="L185" s="2">
        <v>0.0</v>
      </c>
      <c r="M185" s="2">
        <v>0.0</v>
      </c>
      <c r="N185" s="1" t="s">
        <v>39</v>
      </c>
      <c r="O185" s="1" t="s">
        <v>25</v>
      </c>
      <c r="P185" s="1" t="s">
        <v>288</v>
      </c>
      <c r="Q185" s="4"/>
      <c r="R185" s="2"/>
      <c r="S185" s="2"/>
      <c r="U185" s="2"/>
      <c r="V185" s="1"/>
      <c r="W185" s="1"/>
      <c r="X185" s="6"/>
    </row>
    <row r="186">
      <c r="A186" s="1" t="s">
        <v>15</v>
      </c>
      <c r="B186" s="2">
        <v>325.0</v>
      </c>
      <c r="C186" s="1" t="s">
        <v>289</v>
      </c>
      <c r="D186" s="2">
        <v>2.0</v>
      </c>
      <c r="E186" s="1" t="s">
        <v>17</v>
      </c>
      <c r="F186" s="3" t="b">
        <v>0</v>
      </c>
      <c r="G186" s="2">
        <v>1.0</v>
      </c>
      <c r="H186" s="2">
        <v>0.0</v>
      </c>
      <c r="I186" s="3" t="b">
        <v>0</v>
      </c>
      <c r="J186" s="2">
        <v>1.0</v>
      </c>
      <c r="K186" s="2">
        <v>3.0</v>
      </c>
      <c r="L186" s="2">
        <v>0.0</v>
      </c>
      <c r="M186" s="2">
        <v>2.0</v>
      </c>
      <c r="N186" s="1" t="s">
        <v>39</v>
      </c>
      <c r="O186" s="1" t="s">
        <v>25</v>
      </c>
      <c r="P186" s="1" t="s">
        <v>290</v>
      </c>
      <c r="R186" s="2"/>
      <c r="S186" s="2"/>
      <c r="U186" s="2"/>
      <c r="V186" s="1"/>
      <c r="W186" s="1"/>
      <c r="X186" s="6"/>
    </row>
    <row r="187">
      <c r="A187" s="1" t="s">
        <v>23</v>
      </c>
      <c r="B187" s="2">
        <v>325.0</v>
      </c>
      <c r="C187" s="1" t="s">
        <v>291</v>
      </c>
      <c r="D187" s="2">
        <v>33.0</v>
      </c>
      <c r="E187" s="1" t="s">
        <v>17</v>
      </c>
      <c r="F187" s="3" t="b">
        <v>0</v>
      </c>
      <c r="G187" s="2">
        <v>1.0</v>
      </c>
      <c r="H187" s="2">
        <v>0.0</v>
      </c>
      <c r="I187" s="3" t="b">
        <v>0</v>
      </c>
      <c r="J187" s="2">
        <v>1.0</v>
      </c>
      <c r="K187" s="2">
        <v>0.0</v>
      </c>
      <c r="L187" s="2">
        <v>0.0</v>
      </c>
      <c r="M187" s="2">
        <v>0.0</v>
      </c>
      <c r="N187" s="1" t="s">
        <v>39</v>
      </c>
      <c r="O187" s="1" t="s">
        <v>25</v>
      </c>
      <c r="P187" s="1" t="s">
        <v>229</v>
      </c>
      <c r="Q187" s="4"/>
      <c r="R187" s="2"/>
      <c r="S187" s="2"/>
      <c r="U187" s="2"/>
      <c r="V187" s="1"/>
      <c r="W187" s="1"/>
      <c r="X187" s="6"/>
    </row>
    <row r="188">
      <c r="A188" s="1" t="s">
        <v>49</v>
      </c>
      <c r="B188" s="2">
        <v>325.0</v>
      </c>
      <c r="C188" s="1" t="s">
        <v>292</v>
      </c>
      <c r="D188" s="2">
        <v>41.0</v>
      </c>
      <c r="E188" s="1" t="s">
        <v>22</v>
      </c>
      <c r="F188" s="3" t="b">
        <v>0</v>
      </c>
      <c r="G188" s="2">
        <v>1.0</v>
      </c>
      <c r="H188" s="2">
        <v>0.0</v>
      </c>
      <c r="I188" s="3" t="b">
        <v>0</v>
      </c>
      <c r="J188" s="2">
        <v>2.0</v>
      </c>
      <c r="K188" s="2">
        <v>0.0</v>
      </c>
      <c r="L188" s="2">
        <v>0.0</v>
      </c>
      <c r="M188" s="2">
        <v>0.0</v>
      </c>
      <c r="N188" s="1" t="s">
        <v>32</v>
      </c>
      <c r="O188" s="1" t="s">
        <v>19</v>
      </c>
      <c r="P188" s="1" t="s">
        <v>293</v>
      </c>
      <c r="R188" s="2"/>
      <c r="S188" s="2"/>
      <c r="U188" s="2"/>
      <c r="V188" s="1"/>
      <c r="W188" s="1"/>
      <c r="X188" s="6"/>
    </row>
    <row r="189">
      <c r="A189" s="1" t="s">
        <v>15</v>
      </c>
      <c r="B189" s="2">
        <v>325.0</v>
      </c>
      <c r="C189" s="1" t="s">
        <v>294</v>
      </c>
      <c r="D189" s="2">
        <v>56.0</v>
      </c>
      <c r="E189" s="1" t="s">
        <v>17</v>
      </c>
      <c r="F189" s="3" t="b">
        <v>1</v>
      </c>
      <c r="G189" s="2">
        <v>0.0</v>
      </c>
      <c r="H189" s="2">
        <v>0.0</v>
      </c>
      <c r="I189" s="3" t="b">
        <v>0</v>
      </c>
      <c r="J189" s="2">
        <v>2.0</v>
      </c>
      <c r="K189" s="2">
        <v>0.0</v>
      </c>
      <c r="L189" s="2">
        <v>0.0</v>
      </c>
      <c r="M189" s="7">
        <v>0.0</v>
      </c>
      <c r="N189" s="1" t="s">
        <v>39</v>
      </c>
      <c r="O189" s="1" t="s">
        <v>19</v>
      </c>
      <c r="P189" s="1" t="s">
        <v>295</v>
      </c>
      <c r="R189" s="2"/>
      <c r="S189" s="2"/>
      <c r="U189" s="2"/>
      <c r="V189" s="1"/>
      <c r="W189" s="1"/>
      <c r="X189" s="6"/>
    </row>
    <row r="190">
      <c r="A190" s="1" t="s">
        <v>20</v>
      </c>
      <c r="B190" s="2">
        <v>3357.0</v>
      </c>
      <c r="C190" s="1" t="s">
        <v>296</v>
      </c>
      <c r="D190" s="2">
        <v>13.0</v>
      </c>
      <c r="E190" s="1" t="s">
        <v>22</v>
      </c>
      <c r="F190" s="3" t="b">
        <v>0</v>
      </c>
      <c r="G190" s="2">
        <v>1.0</v>
      </c>
      <c r="H190" s="2">
        <v>0.0</v>
      </c>
      <c r="I190" s="3" t="b">
        <v>0</v>
      </c>
      <c r="J190" s="2">
        <v>2.0</v>
      </c>
      <c r="K190" s="2">
        <v>10.0</v>
      </c>
      <c r="L190" s="2">
        <v>0.0</v>
      </c>
      <c r="M190" s="2">
        <v>2.0</v>
      </c>
      <c r="N190" s="1" t="s">
        <v>34</v>
      </c>
      <c r="O190" s="1" t="s">
        <v>19</v>
      </c>
      <c r="P190" s="4"/>
      <c r="Q190" s="4"/>
      <c r="R190" s="2"/>
      <c r="S190" s="2"/>
      <c r="U190" s="2"/>
      <c r="V190" s="1"/>
      <c r="W190" s="1"/>
      <c r="X190" s="6"/>
    </row>
    <row r="191">
      <c r="A191" s="1" t="s">
        <v>105</v>
      </c>
      <c r="B191" s="2">
        <v>3357.0</v>
      </c>
      <c r="C191" s="1" t="s">
        <v>297</v>
      </c>
      <c r="D191" s="2">
        <v>18.0</v>
      </c>
      <c r="E191" s="1" t="s">
        <v>17</v>
      </c>
      <c r="F191" s="3" t="b">
        <v>0</v>
      </c>
      <c r="G191" s="2">
        <v>2.0</v>
      </c>
      <c r="H191" s="2">
        <v>0.0</v>
      </c>
      <c r="I191" s="3" t="b">
        <v>0</v>
      </c>
      <c r="J191" s="2">
        <v>3.0</v>
      </c>
      <c r="K191" s="2">
        <v>2.0</v>
      </c>
      <c r="L191" s="2">
        <v>1.0</v>
      </c>
      <c r="M191" s="2">
        <v>1.0</v>
      </c>
      <c r="N191" s="1" t="s">
        <v>39</v>
      </c>
      <c r="O191" s="1" t="s">
        <v>25</v>
      </c>
      <c r="P191" s="4"/>
      <c r="Q191" s="4"/>
      <c r="R191" s="2"/>
      <c r="S191" s="2"/>
      <c r="U191" s="2"/>
      <c r="V191" s="1"/>
      <c r="W191" s="1"/>
      <c r="X191" s="1"/>
    </row>
    <row r="192">
      <c r="A192" s="1" t="s">
        <v>37</v>
      </c>
      <c r="B192" s="2">
        <v>3357.0</v>
      </c>
      <c r="C192" s="1" t="s">
        <v>298</v>
      </c>
      <c r="D192" s="2">
        <v>1.0</v>
      </c>
      <c r="E192" s="1" t="s">
        <v>17</v>
      </c>
      <c r="F192" s="3" t="b">
        <v>0</v>
      </c>
      <c r="G192" s="2">
        <v>2.0</v>
      </c>
      <c r="H192" s="2">
        <v>0.0</v>
      </c>
      <c r="I192" s="3" t="b">
        <v>0</v>
      </c>
      <c r="J192" s="2">
        <v>3.0</v>
      </c>
      <c r="K192" s="2">
        <v>7.0</v>
      </c>
      <c r="L192" s="2">
        <v>0.0</v>
      </c>
      <c r="M192" s="2">
        <v>4.0</v>
      </c>
      <c r="N192" s="1" t="s">
        <v>42</v>
      </c>
      <c r="O192" s="1" t="s">
        <v>25</v>
      </c>
      <c r="P192" s="1" t="s">
        <v>299</v>
      </c>
      <c r="R192" s="2"/>
      <c r="S192" s="2"/>
      <c r="U192" s="2"/>
      <c r="V192" s="1"/>
      <c r="W192" s="1"/>
      <c r="X192" s="6"/>
    </row>
    <row r="193">
      <c r="A193" s="1" t="s">
        <v>71</v>
      </c>
      <c r="B193" s="2">
        <v>3357.0</v>
      </c>
      <c r="C193" s="1" t="s">
        <v>300</v>
      </c>
      <c r="D193" s="2">
        <v>30.0</v>
      </c>
      <c r="E193" s="1" t="s">
        <v>22</v>
      </c>
      <c r="F193" s="3" t="b">
        <v>0</v>
      </c>
      <c r="G193" s="2">
        <v>2.0</v>
      </c>
      <c r="H193" s="2">
        <v>0.0</v>
      </c>
      <c r="I193" s="3" t="b">
        <v>0</v>
      </c>
      <c r="J193" s="2">
        <v>2.0</v>
      </c>
      <c r="K193" s="2">
        <v>6.0</v>
      </c>
      <c r="L193" s="2">
        <v>0.0</v>
      </c>
      <c r="M193" s="2">
        <v>2.0</v>
      </c>
      <c r="N193" s="1" t="s">
        <v>34</v>
      </c>
      <c r="O193" s="1" t="s">
        <v>19</v>
      </c>
      <c r="P193" s="4"/>
      <c r="Q193" s="4"/>
      <c r="R193" s="2"/>
      <c r="S193" s="2"/>
      <c r="U193" s="2"/>
      <c r="V193" s="1"/>
      <c r="W193" s="1"/>
      <c r="X193" s="6"/>
    </row>
    <row r="194">
      <c r="A194" s="1" t="s">
        <v>43</v>
      </c>
      <c r="B194" s="2">
        <v>3357.0</v>
      </c>
      <c r="C194" s="1" t="s">
        <v>301</v>
      </c>
      <c r="D194" s="2">
        <v>37.0</v>
      </c>
      <c r="E194" s="1" t="s">
        <v>17</v>
      </c>
      <c r="F194" s="3" t="b">
        <v>0</v>
      </c>
      <c r="G194" s="2">
        <v>1.0</v>
      </c>
      <c r="H194" s="2">
        <v>0.0</v>
      </c>
      <c r="I194" s="3" t="b">
        <v>0</v>
      </c>
      <c r="J194" s="2">
        <v>1.0</v>
      </c>
      <c r="K194" s="2">
        <v>10.0</v>
      </c>
      <c r="L194" s="2">
        <v>0.0</v>
      </c>
      <c r="M194" s="2">
        <v>2.0</v>
      </c>
      <c r="N194" s="1" t="s">
        <v>34</v>
      </c>
      <c r="O194" s="1" t="s">
        <v>19</v>
      </c>
      <c r="P194" s="4"/>
      <c r="Q194" s="4"/>
      <c r="R194" s="2"/>
      <c r="S194" s="2"/>
      <c r="U194" s="2"/>
      <c r="V194" s="1"/>
      <c r="W194" s="1"/>
      <c r="X194" s="6"/>
    </row>
    <row r="195">
      <c r="A195" s="1" t="s">
        <v>15</v>
      </c>
      <c r="B195" s="2">
        <v>3357.0</v>
      </c>
      <c r="C195" s="1" t="s">
        <v>302</v>
      </c>
      <c r="D195" s="2">
        <v>42.0</v>
      </c>
      <c r="E195" s="1" t="s">
        <v>17</v>
      </c>
      <c r="F195" s="3" t="b">
        <v>0</v>
      </c>
      <c r="G195" s="2">
        <v>2.0</v>
      </c>
      <c r="H195" s="2">
        <v>0.0</v>
      </c>
      <c r="I195" s="3" t="b">
        <v>0</v>
      </c>
      <c r="J195" s="2">
        <v>2.0</v>
      </c>
      <c r="K195" s="2">
        <v>7.0</v>
      </c>
      <c r="L195" s="2">
        <v>0.0</v>
      </c>
      <c r="M195" s="2">
        <v>1.0</v>
      </c>
      <c r="N195" s="1" t="s">
        <v>42</v>
      </c>
      <c r="O195" s="1" t="s">
        <v>19</v>
      </c>
      <c r="P195" s="1" t="s">
        <v>303</v>
      </c>
      <c r="R195" s="2"/>
      <c r="S195" s="2"/>
      <c r="U195" s="2"/>
      <c r="V195" s="1"/>
      <c r="W195" s="1"/>
      <c r="X195" s="1"/>
    </row>
    <row r="196">
      <c r="A196" s="1" t="s">
        <v>53</v>
      </c>
      <c r="B196" s="2">
        <v>3357.0</v>
      </c>
      <c r="C196" s="1" t="s">
        <v>304</v>
      </c>
      <c r="D196" s="2">
        <v>51.0</v>
      </c>
      <c r="E196" s="1" t="s">
        <v>22</v>
      </c>
      <c r="F196" s="3" t="b">
        <v>0</v>
      </c>
      <c r="G196" s="2">
        <v>2.0</v>
      </c>
      <c r="H196" s="2">
        <v>0.0</v>
      </c>
      <c r="I196" s="3" t="b">
        <v>0</v>
      </c>
      <c r="J196" s="2">
        <v>2.0</v>
      </c>
      <c r="K196" s="2">
        <v>7.0</v>
      </c>
      <c r="L196" s="2">
        <v>0.0</v>
      </c>
      <c r="M196" s="2">
        <v>3.0</v>
      </c>
      <c r="N196" s="1" t="s">
        <v>34</v>
      </c>
      <c r="O196" s="1" t="s">
        <v>19</v>
      </c>
      <c r="P196" s="4"/>
      <c r="Q196" s="4"/>
      <c r="R196" s="2"/>
      <c r="S196" s="2"/>
      <c r="U196" s="2"/>
      <c r="V196" s="1"/>
      <c r="W196" s="1"/>
      <c r="X196" s="1"/>
    </row>
    <row r="197">
      <c r="A197" s="1" t="s">
        <v>49</v>
      </c>
      <c r="B197" s="2">
        <v>33.0</v>
      </c>
      <c r="C197" s="1" t="s">
        <v>305</v>
      </c>
      <c r="D197" s="2">
        <v>20.0</v>
      </c>
      <c r="E197" s="1" t="s">
        <v>22</v>
      </c>
      <c r="F197" s="3" t="b">
        <v>0</v>
      </c>
      <c r="G197" s="2">
        <v>5.0</v>
      </c>
      <c r="H197" s="2">
        <v>0.0</v>
      </c>
      <c r="I197" s="3" t="b">
        <v>0</v>
      </c>
      <c r="J197" s="2">
        <v>5.0</v>
      </c>
      <c r="K197" s="2">
        <v>16.0</v>
      </c>
      <c r="L197" s="2">
        <v>0.0</v>
      </c>
      <c r="M197" s="2">
        <v>2.0</v>
      </c>
      <c r="N197" s="1" t="s">
        <v>34</v>
      </c>
      <c r="O197" s="1" t="s">
        <v>19</v>
      </c>
      <c r="P197" s="4"/>
      <c r="Q197" s="4"/>
      <c r="R197" s="2"/>
      <c r="S197" s="2"/>
      <c r="U197" s="2"/>
      <c r="V197" s="1"/>
      <c r="W197" s="1"/>
      <c r="X197" s="1"/>
    </row>
    <row r="198">
      <c r="A198" s="1" t="s">
        <v>46</v>
      </c>
      <c r="B198" s="2">
        <v>33.0</v>
      </c>
      <c r="C198" s="1" t="s">
        <v>306</v>
      </c>
      <c r="D198" s="2">
        <v>2.0</v>
      </c>
      <c r="E198" s="1" t="s">
        <v>22</v>
      </c>
      <c r="F198" s="3" t="b">
        <v>0</v>
      </c>
      <c r="G198" s="2">
        <v>1.0</v>
      </c>
      <c r="H198" s="2">
        <v>0.0</v>
      </c>
      <c r="I198" s="3" t="b">
        <v>0</v>
      </c>
      <c r="J198" s="2">
        <v>2.0</v>
      </c>
      <c r="K198" s="2">
        <v>9.0</v>
      </c>
      <c r="L198" s="2">
        <v>0.0</v>
      </c>
      <c r="M198" s="2">
        <v>3.0</v>
      </c>
      <c r="N198" s="1" t="s">
        <v>34</v>
      </c>
      <c r="O198" s="1" t="s">
        <v>19</v>
      </c>
      <c r="P198" s="4"/>
      <c r="Q198" s="4"/>
      <c r="R198" s="2"/>
      <c r="S198" s="2"/>
      <c r="U198" s="2"/>
      <c r="V198" s="1"/>
      <c r="W198" s="1"/>
      <c r="X198" s="6"/>
    </row>
    <row r="199">
      <c r="A199" s="1" t="s">
        <v>101</v>
      </c>
      <c r="B199" s="2">
        <v>33.0</v>
      </c>
      <c r="C199" s="1" t="s">
        <v>307</v>
      </c>
      <c r="D199" s="2">
        <v>30.0</v>
      </c>
      <c r="E199" s="1" t="s">
        <v>22</v>
      </c>
      <c r="F199" s="3" t="b">
        <v>0</v>
      </c>
      <c r="G199" s="2">
        <v>4.0</v>
      </c>
      <c r="H199" s="2">
        <v>0.0</v>
      </c>
      <c r="I199" s="3" t="b">
        <v>0</v>
      </c>
      <c r="J199" s="2">
        <v>4.0</v>
      </c>
      <c r="K199" s="2">
        <v>19.0</v>
      </c>
      <c r="L199" s="2">
        <v>1.0</v>
      </c>
      <c r="M199" s="2">
        <v>1.0</v>
      </c>
      <c r="N199" s="1" t="s">
        <v>39</v>
      </c>
      <c r="O199" s="1" t="s">
        <v>19</v>
      </c>
      <c r="P199" s="4"/>
      <c r="Q199" s="4"/>
      <c r="R199" s="2"/>
      <c r="S199" s="2"/>
      <c r="U199" s="2"/>
      <c r="V199" s="1"/>
      <c r="W199" s="1"/>
      <c r="X199" s="1"/>
    </row>
    <row r="200">
      <c r="A200" s="1" t="s">
        <v>37</v>
      </c>
      <c r="B200" s="2">
        <v>33.0</v>
      </c>
      <c r="C200" s="1" t="s">
        <v>308</v>
      </c>
      <c r="D200" s="2">
        <v>35.0</v>
      </c>
      <c r="E200" s="1" t="s">
        <v>17</v>
      </c>
      <c r="F200" s="3" t="b">
        <v>0</v>
      </c>
      <c r="G200" s="2">
        <v>4.0</v>
      </c>
      <c r="H200" s="2">
        <v>0.0</v>
      </c>
      <c r="I200" s="3" t="b">
        <v>0</v>
      </c>
      <c r="J200" s="2">
        <v>5.0</v>
      </c>
      <c r="K200" s="2">
        <v>21.0</v>
      </c>
      <c r="L200" s="2">
        <v>0.0</v>
      </c>
      <c r="M200" s="2">
        <v>2.0</v>
      </c>
      <c r="N200" s="1" t="s">
        <v>34</v>
      </c>
      <c r="O200" s="1" t="s">
        <v>19</v>
      </c>
      <c r="P200" s="1" t="s">
        <v>309</v>
      </c>
      <c r="R200" s="2"/>
      <c r="S200" s="2"/>
      <c r="U200" s="2"/>
      <c r="V200" s="1"/>
      <c r="W200" s="1"/>
      <c r="X200" s="1"/>
    </row>
    <row r="201">
      <c r="A201" s="1" t="s">
        <v>105</v>
      </c>
      <c r="B201" s="2">
        <v>33.0</v>
      </c>
      <c r="C201" s="1" t="s">
        <v>310</v>
      </c>
      <c r="D201" s="2">
        <v>47.0</v>
      </c>
      <c r="E201" s="1" t="s">
        <v>17</v>
      </c>
      <c r="F201" s="3" t="b">
        <v>0</v>
      </c>
      <c r="G201" s="2">
        <v>4.0</v>
      </c>
      <c r="H201" s="2">
        <v>0.0</v>
      </c>
      <c r="I201" s="3" t="b">
        <v>0</v>
      </c>
      <c r="J201" s="2">
        <v>4.0</v>
      </c>
      <c r="K201" s="2">
        <v>7.0</v>
      </c>
      <c r="L201" s="2">
        <v>0.0</v>
      </c>
      <c r="M201" s="2">
        <v>1.0</v>
      </c>
      <c r="N201" s="1" t="s">
        <v>39</v>
      </c>
      <c r="O201" s="1" t="s">
        <v>25</v>
      </c>
      <c r="P201" s="4"/>
      <c r="Q201" s="4"/>
      <c r="R201" s="2"/>
      <c r="S201" s="2"/>
      <c r="U201" s="2"/>
      <c r="V201" s="1"/>
      <c r="W201" s="1"/>
      <c r="X201" s="6"/>
    </row>
    <row r="202">
      <c r="A202" s="1" t="s">
        <v>55</v>
      </c>
      <c r="B202" s="2">
        <v>33.0</v>
      </c>
      <c r="C202" s="1" t="s">
        <v>311</v>
      </c>
      <c r="D202" s="2">
        <v>55.0</v>
      </c>
      <c r="E202" s="1" t="s">
        <v>22</v>
      </c>
      <c r="F202" s="3" t="b">
        <v>0</v>
      </c>
      <c r="G202" s="2">
        <v>4.0</v>
      </c>
      <c r="H202" s="2">
        <v>0.0</v>
      </c>
      <c r="I202" s="3" t="b">
        <v>0</v>
      </c>
      <c r="J202" s="2">
        <v>5.0</v>
      </c>
      <c r="K202" s="2">
        <v>10.0</v>
      </c>
      <c r="L202" s="2">
        <v>0.0</v>
      </c>
      <c r="M202" s="2">
        <v>8.0</v>
      </c>
      <c r="N202" s="1" t="s">
        <v>39</v>
      </c>
      <c r="O202" s="1" t="s">
        <v>19</v>
      </c>
      <c r="P202" s="4"/>
      <c r="Q202" s="4"/>
      <c r="R202" s="2"/>
      <c r="S202" s="2"/>
      <c r="U202" s="2"/>
      <c r="V202" s="1"/>
      <c r="W202" s="1"/>
      <c r="X202" s="1"/>
    </row>
    <row r="203">
      <c r="A203" s="1" t="s">
        <v>23</v>
      </c>
      <c r="B203" s="2">
        <v>33.0</v>
      </c>
      <c r="C203" s="1" t="s">
        <v>312</v>
      </c>
      <c r="D203" s="2">
        <v>9.0</v>
      </c>
      <c r="E203" s="1" t="s">
        <v>17</v>
      </c>
      <c r="F203" s="3" t="b">
        <v>0</v>
      </c>
      <c r="G203" s="2">
        <v>0.0</v>
      </c>
      <c r="H203" s="2">
        <v>0.0</v>
      </c>
      <c r="I203" s="3" t="b">
        <v>0</v>
      </c>
      <c r="J203" s="2">
        <v>2.0</v>
      </c>
      <c r="K203" s="2">
        <v>12.0</v>
      </c>
      <c r="L203" s="2">
        <v>0.0</v>
      </c>
      <c r="M203" s="2">
        <v>0.0</v>
      </c>
      <c r="N203" s="1" t="s">
        <v>39</v>
      </c>
      <c r="O203" s="1" t="s">
        <v>19</v>
      </c>
      <c r="P203" s="4"/>
      <c r="Q203" s="4"/>
      <c r="R203" s="2"/>
      <c r="S203" s="2"/>
      <c r="U203" s="2"/>
      <c r="V203" s="1"/>
      <c r="W203" s="1"/>
      <c r="X203" s="6"/>
    </row>
    <row r="204">
      <c r="A204" s="1" t="s">
        <v>77</v>
      </c>
      <c r="B204" s="2">
        <v>340.0</v>
      </c>
      <c r="C204" s="1" t="s">
        <v>313</v>
      </c>
      <c r="D204" s="2">
        <v>14.0</v>
      </c>
      <c r="E204" s="1" t="s">
        <v>22</v>
      </c>
      <c r="F204" s="3" t="b">
        <v>0</v>
      </c>
      <c r="G204" s="2">
        <v>2.0</v>
      </c>
      <c r="H204" s="2">
        <v>0.0</v>
      </c>
      <c r="I204" s="3" t="b">
        <v>0</v>
      </c>
      <c r="J204" s="2">
        <v>2.0</v>
      </c>
      <c r="K204" s="2">
        <v>24.0</v>
      </c>
      <c r="L204" s="2">
        <v>0.0</v>
      </c>
      <c r="M204" s="2">
        <v>1.0</v>
      </c>
      <c r="N204" s="1" t="s">
        <v>39</v>
      </c>
      <c r="O204" s="1" t="s">
        <v>25</v>
      </c>
      <c r="P204" s="4"/>
      <c r="Q204" s="4"/>
      <c r="R204" s="2"/>
      <c r="S204" s="2"/>
      <c r="U204" s="2"/>
      <c r="V204" s="1"/>
      <c r="W204" s="1"/>
      <c r="X204" s="1"/>
    </row>
    <row r="205">
      <c r="A205" s="1" t="s">
        <v>15</v>
      </c>
      <c r="B205" s="2">
        <v>340.0</v>
      </c>
      <c r="C205" s="1" t="s">
        <v>314</v>
      </c>
      <c r="D205" s="2">
        <v>22.0</v>
      </c>
      <c r="E205" s="1" t="s">
        <v>17</v>
      </c>
      <c r="F205" s="3" t="b">
        <v>1</v>
      </c>
      <c r="G205" s="2">
        <v>2.0</v>
      </c>
      <c r="H205" s="2">
        <v>0.0</v>
      </c>
      <c r="I205" s="3" t="b">
        <v>0</v>
      </c>
      <c r="J205" s="2">
        <v>2.0</v>
      </c>
      <c r="K205" s="2">
        <v>0.0</v>
      </c>
      <c r="L205" s="2">
        <v>0.0</v>
      </c>
      <c r="M205" s="2">
        <v>0.0</v>
      </c>
      <c r="N205" s="1" t="s">
        <v>39</v>
      </c>
      <c r="O205" s="1" t="s">
        <v>25</v>
      </c>
      <c r="P205" s="1" t="s">
        <v>315</v>
      </c>
      <c r="R205" s="2"/>
      <c r="S205" s="2"/>
      <c r="U205" s="2"/>
      <c r="V205" s="1"/>
      <c r="W205" s="1"/>
      <c r="X205" s="6"/>
    </row>
    <row r="206">
      <c r="A206" s="1" t="s">
        <v>26</v>
      </c>
      <c r="B206" s="2">
        <v>340.0</v>
      </c>
      <c r="C206" s="1" t="s">
        <v>316</v>
      </c>
      <c r="D206" s="2">
        <v>29.0</v>
      </c>
      <c r="E206" s="1" t="s">
        <v>22</v>
      </c>
      <c r="F206" s="3" t="b">
        <v>0</v>
      </c>
      <c r="G206" s="2">
        <v>2.0</v>
      </c>
      <c r="H206" s="2">
        <v>0.0</v>
      </c>
      <c r="I206" s="3" t="b">
        <v>0</v>
      </c>
      <c r="J206" s="2">
        <v>2.0</v>
      </c>
      <c r="K206" s="2">
        <v>14.0</v>
      </c>
      <c r="L206" s="2">
        <v>0.0</v>
      </c>
      <c r="M206" s="2">
        <v>0.0</v>
      </c>
      <c r="N206" s="1" t="s">
        <v>34</v>
      </c>
      <c r="O206" s="1" t="s">
        <v>19</v>
      </c>
      <c r="P206" s="4"/>
      <c r="Q206" s="4"/>
      <c r="R206" s="2"/>
      <c r="S206" s="2"/>
      <c r="U206" s="2"/>
      <c r="V206" s="1"/>
      <c r="W206" s="1"/>
      <c r="X206" s="1"/>
    </row>
    <row r="207">
      <c r="A207" s="1" t="s">
        <v>55</v>
      </c>
      <c r="B207" s="2">
        <v>340.0</v>
      </c>
      <c r="C207" s="1" t="s">
        <v>317</v>
      </c>
      <c r="D207" s="2">
        <v>35.0</v>
      </c>
      <c r="E207" s="1" t="s">
        <v>22</v>
      </c>
      <c r="F207" s="3" t="b">
        <v>0</v>
      </c>
      <c r="G207" s="2">
        <v>3.0</v>
      </c>
      <c r="H207" s="2">
        <v>0.0</v>
      </c>
      <c r="I207" s="3" t="b">
        <v>0</v>
      </c>
      <c r="J207" s="2">
        <v>3.0</v>
      </c>
      <c r="K207" s="2">
        <v>6.0</v>
      </c>
      <c r="L207" s="2">
        <v>0.0</v>
      </c>
      <c r="M207" s="2">
        <v>0.0</v>
      </c>
      <c r="N207" s="1" t="s">
        <v>34</v>
      </c>
      <c r="O207" s="1" t="s">
        <v>25</v>
      </c>
      <c r="P207" s="4"/>
      <c r="Q207" s="4"/>
      <c r="R207" s="2"/>
      <c r="S207" s="2"/>
      <c r="U207" s="2"/>
      <c r="V207" s="1"/>
      <c r="W207" s="1"/>
      <c r="X207" s="6"/>
    </row>
    <row r="208">
      <c r="A208" s="1" t="s">
        <v>77</v>
      </c>
      <c r="B208" s="2">
        <v>340.0</v>
      </c>
      <c r="C208" s="1" t="s">
        <v>318</v>
      </c>
      <c r="D208" s="2">
        <v>41.0</v>
      </c>
      <c r="E208" s="1" t="s">
        <v>22</v>
      </c>
      <c r="F208" s="3" t="b">
        <v>0</v>
      </c>
      <c r="G208" s="2">
        <v>2.0</v>
      </c>
      <c r="H208" s="2">
        <v>0.0</v>
      </c>
      <c r="I208" s="3" t="b">
        <v>0</v>
      </c>
      <c r="J208" s="2">
        <v>2.0</v>
      </c>
      <c r="K208" s="2">
        <v>11.0</v>
      </c>
      <c r="L208" s="2">
        <v>0.0</v>
      </c>
      <c r="M208" s="2">
        <v>1.0</v>
      </c>
      <c r="N208" s="1" t="s">
        <v>34</v>
      </c>
      <c r="O208" s="1" t="s">
        <v>19</v>
      </c>
      <c r="P208" s="4"/>
      <c r="Q208" s="4"/>
      <c r="R208" s="2"/>
      <c r="S208" s="2"/>
      <c r="U208" s="2"/>
      <c r="V208" s="1"/>
      <c r="W208" s="1"/>
      <c r="X208" s="6"/>
      <c r="Y208" s="6"/>
      <c r="Z208" s="6"/>
    </row>
    <row r="209">
      <c r="A209" s="1" t="s">
        <v>26</v>
      </c>
      <c r="B209" s="2">
        <v>340.0</v>
      </c>
      <c r="C209" s="1" t="s">
        <v>319</v>
      </c>
      <c r="D209" s="2">
        <v>50.0</v>
      </c>
      <c r="E209" s="1" t="s">
        <v>22</v>
      </c>
      <c r="F209" s="3" t="b">
        <v>0</v>
      </c>
      <c r="G209" s="2">
        <v>0.0</v>
      </c>
      <c r="H209" s="2">
        <v>0.0</v>
      </c>
      <c r="I209" s="3" t="b">
        <v>0</v>
      </c>
      <c r="J209" s="2">
        <v>0.0</v>
      </c>
      <c r="K209" s="2">
        <v>11.0</v>
      </c>
      <c r="L209" s="2">
        <v>0.0</v>
      </c>
      <c r="M209" s="2">
        <v>3.0</v>
      </c>
      <c r="N209" s="1" t="s">
        <v>39</v>
      </c>
      <c r="O209" s="1" t="s">
        <v>25</v>
      </c>
      <c r="P209" s="1" t="s">
        <v>320</v>
      </c>
      <c r="R209" s="2"/>
      <c r="S209" s="2"/>
      <c r="U209" s="2"/>
      <c r="V209" s="1"/>
      <c r="W209" s="1"/>
      <c r="X209" s="6"/>
      <c r="Y209" s="6"/>
      <c r="Z209" s="6"/>
    </row>
    <row r="210">
      <c r="A210" s="1" t="s">
        <v>51</v>
      </c>
      <c r="B210" s="2">
        <v>340.0</v>
      </c>
      <c r="C210" s="1" t="s">
        <v>321</v>
      </c>
      <c r="D210" s="2">
        <v>58.0</v>
      </c>
      <c r="E210" s="1" t="s">
        <v>17</v>
      </c>
      <c r="F210" s="3" t="b">
        <v>0</v>
      </c>
      <c r="G210" s="2">
        <v>4.0</v>
      </c>
      <c r="H210" s="2">
        <v>0.0</v>
      </c>
      <c r="I210" s="3" t="b">
        <v>0</v>
      </c>
      <c r="J210" s="2">
        <v>4.0</v>
      </c>
      <c r="K210" s="2">
        <v>8.0</v>
      </c>
      <c r="L210" s="2">
        <v>0.0</v>
      </c>
      <c r="M210" s="2">
        <v>1.0</v>
      </c>
      <c r="N210" s="1" t="s">
        <v>34</v>
      </c>
      <c r="O210" s="1" t="s">
        <v>19</v>
      </c>
      <c r="P210" s="4"/>
      <c r="Q210" s="4"/>
      <c r="R210" s="2"/>
      <c r="S210" s="2"/>
      <c r="U210" s="2"/>
      <c r="V210" s="1"/>
      <c r="W210" s="1"/>
      <c r="X210" s="6"/>
      <c r="Y210" s="6"/>
      <c r="Z210" s="6"/>
    </row>
    <row r="211">
      <c r="A211" s="1" t="s">
        <v>43</v>
      </c>
      <c r="B211" s="2">
        <v>340.0</v>
      </c>
      <c r="C211" s="1" t="s">
        <v>322</v>
      </c>
      <c r="D211" s="2">
        <v>8.0</v>
      </c>
      <c r="E211" s="1" t="s">
        <v>17</v>
      </c>
      <c r="F211" s="3" t="b">
        <v>0</v>
      </c>
      <c r="G211" s="2">
        <v>1.0</v>
      </c>
      <c r="H211" s="2">
        <v>0.0</v>
      </c>
      <c r="I211" s="3" t="b">
        <v>0</v>
      </c>
      <c r="J211" s="2">
        <v>1.0</v>
      </c>
      <c r="K211" s="2">
        <v>20.0</v>
      </c>
      <c r="L211" s="2">
        <v>0.0</v>
      </c>
      <c r="M211" s="2">
        <v>0.0</v>
      </c>
      <c r="N211" s="1" t="s">
        <v>42</v>
      </c>
      <c r="O211" s="1" t="s">
        <v>19</v>
      </c>
      <c r="P211" s="4"/>
      <c r="Q211" s="4"/>
      <c r="R211" s="2"/>
      <c r="S211" s="2"/>
      <c r="U211" s="2"/>
      <c r="V211" s="1"/>
      <c r="W211" s="1"/>
      <c r="X211" s="6"/>
    </row>
    <row r="212">
      <c r="A212" s="1" t="s">
        <v>105</v>
      </c>
      <c r="B212" s="2">
        <v>3538.0</v>
      </c>
      <c r="C212" s="1" t="s">
        <v>323</v>
      </c>
      <c r="D212" s="2">
        <v>15.0</v>
      </c>
      <c r="E212" s="1" t="s">
        <v>17</v>
      </c>
      <c r="F212" s="3" t="b">
        <v>0</v>
      </c>
      <c r="G212" s="2">
        <v>5.0</v>
      </c>
      <c r="H212" s="2">
        <v>0.0</v>
      </c>
      <c r="I212" s="3" t="b">
        <v>0</v>
      </c>
      <c r="J212" s="2">
        <v>5.0</v>
      </c>
      <c r="K212" s="2">
        <v>6.0</v>
      </c>
      <c r="L212" s="2">
        <v>0.0</v>
      </c>
      <c r="M212" s="2">
        <v>2.0</v>
      </c>
      <c r="N212" s="1" t="s">
        <v>34</v>
      </c>
      <c r="O212" s="1" t="s">
        <v>19</v>
      </c>
      <c r="P212" s="4"/>
      <c r="Q212" s="4"/>
      <c r="R212" s="2"/>
      <c r="S212" s="2"/>
      <c r="U212" s="2"/>
      <c r="V212" s="1"/>
      <c r="W212" s="1"/>
      <c r="X212" s="6"/>
      <c r="Y212" s="6"/>
      <c r="Z212" s="6"/>
    </row>
    <row r="213">
      <c r="A213" s="1" t="s">
        <v>132</v>
      </c>
      <c r="B213" s="2">
        <v>3538.0</v>
      </c>
      <c r="C213" s="1" t="s">
        <v>324</v>
      </c>
      <c r="D213" s="2">
        <v>1.0</v>
      </c>
      <c r="E213" s="1" t="s">
        <v>22</v>
      </c>
      <c r="F213" s="3" t="b">
        <v>0</v>
      </c>
      <c r="G213" s="2">
        <v>0.0</v>
      </c>
      <c r="H213" s="2">
        <v>0.0</v>
      </c>
      <c r="I213" s="3" t="b">
        <v>0</v>
      </c>
      <c r="J213" s="2">
        <v>5.0</v>
      </c>
      <c r="K213" s="2">
        <v>15.0</v>
      </c>
      <c r="L213" s="2">
        <v>0.0</v>
      </c>
      <c r="M213" s="7">
        <v>4.0</v>
      </c>
      <c r="N213" s="1" t="s">
        <v>39</v>
      </c>
      <c r="O213" s="1" t="s">
        <v>19</v>
      </c>
      <c r="P213" s="1" t="s">
        <v>325</v>
      </c>
      <c r="R213" s="2"/>
      <c r="S213" s="2"/>
      <c r="U213" s="2"/>
      <c r="V213" s="1"/>
      <c r="W213" s="1"/>
      <c r="X213" s="4"/>
      <c r="Y213" s="4"/>
      <c r="Z213" s="4"/>
    </row>
    <row r="214">
      <c r="A214" s="1" t="s">
        <v>43</v>
      </c>
      <c r="B214" s="2">
        <v>3538.0</v>
      </c>
      <c r="C214" s="1" t="s">
        <v>326</v>
      </c>
      <c r="D214" s="2">
        <v>23.0</v>
      </c>
      <c r="E214" s="1" t="s">
        <v>17</v>
      </c>
      <c r="F214" s="3" t="b">
        <v>0</v>
      </c>
      <c r="G214" s="2">
        <v>3.0</v>
      </c>
      <c r="H214" s="2">
        <v>0.0</v>
      </c>
      <c r="I214" s="3" t="b">
        <v>0</v>
      </c>
      <c r="J214" s="2">
        <v>4.0</v>
      </c>
      <c r="K214" s="2">
        <v>16.0</v>
      </c>
      <c r="L214" s="2">
        <v>0.0</v>
      </c>
      <c r="M214" s="7">
        <v>0.0</v>
      </c>
      <c r="N214" s="1" t="s">
        <v>34</v>
      </c>
      <c r="O214" s="1" t="s">
        <v>19</v>
      </c>
      <c r="P214" s="4"/>
      <c r="Q214" s="4"/>
      <c r="R214" s="2"/>
      <c r="S214" s="2"/>
      <c r="U214" s="2"/>
      <c r="V214" s="1"/>
      <c r="W214" s="1"/>
      <c r="X214" s="4"/>
      <c r="Y214" s="4"/>
      <c r="Z214" s="4"/>
    </row>
    <row r="215">
      <c r="A215" s="1" t="s">
        <v>55</v>
      </c>
      <c r="B215" s="2">
        <v>3538.0</v>
      </c>
      <c r="C215" s="1" t="s">
        <v>327</v>
      </c>
      <c r="D215" s="2">
        <v>39.0</v>
      </c>
      <c r="E215" s="1" t="s">
        <v>22</v>
      </c>
      <c r="F215" s="3" t="b">
        <v>0</v>
      </c>
      <c r="G215" s="2">
        <v>2.0</v>
      </c>
      <c r="H215" s="2">
        <v>0.0</v>
      </c>
      <c r="I215" s="3" t="b">
        <v>0</v>
      </c>
      <c r="J215" s="2">
        <v>2.0</v>
      </c>
      <c r="K215" s="2">
        <v>14.0</v>
      </c>
      <c r="L215" s="2">
        <v>0.0</v>
      </c>
      <c r="M215" s="7">
        <v>4.0</v>
      </c>
      <c r="N215" s="1" t="s">
        <v>34</v>
      </c>
      <c r="O215" s="1" t="s">
        <v>19</v>
      </c>
      <c r="P215" s="4"/>
      <c r="Q215" s="4"/>
      <c r="R215" s="2"/>
      <c r="S215" s="2"/>
      <c r="U215" s="2"/>
      <c r="V215" s="1"/>
      <c r="W215" s="1"/>
      <c r="X215" s="6"/>
      <c r="Y215" s="6"/>
      <c r="Z215" s="6"/>
    </row>
    <row r="216">
      <c r="A216" s="1" t="s">
        <v>118</v>
      </c>
      <c r="B216" s="2">
        <v>3538.0</v>
      </c>
      <c r="C216" s="1" t="s">
        <v>328</v>
      </c>
      <c r="D216" s="2">
        <v>44.0</v>
      </c>
      <c r="E216" s="1" t="s">
        <v>22</v>
      </c>
      <c r="F216" s="3" t="b">
        <v>0</v>
      </c>
      <c r="G216" s="2">
        <v>2.0</v>
      </c>
      <c r="H216" s="2">
        <v>0.0</v>
      </c>
      <c r="I216" s="3" t="b">
        <v>0</v>
      </c>
      <c r="J216" s="2">
        <v>4.0</v>
      </c>
      <c r="K216" s="2">
        <v>18.0</v>
      </c>
      <c r="L216" s="2">
        <v>0.0</v>
      </c>
      <c r="M216" s="7">
        <v>4.0</v>
      </c>
      <c r="N216" s="1" t="s">
        <v>34</v>
      </c>
      <c r="O216" s="1" t="s">
        <v>25</v>
      </c>
      <c r="P216" s="1" t="s">
        <v>329</v>
      </c>
      <c r="R216" s="2"/>
      <c r="S216" s="2"/>
      <c r="U216" s="2"/>
      <c r="V216" s="1"/>
      <c r="W216" s="1"/>
      <c r="X216" s="6"/>
      <c r="Y216" s="6"/>
      <c r="Z216" s="6"/>
    </row>
    <row r="217">
      <c r="A217" s="1" t="s">
        <v>112</v>
      </c>
      <c r="B217" s="2">
        <v>3538.0</v>
      </c>
      <c r="C217" s="1" t="s">
        <v>330</v>
      </c>
      <c r="D217" s="2">
        <v>49.0</v>
      </c>
      <c r="E217" s="1" t="s">
        <v>22</v>
      </c>
      <c r="F217" s="3" t="b">
        <v>0</v>
      </c>
      <c r="G217" s="2">
        <v>2.0</v>
      </c>
      <c r="H217" s="2">
        <v>0.0</v>
      </c>
      <c r="I217" s="3" t="b">
        <v>0</v>
      </c>
      <c r="J217" s="2">
        <v>2.0</v>
      </c>
      <c r="K217" s="2">
        <v>10.0</v>
      </c>
      <c r="L217" s="2">
        <v>0.0</v>
      </c>
      <c r="M217" s="2">
        <v>7.0</v>
      </c>
      <c r="N217" s="1" t="s">
        <v>34</v>
      </c>
      <c r="O217" s="1" t="s">
        <v>19</v>
      </c>
      <c r="P217" s="4"/>
      <c r="Q217" s="4"/>
      <c r="R217" s="2"/>
      <c r="S217" s="2"/>
      <c r="U217" s="2"/>
      <c r="V217" s="1"/>
      <c r="W217" s="1"/>
      <c r="X217" s="1"/>
      <c r="Y217" s="6"/>
      <c r="Z217" s="6"/>
    </row>
    <row r="218">
      <c r="A218" s="1" t="s">
        <v>26</v>
      </c>
      <c r="B218" s="2">
        <v>3940.0</v>
      </c>
      <c r="C218" s="1" t="s">
        <v>331</v>
      </c>
      <c r="D218" s="2">
        <v>15.0</v>
      </c>
      <c r="E218" s="1" t="s">
        <v>22</v>
      </c>
      <c r="F218" s="3" t="b">
        <v>0</v>
      </c>
      <c r="G218" s="2">
        <v>1.0</v>
      </c>
      <c r="H218" s="2">
        <v>0.0</v>
      </c>
      <c r="I218" s="3" t="b">
        <v>0</v>
      </c>
      <c r="J218" s="2">
        <v>2.0</v>
      </c>
      <c r="K218" s="2">
        <v>8.0</v>
      </c>
      <c r="L218" s="2">
        <v>0.0</v>
      </c>
      <c r="M218" s="2">
        <v>1.0</v>
      </c>
      <c r="N218" s="1" t="s">
        <v>34</v>
      </c>
      <c r="O218" s="1" t="s">
        <v>25</v>
      </c>
      <c r="P218" s="4"/>
      <c r="Q218" s="4"/>
      <c r="R218" s="2"/>
      <c r="S218" s="2"/>
      <c r="U218" s="2"/>
      <c r="V218" s="1"/>
      <c r="W218" s="1"/>
      <c r="X218" s="6"/>
      <c r="Y218" s="6"/>
      <c r="Z218" s="6"/>
    </row>
    <row r="219">
      <c r="A219" s="1" t="s">
        <v>26</v>
      </c>
      <c r="B219" s="2">
        <v>3940.0</v>
      </c>
      <c r="C219" s="1" t="s">
        <v>332</v>
      </c>
      <c r="D219" s="2">
        <v>21.0</v>
      </c>
      <c r="E219" s="1" t="s">
        <v>22</v>
      </c>
      <c r="F219" s="3" t="b">
        <v>0</v>
      </c>
      <c r="G219" s="2">
        <v>1.0</v>
      </c>
      <c r="H219" s="2">
        <v>0.0</v>
      </c>
      <c r="I219" s="3" t="b">
        <v>0</v>
      </c>
      <c r="J219" s="2">
        <v>1.0</v>
      </c>
      <c r="K219" s="2">
        <v>6.0</v>
      </c>
      <c r="L219" s="2">
        <v>0.0</v>
      </c>
      <c r="M219" s="2">
        <v>2.0</v>
      </c>
      <c r="N219" s="1" t="s">
        <v>34</v>
      </c>
      <c r="O219" s="1" t="s">
        <v>25</v>
      </c>
      <c r="P219" s="4"/>
      <c r="Q219" s="4"/>
      <c r="R219" s="2"/>
      <c r="S219" s="2"/>
      <c r="U219" s="2"/>
      <c r="V219" s="1"/>
      <c r="W219" s="1"/>
      <c r="X219" s="1"/>
      <c r="Y219" s="6"/>
      <c r="Z219" s="6"/>
    </row>
    <row r="220">
      <c r="A220" s="1" t="s">
        <v>26</v>
      </c>
      <c r="B220" s="2">
        <v>3940.0</v>
      </c>
      <c r="C220" s="1" t="s">
        <v>333</v>
      </c>
      <c r="D220" s="2">
        <v>30.0</v>
      </c>
      <c r="E220" s="1" t="s">
        <v>22</v>
      </c>
      <c r="F220" s="3" t="b">
        <v>0</v>
      </c>
      <c r="G220" s="2">
        <v>2.0</v>
      </c>
      <c r="H220" s="2">
        <v>0.0</v>
      </c>
      <c r="I220" s="3" t="b">
        <v>0</v>
      </c>
      <c r="J220" s="2">
        <v>2.0</v>
      </c>
      <c r="K220" s="2">
        <v>10.0</v>
      </c>
      <c r="L220" s="2">
        <v>0.0</v>
      </c>
      <c r="M220" s="2">
        <v>0.0</v>
      </c>
      <c r="N220" s="1" t="s">
        <v>34</v>
      </c>
      <c r="O220" s="1" t="s">
        <v>19</v>
      </c>
      <c r="P220" s="4"/>
      <c r="Q220" s="4"/>
      <c r="R220" s="2"/>
      <c r="S220" s="2"/>
      <c r="U220" s="2"/>
      <c r="V220" s="1"/>
      <c r="W220" s="1"/>
      <c r="X220" s="6"/>
      <c r="Y220" s="6"/>
      <c r="Z220" s="6"/>
    </row>
    <row r="221">
      <c r="A221" s="1" t="s">
        <v>20</v>
      </c>
      <c r="B221" s="2">
        <v>3940.0</v>
      </c>
      <c r="C221" s="1" t="s">
        <v>334</v>
      </c>
      <c r="D221" s="2">
        <v>35.0</v>
      </c>
      <c r="E221" s="1" t="s">
        <v>22</v>
      </c>
      <c r="F221" s="3" t="b">
        <v>0</v>
      </c>
      <c r="G221" s="2">
        <v>2.0</v>
      </c>
      <c r="H221" s="2">
        <v>0.0</v>
      </c>
      <c r="I221" s="3" t="b">
        <v>0</v>
      </c>
      <c r="J221" s="2">
        <v>2.0</v>
      </c>
      <c r="K221" s="2">
        <v>3.0</v>
      </c>
      <c r="L221" s="2">
        <v>0.0</v>
      </c>
      <c r="M221" s="7">
        <v>1.0</v>
      </c>
      <c r="N221" s="1" t="s">
        <v>42</v>
      </c>
      <c r="O221" s="1" t="s">
        <v>25</v>
      </c>
      <c r="P221" s="4"/>
      <c r="Q221" s="4"/>
      <c r="R221" s="2"/>
      <c r="S221" s="2"/>
      <c r="U221" s="2"/>
      <c r="V221" s="1"/>
      <c r="W221" s="1"/>
      <c r="X221" s="6"/>
      <c r="Y221" s="6"/>
      <c r="Z221" s="6"/>
    </row>
    <row r="222">
      <c r="A222" s="1" t="s">
        <v>37</v>
      </c>
      <c r="B222" s="2">
        <v>3940.0</v>
      </c>
      <c r="C222" s="1" t="s">
        <v>335</v>
      </c>
      <c r="D222" s="2">
        <v>41.0</v>
      </c>
      <c r="E222" s="1" t="s">
        <v>17</v>
      </c>
      <c r="F222" s="3" t="b">
        <v>0</v>
      </c>
      <c r="G222" s="2">
        <v>1.0</v>
      </c>
      <c r="H222" s="2">
        <v>0.0</v>
      </c>
      <c r="I222" s="3" t="b">
        <v>0</v>
      </c>
      <c r="J222" s="2">
        <v>1.0</v>
      </c>
      <c r="K222" s="2">
        <v>5.0</v>
      </c>
      <c r="L222" s="2">
        <v>0.0</v>
      </c>
      <c r="M222" s="7">
        <v>0.0</v>
      </c>
      <c r="N222" s="1" t="s">
        <v>42</v>
      </c>
      <c r="O222" s="1" t="s">
        <v>25</v>
      </c>
      <c r="P222" s="4"/>
      <c r="Q222" s="4"/>
      <c r="R222" s="2"/>
      <c r="S222" s="2"/>
      <c r="U222" s="2"/>
      <c r="V222" s="1"/>
      <c r="W222" s="1"/>
      <c r="X222" s="6"/>
      <c r="Y222" s="6"/>
      <c r="Z222" s="6"/>
    </row>
    <row r="223">
      <c r="A223" s="1" t="s">
        <v>112</v>
      </c>
      <c r="B223" s="2">
        <v>3940.0</v>
      </c>
      <c r="C223" s="1" t="s">
        <v>336</v>
      </c>
      <c r="D223" s="2">
        <v>4.0</v>
      </c>
      <c r="E223" s="1" t="s">
        <v>22</v>
      </c>
      <c r="F223" s="3" t="b">
        <v>0</v>
      </c>
      <c r="G223" s="2">
        <v>1.0</v>
      </c>
      <c r="H223" s="2">
        <v>0.0</v>
      </c>
      <c r="I223" s="3" t="b">
        <v>0</v>
      </c>
      <c r="J223" s="2">
        <v>1.0</v>
      </c>
      <c r="K223" s="2">
        <v>6.0</v>
      </c>
      <c r="L223" s="2">
        <v>0.0</v>
      </c>
      <c r="M223" s="2">
        <v>1.0</v>
      </c>
      <c r="N223" s="1" t="s">
        <v>34</v>
      </c>
      <c r="O223" s="1" t="s">
        <v>19</v>
      </c>
      <c r="P223" s="4"/>
      <c r="Q223" s="4"/>
      <c r="R223" s="2"/>
      <c r="S223" s="2"/>
      <c r="U223" s="2"/>
      <c r="V223" s="1"/>
      <c r="W223" s="1"/>
      <c r="X223" s="6"/>
      <c r="Y223" s="6"/>
      <c r="Z223" s="6"/>
    </row>
    <row r="224">
      <c r="A224" s="1" t="s">
        <v>43</v>
      </c>
      <c r="B224" s="2">
        <v>3940.0</v>
      </c>
      <c r="C224" s="1" t="s">
        <v>337</v>
      </c>
      <c r="D224" s="2">
        <v>51.0</v>
      </c>
      <c r="E224" s="1" t="s">
        <v>17</v>
      </c>
      <c r="F224" s="3" t="b">
        <v>0</v>
      </c>
      <c r="G224" s="2">
        <v>1.0</v>
      </c>
      <c r="H224" s="2">
        <v>0.0</v>
      </c>
      <c r="I224" s="3" t="b">
        <v>0</v>
      </c>
      <c r="J224" s="2">
        <v>1.0</v>
      </c>
      <c r="K224" s="2">
        <v>0.0</v>
      </c>
      <c r="L224" s="2">
        <v>0.0</v>
      </c>
      <c r="M224" s="2">
        <v>0.0</v>
      </c>
      <c r="N224" s="1" t="s">
        <v>34</v>
      </c>
      <c r="O224" s="1" t="s">
        <v>25</v>
      </c>
      <c r="P224" s="4"/>
      <c r="Q224" s="4"/>
      <c r="R224" s="2"/>
      <c r="S224" s="2"/>
      <c r="U224" s="2"/>
      <c r="V224" s="1"/>
      <c r="W224" s="1"/>
      <c r="X224" s="4"/>
      <c r="Y224" s="4"/>
      <c r="Z224" s="4"/>
    </row>
    <row r="225">
      <c r="A225" s="1" t="s">
        <v>174</v>
      </c>
      <c r="B225" s="2">
        <v>4028.0</v>
      </c>
      <c r="C225" s="1" t="s">
        <v>338</v>
      </c>
      <c r="D225" s="2">
        <v>17.0</v>
      </c>
      <c r="E225" s="1" t="s">
        <v>22</v>
      </c>
      <c r="F225" s="3" t="b">
        <v>0</v>
      </c>
      <c r="G225" s="2">
        <v>4.0</v>
      </c>
      <c r="H225" s="2">
        <v>0.0</v>
      </c>
      <c r="I225" s="3" t="b">
        <v>0</v>
      </c>
      <c r="J225" s="2">
        <v>5.0</v>
      </c>
      <c r="K225" s="2">
        <v>15.0</v>
      </c>
      <c r="L225" s="2">
        <v>0.0</v>
      </c>
      <c r="M225" s="2">
        <v>2.0</v>
      </c>
      <c r="N225" s="1" t="s">
        <v>18</v>
      </c>
      <c r="O225" s="1" t="s">
        <v>25</v>
      </c>
      <c r="P225" s="4"/>
      <c r="Q225" s="4"/>
      <c r="R225" s="2"/>
      <c r="S225" s="2"/>
      <c r="U225" s="2"/>
      <c r="V225" s="1"/>
      <c r="W225" s="1"/>
      <c r="X225" s="6"/>
      <c r="Y225" s="6"/>
      <c r="Z225" s="6"/>
    </row>
    <row r="226">
      <c r="A226" s="1" t="s">
        <v>71</v>
      </c>
      <c r="B226" s="2">
        <v>4028.0</v>
      </c>
      <c r="C226" s="1" t="s">
        <v>339</v>
      </c>
      <c r="D226" s="2">
        <v>27.0</v>
      </c>
      <c r="E226" s="1" t="s">
        <v>22</v>
      </c>
      <c r="F226" s="3" t="b">
        <v>0</v>
      </c>
      <c r="G226" s="2">
        <v>5.0</v>
      </c>
      <c r="H226" s="2">
        <v>0.0</v>
      </c>
      <c r="I226" s="3" t="b">
        <v>0</v>
      </c>
      <c r="J226" s="2">
        <v>5.0</v>
      </c>
      <c r="K226" s="2">
        <v>17.0</v>
      </c>
      <c r="L226" s="2">
        <v>0.0</v>
      </c>
      <c r="M226" s="2">
        <v>0.0</v>
      </c>
      <c r="N226" s="1" t="s">
        <v>39</v>
      </c>
      <c r="O226" s="1" t="s">
        <v>25</v>
      </c>
      <c r="P226" s="4"/>
      <c r="Q226" s="4"/>
      <c r="R226" s="2"/>
      <c r="S226" s="2"/>
      <c r="U226" s="2"/>
      <c r="V226" s="1"/>
      <c r="W226" s="1"/>
      <c r="X226" s="1"/>
      <c r="Y226" s="6"/>
      <c r="Z226" s="6"/>
    </row>
    <row r="227">
      <c r="A227" s="1" t="s">
        <v>37</v>
      </c>
      <c r="B227" s="2">
        <v>4028.0</v>
      </c>
      <c r="C227" s="1" t="s">
        <v>340</v>
      </c>
      <c r="D227" s="2">
        <v>2.0</v>
      </c>
      <c r="E227" s="1" t="s">
        <v>17</v>
      </c>
      <c r="F227" s="3" t="b">
        <v>0</v>
      </c>
      <c r="G227" s="2">
        <v>4.0</v>
      </c>
      <c r="H227" s="2">
        <v>0.0</v>
      </c>
      <c r="I227" s="3" t="b">
        <v>0</v>
      </c>
      <c r="J227" s="2">
        <v>4.0</v>
      </c>
      <c r="K227" s="2">
        <v>17.0</v>
      </c>
      <c r="L227" s="2">
        <v>0.0</v>
      </c>
      <c r="M227" s="2">
        <v>4.0</v>
      </c>
      <c r="N227" s="1" t="s">
        <v>18</v>
      </c>
      <c r="O227" s="1" t="s">
        <v>25</v>
      </c>
      <c r="P227" s="1" t="s">
        <v>341</v>
      </c>
      <c r="R227" s="2"/>
      <c r="S227" s="2"/>
      <c r="U227" s="2"/>
      <c r="V227" s="1"/>
      <c r="W227" s="1"/>
      <c r="X227" s="6"/>
    </row>
    <row r="228">
      <c r="A228" s="1" t="s">
        <v>37</v>
      </c>
      <c r="B228" s="2">
        <v>4028.0</v>
      </c>
      <c r="C228" s="1" t="s">
        <v>342</v>
      </c>
      <c r="D228" s="2">
        <v>38.0</v>
      </c>
      <c r="E228" s="1" t="s">
        <v>17</v>
      </c>
      <c r="F228" s="3" t="b">
        <v>0</v>
      </c>
      <c r="G228" s="2">
        <v>4.0</v>
      </c>
      <c r="H228" s="2">
        <v>0.0</v>
      </c>
      <c r="I228" s="3" t="b">
        <v>0</v>
      </c>
      <c r="J228" s="2">
        <v>4.0</v>
      </c>
      <c r="K228" s="2">
        <v>20.0</v>
      </c>
      <c r="L228" s="2">
        <v>0.0</v>
      </c>
      <c r="M228" s="2">
        <v>4.0</v>
      </c>
      <c r="N228" s="1" t="s">
        <v>39</v>
      </c>
      <c r="O228" s="1" t="s">
        <v>19</v>
      </c>
      <c r="P228" s="4"/>
      <c r="Q228" s="4"/>
      <c r="R228" s="2"/>
      <c r="S228" s="2"/>
      <c r="U228" s="2"/>
      <c r="V228" s="1"/>
      <c r="W228" s="1"/>
      <c r="X228" s="6"/>
      <c r="Y228" s="6"/>
      <c r="Z228" s="6"/>
    </row>
    <row r="229">
      <c r="A229" s="1" t="s">
        <v>105</v>
      </c>
      <c r="B229" s="2">
        <v>4028.0</v>
      </c>
      <c r="C229" s="1" t="s">
        <v>343</v>
      </c>
      <c r="D229" s="2">
        <v>44.0</v>
      </c>
      <c r="E229" s="1" t="s">
        <v>17</v>
      </c>
      <c r="F229" s="3" t="b">
        <v>0</v>
      </c>
      <c r="G229" s="2">
        <v>2.0</v>
      </c>
      <c r="H229" s="2">
        <v>0.0</v>
      </c>
      <c r="I229" s="3" t="b">
        <v>0</v>
      </c>
      <c r="J229" s="2">
        <v>2.0</v>
      </c>
      <c r="K229" s="2">
        <v>7.0</v>
      </c>
      <c r="L229" s="2">
        <v>0.0</v>
      </c>
      <c r="M229" s="2">
        <v>1.0</v>
      </c>
      <c r="N229" s="1" t="s">
        <v>34</v>
      </c>
      <c r="O229" s="1" t="s">
        <v>19</v>
      </c>
      <c r="P229" s="4"/>
      <c r="Q229" s="4"/>
      <c r="R229" s="2"/>
      <c r="S229" s="2"/>
      <c r="U229" s="2"/>
      <c r="V229" s="1"/>
      <c r="W229" s="1"/>
      <c r="X229" s="6"/>
      <c r="Y229" s="6"/>
      <c r="Z229" s="6"/>
    </row>
    <row r="230">
      <c r="A230" s="1" t="s">
        <v>51</v>
      </c>
      <c r="B230" s="2">
        <v>4028.0</v>
      </c>
      <c r="C230" s="1" t="s">
        <v>344</v>
      </c>
      <c r="D230" s="2">
        <v>53.0</v>
      </c>
      <c r="E230" s="1" t="s">
        <v>17</v>
      </c>
      <c r="F230" s="3" t="b">
        <v>0</v>
      </c>
      <c r="G230" s="2">
        <v>3.0</v>
      </c>
      <c r="H230" s="2">
        <v>0.0</v>
      </c>
      <c r="I230" s="3" t="b">
        <v>0</v>
      </c>
      <c r="J230" s="2">
        <v>4.0</v>
      </c>
      <c r="K230" s="2">
        <v>17.0</v>
      </c>
      <c r="L230" s="2">
        <v>0.0</v>
      </c>
      <c r="M230" s="2">
        <v>0.0</v>
      </c>
      <c r="N230" s="1" t="s">
        <v>42</v>
      </c>
      <c r="O230" s="1" t="s">
        <v>25</v>
      </c>
      <c r="P230" s="4"/>
      <c r="Q230" s="4"/>
      <c r="R230" s="2"/>
      <c r="S230" s="2"/>
      <c r="U230" s="2"/>
      <c r="V230" s="1"/>
      <c r="W230" s="1"/>
      <c r="X230" s="6"/>
      <c r="Y230" s="6"/>
      <c r="Z230" s="6"/>
    </row>
    <row r="231">
      <c r="A231" s="1" t="s">
        <v>43</v>
      </c>
      <c r="B231" s="2">
        <v>4028.0</v>
      </c>
      <c r="C231" s="1" t="s">
        <v>345</v>
      </c>
      <c r="D231" s="2">
        <v>9.0</v>
      </c>
      <c r="E231" s="1" t="s">
        <v>17</v>
      </c>
      <c r="F231" s="3" t="b">
        <v>0</v>
      </c>
      <c r="G231" s="2">
        <v>2.0</v>
      </c>
      <c r="H231" s="2">
        <v>0.0</v>
      </c>
      <c r="I231" s="3" t="b">
        <v>0</v>
      </c>
      <c r="J231" s="2">
        <v>2.0</v>
      </c>
      <c r="K231" s="2">
        <v>18.0</v>
      </c>
      <c r="L231" s="2">
        <v>0.0</v>
      </c>
      <c r="M231" s="2">
        <v>0.0</v>
      </c>
      <c r="N231" s="1" t="s">
        <v>34</v>
      </c>
      <c r="O231" s="1" t="s">
        <v>19</v>
      </c>
      <c r="P231" s="4"/>
      <c r="Q231" s="4"/>
      <c r="R231" s="2"/>
      <c r="S231" s="2"/>
      <c r="U231" s="2"/>
      <c r="V231" s="1"/>
      <c r="W231" s="1"/>
      <c r="X231" s="6"/>
      <c r="Y231" s="6"/>
      <c r="Z231" s="6"/>
    </row>
    <row r="232">
      <c r="A232" s="1" t="s">
        <v>15</v>
      </c>
      <c r="B232" s="2">
        <v>4099.0</v>
      </c>
      <c r="C232" s="1" t="s">
        <v>346</v>
      </c>
      <c r="D232" s="2">
        <v>23.0</v>
      </c>
      <c r="E232" s="1" t="s">
        <v>17</v>
      </c>
      <c r="F232" s="3" t="b">
        <v>0</v>
      </c>
      <c r="G232" s="2">
        <v>0.0</v>
      </c>
      <c r="H232" s="2">
        <v>0.0</v>
      </c>
      <c r="I232" s="3" t="b">
        <v>1</v>
      </c>
      <c r="J232" s="2">
        <v>0.0</v>
      </c>
      <c r="K232" s="2">
        <v>0.0</v>
      </c>
      <c r="L232" s="2">
        <v>0.0</v>
      </c>
      <c r="M232" s="2">
        <v>0.0</v>
      </c>
      <c r="N232" s="1" t="s">
        <v>34</v>
      </c>
      <c r="O232" s="1" t="s">
        <v>19</v>
      </c>
      <c r="P232" s="1" t="s">
        <v>347</v>
      </c>
      <c r="R232" s="2"/>
      <c r="S232" s="2"/>
      <c r="U232" s="2"/>
      <c r="V232" s="1"/>
      <c r="W232" s="1"/>
      <c r="X232" s="1"/>
      <c r="Y232" s="4"/>
      <c r="Z232" s="4"/>
    </row>
    <row r="233">
      <c r="A233" s="1" t="s">
        <v>51</v>
      </c>
      <c r="B233" s="2">
        <v>4099.0</v>
      </c>
      <c r="C233" s="1" t="s">
        <v>348</v>
      </c>
      <c r="D233" s="2">
        <v>28.0</v>
      </c>
      <c r="E233" s="1" t="s">
        <v>17</v>
      </c>
      <c r="F233" s="3" t="b">
        <v>0</v>
      </c>
      <c r="G233" s="2">
        <v>1.0</v>
      </c>
      <c r="H233" s="2">
        <v>0.0</v>
      </c>
      <c r="I233" s="3" t="b">
        <v>0</v>
      </c>
      <c r="J233" s="2">
        <v>2.0</v>
      </c>
      <c r="K233" s="2">
        <v>0.0</v>
      </c>
      <c r="L233" s="2">
        <v>0.0</v>
      </c>
      <c r="M233" s="2">
        <v>1.0</v>
      </c>
      <c r="N233" s="1" t="s">
        <v>34</v>
      </c>
      <c r="O233" s="1" t="s">
        <v>25</v>
      </c>
      <c r="P233" s="1" t="s">
        <v>349</v>
      </c>
      <c r="R233" s="2"/>
      <c r="S233" s="2"/>
      <c r="U233" s="2"/>
      <c r="V233" s="1"/>
      <c r="W233" s="1"/>
      <c r="X233" s="1"/>
    </row>
    <row r="234">
      <c r="A234" s="1" t="s">
        <v>43</v>
      </c>
      <c r="B234" s="2">
        <v>4099.0</v>
      </c>
      <c r="C234" s="1" t="s">
        <v>350</v>
      </c>
      <c r="D234" s="2">
        <v>35.0</v>
      </c>
      <c r="E234" s="1" t="s">
        <v>17</v>
      </c>
      <c r="F234" s="3" t="b">
        <v>0</v>
      </c>
      <c r="G234" s="2">
        <v>1.0</v>
      </c>
      <c r="H234" s="2">
        <v>0.0</v>
      </c>
      <c r="I234" s="3" t="b">
        <v>0</v>
      </c>
      <c r="J234" s="2">
        <v>1.0</v>
      </c>
      <c r="K234" s="2">
        <v>0.0</v>
      </c>
      <c r="L234" s="2">
        <v>0.0</v>
      </c>
      <c r="M234" s="2">
        <v>0.0</v>
      </c>
      <c r="N234" s="1" t="s">
        <v>34</v>
      </c>
      <c r="O234" s="1" t="s">
        <v>19</v>
      </c>
      <c r="P234" s="1" t="s">
        <v>270</v>
      </c>
      <c r="R234" s="2"/>
      <c r="S234" s="2"/>
      <c r="U234" s="2"/>
      <c r="V234" s="1"/>
      <c r="W234" s="1"/>
      <c r="X234" s="6"/>
      <c r="Y234" s="6"/>
      <c r="Z234" s="6"/>
    </row>
    <row r="235">
      <c r="A235" s="1" t="s">
        <v>105</v>
      </c>
      <c r="B235" s="2">
        <v>4099.0</v>
      </c>
      <c r="C235" s="1" t="s">
        <v>351</v>
      </c>
      <c r="D235" s="2">
        <v>3.0</v>
      </c>
      <c r="E235" s="1" t="s">
        <v>17</v>
      </c>
      <c r="F235" s="3" t="b">
        <v>0</v>
      </c>
      <c r="G235" s="2">
        <v>2.0</v>
      </c>
      <c r="H235" s="2">
        <v>0.0</v>
      </c>
      <c r="I235" s="3" t="b">
        <v>0</v>
      </c>
      <c r="J235" s="2">
        <v>2.0</v>
      </c>
      <c r="K235" s="2">
        <v>1.0</v>
      </c>
      <c r="L235" s="2">
        <v>0.0</v>
      </c>
      <c r="M235" s="2">
        <v>1.0</v>
      </c>
      <c r="N235" s="1" t="s">
        <v>34</v>
      </c>
      <c r="O235" s="1" t="s">
        <v>25</v>
      </c>
      <c r="P235" s="4"/>
      <c r="Q235" s="4"/>
      <c r="R235" s="2"/>
      <c r="S235" s="2"/>
      <c r="U235" s="2"/>
      <c r="V235" s="1"/>
      <c r="W235" s="1"/>
      <c r="X235" s="6"/>
      <c r="Y235" s="6"/>
      <c r="Z235" s="6"/>
    </row>
    <row r="236">
      <c r="A236" s="1" t="s">
        <v>118</v>
      </c>
      <c r="B236" s="2">
        <v>4099.0</v>
      </c>
      <c r="C236" s="1" t="s">
        <v>352</v>
      </c>
      <c r="D236" s="2">
        <v>42.0</v>
      </c>
      <c r="E236" s="1" t="s">
        <v>22</v>
      </c>
      <c r="F236" s="3" t="b">
        <v>0</v>
      </c>
      <c r="G236" s="2">
        <v>3.0</v>
      </c>
      <c r="H236" s="2">
        <v>0.0</v>
      </c>
      <c r="I236" s="3" t="b">
        <v>0</v>
      </c>
      <c r="J236" s="2">
        <v>3.0</v>
      </c>
      <c r="K236" s="2">
        <v>0.0</v>
      </c>
      <c r="L236" s="2">
        <v>0.0</v>
      </c>
      <c r="M236" s="2">
        <v>0.0</v>
      </c>
      <c r="N236" s="1" t="s">
        <v>39</v>
      </c>
      <c r="O236" s="1" t="s">
        <v>25</v>
      </c>
      <c r="P236" s="1" t="s">
        <v>353</v>
      </c>
      <c r="R236" s="2"/>
      <c r="S236" s="2"/>
      <c r="U236" s="2"/>
      <c r="V236" s="1"/>
      <c r="W236" s="1"/>
      <c r="X236" s="1"/>
      <c r="Y236" s="6"/>
      <c r="Z236" s="6"/>
    </row>
    <row r="237">
      <c r="A237" s="1" t="s">
        <v>43</v>
      </c>
      <c r="B237" s="2">
        <v>4099.0</v>
      </c>
      <c r="C237" s="1" t="s">
        <v>354</v>
      </c>
      <c r="D237" s="2">
        <v>60.0</v>
      </c>
      <c r="E237" s="1" t="s">
        <v>17</v>
      </c>
      <c r="F237" s="3" t="b">
        <v>0</v>
      </c>
      <c r="G237" s="2">
        <v>0.0</v>
      </c>
      <c r="H237" s="2">
        <v>0.0</v>
      </c>
      <c r="I237" s="3" t="b">
        <v>0</v>
      </c>
      <c r="J237" s="2">
        <v>1.0</v>
      </c>
      <c r="K237" s="2">
        <v>0.0</v>
      </c>
      <c r="L237" s="2">
        <v>0.0</v>
      </c>
      <c r="M237" s="2">
        <v>0.0</v>
      </c>
      <c r="N237" s="1" t="s">
        <v>34</v>
      </c>
      <c r="O237" s="1" t="s">
        <v>19</v>
      </c>
      <c r="P237" s="4"/>
      <c r="Q237" s="4"/>
      <c r="R237" s="2"/>
      <c r="S237" s="2"/>
      <c r="U237" s="2"/>
      <c r="V237" s="1"/>
      <c r="W237" s="1"/>
      <c r="X237" s="1"/>
      <c r="Y237" s="6"/>
      <c r="Z237" s="6"/>
    </row>
    <row r="238">
      <c r="A238" s="1" t="s">
        <v>53</v>
      </c>
      <c r="B238" s="2">
        <v>4099.0</v>
      </c>
      <c r="C238" s="1" t="s">
        <v>355</v>
      </c>
      <c r="D238" s="2">
        <v>9.0</v>
      </c>
      <c r="E238" s="1" t="s">
        <v>22</v>
      </c>
      <c r="F238" s="3" t="b">
        <v>0</v>
      </c>
      <c r="G238" s="2">
        <v>1.0</v>
      </c>
      <c r="H238" s="2">
        <v>0.0</v>
      </c>
      <c r="I238" s="3" t="b">
        <v>0</v>
      </c>
      <c r="J238" s="2">
        <v>1.0</v>
      </c>
      <c r="K238" s="2">
        <v>0.0</v>
      </c>
      <c r="L238" s="2">
        <v>0.0</v>
      </c>
      <c r="M238" s="2">
        <v>0.0</v>
      </c>
      <c r="N238" s="1" t="s">
        <v>34</v>
      </c>
      <c r="O238" s="1" t="s">
        <v>25</v>
      </c>
      <c r="P238" s="1" t="s">
        <v>197</v>
      </c>
      <c r="R238" s="2"/>
      <c r="S238" s="2"/>
      <c r="U238" s="2"/>
      <c r="V238" s="1"/>
      <c r="W238" s="1"/>
      <c r="X238" s="6"/>
      <c r="Y238" s="6"/>
      <c r="Z238" s="6"/>
    </row>
    <row r="239">
      <c r="A239" s="1" t="s">
        <v>53</v>
      </c>
      <c r="B239" s="2">
        <v>4143.0</v>
      </c>
      <c r="C239" s="1" t="s">
        <v>356</v>
      </c>
      <c r="D239" s="2">
        <v>11.0</v>
      </c>
      <c r="E239" s="1" t="s">
        <v>22</v>
      </c>
      <c r="F239" s="3" t="b">
        <v>0</v>
      </c>
      <c r="G239" s="2">
        <v>2.0</v>
      </c>
      <c r="H239" s="2">
        <v>0.0</v>
      </c>
      <c r="I239" s="3" t="b">
        <v>0</v>
      </c>
      <c r="J239" s="2">
        <v>3.0</v>
      </c>
      <c r="K239" s="2">
        <v>22.0</v>
      </c>
      <c r="L239" s="2">
        <v>0.0</v>
      </c>
      <c r="M239" s="2">
        <v>2.0</v>
      </c>
      <c r="N239" s="1" t="s">
        <v>18</v>
      </c>
      <c r="O239" s="1" t="s">
        <v>25</v>
      </c>
      <c r="P239" s="4"/>
      <c r="Q239" s="4"/>
      <c r="R239" s="2"/>
      <c r="S239" s="2"/>
      <c r="U239" s="2"/>
      <c r="V239" s="1"/>
      <c r="W239" s="1"/>
      <c r="X239" s="6"/>
      <c r="Y239" s="6"/>
      <c r="Z239" s="6"/>
    </row>
    <row r="240">
      <c r="A240" s="1" t="s">
        <v>51</v>
      </c>
      <c r="B240" s="2">
        <v>4143.0</v>
      </c>
      <c r="C240" s="1" t="s">
        <v>357</v>
      </c>
      <c r="D240" s="2">
        <v>17.0</v>
      </c>
      <c r="E240" s="1" t="s">
        <v>17</v>
      </c>
      <c r="F240" s="3" t="b">
        <v>0</v>
      </c>
      <c r="G240" s="2">
        <v>2.0</v>
      </c>
      <c r="H240" s="2">
        <v>0.0</v>
      </c>
      <c r="I240" s="3" t="b">
        <v>0</v>
      </c>
      <c r="J240" s="2">
        <v>2.0</v>
      </c>
      <c r="K240" s="2">
        <v>16.0</v>
      </c>
      <c r="L240" s="2">
        <v>0.0</v>
      </c>
      <c r="M240" s="2">
        <v>1.0</v>
      </c>
      <c r="N240" s="1" t="s">
        <v>39</v>
      </c>
      <c r="O240" s="1" t="s">
        <v>19</v>
      </c>
      <c r="P240" s="1" t="s">
        <v>358</v>
      </c>
      <c r="R240" s="2"/>
      <c r="S240" s="2"/>
      <c r="U240" s="2"/>
      <c r="V240" s="1"/>
      <c r="W240" s="1"/>
      <c r="X240" s="6"/>
      <c r="Y240" s="6"/>
      <c r="Z240" s="6"/>
    </row>
    <row r="241">
      <c r="A241" s="1" t="s">
        <v>71</v>
      </c>
      <c r="B241" s="2">
        <v>4143.0</v>
      </c>
      <c r="C241" s="1" t="s">
        <v>359</v>
      </c>
      <c r="D241" s="2">
        <v>28.0</v>
      </c>
      <c r="E241" s="1" t="s">
        <v>22</v>
      </c>
      <c r="F241" s="3" t="b">
        <v>0</v>
      </c>
      <c r="G241" s="2">
        <v>2.0</v>
      </c>
      <c r="H241" s="2">
        <v>0.0</v>
      </c>
      <c r="I241" s="3" t="b">
        <v>0</v>
      </c>
      <c r="J241" s="2">
        <v>2.0</v>
      </c>
      <c r="K241" s="2">
        <v>16.0</v>
      </c>
      <c r="L241" s="2">
        <v>0.0</v>
      </c>
      <c r="M241" s="2">
        <v>1.0</v>
      </c>
      <c r="N241" s="1" t="s">
        <v>34</v>
      </c>
      <c r="O241" s="1" t="s">
        <v>19</v>
      </c>
      <c r="P241" s="4"/>
      <c r="Q241" s="4"/>
      <c r="R241" s="2"/>
      <c r="S241" s="2"/>
      <c r="U241" s="2"/>
      <c r="V241" s="1"/>
      <c r="W241" s="1"/>
      <c r="X241" s="1"/>
      <c r="Y241" s="6"/>
      <c r="Z241" s="6"/>
    </row>
    <row r="242">
      <c r="A242" s="1" t="s">
        <v>105</v>
      </c>
      <c r="B242" s="2">
        <v>4143.0</v>
      </c>
      <c r="C242" s="1" t="s">
        <v>360</v>
      </c>
      <c r="D242" s="2">
        <v>2.0</v>
      </c>
      <c r="E242" s="1" t="s">
        <v>17</v>
      </c>
      <c r="F242" s="3" t="b">
        <v>0</v>
      </c>
      <c r="G242" s="2">
        <v>2.0</v>
      </c>
      <c r="H242" s="2">
        <v>0.0</v>
      </c>
      <c r="I242" s="3" t="b">
        <v>0</v>
      </c>
      <c r="J242" s="2">
        <v>2.0</v>
      </c>
      <c r="K242" s="2">
        <v>6.0</v>
      </c>
      <c r="L242" s="2">
        <v>0.0</v>
      </c>
      <c r="M242" s="2">
        <v>1.0</v>
      </c>
      <c r="N242" s="1" t="s">
        <v>42</v>
      </c>
      <c r="O242" s="1" t="s">
        <v>25</v>
      </c>
      <c r="P242" s="1" t="s">
        <v>361</v>
      </c>
      <c r="R242" s="2"/>
      <c r="S242" s="2"/>
      <c r="U242" s="2"/>
      <c r="V242" s="1"/>
      <c r="W242" s="1"/>
      <c r="X242" s="6"/>
      <c r="Y242" s="6"/>
      <c r="Z242" s="6"/>
    </row>
    <row r="243">
      <c r="A243" s="1" t="s">
        <v>77</v>
      </c>
      <c r="B243" s="2">
        <v>4143.0</v>
      </c>
      <c r="C243" s="1" t="s">
        <v>362</v>
      </c>
      <c r="D243" s="2">
        <v>33.0</v>
      </c>
      <c r="E243" s="1" t="s">
        <v>22</v>
      </c>
      <c r="F243" s="3" t="b">
        <v>0</v>
      </c>
      <c r="G243" s="2">
        <v>2.0</v>
      </c>
      <c r="H243" s="2">
        <v>0.0</v>
      </c>
      <c r="I243" s="3" t="b">
        <v>0</v>
      </c>
      <c r="J243" s="2">
        <v>2.0</v>
      </c>
      <c r="K243" s="2">
        <v>16.0</v>
      </c>
      <c r="L243" s="2">
        <v>0.0</v>
      </c>
      <c r="M243" s="2">
        <v>0.0</v>
      </c>
      <c r="N243" s="1" t="s">
        <v>42</v>
      </c>
      <c r="O243" s="1" t="s">
        <v>19</v>
      </c>
      <c r="P243" s="4"/>
      <c r="Q243" s="4"/>
      <c r="R243" s="2"/>
      <c r="S243" s="2"/>
      <c r="U243" s="2"/>
      <c r="V243" s="1"/>
      <c r="W243" s="1"/>
      <c r="X243" s="1"/>
    </row>
    <row r="244">
      <c r="A244" s="1" t="s">
        <v>49</v>
      </c>
      <c r="B244" s="2">
        <v>4143.0</v>
      </c>
      <c r="C244" s="1" t="s">
        <v>363</v>
      </c>
      <c r="D244" s="2">
        <v>42.0</v>
      </c>
      <c r="E244" s="1" t="s">
        <v>22</v>
      </c>
      <c r="F244" s="3" t="b">
        <v>0</v>
      </c>
      <c r="G244" s="2">
        <v>0.0</v>
      </c>
      <c r="H244" s="2">
        <v>0.0</v>
      </c>
      <c r="I244" s="3" t="b">
        <v>0</v>
      </c>
      <c r="J244" s="2">
        <v>0.0</v>
      </c>
      <c r="K244" s="2">
        <v>15.0</v>
      </c>
      <c r="L244" s="2">
        <v>0.0</v>
      </c>
      <c r="M244" s="2">
        <v>1.0</v>
      </c>
      <c r="N244" s="1" t="s">
        <v>39</v>
      </c>
      <c r="O244" s="1" t="s">
        <v>25</v>
      </c>
      <c r="P244" s="1" t="s">
        <v>364</v>
      </c>
      <c r="R244" s="2"/>
      <c r="S244" s="2"/>
      <c r="U244" s="2"/>
      <c r="V244" s="1"/>
      <c r="W244" s="1"/>
      <c r="X244" s="1"/>
      <c r="Y244" s="6"/>
      <c r="Z244" s="6"/>
    </row>
    <row r="245">
      <c r="A245" s="1" t="s">
        <v>46</v>
      </c>
      <c r="B245" s="2">
        <v>4143.0</v>
      </c>
      <c r="C245" s="1" t="s">
        <v>365</v>
      </c>
      <c r="D245" s="2">
        <v>49.0</v>
      </c>
      <c r="E245" s="1" t="s">
        <v>22</v>
      </c>
      <c r="F245" s="3" t="b">
        <v>0</v>
      </c>
      <c r="G245" s="2">
        <v>0.0</v>
      </c>
      <c r="H245" s="2">
        <v>0.0</v>
      </c>
      <c r="I245" s="3" t="b">
        <v>0</v>
      </c>
      <c r="J245" s="2">
        <v>0.0</v>
      </c>
      <c r="K245" s="2">
        <v>2.0</v>
      </c>
      <c r="L245" s="2">
        <v>0.0</v>
      </c>
      <c r="M245" s="2">
        <v>0.0</v>
      </c>
      <c r="N245" s="1" t="s">
        <v>34</v>
      </c>
      <c r="O245" s="1" t="s">
        <v>25</v>
      </c>
      <c r="P245" s="4"/>
      <c r="Q245" s="4"/>
      <c r="R245" s="2"/>
      <c r="S245" s="2"/>
      <c r="U245" s="2"/>
      <c r="V245" s="1"/>
      <c r="W245" s="1"/>
      <c r="X245" s="1"/>
    </row>
    <row r="246">
      <c r="A246" s="1" t="s">
        <v>15</v>
      </c>
      <c r="B246" s="2">
        <v>4143.0</v>
      </c>
      <c r="C246" s="1" t="s">
        <v>190</v>
      </c>
      <c r="D246" s="2">
        <v>57.0</v>
      </c>
      <c r="E246" s="1" t="s">
        <v>17</v>
      </c>
      <c r="F246" s="3" t="b">
        <v>0</v>
      </c>
      <c r="G246" s="2">
        <v>2.0</v>
      </c>
      <c r="H246" s="2">
        <v>0.0</v>
      </c>
      <c r="I246" s="3" t="b">
        <v>0</v>
      </c>
      <c r="J246" s="2">
        <v>2.0</v>
      </c>
      <c r="K246" s="2">
        <v>14.0</v>
      </c>
      <c r="L246" s="2">
        <v>0.0</v>
      </c>
      <c r="M246" s="2">
        <v>3.0</v>
      </c>
      <c r="N246" s="1" t="s">
        <v>18</v>
      </c>
      <c r="O246" s="1" t="s">
        <v>25</v>
      </c>
      <c r="P246" s="4"/>
      <c r="Q246" s="4"/>
      <c r="R246" s="2"/>
      <c r="S246" s="2"/>
      <c r="U246" s="2"/>
      <c r="V246" s="1"/>
      <c r="W246" s="1"/>
      <c r="X246" s="6"/>
    </row>
    <row r="247">
      <c r="A247" s="1" t="s">
        <v>51</v>
      </c>
      <c r="B247" s="2">
        <v>4265.0</v>
      </c>
      <c r="C247" s="1" t="s">
        <v>366</v>
      </c>
      <c r="D247" s="2">
        <v>10.0</v>
      </c>
      <c r="E247" s="1" t="s">
        <v>17</v>
      </c>
      <c r="F247" s="3" t="b">
        <v>0</v>
      </c>
      <c r="G247" s="2">
        <v>1.0</v>
      </c>
      <c r="H247" s="2">
        <v>0.0</v>
      </c>
      <c r="I247" s="3" t="b">
        <v>0</v>
      </c>
      <c r="J247" s="2">
        <v>1.0</v>
      </c>
      <c r="K247" s="2">
        <v>9.0</v>
      </c>
      <c r="L247" s="2">
        <v>0.0</v>
      </c>
      <c r="M247" s="2">
        <v>5.0</v>
      </c>
      <c r="N247" s="1" t="s">
        <v>39</v>
      </c>
      <c r="O247" s="1" t="s">
        <v>25</v>
      </c>
      <c r="P247" s="4"/>
      <c r="Q247" s="4"/>
      <c r="R247" s="2"/>
      <c r="S247" s="2"/>
      <c r="U247" s="2"/>
      <c r="V247" s="1"/>
      <c r="W247" s="1"/>
      <c r="X247" s="6"/>
    </row>
    <row r="248">
      <c r="A248" s="1" t="s">
        <v>53</v>
      </c>
      <c r="B248" s="2">
        <v>4265.0</v>
      </c>
      <c r="C248" s="1" t="s">
        <v>367</v>
      </c>
      <c r="D248" s="2">
        <v>17.0</v>
      </c>
      <c r="E248" s="1" t="s">
        <v>22</v>
      </c>
      <c r="F248" s="3" t="b">
        <v>0</v>
      </c>
      <c r="G248" s="2">
        <v>2.0</v>
      </c>
      <c r="H248" s="2">
        <v>0.0</v>
      </c>
      <c r="I248" s="3" t="b">
        <v>0</v>
      </c>
      <c r="J248" s="2">
        <v>2.0</v>
      </c>
      <c r="K248" s="2">
        <v>13.0</v>
      </c>
      <c r="L248" s="2">
        <v>0.0</v>
      </c>
      <c r="M248" s="2">
        <v>0.0</v>
      </c>
      <c r="N248" s="1" t="s">
        <v>18</v>
      </c>
      <c r="O248" s="1" t="s">
        <v>25</v>
      </c>
      <c r="P248" s="4"/>
      <c r="Q248" s="4"/>
      <c r="R248" s="2"/>
      <c r="S248" s="2"/>
      <c r="U248" s="2"/>
      <c r="V248" s="1"/>
      <c r="W248" s="1"/>
      <c r="X248" s="1"/>
    </row>
    <row r="249">
      <c r="A249" s="1" t="s">
        <v>23</v>
      </c>
      <c r="B249" s="2">
        <v>4265.0</v>
      </c>
      <c r="C249" s="1" t="s">
        <v>368</v>
      </c>
      <c r="D249" s="2">
        <v>31.0</v>
      </c>
      <c r="E249" s="1" t="s">
        <v>17</v>
      </c>
      <c r="F249" s="3" t="b">
        <v>0</v>
      </c>
      <c r="G249" s="2">
        <v>0.0</v>
      </c>
      <c r="H249" s="2">
        <v>0.0</v>
      </c>
      <c r="I249" s="3" t="b">
        <v>0</v>
      </c>
      <c r="J249" s="2">
        <v>6.0</v>
      </c>
      <c r="K249" s="2">
        <v>9.0</v>
      </c>
      <c r="L249" s="2">
        <v>0.0</v>
      </c>
      <c r="M249" s="2">
        <v>6.0</v>
      </c>
      <c r="N249" s="1" t="s">
        <v>39</v>
      </c>
      <c r="O249" s="1" t="s">
        <v>19</v>
      </c>
      <c r="P249" s="4"/>
      <c r="Q249" s="4"/>
      <c r="R249" s="2"/>
      <c r="S249" s="2"/>
      <c r="U249" s="2"/>
      <c r="V249" s="1"/>
      <c r="W249" s="1"/>
      <c r="X249" s="1"/>
    </row>
    <row r="250">
      <c r="A250" s="1" t="s">
        <v>15</v>
      </c>
      <c r="B250" s="2">
        <v>4265.0</v>
      </c>
      <c r="C250" s="1" t="s">
        <v>369</v>
      </c>
      <c r="D250" s="2">
        <v>39.0</v>
      </c>
      <c r="E250" s="1" t="s">
        <v>17</v>
      </c>
      <c r="F250" s="3" t="b">
        <v>0</v>
      </c>
      <c r="G250" s="2">
        <v>3.0</v>
      </c>
      <c r="H250" s="2">
        <v>0.0</v>
      </c>
      <c r="I250" s="3" t="b">
        <v>0</v>
      </c>
      <c r="J250" s="2">
        <v>3.0</v>
      </c>
      <c r="K250" s="2">
        <v>10.0</v>
      </c>
      <c r="L250" s="2">
        <v>0.0</v>
      </c>
      <c r="M250" s="2">
        <v>2.0</v>
      </c>
      <c r="N250" s="1" t="s">
        <v>39</v>
      </c>
      <c r="O250" s="1" t="s">
        <v>25</v>
      </c>
      <c r="P250" s="4"/>
      <c r="Q250" s="4"/>
      <c r="R250" s="2"/>
      <c r="S250" s="2"/>
      <c r="U250" s="2"/>
      <c r="V250" s="1"/>
      <c r="W250" s="1"/>
      <c r="X250" s="6"/>
    </row>
    <row r="251">
      <c r="A251" s="1" t="s">
        <v>46</v>
      </c>
      <c r="B251" s="2">
        <v>4265.0</v>
      </c>
      <c r="C251" s="1" t="s">
        <v>370</v>
      </c>
      <c r="D251" s="2">
        <v>48.0</v>
      </c>
      <c r="E251" s="1" t="s">
        <v>22</v>
      </c>
      <c r="F251" s="3" t="b">
        <v>0</v>
      </c>
      <c r="G251" s="2">
        <v>3.0</v>
      </c>
      <c r="H251" s="2">
        <v>0.0</v>
      </c>
      <c r="I251" s="3" t="b">
        <v>0</v>
      </c>
      <c r="J251" s="2">
        <v>3.0</v>
      </c>
      <c r="K251" s="2">
        <v>12.0</v>
      </c>
      <c r="L251" s="2">
        <v>0.0</v>
      </c>
      <c r="M251" s="2">
        <v>2.0</v>
      </c>
      <c r="N251" s="1" t="s">
        <v>39</v>
      </c>
      <c r="O251" s="1" t="s">
        <v>25</v>
      </c>
      <c r="P251" s="4"/>
      <c r="Q251" s="4"/>
      <c r="R251" s="2"/>
      <c r="S251" s="2"/>
      <c r="U251" s="2"/>
      <c r="V251" s="1"/>
      <c r="W251" s="1"/>
      <c r="X251" s="6"/>
    </row>
    <row r="252">
      <c r="A252" s="1" t="s">
        <v>55</v>
      </c>
      <c r="B252" s="2">
        <v>4265.0</v>
      </c>
      <c r="C252" s="1" t="s">
        <v>371</v>
      </c>
      <c r="D252" s="2">
        <v>4.0</v>
      </c>
      <c r="E252" s="1" t="s">
        <v>22</v>
      </c>
      <c r="F252" s="3" t="b">
        <v>0</v>
      </c>
      <c r="G252" s="2">
        <v>2.0</v>
      </c>
      <c r="H252" s="2">
        <v>0.0</v>
      </c>
      <c r="I252" s="3" t="b">
        <v>0</v>
      </c>
      <c r="J252" s="2">
        <v>2.0</v>
      </c>
      <c r="K252" s="2">
        <v>10.0</v>
      </c>
      <c r="L252" s="2">
        <v>0.0</v>
      </c>
      <c r="M252" s="2">
        <v>3.0</v>
      </c>
      <c r="N252" s="1" t="s">
        <v>39</v>
      </c>
      <c r="O252" s="1" t="s">
        <v>19</v>
      </c>
      <c r="P252" s="4"/>
      <c r="Q252" s="4"/>
      <c r="R252" s="2"/>
      <c r="S252" s="2"/>
      <c r="U252" s="2"/>
      <c r="V252" s="1"/>
      <c r="W252" s="1"/>
      <c r="X252" s="6"/>
    </row>
    <row r="253">
      <c r="A253" s="1" t="s">
        <v>51</v>
      </c>
      <c r="B253" s="2">
        <v>4265.0</v>
      </c>
      <c r="C253" s="1" t="s">
        <v>372</v>
      </c>
      <c r="D253" s="2">
        <v>56.0</v>
      </c>
      <c r="E253" s="1" t="s">
        <v>17</v>
      </c>
      <c r="F253" s="3" t="b">
        <v>0</v>
      </c>
      <c r="G253" s="2">
        <v>3.0</v>
      </c>
      <c r="H253" s="2">
        <v>0.0</v>
      </c>
      <c r="I253" s="3" t="b">
        <v>0</v>
      </c>
      <c r="J253" s="2">
        <v>4.0</v>
      </c>
      <c r="K253" s="2">
        <v>14.0</v>
      </c>
      <c r="L253" s="2">
        <v>0.0</v>
      </c>
      <c r="M253" s="2">
        <v>1.0</v>
      </c>
      <c r="N253" s="1" t="s">
        <v>18</v>
      </c>
      <c r="O253" s="1" t="s">
        <v>19</v>
      </c>
      <c r="P253" s="4"/>
      <c r="Q253" s="4"/>
      <c r="R253" s="2"/>
      <c r="S253" s="2"/>
      <c r="U253" s="2"/>
      <c r="V253" s="1"/>
      <c r="W253" s="1"/>
      <c r="X253" s="1"/>
    </row>
    <row r="254">
      <c r="A254" s="1" t="s">
        <v>55</v>
      </c>
      <c r="B254" s="2">
        <v>4499.0</v>
      </c>
      <c r="C254" s="1" t="s">
        <v>373</v>
      </c>
      <c r="D254" s="2">
        <v>12.0</v>
      </c>
      <c r="E254" s="1" t="s">
        <v>22</v>
      </c>
      <c r="F254" s="3" t="b">
        <v>0</v>
      </c>
      <c r="G254" s="2">
        <v>2.0</v>
      </c>
      <c r="H254" s="2">
        <v>0.0</v>
      </c>
      <c r="I254" s="3" t="b">
        <v>0</v>
      </c>
      <c r="J254" s="2">
        <v>2.0</v>
      </c>
      <c r="K254" s="2">
        <v>12.0</v>
      </c>
      <c r="L254" s="2">
        <v>0.0</v>
      </c>
      <c r="M254" s="2">
        <v>0.0</v>
      </c>
      <c r="N254" s="1" t="s">
        <v>34</v>
      </c>
      <c r="O254" s="1" t="s">
        <v>19</v>
      </c>
      <c r="P254" s="4"/>
      <c r="Q254" s="4"/>
      <c r="R254" s="2"/>
      <c r="S254" s="2"/>
      <c r="U254" s="2"/>
      <c r="V254" s="1"/>
      <c r="W254" s="1"/>
      <c r="X254" s="1"/>
    </row>
    <row r="255">
      <c r="A255" s="1" t="s">
        <v>26</v>
      </c>
      <c r="B255" s="2">
        <v>4499.0</v>
      </c>
      <c r="C255" s="1" t="s">
        <v>374</v>
      </c>
      <c r="D255" s="2">
        <v>22.0</v>
      </c>
      <c r="E255" s="1" t="s">
        <v>22</v>
      </c>
      <c r="F255" s="3" t="b">
        <v>0</v>
      </c>
      <c r="G255" s="2">
        <v>2.0</v>
      </c>
      <c r="H255" s="2">
        <v>0.0</v>
      </c>
      <c r="I255" s="3" t="b">
        <v>0</v>
      </c>
      <c r="J255" s="2">
        <v>2.0</v>
      </c>
      <c r="K255" s="2">
        <v>17.0</v>
      </c>
      <c r="L255" s="2">
        <v>0.0</v>
      </c>
      <c r="M255" s="2">
        <v>1.0</v>
      </c>
      <c r="N255" s="1" t="s">
        <v>34</v>
      </c>
      <c r="O255" s="1" t="s">
        <v>19</v>
      </c>
      <c r="P255" s="4"/>
      <c r="Q255" s="4"/>
      <c r="R255" s="2"/>
      <c r="S255" s="2"/>
      <c r="U255" s="2"/>
      <c r="V255" s="1"/>
      <c r="W255" s="1"/>
      <c r="X255" s="6"/>
    </row>
    <row r="256">
      <c r="A256" s="1" t="s">
        <v>30</v>
      </c>
      <c r="B256" s="2">
        <v>4499.0</v>
      </c>
      <c r="C256" s="1" t="s">
        <v>375</v>
      </c>
      <c r="D256" s="2">
        <v>32.0</v>
      </c>
      <c r="E256" s="1" t="s">
        <v>17</v>
      </c>
      <c r="F256" s="3" t="b">
        <v>0</v>
      </c>
      <c r="G256" s="2">
        <v>2.0</v>
      </c>
      <c r="H256" s="2">
        <v>0.0</v>
      </c>
      <c r="I256" s="3" t="b">
        <v>0</v>
      </c>
      <c r="J256" s="2">
        <v>2.0</v>
      </c>
      <c r="K256" s="2">
        <v>7.0</v>
      </c>
      <c r="L256" s="2">
        <v>0.0</v>
      </c>
      <c r="M256" s="2">
        <v>1.0</v>
      </c>
      <c r="N256" s="1" t="s">
        <v>34</v>
      </c>
      <c r="O256" s="1" t="s">
        <v>19</v>
      </c>
      <c r="P256" s="4"/>
      <c r="Q256" s="4"/>
      <c r="R256" s="2"/>
      <c r="S256" s="2"/>
      <c r="U256" s="2"/>
      <c r="V256" s="1"/>
      <c r="W256" s="1"/>
      <c r="X256" s="6"/>
    </row>
    <row r="257">
      <c r="A257" s="1" t="s">
        <v>132</v>
      </c>
      <c r="B257" s="2">
        <v>4499.0</v>
      </c>
      <c r="C257" s="1" t="s">
        <v>376</v>
      </c>
      <c r="D257" s="2">
        <v>3.0</v>
      </c>
      <c r="E257" s="1" t="s">
        <v>22</v>
      </c>
      <c r="F257" s="3" t="b">
        <v>0</v>
      </c>
      <c r="G257" s="2">
        <v>0.0</v>
      </c>
      <c r="H257" s="2">
        <v>0.0</v>
      </c>
      <c r="I257" s="3" t="b">
        <v>0</v>
      </c>
      <c r="J257" s="2">
        <v>0.0</v>
      </c>
      <c r="K257" s="2">
        <v>9.0</v>
      </c>
      <c r="L257" s="2">
        <v>0.0</v>
      </c>
      <c r="M257" s="2">
        <v>0.0</v>
      </c>
      <c r="N257" s="1" t="s">
        <v>34</v>
      </c>
      <c r="O257" s="1" t="s">
        <v>19</v>
      </c>
      <c r="P257" s="1" t="s">
        <v>377</v>
      </c>
      <c r="R257" s="2"/>
      <c r="S257" s="2"/>
      <c r="U257" s="2"/>
      <c r="V257" s="1"/>
      <c r="W257" s="1"/>
      <c r="X257" s="1"/>
    </row>
    <row r="258">
      <c r="A258" s="1" t="s">
        <v>55</v>
      </c>
      <c r="B258" s="2">
        <v>4499.0</v>
      </c>
      <c r="C258" s="1" t="s">
        <v>378</v>
      </c>
      <c r="D258" s="2">
        <v>40.0</v>
      </c>
      <c r="E258" s="1" t="s">
        <v>22</v>
      </c>
      <c r="F258" s="3" t="b">
        <v>0</v>
      </c>
      <c r="G258" s="2">
        <v>1.0</v>
      </c>
      <c r="H258" s="2">
        <v>0.0</v>
      </c>
      <c r="I258" s="3" t="b">
        <v>0</v>
      </c>
      <c r="J258" s="2">
        <v>4.0</v>
      </c>
      <c r="K258" s="2">
        <v>7.0</v>
      </c>
      <c r="L258" s="2">
        <v>0.0</v>
      </c>
      <c r="M258" s="2">
        <v>1.0</v>
      </c>
      <c r="N258" s="1" t="s">
        <v>34</v>
      </c>
      <c r="O258" s="1" t="s">
        <v>19</v>
      </c>
      <c r="P258" s="4"/>
      <c r="Q258" s="4"/>
      <c r="R258" s="2"/>
      <c r="S258" s="2"/>
      <c r="U258" s="2"/>
      <c r="V258" s="1"/>
      <c r="W258" s="1"/>
      <c r="X258" s="1"/>
    </row>
    <row r="259">
      <c r="A259" s="1" t="s">
        <v>37</v>
      </c>
      <c r="B259" s="2">
        <v>4499.0</v>
      </c>
      <c r="C259" s="1" t="s">
        <v>379</v>
      </c>
      <c r="D259" s="2">
        <v>46.0</v>
      </c>
      <c r="E259" s="1" t="s">
        <v>17</v>
      </c>
      <c r="F259" s="3" t="b">
        <v>0</v>
      </c>
      <c r="G259" s="2">
        <v>4.0</v>
      </c>
      <c r="H259" s="2">
        <v>0.0</v>
      </c>
      <c r="I259" s="3" t="b">
        <v>0</v>
      </c>
      <c r="J259" s="2">
        <v>4.0</v>
      </c>
      <c r="K259" s="2">
        <v>10.0</v>
      </c>
      <c r="L259" s="2">
        <v>0.0</v>
      </c>
      <c r="M259" s="2">
        <v>1.0</v>
      </c>
      <c r="N259" s="1" t="s">
        <v>34</v>
      </c>
      <c r="O259" s="1" t="s">
        <v>19</v>
      </c>
      <c r="P259" s="1" t="s">
        <v>380</v>
      </c>
      <c r="R259" s="2"/>
      <c r="S259" s="2"/>
      <c r="U259" s="2"/>
      <c r="V259" s="1"/>
      <c r="W259" s="1"/>
      <c r="X259" s="6"/>
    </row>
    <row r="260">
      <c r="A260" s="1" t="s">
        <v>20</v>
      </c>
      <c r="B260" s="2">
        <v>4499.0</v>
      </c>
      <c r="C260" s="1" t="s">
        <v>381</v>
      </c>
      <c r="D260" s="2">
        <v>52.0</v>
      </c>
      <c r="E260" s="1" t="s">
        <v>22</v>
      </c>
      <c r="F260" s="3" t="b">
        <v>0</v>
      </c>
      <c r="G260" s="2">
        <v>5.0</v>
      </c>
      <c r="H260" s="2">
        <v>0.0</v>
      </c>
      <c r="I260" s="3" t="b">
        <v>0</v>
      </c>
      <c r="J260" s="2">
        <v>5.0</v>
      </c>
      <c r="K260" s="2">
        <v>4.0</v>
      </c>
      <c r="L260" s="2">
        <v>0.0</v>
      </c>
      <c r="M260" s="2">
        <v>0.0</v>
      </c>
      <c r="N260" s="1" t="s">
        <v>34</v>
      </c>
      <c r="O260" s="1" t="s">
        <v>25</v>
      </c>
      <c r="P260" s="4"/>
      <c r="Q260" s="4"/>
      <c r="R260" s="2"/>
      <c r="S260" s="2"/>
      <c r="U260" s="2"/>
      <c r="V260" s="1"/>
      <c r="W260" s="1"/>
      <c r="X260" s="1"/>
    </row>
    <row r="261">
      <c r="A261" s="1" t="s">
        <v>43</v>
      </c>
      <c r="B261" s="2">
        <v>4499.0</v>
      </c>
      <c r="C261" s="1" t="s">
        <v>382</v>
      </c>
      <c r="D261" s="2">
        <v>59.0</v>
      </c>
      <c r="E261" s="1" t="s">
        <v>17</v>
      </c>
      <c r="F261" s="3" t="b">
        <v>0</v>
      </c>
      <c r="G261" s="2">
        <v>2.0</v>
      </c>
      <c r="H261" s="2">
        <v>0.0</v>
      </c>
      <c r="I261" s="3" t="b">
        <v>0</v>
      </c>
      <c r="J261" s="2">
        <v>2.0</v>
      </c>
      <c r="K261" s="2">
        <v>17.0</v>
      </c>
      <c r="L261" s="2">
        <v>0.0</v>
      </c>
      <c r="M261" s="2">
        <v>1.0</v>
      </c>
      <c r="N261" s="1" t="s">
        <v>34</v>
      </c>
      <c r="O261" s="1" t="s">
        <v>25</v>
      </c>
      <c r="P261" s="4"/>
      <c r="Q261" s="4"/>
      <c r="R261" s="2"/>
      <c r="S261" s="2"/>
      <c r="U261" s="2"/>
      <c r="V261" s="1"/>
      <c r="W261" s="1"/>
      <c r="X261" s="6"/>
    </row>
    <row r="262">
      <c r="A262" s="1" t="s">
        <v>26</v>
      </c>
      <c r="B262" s="2">
        <v>4635.0</v>
      </c>
      <c r="C262" s="1" t="s">
        <v>383</v>
      </c>
      <c r="D262" s="2">
        <v>14.0</v>
      </c>
      <c r="E262" s="1" t="s">
        <v>22</v>
      </c>
      <c r="F262" s="3" t="b">
        <v>0</v>
      </c>
      <c r="G262" s="2">
        <v>4.0</v>
      </c>
      <c r="H262" s="2">
        <v>0.0</v>
      </c>
      <c r="I262" s="3" t="b">
        <v>0</v>
      </c>
      <c r="J262" s="2">
        <v>4.0</v>
      </c>
      <c r="K262" s="2">
        <v>6.0</v>
      </c>
      <c r="L262" s="2">
        <v>0.0</v>
      </c>
      <c r="M262" s="2">
        <v>0.0</v>
      </c>
      <c r="N262" s="1" t="s">
        <v>42</v>
      </c>
      <c r="O262" s="1" t="s">
        <v>25</v>
      </c>
      <c r="P262" s="4"/>
      <c r="Q262" s="4"/>
      <c r="R262" s="2"/>
      <c r="S262" s="2"/>
      <c r="U262" s="2"/>
      <c r="V262" s="1"/>
      <c r="W262" s="1"/>
      <c r="X262" s="6"/>
    </row>
    <row r="263">
      <c r="A263" s="1" t="s">
        <v>23</v>
      </c>
      <c r="B263" s="2">
        <v>4635.0</v>
      </c>
      <c r="C263" s="1" t="s">
        <v>384</v>
      </c>
      <c r="D263" s="2">
        <v>23.0</v>
      </c>
      <c r="E263" s="1" t="s">
        <v>17</v>
      </c>
      <c r="F263" s="3" t="b">
        <v>0</v>
      </c>
      <c r="G263" s="2">
        <v>1.0</v>
      </c>
      <c r="H263" s="2">
        <v>0.0</v>
      </c>
      <c r="I263" s="3" t="b">
        <v>0</v>
      </c>
      <c r="J263" s="2">
        <v>1.0</v>
      </c>
      <c r="K263" s="2">
        <v>17.0</v>
      </c>
      <c r="L263" s="2">
        <v>0.0</v>
      </c>
      <c r="M263" s="2">
        <v>6.0</v>
      </c>
      <c r="N263" s="1" t="s">
        <v>39</v>
      </c>
      <c r="O263" s="1" t="s">
        <v>19</v>
      </c>
      <c r="P263" s="4"/>
      <c r="Q263" s="4"/>
      <c r="R263" s="2"/>
      <c r="S263" s="2"/>
      <c r="U263" s="2"/>
      <c r="V263" s="1"/>
      <c r="W263" s="1"/>
      <c r="X263" s="6"/>
    </row>
    <row r="264">
      <c r="A264" s="1" t="s">
        <v>26</v>
      </c>
      <c r="B264" s="2">
        <v>4635.0</v>
      </c>
      <c r="C264" s="1" t="s">
        <v>385</v>
      </c>
      <c r="D264" s="2">
        <v>31.0</v>
      </c>
      <c r="E264" s="1" t="s">
        <v>22</v>
      </c>
      <c r="F264" s="3" t="b">
        <v>0</v>
      </c>
      <c r="G264" s="2">
        <v>2.0</v>
      </c>
      <c r="H264" s="2">
        <v>0.0</v>
      </c>
      <c r="I264" s="3" t="b">
        <v>0</v>
      </c>
      <c r="J264" s="2">
        <v>2.0</v>
      </c>
      <c r="K264" s="2">
        <v>15.0</v>
      </c>
      <c r="L264" s="2">
        <v>0.0</v>
      </c>
      <c r="M264" s="2">
        <v>5.0</v>
      </c>
      <c r="N264" s="1" t="s">
        <v>39</v>
      </c>
      <c r="O264" s="1" t="s">
        <v>19</v>
      </c>
      <c r="P264" s="4"/>
      <c r="Q264" s="4"/>
      <c r="R264" s="2"/>
      <c r="S264" s="2"/>
      <c r="U264" s="2"/>
      <c r="V264" s="1"/>
      <c r="W264" s="1"/>
      <c r="X264" s="1"/>
    </row>
    <row r="265">
      <c r="A265" s="1" t="s">
        <v>43</v>
      </c>
      <c r="B265" s="2">
        <v>4635.0</v>
      </c>
      <c r="C265" s="1" t="s">
        <v>386</v>
      </c>
      <c r="D265" s="2">
        <v>38.0</v>
      </c>
      <c r="E265" s="1" t="s">
        <v>17</v>
      </c>
      <c r="F265" s="3" t="b">
        <v>0</v>
      </c>
      <c r="G265" s="2">
        <v>2.0</v>
      </c>
      <c r="H265" s="2">
        <v>0.0</v>
      </c>
      <c r="I265" s="3" t="b">
        <v>0</v>
      </c>
      <c r="J265" s="2">
        <v>2.0</v>
      </c>
      <c r="K265" s="2">
        <v>17.0</v>
      </c>
      <c r="L265" s="2">
        <v>0.0</v>
      </c>
      <c r="M265" s="2">
        <v>9.0</v>
      </c>
      <c r="N265" s="1" t="s">
        <v>39</v>
      </c>
      <c r="O265" s="1" t="s">
        <v>19</v>
      </c>
      <c r="P265" s="4"/>
      <c r="Q265" s="4"/>
      <c r="R265" s="2"/>
      <c r="S265" s="2"/>
      <c r="U265" s="2"/>
      <c r="V265" s="1"/>
      <c r="W265" s="1"/>
      <c r="X265" s="6"/>
    </row>
    <row r="266">
      <c r="A266" s="1" t="s">
        <v>37</v>
      </c>
      <c r="B266" s="2">
        <v>4635.0</v>
      </c>
      <c r="C266" s="1" t="s">
        <v>387</v>
      </c>
      <c r="D266" s="2">
        <v>45.0</v>
      </c>
      <c r="E266" s="1" t="s">
        <v>17</v>
      </c>
      <c r="F266" s="3" t="b">
        <v>0</v>
      </c>
      <c r="G266" s="2">
        <v>1.0</v>
      </c>
      <c r="H266" s="2">
        <v>0.0</v>
      </c>
      <c r="I266" s="3" t="b">
        <v>0</v>
      </c>
      <c r="J266" s="2">
        <v>1.0</v>
      </c>
      <c r="K266" s="2">
        <v>19.0</v>
      </c>
      <c r="L266" s="2">
        <v>0.0</v>
      </c>
      <c r="M266" s="2">
        <v>6.0</v>
      </c>
      <c r="N266" s="1" t="s">
        <v>39</v>
      </c>
      <c r="O266" s="1" t="s">
        <v>19</v>
      </c>
      <c r="P266" s="4"/>
      <c r="Q266" s="4"/>
      <c r="R266" s="2"/>
      <c r="S266" s="2"/>
      <c r="U266" s="2"/>
      <c r="V266" s="1"/>
      <c r="W266" s="1"/>
      <c r="X266" s="1"/>
    </row>
    <row r="267">
      <c r="A267" s="1" t="s">
        <v>43</v>
      </c>
      <c r="B267" s="2">
        <v>4635.0</v>
      </c>
      <c r="C267" s="1" t="s">
        <v>388</v>
      </c>
      <c r="D267" s="2">
        <v>55.0</v>
      </c>
      <c r="E267" s="1" t="s">
        <v>17</v>
      </c>
      <c r="F267" s="3" t="b">
        <v>0</v>
      </c>
      <c r="G267" s="2">
        <v>2.0</v>
      </c>
      <c r="H267" s="2">
        <v>0.0</v>
      </c>
      <c r="I267" s="3" t="b">
        <v>0</v>
      </c>
      <c r="J267" s="2">
        <v>2.0</v>
      </c>
      <c r="K267" s="2">
        <v>11.0</v>
      </c>
      <c r="L267" s="2">
        <v>0.0</v>
      </c>
      <c r="M267" s="2">
        <v>4.0</v>
      </c>
      <c r="N267" s="1" t="s">
        <v>28</v>
      </c>
      <c r="O267" s="1" t="s">
        <v>25</v>
      </c>
      <c r="P267" s="1" t="s">
        <v>389</v>
      </c>
      <c r="R267" s="2"/>
      <c r="S267" s="2"/>
      <c r="U267" s="2"/>
      <c r="V267" s="1"/>
      <c r="W267" s="1"/>
      <c r="X267" s="6"/>
    </row>
    <row r="268">
      <c r="A268" s="1" t="s">
        <v>53</v>
      </c>
      <c r="B268" s="2">
        <v>4635.0</v>
      </c>
      <c r="C268" s="1" t="s">
        <v>390</v>
      </c>
      <c r="D268" s="2">
        <v>8.0</v>
      </c>
      <c r="E268" s="1" t="s">
        <v>22</v>
      </c>
      <c r="F268" s="3" t="b">
        <v>0</v>
      </c>
      <c r="G268" s="2">
        <v>2.0</v>
      </c>
      <c r="H268" s="2">
        <v>0.0</v>
      </c>
      <c r="I268" s="3" t="b">
        <v>0</v>
      </c>
      <c r="J268" s="2">
        <v>2.0</v>
      </c>
      <c r="K268" s="2">
        <v>17.0</v>
      </c>
      <c r="L268" s="2">
        <v>0.0</v>
      </c>
      <c r="M268" s="2">
        <v>0.0</v>
      </c>
      <c r="N268" s="1" t="s">
        <v>34</v>
      </c>
      <c r="O268" s="1" t="s">
        <v>25</v>
      </c>
      <c r="P268" s="4"/>
      <c r="Q268" s="4"/>
      <c r="R268" s="2"/>
      <c r="S268" s="2"/>
      <c r="U268" s="2"/>
      <c r="V268" s="1"/>
      <c r="W268" s="1"/>
      <c r="X268" s="6"/>
    </row>
    <row r="269">
      <c r="A269" s="1" t="s">
        <v>43</v>
      </c>
      <c r="B269" s="2">
        <v>4926.0</v>
      </c>
      <c r="C269" s="1" t="s">
        <v>391</v>
      </c>
      <c r="D269" s="2">
        <v>11.0</v>
      </c>
      <c r="E269" s="1" t="s">
        <v>17</v>
      </c>
      <c r="F269" s="3" t="b">
        <v>0</v>
      </c>
      <c r="G269" s="2">
        <v>0.0</v>
      </c>
      <c r="H269" s="2">
        <v>0.0</v>
      </c>
      <c r="I269" s="3" t="b">
        <v>0</v>
      </c>
      <c r="J269" s="2">
        <v>1.0</v>
      </c>
      <c r="K269" s="2">
        <v>4.0</v>
      </c>
      <c r="L269" s="2">
        <v>0.0</v>
      </c>
      <c r="M269" s="2">
        <v>0.0</v>
      </c>
      <c r="N269" s="1" t="s">
        <v>42</v>
      </c>
      <c r="O269" s="1" t="s">
        <v>19</v>
      </c>
      <c r="P269" s="1" t="s">
        <v>392</v>
      </c>
      <c r="R269" s="2"/>
      <c r="S269" s="2"/>
      <c r="U269" s="2"/>
      <c r="V269" s="1"/>
      <c r="W269" s="1"/>
      <c r="X269" s="6"/>
    </row>
    <row r="270">
      <c r="A270" s="1" t="s">
        <v>105</v>
      </c>
      <c r="B270" s="2">
        <v>4926.0</v>
      </c>
      <c r="C270" s="1" t="s">
        <v>393</v>
      </c>
      <c r="D270" s="2">
        <v>20.0</v>
      </c>
      <c r="E270" s="1" t="s">
        <v>17</v>
      </c>
      <c r="F270" s="3" t="b">
        <v>0</v>
      </c>
      <c r="G270" s="2">
        <v>1.0</v>
      </c>
      <c r="H270" s="2">
        <v>0.0</v>
      </c>
      <c r="I270" s="3" t="b">
        <v>0</v>
      </c>
      <c r="J270" s="2">
        <v>2.0</v>
      </c>
      <c r="K270" s="2">
        <v>4.0</v>
      </c>
      <c r="L270" s="2">
        <v>0.0</v>
      </c>
      <c r="M270" s="2">
        <v>1.0</v>
      </c>
      <c r="N270" s="1" t="s">
        <v>34</v>
      </c>
      <c r="O270" s="1" t="s">
        <v>25</v>
      </c>
      <c r="P270" s="4"/>
      <c r="Q270" s="4"/>
      <c r="R270" s="2"/>
      <c r="S270" s="2"/>
      <c r="U270" s="2"/>
      <c r="V270" s="1"/>
      <c r="W270" s="1"/>
      <c r="X270" s="1"/>
    </row>
    <row r="271">
      <c r="A271" s="1" t="s">
        <v>55</v>
      </c>
      <c r="B271" s="2">
        <v>4926.0</v>
      </c>
      <c r="C271" s="1" t="s">
        <v>394</v>
      </c>
      <c r="D271" s="2">
        <v>26.0</v>
      </c>
      <c r="E271" s="1" t="s">
        <v>22</v>
      </c>
      <c r="F271" s="3" t="b">
        <v>0</v>
      </c>
      <c r="G271" s="2">
        <v>2.0</v>
      </c>
      <c r="H271" s="2">
        <v>0.0</v>
      </c>
      <c r="I271" s="3" t="b">
        <v>0</v>
      </c>
      <c r="J271" s="2">
        <v>2.0</v>
      </c>
      <c r="K271" s="2">
        <v>14.0</v>
      </c>
      <c r="L271" s="2">
        <v>0.0</v>
      </c>
      <c r="M271" s="2">
        <v>3.0</v>
      </c>
      <c r="N271" s="1" t="s">
        <v>34</v>
      </c>
      <c r="O271" s="1" t="s">
        <v>19</v>
      </c>
      <c r="P271" s="4"/>
      <c r="Q271" s="4"/>
      <c r="R271" s="2"/>
      <c r="S271" s="2"/>
      <c r="U271" s="2"/>
      <c r="V271" s="1"/>
      <c r="W271" s="1"/>
      <c r="X271" s="6"/>
    </row>
    <row r="272">
      <c r="A272" s="1" t="s">
        <v>55</v>
      </c>
      <c r="B272" s="2">
        <v>4926.0</v>
      </c>
      <c r="C272" s="1" t="s">
        <v>395</v>
      </c>
      <c r="D272" s="2">
        <v>34.0</v>
      </c>
      <c r="E272" s="1" t="s">
        <v>22</v>
      </c>
      <c r="F272" s="3" t="b">
        <v>0</v>
      </c>
      <c r="G272" s="2">
        <v>2.0</v>
      </c>
      <c r="H272" s="2">
        <v>0.0</v>
      </c>
      <c r="I272" s="3" t="b">
        <v>0</v>
      </c>
      <c r="J272" s="2">
        <v>2.0</v>
      </c>
      <c r="K272" s="2">
        <v>0.0</v>
      </c>
      <c r="L272" s="2">
        <v>0.0</v>
      </c>
      <c r="M272" s="2">
        <v>0.0</v>
      </c>
      <c r="N272" s="1" t="s">
        <v>42</v>
      </c>
      <c r="O272" s="1" t="s">
        <v>25</v>
      </c>
      <c r="P272" s="4"/>
      <c r="Q272" s="4"/>
      <c r="R272" s="2"/>
      <c r="S272" s="2"/>
      <c r="U272" s="2"/>
      <c r="V272" s="1"/>
      <c r="W272" s="1"/>
      <c r="X272" s="6"/>
    </row>
    <row r="273">
      <c r="A273" s="1" t="s">
        <v>46</v>
      </c>
      <c r="B273" s="2">
        <v>4926.0</v>
      </c>
      <c r="C273" s="1" t="s">
        <v>396</v>
      </c>
      <c r="D273" s="2">
        <v>46.0</v>
      </c>
      <c r="E273" s="1" t="s">
        <v>22</v>
      </c>
      <c r="F273" s="3" t="b">
        <v>0</v>
      </c>
      <c r="G273" s="2">
        <v>0.0</v>
      </c>
      <c r="H273" s="2">
        <v>0.0</v>
      </c>
      <c r="I273" s="3" t="b">
        <v>0</v>
      </c>
      <c r="J273" s="2">
        <v>1.0</v>
      </c>
      <c r="K273" s="2">
        <v>3.0</v>
      </c>
      <c r="L273" s="2">
        <v>0.0</v>
      </c>
      <c r="M273" s="2">
        <v>4.0</v>
      </c>
      <c r="N273" s="1" t="s">
        <v>34</v>
      </c>
      <c r="O273" s="1" t="s">
        <v>25</v>
      </c>
      <c r="P273" s="4"/>
      <c r="Q273" s="4"/>
      <c r="R273" s="2"/>
      <c r="S273" s="2"/>
      <c r="U273" s="2"/>
      <c r="V273" s="1"/>
      <c r="W273" s="1"/>
      <c r="X273" s="6"/>
    </row>
    <row r="274">
      <c r="A274" s="1" t="s">
        <v>43</v>
      </c>
      <c r="B274" s="2">
        <v>4926.0</v>
      </c>
      <c r="C274" s="1" t="s">
        <v>397</v>
      </c>
      <c r="D274" s="2">
        <v>56.0</v>
      </c>
      <c r="E274" s="1" t="s">
        <v>17</v>
      </c>
      <c r="F274" s="3" t="b">
        <v>0</v>
      </c>
      <c r="G274" s="2">
        <v>1.0</v>
      </c>
      <c r="H274" s="2">
        <v>0.0</v>
      </c>
      <c r="I274" s="3" t="b">
        <v>0</v>
      </c>
      <c r="J274" s="2">
        <v>2.0</v>
      </c>
      <c r="K274" s="2">
        <v>5.0</v>
      </c>
      <c r="L274" s="2">
        <v>0.0</v>
      </c>
      <c r="M274" s="2">
        <v>2.0</v>
      </c>
      <c r="N274" s="1" t="s">
        <v>42</v>
      </c>
      <c r="O274" s="1" t="s">
        <v>19</v>
      </c>
      <c r="P274" s="4"/>
      <c r="Q274" s="4"/>
      <c r="R274" s="2"/>
      <c r="S274" s="2"/>
      <c r="U274" s="2"/>
      <c r="V274" s="1"/>
      <c r="W274" s="1"/>
      <c r="X274" s="1"/>
    </row>
    <row r="275">
      <c r="A275" s="1" t="s">
        <v>43</v>
      </c>
      <c r="B275" s="2">
        <v>4926.0</v>
      </c>
      <c r="C275" s="1" t="s">
        <v>398</v>
      </c>
      <c r="D275" s="2">
        <v>5.0</v>
      </c>
      <c r="E275" s="1" t="s">
        <v>17</v>
      </c>
      <c r="F275" s="3" t="b">
        <v>0</v>
      </c>
      <c r="G275" s="2">
        <v>1.0</v>
      </c>
      <c r="H275" s="2">
        <v>0.0</v>
      </c>
      <c r="I275" s="3" t="b">
        <v>0</v>
      </c>
      <c r="J275" s="2">
        <v>1.0</v>
      </c>
      <c r="K275" s="2">
        <v>10.0</v>
      </c>
      <c r="L275" s="2">
        <v>0.0</v>
      </c>
      <c r="M275" s="2">
        <v>0.0</v>
      </c>
      <c r="N275" s="1" t="s">
        <v>34</v>
      </c>
      <c r="O275" s="1" t="s">
        <v>19</v>
      </c>
      <c r="P275" s="4"/>
      <c r="Q275" s="4"/>
      <c r="R275" s="2"/>
      <c r="S275" s="2"/>
      <c r="U275" s="2"/>
      <c r="V275" s="1"/>
      <c r="W275" s="1"/>
      <c r="X275" s="1"/>
    </row>
    <row r="276">
      <c r="A276" s="1" t="s">
        <v>51</v>
      </c>
      <c r="B276" s="2">
        <v>5010.0</v>
      </c>
      <c r="C276" s="1" t="s">
        <v>399</v>
      </c>
      <c r="D276" s="2">
        <v>16.0</v>
      </c>
      <c r="E276" s="1" t="s">
        <v>17</v>
      </c>
      <c r="F276" s="3" t="b">
        <v>0</v>
      </c>
      <c r="G276" s="2">
        <v>1.0</v>
      </c>
      <c r="H276" s="2">
        <v>0.0</v>
      </c>
      <c r="I276" s="3" t="b">
        <v>0</v>
      </c>
      <c r="J276" s="2">
        <v>1.0</v>
      </c>
      <c r="K276" s="2">
        <v>0.0</v>
      </c>
      <c r="L276" s="2">
        <v>0.0</v>
      </c>
      <c r="M276" s="2">
        <v>0.0</v>
      </c>
      <c r="N276" s="1" t="s">
        <v>34</v>
      </c>
      <c r="O276" s="1" t="s">
        <v>25</v>
      </c>
      <c r="P276" s="1" t="s">
        <v>400</v>
      </c>
      <c r="R276" s="2"/>
      <c r="S276" s="2"/>
      <c r="U276" s="2"/>
      <c r="V276" s="1"/>
      <c r="W276" s="1"/>
      <c r="X276" s="6"/>
    </row>
    <row r="277">
      <c r="A277" s="1" t="s">
        <v>15</v>
      </c>
      <c r="B277" s="2">
        <v>5010.0</v>
      </c>
      <c r="C277" s="1" t="s">
        <v>401</v>
      </c>
      <c r="D277" s="2">
        <v>24.0</v>
      </c>
      <c r="E277" s="1" t="s">
        <v>17</v>
      </c>
      <c r="F277" s="3" t="b">
        <v>0</v>
      </c>
      <c r="G277" s="2">
        <v>2.0</v>
      </c>
      <c r="H277" s="2">
        <v>0.0</v>
      </c>
      <c r="I277" s="3" t="b">
        <v>0</v>
      </c>
      <c r="J277" s="2">
        <v>2.0</v>
      </c>
      <c r="K277" s="2">
        <v>0.0</v>
      </c>
      <c r="L277" s="2">
        <v>0.0</v>
      </c>
      <c r="M277" s="2">
        <v>0.0</v>
      </c>
      <c r="N277" s="1" t="s">
        <v>42</v>
      </c>
      <c r="O277" s="1" t="s">
        <v>25</v>
      </c>
      <c r="P277" s="1" t="s">
        <v>402</v>
      </c>
      <c r="R277" s="2"/>
      <c r="S277" s="2"/>
      <c r="U277" s="2"/>
      <c r="V277" s="1"/>
      <c r="W277" s="1"/>
      <c r="X277" s="6"/>
    </row>
    <row r="278">
      <c r="A278" s="1" t="s">
        <v>101</v>
      </c>
      <c r="B278" s="2">
        <v>5010.0</v>
      </c>
      <c r="C278" s="1" t="s">
        <v>403</v>
      </c>
      <c r="D278" s="2">
        <v>32.0</v>
      </c>
      <c r="E278" s="1" t="s">
        <v>22</v>
      </c>
      <c r="F278" s="3" t="b">
        <v>0</v>
      </c>
      <c r="G278" s="2">
        <v>1.0</v>
      </c>
      <c r="H278" s="2">
        <v>0.0</v>
      </c>
      <c r="I278" s="3" t="b">
        <v>0</v>
      </c>
      <c r="J278" s="2">
        <v>1.0</v>
      </c>
      <c r="K278" s="2">
        <v>7.0</v>
      </c>
      <c r="L278" s="2">
        <v>0.0</v>
      </c>
      <c r="M278" s="2">
        <v>0.0</v>
      </c>
      <c r="N278" s="1" t="s">
        <v>18</v>
      </c>
      <c r="O278" s="1" t="s">
        <v>25</v>
      </c>
      <c r="P278" s="4"/>
      <c r="Q278" s="4"/>
      <c r="R278" s="2"/>
      <c r="S278" s="2"/>
      <c r="U278" s="2"/>
      <c r="V278" s="1"/>
      <c r="W278" s="1"/>
      <c r="X278" s="6"/>
    </row>
    <row r="279">
      <c r="A279" s="1" t="s">
        <v>26</v>
      </c>
      <c r="B279" s="2">
        <v>5010.0</v>
      </c>
      <c r="C279" s="1" t="s">
        <v>404</v>
      </c>
      <c r="D279" s="2">
        <v>38.0</v>
      </c>
      <c r="E279" s="1" t="s">
        <v>22</v>
      </c>
      <c r="F279" s="3" t="b">
        <v>0</v>
      </c>
      <c r="G279" s="2">
        <v>2.0</v>
      </c>
      <c r="H279" s="2">
        <v>0.0</v>
      </c>
      <c r="I279" s="3" t="b">
        <v>0</v>
      </c>
      <c r="J279" s="2">
        <v>2.0</v>
      </c>
      <c r="K279" s="2">
        <v>6.0</v>
      </c>
      <c r="L279" s="2">
        <v>0.0</v>
      </c>
      <c r="M279" s="2">
        <v>3.0</v>
      </c>
      <c r="N279" s="1" t="s">
        <v>39</v>
      </c>
      <c r="O279" s="1" t="s">
        <v>25</v>
      </c>
      <c r="P279" s="4"/>
      <c r="Q279" s="4"/>
      <c r="R279" s="2"/>
      <c r="S279" s="2"/>
      <c r="U279" s="2"/>
      <c r="V279" s="1"/>
      <c r="W279" s="1"/>
      <c r="X279" s="6"/>
    </row>
    <row r="280">
      <c r="A280" s="1" t="s">
        <v>23</v>
      </c>
      <c r="B280" s="2">
        <v>5010.0</v>
      </c>
      <c r="C280" s="1" t="s">
        <v>405</v>
      </c>
      <c r="D280" s="2">
        <v>48.0</v>
      </c>
      <c r="E280" s="1" t="s">
        <v>17</v>
      </c>
      <c r="F280" s="3" t="b">
        <v>0</v>
      </c>
      <c r="G280" s="2">
        <v>0.0</v>
      </c>
      <c r="H280" s="2">
        <v>0.0</v>
      </c>
      <c r="I280" s="3" t="b">
        <v>0</v>
      </c>
      <c r="J280" s="2">
        <v>0.0</v>
      </c>
      <c r="K280" s="2">
        <v>0.0</v>
      </c>
      <c r="L280" s="2">
        <v>0.0</v>
      </c>
      <c r="M280" s="2">
        <v>0.0</v>
      </c>
      <c r="N280" s="1" t="s">
        <v>18</v>
      </c>
      <c r="O280" s="1" t="s">
        <v>19</v>
      </c>
      <c r="P280" s="1" t="s">
        <v>406</v>
      </c>
      <c r="R280" s="2"/>
      <c r="S280" s="2"/>
      <c r="U280" s="2"/>
      <c r="V280" s="1"/>
      <c r="W280" s="1"/>
      <c r="X280" s="6"/>
    </row>
    <row r="281">
      <c r="A281" s="1" t="s">
        <v>55</v>
      </c>
      <c r="B281" s="2">
        <v>5010.0</v>
      </c>
      <c r="C281" s="1" t="s">
        <v>407</v>
      </c>
      <c r="D281" s="2">
        <v>54.0</v>
      </c>
      <c r="E281" s="1" t="s">
        <v>22</v>
      </c>
      <c r="F281" s="3" t="b">
        <v>0</v>
      </c>
      <c r="G281" s="2">
        <v>0.0</v>
      </c>
      <c r="H281" s="2">
        <v>0.0</v>
      </c>
      <c r="I281" s="3" t="b">
        <v>0</v>
      </c>
      <c r="J281" s="2">
        <v>0.0</v>
      </c>
      <c r="K281" s="2">
        <v>0.0</v>
      </c>
      <c r="L281" s="2">
        <v>0.0</v>
      </c>
      <c r="M281" s="2">
        <v>0.0</v>
      </c>
      <c r="N281" s="1" t="s">
        <v>34</v>
      </c>
      <c r="O281" s="1" t="s">
        <v>25</v>
      </c>
      <c r="P281" s="4"/>
      <c r="Q281" s="4"/>
      <c r="R281" s="2"/>
      <c r="S281" s="2"/>
      <c r="U281" s="2"/>
      <c r="V281" s="1"/>
      <c r="W281" s="1"/>
      <c r="X281" s="1"/>
    </row>
    <row r="282">
      <c r="A282" s="1" t="s">
        <v>77</v>
      </c>
      <c r="B282" s="2">
        <v>5010.0</v>
      </c>
      <c r="C282" s="1" t="s">
        <v>408</v>
      </c>
      <c r="D282" s="2">
        <v>8.0</v>
      </c>
      <c r="E282" s="1" t="s">
        <v>22</v>
      </c>
      <c r="F282" s="3" t="b">
        <v>0</v>
      </c>
      <c r="G282" s="2">
        <v>0.0</v>
      </c>
      <c r="H282" s="2">
        <v>0.0</v>
      </c>
      <c r="I282" s="3" t="b">
        <v>0</v>
      </c>
      <c r="J282" s="2">
        <v>1.0</v>
      </c>
      <c r="K282" s="2">
        <v>0.0</v>
      </c>
      <c r="L282" s="2">
        <v>0.0</v>
      </c>
      <c r="M282" s="2">
        <v>0.0</v>
      </c>
      <c r="N282" s="1" t="s">
        <v>34</v>
      </c>
      <c r="O282" s="1" t="s">
        <v>25</v>
      </c>
      <c r="P282" s="1" t="s">
        <v>197</v>
      </c>
      <c r="R282" s="2"/>
      <c r="S282" s="2"/>
      <c r="U282" s="2"/>
      <c r="V282" s="1"/>
      <c r="W282" s="1"/>
      <c r="X282" s="6"/>
    </row>
    <row r="283">
      <c r="A283" s="1" t="s">
        <v>46</v>
      </c>
      <c r="B283" s="2">
        <v>503.0</v>
      </c>
      <c r="C283" s="1" t="s">
        <v>409</v>
      </c>
      <c r="D283" s="2">
        <v>16.0</v>
      </c>
      <c r="E283" s="1" t="s">
        <v>22</v>
      </c>
      <c r="F283" s="3" t="b">
        <v>0</v>
      </c>
      <c r="G283" s="2">
        <v>3.0</v>
      </c>
      <c r="H283" s="2">
        <v>0.0</v>
      </c>
      <c r="I283" s="3" t="b">
        <v>0</v>
      </c>
      <c r="J283" s="2">
        <v>4.0</v>
      </c>
      <c r="K283" s="2">
        <v>7.0</v>
      </c>
      <c r="L283" s="2">
        <v>0.0</v>
      </c>
      <c r="M283" s="2">
        <v>6.0</v>
      </c>
      <c r="N283" s="1" t="s">
        <v>34</v>
      </c>
      <c r="O283" s="1" t="s">
        <v>19</v>
      </c>
      <c r="P283" s="4"/>
      <c r="Q283" s="4"/>
      <c r="R283" s="2"/>
      <c r="S283" s="2"/>
      <c r="U283" s="2"/>
      <c r="V283" s="1"/>
      <c r="W283" s="1"/>
      <c r="X283" s="6"/>
    </row>
    <row r="284">
      <c r="A284" s="1" t="s">
        <v>46</v>
      </c>
      <c r="B284" s="2">
        <v>503.0</v>
      </c>
      <c r="C284" s="1" t="s">
        <v>410</v>
      </c>
      <c r="D284" s="2">
        <v>23.0</v>
      </c>
      <c r="E284" s="1" t="s">
        <v>22</v>
      </c>
      <c r="F284" s="3" t="b">
        <v>0</v>
      </c>
      <c r="G284" s="2">
        <v>0.0</v>
      </c>
      <c r="H284" s="2">
        <v>0.0</v>
      </c>
      <c r="I284" s="3" t="b">
        <v>0</v>
      </c>
      <c r="J284" s="2">
        <v>1.0</v>
      </c>
      <c r="K284" s="2">
        <v>5.0</v>
      </c>
      <c r="L284" s="2">
        <v>0.0</v>
      </c>
      <c r="M284" s="2">
        <v>4.0</v>
      </c>
      <c r="N284" s="1" t="s">
        <v>34</v>
      </c>
      <c r="O284" s="1" t="s">
        <v>25</v>
      </c>
      <c r="P284" s="4"/>
      <c r="Q284" s="4"/>
      <c r="R284" s="2"/>
      <c r="S284" s="2"/>
      <c r="U284" s="2"/>
      <c r="V284" s="1"/>
      <c r="W284" s="1"/>
      <c r="X284" s="6"/>
    </row>
    <row r="285">
      <c r="A285" s="1" t="s">
        <v>23</v>
      </c>
      <c r="B285" s="2">
        <v>503.0</v>
      </c>
      <c r="C285" s="1" t="s">
        <v>411</v>
      </c>
      <c r="D285" s="2">
        <v>29.0</v>
      </c>
      <c r="E285" s="1" t="s">
        <v>17</v>
      </c>
      <c r="F285" s="3" t="b">
        <v>0</v>
      </c>
      <c r="G285" s="2">
        <v>2.0</v>
      </c>
      <c r="H285" s="2">
        <v>0.0</v>
      </c>
      <c r="I285" s="3" t="b">
        <v>0</v>
      </c>
      <c r="J285" s="2">
        <v>2.0</v>
      </c>
      <c r="K285" s="2">
        <v>9.0</v>
      </c>
      <c r="L285" s="2">
        <v>0.0</v>
      </c>
      <c r="M285" s="2">
        <v>2.0</v>
      </c>
      <c r="N285" s="1" t="s">
        <v>34</v>
      </c>
      <c r="O285" s="1" t="s">
        <v>25</v>
      </c>
      <c r="P285" s="4"/>
      <c r="Q285" s="4"/>
      <c r="R285" s="2"/>
      <c r="S285" s="2"/>
      <c r="U285" s="2"/>
      <c r="V285" s="1"/>
      <c r="W285" s="1"/>
      <c r="X285" s="6"/>
    </row>
    <row r="286">
      <c r="A286" s="1" t="s">
        <v>15</v>
      </c>
      <c r="B286" s="2">
        <v>503.0</v>
      </c>
      <c r="C286" s="1" t="s">
        <v>412</v>
      </c>
      <c r="D286" s="2">
        <v>40.0</v>
      </c>
      <c r="E286" s="1" t="s">
        <v>17</v>
      </c>
      <c r="F286" s="3" t="b">
        <v>0</v>
      </c>
      <c r="G286" s="2">
        <v>2.0</v>
      </c>
      <c r="H286" s="2">
        <v>0.0</v>
      </c>
      <c r="I286" s="3" t="b">
        <v>0</v>
      </c>
      <c r="J286" s="2">
        <v>2.0</v>
      </c>
      <c r="K286" s="2">
        <v>6.0</v>
      </c>
      <c r="L286" s="2">
        <v>0.0</v>
      </c>
      <c r="M286" s="2">
        <v>3.0</v>
      </c>
      <c r="N286" s="1" t="s">
        <v>39</v>
      </c>
      <c r="O286" s="1" t="s">
        <v>25</v>
      </c>
      <c r="P286" s="1" t="s">
        <v>116</v>
      </c>
      <c r="Q286" s="4"/>
      <c r="R286" s="2"/>
      <c r="S286" s="2"/>
      <c r="U286" s="2"/>
      <c r="V286" s="1"/>
      <c r="W286" s="1"/>
      <c r="X286" s="6"/>
    </row>
    <row r="287">
      <c r="A287" s="1" t="s">
        <v>46</v>
      </c>
      <c r="B287" s="2">
        <v>503.0</v>
      </c>
      <c r="C287" s="1" t="s">
        <v>413</v>
      </c>
      <c r="D287" s="2">
        <v>47.0</v>
      </c>
      <c r="E287" s="1" t="s">
        <v>22</v>
      </c>
      <c r="F287" s="3" t="b">
        <v>0</v>
      </c>
      <c r="G287" s="2">
        <v>2.0</v>
      </c>
      <c r="H287" s="2">
        <v>0.0</v>
      </c>
      <c r="I287" s="3" t="b">
        <v>0</v>
      </c>
      <c r="J287" s="2">
        <v>3.0</v>
      </c>
      <c r="K287" s="2">
        <v>6.0</v>
      </c>
      <c r="L287" s="2">
        <v>0.0</v>
      </c>
      <c r="M287" s="2">
        <v>3.0</v>
      </c>
      <c r="N287" s="1" t="s">
        <v>34</v>
      </c>
      <c r="O287" s="1" t="s">
        <v>19</v>
      </c>
      <c r="P287" s="4"/>
      <c r="Q287" s="4"/>
      <c r="R287" s="2"/>
      <c r="S287" s="2"/>
      <c r="U287" s="2"/>
      <c r="V287" s="1"/>
      <c r="W287" s="1"/>
      <c r="X287" s="6"/>
    </row>
    <row r="288">
      <c r="A288" s="1" t="s">
        <v>26</v>
      </c>
      <c r="B288" s="2">
        <v>503.0</v>
      </c>
      <c r="C288" s="1" t="s">
        <v>414</v>
      </c>
      <c r="D288" s="2">
        <v>52.0</v>
      </c>
      <c r="E288" s="1" t="s">
        <v>22</v>
      </c>
      <c r="F288" s="3" t="b">
        <v>0</v>
      </c>
      <c r="G288" s="2">
        <v>0.0</v>
      </c>
      <c r="H288" s="2">
        <v>0.0</v>
      </c>
      <c r="I288" s="3" t="b">
        <v>0</v>
      </c>
      <c r="J288" s="2">
        <v>0.0</v>
      </c>
      <c r="K288" s="2">
        <v>6.0</v>
      </c>
      <c r="L288" s="2">
        <v>0.0</v>
      </c>
      <c r="M288" s="2">
        <v>5.0</v>
      </c>
      <c r="N288" s="1" t="s">
        <v>28</v>
      </c>
      <c r="O288" s="1" t="s">
        <v>25</v>
      </c>
      <c r="P288" s="4"/>
      <c r="Q288" s="4"/>
      <c r="R288" s="2"/>
      <c r="S288" s="2"/>
      <c r="U288" s="2"/>
      <c r="V288" s="1"/>
      <c r="W288" s="1"/>
      <c r="X288" s="1"/>
    </row>
    <row r="289">
      <c r="A289" s="1" t="s">
        <v>105</v>
      </c>
      <c r="B289" s="2">
        <v>503.0</v>
      </c>
      <c r="C289" s="1" t="s">
        <v>415</v>
      </c>
      <c r="D289" s="2">
        <v>7.0</v>
      </c>
      <c r="E289" s="1" t="s">
        <v>17</v>
      </c>
      <c r="F289" s="3" t="b">
        <v>0</v>
      </c>
      <c r="G289" s="2">
        <v>4.0</v>
      </c>
      <c r="H289" s="2">
        <v>0.0</v>
      </c>
      <c r="I289" s="3" t="b">
        <v>0</v>
      </c>
      <c r="J289" s="2">
        <v>5.0</v>
      </c>
      <c r="K289" s="2">
        <v>6.0</v>
      </c>
      <c r="L289" s="2">
        <v>0.0</v>
      </c>
      <c r="M289" s="2">
        <v>7.0</v>
      </c>
      <c r="N289" s="1" t="s">
        <v>18</v>
      </c>
      <c r="O289" s="1" t="s">
        <v>19</v>
      </c>
      <c r="P289" s="1" t="s">
        <v>416</v>
      </c>
      <c r="R289" s="2"/>
      <c r="S289" s="2"/>
      <c r="U289" s="2"/>
      <c r="V289" s="1"/>
      <c r="W289" s="1"/>
      <c r="X289" s="1"/>
    </row>
    <row r="290">
      <c r="A290" s="1" t="s">
        <v>15</v>
      </c>
      <c r="B290" s="2">
        <v>5406.0</v>
      </c>
      <c r="C290" s="1" t="s">
        <v>417</v>
      </c>
      <c r="D290" s="2">
        <v>13.0</v>
      </c>
      <c r="E290" s="1" t="s">
        <v>17</v>
      </c>
      <c r="F290" s="3" t="b">
        <v>0</v>
      </c>
      <c r="G290" s="2">
        <v>3.0</v>
      </c>
      <c r="H290" s="2">
        <v>0.0</v>
      </c>
      <c r="I290" s="3" t="b">
        <v>0</v>
      </c>
      <c r="J290" s="2">
        <v>3.0</v>
      </c>
      <c r="K290" s="2">
        <v>3.0</v>
      </c>
      <c r="L290" s="2">
        <v>0.0</v>
      </c>
      <c r="M290" s="2">
        <v>1.0</v>
      </c>
      <c r="N290" s="1" t="s">
        <v>34</v>
      </c>
      <c r="O290" s="1" t="s">
        <v>25</v>
      </c>
      <c r="P290" s="1" t="s">
        <v>418</v>
      </c>
      <c r="R290" s="2"/>
      <c r="S290" s="2"/>
      <c r="U290" s="2"/>
      <c r="V290" s="1"/>
      <c r="W290" s="1"/>
      <c r="X290" s="6"/>
    </row>
    <row r="291">
      <c r="A291" s="1" t="s">
        <v>53</v>
      </c>
      <c r="B291" s="2">
        <v>5406.0</v>
      </c>
      <c r="C291" s="1" t="s">
        <v>419</v>
      </c>
      <c r="D291" s="2">
        <v>19.0</v>
      </c>
      <c r="E291" s="1" t="s">
        <v>22</v>
      </c>
      <c r="F291" s="3" t="b">
        <v>1</v>
      </c>
      <c r="G291" s="2">
        <v>1.0</v>
      </c>
      <c r="H291" s="2">
        <v>0.0</v>
      </c>
      <c r="I291" s="3" t="b">
        <v>0</v>
      </c>
      <c r="J291" s="2">
        <v>1.0</v>
      </c>
      <c r="K291" s="2">
        <v>0.0</v>
      </c>
      <c r="L291" s="2">
        <v>0.0</v>
      </c>
      <c r="M291" s="2">
        <v>0.0</v>
      </c>
      <c r="N291" s="1" t="s">
        <v>39</v>
      </c>
      <c r="O291" s="1" t="s">
        <v>25</v>
      </c>
      <c r="P291" s="1" t="s">
        <v>420</v>
      </c>
      <c r="R291" s="2"/>
      <c r="S291" s="2"/>
      <c r="U291" s="2"/>
      <c r="V291" s="1"/>
      <c r="W291" s="1"/>
      <c r="X291" s="6"/>
    </row>
    <row r="292">
      <c r="A292" s="1" t="s">
        <v>49</v>
      </c>
      <c r="B292" s="2">
        <v>5406.0</v>
      </c>
      <c r="C292" s="1" t="s">
        <v>421</v>
      </c>
      <c r="D292" s="2">
        <v>25.0</v>
      </c>
      <c r="E292" s="1" t="s">
        <v>22</v>
      </c>
      <c r="F292" s="3" t="b">
        <v>0</v>
      </c>
      <c r="G292" s="2">
        <v>4.0</v>
      </c>
      <c r="H292" s="2">
        <v>0.0</v>
      </c>
      <c r="I292" s="3" t="b">
        <v>0</v>
      </c>
      <c r="J292" s="2">
        <v>5.0</v>
      </c>
      <c r="K292" s="2">
        <v>6.0</v>
      </c>
      <c r="L292" s="2">
        <v>0.0</v>
      </c>
      <c r="M292" s="2">
        <v>5.0</v>
      </c>
      <c r="N292" s="1" t="s">
        <v>39</v>
      </c>
      <c r="O292" s="1" t="s">
        <v>19</v>
      </c>
      <c r="P292" s="4"/>
      <c r="Q292" s="4"/>
      <c r="R292" s="2"/>
      <c r="S292" s="2"/>
      <c r="U292" s="2"/>
      <c r="V292" s="1"/>
      <c r="W292" s="1"/>
      <c r="X292" s="6"/>
    </row>
    <row r="293">
      <c r="A293" s="1" t="s">
        <v>101</v>
      </c>
      <c r="B293" s="2">
        <v>5406.0</v>
      </c>
      <c r="C293" s="1" t="s">
        <v>422</v>
      </c>
      <c r="D293" s="2">
        <v>34.0</v>
      </c>
      <c r="E293" s="1" t="s">
        <v>22</v>
      </c>
      <c r="F293" s="3" t="b">
        <v>0</v>
      </c>
      <c r="G293" s="2">
        <v>0.0</v>
      </c>
      <c r="H293" s="2">
        <v>0.0</v>
      </c>
      <c r="I293" s="3" t="b">
        <v>0</v>
      </c>
      <c r="J293" s="2">
        <v>0.0</v>
      </c>
      <c r="K293" s="2">
        <v>4.0</v>
      </c>
      <c r="L293" s="2">
        <v>0.0</v>
      </c>
      <c r="M293" s="2">
        <v>2.0</v>
      </c>
      <c r="N293" s="1" t="s">
        <v>34</v>
      </c>
      <c r="O293" s="1" t="s">
        <v>25</v>
      </c>
      <c r="P293" s="4"/>
      <c r="Q293" s="4"/>
      <c r="R293" s="2"/>
      <c r="S293" s="2"/>
      <c r="U293" s="2"/>
      <c r="V293" s="1"/>
      <c r="W293" s="1"/>
      <c r="X293" s="6"/>
    </row>
    <row r="294">
      <c r="A294" s="1" t="s">
        <v>37</v>
      </c>
      <c r="B294" s="2">
        <v>5406.0</v>
      </c>
      <c r="C294" s="1" t="s">
        <v>423</v>
      </c>
      <c r="D294" s="2">
        <v>42.0</v>
      </c>
      <c r="E294" s="1" t="s">
        <v>17</v>
      </c>
      <c r="F294" s="3" t="b">
        <v>0</v>
      </c>
      <c r="G294" s="2">
        <v>4.0</v>
      </c>
      <c r="H294" s="2">
        <v>0.0</v>
      </c>
      <c r="I294" s="3" t="b">
        <v>0</v>
      </c>
      <c r="J294" s="2">
        <v>4.0</v>
      </c>
      <c r="K294" s="2">
        <v>15.0</v>
      </c>
      <c r="L294" s="2">
        <v>0.0</v>
      </c>
      <c r="M294" s="2">
        <v>1.0</v>
      </c>
      <c r="N294" s="1" t="s">
        <v>34</v>
      </c>
      <c r="O294" s="1" t="s">
        <v>19</v>
      </c>
      <c r="P294" s="1" t="s">
        <v>424</v>
      </c>
      <c r="R294" s="2"/>
      <c r="S294" s="2"/>
      <c r="U294" s="2"/>
      <c r="V294" s="1"/>
      <c r="W294" s="1"/>
      <c r="X294" s="1"/>
    </row>
    <row r="295">
      <c r="A295" s="1" t="s">
        <v>26</v>
      </c>
      <c r="B295" s="2">
        <v>5406.0</v>
      </c>
      <c r="C295" s="1" t="s">
        <v>425</v>
      </c>
      <c r="D295" s="2">
        <v>53.0</v>
      </c>
      <c r="E295" s="1" t="s">
        <v>22</v>
      </c>
      <c r="F295" s="3" t="b">
        <v>0</v>
      </c>
      <c r="G295" s="2">
        <v>4.0</v>
      </c>
      <c r="H295" s="2">
        <v>0.0</v>
      </c>
      <c r="I295" s="3" t="b">
        <v>0</v>
      </c>
      <c r="J295" s="2">
        <v>4.0</v>
      </c>
      <c r="K295" s="2">
        <v>5.0</v>
      </c>
      <c r="L295" s="2">
        <v>0.0</v>
      </c>
      <c r="M295" s="2">
        <v>1.0</v>
      </c>
      <c r="N295" s="1" t="s">
        <v>39</v>
      </c>
      <c r="O295" s="1" t="s">
        <v>19</v>
      </c>
      <c r="P295" s="1" t="s">
        <v>426</v>
      </c>
      <c r="R295" s="2"/>
      <c r="S295" s="2"/>
      <c r="U295" s="2"/>
      <c r="V295" s="1"/>
      <c r="W295" s="1"/>
      <c r="X295" s="6"/>
    </row>
    <row r="296">
      <c r="A296" s="1" t="s">
        <v>23</v>
      </c>
      <c r="B296" s="2">
        <v>5406.0</v>
      </c>
      <c r="C296" s="1" t="s">
        <v>427</v>
      </c>
      <c r="D296" s="2">
        <v>8.0</v>
      </c>
      <c r="E296" s="1" t="s">
        <v>17</v>
      </c>
      <c r="F296" s="3" t="b">
        <v>0</v>
      </c>
      <c r="G296" s="2">
        <v>2.0</v>
      </c>
      <c r="H296" s="2">
        <v>0.0</v>
      </c>
      <c r="I296" s="3" t="b">
        <v>0</v>
      </c>
      <c r="J296" s="2">
        <v>2.0</v>
      </c>
      <c r="K296" s="2">
        <v>9.0</v>
      </c>
      <c r="L296" s="2">
        <v>0.0</v>
      </c>
      <c r="M296" s="2">
        <v>1.0</v>
      </c>
      <c r="N296" s="1" t="s">
        <v>39</v>
      </c>
      <c r="O296" s="1" t="s">
        <v>19</v>
      </c>
      <c r="P296" s="1" t="s">
        <v>428</v>
      </c>
      <c r="R296" s="2"/>
      <c r="S296" s="2"/>
      <c r="U296" s="2"/>
      <c r="V296" s="1"/>
      <c r="W296" s="1"/>
      <c r="X296" s="1"/>
    </row>
    <row r="297">
      <c r="A297" s="1" t="s">
        <v>105</v>
      </c>
      <c r="B297" s="2">
        <v>5484.0</v>
      </c>
      <c r="C297" s="1" t="s">
        <v>429</v>
      </c>
      <c r="D297" s="2">
        <v>12.0</v>
      </c>
      <c r="E297" s="1" t="s">
        <v>17</v>
      </c>
      <c r="F297" s="3" t="b">
        <v>0</v>
      </c>
      <c r="G297" s="2">
        <v>2.0</v>
      </c>
      <c r="H297" s="2">
        <v>0.0</v>
      </c>
      <c r="I297" s="3" t="b">
        <v>0</v>
      </c>
      <c r="J297" s="2">
        <v>2.0</v>
      </c>
      <c r="K297" s="2">
        <v>1.0</v>
      </c>
      <c r="L297" s="2">
        <v>0.0</v>
      </c>
      <c r="M297" s="2">
        <v>1.0</v>
      </c>
      <c r="N297" s="1" t="s">
        <v>34</v>
      </c>
      <c r="O297" s="1" t="s">
        <v>25</v>
      </c>
      <c r="P297" s="4"/>
      <c r="Q297" s="4"/>
      <c r="R297" s="2"/>
      <c r="S297" s="2"/>
      <c r="U297" s="2"/>
      <c r="V297" s="1"/>
      <c r="W297" s="1"/>
      <c r="X297" s="6"/>
    </row>
    <row r="298">
      <c r="A298" s="1" t="s">
        <v>20</v>
      </c>
      <c r="B298" s="2">
        <v>5484.0</v>
      </c>
      <c r="C298" s="1" t="s">
        <v>430</v>
      </c>
      <c r="D298" s="2">
        <v>18.0</v>
      </c>
      <c r="E298" s="1" t="s">
        <v>22</v>
      </c>
      <c r="F298" s="3" t="b">
        <v>0</v>
      </c>
      <c r="G298" s="2">
        <v>2.0</v>
      </c>
      <c r="H298" s="2">
        <v>0.0</v>
      </c>
      <c r="I298" s="3" t="b">
        <v>0</v>
      </c>
      <c r="J298" s="2">
        <v>2.0</v>
      </c>
      <c r="K298" s="2">
        <v>7.0</v>
      </c>
      <c r="L298" s="2">
        <v>0.0</v>
      </c>
      <c r="M298" s="2">
        <v>0.0</v>
      </c>
      <c r="N298" s="1" t="s">
        <v>34</v>
      </c>
      <c r="O298" s="1" t="s">
        <v>19</v>
      </c>
      <c r="P298" s="4"/>
      <c r="Q298" s="4"/>
      <c r="R298" s="2"/>
      <c r="S298" s="2"/>
      <c r="U298" s="2"/>
      <c r="V298" s="1"/>
      <c r="W298" s="1"/>
      <c r="X298" s="6"/>
    </row>
    <row r="299">
      <c r="A299" s="1" t="s">
        <v>30</v>
      </c>
      <c r="B299" s="2">
        <v>5484.0</v>
      </c>
      <c r="C299" s="1" t="s">
        <v>431</v>
      </c>
      <c r="D299" s="2">
        <v>29.0</v>
      </c>
      <c r="E299" s="1" t="s">
        <v>17</v>
      </c>
      <c r="F299" s="3" t="b">
        <v>0</v>
      </c>
      <c r="G299" s="2">
        <v>2.0</v>
      </c>
      <c r="H299" s="2">
        <v>0.0</v>
      </c>
      <c r="I299" s="3" t="b">
        <v>0</v>
      </c>
      <c r="J299" s="2">
        <v>2.0</v>
      </c>
      <c r="K299" s="2">
        <v>0.0</v>
      </c>
      <c r="L299" s="2">
        <v>0.0</v>
      </c>
      <c r="M299" s="2">
        <v>0.0</v>
      </c>
      <c r="N299" s="1" t="s">
        <v>34</v>
      </c>
      <c r="O299" s="1" t="s">
        <v>25</v>
      </c>
      <c r="P299" s="4"/>
      <c r="Q299" s="4"/>
      <c r="R299" s="2"/>
      <c r="S299" s="2"/>
      <c r="U299" s="2"/>
      <c r="V299" s="1"/>
      <c r="W299" s="1"/>
      <c r="X299" s="1"/>
    </row>
    <row r="300">
      <c r="A300" s="1" t="s">
        <v>37</v>
      </c>
      <c r="B300" s="2">
        <v>5484.0</v>
      </c>
      <c r="C300" s="1" t="s">
        <v>432</v>
      </c>
      <c r="D300" s="2">
        <v>34.0</v>
      </c>
      <c r="E300" s="1" t="s">
        <v>17</v>
      </c>
      <c r="F300" s="3" t="b">
        <v>0</v>
      </c>
      <c r="G300" s="2">
        <v>2.0</v>
      </c>
      <c r="H300" s="2">
        <v>0.0</v>
      </c>
      <c r="I300" s="3" t="b">
        <v>0</v>
      </c>
      <c r="J300" s="2">
        <v>2.0</v>
      </c>
      <c r="K300" s="2">
        <v>0.0</v>
      </c>
      <c r="L300" s="2">
        <v>0.0</v>
      </c>
      <c r="M300" s="2">
        <v>0.0</v>
      </c>
      <c r="N300" s="1" t="s">
        <v>34</v>
      </c>
      <c r="O300" s="1" t="s">
        <v>19</v>
      </c>
      <c r="P300" s="1" t="s">
        <v>433</v>
      </c>
      <c r="R300" s="2"/>
      <c r="S300" s="2"/>
      <c r="U300" s="2"/>
      <c r="V300" s="1"/>
      <c r="W300" s="1"/>
      <c r="X300" s="6"/>
    </row>
    <row r="301">
      <c r="A301" s="1" t="s">
        <v>118</v>
      </c>
      <c r="B301" s="2">
        <v>5484.0</v>
      </c>
      <c r="C301" s="1" t="s">
        <v>434</v>
      </c>
      <c r="D301" s="2">
        <v>41.0</v>
      </c>
      <c r="E301" s="1" t="s">
        <v>22</v>
      </c>
      <c r="F301" s="3" t="b">
        <v>1</v>
      </c>
      <c r="G301" s="2">
        <v>1.0</v>
      </c>
      <c r="H301" s="2">
        <v>0.0</v>
      </c>
      <c r="I301" s="3" t="b">
        <v>0</v>
      </c>
      <c r="J301" s="2">
        <v>1.0</v>
      </c>
      <c r="K301" s="2">
        <v>0.0</v>
      </c>
      <c r="L301" s="2">
        <v>0.0</v>
      </c>
      <c r="M301" s="2">
        <v>0.0</v>
      </c>
      <c r="N301" s="1" t="s">
        <v>18</v>
      </c>
      <c r="O301" s="1" t="s">
        <v>19</v>
      </c>
      <c r="P301" s="1" t="s">
        <v>435</v>
      </c>
      <c r="R301" s="6"/>
    </row>
    <row r="302">
      <c r="A302" s="1" t="s">
        <v>26</v>
      </c>
      <c r="B302" s="2">
        <v>5484.0</v>
      </c>
      <c r="C302" s="1" t="s">
        <v>436</v>
      </c>
      <c r="D302" s="2">
        <v>49.0</v>
      </c>
      <c r="E302" s="1" t="s">
        <v>22</v>
      </c>
      <c r="F302" s="3" t="b">
        <v>0</v>
      </c>
      <c r="G302" s="2">
        <v>2.0</v>
      </c>
      <c r="H302" s="2">
        <v>0.0</v>
      </c>
      <c r="I302" s="3" t="b">
        <v>0</v>
      </c>
      <c r="J302" s="2">
        <v>2.0</v>
      </c>
      <c r="K302" s="2">
        <v>6.0</v>
      </c>
      <c r="L302" s="2">
        <v>0.0</v>
      </c>
      <c r="M302" s="2">
        <v>0.0</v>
      </c>
      <c r="N302" s="1" t="s">
        <v>39</v>
      </c>
      <c r="O302" s="1" t="s">
        <v>25</v>
      </c>
      <c r="P302" s="4"/>
      <c r="Q302" s="4"/>
      <c r="R302" s="6"/>
    </row>
    <row r="303">
      <c r="A303" s="1" t="s">
        <v>55</v>
      </c>
      <c r="B303" s="2">
        <v>5484.0</v>
      </c>
      <c r="C303" s="1" t="s">
        <v>437</v>
      </c>
      <c r="D303" s="2">
        <v>60.0</v>
      </c>
      <c r="E303" s="1" t="s">
        <v>22</v>
      </c>
      <c r="F303" s="3" t="b">
        <v>0</v>
      </c>
      <c r="G303" s="2">
        <v>2.0</v>
      </c>
      <c r="H303" s="2">
        <v>0.0</v>
      </c>
      <c r="I303" s="3" t="b">
        <v>0</v>
      </c>
      <c r="J303" s="2">
        <v>2.0</v>
      </c>
      <c r="K303" s="2">
        <v>6.0</v>
      </c>
      <c r="L303" s="2">
        <v>0.0</v>
      </c>
      <c r="M303" s="2">
        <v>3.0</v>
      </c>
      <c r="N303" s="1" t="s">
        <v>34</v>
      </c>
      <c r="O303" s="1" t="s">
        <v>25</v>
      </c>
      <c r="P303" s="4"/>
      <c r="Q303" s="4"/>
      <c r="R303" s="1"/>
    </row>
    <row r="304">
      <c r="A304" s="1" t="s">
        <v>20</v>
      </c>
      <c r="B304" s="2">
        <v>5484.0</v>
      </c>
      <c r="C304" s="1" t="s">
        <v>438</v>
      </c>
      <c r="D304" s="2">
        <v>6.0</v>
      </c>
      <c r="E304" s="1" t="s">
        <v>22</v>
      </c>
      <c r="F304" s="3" t="b">
        <v>0</v>
      </c>
      <c r="G304" s="2">
        <v>2.0</v>
      </c>
      <c r="H304" s="2">
        <v>0.0</v>
      </c>
      <c r="I304" s="3" t="b">
        <v>0</v>
      </c>
      <c r="J304" s="2">
        <v>2.0</v>
      </c>
      <c r="K304" s="2">
        <v>0.0</v>
      </c>
      <c r="L304" s="2">
        <v>0.0</v>
      </c>
      <c r="M304" s="2">
        <v>0.0</v>
      </c>
      <c r="N304" s="1" t="s">
        <v>34</v>
      </c>
      <c r="O304" s="1" t="s">
        <v>19</v>
      </c>
      <c r="P304" s="4"/>
      <c r="Q304" s="4"/>
      <c r="R304" s="1"/>
    </row>
    <row r="305">
      <c r="A305" s="1" t="s">
        <v>23</v>
      </c>
      <c r="B305" s="2">
        <v>5712.0</v>
      </c>
      <c r="C305" s="1" t="s">
        <v>439</v>
      </c>
      <c r="D305" s="2">
        <v>11.0</v>
      </c>
      <c r="E305" s="1" t="s">
        <v>17</v>
      </c>
      <c r="F305" s="3" t="b">
        <v>0</v>
      </c>
      <c r="G305" s="2">
        <v>0.0</v>
      </c>
      <c r="H305" s="2">
        <v>0.0</v>
      </c>
      <c r="I305" s="3" t="b">
        <v>0</v>
      </c>
      <c r="J305" s="2">
        <v>1.0</v>
      </c>
      <c r="K305" s="2">
        <v>26.0</v>
      </c>
      <c r="L305" s="2">
        <v>0.0</v>
      </c>
      <c r="M305" s="2">
        <v>1.0</v>
      </c>
      <c r="N305" s="1" t="s">
        <v>39</v>
      </c>
      <c r="O305" s="1" t="s">
        <v>19</v>
      </c>
      <c r="P305" s="1" t="s">
        <v>440</v>
      </c>
      <c r="R305" s="6"/>
    </row>
    <row r="306">
      <c r="A306" s="1" t="s">
        <v>37</v>
      </c>
      <c r="B306" s="2">
        <v>5712.0</v>
      </c>
      <c r="C306" s="1" t="s">
        <v>441</v>
      </c>
      <c r="D306" s="2">
        <v>18.0</v>
      </c>
      <c r="E306" s="1" t="s">
        <v>17</v>
      </c>
      <c r="F306" s="3" t="b">
        <v>0</v>
      </c>
      <c r="G306" s="2">
        <v>0.0</v>
      </c>
      <c r="H306" s="2">
        <v>0.0</v>
      </c>
      <c r="I306" s="3" t="b">
        <v>0</v>
      </c>
      <c r="J306" s="2">
        <v>2.0</v>
      </c>
      <c r="K306" s="2">
        <v>7.0</v>
      </c>
      <c r="L306" s="2">
        <v>0.0</v>
      </c>
      <c r="M306" s="2">
        <v>3.0</v>
      </c>
      <c r="N306" s="1" t="s">
        <v>34</v>
      </c>
      <c r="O306" s="1" t="s">
        <v>25</v>
      </c>
      <c r="P306" s="1" t="s">
        <v>442</v>
      </c>
      <c r="R306" s="4"/>
    </row>
    <row r="307">
      <c r="A307" s="1" t="s">
        <v>77</v>
      </c>
      <c r="B307" s="2">
        <v>5712.0</v>
      </c>
      <c r="C307" s="1" t="s">
        <v>443</v>
      </c>
      <c r="D307" s="2">
        <v>27.0</v>
      </c>
      <c r="E307" s="1" t="s">
        <v>22</v>
      </c>
      <c r="F307" s="3" t="b">
        <v>0</v>
      </c>
      <c r="G307" s="2">
        <v>0.0</v>
      </c>
      <c r="H307" s="2">
        <v>0.0</v>
      </c>
      <c r="I307" s="3" t="b">
        <v>0</v>
      </c>
      <c r="J307" s="2">
        <v>1.0</v>
      </c>
      <c r="K307" s="2">
        <v>14.0</v>
      </c>
      <c r="L307" s="2">
        <v>1.0</v>
      </c>
      <c r="M307" s="2">
        <v>2.0</v>
      </c>
      <c r="N307" s="1" t="s">
        <v>34</v>
      </c>
      <c r="O307" s="1" t="s">
        <v>25</v>
      </c>
      <c r="P307" s="4"/>
      <c r="Q307" s="4"/>
      <c r="R307" s="6"/>
    </row>
    <row r="308">
      <c r="A308" s="1" t="s">
        <v>37</v>
      </c>
      <c r="B308" s="2">
        <v>5712.0</v>
      </c>
      <c r="C308" s="1" t="s">
        <v>444</v>
      </c>
      <c r="D308" s="2">
        <v>3.0</v>
      </c>
      <c r="E308" s="1" t="s">
        <v>17</v>
      </c>
      <c r="F308" s="3" t="b">
        <v>0</v>
      </c>
      <c r="G308" s="2">
        <v>1.0</v>
      </c>
      <c r="H308" s="2">
        <v>0.0</v>
      </c>
      <c r="I308" s="3" t="b">
        <v>0</v>
      </c>
      <c r="J308" s="2">
        <v>1.0</v>
      </c>
      <c r="K308" s="2">
        <v>8.0</v>
      </c>
      <c r="L308" s="2">
        <v>0.0</v>
      </c>
      <c r="M308" s="2">
        <v>0.0</v>
      </c>
      <c r="N308" s="1" t="s">
        <v>34</v>
      </c>
      <c r="O308" s="1" t="s">
        <v>25</v>
      </c>
      <c r="P308" s="1" t="s">
        <v>445</v>
      </c>
      <c r="R308" s="4"/>
    </row>
    <row r="309">
      <c r="A309" s="1" t="s">
        <v>77</v>
      </c>
      <c r="B309" s="2">
        <v>5712.0</v>
      </c>
      <c r="C309" s="1" t="s">
        <v>446</v>
      </c>
      <c r="D309" s="2">
        <v>40.0</v>
      </c>
      <c r="E309" s="1" t="s">
        <v>22</v>
      </c>
      <c r="F309" s="3" t="b">
        <v>0</v>
      </c>
      <c r="G309" s="2">
        <v>1.0</v>
      </c>
      <c r="H309" s="2">
        <v>0.0</v>
      </c>
      <c r="I309" s="3" t="b">
        <v>0</v>
      </c>
      <c r="J309" s="2">
        <v>1.0</v>
      </c>
      <c r="K309" s="2">
        <v>8.0</v>
      </c>
      <c r="L309" s="2">
        <v>0.0</v>
      </c>
      <c r="M309" s="2">
        <v>3.0</v>
      </c>
      <c r="N309" s="1" t="s">
        <v>34</v>
      </c>
      <c r="O309" s="1" t="s">
        <v>19</v>
      </c>
      <c r="P309" s="4"/>
      <c r="Q309" s="4"/>
      <c r="R309" s="1"/>
    </row>
    <row r="310">
      <c r="A310" s="1" t="s">
        <v>26</v>
      </c>
      <c r="B310" s="2">
        <v>5712.0</v>
      </c>
      <c r="C310" s="1" t="s">
        <v>447</v>
      </c>
      <c r="D310" s="2">
        <v>48.0</v>
      </c>
      <c r="E310" s="1" t="s">
        <v>22</v>
      </c>
      <c r="F310" s="3" t="b">
        <v>0</v>
      </c>
      <c r="G310" s="2">
        <v>2.0</v>
      </c>
      <c r="H310" s="2">
        <v>0.0</v>
      </c>
      <c r="I310" s="3" t="b">
        <v>0</v>
      </c>
      <c r="J310" s="2">
        <v>2.0</v>
      </c>
      <c r="K310" s="2">
        <v>12.0</v>
      </c>
      <c r="L310" s="2">
        <v>0.0</v>
      </c>
      <c r="M310" s="2">
        <v>2.0</v>
      </c>
      <c r="N310" s="1" t="s">
        <v>34</v>
      </c>
      <c r="O310" s="1" t="s">
        <v>25</v>
      </c>
      <c r="P310" s="4"/>
      <c r="Q310" s="4"/>
      <c r="R310" s="1"/>
    </row>
    <row r="311">
      <c r="A311" s="1" t="s">
        <v>20</v>
      </c>
      <c r="B311" s="2">
        <v>5712.0</v>
      </c>
      <c r="C311" s="1" t="s">
        <v>448</v>
      </c>
      <c r="D311" s="2">
        <v>53.0</v>
      </c>
      <c r="E311" s="1" t="s">
        <v>22</v>
      </c>
      <c r="F311" s="3" t="b">
        <v>0</v>
      </c>
      <c r="G311" s="2">
        <v>2.0</v>
      </c>
      <c r="H311" s="2">
        <v>0.0</v>
      </c>
      <c r="I311" s="3" t="b">
        <v>0</v>
      </c>
      <c r="J311" s="2">
        <v>2.0</v>
      </c>
      <c r="K311" s="2">
        <v>10.0</v>
      </c>
      <c r="L311" s="2">
        <v>0.0</v>
      </c>
      <c r="M311" s="2">
        <v>0.0</v>
      </c>
      <c r="N311" s="1" t="s">
        <v>34</v>
      </c>
      <c r="O311" s="1" t="s">
        <v>19</v>
      </c>
      <c r="P311" s="4"/>
      <c r="Q311" s="4"/>
      <c r="R311" s="6"/>
    </row>
    <row r="312">
      <c r="A312" s="1" t="s">
        <v>55</v>
      </c>
      <c r="B312" s="2">
        <v>5712.0</v>
      </c>
      <c r="C312" s="1" t="s">
        <v>449</v>
      </c>
      <c r="D312" s="2">
        <v>58.0</v>
      </c>
      <c r="E312" s="1" t="s">
        <v>22</v>
      </c>
      <c r="F312" s="3" t="b">
        <v>0</v>
      </c>
      <c r="G312" s="2">
        <v>2.0</v>
      </c>
      <c r="H312" s="2">
        <v>0.0</v>
      </c>
      <c r="I312" s="3" t="b">
        <v>0</v>
      </c>
      <c r="J312" s="2">
        <v>2.0</v>
      </c>
      <c r="K312" s="2">
        <v>11.0</v>
      </c>
      <c r="L312" s="2">
        <v>0.0</v>
      </c>
      <c r="M312" s="2">
        <v>4.0</v>
      </c>
      <c r="N312" s="1" t="s">
        <v>42</v>
      </c>
      <c r="O312" s="1" t="s">
        <v>25</v>
      </c>
      <c r="P312" s="4"/>
      <c r="Q312" s="6"/>
      <c r="R312" s="6"/>
    </row>
    <row r="313">
      <c r="A313" s="1" t="s">
        <v>77</v>
      </c>
      <c r="B313" s="2">
        <v>587.0</v>
      </c>
      <c r="C313" s="1" t="s">
        <v>450</v>
      </c>
      <c r="D313" s="2">
        <v>16.0</v>
      </c>
      <c r="E313" s="1" t="s">
        <v>22</v>
      </c>
      <c r="F313" s="3" t="b">
        <v>0</v>
      </c>
      <c r="G313" s="2">
        <v>2.0</v>
      </c>
      <c r="H313" s="2">
        <v>0.0</v>
      </c>
      <c r="I313" s="3" t="b">
        <v>0</v>
      </c>
      <c r="J313" s="2">
        <v>2.0</v>
      </c>
      <c r="K313" s="2">
        <v>11.0</v>
      </c>
      <c r="L313" s="2">
        <v>0.0</v>
      </c>
      <c r="M313" s="2">
        <v>6.0</v>
      </c>
      <c r="N313" s="1" t="s">
        <v>39</v>
      </c>
      <c r="O313" s="1" t="s">
        <v>19</v>
      </c>
      <c r="P313" s="4"/>
      <c r="Q313" s="4"/>
      <c r="R313" s="4"/>
    </row>
    <row r="314">
      <c r="A314" s="1" t="s">
        <v>118</v>
      </c>
      <c r="B314" s="2">
        <v>587.0</v>
      </c>
      <c r="C314" s="1" t="s">
        <v>451</v>
      </c>
      <c r="D314" s="2">
        <v>22.0</v>
      </c>
      <c r="E314" s="1" t="s">
        <v>22</v>
      </c>
      <c r="F314" s="3" t="b">
        <v>0</v>
      </c>
      <c r="G314" s="2">
        <v>2.0</v>
      </c>
      <c r="H314" s="2">
        <v>0.0</v>
      </c>
      <c r="I314" s="3" t="b">
        <v>0</v>
      </c>
      <c r="J314" s="2">
        <v>2.0</v>
      </c>
      <c r="K314" s="2">
        <v>1.0</v>
      </c>
      <c r="L314" s="2">
        <v>0.0</v>
      </c>
      <c r="M314" s="2">
        <v>0.0</v>
      </c>
      <c r="N314" s="1" t="s">
        <v>34</v>
      </c>
      <c r="O314" s="1" t="s">
        <v>19</v>
      </c>
      <c r="P314" s="1" t="s">
        <v>452</v>
      </c>
      <c r="R314" s="6"/>
    </row>
    <row r="315">
      <c r="A315" s="1" t="s">
        <v>51</v>
      </c>
      <c r="B315" s="2">
        <v>587.0</v>
      </c>
      <c r="C315" s="1" t="s">
        <v>453</v>
      </c>
      <c r="D315" s="2">
        <v>31.0</v>
      </c>
      <c r="E315" s="1" t="s">
        <v>17</v>
      </c>
      <c r="F315" s="3" t="b">
        <v>0</v>
      </c>
      <c r="G315" s="2">
        <v>1.0</v>
      </c>
      <c r="H315" s="2">
        <v>0.0</v>
      </c>
      <c r="I315" s="3" t="b">
        <v>0</v>
      </c>
      <c r="J315" s="2">
        <v>1.0</v>
      </c>
      <c r="K315" s="2">
        <v>7.0</v>
      </c>
      <c r="L315" s="2">
        <v>1.0</v>
      </c>
      <c r="M315" s="2">
        <v>7.0</v>
      </c>
      <c r="N315" s="1" t="s">
        <v>34</v>
      </c>
      <c r="O315" s="1" t="s">
        <v>25</v>
      </c>
      <c r="P315" s="4"/>
      <c r="Q315" s="4"/>
      <c r="R315" s="1"/>
    </row>
    <row r="316">
      <c r="A316" s="1" t="s">
        <v>15</v>
      </c>
      <c r="B316" s="2">
        <v>587.0</v>
      </c>
      <c r="C316" s="1" t="s">
        <v>454</v>
      </c>
      <c r="D316" s="2">
        <v>37.0</v>
      </c>
      <c r="E316" s="1" t="s">
        <v>17</v>
      </c>
      <c r="F316" s="3" t="b">
        <v>0</v>
      </c>
      <c r="G316" s="2">
        <v>0.0</v>
      </c>
      <c r="H316" s="2">
        <v>1.0</v>
      </c>
      <c r="I316" s="3" t="b">
        <v>0</v>
      </c>
      <c r="J316" s="2">
        <v>1.0</v>
      </c>
      <c r="K316" s="2">
        <v>16.0</v>
      </c>
      <c r="L316" s="2">
        <v>0.0</v>
      </c>
      <c r="M316" s="2">
        <v>5.0</v>
      </c>
      <c r="N316" s="1" t="s">
        <v>34</v>
      </c>
      <c r="O316" s="1" t="s">
        <v>19</v>
      </c>
      <c r="P316" s="1" t="s">
        <v>455</v>
      </c>
      <c r="R316" s="6"/>
    </row>
    <row r="317">
      <c r="A317" s="1" t="s">
        <v>23</v>
      </c>
      <c r="B317" s="2">
        <v>587.0</v>
      </c>
      <c r="C317" s="1" t="s">
        <v>456</v>
      </c>
      <c r="D317" s="2">
        <v>44.0</v>
      </c>
      <c r="E317" s="1" t="s">
        <v>17</v>
      </c>
      <c r="F317" s="3" t="b">
        <v>0</v>
      </c>
      <c r="G317" s="2">
        <v>1.0</v>
      </c>
      <c r="H317" s="2">
        <v>0.0</v>
      </c>
      <c r="I317" s="3" t="b">
        <v>0</v>
      </c>
      <c r="J317" s="2">
        <v>1.0</v>
      </c>
      <c r="K317" s="2">
        <v>1.0</v>
      </c>
      <c r="L317" s="2">
        <v>0.0</v>
      </c>
      <c r="M317" s="2">
        <v>3.0</v>
      </c>
      <c r="N317" s="1" t="s">
        <v>34</v>
      </c>
      <c r="O317" s="1" t="s">
        <v>19</v>
      </c>
      <c r="P317" s="4"/>
      <c r="Q317" s="4"/>
      <c r="R317" s="6"/>
    </row>
    <row r="318">
      <c r="A318" s="1" t="s">
        <v>51</v>
      </c>
      <c r="B318" s="2">
        <v>587.0</v>
      </c>
      <c r="C318" s="1" t="s">
        <v>457</v>
      </c>
      <c r="D318" s="2">
        <v>51.0</v>
      </c>
      <c r="E318" s="1" t="s">
        <v>17</v>
      </c>
      <c r="F318" s="3" t="b">
        <v>0</v>
      </c>
      <c r="G318" s="2">
        <v>0.0</v>
      </c>
      <c r="H318" s="2">
        <v>0.0</v>
      </c>
      <c r="I318" s="3" t="b">
        <v>0</v>
      </c>
      <c r="J318" s="2">
        <v>2.0</v>
      </c>
      <c r="K318" s="2">
        <v>12.0</v>
      </c>
      <c r="L318" s="2">
        <v>0.0</v>
      </c>
      <c r="M318" s="2">
        <v>3.0</v>
      </c>
      <c r="N318" s="1" t="s">
        <v>34</v>
      </c>
      <c r="O318" s="1" t="s">
        <v>25</v>
      </c>
      <c r="P318" s="4"/>
      <c r="Q318" s="4"/>
      <c r="R318" s="1"/>
    </row>
    <row r="319">
      <c r="A319" s="1" t="s">
        <v>26</v>
      </c>
      <c r="B319" s="2">
        <v>587.0</v>
      </c>
      <c r="C319" s="1" t="s">
        <v>458</v>
      </c>
      <c r="D319" s="2">
        <v>57.0</v>
      </c>
      <c r="E319" s="1" t="s">
        <v>22</v>
      </c>
      <c r="F319" s="3" t="b">
        <v>0</v>
      </c>
      <c r="G319" s="2">
        <v>0.0</v>
      </c>
      <c r="H319" s="2">
        <v>0.0</v>
      </c>
      <c r="I319" s="3" t="b">
        <v>0</v>
      </c>
      <c r="J319" s="2">
        <v>0.0</v>
      </c>
      <c r="K319" s="2">
        <v>12.0</v>
      </c>
      <c r="L319" s="2">
        <v>0.0</v>
      </c>
      <c r="M319" s="2">
        <v>4.0</v>
      </c>
      <c r="N319" s="1" t="s">
        <v>39</v>
      </c>
      <c r="O319" s="1" t="s">
        <v>19</v>
      </c>
      <c r="P319" s="4"/>
      <c r="Q319" s="4"/>
      <c r="R319" s="6"/>
    </row>
    <row r="320">
      <c r="A320" s="1" t="s">
        <v>55</v>
      </c>
      <c r="B320" s="2">
        <v>587.0</v>
      </c>
      <c r="C320" s="1" t="s">
        <v>459</v>
      </c>
      <c r="D320" s="2">
        <v>5.0</v>
      </c>
      <c r="E320" s="1" t="s">
        <v>22</v>
      </c>
      <c r="F320" s="3" t="b">
        <v>0</v>
      </c>
      <c r="G320" s="2">
        <v>0.0</v>
      </c>
      <c r="H320" s="2">
        <v>0.0</v>
      </c>
      <c r="I320" s="3" t="b">
        <v>0</v>
      </c>
      <c r="J320" s="2">
        <v>0.0</v>
      </c>
      <c r="K320" s="2">
        <v>8.0</v>
      </c>
      <c r="L320" s="2">
        <v>1.0</v>
      </c>
      <c r="M320" s="2">
        <v>3.0</v>
      </c>
      <c r="N320" s="1" t="s">
        <v>39</v>
      </c>
      <c r="O320" s="1" t="s">
        <v>25</v>
      </c>
      <c r="P320" s="4"/>
      <c r="Q320" s="4"/>
      <c r="R320" s="6"/>
    </row>
    <row r="321">
      <c r="A321" s="1" t="s">
        <v>43</v>
      </c>
      <c r="B321" s="2">
        <v>624.0</v>
      </c>
      <c r="C321" s="1" t="s">
        <v>460</v>
      </c>
      <c r="D321" s="2">
        <v>10.0</v>
      </c>
      <c r="E321" s="1" t="s">
        <v>17</v>
      </c>
      <c r="F321" s="3" t="b">
        <v>0</v>
      </c>
      <c r="G321" s="2">
        <v>3.0</v>
      </c>
      <c r="H321" s="2">
        <v>0.0</v>
      </c>
      <c r="I321" s="3" t="b">
        <v>0</v>
      </c>
      <c r="J321" s="2">
        <v>3.0</v>
      </c>
      <c r="K321" s="2">
        <v>11.0</v>
      </c>
      <c r="L321" s="2">
        <v>1.0</v>
      </c>
      <c r="M321" s="2">
        <v>0.0</v>
      </c>
      <c r="N321" s="1" t="s">
        <v>28</v>
      </c>
      <c r="O321" s="1" t="s">
        <v>25</v>
      </c>
      <c r="P321" s="4"/>
      <c r="Q321" s="4"/>
      <c r="R321" s="4"/>
    </row>
    <row r="322">
      <c r="A322" s="1" t="s">
        <v>23</v>
      </c>
      <c r="B322" s="2">
        <v>624.0</v>
      </c>
      <c r="C322" s="1" t="s">
        <v>461</v>
      </c>
      <c r="D322" s="2">
        <v>24.0</v>
      </c>
      <c r="E322" s="1" t="s">
        <v>17</v>
      </c>
      <c r="F322" s="3" t="b">
        <v>0</v>
      </c>
      <c r="G322" s="2">
        <v>5.0</v>
      </c>
      <c r="H322" s="2">
        <v>0.0</v>
      </c>
      <c r="I322" s="3" t="b">
        <v>0</v>
      </c>
      <c r="J322" s="2">
        <v>5.0</v>
      </c>
      <c r="K322" s="2">
        <v>4.0</v>
      </c>
      <c r="L322" s="2">
        <v>0.0</v>
      </c>
      <c r="M322" s="2">
        <v>2.0</v>
      </c>
      <c r="N322" s="1" t="s">
        <v>39</v>
      </c>
      <c r="O322" s="1" t="s">
        <v>25</v>
      </c>
      <c r="P322" s="1" t="s">
        <v>462</v>
      </c>
      <c r="R322" s="4"/>
    </row>
    <row r="323">
      <c r="A323" s="1" t="s">
        <v>51</v>
      </c>
      <c r="B323" s="2">
        <v>624.0</v>
      </c>
      <c r="C323" s="1" t="s">
        <v>463</v>
      </c>
      <c r="D323" s="2">
        <v>29.0</v>
      </c>
      <c r="E323" s="1" t="s">
        <v>17</v>
      </c>
      <c r="F323" s="3" t="b">
        <v>0</v>
      </c>
      <c r="G323" s="2">
        <v>5.0</v>
      </c>
      <c r="H323" s="2">
        <v>0.0</v>
      </c>
      <c r="I323" s="3" t="b">
        <v>0</v>
      </c>
      <c r="J323" s="2">
        <v>5.0</v>
      </c>
      <c r="K323" s="2">
        <v>13.0</v>
      </c>
      <c r="L323" s="2">
        <v>0.0</v>
      </c>
      <c r="M323" s="2">
        <v>4.0</v>
      </c>
      <c r="N323" s="1" t="s">
        <v>34</v>
      </c>
      <c r="O323" s="1" t="s">
        <v>25</v>
      </c>
      <c r="P323" s="4"/>
      <c r="Q323" s="4"/>
      <c r="R323" s="1"/>
    </row>
    <row r="324">
      <c r="A324" s="1" t="s">
        <v>77</v>
      </c>
      <c r="B324" s="2">
        <v>624.0</v>
      </c>
      <c r="C324" s="1" t="s">
        <v>464</v>
      </c>
      <c r="D324" s="2">
        <v>34.0</v>
      </c>
      <c r="E324" s="1" t="s">
        <v>22</v>
      </c>
      <c r="F324" s="3" t="b">
        <v>0</v>
      </c>
      <c r="G324" s="2">
        <v>4.0</v>
      </c>
      <c r="H324" s="2">
        <v>0.0</v>
      </c>
      <c r="I324" s="3" t="b">
        <v>0</v>
      </c>
      <c r="J324" s="2">
        <v>4.0</v>
      </c>
      <c r="K324" s="2">
        <v>17.0</v>
      </c>
      <c r="L324" s="2">
        <v>0.0</v>
      </c>
      <c r="M324" s="2">
        <v>1.0</v>
      </c>
      <c r="N324" s="1" t="s">
        <v>28</v>
      </c>
      <c r="O324" s="1" t="s">
        <v>25</v>
      </c>
      <c r="P324" s="4"/>
      <c r="Q324" s="4"/>
      <c r="R324" s="6"/>
    </row>
    <row r="325">
      <c r="A325" s="1" t="s">
        <v>46</v>
      </c>
      <c r="B325" s="2">
        <v>624.0</v>
      </c>
      <c r="C325" s="1" t="s">
        <v>465</v>
      </c>
      <c r="D325" s="2">
        <v>3.0</v>
      </c>
      <c r="E325" s="1" t="s">
        <v>22</v>
      </c>
      <c r="F325" s="3" t="b">
        <v>0</v>
      </c>
      <c r="G325" s="2">
        <v>4.0</v>
      </c>
      <c r="H325" s="2">
        <v>0.0</v>
      </c>
      <c r="I325" s="3" t="b">
        <v>0</v>
      </c>
      <c r="J325" s="2">
        <v>5.0</v>
      </c>
      <c r="K325" s="2">
        <v>9.0</v>
      </c>
      <c r="L325" s="2">
        <v>0.0</v>
      </c>
      <c r="M325" s="2">
        <v>2.0</v>
      </c>
      <c r="N325" s="1" t="s">
        <v>18</v>
      </c>
      <c r="O325" s="1" t="s">
        <v>19</v>
      </c>
      <c r="P325" s="4"/>
      <c r="Q325" s="4"/>
      <c r="R325" s="6"/>
    </row>
    <row r="326">
      <c r="A326" s="1" t="s">
        <v>23</v>
      </c>
      <c r="B326" s="2">
        <v>624.0</v>
      </c>
      <c r="C326" s="1" t="s">
        <v>466</v>
      </c>
      <c r="D326" s="2">
        <v>45.0</v>
      </c>
      <c r="E326" s="1" t="s">
        <v>17</v>
      </c>
      <c r="F326" s="3" t="b">
        <v>0</v>
      </c>
      <c r="G326" s="2">
        <v>5.0</v>
      </c>
      <c r="H326" s="2">
        <v>0.0</v>
      </c>
      <c r="I326" s="3" t="b">
        <v>0</v>
      </c>
      <c r="J326" s="2">
        <v>5.0</v>
      </c>
      <c r="K326" s="2">
        <v>12.0</v>
      </c>
      <c r="L326" s="2">
        <v>0.0</v>
      </c>
      <c r="M326" s="2">
        <v>3.0</v>
      </c>
      <c r="N326" s="1" t="s">
        <v>28</v>
      </c>
      <c r="O326" s="1" t="s">
        <v>19</v>
      </c>
      <c r="P326" s="1" t="s">
        <v>467</v>
      </c>
      <c r="R326" s="6"/>
    </row>
    <row r="327">
      <c r="A327" s="1" t="s">
        <v>15</v>
      </c>
      <c r="B327" s="2">
        <v>624.0</v>
      </c>
      <c r="C327" s="1" t="s">
        <v>468</v>
      </c>
      <c r="D327" s="2">
        <v>51.0</v>
      </c>
      <c r="E327" s="1" t="s">
        <v>17</v>
      </c>
      <c r="F327" s="3" t="b">
        <v>0</v>
      </c>
      <c r="G327" s="2">
        <v>4.0</v>
      </c>
      <c r="H327" s="2">
        <v>0.0</v>
      </c>
      <c r="I327" s="3" t="b">
        <v>0</v>
      </c>
      <c r="J327" s="2">
        <v>4.0</v>
      </c>
      <c r="K327" s="2">
        <v>15.0</v>
      </c>
      <c r="L327" s="2">
        <v>0.0</v>
      </c>
      <c r="M327" s="2">
        <v>8.0</v>
      </c>
      <c r="N327" s="1" t="s">
        <v>18</v>
      </c>
      <c r="O327" s="1" t="s">
        <v>25</v>
      </c>
      <c r="P327" s="1" t="s">
        <v>469</v>
      </c>
      <c r="R327" s="6"/>
    </row>
    <row r="328">
      <c r="A328" s="1" t="s">
        <v>51</v>
      </c>
      <c r="B328" s="2">
        <v>624.0</v>
      </c>
      <c r="C328" s="1" t="s">
        <v>470</v>
      </c>
      <c r="D328" s="2">
        <v>57.0</v>
      </c>
      <c r="E328" s="1" t="s">
        <v>17</v>
      </c>
      <c r="F328" s="3" t="b">
        <v>0</v>
      </c>
      <c r="G328" s="2">
        <v>5.0</v>
      </c>
      <c r="H328" s="2">
        <v>0.0</v>
      </c>
      <c r="I328" s="3" t="b">
        <v>0</v>
      </c>
      <c r="J328" s="2">
        <v>5.0</v>
      </c>
      <c r="K328" s="2">
        <v>17.0</v>
      </c>
      <c r="L328" s="2">
        <v>2.0</v>
      </c>
      <c r="M328" s="2">
        <v>6.0</v>
      </c>
      <c r="N328" s="1" t="s">
        <v>18</v>
      </c>
      <c r="O328" s="1" t="s">
        <v>25</v>
      </c>
      <c r="P328" s="4"/>
      <c r="Q328" s="4"/>
      <c r="R328" s="1"/>
    </row>
    <row r="329">
      <c r="A329" s="1" t="s">
        <v>37</v>
      </c>
      <c r="B329" s="2">
        <v>67.0</v>
      </c>
      <c r="C329" s="1" t="s">
        <v>471</v>
      </c>
      <c r="D329" s="2">
        <v>13.0</v>
      </c>
      <c r="E329" s="1" t="s">
        <v>17</v>
      </c>
      <c r="F329" s="3" t="b">
        <v>0</v>
      </c>
      <c r="G329" s="2">
        <v>4.0</v>
      </c>
      <c r="H329" s="2">
        <v>0.0</v>
      </c>
      <c r="I329" s="3" t="b">
        <v>0</v>
      </c>
      <c r="J329" s="2">
        <v>5.0</v>
      </c>
      <c r="K329" s="2">
        <v>17.0</v>
      </c>
      <c r="L329" s="2">
        <v>0.0</v>
      </c>
      <c r="M329" s="2">
        <v>3.0</v>
      </c>
      <c r="N329" s="1" t="s">
        <v>34</v>
      </c>
      <c r="O329" s="1" t="s">
        <v>25</v>
      </c>
      <c r="P329" s="1" t="s">
        <v>472</v>
      </c>
      <c r="Q329" s="4"/>
      <c r="R329" s="4"/>
    </row>
    <row r="330">
      <c r="A330" s="1" t="s">
        <v>53</v>
      </c>
      <c r="B330" s="2">
        <v>67.0</v>
      </c>
      <c r="C330" s="1" t="s">
        <v>473</v>
      </c>
      <c r="D330" s="2">
        <v>21.0</v>
      </c>
      <c r="E330" s="1" t="s">
        <v>22</v>
      </c>
      <c r="F330" s="3" t="b">
        <v>0</v>
      </c>
      <c r="G330" s="2">
        <v>2.0</v>
      </c>
      <c r="H330" s="2">
        <v>0.0</v>
      </c>
      <c r="I330" s="3" t="b">
        <v>0</v>
      </c>
      <c r="J330" s="2">
        <v>2.0</v>
      </c>
      <c r="K330" s="2">
        <v>11.0</v>
      </c>
      <c r="L330" s="2">
        <v>0.0</v>
      </c>
      <c r="M330" s="2">
        <v>1.0</v>
      </c>
      <c r="N330" s="1" t="s">
        <v>34</v>
      </c>
      <c r="O330" s="1" t="s">
        <v>25</v>
      </c>
      <c r="P330" s="4"/>
      <c r="Q330" s="4"/>
      <c r="R330" s="6"/>
    </row>
    <row r="331">
      <c r="A331" s="1" t="s">
        <v>26</v>
      </c>
      <c r="B331" s="2">
        <v>67.0</v>
      </c>
      <c r="C331" s="1" t="s">
        <v>474</v>
      </c>
      <c r="D331" s="2">
        <v>2.0</v>
      </c>
      <c r="E331" s="1" t="s">
        <v>22</v>
      </c>
      <c r="F331" s="3" t="b">
        <v>0</v>
      </c>
      <c r="G331" s="2">
        <v>3.0</v>
      </c>
      <c r="H331" s="2">
        <v>0.0</v>
      </c>
      <c r="I331" s="3" t="b">
        <v>0</v>
      </c>
      <c r="J331" s="2">
        <v>3.0</v>
      </c>
      <c r="K331" s="2">
        <v>14.0</v>
      </c>
      <c r="L331" s="2">
        <v>0.0</v>
      </c>
      <c r="M331" s="2">
        <v>0.0</v>
      </c>
      <c r="N331" s="1" t="s">
        <v>34</v>
      </c>
      <c r="O331" s="1" t="s">
        <v>19</v>
      </c>
      <c r="P331" s="4"/>
      <c r="Q331" s="4"/>
      <c r="R331" s="1"/>
    </row>
    <row r="332">
      <c r="A332" s="1" t="s">
        <v>101</v>
      </c>
      <c r="B332" s="2">
        <v>67.0</v>
      </c>
      <c r="C332" s="1" t="s">
        <v>475</v>
      </c>
      <c r="D332" s="2">
        <v>31.0</v>
      </c>
      <c r="E332" s="1" t="s">
        <v>22</v>
      </c>
      <c r="F332" s="3" t="b">
        <v>0</v>
      </c>
      <c r="G332" s="2">
        <v>3.0</v>
      </c>
      <c r="H332" s="2">
        <v>0.0</v>
      </c>
      <c r="I332" s="3" t="b">
        <v>0</v>
      </c>
      <c r="J332" s="2">
        <v>3.0</v>
      </c>
      <c r="K332" s="2">
        <v>12.0</v>
      </c>
      <c r="L332" s="2">
        <v>0.0</v>
      </c>
      <c r="M332" s="2">
        <v>2.0</v>
      </c>
      <c r="N332" s="1" t="s">
        <v>34</v>
      </c>
      <c r="O332" s="1" t="s">
        <v>19</v>
      </c>
      <c r="P332" s="4"/>
      <c r="Q332" s="4"/>
      <c r="R332" s="6"/>
    </row>
    <row r="333">
      <c r="A333" s="1" t="s">
        <v>37</v>
      </c>
      <c r="B333" s="2">
        <v>67.0</v>
      </c>
      <c r="C333" s="1" t="s">
        <v>476</v>
      </c>
      <c r="D333" s="2">
        <v>37.0</v>
      </c>
      <c r="E333" s="1" t="s">
        <v>17</v>
      </c>
      <c r="F333" s="3" t="b">
        <v>0</v>
      </c>
      <c r="G333" s="2">
        <v>3.0</v>
      </c>
      <c r="H333" s="2">
        <v>0.0</v>
      </c>
      <c r="I333" s="3" t="b">
        <v>0</v>
      </c>
      <c r="J333" s="2">
        <v>3.0</v>
      </c>
      <c r="K333" s="2">
        <v>20.0</v>
      </c>
      <c r="L333" s="2">
        <v>0.0</v>
      </c>
      <c r="M333" s="2">
        <v>1.0</v>
      </c>
      <c r="N333" s="1" t="s">
        <v>39</v>
      </c>
      <c r="O333" s="1" t="s">
        <v>19</v>
      </c>
      <c r="P333" s="4"/>
      <c r="Q333" s="4"/>
      <c r="R333" s="6"/>
    </row>
    <row r="334">
      <c r="A334" s="1" t="s">
        <v>112</v>
      </c>
      <c r="B334" s="2">
        <v>67.0</v>
      </c>
      <c r="C334" s="1" t="s">
        <v>477</v>
      </c>
      <c r="D334" s="2">
        <v>46.0</v>
      </c>
      <c r="E334" s="1" t="s">
        <v>22</v>
      </c>
      <c r="F334" s="3" t="b">
        <v>0</v>
      </c>
      <c r="G334" s="2">
        <v>0.0</v>
      </c>
      <c r="H334" s="2">
        <v>0.0</v>
      </c>
      <c r="I334" s="3" t="b">
        <v>0</v>
      </c>
      <c r="J334" s="2">
        <v>2.0</v>
      </c>
      <c r="K334" s="2">
        <v>4.0</v>
      </c>
      <c r="L334" s="2">
        <v>0.0</v>
      </c>
      <c r="M334" s="2">
        <v>2.0</v>
      </c>
      <c r="N334" s="1" t="s">
        <v>28</v>
      </c>
      <c r="O334" s="1" t="s">
        <v>25</v>
      </c>
      <c r="P334" s="4"/>
      <c r="Q334" s="4"/>
      <c r="R334" s="6"/>
    </row>
    <row r="335">
      <c r="A335" s="1" t="s">
        <v>15</v>
      </c>
      <c r="B335" s="2">
        <v>67.0</v>
      </c>
      <c r="C335" s="1" t="s">
        <v>478</v>
      </c>
      <c r="D335" s="2">
        <v>60.0</v>
      </c>
      <c r="E335" s="1" t="s">
        <v>17</v>
      </c>
      <c r="F335" s="3" t="b">
        <v>0</v>
      </c>
      <c r="G335" s="2">
        <v>4.0</v>
      </c>
      <c r="H335" s="2">
        <v>0.0</v>
      </c>
      <c r="I335" s="3" t="b">
        <v>0</v>
      </c>
      <c r="J335" s="2">
        <v>4.0</v>
      </c>
      <c r="K335" s="2">
        <v>21.0</v>
      </c>
      <c r="L335" s="2">
        <v>0.0</v>
      </c>
      <c r="M335" s="2">
        <v>0.0</v>
      </c>
      <c r="N335" s="1" t="s">
        <v>39</v>
      </c>
      <c r="O335" s="1" t="s">
        <v>19</v>
      </c>
      <c r="P335" s="4"/>
      <c r="Q335" s="4"/>
      <c r="R335" s="6"/>
    </row>
    <row r="336">
      <c r="A336" s="1" t="s">
        <v>15</v>
      </c>
      <c r="B336" s="2">
        <v>694.0</v>
      </c>
      <c r="C336" s="1" t="s">
        <v>479</v>
      </c>
      <c r="D336" s="2">
        <v>12.0</v>
      </c>
      <c r="E336" s="1" t="s">
        <v>17</v>
      </c>
      <c r="F336" s="3" t="b">
        <v>0</v>
      </c>
      <c r="G336" s="2">
        <v>3.0</v>
      </c>
      <c r="H336" s="2">
        <v>0.0</v>
      </c>
      <c r="I336" s="3" t="b">
        <v>0</v>
      </c>
      <c r="J336" s="2">
        <v>4.0</v>
      </c>
      <c r="K336" s="2">
        <v>13.0</v>
      </c>
      <c r="L336" s="2">
        <v>0.0</v>
      </c>
      <c r="M336" s="2">
        <v>0.0</v>
      </c>
      <c r="N336" s="1" t="s">
        <v>42</v>
      </c>
      <c r="O336" s="1" t="s">
        <v>25</v>
      </c>
      <c r="P336" s="1" t="s">
        <v>480</v>
      </c>
      <c r="R336" s="4"/>
    </row>
    <row r="337">
      <c r="A337" s="1" t="s">
        <v>55</v>
      </c>
      <c r="B337" s="2">
        <v>694.0</v>
      </c>
      <c r="C337" s="1" t="s">
        <v>481</v>
      </c>
      <c r="D337" s="2">
        <v>24.0</v>
      </c>
      <c r="E337" s="1" t="s">
        <v>22</v>
      </c>
      <c r="F337" s="3" t="b">
        <v>0</v>
      </c>
      <c r="G337" s="2">
        <v>4.0</v>
      </c>
      <c r="H337" s="2">
        <v>0.0</v>
      </c>
      <c r="I337" s="3" t="b">
        <v>0</v>
      </c>
      <c r="J337" s="2">
        <v>4.0</v>
      </c>
      <c r="K337" s="2">
        <v>10.0</v>
      </c>
      <c r="L337" s="2">
        <v>0.0</v>
      </c>
      <c r="M337" s="2">
        <v>1.0</v>
      </c>
      <c r="N337" s="1" t="s">
        <v>34</v>
      </c>
      <c r="O337" s="1" t="s">
        <v>19</v>
      </c>
      <c r="P337" s="4"/>
      <c r="Q337" s="4"/>
      <c r="R337" s="6"/>
    </row>
    <row r="338">
      <c r="A338" s="1" t="s">
        <v>71</v>
      </c>
      <c r="B338" s="2">
        <v>694.0</v>
      </c>
      <c r="C338" s="1" t="s">
        <v>482</v>
      </c>
      <c r="D338" s="2">
        <v>31.0</v>
      </c>
      <c r="E338" s="1" t="s">
        <v>22</v>
      </c>
      <c r="F338" s="3" t="b">
        <v>0</v>
      </c>
      <c r="G338" s="2">
        <v>2.0</v>
      </c>
      <c r="H338" s="2">
        <v>0.0</v>
      </c>
      <c r="I338" s="3" t="b">
        <v>0</v>
      </c>
      <c r="J338" s="2">
        <v>3.0</v>
      </c>
      <c r="K338" s="2">
        <v>9.0</v>
      </c>
      <c r="L338" s="2">
        <v>0.0</v>
      </c>
      <c r="M338" s="2">
        <v>1.0</v>
      </c>
      <c r="N338" s="1" t="s">
        <v>34</v>
      </c>
      <c r="O338" s="1" t="s">
        <v>19</v>
      </c>
      <c r="P338" s="4"/>
      <c r="Q338" s="4"/>
      <c r="R338" s="6"/>
    </row>
    <row r="339">
      <c r="A339" s="1" t="s">
        <v>26</v>
      </c>
      <c r="B339" s="2">
        <v>694.0</v>
      </c>
      <c r="C339" s="1" t="s">
        <v>483</v>
      </c>
      <c r="D339" s="2">
        <v>36.0</v>
      </c>
      <c r="E339" s="1" t="s">
        <v>22</v>
      </c>
      <c r="F339" s="3" t="b">
        <v>0</v>
      </c>
      <c r="G339" s="2">
        <v>4.0</v>
      </c>
      <c r="H339" s="2">
        <v>0.0</v>
      </c>
      <c r="I339" s="3" t="b">
        <v>0</v>
      </c>
      <c r="J339" s="2">
        <v>4.0</v>
      </c>
      <c r="K339" s="2">
        <v>6.0</v>
      </c>
      <c r="L339" s="2">
        <v>0.0</v>
      </c>
      <c r="M339" s="2">
        <v>0.0</v>
      </c>
      <c r="N339" s="1" t="s">
        <v>34</v>
      </c>
      <c r="O339" s="1" t="s">
        <v>25</v>
      </c>
      <c r="P339" s="4"/>
      <c r="Q339" s="4"/>
      <c r="R339" s="6"/>
    </row>
    <row r="340">
      <c r="A340" s="1" t="s">
        <v>46</v>
      </c>
      <c r="B340" s="2">
        <v>694.0</v>
      </c>
      <c r="C340" s="1" t="s">
        <v>484</v>
      </c>
      <c r="D340" s="2">
        <v>42.0</v>
      </c>
      <c r="E340" s="1" t="s">
        <v>22</v>
      </c>
      <c r="F340" s="3" t="b">
        <v>0</v>
      </c>
      <c r="G340" s="2">
        <v>2.0</v>
      </c>
      <c r="H340" s="2">
        <v>0.0</v>
      </c>
      <c r="I340" s="3" t="b">
        <v>0</v>
      </c>
      <c r="J340" s="2">
        <v>4.0</v>
      </c>
      <c r="K340" s="2">
        <v>9.0</v>
      </c>
      <c r="L340" s="2">
        <v>0.0</v>
      </c>
      <c r="M340" s="2">
        <v>1.0</v>
      </c>
      <c r="N340" s="1" t="s">
        <v>42</v>
      </c>
      <c r="O340" s="1" t="s">
        <v>25</v>
      </c>
      <c r="P340" s="4"/>
      <c r="Q340" s="4"/>
      <c r="R340" s="6"/>
    </row>
    <row r="341">
      <c r="A341" s="1" t="s">
        <v>23</v>
      </c>
      <c r="B341" s="2">
        <v>694.0</v>
      </c>
      <c r="C341" s="1" t="s">
        <v>485</v>
      </c>
      <c r="D341" s="2">
        <v>49.0</v>
      </c>
      <c r="E341" s="1" t="s">
        <v>17</v>
      </c>
      <c r="F341" s="3" t="b">
        <v>0</v>
      </c>
      <c r="G341" s="2">
        <v>5.0</v>
      </c>
      <c r="H341" s="2">
        <v>0.0</v>
      </c>
      <c r="I341" s="3" t="b">
        <v>0</v>
      </c>
      <c r="J341" s="2">
        <v>5.0</v>
      </c>
      <c r="K341" s="2">
        <v>12.0</v>
      </c>
      <c r="L341" s="2">
        <v>0.0</v>
      </c>
      <c r="M341" s="2">
        <v>0.0</v>
      </c>
      <c r="N341" s="1" t="s">
        <v>34</v>
      </c>
      <c r="O341" s="1" t="s">
        <v>19</v>
      </c>
      <c r="P341" s="4"/>
      <c r="Q341" s="4"/>
      <c r="R341" s="1"/>
    </row>
    <row r="342">
      <c r="A342" s="1" t="s">
        <v>43</v>
      </c>
      <c r="B342" s="2">
        <v>694.0</v>
      </c>
      <c r="C342" s="1" t="s">
        <v>486</v>
      </c>
      <c r="D342" s="2">
        <v>58.0</v>
      </c>
      <c r="E342" s="1" t="s">
        <v>17</v>
      </c>
      <c r="F342" s="3" t="b">
        <v>0</v>
      </c>
      <c r="G342" s="2">
        <v>4.0</v>
      </c>
      <c r="H342" s="2">
        <v>0.0</v>
      </c>
      <c r="I342" s="3" t="b">
        <v>0</v>
      </c>
      <c r="J342" s="2">
        <v>4.0</v>
      </c>
      <c r="K342" s="2">
        <v>10.0</v>
      </c>
      <c r="L342" s="2">
        <v>0.0</v>
      </c>
      <c r="M342" s="2">
        <v>1.0</v>
      </c>
      <c r="N342" s="1" t="s">
        <v>34</v>
      </c>
      <c r="O342" s="1" t="s">
        <v>19</v>
      </c>
      <c r="P342" s="4"/>
      <c r="Q342" s="4"/>
      <c r="R342" s="6"/>
    </row>
    <row r="343">
      <c r="A343" s="1" t="s">
        <v>77</v>
      </c>
      <c r="B343" s="2">
        <v>694.0</v>
      </c>
      <c r="C343" s="1" t="s">
        <v>487</v>
      </c>
      <c r="D343" s="2">
        <v>7.0</v>
      </c>
      <c r="E343" s="1" t="s">
        <v>22</v>
      </c>
      <c r="F343" s="3" t="b">
        <v>0</v>
      </c>
      <c r="G343" s="2">
        <v>3.0</v>
      </c>
      <c r="H343" s="2">
        <v>0.0</v>
      </c>
      <c r="I343" s="3" t="b">
        <v>0</v>
      </c>
      <c r="J343" s="2">
        <v>4.0</v>
      </c>
      <c r="K343" s="2">
        <v>10.0</v>
      </c>
      <c r="L343" s="2">
        <v>0.0</v>
      </c>
      <c r="M343" s="2">
        <v>3.0</v>
      </c>
      <c r="N343" s="1" t="s">
        <v>42</v>
      </c>
      <c r="O343" s="1" t="s">
        <v>25</v>
      </c>
      <c r="P343" s="4"/>
      <c r="Q343" s="4"/>
      <c r="R343" s="6"/>
    </row>
    <row r="344">
      <c r="A344" s="1" t="s">
        <v>37</v>
      </c>
      <c r="B344" s="2">
        <v>7457.0</v>
      </c>
      <c r="C344" s="1" t="s">
        <v>488</v>
      </c>
      <c r="D344" s="2">
        <v>11.0</v>
      </c>
      <c r="E344" s="1" t="s">
        <v>17</v>
      </c>
      <c r="F344" s="3" t="b">
        <v>0</v>
      </c>
      <c r="G344" s="2">
        <v>4.0</v>
      </c>
      <c r="H344" s="2">
        <v>0.0</v>
      </c>
      <c r="I344" s="3" t="b">
        <v>0</v>
      </c>
      <c r="J344" s="2">
        <v>4.0</v>
      </c>
      <c r="K344" s="2">
        <v>9.0</v>
      </c>
      <c r="L344" s="2">
        <v>0.0</v>
      </c>
      <c r="M344" s="2">
        <v>2.0</v>
      </c>
      <c r="N344" s="1" t="s">
        <v>18</v>
      </c>
      <c r="O344" s="1" t="s">
        <v>19</v>
      </c>
      <c r="P344" s="1" t="s">
        <v>489</v>
      </c>
      <c r="R344" s="6"/>
    </row>
    <row r="345">
      <c r="A345" s="1" t="s">
        <v>49</v>
      </c>
      <c r="B345" s="2">
        <v>7457.0</v>
      </c>
      <c r="C345" s="1" t="s">
        <v>490</v>
      </c>
      <c r="D345" s="2">
        <v>21.0</v>
      </c>
      <c r="E345" s="1" t="s">
        <v>22</v>
      </c>
      <c r="F345" s="3" t="b">
        <v>0</v>
      </c>
      <c r="G345" s="2">
        <v>3.0</v>
      </c>
      <c r="H345" s="2">
        <v>0.0</v>
      </c>
      <c r="I345" s="3" t="b">
        <v>0</v>
      </c>
      <c r="J345" s="2">
        <v>3.0</v>
      </c>
      <c r="K345" s="2">
        <v>2.0</v>
      </c>
      <c r="L345" s="2">
        <v>0.0</v>
      </c>
      <c r="M345" s="2">
        <v>1.0</v>
      </c>
      <c r="N345" s="1" t="s">
        <v>39</v>
      </c>
      <c r="O345" s="1" t="s">
        <v>25</v>
      </c>
      <c r="P345" s="1" t="s">
        <v>491</v>
      </c>
      <c r="R345" s="4"/>
    </row>
    <row r="346">
      <c r="A346" s="1" t="s">
        <v>30</v>
      </c>
      <c r="B346" s="2">
        <v>7457.0</v>
      </c>
      <c r="C346" s="1" t="s">
        <v>492</v>
      </c>
      <c r="D346" s="2">
        <v>31.0</v>
      </c>
      <c r="E346" s="1" t="s">
        <v>17</v>
      </c>
      <c r="F346" s="3" t="b">
        <v>0</v>
      </c>
      <c r="G346" s="2">
        <v>5.0</v>
      </c>
      <c r="H346" s="2">
        <v>0.0</v>
      </c>
      <c r="I346" s="3" t="b">
        <v>0</v>
      </c>
      <c r="J346" s="2">
        <v>5.0</v>
      </c>
      <c r="K346" s="2">
        <v>8.0</v>
      </c>
      <c r="L346" s="2">
        <v>0.0</v>
      </c>
      <c r="M346" s="2">
        <v>0.0</v>
      </c>
      <c r="N346" s="1" t="s">
        <v>34</v>
      </c>
      <c r="O346" s="1" t="s">
        <v>25</v>
      </c>
      <c r="P346" s="4"/>
      <c r="Q346" s="4"/>
      <c r="R346" s="4"/>
    </row>
    <row r="347">
      <c r="A347" s="1" t="s">
        <v>15</v>
      </c>
      <c r="B347" s="2">
        <v>7457.0</v>
      </c>
      <c r="C347" s="1" t="s">
        <v>493</v>
      </c>
      <c r="D347" s="2">
        <v>36.0</v>
      </c>
      <c r="E347" s="1" t="s">
        <v>17</v>
      </c>
      <c r="F347" s="3" t="b">
        <v>0</v>
      </c>
      <c r="G347" s="2">
        <v>4.0</v>
      </c>
      <c r="H347" s="2">
        <v>0.0</v>
      </c>
      <c r="I347" s="3" t="b">
        <v>0</v>
      </c>
      <c r="J347" s="2">
        <v>4.0</v>
      </c>
      <c r="K347" s="2">
        <v>15.0</v>
      </c>
      <c r="L347" s="2">
        <v>0.0</v>
      </c>
      <c r="M347" s="2">
        <v>4.0</v>
      </c>
      <c r="N347" s="1" t="s">
        <v>34</v>
      </c>
      <c r="O347" s="1" t="s">
        <v>19</v>
      </c>
      <c r="P347" s="4"/>
      <c r="Q347" s="4"/>
      <c r="R347" s="1"/>
    </row>
    <row r="348">
      <c r="A348" s="1" t="s">
        <v>49</v>
      </c>
      <c r="B348" s="2">
        <v>7457.0</v>
      </c>
      <c r="C348" s="1" t="s">
        <v>494</v>
      </c>
      <c r="D348" s="2">
        <v>43.0</v>
      </c>
      <c r="E348" s="1" t="s">
        <v>22</v>
      </c>
      <c r="F348" s="3" t="b">
        <v>0</v>
      </c>
      <c r="G348" s="2">
        <v>1.0</v>
      </c>
      <c r="H348" s="2">
        <v>0.0</v>
      </c>
      <c r="I348" s="3" t="b">
        <v>0</v>
      </c>
      <c r="J348" s="2">
        <v>1.0</v>
      </c>
      <c r="K348" s="2">
        <v>4.0</v>
      </c>
      <c r="L348" s="2">
        <v>0.0</v>
      </c>
      <c r="M348" s="2">
        <v>3.0</v>
      </c>
      <c r="N348" s="1" t="s">
        <v>18</v>
      </c>
      <c r="O348" s="1" t="s">
        <v>19</v>
      </c>
      <c r="P348" s="4"/>
      <c r="Q348" s="4"/>
      <c r="R348" s="6"/>
    </row>
    <row r="349">
      <c r="A349" s="1" t="s">
        <v>46</v>
      </c>
      <c r="B349" s="2">
        <v>7457.0</v>
      </c>
      <c r="C349" s="1" t="s">
        <v>31</v>
      </c>
      <c r="D349" s="2">
        <v>50.0</v>
      </c>
      <c r="E349" s="1" t="s">
        <v>22</v>
      </c>
      <c r="F349" s="3" t="b">
        <v>0</v>
      </c>
      <c r="G349" s="2">
        <v>5.0</v>
      </c>
      <c r="H349" s="2">
        <v>0.0</v>
      </c>
      <c r="I349" s="3" t="b">
        <v>0</v>
      </c>
      <c r="J349" s="2">
        <v>5.0</v>
      </c>
      <c r="K349" s="2">
        <v>9.0</v>
      </c>
      <c r="L349" s="2">
        <v>0.0</v>
      </c>
      <c r="M349" s="2">
        <v>0.0</v>
      </c>
      <c r="N349" s="1" t="s">
        <v>34</v>
      </c>
      <c r="O349" s="1" t="s">
        <v>25</v>
      </c>
      <c r="P349" s="4"/>
      <c r="Q349" s="4"/>
    </row>
    <row r="350">
      <c r="A350" s="1" t="s">
        <v>105</v>
      </c>
      <c r="B350" s="2">
        <v>7457.0</v>
      </c>
      <c r="C350" s="1" t="s">
        <v>495</v>
      </c>
      <c r="D350" s="2">
        <v>6.0</v>
      </c>
      <c r="E350" s="1" t="s">
        <v>17</v>
      </c>
      <c r="F350" s="3" t="b">
        <v>0</v>
      </c>
      <c r="G350" s="2">
        <v>0.0</v>
      </c>
      <c r="H350" s="2">
        <v>0.0</v>
      </c>
      <c r="I350" s="3" t="b">
        <v>0</v>
      </c>
      <c r="J350" s="2">
        <v>0.0</v>
      </c>
      <c r="K350" s="2">
        <v>5.0</v>
      </c>
      <c r="L350" s="2">
        <v>0.0</v>
      </c>
      <c r="M350" s="2">
        <v>2.0</v>
      </c>
      <c r="N350" s="1" t="s">
        <v>18</v>
      </c>
      <c r="O350" s="1" t="s">
        <v>25</v>
      </c>
      <c r="P350" s="1" t="s">
        <v>496</v>
      </c>
      <c r="R350" s="6"/>
    </row>
    <row r="351">
      <c r="A351" s="1" t="s">
        <v>37</v>
      </c>
      <c r="B351" s="2">
        <v>829.0</v>
      </c>
      <c r="C351" s="1" t="s">
        <v>497</v>
      </c>
      <c r="D351" s="2">
        <v>12.0</v>
      </c>
      <c r="E351" s="1" t="s">
        <v>17</v>
      </c>
      <c r="F351" s="3" t="b">
        <v>0</v>
      </c>
      <c r="G351" s="2">
        <v>1.0</v>
      </c>
      <c r="H351" s="2">
        <v>0.0</v>
      </c>
      <c r="I351" s="3" t="b">
        <v>0</v>
      </c>
      <c r="J351" s="2">
        <v>1.0</v>
      </c>
      <c r="K351" s="2">
        <v>13.0</v>
      </c>
      <c r="L351" s="2">
        <v>0.0</v>
      </c>
      <c r="M351" s="2">
        <v>2.0</v>
      </c>
      <c r="N351" s="1" t="s">
        <v>39</v>
      </c>
      <c r="O351" s="1" t="s">
        <v>25</v>
      </c>
      <c r="P351" s="4"/>
      <c r="Q351" s="4"/>
      <c r="R351" s="6"/>
    </row>
    <row r="352">
      <c r="A352" s="1" t="s">
        <v>37</v>
      </c>
      <c r="B352" s="2">
        <v>829.0</v>
      </c>
      <c r="C352" s="1" t="s">
        <v>498</v>
      </c>
      <c r="D352" s="2">
        <v>20.0</v>
      </c>
      <c r="E352" s="1" t="s">
        <v>17</v>
      </c>
      <c r="F352" s="3" t="b">
        <v>1</v>
      </c>
      <c r="G352" s="2">
        <v>2.0</v>
      </c>
      <c r="H352" s="2">
        <v>0.0</v>
      </c>
      <c r="I352" s="3" t="b">
        <v>0</v>
      </c>
      <c r="J352" s="2">
        <v>4.0</v>
      </c>
      <c r="K352" s="2">
        <v>7.0</v>
      </c>
      <c r="L352" s="2">
        <v>1.0</v>
      </c>
      <c r="M352" s="2">
        <v>2.0</v>
      </c>
      <c r="N352" s="1" t="s">
        <v>42</v>
      </c>
      <c r="O352" s="1" t="s">
        <v>25</v>
      </c>
      <c r="P352" s="1" t="s">
        <v>499</v>
      </c>
      <c r="R352" s="4"/>
    </row>
    <row r="353">
      <c r="A353" s="1" t="s">
        <v>20</v>
      </c>
      <c r="B353" s="2">
        <v>829.0</v>
      </c>
      <c r="C353" s="1" t="s">
        <v>500</v>
      </c>
      <c r="D353" s="2">
        <v>28.0</v>
      </c>
      <c r="E353" s="1" t="s">
        <v>22</v>
      </c>
      <c r="F353" s="3" t="b">
        <v>0</v>
      </c>
      <c r="G353" s="2">
        <v>2.0</v>
      </c>
      <c r="H353" s="2">
        <v>0.0</v>
      </c>
      <c r="I353" s="3" t="b">
        <v>0</v>
      </c>
      <c r="J353" s="2">
        <v>2.0</v>
      </c>
      <c r="K353" s="2">
        <v>2.0</v>
      </c>
      <c r="L353" s="2">
        <v>0.0</v>
      </c>
      <c r="M353" s="2">
        <v>0.0</v>
      </c>
      <c r="N353" s="1" t="s">
        <v>34</v>
      </c>
      <c r="O353" s="1" t="s">
        <v>19</v>
      </c>
      <c r="P353" s="4"/>
      <c r="Q353" s="4"/>
      <c r="R353" s="1"/>
    </row>
    <row r="354">
      <c r="A354" s="1" t="s">
        <v>20</v>
      </c>
      <c r="B354" s="2">
        <v>829.0</v>
      </c>
      <c r="C354" s="1" t="s">
        <v>501</v>
      </c>
      <c r="D354" s="2">
        <v>38.0</v>
      </c>
      <c r="E354" s="1" t="s">
        <v>22</v>
      </c>
      <c r="F354" s="3" t="b">
        <v>0</v>
      </c>
      <c r="G354" s="2">
        <v>2.0</v>
      </c>
      <c r="H354" s="2">
        <v>0.0</v>
      </c>
      <c r="I354" s="3" t="b">
        <v>0</v>
      </c>
      <c r="J354" s="2">
        <v>2.0</v>
      </c>
      <c r="K354" s="2">
        <v>9.0</v>
      </c>
      <c r="L354" s="2">
        <v>0.0</v>
      </c>
      <c r="M354" s="2">
        <v>2.0</v>
      </c>
      <c r="N354" s="1" t="s">
        <v>34</v>
      </c>
      <c r="O354" s="1" t="s">
        <v>25</v>
      </c>
      <c r="P354" s="4"/>
      <c r="Q354" s="4"/>
      <c r="R354" s="4"/>
    </row>
    <row r="355">
      <c r="A355" s="1" t="s">
        <v>37</v>
      </c>
      <c r="B355" s="2">
        <v>829.0</v>
      </c>
      <c r="C355" s="1" t="s">
        <v>502</v>
      </c>
      <c r="D355" s="2">
        <v>47.0</v>
      </c>
      <c r="E355" s="1" t="s">
        <v>17</v>
      </c>
      <c r="F355" s="3" t="b">
        <v>1</v>
      </c>
      <c r="G355" s="2">
        <v>2.0</v>
      </c>
      <c r="H355" s="2">
        <v>0.0</v>
      </c>
      <c r="I355" s="3" t="b">
        <v>0</v>
      </c>
      <c r="J355" s="2">
        <v>2.0</v>
      </c>
      <c r="K355" s="2">
        <v>4.0</v>
      </c>
      <c r="L355" s="2">
        <v>1.0</v>
      </c>
      <c r="M355" s="2">
        <v>4.0</v>
      </c>
      <c r="N355" s="1" t="s">
        <v>39</v>
      </c>
      <c r="O355" s="1" t="s">
        <v>25</v>
      </c>
      <c r="P355" s="1" t="s">
        <v>503</v>
      </c>
      <c r="R355" s="4"/>
    </row>
    <row r="356">
      <c r="A356" s="1" t="s">
        <v>26</v>
      </c>
      <c r="B356" s="2">
        <v>829.0</v>
      </c>
      <c r="C356" s="1" t="s">
        <v>504</v>
      </c>
      <c r="D356" s="2">
        <v>56.0</v>
      </c>
      <c r="E356" s="1" t="s">
        <v>22</v>
      </c>
      <c r="F356" s="3" t="b">
        <v>0</v>
      </c>
      <c r="G356" s="2">
        <v>2.0</v>
      </c>
      <c r="H356" s="2">
        <v>0.0</v>
      </c>
      <c r="I356" s="3" t="b">
        <v>0</v>
      </c>
      <c r="J356" s="2">
        <v>2.0</v>
      </c>
      <c r="K356" s="2">
        <v>11.0</v>
      </c>
      <c r="L356" s="2">
        <v>0.0</v>
      </c>
      <c r="M356" s="2">
        <v>1.0</v>
      </c>
      <c r="N356" s="1" t="s">
        <v>32</v>
      </c>
      <c r="O356" s="1" t="s">
        <v>25</v>
      </c>
      <c r="P356" s="4"/>
      <c r="Q356" s="4"/>
      <c r="R356" s="1"/>
    </row>
    <row r="357">
      <c r="A357" s="1" t="s">
        <v>43</v>
      </c>
      <c r="B357" s="2">
        <v>829.0</v>
      </c>
      <c r="C357" s="1" t="s">
        <v>505</v>
      </c>
      <c r="D357" s="2">
        <v>7.0</v>
      </c>
      <c r="E357" s="1" t="s">
        <v>17</v>
      </c>
      <c r="F357" s="3" t="b">
        <v>0</v>
      </c>
      <c r="G357" s="2">
        <v>0.0</v>
      </c>
      <c r="H357" s="2">
        <v>0.0</v>
      </c>
      <c r="I357" s="3" t="b">
        <v>0</v>
      </c>
      <c r="J357" s="2">
        <v>1.0</v>
      </c>
      <c r="K357" s="2">
        <v>10.0</v>
      </c>
      <c r="L357" s="2">
        <v>0.0</v>
      </c>
      <c r="M357" s="2">
        <v>0.0</v>
      </c>
      <c r="N357" s="1" t="s">
        <v>34</v>
      </c>
      <c r="O357" s="1" t="s">
        <v>19</v>
      </c>
      <c r="P357" s="4"/>
      <c r="Q357" s="4"/>
      <c r="R357" s="6"/>
    </row>
    <row r="358">
      <c r="A358" s="1"/>
      <c r="B358" s="2"/>
      <c r="C358" s="1"/>
      <c r="D358" s="2"/>
      <c r="E358" s="1"/>
      <c r="F358" s="3"/>
      <c r="G358" s="2"/>
      <c r="H358" s="2"/>
      <c r="I358" s="3"/>
      <c r="J358" s="2"/>
      <c r="K358" s="2"/>
      <c r="L358" s="2"/>
      <c r="M358" s="2"/>
      <c r="N358" s="1"/>
      <c r="O358" s="1"/>
      <c r="P358" s="1"/>
      <c r="R358" s="4"/>
    </row>
    <row r="359">
      <c r="A359" s="1"/>
      <c r="B359" s="2"/>
      <c r="C359" s="1"/>
      <c r="D359" s="2"/>
      <c r="E359" s="1"/>
      <c r="F359" s="3"/>
      <c r="G359" s="2"/>
      <c r="H359" s="2"/>
      <c r="I359" s="3"/>
      <c r="J359" s="2"/>
      <c r="K359" s="2"/>
      <c r="L359" s="2"/>
      <c r="M359" s="2"/>
      <c r="N359" s="1"/>
      <c r="O359" s="1"/>
      <c r="P359" s="4"/>
      <c r="Q359" s="4"/>
      <c r="R359" s="4"/>
    </row>
    <row r="360">
      <c r="A360" s="1"/>
      <c r="B360" s="2"/>
      <c r="C360" s="1"/>
      <c r="D360" s="2"/>
      <c r="E360" s="1"/>
      <c r="F360" s="3"/>
      <c r="G360" s="2"/>
      <c r="H360" s="2"/>
      <c r="I360" s="3"/>
      <c r="J360" s="2"/>
      <c r="K360" s="2"/>
      <c r="L360" s="2"/>
      <c r="M360" s="2"/>
      <c r="N360" s="1"/>
      <c r="O360" s="1"/>
      <c r="P360" s="1"/>
    </row>
    <row r="361">
      <c r="A361" s="1"/>
      <c r="B361" s="2"/>
      <c r="C361" s="1"/>
      <c r="D361" s="2"/>
      <c r="E361" s="1"/>
      <c r="F361" s="3"/>
      <c r="G361" s="2"/>
      <c r="H361" s="2"/>
      <c r="I361" s="3"/>
      <c r="J361" s="2"/>
      <c r="K361" s="2"/>
      <c r="L361" s="2"/>
      <c r="M361" s="2"/>
      <c r="N361" s="1"/>
      <c r="O361" s="1"/>
      <c r="P361" s="4"/>
      <c r="Q361" s="6"/>
    </row>
    <row r="362">
      <c r="A362" s="1"/>
      <c r="B362" s="2"/>
      <c r="C362" s="1"/>
      <c r="D362" s="2"/>
      <c r="E362" s="1"/>
      <c r="F362" s="3"/>
      <c r="G362" s="2"/>
      <c r="H362" s="2"/>
      <c r="I362" s="3"/>
      <c r="J362" s="2"/>
      <c r="K362" s="2"/>
      <c r="L362" s="2"/>
      <c r="M362" s="2"/>
      <c r="N362" s="1"/>
      <c r="O362" s="1"/>
      <c r="P362" s="4"/>
      <c r="Q362" s="4"/>
      <c r="R362" s="6"/>
    </row>
    <row r="363">
      <c r="A363" s="1"/>
      <c r="B363" s="2"/>
      <c r="C363" s="1"/>
      <c r="D363" s="2"/>
      <c r="E363" s="1"/>
      <c r="F363" s="3"/>
      <c r="G363" s="2"/>
      <c r="H363" s="2"/>
      <c r="I363" s="3"/>
      <c r="J363" s="2"/>
      <c r="K363" s="2"/>
      <c r="L363" s="2"/>
      <c r="M363" s="2"/>
      <c r="N363" s="1"/>
      <c r="O363" s="1"/>
      <c r="P363" s="4"/>
      <c r="Q363" s="4"/>
      <c r="R363" s="4"/>
    </row>
    <row r="364">
      <c r="A364" s="1"/>
      <c r="B364" s="2"/>
      <c r="C364" s="1"/>
      <c r="D364" s="2"/>
      <c r="E364" s="1"/>
      <c r="F364" s="3"/>
      <c r="G364" s="2"/>
      <c r="H364" s="2"/>
      <c r="I364" s="3"/>
      <c r="J364" s="2"/>
      <c r="K364" s="2"/>
      <c r="L364" s="2"/>
      <c r="M364" s="2"/>
      <c r="N364" s="1"/>
      <c r="O364" s="1"/>
      <c r="P364" s="1"/>
      <c r="R364" s="1"/>
    </row>
    <row r="365">
      <c r="A365" s="1"/>
      <c r="B365" s="2"/>
      <c r="C365" s="1"/>
      <c r="D365" s="2"/>
      <c r="E365" s="1"/>
      <c r="F365" s="3"/>
      <c r="G365" s="2"/>
      <c r="H365" s="2"/>
      <c r="I365" s="3"/>
      <c r="J365" s="2"/>
      <c r="K365" s="2"/>
      <c r="L365" s="2"/>
      <c r="M365" s="2"/>
      <c r="N365" s="1"/>
      <c r="O365" s="1"/>
      <c r="P365" s="1"/>
      <c r="R365" s="6"/>
    </row>
    <row r="366">
      <c r="A366" s="1"/>
      <c r="B366" s="2"/>
      <c r="C366" s="1"/>
      <c r="D366" s="2"/>
      <c r="E366" s="1"/>
      <c r="F366" s="3"/>
      <c r="G366" s="2"/>
      <c r="H366" s="2"/>
      <c r="I366" s="3"/>
      <c r="J366" s="2"/>
      <c r="K366" s="2"/>
      <c r="L366" s="2"/>
      <c r="M366" s="2"/>
      <c r="N366" s="1"/>
      <c r="O366" s="1"/>
      <c r="P366" s="4"/>
      <c r="Q366" s="4"/>
      <c r="R366" s="4"/>
    </row>
    <row r="367">
      <c r="A367" s="1"/>
      <c r="B367" s="2"/>
      <c r="C367" s="1"/>
      <c r="D367" s="2"/>
      <c r="E367" s="1"/>
      <c r="F367" s="3"/>
      <c r="G367" s="2"/>
      <c r="H367" s="2"/>
      <c r="I367" s="3"/>
      <c r="J367" s="2"/>
      <c r="K367" s="2"/>
      <c r="L367" s="2"/>
      <c r="M367" s="2"/>
      <c r="N367" s="1"/>
      <c r="O367" s="1"/>
      <c r="P367" s="1"/>
      <c r="R367" s="6"/>
    </row>
    <row r="368">
      <c r="A368" s="1"/>
      <c r="B368" s="2"/>
      <c r="C368" s="1"/>
      <c r="D368" s="2"/>
      <c r="E368" s="1"/>
      <c r="F368" s="3"/>
      <c r="G368" s="2"/>
      <c r="H368" s="2"/>
      <c r="I368" s="3"/>
      <c r="J368" s="2"/>
      <c r="K368" s="2"/>
      <c r="L368" s="2"/>
      <c r="M368" s="2"/>
      <c r="N368" s="1"/>
      <c r="O368" s="1"/>
      <c r="P368" s="4"/>
      <c r="Q368" s="4"/>
      <c r="R368" s="1"/>
    </row>
    <row r="369">
      <c r="A369" s="1"/>
      <c r="B369" s="2"/>
      <c r="C369" s="1"/>
      <c r="D369" s="2"/>
      <c r="E369" s="1"/>
      <c r="F369" s="3"/>
      <c r="G369" s="2"/>
      <c r="H369" s="2"/>
      <c r="I369" s="3"/>
      <c r="J369" s="2"/>
      <c r="K369" s="2"/>
      <c r="L369" s="2"/>
      <c r="M369" s="2"/>
      <c r="N369" s="1"/>
      <c r="O369" s="1"/>
      <c r="P369" s="1"/>
      <c r="R369" s="1"/>
    </row>
    <row r="370">
      <c r="A370" s="1"/>
      <c r="B370" s="2"/>
      <c r="C370" s="1"/>
      <c r="D370" s="2"/>
      <c r="E370" s="1"/>
      <c r="F370" s="3"/>
      <c r="G370" s="2"/>
      <c r="H370" s="2"/>
      <c r="I370" s="3"/>
      <c r="J370" s="2"/>
      <c r="K370" s="2"/>
      <c r="L370" s="2"/>
      <c r="M370" s="2"/>
      <c r="N370" s="1"/>
      <c r="O370" s="1"/>
      <c r="P370" s="1"/>
      <c r="R370" s="6"/>
    </row>
    <row r="371">
      <c r="A371" s="1"/>
      <c r="B371" s="2"/>
      <c r="C371" s="1"/>
      <c r="D371" s="2"/>
      <c r="E371" s="1"/>
      <c r="F371" s="3"/>
      <c r="G371" s="2"/>
      <c r="H371" s="2"/>
      <c r="I371" s="3"/>
      <c r="J371" s="2"/>
      <c r="K371" s="2"/>
      <c r="L371" s="2"/>
      <c r="M371" s="2"/>
      <c r="N371" s="1"/>
      <c r="O371" s="1"/>
      <c r="P371" s="1"/>
      <c r="R371" s="1"/>
    </row>
    <row r="372">
      <c r="A372" s="1"/>
      <c r="B372" s="2"/>
      <c r="C372" s="1"/>
      <c r="D372" s="2"/>
      <c r="E372" s="1"/>
      <c r="F372" s="3"/>
      <c r="G372" s="2"/>
      <c r="H372" s="2"/>
      <c r="I372" s="3"/>
      <c r="J372" s="2"/>
      <c r="K372" s="2"/>
      <c r="L372" s="2"/>
      <c r="M372" s="2"/>
      <c r="N372" s="1"/>
      <c r="O372" s="1"/>
      <c r="P372" s="4"/>
      <c r="Q372" s="4"/>
      <c r="R372" s="6"/>
    </row>
    <row r="373">
      <c r="A373" s="1"/>
      <c r="B373" s="2"/>
      <c r="C373" s="1"/>
      <c r="D373" s="2"/>
      <c r="E373" s="1"/>
      <c r="F373" s="3"/>
      <c r="G373" s="2"/>
      <c r="H373" s="2"/>
      <c r="I373" s="3"/>
      <c r="J373" s="2"/>
      <c r="K373" s="2"/>
      <c r="L373" s="2"/>
      <c r="M373" s="2"/>
      <c r="N373" s="1"/>
      <c r="O373" s="1"/>
      <c r="P373" s="1"/>
      <c r="R373" s="1"/>
    </row>
    <row r="374">
      <c r="A374" s="1"/>
      <c r="B374" s="2"/>
      <c r="C374" s="1"/>
      <c r="D374" s="2"/>
      <c r="E374" s="1"/>
      <c r="F374" s="3"/>
      <c r="G374" s="2"/>
      <c r="H374" s="2"/>
      <c r="I374" s="3"/>
      <c r="J374" s="2"/>
      <c r="K374" s="2"/>
      <c r="L374" s="2"/>
      <c r="M374" s="2"/>
      <c r="N374" s="1"/>
      <c r="O374" s="1"/>
      <c r="P374" s="4"/>
      <c r="Q374" s="4"/>
      <c r="R374" s="4"/>
    </row>
    <row r="375">
      <c r="A375" s="1"/>
      <c r="B375" s="2"/>
      <c r="C375" s="1"/>
      <c r="D375" s="2"/>
      <c r="E375" s="1"/>
      <c r="F375" s="3"/>
      <c r="G375" s="2"/>
      <c r="H375" s="2"/>
      <c r="I375" s="3"/>
      <c r="J375" s="2"/>
      <c r="K375" s="2"/>
      <c r="L375" s="2"/>
      <c r="M375" s="2"/>
      <c r="N375" s="1"/>
      <c r="O375" s="1"/>
      <c r="P375" s="1"/>
      <c r="R375" s="6"/>
    </row>
    <row r="376">
      <c r="A376" s="1"/>
      <c r="B376" s="2"/>
      <c r="C376" s="1"/>
      <c r="D376" s="2"/>
      <c r="E376" s="1"/>
      <c r="F376" s="3"/>
      <c r="G376" s="2"/>
      <c r="H376" s="2"/>
      <c r="I376" s="3"/>
      <c r="J376" s="2"/>
      <c r="K376" s="2"/>
      <c r="L376" s="2"/>
      <c r="M376" s="2"/>
      <c r="N376" s="1"/>
      <c r="O376" s="1"/>
      <c r="P376" s="4"/>
      <c r="Q376" s="4"/>
      <c r="R376" s="6"/>
    </row>
    <row r="377">
      <c r="A377" s="1"/>
      <c r="B377" s="2"/>
      <c r="C377" s="1"/>
      <c r="D377" s="2"/>
      <c r="E377" s="1"/>
      <c r="F377" s="3"/>
      <c r="G377" s="2"/>
      <c r="H377" s="2"/>
      <c r="I377" s="3"/>
      <c r="J377" s="2"/>
      <c r="K377" s="2"/>
      <c r="L377" s="2"/>
      <c r="M377" s="2"/>
      <c r="N377" s="1"/>
      <c r="O377" s="1"/>
      <c r="P377" s="1"/>
      <c r="R377" s="4"/>
    </row>
    <row r="378">
      <c r="A378" s="1"/>
      <c r="B378" s="2"/>
      <c r="C378" s="1"/>
      <c r="D378" s="2"/>
      <c r="E378" s="1"/>
      <c r="F378" s="3"/>
      <c r="G378" s="2"/>
      <c r="H378" s="2"/>
      <c r="I378" s="3"/>
      <c r="J378" s="2"/>
      <c r="K378" s="2"/>
      <c r="L378" s="2"/>
      <c r="M378" s="2"/>
      <c r="N378" s="1"/>
      <c r="O378" s="1"/>
      <c r="P378" s="4"/>
      <c r="Q378" s="4"/>
      <c r="R378" s="6"/>
    </row>
    <row r="379">
      <c r="A379" s="1"/>
      <c r="B379" s="2"/>
      <c r="C379" s="1"/>
      <c r="D379" s="2"/>
      <c r="E379" s="1"/>
      <c r="F379" s="3"/>
      <c r="G379" s="2"/>
      <c r="H379" s="2"/>
      <c r="I379" s="3"/>
      <c r="J379" s="2"/>
      <c r="K379" s="2"/>
      <c r="L379" s="2"/>
      <c r="M379" s="2"/>
      <c r="N379" s="1"/>
      <c r="O379" s="1"/>
      <c r="P379" s="6"/>
      <c r="Q379" s="6"/>
    </row>
    <row r="380">
      <c r="A380" s="1"/>
      <c r="B380" s="2"/>
      <c r="C380" s="1"/>
      <c r="D380" s="2"/>
      <c r="E380" s="1"/>
      <c r="F380" s="3"/>
      <c r="G380" s="2"/>
      <c r="H380" s="2"/>
      <c r="I380" s="3"/>
      <c r="J380" s="2"/>
      <c r="K380" s="2"/>
      <c r="L380" s="2"/>
      <c r="M380" s="2"/>
      <c r="N380" s="1"/>
      <c r="O380" s="1"/>
      <c r="P380" s="1"/>
      <c r="Q380" s="4"/>
      <c r="R380" s="6"/>
    </row>
    <row r="381">
      <c r="A381" s="1"/>
      <c r="B381" s="2"/>
      <c r="C381" s="1"/>
      <c r="D381" s="2"/>
      <c r="E381" s="1"/>
      <c r="F381" s="3"/>
      <c r="G381" s="2"/>
      <c r="H381" s="2"/>
      <c r="I381" s="3"/>
      <c r="J381" s="2"/>
      <c r="K381" s="2"/>
      <c r="L381" s="2"/>
      <c r="M381" s="2"/>
      <c r="N381" s="1"/>
      <c r="O381" s="1"/>
      <c r="P381" s="4"/>
      <c r="Q381" s="4"/>
      <c r="R381" s="6"/>
    </row>
    <row r="382">
      <c r="A382" s="1"/>
      <c r="B382" s="2"/>
      <c r="C382" s="1"/>
      <c r="D382" s="2"/>
      <c r="E382" s="1"/>
      <c r="F382" s="3"/>
      <c r="G382" s="2"/>
      <c r="H382" s="2"/>
      <c r="I382" s="3"/>
      <c r="J382" s="2"/>
      <c r="K382" s="2"/>
      <c r="L382" s="2"/>
      <c r="M382" s="2"/>
      <c r="N382" s="1"/>
      <c r="O382" s="1"/>
      <c r="P382" s="4"/>
      <c r="Q382" s="4"/>
      <c r="R382" s="6"/>
    </row>
    <row r="383">
      <c r="A383" s="1"/>
      <c r="B383" s="2"/>
      <c r="C383" s="1"/>
      <c r="D383" s="2"/>
      <c r="E383" s="1"/>
      <c r="F383" s="3"/>
      <c r="G383" s="2"/>
      <c r="H383" s="2"/>
      <c r="I383" s="3"/>
      <c r="J383" s="2"/>
      <c r="K383" s="2"/>
      <c r="L383" s="2"/>
      <c r="M383" s="2"/>
      <c r="N383" s="1"/>
      <c r="O383" s="1"/>
      <c r="P383" s="4"/>
      <c r="Q383" s="4"/>
      <c r="R383" s="4"/>
    </row>
    <row r="384">
      <c r="A384" s="1"/>
      <c r="B384" s="2"/>
      <c r="C384" s="1"/>
      <c r="D384" s="2"/>
      <c r="E384" s="1"/>
      <c r="F384" s="3"/>
      <c r="G384" s="2"/>
      <c r="H384" s="2"/>
      <c r="I384" s="3"/>
      <c r="J384" s="2"/>
      <c r="K384" s="2"/>
      <c r="L384" s="2"/>
      <c r="M384" s="2"/>
      <c r="N384" s="1"/>
      <c r="O384" s="1"/>
      <c r="P384" s="1"/>
      <c r="R384" s="4"/>
    </row>
    <row r="385">
      <c r="A385" s="1"/>
      <c r="B385" s="2"/>
      <c r="C385" s="1"/>
      <c r="D385" s="2"/>
      <c r="E385" s="1"/>
      <c r="F385" s="3"/>
      <c r="G385" s="2"/>
      <c r="H385" s="2"/>
      <c r="I385" s="3"/>
      <c r="J385" s="2"/>
      <c r="K385" s="2"/>
      <c r="L385" s="2"/>
      <c r="M385" s="2"/>
      <c r="N385" s="1"/>
      <c r="O385" s="1"/>
      <c r="P385" s="4"/>
      <c r="Q385" s="4"/>
      <c r="R385" s="6"/>
    </row>
    <row r="386">
      <c r="A386" s="1"/>
      <c r="B386" s="2"/>
      <c r="C386" s="1"/>
      <c r="D386" s="2"/>
      <c r="E386" s="1"/>
      <c r="F386" s="3"/>
      <c r="G386" s="2"/>
      <c r="H386" s="2"/>
      <c r="I386" s="3"/>
      <c r="J386" s="2"/>
      <c r="K386" s="2"/>
      <c r="L386" s="2"/>
      <c r="M386" s="2"/>
      <c r="N386" s="1"/>
      <c r="O386" s="1"/>
      <c r="P386" s="4"/>
      <c r="Q386" s="4"/>
      <c r="R386" s="6"/>
    </row>
    <row r="387">
      <c r="A387" s="1"/>
      <c r="B387" s="2"/>
      <c r="C387" s="1"/>
      <c r="D387" s="2"/>
      <c r="E387" s="1"/>
      <c r="F387" s="3"/>
      <c r="G387" s="2"/>
      <c r="H387" s="2"/>
      <c r="I387" s="3"/>
      <c r="J387" s="2"/>
      <c r="K387" s="2"/>
      <c r="L387" s="2"/>
      <c r="M387" s="2"/>
      <c r="N387" s="1"/>
      <c r="O387" s="1"/>
      <c r="P387" s="4"/>
      <c r="Q387" s="4"/>
      <c r="R387" s="6"/>
    </row>
    <row r="388">
      <c r="A388" s="1"/>
      <c r="B388" s="2"/>
      <c r="C388" s="1"/>
      <c r="D388" s="2"/>
      <c r="E388" s="1"/>
      <c r="F388" s="3"/>
      <c r="G388" s="2"/>
      <c r="H388" s="2"/>
      <c r="I388" s="3"/>
      <c r="J388" s="2"/>
      <c r="K388" s="2"/>
      <c r="L388" s="2"/>
      <c r="M388" s="2"/>
      <c r="N388" s="1"/>
      <c r="O388" s="1"/>
      <c r="P388" s="4"/>
      <c r="Q388" s="4"/>
      <c r="R388" s="1"/>
    </row>
    <row r="389">
      <c r="A389" s="1"/>
      <c r="B389" s="2"/>
      <c r="C389" s="1"/>
      <c r="D389" s="2"/>
      <c r="E389" s="1"/>
      <c r="F389" s="3"/>
      <c r="G389" s="2"/>
      <c r="H389" s="2"/>
      <c r="I389" s="3"/>
      <c r="J389" s="2"/>
      <c r="K389" s="2"/>
      <c r="L389" s="2"/>
      <c r="M389" s="2"/>
      <c r="N389" s="1"/>
      <c r="O389" s="1"/>
      <c r="P389" s="4"/>
      <c r="Q389" s="4"/>
      <c r="R389" s="6"/>
    </row>
    <row r="390">
      <c r="A390" s="1"/>
      <c r="B390" s="2"/>
      <c r="C390" s="1"/>
      <c r="D390" s="2"/>
      <c r="E390" s="1"/>
      <c r="F390" s="3"/>
      <c r="G390" s="2"/>
      <c r="H390" s="2"/>
      <c r="I390" s="3"/>
      <c r="J390" s="2"/>
      <c r="K390" s="2"/>
      <c r="L390" s="2"/>
      <c r="M390" s="2"/>
      <c r="N390" s="1"/>
      <c r="O390" s="1"/>
      <c r="P390" s="4"/>
      <c r="Q390" s="4"/>
      <c r="R390" s="6"/>
    </row>
    <row r="391">
      <c r="A391" s="1"/>
      <c r="B391" s="2"/>
      <c r="C391" s="1"/>
      <c r="D391" s="2"/>
      <c r="E391" s="1"/>
      <c r="F391" s="3"/>
      <c r="G391" s="2"/>
      <c r="H391" s="2"/>
      <c r="I391" s="3"/>
      <c r="J391" s="2"/>
      <c r="K391" s="2"/>
      <c r="L391" s="2"/>
      <c r="M391" s="2"/>
      <c r="N391" s="1"/>
      <c r="O391" s="1"/>
      <c r="P391" s="4"/>
      <c r="Q391" s="4"/>
      <c r="R391" s="1"/>
    </row>
    <row r="392">
      <c r="A392" s="1"/>
      <c r="B392" s="2"/>
      <c r="C392" s="1"/>
      <c r="D392" s="2"/>
      <c r="E392" s="1"/>
      <c r="F392" s="3"/>
      <c r="G392" s="2"/>
      <c r="H392" s="2"/>
      <c r="I392" s="3"/>
      <c r="J392" s="2"/>
      <c r="K392" s="2"/>
      <c r="L392" s="2"/>
      <c r="M392" s="2"/>
      <c r="N392" s="1"/>
      <c r="O392" s="1"/>
      <c r="P392" s="4"/>
      <c r="Q392" s="4"/>
    </row>
    <row r="393">
      <c r="A393" s="1"/>
      <c r="B393" s="2"/>
      <c r="C393" s="1"/>
      <c r="D393" s="2"/>
      <c r="E393" s="1"/>
      <c r="F393" s="3"/>
      <c r="G393" s="2"/>
      <c r="H393" s="2"/>
      <c r="I393" s="3"/>
      <c r="J393" s="2"/>
      <c r="K393" s="2"/>
      <c r="L393" s="2"/>
      <c r="M393" s="2"/>
      <c r="N393" s="1"/>
      <c r="O393" s="1"/>
      <c r="P393" s="1"/>
    </row>
    <row r="394">
      <c r="A394" s="1"/>
      <c r="B394" s="2"/>
      <c r="C394" s="1"/>
      <c r="D394" s="2"/>
      <c r="E394" s="1"/>
      <c r="F394" s="3"/>
      <c r="G394" s="2"/>
      <c r="H394" s="2"/>
      <c r="I394" s="3"/>
      <c r="J394" s="2"/>
      <c r="K394" s="2"/>
      <c r="L394" s="2"/>
      <c r="M394" s="2"/>
      <c r="N394" s="1"/>
      <c r="O394" s="1"/>
      <c r="P394" s="4"/>
      <c r="Q394" s="4"/>
    </row>
    <row r="395">
      <c r="A395" s="1"/>
      <c r="B395" s="2"/>
      <c r="C395" s="1"/>
      <c r="D395" s="2"/>
      <c r="E395" s="1"/>
      <c r="F395" s="3"/>
      <c r="G395" s="2"/>
      <c r="H395" s="2"/>
      <c r="I395" s="3"/>
      <c r="J395" s="2"/>
      <c r="K395" s="2"/>
      <c r="L395" s="2"/>
      <c r="M395" s="2"/>
      <c r="N395" s="1"/>
      <c r="O395" s="1"/>
      <c r="P395" s="4"/>
      <c r="Q395" s="6"/>
    </row>
    <row r="396">
      <c r="A396" s="1"/>
      <c r="B396" s="2"/>
      <c r="C396" s="1"/>
      <c r="D396" s="2"/>
      <c r="E396" s="1"/>
      <c r="F396" s="3"/>
      <c r="G396" s="2"/>
      <c r="H396" s="2"/>
      <c r="I396" s="3"/>
      <c r="J396" s="2"/>
      <c r="K396" s="2"/>
      <c r="L396" s="2"/>
      <c r="M396" s="2"/>
      <c r="N396" s="1"/>
      <c r="O396" s="1"/>
      <c r="P396" s="1"/>
    </row>
    <row r="397">
      <c r="A397" s="1"/>
      <c r="B397" s="2"/>
      <c r="C397" s="1"/>
      <c r="D397" s="2"/>
      <c r="E397" s="1"/>
      <c r="F397" s="3"/>
      <c r="G397" s="2"/>
      <c r="H397" s="2"/>
      <c r="I397" s="3"/>
      <c r="J397" s="2"/>
      <c r="K397" s="2"/>
      <c r="L397" s="2"/>
      <c r="M397" s="2"/>
      <c r="N397" s="1"/>
      <c r="O397" s="1"/>
      <c r="P397" s="4"/>
      <c r="Q397" s="6"/>
    </row>
    <row r="398">
      <c r="A398" s="1"/>
      <c r="B398" s="2"/>
      <c r="C398" s="1"/>
      <c r="D398" s="2"/>
      <c r="E398" s="1"/>
      <c r="F398" s="3"/>
      <c r="G398" s="2"/>
      <c r="H398" s="2"/>
      <c r="I398" s="3"/>
      <c r="J398" s="2"/>
      <c r="K398" s="2"/>
      <c r="L398" s="2"/>
      <c r="M398" s="2"/>
      <c r="N398" s="1"/>
      <c r="O398" s="1"/>
      <c r="P398" s="4"/>
      <c r="Q398" s="4"/>
    </row>
    <row r="399">
      <c r="A399" s="1"/>
      <c r="B399" s="2"/>
      <c r="C399" s="1"/>
      <c r="D399" s="2"/>
      <c r="E399" s="1"/>
      <c r="F399" s="3"/>
      <c r="G399" s="2"/>
      <c r="H399" s="2"/>
      <c r="I399" s="3"/>
      <c r="J399" s="2"/>
      <c r="K399" s="2"/>
      <c r="L399" s="2"/>
      <c r="M399" s="2"/>
      <c r="N399" s="1"/>
      <c r="O399" s="1"/>
      <c r="P399" s="4"/>
      <c r="Q399" s="6"/>
    </row>
    <row r="400">
      <c r="A400" s="1"/>
      <c r="B400" s="2"/>
      <c r="C400" s="1"/>
      <c r="D400" s="2"/>
      <c r="E400" s="1"/>
      <c r="F400" s="3"/>
      <c r="G400" s="2"/>
      <c r="H400" s="2"/>
      <c r="I400" s="3"/>
      <c r="J400" s="2"/>
      <c r="K400" s="2"/>
      <c r="L400" s="2"/>
      <c r="M400" s="2"/>
      <c r="N400" s="1"/>
      <c r="O400" s="1"/>
      <c r="P400" s="4"/>
      <c r="Q400" s="6"/>
    </row>
    <row r="401">
      <c r="A401" s="1"/>
      <c r="B401" s="2"/>
      <c r="C401" s="1"/>
      <c r="D401" s="2"/>
      <c r="E401" s="1"/>
      <c r="F401" s="3"/>
      <c r="G401" s="2"/>
      <c r="H401" s="2"/>
      <c r="I401" s="3"/>
      <c r="J401" s="2"/>
      <c r="K401" s="2"/>
      <c r="L401" s="2"/>
      <c r="M401" s="2"/>
      <c r="N401" s="1"/>
      <c r="O401" s="1"/>
      <c r="P401" s="1"/>
    </row>
    <row r="402">
      <c r="A402" s="1"/>
      <c r="B402" s="2"/>
      <c r="C402" s="1"/>
      <c r="D402" s="2"/>
      <c r="E402" s="1"/>
      <c r="F402" s="3"/>
      <c r="G402" s="2"/>
      <c r="H402" s="2"/>
      <c r="I402" s="3"/>
      <c r="J402" s="2"/>
      <c r="K402" s="2"/>
      <c r="L402" s="2"/>
      <c r="M402" s="2"/>
      <c r="N402" s="1"/>
      <c r="O402" s="1"/>
      <c r="P402" s="1"/>
    </row>
    <row r="403">
      <c r="A403" s="1"/>
      <c r="B403" s="2"/>
      <c r="C403" s="1"/>
      <c r="D403" s="2"/>
      <c r="E403" s="1"/>
      <c r="F403" s="3"/>
      <c r="G403" s="2"/>
      <c r="H403" s="2"/>
      <c r="I403" s="3"/>
      <c r="J403" s="2"/>
      <c r="K403" s="2"/>
      <c r="L403" s="2"/>
      <c r="M403" s="2"/>
      <c r="N403" s="1"/>
      <c r="O403" s="1"/>
      <c r="P403" s="1"/>
      <c r="Q403" s="6"/>
    </row>
    <row r="404">
      <c r="A404" s="1"/>
      <c r="B404" s="2"/>
      <c r="C404" s="1"/>
      <c r="D404" s="2"/>
      <c r="E404" s="1"/>
      <c r="F404" s="3"/>
      <c r="G404" s="2"/>
      <c r="H404" s="2"/>
      <c r="I404" s="3"/>
      <c r="J404" s="2"/>
      <c r="K404" s="2"/>
      <c r="L404" s="2"/>
      <c r="M404" s="2"/>
      <c r="N404" s="1"/>
      <c r="O404" s="1"/>
      <c r="P404" s="1"/>
    </row>
    <row r="405">
      <c r="A405" s="1"/>
      <c r="B405" s="2"/>
      <c r="C405" s="1"/>
      <c r="D405" s="2"/>
      <c r="E405" s="1"/>
      <c r="F405" s="3"/>
      <c r="G405" s="2"/>
      <c r="H405" s="2"/>
      <c r="I405" s="3"/>
      <c r="J405" s="2"/>
      <c r="K405" s="2"/>
      <c r="L405" s="2"/>
      <c r="M405" s="2"/>
      <c r="N405" s="1"/>
      <c r="O405" s="1"/>
      <c r="P405" s="4"/>
      <c r="Q405" s="4"/>
    </row>
    <row r="406">
      <c r="A406" s="1"/>
      <c r="B406" s="2"/>
      <c r="C406" s="1"/>
      <c r="D406" s="2"/>
      <c r="E406" s="1"/>
      <c r="F406" s="3"/>
      <c r="G406" s="2"/>
      <c r="H406" s="2"/>
      <c r="I406" s="3"/>
      <c r="J406" s="2"/>
      <c r="K406" s="2"/>
      <c r="L406" s="2"/>
      <c r="M406" s="2"/>
      <c r="N406" s="1"/>
      <c r="O406" s="1"/>
      <c r="P406" s="6"/>
      <c r="Q406" s="6"/>
    </row>
    <row r="407">
      <c r="A407" s="1"/>
      <c r="B407" s="2"/>
      <c r="C407" s="1"/>
      <c r="D407" s="2"/>
      <c r="E407" s="1"/>
      <c r="F407" s="3"/>
      <c r="G407" s="2"/>
      <c r="H407" s="2"/>
      <c r="I407" s="3"/>
      <c r="J407" s="2"/>
      <c r="K407" s="2"/>
      <c r="L407" s="2"/>
      <c r="M407" s="2"/>
      <c r="N407" s="1"/>
      <c r="O407" s="1"/>
      <c r="P407" s="4"/>
      <c r="Q407" s="4"/>
    </row>
    <row r="408">
      <c r="A408" s="1"/>
      <c r="B408" s="2"/>
      <c r="C408" s="1"/>
      <c r="D408" s="2"/>
      <c r="E408" s="1"/>
      <c r="F408" s="3"/>
      <c r="G408" s="2"/>
      <c r="H408" s="2"/>
      <c r="I408" s="3"/>
      <c r="J408" s="2"/>
      <c r="K408" s="2"/>
      <c r="L408" s="2"/>
      <c r="M408" s="2"/>
      <c r="N408" s="1"/>
      <c r="O408" s="1"/>
      <c r="P408" s="1"/>
    </row>
    <row r="409">
      <c r="A409" s="1"/>
      <c r="B409" s="2"/>
      <c r="C409" s="1"/>
      <c r="D409" s="2"/>
      <c r="E409" s="1"/>
      <c r="F409" s="3"/>
      <c r="G409" s="2"/>
      <c r="H409" s="2"/>
      <c r="I409" s="3"/>
      <c r="J409" s="2"/>
      <c r="K409" s="2"/>
      <c r="L409" s="2"/>
      <c r="M409" s="2"/>
      <c r="N409" s="1"/>
      <c r="O409" s="1"/>
      <c r="P409" s="4"/>
      <c r="Q409" s="6"/>
    </row>
    <row r="410">
      <c r="A410" s="1"/>
      <c r="B410" s="2"/>
      <c r="C410" s="1"/>
      <c r="D410" s="2"/>
      <c r="E410" s="1"/>
      <c r="F410" s="3"/>
      <c r="G410" s="2"/>
      <c r="H410" s="2"/>
      <c r="I410" s="3"/>
      <c r="J410" s="2"/>
      <c r="K410" s="2"/>
      <c r="L410" s="2"/>
      <c r="M410" s="2"/>
      <c r="N410" s="1"/>
      <c r="O410" s="1"/>
      <c r="P410" s="4"/>
      <c r="Q410" s="6"/>
    </row>
    <row r="411">
      <c r="A411" s="1"/>
      <c r="B411" s="2"/>
      <c r="C411" s="1"/>
      <c r="D411" s="2"/>
      <c r="E411" s="1"/>
      <c r="F411" s="3"/>
      <c r="G411" s="2"/>
      <c r="H411" s="2"/>
      <c r="I411" s="3"/>
      <c r="J411" s="2"/>
      <c r="K411" s="2"/>
      <c r="L411" s="2"/>
      <c r="M411" s="2"/>
      <c r="N411" s="1"/>
      <c r="O411" s="1"/>
      <c r="P411" s="4"/>
      <c r="Q411" s="4"/>
    </row>
    <row r="412">
      <c r="A412" s="1"/>
      <c r="B412" s="2"/>
      <c r="C412" s="1"/>
      <c r="D412" s="2"/>
      <c r="E412" s="1"/>
      <c r="F412" s="3"/>
      <c r="G412" s="2"/>
      <c r="H412" s="2"/>
      <c r="I412" s="3"/>
      <c r="J412" s="2"/>
      <c r="K412" s="2"/>
      <c r="L412" s="2"/>
      <c r="M412" s="2"/>
      <c r="N412" s="1"/>
      <c r="O412" s="1"/>
      <c r="P412" s="4"/>
      <c r="Q412" s="6"/>
    </row>
    <row r="413">
      <c r="A413" s="1"/>
      <c r="B413" s="2"/>
      <c r="C413" s="1"/>
      <c r="D413" s="2"/>
      <c r="E413" s="1"/>
      <c r="F413" s="3"/>
      <c r="G413" s="2"/>
      <c r="H413" s="2"/>
      <c r="I413" s="3"/>
      <c r="J413" s="2"/>
      <c r="K413" s="2"/>
      <c r="L413" s="2"/>
      <c r="M413" s="2"/>
      <c r="N413" s="1"/>
      <c r="O413" s="1"/>
      <c r="P413" s="1"/>
    </row>
    <row r="414">
      <c r="A414" s="1"/>
      <c r="B414" s="2"/>
      <c r="C414" s="1"/>
      <c r="D414" s="2"/>
      <c r="E414" s="1"/>
      <c r="F414" s="3"/>
      <c r="G414" s="2"/>
      <c r="H414" s="2"/>
      <c r="I414" s="3"/>
      <c r="J414" s="2"/>
      <c r="K414" s="2"/>
      <c r="L414" s="2"/>
      <c r="M414" s="2"/>
      <c r="N414" s="1"/>
      <c r="O414" s="1"/>
      <c r="P414" s="4"/>
      <c r="Q414" s="6"/>
    </row>
    <row r="415">
      <c r="A415" s="1"/>
      <c r="B415" s="2"/>
      <c r="C415" s="1"/>
      <c r="D415" s="2"/>
      <c r="E415" s="1"/>
      <c r="F415" s="3"/>
      <c r="G415" s="2"/>
      <c r="H415" s="2"/>
      <c r="I415" s="3"/>
      <c r="J415" s="2"/>
      <c r="K415" s="2"/>
      <c r="L415" s="2"/>
      <c r="M415" s="2"/>
      <c r="N415" s="1"/>
      <c r="O415" s="1"/>
      <c r="P415" s="1"/>
    </row>
    <row r="416">
      <c r="A416" s="1"/>
      <c r="B416" s="2"/>
      <c r="C416" s="1"/>
      <c r="D416" s="2"/>
      <c r="E416" s="1"/>
      <c r="F416" s="3"/>
      <c r="G416" s="2"/>
      <c r="H416" s="2"/>
      <c r="I416" s="3"/>
      <c r="J416" s="2"/>
      <c r="K416" s="2"/>
      <c r="L416" s="2"/>
      <c r="M416" s="2"/>
      <c r="N416" s="1"/>
      <c r="O416" s="1"/>
      <c r="P416" s="4"/>
      <c r="Q416" s="4"/>
    </row>
    <row r="417">
      <c r="A417" s="1"/>
      <c r="B417" s="2"/>
      <c r="C417" s="1"/>
      <c r="D417" s="2"/>
      <c r="E417" s="1"/>
      <c r="F417" s="3"/>
      <c r="G417" s="2"/>
      <c r="H417" s="2"/>
      <c r="I417" s="3"/>
      <c r="J417" s="2"/>
      <c r="K417" s="2"/>
      <c r="L417" s="2"/>
      <c r="M417" s="2"/>
      <c r="N417" s="1"/>
      <c r="O417" s="1"/>
      <c r="P417" s="4"/>
      <c r="Q417" s="6"/>
    </row>
    <row r="418">
      <c r="A418" s="1"/>
      <c r="B418" s="2"/>
      <c r="C418" s="1"/>
      <c r="D418" s="2"/>
      <c r="E418" s="1"/>
      <c r="F418" s="3"/>
      <c r="G418" s="2"/>
      <c r="H418" s="2"/>
      <c r="I418" s="3"/>
      <c r="J418" s="2"/>
      <c r="K418" s="2"/>
      <c r="L418" s="2"/>
      <c r="M418" s="2"/>
      <c r="N418" s="1"/>
      <c r="O418" s="1"/>
      <c r="P418" s="6"/>
      <c r="Q418" s="6"/>
    </row>
    <row r="419">
      <c r="A419" s="1"/>
      <c r="B419" s="2"/>
      <c r="C419" s="1"/>
      <c r="D419" s="2"/>
      <c r="E419" s="1"/>
      <c r="F419" s="3"/>
      <c r="G419" s="2"/>
      <c r="H419" s="2"/>
      <c r="I419" s="3"/>
      <c r="J419" s="2"/>
      <c r="K419" s="2"/>
      <c r="L419" s="2"/>
      <c r="M419" s="2"/>
      <c r="N419" s="1"/>
      <c r="O419" s="1"/>
      <c r="P419" s="6"/>
      <c r="Q419" s="6"/>
    </row>
    <row r="420">
      <c r="A420" s="1"/>
      <c r="B420" s="2"/>
      <c r="C420" s="1"/>
      <c r="D420" s="2"/>
      <c r="E420" s="1"/>
      <c r="F420" s="3"/>
      <c r="G420" s="2"/>
      <c r="H420" s="2"/>
      <c r="I420" s="3"/>
      <c r="J420" s="2"/>
      <c r="K420" s="2"/>
      <c r="L420" s="2"/>
      <c r="M420" s="2"/>
      <c r="N420" s="1"/>
      <c r="O420" s="1"/>
      <c r="P420" s="4"/>
      <c r="Q420" s="6"/>
    </row>
    <row r="421">
      <c r="A421" s="1"/>
      <c r="B421" s="2"/>
      <c r="C421" s="1"/>
      <c r="D421" s="2"/>
      <c r="E421" s="1"/>
      <c r="F421" s="3"/>
      <c r="G421" s="2"/>
      <c r="H421" s="2"/>
      <c r="I421" s="3"/>
      <c r="J421" s="2"/>
      <c r="K421" s="2"/>
      <c r="L421" s="2"/>
      <c r="M421" s="2"/>
      <c r="N421" s="1"/>
      <c r="O421" s="1"/>
      <c r="P421" s="4"/>
      <c r="Q421" s="4"/>
    </row>
    <row r="422">
      <c r="A422" s="1"/>
      <c r="B422" s="2"/>
      <c r="C422" s="1"/>
      <c r="D422" s="2"/>
      <c r="E422" s="1"/>
      <c r="F422" s="3"/>
      <c r="G422" s="2"/>
      <c r="H422" s="2"/>
      <c r="I422" s="3"/>
      <c r="J422" s="2"/>
      <c r="K422" s="2"/>
      <c r="L422" s="2"/>
      <c r="M422" s="2"/>
      <c r="N422" s="1"/>
      <c r="O422" s="1"/>
      <c r="P422" s="4"/>
      <c r="Q422" s="4"/>
    </row>
    <row r="423">
      <c r="A423" s="1"/>
      <c r="B423" s="2"/>
      <c r="C423" s="1"/>
      <c r="D423" s="2"/>
      <c r="E423" s="1"/>
      <c r="F423" s="3"/>
      <c r="G423" s="2"/>
      <c r="H423" s="2"/>
      <c r="I423" s="3"/>
      <c r="J423" s="2"/>
      <c r="K423" s="2"/>
      <c r="L423" s="2"/>
      <c r="M423" s="2"/>
      <c r="N423" s="1"/>
      <c r="O423" s="1"/>
      <c r="P423" s="4"/>
      <c r="Q423" s="6"/>
    </row>
    <row r="424">
      <c r="A424" s="1"/>
      <c r="B424" s="2"/>
      <c r="C424" s="1"/>
      <c r="D424" s="2"/>
      <c r="E424" s="1"/>
      <c r="F424" s="3"/>
      <c r="G424" s="2"/>
      <c r="H424" s="2"/>
      <c r="I424" s="3"/>
      <c r="J424" s="2"/>
      <c r="K424" s="2"/>
      <c r="L424" s="2"/>
      <c r="M424" s="2"/>
      <c r="N424" s="1"/>
      <c r="O424" s="1"/>
      <c r="P424" s="4"/>
      <c r="Q424" s="4"/>
    </row>
    <row r="425">
      <c r="A425" s="1"/>
      <c r="B425" s="2"/>
      <c r="C425" s="1"/>
      <c r="D425" s="2"/>
      <c r="E425" s="1"/>
      <c r="F425" s="3"/>
      <c r="G425" s="2"/>
      <c r="H425" s="2"/>
      <c r="I425" s="3"/>
      <c r="J425" s="2"/>
      <c r="K425" s="2"/>
      <c r="L425" s="2"/>
      <c r="M425" s="2"/>
      <c r="N425" s="1"/>
      <c r="O425" s="1"/>
      <c r="P425" s="6"/>
      <c r="Q425" s="6"/>
    </row>
    <row r="426">
      <c r="A426" s="1"/>
      <c r="B426" s="2"/>
      <c r="C426" s="1"/>
      <c r="D426" s="2"/>
      <c r="E426" s="1"/>
      <c r="F426" s="3"/>
      <c r="G426" s="2"/>
      <c r="H426" s="2"/>
      <c r="I426" s="3"/>
      <c r="J426" s="2"/>
      <c r="K426" s="2"/>
      <c r="L426" s="2"/>
      <c r="M426" s="2"/>
      <c r="N426" s="1"/>
      <c r="O426" s="1"/>
      <c r="P426" s="4"/>
      <c r="Q426" s="4"/>
    </row>
    <row r="427">
      <c r="A427" s="1"/>
      <c r="B427" s="2"/>
      <c r="C427" s="1"/>
      <c r="D427" s="2"/>
      <c r="E427" s="1"/>
      <c r="F427" s="3"/>
      <c r="G427" s="2"/>
      <c r="H427" s="2"/>
      <c r="I427" s="3"/>
      <c r="J427" s="2"/>
      <c r="K427" s="2"/>
      <c r="L427" s="2"/>
      <c r="M427" s="2"/>
      <c r="N427" s="1"/>
      <c r="O427" s="1"/>
      <c r="P427" s="4"/>
      <c r="Q427" s="4"/>
    </row>
    <row r="428">
      <c r="A428" s="1"/>
      <c r="B428" s="2"/>
      <c r="C428" s="1"/>
      <c r="D428" s="2"/>
      <c r="E428" s="1"/>
      <c r="F428" s="3"/>
      <c r="G428" s="2"/>
      <c r="H428" s="2"/>
      <c r="I428" s="3"/>
      <c r="J428" s="2"/>
      <c r="K428" s="2"/>
      <c r="L428" s="2"/>
      <c r="M428" s="2"/>
      <c r="N428" s="1"/>
      <c r="O428" s="1"/>
      <c r="P428" s="6"/>
      <c r="Q428" s="6"/>
    </row>
    <row r="429">
      <c r="A429" s="1"/>
      <c r="B429" s="2"/>
      <c r="C429" s="1"/>
      <c r="D429" s="2"/>
      <c r="E429" s="1"/>
      <c r="F429" s="3"/>
      <c r="G429" s="2"/>
      <c r="H429" s="2"/>
      <c r="I429" s="3"/>
      <c r="J429" s="2"/>
      <c r="K429" s="2"/>
      <c r="L429" s="2"/>
      <c r="M429" s="2"/>
      <c r="N429" s="1"/>
      <c r="O429" s="1"/>
      <c r="P429" s="4"/>
      <c r="Q429" s="6"/>
    </row>
    <row r="430">
      <c r="A430" s="1"/>
      <c r="B430" s="2"/>
      <c r="C430" s="1"/>
      <c r="D430" s="2"/>
      <c r="E430" s="1"/>
      <c r="F430" s="3"/>
      <c r="G430" s="2"/>
      <c r="H430" s="2"/>
      <c r="I430" s="3"/>
      <c r="J430" s="2"/>
      <c r="K430" s="2"/>
      <c r="L430" s="2"/>
      <c r="M430" s="2"/>
      <c r="N430" s="1"/>
      <c r="O430" s="1"/>
      <c r="P430" s="1"/>
    </row>
    <row r="431">
      <c r="A431" s="1"/>
      <c r="B431" s="2"/>
      <c r="C431" s="1"/>
      <c r="D431" s="2"/>
      <c r="E431" s="1"/>
      <c r="F431" s="3"/>
      <c r="G431" s="2"/>
      <c r="H431" s="2"/>
      <c r="I431" s="3"/>
      <c r="J431" s="2"/>
      <c r="K431" s="2"/>
      <c r="L431" s="2"/>
      <c r="M431" s="2"/>
      <c r="N431" s="1"/>
      <c r="O431" s="1"/>
      <c r="P431" s="4"/>
      <c r="Q431" s="4"/>
    </row>
    <row r="432">
      <c r="A432" s="1"/>
      <c r="B432" s="2"/>
      <c r="C432" s="1"/>
      <c r="D432" s="2"/>
      <c r="E432" s="1"/>
      <c r="F432" s="3"/>
      <c r="G432" s="2"/>
      <c r="H432" s="2"/>
      <c r="I432" s="3"/>
      <c r="J432" s="2"/>
      <c r="K432" s="2"/>
      <c r="L432" s="2"/>
      <c r="M432" s="2"/>
      <c r="N432" s="1"/>
      <c r="O432" s="1"/>
      <c r="P432" s="1"/>
    </row>
    <row r="433">
      <c r="A433" s="1"/>
      <c r="B433" s="2"/>
      <c r="C433" s="1"/>
      <c r="D433" s="2"/>
      <c r="E433" s="1"/>
      <c r="F433" s="3"/>
      <c r="G433" s="2"/>
      <c r="H433" s="2"/>
      <c r="I433" s="3"/>
      <c r="J433" s="2"/>
      <c r="K433" s="2"/>
      <c r="L433" s="2"/>
      <c r="M433" s="2"/>
      <c r="N433" s="1"/>
      <c r="O433" s="1"/>
      <c r="P433" s="6"/>
      <c r="Q433" s="6"/>
    </row>
    <row r="434">
      <c r="A434" s="1"/>
      <c r="B434" s="2"/>
      <c r="C434" s="1"/>
      <c r="D434" s="2"/>
      <c r="E434" s="1"/>
      <c r="F434" s="3"/>
      <c r="G434" s="2"/>
      <c r="H434" s="2"/>
      <c r="I434" s="3"/>
      <c r="J434" s="2"/>
      <c r="K434" s="2"/>
      <c r="L434" s="2"/>
      <c r="M434" s="2"/>
      <c r="N434" s="1"/>
      <c r="O434" s="1"/>
      <c r="P434" s="4"/>
      <c r="Q434" s="6"/>
    </row>
    <row r="435">
      <c r="A435" s="1"/>
      <c r="B435" s="2"/>
      <c r="C435" s="1"/>
      <c r="D435" s="2"/>
      <c r="E435" s="1"/>
      <c r="F435" s="3"/>
      <c r="G435" s="2"/>
      <c r="H435" s="2"/>
      <c r="I435" s="3"/>
      <c r="J435" s="2"/>
      <c r="K435" s="2"/>
      <c r="L435" s="2"/>
      <c r="M435" s="2"/>
      <c r="N435" s="1"/>
      <c r="O435" s="1"/>
      <c r="P435" s="4"/>
      <c r="Q435" s="6"/>
    </row>
    <row r="436">
      <c r="A436" s="1"/>
      <c r="B436" s="2"/>
      <c r="C436" s="1"/>
      <c r="D436" s="2"/>
      <c r="E436" s="1"/>
      <c r="F436" s="3"/>
      <c r="G436" s="2"/>
      <c r="H436" s="2"/>
      <c r="I436" s="3"/>
      <c r="J436" s="2"/>
      <c r="K436" s="2"/>
      <c r="L436" s="2"/>
      <c r="M436" s="2"/>
      <c r="N436" s="1"/>
      <c r="O436" s="1"/>
      <c r="P436" s="1"/>
    </row>
    <row r="437">
      <c r="A437" s="1"/>
      <c r="B437" s="2"/>
      <c r="C437" s="1"/>
      <c r="D437" s="2"/>
      <c r="E437" s="1"/>
      <c r="F437" s="3"/>
      <c r="G437" s="2"/>
      <c r="H437" s="2"/>
      <c r="I437" s="3"/>
      <c r="J437" s="2"/>
      <c r="K437" s="2"/>
      <c r="L437" s="2"/>
      <c r="M437" s="2"/>
      <c r="N437" s="1"/>
      <c r="O437" s="1"/>
      <c r="P437" s="1"/>
    </row>
    <row r="438">
      <c r="A438" s="1"/>
      <c r="B438" s="2"/>
      <c r="C438" s="1"/>
      <c r="D438" s="2"/>
      <c r="E438" s="1"/>
      <c r="F438" s="3"/>
      <c r="G438" s="2"/>
      <c r="H438" s="2"/>
      <c r="I438" s="3"/>
      <c r="J438" s="2"/>
      <c r="K438" s="2"/>
      <c r="L438" s="2"/>
      <c r="M438" s="2"/>
      <c r="N438" s="1"/>
      <c r="O438" s="1"/>
      <c r="P438" s="4"/>
      <c r="Q438" s="6"/>
    </row>
    <row r="439">
      <c r="A439" s="1"/>
      <c r="B439" s="2"/>
      <c r="C439" s="1"/>
      <c r="D439" s="2"/>
      <c r="E439" s="1"/>
      <c r="F439" s="3"/>
      <c r="G439" s="2"/>
      <c r="H439" s="2"/>
      <c r="I439" s="3"/>
      <c r="J439" s="2"/>
      <c r="K439" s="2"/>
      <c r="L439" s="2"/>
      <c r="M439" s="2"/>
      <c r="N439" s="1"/>
      <c r="O439" s="1"/>
      <c r="P439" s="4"/>
      <c r="Q439" s="4"/>
    </row>
    <row r="440">
      <c r="A440" s="1"/>
      <c r="B440" s="2"/>
      <c r="C440" s="1"/>
      <c r="D440" s="2"/>
      <c r="E440" s="1"/>
      <c r="F440" s="3"/>
      <c r="G440" s="2"/>
      <c r="H440" s="2"/>
      <c r="I440" s="3"/>
      <c r="J440" s="2"/>
      <c r="K440" s="2"/>
      <c r="L440" s="2"/>
      <c r="M440" s="2"/>
      <c r="N440" s="1"/>
      <c r="O440" s="1"/>
      <c r="P440" s="1"/>
    </row>
    <row r="441">
      <c r="A441" s="1"/>
      <c r="B441" s="2"/>
      <c r="C441" s="1"/>
      <c r="D441" s="2"/>
      <c r="E441" s="1"/>
      <c r="F441" s="3"/>
      <c r="G441" s="2"/>
      <c r="H441" s="2"/>
      <c r="I441" s="3"/>
      <c r="J441" s="2"/>
      <c r="K441" s="2"/>
      <c r="L441" s="2"/>
      <c r="M441" s="2"/>
      <c r="N441" s="1"/>
      <c r="O441" s="1"/>
      <c r="P441" s="1"/>
    </row>
    <row r="442">
      <c r="A442" s="1"/>
      <c r="B442" s="2"/>
      <c r="C442" s="1"/>
      <c r="D442" s="2"/>
      <c r="E442" s="1"/>
      <c r="F442" s="3"/>
      <c r="G442" s="2"/>
      <c r="H442" s="2"/>
      <c r="I442" s="3"/>
      <c r="J442" s="2"/>
      <c r="K442" s="2"/>
      <c r="L442" s="2"/>
      <c r="M442" s="2"/>
      <c r="N442" s="1"/>
      <c r="O442" s="1"/>
      <c r="P442" s="1"/>
    </row>
    <row r="443">
      <c r="A443" s="1"/>
      <c r="B443" s="2"/>
      <c r="C443" s="1"/>
      <c r="D443" s="2"/>
      <c r="E443" s="1"/>
      <c r="F443" s="3"/>
      <c r="G443" s="2"/>
      <c r="H443" s="2"/>
      <c r="I443" s="3"/>
      <c r="J443" s="2"/>
      <c r="K443" s="2"/>
      <c r="L443" s="2"/>
      <c r="M443" s="2"/>
      <c r="N443" s="1"/>
      <c r="O443" s="1"/>
      <c r="P443" s="1"/>
    </row>
    <row r="444">
      <c r="A444" s="1"/>
      <c r="B444" s="2"/>
      <c r="C444" s="1"/>
      <c r="D444" s="2"/>
      <c r="E444" s="1"/>
      <c r="F444" s="3"/>
      <c r="G444" s="2"/>
      <c r="H444" s="2"/>
      <c r="I444" s="3"/>
      <c r="J444" s="2"/>
      <c r="K444" s="2"/>
      <c r="L444" s="2"/>
      <c r="M444" s="2"/>
      <c r="N444" s="1"/>
      <c r="O444" s="1"/>
      <c r="P444" s="1"/>
    </row>
    <row r="445">
      <c r="A445" s="1"/>
      <c r="B445" s="2"/>
      <c r="C445" s="1"/>
      <c r="D445" s="2"/>
      <c r="E445" s="1"/>
      <c r="F445" s="3"/>
      <c r="G445" s="2"/>
      <c r="H445" s="2"/>
      <c r="I445" s="3"/>
      <c r="J445" s="2"/>
      <c r="K445" s="2"/>
      <c r="L445" s="2"/>
      <c r="M445" s="2"/>
      <c r="N445" s="1"/>
      <c r="O445" s="1"/>
      <c r="P445" s="1"/>
    </row>
    <row r="446">
      <c r="A446" s="1"/>
      <c r="B446" s="2"/>
      <c r="C446" s="1"/>
      <c r="D446" s="2"/>
      <c r="E446" s="1"/>
      <c r="F446" s="3"/>
      <c r="G446" s="2"/>
      <c r="H446" s="2"/>
      <c r="I446" s="3"/>
      <c r="J446" s="2"/>
      <c r="K446" s="2"/>
      <c r="L446" s="2"/>
      <c r="M446" s="2"/>
      <c r="N446" s="1"/>
      <c r="O446" s="1"/>
      <c r="P446" s="1"/>
    </row>
    <row r="447">
      <c r="A447" s="1"/>
      <c r="B447" s="2"/>
      <c r="C447" s="1"/>
      <c r="D447" s="2"/>
      <c r="E447" s="1"/>
      <c r="F447" s="3"/>
      <c r="G447" s="2"/>
      <c r="H447" s="2"/>
      <c r="I447" s="3"/>
      <c r="J447" s="2"/>
      <c r="K447" s="2"/>
      <c r="L447" s="2"/>
      <c r="M447" s="2"/>
      <c r="N447" s="1"/>
      <c r="O447" s="1"/>
      <c r="P447" s="1"/>
    </row>
    <row r="448">
      <c r="A448" s="1"/>
      <c r="B448" s="2"/>
      <c r="C448" s="1"/>
      <c r="D448" s="2"/>
      <c r="E448" s="1"/>
      <c r="F448" s="3"/>
      <c r="G448" s="2"/>
      <c r="H448" s="2"/>
      <c r="I448" s="3"/>
      <c r="J448" s="2"/>
      <c r="K448" s="2"/>
      <c r="L448" s="2"/>
      <c r="M448" s="2"/>
      <c r="N448" s="1"/>
      <c r="O448" s="1"/>
      <c r="P448" s="1"/>
    </row>
    <row r="449">
      <c r="A449" s="1"/>
      <c r="B449" s="2"/>
      <c r="C449" s="1"/>
      <c r="D449" s="2"/>
      <c r="E449" s="1"/>
      <c r="F449" s="3"/>
      <c r="G449" s="2"/>
      <c r="H449" s="2"/>
      <c r="I449" s="3"/>
      <c r="J449" s="2"/>
      <c r="K449" s="2"/>
      <c r="L449" s="2"/>
      <c r="M449" s="2"/>
      <c r="N449" s="1"/>
      <c r="O449" s="1"/>
      <c r="P449" s="1"/>
    </row>
    <row r="450">
      <c r="A450" s="1"/>
      <c r="B450" s="2"/>
      <c r="C450" s="1"/>
      <c r="D450" s="2"/>
      <c r="E450" s="1"/>
      <c r="F450" s="3"/>
      <c r="G450" s="2"/>
      <c r="H450" s="2"/>
      <c r="I450" s="3"/>
      <c r="J450" s="2"/>
      <c r="K450" s="2"/>
      <c r="L450" s="2"/>
      <c r="M450" s="2"/>
      <c r="N450" s="1"/>
      <c r="O450" s="1"/>
      <c r="P450" s="1"/>
    </row>
    <row r="451">
      <c r="A451" s="1"/>
      <c r="B451" s="2"/>
      <c r="C451" s="1"/>
      <c r="D451" s="2"/>
      <c r="E451" s="1"/>
      <c r="F451" s="3"/>
      <c r="G451" s="2"/>
      <c r="H451" s="2"/>
      <c r="I451" s="3"/>
      <c r="J451" s="2"/>
      <c r="K451" s="2"/>
      <c r="L451" s="2"/>
      <c r="M451" s="2"/>
      <c r="N451" s="1"/>
      <c r="O451" s="1"/>
      <c r="P451" s="4"/>
      <c r="Q451" s="6"/>
    </row>
    <row r="452">
      <c r="A452" s="1"/>
      <c r="B452" s="2"/>
      <c r="C452" s="1"/>
      <c r="D452" s="2"/>
      <c r="E452" s="1"/>
      <c r="F452" s="3"/>
      <c r="G452" s="2"/>
      <c r="H452" s="2"/>
      <c r="I452" s="3"/>
      <c r="J452" s="2"/>
      <c r="K452" s="2"/>
      <c r="L452" s="2"/>
      <c r="M452" s="2"/>
      <c r="N452" s="1"/>
      <c r="O452" s="1"/>
      <c r="P452" s="4"/>
      <c r="Q452" s="4"/>
    </row>
    <row r="453">
      <c r="A453" s="1"/>
      <c r="B453" s="2"/>
      <c r="C453" s="1"/>
      <c r="D453" s="2"/>
      <c r="E453" s="1"/>
      <c r="F453" s="3"/>
      <c r="G453" s="2"/>
      <c r="H453" s="2"/>
      <c r="I453" s="3"/>
      <c r="J453" s="2"/>
      <c r="K453" s="2"/>
      <c r="L453" s="2"/>
      <c r="M453" s="2"/>
      <c r="N453" s="1"/>
      <c r="O453" s="1"/>
      <c r="P453" s="4"/>
      <c r="Q453" s="4"/>
    </row>
    <row r="454">
      <c r="A454" s="1"/>
      <c r="B454" s="2"/>
      <c r="C454" s="1"/>
      <c r="D454" s="2"/>
      <c r="E454" s="1"/>
      <c r="F454" s="3"/>
      <c r="G454" s="2"/>
      <c r="H454" s="2"/>
      <c r="I454" s="3"/>
      <c r="J454" s="2"/>
      <c r="K454" s="2"/>
      <c r="L454" s="2"/>
      <c r="M454" s="2"/>
      <c r="N454" s="1"/>
      <c r="O454" s="1"/>
      <c r="P454" s="4"/>
      <c r="Q454" s="4"/>
    </row>
    <row r="455">
      <c r="A455" s="1"/>
      <c r="B455" s="2"/>
      <c r="C455" s="1"/>
      <c r="D455" s="2"/>
      <c r="E455" s="1"/>
      <c r="F455" s="3"/>
      <c r="G455" s="2"/>
      <c r="H455" s="2"/>
      <c r="I455" s="3"/>
      <c r="J455" s="2"/>
      <c r="K455" s="2"/>
      <c r="L455" s="2"/>
      <c r="M455" s="2"/>
      <c r="N455" s="1"/>
      <c r="O455" s="1"/>
      <c r="P455" s="1"/>
    </row>
    <row r="456">
      <c r="A456" s="1"/>
      <c r="B456" s="2"/>
      <c r="C456" s="1"/>
      <c r="D456" s="2"/>
      <c r="E456" s="1"/>
      <c r="F456" s="3"/>
      <c r="G456" s="2"/>
      <c r="H456" s="2"/>
      <c r="I456" s="3"/>
      <c r="J456" s="2"/>
      <c r="K456" s="2"/>
      <c r="L456" s="2"/>
      <c r="M456" s="2"/>
      <c r="N456" s="1"/>
      <c r="O456" s="1"/>
      <c r="P456" s="1"/>
    </row>
    <row r="457">
      <c r="A457" s="1"/>
      <c r="B457" s="2"/>
      <c r="C457" s="1"/>
      <c r="D457" s="2"/>
      <c r="E457" s="1"/>
      <c r="F457" s="3"/>
      <c r="G457" s="2"/>
      <c r="H457" s="2"/>
      <c r="I457" s="3"/>
      <c r="J457" s="2"/>
      <c r="K457" s="2"/>
      <c r="L457" s="2"/>
      <c r="M457" s="2"/>
      <c r="N457" s="1"/>
      <c r="O457" s="1"/>
      <c r="P457" s="4"/>
      <c r="Q457" s="6"/>
    </row>
    <row r="458">
      <c r="A458" s="1"/>
      <c r="B458" s="2"/>
      <c r="C458" s="1"/>
      <c r="D458" s="2"/>
      <c r="E458" s="1"/>
      <c r="F458" s="3"/>
      <c r="G458" s="2"/>
      <c r="H458" s="2"/>
      <c r="I458" s="3"/>
      <c r="J458" s="2"/>
      <c r="K458" s="2"/>
      <c r="L458" s="2"/>
      <c r="M458" s="2"/>
      <c r="N458" s="1"/>
      <c r="O458" s="1"/>
      <c r="P458" s="4"/>
      <c r="Q458" s="6"/>
    </row>
    <row r="459">
      <c r="A459" s="1"/>
      <c r="B459" s="2"/>
      <c r="C459" s="1"/>
      <c r="D459" s="2"/>
      <c r="E459" s="1"/>
      <c r="F459" s="3"/>
      <c r="G459" s="2"/>
      <c r="H459" s="2"/>
      <c r="I459" s="3"/>
      <c r="J459" s="2"/>
      <c r="K459" s="2"/>
      <c r="L459" s="2"/>
      <c r="M459" s="2"/>
      <c r="N459" s="1"/>
      <c r="O459" s="1"/>
      <c r="P459" s="4"/>
      <c r="Q459" s="4"/>
    </row>
    <row r="460">
      <c r="A460" s="1"/>
      <c r="B460" s="2"/>
      <c r="C460" s="1"/>
      <c r="D460" s="2"/>
      <c r="E460" s="1"/>
      <c r="F460" s="3"/>
      <c r="G460" s="2"/>
      <c r="H460" s="2"/>
      <c r="I460" s="3"/>
      <c r="J460" s="2"/>
      <c r="K460" s="2"/>
      <c r="L460" s="2"/>
      <c r="M460" s="2"/>
      <c r="N460" s="1"/>
      <c r="O460" s="1"/>
      <c r="P460" s="4"/>
      <c r="Q460" s="6"/>
    </row>
    <row r="461">
      <c r="A461" s="1"/>
      <c r="B461" s="2"/>
      <c r="C461" s="1"/>
      <c r="D461" s="2"/>
      <c r="E461" s="1"/>
      <c r="F461" s="3"/>
      <c r="G461" s="2"/>
      <c r="H461" s="2"/>
      <c r="I461" s="3"/>
      <c r="J461" s="2"/>
      <c r="K461" s="2"/>
      <c r="L461" s="2"/>
      <c r="M461" s="2"/>
      <c r="N461" s="1"/>
      <c r="O461" s="1"/>
      <c r="P461" s="1"/>
    </row>
    <row r="462">
      <c r="A462" s="1"/>
      <c r="B462" s="2"/>
      <c r="C462" s="1"/>
      <c r="D462" s="2"/>
      <c r="E462" s="1"/>
      <c r="F462" s="3"/>
      <c r="G462" s="2"/>
      <c r="H462" s="2"/>
      <c r="I462" s="3"/>
      <c r="J462" s="2"/>
      <c r="K462" s="2"/>
      <c r="L462" s="2"/>
      <c r="M462" s="2"/>
      <c r="N462" s="1"/>
      <c r="O462" s="1"/>
      <c r="P462" s="6"/>
      <c r="Q462" s="6"/>
    </row>
    <row r="463">
      <c r="A463" s="1"/>
      <c r="B463" s="2"/>
      <c r="C463" s="1"/>
      <c r="D463" s="2"/>
      <c r="E463" s="1"/>
      <c r="F463" s="3"/>
      <c r="G463" s="2"/>
      <c r="H463" s="2"/>
      <c r="I463" s="3"/>
      <c r="J463" s="2"/>
      <c r="K463" s="2"/>
      <c r="L463" s="2"/>
      <c r="M463" s="2"/>
      <c r="N463" s="1"/>
      <c r="O463" s="1"/>
      <c r="P463" s="4"/>
      <c r="Q463" s="4"/>
    </row>
    <row r="464">
      <c r="A464" s="1"/>
      <c r="B464" s="2"/>
      <c r="C464" s="1"/>
      <c r="D464" s="2"/>
      <c r="E464" s="1"/>
      <c r="F464" s="3"/>
      <c r="G464" s="2"/>
      <c r="H464" s="2"/>
      <c r="I464" s="3"/>
      <c r="J464" s="2"/>
      <c r="K464" s="2"/>
      <c r="L464" s="2"/>
      <c r="M464" s="2"/>
      <c r="N464" s="1"/>
      <c r="O464" s="1"/>
      <c r="P464" s="4"/>
      <c r="Q464" s="4"/>
    </row>
    <row r="465">
      <c r="A465" s="1"/>
      <c r="B465" s="2"/>
      <c r="C465" s="1"/>
      <c r="D465" s="2"/>
      <c r="E465" s="1"/>
      <c r="F465" s="3"/>
      <c r="G465" s="2"/>
      <c r="H465" s="2"/>
      <c r="I465" s="3"/>
      <c r="J465" s="2"/>
      <c r="K465" s="2"/>
      <c r="L465" s="2"/>
      <c r="M465" s="2"/>
      <c r="N465" s="1"/>
      <c r="O465" s="1"/>
      <c r="P465" s="4"/>
      <c r="Q465" s="4"/>
    </row>
    <row r="466">
      <c r="A466" s="1"/>
      <c r="B466" s="2"/>
      <c r="C466" s="1"/>
      <c r="D466" s="2"/>
      <c r="E466" s="1"/>
      <c r="F466" s="3"/>
      <c r="G466" s="2"/>
      <c r="H466" s="2"/>
      <c r="I466" s="3"/>
      <c r="J466" s="2"/>
      <c r="K466" s="2"/>
      <c r="L466" s="2"/>
      <c r="M466" s="2"/>
      <c r="N466" s="1"/>
      <c r="O466" s="1"/>
      <c r="P466" s="1"/>
    </row>
    <row r="467">
      <c r="A467" s="1"/>
      <c r="B467" s="2"/>
      <c r="C467" s="1"/>
      <c r="D467" s="2"/>
      <c r="E467" s="1"/>
      <c r="F467" s="3"/>
      <c r="G467" s="2"/>
      <c r="H467" s="2"/>
      <c r="I467" s="3"/>
      <c r="J467" s="2"/>
      <c r="K467" s="2"/>
      <c r="L467" s="2"/>
      <c r="M467" s="2"/>
      <c r="N467" s="1"/>
      <c r="O467" s="1"/>
      <c r="P467" s="4"/>
      <c r="Q467" s="6"/>
    </row>
    <row r="468">
      <c r="A468" s="1"/>
      <c r="B468" s="2"/>
      <c r="C468" s="1"/>
      <c r="D468" s="2"/>
      <c r="E468" s="1"/>
      <c r="F468" s="3"/>
      <c r="G468" s="2"/>
      <c r="H468" s="2"/>
      <c r="I468" s="3"/>
      <c r="J468" s="2"/>
      <c r="K468" s="2"/>
      <c r="L468" s="2"/>
      <c r="M468" s="2"/>
      <c r="N468" s="1"/>
      <c r="O468" s="1"/>
      <c r="P468" s="4"/>
      <c r="Q468" s="6"/>
    </row>
    <row r="469">
      <c r="A469" s="1"/>
      <c r="B469" s="2"/>
      <c r="C469" s="1"/>
      <c r="D469" s="2"/>
      <c r="E469" s="1"/>
      <c r="F469" s="3"/>
      <c r="G469" s="2"/>
      <c r="H469" s="2"/>
      <c r="I469" s="3"/>
      <c r="J469" s="2"/>
      <c r="K469" s="2"/>
      <c r="L469" s="2"/>
      <c r="M469" s="2"/>
      <c r="N469" s="1"/>
      <c r="O469" s="1"/>
      <c r="P469" s="1"/>
    </row>
    <row r="470">
      <c r="A470" s="1"/>
      <c r="B470" s="2"/>
      <c r="C470" s="1"/>
      <c r="D470" s="2"/>
      <c r="E470" s="1"/>
      <c r="F470" s="3"/>
      <c r="G470" s="2"/>
      <c r="H470" s="2"/>
      <c r="I470" s="3"/>
      <c r="J470" s="2"/>
      <c r="K470" s="2"/>
      <c r="L470" s="2"/>
      <c r="M470" s="2"/>
      <c r="N470" s="1"/>
      <c r="O470" s="1"/>
      <c r="P470" s="4"/>
      <c r="Q470" s="6"/>
    </row>
    <row r="471">
      <c r="A471" s="1"/>
      <c r="B471" s="2"/>
      <c r="C471" s="1"/>
      <c r="D471" s="2"/>
      <c r="E471" s="1"/>
      <c r="F471" s="3"/>
      <c r="G471" s="2"/>
      <c r="H471" s="2"/>
      <c r="I471" s="3"/>
      <c r="J471" s="2"/>
      <c r="K471" s="2"/>
      <c r="L471" s="2"/>
      <c r="M471" s="2"/>
      <c r="N471" s="1"/>
      <c r="O471" s="1"/>
      <c r="P471" s="1"/>
    </row>
    <row r="472">
      <c r="A472" s="1"/>
      <c r="B472" s="2"/>
      <c r="C472" s="1"/>
      <c r="D472" s="2"/>
      <c r="E472" s="1"/>
      <c r="F472" s="3"/>
      <c r="G472" s="2"/>
      <c r="H472" s="2"/>
      <c r="I472" s="3"/>
      <c r="J472" s="2"/>
      <c r="K472" s="2"/>
      <c r="L472" s="2"/>
      <c r="M472" s="7"/>
      <c r="N472" s="1"/>
      <c r="O472" s="1"/>
      <c r="P472" s="4"/>
      <c r="Q472" s="4"/>
    </row>
    <row r="473">
      <c r="A473" s="1"/>
      <c r="B473" s="2"/>
      <c r="C473" s="1"/>
      <c r="D473" s="2"/>
      <c r="E473" s="1"/>
      <c r="F473" s="3"/>
      <c r="G473" s="2"/>
      <c r="H473" s="2"/>
      <c r="I473" s="3"/>
      <c r="J473" s="2"/>
      <c r="K473" s="2"/>
      <c r="L473" s="2"/>
      <c r="M473" s="2"/>
      <c r="N473" s="1"/>
      <c r="O473" s="1"/>
      <c r="P473" s="4"/>
      <c r="Q473" s="4"/>
    </row>
    <row r="474">
      <c r="A474" s="1"/>
      <c r="B474" s="2"/>
      <c r="C474" s="1"/>
      <c r="D474" s="2"/>
      <c r="E474" s="1"/>
      <c r="F474" s="3"/>
      <c r="G474" s="2"/>
      <c r="H474" s="2"/>
      <c r="I474" s="3"/>
      <c r="J474" s="2"/>
      <c r="K474" s="2"/>
      <c r="L474" s="2"/>
      <c r="M474" s="2"/>
      <c r="N474" s="1"/>
      <c r="O474" s="1"/>
      <c r="P474" s="4"/>
      <c r="Q474" s="4"/>
    </row>
    <row r="475">
      <c r="A475" s="1"/>
      <c r="B475" s="2"/>
      <c r="C475" s="1"/>
      <c r="D475" s="2"/>
      <c r="E475" s="1"/>
      <c r="F475" s="3"/>
      <c r="G475" s="2"/>
      <c r="H475" s="2"/>
      <c r="I475" s="3"/>
      <c r="J475" s="2"/>
      <c r="K475" s="2"/>
      <c r="L475" s="2"/>
      <c r="M475" s="2"/>
      <c r="N475" s="1"/>
      <c r="O475" s="1"/>
      <c r="P475" s="4"/>
      <c r="Q475" s="6"/>
    </row>
    <row r="476">
      <c r="A476" s="1"/>
      <c r="B476" s="2"/>
      <c r="C476" s="1"/>
      <c r="D476" s="2"/>
      <c r="E476" s="1"/>
      <c r="F476" s="3"/>
      <c r="G476" s="2"/>
      <c r="H476" s="2"/>
      <c r="I476" s="3"/>
      <c r="J476" s="2"/>
      <c r="K476" s="2"/>
      <c r="L476" s="2"/>
      <c r="M476" s="2"/>
      <c r="N476" s="1"/>
      <c r="O476" s="1"/>
      <c r="P476" s="4"/>
      <c r="Q476" s="4"/>
    </row>
    <row r="477">
      <c r="A477" s="1"/>
      <c r="B477" s="2"/>
      <c r="C477" s="1"/>
      <c r="D477" s="2"/>
      <c r="E477" s="1"/>
      <c r="F477" s="3"/>
      <c r="G477" s="2"/>
      <c r="H477" s="2"/>
      <c r="I477" s="3"/>
      <c r="J477" s="2"/>
      <c r="K477" s="2"/>
      <c r="L477" s="2"/>
      <c r="M477" s="2"/>
      <c r="N477" s="1"/>
      <c r="O477" s="1"/>
      <c r="P477" s="4"/>
      <c r="Q477" s="6"/>
    </row>
    <row r="478">
      <c r="A478" s="1"/>
      <c r="B478" s="2"/>
      <c r="C478" s="1"/>
      <c r="D478" s="2"/>
      <c r="E478" s="1"/>
      <c r="F478" s="3"/>
      <c r="G478" s="2"/>
      <c r="H478" s="2"/>
      <c r="I478" s="3"/>
      <c r="J478" s="2"/>
      <c r="K478" s="2"/>
      <c r="L478" s="2"/>
      <c r="M478" s="2"/>
      <c r="N478" s="1"/>
      <c r="O478" s="1"/>
      <c r="P478" s="1"/>
    </row>
    <row r="479">
      <c r="A479" s="1"/>
      <c r="B479" s="2"/>
      <c r="C479" s="1"/>
      <c r="D479" s="2"/>
      <c r="E479" s="1"/>
      <c r="F479" s="3"/>
      <c r="G479" s="2"/>
      <c r="H479" s="2"/>
      <c r="I479" s="3"/>
      <c r="J479" s="2"/>
      <c r="K479" s="2"/>
      <c r="L479" s="2"/>
      <c r="M479" s="2"/>
      <c r="N479" s="1"/>
      <c r="O479" s="1"/>
      <c r="P479" s="4"/>
      <c r="Q479" s="4"/>
    </row>
    <row r="480">
      <c r="A480" s="1"/>
      <c r="B480" s="2"/>
      <c r="C480" s="1"/>
      <c r="D480" s="2"/>
      <c r="E480" s="1"/>
      <c r="F480" s="3"/>
      <c r="G480" s="2"/>
      <c r="H480" s="2"/>
      <c r="I480" s="3"/>
      <c r="J480" s="2"/>
      <c r="K480" s="2"/>
      <c r="L480" s="2"/>
      <c r="M480" s="2"/>
      <c r="N480" s="1"/>
      <c r="O480" s="1"/>
      <c r="P480" s="1"/>
    </row>
    <row r="481">
      <c r="A481" s="1"/>
      <c r="B481" s="2"/>
      <c r="C481" s="1"/>
      <c r="D481" s="2"/>
      <c r="E481" s="1"/>
      <c r="F481" s="3"/>
      <c r="G481" s="2"/>
      <c r="H481" s="2"/>
      <c r="I481" s="3"/>
      <c r="J481" s="2"/>
      <c r="K481" s="2"/>
      <c r="L481" s="2"/>
      <c r="M481" s="2"/>
      <c r="N481" s="1"/>
      <c r="O481" s="1"/>
      <c r="P481" s="4"/>
      <c r="Q481" s="4"/>
    </row>
    <row r="482">
      <c r="A482" s="1"/>
      <c r="B482" s="2"/>
      <c r="C482" s="1"/>
      <c r="D482" s="2"/>
      <c r="E482" s="1"/>
      <c r="F482" s="3"/>
      <c r="G482" s="2"/>
      <c r="H482" s="2"/>
      <c r="I482" s="3"/>
      <c r="J482" s="2"/>
      <c r="K482" s="2"/>
      <c r="L482" s="2"/>
      <c r="M482" s="2"/>
      <c r="N482" s="1"/>
      <c r="O482" s="1"/>
      <c r="P482" s="6"/>
      <c r="Q482" s="6"/>
    </row>
    <row r="483">
      <c r="A483" s="1"/>
      <c r="B483" s="2"/>
      <c r="C483" s="1"/>
      <c r="D483" s="2"/>
      <c r="E483" s="1"/>
      <c r="F483" s="3"/>
      <c r="G483" s="2"/>
      <c r="H483" s="2"/>
      <c r="I483" s="3"/>
      <c r="J483" s="2"/>
      <c r="K483" s="2"/>
      <c r="L483" s="2"/>
      <c r="M483" s="2"/>
      <c r="N483" s="1"/>
      <c r="O483" s="1"/>
      <c r="P483" s="1"/>
    </row>
    <row r="484">
      <c r="A484" s="1"/>
      <c r="B484" s="2"/>
      <c r="C484" s="1"/>
      <c r="D484" s="2"/>
      <c r="E484" s="1"/>
      <c r="F484" s="3"/>
      <c r="G484" s="2"/>
      <c r="H484" s="2"/>
      <c r="I484" s="3"/>
      <c r="J484" s="2"/>
      <c r="K484" s="2"/>
      <c r="L484" s="2"/>
      <c r="M484" s="2"/>
      <c r="N484" s="1"/>
      <c r="O484" s="1"/>
      <c r="P484" s="4"/>
      <c r="Q484" s="4"/>
    </row>
    <row r="485">
      <c r="A485" s="1"/>
      <c r="B485" s="2"/>
      <c r="C485" s="1"/>
      <c r="D485" s="2"/>
      <c r="E485" s="1"/>
      <c r="F485" s="3"/>
      <c r="G485" s="2"/>
      <c r="H485" s="2"/>
      <c r="I485" s="3"/>
      <c r="J485" s="2"/>
      <c r="K485" s="2"/>
      <c r="L485" s="2"/>
      <c r="M485" s="2"/>
      <c r="N485" s="1"/>
      <c r="O485" s="1"/>
      <c r="P485" s="1"/>
    </row>
    <row r="486">
      <c r="A486" s="1"/>
      <c r="B486" s="2"/>
      <c r="C486" s="1"/>
      <c r="D486" s="2"/>
      <c r="E486" s="1"/>
      <c r="F486" s="3"/>
      <c r="G486" s="2"/>
      <c r="H486" s="2"/>
      <c r="I486" s="3"/>
      <c r="J486" s="2"/>
      <c r="K486" s="2"/>
      <c r="L486" s="2"/>
      <c r="M486" s="2"/>
      <c r="N486" s="1"/>
      <c r="O486" s="1"/>
      <c r="P486" s="4"/>
      <c r="Q486" s="4"/>
    </row>
    <row r="487">
      <c r="A487" s="1"/>
      <c r="B487" s="2"/>
      <c r="C487" s="1"/>
      <c r="D487" s="2"/>
      <c r="E487" s="1"/>
      <c r="F487" s="3"/>
      <c r="G487" s="2"/>
      <c r="H487" s="2"/>
      <c r="I487" s="3"/>
      <c r="J487" s="2"/>
      <c r="K487" s="2"/>
      <c r="L487" s="2"/>
      <c r="M487" s="2"/>
      <c r="N487" s="1"/>
      <c r="O487" s="1"/>
      <c r="P487" s="4"/>
      <c r="Q487" s="6"/>
    </row>
    <row r="488">
      <c r="A488" s="1"/>
      <c r="B488" s="2"/>
      <c r="C488" s="1"/>
      <c r="D488" s="2"/>
      <c r="E488" s="1"/>
      <c r="F488" s="3"/>
      <c r="G488" s="2"/>
      <c r="H488" s="2"/>
      <c r="I488" s="3"/>
      <c r="J488" s="2"/>
      <c r="K488" s="2"/>
      <c r="L488" s="2"/>
      <c r="M488" s="2"/>
      <c r="N488" s="1"/>
      <c r="O488" s="1"/>
      <c r="P488" s="6"/>
      <c r="Q488" s="6"/>
    </row>
    <row r="489">
      <c r="A489" s="1"/>
      <c r="B489" s="2"/>
      <c r="C489" s="1"/>
      <c r="D489" s="2"/>
      <c r="E489" s="1"/>
      <c r="F489" s="3"/>
      <c r="G489" s="2"/>
      <c r="H489" s="2"/>
      <c r="I489" s="3"/>
      <c r="J489" s="2"/>
      <c r="K489" s="2"/>
      <c r="L489" s="2"/>
      <c r="M489" s="2"/>
      <c r="N489" s="1"/>
      <c r="O489" s="1"/>
      <c r="P489" s="6"/>
      <c r="Q489" s="6"/>
    </row>
    <row r="490">
      <c r="A490" s="1"/>
      <c r="B490" s="2"/>
      <c r="C490" s="1"/>
      <c r="D490" s="2"/>
      <c r="E490" s="1"/>
      <c r="F490" s="3"/>
      <c r="G490" s="2"/>
      <c r="H490" s="2"/>
      <c r="I490" s="3"/>
      <c r="J490" s="2"/>
      <c r="K490" s="2"/>
      <c r="L490" s="2"/>
      <c r="M490" s="2"/>
      <c r="N490" s="1"/>
      <c r="O490" s="1"/>
      <c r="P490" s="4"/>
      <c r="Q490" s="6"/>
    </row>
    <row r="491">
      <c r="A491" s="1"/>
      <c r="B491" s="2"/>
      <c r="C491" s="1"/>
      <c r="D491" s="2"/>
      <c r="E491" s="1"/>
      <c r="F491" s="3"/>
      <c r="G491" s="2"/>
      <c r="H491" s="2"/>
      <c r="I491" s="3"/>
      <c r="J491" s="2"/>
      <c r="K491" s="2"/>
      <c r="L491" s="2"/>
      <c r="M491" s="2"/>
      <c r="N491" s="1"/>
      <c r="O491" s="1"/>
      <c r="P491" s="6"/>
      <c r="Q491" s="6"/>
    </row>
    <row r="492">
      <c r="A492" s="1"/>
      <c r="B492" s="2"/>
      <c r="C492" s="1"/>
      <c r="D492" s="2"/>
      <c r="E492" s="1"/>
      <c r="F492" s="3"/>
      <c r="G492" s="2"/>
      <c r="H492" s="2"/>
      <c r="I492" s="3"/>
      <c r="J492" s="2"/>
      <c r="K492" s="2"/>
      <c r="L492" s="2"/>
      <c r="M492" s="2"/>
      <c r="N492" s="1"/>
      <c r="O492" s="1"/>
      <c r="P492" s="1"/>
    </row>
    <row r="493">
      <c r="A493" s="1"/>
      <c r="B493" s="2"/>
      <c r="C493" s="1"/>
      <c r="D493" s="2"/>
      <c r="E493" s="1"/>
      <c r="F493" s="3"/>
      <c r="G493" s="2"/>
      <c r="H493" s="2"/>
      <c r="I493" s="3"/>
      <c r="J493" s="2"/>
      <c r="K493" s="2"/>
      <c r="L493" s="2"/>
      <c r="M493" s="2"/>
      <c r="N493" s="1"/>
      <c r="O493" s="1"/>
      <c r="P493" s="4"/>
      <c r="Q493" s="6"/>
    </row>
    <row r="494">
      <c r="A494" s="1"/>
      <c r="B494" s="2"/>
      <c r="C494" s="1"/>
      <c r="D494" s="2"/>
      <c r="E494" s="1"/>
      <c r="F494" s="3"/>
      <c r="G494" s="2"/>
      <c r="H494" s="2"/>
      <c r="I494" s="3"/>
      <c r="J494" s="2"/>
      <c r="K494" s="2"/>
      <c r="L494" s="2"/>
      <c r="M494" s="2"/>
      <c r="N494" s="1"/>
      <c r="O494" s="1"/>
      <c r="P494" s="6"/>
      <c r="Q494" s="6"/>
    </row>
    <row r="495">
      <c r="A495" s="1"/>
      <c r="B495" s="2"/>
      <c r="C495" s="1"/>
      <c r="D495" s="2"/>
      <c r="E495" s="1"/>
      <c r="F495" s="3"/>
      <c r="G495" s="2"/>
      <c r="H495" s="2"/>
      <c r="I495" s="3"/>
      <c r="J495" s="2"/>
      <c r="K495" s="2"/>
      <c r="L495" s="2"/>
      <c r="M495" s="2"/>
      <c r="N495" s="1"/>
      <c r="O495" s="1"/>
      <c r="P495" s="4"/>
      <c r="Q495" s="6"/>
    </row>
    <row r="496">
      <c r="A496" s="1"/>
      <c r="B496" s="2"/>
      <c r="C496" s="1"/>
      <c r="D496" s="2"/>
      <c r="E496" s="1"/>
      <c r="F496" s="3"/>
      <c r="G496" s="2"/>
      <c r="H496" s="2"/>
      <c r="I496" s="3"/>
      <c r="J496" s="2"/>
      <c r="K496" s="2"/>
      <c r="L496" s="2"/>
      <c r="M496" s="2"/>
      <c r="N496" s="1"/>
      <c r="O496" s="1"/>
      <c r="P496" s="1"/>
      <c r="Q496" s="6"/>
    </row>
    <row r="497">
      <c r="A497" s="1"/>
      <c r="B497" s="2"/>
      <c r="C497" s="1"/>
      <c r="D497" s="2"/>
      <c r="E497" s="1"/>
      <c r="F497" s="3"/>
      <c r="G497" s="2"/>
      <c r="H497" s="2"/>
      <c r="I497" s="3"/>
      <c r="J497" s="2"/>
      <c r="K497" s="2"/>
      <c r="L497" s="2"/>
      <c r="M497" s="2"/>
      <c r="N497" s="1"/>
      <c r="O497" s="1"/>
      <c r="P497" s="6"/>
      <c r="Q497" s="6"/>
    </row>
    <row r="498">
      <c r="A498" s="1"/>
      <c r="B498" s="2"/>
      <c r="C498" s="1"/>
      <c r="D498" s="2"/>
      <c r="E498" s="1"/>
      <c r="F498" s="3"/>
      <c r="G498" s="2"/>
      <c r="H498" s="2"/>
      <c r="I498" s="3"/>
      <c r="J498" s="2"/>
      <c r="K498" s="2"/>
      <c r="L498" s="2"/>
      <c r="M498" s="2"/>
      <c r="N498" s="1"/>
      <c r="O498" s="1"/>
      <c r="P498" s="6"/>
      <c r="Q498" s="6"/>
    </row>
    <row r="499">
      <c r="A499" s="1"/>
      <c r="B499" s="2"/>
      <c r="C499" s="1"/>
      <c r="D499" s="2"/>
      <c r="E499" s="1"/>
      <c r="F499" s="3"/>
      <c r="G499" s="2"/>
      <c r="H499" s="2"/>
      <c r="I499" s="3"/>
      <c r="J499" s="2"/>
      <c r="K499" s="2"/>
      <c r="L499" s="2"/>
      <c r="M499" s="2"/>
      <c r="N499" s="1"/>
      <c r="O499" s="1"/>
      <c r="P499" s="4"/>
      <c r="Q499" s="6"/>
    </row>
    <row r="500">
      <c r="A500" s="1"/>
      <c r="B500" s="2"/>
      <c r="C500" s="1"/>
      <c r="D500" s="2"/>
      <c r="E500" s="1"/>
      <c r="F500" s="3"/>
      <c r="G500" s="2"/>
      <c r="H500" s="2"/>
      <c r="I500" s="3"/>
      <c r="J500" s="2"/>
      <c r="K500" s="2"/>
      <c r="L500" s="2"/>
      <c r="M500" s="2"/>
      <c r="N500" s="1"/>
      <c r="O500" s="1"/>
      <c r="P500" s="4"/>
      <c r="Q500" s="4"/>
    </row>
    <row r="501">
      <c r="A501" s="1"/>
      <c r="B501" s="2"/>
      <c r="C501" s="1"/>
      <c r="D501" s="2"/>
      <c r="E501" s="1"/>
      <c r="F501" s="3"/>
      <c r="G501" s="2"/>
      <c r="H501" s="2"/>
      <c r="I501" s="3"/>
      <c r="J501" s="2"/>
      <c r="K501" s="2"/>
      <c r="L501" s="2"/>
      <c r="M501" s="2"/>
      <c r="N501" s="1"/>
      <c r="O501" s="1"/>
      <c r="P501" s="4"/>
      <c r="Q501" s="6"/>
    </row>
    <row r="502">
      <c r="A502" s="1"/>
      <c r="B502" s="2"/>
      <c r="C502" s="1"/>
      <c r="D502" s="2"/>
      <c r="E502" s="1"/>
      <c r="F502" s="3"/>
      <c r="G502" s="2"/>
      <c r="H502" s="2"/>
      <c r="I502" s="3"/>
      <c r="J502" s="2"/>
      <c r="K502" s="2"/>
      <c r="L502" s="2"/>
      <c r="M502" s="2"/>
      <c r="N502" s="1"/>
      <c r="O502" s="1"/>
      <c r="P502" s="1"/>
    </row>
    <row r="503">
      <c r="A503" s="1"/>
      <c r="B503" s="2"/>
      <c r="C503" s="1"/>
      <c r="D503" s="2"/>
      <c r="E503" s="1"/>
      <c r="F503" s="3"/>
      <c r="G503" s="2"/>
      <c r="H503" s="2"/>
      <c r="I503" s="3"/>
      <c r="J503" s="2"/>
      <c r="K503" s="2"/>
      <c r="L503" s="2"/>
      <c r="M503" s="2"/>
      <c r="N503" s="1"/>
      <c r="O503" s="1"/>
      <c r="P503" s="4"/>
      <c r="Q503" s="4"/>
    </row>
    <row r="504">
      <c r="A504" s="1"/>
      <c r="B504" s="2"/>
      <c r="C504" s="1"/>
      <c r="D504" s="2"/>
      <c r="E504" s="1"/>
      <c r="F504" s="3"/>
      <c r="G504" s="2"/>
      <c r="H504" s="2"/>
      <c r="I504" s="3"/>
      <c r="J504" s="2"/>
      <c r="K504" s="2"/>
      <c r="L504" s="2"/>
      <c r="M504" s="2"/>
      <c r="N504" s="1"/>
      <c r="O504" s="1"/>
      <c r="P504" s="1"/>
    </row>
    <row r="505">
      <c r="A505" s="1"/>
      <c r="B505" s="2"/>
      <c r="C505" s="1"/>
      <c r="D505" s="2"/>
      <c r="E505" s="1"/>
      <c r="F505" s="3"/>
      <c r="G505" s="2"/>
      <c r="H505" s="2"/>
      <c r="I505" s="3"/>
      <c r="J505" s="2"/>
      <c r="K505" s="2"/>
      <c r="L505" s="2"/>
      <c r="M505" s="2"/>
      <c r="N505" s="1"/>
      <c r="O505" s="1"/>
      <c r="P505" s="4"/>
      <c r="Q505" s="4"/>
    </row>
    <row r="506">
      <c r="A506" s="1"/>
      <c r="B506" s="2"/>
      <c r="C506" s="1"/>
      <c r="D506" s="2"/>
      <c r="E506" s="1"/>
      <c r="F506" s="3"/>
      <c r="G506" s="2"/>
      <c r="H506" s="2"/>
      <c r="I506" s="3"/>
      <c r="J506" s="2"/>
      <c r="K506" s="2"/>
      <c r="L506" s="2"/>
      <c r="M506" s="2"/>
      <c r="N506" s="1"/>
      <c r="O506" s="1"/>
      <c r="P506" s="4"/>
      <c r="Q506" s="4"/>
    </row>
    <row r="507">
      <c r="A507" s="1"/>
      <c r="B507" s="2"/>
      <c r="C507" s="1"/>
      <c r="D507" s="2"/>
      <c r="E507" s="1"/>
      <c r="F507" s="3"/>
      <c r="G507" s="2"/>
      <c r="H507" s="2"/>
      <c r="I507" s="3"/>
      <c r="J507" s="2"/>
      <c r="K507" s="2"/>
      <c r="L507" s="2"/>
      <c r="M507" s="2"/>
      <c r="N507" s="1"/>
      <c r="O507" s="1"/>
      <c r="P507" s="1"/>
    </row>
    <row r="508">
      <c r="A508" s="1"/>
      <c r="B508" s="2"/>
      <c r="C508" s="1"/>
      <c r="D508" s="2"/>
      <c r="E508" s="1"/>
      <c r="F508" s="3"/>
      <c r="G508" s="2"/>
      <c r="H508" s="2"/>
      <c r="I508" s="3"/>
      <c r="J508" s="2"/>
      <c r="K508" s="2"/>
      <c r="L508" s="2"/>
      <c r="M508" s="2"/>
      <c r="N508" s="1"/>
      <c r="O508" s="1"/>
      <c r="P508" s="6"/>
      <c r="Q508" s="6"/>
    </row>
    <row r="509">
      <c r="A509" s="1"/>
      <c r="B509" s="2"/>
      <c r="C509" s="1"/>
      <c r="D509" s="2"/>
      <c r="E509" s="1"/>
      <c r="F509" s="3"/>
      <c r="G509" s="2"/>
      <c r="H509" s="2"/>
      <c r="I509" s="3"/>
      <c r="J509" s="2"/>
      <c r="K509" s="2"/>
      <c r="L509" s="2"/>
      <c r="M509" s="2"/>
      <c r="N509" s="1"/>
      <c r="O509" s="1"/>
      <c r="P509" s="4"/>
      <c r="Q509" s="4"/>
    </row>
    <row r="510">
      <c r="A510" s="1"/>
      <c r="B510" s="2"/>
      <c r="C510" s="1"/>
      <c r="D510" s="2"/>
      <c r="E510" s="1"/>
      <c r="F510" s="3"/>
      <c r="G510" s="2"/>
      <c r="H510" s="2"/>
      <c r="I510" s="3"/>
      <c r="J510" s="2"/>
      <c r="K510" s="2"/>
      <c r="L510" s="2"/>
      <c r="M510" s="7"/>
      <c r="N510" s="1"/>
      <c r="O510" s="1"/>
      <c r="P510" s="4"/>
      <c r="Q510" s="6"/>
    </row>
    <row r="511">
      <c r="A511" s="1"/>
      <c r="B511" s="2"/>
      <c r="C511" s="1"/>
      <c r="D511" s="2"/>
      <c r="E511" s="1"/>
      <c r="F511" s="3"/>
      <c r="G511" s="2"/>
      <c r="H511" s="2"/>
      <c r="I511" s="3"/>
      <c r="J511" s="2"/>
      <c r="K511" s="2"/>
      <c r="L511" s="2"/>
      <c r="M511" s="2"/>
      <c r="N511" s="1"/>
      <c r="O511" s="1"/>
      <c r="P511" s="1"/>
    </row>
    <row r="512">
      <c r="A512" s="1"/>
      <c r="B512" s="2"/>
      <c r="C512" s="1"/>
      <c r="D512" s="2"/>
      <c r="E512" s="1"/>
      <c r="F512" s="3"/>
      <c r="G512" s="2"/>
      <c r="H512" s="2"/>
      <c r="I512" s="3"/>
      <c r="J512" s="2"/>
      <c r="K512" s="2"/>
      <c r="L512" s="2"/>
      <c r="M512" s="2"/>
      <c r="N512" s="1"/>
      <c r="O512" s="1"/>
      <c r="P512" s="1"/>
    </row>
    <row r="513">
      <c r="A513" s="1"/>
      <c r="B513" s="2"/>
      <c r="C513" s="1"/>
      <c r="D513" s="2"/>
      <c r="E513" s="1"/>
      <c r="F513" s="3"/>
      <c r="G513" s="2"/>
      <c r="H513" s="2"/>
      <c r="I513" s="3"/>
      <c r="J513" s="2"/>
      <c r="K513" s="2"/>
      <c r="L513" s="2"/>
      <c r="M513" s="2"/>
      <c r="N513" s="1"/>
      <c r="O513" s="1"/>
      <c r="P513" s="4"/>
      <c r="Q513" s="6"/>
    </row>
    <row r="514">
      <c r="A514" s="1"/>
      <c r="B514" s="2"/>
      <c r="C514" s="1"/>
      <c r="D514" s="2"/>
      <c r="E514" s="1"/>
      <c r="F514" s="3"/>
      <c r="G514" s="2"/>
      <c r="H514" s="2"/>
      <c r="I514" s="3"/>
      <c r="J514" s="2"/>
      <c r="K514" s="2"/>
      <c r="L514" s="2"/>
      <c r="M514" s="2"/>
      <c r="N514" s="1"/>
      <c r="O514" s="1"/>
      <c r="P514" s="4"/>
      <c r="Q514" s="6"/>
    </row>
    <row r="515">
      <c r="A515" s="1"/>
      <c r="B515" s="2"/>
      <c r="C515" s="1"/>
      <c r="D515" s="2"/>
      <c r="E515" s="1"/>
      <c r="F515" s="3"/>
      <c r="G515" s="2"/>
      <c r="H515" s="2"/>
      <c r="I515" s="3"/>
      <c r="J515" s="2"/>
      <c r="K515" s="2"/>
      <c r="L515" s="2"/>
      <c r="M515" s="2"/>
      <c r="N515" s="1"/>
      <c r="O515" s="1"/>
      <c r="P515" s="4"/>
      <c r="Q515" s="4"/>
    </row>
    <row r="516">
      <c r="A516" s="1"/>
      <c r="B516" s="2"/>
      <c r="C516" s="1"/>
      <c r="D516" s="2"/>
      <c r="E516" s="1"/>
      <c r="F516" s="3"/>
      <c r="G516" s="2"/>
      <c r="H516" s="2"/>
      <c r="I516" s="3"/>
      <c r="J516" s="2"/>
      <c r="K516" s="2"/>
      <c r="L516" s="2"/>
      <c r="M516" s="2"/>
      <c r="N516" s="1"/>
      <c r="O516" s="1"/>
      <c r="P516" s="4"/>
      <c r="Q516" s="4"/>
    </row>
    <row r="517">
      <c r="A517" s="1"/>
      <c r="B517" s="2"/>
      <c r="C517" s="1"/>
      <c r="D517" s="2"/>
      <c r="E517" s="1"/>
      <c r="F517" s="3"/>
      <c r="G517" s="2"/>
      <c r="H517" s="2"/>
      <c r="I517" s="3"/>
      <c r="J517" s="2"/>
      <c r="K517" s="2"/>
      <c r="L517" s="2"/>
      <c r="M517" s="2"/>
      <c r="N517" s="1"/>
      <c r="O517" s="1"/>
      <c r="P517" s="4"/>
      <c r="Q517" s="6"/>
    </row>
    <row r="518">
      <c r="A518" s="1"/>
      <c r="B518" s="2"/>
      <c r="C518" s="1"/>
      <c r="D518" s="2"/>
      <c r="E518" s="1"/>
      <c r="F518" s="3"/>
      <c r="G518" s="2"/>
      <c r="H518" s="2"/>
      <c r="I518" s="3"/>
      <c r="J518" s="2"/>
      <c r="K518" s="2"/>
      <c r="L518" s="2"/>
      <c r="M518" s="2"/>
      <c r="N518" s="1"/>
      <c r="O518" s="1"/>
      <c r="P518" s="1"/>
    </row>
    <row r="519">
      <c r="A519" s="1"/>
      <c r="B519" s="2"/>
      <c r="C519" s="1"/>
      <c r="D519" s="2"/>
      <c r="E519" s="1"/>
      <c r="F519" s="3"/>
      <c r="G519" s="2"/>
      <c r="H519" s="2"/>
      <c r="I519" s="3"/>
      <c r="J519" s="2"/>
      <c r="K519" s="2"/>
      <c r="L519" s="2"/>
      <c r="M519" s="2"/>
      <c r="N519" s="1"/>
      <c r="O519" s="1"/>
      <c r="P519" s="6"/>
      <c r="Q519" s="6"/>
    </row>
    <row r="520">
      <c r="A520" s="1"/>
      <c r="B520" s="2"/>
      <c r="C520" s="1"/>
      <c r="D520" s="2"/>
      <c r="E520" s="1"/>
      <c r="F520" s="3"/>
      <c r="G520" s="2"/>
      <c r="H520" s="2"/>
      <c r="I520" s="3"/>
      <c r="J520" s="2"/>
      <c r="K520" s="2"/>
      <c r="L520" s="2"/>
      <c r="M520" s="2"/>
      <c r="N520" s="1"/>
      <c r="O520" s="1"/>
      <c r="P520" s="4"/>
      <c r="Q520" s="4"/>
    </row>
    <row r="521">
      <c r="A521" s="1"/>
      <c r="B521" s="2"/>
      <c r="C521" s="1"/>
      <c r="D521" s="2"/>
      <c r="E521" s="1"/>
      <c r="F521" s="3"/>
      <c r="G521" s="2"/>
      <c r="H521" s="2"/>
      <c r="I521" s="3"/>
      <c r="J521" s="2"/>
      <c r="K521" s="2"/>
      <c r="L521" s="2"/>
      <c r="M521" s="2"/>
      <c r="N521" s="1"/>
      <c r="O521" s="1"/>
      <c r="P521" s="4"/>
      <c r="Q521" s="4"/>
    </row>
    <row r="522">
      <c r="A522" s="1"/>
      <c r="B522" s="2"/>
      <c r="C522" s="1"/>
      <c r="D522" s="2"/>
      <c r="E522" s="1"/>
      <c r="F522" s="3"/>
      <c r="G522" s="2"/>
      <c r="H522" s="2"/>
      <c r="I522" s="3"/>
      <c r="J522" s="2"/>
      <c r="K522" s="2"/>
      <c r="L522" s="2"/>
      <c r="M522" s="2"/>
      <c r="N522" s="1"/>
      <c r="O522" s="1"/>
      <c r="P522" s="4"/>
      <c r="Q522" s="4"/>
    </row>
    <row r="523">
      <c r="A523" s="1"/>
      <c r="B523" s="2"/>
      <c r="C523" s="1"/>
      <c r="D523" s="2"/>
      <c r="E523" s="1"/>
      <c r="F523" s="3"/>
      <c r="G523" s="2"/>
      <c r="H523" s="2"/>
      <c r="I523" s="3"/>
      <c r="J523" s="2"/>
      <c r="K523" s="2"/>
      <c r="L523" s="2"/>
      <c r="M523" s="2"/>
      <c r="N523" s="1"/>
      <c r="O523" s="1"/>
      <c r="P523" s="4"/>
      <c r="Q523" s="4"/>
    </row>
    <row r="524">
      <c r="A524" s="1"/>
      <c r="B524" s="2"/>
      <c r="C524" s="1"/>
      <c r="D524" s="2"/>
      <c r="E524" s="1"/>
      <c r="F524" s="3"/>
      <c r="G524" s="2"/>
      <c r="H524" s="2"/>
      <c r="I524" s="3"/>
      <c r="J524" s="2"/>
      <c r="K524" s="2"/>
      <c r="L524" s="7"/>
      <c r="M524" s="7"/>
      <c r="N524" s="1"/>
      <c r="O524" s="1"/>
      <c r="P524" s="1"/>
    </row>
    <row r="525">
      <c r="A525" s="1"/>
      <c r="B525" s="2"/>
      <c r="C525" s="1"/>
      <c r="D525" s="2"/>
      <c r="E525" s="1"/>
      <c r="F525" s="3"/>
      <c r="G525" s="2"/>
      <c r="H525" s="2"/>
      <c r="I525" s="3"/>
      <c r="J525" s="2"/>
      <c r="K525" s="2"/>
      <c r="L525" s="2"/>
      <c r="M525" s="2"/>
      <c r="N525" s="1"/>
      <c r="O525" s="1"/>
      <c r="P525" s="4"/>
      <c r="Q525" s="4"/>
    </row>
    <row r="526">
      <c r="A526" s="1"/>
      <c r="B526" s="2"/>
      <c r="C526" s="1"/>
      <c r="D526" s="2"/>
      <c r="E526" s="1"/>
      <c r="F526" s="3"/>
      <c r="G526" s="2"/>
      <c r="H526" s="2"/>
      <c r="I526" s="3"/>
      <c r="J526" s="2"/>
      <c r="K526" s="2"/>
      <c r="L526" s="2"/>
      <c r="M526" s="2"/>
      <c r="N526" s="1"/>
      <c r="O526" s="1"/>
      <c r="P526" s="4"/>
      <c r="Q526" s="4"/>
    </row>
    <row r="527">
      <c r="A527" s="1"/>
      <c r="B527" s="2"/>
      <c r="C527" s="1"/>
      <c r="D527" s="2"/>
      <c r="E527" s="1"/>
      <c r="F527" s="3"/>
      <c r="G527" s="2"/>
      <c r="H527" s="2"/>
      <c r="I527" s="3"/>
      <c r="J527" s="2"/>
      <c r="K527" s="2"/>
      <c r="L527" s="2"/>
      <c r="M527" s="2"/>
      <c r="N527" s="1"/>
      <c r="O527" s="1"/>
      <c r="P527" s="4"/>
      <c r="Q527" s="4"/>
    </row>
    <row r="528">
      <c r="A528" s="1"/>
      <c r="B528" s="2"/>
      <c r="C528" s="1"/>
      <c r="D528" s="2"/>
      <c r="E528" s="1"/>
      <c r="F528" s="3"/>
      <c r="G528" s="2"/>
      <c r="H528" s="2"/>
      <c r="I528" s="3"/>
      <c r="J528" s="2"/>
      <c r="K528" s="2"/>
      <c r="L528" s="2"/>
      <c r="M528" s="2"/>
      <c r="N528" s="1"/>
      <c r="O528" s="1"/>
      <c r="P528" s="6"/>
      <c r="Q528" s="6"/>
    </row>
    <row r="529">
      <c r="A529" s="1"/>
      <c r="B529" s="2"/>
      <c r="C529" s="1"/>
      <c r="D529" s="2"/>
      <c r="E529" s="1"/>
      <c r="F529" s="3"/>
      <c r="G529" s="2"/>
      <c r="H529" s="2"/>
      <c r="I529" s="3"/>
      <c r="J529" s="2"/>
      <c r="K529" s="2"/>
      <c r="L529" s="2"/>
      <c r="M529" s="2"/>
      <c r="N529" s="1"/>
      <c r="O529" s="1"/>
      <c r="P529" s="1"/>
    </row>
    <row r="530">
      <c r="A530" s="1"/>
      <c r="B530" s="2"/>
      <c r="C530" s="1"/>
      <c r="D530" s="2"/>
      <c r="E530" s="1"/>
      <c r="F530" s="3"/>
      <c r="G530" s="2"/>
      <c r="H530" s="2"/>
      <c r="I530" s="3"/>
      <c r="J530" s="2"/>
      <c r="K530" s="2"/>
      <c r="L530" s="2"/>
      <c r="M530" s="2"/>
      <c r="N530" s="1"/>
      <c r="O530" s="1"/>
      <c r="P530" s="1"/>
    </row>
    <row r="531">
      <c r="A531" s="1"/>
      <c r="B531" s="2"/>
      <c r="C531" s="1"/>
      <c r="D531" s="2"/>
      <c r="E531" s="1"/>
      <c r="F531" s="3"/>
      <c r="G531" s="2"/>
      <c r="H531" s="2"/>
      <c r="I531" s="3"/>
      <c r="J531" s="2"/>
      <c r="K531" s="2"/>
      <c r="L531" s="2"/>
      <c r="M531" s="2"/>
      <c r="N531" s="1"/>
      <c r="O531" s="1"/>
      <c r="P531" s="4"/>
      <c r="Q531" s="6"/>
    </row>
    <row r="532">
      <c r="A532" s="1"/>
      <c r="B532" s="2"/>
      <c r="C532" s="1"/>
      <c r="D532" s="2"/>
      <c r="E532" s="1"/>
      <c r="F532" s="3"/>
      <c r="G532" s="2"/>
      <c r="H532" s="2"/>
      <c r="I532" s="3"/>
      <c r="J532" s="2"/>
      <c r="K532" s="2"/>
      <c r="L532" s="2"/>
      <c r="M532" s="2"/>
      <c r="N532" s="1"/>
      <c r="O532" s="1"/>
      <c r="P532" s="4"/>
      <c r="Q532" s="6"/>
    </row>
    <row r="533">
      <c r="A533" s="1"/>
      <c r="B533" s="2"/>
      <c r="C533" s="1"/>
      <c r="D533" s="2"/>
      <c r="E533" s="1"/>
      <c r="F533" s="3"/>
      <c r="G533" s="2"/>
      <c r="H533" s="2"/>
      <c r="I533" s="3"/>
      <c r="J533" s="2"/>
      <c r="K533" s="2"/>
      <c r="L533" s="2"/>
      <c r="M533" s="2"/>
      <c r="N533" s="1"/>
      <c r="O533" s="1"/>
      <c r="P533" s="4"/>
      <c r="Q533" s="4"/>
    </row>
    <row r="534">
      <c r="A534" s="1"/>
      <c r="B534" s="2"/>
      <c r="C534" s="1"/>
      <c r="D534" s="2"/>
      <c r="E534" s="1"/>
      <c r="F534" s="3"/>
      <c r="G534" s="2"/>
      <c r="H534" s="2"/>
      <c r="I534" s="3"/>
      <c r="J534" s="2"/>
      <c r="K534" s="2"/>
      <c r="L534" s="2"/>
      <c r="M534" s="2"/>
      <c r="N534" s="1"/>
      <c r="O534" s="1"/>
      <c r="P534" s="4"/>
      <c r="Q534" s="4"/>
    </row>
    <row r="535">
      <c r="A535" s="1"/>
      <c r="B535" s="2"/>
      <c r="C535" s="1"/>
      <c r="D535" s="2"/>
      <c r="E535" s="1"/>
      <c r="F535" s="3"/>
      <c r="G535" s="2"/>
      <c r="H535" s="2"/>
      <c r="I535" s="3"/>
      <c r="J535" s="2"/>
      <c r="K535" s="2"/>
      <c r="L535" s="2"/>
      <c r="M535" s="2"/>
      <c r="N535" s="1"/>
      <c r="O535" s="1"/>
      <c r="P535" s="4"/>
      <c r="Q535" s="6"/>
    </row>
    <row r="536">
      <c r="A536" s="1"/>
      <c r="B536" s="2"/>
      <c r="C536" s="1"/>
      <c r="D536" s="2"/>
      <c r="E536" s="1"/>
      <c r="F536" s="3"/>
      <c r="G536" s="2"/>
      <c r="H536" s="2"/>
      <c r="I536" s="3"/>
      <c r="J536" s="2"/>
      <c r="K536" s="2"/>
      <c r="L536" s="2"/>
      <c r="M536" s="2"/>
      <c r="N536" s="1"/>
      <c r="O536" s="1"/>
      <c r="P536" s="4"/>
      <c r="Q536" s="6"/>
    </row>
    <row r="537">
      <c r="A537" s="1"/>
      <c r="B537" s="2"/>
      <c r="C537" s="1"/>
      <c r="D537" s="2"/>
      <c r="E537" s="1"/>
      <c r="F537" s="3"/>
      <c r="G537" s="2"/>
      <c r="H537" s="2"/>
      <c r="I537" s="3"/>
      <c r="J537" s="2"/>
      <c r="K537" s="2"/>
      <c r="L537" s="2"/>
      <c r="M537" s="2"/>
      <c r="N537" s="1"/>
      <c r="O537" s="1"/>
      <c r="P537" s="4"/>
      <c r="Q537" s="6"/>
    </row>
    <row r="538">
      <c r="A538" s="1"/>
      <c r="B538" s="2"/>
      <c r="C538" s="1"/>
      <c r="D538" s="2"/>
      <c r="E538" s="1"/>
      <c r="F538" s="3"/>
      <c r="G538" s="2"/>
      <c r="H538" s="2"/>
      <c r="I538" s="3"/>
      <c r="J538" s="2"/>
      <c r="K538" s="2"/>
      <c r="L538" s="2"/>
      <c r="M538" s="2"/>
      <c r="N538" s="1"/>
      <c r="O538" s="1"/>
      <c r="P538" s="4"/>
      <c r="Q538" s="4"/>
    </row>
    <row r="539">
      <c r="A539" s="1"/>
      <c r="B539" s="2"/>
      <c r="C539" s="1"/>
      <c r="D539" s="2"/>
      <c r="E539" s="1"/>
      <c r="F539" s="3"/>
      <c r="G539" s="2"/>
      <c r="H539" s="2"/>
      <c r="I539" s="3"/>
      <c r="J539" s="2"/>
      <c r="K539" s="2"/>
      <c r="L539" s="2"/>
      <c r="M539" s="2"/>
      <c r="N539" s="1"/>
      <c r="O539" s="1"/>
      <c r="P539" s="4"/>
      <c r="Q539" s="6"/>
    </row>
    <row r="540">
      <c r="A540" s="1"/>
      <c r="B540" s="2"/>
      <c r="C540" s="1"/>
      <c r="D540" s="2"/>
      <c r="E540" s="1"/>
      <c r="F540" s="3"/>
      <c r="G540" s="2"/>
      <c r="H540" s="2"/>
      <c r="I540" s="3"/>
      <c r="J540" s="2"/>
      <c r="K540" s="2"/>
      <c r="L540" s="2"/>
      <c r="M540" s="2"/>
      <c r="N540" s="1"/>
      <c r="O540" s="1"/>
      <c r="P540" s="1"/>
    </row>
    <row r="541">
      <c r="A541" s="1"/>
      <c r="B541" s="2"/>
      <c r="C541" s="1"/>
      <c r="D541" s="2"/>
      <c r="E541" s="1"/>
      <c r="F541" s="3"/>
      <c r="G541" s="2"/>
      <c r="H541" s="2"/>
      <c r="I541" s="3"/>
      <c r="J541" s="2"/>
      <c r="K541" s="2"/>
      <c r="L541" s="2"/>
      <c r="M541" s="2"/>
      <c r="N541" s="1"/>
      <c r="O541" s="1"/>
      <c r="P541" s="6"/>
      <c r="Q541" s="6"/>
    </row>
    <row r="542">
      <c r="A542" s="1"/>
      <c r="B542" s="2"/>
      <c r="C542" s="1"/>
      <c r="D542" s="2"/>
      <c r="E542" s="1"/>
      <c r="F542" s="3"/>
      <c r="G542" s="2"/>
      <c r="H542" s="2"/>
      <c r="I542" s="3"/>
      <c r="J542" s="2"/>
      <c r="K542" s="2"/>
      <c r="L542" s="2"/>
      <c r="M542" s="2"/>
      <c r="N542" s="1"/>
      <c r="O542" s="1"/>
      <c r="P542" s="6"/>
      <c r="Q542" s="6"/>
    </row>
    <row r="543">
      <c r="A543" s="1"/>
      <c r="B543" s="2"/>
      <c r="C543" s="1"/>
      <c r="D543" s="2"/>
      <c r="E543" s="1"/>
      <c r="F543" s="3"/>
      <c r="G543" s="2"/>
      <c r="H543" s="2"/>
      <c r="I543" s="3"/>
      <c r="J543" s="2"/>
      <c r="K543" s="2"/>
      <c r="L543" s="2"/>
      <c r="M543" s="2"/>
      <c r="N543" s="1"/>
      <c r="O543" s="1"/>
      <c r="P543" s="1"/>
    </row>
    <row r="544">
      <c r="A544" s="1"/>
      <c r="B544" s="2"/>
      <c r="C544" s="1"/>
      <c r="D544" s="2"/>
      <c r="E544" s="1"/>
      <c r="F544" s="3"/>
      <c r="G544" s="2"/>
      <c r="H544" s="2"/>
      <c r="I544" s="3"/>
      <c r="J544" s="2"/>
      <c r="K544" s="2"/>
      <c r="L544" s="2"/>
      <c r="M544" s="7"/>
      <c r="N544" s="1"/>
      <c r="O544" s="1"/>
      <c r="P544" s="6"/>
      <c r="Q544" s="6"/>
    </row>
    <row r="545">
      <c r="A545" s="1"/>
      <c r="B545" s="2"/>
      <c r="C545" s="1"/>
      <c r="D545" s="2"/>
      <c r="E545" s="1"/>
      <c r="F545" s="3"/>
      <c r="G545" s="2"/>
      <c r="H545" s="2"/>
      <c r="I545" s="3"/>
      <c r="J545" s="2"/>
      <c r="K545" s="2"/>
      <c r="L545" s="2"/>
      <c r="M545" s="2"/>
      <c r="N545" s="1"/>
      <c r="O545" s="1"/>
      <c r="P545" s="4"/>
      <c r="Q545" s="6"/>
    </row>
    <row r="546">
      <c r="A546" s="1"/>
      <c r="B546" s="2"/>
      <c r="C546" s="1"/>
      <c r="D546" s="2"/>
      <c r="E546" s="1"/>
      <c r="F546" s="3"/>
      <c r="G546" s="2"/>
      <c r="H546" s="2"/>
      <c r="I546" s="3"/>
      <c r="J546" s="2"/>
      <c r="K546" s="2"/>
      <c r="L546" s="2"/>
      <c r="M546" s="2"/>
      <c r="N546" s="1"/>
      <c r="O546" s="1"/>
      <c r="P546" s="6"/>
      <c r="Q546" s="6"/>
    </row>
    <row r="547">
      <c r="A547" s="1"/>
      <c r="B547" s="2"/>
      <c r="C547" s="1"/>
      <c r="D547" s="2"/>
      <c r="E547" s="1"/>
      <c r="F547" s="3"/>
      <c r="G547" s="2"/>
      <c r="H547" s="2"/>
      <c r="I547" s="3"/>
      <c r="J547" s="2"/>
      <c r="K547" s="2"/>
      <c r="L547" s="2"/>
      <c r="M547" s="2"/>
      <c r="N547" s="1"/>
      <c r="O547" s="1"/>
      <c r="P547" s="6"/>
      <c r="Q547" s="6"/>
    </row>
    <row r="548">
      <c r="A548" s="1"/>
      <c r="B548" s="2"/>
      <c r="C548" s="1"/>
      <c r="D548" s="2"/>
      <c r="E548" s="1"/>
      <c r="F548" s="3"/>
      <c r="G548" s="2"/>
      <c r="H548" s="2"/>
      <c r="I548" s="3"/>
      <c r="J548" s="2"/>
      <c r="K548" s="2"/>
      <c r="L548" s="2"/>
      <c r="M548" s="2"/>
      <c r="N548" s="1"/>
      <c r="O548" s="1"/>
      <c r="P548" s="6"/>
      <c r="Q548" s="6"/>
    </row>
    <row r="549">
      <c r="A549" s="1"/>
      <c r="B549" s="2"/>
      <c r="C549" s="1"/>
      <c r="D549" s="2"/>
      <c r="E549" s="1"/>
      <c r="F549" s="3"/>
      <c r="G549" s="2"/>
      <c r="H549" s="2"/>
      <c r="I549" s="3"/>
      <c r="J549" s="2"/>
      <c r="K549" s="2"/>
      <c r="L549" s="2"/>
      <c r="M549" s="2"/>
      <c r="N549" s="1"/>
      <c r="O549" s="1"/>
      <c r="P549" s="4"/>
      <c r="Q549" s="6"/>
    </row>
    <row r="550">
      <c r="A550" s="1"/>
      <c r="B550" s="2"/>
      <c r="C550" s="1"/>
      <c r="D550" s="2"/>
      <c r="E550" s="1"/>
      <c r="F550" s="3"/>
      <c r="G550" s="2"/>
      <c r="H550" s="2"/>
      <c r="I550" s="3"/>
      <c r="J550" s="2"/>
      <c r="K550" s="2"/>
      <c r="L550" s="2"/>
      <c r="M550" s="2"/>
      <c r="N550" s="1"/>
      <c r="O550" s="1"/>
      <c r="P550" s="1"/>
    </row>
    <row r="551">
      <c r="A551" s="1"/>
      <c r="B551" s="2"/>
      <c r="C551" s="1"/>
      <c r="D551" s="2"/>
      <c r="E551" s="1"/>
      <c r="F551" s="3"/>
      <c r="G551" s="2"/>
      <c r="H551" s="2"/>
      <c r="I551" s="3"/>
      <c r="J551" s="2"/>
      <c r="K551" s="2"/>
      <c r="L551" s="2"/>
      <c r="M551" s="2"/>
      <c r="N551" s="1"/>
      <c r="O551" s="1"/>
      <c r="P551" s="4"/>
      <c r="Q551" s="4"/>
    </row>
    <row r="552">
      <c r="A552" s="1"/>
      <c r="B552" s="2"/>
      <c r="C552" s="1"/>
      <c r="D552" s="2"/>
      <c r="E552" s="1"/>
      <c r="F552" s="3"/>
      <c r="G552" s="2"/>
      <c r="H552" s="2"/>
      <c r="I552" s="3"/>
      <c r="J552" s="2"/>
      <c r="K552" s="2"/>
      <c r="L552" s="2"/>
      <c r="M552" s="2"/>
      <c r="N552" s="1"/>
      <c r="O552" s="1"/>
      <c r="P552" s="6"/>
      <c r="Q552" s="6"/>
    </row>
    <row r="553">
      <c r="A553" s="1"/>
      <c r="B553" s="2"/>
      <c r="C553" s="1"/>
      <c r="D553" s="2"/>
      <c r="E553" s="1"/>
      <c r="F553" s="3"/>
      <c r="G553" s="2"/>
      <c r="H553" s="2"/>
      <c r="I553" s="3"/>
      <c r="J553" s="2"/>
      <c r="K553" s="2"/>
      <c r="L553" s="2"/>
      <c r="M553" s="2"/>
      <c r="N553" s="1"/>
      <c r="O553" s="1"/>
      <c r="P553" s="4"/>
      <c r="Q553" s="6"/>
    </row>
    <row r="554">
      <c r="A554" s="1"/>
      <c r="B554" s="2"/>
      <c r="C554" s="1"/>
      <c r="D554" s="2"/>
      <c r="E554" s="1"/>
      <c r="F554" s="3"/>
      <c r="G554" s="2"/>
      <c r="H554" s="2"/>
      <c r="I554" s="3"/>
      <c r="J554" s="2"/>
      <c r="K554" s="2"/>
      <c r="L554" s="2"/>
      <c r="M554" s="2"/>
      <c r="N554" s="1"/>
      <c r="O554" s="1"/>
      <c r="P554" s="1"/>
    </row>
    <row r="555">
      <c r="A555" s="1"/>
      <c r="B555" s="2"/>
      <c r="C555" s="1"/>
      <c r="D555" s="2"/>
      <c r="E555" s="1"/>
      <c r="F555" s="3"/>
      <c r="G555" s="2"/>
      <c r="H555" s="2"/>
      <c r="I555" s="3"/>
      <c r="J555" s="2"/>
      <c r="K555" s="2"/>
      <c r="L555" s="2"/>
      <c r="M555" s="2"/>
      <c r="N555" s="1"/>
      <c r="O555" s="1"/>
      <c r="P555" s="6"/>
      <c r="Q555" s="6"/>
    </row>
    <row r="556">
      <c r="A556" s="1"/>
      <c r="B556" s="2"/>
      <c r="C556" s="1"/>
      <c r="D556" s="2"/>
      <c r="E556" s="1"/>
      <c r="F556" s="3"/>
      <c r="G556" s="2"/>
      <c r="H556" s="2"/>
      <c r="I556" s="3"/>
      <c r="J556" s="2"/>
      <c r="K556" s="2"/>
      <c r="L556" s="2"/>
      <c r="M556" s="2"/>
      <c r="N556" s="1"/>
      <c r="O556" s="1"/>
      <c r="P556" s="4"/>
      <c r="Q556" s="6"/>
    </row>
    <row r="557">
      <c r="A557" s="1"/>
      <c r="B557" s="2"/>
      <c r="C557" s="1"/>
      <c r="D557" s="2"/>
      <c r="E557" s="1"/>
      <c r="F557" s="3"/>
      <c r="G557" s="2"/>
      <c r="H557" s="2"/>
      <c r="I557" s="3"/>
      <c r="J557" s="2"/>
      <c r="K557" s="2"/>
      <c r="L557" s="2"/>
      <c r="M557" s="2"/>
      <c r="N557" s="1"/>
      <c r="O557" s="1"/>
      <c r="P557" s="1"/>
    </row>
    <row r="558">
      <c r="A558" s="1"/>
      <c r="B558" s="2"/>
      <c r="C558" s="1"/>
      <c r="D558" s="2"/>
      <c r="E558" s="1"/>
      <c r="F558" s="3"/>
      <c r="G558" s="2"/>
      <c r="H558" s="2"/>
      <c r="I558" s="3"/>
      <c r="J558" s="2"/>
      <c r="K558" s="2"/>
      <c r="L558" s="2"/>
      <c r="M558" s="2"/>
      <c r="N558" s="1"/>
      <c r="O558" s="1"/>
      <c r="P558" s="4"/>
      <c r="Q558" s="6"/>
    </row>
    <row r="559">
      <c r="A559" s="1"/>
      <c r="B559" s="2"/>
      <c r="C559" s="1"/>
      <c r="D559" s="2"/>
      <c r="E559" s="1"/>
      <c r="F559" s="3"/>
      <c r="G559" s="2"/>
      <c r="H559" s="2"/>
      <c r="I559" s="3"/>
      <c r="J559" s="2"/>
      <c r="K559" s="2"/>
      <c r="L559" s="2"/>
      <c r="M559" s="2"/>
      <c r="N559" s="1"/>
      <c r="O559" s="1"/>
      <c r="P559" s="6"/>
      <c r="Q559" s="6"/>
    </row>
    <row r="560">
      <c r="A560" s="1"/>
      <c r="B560" s="2"/>
      <c r="C560" s="1"/>
      <c r="D560" s="2"/>
      <c r="E560" s="1"/>
      <c r="F560" s="3"/>
      <c r="G560" s="2"/>
      <c r="H560" s="2"/>
      <c r="I560" s="3"/>
      <c r="J560" s="2"/>
      <c r="K560" s="2"/>
      <c r="L560" s="2"/>
      <c r="M560" s="2"/>
      <c r="N560" s="1"/>
      <c r="O560" s="1"/>
      <c r="P560" s="6"/>
      <c r="Q560" s="6"/>
    </row>
    <row r="561">
      <c r="A561" s="1"/>
      <c r="B561" s="2"/>
      <c r="C561" s="1"/>
      <c r="D561" s="2"/>
      <c r="E561" s="1"/>
      <c r="F561" s="3"/>
      <c r="G561" s="2"/>
      <c r="H561" s="2"/>
      <c r="I561" s="3"/>
      <c r="J561" s="2"/>
      <c r="K561" s="2"/>
      <c r="L561" s="2"/>
      <c r="M561" s="2"/>
      <c r="N561" s="1"/>
      <c r="O561" s="1"/>
      <c r="P561" s="1"/>
    </row>
    <row r="562">
      <c r="A562" s="1"/>
      <c r="B562" s="2"/>
      <c r="C562" s="1"/>
      <c r="D562" s="2"/>
      <c r="E562" s="1"/>
      <c r="F562" s="3"/>
      <c r="G562" s="2"/>
      <c r="H562" s="2"/>
      <c r="I562" s="3"/>
      <c r="J562" s="2"/>
      <c r="K562" s="2"/>
      <c r="L562" s="2"/>
      <c r="M562" s="2"/>
      <c r="N562" s="1"/>
      <c r="O562" s="1"/>
      <c r="P562" s="4"/>
      <c r="Q562" s="6"/>
    </row>
    <row r="563">
      <c r="A563" s="1"/>
      <c r="B563" s="2"/>
      <c r="C563" s="1"/>
      <c r="D563" s="2"/>
      <c r="E563" s="1"/>
      <c r="F563" s="3"/>
      <c r="G563" s="2"/>
      <c r="H563" s="2"/>
      <c r="I563" s="3"/>
      <c r="J563" s="2"/>
      <c r="K563" s="2"/>
      <c r="L563" s="2"/>
      <c r="M563" s="2"/>
      <c r="N563" s="1"/>
      <c r="O563" s="1"/>
      <c r="P563" s="4"/>
      <c r="Q563" s="6"/>
    </row>
    <row r="564">
      <c r="A564" s="1"/>
      <c r="B564" s="2"/>
      <c r="C564" s="1"/>
      <c r="D564" s="2"/>
      <c r="E564" s="1"/>
      <c r="F564" s="3"/>
      <c r="G564" s="2"/>
      <c r="H564" s="2"/>
      <c r="I564" s="3"/>
      <c r="J564" s="2"/>
      <c r="K564" s="2"/>
      <c r="L564" s="2"/>
      <c r="M564" s="2"/>
      <c r="N564" s="1"/>
      <c r="O564" s="1"/>
      <c r="P564" s="1"/>
    </row>
    <row r="565">
      <c r="A565" s="1"/>
      <c r="B565" s="2"/>
      <c r="C565" s="1"/>
      <c r="D565" s="2"/>
      <c r="E565" s="1"/>
      <c r="F565" s="3"/>
      <c r="G565" s="2"/>
      <c r="H565" s="2"/>
      <c r="I565" s="3"/>
      <c r="J565" s="2"/>
      <c r="K565" s="2"/>
      <c r="L565" s="2"/>
      <c r="M565" s="2"/>
      <c r="N565" s="1"/>
      <c r="O565" s="1"/>
      <c r="P565" s="1"/>
    </row>
    <row r="566">
      <c r="A566" s="1"/>
      <c r="B566" s="2"/>
      <c r="C566" s="1"/>
      <c r="D566" s="2"/>
      <c r="E566" s="1"/>
      <c r="F566" s="3"/>
      <c r="G566" s="2"/>
      <c r="H566" s="2"/>
      <c r="I566" s="3"/>
      <c r="J566" s="2"/>
      <c r="K566" s="2"/>
      <c r="L566" s="2"/>
      <c r="M566" s="2"/>
      <c r="N566" s="1"/>
      <c r="O566" s="1"/>
      <c r="P566" s="1"/>
    </row>
    <row r="567">
      <c r="A567" s="1"/>
      <c r="B567" s="2"/>
      <c r="C567" s="1"/>
      <c r="D567" s="2"/>
      <c r="E567" s="1"/>
      <c r="F567" s="3"/>
      <c r="G567" s="2"/>
      <c r="H567" s="2"/>
      <c r="I567" s="3"/>
      <c r="J567" s="2"/>
      <c r="K567" s="2"/>
      <c r="L567" s="2"/>
      <c r="M567" s="2"/>
      <c r="N567" s="1"/>
      <c r="O567" s="1"/>
      <c r="P567" s="4"/>
      <c r="Q567" s="6"/>
    </row>
    <row r="568">
      <c r="A568" s="1"/>
      <c r="B568" s="2"/>
      <c r="C568" s="1"/>
      <c r="D568" s="2"/>
      <c r="E568" s="1"/>
      <c r="F568" s="3"/>
      <c r="G568" s="2"/>
      <c r="H568" s="2"/>
      <c r="I568" s="3"/>
      <c r="J568" s="2"/>
      <c r="K568" s="2"/>
      <c r="L568" s="2"/>
      <c r="M568" s="2"/>
      <c r="N568" s="1"/>
      <c r="O568" s="1"/>
      <c r="P568" s="4"/>
      <c r="Q568" s="6"/>
    </row>
    <row r="569">
      <c r="A569" s="1"/>
      <c r="B569" s="2"/>
      <c r="C569" s="1"/>
      <c r="D569" s="2"/>
      <c r="E569" s="1"/>
      <c r="F569" s="3"/>
      <c r="G569" s="2"/>
      <c r="H569" s="2"/>
      <c r="I569" s="3"/>
      <c r="J569" s="2"/>
      <c r="K569" s="2"/>
      <c r="L569" s="2"/>
      <c r="M569" s="2"/>
      <c r="N569" s="1"/>
      <c r="O569" s="1"/>
      <c r="P569" s="6"/>
      <c r="Q569" s="6"/>
    </row>
    <row r="570">
      <c r="A570" s="1"/>
      <c r="B570" s="2"/>
      <c r="C570" s="1"/>
      <c r="D570" s="2"/>
      <c r="E570" s="1"/>
      <c r="F570" s="3"/>
      <c r="G570" s="2"/>
      <c r="H570" s="2"/>
      <c r="I570" s="3"/>
      <c r="J570" s="2"/>
      <c r="K570" s="2"/>
      <c r="L570" s="2"/>
      <c r="M570" s="2"/>
      <c r="N570" s="1"/>
      <c r="O570" s="1"/>
      <c r="P570" s="6"/>
      <c r="Q570" s="6"/>
    </row>
    <row r="571">
      <c r="A571" s="1"/>
      <c r="B571" s="2"/>
      <c r="C571" s="1"/>
      <c r="D571" s="2"/>
      <c r="E571" s="1"/>
      <c r="F571" s="3"/>
      <c r="G571" s="2"/>
      <c r="H571" s="2"/>
      <c r="I571" s="3"/>
      <c r="J571" s="2"/>
      <c r="K571" s="2"/>
      <c r="L571" s="2"/>
      <c r="M571" s="2"/>
      <c r="N571" s="1"/>
      <c r="O571" s="1"/>
      <c r="P571" s="6"/>
      <c r="Q571" s="6"/>
    </row>
    <row r="572">
      <c r="A572" s="1"/>
      <c r="B572" s="2"/>
      <c r="C572" s="1"/>
      <c r="D572" s="2"/>
      <c r="E572" s="1"/>
      <c r="F572" s="3"/>
      <c r="G572" s="2"/>
      <c r="H572" s="2"/>
      <c r="I572" s="3"/>
      <c r="J572" s="2"/>
      <c r="K572" s="2"/>
      <c r="L572" s="2"/>
      <c r="M572" s="2"/>
      <c r="N572" s="1"/>
      <c r="O572" s="1"/>
      <c r="P572" s="4"/>
      <c r="Q572" s="6"/>
    </row>
    <row r="573">
      <c r="A573" s="1"/>
      <c r="B573" s="2"/>
      <c r="C573" s="1"/>
      <c r="D573" s="2"/>
      <c r="E573" s="1"/>
      <c r="F573" s="3"/>
      <c r="G573" s="2"/>
      <c r="H573" s="2"/>
      <c r="I573" s="3"/>
      <c r="J573" s="2"/>
      <c r="K573" s="2"/>
      <c r="L573" s="2"/>
      <c r="M573" s="2"/>
      <c r="N573" s="1"/>
      <c r="O573" s="1"/>
      <c r="P573" s="6"/>
      <c r="Q573" s="6"/>
    </row>
    <row r="574">
      <c r="A574" s="1"/>
      <c r="B574" s="2"/>
      <c r="C574" s="1"/>
      <c r="D574" s="2"/>
      <c r="E574" s="1"/>
      <c r="F574" s="3"/>
      <c r="G574" s="2"/>
      <c r="H574" s="2"/>
      <c r="I574" s="3"/>
      <c r="J574" s="2"/>
      <c r="K574" s="2"/>
      <c r="L574" s="2"/>
      <c r="M574" s="2"/>
      <c r="N574" s="1"/>
      <c r="O574" s="1"/>
      <c r="P574" s="1"/>
      <c r="Q574" s="6"/>
    </row>
    <row r="575">
      <c r="A575" s="1"/>
      <c r="B575" s="2"/>
      <c r="C575" s="1"/>
      <c r="D575" s="2"/>
      <c r="E575" s="1"/>
      <c r="F575" s="3"/>
      <c r="G575" s="2"/>
      <c r="H575" s="2"/>
      <c r="I575" s="3"/>
      <c r="J575" s="2"/>
      <c r="K575" s="2"/>
      <c r="L575" s="2"/>
      <c r="M575" s="2"/>
      <c r="N575" s="1"/>
      <c r="O575" s="1"/>
      <c r="P575" s="1"/>
    </row>
    <row r="576">
      <c r="A576" s="1"/>
      <c r="B576" s="2"/>
      <c r="C576" s="1"/>
      <c r="D576" s="2"/>
      <c r="E576" s="1"/>
      <c r="F576" s="3"/>
      <c r="G576" s="2"/>
      <c r="H576" s="2"/>
      <c r="I576" s="3"/>
      <c r="J576" s="2"/>
      <c r="K576" s="2"/>
      <c r="L576" s="2"/>
      <c r="M576" s="2"/>
      <c r="N576" s="1"/>
      <c r="O576" s="1"/>
      <c r="P576" s="4"/>
      <c r="Q576" s="6"/>
    </row>
    <row r="577">
      <c r="A577" s="1"/>
      <c r="B577" s="2"/>
      <c r="C577" s="1"/>
      <c r="D577" s="2"/>
      <c r="E577" s="1"/>
      <c r="F577" s="3"/>
      <c r="G577" s="2"/>
      <c r="H577" s="2"/>
      <c r="I577" s="3"/>
      <c r="J577" s="2"/>
      <c r="K577" s="2"/>
      <c r="L577" s="2"/>
      <c r="M577" s="2"/>
      <c r="N577" s="1"/>
      <c r="O577" s="1"/>
      <c r="P577" s="1"/>
    </row>
    <row r="578">
      <c r="A578" s="1"/>
      <c r="B578" s="2"/>
      <c r="C578" s="1"/>
      <c r="D578" s="2"/>
      <c r="E578" s="1"/>
      <c r="F578" s="3"/>
      <c r="G578" s="2"/>
      <c r="H578" s="2"/>
      <c r="I578" s="3"/>
      <c r="J578" s="2"/>
      <c r="K578" s="2"/>
      <c r="L578" s="2"/>
      <c r="M578" s="2"/>
      <c r="N578" s="1"/>
      <c r="O578" s="1"/>
      <c r="P578" s="1"/>
    </row>
    <row r="579">
      <c r="A579" s="1"/>
      <c r="B579" s="2"/>
      <c r="C579" s="1"/>
      <c r="D579" s="2"/>
      <c r="E579" s="1"/>
      <c r="F579" s="3"/>
      <c r="G579" s="2"/>
      <c r="H579" s="2"/>
      <c r="I579" s="3"/>
      <c r="J579" s="2"/>
      <c r="K579" s="2"/>
      <c r="L579" s="2"/>
      <c r="M579" s="2"/>
      <c r="N579" s="1"/>
      <c r="O579" s="1"/>
      <c r="P579" s="1"/>
    </row>
    <row r="580">
      <c r="A580" s="1"/>
      <c r="B580" s="2"/>
      <c r="C580" s="1"/>
      <c r="D580" s="2"/>
      <c r="E580" s="1"/>
      <c r="F580" s="3"/>
      <c r="G580" s="2"/>
      <c r="H580" s="2"/>
      <c r="I580" s="3"/>
      <c r="J580" s="2"/>
      <c r="K580" s="2"/>
      <c r="L580" s="2"/>
      <c r="M580" s="2"/>
      <c r="N580" s="1"/>
      <c r="O580" s="1"/>
      <c r="P580" s="4"/>
      <c r="Q580" s="6"/>
    </row>
    <row r="581">
      <c r="A581" s="1"/>
      <c r="B581" s="2"/>
      <c r="C581" s="1"/>
      <c r="D581" s="2"/>
      <c r="E581" s="1"/>
      <c r="F581" s="3"/>
      <c r="G581" s="2"/>
      <c r="H581" s="2"/>
      <c r="I581" s="3"/>
      <c r="J581" s="2"/>
      <c r="K581" s="2"/>
      <c r="L581" s="2"/>
      <c r="M581" s="2"/>
      <c r="N581" s="1"/>
      <c r="O581" s="1"/>
      <c r="P581" s="4"/>
      <c r="Q581" s="6"/>
    </row>
    <row r="582">
      <c r="A582" s="1"/>
      <c r="B582" s="2"/>
      <c r="C582" s="1"/>
      <c r="D582" s="2"/>
      <c r="E582" s="1"/>
      <c r="F582" s="3"/>
      <c r="G582" s="2"/>
      <c r="H582" s="2"/>
      <c r="I582" s="3"/>
      <c r="J582" s="2"/>
      <c r="K582" s="2"/>
      <c r="L582" s="2"/>
      <c r="M582" s="2"/>
      <c r="N582" s="1"/>
      <c r="O582" s="1"/>
      <c r="P582" s="4"/>
      <c r="Q582" s="6"/>
    </row>
    <row r="583">
      <c r="A583" s="1"/>
      <c r="B583" s="2"/>
      <c r="C583" s="1"/>
      <c r="D583" s="2"/>
      <c r="E583" s="1"/>
      <c r="F583" s="3"/>
      <c r="G583" s="2"/>
      <c r="H583" s="2"/>
      <c r="I583" s="3"/>
      <c r="J583" s="2"/>
      <c r="K583" s="2"/>
      <c r="L583" s="2"/>
      <c r="M583" s="2"/>
      <c r="N583" s="1"/>
      <c r="O583" s="1"/>
      <c r="P583" s="6"/>
      <c r="Q583" s="6"/>
    </row>
    <row r="584">
      <c r="A584" s="1"/>
      <c r="B584" s="2"/>
      <c r="C584" s="1"/>
      <c r="D584" s="2"/>
      <c r="E584" s="1"/>
      <c r="F584" s="3"/>
      <c r="G584" s="2"/>
      <c r="H584" s="2"/>
      <c r="I584" s="3"/>
      <c r="J584" s="2"/>
      <c r="K584" s="2"/>
      <c r="L584" s="2"/>
      <c r="M584" s="2"/>
      <c r="N584" s="1"/>
      <c r="O584" s="1"/>
      <c r="P584" s="1"/>
    </row>
    <row r="585">
      <c r="A585" s="1"/>
      <c r="B585" s="2"/>
      <c r="C585" s="1"/>
      <c r="D585" s="2"/>
      <c r="E585" s="1"/>
      <c r="F585" s="3"/>
      <c r="G585" s="2"/>
      <c r="H585" s="2"/>
      <c r="I585" s="3"/>
      <c r="J585" s="2"/>
      <c r="K585" s="2"/>
      <c r="L585" s="2"/>
      <c r="M585" s="2"/>
      <c r="N585" s="1"/>
      <c r="O585" s="1"/>
      <c r="P585" s="6"/>
      <c r="Q585" s="6"/>
    </row>
    <row r="586">
      <c r="A586" s="1"/>
      <c r="B586" s="2"/>
      <c r="C586" s="1"/>
      <c r="D586" s="2"/>
      <c r="E586" s="1"/>
      <c r="F586" s="3"/>
      <c r="G586" s="2"/>
      <c r="H586" s="2"/>
      <c r="I586" s="3"/>
      <c r="J586" s="2"/>
      <c r="K586" s="2"/>
      <c r="L586" s="2"/>
      <c r="M586" s="2"/>
      <c r="N586" s="1"/>
      <c r="O586" s="1"/>
      <c r="P586" s="6"/>
      <c r="Q586" s="6"/>
    </row>
    <row r="587">
      <c r="A587" s="1"/>
      <c r="B587" s="2"/>
      <c r="C587" s="1"/>
      <c r="D587" s="2"/>
      <c r="E587" s="1"/>
      <c r="F587" s="3"/>
      <c r="G587" s="2"/>
      <c r="H587" s="2"/>
      <c r="I587" s="3"/>
      <c r="J587" s="2"/>
      <c r="K587" s="2"/>
      <c r="L587" s="2"/>
      <c r="M587" s="2"/>
      <c r="N587" s="1"/>
      <c r="O587" s="1"/>
      <c r="P587" s="4"/>
      <c r="Q587" s="6"/>
    </row>
    <row r="588">
      <c r="A588" s="1"/>
      <c r="B588" s="2"/>
      <c r="C588" s="1"/>
      <c r="D588" s="2"/>
      <c r="E588" s="1"/>
      <c r="F588" s="3"/>
      <c r="G588" s="2"/>
      <c r="H588" s="2"/>
      <c r="I588" s="3"/>
      <c r="J588" s="2"/>
      <c r="K588" s="2"/>
      <c r="L588" s="2"/>
      <c r="M588" s="2"/>
      <c r="N588" s="1"/>
      <c r="O588" s="1"/>
      <c r="P588" s="4"/>
      <c r="Q588" s="6"/>
    </row>
    <row r="589">
      <c r="A589" s="1"/>
      <c r="B589" s="2"/>
      <c r="C589" s="1"/>
      <c r="D589" s="2"/>
      <c r="E589" s="1"/>
      <c r="F589" s="3"/>
      <c r="G589" s="2"/>
      <c r="H589" s="2"/>
      <c r="I589" s="3"/>
      <c r="J589" s="2"/>
      <c r="K589" s="2"/>
      <c r="L589" s="2"/>
      <c r="M589" s="2"/>
      <c r="N589" s="1"/>
      <c r="O589" s="1"/>
      <c r="P589" s="6"/>
      <c r="Q589" s="6"/>
    </row>
    <row r="590">
      <c r="A590" s="1"/>
      <c r="B590" s="2"/>
      <c r="C590" s="1"/>
      <c r="D590" s="2"/>
      <c r="E590" s="1"/>
      <c r="F590" s="3"/>
      <c r="G590" s="2"/>
      <c r="H590" s="2"/>
      <c r="I590" s="3"/>
      <c r="J590" s="2"/>
      <c r="K590" s="2"/>
      <c r="L590" s="2"/>
      <c r="M590" s="2"/>
      <c r="N590" s="1"/>
      <c r="O590" s="1"/>
      <c r="P590" s="1"/>
    </row>
    <row r="591">
      <c r="A591" s="1"/>
      <c r="B591" s="2"/>
      <c r="C591" s="1"/>
      <c r="D591" s="2"/>
      <c r="E591" s="1"/>
      <c r="F591" s="3"/>
      <c r="G591" s="2"/>
      <c r="H591" s="2"/>
      <c r="I591" s="3"/>
      <c r="J591" s="2"/>
      <c r="K591" s="2"/>
      <c r="L591" s="2"/>
      <c r="M591" s="2"/>
      <c r="N591" s="1"/>
      <c r="O591" s="1"/>
      <c r="P591" s="1"/>
    </row>
    <row r="592">
      <c r="A592" s="1"/>
      <c r="B592" s="2"/>
      <c r="C592" s="1"/>
      <c r="D592" s="2"/>
      <c r="E592" s="1"/>
      <c r="F592" s="3"/>
      <c r="G592" s="2"/>
      <c r="H592" s="2"/>
      <c r="I592" s="3"/>
      <c r="J592" s="2"/>
      <c r="K592" s="2"/>
      <c r="L592" s="2"/>
      <c r="M592" s="2"/>
      <c r="N592" s="1"/>
      <c r="O592" s="1"/>
      <c r="P592" s="4"/>
      <c r="Q592" s="6"/>
    </row>
    <row r="593">
      <c r="A593" s="1"/>
      <c r="B593" s="2"/>
      <c r="C593" s="1"/>
      <c r="D593" s="2"/>
      <c r="E593" s="1"/>
      <c r="F593" s="3"/>
      <c r="G593" s="2"/>
      <c r="H593" s="2"/>
      <c r="I593" s="3"/>
      <c r="J593" s="2"/>
      <c r="K593" s="2"/>
      <c r="L593" s="2"/>
      <c r="M593" s="2"/>
      <c r="N593" s="1"/>
      <c r="O593" s="1"/>
      <c r="P593" s="1"/>
    </row>
    <row r="594">
      <c r="A594" s="1"/>
      <c r="B594" s="2"/>
      <c r="C594" s="1"/>
      <c r="D594" s="2"/>
      <c r="E594" s="1"/>
      <c r="F594" s="3"/>
      <c r="G594" s="2"/>
      <c r="H594" s="2"/>
      <c r="I594" s="3"/>
      <c r="J594" s="2"/>
      <c r="K594" s="2"/>
      <c r="L594" s="2"/>
      <c r="M594" s="2"/>
      <c r="N594" s="1"/>
      <c r="O594" s="1"/>
      <c r="P594" s="4"/>
      <c r="Q594" s="6"/>
    </row>
    <row r="595">
      <c r="A595" s="1"/>
      <c r="B595" s="2"/>
      <c r="C595" s="1"/>
      <c r="D595" s="2"/>
      <c r="E595" s="1"/>
      <c r="F595" s="3"/>
      <c r="G595" s="2"/>
      <c r="H595" s="2"/>
      <c r="I595" s="3"/>
      <c r="J595" s="2"/>
      <c r="K595" s="2"/>
      <c r="L595" s="2"/>
      <c r="M595" s="2"/>
      <c r="N595" s="1"/>
      <c r="O595" s="1"/>
      <c r="P595" s="6"/>
      <c r="Q595" s="6"/>
    </row>
    <row r="596">
      <c r="A596" s="1"/>
      <c r="B596" s="2"/>
      <c r="C596" s="1"/>
      <c r="D596" s="2"/>
      <c r="E596" s="1"/>
      <c r="F596" s="3"/>
      <c r="G596" s="2"/>
      <c r="H596" s="2"/>
      <c r="I596" s="3"/>
      <c r="J596" s="2"/>
      <c r="K596" s="2"/>
      <c r="L596" s="2"/>
      <c r="M596" s="2"/>
      <c r="N596" s="1"/>
      <c r="O596" s="1"/>
      <c r="P596" s="1"/>
    </row>
    <row r="597">
      <c r="A597" s="1"/>
      <c r="B597" s="2"/>
      <c r="C597" s="1"/>
      <c r="D597" s="2"/>
      <c r="E597" s="1"/>
      <c r="F597" s="3"/>
      <c r="G597" s="2"/>
      <c r="H597" s="2"/>
      <c r="I597" s="3"/>
      <c r="J597" s="2"/>
      <c r="K597" s="2"/>
      <c r="L597" s="2"/>
      <c r="M597" s="2"/>
      <c r="N597" s="1"/>
      <c r="O597" s="1"/>
      <c r="P597" s="1"/>
      <c r="Q597" s="6"/>
    </row>
    <row r="598">
      <c r="A598" s="1"/>
      <c r="B598" s="2"/>
      <c r="C598" s="1"/>
      <c r="D598" s="2"/>
      <c r="E598" s="1"/>
      <c r="F598" s="3"/>
      <c r="G598" s="2"/>
      <c r="H598" s="2"/>
      <c r="I598" s="3"/>
      <c r="J598" s="2"/>
      <c r="K598" s="2"/>
      <c r="L598" s="2"/>
      <c r="M598" s="2"/>
      <c r="N598" s="1"/>
      <c r="O598" s="1"/>
      <c r="P598" s="1"/>
    </row>
    <row r="599">
      <c r="A599" s="1"/>
      <c r="B599" s="2"/>
      <c r="C599" s="1"/>
      <c r="D599" s="2"/>
      <c r="E599" s="1"/>
      <c r="F599" s="3"/>
      <c r="G599" s="2"/>
      <c r="H599" s="2"/>
      <c r="I599" s="3"/>
      <c r="J599" s="2"/>
      <c r="K599" s="2"/>
      <c r="L599" s="2"/>
      <c r="M599" s="2"/>
      <c r="N599" s="1"/>
      <c r="O599" s="1"/>
      <c r="P599" s="1"/>
      <c r="Q599" s="6"/>
    </row>
    <row r="600">
      <c r="A600" s="1"/>
      <c r="B600" s="2"/>
      <c r="C600" s="1"/>
      <c r="D600" s="2"/>
      <c r="E600" s="1"/>
      <c r="F600" s="3"/>
      <c r="G600" s="2"/>
      <c r="H600" s="2"/>
      <c r="I600" s="3"/>
      <c r="J600" s="2"/>
      <c r="K600" s="2"/>
      <c r="L600" s="2"/>
      <c r="M600" s="2"/>
      <c r="N600" s="1"/>
      <c r="O600" s="1"/>
      <c r="P600" s="6"/>
      <c r="Q600" s="6"/>
    </row>
    <row r="601">
      <c r="A601" s="1"/>
      <c r="B601" s="2"/>
      <c r="C601" s="1"/>
      <c r="D601" s="2"/>
      <c r="E601" s="1"/>
      <c r="F601" s="3"/>
      <c r="G601" s="2"/>
      <c r="H601" s="2"/>
      <c r="I601" s="3"/>
      <c r="J601" s="2"/>
      <c r="K601" s="2"/>
      <c r="L601" s="2"/>
      <c r="M601" s="2"/>
      <c r="N601" s="1"/>
      <c r="O601" s="1"/>
      <c r="P601" s="1"/>
    </row>
    <row r="602">
      <c r="A602" s="1"/>
      <c r="B602" s="2"/>
      <c r="C602" s="1"/>
      <c r="D602" s="2"/>
      <c r="E602" s="1"/>
      <c r="F602" s="3"/>
      <c r="G602" s="2"/>
      <c r="H602" s="2"/>
      <c r="I602" s="3"/>
      <c r="J602" s="2"/>
      <c r="K602" s="2"/>
      <c r="L602" s="2"/>
      <c r="M602" s="2"/>
      <c r="N602" s="1"/>
      <c r="O602" s="1"/>
      <c r="P602" s="1"/>
    </row>
    <row r="603">
      <c r="A603" s="1"/>
      <c r="B603" s="2"/>
      <c r="C603" s="1"/>
      <c r="D603" s="2"/>
      <c r="E603" s="1"/>
      <c r="F603" s="3"/>
      <c r="G603" s="2"/>
      <c r="H603" s="2"/>
      <c r="I603" s="3"/>
      <c r="J603" s="2"/>
      <c r="K603" s="2"/>
      <c r="L603" s="2"/>
      <c r="M603" s="2"/>
      <c r="N603" s="1"/>
      <c r="O603" s="1"/>
      <c r="P603" s="6"/>
      <c r="Q603" s="6"/>
    </row>
    <row r="604">
      <c r="A604" s="1"/>
      <c r="B604" s="2"/>
      <c r="C604" s="1"/>
      <c r="D604" s="2"/>
      <c r="E604" s="1"/>
      <c r="F604" s="3"/>
      <c r="G604" s="2"/>
      <c r="H604" s="2"/>
      <c r="I604" s="3"/>
      <c r="J604" s="2"/>
      <c r="K604" s="2"/>
      <c r="L604" s="2"/>
      <c r="M604" s="2"/>
      <c r="N604" s="1"/>
      <c r="O604" s="1"/>
      <c r="P604" s="1"/>
    </row>
    <row r="605">
      <c r="A605" s="1"/>
      <c r="B605" s="2"/>
      <c r="C605" s="1"/>
      <c r="D605" s="2"/>
      <c r="E605" s="1"/>
      <c r="F605" s="3"/>
      <c r="G605" s="2"/>
      <c r="H605" s="2"/>
      <c r="I605" s="3"/>
      <c r="J605" s="2"/>
      <c r="K605" s="2"/>
      <c r="L605" s="2"/>
      <c r="M605" s="2"/>
      <c r="N605" s="1"/>
      <c r="O605" s="1"/>
      <c r="P605" s="1"/>
    </row>
    <row r="606">
      <c r="A606" s="1"/>
      <c r="B606" s="2"/>
      <c r="C606" s="1"/>
      <c r="D606" s="2"/>
      <c r="E606" s="1"/>
      <c r="F606" s="3"/>
      <c r="G606" s="2"/>
      <c r="H606" s="2"/>
      <c r="I606" s="3"/>
      <c r="J606" s="2"/>
      <c r="K606" s="2"/>
      <c r="L606" s="2"/>
      <c r="M606" s="2"/>
      <c r="N606" s="1"/>
      <c r="O606" s="1"/>
      <c r="P606" s="6"/>
      <c r="Q606" s="6"/>
    </row>
    <row r="607">
      <c r="A607" s="1"/>
      <c r="B607" s="2"/>
      <c r="C607" s="1"/>
      <c r="D607" s="2"/>
      <c r="E607" s="1"/>
      <c r="F607" s="3"/>
      <c r="G607" s="2"/>
      <c r="H607" s="2"/>
      <c r="I607" s="3"/>
      <c r="J607" s="2"/>
      <c r="K607" s="2"/>
      <c r="L607" s="2"/>
      <c r="M607" s="2"/>
      <c r="N607" s="1"/>
      <c r="O607" s="1"/>
      <c r="P607" s="6"/>
      <c r="Q607" s="6"/>
    </row>
    <row r="608">
      <c r="A608" s="1"/>
      <c r="B608" s="2"/>
      <c r="C608" s="1"/>
      <c r="D608" s="2"/>
      <c r="E608" s="1"/>
      <c r="F608" s="3"/>
      <c r="G608" s="2"/>
      <c r="H608" s="2"/>
      <c r="I608" s="3"/>
      <c r="J608" s="2"/>
      <c r="K608" s="2"/>
      <c r="L608" s="2"/>
      <c r="M608" s="2"/>
      <c r="N608" s="1"/>
      <c r="O608" s="1"/>
      <c r="P608" s="6"/>
      <c r="Q608" s="6"/>
    </row>
    <row r="609">
      <c r="A609" s="1"/>
      <c r="B609" s="2"/>
      <c r="C609" s="1"/>
      <c r="D609" s="2"/>
      <c r="E609" s="1"/>
      <c r="F609" s="3"/>
      <c r="G609" s="2"/>
      <c r="H609" s="2"/>
      <c r="I609" s="3"/>
      <c r="J609" s="2"/>
      <c r="K609" s="2"/>
      <c r="L609" s="2"/>
      <c r="M609" s="2"/>
      <c r="N609" s="1"/>
      <c r="O609" s="1"/>
      <c r="P609" s="1"/>
    </row>
    <row r="610">
      <c r="A610" s="1"/>
      <c r="B610" s="2"/>
      <c r="C610" s="1"/>
      <c r="D610" s="2"/>
      <c r="E610" s="1"/>
      <c r="F610" s="3"/>
      <c r="G610" s="2"/>
      <c r="H610" s="2"/>
      <c r="I610" s="3"/>
      <c r="J610" s="2"/>
      <c r="K610" s="2"/>
      <c r="L610" s="2"/>
      <c r="M610" s="2"/>
      <c r="N610" s="1"/>
      <c r="O610" s="1"/>
      <c r="P610" s="1"/>
    </row>
    <row r="611">
      <c r="A611" s="1"/>
      <c r="B611" s="2"/>
      <c r="C611" s="1"/>
      <c r="D611" s="2"/>
      <c r="E611" s="1"/>
      <c r="F611" s="3"/>
      <c r="G611" s="2"/>
      <c r="H611" s="2"/>
      <c r="I611" s="3"/>
      <c r="J611" s="2"/>
      <c r="K611" s="2"/>
      <c r="L611" s="2"/>
      <c r="M611" s="2"/>
      <c r="N611" s="1"/>
      <c r="O611" s="1"/>
      <c r="P611" s="6"/>
      <c r="Q611" s="6"/>
    </row>
    <row r="612">
      <c r="A612" s="1"/>
      <c r="B612" s="2"/>
      <c r="C612" s="1"/>
      <c r="D612" s="2"/>
      <c r="E612" s="1"/>
      <c r="F612" s="3"/>
      <c r="G612" s="2"/>
      <c r="H612" s="2"/>
      <c r="I612" s="3"/>
      <c r="J612" s="2"/>
      <c r="K612" s="2"/>
      <c r="L612" s="2"/>
      <c r="M612" s="2"/>
      <c r="N612" s="1"/>
      <c r="O612" s="1"/>
      <c r="P612" s="1"/>
    </row>
    <row r="613">
      <c r="A613" s="1"/>
      <c r="B613" s="2"/>
      <c r="C613" s="1"/>
      <c r="D613" s="2"/>
      <c r="E613" s="1"/>
      <c r="F613" s="3"/>
      <c r="G613" s="2"/>
      <c r="H613" s="2"/>
      <c r="I613" s="3"/>
      <c r="J613" s="2"/>
      <c r="K613" s="2"/>
      <c r="L613" s="2"/>
      <c r="M613" s="2"/>
      <c r="N613" s="1"/>
      <c r="O613" s="1"/>
      <c r="P613" s="1"/>
    </row>
    <row r="614">
      <c r="A614" s="1"/>
      <c r="B614" s="2"/>
      <c r="C614" s="1"/>
      <c r="D614" s="2"/>
      <c r="E614" s="1"/>
      <c r="F614" s="3"/>
      <c r="G614" s="2"/>
      <c r="H614" s="2"/>
      <c r="I614" s="3"/>
      <c r="J614" s="2"/>
      <c r="K614" s="2"/>
      <c r="L614" s="2"/>
      <c r="M614" s="2"/>
      <c r="N614" s="1"/>
      <c r="O614" s="1"/>
      <c r="P614" s="6"/>
      <c r="Q614" s="6"/>
    </row>
    <row r="615">
      <c r="A615" s="1"/>
      <c r="B615" s="2"/>
      <c r="C615" s="1"/>
      <c r="D615" s="2"/>
      <c r="E615" s="1"/>
      <c r="F615" s="3"/>
      <c r="G615" s="2"/>
      <c r="H615" s="2"/>
      <c r="I615" s="3"/>
      <c r="J615" s="2"/>
      <c r="K615" s="2"/>
      <c r="L615" s="2"/>
      <c r="M615" s="2"/>
      <c r="N615" s="1"/>
      <c r="O615" s="1"/>
      <c r="P615" s="6"/>
      <c r="Q615" s="6"/>
    </row>
    <row r="616">
      <c r="A616" s="1"/>
      <c r="B616" s="2"/>
      <c r="C616" s="1"/>
      <c r="D616" s="2"/>
      <c r="E616" s="1"/>
      <c r="F616" s="3"/>
      <c r="G616" s="2"/>
      <c r="H616" s="2"/>
      <c r="I616" s="3"/>
      <c r="J616" s="2"/>
      <c r="K616" s="2"/>
      <c r="L616" s="2"/>
      <c r="M616" s="2"/>
      <c r="N616" s="1"/>
      <c r="O616" s="1"/>
      <c r="P616" s="6"/>
      <c r="Q616" s="6"/>
    </row>
    <row r="617">
      <c r="A617" s="1"/>
      <c r="B617" s="2"/>
      <c r="C617" s="1"/>
      <c r="D617" s="2"/>
      <c r="E617" s="1"/>
      <c r="F617" s="3"/>
      <c r="G617" s="2"/>
      <c r="H617" s="2"/>
      <c r="I617" s="3"/>
      <c r="J617" s="2"/>
      <c r="K617" s="2"/>
      <c r="L617" s="2"/>
      <c r="M617" s="2"/>
      <c r="N617" s="1"/>
      <c r="O617" s="1"/>
      <c r="P617" s="1"/>
    </row>
    <row r="618">
      <c r="A618" s="1"/>
      <c r="B618" s="2"/>
      <c r="C618" s="1"/>
      <c r="D618" s="2"/>
      <c r="E618" s="1"/>
      <c r="F618" s="3"/>
      <c r="G618" s="2"/>
      <c r="H618" s="2"/>
      <c r="I618" s="3"/>
      <c r="J618" s="2"/>
      <c r="K618" s="2"/>
      <c r="L618" s="2"/>
      <c r="M618" s="2"/>
      <c r="N618" s="1"/>
      <c r="O618" s="1"/>
      <c r="P618" s="6"/>
      <c r="Q618" s="6"/>
    </row>
    <row r="619">
      <c r="A619" s="1"/>
      <c r="B619" s="2"/>
      <c r="C619" s="1"/>
      <c r="D619" s="2"/>
      <c r="E619" s="1"/>
      <c r="F619" s="3"/>
      <c r="G619" s="2"/>
      <c r="H619" s="2"/>
      <c r="I619" s="3"/>
      <c r="J619" s="2"/>
      <c r="K619" s="2"/>
      <c r="L619" s="2"/>
      <c r="M619" s="2"/>
      <c r="N619" s="1"/>
      <c r="O619" s="1"/>
      <c r="P619" s="6"/>
      <c r="Q619" s="6"/>
    </row>
    <row r="620">
      <c r="A620" s="1"/>
      <c r="B620" s="2"/>
      <c r="C620" s="1"/>
      <c r="D620" s="2"/>
      <c r="E620" s="1"/>
      <c r="F620" s="3"/>
      <c r="G620" s="2"/>
      <c r="H620" s="2"/>
      <c r="I620" s="3"/>
      <c r="J620" s="2"/>
      <c r="K620" s="2"/>
      <c r="L620" s="2"/>
      <c r="M620" s="2"/>
      <c r="N620" s="1"/>
      <c r="O620" s="1"/>
      <c r="P620" s="1"/>
      <c r="Q620" s="6"/>
    </row>
    <row r="621">
      <c r="A621" s="1"/>
      <c r="B621" s="2"/>
      <c r="C621" s="1"/>
      <c r="D621" s="2"/>
      <c r="E621" s="1"/>
      <c r="F621" s="3"/>
      <c r="G621" s="2"/>
      <c r="H621" s="2"/>
      <c r="I621" s="3"/>
      <c r="J621" s="2"/>
      <c r="K621" s="2"/>
      <c r="L621" s="2"/>
      <c r="M621" s="2"/>
      <c r="N621" s="1"/>
      <c r="O621" s="1"/>
      <c r="P621" s="1"/>
    </row>
    <row r="622">
      <c r="A622" s="1"/>
      <c r="B622" s="2"/>
      <c r="C622" s="1"/>
      <c r="D622" s="2"/>
      <c r="E622" s="1"/>
      <c r="F622" s="3"/>
      <c r="G622" s="2"/>
      <c r="H622" s="2"/>
      <c r="I622" s="3"/>
      <c r="J622" s="2"/>
      <c r="K622" s="2"/>
      <c r="L622" s="2"/>
      <c r="M622" s="2"/>
      <c r="N622" s="1"/>
      <c r="O622" s="1"/>
      <c r="P622" s="6"/>
      <c r="Q622" s="6"/>
    </row>
    <row r="623">
      <c r="A623" s="1"/>
      <c r="B623" s="2"/>
      <c r="C623" s="1"/>
      <c r="D623" s="2"/>
      <c r="E623" s="1"/>
      <c r="F623" s="3"/>
      <c r="G623" s="2"/>
      <c r="H623" s="2"/>
      <c r="I623" s="3"/>
      <c r="J623" s="2"/>
      <c r="K623" s="2"/>
      <c r="L623" s="2"/>
      <c r="M623" s="2"/>
      <c r="N623" s="1"/>
      <c r="O623" s="1"/>
      <c r="P623" s="6"/>
      <c r="Q623" s="6"/>
    </row>
    <row r="624">
      <c r="A624" s="1"/>
      <c r="B624" s="2"/>
      <c r="C624" s="1"/>
      <c r="D624" s="2"/>
      <c r="E624" s="1"/>
      <c r="F624" s="3"/>
      <c r="G624" s="2"/>
      <c r="H624" s="2"/>
      <c r="I624" s="3"/>
      <c r="J624" s="2"/>
      <c r="K624" s="2"/>
      <c r="L624" s="2"/>
      <c r="M624" s="2"/>
      <c r="N624" s="1"/>
      <c r="O624" s="1"/>
      <c r="P624" s="1"/>
      <c r="Q624" s="6"/>
    </row>
    <row r="625">
      <c r="A625" s="1"/>
      <c r="B625" s="2"/>
      <c r="C625" s="1"/>
      <c r="D625" s="2"/>
      <c r="E625" s="1"/>
      <c r="F625" s="3"/>
      <c r="G625" s="2"/>
      <c r="H625" s="2"/>
      <c r="I625" s="3"/>
      <c r="J625" s="2"/>
      <c r="K625" s="2"/>
      <c r="L625" s="2"/>
      <c r="M625" s="2"/>
      <c r="N625" s="1"/>
      <c r="O625" s="1"/>
      <c r="P625" s="6"/>
      <c r="Q625" s="6"/>
    </row>
    <row r="626">
      <c r="A626" s="1"/>
      <c r="B626" s="2"/>
      <c r="C626" s="1"/>
      <c r="D626" s="2"/>
      <c r="E626" s="1"/>
      <c r="F626" s="3"/>
      <c r="G626" s="2"/>
      <c r="H626" s="2"/>
      <c r="I626" s="3"/>
      <c r="J626" s="2"/>
      <c r="K626" s="2"/>
      <c r="L626" s="2"/>
      <c r="M626" s="2"/>
      <c r="N626" s="1"/>
      <c r="O626" s="1"/>
      <c r="P626" s="1"/>
    </row>
    <row r="627">
      <c r="A627" s="1"/>
      <c r="B627" s="2"/>
      <c r="C627" s="1"/>
      <c r="D627" s="2"/>
      <c r="E627" s="1"/>
      <c r="F627" s="3"/>
      <c r="G627" s="2"/>
      <c r="H627" s="2"/>
      <c r="I627" s="3"/>
      <c r="J627" s="2"/>
      <c r="K627" s="2"/>
      <c r="L627" s="2"/>
      <c r="M627" s="2"/>
      <c r="N627" s="1"/>
      <c r="O627" s="1"/>
      <c r="P627" s="1"/>
      <c r="Q627" s="6"/>
    </row>
    <row r="628">
      <c r="A628" s="1"/>
      <c r="B628" s="2"/>
      <c r="C628" s="1"/>
      <c r="D628" s="2"/>
      <c r="E628" s="1"/>
      <c r="F628" s="3"/>
      <c r="G628" s="2"/>
      <c r="H628" s="2"/>
      <c r="I628" s="3"/>
      <c r="J628" s="2"/>
      <c r="K628" s="2"/>
      <c r="L628" s="2"/>
      <c r="M628" s="2"/>
      <c r="N628" s="1"/>
      <c r="O628" s="1"/>
      <c r="P628" s="1"/>
    </row>
    <row r="629">
      <c r="A629" s="1"/>
      <c r="B629" s="2"/>
      <c r="C629" s="1"/>
      <c r="D629" s="2"/>
      <c r="E629" s="1"/>
      <c r="F629" s="3"/>
      <c r="G629" s="2"/>
      <c r="H629" s="2"/>
      <c r="I629" s="3"/>
      <c r="J629" s="2"/>
      <c r="K629" s="2"/>
      <c r="L629" s="2"/>
      <c r="M629" s="2"/>
      <c r="N629" s="1"/>
      <c r="O629" s="1"/>
      <c r="P629" s="6"/>
      <c r="Q629" s="6"/>
    </row>
    <row r="630">
      <c r="A630" s="1"/>
      <c r="B630" s="2"/>
      <c r="C630" s="1"/>
      <c r="D630" s="2"/>
      <c r="E630" s="1"/>
      <c r="F630" s="3"/>
      <c r="G630" s="2"/>
      <c r="H630" s="2"/>
      <c r="I630" s="3"/>
      <c r="J630" s="2"/>
      <c r="K630" s="2"/>
      <c r="L630" s="2"/>
      <c r="M630" s="2"/>
      <c r="N630" s="1"/>
      <c r="O630" s="1"/>
      <c r="P630" s="1"/>
    </row>
    <row r="631">
      <c r="A631" s="1"/>
      <c r="B631" s="2"/>
      <c r="C631" s="1"/>
      <c r="D631" s="2"/>
      <c r="E631" s="1"/>
      <c r="F631" s="3"/>
      <c r="G631" s="2"/>
      <c r="H631" s="2"/>
      <c r="I631" s="3"/>
      <c r="J631" s="2"/>
      <c r="K631" s="2"/>
      <c r="L631" s="2"/>
      <c r="M631" s="2"/>
      <c r="N631" s="1"/>
      <c r="O631" s="1"/>
      <c r="P631" s="6"/>
      <c r="Q631" s="6"/>
    </row>
    <row r="632">
      <c r="A632" s="1"/>
      <c r="B632" s="2"/>
      <c r="C632" s="1"/>
      <c r="D632" s="2"/>
      <c r="E632" s="1"/>
      <c r="F632" s="3"/>
      <c r="G632" s="2"/>
      <c r="H632" s="2"/>
      <c r="I632" s="3"/>
      <c r="J632" s="2"/>
      <c r="K632" s="2"/>
      <c r="L632" s="2"/>
      <c r="M632" s="2"/>
      <c r="N632" s="1"/>
      <c r="O632" s="1"/>
      <c r="P632" s="6"/>
      <c r="Q632" s="6"/>
    </row>
    <row r="633">
      <c r="A633" s="1"/>
      <c r="B633" s="2"/>
      <c r="C633" s="1"/>
      <c r="D633" s="2"/>
      <c r="E633" s="1"/>
      <c r="F633" s="3"/>
      <c r="G633" s="2"/>
      <c r="H633" s="2"/>
      <c r="I633" s="3"/>
      <c r="J633" s="2"/>
      <c r="K633" s="2"/>
      <c r="L633" s="2"/>
      <c r="M633" s="2"/>
      <c r="N633" s="1"/>
      <c r="O633" s="1"/>
      <c r="P633" s="1"/>
    </row>
    <row r="634">
      <c r="A634" s="1"/>
      <c r="B634" s="2"/>
      <c r="C634" s="1"/>
      <c r="D634" s="2"/>
      <c r="E634" s="1"/>
      <c r="F634" s="3"/>
      <c r="G634" s="2"/>
      <c r="H634" s="2"/>
      <c r="I634" s="3"/>
      <c r="J634" s="2"/>
      <c r="K634" s="2"/>
      <c r="L634" s="2"/>
      <c r="M634" s="2"/>
      <c r="N634" s="1"/>
      <c r="O634" s="1"/>
      <c r="P634" s="1"/>
    </row>
    <row r="635">
      <c r="A635" s="1"/>
      <c r="B635" s="2"/>
      <c r="C635" s="1"/>
      <c r="D635" s="2"/>
      <c r="E635" s="1"/>
      <c r="F635" s="3"/>
      <c r="G635" s="2"/>
      <c r="H635" s="2"/>
      <c r="I635" s="3"/>
      <c r="J635" s="2"/>
      <c r="K635" s="2"/>
      <c r="L635" s="2"/>
      <c r="M635" s="2"/>
      <c r="N635" s="1"/>
      <c r="O635" s="1"/>
      <c r="P635" s="6"/>
      <c r="Q635" s="6"/>
    </row>
    <row r="636">
      <c r="A636" s="1"/>
      <c r="B636" s="2"/>
      <c r="C636" s="1"/>
      <c r="D636" s="2"/>
      <c r="E636" s="1"/>
      <c r="F636" s="3"/>
      <c r="G636" s="2"/>
      <c r="H636" s="2"/>
      <c r="I636" s="3"/>
      <c r="J636" s="2"/>
      <c r="K636" s="2"/>
      <c r="L636" s="2"/>
      <c r="M636" s="2"/>
      <c r="N636" s="1"/>
      <c r="O636" s="1"/>
      <c r="P636" s="6"/>
      <c r="Q636" s="6"/>
    </row>
    <row r="637">
      <c r="A637" s="1"/>
      <c r="B637" s="2"/>
      <c r="C637" s="1"/>
      <c r="D637" s="2"/>
      <c r="E637" s="1"/>
      <c r="F637" s="3"/>
      <c r="G637" s="2"/>
      <c r="H637" s="2"/>
      <c r="I637" s="3"/>
      <c r="J637" s="2"/>
      <c r="K637" s="2"/>
      <c r="L637" s="2"/>
      <c r="M637" s="2"/>
      <c r="N637" s="1"/>
      <c r="O637" s="1"/>
      <c r="P637" s="1"/>
      <c r="Q637" s="6"/>
    </row>
    <row r="638">
      <c r="A638" s="1"/>
      <c r="B638" s="2"/>
      <c r="C638" s="1"/>
      <c r="D638" s="2"/>
      <c r="E638" s="1"/>
      <c r="F638" s="3"/>
      <c r="G638" s="2"/>
      <c r="H638" s="2"/>
      <c r="I638" s="3"/>
      <c r="J638" s="2"/>
      <c r="K638" s="2"/>
      <c r="L638" s="2"/>
      <c r="M638" s="2"/>
      <c r="N638" s="1"/>
      <c r="O638" s="1"/>
      <c r="P638" s="1"/>
    </row>
    <row r="639">
      <c r="A639" s="1"/>
      <c r="B639" s="2"/>
      <c r="C639" s="1"/>
      <c r="D639" s="2"/>
      <c r="E639" s="1"/>
      <c r="F639" s="3"/>
      <c r="G639" s="2"/>
      <c r="H639" s="2"/>
      <c r="I639" s="3"/>
      <c r="J639" s="2"/>
      <c r="K639" s="2"/>
      <c r="L639" s="2"/>
      <c r="M639" s="2"/>
      <c r="N639" s="1"/>
      <c r="O639" s="1"/>
      <c r="P639" s="1"/>
    </row>
    <row r="640">
      <c r="A640" s="4"/>
      <c r="B640" s="4"/>
      <c r="C640" s="4"/>
      <c r="D640" s="6"/>
      <c r="E640" s="4"/>
      <c r="F640" s="4"/>
      <c r="G640" s="6"/>
      <c r="H640" s="6"/>
      <c r="I640" s="4"/>
      <c r="J640" s="6"/>
      <c r="K640" s="6"/>
      <c r="L640" s="6"/>
      <c r="M640" s="6"/>
      <c r="N640" s="4"/>
      <c r="O640" s="6"/>
      <c r="P640" s="6"/>
      <c r="Q640" s="6"/>
    </row>
    <row r="641">
      <c r="A641" s="4"/>
      <c r="B641" s="4"/>
      <c r="C641" s="4"/>
      <c r="D641" s="6"/>
      <c r="E641" s="4"/>
      <c r="F641" s="4"/>
      <c r="G641" s="6"/>
      <c r="H641" s="6"/>
      <c r="I641" s="4"/>
      <c r="J641" s="6"/>
      <c r="K641" s="6"/>
      <c r="L641" s="6"/>
      <c r="M641" s="6"/>
      <c r="N641" s="6"/>
      <c r="O641" s="6"/>
      <c r="P641" s="6"/>
      <c r="Q641" s="6"/>
    </row>
    <row r="642">
      <c r="A642" s="4"/>
      <c r="B642" s="4"/>
      <c r="C642" s="4"/>
      <c r="D642" s="6"/>
      <c r="E642" s="4"/>
      <c r="F642" s="4"/>
      <c r="G642" s="6"/>
      <c r="H642" s="6"/>
      <c r="I642" s="4"/>
      <c r="J642" s="6"/>
      <c r="K642" s="6"/>
      <c r="L642" s="6"/>
      <c r="M642" s="6"/>
      <c r="N642" s="6"/>
      <c r="O642" s="6"/>
      <c r="P642" s="6"/>
      <c r="Q642" s="6"/>
    </row>
    <row r="643">
      <c r="A643" s="1"/>
      <c r="B643" s="8"/>
      <c r="C643" s="1"/>
      <c r="D643" s="9"/>
      <c r="E643" s="10"/>
      <c r="F643" s="3"/>
      <c r="G643" s="9"/>
      <c r="H643" s="9"/>
      <c r="I643" s="3"/>
      <c r="K643" s="9"/>
      <c r="L643" s="9"/>
      <c r="N643" s="11"/>
      <c r="P643" s="12"/>
    </row>
    <row r="644">
      <c r="A644" s="1"/>
      <c r="B644" s="8"/>
      <c r="C644" s="1"/>
      <c r="D644" s="9"/>
      <c r="E644" s="10"/>
      <c r="F644" s="3"/>
      <c r="G644" s="9"/>
      <c r="H644" s="9"/>
      <c r="I644" s="3"/>
      <c r="K644" s="9"/>
      <c r="L644" s="9"/>
      <c r="N644" s="13"/>
      <c r="P644" s="12"/>
    </row>
    <row r="645">
      <c r="A645" s="1"/>
      <c r="B645" s="8"/>
      <c r="C645" s="1"/>
      <c r="D645" s="9"/>
      <c r="E645" s="10"/>
      <c r="F645" s="3"/>
      <c r="G645" s="9"/>
      <c r="H645" s="9"/>
      <c r="I645" s="3"/>
      <c r="K645" s="9"/>
      <c r="L645" s="9"/>
      <c r="N645" s="11"/>
      <c r="P645" s="12"/>
    </row>
    <row r="646">
      <c r="A646" s="1"/>
      <c r="B646" s="8"/>
      <c r="C646" s="1"/>
      <c r="D646" s="9"/>
      <c r="E646" s="10"/>
      <c r="F646" s="3"/>
      <c r="G646" s="9"/>
      <c r="H646" s="9"/>
      <c r="I646" s="3"/>
      <c r="K646" s="9"/>
      <c r="L646" s="9"/>
      <c r="N646" s="13"/>
      <c r="P646" s="12"/>
    </row>
    <row r="647">
      <c r="A647" s="1"/>
      <c r="B647" s="8"/>
      <c r="C647" s="1"/>
      <c r="D647" s="9"/>
      <c r="E647" s="10"/>
      <c r="F647" s="3"/>
      <c r="G647" s="9"/>
      <c r="H647" s="9"/>
      <c r="I647" s="3"/>
      <c r="K647" s="9"/>
      <c r="L647" s="9"/>
      <c r="N647" s="13"/>
      <c r="P647" s="12"/>
    </row>
    <row r="648">
      <c r="A648" s="1"/>
      <c r="B648" s="8"/>
      <c r="C648" s="1"/>
      <c r="D648" s="9"/>
      <c r="E648" s="10"/>
      <c r="F648" s="3"/>
      <c r="G648" s="9"/>
      <c r="H648" s="9"/>
      <c r="I648" s="3"/>
      <c r="K648" s="9"/>
      <c r="L648" s="9"/>
      <c r="N648" s="11"/>
      <c r="P648" s="12"/>
    </row>
    <row r="649">
      <c r="A649" s="1"/>
      <c r="B649" s="8"/>
      <c r="C649" s="1"/>
      <c r="D649" s="9"/>
      <c r="E649" s="10"/>
      <c r="F649" s="3"/>
      <c r="G649" s="9"/>
      <c r="H649" s="9"/>
      <c r="I649" s="3"/>
      <c r="K649" s="9"/>
      <c r="L649" s="9"/>
      <c r="N649" s="13"/>
      <c r="P649" s="12"/>
    </row>
    <row r="650">
      <c r="A650" s="1"/>
      <c r="B650" s="8"/>
      <c r="C650" s="1"/>
      <c r="D650" s="9"/>
      <c r="E650" s="10"/>
      <c r="F650" s="3"/>
      <c r="G650" s="9"/>
      <c r="H650" s="9"/>
      <c r="I650" s="3"/>
      <c r="K650" s="9"/>
      <c r="L650" s="9"/>
      <c r="N650" s="13"/>
      <c r="P650" s="12"/>
    </row>
    <row r="651">
      <c r="A651" s="1"/>
      <c r="B651" s="8"/>
      <c r="C651" s="1"/>
      <c r="D651" s="9"/>
      <c r="E651" s="10"/>
      <c r="F651" s="3"/>
      <c r="G651" s="9"/>
      <c r="H651" s="9"/>
      <c r="I651" s="3"/>
      <c r="K651" s="9"/>
      <c r="L651" s="9"/>
      <c r="N651" s="11"/>
      <c r="P651" s="12"/>
    </row>
    <row r="652">
      <c r="A652" s="1"/>
      <c r="B652" s="8"/>
      <c r="C652" s="1"/>
      <c r="D652" s="9"/>
      <c r="E652" s="10"/>
      <c r="F652" s="3"/>
      <c r="G652" s="9"/>
      <c r="H652" s="9"/>
      <c r="I652" s="3"/>
      <c r="K652" s="9"/>
      <c r="L652" s="9"/>
      <c r="N652" s="11"/>
      <c r="P652" s="12"/>
    </row>
    <row r="653">
      <c r="A653" s="1"/>
      <c r="B653" s="8"/>
      <c r="C653" s="1"/>
      <c r="D653" s="9"/>
      <c r="E653" s="10"/>
      <c r="F653" s="3"/>
      <c r="G653" s="9"/>
      <c r="H653" s="9"/>
      <c r="I653" s="3"/>
      <c r="K653" s="9"/>
      <c r="L653" s="9"/>
      <c r="N653" s="13"/>
      <c r="P653" s="12"/>
    </row>
    <row r="654">
      <c r="A654" s="1"/>
      <c r="B654" s="8"/>
      <c r="C654" s="1"/>
      <c r="D654" s="9"/>
      <c r="E654" s="10"/>
      <c r="F654" s="3"/>
      <c r="G654" s="9"/>
      <c r="H654" s="9"/>
      <c r="I654" s="3"/>
      <c r="K654" s="9"/>
      <c r="L654" s="9"/>
      <c r="N654" s="13"/>
      <c r="P654" s="12"/>
    </row>
    <row r="655">
      <c r="A655" s="1"/>
      <c r="B655" s="8"/>
      <c r="C655" s="1"/>
      <c r="D655" s="9"/>
      <c r="E655" s="10"/>
      <c r="F655" s="3"/>
      <c r="G655" s="9"/>
      <c r="H655" s="9"/>
      <c r="I655" s="3"/>
      <c r="K655" s="9"/>
      <c r="L655" s="9"/>
      <c r="N655" s="13"/>
      <c r="P655" s="12"/>
    </row>
    <row r="656">
      <c r="A656" s="1"/>
      <c r="B656" s="8"/>
      <c r="C656" s="1"/>
      <c r="D656" s="9"/>
      <c r="E656" s="10"/>
      <c r="F656" s="3"/>
      <c r="G656" s="9"/>
      <c r="H656" s="9"/>
      <c r="I656" s="3"/>
      <c r="K656" s="9"/>
      <c r="L656" s="9"/>
      <c r="N656" s="13"/>
      <c r="P656" s="12"/>
    </row>
    <row r="657">
      <c r="A657" s="1"/>
      <c r="B657" s="8"/>
      <c r="C657" s="1"/>
      <c r="D657" s="9"/>
      <c r="E657" s="10"/>
      <c r="F657" s="3"/>
      <c r="G657" s="9"/>
      <c r="H657" s="9"/>
      <c r="I657" s="3"/>
      <c r="K657" s="9"/>
      <c r="L657" s="9"/>
      <c r="N657" s="13"/>
      <c r="P657" s="12"/>
    </row>
    <row r="658">
      <c r="A658" s="1"/>
      <c r="B658" s="8"/>
      <c r="C658" s="1"/>
      <c r="D658" s="9"/>
      <c r="E658" s="10"/>
      <c r="F658" s="3"/>
      <c r="G658" s="9"/>
      <c r="H658" s="9"/>
      <c r="I658" s="3"/>
      <c r="K658" s="9"/>
      <c r="L658" s="9"/>
      <c r="N658" s="13"/>
      <c r="P658" s="12"/>
    </row>
    <row r="659">
      <c r="A659" s="1"/>
      <c r="B659" s="8"/>
      <c r="C659" s="1"/>
      <c r="D659" s="9"/>
      <c r="E659" s="10"/>
      <c r="F659" s="3"/>
      <c r="G659" s="9"/>
      <c r="H659" s="9"/>
      <c r="I659" s="3"/>
      <c r="K659" s="9"/>
      <c r="L659" s="9"/>
      <c r="N659" s="11"/>
      <c r="P659" s="12"/>
    </row>
    <row r="660">
      <c r="A660" s="1"/>
      <c r="B660" s="8"/>
      <c r="C660" s="1"/>
      <c r="D660" s="9"/>
      <c r="E660" s="10"/>
      <c r="F660" s="3"/>
      <c r="G660" s="9"/>
      <c r="H660" s="9"/>
      <c r="I660" s="3"/>
      <c r="K660" s="9"/>
      <c r="L660" s="9"/>
      <c r="N660" s="13"/>
      <c r="P660" s="12"/>
    </row>
    <row r="661">
      <c r="A661" s="1"/>
      <c r="B661" s="8"/>
      <c r="C661" s="1"/>
      <c r="D661" s="9"/>
      <c r="E661" s="10"/>
      <c r="F661" s="3"/>
      <c r="G661" s="9"/>
      <c r="H661" s="9"/>
      <c r="I661" s="3"/>
      <c r="K661" s="9"/>
      <c r="L661" s="9"/>
      <c r="N661" s="13"/>
      <c r="P661" s="12"/>
    </row>
    <row r="662">
      <c r="A662" s="1"/>
      <c r="B662" s="8"/>
      <c r="C662" s="1"/>
      <c r="D662" s="9"/>
      <c r="E662" s="10"/>
      <c r="F662" s="3"/>
      <c r="G662" s="9"/>
      <c r="H662" s="9"/>
      <c r="I662" s="3"/>
      <c r="K662" s="9"/>
      <c r="L662" s="9"/>
      <c r="N662" s="11"/>
      <c r="P662" s="12"/>
    </row>
    <row r="663">
      <c r="A663" s="1"/>
      <c r="B663" s="8"/>
      <c r="C663" s="1"/>
      <c r="D663" s="9"/>
      <c r="E663" s="10"/>
      <c r="F663" s="3"/>
      <c r="G663" s="9"/>
      <c r="H663" s="9"/>
      <c r="I663" s="3"/>
      <c r="K663" s="9"/>
      <c r="L663" s="9"/>
      <c r="N663" s="13"/>
      <c r="P663" s="12"/>
    </row>
    <row r="664">
      <c r="A664" s="1"/>
      <c r="B664" s="8"/>
      <c r="C664" s="1"/>
      <c r="D664" s="9"/>
      <c r="E664" s="10"/>
      <c r="F664" s="3"/>
      <c r="G664" s="9"/>
      <c r="H664" s="9"/>
      <c r="I664" s="3"/>
      <c r="K664" s="9"/>
      <c r="L664" s="9"/>
      <c r="N664" s="13"/>
      <c r="P664" s="12"/>
    </row>
    <row r="665">
      <c r="A665" s="1"/>
      <c r="B665" s="8"/>
      <c r="C665" s="1"/>
      <c r="D665" s="9"/>
      <c r="E665" s="10"/>
      <c r="F665" s="3"/>
      <c r="G665" s="9"/>
      <c r="H665" s="9"/>
      <c r="I665" s="3"/>
      <c r="K665" s="9"/>
      <c r="L665" s="9"/>
      <c r="N665" s="11"/>
      <c r="P665" s="12"/>
    </row>
    <row r="666">
      <c r="A666" s="1"/>
      <c r="B666" s="8"/>
      <c r="C666" s="1"/>
      <c r="D666" s="9"/>
      <c r="E666" s="10"/>
      <c r="F666" s="3"/>
      <c r="G666" s="9"/>
      <c r="H666" s="9"/>
      <c r="I666" s="3"/>
      <c r="K666" s="9"/>
      <c r="L666" s="9"/>
      <c r="N666" s="13"/>
      <c r="P666" s="12"/>
    </row>
    <row r="667">
      <c r="A667" s="1"/>
      <c r="B667" s="8"/>
      <c r="C667" s="1"/>
      <c r="D667" s="9"/>
      <c r="E667" s="10"/>
      <c r="F667" s="3"/>
      <c r="G667" s="9"/>
      <c r="H667" s="9"/>
      <c r="I667" s="3"/>
      <c r="K667" s="9"/>
      <c r="L667" s="9"/>
      <c r="N667" s="13"/>
      <c r="P667" s="12"/>
    </row>
    <row r="668">
      <c r="A668" s="1"/>
      <c r="B668" s="8"/>
      <c r="C668" s="1"/>
      <c r="D668" s="9"/>
      <c r="E668" s="10"/>
      <c r="F668" s="3"/>
      <c r="G668" s="9"/>
      <c r="H668" s="9"/>
      <c r="I668" s="3"/>
      <c r="K668" s="9"/>
      <c r="L668" s="9"/>
      <c r="N668" s="13"/>
      <c r="P668" s="12"/>
    </row>
    <row r="669">
      <c r="A669" s="1"/>
      <c r="B669" s="8"/>
      <c r="C669" s="1"/>
      <c r="D669" s="9"/>
      <c r="E669" s="10"/>
      <c r="F669" s="3"/>
      <c r="G669" s="9"/>
      <c r="H669" s="9"/>
      <c r="I669" s="3"/>
      <c r="K669" s="9"/>
      <c r="L669" s="9"/>
      <c r="N669" s="11"/>
      <c r="P669" s="12"/>
    </row>
    <row r="670">
      <c r="A670" s="1"/>
      <c r="B670" s="8"/>
      <c r="C670" s="1"/>
      <c r="D670" s="9"/>
      <c r="E670" s="10"/>
      <c r="F670" s="3"/>
      <c r="G670" s="9"/>
      <c r="H670" s="9"/>
      <c r="I670" s="3"/>
      <c r="K670" s="9"/>
      <c r="L670" s="9"/>
      <c r="N670" s="13"/>
      <c r="P670" s="12"/>
    </row>
    <row r="671">
      <c r="A671" s="1"/>
      <c r="B671" s="8"/>
      <c r="C671" s="1"/>
      <c r="D671" s="9"/>
      <c r="E671" s="10"/>
      <c r="F671" s="3"/>
      <c r="G671" s="9"/>
      <c r="H671" s="9"/>
      <c r="I671" s="3"/>
      <c r="K671" s="9"/>
      <c r="L671" s="9"/>
      <c r="N671" s="11"/>
      <c r="P671" s="12"/>
    </row>
    <row r="672">
      <c r="A672" s="1"/>
      <c r="B672" s="8"/>
      <c r="C672" s="1"/>
      <c r="D672" s="9"/>
      <c r="E672" s="10"/>
      <c r="F672" s="3"/>
      <c r="G672" s="9"/>
      <c r="H672" s="9"/>
      <c r="I672" s="3"/>
      <c r="K672" s="9"/>
      <c r="L672" s="9"/>
      <c r="N672" s="13"/>
      <c r="P672" s="12"/>
    </row>
    <row r="673">
      <c r="A673" s="1"/>
      <c r="B673" s="8"/>
      <c r="C673" s="1"/>
      <c r="D673" s="9"/>
      <c r="E673" s="10"/>
      <c r="F673" s="3"/>
      <c r="G673" s="9"/>
      <c r="H673" s="9"/>
      <c r="I673" s="3"/>
      <c r="K673" s="9"/>
      <c r="L673" s="9"/>
      <c r="N673" s="11"/>
      <c r="P673" s="12"/>
    </row>
    <row r="674">
      <c r="A674" s="1"/>
      <c r="B674" s="8"/>
      <c r="C674" s="1"/>
      <c r="D674" s="9"/>
      <c r="E674" s="10"/>
      <c r="F674" s="3"/>
      <c r="G674" s="9"/>
      <c r="H674" s="9"/>
      <c r="I674" s="3"/>
      <c r="K674" s="9"/>
      <c r="L674" s="9"/>
      <c r="N674" s="11"/>
      <c r="P674" s="12"/>
    </row>
    <row r="675">
      <c r="A675" s="1"/>
      <c r="B675" s="8"/>
      <c r="C675" s="1"/>
      <c r="D675" s="9"/>
      <c r="E675" s="10"/>
      <c r="F675" s="3"/>
      <c r="G675" s="9"/>
      <c r="H675" s="9"/>
      <c r="I675" s="3"/>
      <c r="K675" s="9"/>
      <c r="L675" s="9"/>
      <c r="N675" s="13"/>
      <c r="P675" s="12"/>
    </row>
    <row r="676">
      <c r="A676" s="1"/>
      <c r="B676" s="8"/>
      <c r="C676" s="1"/>
      <c r="D676" s="9"/>
      <c r="E676" s="10"/>
      <c r="F676" s="3"/>
      <c r="G676" s="9"/>
      <c r="H676" s="9"/>
      <c r="I676" s="3"/>
      <c r="K676" s="9"/>
      <c r="L676" s="9"/>
      <c r="N676" s="13"/>
      <c r="P676" s="12"/>
    </row>
    <row r="677">
      <c r="A677" s="1"/>
      <c r="B677" s="8"/>
      <c r="C677" s="1"/>
      <c r="D677" s="9"/>
      <c r="E677" s="10"/>
      <c r="F677" s="3"/>
      <c r="G677" s="9"/>
      <c r="H677" s="9"/>
      <c r="I677" s="3"/>
      <c r="K677" s="9"/>
      <c r="L677" s="9"/>
      <c r="N677" s="11"/>
      <c r="P677" s="12"/>
    </row>
    <row r="678">
      <c r="A678" s="1"/>
      <c r="B678" s="8"/>
      <c r="C678" s="1"/>
      <c r="D678" s="9"/>
      <c r="E678" s="10"/>
      <c r="F678" s="3"/>
      <c r="G678" s="9"/>
      <c r="H678" s="9"/>
      <c r="I678" s="3"/>
      <c r="K678" s="9"/>
      <c r="L678" s="9"/>
      <c r="N678" s="11"/>
      <c r="P678" s="12"/>
    </row>
    <row r="679">
      <c r="A679" s="1"/>
      <c r="B679" s="8"/>
      <c r="C679" s="1"/>
      <c r="D679" s="9"/>
      <c r="E679" s="10"/>
      <c r="F679" s="3"/>
      <c r="G679" s="9"/>
      <c r="H679" s="9"/>
      <c r="I679" s="3"/>
      <c r="K679" s="9"/>
      <c r="L679" s="9"/>
      <c r="N679" s="13"/>
      <c r="P679" s="12"/>
    </row>
    <row r="680">
      <c r="A680" s="1"/>
      <c r="B680" s="8"/>
      <c r="C680" s="1"/>
      <c r="D680" s="9"/>
      <c r="E680" s="10"/>
      <c r="F680" s="3"/>
      <c r="G680" s="9"/>
      <c r="H680" s="9"/>
      <c r="I680" s="3"/>
      <c r="K680" s="9"/>
      <c r="L680" s="9"/>
      <c r="N680" s="11"/>
      <c r="P680" s="12"/>
    </row>
    <row r="681">
      <c r="A681" s="1"/>
      <c r="B681" s="8"/>
      <c r="C681" s="1"/>
      <c r="D681" s="9"/>
      <c r="E681" s="10"/>
      <c r="F681" s="3"/>
      <c r="G681" s="9"/>
      <c r="H681" s="9"/>
      <c r="I681" s="3"/>
      <c r="K681" s="9"/>
      <c r="L681" s="9"/>
      <c r="N681" s="11"/>
      <c r="P681" s="12"/>
    </row>
    <row r="682">
      <c r="A682" s="1"/>
      <c r="B682" s="8"/>
      <c r="C682" s="1"/>
      <c r="D682" s="9"/>
      <c r="E682" s="10"/>
      <c r="F682" s="3"/>
      <c r="G682" s="9"/>
      <c r="H682" s="9"/>
      <c r="I682" s="3"/>
      <c r="K682" s="9"/>
      <c r="L682" s="9"/>
      <c r="N682" s="11"/>
      <c r="P682" s="12"/>
    </row>
    <row r="683">
      <c r="A683" s="1"/>
      <c r="B683" s="8"/>
      <c r="C683" s="1"/>
      <c r="D683" s="9"/>
      <c r="E683" s="10"/>
      <c r="F683" s="3"/>
      <c r="G683" s="9"/>
      <c r="H683" s="9"/>
      <c r="I683" s="3"/>
      <c r="K683" s="9"/>
      <c r="L683" s="9"/>
      <c r="N683" s="11"/>
      <c r="P683" s="12"/>
    </row>
    <row r="684">
      <c r="A684" s="1"/>
      <c r="B684" s="8"/>
      <c r="C684" s="1"/>
      <c r="D684" s="9"/>
      <c r="E684" s="10"/>
      <c r="F684" s="3"/>
      <c r="G684" s="9"/>
      <c r="H684" s="9"/>
      <c r="I684" s="3"/>
      <c r="K684" s="9"/>
      <c r="L684" s="9"/>
      <c r="N684" s="11"/>
      <c r="P684" s="12"/>
    </row>
    <row r="685">
      <c r="A685" s="1"/>
      <c r="B685" s="8"/>
      <c r="C685" s="1"/>
      <c r="D685" s="9"/>
      <c r="E685" s="10"/>
      <c r="F685" s="3"/>
      <c r="G685" s="9"/>
      <c r="H685" s="9"/>
      <c r="I685" s="3"/>
      <c r="K685" s="9"/>
      <c r="L685" s="9"/>
      <c r="N685" s="13"/>
      <c r="P685" s="12"/>
    </row>
    <row r="686">
      <c r="A686" s="1"/>
      <c r="B686" s="8"/>
      <c r="C686" s="1"/>
      <c r="D686" s="9"/>
      <c r="E686" s="10"/>
      <c r="F686" s="3"/>
      <c r="G686" s="9"/>
      <c r="H686" s="9"/>
      <c r="I686" s="3"/>
      <c r="K686" s="9"/>
      <c r="L686" s="9"/>
      <c r="N686" s="11"/>
      <c r="P686" s="12"/>
    </row>
    <row r="687">
      <c r="A687" s="1"/>
      <c r="B687" s="8"/>
      <c r="C687" s="1"/>
      <c r="D687" s="9"/>
      <c r="E687" s="10"/>
      <c r="F687" s="3"/>
      <c r="G687" s="9"/>
      <c r="H687" s="9"/>
      <c r="I687" s="3"/>
      <c r="K687" s="9"/>
      <c r="L687" s="9"/>
      <c r="N687" s="13"/>
      <c r="P687" s="12"/>
    </row>
    <row r="688">
      <c r="A688" s="1"/>
      <c r="B688" s="8"/>
      <c r="C688" s="1"/>
      <c r="D688" s="9"/>
      <c r="E688" s="10"/>
      <c r="F688" s="3"/>
      <c r="G688" s="9"/>
      <c r="H688" s="9"/>
      <c r="I688" s="3"/>
      <c r="K688" s="9"/>
      <c r="L688" s="9"/>
      <c r="N688" s="13"/>
      <c r="P688" s="12"/>
    </row>
    <row r="689">
      <c r="A689" s="1"/>
      <c r="B689" s="8"/>
      <c r="C689" s="1"/>
      <c r="D689" s="9"/>
      <c r="E689" s="10"/>
      <c r="F689" s="3"/>
      <c r="G689" s="9"/>
      <c r="H689" s="9"/>
      <c r="I689" s="3"/>
      <c r="K689" s="9"/>
      <c r="L689" s="9"/>
      <c r="N689" s="13"/>
      <c r="P689" s="12"/>
    </row>
    <row r="690">
      <c r="A690" s="1"/>
      <c r="B690" s="8"/>
      <c r="C690" s="1"/>
      <c r="D690" s="9"/>
      <c r="E690" s="10"/>
      <c r="F690" s="3"/>
      <c r="G690" s="9"/>
      <c r="H690" s="9"/>
      <c r="I690" s="3"/>
      <c r="K690" s="9"/>
      <c r="L690" s="9"/>
      <c r="N690" s="11"/>
      <c r="P690" s="12"/>
    </row>
    <row r="691">
      <c r="A691" s="1"/>
      <c r="B691" s="8"/>
      <c r="C691" s="1"/>
      <c r="D691" s="9"/>
      <c r="E691" s="10"/>
      <c r="F691" s="3"/>
      <c r="G691" s="9"/>
      <c r="H691" s="9"/>
      <c r="I691" s="3"/>
      <c r="K691" s="9"/>
      <c r="L691" s="9"/>
      <c r="N691" s="11"/>
      <c r="P691" s="12"/>
    </row>
    <row r="692">
      <c r="A692" s="1"/>
      <c r="B692" s="8"/>
      <c r="C692" s="1"/>
      <c r="D692" s="9"/>
      <c r="E692" s="10"/>
      <c r="F692" s="3"/>
      <c r="G692" s="9"/>
      <c r="H692" s="9"/>
      <c r="I692" s="3"/>
      <c r="K692" s="9"/>
      <c r="L692" s="9"/>
      <c r="N692" s="11"/>
      <c r="P692" s="12"/>
    </row>
    <row r="693">
      <c r="A693" s="1"/>
      <c r="B693" s="8"/>
      <c r="C693" s="1"/>
      <c r="D693" s="9"/>
      <c r="E693" s="10"/>
      <c r="F693" s="3"/>
      <c r="G693" s="9"/>
      <c r="H693" s="9"/>
      <c r="I693" s="3"/>
      <c r="K693" s="9"/>
      <c r="L693" s="9"/>
      <c r="N693" s="13"/>
      <c r="P693" s="12"/>
    </row>
    <row r="694">
      <c r="A694" s="1"/>
      <c r="B694" s="8"/>
      <c r="C694" s="1"/>
      <c r="D694" s="9"/>
      <c r="E694" s="10"/>
      <c r="F694" s="3"/>
      <c r="G694" s="9"/>
      <c r="H694" s="9"/>
      <c r="I694" s="3"/>
      <c r="K694" s="9"/>
      <c r="L694" s="9"/>
      <c r="N694" s="13"/>
      <c r="P694" s="12"/>
    </row>
    <row r="695">
      <c r="A695" s="1"/>
      <c r="B695" s="8"/>
      <c r="C695" s="1"/>
      <c r="D695" s="9"/>
      <c r="E695" s="10"/>
      <c r="F695" s="3"/>
      <c r="G695" s="9"/>
      <c r="H695" s="9"/>
      <c r="I695" s="3"/>
      <c r="K695" s="9"/>
      <c r="L695" s="9"/>
      <c r="N695" s="11"/>
      <c r="P695" s="12"/>
    </row>
    <row r="696">
      <c r="A696" s="1"/>
      <c r="B696" s="8"/>
      <c r="C696" s="1"/>
      <c r="D696" s="9"/>
      <c r="E696" s="10"/>
      <c r="F696" s="3"/>
      <c r="G696" s="9"/>
      <c r="H696" s="9"/>
      <c r="I696" s="3"/>
      <c r="K696" s="9"/>
      <c r="L696" s="9"/>
      <c r="N696" s="11"/>
      <c r="P696" s="12"/>
    </row>
    <row r="697">
      <c r="A697" s="1"/>
      <c r="B697" s="8"/>
      <c r="C697" s="1"/>
      <c r="D697" s="9"/>
      <c r="E697" s="10"/>
      <c r="F697" s="3"/>
      <c r="G697" s="9"/>
      <c r="H697" s="9"/>
      <c r="I697" s="3"/>
      <c r="K697" s="9"/>
      <c r="L697" s="9"/>
      <c r="N697" s="13"/>
      <c r="P697" s="12"/>
    </row>
    <row r="698">
      <c r="A698" s="1"/>
      <c r="B698" s="8"/>
      <c r="C698" s="1"/>
      <c r="D698" s="9"/>
      <c r="E698" s="10"/>
      <c r="F698" s="3"/>
      <c r="G698" s="9"/>
      <c r="H698" s="9"/>
      <c r="I698" s="3"/>
      <c r="K698" s="9"/>
      <c r="L698" s="9"/>
      <c r="N698" s="13"/>
      <c r="P698" s="12"/>
    </row>
    <row r="699">
      <c r="A699" s="1"/>
      <c r="B699" s="8"/>
      <c r="C699" s="1"/>
      <c r="D699" s="9"/>
      <c r="E699" s="10"/>
      <c r="F699" s="3"/>
      <c r="G699" s="9"/>
      <c r="H699" s="9"/>
      <c r="I699" s="3"/>
      <c r="K699" s="9"/>
      <c r="L699" s="9"/>
      <c r="N699" s="11"/>
      <c r="P699" s="12"/>
    </row>
    <row r="700">
      <c r="A700" s="1"/>
      <c r="B700" s="8"/>
      <c r="C700" s="1"/>
      <c r="D700" s="9"/>
      <c r="E700" s="10"/>
      <c r="F700" s="3"/>
      <c r="G700" s="9"/>
      <c r="H700" s="9"/>
      <c r="I700" s="3"/>
      <c r="K700" s="9"/>
      <c r="L700" s="9"/>
      <c r="N700" s="13"/>
      <c r="P700" s="12"/>
    </row>
    <row r="701">
      <c r="A701" s="1"/>
      <c r="B701" s="8"/>
      <c r="C701" s="1"/>
      <c r="D701" s="9"/>
      <c r="E701" s="10"/>
      <c r="F701" s="3"/>
      <c r="G701" s="9"/>
      <c r="H701" s="9"/>
      <c r="I701" s="3"/>
      <c r="K701" s="9"/>
      <c r="L701" s="9"/>
      <c r="N701" s="11"/>
      <c r="P701" s="12"/>
    </row>
    <row r="702">
      <c r="A702" s="1"/>
      <c r="B702" s="8"/>
      <c r="C702" s="1"/>
      <c r="D702" s="9"/>
      <c r="E702" s="10"/>
      <c r="F702" s="3"/>
      <c r="G702" s="9"/>
      <c r="H702" s="9"/>
      <c r="I702" s="3"/>
      <c r="K702" s="9"/>
      <c r="L702" s="9"/>
      <c r="N702" s="13"/>
      <c r="P702" s="12"/>
    </row>
    <row r="703">
      <c r="A703" s="1"/>
      <c r="B703" s="8"/>
      <c r="C703" s="1"/>
      <c r="D703" s="9"/>
      <c r="E703" s="10"/>
      <c r="F703" s="3"/>
      <c r="G703" s="9"/>
      <c r="H703" s="9"/>
      <c r="I703" s="3"/>
      <c r="K703" s="9"/>
      <c r="L703" s="9"/>
      <c r="N703" s="11"/>
      <c r="P703" s="12"/>
    </row>
    <row r="704">
      <c r="A704" s="1"/>
      <c r="B704" s="8"/>
      <c r="C704" s="1"/>
      <c r="D704" s="9"/>
      <c r="E704" s="10"/>
      <c r="F704" s="3"/>
      <c r="G704" s="9"/>
      <c r="H704" s="9"/>
      <c r="I704" s="3"/>
      <c r="K704" s="9"/>
      <c r="L704" s="9"/>
      <c r="N704" s="11"/>
      <c r="P704" s="12"/>
    </row>
    <row r="705">
      <c r="A705" s="1"/>
      <c r="B705" s="8"/>
      <c r="C705" s="1"/>
      <c r="D705" s="9"/>
      <c r="E705" s="10"/>
      <c r="F705" s="3"/>
      <c r="G705" s="9"/>
      <c r="H705" s="9"/>
      <c r="I705" s="3"/>
      <c r="K705" s="9"/>
      <c r="L705" s="9"/>
      <c r="N705" s="13"/>
      <c r="P705" s="12"/>
    </row>
    <row r="706">
      <c r="A706" s="1"/>
      <c r="B706" s="8"/>
      <c r="C706" s="1"/>
      <c r="D706" s="9"/>
      <c r="E706" s="10"/>
      <c r="F706" s="3"/>
      <c r="G706" s="9"/>
      <c r="H706" s="9"/>
      <c r="I706" s="3"/>
      <c r="K706" s="9"/>
      <c r="L706" s="9"/>
      <c r="N706" s="11"/>
      <c r="P706" s="12"/>
    </row>
    <row r="707">
      <c r="A707" s="1"/>
      <c r="B707" s="8"/>
      <c r="C707" s="1"/>
      <c r="D707" s="9"/>
      <c r="E707" s="10"/>
      <c r="F707" s="3"/>
      <c r="G707" s="9"/>
      <c r="H707" s="9"/>
      <c r="I707" s="3"/>
      <c r="K707" s="9"/>
      <c r="L707" s="9"/>
      <c r="N707" s="11"/>
      <c r="P707" s="12"/>
    </row>
    <row r="708">
      <c r="A708" s="1"/>
      <c r="B708" s="8"/>
      <c r="C708" s="1"/>
      <c r="D708" s="9"/>
      <c r="E708" s="10"/>
      <c r="F708" s="3"/>
      <c r="G708" s="9"/>
      <c r="H708" s="9"/>
      <c r="I708" s="3"/>
      <c r="K708" s="9"/>
      <c r="L708" s="9"/>
      <c r="N708" s="13"/>
      <c r="P708" s="12"/>
    </row>
    <row r="709">
      <c r="A709" s="1"/>
      <c r="B709" s="8"/>
      <c r="C709" s="1"/>
      <c r="D709" s="9"/>
      <c r="E709" s="10"/>
      <c r="F709" s="3"/>
      <c r="G709" s="9"/>
      <c r="H709" s="9"/>
      <c r="I709" s="3"/>
      <c r="K709" s="9"/>
      <c r="L709" s="9"/>
      <c r="N709" s="13"/>
      <c r="P709" s="12"/>
    </row>
    <row r="710">
      <c r="A710" s="1"/>
      <c r="B710" s="8"/>
      <c r="C710" s="1"/>
      <c r="D710" s="9"/>
      <c r="E710" s="10"/>
      <c r="F710" s="3"/>
      <c r="G710" s="9"/>
      <c r="H710" s="9"/>
      <c r="I710" s="3"/>
      <c r="K710" s="9"/>
      <c r="L710" s="9"/>
      <c r="N710" s="11"/>
      <c r="P710" s="12"/>
    </row>
    <row r="711">
      <c r="A711" s="1"/>
      <c r="B711" s="8"/>
      <c r="C711" s="1"/>
      <c r="D711" s="9"/>
      <c r="E711" s="10"/>
      <c r="F711" s="3"/>
      <c r="G711" s="9"/>
      <c r="H711" s="9"/>
      <c r="I711" s="3"/>
      <c r="K711" s="9"/>
      <c r="L711" s="9"/>
      <c r="N711" s="13"/>
      <c r="P711" s="12"/>
    </row>
    <row r="712">
      <c r="A712" s="1"/>
      <c r="B712" s="8"/>
      <c r="C712" s="1"/>
      <c r="D712" s="9"/>
      <c r="E712" s="10"/>
      <c r="F712" s="3"/>
      <c r="G712" s="9"/>
      <c r="H712" s="9"/>
      <c r="I712" s="3"/>
      <c r="K712" s="9"/>
      <c r="L712" s="9"/>
      <c r="N712" s="11"/>
      <c r="P712" s="12"/>
    </row>
    <row r="713">
      <c r="A713" s="1"/>
      <c r="B713" s="8"/>
      <c r="C713" s="1"/>
      <c r="D713" s="9"/>
      <c r="E713" s="10"/>
      <c r="F713" s="3"/>
      <c r="G713" s="9"/>
      <c r="H713" s="9"/>
      <c r="I713" s="3"/>
      <c r="K713" s="9"/>
      <c r="L713" s="9"/>
      <c r="N713" s="11"/>
      <c r="P713" s="12"/>
    </row>
    <row r="714">
      <c r="A714" s="1"/>
      <c r="B714" s="8"/>
      <c r="C714" s="1"/>
      <c r="D714" s="9"/>
      <c r="E714" s="10"/>
      <c r="F714" s="3"/>
      <c r="G714" s="9"/>
      <c r="H714" s="9"/>
      <c r="I714" s="3"/>
      <c r="K714" s="9"/>
      <c r="L714" s="9"/>
      <c r="N714" s="11"/>
      <c r="P714" s="12"/>
    </row>
    <row r="715">
      <c r="A715" s="1"/>
      <c r="B715" s="8"/>
      <c r="C715" s="1"/>
      <c r="D715" s="9"/>
      <c r="E715" s="10"/>
      <c r="F715" s="3"/>
      <c r="G715" s="9"/>
      <c r="H715" s="9"/>
      <c r="I715" s="3"/>
      <c r="K715" s="9"/>
      <c r="L715" s="9"/>
      <c r="N715" s="11"/>
      <c r="P715" s="12"/>
    </row>
    <row r="716">
      <c r="A716" s="1"/>
      <c r="B716" s="8"/>
      <c r="C716" s="1"/>
      <c r="D716" s="9"/>
      <c r="E716" s="10"/>
      <c r="F716" s="3"/>
      <c r="G716" s="9"/>
      <c r="H716" s="9"/>
      <c r="I716" s="3"/>
      <c r="K716" s="9"/>
      <c r="L716" s="9"/>
      <c r="N716" s="13"/>
      <c r="P716" s="12"/>
    </row>
    <row r="717">
      <c r="A717" s="1"/>
      <c r="B717" s="8"/>
      <c r="C717" s="1"/>
      <c r="D717" s="9"/>
      <c r="E717" s="10"/>
      <c r="F717" s="3"/>
      <c r="G717" s="9"/>
      <c r="H717" s="9"/>
      <c r="I717" s="3"/>
      <c r="K717" s="9"/>
      <c r="L717" s="9"/>
      <c r="N717" s="13"/>
      <c r="P717" s="12"/>
    </row>
    <row r="718">
      <c r="A718" s="1"/>
      <c r="B718" s="8"/>
      <c r="C718" s="1"/>
      <c r="D718" s="9"/>
      <c r="E718" s="10"/>
      <c r="F718" s="3"/>
      <c r="G718" s="9"/>
      <c r="H718" s="9"/>
      <c r="I718" s="3"/>
      <c r="K718" s="9"/>
      <c r="L718" s="9"/>
      <c r="N718" s="13"/>
      <c r="P718" s="12"/>
    </row>
    <row r="719">
      <c r="A719" s="1"/>
      <c r="B719" s="8"/>
      <c r="C719" s="1"/>
      <c r="D719" s="9"/>
      <c r="E719" s="10"/>
      <c r="F719" s="3"/>
      <c r="G719" s="9"/>
      <c r="H719" s="9"/>
      <c r="I719" s="3"/>
      <c r="K719" s="9"/>
      <c r="L719" s="9"/>
      <c r="N719" s="11"/>
      <c r="P719" s="12"/>
    </row>
    <row r="720">
      <c r="A720" s="1"/>
      <c r="B720" s="8"/>
      <c r="C720" s="1"/>
      <c r="D720" s="9"/>
      <c r="E720" s="10"/>
      <c r="F720" s="3"/>
      <c r="G720" s="9"/>
      <c r="H720" s="9"/>
      <c r="I720" s="3"/>
      <c r="K720" s="9"/>
      <c r="L720" s="9"/>
      <c r="N720" s="13"/>
      <c r="P720" s="12"/>
    </row>
    <row r="721">
      <c r="A721" s="1"/>
      <c r="B721" s="8"/>
      <c r="C721" s="1"/>
      <c r="D721" s="9"/>
      <c r="E721" s="10"/>
      <c r="F721" s="3"/>
      <c r="G721" s="9"/>
      <c r="H721" s="9"/>
      <c r="I721" s="3"/>
      <c r="K721" s="9"/>
      <c r="L721" s="9"/>
      <c r="N721" s="11"/>
      <c r="P721" s="12"/>
    </row>
    <row r="722">
      <c r="A722" s="1"/>
      <c r="B722" s="8"/>
      <c r="C722" s="1"/>
      <c r="D722" s="9"/>
      <c r="E722" s="10"/>
      <c r="F722" s="3"/>
      <c r="G722" s="9"/>
      <c r="H722" s="9"/>
      <c r="I722" s="3"/>
      <c r="K722" s="9"/>
      <c r="L722" s="9"/>
      <c r="N722" s="11"/>
      <c r="P722" s="12"/>
    </row>
    <row r="723">
      <c r="A723" s="1"/>
      <c r="B723" s="8"/>
      <c r="C723" s="1"/>
      <c r="D723" s="9"/>
      <c r="E723" s="10"/>
      <c r="F723" s="3"/>
      <c r="G723" s="9"/>
      <c r="H723" s="9"/>
      <c r="I723" s="3"/>
      <c r="K723" s="9"/>
      <c r="L723" s="9"/>
      <c r="N723" s="11"/>
      <c r="P723" s="12"/>
    </row>
    <row r="724">
      <c r="A724" s="1"/>
      <c r="B724" s="8"/>
      <c r="C724" s="1"/>
      <c r="D724" s="9"/>
      <c r="E724" s="10"/>
      <c r="F724" s="3"/>
      <c r="G724" s="9"/>
      <c r="H724" s="9"/>
      <c r="I724" s="3"/>
      <c r="K724" s="9"/>
      <c r="L724" s="9"/>
      <c r="N724" s="13"/>
      <c r="P724" s="12"/>
    </row>
    <row r="725">
      <c r="A725" s="1"/>
      <c r="B725" s="8"/>
      <c r="C725" s="1"/>
      <c r="D725" s="9"/>
      <c r="E725" s="10"/>
      <c r="F725" s="3"/>
      <c r="G725" s="9"/>
      <c r="H725" s="9"/>
      <c r="I725" s="3"/>
      <c r="K725" s="9"/>
      <c r="L725" s="9"/>
      <c r="N725" s="11"/>
      <c r="P725" s="12"/>
    </row>
    <row r="726">
      <c r="A726" s="1"/>
      <c r="B726" s="8"/>
      <c r="C726" s="1"/>
      <c r="D726" s="9"/>
      <c r="E726" s="10"/>
      <c r="F726" s="3"/>
      <c r="G726" s="9"/>
      <c r="H726" s="9"/>
      <c r="I726" s="3"/>
      <c r="K726" s="9"/>
      <c r="L726" s="9"/>
      <c r="N726" s="13"/>
      <c r="P726" s="12"/>
    </row>
    <row r="727">
      <c r="A727" s="1"/>
      <c r="B727" s="8"/>
      <c r="C727" s="1"/>
      <c r="D727" s="9"/>
      <c r="E727" s="10"/>
      <c r="F727" s="3"/>
      <c r="G727" s="9"/>
      <c r="H727" s="9"/>
      <c r="I727" s="3"/>
      <c r="K727" s="9"/>
      <c r="L727" s="9"/>
      <c r="N727" s="11"/>
      <c r="P727" s="12"/>
    </row>
    <row r="728">
      <c r="A728" s="1"/>
      <c r="B728" s="8"/>
      <c r="C728" s="1"/>
      <c r="D728" s="9"/>
      <c r="E728" s="10"/>
      <c r="F728" s="3"/>
      <c r="G728" s="9"/>
      <c r="H728" s="9"/>
      <c r="I728" s="3"/>
      <c r="K728" s="9"/>
      <c r="L728" s="9"/>
      <c r="N728" s="11"/>
      <c r="P728" s="12"/>
    </row>
    <row r="729">
      <c r="A729" s="1"/>
      <c r="B729" s="8"/>
      <c r="C729" s="1"/>
      <c r="D729" s="9"/>
      <c r="E729" s="10"/>
      <c r="F729" s="3"/>
      <c r="G729" s="9"/>
      <c r="H729" s="9"/>
      <c r="I729" s="3"/>
      <c r="K729" s="9"/>
      <c r="L729" s="9"/>
      <c r="N729" s="13"/>
      <c r="P729" s="12"/>
    </row>
    <row r="730">
      <c r="A730" s="1"/>
      <c r="B730" s="8"/>
      <c r="C730" s="1"/>
      <c r="D730" s="9"/>
      <c r="E730" s="10"/>
      <c r="F730" s="3"/>
      <c r="G730" s="9"/>
      <c r="H730" s="9"/>
      <c r="I730" s="3"/>
      <c r="K730" s="9"/>
      <c r="L730" s="9"/>
      <c r="N730" s="13"/>
      <c r="P730" s="12"/>
    </row>
    <row r="731">
      <c r="A731" s="1"/>
      <c r="B731" s="8"/>
      <c r="C731" s="1"/>
      <c r="D731" s="9"/>
      <c r="E731" s="10"/>
      <c r="F731" s="3"/>
      <c r="G731" s="9"/>
      <c r="H731" s="9"/>
      <c r="I731" s="3"/>
      <c r="K731" s="9"/>
      <c r="L731" s="9"/>
      <c r="N731" s="11"/>
      <c r="P731" s="12"/>
    </row>
    <row r="732">
      <c r="A732" s="1"/>
      <c r="B732" s="8"/>
      <c r="C732" s="1"/>
      <c r="D732" s="9"/>
      <c r="E732" s="10"/>
      <c r="F732" s="3"/>
      <c r="G732" s="9"/>
      <c r="H732" s="9"/>
      <c r="I732" s="3"/>
      <c r="K732" s="9"/>
      <c r="L732" s="9"/>
      <c r="N732" s="13"/>
      <c r="P732" s="12"/>
    </row>
    <row r="733">
      <c r="A733" s="1"/>
      <c r="B733" s="8"/>
      <c r="C733" s="1"/>
      <c r="D733" s="9"/>
      <c r="E733" s="10"/>
      <c r="F733" s="3"/>
      <c r="G733" s="9"/>
      <c r="H733" s="9"/>
      <c r="I733" s="3"/>
      <c r="K733" s="9"/>
      <c r="L733" s="9"/>
      <c r="N733" s="13"/>
      <c r="P733" s="12"/>
    </row>
    <row r="734">
      <c r="A734" s="1"/>
      <c r="B734" s="8"/>
      <c r="C734" s="1"/>
      <c r="D734" s="9"/>
      <c r="E734" s="10"/>
      <c r="F734" s="3"/>
      <c r="G734" s="9"/>
      <c r="H734" s="9"/>
      <c r="I734" s="3"/>
      <c r="K734" s="9"/>
      <c r="L734" s="9"/>
      <c r="N734" s="13"/>
      <c r="P734" s="12"/>
    </row>
    <row r="735">
      <c r="A735" s="1"/>
      <c r="B735" s="8"/>
      <c r="C735" s="1"/>
      <c r="D735" s="9"/>
      <c r="E735" s="10"/>
      <c r="F735" s="3"/>
      <c r="G735" s="9"/>
      <c r="H735" s="9"/>
      <c r="I735" s="3"/>
      <c r="K735" s="9"/>
      <c r="L735" s="9"/>
      <c r="N735" s="13"/>
      <c r="P735" s="12"/>
    </row>
    <row r="736">
      <c r="A736" s="1"/>
      <c r="B736" s="8"/>
      <c r="C736" s="1"/>
      <c r="D736" s="9"/>
      <c r="E736" s="10"/>
      <c r="F736" s="3"/>
      <c r="G736" s="9"/>
      <c r="H736" s="9"/>
      <c r="I736" s="3"/>
      <c r="K736" s="9"/>
      <c r="L736" s="9"/>
      <c r="N736" s="13"/>
      <c r="P736" s="12"/>
    </row>
    <row r="737">
      <c r="A737" s="1"/>
      <c r="B737" s="8"/>
      <c r="C737" s="1"/>
      <c r="D737" s="9"/>
      <c r="E737" s="10"/>
      <c r="F737" s="3"/>
      <c r="G737" s="9"/>
      <c r="H737" s="9"/>
      <c r="I737" s="3"/>
      <c r="K737" s="9"/>
      <c r="L737" s="9"/>
      <c r="N737" s="11"/>
      <c r="P737" s="12"/>
    </row>
    <row r="738">
      <c r="A738" s="1"/>
      <c r="B738" s="8"/>
      <c r="C738" s="1"/>
      <c r="D738" s="9"/>
      <c r="E738" s="10"/>
      <c r="F738" s="3"/>
      <c r="G738" s="9"/>
      <c r="H738" s="9"/>
      <c r="I738" s="3"/>
      <c r="K738" s="9"/>
      <c r="L738" s="9"/>
      <c r="N738" s="11"/>
      <c r="P738" s="12"/>
    </row>
    <row r="739">
      <c r="A739" s="1"/>
      <c r="B739" s="8"/>
      <c r="C739" s="1"/>
      <c r="D739" s="9"/>
      <c r="E739" s="10"/>
      <c r="F739" s="3"/>
      <c r="G739" s="9"/>
      <c r="H739" s="9"/>
      <c r="I739" s="3"/>
      <c r="K739" s="9"/>
      <c r="L739" s="9"/>
      <c r="N739" s="13"/>
      <c r="P739" s="12"/>
    </row>
    <row r="740">
      <c r="A740" s="1"/>
      <c r="B740" s="8"/>
      <c r="C740" s="1"/>
      <c r="D740" s="9"/>
      <c r="E740" s="10"/>
      <c r="F740" s="3"/>
      <c r="G740" s="9"/>
      <c r="H740" s="9"/>
      <c r="I740" s="3"/>
      <c r="K740" s="9"/>
      <c r="L740" s="9"/>
      <c r="N740" s="13"/>
      <c r="P740" s="12"/>
    </row>
    <row r="741">
      <c r="A741" s="1"/>
      <c r="B741" s="8"/>
      <c r="C741" s="1"/>
      <c r="D741" s="9"/>
      <c r="E741" s="10"/>
      <c r="F741" s="3"/>
      <c r="G741" s="9"/>
      <c r="H741" s="9"/>
      <c r="I741" s="3"/>
      <c r="K741" s="9"/>
      <c r="L741" s="9"/>
      <c r="N741" s="13"/>
      <c r="P741" s="12"/>
    </row>
    <row r="742">
      <c r="A742" s="1"/>
      <c r="B742" s="8"/>
      <c r="C742" s="1"/>
      <c r="D742" s="9"/>
      <c r="E742" s="10"/>
      <c r="F742" s="3"/>
      <c r="G742" s="9"/>
      <c r="H742" s="9"/>
      <c r="I742" s="3"/>
      <c r="K742" s="9"/>
      <c r="L742" s="9"/>
      <c r="N742" s="11"/>
      <c r="P742" s="12"/>
    </row>
    <row r="743">
      <c r="A743" s="1"/>
      <c r="B743" s="8"/>
      <c r="C743" s="1"/>
      <c r="D743" s="9"/>
      <c r="E743" s="10"/>
      <c r="F743" s="3"/>
      <c r="G743" s="9"/>
      <c r="H743" s="9"/>
      <c r="I743" s="3"/>
      <c r="K743" s="9"/>
      <c r="L743" s="9"/>
      <c r="N743" s="13"/>
      <c r="P743" s="12"/>
    </row>
    <row r="744">
      <c r="A744" s="1"/>
      <c r="B744" s="8"/>
      <c r="C744" s="1"/>
      <c r="D744" s="9"/>
      <c r="E744" s="10"/>
      <c r="F744" s="3"/>
      <c r="G744" s="9"/>
      <c r="H744" s="9"/>
      <c r="I744" s="3"/>
      <c r="K744" s="9"/>
      <c r="L744" s="9"/>
      <c r="N744" s="13"/>
      <c r="P744" s="12"/>
    </row>
    <row r="745">
      <c r="A745" s="1"/>
      <c r="B745" s="8"/>
      <c r="C745" s="1"/>
      <c r="D745" s="9"/>
      <c r="E745" s="10"/>
      <c r="F745" s="3"/>
      <c r="G745" s="9"/>
      <c r="H745" s="9"/>
      <c r="I745" s="3"/>
      <c r="K745" s="9"/>
      <c r="L745" s="9"/>
      <c r="N745" s="13"/>
      <c r="P745" s="12"/>
    </row>
    <row r="746">
      <c r="A746" s="1"/>
      <c r="B746" s="8"/>
      <c r="C746" s="1"/>
      <c r="D746" s="9"/>
      <c r="E746" s="10"/>
      <c r="F746" s="3"/>
      <c r="G746" s="9"/>
      <c r="H746" s="9"/>
      <c r="I746" s="3"/>
      <c r="K746" s="9"/>
      <c r="L746" s="9"/>
      <c r="N746" s="11"/>
      <c r="P746" s="12"/>
    </row>
    <row r="747">
      <c r="A747" s="1"/>
      <c r="B747" s="8"/>
      <c r="C747" s="1"/>
      <c r="D747" s="9"/>
      <c r="E747" s="10"/>
      <c r="F747" s="3"/>
      <c r="G747" s="9"/>
      <c r="H747" s="9"/>
      <c r="I747" s="3"/>
      <c r="K747" s="9"/>
      <c r="L747" s="9"/>
      <c r="N747" s="11"/>
      <c r="P747" s="12"/>
    </row>
    <row r="748">
      <c r="A748" s="1"/>
      <c r="B748" s="8"/>
      <c r="C748" s="1"/>
      <c r="D748" s="9"/>
      <c r="E748" s="10"/>
      <c r="F748" s="3"/>
      <c r="G748" s="9"/>
      <c r="H748" s="9"/>
      <c r="I748" s="3"/>
      <c r="K748" s="9"/>
      <c r="L748" s="9"/>
      <c r="N748" s="13"/>
      <c r="P748" s="12"/>
    </row>
    <row r="749">
      <c r="A749" s="1"/>
      <c r="B749" s="8"/>
      <c r="C749" s="1"/>
      <c r="D749" s="9"/>
      <c r="E749" s="10"/>
      <c r="F749" s="3"/>
      <c r="G749" s="9"/>
      <c r="H749" s="9"/>
      <c r="I749" s="3"/>
      <c r="K749" s="9"/>
      <c r="L749" s="9"/>
      <c r="N749" s="13"/>
      <c r="P749" s="12"/>
    </row>
    <row r="750">
      <c r="A750" s="1"/>
      <c r="B750" s="8"/>
      <c r="C750" s="1"/>
      <c r="D750" s="9"/>
      <c r="E750" s="10"/>
      <c r="F750" s="3"/>
      <c r="G750" s="9"/>
      <c r="H750" s="9"/>
      <c r="I750" s="3"/>
      <c r="K750" s="9"/>
      <c r="L750" s="9"/>
      <c r="N750" s="11"/>
      <c r="P750" s="12"/>
    </row>
    <row r="751">
      <c r="A751" s="1"/>
      <c r="B751" s="8"/>
      <c r="C751" s="1"/>
      <c r="D751" s="9"/>
      <c r="E751" s="10"/>
      <c r="F751" s="3"/>
      <c r="G751" s="9"/>
      <c r="H751" s="9"/>
      <c r="I751" s="3"/>
      <c r="K751" s="9"/>
      <c r="L751" s="9"/>
      <c r="N751" s="11"/>
      <c r="P751" s="12"/>
    </row>
    <row r="752">
      <c r="B752" s="14"/>
      <c r="E752" s="1"/>
      <c r="P752" s="12"/>
    </row>
    <row r="753">
      <c r="B753" s="14"/>
      <c r="E753" s="1"/>
      <c r="P753" s="12"/>
    </row>
    <row r="754">
      <c r="B754" s="14"/>
      <c r="E754" s="1"/>
      <c r="P754" s="12"/>
    </row>
    <row r="755">
      <c r="B755" s="14"/>
      <c r="E755" s="1"/>
      <c r="P755" s="12"/>
    </row>
    <row r="756">
      <c r="B756" s="14"/>
      <c r="E756" s="1"/>
      <c r="P756" s="12"/>
    </row>
    <row r="757">
      <c r="B757" s="14"/>
      <c r="E757" s="1"/>
      <c r="P757" s="12"/>
    </row>
    <row r="758">
      <c r="B758" s="14"/>
      <c r="E758" s="1"/>
      <c r="P758" s="12"/>
    </row>
    <row r="759">
      <c r="B759" s="14"/>
      <c r="E759" s="1"/>
      <c r="P759" s="12"/>
    </row>
    <row r="760">
      <c r="B760" s="14"/>
      <c r="E760" s="1"/>
      <c r="P760" s="12"/>
    </row>
    <row r="761">
      <c r="B761" s="14"/>
      <c r="E761" s="1"/>
      <c r="P761" s="12"/>
    </row>
    <row r="762">
      <c r="B762" s="14"/>
      <c r="E762" s="1"/>
      <c r="P762" s="12"/>
    </row>
    <row r="763">
      <c r="B763" s="14"/>
      <c r="E763" s="1"/>
      <c r="P763" s="12"/>
    </row>
    <row r="764">
      <c r="B764" s="14"/>
      <c r="E764" s="1"/>
      <c r="P764" s="12"/>
    </row>
    <row r="765">
      <c r="B765" s="14"/>
      <c r="E765" s="1"/>
      <c r="P765" s="12"/>
    </row>
    <row r="766">
      <c r="B766" s="14"/>
      <c r="E766" s="1"/>
      <c r="P766" s="12"/>
    </row>
    <row r="767">
      <c r="B767" s="14"/>
      <c r="E767" s="1"/>
      <c r="P767" s="12"/>
    </row>
    <row r="768">
      <c r="B768" s="14"/>
      <c r="E768" s="1"/>
      <c r="P768" s="12"/>
    </row>
    <row r="769">
      <c r="B769" s="14"/>
      <c r="E769" s="1"/>
      <c r="P769" s="12"/>
    </row>
    <row r="770">
      <c r="B770" s="14"/>
      <c r="E770" s="1"/>
      <c r="P770" s="12"/>
    </row>
    <row r="771">
      <c r="B771" s="14"/>
      <c r="E771" s="1"/>
      <c r="P771" s="12"/>
    </row>
    <row r="772">
      <c r="B772" s="14"/>
      <c r="E772" s="1"/>
      <c r="P772" s="12"/>
    </row>
    <row r="773">
      <c r="B773" s="14"/>
      <c r="E773" s="1"/>
      <c r="P773" s="12"/>
    </row>
    <row r="774">
      <c r="B774" s="14"/>
      <c r="E774" s="1"/>
      <c r="P774" s="12"/>
    </row>
    <row r="775">
      <c r="B775" s="14"/>
      <c r="E775" s="1"/>
      <c r="P775" s="12"/>
    </row>
    <row r="776">
      <c r="B776" s="14"/>
      <c r="E776" s="1"/>
      <c r="P776" s="12"/>
    </row>
    <row r="777">
      <c r="B777" s="14"/>
      <c r="E777" s="1"/>
      <c r="P777" s="12"/>
    </row>
    <row r="778">
      <c r="B778" s="14"/>
      <c r="E778" s="1"/>
      <c r="P778" s="12"/>
    </row>
    <row r="779">
      <c r="B779" s="14"/>
      <c r="E779" s="1"/>
      <c r="P779" s="12"/>
    </row>
    <row r="780">
      <c r="B780" s="14"/>
      <c r="E780" s="1"/>
      <c r="P780" s="12"/>
    </row>
    <row r="781">
      <c r="B781" s="14"/>
      <c r="E781" s="1"/>
      <c r="P781" s="12"/>
    </row>
    <row r="782">
      <c r="B782" s="14"/>
      <c r="E782" s="1"/>
      <c r="P782" s="12"/>
    </row>
    <row r="783">
      <c r="B783" s="14"/>
      <c r="E783" s="1"/>
      <c r="P783" s="12"/>
    </row>
    <row r="784">
      <c r="B784" s="14"/>
      <c r="E784" s="1"/>
      <c r="P784" s="12"/>
    </row>
    <row r="785">
      <c r="B785" s="14"/>
      <c r="E785" s="1"/>
      <c r="P785" s="12"/>
    </row>
    <row r="786">
      <c r="B786" s="14"/>
      <c r="E786" s="1"/>
      <c r="P786" s="12"/>
    </row>
    <row r="787">
      <c r="B787" s="14"/>
      <c r="E787" s="1"/>
      <c r="P787" s="12"/>
    </row>
    <row r="788">
      <c r="B788" s="14"/>
      <c r="E788" s="1"/>
      <c r="P788" s="12"/>
    </row>
    <row r="789">
      <c r="B789" s="14"/>
      <c r="E789" s="1"/>
      <c r="P789" s="12"/>
    </row>
    <row r="790">
      <c r="B790" s="14"/>
      <c r="E790" s="1"/>
      <c r="P790" s="12"/>
    </row>
    <row r="791">
      <c r="B791" s="14"/>
      <c r="E791" s="1"/>
      <c r="P791" s="12"/>
    </row>
    <row r="792">
      <c r="B792" s="14"/>
      <c r="E792" s="1"/>
      <c r="P792" s="12"/>
    </row>
    <row r="793">
      <c r="B793" s="14"/>
      <c r="E793" s="1"/>
      <c r="P793" s="12"/>
    </row>
    <row r="794">
      <c r="B794" s="14"/>
      <c r="E794" s="1"/>
      <c r="P794" s="12"/>
    </row>
    <row r="795">
      <c r="B795" s="14"/>
      <c r="E795" s="1"/>
      <c r="P795" s="12"/>
    </row>
    <row r="796">
      <c r="B796" s="14"/>
      <c r="E796" s="1"/>
      <c r="P796" s="12"/>
    </row>
    <row r="797">
      <c r="B797" s="14"/>
      <c r="E797" s="1"/>
      <c r="P797" s="12"/>
    </row>
    <row r="798">
      <c r="B798" s="14"/>
      <c r="E798" s="1"/>
      <c r="P798" s="12"/>
    </row>
    <row r="799">
      <c r="B799" s="14"/>
      <c r="E799" s="1"/>
      <c r="P799" s="12"/>
    </row>
    <row r="800">
      <c r="B800" s="14"/>
      <c r="E800" s="1"/>
      <c r="P800" s="12"/>
    </row>
    <row r="801">
      <c r="B801" s="14"/>
      <c r="E801" s="1"/>
      <c r="P801" s="12"/>
    </row>
    <row r="802">
      <c r="B802" s="14"/>
      <c r="E802" s="1"/>
      <c r="P802" s="12"/>
    </row>
    <row r="803">
      <c r="B803" s="14"/>
      <c r="E803" s="1"/>
      <c r="P803" s="12"/>
    </row>
    <row r="804">
      <c r="B804" s="14"/>
      <c r="E804" s="1"/>
      <c r="P804" s="12"/>
    </row>
    <row r="805">
      <c r="B805" s="14"/>
      <c r="E805" s="1"/>
      <c r="P805" s="12"/>
    </row>
    <row r="806">
      <c r="B806" s="14"/>
      <c r="E806" s="1"/>
      <c r="P806" s="12"/>
    </row>
    <row r="807">
      <c r="B807" s="14"/>
      <c r="E807" s="1"/>
      <c r="P807" s="12"/>
    </row>
    <row r="808">
      <c r="B808" s="14"/>
      <c r="E808" s="1"/>
      <c r="P808" s="12"/>
    </row>
    <row r="809">
      <c r="B809" s="14"/>
      <c r="E809" s="1"/>
      <c r="P809" s="12"/>
    </row>
    <row r="810">
      <c r="B810" s="14"/>
      <c r="E810" s="1"/>
      <c r="P810" s="12"/>
    </row>
    <row r="811">
      <c r="B811" s="14"/>
      <c r="E811" s="1"/>
      <c r="P811" s="12"/>
    </row>
    <row r="812">
      <c r="B812" s="14"/>
      <c r="E812" s="1"/>
      <c r="P812" s="12"/>
    </row>
    <row r="813">
      <c r="B813" s="14"/>
      <c r="E813" s="1"/>
      <c r="P813" s="12"/>
    </row>
    <row r="814">
      <c r="B814" s="14"/>
      <c r="E814" s="1"/>
      <c r="P814" s="12"/>
    </row>
    <row r="815">
      <c r="B815" s="14"/>
      <c r="E815" s="1"/>
      <c r="P815" s="12"/>
    </row>
    <row r="816">
      <c r="B816" s="14"/>
      <c r="E816" s="1"/>
      <c r="P816" s="12"/>
    </row>
    <row r="817">
      <c r="B817" s="14"/>
      <c r="E817" s="1"/>
      <c r="P817" s="12"/>
    </row>
    <row r="818">
      <c r="B818" s="14"/>
      <c r="E818" s="1"/>
      <c r="P818" s="12"/>
    </row>
    <row r="819">
      <c r="B819" s="14"/>
      <c r="E819" s="1"/>
      <c r="P819" s="12"/>
    </row>
    <row r="820">
      <c r="B820" s="14"/>
      <c r="E820" s="1"/>
      <c r="P820" s="12"/>
    </row>
    <row r="821">
      <c r="B821" s="14"/>
      <c r="E821" s="1"/>
      <c r="P821" s="12"/>
    </row>
    <row r="822">
      <c r="B822" s="14"/>
      <c r="E822" s="1"/>
      <c r="P822" s="12"/>
    </row>
    <row r="823">
      <c r="B823" s="14"/>
      <c r="E823" s="1"/>
      <c r="P823" s="12"/>
    </row>
    <row r="824">
      <c r="B824" s="14"/>
      <c r="E824" s="1"/>
      <c r="P824" s="12"/>
    </row>
    <row r="825">
      <c r="B825" s="14"/>
      <c r="E825" s="1"/>
      <c r="P825" s="12"/>
    </row>
    <row r="826">
      <c r="B826" s="14"/>
      <c r="E826" s="1"/>
      <c r="P826" s="12"/>
    </row>
    <row r="827">
      <c r="B827" s="14"/>
      <c r="E827" s="1"/>
      <c r="P827" s="12"/>
    </row>
    <row r="828">
      <c r="B828" s="14"/>
      <c r="E828" s="1"/>
      <c r="P828" s="12"/>
    </row>
    <row r="829">
      <c r="B829" s="14"/>
      <c r="E829" s="1"/>
      <c r="P829" s="12"/>
    </row>
    <row r="830">
      <c r="B830" s="14"/>
      <c r="E830" s="1"/>
      <c r="P830" s="12"/>
    </row>
    <row r="831">
      <c r="B831" s="14"/>
      <c r="E831" s="1"/>
      <c r="P831" s="12"/>
    </row>
    <row r="832">
      <c r="B832" s="14"/>
      <c r="E832" s="1"/>
      <c r="P832" s="12"/>
    </row>
    <row r="833">
      <c r="B833" s="14"/>
      <c r="E833" s="1"/>
      <c r="P833" s="12"/>
    </row>
    <row r="834">
      <c r="B834" s="14"/>
      <c r="E834" s="1"/>
      <c r="P834" s="12"/>
    </row>
    <row r="835">
      <c r="B835" s="14"/>
      <c r="E835" s="1"/>
      <c r="P835" s="12"/>
    </row>
    <row r="836">
      <c r="B836" s="14"/>
      <c r="E836" s="1"/>
      <c r="P836" s="12"/>
    </row>
    <row r="837">
      <c r="B837" s="14"/>
      <c r="E837" s="1"/>
      <c r="P837" s="12"/>
    </row>
    <row r="838">
      <c r="B838" s="14"/>
      <c r="E838" s="1"/>
      <c r="P838" s="12"/>
    </row>
    <row r="839">
      <c r="B839" s="14"/>
      <c r="E839" s="1"/>
      <c r="P839" s="12"/>
    </row>
    <row r="840">
      <c r="B840" s="14"/>
      <c r="E840" s="1"/>
      <c r="P840" s="12"/>
    </row>
    <row r="841">
      <c r="B841" s="14"/>
      <c r="E841" s="1"/>
      <c r="P841" s="12"/>
    </row>
    <row r="842">
      <c r="B842" s="14"/>
      <c r="E842" s="1"/>
      <c r="P842" s="12"/>
    </row>
    <row r="843">
      <c r="B843" s="14"/>
      <c r="E843" s="1"/>
      <c r="P843" s="12"/>
    </row>
    <row r="844">
      <c r="B844" s="14"/>
      <c r="E844" s="1"/>
      <c r="P844" s="12"/>
    </row>
    <row r="845">
      <c r="B845" s="14"/>
      <c r="E845" s="1"/>
      <c r="P845" s="12"/>
    </row>
    <row r="846">
      <c r="B846" s="14"/>
      <c r="E846" s="1"/>
      <c r="P846" s="12"/>
    </row>
    <row r="847">
      <c r="B847" s="14"/>
      <c r="E847" s="1"/>
      <c r="P847" s="12"/>
    </row>
    <row r="848">
      <c r="B848" s="14"/>
      <c r="E848" s="1"/>
      <c r="P848" s="12"/>
    </row>
    <row r="849">
      <c r="B849" s="14"/>
      <c r="E849" s="1"/>
      <c r="P849" s="12"/>
    </row>
    <row r="850">
      <c r="B850" s="14"/>
      <c r="E850" s="1"/>
      <c r="P850" s="12"/>
    </row>
    <row r="851">
      <c r="B851" s="14"/>
      <c r="E851" s="1"/>
      <c r="P851" s="12"/>
    </row>
    <row r="852">
      <c r="B852" s="14"/>
      <c r="E852" s="1"/>
      <c r="P852" s="12"/>
    </row>
    <row r="853">
      <c r="B853" s="14"/>
      <c r="E853" s="1"/>
      <c r="P853" s="12"/>
    </row>
    <row r="854">
      <c r="B854" s="14"/>
      <c r="E854" s="1"/>
      <c r="P854" s="12"/>
    </row>
    <row r="855">
      <c r="B855" s="14"/>
      <c r="E855" s="1"/>
      <c r="P855" s="12"/>
    </row>
    <row r="856">
      <c r="B856" s="14"/>
      <c r="E856" s="1"/>
      <c r="P856" s="12"/>
    </row>
    <row r="857">
      <c r="B857" s="14"/>
      <c r="E857" s="1"/>
      <c r="P857" s="12"/>
    </row>
    <row r="858">
      <c r="B858" s="14"/>
      <c r="E858" s="1"/>
      <c r="P858" s="12"/>
    </row>
    <row r="859">
      <c r="B859" s="14"/>
      <c r="E859" s="1"/>
      <c r="P859" s="12"/>
    </row>
    <row r="860">
      <c r="B860" s="14"/>
      <c r="E860" s="1"/>
      <c r="P860" s="12"/>
    </row>
    <row r="861">
      <c r="B861" s="14"/>
      <c r="E861" s="1"/>
      <c r="P861" s="12"/>
    </row>
    <row r="862">
      <c r="B862" s="14"/>
      <c r="E862" s="1"/>
      <c r="P862" s="12"/>
    </row>
    <row r="863">
      <c r="B863" s="14"/>
      <c r="E863" s="1"/>
      <c r="P863" s="12"/>
    </row>
    <row r="864">
      <c r="B864" s="14"/>
      <c r="E864" s="1"/>
      <c r="P864" s="12"/>
    </row>
    <row r="865">
      <c r="B865" s="14"/>
      <c r="E865" s="1"/>
      <c r="P865" s="12"/>
    </row>
    <row r="866">
      <c r="B866" s="14"/>
      <c r="E866" s="1"/>
      <c r="P866" s="12"/>
    </row>
    <row r="867">
      <c r="B867" s="14"/>
      <c r="E867" s="1"/>
      <c r="P867" s="12"/>
    </row>
    <row r="868">
      <c r="B868" s="14"/>
      <c r="E868" s="1"/>
      <c r="P868" s="12"/>
    </row>
    <row r="869">
      <c r="B869" s="14"/>
      <c r="E869" s="1"/>
      <c r="P869" s="12"/>
    </row>
    <row r="870">
      <c r="B870" s="14"/>
      <c r="E870" s="1"/>
      <c r="P870" s="12"/>
    </row>
    <row r="871">
      <c r="B871" s="14"/>
      <c r="E871" s="1"/>
      <c r="P871" s="12"/>
    </row>
    <row r="872">
      <c r="B872" s="14"/>
      <c r="E872" s="1"/>
      <c r="P872" s="12"/>
    </row>
    <row r="873">
      <c r="B873" s="14"/>
      <c r="E873" s="1"/>
      <c r="P873" s="12"/>
    </row>
    <row r="874">
      <c r="B874" s="14"/>
      <c r="E874" s="1"/>
      <c r="P874" s="12"/>
    </row>
    <row r="875">
      <c r="B875" s="14"/>
      <c r="E875" s="1"/>
      <c r="P875" s="12"/>
    </row>
    <row r="876">
      <c r="B876" s="14"/>
      <c r="E876" s="1"/>
      <c r="P876" s="12"/>
    </row>
    <row r="877">
      <c r="B877" s="14"/>
      <c r="E877" s="1"/>
      <c r="P877" s="12"/>
    </row>
    <row r="878">
      <c r="B878" s="14"/>
      <c r="E878" s="1"/>
      <c r="P878" s="12"/>
    </row>
    <row r="879">
      <c r="B879" s="14"/>
      <c r="E879" s="1"/>
      <c r="P879" s="12"/>
    </row>
    <row r="880">
      <c r="B880" s="14"/>
      <c r="E880" s="1"/>
      <c r="P880" s="12"/>
    </row>
    <row r="881">
      <c r="B881" s="14"/>
      <c r="E881" s="1"/>
      <c r="P881" s="12"/>
    </row>
    <row r="882">
      <c r="B882" s="14"/>
      <c r="E882" s="1"/>
      <c r="P882" s="12"/>
    </row>
    <row r="883">
      <c r="B883" s="14"/>
      <c r="E883" s="1"/>
      <c r="P883" s="12"/>
    </row>
    <row r="884">
      <c r="B884" s="14"/>
      <c r="E884" s="1"/>
      <c r="P884" s="12"/>
    </row>
    <row r="885">
      <c r="B885" s="14"/>
      <c r="E885" s="1"/>
      <c r="P885" s="12"/>
    </row>
    <row r="886">
      <c r="B886" s="14"/>
      <c r="E886" s="1"/>
      <c r="P886" s="12"/>
    </row>
    <row r="887">
      <c r="B887" s="14"/>
      <c r="E887" s="1"/>
      <c r="P887" s="12"/>
    </row>
    <row r="888">
      <c r="B888" s="14"/>
      <c r="E888" s="1"/>
      <c r="P888" s="12"/>
    </row>
    <row r="889">
      <c r="B889" s="14"/>
      <c r="E889" s="1"/>
      <c r="P889" s="12"/>
    </row>
    <row r="890">
      <c r="B890" s="14"/>
      <c r="E890" s="1"/>
      <c r="P890" s="12"/>
    </row>
    <row r="891">
      <c r="B891" s="14"/>
      <c r="E891" s="1"/>
      <c r="P891" s="12"/>
    </row>
    <row r="892">
      <c r="B892" s="14"/>
      <c r="E892" s="1"/>
      <c r="P892" s="12"/>
    </row>
    <row r="893">
      <c r="B893" s="14"/>
      <c r="E893" s="1"/>
      <c r="P893" s="12"/>
    </row>
    <row r="894">
      <c r="B894" s="14"/>
      <c r="E894" s="1"/>
      <c r="P894" s="12"/>
    </row>
    <row r="895">
      <c r="B895" s="14"/>
      <c r="E895" s="1"/>
      <c r="P895" s="12"/>
    </row>
    <row r="896">
      <c r="B896" s="14"/>
      <c r="E896" s="1"/>
      <c r="P896" s="12"/>
    </row>
    <row r="897">
      <c r="B897" s="14"/>
      <c r="E897" s="1"/>
      <c r="P897" s="12"/>
    </row>
    <row r="898">
      <c r="B898" s="14"/>
      <c r="E898" s="1"/>
      <c r="P898" s="12"/>
    </row>
    <row r="899">
      <c r="B899" s="14"/>
      <c r="E899" s="1"/>
      <c r="P899" s="12"/>
    </row>
    <row r="900">
      <c r="B900" s="14"/>
      <c r="E900" s="1"/>
      <c r="P900" s="12"/>
    </row>
    <row r="901">
      <c r="B901" s="14"/>
      <c r="E901" s="1"/>
      <c r="P901" s="12"/>
    </row>
    <row r="902">
      <c r="B902" s="14"/>
      <c r="E902" s="1"/>
      <c r="P902" s="12"/>
    </row>
    <row r="903">
      <c r="B903" s="14"/>
      <c r="E903" s="1"/>
      <c r="P903" s="12"/>
    </row>
    <row r="904">
      <c r="B904" s="14"/>
      <c r="E904" s="1"/>
      <c r="P904" s="12"/>
    </row>
    <row r="905">
      <c r="B905" s="14"/>
      <c r="E905" s="1"/>
      <c r="P905" s="12"/>
    </row>
    <row r="906">
      <c r="B906" s="14"/>
      <c r="E906" s="1"/>
      <c r="P906" s="12"/>
    </row>
    <row r="907">
      <c r="B907" s="14"/>
      <c r="E907" s="1"/>
      <c r="P907" s="12"/>
    </row>
    <row r="908">
      <c r="B908" s="14"/>
      <c r="E908" s="1"/>
      <c r="P908" s="12"/>
    </row>
    <row r="909">
      <c r="B909" s="14"/>
      <c r="E909" s="1"/>
      <c r="P909" s="12"/>
    </row>
    <row r="910">
      <c r="B910" s="14"/>
      <c r="E910" s="1"/>
      <c r="P910" s="12"/>
    </row>
    <row r="911">
      <c r="B911" s="14"/>
      <c r="E911" s="1"/>
      <c r="P911" s="12"/>
    </row>
    <row r="912">
      <c r="B912" s="14"/>
      <c r="E912" s="1"/>
      <c r="P912" s="12"/>
    </row>
    <row r="913">
      <c r="B913" s="14"/>
      <c r="E913" s="1"/>
      <c r="P913" s="12"/>
    </row>
    <row r="914">
      <c r="B914" s="14"/>
      <c r="E914" s="1"/>
      <c r="P914" s="12"/>
    </row>
    <row r="915">
      <c r="B915" s="14"/>
      <c r="E915" s="1"/>
      <c r="P915" s="12"/>
    </row>
    <row r="916">
      <c r="B916" s="14"/>
      <c r="E916" s="1"/>
      <c r="P916" s="12"/>
    </row>
    <row r="917">
      <c r="B917" s="14"/>
      <c r="E917" s="1"/>
      <c r="P917" s="12"/>
    </row>
    <row r="918">
      <c r="B918" s="14"/>
      <c r="E918" s="1"/>
      <c r="P918" s="12"/>
    </row>
    <row r="919">
      <c r="B919" s="14"/>
      <c r="E919" s="1"/>
      <c r="P919" s="12"/>
    </row>
    <row r="920">
      <c r="B920" s="14"/>
      <c r="E920" s="1"/>
      <c r="P920" s="12"/>
    </row>
    <row r="921">
      <c r="B921" s="14"/>
      <c r="E921" s="1"/>
      <c r="P921" s="12"/>
    </row>
    <row r="922">
      <c r="B922" s="14"/>
      <c r="E922" s="1"/>
      <c r="P922" s="12"/>
    </row>
    <row r="923">
      <c r="B923" s="14"/>
      <c r="E923" s="1"/>
      <c r="P923" s="12"/>
    </row>
    <row r="924">
      <c r="B924" s="14"/>
      <c r="E924" s="1"/>
      <c r="P924" s="12"/>
    </row>
    <row r="925">
      <c r="B925" s="14"/>
      <c r="E925" s="1"/>
      <c r="P925" s="12"/>
    </row>
    <row r="926">
      <c r="B926" s="14"/>
      <c r="E926" s="1"/>
      <c r="P926" s="12"/>
    </row>
    <row r="927">
      <c r="B927" s="14"/>
      <c r="E927" s="1"/>
      <c r="P927" s="12"/>
    </row>
    <row r="928">
      <c r="B928" s="14"/>
      <c r="E928" s="1"/>
      <c r="P928" s="12"/>
    </row>
    <row r="929">
      <c r="B929" s="14"/>
      <c r="E929" s="1"/>
      <c r="P929" s="12"/>
    </row>
    <row r="930">
      <c r="B930" s="14"/>
      <c r="E930" s="1"/>
      <c r="P930" s="12"/>
    </row>
    <row r="931">
      <c r="B931" s="14"/>
      <c r="E931" s="1"/>
      <c r="P931" s="12"/>
    </row>
    <row r="932">
      <c r="B932" s="14"/>
      <c r="E932" s="1"/>
      <c r="P932" s="12"/>
    </row>
    <row r="933">
      <c r="B933" s="14"/>
      <c r="E933" s="1"/>
      <c r="P933" s="12"/>
    </row>
    <row r="934">
      <c r="B934" s="14"/>
      <c r="E934" s="1"/>
      <c r="P934" s="12"/>
    </row>
    <row r="935">
      <c r="B935" s="14"/>
      <c r="E935" s="1"/>
      <c r="P935" s="12"/>
    </row>
    <row r="936">
      <c r="B936" s="14"/>
      <c r="E936" s="1"/>
      <c r="P936" s="12"/>
    </row>
    <row r="937">
      <c r="B937" s="14"/>
      <c r="E937" s="1"/>
      <c r="P937" s="12"/>
    </row>
    <row r="938">
      <c r="B938" s="14"/>
      <c r="E938" s="1"/>
      <c r="P938" s="12"/>
    </row>
    <row r="939">
      <c r="B939" s="14"/>
      <c r="E939" s="1"/>
      <c r="P939" s="12"/>
    </row>
    <row r="940">
      <c r="B940" s="14"/>
      <c r="E940" s="1"/>
      <c r="P940" s="12"/>
    </row>
    <row r="941">
      <c r="B941" s="14"/>
      <c r="E941" s="1"/>
      <c r="P941" s="12"/>
    </row>
    <row r="942">
      <c r="B942" s="14"/>
      <c r="E942" s="1"/>
      <c r="P942" s="12"/>
    </row>
    <row r="943">
      <c r="B943" s="14"/>
      <c r="E943" s="1"/>
      <c r="P943" s="12"/>
    </row>
    <row r="944">
      <c r="B944" s="14"/>
      <c r="E944" s="1"/>
      <c r="P944" s="12"/>
    </row>
    <row r="945">
      <c r="B945" s="14"/>
      <c r="E945" s="1"/>
      <c r="P945" s="12"/>
    </row>
    <row r="946">
      <c r="B946" s="14"/>
      <c r="E946" s="1"/>
      <c r="P946" s="12"/>
    </row>
    <row r="947">
      <c r="B947" s="14"/>
      <c r="E947" s="1"/>
      <c r="P947" s="12"/>
    </row>
    <row r="948">
      <c r="B948" s="14"/>
      <c r="E948" s="1"/>
      <c r="P948" s="12"/>
    </row>
    <row r="949">
      <c r="B949" s="14"/>
      <c r="E949" s="1"/>
      <c r="P949" s="12"/>
    </row>
    <row r="950">
      <c r="B950" s="14"/>
      <c r="E950" s="1"/>
      <c r="P950" s="12"/>
    </row>
    <row r="951">
      <c r="B951" s="14"/>
      <c r="E951" s="1"/>
      <c r="P951" s="12"/>
    </row>
    <row r="952">
      <c r="B952" s="14"/>
      <c r="E952" s="1"/>
      <c r="P952" s="12"/>
    </row>
    <row r="953">
      <c r="B953" s="14"/>
      <c r="E953" s="1"/>
      <c r="P953" s="12"/>
    </row>
    <row r="954">
      <c r="B954" s="14"/>
      <c r="E954" s="1"/>
      <c r="P954" s="12"/>
    </row>
    <row r="955">
      <c r="B955" s="14"/>
      <c r="E955" s="1"/>
      <c r="P955" s="12"/>
    </row>
    <row r="956">
      <c r="B956" s="14"/>
      <c r="E956" s="1"/>
      <c r="P956" s="12"/>
    </row>
    <row r="957">
      <c r="B957" s="14"/>
      <c r="E957" s="1"/>
      <c r="P957" s="12"/>
    </row>
    <row r="958">
      <c r="B958" s="14"/>
      <c r="E958" s="1"/>
      <c r="P958" s="12"/>
    </row>
    <row r="959">
      <c r="B959" s="14"/>
      <c r="E959" s="1"/>
      <c r="P959" s="12"/>
    </row>
    <row r="960">
      <c r="B960" s="14"/>
      <c r="E960" s="1"/>
      <c r="P960" s="12"/>
    </row>
    <row r="961">
      <c r="B961" s="14"/>
      <c r="E961" s="1"/>
      <c r="P961" s="12"/>
    </row>
    <row r="962">
      <c r="B962" s="14"/>
      <c r="E962" s="1"/>
      <c r="P962" s="12"/>
    </row>
    <row r="963">
      <c r="B963" s="14"/>
      <c r="E963" s="1"/>
      <c r="P963" s="12"/>
    </row>
    <row r="964">
      <c r="B964" s="14"/>
      <c r="E964" s="1"/>
      <c r="P964" s="12"/>
    </row>
    <row r="965">
      <c r="B965" s="14"/>
      <c r="E965" s="1"/>
      <c r="P965" s="12"/>
    </row>
    <row r="966">
      <c r="B966" s="14"/>
      <c r="E966" s="1"/>
      <c r="P966" s="12"/>
    </row>
    <row r="967">
      <c r="B967" s="14"/>
      <c r="E967" s="1"/>
      <c r="P967" s="12"/>
    </row>
    <row r="968">
      <c r="B968" s="14"/>
      <c r="E968" s="1"/>
      <c r="P968" s="12"/>
    </row>
    <row r="969">
      <c r="B969" s="14"/>
      <c r="E969" s="1"/>
      <c r="P969" s="12"/>
    </row>
    <row r="970">
      <c r="B970" s="14"/>
      <c r="E970" s="1"/>
      <c r="P970" s="12"/>
    </row>
    <row r="971">
      <c r="B971" s="14"/>
      <c r="E971" s="1"/>
      <c r="P971" s="12"/>
    </row>
    <row r="972">
      <c r="B972" s="14"/>
      <c r="E972" s="1"/>
      <c r="P972" s="12"/>
    </row>
    <row r="973">
      <c r="B973" s="14"/>
      <c r="E973" s="1"/>
      <c r="P973" s="12"/>
    </row>
    <row r="974">
      <c r="B974" s="14"/>
      <c r="E974" s="1"/>
      <c r="P974" s="12"/>
    </row>
    <row r="975">
      <c r="B975" s="14"/>
      <c r="E975" s="1"/>
      <c r="P975" s="12"/>
    </row>
    <row r="976">
      <c r="B976" s="14"/>
      <c r="E976" s="1"/>
      <c r="P976" s="12"/>
    </row>
    <row r="977">
      <c r="B977" s="14"/>
      <c r="E977" s="1"/>
      <c r="P977" s="12"/>
    </row>
    <row r="978">
      <c r="B978" s="14"/>
      <c r="E978" s="1"/>
      <c r="P978" s="12"/>
    </row>
    <row r="979">
      <c r="B979" s="14"/>
      <c r="E979" s="1"/>
      <c r="P979" s="12"/>
    </row>
    <row r="980">
      <c r="B980" s="14"/>
      <c r="E980" s="1"/>
      <c r="P980" s="12"/>
    </row>
    <row r="981">
      <c r="B981" s="14"/>
      <c r="E981" s="1"/>
      <c r="P981" s="12"/>
    </row>
    <row r="982">
      <c r="B982" s="14"/>
      <c r="E982" s="1"/>
      <c r="P982" s="12"/>
    </row>
    <row r="983">
      <c r="B983" s="14"/>
      <c r="E983" s="1"/>
      <c r="P983" s="12"/>
    </row>
    <row r="984">
      <c r="B984" s="14"/>
      <c r="E984" s="1"/>
      <c r="P984" s="12"/>
    </row>
    <row r="985">
      <c r="B985" s="14"/>
      <c r="E985" s="1"/>
      <c r="P985" s="12"/>
    </row>
    <row r="986">
      <c r="B986" s="14"/>
      <c r="E986" s="1"/>
      <c r="P986" s="12"/>
    </row>
    <row r="987">
      <c r="B987" s="14"/>
      <c r="E987" s="1"/>
      <c r="P987" s="12"/>
    </row>
    <row r="988">
      <c r="B988" s="14"/>
      <c r="E988" s="1"/>
      <c r="P988" s="12"/>
    </row>
    <row r="989">
      <c r="B989" s="14"/>
      <c r="E989" s="1"/>
      <c r="P989" s="12"/>
    </row>
    <row r="990">
      <c r="B990" s="14"/>
      <c r="E990" s="1"/>
      <c r="P990" s="12"/>
    </row>
    <row r="991">
      <c r="B991" s="14"/>
      <c r="E991" s="1"/>
      <c r="P991" s="12"/>
    </row>
    <row r="992">
      <c r="B992" s="14"/>
      <c r="E992" s="1"/>
      <c r="P992" s="12"/>
    </row>
    <row r="993">
      <c r="B993" s="14"/>
      <c r="E993" s="1"/>
      <c r="P993" s="12"/>
    </row>
    <row r="994">
      <c r="B994" s="14"/>
      <c r="E994" s="1"/>
      <c r="P994" s="12"/>
    </row>
    <row r="995">
      <c r="B995" s="14"/>
      <c r="E995" s="1"/>
      <c r="P995" s="12"/>
    </row>
    <row r="996">
      <c r="B996" s="14"/>
      <c r="E996" s="1"/>
      <c r="P996" s="12"/>
    </row>
    <row r="997">
      <c r="B997" s="14"/>
      <c r="E997" s="1"/>
      <c r="P997" s="12"/>
    </row>
    <row r="998">
      <c r="B998" s="14"/>
      <c r="E998" s="1"/>
      <c r="P998" s="12"/>
    </row>
    <row r="999">
      <c r="B999" s="14"/>
      <c r="E999" s="1"/>
      <c r="P999" s="12"/>
    </row>
    <row r="1000">
      <c r="B1000" s="14"/>
      <c r="E1000" s="1"/>
      <c r="P1000" s="12"/>
    </row>
    <row r="1001">
      <c r="B1001" s="14"/>
      <c r="E1001" s="1"/>
      <c r="P1001" s="12"/>
    </row>
    <row r="1002">
      <c r="B1002" s="14"/>
      <c r="E1002" s="1"/>
      <c r="P1002" s="12"/>
    </row>
    <row r="1003">
      <c r="B1003" s="14"/>
      <c r="E1003" s="1"/>
      <c r="P1003" s="12"/>
    </row>
    <row r="1004">
      <c r="B1004" s="14"/>
      <c r="E1004" s="1"/>
      <c r="P1004" s="12"/>
    </row>
    <row r="1005">
      <c r="B1005" s="14"/>
      <c r="E1005" s="1"/>
      <c r="P1005" s="12"/>
    </row>
    <row r="1006">
      <c r="B1006" s="14"/>
      <c r="E1006" s="1"/>
      <c r="P1006" s="12"/>
    </row>
    <row r="1007">
      <c r="B1007" s="14"/>
      <c r="E1007" s="1"/>
      <c r="P1007" s="12"/>
    </row>
    <row r="1008">
      <c r="B1008" s="14"/>
      <c r="E1008" s="1"/>
      <c r="P1008" s="12"/>
    </row>
    <row r="1009">
      <c r="B1009" s="14"/>
      <c r="E1009" s="1"/>
      <c r="P1009" s="12"/>
    </row>
    <row r="1010">
      <c r="B1010" s="14"/>
      <c r="E1010" s="1"/>
      <c r="P1010" s="12"/>
    </row>
    <row r="1011">
      <c r="B1011" s="14"/>
      <c r="E1011" s="1"/>
      <c r="P1011" s="12"/>
    </row>
    <row r="1012">
      <c r="B1012" s="14"/>
      <c r="E1012" s="1"/>
      <c r="P1012" s="12"/>
    </row>
    <row r="1013">
      <c r="B1013" s="14"/>
      <c r="E1013" s="1"/>
      <c r="P1013" s="12"/>
    </row>
    <row r="1014">
      <c r="B1014" s="14"/>
      <c r="E1014" s="1"/>
      <c r="P1014" s="12"/>
    </row>
    <row r="1015">
      <c r="B1015" s="14"/>
      <c r="E1015" s="1"/>
      <c r="P1015" s="12"/>
    </row>
    <row r="1016">
      <c r="B1016" s="14"/>
      <c r="E1016" s="1"/>
      <c r="P1016" s="12"/>
    </row>
    <row r="1017">
      <c r="B1017" s="14"/>
      <c r="E1017" s="1"/>
      <c r="P1017" s="12"/>
    </row>
    <row r="1018">
      <c r="B1018" s="14"/>
      <c r="E1018" s="1"/>
      <c r="P1018" s="12"/>
    </row>
    <row r="1019">
      <c r="B1019" s="14"/>
      <c r="E1019" s="1"/>
      <c r="P1019" s="12"/>
    </row>
    <row r="1020">
      <c r="B1020" s="14"/>
      <c r="E1020" s="1"/>
      <c r="P1020" s="12"/>
    </row>
    <row r="1021">
      <c r="B1021" s="14"/>
      <c r="E1021" s="1"/>
      <c r="P1021" s="12"/>
    </row>
    <row r="1022">
      <c r="B1022" s="14"/>
      <c r="E1022" s="1"/>
      <c r="P1022" s="12"/>
    </row>
    <row r="1023">
      <c r="B1023" s="14"/>
      <c r="E1023" s="1"/>
      <c r="P1023" s="12"/>
    </row>
    <row r="1024">
      <c r="B1024" s="14"/>
      <c r="E1024" s="1"/>
      <c r="P1024" s="12"/>
    </row>
    <row r="1025">
      <c r="B1025" s="14"/>
      <c r="E1025" s="1"/>
      <c r="P1025" s="12"/>
    </row>
    <row r="1026">
      <c r="B1026" s="14"/>
      <c r="E1026" s="1"/>
      <c r="P1026" s="12"/>
    </row>
    <row r="1027">
      <c r="B1027" s="14"/>
      <c r="E1027" s="1"/>
      <c r="P1027" s="12"/>
    </row>
    <row r="1028">
      <c r="B1028" s="14"/>
      <c r="E1028" s="1"/>
      <c r="P1028" s="12"/>
    </row>
    <row r="1029">
      <c r="B1029" s="14"/>
      <c r="E1029" s="1"/>
      <c r="P1029" s="12"/>
    </row>
    <row r="1030">
      <c r="B1030" s="14"/>
      <c r="E1030" s="1"/>
      <c r="P1030" s="12"/>
    </row>
    <row r="1031">
      <c r="B1031" s="14"/>
      <c r="E1031" s="1"/>
      <c r="P1031" s="12"/>
    </row>
    <row r="1032">
      <c r="B1032" s="14"/>
      <c r="E1032" s="1"/>
      <c r="P1032" s="12"/>
    </row>
    <row r="1033">
      <c r="B1033" s="14"/>
      <c r="E1033" s="1"/>
      <c r="P1033" s="12"/>
    </row>
    <row r="1034">
      <c r="B1034" s="14"/>
      <c r="E1034" s="1"/>
      <c r="P1034" s="12"/>
    </row>
    <row r="1035">
      <c r="B1035" s="14"/>
      <c r="E1035" s="1"/>
      <c r="P1035" s="12"/>
    </row>
    <row r="1036">
      <c r="B1036" s="14"/>
      <c r="E1036" s="1"/>
      <c r="P1036" s="12"/>
    </row>
    <row r="1037">
      <c r="B1037" s="14"/>
      <c r="E1037" s="1"/>
      <c r="P1037" s="12"/>
    </row>
    <row r="1038">
      <c r="B1038" s="14"/>
      <c r="E1038" s="1"/>
      <c r="P1038" s="12"/>
    </row>
    <row r="1039">
      <c r="B1039" s="14"/>
      <c r="E1039" s="1"/>
      <c r="P1039" s="12"/>
    </row>
    <row r="1040">
      <c r="B1040" s="14"/>
      <c r="E1040" s="1"/>
      <c r="P1040" s="12"/>
    </row>
    <row r="1041">
      <c r="B1041" s="14"/>
      <c r="E1041" s="1"/>
      <c r="P1041" s="12"/>
    </row>
    <row r="1042">
      <c r="B1042" s="14"/>
      <c r="E1042" s="1"/>
      <c r="P1042" s="12"/>
    </row>
    <row r="1043">
      <c r="B1043" s="14"/>
      <c r="E1043" s="1"/>
      <c r="P1043" s="12"/>
    </row>
    <row r="1044">
      <c r="B1044" s="14"/>
      <c r="E1044" s="1"/>
      <c r="P1044" s="12"/>
    </row>
    <row r="1045">
      <c r="B1045" s="14"/>
      <c r="E1045" s="1"/>
      <c r="P1045" s="12"/>
    </row>
    <row r="1046">
      <c r="B1046" s="14"/>
      <c r="E1046" s="1"/>
      <c r="P1046" s="12"/>
    </row>
    <row r="1047">
      <c r="B1047" s="14"/>
      <c r="E1047" s="1"/>
      <c r="P1047" s="12"/>
    </row>
    <row r="1048">
      <c r="B1048" s="14"/>
      <c r="E1048" s="1"/>
      <c r="P1048" s="12"/>
    </row>
    <row r="1049">
      <c r="B1049" s="14"/>
      <c r="E1049" s="1"/>
      <c r="P1049" s="12"/>
    </row>
    <row r="1050">
      <c r="B1050" s="14"/>
      <c r="E1050" s="1"/>
      <c r="P1050" s="12"/>
    </row>
    <row r="1051">
      <c r="B1051" s="14"/>
      <c r="E1051" s="1"/>
      <c r="P1051" s="12"/>
    </row>
    <row r="1052">
      <c r="B1052" s="14"/>
      <c r="E1052" s="1"/>
      <c r="P1052" s="12"/>
    </row>
    <row r="1053">
      <c r="B1053" s="14"/>
      <c r="E1053" s="1"/>
      <c r="P1053" s="12"/>
    </row>
    <row r="1054">
      <c r="B1054" s="14"/>
      <c r="E1054" s="1"/>
      <c r="P1054" s="12"/>
    </row>
    <row r="1055">
      <c r="B1055" s="14"/>
      <c r="E1055" s="1"/>
      <c r="P1055" s="12"/>
    </row>
    <row r="1056">
      <c r="B1056" s="14"/>
      <c r="E1056" s="1"/>
      <c r="P1056" s="12"/>
    </row>
    <row r="1057">
      <c r="B1057" s="14"/>
      <c r="E1057" s="1"/>
      <c r="P1057" s="12"/>
    </row>
    <row r="1058">
      <c r="B1058" s="14"/>
      <c r="E1058" s="1"/>
      <c r="P1058" s="12"/>
    </row>
    <row r="1059">
      <c r="B1059" s="14"/>
      <c r="E1059" s="1"/>
      <c r="P1059" s="12"/>
    </row>
    <row r="1060">
      <c r="B1060" s="14"/>
      <c r="E1060" s="1"/>
      <c r="P1060" s="12"/>
    </row>
    <row r="1061">
      <c r="B1061" s="14"/>
      <c r="E1061" s="1"/>
      <c r="P1061" s="12"/>
    </row>
    <row r="1062">
      <c r="B1062" s="14"/>
      <c r="E1062" s="1"/>
      <c r="P1062" s="12"/>
    </row>
    <row r="1063">
      <c r="B1063" s="14"/>
      <c r="E1063" s="1"/>
      <c r="P1063" s="12"/>
    </row>
    <row r="1064">
      <c r="B1064" s="14"/>
      <c r="E1064" s="1"/>
      <c r="P1064" s="12"/>
    </row>
    <row r="1065">
      <c r="B1065" s="14"/>
      <c r="E1065" s="1"/>
      <c r="P1065" s="12"/>
    </row>
    <row r="1066">
      <c r="B1066" s="14"/>
      <c r="E1066" s="1"/>
      <c r="P1066" s="12"/>
    </row>
    <row r="1067">
      <c r="B1067" s="14"/>
      <c r="E1067" s="1"/>
      <c r="P1067" s="12"/>
    </row>
    <row r="1068">
      <c r="B1068" s="14"/>
      <c r="E1068" s="1"/>
      <c r="P1068" s="12"/>
    </row>
    <row r="1069">
      <c r="B1069" s="14"/>
      <c r="E1069" s="1"/>
      <c r="P1069" s="12"/>
    </row>
    <row r="1070">
      <c r="B1070" s="14"/>
      <c r="E1070" s="1"/>
      <c r="P1070" s="12"/>
    </row>
    <row r="1071">
      <c r="B1071" s="14"/>
      <c r="E1071" s="1"/>
      <c r="P1071" s="12"/>
    </row>
    <row r="1072">
      <c r="B1072" s="14"/>
      <c r="E1072" s="1"/>
      <c r="P1072" s="12"/>
    </row>
    <row r="1073">
      <c r="B1073" s="14"/>
      <c r="E1073" s="1"/>
      <c r="P1073" s="12"/>
    </row>
    <row r="1074">
      <c r="B1074" s="14"/>
      <c r="E1074" s="1"/>
      <c r="P1074" s="12"/>
    </row>
    <row r="1075">
      <c r="B1075" s="14"/>
      <c r="E1075" s="1"/>
      <c r="P1075" s="12"/>
    </row>
    <row r="1076">
      <c r="B1076" s="14"/>
      <c r="E1076" s="1"/>
      <c r="P1076" s="12"/>
    </row>
    <row r="1077">
      <c r="B1077" s="14"/>
      <c r="E1077" s="1"/>
      <c r="P1077" s="12"/>
    </row>
    <row r="1078">
      <c r="B1078" s="14"/>
      <c r="E1078" s="1"/>
      <c r="P1078" s="12"/>
    </row>
    <row r="1079">
      <c r="B1079" s="14"/>
      <c r="E1079" s="1"/>
      <c r="P1079" s="12"/>
    </row>
    <row r="1080">
      <c r="B1080" s="14"/>
      <c r="E1080" s="1"/>
      <c r="P1080" s="12"/>
    </row>
    <row r="1081">
      <c r="B1081" s="14"/>
      <c r="E1081" s="1"/>
      <c r="P1081" s="12"/>
    </row>
    <row r="1082">
      <c r="B1082" s="14"/>
      <c r="E1082" s="1"/>
      <c r="P1082" s="12"/>
    </row>
    <row r="1083">
      <c r="B1083" s="14"/>
      <c r="E1083" s="1"/>
      <c r="P1083" s="12"/>
    </row>
    <row r="1084">
      <c r="B1084" s="14"/>
      <c r="E1084" s="1"/>
      <c r="P1084" s="12"/>
    </row>
    <row r="1085">
      <c r="B1085" s="14"/>
      <c r="E1085" s="1"/>
      <c r="P1085" s="12"/>
    </row>
    <row r="1086">
      <c r="B1086" s="14"/>
      <c r="E1086" s="1"/>
      <c r="P1086" s="12"/>
    </row>
    <row r="1087">
      <c r="B1087" s="14"/>
      <c r="E1087" s="1"/>
      <c r="P1087" s="12"/>
    </row>
    <row r="1088">
      <c r="B1088" s="14"/>
      <c r="E1088" s="1"/>
      <c r="P1088" s="12"/>
    </row>
    <row r="1089">
      <c r="B1089" s="14"/>
      <c r="E1089" s="1"/>
      <c r="P1089" s="12"/>
    </row>
    <row r="1090">
      <c r="B1090" s="14"/>
      <c r="E1090" s="1"/>
      <c r="P1090" s="12"/>
    </row>
    <row r="1091">
      <c r="B1091" s="14"/>
      <c r="E1091" s="1"/>
      <c r="P1091" s="12"/>
    </row>
    <row r="1092">
      <c r="B1092" s="14"/>
      <c r="E1092" s="1"/>
      <c r="P1092" s="12"/>
    </row>
    <row r="1093">
      <c r="B1093" s="14"/>
      <c r="E1093" s="1"/>
      <c r="P1093" s="12"/>
    </row>
    <row r="1094">
      <c r="B1094" s="14"/>
      <c r="E1094" s="1"/>
      <c r="P1094" s="12"/>
    </row>
    <row r="1095">
      <c r="B1095" s="14"/>
      <c r="E1095" s="1"/>
      <c r="P1095" s="12"/>
    </row>
    <row r="1096">
      <c r="B1096" s="14"/>
      <c r="E1096" s="1"/>
      <c r="P1096" s="12"/>
    </row>
    <row r="1097">
      <c r="B1097" s="14"/>
      <c r="E1097" s="1"/>
      <c r="P1097" s="12"/>
    </row>
    <row r="1098">
      <c r="B1098" s="14"/>
      <c r="E1098" s="1"/>
      <c r="P1098" s="12"/>
    </row>
    <row r="1099">
      <c r="B1099" s="14"/>
      <c r="E1099" s="1"/>
      <c r="P1099" s="12"/>
    </row>
    <row r="1100">
      <c r="B1100" s="14"/>
      <c r="E1100" s="1"/>
      <c r="P1100" s="12"/>
    </row>
    <row r="1101">
      <c r="B1101" s="14"/>
      <c r="E1101" s="1"/>
      <c r="P1101" s="12"/>
    </row>
    <row r="1102">
      <c r="B1102" s="14"/>
      <c r="E1102" s="1"/>
      <c r="P1102" s="12"/>
    </row>
    <row r="1103">
      <c r="B1103" s="14"/>
      <c r="E1103" s="1"/>
      <c r="P1103" s="12"/>
    </row>
    <row r="1104">
      <c r="B1104" s="14"/>
      <c r="E1104" s="1"/>
      <c r="P1104" s="12"/>
    </row>
    <row r="1105">
      <c r="B1105" s="14"/>
      <c r="E1105" s="1"/>
      <c r="P1105" s="12"/>
    </row>
    <row r="1106">
      <c r="B1106" s="14"/>
      <c r="E1106" s="1"/>
      <c r="P1106" s="12"/>
    </row>
    <row r="1107">
      <c r="B1107" s="14"/>
      <c r="E1107" s="1"/>
      <c r="P1107" s="12"/>
    </row>
    <row r="1108">
      <c r="B1108" s="14"/>
      <c r="E1108" s="1"/>
      <c r="P1108" s="12"/>
    </row>
    <row r="1109">
      <c r="B1109" s="14"/>
      <c r="E1109" s="1"/>
      <c r="P1109" s="12"/>
    </row>
    <row r="1110">
      <c r="B1110" s="14"/>
      <c r="E1110" s="1"/>
      <c r="P1110" s="12"/>
    </row>
    <row r="1111">
      <c r="B1111" s="14"/>
      <c r="E1111" s="1"/>
      <c r="P1111" s="12"/>
    </row>
    <row r="1112">
      <c r="B1112" s="14"/>
      <c r="E1112" s="1"/>
      <c r="P1112" s="12"/>
    </row>
    <row r="1113">
      <c r="B1113" s="14"/>
      <c r="E1113" s="1"/>
      <c r="P1113" s="12"/>
    </row>
    <row r="1114">
      <c r="B1114" s="14"/>
      <c r="E1114" s="1"/>
      <c r="P1114" s="12"/>
    </row>
    <row r="1115">
      <c r="B1115" s="14"/>
      <c r="E1115" s="1"/>
      <c r="P1115" s="12"/>
    </row>
    <row r="1116">
      <c r="B1116" s="14"/>
      <c r="E1116" s="1"/>
      <c r="P1116" s="12"/>
    </row>
    <row r="1117">
      <c r="B1117" s="14"/>
      <c r="E1117" s="1"/>
      <c r="P1117" s="12"/>
    </row>
    <row r="1118">
      <c r="B1118" s="14"/>
      <c r="E1118" s="1"/>
      <c r="P1118" s="12"/>
    </row>
    <row r="1119">
      <c r="B1119" s="14"/>
      <c r="E1119" s="1"/>
      <c r="P1119" s="12"/>
    </row>
    <row r="1120">
      <c r="B1120" s="14"/>
      <c r="E1120" s="1"/>
      <c r="P1120" s="12"/>
    </row>
    <row r="1121">
      <c r="B1121" s="14"/>
      <c r="E1121" s="1"/>
      <c r="P1121" s="12"/>
    </row>
    <row r="1122">
      <c r="B1122" s="14"/>
      <c r="E1122" s="1"/>
      <c r="P1122" s="12"/>
    </row>
    <row r="1123">
      <c r="B1123" s="14"/>
      <c r="E1123" s="1"/>
      <c r="P1123" s="12"/>
    </row>
    <row r="1124">
      <c r="B1124" s="14"/>
      <c r="E1124" s="1"/>
      <c r="P1124" s="12"/>
    </row>
    <row r="1125">
      <c r="B1125" s="14"/>
      <c r="E1125" s="1"/>
      <c r="P1125" s="12"/>
    </row>
    <row r="1126">
      <c r="B1126" s="14"/>
      <c r="E1126" s="1"/>
      <c r="P1126" s="12"/>
    </row>
    <row r="1127">
      <c r="B1127" s="14"/>
      <c r="E1127" s="1"/>
      <c r="P1127" s="12"/>
    </row>
    <row r="1128">
      <c r="B1128" s="14"/>
      <c r="E1128" s="1"/>
      <c r="P1128" s="12"/>
    </row>
    <row r="1129">
      <c r="B1129" s="14"/>
      <c r="E1129" s="1"/>
      <c r="P1129" s="12"/>
    </row>
    <row r="1130">
      <c r="B1130" s="14"/>
      <c r="E1130" s="1"/>
      <c r="P1130" s="12"/>
    </row>
    <row r="1131">
      <c r="B1131" s="14"/>
      <c r="E1131" s="1"/>
      <c r="P1131" s="12"/>
    </row>
    <row r="1132">
      <c r="B1132" s="14"/>
      <c r="E1132" s="1"/>
      <c r="P1132" s="12"/>
    </row>
    <row r="1133">
      <c r="B1133" s="14"/>
      <c r="E1133" s="1"/>
      <c r="P1133" s="12"/>
    </row>
    <row r="1134">
      <c r="B1134" s="14"/>
      <c r="E1134" s="1"/>
      <c r="P1134" s="12"/>
    </row>
    <row r="1135">
      <c r="B1135" s="14"/>
      <c r="E1135" s="1"/>
      <c r="P1135" s="12"/>
    </row>
    <row r="1136">
      <c r="B1136" s="14"/>
      <c r="E1136" s="1"/>
      <c r="P1136" s="12"/>
    </row>
    <row r="1137">
      <c r="B1137" s="14"/>
      <c r="E1137" s="1"/>
      <c r="P1137" s="12"/>
    </row>
    <row r="1138">
      <c r="B1138" s="14"/>
      <c r="E1138" s="1"/>
      <c r="P1138" s="12"/>
    </row>
    <row r="1139">
      <c r="B1139" s="14"/>
      <c r="E1139" s="1"/>
      <c r="P1139" s="12"/>
    </row>
    <row r="1140">
      <c r="B1140" s="14"/>
      <c r="E1140" s="1"/>
      <c r="P1140" s="12"/>
    </row>
    <row r="1141">
      <c r="B1141" s="14"/>
      <c r="E1141" s="1"/>
      <c r="P1141" s="12"/>
    </row>
    <row r="1142">
      <c r="B1142" s="14"/>
      <c r="E1142" s="1"/>
      <c r="P1142" s="12"/>
    </row>
    <row r="1143">
      <c r="B1143" s="14"/>
      <c r="E1143" s="1"/>
      <c r="P1143" s="12"/>
    </row>
    <row r="1144">
      <c r="B1144" s="14"/>
      <c r="E1144" s="1"/>
      <c r="P1144" s="12"/>
    </row>
    <row r="1145">
      <c r="B1145" s="14"/>
      <c r="E1145" s="1"/>
      <c r="P1145" s="12"/>
    </row>
    <row r="1146">
      <c r="B1146" s="14"/>
      <c r="E1146" s="1"/>
      <c r="P1146" s="12"/>
    </row>
    <row r="1147">
      <c r="B1147" s="14"/>
      <c r="E1147" s="1"/>
      <c r="P1147" s="12"/>
    </row>
    <row r="1148">
      <c r="B1148" s="14"/>
      <c r="E1148" s="1"/>
      <c r="P1148" s="12"/>
    </row>
    <row r="1149">
      <c r="B1149" s="14"/>
      <c r="E1149" s="1"/>
      <c r="P1149" s="12"/>
    </row>
    <row r="1150">
      <c r="B1150" s="14"/>
      <c r="E1150" s="1"/>
      <c r="P1150" s="12"/>
    </row>
    <row r="1151">
      <c r="B1151" s="14"/>
      <c r="E1151" s="1"/>
      <c r="P1151" s="12"/>
    </row>
    <row r="1152">
      <c r="B1152" s="14"/>
      <c r="E1152" s="1"/>
      <c r="P1152" s="12"/>
    </row>
    <row r="1153">
      <c r="B1153" s="14"/>
      <c r="E1153" s="1"/>
      <c r="P1153" s="12"/>
    </row>
    <row r="1154">
      <c r="B1154" s="14"/>
      <c r="P1154" s="12"/>
    </row>
    <row r="1155">
      <c r="B1155" s="14"/>
      <c r="P1155" s="12"/>
    </row>
    <row r="1156">
      <c r="B1156" s="14"/>
      <c r="P1156" s="12"/>
    </row>
    <row r="1157">
      <c r="B1157" s="14"/>
      <c r="P1157" s="12"/>
    </row>
    <row r="1158">
      <c r="B1158" s="14"/>
      <c r="P1158" s="12"/>
    </row>
    <row r="1159">
      <c r="B1159" s="14"/>
      <c r="P1159" s="12"/>
    </row>
    <row r="1160">
      <c r="B1160" s="14"/>
      <c r="P1160" s="12"/>
    </row>
    <row r="1161">
      <c r="B1161" s="14"/>
      <c r="P1161" s="12"/>
    </row>
    <row r="1162">
      <c r="B1162" s="14"/>
      <c r="P1162" s="12"/>
    </row>
    <row r="1163">
      <c r="B1163" s="14"/>
      <c r="P1163" s="12"/>
    </row>
    <row r="1164">
      <c r="B1164" s="14"/>
      <c r="P1164" s="12"/>
    </row>
    <row r="1165">
      <c r="B1165" s="14"/>
      <c r="P1165" s="12"/>
    </row>
    <row r="1166">
      <c r="B1166" s="14"/>
      <c r="P1166" s="12"/>
    </row>
    <row r="1167">
      <c r="B1167" s="14"/>
      <c r="P1167" s="12"/>
    </row>
    <row r="1168">
      <c r="B1168" s="14"/>
      <c r="P1168" s="12"/>
    </row>
    <row r="1169">
      <c r="B1169" s="14"/>
      <c r="P1169" s="12"/>
    </row>
    <row r="1170">
      <c r="B1170" s="14"/>
      <c r="P1170" s="12"/>
    </row>
    <row r="1171">
      <c r="B1171" s="14"/>
      <c r="P1171" s="12"/>
    </row>
    <row r="1172">
      <c r="B1172" s="14"/>
      <c r="P1172" s="12"/>
    </row>
    <row r="1173">
      <c r="B1173" s="14"/>
      <c r="P1173" s="12"/>
    </row>
    <row r="1174">
      <c r="B1174" s="14"/>
      <c r="P1174" s="12"/>
    </row>
    <row r="1175">
      <c r="B1175" s="14"/>
      <c r="P1175" s="12"/>
    </row>
    <row r="1176">
      <c r="B1176" s="14"/>
      <c r="P1176" s="12"/>
    </row>
    <row r="1177">
      <c r="B1177" s="14"/>
      <c r="P1177" s="12"/>
    </row>
    <row r="1178">
      <c r="B1178" s="14"/>
      <c r="P1178" s="12"/>
    </row>
    <row r="1179">
      <c r="B1179" s="14"/>
      <c r="P1179" s="12"/>
    </row>
    <row r="1180">
      <c r="B1180" s="14"/>
      <c r="P1180" s="12"/>
    </row>
    <row r="1181">
      <c r="B1181" s="14"/>
      <c r="P1181" s="12"/>
    </row>
    <row r="1182">
      <c r="B1182" s="14"/>
      <c r="P1182" s="12"/>
    </row>
    <row r="1183">
      <c r="B1183" s="14"/>
      <c r="P1183" s="12"/>
    </row>
    <row r="1184">
      <c r="B1184" s="14"/>
      <c r="P1184" s="12"/>
    </row>
    <row r="1185">
      <c r="B1185" s="14"/>
      <c r="P1185" s="12"/>
    </row>
    <row r="1186">
      <c r="B1186" s="14"/>
      <c r="P1186" s="12"/>
    </row>
    <row r="1187">
      <c r="B1187" s="14"/>
      <c r="P1187" s="12"/>
    </row>
    <row r="1188">
      <c r="B1188" s="14"/>
      <c r="P1188" s="12"/>
    </row>
    <row r="1189">
      <c r="B1189" s="14"/>
      <c r="P1189" s="12"/>
    </row>
    <row r="1190">
      <c r="B1190" s="14"/>
      <c r="P1190" s="12"/>
    </row>
    <row r="1191">
      <c r="B1191" s="14"/>
      <c r="P1191" s="12"/>
    </row>
    <row r="1192">
      <c r="B1192" s="14"/>
      <c r="P1192" s="12"/>
    </row>
    <row r="1193">
      <c r="B1193" s="14"/>
      <c r="P1193" s="12"/>
    </row>
    <row r="1194">
      <c r="B1194" s="14"/>
      <c r="P1194" s="12"/>
    </row>
    <row r="1195">
      <c r="B1195" s="14"/>
      <c r="P1195" s="12"/>
    </row>
    <row r="1196">
      <c r="B1196" s="14"/>
      <c r="P1196" s="12"/>
    </row>
    <row r="1197">
      <c r="B1197" s="14"/>
      <c r="P1197" s="12"/>
    </row>
    <row r="1198">
      <c r="B1198" s="14"/>
      <c r="P1198" s="12"/>
    </row>
    <row r="1199">
      <c r="B1199" s="14"/>
      <c r="P1199" s="12"/>
    </row>
    <row r="1200">
      <c r="B1200" s="14"/>
      <c r="P1200" s="12"/>
    </row>
    <row r="1201">
      <c r="B1201" s="14"/>
      <c r="P1201" s="12"/>
    </row>
    <row r="1202">
      <c r="B1202" s="14"/>
      <c r="P1202" s="12"/>
    </row>
    <row r="1203">
      <c r="B1203" s="14"/>
      <c r="P1203" s="12"/>
    </row>
    <row r="1204">
      <c r="B1204" s="14"/>
      <c r="P1204" s="12"/>
    </row>
    <row r="1205">
      <c r="B1205" s="14"/>
      <c r="P1205" s="12"/>
    </row>
    <row r="1206">
      <c r="B1206" s="14"/>
      <c r="P1206" s="12"/>
    </row>
    <row r="1207">
      <c r="B1207" s="14"/>
      <c r="P1207" s="12"/>
    </row>
    <row r="1208">
      <c r="B1208" s="14"/>
      <c r="P1208" s="12"/>
    </row>
    <row r="1209">
      <c r="B1209" s="14"/>
      <c r="P1209" s="12"/>
    </row>
    <row r="1210">
      <c r="B1210" s="14"/>
      <c r="P1210" s="12"/>
    </row>
    <row r="1211">
      <c r="B1211" s="14"/>
      <c r="P1211" s="12"/>
    </row>
    <row r="1212">
      <c r="B1212" s="14"/>
      <c r="P1212" s="12"/>
    </row>
    <row r="1213">
      <c r="B1213" s="14"/>
      <c r="P1213" s="12"/>
    </row>
    <row r="1214">
      <c r="B1214" s="14"/>
      <c r="P1214" s="12"/>
    </row>
    <row r="1215">
      <c r="B1215" s="14"/>
      <c r="P1215" s="12"/>
    </row>
    <row r="1216">
      <c r="B1216" s="14"/>
      <c r="P1216" s="12"/>
    </row>
    <row r="1217">
      <c r="B1217" s="14"/>
      <c r="P1217" s="12"/>
    </row>
    <row r="1218">
      <c r="B1218" s="14"/>
      <c r="P1218" s="12"/>
    </row>
    <row r="1219">
      <c r="B1219" s="14"/>
      <c r="P1219" s="12"/>
    </row>
    <row r="1220">
      <c r="B1220" s="14"/>
      <c r="P1220" s="12"/>
    </row>
    <row r="1221">
      <c r="B1221" s="14"/>
      <c r="P1221" s="12"/>
    </row>
    <row r="1222">
      <c r="B1222" s="14"/>
      <c r="P1222" s="12"/>
    </row>
    <row r="1223">
      <c r="B1223" s="14"/>
      <c r="P1223" s="12"/>
    </row>
    <row r="1224">
      <c r="B1224" s="14"/>
      <c r="P1224" s="12"/>
    </row>
    <row r="1225">
      <c r="B1225" s="14"/>
      <c r="P1225" s="12"/>
    </row>
    <row r="1226">
      <c r="B1226" s="14"/>
      <c r="P1226" s="12"/>
    </row>
    <row r="1227">
      <c r="B1227" s="14"/>
      <c r="P1227" s="12"/>
    </row>
    <row r="1228">
      <c r="B1228" s="14"/>
      <c r="P1228" s="12"/>
    </row>
    <row r="1229">
      <c r="B1229" s="14"/>
      <c r="P1229" s="12"/>
    </row>
    <row r="1230">
      <c r="B1230" s="14"/>
      <c r="P1230" s="12"/>
    </row>
    <row r="1231">
      <c r="B1231" s="14"/>
      <c r="P1231" s="12"/>
    </row>
    <row r="1232">
      <c r="B1232" s="14"/>
      <c r="P1232" s="12"/>
    </row>
    <row r="1233">
      <c r="B1233" s="14"/>
      <c r="P1233" s="12"/>
    </row>
    <row r="1234">
      <c r="B1234" s="14"/>
      <c r="P1234" s="12"/>
    </row>
    <row r="1235">
      <c r="B1235" s="14"/>
      <c r="P1235" s="12"/>
    </row>
    <row r="1236">
      <c r="B1236" s="14"/>
      <c r="P1236" s="12"/>
    </row>
    <row r="1237">
      <c r="B1237" s="14"/>
      <c r="P1237" s="12"/>
    </row>
    <row r="1238">
      <c r="B1238" s="14"/>
      <c r="P1238" s="12"/>
    </row>
    <row r="1239">
      <c r="B1239" s="14"/>
      <c r="P1239" s="12"/>
    </row>
    <row r="1240">
      <c r="B1240" s="14"/>
      <c r="P1240" s="12"/>
    </row>
    <row r="1241">
      <c r="B1241" s="14"/>
      <c r="P1241" s="12"/>
    </row>
    <row r="1242">
      <c r="B1242" s="14"/>
      <c r="P1242" s="12"/>
    </row>
    <row r="1243">
      <c r="B1243" s="14"/>
      <c r="P1243" s="12"/>
    </row>
    <row r="1244">
      <c r="B1244" s="14"/>
      <c r="P1244" s="12"/>
    </row>
    <row r="1245">
      <c r="B1245" s="14"/>
      <c r="P1245" s="12"/>
    </row>
    <row r="1246">
      <c r="B1246" s="14"/>
      <c r="P1246" s="12"/>
    </row>
    <row r="1247">
      <c r="B1247" s="14"/>
      <c r="P1247" s="12"/>
    </row>
    <row r="1248">
      <c r="B1248" s="14"/>
      <c r="P1248" s="12"/>
    </row>
    <row r="1249">
      <c r="B1249" s="14"/>
      <c r="P1249" s="12"/>
    </row>
    <row r="1250">
      <c r="B1250" s="14"/>
      <c r="P1250" s="12"/>
    </row>
    <row r="1251">
      <c r="B1251" s="14"/>
      <c r="P1251" s="12"/>
    </row>
    <row r="1252">
      <c r="B1252" s="14"/>
      <c r="P1252" s="12"/>
    </row>
    <row r="1253">
      <c r="B1253" s="14"/>
      <c r="P1253" s="12"/>
    </row>
    <row r="1254">
      <c r="B1254" s="14"/>
      <c r="P1254" s="12"/>
    </row>
    <row r="1255">
      <c r="B1255" s="14"/>
      <c r="P1255" s="12"/>
    </row>
    <row r="1256">
      <c r="B1256" s="14"/>
      <c r="P1256" s="12"/>
    </row>
    <row r="1257">
      <c r="B1257" s="14"/>
      <c r="P1257" s="12"/>
    </row>
    <row r="1258">
      <c r="B1258" s="14"/>
      <c r="P1258" s="12"/>
    </row>
    <row r="1259">
      <c r="B1259" s="14"/>
      <c r="P1259" s="12"/>
    </row>
    <row r="1260">
      <c r="B1260" s="14"/>
      <c r="P1260" s="12"/>
    </row>
    <row r="1261">
      <c r="B1261" s="14"/>
      <c r="P1261" s="12"/>
    </row>
    <row r="1262">
      <c r="B1262" s="14"/>
      <c r="P1262" s="12"/>
    </row>
    <row r="1263">
      <c r="B1263" s="14"/>
      <c r="P1263" s="12"/>
    </row>
    <row r="1264">
      <c r="B1264" s="14"/>
      <c r="P1264" s="12"/>
    </row>
    <row r="1265">
      <c r="B1265" s="14"/>
      <c r="P1265" s="12"/>
    </row>
    <row r="1266">
      <c r="B1266" s="14"/>
      <c r="P1266" s="12"/>
    </row>
    <row r="1267">
      <c r="B1267" s="14"/>
      <c r="P1267" s="12"/>
    </row>
    <row r="1268">
      <c r="B1268" s="14"/>
      <c r="P1268" s="12"/>
    </row>
    <row r="1269">
      <c r="B1269" s="14"/>
      <c r="P1269" s="12"/>
    </row>
    <row r="1270">
      <c r="B1270" s="14"/>
      <c r="P1270" s="12"/>
    </row>
    <row r="1271">
      <c r="B1271" s="14"/>
      <c r="P1271" s="12"/>
    </row>
    <row r="1272">
      <c r="B1272" s="14"/>
      <c r="P1272" s="12"/>
    </row>
    <row r="1273">
      <c r="B1273" s="14"/>
      <c r="P1273" s="12"/>
    </row>
    <row r="1274">
      <c r="B1274" s="14"/>
      <c r="P1274" s="12"/>
    </row>
    <row r="1275">
      <c r="B1275" s="14"/>
      <c r="P1275" s="12"/>
    </row>
    <row r="1276">
      <c r="B1276" s="14"/>
      <c r="P1276" s="12"/>
    </row>
    <row r="1277">
      <c r="B1277" s="14"/>
      <c r="P1277" s="12"/>
    </row>
    <row r="1278">
      <c r="B1278" s="14"/>
      <c r="P1278" s="12"/>
    </row>
    <row r="1279">
      <c r="B1279" s="14"/>
      <c r="P1279" s="12"/>
    </row>
    <row r="1280">
      <c r="B1280" s="14"/>
      <c r="P1280" s="12"/>
    </row>
    <row r="1281">
      <c r="B1281" s="14"/>
      <c r="P1281" s="12"/>
    </row>
    <row r="1282">
      <c r="B1282" s="14"/>
      <c r="P1282" s="12"/>
    </row>
    <row r="1283">
      <c r="B1283" s="14"/>
      <c r="P1283" s="12"/>
    </row>
    <row r="1284">
      <c r="B1284" s="14"/>
      <c r="P1284" s="12"/>
    </row>
    <row r="1285">
      <c r="B1285" s="14"/>
      <c r="P1285" s="12"/>
    </row>
    <row r="1286">
      <c r="B1286" s="14"/>
      <c r="P1286" s="12"/>
    </row>
    <row r="1287">
      <c r="B1287" s="14"/>
      <c r="P1287" s="12"/>
    </row>
    <row r="1288">
      <c r="B1288" s="14"/>
      <c r="P1288" s="12"/>
    </row>
    <row r="1289">
      <c r="B1289" s="14"/>
      <c r="P1289" s="12"/>
    </row>
    <row r="1290">
      <c r="B1290" s="14"/>
      <c r="P1290" s="12"/>
    </row>
    <row r="1291">
      <c r="B1291" s="14"/>
      <c r="P1291" s="12"/>
    </row>
    <row r="1292">
      <c r="B1292" s="14"/>
      <c r="P1292" s="12"/>
    </row>
    <row r="1293">
      <c r="B1293" s="14"/>
      <c r="P1293" s="12"/>
    </row>
    <row r="1294">
      <c r="B1294" s="14"/>
      <c r="P1294" s="12"/>
    </row>
    <row r="1295">
      <c r="B1295" s="14"/>
      <c r="P1295" s="12"/>
    </row>
    <row r="1296">
      <c r="B1296" s="14"/>
      <c r="P1296" s="12"/>
    </row>
    <row r="1297">
      <c r="B1297" s="14"/>
      <c r="P1297" s="12"/>
    </row>
    <row r="1298">
      <c r="B1298" s="14"/>
      <c r="P1298" s="12"/>
    </row>
    <row r="1299">
      <c r="B1299" s="14"/>
      <c r="P1299" s="12"/>
    </row>
    <row r="1300">
      <c r="B1300" s="14"/>
      <c r="P1300" s="12"/>
    </row>
    <row r="1301">
      <c r="B1301" s="14"/>
      <c r="P1301" s="12"/>
    </row>
    <row r="1302">
      <c r="B1302" s="14"/>
      <c r="P1302" s="12"/>
    </row>
    <row r="1303">
      <c r="B1303" s="14"/>
      <c r="P1303" s="12"/>
    </row>
    <row r="1304">
      <c r="B1304" s="14"/>
      <c r="P1304" s="12"/>
    </row>
    <row r="1305">
      <c r="B1305" s="14"/>
      <c r="P1305" s="12"/>
    </row>
    <row r="1306">
      <c r="B1306" s="14"/>
      <c r="P1306" s="12"/>
    </row>
    <row r="1307">
      <c r="B1307" s="14"/>
      <c r="P1307" s="12"/>
    </row>
    <row r="1308">
      <c r="B1308" s="14"/>
      <c r="P1308" s="12"/>
    </row>
    <row r="1309">
      <c r="B1309" s="14"/>
      <c r="P1309" s="12"/>
    </row>
    <row r="1310">
      <c r="B1310" s="14"/>
      <c r="P1310" s="12"/>
    </row>
    <row r="1311">
      <c r="B1311" s="14"/>
      <c r="P1311" s="12"/>
    </row>
    <row r="1312">
      <c r="B1312" s="14"/>
      <c r="P1312" s="12"/>
    </row>
    <row r="1313">
      <c r="B1313" s="14"/>
      <c r="P1313" s="12"/>
    </row>
    <row r="1314">
      <c r="B1314" s="14"/>
      <c r="P1314" s="12"/>
    </row>
    <row r="1315">
      <c r="B1315" s="14"/>
      <c r="P1315" s="12"/>
    </row>
    <row r="1316">
      <c r="B1316" s="14"/>
      <c r="P1316" s="12"/>
    </row>
    <row r="1317">
      <c r="B1317" s="14"/>
      <c r="P1317" s="12"/>
    </row>
    <row r="1318">
      <c r="B1318" s="14"/>
      <c r="P1318" s="12"/>
    </row>
    <row r="1319">
      <c r="B1319" s="14"/>
      <c r="P1319" s="12"/>
    </row>
    <row r="1320">
      <c r="B1320" s="14"/>
      <c r="P1320" s="12"/>
    </row>
    <row r="1321">
      <c r="B1321" s="14"/>
      <c r="P1321" s="12"/>
    </row>
    <row r="1322">
      <c r="B1322" s="14"/>
      <c r="P1322" s="12"/>
    </row>
    <row r="1323">
      <c r="B1323" s="14"/>
      <c r="P1323" s="12"/>
    </row>
    <row r="1324">
      <c r="B1324" s="14"/>
      <c r="P1324" s="12"/>
    </row>
    <row r="1325">
      <c r="B1325" s="14"/>
      <c r="P1325" s="12"/>
    </row>
    <row r="1326">
      <c r="B1326" s="14"/>
      <c r="P1326" s="12"/>
    </row>
    <row r="1327">
      <c r="B1327" s="14"/>
      <c r="P1327" s="12"/>
    </row>
    <row r="1328">
      <c r="B1328" s="14"/>
      <c r="P1328" s="12"/>
    </row>
    <row r="1329">
      <c r="B1329" s="14"/>
      <c r="P1329" s="12"/>
    </row>
    <row r="1330">
      <c r="B1330" s="14"/>
      <c r="P1330" s="12"/>
    </row>
    <row r="1331">
      <c r="B1331" s="14"/>
      <c r="P1331" s="12"/>
    </row>
    <row r="1332">
      <c r="B1332" s="14"/>
      <c r="P1332" s="12"/>
    </row>
    <row r="1333">
      <c r="B1333" s="14"/>
      <c r="P1333" s="12"/>
    </row>
    <row r="1334">
      <c r="B1334" s="14"/>
      <c r="P1334" s="12"/>
    </row>
    <row r="1335">
      <c r="B1335" s="14"/>
      <c r="P1335" s="12"/>
    </row>
    <row r="1336">
      <c r="B1336" s="14"/>
      <c r="P1336" s="12"/>
    </row>
    <row r="1337">
      <c r="B1337" s="14"/>
      <c r="P1337" s="12"/>
    </row>
    <row r="1338">
      <c r="B1338" s="14"/>
      <c r="P1338" s="12"/>
    </row>
    <row r="1339">
      <c r="B1339" s="14"/>
      <c r="P1339" s="12"/>
    </row>
    <row r="1340">
      <c r="B1340" s="14"/>
      <c r="P1340" s="12"/>
    </row>
    <row r="1341">
      <c r="B1341" s="14"/>
      <c r="P1341" s="12"/>
    </row>
    <row r="1342">
      <c r="B1342" s="14"/>
      <c r="P1342" s="12"/>
    </row>
    <row r="1343">
      <c r="B1343" s="14"/>
      <c r="P1343" s="12"/>
    </row>
    <row r="1344">
      <c r="B1344" s="14"/>
      <c r="P1344" s="12"/>
    </row>
    <row r="1345">
      <c r="B1345" s="14"/>
      <c r="P1345" s="12"/>
    </row>
    <row r="1346">
      <c r="B1346" s="14"/>
      <c r="P1346" s="12"/>
    </row>
    <row r="1347">
      <c r="B1347" s="14"/>
      <c r="P1347" s="12"/>
    </row>
    <row r="1348">
      <c r="B1348" s="14"/>
      <c r="P1348" s="12"/>
    </row>
    <row r="1349">
      <c r="B1349" s="14"/>
      <c r="P1349" s="12"/>
    </row>
    <row r="1350">
      <c r="B1350" s="14"/>
      <c r="P1350" s="12"/>
    </row>
    <row r="1351">
      <c r="B1351" s="14"/>
      <c r="P1351" s="12"/>
    </row>
    <row r="1352">
      <c r="B1352" s="14"/>
      <c r="P1352" s="12"/>
    </row>
    <row r="1353">
      <c r="B1353" s="14"/>
      <c r="P1353" s="12"/>
    </row>
    <row r="1354">
      <c r="B1354" s="14"/>
      <c r="P1354" s="12"/>
    </row>
    <row r="1355">
      <c r="B1355" s="14"/>
      <c r="P1355" s="12"/>
    </row>
    <row r="1356">
      <c r="B1356" s="14"/>
      <c r="P1356" s="12"/>
    </row>
    <row r="1357">
      <c r="B1357" s="14"/>
      <c r="P1357" s="12"/>
    </row>
    <row r="1358">
      <c r="B1358" s="14"/>
      <c r="P1358" s="12"/>
    </row>
    <row r="1359">
      <c r="B1359" s="14"/>
      <c r="P1359" s="12"/>
    </row>
    <row r="1360">
      <c r="B1360" s="14"/>
      <c r="P1360" s="12"/>
    </row>
    <row r="1361">
      <c r="B1361" s="14"/>
      <c r="P1361" s="12"/>
    </row>
    <row r="1362">
      <c r="B1362" s="14"/>
      <c r="P1362" s="12"/>
    </row>
    <row r="1363">
      <c r="B1363" s="14"/>
      <c r="P1363" s="12"/>
    </row>
    <row r="1364">
      <c r="B1364" s="14"/>
      <c r="P1364" s="12"/>
    </row>
    <row r="1365">
      <c r="B1365" s="14"/>
      <c r="P1365" s="12"/>
    </row>
    <row r="1366">
      <c r="B1366" s="14"/>
      <c r="P1366" s="12"/>
    </row>
    <row r="1367">
      <c r="B1367" s="14"/>
      <c r="P1367" s="12"/>
    </row>
    <row r="1368">
      <c r="B1368" s="14"/>
      <c r="P1368" s="12"/>
    </row>
    <row r="1369">
      <c r="B1369" s="14"/>
      <c r="P1369" s="12"/>
    </row>
    <row r="1370">
      <c r="B1370" s="14"/>
      <c r="P1370" s="12"/>
    </row>
    <row r="1371">
      <c r="B1371" s="14"/>
      <c r="P1371" s="12"/>
    </row>
    <row r="1372">
      <c r="B1372" s="14"/>
      <c r="P1372" s="12"/>
    </row>
    <row r="1373">
      <c r="B1373" s="14"/>
      <c r="P1373" s="12"/>
    </row>
    <row r="1374">
      <c r="B1374" s="14"/>
      <c r="P1374" s="12"/>
    </row>
    <row r="1375">
      <c r="B1375" s="14"/>
      <c r="P1375" s="12"/>
    </row>
    <row r="1376">
      <c r="B1376" s="14"/>
      <c r="P1376" s="12"/>
    </row>
    <row r="1377">
      <c r="B1377" s="14"/>
      <c r="P1377" s="12"/>
    </row>
    <row r="1378">
      <c r="B1378" s="14"/>
      <c r="P1378" s="12"/>
    </row>
    <row r="1379">
      <c r="B1379" s="14"/>
      <c r="P1379" s="12"/>
    </row>
    <row r="1380">
      <c r="B1380" s="14"/>
      <c r="P1380" s="12"/>
    </row>
    <row r="1381">
      <c r="B1381" s="14"/>
      <c r="P1381" s="12"/>
    </row>
    <row r="1382">
      <c r="B1382" s="14"/>
      <c r="P1382" s="12"/>
    </row>
    <row r="1383">
      <c r="B1383" s="14"/>
      <c r="P1383" s="12"/>
    </row>
    <row r="1384">
      <c r="B1384" s="14"/>
      <c r="P1384" s="12"/>
    </row>
    <row r="1385">
      <c r="B1385" s="14"/>
      <c r="P1385" s="12"/>
    </row>
    <row r="1386">
      <c r="B1386" s="14"/>
      <c r="P1386" s="12"/>
    </row>
    <row r="1387">
      <c r="B1387" s="14"/>
      <c r="P1387" s="12"/>
    </row>
    <row r="1388">
      <c r="B1388" s="14"/>
      <c r="P1388" s="12"/>
    </row>
    <row r="1389">
      <c r="B1389" s="14"/>
      <c r="P1389" s="12"/>
    </row>
    <row r="1390">
      <c r="B1390" s="14"/>
      <c r="P1390" s="12"/>
    </row>
    <row r="1391">
      <c r="B1391" s="14"/>
      <c r="P1391" s="12"/>
    </row>
    <row r="1392">
      <c r="B1392" s="14"/>
      <c r="P1392" s="12"/>
    </row>
    <row r="1393">
      <c r="B1393" s="14"/>
      <c r="P1393" s="12"/>
    </row>
    <row r="1394">
      <c r="B1394" s="14"/>
      <c r="P1394" s="12"/>
    </row>
    <row r="1395">
      <c r="B1395" s="14"/>
      <c r="P1395" s="12"/>
    </row>
    <row r="1396">
      <c r="B1396" s="14"/>
      <c r="P1396" s="12"/>
    </row>
    <row r="1397">
      <c r="B1397" s="14"/>
      <c r="P1397" s="12"/>
    </row>
    <row r="1398">
      <c r="B1398" s="14"/>
      <c r="P1398" s="12"/>
    </row>
    <row r="1399">
      <c r="B1399" s="14"/>
      <c r="P1399" s="12"/>
    </row>
    <row r="1400">
      <c r="B1400" s="14"/>
      <c r="P1400" s="12"/>
    </row>
    <row r="1401">
      <c r="B1401" s="14"/>
      <c r="P1401" s="12"/>
    </row>
    <row r="1402">
      <c r="B1402" s="14"/>
      <c r="P1402" s="12"/>
    </row>
    <row r="1403">
      <c r="B1403" s="14"/>
      <c r="P1403" s="12"/>
    </row>
    <row r="1404">
      <c r="B1404" s="14"/>
      <c r="P1404" s="12"/>
    </row>
    <row r="1405">
      <c r="B1405" s="14"/>
      <c r="P1405" s="12"/>
    </row>
    <row r="1406">
      <c r="B1406" s="14"/>
      <c r="P1406" s="12"/>
    </row>
    <row r="1407">
      <c r="B1407" s="14"/>
      <c r="P1407" s="12"/>
    </row>
    <row r="1408">
      <c r="B1408" s="14"/>
      <c r="P1408" s="12"/>
    </row>
    <row r="1409">
      <c r="B1409" s="14"/>
      <c r="P1409" s="12"/>
    </row>
    <row r="1410">
      <c r="B1410" s="14"/>
      <c r="P1410" s="12"/>
    </row>
    <row r="1411">
      <c r="B1411" s="14"/>
      <c r="P1411" s="12"/>
    </row>
    <row r="1412">
      <c r="B1412" s="14"/>
      <c r="P1412" s="12"/>
    </row>
    <row r="1413">
      <c r="B1413" s="14"/>
      <c r="P1413" s="12"/>
    </row>
    <row r="1414">
      <c r="B1414" s="14"/>
      <c r="P1414" s="12"/>
    </row>
    <row r="1415">
      <c r="B1415" s="14"/>
      <c r="P1415" s="12"/>
    </row>
    <row r="1416">
      <c r="B1416" s="14"/>
      <c r="P1416" s="12"/>
    </row>
    <row r="1417">
      <c r="B1417" s="14"/>
      <c r="P1417" s="12"/>
    </row>
    <row r="1418">
      <c r="B1418" s="14"/>
      <c r="P1418" s="12"/>
    </row>
    <row r="1419">
      <c r="B1419" s="14"/>
      <c r="P1419" s="12"/>
    </row>
    <row r="1420">
      <c r="B1420" s="14"/>
      <c r="P1420" s="12"/>
    </row>
    <row r="1421">
      <c r="B1421" s="14"/>
      <c r="P1421" s="12"/>
    </row>
    <row r="1422">
      <c r="B1422" s="14"/>
      <c r="P1422" s="12"/>
    </row>
    <row r="1423">
      <c r="B1423" s="14"/>
      <c r="P1423" s="12"/>
    </row>
    <row r="1424">
      <c r="B1424" s="14"/>
      <c r="P1424" s="12"/>
    </row>
    <row r="1425">
      <c r="B1425" s="14"/>
      <c r="P1425" s="12"/>
    </row>
    <row r="1426">
      <c r="B1426" s="14"/>
      <c r="P1426" s="12"/>
    </row>
    <row r="1427">
      <c r="B1427" s="14"/>
      <c r="P1427" s="12"/>
    </row>
    <row r="1428">
      <c r="B1428" s="14"/>
      <c r="P1428" s="12"/>
    </row>
    <row r="1429">
      <c r="B1429" s="14"/>
      <c r="P1429" s="12"/>
    </row>
    <row r="1430">
      <c r="B1430" s="14"/>
      <c r="P1430" s="12"/>
    </row>
    <row r="1431">
      <c r="B1431" s="14"/>
      <c r="P1431" s="12"/>
    </row>
    <row r="1432">
      <c r="B1432" s="14"/>
      <c r="P1432" s="12"/>
    </row>
    <row r="1433">
      <c r="B1433" s="14"/>
      <c r="P1433" s="12"/>
    </row>
    <row r="1434">
      <c r="B1434" s="14"/>
      <c r="P1434" s="12"/>
    </row>
    <row r="1435">
      <c r="B1435" s="14"/>
      <c r="P1435" s="12"/>
    </row>
    <row r="1436">
      <c r="B1436" s="14"/>
      <c r="P1436" s="12"/>
    </row>
    <row r="1437">
      <c r="B1437" s="14"/>
      <c r="P1437" s="12"/>
    </row>
    <row r="1438">
      <c r="B1438" s="14"/>
      <c r="P1438" s="12"/>
    </row>
    <row r="1439">
      <c r="B1439" s="14"/>
      <c r="P1439" s="12"/>
    </row>
    <row r="1440">
      <c r="B1440" s="14"/>
      <c r="P1440" s="12"/>
    </row>
    <row r="1441">
      <c r="B1441" s="14"/>
      <c r="P1441" s="12"/>
    </row>
    <row r="1442">
      <c r="B1442" s="14"/>
      <c r="P1442" s="12"/>
    </row>
    <row r="1443">
      <c r="B1443" s="14"/>
      <c r="P1443" s="12"/>
    </row>
    <row r="1444">
      <c r="B1444" s="14"/>
      <c r="P1444" s="12"/>
    </row>
    <row r="1445">
      <c r="B1445" s="14"/>
      <c r="P1445" s="12"/>
    </row>
    <row r="1446">
      <c r="B1446" s="14"/>
      <c r="P1446" s="12"/>
    </row>
    <row r="1447">
      <c r="B1447" s="14"/>
      <c r="P1447" s="12"/>
    </row>
    <row r="1448">
      <c r="B1448" s="14"/>
      <c r="P1448" s="12"/>
    </row>
    <row r="1449">
      <c r="B1449" s="14"/>
      <c r="P1449" s="12"/>
    </row>
    <row r="1450">
      <c r="B1450" s="14"/>
      <c r="P1450" s="12"/>
    </row>
    <row r="1451">
      <c r="B1451" s="14"/>
      <c r="P1451" s="12"/>
    </row>
    <row r="1452">
      <c r="B1452" s="14"/>
      <c r="P1452" s="12"/>
    </row>
    <row r="1453">
      <c r="B1453" s="14"/>
      <c r="P1453" s="12"/>
    </row>
    <row r="1454">
      <c r="B1454" s="14"/>
      <c r="P1454" s="12"/>
    </row>
    <row r="1455">
      <c r="B1455" s="14"/>
      <c r="P1455" s="12"/>
    </row>
    <row r="1456">
      <c r="B1456" s="14"/>
      <c r="P1456" s="12"/>
    </row>
    <row r="1457">
      <c r="B1457" s="14"/>
      <c r="P1457" s="12"/>
    </row>
    <row r="1458">
      <c r="B1458" s="14"/>
      <c r="P1458" s="12"/>
    </row>
    <row r="1459">
      <c r="B1459" s="14"/>
      <c r="P1459" s="12"/>
    </row>
    <row r="1460">
      <c r="B1460" s="14"/>
      <c r="P1460" s="12"/>
    </row>
    <row r="1461">
      <c r="B1461" s="14"/>
      <c r="P1461" s="12"/>
    </row>
    <row r="1462">
      <c r="B1462" s="14"/>
      <c r="P1462" s="12"/>
    </row>
    <row r="1463">
      <c r="B1463" s="14"/>
      <c r="P1463" s="12"/>
    </row>
    <row r="1464">
      <c r="B1464" s="14"/>
      <c r="P1464" s="12"/>
    </row>
    <row r="1465">
      <c r="B1465" s="14"/>
      <c r="P1465" s="12"/>
    </row>
    <row r="1466">
      <c r="B1466" s="14"/>
      <c r="P1466" s="12"/>
    </row>
    <row r="1467">
      <c r="B1467" s="14"/>
      <c r="P1467" s="12"/>
    </row>
    <row r="1468">
      <c r="B1468" s="14"/>
      <c r="P1468" s="12"/>
    </row>
    <row r="1469">
      <c r="B1469" s="14"/>
      <c r="P1469" s="12"/>
    </row>
    <row r="1470">
      <c r="B1470" s="14"/>
      <c r="P1470" s="12"/>
    </row>
    <row r="1471">
      <c r="B1471" s="14"/>
      <c r="P1471" s="12"/>
    </row>
    <row r="1472">
      <c r="B1472" s="14"/>
      <c r="P1472" s="12"/>
    </row>
    <row r="1473">
      <c r="B1473" s="14"/>
      <c r="P1473" s="12"/>
    </row>
    <row r="1474">
      <c r="B1474" s="14"/>
      <c r="P1474" s="12"/>
    </row>
    <row r="1475">
      <c r="B1475" s="14"/>
      <c r="P1475" s="12"/>
    </row>
    <row r="1476">
      <c r="B1476" s="14"/>
      <c r="P1476" s="12"/>
    </row>
    <row r="1477">
      <c r="B1477" s="14"/>
      <c r="P1477" s="12"/>
    </row>
    <row r="1478">
      <c r="B1478" s="14"/>
      <c r="P1478" s="12"/>
    </row>
    <row r="1479">
      <c r="B1479" s="14"/>
      <c r="P1479" s="12"/>
    </row>
    <row r="1480">
      <c r="B1480" s="14"/>
      <c r="P1480" s="12"/>
    </row>
    <row r="1481">
      <c r="B1481" s="14"/>
      <c r="P1481" s="12"/>
    </row>
    <row r="1482">
      <c r="B1482" s="14"/>
      <c r="P1482" s="12"/>
    </row>
    <row r="1483">
      <c r="B1483" s="14"/>
      <c r="P1483" s="12"/>
    </row>
    <row r="1484">
      <c r="B1484" s="14"/>
      <c r="P1484" s="12"/>
    </row>
    <row r="1485">
      <c r="B1485" s="14"/>
      <c r="P1485" s="12"/>
    </row>
    <row r="1486">
      <c r="B1486" s="14"/>
      <c r="P1486" s="12"/>
    </row>
    <row r="1487">
      <c r="B1487" s="14"/>
      <c r="P1487" s="12"/>
    </row>
    <row r="1488">
      <c r="B1488" s="14"/>
      <c r="P1488" s="12"/>
    </row>
    <row r="1489">
      <c r="B1489" s="14"/>
      <c r="P1489" s="12"/>
    </row>
    <row r="1490">
      <c r="B1490" s="14"/>
      <c r="P1490" s="12"/>
    </row>
    <row r="1491">
      <c r="B1491" s="14"/>
      <c r="P1491" s="12"/>
    </row>
    <row r="1492">
      <c r="B1492" s="14"/>
      <c r="P1492" s="12"/>
    </row>
    <row r="1493">
      <c r="B1493" s="14"/>
      <c r="P1493" s="12"/>
    </row>
    <row r="1494">
      <c r="B1494" s="14"/>
      <c r="P1494" s="12"/>
    </row>
    <row r="1495">
      <c r="B1495" s="14"/>
      <c r="P1495" s="12"/>
    </row>
    <row r="1496">
      <c r="B1496" s="14"/>
      <c r="P1496" s="12"/>
    </row>
    <row r="1497">
      <c r="B1497" s="14"/>
      <c r="P1497" s="12"/>
    </row>
    <row r="1498">
      <c r="B1498" s="14"/>
      <c r="P1498" s="12"/>
    </row>
    <row r="1499">
      <c r="B1499" s="14"/>
      <c r="P1499" s="12"/>
    </row>
    <row r="1500">
      <c r="B1500" s="14"/>
      <c r="P1500" s="12"/>
    </row>
    <row r="1501">
      <c r="B1501" s="14"/>
      <c r="P1501" s="12"/>
    </row>
    <row r="1502">
      <c r="B1502" s="14"/>
      <c r="P1502" s="12"/>
    </row>
    <row r="1503">
      <c r="B1503" s="14"/>
      <c r="P1503" s="12"/>
    </row>
    <row r="1504">
      <c r="B1504" s="14"/>
      <c r="P1504" s="12"/>
    </row>
    <row r="1505">
      <c r="B1505" s="14"/>
      <c r="P1505" s="12"/>
    </row>
    <row r="1506">
      <c r="B1506" s="14"/>
      <c r="P1506" s="12"/>
    </row>
    <row r="1507">
      <c r="B1507" s="14"/>
      <c r="P1507" s="12"/>
    </row>
    <row r="1508">
      <c r="B1508" s="14"/>
      <c r="P1508" s="12"/>
    </row>
    <row r="1509">
      <c r="B1509" s="14"/>
      <c r="P1509" s="12"/>
    </row>
    <row r="1510">
      <c r="B1510" s="14"/>
      <c r="P1510" s="12"/>
    </row>
    <row r="1511">
      <c r="B1511" s="14"/>
      <c r="P1511" s="12"/>
    </row>
    <row r="1512">
      <c r="B1512" s="14"/>
      <c r="P1512" s="12"/>
    </row>
    <row r="1513">
      <c r="B1513" s="14"/>
      <c r="P1513" s="12"/>
    </row>
    <row r="1514">
      <c r="B1514" s="14"/>
      <c r="P1514" s="12"/>
    </row>
    <row r="1515">
      <c r="B1515" s="14"/>
      <c r="P1515" s="12"/>
    </row>
    <row r="1516">
      <c r="B1516" s="14"/>
      <c r="P1516" s="12"/>
    </row>
    <row r="1517">
      <c r="B1517" s="14"/>
      <c r="P1517" s="12"/>
    </row>
    <row r="1518">
      <c r="B1518" s="14"/>
      <c r="P1518" s="12"/>
    </row>
    <row r="1519">
      <c r="B1519" s="14"/>
      <c r="P1519" s="12"/>
    </row>
    <row r="1520">
      <c r="B1520" s="14"/>
      <c r="P1520" s="12"/>
    </row>
    <row r="1521">
      <c r="B1521" s="14"/>
      <c r="P1521" s="12"/>
    </row>
    <row r="1522">
      <c r="B1522" s="14"/>
      <c r="P1522" s="12"/>
    </row>
    <row r="1523">
      <c r="B1523" s="14"/>
      <c r="P1523" s="12"/>
    </row>
    <row r="1524">
      <c r="B1524" s="14"/>
      <c r="P1524" s="12"/>
    </row>
    <row r="1525">
      <c r="B1525" s="14"/>
      <c r="P1525" s="12"/>
    </row>
    <row r="1526">
      <c r="B1526" s="14"/>
      <c r="P1526" s="12"/>
    </row>
    <row r="1527">
      <c r="B1527" s="14"/>
      <c r="P1527" s="12"/>
    </row>
    <row r="1528">
      <c r="B1528" s="14"/>
      <c r="P1528" s="12"/>
    </row>
    <row r="1529">
      <c r="B1529" s="14"/>
      <c r="P1529" s="12"/>
    </row>
    <row r="1530">
      <c r="B1530" s="14"/>
      <c r="P1530" s="12"/>
    </row>
    <row r="1531">
      <c r="B1531" s="14"/>
      <c r="P1531" s="12"/>
    </row>
    <row r="1532">
      <c r="B1532" s="14"/>
      <c r="P1532" s="12"/>
    </row>
    <row r="1533">
      <c r="B1533" s="14"/>
      <c r="P1533" s="12"/>
    </row>
    <row r="1534">
      <c r="B1534" s="14"/>
      <c r="P1534" s="12"/>
    </row>
    <row r="1535">
      <c r="B1535" s="14"/>
      <c r="P1535" s="12"/>
    </row>
    <row r="1536">
      <c r="B1536" s="14"/>
      <c r="P1536" s="12"/>
    </row>
    <row r="1537">
      <c r="B1537" s="14"/>
      <c r="P1537" s="12"/>
    </row>
    <row r="1538">
      <c r="B1538" s="14"/>
      <c r="P1538" s="12"/>
    </row>
    <row r="1539">
      <c r="B1539" s="14"/>
      <c r="P1539" s="12"/>
    </row>
    <row r="1540">
      <c r="B1540" s="14"/>
      <c r="P1540" s="12"/>
    </row>
    <row r="1541">
      <c r="B1541" s="14"/>
      <c r="P1541" s="12"/>
    </row>
    <row r="1542">
      <c r="B1542" s="14"/>
      <c r="P1542" s="12"/>
    </row>
    <row r="1543">
      <c r="B1543" s="14"/>
      <c r="P1543" s="12"/>
    </row>
    <row r="1544">
      <c r="B1544" s="14"/>
      <c r="P1544" s="12"/>
    </row>
    <row r="1545">
      <c r="B1545" s="14"/>
      <c r="P1545" s="12"/>
    </row>
    <row r="1546">
      <c r="B1546" s="14"/>
      <c r="P1546" s="12"/>
    </row>
    <row r="1547">
      <c r="B1547" s="14"/>
      <c r="P1547" s="12"/>
    </row>
    <row r="1548">
      <c r="B1548" s="14"/>
      <c r="P1548" s="12"/>
    </row>
    <row r="1549">
      <c r="B1549" s="14"/>
      <c r="P1549" s="12"/>
    </row>
    <row r="1550">
      <c r="B1550" s="14"/>
      <c r="P1550" s="12"/>
    </row>
    <row r="1551">
      <c r="B1551" s="14"/>
      <c r="P1551" s="12"/>
    </row>
    <row r="1552">
      <c r="B1552" s="14"/>
      <c r="P1552" s="12"/>
    </row>
    <row r="1553">
      <c r="B1553" s="14"/>
      <c r="P1553" s="12"/>
    </row>
    <row r="1554">
      <c r="B1554" s="14"/>
      <c r="P1554" s="12"/>
    </row>
    <row r="1555">
      <c r="B1555" s="14"/>
      <c r="P1555" s="12"/>
    </row>
    <row r="1556">
      <c r="B1556" s="14"/>
      <c r="P1556" s="12"/>
    </row>
    <row r="1557">
      <c r="B1557" s="14"/>
      <c r="P1557" s="12"/>
    </row>
    <row r="1558">
      <c r="B1558" s="14"/>
      <c r="P1558" s="12"/>
    </row>
    <row r="1559">
      <c r="B1559" s="14"/>
      <c r="P1559" s="12"/>
    </row>
    <row r="1560">
      <c r="B1560" s="14"/>
      <c r="P1560" s="12"/>
    </row>
    <row r="1561">
      <c r="B1561" s="14"/>
      <c r="P1561" s="12"/>
    </row>
    <row r="1562">
      <c r="B1562" s="14"/>
      <c r="P1562" s="12"/>
    </row>
    <row r="1563">
      <c r="B1563" s="14"/>
      <c r="P1563" s="12"/>
    </row>
    <row r="1564">
      <c r="B1564" s="14"/>
      <c r="P1564" s="12"/>
    </row>
    <row r="1565">
      <c r="B1565" s="14"/>
      <c r="P1565" s="12"/>
    </row>
    <row r="1566">
      <c r="B1566" s="14"/>
      <c r="P1566" s="12"/>
    </row>
    <row r="1567">
      <c r="B1567" s="14"/>
      <c r="P1567" s="12"/>
    </row>
    <row r="1568">
      <c r="B1568" s="14"/>
      <c r="P1568" s="12"/>
    </row>
    <row r="1569">
      <c r="B1569" s="14"/>
      <c r="P1569" s="12"/>
    </row>
    <row r="1570">
      <c r="B1570" s="14"/>
      <c r="P1570" s="12"/>
    </row>
    <row r="1571">
      <c r="B1571" s="14"/>
      <c r="P1571" s="12"/>
    </row>
    <row r="1572">
      <c r="B1572" s="14"/>
      <c r="P1572" s="12"/>
    </row>
    <row r="1573">
      <c r="B1573" s="14"/>
      <c r="P1573" s="12"/>
    </row>
    <row r="1574">
      <c r="B1574" s="14"/>
      <c r="P1574" s="12"/>
    </row>
    <row r="1575">
      <c r="B1575" s="14"/>
      <c r="P1575" s="12"/>
    </row>
    <row r="1576">
      <c r="B1576" s="14"/>
      <c r="P1576" s="12"/>
    </row>
    <row r="1577">
      <c r="B1577" s="14"/>
      <c r="P1577" s="12"/>
    </row>
    <row r="1578">
      <c r="B1578" s="14"/>
      <c r="P1578" s="12"/>
    </row>
    <row r="1579">
      <c r="B1579" s="14"/>
      <c r="P1579" s="12"/>
    </row>
    <row r="1580">
      <c r="B1580" s="14"/>
      <c r="P1580" s="12"/>
    </row>
    <row r="1581">
      <c r="B1581" s="14"/>
      <c r="P1581" s="12"/>
    </row>
    <row r="1582">
      <c r="B1582" s="14"/>
      <c r="P1582" s="12"/>
    </row>
    <row r="1583">
      <c r="B1583" s="14"/>
      <c r="P1583" s="12"/>
    </row>
    <row r="1584">
      <c r="B1584" s="14"/>
      <c r="P1584" s="12"/>
    </row>
    <row r="1585">
      <c r="B1585" s="14"/>
      <c r="P1585" s="12"/>
    </row>
    <row r="1586">
      <c r="B1586" s="14"/>
      <c r="P1586" s="12"/>
    </row>
    <row r="1587">
      <c r="B1587" s="14"/>
      <c r="P1587" s="12"/>
    </row>
    <row r="1588">
      <c r="B1588" s="14"/>
      <c r="P1588" s="12"/>
    </row>
    <row r="1589">
      <c r="B1589" s="14"/>
      <c r="P1589" s="12"/>
    </row>
    <row r="1590">
      <c r="B1590" s="14"/>
      <c r="P1590" s="12"/>
    </row>
    <row r="1591">
      <c r="B1591" s="14"/>
      <c r="P1591" s="12"/>
    </row>
    <row r="1592">
      <c r="B1592" s="14"/>
      <c r="P1592" s="12"/>
    </row>
    <row r="1593">
      <c r="B1593" s="14"/>
      <c r="P1593" s="12"/>
    </row>
    <row r="1594">
      <c r="B1594" s="14"/>
      <c r="P1594" s="12"/>
    </row>
    <row r="1595">
      <c r="B1595" s="14"/>
      <c r="P1595" s="12"/>
    </row>
    <row r="1596">
      <c r="B1596" s="14"/>
      <c r="P1596" s="12"/>
    </row>
    <row r="1597">
      <c r="B1597" s="14"/>
      <c r="P1597" s="12"/>
    </row>
    <row r="1598">
      <c r="B1598" s="14"/>
      <c r="P1598" s="12"/>
    </row>
    <row r="1599">
      <c r="B1599" s="14"/>
      <c r="P1599" s="12"/>
    </row>
    <row r="1600">
      <c r="B1600" s="14"/>
      <c r="P1600" s="12"/>
    </row>
    <row r="1601">
      <c r="B1601" s="14"/>
      <c r="P1601" s="12"/>
    </row>
    <row r="1602">
      <c r="B1602" s="14"/>
      <c r="P1602" s="12"/>
    </row>
    <row r="1603">
      <c r="B1603" s="14"/>
      <c r="P1603" s="12"/>
    </row>
    <row r="1604">
      <c r="B1604" s="14"/>
      <c r="P1604" s="12"/>
    </row>
    <row r="1605">
      <c r="B1605" s="14"/>
      <c r="P1605" s="12"/>
    </row>
    <row r="1606">
      <c r="B1606" s="14"/>
      <c r="P1606" s="12"/>
    </row>
    <row r="1607">
      <c r="B1607" s="14"/>
      <c r="P1607" s="12"/>
    </row>
    <row r="1608">
      <c r="B1608" s="14"/>
      <c r="P1608" s="12"/>
    </row>
    <row r="1609">
      <c r="B1609" s="14"/>
      <c r="P1609" s="12"/>
    </row>
    <row r="1610">
      <c r="B1610" s="14"/>
      <c r="P1610" s="12"/>
    </row>
    <row r="1611">
      <c r="B1611" s="14"/>
      <c r="P1611" s="12"/>
    </row>
    <row r="1612">
      <c r="B1612" s="14"/>
      <c r="P1612" s="12"/>
    </row>
    <row r="1613">
      <c r="B1613" s="14"/>
      <c r="P1613" s="12"/>
    </row>
    <row r="1614">
      <c r="B1614" s="14"/>
      <c r="P1614" s="12"/>
    </row>
    <row r="1615">
      <c r="B1615" s="14"/>
      <c r="P1615" s="12"/>
    </row>
    <row r="1616">
      <c r="B1616" s="14"/>
      <c r="P1616" s="12"/>
    </row>
    <row r="1617">
      <c r="B1617" s="14"/>
      <c r="P1617" s="12"/>
    </row>
    <row r="1618">
      <c r="B1618" s="14"/>
      <c r="P1618" s="12"/>
    </row>
    <row r="1619">
      <c r="B1619" s="14"/>
      <c r="P1619" s="12"/>
    </row>
    <row r="1620">
      <c r="B1620" s="14"/>
      <c r="P1620" s="12"/>
    </row>
    <row r="1621">
      <c r="B1621" s="14"/>
      <c r="P1621" s="12"/>
    </row>
    <row r="1622">
      <c r="B1622" s="14"/>
      <c r="P1622" s="12"/>
    </row>
    <row r="1623">
      <c r="B1623" s="14"/>
      <c r="P1623" s="12"/>
    </row>
    <row r="1624">
      <c r="B1624" s="14"/>
      <c r="P1624" s="12"/>
    </row>
    <row r="1625">
      <c r="B1625" s="14"/>
      <c r="P1625" s="12"/>
    </row>
    <row r="1626">
      <c r="B1626" s="14"/>
      <c r="P1626" s="12"/>
    </row>
    <row r="1627">
      <c r="B1627" s="14"/>
      <c r="P1627" s="12"/>
    </row>
    <row r="1628">
      <c r="B1628" s="14"/>
      <c r="P1628" s="12"/>
    </row>
    <row r="1629">
      <c r="B1629" s="14"/>
      <c r="P1629" s="12"/>
    </row>
    <row r="1630">
      <c r="B1630" s="14"/>
      <c r="P1630" s="12"/>
    </row>
    <row r="1631">
      <c r="B1631" s="14"/>
      <c r="P1631" s="12"/>
    </row>
    <row r="1632">
      <c r="B1632" s="14"/>
      <c r="P1632" s="12"/>
    </row>
    <row r="1633">
      <c r="B1633" s="14"/>
      <c r="P1633" s="12"/>
    </row>
    <row r="1634">
      <c r="B1634" s="14"/>
      <c r="P1634" s="12"/>
    </row>
    <row r="1635">
      <c r="B1635" s="14"/>
      <c r="P1635" s="12"/>
    </row>
    <row r="1636">
      <c r="B1636" s="14"/>
      <c r="P1636" s="12"/>
    </row>
    <row r="1637">
      <c r="B1637" s="14"/>
      <c r="P1637" s="12"/>
    </row>
    <row r="1638">
      <c r="B1638" s="14"/>
      <c r="P1638" s="12"/>
    </row>
    <row r="1639">
      <c r="B1639" s="14"/>
      <c r="P1639" s="12"/>
    </row>
    <row r="1640">
      <c r="B1640" s="14"/>
      <c r="P1640" s="12"/>
    </row>
    <row r="1641">
      <c r="B1641" s="14"/>
      <c r="P1641" s="12"/>
    </row>
    <row r="1642">
      <c r="B1642" s="14"/>
      <c r="P1642" s="12"/>
    </row>
    <row r="1643">
      <c r="B1643" s="14"/>
      <c r="P1643" s="12"/>
    </row>
    <row r="1644">
      <c r="B1644" s="14"/>
      <c r="P1644" s="12"/>
    </row>
    <row r="1645">
      <c r="B1645" s="14"/>
      <c r="P1645" s="12"/>
    </row>
    <row r="1646">
      <c r="B1646" s="14"/>
      <c r="P1646" s="12"/>
    </row>
    <row r="1647">
      <c r="B1647" s="14"/>
      <c r="P1647" s="12"/>
    </row>
    <row r="1648">
      <c r="B1648" s="14"/>
      <c r="P1648" s="12"/>
    </row>
    <row r="1649">
      <c r="B1649" s="14"/>
      <c r="P1649" s="12"/>
    </row>
    <row r="1650">
      <c r="B1650" s="14"/>
      <c r="P1650" s="12"/>
    </row>
    <row r="1651">
      <c r="B1651" s="14"/>
      <c r="P1651" s="12"/>
    </row>
    <row r="1652">
      <c r="B1652" s="14"/>
      <c r="P1652" s="12"/>
    </row>
    <row r="1653">
      <c r="B1653" s="14"/>
      <c r="P1653" s="12"/>
    </row>
    <row r="1654">
      <c r="B1654" s="14"/>
      <c r="P1654" s="12"/>
    </row>
    <row r="1655">
      <c r="B1655" s="14"/>
      <c r="P1655" s="12"/>
    </row>
    <row r="1656">
      <c r="B1656" s="14"/>
      <c r="P1656" s="12"/>
    </row>
    <row r="1657">
      <c r="B1657" s="14"/>
      <c r="P1657" s="12"/>
    </row>
    <row r="1658">
      <c r="B1658" s="14"/>
      <c r="P1658" s="12"/>
    </row>
    <row r="1659">
      <c r="B1659" s="14"/>
      <c r="P1659" s="12"/>
    </row>
    <row r="1660">
      <c r="B1660" s="14"/>
      <c r="P1660" s="12"/>
    </row>
    <row r="1661">
      <c r="B1661" s="14"/>
      <c r="P1661" s="12"/>
    </row>
    <row r="1662">
      <c r="B1662" s="14"/>
      <c r="P1662" s="12"/>
    </row>
    <row r="1663">
      <c r="B1663" s="14"/>
      <c r="P1663" s="12"/>
    </row>
    <row r="1664">
      <c r="B1664" s="14"/>
      <c r="P1664" s="12"/>
    </row>
    <row r="1665">
      <c r="B1665" s="14"/>
      <c r="P1665" s="12"/>
    </row>
    <row r="1666">
      <c r="B1666" s="14"/>
      <c r="P1666" s="12"/>
    </row>
    <row r="1667">
      <c r="B1667" s="14"/>
      <c r="P1667" s="12"/>
    </row>
    <row r="1668">
      <c r="B1668" s="14"/>
      <c r="P1668" s="12"/>
    </row>
    <row r="1669">
      <c r="B1669" s="14"/>
      <c r="P1669" s="12"/>
    </row>
    <row r="1670">
      <c r="B1670" s="14"/>
      <c r="P1670" s="12"/>
    </row>
    <row r="1671">
      <c r="B1671" s="14"/>
      <c r="P1671" s="12"/>
    </row>
    <row r="1672">
      <c r="B1672" s="14"/>
      <c r="P1672" s="12"/>
    </row>
    <row r="1673">
      <c r="B1673" s="14"/>
      <c r="P1673" s="12"/>
    </row>
    <row r="1674">
      <c r="B1674" s="14"/>
      <c r="P1674" s="12"/>
    </row>
    <row r="1675">
      <c r="B1675" s="14"/>
      <c r="P1675" s="12"/>
    </row>
    <row r="1676">
      <c r="B1676" s="14"/>
      <c r="P1676" s="12"/>
    </row>
    <row r="1677">
      <c r="B1677" s="14"/>
      <c r="P1677" s="12"/>
    </row>
    <row r="1678">
      <c r="B1678" s="14"/>
      <c r="P1678" s="12"/>
    </row>
    <row r="1679">
      <c r="B1679" s="14"/>
      <c r="P1679" s="12"/>
    </row>
    <row r="1680">
      <c r="B1680" s="14"/>
      <c r="P1680" s="12"/>
    </row>
    <row r="1681">
      <c r="B1681" s="14"/>
      <c r="P1681" s="12"/>
    </row>
    <row r="1682">
      <c r="B1682" s="14"/>
      <c r="P1682" s="12"/>
    </row>
    <row r="1683">
      <c r="B1683" s="14"/>
      <c r="P1683" s="12"/>
    </row>
    <row r="1684">
      <c r="B1684" s="14"/>
      <c r="P1684" s="12"/>
    </row>
    <row r="1685">
      <c r="B1685" s="14"/>
      <c r="P1685" s="12"/>
    </row>
    <row r="1686">
      <c r="B1686" s="14"/>
      <c r="P1686" s="12"/>
    </row>
    <row r="1687">
      <c r="B1687" s="14"/>
      <c r="P1687" s="12"/>
    </row>
    <row r="1688">
      <c r="B1688" s="14"/>
      <c r="P1688" s="12"/>
    </row>
    <row r="1689">
      <c r="B1689" s="14"/>
      <c r="P1689" s="12"/>
    </row>
    <row r="1690">
      <c r="B1690" s="14"/>
      <c r="P1690" s="12"/>
    </row>
    <row r="1691">
      <c r="B1691" s="14"/>
      <c r="P1691" s="12"/>
    </row>
    <row r="1692">
      <c r="B1692" s="14"/>
      <c r="P1692" s="12"/>
    </row>
    <row r="1693">
      <c r="B1693" s="14"/>
      <c r="P1693" s="12"/>
    </row>
    <row r="1694">
      <c r="B1694" s="14"/>
      <c r="P1694" s="12"/>
    </row>
    <row r="1695">
      <c r="B1695" s="14"/>
      <c r="P1695" s="12"/>
    </row>
    <row r="1696">
      <c r="B1696" s="14"/>
      <c r="P1696" s="12"/>
    </row>
    <row r="1697">
      <c r="B1697" s="14"/>
      <c r="P1697" s="12"/>
    </row>
    <row r="1698">
      <c r="B1698" s="14"/>
      <c r="P1698" s="12"/>
    </row>
    <row r="1699">
      <c r="B1699" s="14"/>
      <c r="P1699" s="12"/>
    </row>
    <row r="1700">
      <c r="B1700" s="14"/>
      <c r="P1700" s="12"/>
    </row>
    <row r="1701">
      <c r="B1701" s="14"/>
      <c r="P1701" s="12"/>
    </row>
    <row r="1702">
      <c r="B1702" s="14"/>
      <c r="P1702" s="12"/>
    </row>
    <row r="1703">
      <c r="B1703" s="14"/>
      <c r="P1703" s="12"/>
    </row>
    <row r="1704">
      <c r="B1704" s="14"/>
      <c r="P1704" s="12"/>
    </row>
    <row r="1705">
      <c r="B1705" s="14"/>
      <c r="P1705" s="12"/>
    </row>
    <row r="1706">
      <c r="B1706" s="14"/>
      <c r="P1706" s="12"/>
    </row>
    <row r="1707">
      <c r="B1707" s="14"/>
      <c r="P1707" s="12"/>
    </row>
    <row r="1708">
      <c r="B1708" s="14"/>
      <c r="P1708" s="12"/>
    </row>
    <row r="1709">
      <c r="B1709" s="14"/>
      <c r="P1709" s="12"/>
    </row>
    <row r="1710">
      <c r="B1710" s="14"/>
      <c r="P1710" s="12"/>
    </row>
    <row r="1711">
      <c r="B1711" s="14"/>
      <c r="P1711" s="12"/>
    </row>
    <row r="1712">
      <c r="B1712" s="14"/>
      <c r="P1712" s="12"/>
    </row>
    <row r="1713">
      <c r="B1713" s="14"/>
      <c r="P1713" s="12"/>
    </row>
    <row r="1714">
      <c r="B1714" s="14"/>
      <c r="P1714" s="12"/>
    </row>
    <row r="1715">
      <c r="B1715" s="14"/>
      <c r="P1715" s="12"/>
    </row>
    <row r="1716">
      <c r="B1716" s="14"/>
      <c r="P1716" s="12"/>
    </row>
    <row r="1717">
      <c r="B1717" s="14"/>
      <c r="P1717" s="12"/>
    </row>
    <row r="1718">
      <c r="B1718" s="14"/>
      <c r="P1718" s="12"/>
    </row>
    <row r="1719">
      <c r="B1719" s="14"/>
      <c r="P1719" s="12"/>
    </row>
    <row r="1720">
      <c r="B1720" s="14"/>
      <c r="P1720" s="12"/>
    </row>
    <row r="1721">
      <c r="B1721" s="14"/>
      <c r="P1721" s="12"/>
    </row>
    <row r="1722">
      <c r="B1722" s="14"/>
      <c r="P1722" s="12"/>
    </row>
    <row r="1723">
      <c r="B1723" s="14"/>
      <c r="P1723" s="12"/>
    </row>
    <row r="1724">
      <c r="B1724" s="14"/>
      <c r="P1724" s="12"/>
    </row>
    <row r="1725">
      <c r="B1725" s="14"/>
      <c r="P1725" s="12"/>
    </row>
    <row r="1726">
      <c r="B1726" s="14"/>
      <c r="P1726" s="12"/>
    </row>
    <row r="1727">
      <c r="B1727" s="14"/>
      <c r="P1727" s="12"/>
    </row>
    <row r="1728">
      <c r="B1728" s="14"/>
      <c r="P1728" s="12"/>
    </row>
    <row r="1729">
      <c r="B1729" s="14"/>
      <c r="P1729" s="12"/>
    </row>
    <row r="1730">
      <c r="B1730" s="14"/>
      <c r="P1730" s="12"/>
    </row>
    <row r="1731">
      <c r="B1731" s="14"/>
      <c r="P1731" s="12"/>
    </row>
    <row r="1732">
      <c r="B1732" s="14"/>
      <c r="P1732" s="12"/>
    </row>
    <row r="1733">
      <c r="B1733" s="14"/>
      <c r="P1733" s="12"/>
    </row>
    <row r="1734">
      <c r="B1734" s="14"/>
      <c r="P1734" s="12"/>
    </row>
    <row r="1735">
      <c r="B1735" s="14"/>
      <c r="P1735" s="12"/>
    </row>
    <row r="1736">
      <c r="B1736" s="14"/>
      <c r="P1736" s="12"/>
    </row>
    <row r="1737">
      <c r="B1737" s="14"/>
      <c r="P1737" s="12"/>
    </row>
    <row r="1738">
      <c r="B1738" s="14"/>
      <c r="P1738" s="12"/>
    </row>
    <row r="1739">
      <c r="B1739" s="14"/>
      <c r="P1739" s="12"/>
    </row>
    <row r="1740">
      <c r="B1740" s="14"/>
      <c r="P1740" s="12"/>
    </row>
    <row r="1741">
      <c r="B1741" s="14"/>
      <c r="P1741" s="12"/>
    </row>
    <row r="1742">
      <c r="B1742" s="14"/>
      <c r="P1742" s="12"/>
    </row>
    <row r="1743">
      <c r="B1743" s="14"/>
      <c r="P1743" s="12"/>
    </row>
    <row r="1744">
      <c r="B1744" s="14"/>
      <c r="P1744" s="12"/>
    </row>
    <row r="1745">
      <c r="B1745" s="14"/>
      <c r="P1745" s="12"/>
    </row>
    <row r="1746">
      <c r="B1746" s="14"/>
      <c r="P1746" s="12"/>
    </row>
    <row r="1747">
      <c r="B1747" s="14"/>
      <c r="P1747" s="12"/>
    </row>
    <row r="1748">
      <c r="B1748" s="14"/>
      <c r="P1748" s="12"/>
    </row>
    <row r="1749">
      <c r="B1749" s="14"/>
      <c r="P1749" s="12"/>
    </row>
    <row r="1750">
      <c r="B1750" s="14"/>
      <c r="P1750" s="12"/>
    </row>
    <row r="1751">
      <c r="B1751" s="14"/>
      <c r="P1751" s="12"/>
    </row>
    <row r="1752">
      <c r="B1752" s="14"/>
      <c r="P1752" s="12"/>
    </row>
    <row r="1753">
      <c r="B1753" s="14"/>
      <c r="P1753" s="12"/>
    </row>
    <row r="1754">
      <c r="B1754" s="14"/>
      <c r="P1754" s="12"/>
    </row>
    <row r="1755">
      <c r="B1755" s="14"/>
      <c r="P1755" s="12"/>
    </row>
    <row r="1756">
      <c r="B1756" s="14"/>
      <c r="P1756" s="12"/>
    </row>
    <row r="1757">
      <c r="B1757" s="14"/>
      <c r="P1757" s="12"/>
    </row>
    <row r="1758">
      <c r="B1758" s="14"/>
      <c r="P1758" s="12"/>
    </row>
    <row r="1759">
      <c r="B1759" s="14"/>
      <c r="P1759" s="12"/>
    </row>
    <row r="1760">
      <c r="B1760" s="14"/>
      <c r="P1760" s="12"/>
    </row>
    <row r="1761">
      <c r="B1761" s="14"/>
      <c r="P1761" s="12"/>
    </row>
    <row r="1762">
      <c r="B1762" s="14"/>
      <c r="P1762" s="12"/>
    </row>
    <row r="1763">
      <c r="B1763" s="14"/>
      <c r="P1763" s="12"/>
    </row>
    <row r="1764">
      <c r="B1764" s="14"/>
      <c r="P1764" s="12"/>
    </row>
    <row r="1765">
      <c r="B1765" s="14"/>
      <c r="P1765" s="12"/>
    </row>
    <row r="1766">
      <c r="B1766" s="14"/>
      <c r="P1766" s="12"/>
    </row>
    <row r="1767">
      <c r="B1767" s="14"/>
      <c r="P1767" s="12"/>
    </row>
    <row r="1768">
      <c r="B1768" s="14"/>
      <c r="P1768" s="12"/>
    </row>
    <row r="1769">
      <c r="B1769" s="14"/>
      <c r="P1769" s="12"/>
    </row>
    <row r="1770">
      <c r="B1770" s="14"/>
      <c r="P1770" s="12"/>
    </row>
    <row r="1771">
      <c r="B1771" s="14"/>
      <c r="P1771" s="12"/>
    </row>
    <row r="1772">
      <c r="B1772" s="14"/>
      <c r="P1772" s="12"/>
    </row>
    <row r="1773">
      <c r="B1773" s="14"/>
      <c r="P1773" s="12"/>
    </row>
    <row r="1774">
      <c r="B1774" s="14"/>
      <c r="P1774" s="12"/>
    </row>
    <row r="1775">
      <c r="B1775" s="14"/>
      <c r="P1775" s="12"/>
    </row>
    <row r="1776">
      <c r="B1776" s="14"/>
      <c r="P1776" s="12"/>
    </row>
    <row r="1777">
      <c r="B1777" s="14"/>
      <c r="P1777" s="12"/>
    </row>
    <row r="1778">
      <c r="B1778" s="14"/>
      <c r="P1778" s="12"/>
    </row>
    <row r="1779">
      <c r="B1779" s="14"/>
      <c r="P1779" s="12"/>
    </row>
    <row r="1780">
      <c r="B1780" s="14"/>
      <c r="P1780" s="12"/>
    </row>
    <row r="1781">
      <c r="B1781" s="14"/>
      <c r="P1781" s="12"/>
    </row>
    <row r="1782">
      <c r="B1782" s="14"/>
      <c r="P1782" s="12"/>
    </row>
    <row r="1783">
      <c r="B1783" s="14"/>
      <c r="P1783" s="12"/>
    </row>
    <row r="1784">
      <c r="B1784" s="14"/>
      <c r="P1784" s="12"/>
    </row>
    <row r="1785">
      <c r="B1785" s="14"/>
      <c r="P1785" s="12"/>
    </row>
    <row r="1786">
      <c r="B1786" s="14"/>
      <c r="P1786" s="12"/>
    </row>
    <row r="1787">
      <c r="B1787" s="14"/>
      <c r="P1787" s="12"/>
    </row>
    <row r="1788">
      <c r="B1788" s="14"/>
      <c r="P1788" s="12"/>
    </row>
    <row r="1789">
      <c r="B1789" s="14"/>
      <c r="P1789" s="12"/>
    </row>
    <row r="1790">
      <c r="B1790" s="14"/>
      <c r="P1790" s="12"/>
    </row>
    <row r="1791">
      <c r="B1791" s="14"/>
      <c r="P1791" s="12"/>
    </row>
    <row r="1792">
      <c r="B1792" s="14"/>
      <c r="P1792" s="12"/>
    </row>
    <row r="1793">
      <c r="B1793" s="14"/>
      <c r="P1793" s="12"/>
    </row>
    <row r="1794">
      <c r="B1794" s="14"/>
      <c r="P1794" s="12"/>
    </row>
    <row r="1795">
      <c r="B1795" s="14"/>
      <c r="P1795" s="12"/>
    </row>
    <row r="1796">
      <c r="B1796" s="14"/>
      <c r="P1796" s="12"/>
    </row>
    <row r="1797">
      <c r="B1797" s="14"/>
      <c r="P1797" s="12"/>
    </row>
    <row r="1798">
      <c r="B1798" s="14"/>
      <c r="P1798" s="12"/>
    </row>
    <row r="1799">
      <c r="B1799" s="14"/>
      <c r="P1799" s="12"/>
    </row>
    <row r="1800">
      <c r="B1800" s="14"/>
      <c r="P1800" s="12"/>
    </row>
    <row r="1801">
      <c r="B1801" s="14"/>
      <c r="P1801" s="12"/>
    </row>
    <row r="1802">
      <c r="B1802" s="14"/>
      <c r="P1802" s="12"/>
    </row>
    <row r="1803">
      <c r="B1803" s="14"/>
      <c r="P1803" s="12"/>
    </row>
    <row r="1804">
      <c r="B1804" s="14"/>
      <c r="P1804" s="12"/>
    </row>
    <row r="1805">
      <c r="B1805" s="14"/>
      <c r="P1805" s="12"/>
    </row>
    <row r="1806">
      <c r="B1806" s="14"/>
      <c r="P1806" s="12"/>
    </row>
    <row r="1807">
      <c r="B1807" s="14"/>
      <c r="P1807" s="12"/>
    </row>
    <row r="1808">
      <c r="B1808" s="14"/>
      <c r="P1808" s="12"/>
    </row>
    <row r="1809">
      <c r="B1809" s="14"/>
      <c r="P1809" s="12"/>
    </row>
    <row r="1810">
      <c r="B1810" s="14"/>
      <c r="P1810" s="12"/>
    </row>
    <row r="1811">
      <c r="B1811" s="14"/>
      <c r="P1811" s="12"/>
    </row>
    <row r="1812">
      <c r="B1812" s="14"/>
      <c r="P1812" s="12"/>
    </row>
    <row r="1813">
      <c r="B1813" s="14"/>
      <c r="P1813" s="12"/>
    </row>
    <row r="1814">
      <c r="B1814" s="14"/>
      <c r="P1814" s="12"/>
    </row>
    <row r="1815">
      <c r="B1815" s="14"/>
      <c r="P1815" s="12"/>
    </row>
    <row r="1816">
      <c r="B1816" s="14"/>
      <c r="P1816" s="12"/>
    </row>
    <row r="1817">
      <c r="B1817" s="14"/>
      <c r="P1817" s="12"/>
    </row>
    <row r="1818">
      <c r="B1818" s="14"/>
      <c r="P1818" s="12"/>
    </row>
    <row r="1819">
      <c r="B1819" s="14"/>
      <c r="P1819" s="12"/>
    </row>
    <row r="1820">
      <c r="B1820" s="14"/>
      <c r="P1820" s="12"/>
    </row>
    <row r="1821">
      <c r="B1821" s="14"/>
      <c r="P1821" s="12"/>
    </row>
    <row r="1822">
      <c r="B1822" s="14"/>
      <c r="P1822" s="12"/>
    </row>
    <row r="1823">
      <c r="B1823" s="14"/>
      <c r="P1823" s="12"/>
    </row>
    <row r="1824">
      <c r="B1824" s="14"/>
      <c r="P1824" s="12"/>
    </row>
    <row r="1825">
      <c r="B1825" s="14"/>
      <c r="P1825" s="12"/>
    </row>
    <row r="1826">
      <c r="B1826" s="14"/>
      <c r="P1826" s="12"/>
    </row>
    <row r="1827">
      <c r="B1827" s="14"/>
      <c r="P1827" s="12"/>
    </row>
    <row r="1828">
      <c r="B1828" s="14"/>
      <c r="P1828" s="12"/>
    </row>
    <row r="1829">
      <c r="B1829" s="14"/>
      <c r="P1829" s="12"/>
    </row>
    <row r="1830">
      <c r="B1830" s="14"/>
      <c r="P1830" s="12"/>
    </row>
    <row r="1831">
      <c r="B1831" s="14"/>
      <c r="P1831" s="12"/>
    </row>
    <row r="1832">
      <c r="B1832" s="14"/>
      <c r="P1832" s="12"/>
    </row>
    <row r="1833">
      <c r="B1833" s="14"/>
      <c r="P1833" s="12"/>
    </row>
    <row r="1834">
      <c r="B1834" s="14"/>
      <c r="P1834" s="12"/>
    </row>
    <row r="1835">
      <c r="B1835" s="14"/>
      <c r="P1835" s="12"/>
    </row>
    <row r="1836">
      <c r="B1836" s="14"/>
      <c r="P1836" s="12"/>
    </row>
    <row r="1837">
      <c r="B1837" s="14"/>
      <c r="P1837" s="12"/>
    </row>
    <row r="1838">
      <c r="B1838" s="14"/>
      <c r="P1838" s="12"/>
    </row>
    <row r="1839">
      <c r="B1839" s="14"/>
      <c r="P1839" s="12"/>
    </row>
    <row r="1840">
      <c r="B1840" s="14"/>
      <c r="P1840" s="12"/>
    </row>
    <row r="1841">
      <c r="B1841" s="14"/>
      <c r="P1841" s="12"/>
    </row>
    <row r="1842">
      <c r="B1842" s="14"/>
      <c r="P1842" s="12"/>
    </row>
    <row r="1843">
      <c r="B1843" s="14"/>
      <c r="P1843" s="12"/>
    </row>
    <row r="1844">
      <c r="B1844" s="14"/>
      <c r="P1844" s="12"/>
    </row>
    <row r="1845">
      <c r="B1845" s="14"/>
      <c r="P1845" s="12"/>
    </row>
    <row r="1846">
      <c r="B1846" s="14"/>
      <c r="P1846" s="12"/>
    </row>
    <row r="1847">
      <c r="B1847" s="14"/>
      <c r="P1847" s="12"/>
    </row>
    <row r="1848">
      <c r="B1848" s="14"/>
      <c r="P1848" s="12"/>
    </row>
    <row r="1849">
      <c r="B1849" s="14"/>
      <c r="P1849" s="12"/>
    </row>
    <row r="1850">
      <c r="B1850" s="14"/>
      <c r="P1850" s="12"/>
    </row>
    <row r="1851">
      <c r="B1851" s="14"/>
      <c r="P1851" s="12"/>
    </row>
    <row r="1852">
      <c r="B1852" s="14"/>
      <c r="P1852" s="12"/>
    </row>
    <row r="1853">
      <c r="B1853" s="14"/>
      <c r="P1853" s="12"/>
    </row>
    <row r="1854">
      <c r="B1854" s="14"/>
      <c r="P1854" s="12"/>
    </row>
    <row r="1855">
      <c r="B1855" s="14"/>
      <c r="P1855" s="12"/>
    </row>
    <row r="1856">
      <c r="B1856" s="14"/>
      <c r="P1856" s="12"/>
    </row>
    <row r="1857">
      <c r="B1857" s="14"/>
      <c r="P1857" s="12"/>
    </row>
    <row r="1858">
      <c r="B1858" s="14"/>
      <c r="P1858" s="12"/>
    </row>
    <row r="1859">
      <c r="B1859" s="14"/>
      <c r="P1859" s="12"/>
    </row>
    <row r="1860">
      <c r="B1860" s="14"/>
      <c r="P1860" s="12"/>
    </row>
    <row r="1861">
      <c r="B1861" s="14"/>
      <c r="P1861" s="12"/>
    </row>
    <row r="1862">
      <c r="B1862" s="14"/>
      <c r="P1862" s="12"/>
    </row>
    <row r="1863">
      <c r="B1863" s="14"/>
      <c r="P1863" s="12"/>
    </row>
    <row r="1864">
      <c r="B1864" s="14"/>
      <c r="P1864" s="12"/>
    </row>
    <row r="1865">
      <c r="B1865" s="14"/>
      <c r="P1865" s="12"/>
    </row>
    <row r="1866">
      <c r="B1866" s="14"/>
      <c r="P1866" s="12"/>
    </row>
    <row r="1867">
      <c r="B1867" s="14"/>
      <c r="P1867" s="12"/>
    </row>
    <row r="1868">
      <c r="B1868" s="14"/>
      <c r="P1868" s="12"/>
    </row>
    <row r="1869">
      <c r="B1869" s="14"/>
      <c r="P1869" s="12"/>
    </row>
    <row r="1870">
      <c r="B1870" s="14"/>
      <c r="P1870" s="12"/>
    </row>
    <row r="1871">
      <c r="B1871" s="14"/>
      <c r="P1871" s="12"/>
    </row>
    <row r="1872">
      <c r="B1872" s="14"/>
      <c r="P1872" s="12"/>
    </row>
    <row r="1873">
      <c r="B1873" s="14"/>
      <c r="P1873" s="12"/>
    </row>
    <row r="1874">
      <c r="B1874" s="14"/>
      <c r="P1874" s="12"/>
    </row>
    <row r="1875">
      <c r="B1875" s="14"/>
      <c r="P1875" s="12"/>
    </row>
    <row r="1876">
      <c r="B1876" s="14"/>
      <c r="P1876" s="12"/>
    </row>
    <row r="1877">
      <c r="B1877" s="14"/>
      <c r="P1877" s="12"/>
    </row>
    <row r="1878">
      <c r="B1878" s="14"/>
      <c r="P1878" s="12"/>
    </row>
    <row r="1879">
      <c r="B1879" s="14"/>
      <c r="P1879" s="12"/>
    </row>
    <row r="1880">
      <c r="B1880" s="14"/>
      <c r="P1880" s="12"/>
    </row>
    <row r="1881">
      <c r="B1881" s="14"/>
      <c r="P1881" s="12"/>
    </row>
    <row r="1882">
      <c r="B1882" s="14"/>
      <c r="P1882" s="12"/>
    </row>
    <row r="1883">
      <c r="B1883" s="14"/>
      <c r="P1883" s="12"/>
    </row>
    <row r="1884">
      <c r="B1884" s="14"/>
      <c r="P1884" s="12"/>
    </row>
    <row r="1885">
      <c r="B1885" s="14"/>
      <c r="P1885" s="12"/>
    </row>
    <row r="1886">
      <c r="B1886" s="14"/>
      <c r="P1886" s="12"/>
    </row>
    <row r="1887">
      <c r="B1887" s="14"/>
      <c r="P1887" s="12"/>
    </row>
    <row r="1888">
      <c r="B1888" s="14"/>
      <c r="P1888" s="12"/>
    </row>
    <row r="1889">
      <c r="B1889" s="14"/>
      <c r="P1889" s="12"/>
    </row>
    <row r="1890">
      <c r="B1890" s="14"/>
      <c r="P1890" s="12"/>
    </row>
    <row r="1891">
      <c r="B1891" s="14"/>
      <c r="P1891" s="12"/>
    </row>
    <row r="1892">
      <c r="B1892" s="14"/>
      <c r="P1892" s="12"/>
    </row>
    <row r="1893">
      <c r="B1893" s="14"/>
      <c r="P1893" s="12"/>
    </row>
    <row r="1894">
      <c r="B1894" s="14"/>
      <c r="P1894" s="12"/>
    </row>
    <row r="1895">
      <c r="B1895" s="14"/>
      <c r="P1895" s="12"/>
    </row>
    <row r="1896">
      <c r="B1896" s="14"/>
      <c r="P1896" s="12"/>
    </row>
    <row r="1897">
      <c r="B1897" s="14"/>
      <c r="P1897" s="12"/>
    </row>
    <row r="1898">
      <c r="B1898" s="14"/>
      <c r="P1898" s="12"/>
    </row>
    <row r="1899">
      <c r="B1899" s="14"/>
      <c r="P1899" s="12"/>
    </row>
    <row r="1900">
      <c r="B1900" s="14"/>
      <c r="P1900" s="12"/>
    </row>
    <row r="1901">
      <c r="B1901" s="14"/>
      <c r="P1901" s="12"/>
    </row>
    <row r="1902">
      <c r="B1902" s="14"/>
      <c r="P1902" s="12"/>
    </row>
    <row r="1903">
      <c r="B1903" s="14"/>
      <c r="P1903" s="12"/>
    </row>
    <row r="1904">
      <c r="B1904" s="14"/>
      <c r="P1904" s="12"/>
    </row>
    <row r="1905">
      <c r="B1905" s="14"/>
      <c r="P1905" s="12"/>
    </row>
    <row r="1906">
      <c r="B1906" s="14"/>
      <c r="P1906" s="12"/>
    </row>
    <row r="1907">
      <c r="B1907" s="14"/>
      <c r="P1907" s="12"/>
    </row>
    <row r="1908">
      <c r="B1908" s="14"/>
      <c r="P1908" s="12"/>
    </row>
    <row r="1909">
      <c r="B1909" s="14"/>
      <c r="P1909" s="12"/>
    </row>
    <row r="1910">
      <c r="B1910" s="14"/>
      <c r="P1910" s="12"/>
    </row>
    <row r="1911">
      <c r="B1911" s="14"/>
      <c r="P1911" s="12"/>
    </row>
    <row r="1912">
      <c r="B1912" s="14"/>
      <c r="P1912" s="12"/>
    </row>
    <row r="1913">
      <c r="B1913" s="14"/>
      <c r="P1913" s="12"/>
    </row>
    <row r="1914">
      <c r="B1914" s="14"/>
      <c r="P1914" s="12"/>
    </row>
    <row r="1915">
      <c r="B1915" s="14"/>
      <c r="P1915" s="12"/>
    </row>
    <row r="1916">
      <c r="B1916" s="14"/>
      <c r="P1916" s="12"/>
    </row>
    <row r="1917">
      <c r="B1917" s="14"/>
      <c r="P1917" s="12"/>
    </row>
    <row r="1918">
      <c r="B1918" s="14"/>
      <c r="P1918" s="12"/>
    </row>
    <row r="1919">
      <c r="B1919" s="14"/>
      <c r="P1919" s="12"/>
    </row>
    <row r="1920">
      <c r="B1920" s="14"/>
      <c r="P1920" s="12"/>
    </row>
    <row r="1921">
      <c r="B1921" s="14"/>
      <c r="P1921" s="12"/>
    </row>
    <row r="1922">
      <c r="B1922" s="14"/>
      <c r="P1922" s="12"/>
    </row>
    <row r="1923">
      <c r="B1923" s="14"/>
      <c r="P1923" s="12"/>
    </row>
    <row r="1924">
      <c r="B1924" s="14"/>
      <c r="P1924" s="12"/>
    </row>
    <row r="1925">
      <c r="B1925" s="14"/>
      <c r="P1925" s="12"/>
    </row>
    <row r="1926">
      <c r="B1926" s="14"/>
      <c r="P1926" s="12"/>
    </row>
    <row r="1927">
      <c r="B1927" s="14"/>
      <c r="P1927" s="12"/>
    </row>
    <row r="1928">
      <c r="B1928" s="14"/>
      <c r="P1928" s="12"/>
    </row>
    <row r="1929">
      <c r="B1929" s="14"/>
      <c r="P1929" s="12"/>
    </row>
    <row r="1930">
      <c r="B1930" s="14"/>
      <c r="P1930" s="12"/>
    </row>
    <row r="1931">
      <c r="B1931" s="14"/>
      <c r="P1931" s="12"/>
    </row>
    <row r="1932">
      <c r="B1932" s="14"/>
      <c r="P1932" s="12"/>
    </row>
    <row r="1933">
      <c r="B1933" s="14"/>
      <c r="P1933" s="12"/>
    </row>
    <row r="1934">
      <c r="B1934" s="14"/>
      <c r="P1934" s="12"/>
    </row>
    <row r="1935">
      <c r="B1935" s="14"/>
      <c r="P1935" s="12"/>
    </row>
    <row r="1936">
      <c r="B1936" s="14"/>
      <c r="P1936" s="12"/>
    </row>
    <row r="1937">
      <c r="B1937" s="14"/>
      <c r="P1937" s="12"/>
    </row>
    <row r="1938">
      <c r="B1938" s="14"/>
      <c r="P1938" s="12"/>
    </row>
    <row r="1939">
      <c r="B1939" s="14"/>
      <c r="P1939" s="12"/>
    </row>
    <row r="1940">
      <c r="B1940" s="14"/>
      <c r="P1940" s="12"/>
    </row>
    <row r="1941">
      <c r="B1941" s="14"/>
      <c r="P1941" s="12"/>
    </row>
    <row r="1942">
      <c r="B1942" s="14"/>
      <c r="P1942" s="12"/>
    </row>
    <row r="1943">
      <c r="B1943" s="14"/>
      <c r="P1943" s="12"/>
    </row>
    <row r="1944">
      <c r="B1944" s="14"/>
      <c r="P1944" s="12"/>
    </row>
    <row r="1945">
      <c r="B1945" s="14"/>
      <c r="P1945" s="12"/>
    </row>
    <row r="1946">
      <c r="B1946" s="14"/>
      <c r="P1946" s="12"/>
    </row>
    <row r="1947">
      <c r="B1947" s="14"/>
      <c r="P1947" s="12"/>
    </row>
    <row r="1948">
      <c r="B1948" s="14"/>
      <c r="P1948" s="12"/>
    </row>
    <row r="1949">
      <c r="B1949" s="14"/>
      <c r="P1949" s="12"/>
    </row>
    <row r="1950">
      <c r="B1950" s="14"/>
      <c r="P1950" s="12"/>
    </row>
    <row r="1951">
      <c r="B1951" s="14"/>
      <c r="P1951" s="12"/>
    </row>
    <row r="1952">
      <c r="B1952" s="14"/>
      <c r="P1952" s="12"/>
    </row>
    <row r="1953">
      <c r="B1953" s="14"/>
      <c r="P1953" s="12"/>
    </row>
    <row r="1954">
      <c r="B1954" s="14"/>
      <c r="P1954" s="12"/>
    </row>
    <row r="1955">
      <c r="B1955" s="14"/>
      <c r="P1955" s="12"/>
    </row>
    <row r="1956">
      <c r="B1956" s="14"/>
      <c r="P1956" s="12"/>
    </row>
    <row r="1957">
      <c r="B1957" s="14"/>
      <c r="P1957" s="12"/>
    </row>
    <row r="1958">
      <c r="B1958" s="14"/>
      <c r="P1958" s="12"/>
    </row>
    <row r="1959">
      <c r="B1959" s="14"/>
      <c r="P1959" s="12"/>
    </row>
    <row r="1960">
      <c r="B1960" s="14"/>
      <c r="P1960" s="12"/>
    </row>
    <row r="1961">
      <c r="B1961" s="14"/>
      <c r="P1961" s="12"/>
    </row>
    <row r="1962">
      <c r="B1962" s="14"/>
      <c r="P1962" s="12"/>
    </row>
    <row r="1963">
      <c r="B1963" s="14"/>
      <c r="P1963" s="12"/>
    </row>
    <row r="1964">
      <c r="B1964" s="14"/>
      <c r="P1964" s="12"/>
    </row>
    <row r="1965">
      <c r="B1965" s="14"/>
      <c r="P1965" s="12"/>
    </row>
    <row r="1966">
      <c r="B1966" s="14"/>
      <c r="P1966" s="12"/>
    </row>
    <row r="1967">
      <c r="B1967" s="14"/>
      <c r="P1967" s="12"/>
    </row>
    <row r="1968">
      <c r="B1968" s="14"/>
      <c r="P1968" s="12"/>
    </row>
    <row r="1969">
      <c r="B1969" s="14"/>
      <c r="P1969" s="12"/>
    </row>
    <row r="1970">
      <c r="B1970" s="14"/>
      <c r="P1970" s="12"/>
    </row>
    <row r="1971">
      <c r="B1971" s="14"/>
      <c r="P1971" s="12"/>
    </row>
    <row r="1972">
      <c r="B1972" s="14"/>
      <c r="P1972" s="12"/>
    </row>
    <row r="1973">
      <c r="B1973" s="14"/>
      <c r="P1973" s="12"/>
    </row>
    <row r="1974">
      <c r="B1974" s="14"/>
      <c r="P1974" s="12"/>
    </row>
    <row r="1975">
      <c r="B1975" s="14"/>
      <c r="P1975" s="12"/>
    </row>
    <row r="1976">
      <c r="B1976" s="14"/>
      <c r="P1976" s="12"/>
    </row>
    <row r="1977">
      <c r="B1977" s="14"/>
      <c r="P1977" s="12"/>
    </row>
    <row r="1978">
      <c r="B1978" s="14"/>
      <c r="P1978" s="12"/>
    </row>
    <row r="1979">
      <c r="B1979" s="14"/>
      <c r="P1979" s="12"/>
    </row>
    <row r="1980">
      <c r="B1980" s="14"/>
      <c r="P1980" s="12"/>
    </row>
    <row r="1981">
      <c r="B1981" s="14"/>
      <c r="P1981" s="12"/>
    </row>
    <row r="1982">
      <c r="B1982" s="14"/>
      <c r="P1982" s="12"/>
    </row>
    <row r="1983">
      <c r="B1983" s="14"/>
      <c r="P1983" s="12"/>
    </row>
    <row r="1984">
      <c r="B1984" s="14"/>
      <c r="P1984" s="12"/>
    </row>
    <row r="1985">
      <c r="B1985" s="14"/>
      <c r="P1985" s="12"/>
    </row>
    <row r="1986">
      <c r="B1986" s="14"/>
      <c r="P1986" s="12"/>
    </row>
    <row r="1987">
      <c r="B1987" s="14"/>
      <c r="P1987" s="12"/>
    </row>
    <row r="1988">
      <c r="B1988" s="14"/>
      <c r="P1988" s="12"/>
    </row>
    <row r="1989">
      <c r="B1989" s="14"/>
      <c r="P1989" s="12"/>
    </row>
    <row r="1990">
      <c r="B1990" s="14"/>
      <c r="P1990" s="12"/>
    </row>
    <row r="1991">
      <c r="B1991" s="14"/>
      <c r="P1991" s="12"/>
    </row>
    <row r="1992">
      <c r="B1992" s="14"/>
      <c r="P1992" s="12"/>
    </row>
    <row r="1993">
      <c r="B1993" s="14"/>
      <c r="P1993" s="12"/>
    </row>
    <row r="1994">
      <c r="B1994" s="14"/>
      <c r="P1994" s="12"/>
    </row>
    <row r="1995">
      <c r="B1995" s="14"/>
      <c r="P1995" s="12"/>
    </row>
    <row r="1996">
      <c r="B1996" s="14"/>
      <c r="P1996" s="12"/>
    </row>
    <row r="1997">
      <c r="B1997" s="14"/>
      <c r="P1997" s="12"/>
    </row>
    <row r="1998">
      <c r="B1998" s="14"/>
      <c r="P1998" s="12"/>
    </row>
    <row r="1999">
      <c r="B1999" s="14"/>
      <c r="P1999" s="12"/>
    </row>
    <row r="2000">
      <c r="B2000" s="14"/>
      <c r="P2000" s="12"/>
    </row>
    <row r="2001">
      <c r="B2001" s="14"/>
      <c r="P2001" s="12"/>
    </row>
    <row r="2002">
      <c r="B2002" s="14"/>
      <c r="P2002" s="12"/>
    </row>
    <row r="2003">
      <c r="B2003" s="14"/>
      <c r="P2003" s="12"/>
    </row>
    <row r="2004">
      <c r="B2004" s="14"/>
      <c r="P2004" s="12"/>
    </row>
    <row r="2005">
      <c r="B2005" s="14"/>
      <c r="P2005" s="12"/>
    </row>
    <row r="2006">
      <c r="B2006" s="14"/>
      <c r="P2006" s="12"/>
    </row>
    <row r="2007">
      <c r="B2007" s="14"/>
      <c r="P2007" s="12"/>
    </row>
    <row r="2008">
      <c r="B2008" s="14"/>
      <c r="P2008" s="12"/>
    </row>
    <row r="2009">
      <c r="B2009" s="14"/>
      <c r="P2009" s="12"/>
    </row>
    <row r="2010">
      <c r="B2010" s="14"/>
      <c r="P2010" s="12"/>
    </row>
    <row r="2011">
      <c r="B2011" s="14"/>
      <c r="P2011" s="12"/>
    </row>
    <row r="2012">
      <c r="B2012" s="14"/>
      <c r="P2012" s="12"/>
    </row>
    <row r="2013">
      <c r="B2013" s="14"/>
      <c r="P2013" s="12"/>
    </row>
    <row r="2014">
      <c r="B2014" s="14"/>
      <c r="P2014" s="12"/>
    </row>
    <row r="2015">
      <c r="B2015" s="14"/>
      <c r="P2015" s="12"/>
    </row>
    <row r="2016">
      <c r="B2016" s="14"/>
      <c r="P2016" s="12"/>
    </row>
    <row r="2017">
      <c r="B2017" s="14"/>
      <c r="P2017" s="12"/>
    </row>
    <row r="2018">
      <c r="B2018" s="14"/>
      <c r="P2018" s="12"/>
    </row>
    <row r="2019">
      <c r="B2019" s="14"/>
      <c r="P2019" s="12"/>
    </row>
    <row r="2020">
      <c r="B2020" s="14"/>
      <c r="P2020" s="12"/>
    </row>
    <row r="2021">
      <c r="B2021" s="14"/>
      <c r="P2021" s="12"/>
    </row>
    <row r="2022">
      <c r="B2022" s="14"/>
      <c r="P2022" s="12"/>
    </row>
    <row r="2023">
      <c r="B2023" s="14"/>
      <c r="P2023" s="12"/>
    </row>
    <row r="2024">
      <c r="B2024" s="14"/>
      <c r="P2024" s="12"/>
    </row>
    <row r="2025">
      <c r="B2025" s="14"/>
      <c r="P2025" s="12"/>
    </row>
    <row r="2026">
      <c r="B2026" s="14"/>
      <c r="P2026" s="12"/>
    </row>
    <row r="2027">
      <c r="B2027" s="14"/>
      <c r="P2027" s="12"/>
    </row>
    <row r="2028">
      <c r="B2028" s="14"/>
      <c r="P2028" s="12"/>
    </row>
    <row r="2029">
      <c r="B2029" s="14"/>
      <c r="P2029" s="12"/>
    </row>
    <row r="2030">
      <c r="B2030" s="14"/>
      <c r="P2030" s="12"/>
    </row>
    <row r="2031">
      <c r="B2031" s="14"/>
      <c r="P2031" s="12"/>
    </row>
    <row r="2032">
      <c r="B2032" s="14"/>
      <c r="P2032" s="12"/>
    </row>
    <row r="2033">
      <c r="B2033" s="14"/>
      <c r="P2033" s="12"/>
    </row>
    <row r="2034">
      <c r="B2034" s="14"/>
      <c r="P2034" s="12"/>
    </row>
    <row r="2035">
      <c r="B2035" s="14"/>
      <c r="P2035" s="12"/>
    </row>
    <row r="2036">
      <c r="B2036" s="14"/>
      <c r="P2036" s="12"/>
    </row>
    <row r="2037">
      <c r="B2037" s="14"/>
      <c r="P2037" s="12"/>
    </row>
    <row r="2038">
      <c r="B2038" s="14"/>
      <c r="P2038" s="12"/>
    </row>
    <row r="2039">
      <c r="B2039" s="14"/>
      <c r="P2039" s="12"/>
    </row>
    <row r="2040">
      <c r="B2040" s="14"/>
      <c r="P2040" s="12"/>
    </row>
    <row r="2041">
      <c r="B2041" s="14"/>
      <c r="P2041" s="12"/>
    </row>
    <row r="2042">
      <c r="B2042" s="14"/>
      <c r="P2042" s="12"/>
    </row>
    <row r="2043">
      <c r="B2043" s="14"/>
      <c r="P2043" s="12"/>
    </row>
    <row r="2044">
      <c r="B2044" s="14"/>
      <c r="P2044" s="12"/>
    </row>
    <row r="2045">
      <c r="B2045" s="14"/>
      <c r="P2045" s="12"/>
    </row>
    <row r="2046">
      <c r="B2046" s="14"/>
      <c r="P2046" s="12"/>
    </row>
    <row r="2047">
      <c r="B2047" s="14"/>
      <c r="P2047" s="12"/>
    </row>
    <row r="2048">
      <c r="B2048" s="14"/>
      <c r="P2048" s="12"/>
    </row>
    <row r="2049">
      <c r="B2049" s="14"/>
      <c r="P2049" s="12"/>
    </row>
    <row r="2050">
      <c r="B2050" s="14"/>
      <c r="P2050" s="12"/>
    </row>
    <row r="2051">
      <c r="B2051" s="14"/>
      <c r="P2051" s="12"/>
    </row>
    <row r="2052">
      <c r="B2052" s="14"/>
      <c r="P2052" s="12"/>
    </row>
    <row r="2053">
      <c r="B2053" s="14"/>
      <c r="P2053" s="12"/>
    </row>
    <row r="2054">
      <c r="B2054" s="14"/>
      <c r="P2054" s="12"/>
    </row>
    <row r="2055">
      <c r="B2055" s="14"/>
      <c r="P2055" s="12"/>
    </row>
    <row r="2056">
      <c r="B2056" s="14"/>
      <c r="P2056" s="12"/>
    </row>
    <row r="2057">
      <c r="B2057" s="14"/>
      <c r="P2057" s="12"/>
    </row>
    <row r="2058">
      <c r="B2058" s="14"/>
      <c r="P2058" s="12"/>
    </row>
    <row r="2059">
      <c r="B2059" s="14"/>
      <c r="P2059" s="12"/>
    </row>
    <row r="2060">
      <c r="B2060" s="14"/>
      <c r="P2060" s="12"/>
    </row>
    <row r="2061">
      <c r="B2061" s="14"/>
      <c r="P2061" s="12"/>
    </row>
    <row r="2062">
      <c r="B2062" s="14"/>
      <c r="P2062" s="12"/>
    </row>
    <row r="2063">
      <c r="B2063" s="14"/>
      <c r="P2063" s="12"/>
    </row>
    <row r="2064">
      <c r="B2064" s="14"/>
      <c r="P2064" s="12"/>
    </row>
    <row r="2065">
      <c r="B2065" s="14"/>
      <c r="P2065" s="12"/>
    </row>
    <row r="2066">
      <c r="B2066" s="14"/>
      <c r="P2066" s="12"/>
    </row>
    <row r="2067">
      <c r="B2067" s="14"/>
      <c r="P2067" s="12"/>
    </row>
    <row r="2068">
      <c r="B2068" s="14"/>
      <c r="P2068" s="12"/>
    </row>
    <row r="2069">
      <c r="B2069" s="14"/>
      <c r="P2069" s="12"/>
    </row>
    <row r="2070">
      <c r="B2070" s="14"/>
      <c r="P2070" s="12"/>
    </row>
    <row r="2071">
      <c r="B2071" s="14"/>
      <c r="P2071" s="12"/>
    </row>
    <row r="2072">
      <c r="B2072" s="14"/>
      <c r="P2072" s="12"/>
    </row>
    <row r="2073">
      <c r="B2073" s="14"/>
      <c r="P2073" s="12"/>
    </row>
    <row r="2074">
      <c r="B2074" s="14"/>
      <c r="P2074" s="12"/>
    </row>
    <row r="2075">
      <c r="B2075" s="14"/>
      <c r="P2075" s="12"/>
    </row>
    <row r="2076">
      <c r="B2076" s="14"/>
      <c r="P2076" s="12"/>
    </row>
    <row r="2077">
      <c r="B2077" s="14"/>
      <c r="P2077" s="12"/>
    </row>
    <row r="2078">
      <c r="B2078" s="14"/>
      <c r="P2078" s="12"/>
    </row>
    <row r="2079">
      <c r="B2079" s="14"/>
      <c r="P2079" s="12"/>
    </row>
    <row r="2080">
      <c r="B2080" s="14"/>
      <c r="P2080" s="12"/>
    </row>
    <row r="2081">
      <c r="B2081" s="14"/>
      <c r="P2081" s="12"/>
    </row>
    <row r="2082">
      <c r="B2082" s="14"/>
      <c r="P2082" s="12"/>
    </row>
    <row r="2083">
      <c r="B2083" s="14"/>
      <c r="P2083" s="12"/>
    </row>
    <row r="2084">
      <c r="B2084" s="14"/>
      <c r="P2084" s="12"/>
    </row>
    <row r="2085">
      <c r="B2085" s="14"/>
      <c r="P2085" s="12"/>
    </row>
    <row r="2086">
      <c r="B2086" s="14"/>
      <c r="P2086" s="12"/>
    </row>
    <row r="2087">
      <c r="B2087" s="14"/>
      <c r="P2087" s="12"/>
    </row>
    <row r="2088">
      <c r="B2088" s="14"/>
      <c r="P2088" s="12"/>
    </row>
    <row r="2089">
      <c r="B2089" s="14"/>
      <c r="P2089" s="12"/>
    </row>
    <row r="2090">
      <c r="B2090" s="14"/>
      <c r="P2090" s="12"/>
    </row>
    <row r="2091">
      <c r="B2091" s="14"/>
      <c r="P2091" s="12"/>
    </row>
    <row r="2092">
      <c r="B2092" s="14"/>
      <c r="P2092" s="12"/>
    </row>
    <row r="2093">
      <c r="B2093" s="14"/>
      <c r="P2093" s="12"/>
    </row>
    <row r="2094">
      <c r="B2094" s="14"/>
      <c r="P2094" s="12"/>
    </row>
    <row r="2095">
      <c r="B2095" s="14"/>
      <c r="P2095" s="12"/>
    </row>
    <row r="2096">
      <c r="B2096" s="14"/>
      <c r="P2096" s="12"/>
    </row>
    <row r="2097">
      <c r="B2097" s="14"/>
      <c r="P2097" s="12"/>
    </row>
    <row r="2098">
      <c r="B2098" s="14"/>
      <c r="P2098" s="12"/>
    </row>
    <row r="2099">
      <c r="B2099" s="14"/>
      <c r="P2099" s="12"/>
    </row>
    <row r="2100">
      <c r="B2100" s="14"/>
      <c r="P2100" s="12"/>
    </row>
    <row r="2101">
      <c r="B2101" s="14"/>
      <c r="P2101" s="12"/>
    </row>
    <row r="2102">
      <c r="B2102" s="14"/>
      <c r="P2102" s="12"/>
    </row>
    <row r="2103">
      <c r="B2103" s="14"/>
      <c r="P2103" s="12"/>
    </row>
    <row r="2104">
      <c r="B2104" s="14"/>
      <c r="P2104" s="12"/>
    </row>
    <row r="2105">
      <c r="B2105" s="14"/>
      <c r="P2105" s="12"/>
    </row>
    <row r="2106">
      <c r="B2106" s="14"/>
      <c r="P2106" s="12"/>
    </row>
    <row r="2107">
      <c r="B2107" s="14"/>
      <c r="P2107" s="12"/>
    </row>
    <row r="2108">
      <c r="B2108" s="14"/>
      <c r="P2108" s="12"/>
    </row>
    <row r="2109">
      <c r="B2109" s="14"/>
      <c r="P2109" s="12"/>
    </row>
    <row r="2110">
      <c r="B2110" s="14"/>
      <c r="P2110" s="12"/>
    </row>
    <row r="2111">
      <c r="B2111" s="14"/>
      <c r="P2111" s="12"/>
    </row>
    <row r="2112">
      <c r="B2112" s="14"/>
      <c r="P2112" s="12"/>
    </row>
    <row r="2113">
      <c r="B2113" s="14"/>
      <c r="P2113" s="12"/>
    </row>
    <row r="2114">
      <c r="B2114" s="14"/>
      <c r="P2114" s="12"/>
    </row>
    <row r="2115">
      <c r="B2115" s="14"/>
      <c r="P2115" s="12"/>
    </row>
    <row r="2116">
      <c r="B2116" s="14"/>
      <c r="P2116" s="12"/>
    </row>
    <row r="2117">
      <c r="B2117" s="14"/>
      <c r="P2117" s="12"/>
    </row>
    <row r="2118">
      <c r="B2118" s="14"/>
      <c r="P2118" s="12"/>
    </row>
    <row r="2119">
      <c r="B2119" s="14"/>
      <c r="P2119" s="12"/>
    </row>
    <row r="2120">
      <c r="B2120" s="14"/>
      <c r="P2120" s="12"/>
    </row>
    <row r="2121">
      <c r="B2121" s="14"/>
      <c r="P2121" s="12"/>
    </row>
    <row r="2122">
      <c r="B2122" s="14"/>
      <c r="P2122" s="12"/>
    </row>
    <row r="2123">
      <c r="B2123" s="14"/>
      <c r="P2123" s="12"/>
    </row>
    <row r="2124">
      <c r="B2124" s="14"/>
      <c r="P2124" s="12"/>
    </row>
    <row r="2125">
      <c r="B2125" s="14"/>
      <c r="P2125" s="12"/>
    </row>
    <row r="2126">
      <c r="B2126" s="14"/>
      <c r="P2126" s="12"/>
    </row>
    <row r="2127">
      <c r="B2127" s="14"/>
      <c r="P2127" s="12"/>
    </row>
    <row r="2128">
      <c r="B2128" s="14"/>
      <c r="P2128" s="12"/>
    </row>
    <row r="2129">
      <c r="B2129" s="14"/>
      <c r="P2129" s="12"/>
    </row>
    <row r="2130">
      <c r="B2130" s="14"/>
      <c r="P2130" s="12"/>
    </row>
    <row r="2131">
      <c r="B2131" s="14"/>
      <c r="P2131" s="12"/>
    </row>
    <row r="2132">
      <c r="B2132" s="14"/>
      <c r="P2132" s="12"/>
    </row>
    <row r="2133">
      <c r="B2133" s="14"/>
      <c r="P2133" s="12"/>
    </row>
    <row r="2134">
      <c r="B2134" s="14"/>
      <c r="P2134" s="12"/>
    </row>
    <row r="2135">
      <c r="B2135" s="14"/>
      <c r="P2135" s="12"/>
    </row>
    <row r="2136">
      <c r="B2136" s="14"/>
      <c r="P2136" s="12"/>
    </row>
    <row r="2137">
      <c r="B2137" s="14"/>
      <c r="P2137" s="12"/>
    </row>
    <row r="2138">
      <c r="B2138" s="14"/>
      <c r="P2138" s="12"/>
    </row>
    <row r="2139">
      <c r="B2139" s="14"/>
      <c r="P2139" s="12"/>
    </row>
    <row r="2140">
      <c r="B2140" s="14"/>
      <c r="P2140" s="12"/>
    </row>
    <row r="2141">
      <c r="B2141" s="14"/>
      <c r="P2141" s="12"/>
    </row>
    <row r="2142">
      <c r="B2142" s="14"/>
      <c r="P2142" s="12"/>
    </row>
    <row r="2143">
      <c r="B2143" s="14"/>
      <c r="P2143" s="12"/>
    </row>
    <row r="2144">
      <c r="B2144" s="14"/>
      <c r="P2144" s="12"/>
    </row>
    <row r="2145">
      <c r="B2145" s="14"/>
      <c r="P2145" s="12"/>
    </row>
    <row r="2146">
      <c r="B2146" s="14"/>
      <c r="P2146" s="12"/>
    </row>
    <row r="2147">
      <c r="B2147" s="14"/>
      <c r="P2147" s="12"/>
    </row>
    <row r="2148">
      <c r="B2148" s="14"/>
      <c r="P2148" s="12"/>
    </row>
    <row r="2149">
      <c r="B2149" s="14"/>
      <c r="P2149" s="12"/>
    </row>
    <row r="2150">
      <c r="B2150" s="14"/>
      <c r="P2150" s="12"/>
    </row>
    <row r="2151">
      <c r="B2151" s="14"/>
      <c r="P2151" s="12"/>
    </row>
    <row r="2152">
      <c r="B2152" s="14"/>
      <c r="P2152" s="12"/>
    </row>
    <row r="2153">
      <c r="B2153" s="14"/>
      <c r="P2153" s="12"/>
    </row>
    <row r="2154">
      <c r="B2154" s="14"/>
      <c r="P2154" s="12"/>
    </row>
    <row r="2155">
      <c r="B2155" s="14"/>
      <c r="P2155" s="12"/>
    </row>
    <row r="2156">
      <c r="B2156" s="14"/>
      <c r="P2156" s="12"/>
    </row>
    <row r="2157">
      <c r="B2157" s="14"/>
      <c r="P2157" s="12"/>
    </row>
    <row r="2158">
      <c r="B2158" s="14"/>
      <c r="P2158" s="12"/>
    </row>
    <row r="2159">
      <c r="B2159" s="14"/>
      <c r="P2159" s="12"/>
    </row>
    <row r="2160">
      <c r="B2160" s="14"/>
      <c r="P2160" s="12"/>
    </row>
    <row r="2161">
      <c r="B2161" s="14"/>
      <c r="P2161" s="12"/>
    </row>
    <row r="2162">
      <c r="B2162" s="14"/>
      <c r="P2162" s="12"/>
    </row>
    <row r="2163">
      <c r="B2163" s="14"/>
      <c r="P2163" s="12"/>
    </row>
    <row r="2164">
      <c r="B2164" s="14"/>
      <c r="P2164" s="12"/>
    </row>
    <row r="2165">
      <c r="B2165" s="14"/>
      <c r="P2165" s="12"/>
    </row>
    <row r="2166">
      <c r="B2166" s="14"/>
      <c r="P2166" s="12"/>
    </row>
    <row r="2167">
      <c r="B2167" s="14"/>
      <c r="P2167" s="12"/>
    </row>
    <row r="2168">
      <c r="B2168" s="14"/>
      <c r="P2168" s="12"/>
    </row>
    <row r="2169">
      <c r="B2169" s="14"/>
      <c r="P2169" s="12"/>
    </row>
    <row r="2170">
      <c r="B2170" s="14"/>
      <c r="P2170" s="12"/>
    </row>
    <row r="2171">
      <c r="B2171" s="14"/>
      <c r="P2171" s="12"/>
    </row>
    <row r="2172">
      <c r="B2172" s="14"/>
      <c r="P2172" s="12"/>
    </row>
    <row r="2173">
      <c r="B2173" s="14"/>
      <c r="P2173" s="12"/>
    </row>
    <row r="2174">
      <c r="B2174" s="14"/>
      <c r="P2174" s="12"/>
    </row>
    <row r="2175">
      <c r="B2175" s="14"/>
      <c r="P2175" s="12"/>
    </row>
    <row r="2176">
      <c r="B2176" s="14"/>
      <c r="P2176" s="12"/>
    </row>
    <row r="2177">
      <c r="B2177" s="14"/>
      <c r="P2177" s="12"/>
    </row>
    <row r="2178">
      <c r="B2178" s="14"/>
      <c r="P2178" s="12"/>
    </row>
    <row r="2179">
      <c r="B2179" s="14"/>
      <c r="P2179" s="12"/>
    </row>
    <row r="2180">
      <c r="B2180" s="14"/>
      <c r="P2180" s="12"/>
    </row>
    <row r="2181">
      <c r="B2181" s="14"/>
      <c r="P2181" s="12"/>
    </row>
    <row r="2182">
      <c r="B2182" s="14"/>
      <c r="P2182" s="12"/>
    </row>
    <row r="2183">
      <c r="B2183" s="14"/>
      <c r="P2183" s="12"/>
    </row>
    <row r="2184">
      <c r="B2184" s="14"/>
      <c r="P2184" s="12"/>
    </row>
    <row r="2185">
      <c r="B2185" s="14"/>
      <c r="P2185" s="12"/>
    </row>
    <row r="2186">
      <c r="B2186" s="14"/>
      <c r="P2186" s="12"/>
    </row>
    <row r="2187">
      <c r="B2187" s="14"/>
      <c r="P2187" s="12"/>
    </row>
    <row r="2188">
      <c r="B2188" s="14"/>
      <c r="P2188" s="12"/>
    </row>
    <row r="2189">
      <c r="B2189" s="14"/>
      <c r="P2189" s="12"/>
    </row>
    <row r="2190">
      <c r="B2190" s="14"/>
      <c r="P2190" s="12"/>
    </row>
    <row r="2191">
      <c r="B2191" s="14"/>
      <c r="P2191" s="12"/>
    </row>
    <row r="2192">
      <c r="B2192" s="14"/>
      <c r="P2192" s="12"/>
    </row>
    <row r="2193">
      <c r="B2193" s="14"/>
      <c r="P2193" s="12"/>
    </row>
    <row r="2194">
      <c r="B2194" s="14"/>
      <c r="P2194" s="12"/>
    </row>
    <row r="2195">
      <c r="B2195" s="14"/>
      <c r="P2195" s="12"/>
    </row>
    <row r="2196">
      <c r="B2196" s="14"/>
      <c r="P2196" s="12"/>
    </row>
    <row r="2197">
      <c r="B2197" s="14"/>
      <c r="P2197" s="12"/>
    </row>
    <row r="2198">
      <c r="B2198" s="14"/>
      <c r="P2198" s="12"/>
    </row>
    <row r="2199">
      <c r="B2199" s="14"/>
      <c r="P2199" s="12"/>
    </row>
    <row r="2200">
      <c r="B2200" s="14"/>
      <c r="P2200" s="12"/>
    </row>
    <row r="2201">
      <c r="B2201" s="14"/>
      <c r="P2201" s="12"/>
    </row>
    <row r="2202">
      <c r="B2202" s="14"/>
      <c r="P2202" s="12"/>
    </row>
    <row r="2203">
      <c r="B2203" s="14"/>
      <c r="P2203" s="12"/>
    </row>
    <row r="2204">
      <c r="B2204" s="14"/>
      <c r="P2204" s="12"/>
    </row>
    <row r="2205">
      <c r="B2205" s="14"/>
      <c r="P2205" s="12"/>
    </row>
    <row r="2206">
      <c r="B2206" s="14"/>
      <c r="P2206" s="12"/>
    </row>
    <row r="2207">
      <c r="B2207" s="14"/>
      <c r="P2207" s="12"/>
    </row>
    <row r="2208">
      <c r="B2208" s="14"/>
      <c r="P2208" s="12"/>
    </row>
    <row r="2209">
      <c r="B2209" s="14"/>
      <c r="P2209" s="12"/>
    </row>
    <row r="2210">
      <c r="B2210" s="14"/>
      <c r="P2210" s="12"/>
    </row>
    <row r="2211">
      <c r="B2211" s="14"/>
      <c r="P2211" s="12"/>
    </row>
    <row r="2212">
      <c r="B2212" s="14"/>
      <c r="P2212" s="12"/>
    </row>
    <row r="2213">
      <c r="B2213" s="14"/>
      <c r="P2213" s="12"/>
    </row>
    <row r="2214">
      <c r="B2214" s="14"/>
      <c r="P2214" s="12"/>
    </row>
    <row r="2215">
      <c r="B2215" s="14"/>
      <c r="P2215" s="12"/>
    </row>
    <row r="2216">
      <c r="B2216" s="14"/>
      <c r="P2216" s="12"/>
    </row>
    <row r="2217">
      <c r="B2217" s="14"/>
      <c r="P2217" s="12"/>
    </row>
    <row r="2218">
      <c r="B2218" s="14"/>
      <c r="P2218" s="12"/>
    </row>
    <row r="2219">
      <c r="B2219" s="14"/>
      <c r="P2219" s="12"/>
    </row>
    <row r="2220">
      <c r="B2220" s="14"/>
      <c r="P2220" s="12"/>
    </row>
    <row r="2221">
      <c r="B2221" s="14"/>
      <c r="P2221" s="12"/>
    </row>
    <row r="2222">
      <c r="B2222" s="14"/>
      <c r="P2222" s="12"/>
    </row>
    <row r="2223">
      <c r="B2223" s="14"/>
      <c r="P2223" s="12"/>
    </row>
    <row r="2224">
      <c r="B2224" s="14"/>
      <c r="P2224" s="12"/>
    </row>
    <row r="2225">
      <c r="B2225" s="14"/>
      <c r="P2225" s="12"/>
    </row>
    <row r="2226">
      <c r="B2226" s="14"/>
      <c r="P2226" s="12"/>
    </row>
    <row r="2227">
      <c r="B2227" s="14"/>
      <c r="P2227" s="12"/>
    </row>
    <row r="2228">
      <c r="B2228" s="14"/>
      <c r="P2228" s="12"/>
    </row>
    <row r="2229">
      <c r="B2229" s="14"/>
      <c r="P2229" s="12"/>
    </row>
    <row r="2230">
      <c r="B2230" s="14"/>
      <c r="P2230" s="12"/>
    </row>
    <row r="2231">
      <c r="B2231" s="14"/>
      <c r="P2231" s="12"/>
    </row>
    <row r="2232">
      <c r="B2232" s="14"/>
      <c r="P2232" s="12"/>
    </row>
    <row r="2233">
      <c r="B2233" s="14"/>
      <c r="P2233" s="12"/>
    </row>
    <row r="2234">
      <c r="B2234" s="14"/>
      <c r="P2234" s="12"/>
    </row>
    <row r="2235">
      <c r="B2235" s="14"/>
      <c r="P2235" s="12"/>
    </row>
    <row r="2236">
      <c r="B2236" s="14"/>
      <c r="P2236" s="12"/>
    </row>
    <row r="2237">
      <c r="B2237" s="14"/>
      <c r="P2237" s="12"/>
    </row>
    <row r="2238">
      <c r="B2238" s="14"/>
      <c r="P2238" s="12"/>
    </row>
    <row r="2239">
      <c r="B2239" s="14"/>
      <c r="P2239" s="12"/>
    </row>
    <row r="2240">
      <c r="B2240" s="14"/>
      <c r="P2240" s="12"/>
    </row>
    <row r="2241">
      <c r="B2241" s="14"/>
      <c r="P2241" s="12"/>
    </row>
    <row r="2242">
      <c r="B2242" s="14"/>
      <c r="P2242" s="12"/>
    </row>
    <row r="2243">
      <c r="B2243" s="14"/>
      <c r="P2243" s="12"/>
    </row>
    <row r="2244">
      <c r="B2244" s="14"/>
      <c r="P2244" s="12"/>
    </row>
    <row r="2245">
      <c r="B2245" s="14"/>
      <c r="P2245" s="12"/>
    </row>
    <row r="2246">
      <c r="B2246" s="14"/>
      <c r="P2246" s="12"/>
    </row>
    <row r="2247">
      <c r="B2247" s="14"/>
      <c r="P2247" s="12"/>
    </row>
    <row r="2248">
      <c r="B2248" s="14"/>
      <c r="P2248" s="12"/>
    </row>
    <row r="2249">
      <c r="B2249" s="14"/>
      <c r="P2249" s="12"/>
    </row>
    <row r="2250">
      <c r="B2250" s="14"/>
      <c r="P2250" s="12"/>
    </row>
    <row r="2251">
      <c r="B2251" s="14"/>
      <c r="P2251" s="12"/>
    </row>
    <row r="2252">
      <c r="B2252" s="14"/>
      <c r="P2252" s="12"/>
    </row>
    <row r="2253">
      <c r="B2253" s="14"/>
      <c r="P2253" s="12"/>
    </row>
    <row r="2254">
      <c r="B2254" s="14"/>
      <c r="P2254" s="12"/>
    </row>
    <row r="2255">
      <c r="B2255" s="14"/>
      <c r="P2255" s="12"/>
    </row>
    <row r="2256">
      <c r="B2256" s="14"/>
      <c r="P2256" s="12"/>
    </row>
    <row r="2257">
      <c r="B2257" s="14"/>
      <c r="P2257" s="12"/>
    </row>
    <row r="2258">
      <c r="B2258" s="14"/>
      <c r="P2258" s="12"/>
    </row>
    <row r="2259">
      <c r="B2259" s="14"/>
      <c r="P2259" s="12"/>
    </row>
    <row r="2260">
      <c r="B2260" s="14"/>
      <c r="P2260" s="12"/>
    </row>
    <row r="2261">
      <c r="B2261" s="14"/>
      <c r="P2261" s="12"/>
    </row>
    <row r="2262">
      <c r="B2262" s="14"/>
      <c r="P2262" s="12"/>
    </row>
    <row r="2263">
      <c r="B2263" s="14"/>
      <c r="P2263" s="12"/>
    </row>
    <row r="2264">
      <c r="B2264" s="14"/>
      <c r="P2264" s="12"/>
    </row>
    <row r="2265">
      <c r="B2265" s="14"/>
      <c r="P2265" s="12"/>
    </row>
    <row r="2266">
      <c r="B2266" s="14"/>
      <c r="P2266" s="12"/>
    </row>
    <row r="2267">
      <c r="B2267" s="14"/>
      <c r="P2267" s="12"/>
    </row>
    <row r="2268">
      <c r="B2268" s="14"/>
      <c r="P2268" s="12"/>
    </row>
    <row r="2269">
      <c r="B2269" s="14"/>
      <c r="P2269" s="12"/>
    </row>
    <row r="2270">
      <c r="B2270" s="14"/>
      <c r="P2270" s="12"/>
    </row>
    <row r="2271">
      <c r="B2271" s="14"/>
      <c r="P2271" s="12"/>
    </row>
    <row r="2272">
      <c r="B2272" s="14"/>
      <c r="P2272" s="12"/>
    </row>
    <row r="2273">
      <c r="B2273" s="14"/>
      <c r="P2273" s="12"/>
    </row>
    <row r="2274">
      <c r="B2274" s="14"/>
      <c r="P2274" s="12"/>
    </row>
    <row r="2275">
      <c r="B2275" s="14"/>
      <c r="P2275" s="12"/>
    </row>
    <row r="2276">
      <c r="B2276" s="14"/>
      <c r="P2276" s="12"/>
    </row>
    <row r="2277">
      <c r="B2277" s="14"/>
      <c r="P2277" s="12"/>
    </row>
    <row r="2278">
      <c r="B2278" s="14"/>
      <c r="P2278" s="12"/>
    </row>
    <row r="2279">
      <c r="B2279" s="14"/>
      <c r="P2279" s="12"/>
    </row>
    <row r="2280">
      <c r="B2280" s="14"/>
      <c r="P2280" s="12"/>
    </row>
    <row r="2281">
      <c r="B2281" s="14"/>
      <c r="P2281" s="12"/>
    </row>
    <row r="2282">
      <c r="B2282" s="14"/>
      <c r="P2282" s="12"/>
    </row>
    <row r="2283">
      <c r="B2283" s="14"/>
      <c r="P2283" s="12"/>
    </row>
    <row r="2284">
      <c r="B2284" s="14"/>
      <c r="P2284" s="12"/>
    </row>
    <row r="2285">
      <c r="B2285" s="14"/>
      <c r="P2285" s="12"/>
    </row>
    <row r="2286">
      <c r="B2286" s="14"/>
      <c r="P2286" s="12"/>
    </row>
    <row r="2287">
      <c r="B2287" s="14"/>
      <c r="P2287" s="12"/>
    </row>
    <row r="2288">
      <c r="B2288" s="14"/>
      <c r="P2288" s="12"/>
    </row>
    <row r="2289">
      <c r="B2289" s="14"/>
      <c r="P2289" s="12"/>
    </row>
    <row r="2290">
      <c r="B2290" s="14"/>
      <c r="P2290" s="12"/>
    </row>
    <row r="2291">
      <c r="B2291" s="14"/>
      <c r="P2291" s="12"/>
    </row>
    <row r="2292">
      <c r="B2292" s="14"/>
      <c r="P2292" s="12"/>
    </row>
    <row r="2293">
      <c r="B2293" s="14"/>
      <c r="P2293" s="12"/>
    </row>
    <row r="2294">
      <c r="B2294" s="14"/>
      <c r="P2294" s="12"/>
    </row>
    <row r="2295">
      <c r="B2295" s="14"/>
      <c r="P2295" s="12"/>
    </row>
    <row r="2296">
      <c r="B2296" s="14"/>
      <c r="P2296" s="12"/>
    </row>
    <row r="2297">
      <c r="B2297" s="14"/>
      <c r="P2297" s="12"/>
    </row>
    <row r="2298">
      <c r="B2298" s="14"/>
      <c r="P2298" s="12"/>
    </row>
    <row r="2299">
      <c r="B2299" s="14"/>
      <c r="P2299" s="12"/>
    </row>
    <row r="2300">
      <c r="B2300" s="14"/>
      <c r="P2300" s="12"/>
    </row>
    <row r="2301">
      <c r="B2301" s="14"/>
      <c r="P2301" s="12"/>
    </row>
    <row r="2302">
      <c r="B2302" s="14"/>
      <c r="P2302" s="12"/>
    </row>
    <row r="2303">
      <c r="B2303" s="14"/>
      <c r="P2303" s="12"/>
    </row>
    <row r="2304">
      <c r="B2304" s="14"/>
      <c r="P2304" s="12"/>
    </row>
    <row r="2305">
      <c r="B2305" s="14"/>
      <c r="P2305" s="12"/>
    </row>
    <row r="2306">
      <c r="B2306" s="14"/>
      <c r="P2306" s="12"/>
    </row>
    <row r="2307">
      <c r="B2307" s="14"/>
      <c r="P2307" s="12"/>
    </row>
    <row r="2308">
      <c r="B2308" s="14"/>
      <c r="P2308" s="12"/>
    </row>
    <row r="2309">
      <c r="B2309" s="14"/>
      <c r="P2309" s="12"/>
    </row>
    <row r="2310">
      <c r="B2310" s="14"/>
      <c r="P2310" s="12"/>
    </row>
    <row r="2311">
      <c r="B2311" s="14"/>
      <c r="P2311" s="12"/>
    </row>
    <row r="2312">
      <c r="B2312" s="14"/>
      <c r="P2312" s="12"/>
    </row>
    <row r="2313">
      <c r="B2313" s="14"/>
      <c r="P2313" s="12"/>
    </row>
    <row r="2314">
      <c r="B2314" s="14"/>
      <c r="P2314" s="12"/>
    </row>
    <row r="2315">
      <c r="B2315" s="14"/>
      <c r="P2315" s="12"/>
    </row>
    <row r="2316">
      <c r="B2316" s="14"/>
      <c r="P2316" s="12"/>
    </row>
    <row r="2317">
      <c r="B2317" s="14"/>
      <c r="P2317" s="12"/>
    </row>
    <row r="2318">
      <c r="B2318" s="14"/>
      <c r="P2318" s="12"/>
    </row>
    <row r="2319">
      <c r="B2319" s="14"/>
      <c r="P2319" s="12"/>
    </row>
    <row r="2320">
      <c r="B2320" s="14"/>
      <c r="P2320" s="12"/>
    </row>
    <row r="2321">
      <c r="B2321" s="14"/>
      <c r="P2321" s="12"/>
    </row>
    <row r="2322">
      <c r="B2322" s="14"/>
      <c r="P2322" s="12"/>
    </row>
    <row r="2323">
      <c r="B2323" s="14"/>
      <c r="P2323" s="12"/>
    </row>
    <row r="2324">
      <c r="B2324" s="14"/>
      <c r="P2324" s="12"/>
    </row>
    <row r="2325">
      <c r="B2325" s="14"/>
      <c r="P2325" s="12"/>
    </row>
    <row r="2326">
      <c r="B2326" s="14"/>
      <c r="P2326" s="12"/>
    </row>
    <row r="2327">
      <c r="B2327" s="14"/>
      <c r="P2327" s="12"/>
    </row>
    <row r="2328">
      <c r="B2328" s="14"/>
      <c r="P2328" s="12"/>
    </row>
    <row r="2329">
      <c r="B2329" s="14"/>
      <c r="P2329" s="12"/>
    </row>
    <row r="2330">
      <c r="B2330" s="14"/>
      <c r="P2330" s="12"/>
    </row>
    <row r="2331">
      <c r="B2331" s="14"/>
      <c r="P2331" s="12"/>
    </row>
    <row r="2332">
      <c r="B2332" s="14"/>
      <c r="P2332" s="12"/>
    </row>
    <row r="2333">
      <c r="B2333" s="14"/>
      <c r="P2333" s="12"/>
    </row>
    <row r="2334">
      <c r="B2334" s="14"/>
      <c r="P2334" s="12"/>
    </row>
    <row r="2335">
      <c r="B2335" s="14"/>
      <c r="P2335" s="12"/>
    </row>
    <row r="2336">
      <c r="B2336" s="14"/>
      <c r="P2336" s="12"/>
    </row>
    <row r="2337">
      <c r="B2337" s="14"/>
      <c r="P2337" s="12"/>
    </row>
    <row r="2338">
      <c r="B2338" s="14"/>
      <c r="P2338" s="12"/>
    </row>
    <row r="2339">
      <c r="B2339" s="14"/>
      <c r="P2339" s="12"/>
    </row>
    <row r="2340">
      <c r="B2340" s="14"/>
      <c r="P2340" s="12"/>
    </row>
    <row r="2341">
      <c r="B2341" s="14"/>
      <c r="P2341" s="12"/>
    </row>
    <row r="2342">
      <c r="B2342" s="14"/>
      <c r="P2342" s="12"/>
    </row>
    <row r="2343">
      <c r="B2343" s="14"/>
      <c r="P2343" s="12"/>
    </row>
    <row r="2344">
      <c r="B2344" s="14"/>
      <c r="P2344" s="12"/>
    </row>
    <row r="2345">
      <c r="B2345" s="14"/>
      <c r="P2345" s="12"/>
    </row>
    <row r="2346">
      <c r="B2346" s="14"/>
      <c r="P2346" s="12"/>
    </row>
    <row r="2347">
      <c r="B2347" s="14"/>
      <c r="P2347" s="12"/>
    </row>
    <row r="2348">
      <c r="B2348" s="14"/>
      <c r="P2348" s="12"/>
    </row>
    <row r="2349">
      <c r="B2349" s="14"/>
      <c r="P2349" s="12"/>
    </row>
    <row r="2350">
      <c r="B2350" s="14"/>
      <c r="P2350" s="12"/>
    </row>
    <row r="2351">
      <c r="B2351" s="14"/>
      <c r="P2351" s="12"/>
    </row>
    <row r="2352">
      <c r="B2352" s="14"/>
      <c r="P2352" s="12"/>
    </row>
    <row r="2353">
      <c r="B2353" s="14"/>
      <c r="P2353" s="12"/>
    </row>
    <row r="2354">
      <c r="B2354" s="14"/>
      <c r="P2354" s="12"/>
    </row>
    <row r="2355">
      <c r="B2355" s="14"/>
      <c r="P2355" s="12"/>
    </row>
    <row r="2356">
      <c r="B2356" s="14"/>
      <c r="P2356" s="12"/>
    </row>
    <row r="2357">
      <c r="B2357" s="14"/>
      <c r="P2357" s="12"/>
    </row>
    <row r="2358">
      <c r="B2358" s="14"/>
      <c r="P2358" s="12"/>
    </row>
    <row r="2359">
      <c r="B2359" s="14"/>
      <c r="P2359" s="12"/>
    </row>
    <row r="2360">
      <c r="B2360" s="14"/>
      <c r="P2360" s="12"/>
    </row>
    <row r="2361">
      <c r="B2361" s="14"/>
      <c r="P2361" s="12"/>
    </row>
    <row r="2362">
      <c r="B2362" s="14"/>
      <c r="P2362" s="12"/>
    </row>
    <row r="2363">
      <c r="B2363" s="14"/>
      <c r="P2363" s="12"/>
    </row>
    <row r="2364">
      <c r="B2364" s="14"/>
      <c r="P2364" s="12"/>
    </row>
    <row r="2365">
      <c r="B2365" s="14"/>
      <c r="P2365" s="12"/>
    </row>
    <row r="2366">
      <c r="B2366" s="14"/>
      <c r="P2366" s="12"/>
    </row>
    <row r="2367">
      <c r="B2367" s="14"/>
      <c r="P2367" s="12"/>
    </row>
    <row r="2368">
      <c r="B2368" s="14"/>
      <c r="P2368" s="12"/>
    </row>
    <row r="2369">
      <c r="B2369" s="14"/>
      <c r="P2369" s="12"/>
    </row>
    <row r="2370">
      <c r="B2370" s="14"/>
      <c r="P2370" s="12"/>
    </row>
    <row r="2371">
      <c r="B2371" s="14"/>
      <c r="P2371" s="12"/>
    </row>
    <row r="2372">
      <c r="B2372" s="14"/>
      <c r="P2372" s="12"/>
    </row>
    <row r="2373">
      <c r="B2373" s="14"/>
      <c r="P2373" s="12"/>
    </row>
    <row r="2374">
      <c r="B2374" s="14"/>
      <c r="P2374" s="12"/>
    </row>
    <row r="2375">
      <c r="B2375" s="14"/>
      <c r="P2375" s="12"/>
    </row>
    <row r="2376">
      <c r="B2376" s="14"/>
      <c r="P2376" s="12"/>
    </row>
    <row r="2377">
      <c r="B2377" s="14"/>
      <c r="P2377" s="12"/>
    </row>
    <row r="2378">
      <c r="B2378" s="14"/>
      <c r="P2378" s="12"/>
    </row>
    <row r="2379">
      <c r="B2379" s="14"/>
      <c r="P2379" s="12"/>
    </row>
    <row r="2380">
      <c r="B2380" s="14"/>
      <c r="P2380" s="12"/>
    </row>
    <row r="2381">
      <c r="B2381" s="14"/>
      <c r="P2381" s="12"/>
    </row>
    <row r="2382">
      <c r="B2382" s="14"/>
      <c r="P2382" s="12"/>
    </row>
    <row r="2383">
      <c r="B2383" s="14"/>
      <c r="P2383" s="12"/>
    </row>
    <row r="2384">
      <c r="B2384" s="14"/>
      <c r="P2384" s="12"/>
    </row>
    <row r="2385">
      <c r="B2385" s="14"/>
      <c r="P2385" s="12"/>
    </row>
    <row r="2386">
      <c r="B2386" s="14"/>
      <c r="P2386" s="12"/>
    </row>
    <row r="2387">
      <c r="B2387" s="14"/>
      <c r="P2387" s="12"/>
    </row>
    <row r="2388">
      <c r="B2388" s="14"/>
      <c r="P2388" s="12"/>
    </row>
    <row r="2389">
      <c r="B2389" s="14"/>
      <c r="P2389" s="12"/>
    </row>
    <row r="2390">
      <c r="B2390" s="14"/>
      <c r="P2390" s="12"/>
    </row>
    <row r="2391">
      <c r="B2391" s="14"/>
      <c r="P2391" s="12"/>
    </row>
    <row r="2392">
      <c r="B2392" s="14"/>
      <c r="P2392" s="12"/>
    </row>
    <row r="2393">
      <c r="B2393" s="14"/>
      <c r="P2393" s="12"/>
    </row>
    <row r="2394">
      <c r="B2394" s="14"/>
      <c r="P2394" s="12"/>
    </row>
    <row r="2395">
      <c r="B2395" s="14"/>
      <c r="P2395" s="12"/>
    </row>
    <row r="2396">
      <c r="B2396" s="14"/>
      <c r="P2396" s="12"/>
    </row>
    <row r="2397">
      <c r="B2397" s="14"/>
      <c r="P2397" s="12"/>
    </row>
    <row r="2398">
      <c r="B2398" s="14"/>
      <c r="P2398" s="12"/>
    </row>
    <row r="2399">
      <c r="B2399" s="14"/>
      <c r="P2399" s="12"/>
    </row>
    <row r="2400">
      <c r="B2400" s="14"/>
      <c r="P2400" s="12"/>
    </row>
    <row r="2401">
      <c r="B2401" s="14"/>
      <c r="P2401" s="12"/>
    </row>
    <row r="2402">
      <c r="B2402" s="14"/>
      <c r="P2402" s="12"/>
    </row>
    <row r="2403">
      <c r="B2403" s="14"/>
      <c r="P2403" s="12"/>
    </row>
    <row r="2404">
      <c r="B2404" s="14"/>
      <c r="P2404" s="12"/>
    </row>
    <row r="2405">
      <c r="B2405" s="14"/>
      <c r="P2405" s="12"/>
    </row>
    <row r="2406">
      <c r="B2406" s="14"/>
      <c r="P2406" s="12"/>
    </row>
    <row r="2407">
      <c r="B2407" s="14"/>
      <c r="P2407" s="12"/>
    </row>
    <row r="2408">
      <c r="B2408" s="14"/>
      <c r="P2408" s="12"/>
    </row>
    <row r="2409">
      <c r="B2409" s="14"/>
      <c r="P2409" s="12"/>
    </row>
    <row r="2410">
      <c r="B2410" s="14"/>
      <c r="P2410" s="12"/>
    </row>
    <row r="2411">
      <c r="B2411" s="14"/>
      <c r="P2411" s="12"/>
    </row>
    <row r="2412">
      <c r="B2412" s="14"/>
      <c r="P2412" s="12"/>
    </row>
    <row r="2413">
      <c r="B2413" s="14"/>
      <c r="P2413" s="12"/>
    </row>
    <row r="2414">
      <c r="B2414" s="14"/>
      <c r="P2414" s="12"/>
    </row>
    <row r="2415">
      <c r="B2415" s="14"/>
      <c r="P2415" s="12"/>
    </row>
    <row r="2416">
      <c r="B2416" s="14"/>
      <c r="P2416" s="12"/>
    </row>
    <row r="2417">
      <c r="B2417" s="14"/>
      <c r="P2417" s="12"/>
    </row>
    <row r="2418">
      <c r="B2418" s="14"/>
      <c r="P2418" s="12"/>
    </row>
    <row r="2419">
      <c r="B2419" s="14"/>
      <c r="P2419" s="12"/>
    </row>
    <row r="2420">
      <c r="B2420" s="14"/>
      <c r="P2420" s="12"/>
    </row>
    <row r="2421">
      <c r="B2421" s="14"/>
      <c r="P2421" s="12"/>
    </row>
    <row r="2422">
      <c r="B2422" s="14"/>
      <c r="P2422" s="12"/>
    </row>
    <row r="2423">
      <c r="B2423" s="14"/>
      <c r="P2423" s="12"/>
    </row>
    <row r="2424">
      <c r="B2424" s="14"/>
      <c r="P2424" s="12"/>
    </row>
    <row r="2425">
      <c r="B2425" s="14"/>
      <c r="P2425" s="12"/>
    </row>
    <row r="2426">
      <c r="B2426" s="14"/>
      <c r="P2426" s="12"/>
    </row>
    <row r="2427">
      <c r="B2427" s="14"/>
      <c r="P2427" s="12"/>
    </row>
    <row r="2428">
      <c r="B2428" s="14"/>
      <c r="P2428" s="12"/>
    </row>
    <row r="2429">
      <c r="B2429" s="14"/>
      <c r="P2429" s="12"/>
    </row>
    <row r="2430">
      <c r="B2430" s="14"/>
      <c r="P2430" s="12"/>
    </row>
    <row r="2431">
      <c r="B2431" s="14"/>
      <c r="P2431" s="12"/>
    </row>
    <row r="2432">
      <c r="B2432" s="14"/>
      <c r="P2432" s="12"/>
    </row>
    <row r="2433">
      <c r="B2433" s="14"/>
      <c r="P2433" s="12"/>
    </row>
    <row r="2434">
      <c r="B2434" s="14"/>
      <c r="P2434" s="12"/>
    </row>
    <row r="2435">
      <c r="B2435" s="14"/>
      <c r="P2435" s="12"/>
    </row>
    <row r="2436">
      <c r="B2436" s="14"/>
      <c r="P2436" s="12"/>
    </row>
    <row r="2437">
      <c r="B2437" s="14"/>
      <c r="P2437" s="12"/>
    </row>
    <row r="2438">
      <c r="B2438" s="14"/>
      <c r="P2438" s="12"/>
    </row>
    <row r="2439">
      <c r="B2439" s="14"/>
      <c r="P2439" s="12"/>
    </row>
    <row r="2440">
      <c r="B2440" s="14"/>
      <c r="P2440" s="12"/>
    </row>
    <row r="2441">
      <c r="B2441" s="14"/>
      <c r="P2441" s="12"/>
    </row>
    <row r="2442">
      <c r="B2442" s="14"/>
      <c r="P2442" s="12"/>
    </row>
    <row r="2443">
      <c r="B2443" s="14"/>
      <c r="P2443" s="12"/>
    </row>
    <row r="2444">
      <c r="B2444" s="14"/>
      <c r="P2444" s="12"/>
    </row>
    <row r="2445">
      <c r="B2445" s="14"/>
      <c r="P2445" s="12"/>
    </row>
    <row r="2446">
      <c r="B2446" s="14"/>
      <c r="P2446" s="12"/>
    </row>
    <row r="2447">
      <c r="B2447" s="14"/>
      <c r="P2447" s="12"/>
    </row>
    <row r="2448">
      <c r="B2448" s="14"/>
      <c r="P2448" s="12"/>
    </row>
    <row r="2449">
      <c r="B2449" s="14"/>
      <c r="P2449" s="12"/>
    </row>
    <row r="2450">
      <c r="B2450" s="14"/>
      <c r="P2450" s="12"/>
    </row>
    <row r="2451">
      <c r="B2451" s="14"/>
      <c r="P2451" s="12"/>
    </row>
    <row r="2452">
      <c r="B2452" s="14"/>
      <c r="P2452" s="12"/>
    </row>
    <row r="2453">
      <c r="B2453" s="14"/>
      <c r="P2453" s="12"/>
    </row>
    <row r="2454">
      <c r="B2454" s="14"/>
      <c r="P2454" s="12"/>
    </row>
    <row r="2455">
      <c r="B2455" s="14"/>
      <c r="P2455" s="12"/>
    </row>
    <row r="2456">
      <c r="B2456" s="14"/>
      <c r="P2456" s="12"/>
    </row>
    <row r="2457">
      <c r="B2457" s="14"/>
      <c r="P2457" s="12"/>
    </row>
    <row r="2458">
      <c r="B2458" s="14"/>
      <c r="P2458" s="12"/>
    </row>
    <row r="2459">
      <c r="B2459" s="14"/>
      <c r="P2459" s="12"/>
    </row>
    <row r="2460">
      <c r="B2460" s="14"/>
      <c r="P2460" s="12"/>
    </row>
    <row r="2461">
      <c r="B2461" s="14"/>
      <c r="P2461" s="12"/>
    </row>
    <row r="2462">
      <c r="B2462" s="14"/>
      <c r="P2462" s="12"/>
    </row>
    <row r="2463">
      <c r="B2463" s="14"/>
      <c r="P2463" s="12"/>
    </row>
    <row r="2464">
      <c r="B2464" s="14"/>
      <c r="P2464" s="12"/>
    </row>
    <row r="2465">
      <c r="B2465" s="14"/>
      <c r="P2465" s="12"/>
    </row>
    <row r="2466">
      <c r="B2466" s="14"/>
      <c r="P2466" s="12"/>
    </row>
    <row r="2467">
      <c r="B2467" s="14"/>
      <c r="P2467" s="12"/>
    </row>
    <row r="2468">
      <c r="B2468" s="14"/>
      <c r="P2468" s="12"/>
    </row>
    <row r="2469">
      <c r="B2469" s="14"/>
      <c r="P2469" s="12"/>
    </row>
    <row r="2470">
      <c r="B2470" s="14"/>
      <c r="P2470" s="12"/>
    </row>
    <row r="2471">
      <c r="B2471" s="14"/>
      <c r="P2471" s="12"/>
    </row>
    <row r="2472">
      <c r="B2472" s="14"/>
      <c r="P2472" s="12"/>
    </row>
    <row r="2473">
      <c r="B2473" s="14"/>
      <c r="P2473" s="12"/>
    </row>
    <row r="2474">
      <c r="B2474" s="14"/>
      <c r="P2474" s="12"/>
    </row>
    <row r="2475">
      <c r="B2475" s="14"/>
      <c r="P2475" s="12"/>
    </row>
    <row r="2476">
      <c r="B2476" s="14"/>
      <c r="P2476" s="12"/>
    </row>
    <row r="2477">
      <c r="B2477" s="14"/>
      <c r="P2477" s="12"/>
    </row>
    <row r="2478">
      <c r="B2478" s="14"/>
      <c r="P2478" s="12"/>
    </row>
    <row r="2479">
      <c r="B2479" s="14"/>
      <c r="P2479" s="12"/>
    </row>
    <row r="2480">
      <c r="B2480" s="14"/>
      <c r="P2480" s="12"/>
    </row>
    <row r="2481">
      <c r="B2481" s="14"/>
      <c r="P2481" s="12"/>
    </row>
    <row r="2482">
      <c r="B2482" s="14"/>
      <c r="P2482" s="12"/>
    </row>
    <row r="2483">
      <c r="B2483" s="14"/>
      <c r="P2483" s="12"/>
    </row>
    <row r="2484">
      <c r="B2484" s="14"/>
      <c r="P2484" s="12"/>
    </row>
    <row r="2485">
      <c r="B2485" s="14"/>
      <c r="P2485" s="12"/>
    </row>
    <row r="2486">
      <c r="B2486" s="14"/>
      <c r="P2486" s="12"/>
    </row>
    <row r="2487">
      <c r="B2487" s="14"/>
      <c r="P2487" s="12"/>
    </row>
    <row r="2488">
      <c r="B2488" s="14"/>
      <c r="P2488" s="12"/>
    </row>
    <row r="2489">
      <c r="B2489" s="14"/>
      <c r="P2489" s="12"/>
    </row>
    <row r="2490">
      <c r="B2490" s="14"/>
      <c r="P2490" s="12"/>
    </row>
    <row r="2491">
      <c r="B2491" s="14"/>
      <c r="P2491" s="12"/>
    </row>
    <row r="2492">
      <c r="B2492" s="14"/>
      <c r="P2492" s="12"/>
    </row>
    <row r="2493">
      <c r="B2493" s="14"/>
      <c r="P2493" s="12"/>
    </row>
    <row r="2494">
      <c r="B2494" s="14"/>
      <c r="P2494" s="12"/>
    </row>
    <row r="2495">
      <c r="B2495" s="14"/>
      <c r="P2495" s="12"/>
    </row>
    <row r="2496">
      <c r="B2496" s="14"/>
      <c r="P2496" s="12"/>
    </row>
    <row r="2497">
      <c r="B2497" s="14"/>
      <c r="P2497" s="12"/>
    </row>
    <row r="2498">
      <c r="B2498" s="14"/>
      <c r="P2498" s="12"/>
    </row>
    <row r="2499">
      <c r="B2499" s="14"/>
      <c r="P2499" s="12"/>
    </row>
    <row r="2500">
      <c r="B2500" s="14"/>
      <c r="P2500" s="12"/>
    </row>
    <row r="2501">
      <c r="B2501" s="14"/>
      <c r="P2501" s="12"/>
    </row>
    <row r="2502">
      <c r="B2502" s="14"/>
      <c r="P2502" s="12"/>
    </row>
    <row r="2503">
      <c r="B2503" s="14"/>
      <c r="P2503" s="12"/>
    </row>
    <row r="2504">
      <c r="B2504" s="14"/>
      <c r="P2504" s="12"/>
    </row>
    <row r="2505">
      <c r="B2505" s="14"/>
      <c r="P2505" s="12"/>
    </row>
    <row r="2506">
      <c r="B2506" s="14"/>
      <c r="P2506" s="12"/>
    </row>
    <row r="2507">
      <c r="B2507" s="14"/>
      <c r="P2507" s="12"/>
    </row>
    <row r="2508">
      <c r="B2508" s="14"/>
      <c r="P2508" s="12"/>
    </row>
    <row r="2509">
      <c r="B2509" s="14"/>
      <c r="P2509" s="12"/>
    </row>
    <row r="2510">
      <c r="B2510" s="14"/>
      <c r="P2510" s="12"/>
    </row>
    <row r="2511">
      <c r="B2511" s="14"/>
      <c r="P2511" s="12"/>
    </row>
    <row r="2512">
      <c r="B2512" s="14"/>
      <c r="P2512" s="12"/>
    </row>
    <row r="2513">
      <c r="B2513" s="14"/>
      <c r="P2513" s="12"/>
    </row>
    <row r="2514">
      <c r="B2514" s="14"/>
      <c r="P2514" s="12"/>
    </row>
    <row r="2515">
      <c r="B2515" s="14"/>
      <c r="P2515" s="12"/>
    </row>
    <row r="2516">
      <c r="B2516" s="14"/>
      <c r="P2516" s="12"/>
    </row>
    <row r="2517">
      <c r="B2517" s="14"/>
      <c r="P2517" s="12"/>
    </row>
    <row r="2518">
      <c r="B2518" s="14"/>
      <c r="P2518" s="12"/>
    </row>
    <row r="2519">
      <c r="B2519" s="14"/>
      <c r="P2519" s="12"/>
    </row>
    <row r="2520">
      <c r="B2520" s="14"/>
      <c r="P2520" s="12"/>
    </row>
    <row r="2521">
      <c r="B2521" s="14"/>
      <c r="P2521" s="12"/>
    </row>
    <row r="2522">
      <c r="B2522" s="14"/>
      <c r="P2522" s="12"/>
    </row>
    <row r="2523">
      <c r="B2523" s="14"/>
      <c r="P2523" s="12"/>
    </row>
    <row r="2524">
      <c r="B2524" s="14"/>
      <c r="P2524" s="12"/>
    </row>
    <row r="2525">
      <c r="B2525" s="14"/>
      <c r="P2525" s="12"/>
    </row>
    <row r="2526">
      <c r="B2526" s="14"/>
      <c r="P2526" s="12"/>
    </row>
    <row r="2527">
      <c r="B2527" s="14"/>
      <c r="P2527" s="12"/>
    </row>
    <row r="2528">
      <c r="B2528" s="14"/>
      <c r="P2528" s="12"/>
    </row>
    <row r="2529">
      <c r="B2529" s="14"/>
      <c r="P2529" s="12"/>
    </row>
    <row r="2530">
      <c r="B2530" s="14"/>
      <c r="P2530" s="12"/>
    </row>
    <row r="2531">
      <c r="B2531" s="14"/>
      <c r="P2531" s="12"/>
    </row>
    <row r="2532">
      <c r="B2532" s="14"/>
      <c r="P2532" s="12"/>
    </row>
    <row r="2533">
      <c r="B2533" s="14"/>
      <c r="P2533" s="12"/>
    </row>
    <row r="2534">
      <c r="B2534" s="14"/>
      <c r="P2534" s="12"/>
    </row>
    <row r="2535">
      <c r="B2535" s="14"/>
      <c r="P2535" s="12"/>
    </row>
    <row r="2536">
      <c r="B2536" s="14"/>
      <c r="P2536" s="12"/>
    </row>
    <row r="2537">
      <c r="B2537" s="14"/>
      <c r="P2537" s="12"/>
    </row>
    <row r="2538">
      <c r="B2538" s="14"/>
      <c r="P2538" s="12"/>
    </row>
    <row r="2539">
      <c r="B2539" s="14"/>
      <c r="P2539" s="12"/>
    </row>
    <row r="2540">
      <c r="B2540" s="14"/>
      <c r="P2540" s="12"/>
    </row>
    <row r="2541">
      <c r="B2541" s="14"/>
      <c r="P2541" s="12"/>
    </row>
    <row r="2542">
      <c r="B2542" s="14"/>
      <c r="P2542" s="12"/>
    </row>
    <row r="2543">
      <c r="B2543" s="14"/>
      <c r="P2543" s="12"/>
    </row>
    <row r="2544">
      <c r="B2544" s="14"/>
      <c r="P2544" s="12"/>
    </row>
    <row r="2545">
      <c r="B2545" s="14"/>
      <c r="P2545" s="12"/>
    </row>
    <row r="2546">
      <c r="B2546" s="14"/>
      <c r="P2546" s="12"/>
    </row>
    <row r="2547">
      <c r="B2547" s="14"/>
      <c r="P2547" s="12"/>
    </row>
    <row r="2548">
      <c r="B2548" s="14"/>
      <c r="P2548" s="12"/>
    </row>
    <row r="2549">
      <c r="B2549" s="14"/>
      <c r="P2549" s="12"/>
    </row>
    <row r="2550">
      <c r="B2550" s="14"/>
      <c r="P2550" s="12"/>
    </row>
    <row r="2551">
      <c r="B2551" s="14"/>
      <c r="P2551" s="12"/>
    </row>
    <row r="2552">
      <c r="B2552" s="14"/>
      <c r="P2552" s="12"/>
    </row>
    <row r="2553">
      <c r="B2553" s="14"/>
      <c r="P2553" s="12"/>
    </row>
    <row r="2554">
      <c r="B2554" s="14"/>
      <c r="P2554" s="12"/>
    </row>
    <row r="2555">
      <c r="B2555" s="14"/>
      <c r="P2555" s="12"/>
    </row>
    <row r="2556">
      <c r="B2556" s="14"/>
      <c r="P2556" s="12"/>
    </row>
    <row r="2557">
      <c r="B2557" s="14"/>
      <c r="P2557" s="12"/>
    </row>
    <row r="2558">
      <c r="B2558" s="14"/>
      <c r="P2558" s="12"/>
    </row>
    <row r="2559">
      <c r="B2559" s="14"/>
      <c r="P2559" s="12"/>
    </row>
    <row r="2560">
      <c r="B2560" s="14"/>
      <c r="P2560" s="12"/>
    </row>
    <row r="2561">
      <c r="B2561" s="14"/>
      <c r="P2561" s="12"/>
    </row>
    <row r="2562">
      <c r="B2562" s="14"/>
      <c r="P2562" s="12"/>
    </row>
    <row r="2563">
      <c r="B2563" s="14"/>
      <c r="P2563" s="12"/>
    </row>
    <row r="2564">
      <c r="B2564" s="14"/>
      <c r="P2564" s="12"/>
    </row>
    <row r="2565">
      <c r="B2565" s="14"/>
      <c r="P2565" s="12"/>
    </row>
    <row r="2566">
      <c r="B2566" s="14"/>
      <c r="P2566" s="12"/>
    </row>
    <row r="2567">
      <c r="B2567" s="14"/>
      <c r="P2567" s="12"/>
    </row>
    <row r="2568">
      <c r="B2568" s="14"/>
      <c r="P2568" s="12"/>
    </row>
    <row r="2569">
      <c r="B2569" s="14"/>
      <c r="P2569" s="12"/>
    </row>
    <row r="2570">
      <c r="B2570" s="14"/>
      <c r="P2570" s="12"/>
    </row>
    <row r="2571">
      <c r="B2571" s="14"/>
      <c r="P2571" s="12"/>
    </row>
    <row r="2572">
      <c r="B2572" s="14"/>
      <c r="P2572" s="12"/>
    </row>
    <row r="2573">
      <c r="B2573" s="14"/>
      <c r="P2573" s="12"/>
    </row>
    <row r="2574">
      <c r="B2574" s="14"/>
      <c r="P2574" s="12"/>
    </row>
    <row r="2575">
      <c r="B2575" s="14"/>
      <c r="P2575" s="12"/>
    </row>
    <row r="2576">
      <c r="B2576" s="14"/>
      <c r="P2576" s="12"/>
    </row>
    <row r="2577">
      <c r="B2577" s="14"/>
      <c r="P2577" s="12"/>
    </row>
    <row r="2578">
      <c r="B2578" s="14"/>
      <c r="P2578" s="12"/>
    </row>
    <row r="2579">
      <c r="B2579" s="14"/>
      <c r="P2579" s="12"/>
    </row>
    <row r="2580">
      <c r="B2580" s="14"/>
      <c r="P2580" s="12"/>
    </row>
    <row r="2581">
      <c r="B2581" s="14"/>
      <c r="P2581" s="12"/>
    </row>
    <row r="2582">
      <c r="B2582" s="14"/>
      <c r="P2582" s="12"/>
    </row>
    <row r="2583">
      <c r="B2583" s="14"/>
      <c r="P2583" s="12"/>
    </row>
    <row r="2584">
      <c r="B2584" s="14"/>
      <c r="P2584" s="12"/>
    </row>
    <row r="2585">
      <c r="B2585" s="14"/>
      <c r="P2585" s="12"/>
    </row>
    <row r="2586">
      <c r="B2586" s="14"/>
      <c r="P2586" s="12"/>
    </row>
    <row r="2587">
      <c r="B2587" s="14"/>
      <c r="P2587" s="12"/>
    </row>
    <row r="2588">
      <c r="B2588" s="14"/>
      <c r="P2588" s="12"/>
    </row>
    <row r="2589">
      <c r="B2589" s="14"/>
      <c r="P2589" s="12"/>
    </row>
    <row r="2590">
      <c r="B2590" s="14"/>
      <c r="P2590" s="12"/>
    </row>
    <row r="2591">
      <c r="B2591" s="14"/>
      <c r="P2591" s="12"/>
    </row>
    <row r="2592">
      <c r="B2592" s="14"/>
      <c r="P2592" s="12"/>
    </row>
    <row r="2593">
      <c r="B2593" s="14"/>
      <c r="P2593" s="12"/>
    </row>
    <row r="2594">
      <c r="B2594" s="14"/>
      <c r="P2594" s="12"/>
    </row>
    <row r="2595">
      <c r="B2595" s="14"/>
      <c r="P2595" s="12"/>
    </row>
    <row r="2596">
      <c r="B2596" s="14"/>
      <c r="P2596" s="12"/>
    </row>
    <row r="2597">
      <c r="B2597" s="14"/>
      <c r="P2597" s="12"/>
    </row>
    <row r="2598">
      <c r="B2598" s="14"/>
      <c r="P2598" s="12"/>
    </row>
    <row r="2599">
      <c r="B2599" s="14"/>
      <c r="P2599" s="12"/>
    </row>
    <row r="2600">
      <c r="B2600" s="14"/>
      <c r="P2600" s="12"/>
    </row>
    <row r="2601">
      <c r="B2601" s="14"/>
      <c r="P2601" s="12"/>
    </row>
    <row r="2602">
      <c r="B2602" s="14"/>
      <c r="P2602" s="12"/>
    </row>
    <row r="2603">
      <c r="B2603" s="14"/>
      <c r="P2603" s="12"/>
    </row>
    <row r="2604">
      <c r="B2604" s="14"/>
      <c r="P2604" s="12"/>
    </row>
    <row r="2605">
      <c r="B2605" s="14"/>
      <c r="P2605" s="12"/>
    </row>
    <row r="2606">
      <c r="B2606" s="14"/>
      <c r="P2606" s="12"/>
    </row>
    <row r="2607">
      <c r="B2607" s="14"/>
      <c r="P2607" s="12"/>
    </row>
    <row r="2608">
      <c r="B2608" s="14"/>
      <c r="P2608" s="12"/>
    </row>
    <row r="2609">
      <c r="B2609" s="14"/>
      <c r="P2609" s="12"/>
    </row>
    <row r="2610">
      <c r="B2610" s="14"/>
      <c r="P2610" s="12"/>
    </row>
    <row r="2611">
      <c r="B2611" s="14"/>
      <c r="P2611" s="12"/>
    </row>
    <row r="2612">
      <c r="B2612" s="14"/>
      <c r="P2612" s="12"/>
    </row>
    <row r="2613">
      <c r="B2613" s="14"/>
      <c r="P2613" s="12"/>
    </row>
    <row r="2614">
      <c r="B2614" s="14"/>
      <c r="P2614" s="12"/>
    </row>
    <row r="2615">
      <c r="B2615" s="14"/>
      <c r="P2615" s="12"/>
    </row>
    <row r="2616">
      <c r="B2616" s="14"/>
      <c r="P2616" s="12"/>
    </row>
    <row r="2617">
      <c r="B2617" s="14"/>
      <c r="P2617" s="12"/>
    </row>
    <row r="2618">
      <c r="B2618" s="14"/>
      <c r="P2618" s="12"/>
    </row>
    <row r="2619">
      <c r="B2619" s="14"/>
      <c r="P2619" s="12"/>
    </row>
    <row r="2620">
      <c r="B2620" s="14"/>
      <c r="P2620" s="12"/>
    </row>
    <row r="2621">
      <c r="B2621" s="14"/>
      <c r="P2621" s="12"/>
    </row>
    <row r="2622">
      <c r="B2622" s="14"/>
      <c r="P2622" s="12"/>
    </row>
    <row r="2623">
      <c r="B2623" s="14"/>
      <c r="P2623" s="12"/>
    </row>
    <row r="2624">
      <c r="B2624" s="14"/>
      <c r="P2624" s="12"/>
    </row>
    <row r="2625">
      <c r="B2625" s="14"/>
      <c r="P2625" s="12"/>
    </row>
    <row r="2626">
      <c r="B2626" s="14"/>
      <c r="P2626" s="12"/>
    </row>
    <row r="2627">
      <c r="B2627" s="14"/>
      <c r="P2627" s="12"/>
    </row>
    <row r="2628">
      <c r="B2628" s="14"/>
      <c r="P2628" s="12"/>
    </row>
    <row r="2629">
      <c r="B2629" s="14"/>
      <c r="P2629" s="12"/>
    </row>
    <row r="2630">
      <c r="B2630" s="14"/>
      <c r="P2630" s="12"/>
    </row>
    <row r="2631">
      <c r="B2631" s="14"/>
      <c r="P2631" s="12"/>
    </row>
    <row r="2632">
      <c r="B2632" s="14"/>
      <c r="P2632" s="12"/>
    </row>
    <row r="2633">
      <c r="B2633" s="14"/>
      <c r="P2633" s="12"/>
    </row>
    <row r="2634">
      <c r="B2634" s="14"/>
      <c r="P2634" s="12"/>
    </row>
    <row r="2635">
      <c r="B2635" s="14"/>
      <c r="P2635" s="12"/>
    </row>
    <row r="2636">
      <c r="B2636" s="14"/>
      <c r="P2636" s="12"/>
    </row>
    <row r="2637">
      <c r="B2637" s="14"/>
      <c r="P2637" s="12"/>
    </row>
    <row r="2638">
      <c r="B2638" s="14"/>
      <c r="P2638" s="12"/>
    </row>
    <row r="2639">
      <c r="B2639" s="14"/>
      <c r="P2639" s="12"/>
    </row>
    <row r="2640">
      <c r="B2640" s="14"/>
      <c r="P2640" s="12"/>
    </row>
    <row r="2641">
      <c r="B2641" s="14"/>
      <c r="P2641" s="12"/>
    </row>
    <row r="2642">
      <c r="B2642" s="14"/>
      <c r="P2642" s="12"/>
    </row>
    <row r="2643">
      <c r="B2643" s="14"/>
      <c r="P2643" s="12"/>
    </row>
    <row r="2644">
      <c r="B2644" s="14"/>
      <c r="P2644" s="12"/>
    </row>
    <row r="2645">
      <c r="B2645" s="14"/>
      <c r="P2645" s="12"/>
    </row>
    <row r="2646">
      <c r="B2646" s="14"/>
      <c r="P2646" s="12"/>
    </row>
    <row r="2647">
      <c r="B2647" s="14"/>
      <c r="P2647" s="12"/>
    </row>
    <row r="2648">
      <c r="B2648" s="14"/>
      <c r="P2648" s="12"/>
    </row>
    <row r="2649">
      <c r="B2649" s="14"/>
      <c r="P2649" s="12"/>
    </row>
    <row r="2650">
      <c r="B2650" s="14"/>
      <c r="P2650" s="12"/>
    </row>
    <row r="2651">
      <c r="B2651" s="14"/>
      <c r="P2651" s="12"/>
    </row>
    <row r="2652">
      <c r="B2652" s="14"/>
      <c r="P2652" s="12"/>
    </row>
    <row r="2653">
      <c r="B2653" s="14"/>
      <c r="P2653" s="12"/>
    </row>
    <row r="2654">
      <c r="B2654" s="14"/>
      <c r="P2654" s="12"/>
    </row>
    <row r="2655">
      <c r="B2655" s="14"/>
      <c r="P2655" s="12"/>
    </row>
    <row r="2656">
      <c r="B2656" s="14"/>
      <c r="P2656" s="12"/>
    </row>
    <row r="2657">
      <c r="B2657" s="14"/>
      <c r="P2657" s="12"/>
    </row>
    <row r="2658">
      <c r="B2658" s="14"/>
      <c r="P2658" s="12"/>
    </row>
    <row r="2659">
      <c r="B2659" s="14"/>
      <c r="P2659" s="12"/>
    </row>
    <row r="2660">
      <c r="B2660" s="14"/>
      <c r="P2660" s="12"/>
    </row>
    <row r="2661">
      <c r="B2661" s="14"/>
      <c r="P2661" s="12"/>
    </row>
    <row r="2662">
      <c r="B2662" s="14"/>
      <c r="P2662" s="12"/>
    </row>
    <row r="2663">
      <c r="B2663" s="14"/>
      <c r="P2663" s="12"/>
    </row>
    <row r="2664">
      <c r="B2664" s="14"/>
      <c r="P2664" s="12"/>
    </row>
    <row r="2665">
      <c r="B2665" s="14"/>
      <c r="P2665" s="12"/>
    </row>
    <row r="2666">
      <c r="B2666" s="14"/>
      <c r="P2666" s="12"/>
    </row>
    <row r="2667">
      <c r="B2667" s="14"/>
      <c r="P2667" s="12"/>
    </row>
    <row r="2668">
      <c r="B2668" s="14"/>
      <c r="P2668" s="12"/>
    </row>
    <row r="2669">
      <c r="B2669" s="14"/>
      <c r="P2669" s="12"/>
    </row>
    <row r="2670">
      <c r="B2670" s="14"/>
      <c r="P2670" s="12"/>
    </row>
    <row r="2671">
      <c r="B2671" s="14"/>
      <c r="P2671" s="12"/>
    </row>
    <row r="2672">
      <c r="B2672" s="14"/>
      <c r="P2672" s="12"/>
    </row>
    <row r="2673">
      <c r="B2673" s="14"/>
      <c r="P2673" s="12"/>
    </row>
    <row r="2674">
      <c r="B2674" s="14"/>
      <c r="P2674" s="12"/>
    </row>
    <row r="2675">
      <c r="B2675" s="14"/>
      <c r="P2675" s="12"/>
    </row>
    <row r="2676">
      <c r="B2676" s="14"/>
      <c r="P2676" s="12"/>
    </row>
    <row r="2677">
      <c r="B2677" s="14"/>
      <c r="P2677" s="12"/>
    </row>
    <row r="2678">
      <c r="B2678" s="14"/>
      <c r="P2678" s="12"/>
    </row>
    <row r="2679">
      <c r="B2679" s="14"/>
      <c r="P2679" s="12"/>
    </row>
    <row r="2680">
      <c r="B2680" s="14"/>
      <c r="P2680" s="12"/>
    </row>
    <row r="2681">
      <c r="B2681" s="14"/>
      <c r="P2681" s="12"/>
    </row>
    <row r="2682">
      <c r="B2682" s="14"/>
      <c r="P2682" s="12"/>
    </row>
    <row r="2683">
      <c r="B2683" s="14"/>
      <c r="P2683" s="12"/>
    </row>
    <row r="2684">
      <c r="B2684" s="14"/>
      <c r="P2684" s="12"/>
    </row>
    <row r="2685">
      <c r="B2685" s="14"/>
      <c r="P2685" s="12"/>
    </row>
    <row r="2686">
      <c r="B2686" s="14"/>
      <c r="P2686" s="12"/>
    </row>
    <row r="2687">
      <c r="B2687" s="14"/>
      <c r="P2687" s="12"/>
    </row>
    <row r="2688">
      <c r="B2688" s="14"/>
      <c r="P2688" s="12"/>
    </row>
    <row r="2689">
      <c r="B2689" s="14"/>
      <c r="P2689" s="12"/>
    </row>
    <row r="2690">
      <c r="B2690" s="14"/>
      <c r="P2690" s="12"/>
    </row>
    <row r="2691">
      <c r="B2691" s="14"/>
      <c r="P2691" s="12"/>
    </row>
    <row r="2692">
      <c r="B2692" s="14"/>
      <c r="P2692" s="12"/>
    </row>
    <row r="2693">
      <c r="B2693" s="14"/>
      <c r="P2693" s="12"/>
    </row>
    <row r="2694">
      <c r="B2694" s="14"/>
      <c r="P2694" s="12"/>
    </row>
    <row r="2695">
      <c r="B2695" s="14"/>
      <c r="P2695" s="12"/>
    </row>
    <row r="2696">
      <c r="B2696" s="14"/>
      <c r="P2696" s="12"/>
    </row>
    <row r="2697">
      <c r="B2697" s="14"/>
      <c r="P2697" s="12"/>
    </row>
    <row r="2698">
      <c r="B2698" s="14"/>
      <c r="P2698" s="12"/>
    </row>
    <row r="2699">
      <c r="B2699" s="14"/>
      <c r="P2699" s="12"/>
    </row>
    <row r="2700">
      <c r="B2700" s="14"/>
      <c r="P2700" s="12"/>
    </row>
    <row r="2701">
      <c r="B2701" s="14"/>
      <c r="P2701" s="12"/>
    </row>
    <row r="2702">
      <c r="B2702" s="14"/>
      <c r="P2702" s="12"/>
    </row>
    <row r="2703">
      <c r="B2703" s="14"/>
      <c r="P2703" s="12"/>
    </row>
    <row r="2704">
      <c r="B2704" s="14"/>
      <c r="P2704" s="12"/>
    </row>
    <row r="2705">
      <c r="B2705" s="14"/>
      <c r="P2705" s="12"/>
    </row>
    <row r="2706">
      <c r="B2706" s="14"/>
      <c r="P2706" s="12"/>
    </row>
    <row r="2707">
      <c r="B2707" s="14"/>
      <c r="P2707" s="12"/>
    </row>
    <row r="2708">
      <c r="B2708" s="14"/>
      <c r="P2708" s="12"/>
    </row>
    <row r="2709">
      <c r="B2709" s="14"/>
      <c r="P2709" s="12"/>
    </row>
    <row r="2710">
      <c r="B2710" s="14"/>
      <c r="P2710" s="12"/>
    </row>
    <row r="2711">
      <c r="B2711" s="14"/>
      <c r="P2711" s="12"/>
    </row>
    <row r="2712">
      <c r="B2712" s="14"/>
      <c r="P2712" s="12"/>
    </row>
    <row r="2713">
      <c r="B2713" s="14"/>
      <c r="P2713" s="12"/>
    </row>
    <row r="2714">
      <c r="B2714" s="14"/>
      <c r="P2714" s="12"/>
    </row>
    <row r="2715">
      <c r="B2715" s="14"/>
      <c r="P2715" s="12"/>
    </row>
    <row r="2716">
      <c r="B2716" s="14"/>
      <c r="P2716" s="12"/>
    </row>
    <row r="2717">
      <c r="B2717" s="14"/>
      <c r="P2717" s="12"/>
    </row>
    <row r="2718">
      <c r="B2718" s="14"/>
      <c r="P2718" s="12"/>
    </row>
    <row r="2719">
      <c r="B2719" s="14"/>
      <c r="P2719" s="12"/>
    </row>
    <row r="2720">
      <c r="B2720" s="14"/>
      <c r="P2720" s="12"/>
    </row>
    <row r="2721">
      <c r="B2721" s="14"/>
      <c r="P2721" s="12"/>
    </row>
    <row r="2722">
      <c r="B2722" s="14"/>
      <c r="P2722" s="12"/>
    </row>
    <row r="2723">
      <c r="B2723" s="14"/>
      <c r="P2723" s="12"/>
    </row>
    <row r="2724">
      <c r="B2724" s="14"/>
      <c r="P2724" s="12"/>
    </row>
    <row r="2725">
      <c r="B2725" s="14"/>
      <c r="P2725" s="12"/>
    </row>
    <row r="2726">
      <c r="B2726" s="14"/>
      <c r="P2726" s="12"/>
    </row>
    <row r="2727">
      <c r="B2727" s="14"/>
      <c r="P2727" s="12"/>
    </row>
    <row r="2728">
      <c r="B2728" s="14"/>
      <c r="P2728" s="12"/>
    </row>
    <row r="2729">
      <c r="B2729" s="14"/>
      <c r="P2729" s="12"/>
    </row>
    <row r="2730">
      <c r="B2730" s="14"/>
      <c r="P2730" s="12"/>
    </row>
    <row r="2731">
      <c r="B2731" s="14"/>
      <c r="P2731" s="12"/>
    </row>
    <row r="2732">
      <c r="B2732" s="14"/>
      <c r="P2732" s="12"/>
    </row>
    <row r="2733">
      <c r="B2733" s="14"/>
      <c r="P2733" s="12"/>
    </row>
    <row r="2734">
      <c r="B2734" s="14"/>
      <c r="P2734" s="12"/>
    </row>
    <row r="2735">
      <c r="B2735" s="14"/>
      <c r="P2735" s="12"/>
    </row>
    <row r="2736">
      <c r="B2736" s="14"/>
      <c r="P2736" s="12"/>
    </row>
    <row r="2737">
      <c r="B2737" s="14"/>
      <c r="P2737" s="12"/>
    </row>
    <row r="2738">
      <c r="B2738" s="14"/>
      <c r="P2738" s="12"/>
    </row>
    <row r="2739">
      <c r="B2739" s="14"/>
      <c r="P2739" s="12"/>
    </row>
    <row r="2740">
      <c r="B2740" s="14"/>
      <c r="P2740" s="12"/>
    </row>
    <row r="2741">
      <c r="B2741" s="14"/>
      <c r="P2741" s="12"/>
    </row>
    <row r="2742">
      <c r="B2742" s="14"/>
      <c r="P2742" s="12"/>
    </row>
    <row r="2743">
      <c r="B2743" s="14"/>
      <c r="P2743" s="12"/>
    </row>
    <row r="2744">
      <c r="B2744" s="14"/>
      <c r="P2744" s="12"/>
    </row>
    <row r="2745">
      <c r="B2745" s="14"/>
      <c r="P2745" s="12"/>
    </row>
    <row r="2746">
      <c r="B2746" s="14"/>
      <c r="P2746" s="12"/>
    </row>
    <row r="2747">
      <c r="B2747" s="14"/>
      <c r="P2747" s="12"/>
    </row>
    <row r="2748">
      <c r="B2748" s="14"/>
      <c r="P2748" s="12"/>
    </row>
    <row r="2749">
      <c r="B2749" s="14"/>
      <c r="P2749" s="12"/>
    </row>
    <row r="2750">
      <c r="B2750" s="14"/>
      <c r="P2750" s="12"/>
    </row>
    <row r="2751">
      <c r="B2751" s="14"/>
      <c r="P2751" s="12"/>
    </row>
    <row r="2752">
      <c r="B2752" s="14"/>
      <c r="P2752" s="12"/>
    </row>
    <row r="2753">
      <c r="B2753" s="14"/>
      <c r="P2753" s="12"/>
    </row>
    <row r="2754">
      <c r="B2754" s="14"/>
      <c r="P2754" s="12"/>
    </row>
    <row r="2755">
      <c r="B2755" s="14"/>
      <c r="P2755" s="12"/>
    </row>
    <row r="2756">
      <c r="B2756" s="14"/>
      <c r="P2756" s="12"/>
    </row>
    <row r="2757">
      <c r="B2757" s="14"/>
      <c r="P2757" s="12"/>
    </row>
    <row r="2758">
      <c r="B2758" s="14"/>
      <c r="P2758" s="12"/>
    </row>
    <row r="2759">
      <c r="B2759" s="14"/>
      <c r="P2759" s="12"/>
    </row>
    <row r="2760">
      <c r="B2760" s="14"/>
      <c r="P2760" s="12"/>
    </row>
    <row r="2761">
      <c r="B2761" s="14"/>
      <c r="P2761" s="12"/>
    </row>
    <row r="2762">
      <c r="B2762" s="14"/>
      <c r="P2762" s="12"/>
    </row>
    <row r="2763">
      <c r="B2763" s="14"/>
      <c r="P2763" s="12"/>
    </row>
    <row r="2764">
      <c r="B2764" s="14"/>
      <c r="P2764" s="12"/>
    </row>
    <row r="2765">
      <c r="B2765" s="14"/>
      <c r="P2765" s="12"/>
    </row>
    <row r="2766">
      <c r="B2766" s="14"/>
      <c r="P2766" s="12"/>
    </row>
    <row r="2767">
      <c r="B2767" s="14"/>
      <c r="P2767" s="12"/>
    </row>
    <row r="2768">
      <c r="B2768" s="14"/>
      <c r="P2768" s="12"/>
    </row>
    <row r="2769">
      <c r="B2769" s="14"/>
      <c r="P2769" s="12"/>
    </row>
    <row r="2770">
      <c r="B2770" s="14"/>
      <c r="P2770" s="12"/>
    </row>
    <row r="2771">
      <c r="B2771" s="14"/>
      <c r="P2771" s="12"/>
    </row>
    <row r="2772">
      <c r="B2772" s="14"/>
      <c r="P2772" s="12"/>
    </row>
    <row r="2773">
      <c r="B2773" s="14"/>
      <c r="P2773" s="12"/>
    </row>
    <row r="2774">
      <c r="B2774" s="14"/>
      <c r="P2774" s="12"/>
    </row>
    <row r="2775">
      <c r="B2775" s="14"/>
      <c r="P2775" s="12"/>
    </row>
    <row r="2776">
      <c r="B2776" s="14"/>
      <c r="P2776" s="12"/>
    </row>
    <row r="2777">
      <c r="B2777" s="14"/>
      <c r="P2777" s="12"/>
    </row>
    <row r="2778">
      <c r="B2778" s="14"/>
      <c r="P2778" s="12"/>
    </row>
    <row r="2779">
      <c r="B2779" s="14"/>
      <c r="P2779" s="12"/>
    </row>
    <row r="2780">
      <c r="B2780" s="14"/>
      <c r="P2780" s="12"/>
    </row>
    <row r="2781">
      <c r="B2781" s="14"/>
      <c r="P2781" s="12"/>
    </row>
    <row r="2782">
      <c r="B2782" s="14"/>
      <c r="P2782" s="12"/>
    </row>
    <row r="2783">
      <c r="B2783" s="14"/>
      <c r="P2783" s="12"/>
    </row>
    <row r="2784">
      <c r="B2784" s="14"/>
      <c r="P2784" s="12"/>
    </row>
    <row r="2785">
      <c r="B2785" s="14"/>
      <c r="P2785" s="12"/>
    </row>
    <row r="2786">
      <c r="B2786" s="14"/>
      <c r="P2786" s="12"/>
    </row>
    <row r="2787">
      <c r="B2787" s="14"/>
      <c r="P2787" s="12"/>
    </row>
    <row r="2788">
      <c r="B2788" s="14"/>
      <c r="P2788" s="12"/>
    </row>
    <row r="2789">
      <c r="B2789" s="14"/>
      <c r="P2789" s="12"/>
    </row>
    <row r="2790">
      <c r="B2790" s="14"/>
      <c r="P2790" s="12"/>
    </row>
    <row r="2791">
      <c r="B2791" s="14"/>
      <c r="P2791" s="12"/>
    </row>
    <row r="2792">
      <c r="B2792" s="14"/>
      <c r="P2792" s="12"/>
    </row>
    <row r="2793">
      <c r="B2793" s="14"/>
      <c r="P2793" s="12"/>
    </row>
    <row r="2794">
      <c r="B2794" s="14"/>
      <c r="P2794" s="12"/>
    </row>
    <row r="2795">
      <c r="B2795" s="14"/>
      <c r="P2795" s="12"/>
    </row>
    <row r="2796">
      <c r="B2796" s="14"/>
      <c r="P2796" s="12"/>
    </row>
    <row r="2797">
      <c r="B2797" s="14"/>
      <c r="P2797" s="12"/>
    </row>
    <row r="2798">
      <c r="B2798" s="14"/>
      <c r="P2798" s="12"/>
    </row>
    <row r="2799">
      <c r="B2799" s="14"/>
      <c r="P2799" s="12"/>
    </row>
    <row r="2800">
      <c r="B2800" s="14"/>
      <c r="P2800" s="12"/>
    </row>
    <row r="2801">
      <c r="B2801" s="14"/>
      <c r="P2801" s="12"/>
    </row>
    <row r="2802">
      <c r="B2802" s="14"/>
      <c r="P2802" s="12"/>
    </row>
    <row r="2803">
      <c r="B2803" s="14"/>
      <c r="P2803" s="12"/>
    </row>
    <row r="2804">
      <c r="B2804" s="14"/>
      <c r="P2804" s="12"/>
    </row>
    <row r="2805">
      <c r="B2805" s="14"/>
      <c r="P2805" s="12"/>
    </row>
    <row r="2806">
      <c r="B2806" s="14"/>
      <c r="P2806" s="12"/>
    </row>
    <row r="2807">
      <c r="B2807" s="14"/>
      <c r="P2807" s="12"/>
    </row>
    <row r="2808">
      <c r="B2808" s="14"/>
      <c r="P2808" s="12"/>
    </row>
    <row r="2809">
      <c r="B2809" s="14"/>
      <c r="P2809" s="12"/>
    </row>
    <row r="2810">
      <c r="B2810" s="14"/>
      <c r="P2810" s="12"/>
    </row>
    <row r="2811">
      <c r="B2811" s="14"/>
      <c r="P2811" s="12"/>
    </row>
    <row r="2812">
      <c r="B2812" s="14"/>
      <c r="P2812" s="12"/>
    </row>
    <row r="2813">
      <c r="B2813" s="14"/>
      <c r="P2813" s="12"/>
    </row>
    <row r="2814">
      <c r="B2814" s="14"/>
      <c r="P2814" s="12"/>
    </row>
    <row r="2815">
      <c r="B2815" s="14"/>
      <c r="P2815" s="12"/>
    </row>
    <row r="2816">
      <c r="B2816" s="14"/>
      <c r="P2816" s="12"/>
    </row>
    <row r="2817">
      <c r="B2817" s="14"/>
      <c r="P2817" s="12"/>
    </row>
    <row r="2818">
      <c r="B2818" s="14"/>
      <c r="P2818" s="12"/>
    </row>
    <row r="2819">
      <c r="B2819" s="14"/>
      <c r="P2819" s="12"/>
    </row>
    <row r="2820">
      <c r="B2820" s="14"/>
      <c r="P2820" s="12"/>
    </row>
    <row r="2821">
      <c r="B2821" s="14"/>
      <c r="P2821" s="12"/>
    </row>
    <row r="2822">
      <c r="B2822" s="14"/>
      <c r="P2822" s="12"/>
    </row>
    <row r="2823">
      <c r="B2823" s="14"/>
      <c r="P2823" s="12"/>
    </row>
    <row r="2824">
      <c r="B2824" s="14"/>
      <c r="P2824" s="12"/>
    </row>
    <row r="2825">
      <c r="B2825" s="14"/>
      <c r="P2825" s="12"/>
    </row>
    <row r="2826">
      <c r="B2826" s="14"/>
      <c r="P2826" s="12"/>
    </row>
    <row r="2827">
      <c r="B2827" s="14"/>
      <c r="P2827" s="12"/>
    </row>
    <row r="2828">
      <c r="B2828" s="14"/>
      <c r="P2828" s="12"/>
    </row>
    <row r="2829">
      <c r="B2829" s="14"/>
      <c r="P2829" s="12"/>
    </row>
    <row r="2830">
      <c r="B2830" s="14"/>
      <c r="P2830" s="12"/>
    </row>
    <row r="2831">
      <c r="B2831" s="14"/>
      <c r="P2831" s="12"/>
    </row>
    <row r="2832">
      <c r="B2832" s="14"/>
      <c r="P2832" s="12"/>
    </row>
    <row r="2833">
      <c r="B2833" s="14"/>
      <c r="P2833" s="12"/>
    </row>
    <row r="2834">
      <c r="B2834" s="14"/>
      <c r="P2834" s="12"/>
    </row>
    <row r="2835">
      <c r="B2835" s="14"/>
      <c r="P2835" s="12"/>
    </row>
    <row r="2836">
      <c r="B2836" s="14"/>
      <c r="P2836" s="12"/>
    </row>
    <row r="2837">
      <c r="B2837" s="14"/>
      <c r="P2837" s="12"/>
    </row>
    <row r="2838">
      <c r="B2838" s="14"/>
      <c r="P2838" s="12"/>
    </row>
    <row r="2839">
      <c r="B2839" s="14"/>
      <c r="P2839" s="12"/>
    </row>
    <row r="2840">
      <c r="B2840" s="14"/>
      <c r="P2840" s="12"/>
    </row>
    <row r="2841">
      <c r="B2841" s="14"/>
      <c r="P2841" s="12"/>
    </row>
    <row r="2842">
      <c r="B2842" s="14"/>
      <c r="P2842" s="12"/>
    </row>
    <row r="2843">
      <c r="B2843" s="14"/>
      <c r="P2843" s="12"/>
    </row>
    <row r="2844">
      <c r="B2844" s="14"/>
      <c r="P2844" s="12"/>
    </row>
    <row r="2845">
      <c r="B2845" s="14"/>
      <c r="P2845" s="12"/>
    </row>
    <row r="2846">
      <c r="B2846" s="14"/>
      <c r="P2846" s="12"/>
    </row>
    <row r="2847">
      <c r="B2847" s="14"/>
      <c r="P2847" s="12"/>
    </row>
    <row r="2848">
      <c r="B2848" s="14"/>
      <c r="P2848" s="12"/>
    </row>
    <row r="2849">
      <c r="B2849" s="14"/>
      <c r="P2849" s="12"/>
    </row>
    <row r="2850">
      <c r="B2850" s="14"/>
      <c r="P2850" s="12"/>
    </row>
    <row r="2851">
      <c r="B2851" s="14"/>
      <c r="P2851" s="12"/>
    </row>
    <row r="2852">
      <c r="B2852" s="14"/>
      <c r="P2852" s="12"/>
    </row>
    <row r="2853">
      <c r="B2853" s="14"/>
      <c r="P2853" s="12"/>
    </row>
    <row r="2854">
      <c r="B2854" s="14"/>
      <c r="P2854" s="12"/>
    </row>
    <row r="2855">
      <c r="B2855" s="14"/>
      <c r="P2855" s="12"/>
    </row>
    <row r="2856">
      <c r="B2856" s="14"/>
      <c r="P2856" s="12"/>
    </row>
    <row r="2857">
      <c r="B2857" s="14"/>
      <c r="P2857" s="12"/>
    </row>
    <row r="2858">
      <c r="B2858" s="14"/>
      <c r="P2858" s="12"/>
    </row>
    <row r="2859">
      <c r="B2859" s="14"/>
      <c r="P2859" s="12"/>
    </row>
    <row r="2860">
      <c r="B2860" s="14"/>
      <c r="P2860" s="12"/>
    </row>
    <row r="2861">
      <c r="B2861" s="14"/>
      <c r="P2861" s="12"/>
    </row>
    <row r="2862">
      <c r="B2862" s="14"/>
      <c r="P2862" s="12"/>
    </row>
    <row r="2863">
      <c r="B2863" s="14"/>
      <c r="P2863" s="12"/>
    </row>
    <row r="2864">
      <c r="B2864" s="14"/>
      <c r="P2864" s="12"/>
    </row>
    <row r="2865">
      <c r="B2865" s="14"/>
      <c r="P2865" s="12"/>
    </row>
    <row r="2866">
      <c r="B2866" s="14"/>
      <c r="P2866" s="12"/>
    </row>
    <row r="2867">
      <c r="B2867" s="14"/>
      <c r="P2867" s="12"/>
    </row>
    <row r="2868">
      <c r="B2868" s="14"/>
      <c r="P2868" s="12"/>
    </row>
    <row r="2869">
      <c r="B2869" s="14"/>
      <c r="P2869" s="12"/>
    </row>
    <row r="2870">
      <c r="B2870" s="14"/>
      <c r="P2870" s="12"/>
    </row>
    <row r="2871">
      <c r="B2871" s="14"/>
      <c r="P2871" s="12"/>
    </row>
    <row r="2872">
      <c r="B2872" s="14"/>
      <c r="P2872" s="12"/>
    </row>
    <row r="2873">
      <c r="B2873" s="14"/>
      <c r="P2873" s="12"/>
    </row>
    <row r="2874">
      <c r="B2874" s="14"/>
      <c r="P2874" s="12"/>
    </row>
    <row r="2875">
      <c r="B2875" s="14"/>
      <c r="P2875" s="12"/>
    </row>
    <row r="2876">
      <c r="B2876" s="14"/>
      <c r="P2876" s="12"/>
    </row>
    <row r="2877">
      <c r="B2877" s="14"/>
      <c r="P2877" s="12"/>
    </row>
    <row r="2878">
      <c r="B2878" s="14"/>
      <c r="P2878" s="12"/>
    </row>
    <row r="2879">
      <c r="B2879" s="14"/>
      <c r="P2879" s="12"/>
    </row>
    <row r="2880">
      <c r="B2880" s="14"/>
      <c r="P2880" s="12"/>
    </row>
    <row r="2881">
      <c r="B2881" s="14"/>
      <c r="P2881" s="12"/>
    </row>
    <row r="2882">
      <c r="B2882" s="14"/>
      <c r="P2882" s="12"/>
    </row>
    <row r="2883">
      <c r="B2883" s="14"/>
      <c r="P2883" s="12"/>
    </row>
    <row r="2884">
      <c r="B2884" s="14"/>
      <c r="P2884" s="12"/>
    </row>
    <row r="2885">
      <c r="B2885" s="14"/>
      <c r="P2885" s="12"/>
    </row>
    <row r="2886">
      <c r="B2886" s="14"/>
      <c r="P2886" s="12"/>
    </row>
    <row r="2887">
      <c r="B2887" s="14"/>
      <c r="P2887" s="12"/>
    </row>
    <row r="2888">
      <c r="B2888" s="14"/>
      <c r="P2888" s="12"/>
    </row>
    <row r="2889">
      <c r="B2889" s="14"/>
      <c r="P2889" s="12"/>
    </row>
    <row r="2890">
      <c r="B2890" s="14"/>
      <c r="P2890" s="12"/>
    </row>
    <row r="2891">
      <c r="B2891" s="14"/>
      <c r="P2891" s="12"/>
    </row>
    <row r="2892">
      <c r="B2892" s="14"/>
      <c r="P2892" s="12"/>
    </row>
    <row r="2893">
      <c r="B2893" s="14"/>
      <c r="P2893" s="12"/>
    </row>
    <row r="2894">
      <c r="B2894" s="14"/>
      <c r="P2894" s="12"/>
    </row>
    <row r="2895">
      <c r="B2895" s="14"/>
      <c r="P2895" s="12"/>
    </row>
    <row r="2896">
      <c r="B2896" s="14"/>
      <c r="P2896" s="12"/>
    </row>
    <row r="2897">
      <c r="B2897" s="14"/>
      <c r="P2897" s="12"/>
    </row>
    <row r="2898">
      <c r="B2898" s="14"/>
      <c r="P2898" s="12"/>
    </row>
    <row r="2899">
      <c r="B2899" s="14"/>
      <c r="P2899" s="12"/>
    </row>
    <row r="2900">
      <c r="B2900" s="14"/>
      <c r="P2900" s="12"/>
    </row>
    <row r="2901">
      <c r="B2901" s="14"/>
      <c r="P2901" s="12"/>
    </row>
    <row r="2902">
      <c r="B2902" s="14"/>
      <c r="P2902" s="12"/>
    </row>
    <row r="2903">
      <c r="B2903" s="14"/>
      <c r="P2903" s="12"/>
    </row>
    <row r="2904">
      <c r="B2904" s="14"/>
      <c r="P2904" s="12"/>
    </row>
    <row r="2905">
      <c r="B2905" s="14"/>
      <c r="P2905" s="12"/>
    </row>
    <row r="2906">
      <c r="B2906" s="14"/>
      <c r="P2906" s="12"/>
    </row>
    <row r="2907">
      <c r="B2907" s="14"/>
      <c r="P2907" s="12"/>
    </row>
    <row r="2908">
      <c r="B2908" s="14"/>
      <c r="P2908" s="12"/>
    </row>
    <row r="2909">
      <c r="B2909" s="14"/>
      <c r="P2909" s="12"/>
    </row>
    <row r="2910">
      <c r="B2910" s="14"/>
      <c r="P2910" s="12"/>
    </row>
    <row r="2911">
      <c r="B2911" s="14"/>
      <c r="P2911" s="12"/>
    </row>
    <row r="2912">
      <c r="B2912" s="14"/>
      <c r="P2912" s="12"/>
    </row>
    <row r="2913">
      <c r="B2913" s="14"/>
      <c r="P2913" s="12"/>
    </row>
    <row r="2914">
      <c r="B2914" s="14"/>
      <c r="P2914" s="12"/>
    </row>
    <row r="2915">
      <c r="B2915" s="14"/>
      <c r="P2915" s="12"/>
    </row>
    <row r="2916">
      <c r="B2916" s="14"/>
      <c r="P2916" s="12"/>
    </row>
    <row r="2917">
      <c r="B2917" s="14"/>
      <c r="P2917" s="12"/>
    </row>
    <row r="2918">
      <c r="B2918" s="14"/>
      <c r="P2918" s="12"/>
    </row>
    <row r="2919">
      <c r="B2919" s="14"/>
      <c r="P2919" s="12"/>
    </row>
    <row r="2920">
      <c r="B2920" s="14"/>
      <c r="P2920" s="12"/>
    </row>
    <row r="2921">
      <c r="B2921" s="14"/>
      <c r="P2921" s="12"/>
    </row>
    <row r="2922">
      <c r="B2922" s="14"/>
      <c r="P2922" s="12"/>
    </row>
    <row r="2923">
      <c r="B2923" s="14"/>
      <c r="P2923" s="12"/>
    </row>
    <row r="2924">
      <c r="B2924" s="14"/>
      <c r="P2924" s="12"/>
    </row>
    <row r="2925">
      <c r="B2925" s="14"/>
      <c r="P2925" s="12"/>
    </row>
    <row r="2926">
      <c r="B2926" s="14"/>
      <c r="P2926" s="12"/>
    </row>
    <row r="2927">
      <c r="B2927" s="14"/>
      <c r="P2927" s="12"/>
    </row>
    <row r="2928">
      <c r="B2928" s="14"/>
      <c r="P2928" s="12"/>
    </row>
    <row r="2929">
      <c r="B2929" s="14"/>
      <c r="P2929" s="12"/>
    </row>
    <row r="2930">
      <c r="B2930" s="14"/>
      <c r="P2930" s="12"/>
    </row>
    <row r="2931">
      <c r="B2931" s="14"/>
      <c r="P2931" s="12"/>
    </row>
    <row r="2932">
      <c r="B2932" s="14"/>
      <c r="P2932" s="12"/>
    </row>
    <row r="2933">
      <c r="B2933" s="14"/>
      <c r="P2933" s="12"/>
    </row>
  </sheetData>
  <mergeCells count="198">
    <mergeCell ref="P141:Q141"/>
    <mergeCell ref="P144:Q144"/>
    <mergeCell ref="P145:Q145"/>
    <mergeCell ref="P162:Q162"/>
    <mergeCell ref="P164:Q164"/>
    <mergeCell ref="P165:Q165"/>
    <mergeCell ref="P166:Q166"/>
    <mergeCell ref="P167:Q167"/>
    <mergeCell ref="P168:Q168"/>
    <mergeCell ref="P169:Q169"/>
    <mergeCell ref="P173:Q173"/>
    <mergeCell ref="P175:Q175"/>
    <mergeCell ref="P176:Q176"/>
    <mergeCell ref="P178:Q178"/>
    <mergeCell ref="P9:Q9"/>
    <mergeCell ref="P11:Q11"/>
    <mergeCell ref="P13:Q13"/>
    <mergeCell ref="P14:Q14"/>
    <mergeCell ref="P25:Q25"/>
    <mergeCell ref="P27:Q27"/>
    <mergeCell ref="P29:Q29"/>
    <mergeCell ref="P32:Q32"/>
    <mergeCell ref="P36:Q36"/>
    <mergeCell ref="P37:Q37"/>
    <mergeCell ref="P48:Q48"/>
    <mergeCell ref="P49:Q49"/>
    <mergeCell ref="P55:Q55"/>
    <mergeCell ref="P56:Q56"/>
    <mergeCell ref="P63:Q63"/>
    <mergeCell ref="P68:Q68"/>
    <mergeCell ref="P71:Q71"/>
    <mergeCell ref="P75:Q75"/>
    <mergeCell ref="P81:Q81"/>
    <mergeCell ref="P84:Q84"/>
    <mergeCell ref="P88:Q88"/>
    <mergeCell ref="P90:Q90"/>
    <mergeCell ref="P91:Q91"/>
    <mergeCell ref="P92:Q92"/>
    <mergeCell ref="P93:Q93"/>
    <mergeCell ref="P97:Q97"/>
    <mergeCell ref="P103:Q103"/>
    <mergeCell ref="P104:Q104"/>
    <mergeCell ref="P108:Q108"/>
    <mergeCell ref="P114:Q114"/>
    <mergeCell ref="P115:Q115"/>
    <mergeCell ref="P116:Q116"/>
    <mergeCell ref="P117:Q117"/>
    <mergeCell ref="P118:Q118"/>
    <mergeCell ref="P120:Q120"/>
    <mergeCell ref="P122:Q122"/>
    <mergeCell ref="P125:Q125"/>
    <mergeCell ref="P128:Q128"/>
    <mergeCell ref="P130:Q130"/>
    <mergeCell ref="P136:Q136"/>
    <mergeCell ref="P138:Q138"/>
    <mergeCell ref="P140:Q140"/>
    <mergeCell ref="P180:Q180"/>
    <mergeCell ref="P183:Q183"/>
    <mergeCell ref="P186:Q186"/>
    <mergeCell ref="P188:Q188"/>
    <mergeCell ref="P189:Q189"/>
    <mergeCell ref="P192:Q192"/>
    <mergeCell ref="P195:Q195"/>
    <mergeCell ref="P352:Q352"/>
    <mergeCell ref="P355:Q355"/>
    <mergeCell ref="P358:Q358"/>
    <mergeCell ref="P360:Q360"/>
    <mergeCell ref="P364:Q364"/>
    <mergeCell ref="P365:Q365"/>
    <mergeCell ref="P367:Q367"/>
    <mergeCell ref="P369:Q369"/>
    <mergeCell ref="P370:Q370"/>
    <mergeCell ref="P371:Q371"/>
    <mergeCell ref="P373:Q373"/>
    <mergeCell ref="P375:Q375"/>
    <mergeCell ref="P377:Q377"/>
    <mergeCell ref="P384:Q384"/>
    <mergeCell ref="P200:Q200"/>
    <mergeCell ref="P205:Q205"/>
    <mergeCell ref="P209:Q209"/>
    <mergeCell ref="P213:Q213"/>
    <mergeCell ref="P216:Q216"/>
    <mergeCell ref="P227:Q227"/>
    <mergeCell ref="P232:Q232"/>
    <mergeCell ref="P233:Q233"/>
    <mergeCell ref="P234:Q234"/>
    <mergeCell ref="P236:Q236"/>
    <mergeCell ref="P238:Q238"/>
    <mergeCell ref="P240:Q240"/>
    <mergeCell ref="P242:Q242"/>
    <mergeCell ref="P244:Q244"/>
    <mergeCell ref="P257:Q257"/>
    <mergeCell ref="P259:Q259"/>
    <mergeCell ref="P267:Q267"/>
    <mergeCell ref="P269:Q269"/>
    <mergeCell ref="P276:Q276"/>
    <mergeCell ref="P277:Q277"/>
    <mergeCell ref="P280:Q280"/>
    <mergeCell ref="P282:Q282"/>
    <mergeCell ref="P289:Q289"/>
    <mergeCell ref="P290:Q290"/>
    <mergeCell ref="P291:Q291"/>
    <mergeCell ref="P294:Q294"/>
    <mergeCell ref="P295:Q295"/>
    <mergeCell ref="P296:Q296"/>
    <mergeCell ref="P300:Q300"/>
    <mergeCell ref="P301:Q301"/>
    <mergeCell ref="P305:Q305"/>
    <mergeCell ref="P306:Q306"/>
    <mergeCell ref="P308:Q308"/>
    <mergeCell ref="P314:Q314"/>
    <mergeCell ref="P316:Q316"/>
    <mergeCell ref="P322:Q322"/>
    <mergeCell ref="P326:Q326"/>
    <mergeCell ref="P327:Q327"/>
    <mergeCell ref="P336:Q336"/>
    <mergeCell ref="P344:Q344"/>
    <mergeCell ref="P345:Q345"/>
    <mergeCell ref="P350:Q350"/>
    <mergeCell ref="P393:Q393"/>
    <mergeCell ref="P396:Q396"/>
    <mergeCell ref="P401:Q401"/>
    <mergeCell ref="P402:Q402"/>
    <mergeCell ref="P404:Q404"/>
    <mergeCell ref="P408:Q408"/>
    <mergeCell ref="P413:Q413"/>
    <mergeCell ref="P584:Q584"/>
    <mergeCell ref="P590:Q590"/>
    <mergeCell ref="P591:Q591"/>
    <mergeCell ref="P593:Q593"/>
    <mergeCell ref="P596:Q596"/>
    <mergeCell ref="P598:Q598"/>
    <mergeCell ref="P601:Q601"/>
    <mergeCell ref="P602:Q602"/>
    <mergeCell ref="P604:Q604"/>
    <mergeCell ref="P605:Q605"/>
    <mergeCell ref="P609:Q609"/>
    <mergeCell ref="P610:Q610"/>
    <mergeCell ref="P612:Q612"/>
    <mergeCell ref="P613:Q613"/>
    <mergeCell ref="P638:Q638"/>
    <mergeCell ref="P639:Q639"/>
    <mergeCell ref="P617:Q617"/>
    <mergeCell ref="P621:Q621"/>
    <mergeCell ref="P626:Q626"/>
    <mergeCell ref="P628:Q628"/>
    <mergeCell ref="P630:Q630"/>
    <mergeCell ref="P633:Q633"/>
    <mergeCell ref="P634:Q634"/>
    <mergeCell ref="P415:Q415"/>
    <mergeCell ref="P430:Q430"/>
    <mergeCell ref="P432:Q432"/>
    <mergeCell ref="P436:Q436"/>
    <mergeCell ref="P437:Q437"/>
    <mergeCell ref="P440:Q440"/>
    <mergeCell ref="P441:Q441"/>
    <mergeCell ref="P442:Q442"/>
    <mergeCell ref="P443:Q443"/>
    <mergeCell ref="P444:Q444"/>
    <mergeCell ref="P445:Q445"/>
    <mergeCell ref="P446:Q446"/>
    <mergeCell ref="P447:Q447"/>
    <mergeCell ref="P448:Q448"/>
    <mergeCell ref="P449:Q449"/>
    <mergeCell ref="P450:Q450"/>
    <mergeCell ref="P455:Q455"/>
    <mergeCell ref="P456:Q456"/>
    <mergeCell ref="P461:Q461"/>
    <mergeCell ref="P466:Q466"/>
    <mergeCell ref="P469:Q469"/>
    <mergeCell ref="P471:Q471"/>
    <mergeCell ref="P478:Q478"/>
    <mergeCell ref="P480:Q480"/>
    <mergeCell ref="P483:Q483"/>
    <mergeCell ref="P485:Q485"/>
    <mergeCell ref="P492:Q492"/>
    <mergeCell ref="P502:Q502"/>
    <mergeCell ref="P504:Q504"/>
    <mergeCell ref="P507:Q507"/>
    <mergeCell ref="P511:Q511"/>
    <mergeCell ref="P512:Q512"/>
    <mergeCell ref="P518:Q518"/>
    <mergeCell ref="P524:Q524"/>
    <mergeCell ref="P529:Q529"/>
    <mergeCell ref="P530:Q530"/>
    <mergeCell ref="P540:Q540"/>
    <mergeCell ref="P543:Q543"/>
    <mergeCell ref="P550:Q550"/>
    <mergeCell ref="P554:Q554"/>
    <mergeCell ref="P557:Q557"/>
    <mergeCell ref="P561:Q561"/>
    <mergeCell ref="P564:Q564"/>
    <mergeCell ref="P565:Q565"/>
    <mergeCell ref="P566:Q566"/>
    <mergeCell ref="P575:Q575"/>
    <mergeCell ref="P577:Q577"/>
    <mergeCell ref="P578:Q578"/>
    <mergeCell ref="P579:Q57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f t="array" ref="A1:A2932">TransPose(TransPose(Data!B2:B1000))</f>
        <v>1023</v>
      </c>
      <c r="B1" s="16" t="str">
        <f t="array" ref="B1:B2932">TransPose(TransPose(Data!N2:N1000))</f>
        <v>MIDDLE</v>
      </c>
      <c r="C1" s="15">
        <f t="shared" ref="C1:C1000" si="1">IF(B1="LOW",4,IF(B1="MIDDLE",6,IF(B1="HIGH",10,IF(B1="TRAVERSE",15,0))))</f>
        <v>6</v>
      </c>
      <c r="E1" s="15">
        <f t="array" ref="E1:ALO1">TRANSPOSE(RawTotals!A2:A1000)</f>
        <v>1023</v>
      </c>
      <c r="F1" s="16">
        <v>2056.0</v>
      </c>
      <c r="G1" s="16">
        <v>1339.0</v>
      </c>
      <c r="H1" s="16">
        <v>3538.0</v>
      </c>
      <c r="I1" s="16">
        <v>340.0</v>
      </c>
      <c r="J1" s="16">
        <v>180.0</v>
      </c>
      <c r="K1" s="16">
        <v>4028.0</v>
      </c>
      <c r="L1" s="16">
        <v>2767.0</v>
      </c>
      <c r="M1" s="16">
        <v>5712.0</v>
      </c>
      <c r="N1" s="16">
        <v>4499.0</v>
      </c>
      <c r="O1" s="16">
        <v>2338.0</v>
      </c>
      <c r="P1" s="16">
        <v>694.0</v>
      </c>
      <c r="Q1" s="16">
        <v>4143.0</v>
      </c>
      <c r="R1" s="16">
        <v>67.0</v>
      </c>
      <c r="S1" s="16">
        <v>27.0</v>
      </c>
      <c r="T1" s="16">
        <v>118.0</v>
      </c>
      <c r="U1" s="16">
        <v>587.0</v>
      </c>
      <c r="V1" s="16">
        <v>195.0</v>
      </c>
      <c r="W1" s="16">
        <v>2468.0</v>
      </c>
      <c r="X1" s="16">
        <v>1706.0</v>
      </c>
      <c r="Y1" s="16">
        <v>3357.0</v>
      </c>
      <c r="Z1" s="16">
        <v>2539.0</v>
      </c>
      <c r="AA1" s="16">
        <v>3940.0</v>
      </c>
      <c r="AB1" s="15">
        <v>4635.0</v>
      </c>
      <c r="AC1" s="15">
        <v>1533.0</v>
      </c>
      <c r="AD1" s="15">
        <v>33.0</v>
      </c>
      <c r="AE1" s="15">
        <v>624.0</v>
      </c>
      <c r="AF1" s="15">
        <v>829.0</v>
      </c>
      <c r="AG1" s="15">
        <v>7457.0</v>
      </c>
      <c r="AH1" s="15">
        <v>1730.0</v>
      </c>
      <c r="AI1" s="15">
        <v>2363.0</v>
      </c>
      <c r="AJ1" s="15">
        <v>1024.0</v>
      </c>
      <c r="AK1" s="15">
        <v>4926.0</v>
      </c>
      <c r="AL1" s="15">
        <v>5484.0</v>
      </c>
      <c r="AM1" s="15">
        <v>503.0</v>
      </c>
      <c r="AN1" s="15">
        <v>2075.0</v>
      </c>
      <c r="AO1" s="15">
        <v>1987.0</v>
      </c>
      <c r="AP1" s="15">
        <v>5406.0</v>
      </c>
      <c r="AQ1" s="15">
        <v>1732.0</v>
      </c>
      <c r="AR1" s="15">
        <v>4265.0</v>
      </c>
      <c r="AS1" s="15">
        <v>4099.0</v>
      </c>
      <c r="AT1" s="15">
        <v>5010.0</v>
      </c>
      <c r="AU1" s="15">
        <v>234.0</v>
      </c>
      <c r="AV1" s="15">
        <v>3176.0</v>
      </c>
      <c r="AW1" s="15">
        <v>1720.0</v>
      </c>
      <c r="AX1" s="15">
        <v>2614.0</v>
      </c>
      <c r="AY1" s="15">
        <v>3175.0</v>
      </c>
      <c r="AZ1" s="15">
        <v>325.0</v>
      </c>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5"/>
      <c r="GS1" s="15"/>
      <c r="GT1" s="15"/>
      <c r="GU1" s="15"/>
      <c r="GV1" s="15"/>
      <c r="GW1" s="15"/>
      <c r="GX1" s="15"/>
      <c r="GY1" s="15"/>
      <c r="GZ1" s="15"/>
      <c r="HA1" s="15"/>
      <c r="HB1" s="15"/>
      <c r="HC1" s="15"/>
      <c r="HD1" s="15"/>
      <c r="HE1" s="15"/>
      <c r="HF1" s="15"/>
      <c r="HG1" s="15"/>
      <c r="HH1" s="15"/>
      <c r="HI1" s="15"/>
      <c r="HJ1" s="15"/>
      <c r="HK1" s="15"/>
      <c r="HL1" s="15"/>
      <c r="HM1" s="15"/>
      <c r="HN1" s="15"/>
      <c r="HO1" s="15"/>
      <c r="HP1" s="15"/>
      <c r="HQ1" s="15"/>
      <c r="HR1" s="15"/>
      <c r="HS1" s="15"/>
      <c r="HT1" s="15"/>
      <c r="HU1" s="15"/>
      <c r="HV1" s="15"/>
      <c r="HW1" s="15"/>
      <c r="HX1" s="15"/>
      <c r="HY1" s="15"/>
      <c r="HZ1" s="15"/>
      <c r="IA1" s="15"/>
      <c r="IB1" s="15"/>
      <c r="IC1" s="15"/>
      <c r="ID1" s="15"/>
      <c r="IE1" s="15"/>
      <c r="IF1" s="15"/>
      <c r="IG1" s="15"/>
      <c r="IH1" s="15"/>
      <c r="II1" s="15"/>
      <c r="IJ1" s="15"/>
      <c r="IK1" s="15"/>
      <c r="IL1" s="15"/>
      <c r="IM1" s="15"/>
      <c r="IN1" s="15"/>
      <c r="IO1" s="15"/>
      <c r="IP1" s="15"/>
      <c r="IQ1" s="15"/>
      <c r="IR1" s="15"/>
      <c r="IS1" s="15"/>
      <c r="IT1" s="15"/>
      <c r="IU1" s="15"/>
      <c r="IV1" s="15"/>
      <c r="IW1" s="15"/>
      <c r="IX1" s="15"/>
      <c r="IY1" s="15"/>
      <c r="IZ1" s="15"/>
      <c r="JA1" s="15"/>
      <c r="JB1" s="15"/>
      <c r="JC1" s="15"/>
      <c r="JD1" s="15"/>
      <c r="JE1" s="15"/>
      <c r="JF1" s="15"/>
      <c r="JG1" s="15"/>
      <c r="JH1" s="15"/>
      <c r="JI1" s="15"/>
      <c r="JJ1" s="15"/>
      <c r="JK1" s="15"/>
      <c r="JL1" s="15"/>
      <c r="JM1" s="15"/>
      <c r="JN1" s="15"/>
      <c r="JO1" s="15"/>
      <c r="JP1" s="15"/>
      <c r="JQ1" s="15"/>
      <c r="JR1" s="15"/>
      <c r="JS1" s="15"/>
      <c r="JT1" s="15"/>
      <c r="JU1" s="15"/>
      <c r="JV1" s="15"/>
      <c r="JW1" s="15"/>
      <c r="JX1" s="15"/>
      <c r="JY1" s="15"/>
      <c r="JZ1" s="15"/>
      <c r="KA1" s="15"/>
      <c r="KB1" s="15"/>
      <c r="KC1" s="15"/>
      <c r="KD1" s="15"/>
      <c r="KE1" s="15"/>
      <c r="KF1" s="15"/>
      <c r="KG1" s="15"/>
      <c r="KH1" s="15"/>
      <c r="KI1" s="15"/>
      <c r="KJ1" s="15"/>
      <c r="KK1" s="15"/>
      <c r="KL1" s="15"/>
      <c r="KM1" s="15"/>
      <c r="KN1" s="17"/>
    </row>
    <row r="2">
      <c r="A2" s="15">
        <v>1023.0</v>
      </c>
      <c r="B2" s="15" t="s">
        <v>18</v>
      </c>
      <c r="C2" s="15">
        <f t="shared" si="1"/>
        <v>6</v>
      </c>
      <c r="E2" s="15">
        <f>IFERROR(__xludf.DUMMYFUNCTION("SORT(IF(E1="""","""",FILTER($C:$C,$A:$A=E1)),1,FALSE)"),15.0)</f>
        <v>15</v>
      </c>
      <c r="F2" s="15">
        <f>IFERROR(__xludf.DUMMYFUNCTION("SORT(IF(F1="""","""",FILTER($C:$C,$A:$A=F1)),1,FALSE)"),15.0)</f>
        <v>15</v>
      </c>
      <c r="G2" s="15">
        <f>IFERROR(__xludf.DUMMYFUNCTION("SORT(IF(G1="""","""",FILTER($C:$C,$A:$A=G1)),1,FALSE)"),15.0)</f>
        <v>15</v>
      </c>
      <c r="H2" s="15">
        <f>IFERROR(__xludf.DUMMYFUNCTION("SORT(IF(H1="""","""",FILTER($C:$C,$A:$A=H1)),1,FALSE)"),15.0)</f>
        <v>15</v>
      </c>
      <c r="I2" s="15">
        <f>IFERROR(__xludf.DUMMYFUNCTION("SORT(IF(I1="""","""",FILTER($C:$C,$A:$A=I1)),1,FALSE)"),15.0)</f>
        <v>15</v>
      </c>
      <c r="J2" s="15">
        <f>IFERROR(__xludf.DUMMYFUNCTION("SORT(IF(J1="""","""",FILTER($C:$C,$A:$A=J1)),1,FALSE)"),10.0)</f>
        <v>10</v>
      </c>
      <c r="K2" s="15">
        <f>IFERROR(__xludf.DUMMYFUNCTION("SORT(IF(K1="""","""",FILTER($C:$C,$A:$A=K1)),1,FALSE)"),15.0)</f>
        <v>15</v>
      </c>
      <c r="L2" s="15">
        <f>IFERROR(__xludf.DUMMYFUNCTION("SORT(IF(L1="""","""",FILTER($C:$C,$A:$A=L1)),1,FALSE)"),15.0)</f>
        <v>15</v>
      </c>
      <c r="M2" s="15">
        <f>IFERROR(__xludf.DUMMYFUNCTION("SORT(IF(M1="""","""",FILTER($C:$C,$A:$A=M1)),1,FALSE)"),15.0)</f>
        <v>15</v>
      </c>
      <c r="N2" s="15">
        <f>IFERROR(__xludf.DUMMYFUNCTION("SORT(IF(N1="""","""",FILTER($C:$C,$A:$A=N1)),1,FALSE)"),15.0)</f>
        <v>15</v>
      </c>
      <c r="O2" s="15">
        <f>IFERROR(__xludf.DUMMYFUNCTION("SORT(IF(O1="""","""",FILTER($C:$C,$A:$A=O1)),1,FALSE)"),15.0)</f>
        <v>15</v>
      </c>
      <c r="P2" s="15">
        <f>IFERROR(__xludf.DUMMYFUNCTION("SORT(IF(P1="""","""",FILTER($C:$C,$A:$A=P1)),1,FALSE)"),15.0)</f>
        <v>15</v>
      </c>
      <c r="Q2" s="15">
        <f>IFERROR(__xludf.DUMMYFUNCTION("SORT(IF(Q1="""","""",FILTER($C:$C,$A:$A=Q1)),1,FALSE)"),15.0)</f>
        <v>15</v>
      </c>
      <c r="R2" s="15">
        <f>IFERROR(__xludf.DUMMYFUNCTION("SORT(IF(R1="""","""",FILTER($C:$C,$A:$A=R1)),1,FALSE)"),15.0)</f>
        <v>15</v>
      </c>
      <c r="S2" s="15">
        <f>IFERROR(__xludf.DUMMYFUNCTION("SORT(IF(S1="""","""",FILTER($C:$C,$A:$A=S1)),1,FALSE)"),15.0)</f>
        <v>15</v>
      </c>
      <c r="T2" s="15">
        <f>IFERROR(__xludf.DUMMYFUNCTION("SORT(IF(T1="""","""",FILTER($C:$C,$A:$A=T1)),1,FALSE)"),15.0)</f>
        <v>15</v>
      </c>
      <c r="U2" s="15">
        <f>IFERROR(__xludf.DUMMYFUNCTION("SORT(IF(U1="""","""",FILTER($C:$C,$A:$A=U1)),1,FALSE)"),15.0)</f>
        <v>15</v>
      </c>
      <c r="V2" s="15">
        <f>IFERROR(__xludf.DUMMYFUNCTION("SORT(IF(V1="""","""",FILTER($C:$C,$A:$A=V1)),1,FALSE)"),15.0)</f>
        <v>15</v>
      </c>
      <c r="W2" s="15">
        <f>IFERROR(__xludf.DUMMYFUNCTION("SORT(IF(W1="""","""",FILTER($C:$C,$A:$A=W1)),1,FALSE)"),15.0)</f>
        <v>15</v>
      </c>
      <c r="X2" s="15">
        <f>IFERROR(__xludf.DUMMYFUNCTION("SORT(IF(X1="""","""",FILTER($C:$C,$A:$A=X1)),1,FALSE)"),6.0)</f>
        <v>6</v>
      </c>
      <c r="Y2" s="15">
        <f>IFERROR(__xludf.DUMMYFUNCTION("SORT(IF(Y1="""","""",FILTER($C:$C,$A:$A=Y1)),1,FALSE)"),15.0)</f>
        <v>15</v>
      </c>
      <c r="Z2" s="15">
        <f>IFERROR(__xludf.DUMMYFUNCTION("SORT(IF(Z1="""","""",FILTER($C:$C,$A:$A=Z1)),1,FALSE)"),15.0)</f>
        <v>15</v>
      </c>
      <c r="AA2" s="15">
        <f>IFERROR(__xludf.DUMMYFUNCTION("SORT(IF(AA1="""","""",FILTER($C:$C,$A:$A=AA1)),1,FALSE)"),15.0)</f>
        <v>15</v>
      </c>
      <c r="AB2" s="15">
        <f>IFERROR(__xludf.DUMMYFUNCTION("SORT(IF(AB1="""","""",FILTER($C:$C,$A:$A=AB1)),1,FALSE)"),15.0)</f>
        <v>15</v>
      </c>
      <c r="AC2" s="15">
        <f>IFERROR(__xludf.DUMMYFUNCTION("SORT(IF(AC1="""","""",FILTER($C:$C,$A:$A=AC1)),1,FALSE)"),15.0)</f>
        <v>15</v>
      </c>
      <c r="AD2" s="15">
        <f>IFERROR(__xludf.DUMMYFUNCTION("SORT(IF(AD1="""","""",FILTER($C:$C,$A:$A=AD1)),1,FALSE)"),15.0)</f>
        <v>15</v>
      </c>
      <c r="AE2" s="15">
        <f>IFERROR(__xludf.DUMMYFUNCTION("SORT(IF(AE1="""","""",FILTER($C:$C,$A:$A=AE1)),1,FALSE)"),15.0)</f>
        <v>15</v>
      </c>
      <c r="AF2" s="15">
        <f>IFERROR(__xludf.DUMMYFUNCTION("SORT(IF(AF1="""","""",FILTER($C:$C,$A:$A=AF1)),1,FALSE)"),15.0)</f>
        <v>15</v>
      </c>
      <c r="AG2" s="15">
        <f>IFERROR(__xludf.DUMMYFUNCTION("SORT(IF(AG1="""","""",FILTER($C:$C,$A:$A=AG1)),1,FALSE)"),15.0)</f>
        <v>15</v>
      </c>
      <c r="AH2" s="15">
        <f>IFERROR(__xludf.DUMMYFUNCTION("SORT(IF(AH1="""","""",FILTER($C:$C,$A:$A=AH1)),1,FALSE)"),15.0)</f>
        <v>15</v>
      </c>
      <c r="AI2" s="15">
        <f>IFERROR(__xludf.DUMMYFUNCTION("SORT(IF(AI1="""","""",FILTER($C:$C,$A:$A=AI1)),1,FALSE)"),6.0)</f>
        <v>6</v>
      </c>
      <c r="AJ2" s="15">
        <f>IFERROR(__xludf.DUMMYFUNCTION("SORT(IF(AJ1="""","""",FILTER($C:$C,$A:$A=AJ1)),1,FALSE)"),15.0)</f>
        <v>15</v>
      </c>
      <c r="AK2" s="15">
        <f>IFERROR(__xludf.DUMMYFUNCTION("SORT(IF(AK1="""","""",FILTER($C:$C,$A:$A=AK1)),1,FALSE)"),15.0)</f>
        <v>15</v>
      </c>
      <c r="AL2" s="15">
        <f>IFERROR(__xludf.DUMMYFUNCTION("SORT(IF(AL1="""","""",FILTER($C:$C,$A:$A=AL1)),1,FALSE)"),15.0)</f>
        <v>15</v>
      </c>
      <c r="AM2" s="15">
        <f>IFERROR(__xludf.DUMMYFUNCTION("SORT(IF(AM1="""","""",FILTER($C:$C,$A:$A=AM1)),1,FALSE)"),15.0)</f>
        <v>15</v>
      </c>
      <c r="AN2" s="15">
        <f>IFERROR(__xludf.DUMMYFUNCTION("SORT(IF(AN1="""","""",FILTER($C:$C,$A:$A=AN1)),1,FALSE)"),10.0)</f>
        <v>10</v>
      </c>
      <c r="AO2" s="15">
        <f>IFERROR(__xludf.DUMMYFUNCTION("SORT(IF(AO1="""","""",FILTER($C:$C,$A:$A=AO1)),1,FALSE)"),15.0)</f>
        <v>15</v>
      </c>
      <c r="AP2" s="15">
        <f>IFERROR(__xludf.DUMMYFUNCTION("SORT(IF(AP1="""","""",FILTER($C:$C,$A:$A=AP1)),1,FALSE)"),15.0)</f>
        <v>15</v>
      </c>
      <c r="AQ2" s="15">
        <f>IFERROR(__xludf.DUMMYFUNCTION("SORT(IF(AQ1="""","""",FILTER($C:$C,$A:$A=AQ1)),1,FALSE)"),6.0)</f>
        <v>6</v>
      </c>
      <c r="AR2" s="15">
        <f>IFERROR(__xludf.DUMMYFUNCTION("SORT(IF(AR1="""","""",FILTER($C:$C,$A:$A=AR1)),1,FALSE)"),6.0)</f>
        <v>6</v>
      </c>
      <c r="AS2" s="15">
        <f>IFERROR(__xludf.DUMMYFUNCTION("SORT(IF(AS1="""","""",FILTER($C:$C,$A:$A=AS1)),1,FALSE)"),15.0)</f>
        <v>15</v>
      </c>
      <c r="AT2" s="15">
        <f>IFERROR(__xludf.DUMMYFUNCTION("SORT(IF(AT1="""","""",FILTER($C:$C,$A:$A=AT1)),1,FALSE)"),15.0)</f>
        <v>15</v>
      </c>
      <c r="AU2" s="15">
        <f>IFERROR(__xludf.DUMMYFUNCTION("SORT(IF(AU1="""","""",FILTER($C:$C,$A:$A=AU1)),1,FALSE)"),15.0)</f>
        <v>15</v>
      </c>
      <c r="AV2" s="15">
        <f>IFERROR(__xludf.DUMMYFUNCTION("SORT(IF(AV1="""","""",FILTER($C:$C,$A:$A=AV1)),1,FALSE)"),4.0)</f>
        <v>4</v>
      </c>
      <c r="AW2" s="15">
        <f>IFERROR(__xludf.DUMMYFUNCTION("SORT(IF(AW1="""","""",FILTER($C:$C,$A:$A=AW1)),1,FALSE)"),10.0)</f>
        <v>10</v>
      </c>
      <c r="AX2" s="15">
        <f>IFERROR(__xludf.DUMMYFUNCTION("SORT(IF(AX1="""","""",FILTER($C:$C,$A:$A=AX1)),1,FALSE)"),6.0)</f>
        <v>6</v>
      </c>
      <c r="AY2" s="15">
        <f>IFERROR(__xludf.DUMMYFUNCTION("SORT(IF(AY1="""","""",FILTER($C:$C,$A:$A=AY1)),1,FALSE)"),0.0)</f>
        <v>0</v>
      </c>
      <c r="AZ2" s="15">
        <f>IFERROR(__xludf.DUMMYFUNCTION("SORT(IF(AZ1="""","""",FILTER($C:$C,$A:$A=AZ1)),1,FALSE)"),4.0)</f>
        <v>4</v>
      </c>
      <c r="BA2" s="15" t="str">
        <f>IFERROR(__xludf.DUMMYFUNCTION("SORT(IF(BA1="""","""",FILTER($C:$C,$A:$A=BA1)),1,FALSE)"),"")</f>
        <v/>
      </c>
      <c r="BB2" s="15" t="str">
        <f>IFERROR(__xludf.DUMMYFUNCTION("SORT(IF(BB1="""","""",FILTER($C:$C,$A:$A=BB1)),1,FALSE)"),"")</f>
        <v/>
      </c>
      <c r="BC2" s="15" t="str">
        <f>IFERROR(__xludf.DUMMYFUNCTION("SORT(IF(BC1="""","""",FILTER($C:$C,$A:$A=BC1)),1,FALSE)"),"")</f>
        <v/>
      </c>
      <c r="BD2" s="15" t="str">
        <f>IFERROR(__xludf.DUMMYFUNCTION("SORT(IF(BD1="""","""",FILTER($C:$C,$A:$A=BD1)),1,FALSE)"),"")</f>
        <v/>
      </c>
      <c r="BE2" s="15" t="str">
        <f>IFERROR(__xludf.DUMMYFUNCTION("SORT(IF(BE1="""","""",FILTER($C:$C,$A:$A=BE1)),1,FALSE)"),"")</f>
        <v/>
      </c>
      <c r="BF2" s="15" t="str">
        <f>IFERROR(__xludf.DUMMYFUNCTION("SORT(IF(BF1="""","""",FILTER($C:$C,$A:$A=BF1)),1,FALSE)"),"")</f>
        <v/>
      </c>
      <c r="BG2" s="15" t="str">
        <f>IFERROR(__xludf.DUMMYFUNCTION("SORT(IF(BG1="""","""",FILTER($C:$C,$A:$A=BG1)),1,FALSE)"),"")</f>
        <v/>
      </c>
      <c r="BH2" s="15" t="str">
        <f>IFERROR(__xludf.DUMMYFUNCTION("SORT(IF(BH1="""","""",FILTER($C:$C,$A:$A=BH1)),1,FALSE)"),"")</f>
        <v/>
      </c>
      <c r="BI2" s="15" t="str">
        <f>IFERROR(__xludf.DUMMYFUNCTION("SORT(IF(BI1="""","""",FILTER($C:$C,$A:$A=BI1)),1,FALSE)"),"")</f>
        <v/>
      </c>
      <c r="BJ2" s="15" t="str">
        <f>IFERROR(__xludf.DUMMYFUNCTION("SORT(IF(BJ1="""","""",FILTER($C:$C,$A:$A=BJ1)),1,FALSE)"),"")</f>
        <v/>
      </c>
      <c r="BK2" s="15" t="str">
        <f>IFERROR(__xludf.DUMMYFUNCTION("SORT(IF(BK1="""","""",FILTER($C:$C,$A:$A=BK1)),1,FALSE)"),"")</f>
        <v/>
      </c>
      <c r="BL2" s="15" t="str">
        <f>IFERROR(__xludf.DUMMYFUNCTION("SORT(IF(BL1="""","""",FILTER($C:$C,$A:$A=BL1)),1,FALSE)"),"")</f>
        <v/>
      </c>
      <c r="BM2" s="15" t="str">
        <f>IFERROR(__xludf.DUMMYFUNCTION("SORT(IF(BM1="""","""",FILTER($C:$C,$A:$A=BM1)),1,FALSE)"),"")</f>
        <v/>
      </c>
      <c r="BN2" s="15" t="str">
        <f>IFERROR(__xludf.DUMMYFUNCTION("SORT(IF(BN1="""","""",FILTER($C:$C,$A:$A=BN1)),1,FALSE)"),"")</f>
        <v/>
      </c>
      <c r="BO2" s="15" t="str">
        <f>IFERROR(__xludf.DUMMYFUNCTION("SORT(IF(BO1="""","""",FILTER($C:$C,$A:$A=BO1)),1,FALSE)"),"")</f>
        <v/>
      </c>
      <c r="BP2" s="15" t="str">
        <f>IFERROR(__xludf.DUMMYFUNCTION("SORT(IF(BP1="""","""",FILTER($C:$C,$A:$A=BP1)),1,FALSE)"),"")</f>
        <v/>
      </c>
      <c r="BQ2" s="15" t="str">
        <f>IFERROR(__xludf.DUMMYFUNCTION("SORT(IF(BQ1="""","""",FILTER($C:$C,$A:$A=BQ1)),1,FALSE)"),"")</f>
        <v/>
      </c>
      <c r="BR2" s="15" t="str">
        <f>IFERROR(__xludf.DUMMYFUNCTION("SORT(IF(BR1="""","""",FILTER($C:$C,$A:$A=BR1)),1,FALSE)"),"")</f>
        <v/>
      </c>
      <c r="BS2" s="15" t="str">
        <f>IFERROR(__xludf.DUMMYFUNCTION("SORT(IF(BS1="""","""",FILTER($C:$C,$A:$A=BS1)),1,FALSE)"),"")</f>
        <v/>
      </c>
      <c r="BT2" s="15" t="str">
        <f>IFERROR(__xludf.DUMMYFUNCTION("SORT(IF(BT1="""","""",FILTER($C:$C,$A:$A=BT1)),1,FALSE)"),"")</f>
        <v/>
      </c>
      <c r="BU2" s="15" t="str">
        <f>IFERROR(__xludf.DUMMYFUNCTION("SORT(IF(BU1="""","""",FILTER($C:$C,$A:$A=BU1)),1,FALSE)"),"")</f>
        <v/>
      </c>
      <c r="BV2" s="15" t="str">
        <f>IFERROR(__xludf.DUMMYFUNCTION("SORT(IF(BV1="""","""",FILTER($C:$C,$A:$A=BV1)),1,FALSE)"),"")</f>
        <v/>
      </c>
      <c r="BW2" s="15" t="str">
        <f>IFERROR(__xludf.DUMMYFUNCTION("SORT(IF(BW1="""","""",FILTER($C:$C,$A:$A=BW1)),1,FALSE)"),"")</f>
        <v/>
      </c>
      <c r="BX2" s="15" t="str">
        <f>IFERROR(__xludf.DUMMYFUNCTION("SORT(IF(BX1="""","""",FILTER($C:$C,$A:$A=BX1)),1,FALSE)"),"")</f>
        <v/>
      </c>
      <c r="BY2" s="15" t="str">
        <f>IFERROR(__xludf.DUMMYFUNCTION("SORT(IF(BY1="""","""",FILTER($C:$C,$A:$A=BY1)),1,FALSE)"),"")</f>
        <v/>
      </c>
      <c r="BZ2" s="15" t="str">
        <f>IFERROR(__xludf.DUMMYFUNCTION("SORT(IF(BZ1="""","""",FILTER($C:$C,$A:$A=BZ1)),1,FALSE)"),"")</f>
        <v/>
      </c>
      <c r="CA2" s="15" t="str">
        <f>IFERROR(__xludf.DUMMYFUNCTION("SORT(IF(CA1="""","""",FILTER($C:$C,$A:$A=CA1)),1,FALSE)"),"")</f>
        <v/>
      </c>
      <c r="CB2" s="15" t="str">
        <f>IFERROR(__xludf.DUMMYFUNCTION("SORT(IF(CB1="""","""",FILTER($C:$C,$A:$A=CB1)),1,FALSE)"),"")</f>
        <v/>
      </c>
      <c r="CC2" s="15" t="str">
        <f>IFERROR(__xludf.DUMMYFUNCTION("SORT(IF(CC1="""","""",FILTER($C:$C,$A:$A=CC1)),1,FALSE)"),"")</f>
        <v/>
      </c>
      <c r="CD2" s="15" t="str">
        <f>IFERROR(__xludf.DUMMYFUNCTION("SORT(IF(CD1="""","""",FILTER($C:$C,$A:$A=CD1)),1,FALSE)"),"")</f>
        <v/>
      </c>
      <c r="CE2" s="15" t="str">
        <f>IFERROR(__xludf.DUMMYFUNCTION("SORT(IF(CE1="""","""",FILTER($C:$C,$A:$A=CE1)),1,FALSE)"),"")</f>
        <v/>
      </c>
      <c r="CF2" s="15" t="str">
        <f>IFERROR(__xludf.DUMMYFUNCTION("SORT(IF(CF1="""","""",FILTER($C:$C,$A:$A=CF1)),1,FALSE)"),"")</f>
        <v/>
      </c>
      <c r="CG2" s="15" t="str">
        <f>IFERROR(__xludf.DUMMYFUNCTION("SORT(IF(CG1="""","""",FILTER($C:$C,$A:$A=CG1)),1,FALSE)"),"")</f>
        <v/>
      </c>
      <c r="CH2" s="15" t="str">
        <f>IFERROR(__xludf.DUMMYFUNCTION("SORT(IF(CH1="""","""",FILTER($C:$C,$A:$A=CH1)),1,FALSE)"),"")</f>
        <v/>
      </c>
      <c r="CI2" s="15" t="str">
        <f>IFERROR(__xludf.DUMMYFUNCTION("SORT(IF(CI1="""","""",FILTER($C:$C,$A:$A=CI1)),1,FALSE)"),"")</f>
        <v/>
      </c>
      <c r="CJ2" s="15" t="str">
        <f>IFERROR(__xludf.DUMMYFUNCTION("SORT(IF(CJ1="""","""",FILTER($C:$C,$A:$A=CJ1)),1,FALSE)"),"")</f>
        <v/>
      </c>
      <c r="CK2" s="15" t="str">
        <f>IFERROR(__xludf.DUMMYFUNCTION("SORT(IF(CK1="""","""",FILTER($C:$C,$A:$A=CK1)),1,FALSE)"),"")</f>
        <v/>
      </c>
      <c r="CL2" s="15" t="str">
        <f>IFERROR(__xludf.DUMMYFUNCTION("SORT(IF(CL1="""","""",FILTER($C:$C,$A:$A=CL1)),1,FALSE)"),"")</f>
        <v/>
      </c>
      <c r="CM2" s="15" t="str">
        <f>IFERROR(__xludf.DUMMYFUNCTION("SORT(IF(CM1="""","""",FILTER($C:$C,$A:$A=CM1)),1,FALSE)"),"")</f>
        <v/>
      </c>
      <c r="CN2" s="15" t="str">
        <f>IFERROR(__xludf.DUMMYFUNCTION("SORT(IF(CN1="""","""",FILTER($C:$C,$A:$A=CN1)),1,FALSE)"),"")</f>
        <v/>
      </c>
      <c r="CO2" s="15" t="str">
        <f>IFERROR(__xludf.DUMMYFUNCTION("SORT(IF(CO1="""","""",FILTER($C:$C,$A:$A=CO1)),1,FALSE)"),"")</f>
        <v/>
      </c>
      <c r="CP2" s="15" t="str">
        <f>IFERROR(__xludf.DUMMYFUNCTION("SORT(IF(CP1="""","""",FILTER($C:$C,$A:$A=CP1)),1,FALSE)"),"")</f>
        <v/>
      </c>
      <c r="CQ2" s="15" t="str">
        <f>IFERROR(__xludf.DUMMYFUNCTION("SORT(IF(CQ1="""","""",FILTER($C:$C,$A:$A=CQ1)),1,FALSE)"),"")</f>
        <v/>
      </c>
      <c r="CR2" s="15" t="str">
        <f>IFERROR(__xludf.DUMMYFUNCTION("SORT(IF(CR1="""","""",FILTER($C:$C,$A:$A=CR1)),1,FALSE)"),"")</f>
        <v/>
      </c>
      <c r="CS2" s="15" t="str">
        <f>IFERROR(__xludf.DUMMYFUNCTION("SORT(IF(CS1="""","""",FILTER($C:$C,$A:$A=CS1)),1,FALSE)"),"")</f>
        <v/>
      </c>
      <c r="CT2" s="15" t="str">
        <f>IFERROR(__xludf.DUMMYFUNCTION("SORT(IF(CT1="""","""",FILTER($C:$C,$A:$A=CT1)),1,FALSE)"),"")</f>
        <v/>
      </c>
      <c r="CU2" s="15" t="str">
        <f>IFERROR(__xludf.DUMMYFUNCTION("SORT(IF(CU1="""","""",FILTER($C:$C,$A:$A=CU1)),1,FALSE)"),"")</f>
        <v/>
      </c>
      <c r="CV2" s="15" t="str">
        <f>IFERROR(__xludf.DUMMYFUNCTION("SORT(IF(CV1="""","""",FILTER($C:$C,$A:$A=CV1)),1,FALSE)"),"")</f>
        <v/>
      </c>
      <c r="CW2" s="15" t="str">
        <f>IFERROR(__xludf.DUMMYFUNCTION("SORT(IF(CW1="""","""",FILTER($C:$C,$A:$A=CW1)),1,FALSE)"),"")</f>
        <v/>
      </c>
      <c r="CX2" s="15" t="str">
        <f>IFERROR(__xludf.DUMMYFUNCTION("SORT(IF(CX1="""","""",FILTER($C:$C,$A:$A=CX1)),1,FALSE)"),"")</f>
        <v/>
      </c>
      <c r="CY2" s="15" t="str">
        <f>IFERROR(__xludf.DUMMYFUNCTION("SORT(IF(CY1="""","""",FILTER($C:$C,$A:$A=CY1)),1,FALSE)"),"")</f>
        <v/>
      </c>
      <c r="CZ2" s="15" t="str">
        <f>IFERROR(__xludf.DUMMYFUNCTION("SORT(IF(CZ1="""","""",FILTER($C:$C,$A:$A=CZ1)),1,FALSE)"),"")</f>
        <v/>
      </c>
      <c r="DA2" s="15" t="str">
        <f>IFERROR(__xludf.DUMMYFUNCTION("SORT(IF(DA1="""","""",FILTER($C:$C,$A:$A=DA1)),1,FALSE)"),"")</f>
        <v/>
      </c>
      <c r="DB2" s="15" t="str">
        <f>IFERROR(__xludf.DUMMYFUNCTION("SORT(IF(DB1="""","""",FILTER($C:$C,$A:$A=DB1)),1,FALSE)"),"")</f>
        <v/>
      </c>
      <c r="DC2" s="15" t="str">
        <f>IFERROR(__xludf.DUMMYFUNCTION("SORT(IF(DC1="""","""",FILTER($C:$C,$A:$A=DC1)),1,FALSE)"),"")</f>
        <v/>
      </c>
      <c r="DD2" s="15" t="str">
        <f>IFERROR(__xludf.DUMMYFUNCTION("SORT(IF(DD1="""","""",FILTER($C:$C,$A:$A=DD1)),1,FALSE)"),"")</f>
        <v/>
      </c>
      <c r="DE2" s="15" t="str">
        <f>IFERROR(__xludf.DUMMYFUNCTION("SORT(IF(DE1="""","""",FILTER($C:$C,$A:$A=DE1)),1,FALSE)"),"")</f>
        <v/>
      </c>
      <c r="DF2" s="15" t="str">
        <f>IFERROR(__xludf.DUMMYFUNCTION("SORT(IF(DF1="""","""",FILTER($C:$C,$A:$A=DF1)),1,FALSE)"),"")</f>
        <v/>
      </c>
      <c r="DG2" s="15" t="str">
        <f>IFERROR(__xludf.DUMMYFUNCTION("SORT(IF(DG1="""","""",FILTER($C:$C,$A:$A=DG1)),1,FALSE)"),"")</f>
        <v/>
      </c>
      <c r="DH2" s="15" t="str">
        <f>IFERROR(__xludf.DUMMYFUNCTION("SORT(IF(DH1="""","""",FILTER($C:$C,$A:$A=DH1)),1,FALSE)"),"")</f>
        <v/>
      </c>
      <c r="DI2" s="15" t="str">
        <f>IFERROR(__xludf.DUMMYFUNCTION("SORT(IF(DI1="""","""",FILTER($C:$C,$A:$A=DI1)),1,FALSE)"),"")</f>
        <v/>
      </c>
      <c r="DJ2" s="15" t="str">
        <f>IFERROR(__xludf.DUMMYFUNCTION("SORT(IF(DJ1="""","""",FILTER($C:$C,$A:$A=DJ1)),1,FALSE)"),"")</f>
        <v/>
      </c>
      <c r="DK2" s="15" t="str">
        <f>IFERROR(__xludf.DUMMYFUNCTION("SORT(IF(DK1="""","""",FILTER($C:$C,$A:$A=DK1)),1,FALSE)"),"")</f>
        <v/>
      </c>
      <c r="DL2" s="15" t="str">
        <f>IFERROR(__xludf.DUMMYFUNCTION("SORT(IF(DL1="""","""",FILTER($C:$C,$A:$A=DL1)),1,FALSE)"),"")</f>
        <v/>
      </c>
      <c r="DM2" s="15" t="str">
        <f>IFERROR(__xludf.DUMMYFUNCTION("SORT(IF(DM1="""","""",FILTER($C:$C,$A:$A=DM1)),1,FALSE)"),"")</f>
        <v/>
      </c>
      <c r="DN2" s="15" t="str">
        <f>IFERROR(__xludf.DUMMYFUNCTION("SORT(IF(DN1="""","""",FILTER($C:$C,$A:$A=DN1)),1,FALSE)"),"")</f>
        <v/>
      </c>
      <c r="DO2" s="15" t="str">
        <f>IFERROR(__xludf.DUMMYFUNCTION("SORT(IF(DO1="""","""",FILTER($C:$C,$A:$A=DO1)),1,FALSE)"),"")</f>
        <v/>
      </c>
      <c r="DP2" s="15" t="str">
        <f>IFERROR(__xludf.DUMMYFUNCTION("SORT(IF(DP1="""","""",FILTER($C:$C,$A:$A=DP1)),1,FALSE)"),"")</f>
        <v/>
      </c>
      <c r="DQ2" s="15" t="str">
        <f>IFERROR(__xludf.DUMMYFUNCTION("SORT(IF(DQ1="""","""",FILTER($C:$C,$A:$A=DQ1)),1,FALSE)"),"")</f>
        <v/>
      </c>
      <c r="DR2" s="15" t="str">
        <f>IFERROR(__xludf.DUMMYFUNCTION("SORT(IF(DR1="""","""",FILTER($C:$C,$A:$A=DR1)),1,FALSE)"),"")</f>
        <v/>
      </c>
      <c r="DS2" s="15" t="str">
        <f>IFERROR(__xludf.DUMMYFUNCTION("SORT(IF(DS1="""","""",FILTER($C:$C,$A:$A=DS1)),1,FALSE)"),"")</f>
        <v/>
      </c>
      <c r="DT2" s="15" t="str">
        <f>IFERROR(__xludf.DUMMYFUNCTION("SORT(IF(DT1="""","""",FILTER($C:$C,$A:$A=DT1)),1,FALSE)"),"")</f>
        <v/>
      </c>
      <c r="DU2" s="15" t="str">
        <f>IFERROR(__xludf.DUMMYFUNCTION("SORT(IF(DU1="""","""",FILTER($C:$C,$A:$A=DU1)),1,FALSE)"),"")</f>
        <v/>
      </c>
      <c r="DV2" s="15" t="str">
        <f>IFERROR(__xludf.DUMMYFUNCTION("SORT(IF(DV1="""","""",FILTER($C:$C,$A:$A=DV1)),1,FALSE)"),"")</f>
        <v/>
      </c>
    </row>
    <row r="3">
      <c r="A3" s="15">
        <v>1023.0</v>
      </c>
      <c r="B3" s="15" t="s">
        <v>18</v>
      </c>
      <c r="C3" s="15">
        <f t="shared" si="1"/>
        <v>6</v>
      </c>
      <c r="E3" s="15">
        <f>IFERROR(__xludf.DUMMYFUNCTION("""COMPUTED_VALUE"""),6.0)</f>
        <v>6</v>
      </c>
      <c r="F3" s="15">
        <f>IFERROR(__xludf.DUMMYFUNCTION("""COMPUTED_VALUE"""),15.0)</f>
        <v>15</v>
      </c>
      <c r="G3" s="15">
        <f>IFERROR(__xludf.DUMMYFUNCTION("""COMPUTED_VALUE"""),15.0)</f>
        <v>15</v>
      </c>
      <c r="H3" s="15">
        <f>IFERROR(__xludf.DUMMYFUNCTION("""COMPUTED_VALUE"""),15.0)</f>
        <v>15</v>
      </c>
      <c r="I3" s="15">
        <f>IFERROR(__xludf.DUMMYFUNCTION("""COMPUTED_VALUE"""),15.0)</f>
        <v>15</v>
      </c>
      <c r="J3" s="15">
        <f>IFERROR(__xludf.DUMMYFUNCTION("""COMPUTED_VALUE"""),10.0)</f>
        <v>10</v>
      </c>
      <c r="K3" s="15">
        <f>IFERROR(__xludf.DUMMYFUNCTION("""COMPUTED_VALUE"""),15.0)</f>
        <v>15</v>
      </c>
      <c r="L3" s="15">
        <f>IFERROR(__xludf.DUMMYFUNCTION("""COMPUTED_VALUE"""),15.0)</f>
        <v>15</v>
      </c>
      <c r="M3" s="15">
        <f>IFERROR(__xludf.DUMMYFUNCTION("""COMPUTED_VALUE"""),15.0)</f>
        <v>15</v>
      </c>
      <c r="N3" s="15">
        <f>IFERROR(__xludf.DUMMYFUNCTION("""COMPUTED_VALUE"""),15.0)</f>
        <v>15</v>
      </c>
      <c r="O3" s="15">
        <f>IFERROR(__xludf.DUMMYFUNCTION("""COMPUTED_VALUE"""),15.0)</f>
        <v>15</v>
      </c>
      <c r="P3" s="15">
        <f>IFERROR(__xludf.DUMMYFUNCTION("""COMPUTED_VALUE"""),15.0)</f>
        <v>15</v>
      </c>
      <c r="Q3" s="15">
        <f>IFERROR(__xludf.DUMMYFUNCTION("""COMPUTED_VALUE"""),15.0)</f>
        <v>15</v>
      </c>
      <c r="R3" s="15">
        <f>IFERROR(__xludf.DUMMYFUNCTION("""COMPUTED_VALUE"""),15.0)</f>
        <v>15</v>
      </c>
      <c r="S3" s="15">
        <f>IFERROR(__xludf.DUMMYFUNCTION("""COMPUTED_VALUE"""),15.0)</f>
        <v>15</v>
      </c>
      <c r="T3" s="15">
        <f>IFERROR(__xludf.DUMMYFUNCTION("""COMPUTED_VALUE"""),15.0)</f>
        <v>15</v>
      </c>
      <c r="U3" s="15">
        <f>IFERROR(__xludf.DUMMYFUNCTION("""COMPUTED_VALUE"""),15.0)</f>
        <v>15</v>
      </c>
      <c r="V3" s="15">
        <f>IFERROR(__xludf.DUMMYFUNCTION("""COMPUTED_VALUE"""),15.0)</f>
        <v>15</v>
      </c>
      <c r="W3" s="15">
        <f>IFERROR(__xludf.DUMMYFUNCTION("""COMPUTED_VALUE"""),15.0)</f>
        <v>15</v>
      </c>
      <c r="X3" s="15">
        <f>IFERROR(__xludf.DUMMYFUNCTION("""COMPUTED_VALUE"""),6.0)</f>
        <v>6</v>
      </c>
      <c r="Y3" s="15">
        <f>IFERROR(__xludf.DUMMYFUNCTION("""COMPUTED_VALUE"""),15.0)</f>
        <v>15</v>
      </c>
      <c r="Z3" s="15">
        <f>IFERROR(__xludf.DUMMYFUNCTION("""COMPUTED_VALUE"""),15.0)</f>
        <v>15</v>
      </c>
      <c r="AA3" s="15">
        <f>IFERROR(__xludf.DUMMYFUNCTION("""COMPUTED_VALUE"""),15.0)</f>
        <v>15</v>
      </c>
      <c r="AB3" s="15">
        <f>IFERROR(__xludf.DUMMYFUNCTION("""COMPUTED_VALUE"""),10.0)</f>
        <v>10</v>
      </c>
      <c r="AC3" s="15">
        <f>IFERROR(__xludf.DUMMYFUNCTION("""COMPUTED_VALUE"""),15.0)</f>
        <v>15</v>
      </c>
      <c r="AD3" s="15">
        <f>IFERROR(__xludf.DUMMYFUNCTION("""COMPUTED_VALUE"""),15.0)</f>
        <v>15</v>
      </c>
      <c r="AE3" s="15">
        <f>IFERROR(__xludf.DUMMYFUNCTION("""COMPUTED_VALUE"""),6.0)</f>
        <v>6</v>
      </c>
      <c r="AF3" s="15">
        <f>IFERROR(__xludf.DUMMYFUNCTION("""COMPUTED_VALUE"""),15.0)</f>
        <v>15</v>
      </c>
      <c r="AG3" s="15">
        <f>IFERROR(__xludf.DUMMYFUNCTION("""COMPUTED_VALUE"""),15.0)</f>
        <v>15</v>
      </c>
      <c r="AH3" s="15">
        <f>IFERROR(__xludf.DUMMYFUNCTION("""COMPUTED_VALUE"""),15.0)</f>
        <v>15</v>
      </c>
      <c r="AI3" s="15">
        <f>IFERROR(__xludf.DUMMYFUNCTION("""COMPUTED_VALUE"""),6.0)</f>
        <v>6</v>
      </c>
      <c r="AJ3" s="15">
        <f>IFERROR(__xludf.DUMMYFUNCTION("""COMPUTED_VALUE"""),15.0)</f>
        <v>15</v>
      </c>
      <c r="AK3" s="15">
        <f>IFERROR(__xludf.DUMMYFUNCTION("""COMPUTED_VALUE"""),15.0)</f>
        <v>15</v>
      </c>
      <c r="AL3" s="15">
        <f>IFERROR(__xludf.DUMMYFUNCTION("""COMPUTED_VALUE"""),15.0)</f>
        <v>15</v>
      </c>
      <c r="AM3" s="15">
        <f>IFERROR(__xludf.DUMMYFUNCTION("""COMPUTED_VALUE"""),15.0)</f>
        <v>15</v>
      </c>
      <c r="AN3" s="15">
        <f>IFERROR(__xludf.DUMMYFUNCTION("""COMPUTED_VALUE"""),6.0)</f>
        <v>6</v>
      </c>
      <c r="AO3" s="15">
        <f>IFERROR(__xludf.DUMMYFUNCTION("""COMPUTED_VALUE"""),15.0)</f>
        <v>15</v>
      </c>
      <c r="AP3" s="15">
        <f>IFERROR(__xludf.DUMMYFUNCTION("""COMPUTED_VALUE"""),15.0)</f>
        <v>15</v>
      </c>
      <c r="AQ3" s="15">
        <f>IFERROR(__xludf.DUMMYFUNCTION("""COMPUTED_VALUE"""),6.0)</f>
        <v>6</v>
      </c>
      <c r="AR3" s="15">
        <f>IFERROR(__xludf.DUMMYFUNCTION("""COMPUTED_VALUE"""),6.0)</f>
        <v>6</v>
      </c>
      <c r="AS3" s="15">
        <f>IFERROR(__xludf.DUMMYFUNCTION("""COMPUTED_VALUE"""),15.0)</f>
        <v>15</v>
      </c>
      <c r="AT3" s="15">
        <f>IFERROR(__xludf.DUMMYFUNCTION("""COMPUTED_VALUE"""),15.0)</f>
        <v>15</v>
      </c>
      <c r="AU3" s="15">
        <f>IFERROR(__xludf.DUMMYFUNCTION("""COMPUTED_VALUE"""),15.0)</f>
        <v>15</v>
      </c>
      <c r="AV3" s="15">
        <f>IFERROR(__xludf.DUMMYFUNCTION("""COMPUTED_VALUE"""),4.0)</f>
        <v>4</v>
      </c>
      <c r="AW3" s="15">
        <f>IFERROR(__xludf.DUMMYFUNCTION("""COMPUTED_VALUE"""),6.0)</f>
        <v>6</v>
      </c>
      <c r="AX3" s="15">
        <f>IFERROR(__xludf.DUMMYFUNCTION("""COMPUTED_VALUE"""),6.0)</f>
        <v>6</v>
      </c>
      <c r="AY3" s="15">
        <f>IFERROR(__xludf.DUMMYFUNCTION("""COMPUTED_VALUE"""),0.0)</f>
        <v>0</v>
      </c>
      <c r="AZ3" s="15">
        <f>IFERROR(__xludf.DUMMYFUNCTION("""COMPUTED_VALUE"""),0.0)</f>
        <v>0</v>
      </c>
    </row>
    <row r="4">
      <c r="A4" s="15">
        <v>1023.0</v>
      </c>
      <c r="B4" s="15" t="s">
        <v>28</v>
      </c>
      <c r="C4" s="15">
        <f t="shared" si="1"/>
        <v>0</v>
      </c>
      <c r="E4" s="15">
        <f>IFERROR(__xludf.DUMMYFUNCTION("""COMPUTED_VALUE"""),6.0)</f>
        <v>6</v>
      </c>
      <c r="F4" s="15">
        <f>IFERROR(__xludf.DUMMYFUNCTION("""COMPUTED_VALUE"""),15.0)</f>
        <v>15</v>
      </c>
      <c r="G4" s="15">
        <f>IFERROR(__xludf.DUMMYFUNCTION("""COMPUTED_VALUE"""),15.0)</f>
        <v>15</v>
      </c>
      <c r="H4" s="15">
        <f>IFERROR(__xludf.DUMMYFUNCTION("""COMPUTED_VALUE"""),15.0)</f>
        <v>15</v>
      </c>
      <c r="I4" s="15">
        <f>IFERROR(__xludf.DUMMYFUNCTION("""COMPUTED_VALUE"""),15.0)</f>
        <v>15</v>
      </c>
      <c r="J4" s="15">
        <f>IFERROR(__xludf.DUMMYFUNCTION("""COMPUTED_VALUE"""),10.0)</f>
        <v>10</v>
      </c>
      <c r="K4" s="15">
        <f>IFERROR(__xludf.DUMMYFUNCTION("""COMPUTED_VALUE"""),10.0)</f>
        <v>10</v>
      </c>
      <c r="L4" s="15">
        <f>IFERROR(__xludf.DUMMYFUNCTION("""COMPUTED_VALUE"""),15.0)</f>
        <v>15</v>
      </c>
      <c r="M4" s="15">
        <f>IFERROR(__xludf.DUMMYFUNCTION("""COMPUTED_VALUE"""),15.0)</f>
        <v>15</v>
      </c>
      <c r="N4" s="15">
        <f>IFERROR(__xludf.DUMMYFUNCTION("""COMPUTED_VALUE"""),15.0)</f>
        <v>15</v>
      </c>
      <c r="O4" s="15">
        <f>IFERROR(__xludf.DUMMYFUNCTION("""COMPUTED_VALUE"""),15.0)</f>
        <v>15</v>
      </c>
      <c r="P4" s="15">
        <f>IFERROR(__xludf.DUMMYFUNCTION("""COMPUTED_VALUE"""),15.0)</f>
        <v>15</v>
      </c>
      <c r="Q4" s="15">
        <f>IFERROR(__xludf.DUMMYFUNCTION("""COMPUTED_VALUE"""),10.0)</f>
        <v>10</v>
      </c>
      <c r="R4" s="15">
        <f>IFERROR(__xludf.DUMMYFUNCTION("""COMPUTED_VALUE"""),15.0)</f>
        <v>15</v>
      </c>
      <c r="S4" s="15">
        <f>IFERROR(__xludf.DUMMYFUNCTION("""COMPUTED_VALUE"""),15.0)</f>
        <v>15</v>
      </c>
      <c r="T4" s="15">
        <f>IFERROR(__xludf.DUMMYFUNCTION("""COMPUTED_VALUE"""),15.0)</f>
        <v>15</v>
      </c>
      <c r="U4" s="15">
        <f>IFERROR(__xludf.DUMMYFUNCTION("""COMPUTED_VALUE"""),15.0)</f>
        <v>15</v>
      </c>
      <c r="V4" s="15">
        <f>IFERROR(__xludf.DUMMYFUNCTION("""COMPUTED_VALUE"""),15.0)</f>
        <v>15</v>
      </c>
      <c r="W4" s="15">
        <f>IFERROR(__xludf.DUMMYFUNCTION("""COMPUTED_VALUE"""),15.0)</f>
        <v>15</v>
      </c>
      <c r="X4" s="15">
        <f>IFERROR(__xludf.DUMMYFUNCTION("""COMPUTED_VALUE"""),0.0)</f>
        <v>0</v>
      </c>
      <c r="Y4" s="15">
        <f>IFERROR(__xludf.DUMMYFUNCTION("""COMPUTED_VALUE"""),15.0)</f>
        <v>15</v>
      </c>
      <c r="Z4" s="15">
        <f>IFERROR(__xludf.DUMMYFUNCTION("""COMPUTED_VALUE"""),15.0)</f>
        <v>15</v>
      </c>
      <c r="AA4" s="15">
        <f>IFERROR(__xludf.DUMMYFUNCTION("""COMPUTED_VALUE"""),15.0)</f>
        <v>15</v>
      </c>
      <c r="AB4" s="15">
        <f>IFERROR(__xludf.DUMMYFUNCTION("""COMPUTED_VALUE"""),0.0)</f>
        <v>0</v>
      </c>
      <c r="AC4" s="15">
        <f>IFERROR(__xludf.DUMMYFUNCTION("""COMPUTED_VALUE"""),15.0)</f>
        <v>15</v>
      </c>
      <c r="AD4" s="15">
        <f>IFERROR(__xludf.DUMMYFUNCTION("""COMPUTED_VALUE"""),15.0)</f>
        <v>15</v>
      </c>
      <c r="AE4" s="15">
        <f>IFERROR(__xludf.DUMMYFUNCTION("""COMPUTED_VALUE"""),6.0)</f>
        <v>6</v>
      </c>
      <c r="AF4" s="15">
        <f>IFERROR(__xludf.DUMMYFUNCTION("""COMPUTED_VALUE"""),15.0)</f>
        <v>15</v>
      </c>
      <c r="AG4" s="15">
        <f>IFERROR(__xludf.DUMMYFUNCTION("""COMPUTED_VALUE"""),15.0)</f>
        <v>15</v>
      </c>
      <c r="AH4" s="15">
        <f>IFERROR(__xludf.DUMMYFUNCTION("""COMPUTED_VALUE"""),15.0)</f>
        <v>15</v>
      </c>
      <c r="AI4" s="15">
        <f>IFERROR(__xludf.DUMMYFUNCTION("""COMPUTED_VALUE"""),6.0)</f>
        <v>6</v>
      </c>
      <c r="AJ4" s="15">
        <f>IFERROR(__xludf.DUMMYFUNCTION("""COMPUTED_VALUE"""),15.0)</f>
        <v>15</v>
      </c>
      <c r="AK4" s="15">
        <f>IFERROR(__xludf.DUMMYFUNCTION("""COMPUTED_VALUE"""),15.0)</f>
        <v>15</v>
      </c>
      <c r="AL4" s="15">
        <f>IFERROR(__xludf.DUMMYFUNCTION("""COMPUTED_VALUE"""),15.0)</f>
        <v>15</v>
      </c>
      <c r="AM4" s="15">
        <f>IFERROR(__xludf.DUMMYFUNCTION("""COMPUTED_VALUE"""),15.0)</f>
        <v>15</v>
      </c>
      <c r="AN4" s="15">
        <f>IFERROR(__xludf.DUMMYFUNCTION("""COMPUTED_VALUE"""),6.0)</f>
        <v>6</v>
      </c>
      <c r="AO4" s="15">
        <f>IFERROR(__xludf.DUMMYFUNCTION("""COMPUTED_VALUE"""),6.0)</f>
        <v>6</v>
      </c>
      <c r="AP4" s="15">
        <f>IFERROR(__xludf.DUMMYFUNCTION("""COMPUTED_VALUE"""),15.0)</f>
        <v>15</v>
      </c>
      <c r="AQ4" s="15">
        <f>IFERROR(__xludf.DUMMYFUNCTION("""COMPUTED_VALUE"""),6.0)</f>
        <v>6</v>
      </c>
      <c r="AR4" s="15">
        <f>IFERROR(__xludf.DUMMYFUNCTION("""COMPUTED_VALUE"""),0.0)</f>
        <v>0</v>
      </c>
      <c r="AS4" s="15">
        <f>IFERROR(__xludf.DUMMYFUNCTION("""COMPUTED_VALUE"""),15.0)</f>
        <v>15</v>
      </c>
      <c r="AT4" s="15">
        <f>IFERROR(__xludf.DUMMYFUNCTION("""COMPUTED_VALUE"""),15.0)</f>
        <v>15</v>
      </c>
      <c r="AU4" s="15">
        <f>IFERROR(__xludf.DUMMYFUNCTION("""COMPUTED_VALUE"""),15.0)</f>
        <v>15</v>
      </c>
      <c r="AV4" s="15">
        <f>IFERROR(__xludf.DUMMYFUNCTION("""COMPUTED_VALUE"""),4.0)</f>
        <v>4</v>
      </c>
      <c r="AW4" s="15">
        <f>IFERROR(__xludf.DUMMYFUNCTION("""COMPUTED_VALUE"""),0.0)</f>
        <v>0</v>
      </c>
      <c r="AX4" s="15">
        <f>IFERROR(__xludf.DUMMYFUNCTION("""COMPUTED_VALUE"""),6.0)</f>
        <v>6</v>
      </c>
      <c r="AY4" s="15">
        <f>IFERROR(__xludf.DUMMYFUNCTION("""COMPUTED_VALUE"""),0.0)</f>
        <v>0</v>
      </c>
      <c r="AZ4" s="15">
        <f>IFERROR(__xludf.DUMMYFUNCTION("""COMPUTED_VALUE"""),0.0)</f>
        <v>0</v>
      </c>
    </row>
    <row r="5">
      <c r="A5" s="15">
        <v>1023.0</v>
      </c>
      <c r="B5" s="15" t="s">
        <v>18</v>
      </c>
      <c r="C5" s="15">
        <f t="shared" si="1"/>
        <v>6</v>
      </c>
      <c r="E5" s="15">
        <f>IFERROR(__xludf.DUMMYFUNCTION("""COMPUTED_VALUE"""),6.0)</f>
        <v>6</v>
      </c>
      <c r="F5" s="15">
        <f>IFERROR(__xludf.DUMMYFUNCTION("""COMPUTED_VALUE"""),10.0)</f>
        <v>10</v>
      </c>
      <c r="G5" s="15">
        <f>IFERROR(__xludf.DUMMYFUNCTION("""COMPUTED_VALUE"""),15.0)</f>
        <v>15</v>
      </c>
      <c r="H5" s="15">
        <f>IFERROR(__xludf.DUMMYFUNCTION("""COMPUTED_VALUE"""),15.0)</f>
        <v>15</v>
      </c>
      <c r="I5" s="15">
        <f>IFERROR(__xludf.DUMMYFUNCTION("""COMPUTED_VALUE"""),15.0)</f>
        <v>15</v>
      </c>
      <c r="J5" s="15">
        <f>IFERROR(__xludf.DUMMYFUNCTION("""COMPUTED_VALUE"""),6.0)</f>
        <v>6</v>
      </c>
      <c r="K5" s="15">
        <f>IFERROR(__xludf.DUMMYFUNCTION("""COMPUTED_VALUE"""),6.0)</f>
        <v>6</v>
      </c>
      <c r="L5" s="15">
        <f>IFERROR(__xludf.DUMMYFUNCTION("""COMPUTED_VALUE"""),15.0)</f>
        <v>15</v>
      </c>
      <c r="M5" s="15">
        <f>IFERROR(__xludf.DUMMYFUNCTION("""COMPUTED_VALUE"""),15.0)</f>
        <v>15</v>
      </c>
      <c r="N5" s="15">
        <f>IFERROR(__xludf.DUMMYFUNCTION("""COMPUTED_VALUE"""),15.0)</f>
        <v>15</v>
      </c>
      <c r="O5" s="15">
        <f>IFERROR(__xludf.DUMMYFUNCTION("""COMPUTED_VALUE"""),15.0)</f>
        <v>15</v>
      </c>
      <c r="P5" s="15">
        <f>IFERROR(__xludf.DUMMYFUNCTION("""COMPUTED_VALUE"""),15.0)</f>
        <v>15</v>
      </c>
      <c r="Q5" s="15">
        <f>IFERROR(__xludf.DUMMYFUNCTION("""COMPUTED_VALUE"""),10.0)</f>
        <v>10</v>
      </c>
      <c r="R5" s="15">
        <f>IFERROR(__xludf.DUMMYFUNCTION("""COMPUTED_VALUE"""),15.0)</f>
        <v>15</v>
      </c>
      <c r="S5" s="15">
        <f>IFERROR(__xludf.DUMMYFUNCTION("""COMPUTED_VALUE"""),15.0)</f>
        <v>15</v>
      </c>
      <c r="T5" s="15">
        <f>IFERROR(__xludf.DUMMYFUNCTION("""COMPUTED_VALUE"""),15.0)</f>
        <v>15</v>
      </c>
      <c r="U5" s="15">
        <f>IFERROR(__xludf.DUMMYFUNCTION("""COMPUTED_VALUE"""),15.0)</f>
        <v>15</v>
      </c>
      <c r="V5" s="15">
        <f>IFERROR(__xludf.DUMMYFUNCTION("""COMPUTED_VALUE"""),15.0)</f>
        <v>15</v>
      </c>
      <c r="W5" s="15">
        <f>IFERROR(__xludf.DUMMYFUNCTION("""COMPUTED_VALUE"""),15.0)</f>
        <v>15</v>
      </c>
      <c r="X5" s="15">
        <f>IFERROR(__xludf.DUMMYFUNCTION("""COMPUTED_VALUE"""),0.0)</f>
        <v>0</v>
      </c>
      <c r="Y5" s="15">
        <f>IFERROR(__xludf.DUMMYFUNCTION("""COMPUTED_VALUE"""),15.0)</f>
        <v>15</v>
      </c>
      <c r="Z5" s="15">
        <f>IFERROR(__xludf.DUMMYFUNCTION("""COMPUTED_VALUE"""),15.0)</f>
        <v>15</v>
      </c>
      <c r="AA5" s="15">
        <f>IFERROR(__xludf.DUMMYFUNCTION("""COMPUTED_VALUE"""),15.0)</f>
        <v>15</v>
      </c>
      <c r="AB5" s="15">
        <f>IFERROR(__xludf.DUMMYFUNCTION("""COMPUTED_VALUE"""),0.0)</f>
        <v>0</v>
      </c>
      <c r="AC5" s="15">
        <f>IFERROR(__xludf.DUMMYFUNCTION("""COMPUTED_VALUE"""),6.0)</f>
        <v>6</v>
      </c>
      <c r="AD5" s="15">
        <f>IFERROR(__xludf.DUMMYFUNCTION("""COMPUTED_VALUE"""),0.0)</f>
        <v>0</v>
      </c>
      <c r="AE5" s="15">
        <f>IFERROR(__xludf.DUMMYFUNCTION("""COMPUTED_VALUE"""),6.0)</f>
        <v>6</v>
      </c>
      <c r="AF5" s="15">
        <f>IFERROR(__xludf.DUMMYFUNCTION("""COMPUTED_VALUE"""),10.0)</f>
        <v>10</v>
      </c>
      <c r="AG5" s="15">
        <f>IFERROR(__xludf.DUMMYFUNCTION("""COMPUTED_VALUE"""),6.0)</f>
        <v>6</v>
      </c>
      <c r="AH5" s="15">
        <f>IFERROR(__xludf.DUMMYFUNCTION("""COMPUTED_VALUE"""),10.0)</f>
        <v>10</v>
      </c>
      <c r="AI5" s="15">
        <f>IFERROR(__xludf.DUMMYFUNCTION("""COMPUTED_VALUE"""),6.0)</f>
        <v>6</v>
      </c>
      <c r="AJ5" s="15">
        <f>IFERROR(__xludf.DUMMYFUNCTION("""COMPUTED_VALUE"""),15.0)</f>
        <v>15</v>
      </c>
      <c r="AK5" s="15">
        <f>IFERROR(__xludf.DUMMYFUNCTION("""COMPUTED_VALUE"""),15.0)</f>
        <v>15</v>
      </c>
      <c r="AL5" s="15">
        <f>IFERROR(__xludf.DUMMYFUNCTION("""COMPUTED_VALUE"""),15.0)</f>
        <v>15</v>
      </c>
      <c r="AM5" s="15">
        <f>IFERROR(__xludf.DUMMYFUNCTION("""COMPUTED_VALUE"""),15.0)</f>
        <v>15</v>
      </c>
      <c r="AN5" s="15">
        <f>IFERROR(__xludf.DUMMYFUNCTION("""COMPUTED_VALUE"""),0.0)</f>
        <v>0</v>
      </c>
      <c r="AO5" s="15">
        <f>IFERROR(__xludf.DUMMYFUNCTION("""COMPUTED_VALUE"""),0.0)</f>
        <v>0</v>
      </c>
      <c r="AP5" s="15">
        <f>IFERROR(__xludf.DUMMYFUNCTION("""COMPUTED_VALUE"""),0.0)</f>
        <v>0</v>
      </c>
      <c r="AQ5" s="15">
        <f>IFERROR(__xludf.DUMMYFUNCTION("""COMPUTED_VALUE"""),6.0)</f>
        <v>6</v>
      </c>
      <c r="AR5" s="15">
        <f>IFERROR(__xludf.DUMMYFUNCTION("""COMPUTED_VALUE"""),0.0)</f>
        <v>0</v>
      </c>
      <c r="AS5" s="15">
        <f>IFERROR(__xludf.DUMMYFUNCTION("""COMPUTED_VALUE"""),15.0)</f>
        <v>15</v>
      </c>
      <c r="AT5" s="15">
        <f>IFERROR(__xludf.DUMMYFUNCTION("""COMPUTED_VALUE"""),10.0)</f>
        <v>10</v>
      </c>
      <c r="AU5" s="15">
        <f>IFERROR(__xludf.DUMMYFUNCTION("""COMPUTED_VALUE"""),10.0)</f>
        <v>10</v>
      </c>
      <c r="AV5" s="15">
        <f>IFERROR(__xludf.DUMMYFUNCTION("""COMPUTED_VALUE"""),0.0)</f>
        <v>0</v>
      </c>
      <c r="AW5" s="15">
        <f>IFERROR(__xludf.DUMMYFUNCTION("""COMPUTED_VALUE"""),0.0)</f>
        <v>0</v>
      </c>
      <c r="AX5" s="15">
        <f>IFERROR(__xludf.DUMMYFUNCTION("""COMPUTED_VALUE"""),0.0)</f>
        <v>0</v>
      </c>
      <c r="AY5" s="15">
        <f>IFERROR(__xludf.DUMMYFUNCTION("""COMPUTED_VALUE"""),0.0)</f>
        <v>0</v>
      </c>
      <c r="AZ5" s="15">
        <f>IFERROR(__xludf.DUMMYFUNCTION("""COMPUTED_VALUE"""),0.0)</f>
        <v>0</v>
      </c>
    </row>
    <row r="6">
      <c r="A6" s="15">
        <v>1023.0</v>
      </c>
      <c r="B6" s="15" t="s">
        <v>32</v>
      </c>
      <c r="C6" s="15">
        <f t="shared" si="1"/>
        <v>4</v>
      </c>
      <c r="E6" s="15">
        <f>IFERROR(__xludf.DUMMYFUNCTION("""COMPUTED_VALUE"""),6.0)</f>
        <v>6</v>
      </c>
      <c r="F6" s="15">
        <f>IFERROR(__xludf.DUMMYFUNCTION("""COMPUTED_VALUE"""),6.0)</f>
        <v>6</v>
      </c>
      <c r="G6" s="15">
        <f>IFERROR(__xludf.DUMMYFUNCTION("""COMPUTED_VALUE"""),15.0)</f>
        <v>15</v>
      </c>
      <c r="H6" s="15">
        <f>IFERROR(__xludf.DUMMYFUNCTION("""COMPUTED_VALUE"""),15.0)</f>
        <v>15</v>
      </c>
      <c r="I6" s="15">
        <f>IFERROR(__xludf.DUMMYFUNCTION("""COMPUTED_VALUE"""),10.0)</f>
        <v>10</v>
      </c>
      <c r="J6" s="15">
        <f>IFERROR(__xludf.DUMMYFUNCTION("""COMPUTED_VALUE"""),6.0)</f>
        <v>6</v>
      </c>
      <c r="K6" s="15">
        <f>IFERROR(__xludf.DUMMYFUNCTION("""COMPUTED_VALUE"""),6.0)</f>
        <v>6</v>
      </c>
      <c r="L6" s="15">
        <f>IFERROR(__xludf.DUMMYFUNCTION("""COMPUTED_VALUE"""),15.0)</f>
        <v>15</v>
      </c>
      <c r="M6" s="15">
        <f>IFERROR(__xludf.DUMMYFUNCTION("""COMPUTED_VALUE"""),15.0)</f>
        <v>15</v>
      </c>
      <c r="N6" s="15">
        <f>IFERROR(__xludf.DUMMYFUNCTION("""COMPUTED_VALUE"""),15.0)</f>
        <v>15</v>
      </c>
      <c r="O6" s="15">
        <f>IFERROR(__xludf.DUMMYFUNCTION("""COMPUTED_VALUE"""),15.0)</f>
        <v>15</v>
      </c>
      <c r="P6" s="15">
        <f>IFERROR(__xludf.DUMMYFUNCTION("""COMPUTED_VALUE"""),15.0)</f>
        <v>15</v>
      </c>
      <c r="Q6" s="15">
        <f>IFERROR(__xludf.DUMMYFUNCTION("""COMPUTED_VALUE"""),6.0)</f>
        <v>6</v>
      </c>
      <c r="R6" s="15">
        <f>IFERROR(__xludf.DUMMYFUNCTION("""COMPUTED_VALUE"""),0.0)</f>
        <v>0</v>
      </c>
      <c r="S6" s="15">
        <f>IFERROR(__xludf.DUMMYFUNCTION("""COMPUTED_VALUE"""),15.0)</f>
        <v>15</v>
      </c>
      <c r="T6" s="15">
        <f>IFERROR(__xludf.DUMMYFUNCTION("""COMPUTED_VALUE"""),15.0)</f>
        <v>15</v>
      </c>
      <c r="U6" s="15">
        <f>IFERROR(__xludf.DUMMYFUNCTION("""COMPUTED_VALUE"""),15.0)</f>
        <v>15</v>
      </c>
      <c r="V6" s="15">
        <f>IFERROR(__xludf.DUMMYFUNCTION("""COMPUTED_VALUE"""),15.0)</f>
        <v>15</v>
      </c>
      <c r="W6" s="15">
        <f>IFERROR(__xludf.DUMMYFUNCTION("""COMPUTED_VALUE"""),10.0)</f>
        <v>10</v>
      </c>
      <c r="X6" s="15">
        <f>IFERROR(__xludf.DUMMYFUNCTION("""COMPUTED_VALUE"""),0.0)</f>
        <v>0</v>
      </c>
      <c r="Y6" s="15">
        <f>IFERROR(__xludf.DUMMYFUNCTION("""COMPUTED_VALUE"""),10.0)</f>
        <v>10</v>
      </c>
      <c r="Z6" s="15">
        <f>IFERROR(__xludf.DUMMYFUNCTION("""COMPUTED_VALUE"""),15.0)</f>
        <v>15</v>
      </c>
      <c r="AA6" s="15">
        <f>IFERROR(__xludf.DUMMYFUNCTION("""COMPUTED_VALUE"""),15.0)</f>
        <v>15</v>
      </c>
      <c r="AB6" s="15">
        <f>IFERROR(__xludf.DUMMYFUNCTION("""COMPUTED_VALUE"""),0.0)</f>
        <v>0</v>
      </c>
      <c r="AC6" s="15">
        <f>IFERROR(__xludf.DUMMYFUNCTION("""COMPUTED_VALUE"""),0.0)</f>
        <v>0</v>
      </c>
      <c r="AD6" s="15">
        <f>IFERROR(__xludf.DUMMYFUNCTION("""COMPUTED_VALUE"""),0.0)</f>
        <v>0</v>
      </c>
      <c r="AE6" s="15">
        <f>IFERROR(__xludf.DUMMYFUNCTION("""COMPUTED_VALUE"""),0.0)</f>
        <v>0</v>
      </c>
      <c r="AF6" s="15">
        <f>IFERROR(__xludf.DUMMYFUNCTION("""COMPUTED_VALUE"""),4.0)</f>
        <v>4</v>
      </c>
      <c r="AG6" s="15">
        <f>IFERROR(__xludf.DUMMYFUNCTION("""COMPUTED_VALUE"""),6.0)</f>
        <v>6</v>
      </c>
      <c r="AH6" s="15">
        <f>IFERROR(__xludf.DUMMYFUNCTION("""COMPUTED_VALUE"""),0.0)</f>
        <v>0</v>
      </c>
      <c r="AI6" s="15">
        <f>IFERROR(__xludf.DUMMYFUNCTION("""COMPUTED_VALUE"""),0.0)</f>
        <v>0</v>
      </c>
      <c r="AJ6" s="15">
        <f>IFERROR(__xludf.DUMMYFUNCTION("""COMPUTED_VALUE"""),10.0)</f>
        <v>10</v>
      </c>
      <c r="AK6" s="15">
        <f>IFERROR(__xludf.DUMMYFUNCTION("""COMPUTED_VALUE"""),10.0)</f>
        <v>10</v>
      </c>
      <c r="AL6" s="15">
        <f>IFERROR(__xludf.DUMMYFUNCTION("""COMPUTED_VALUE"""),15.0)</f>
        <v>15</v>
      </c>
      <c r="AM6" s="15">
        <f>IFERROR(__xludf.DUMMYFUNCTION("""COMPUTED_VALUE"""),6.0)</f>
        <v>6</v>
      </c>
      <c r="AN6" s="15">
        <f>IFERROR(__xludf.DUMMYFUNCTION("""COMPUTED_VALUE"""),0.0)</f>
        <v>0</v>
      </c>
      <c r="AO6" s="15">
        <f>IFERROR(__xludf.DUMMYFUNCTION("""COMPUTED_VALUE"""),0.0)</f>
        <v>0</v>
      </c>
      <c r="AP6" s="15">
        <f>IFERROR(__xludf.DUMMYFUNCTION("""COMPUTED_VALUE"""),0.0)</f>
        <v>0</v>
      </c>
      <c r="AQ6" s="15">
        <f>IFERROR(__xludf.DUMMYFUNCTION("""COMPUTED_VALUE"""),4.0)</f>
        <v>4</v>
      </c>
      <c r="AR6" s="15">
        <f>IFERROR(__xludf.DUMMYFUNCTION("""COMPUTED_VALUE"""),0.0)</f>
        <v>0</v>
      </c>
      <c r="AS6" s="15">
        <f>IFERROR(__xludf.DUMMYFUNCTION("""COMPUTED_VALUE"""),15.0)</f>
        <v>15</v>
      </c>
      <c r="AT6" s="15">
        <f>IFERROR(__xludf.DUMMYFUNCTION("""COMPUTED_VALUE"""),6.0)</f>
        <v>6</v>
      </c>
      <c r="AU6" s="15">
        <f>IFERROR(__xludf.DUMMYFUNCTION("""COMPUTED_VALUE"""),4.0)</f>
        <v>4</v>
      </c>
      <c r="AV6" s="15">
        <f>IFERROR(__xludf.DUMMYFUNCTION("""COMPUTED_VALUE"""),0.0)</f>
        <v>0</v>
      </c>
      <c r="AW6" s="15">
        <f>IFERROR(__xludf.DUMMYFUNCTION("""COMPUTED_VALUE"""),0.0)</f>
        <v>0</v>
      </c>
      <c r="AX6" s="15">
        <f>IFERROR(__xludf.DUMMYFUNCTION("""COMPUTED_VALUE"""),0.0)</f>
        <v>0</v>
      </c>
      <c r="AY6" s="15">
        <f>IFERROR(__xludf.DUMMYFUNCTION("""COMPUTED_VALUE"""),0.0)</f>
        <v>0</v>
      </c>
      <c r="AZ6" s="15">
        <f>IFERROR(__xludf.DUMMYFUNCTION("""COMPUTED_VALUE"""),0.0)</f>
        <v>0</v>
      </c>
    </row>
    <row r="7">
      <c r="A7" s="15">
        <v>1023.0</v>
      </c>
      <c r="B7" s="15" t="s">
        <v>34</v>
      </c>
      <c r="C7" s="15">
        <f t="shared" si="1"/>
        <v>15</v>
      </c>
      <c r="E7" s="15">
        <f>IFERROR(__xludf.DUMMYFUNCTION("""COMPUTED_VALUE"""),6.0)</f>
        <v>6</v>
      </c>
      <c r="F7" s="15">
        <f>IFERROR(__xludf.DUMMYFUNCTION("""COMPUTED_VALUE"""),0.0)</f>
        <v>0</v>
      </c>
      <c r="G7" s="15">
        <f>IFERROR(__xludf.DUMMYFUNCTION("""COMPUTED_VALUE"""),15.0)</f>
        <v>15</v>
      </c>
      <c r="H7" s="15">
        <f>IFERROR(__xludf.DUMMYFUNCTION("""COMPUTED_VALUE"""),0.0)</f>
        <v>0</v>
      </c>
      <c r="I7" s="15">
        <f>IFERROR(__xludf.DUMMYFUNCTION("""COMPUTED_VALUE"""),0.0)</f>
        <v>0</v>
      </c>
      <c r="J7" s="15">
        <f>IFERROR(__xludf.DUMMYFUNCTION("""COMPUTED_VALUE"""),0.0)</f>
        <v>0</v>
      </c>
      <c r="K7" s="15">
        <f>IFERROR(__xludf.DUMMYFUNCTION("""COMPUTED_VALUE"""),0.0)</f>
        <v>0</v>
      </c>
      <c r="L7" s="15">
        <f>IFERROR(__xludf.DUMMYFUNCTION("""COMPUTED_VALUE"""),15.0)</f>
        <v>15</v>
      </c>
      <c r="M7" s="15">
        <f>IFERROR(__xludf.DUMMYFUNCTION("""COMPUTED_VALUE"""),15.0)</f>
        <v>15</v>
      </c>
      <c r="N7" s="15">
        <f>IFERROR(__xludf.DUMMYFUNCTION("""COMPUTED_VALUE"""),15.0)</f>
        <v>15</v>
      </c>
      <c r="O7" s="15">
        <f>IFERROR(__xludf.DUMMYFUNCTION("""COMPUTED_VALUE"""),15.0)</f>
        <v>15</v>
      </c>
      <c r="P7" s="15">
        <f>IFERROR(__xludf.DUMMYFUNCTION("""COMPUTED_VALUE"""),10.0)</f>
        <v>10</v>
      </c>
      <c r="Q7" s="15">
        <f>IFERROR(__xludf.DUMMYFUNCTION("""COMPUTED_VALUE"""),6.0)</f>
        <v>6</v>
      </c>
      <c r="R7" s="15">
        <f>IFERROR(__xludf.DUMMYFUNCTION("""COMPUTED_VALUE"""),0.0)</f>
        <v>0</v>
      </c>
      <c r="S7" s="15">
        <f>IFERROR(__xludf.DUMMYFUNCTION("""COMPUTED_VALUE"""),15.0)</f>
        <v>15</v>
      </c>
      <c r="T7" s="15">
        <f>IFERROR(__xludf.DUMMYFUNCTION("""COMPUTED_VALUE"""),15.0)</f>
        <v>15</v>
      </c>
      <c r="U7" s="15">
        <f>IFERROR(__xludf.DUMMYFUNCTION("""COMPUTED_VALUE"""),0.0)</f>
        <v>0</v>
      </c>
      <c r="V7" s="15">
        <f>IFERROR(__xludf.DUMMYFUNCTION("""COMPUTED_VALUE"""),10.0)</f>
        <v>10</v>
      </c>
      <c r="W7" s="15">
        <f>IFERROR(__xludf.DUMMYFUNCTION("""COMPUTED_VALUE"""),4.0)</f>
        <v>4</v>
      </c>
      <c r="X7" s="15">
        <f>IFERROR(__xludf.DUMMYFUNCTION("""COMPUTED_VALUE"""),0.0)</f>
        <v>0</v>
      </c>
      <c r="Y7" s="15">
        <f>IFERROR(__xludf.DUMMYFUNCTION("""COMPUTED_VALUE"""),10.0)</f>
        <v>10</v>
      </c>
      <c r="Z7" s="15">
        <f>IFERROR(__xludf.DUMMYFUNCTION("""COMPUTED_VALUE"""),10.0)</f>
        <v>10</v>
      </c>
      <c r="AA7" s="15">
        <f>IFERROR(__xludf.DUMMYFUNCTION("""COMPUTED_VALUE"""),10.0)</f>
        <v>10</v>
      </c>
      <c r="AB7" s="15">
        <f>IFERROR(__xludf.DUMMYFUNCTION("""COMPUTED_VALUE"""),0.0)</f>
        <v>0</v>
      </c>
      <c r="AC7" s="15">
        <f>IFERROR(__xludf.DUMMYFUNCTION("""COMPUTED_VALUE"""),0.0)</f>
        <v>0</v>
      </c>
      <c r="AD7" s="15">
        <f>IFERROR(__xludf.DUMMYFUNCTION("""COMPUTED_VALUE"""),0.0)</f>
        <v>0</v>
      </c>
      <c r="AE7" s="15">
        <f>IFERROR(__xludf.DUMMYFUNCTION("""COMPUTED_VALUE"""),0.0)</f>
        <v>0</v>
      </c>
      <c r="AF7" s="15">
        <f>IFERROR(__xludf.DUMMYFUNCTION("""COMPUTED_VALUE"""),0.0)</f>
        <v>0</v>
      </c>
      <c r="AG7" s="15">
        <f>IFERROR(__xludf.DUMMYFUNCTION("""COMPUTED_VALUE"""),6.0)</f>
        <v>6</v>
      </c>
      <c r="AH7" s="15">
        <f>IFERROR(__xludf.DUMMYFUNCTION("""COMPUTED_VALUE"""),0.0)</f>
        <v>0</v>
      </c>
      <c r="AI7" s="15">
        <f>IFERROR(__xludf.DUMMYFUNCTION("""COMPUTED_VALUE"""),0.0)</f>
        <v>0</v>
      </c>
      <c r="AJ7" s="15">
        <f>IFERROR(__xludf.DUMMYFUNCTION("""COMPUTED_VALUE"""),10.0)</f>
        <v>10</v>
      </c>
      <c r="AK7" s="15">
        <f>IFERROR(__xludf.DUMMYFUNCTION("""COMPUTED_VALUE"""),10.0)</f>
        <v>10</v>
      </c>
      <c r="AL7" s="15">
        <f>IFERROR(__xludf.DUMMYFUNCTION("""COMPUTED_VALUE"""),15.0)</f>
        <v>15</v>
      </c>
      <c r="AM7" s="15">
        <f>IFERROR(__xludf.DUMMYFUNCTION("""COMPUTED_VALUE"""),0.0)</f>
        <v>0</v>
      </c>
      <c r="AN7" s="15">
        <f>IFERROR(__xludf.DUMMYFUNCTION("""COMPUTED_VALUE"""),0.0)</f>
        <v>0</v>
      </c>
      <c r="AO7" s="15">
        <f>IFERROR(__xludf.DUMMYFUNCTION("""COMPUTED_VALUE"""),0.0)</f>
        <v>0</v>
      </c>
      <c r="AP7" s="15">
        <f>IFERROR(__xludf.DUMMYFUNCTION("""COMPUTED_VALUE"""),0.0)</f>
        <v>0</v>
      </c>
      <c r="AQ7" s="15">
        <f>IFERROR(__xludf.DUMMYFUNCTION("""COMPUTED_VALUE"""),4.0)</f>
        <v>4</v>
      </c>
      <c r="AR7" s="15">
        <f>IFERROR(__xludf.DUMMYFUNCTION("""COMPUTED_VALUE"""),0.0)</f>
        <v>0</v>
      </c>
      <c r="AS7" s="15">
        <f>IFERROR(__xludf.DUMMYFUNCTION("""COMPUTED_VALUE"""),15.0)</f>
        <v>15</v>
      </c>
      <c r="AT7" s="15">
        <f>IFERROR(__xludf.DUMMYFUNCTION("""COMPUTED_VALUE"""),6.0)</f>
        <v>6</v>
      </c>
      <c r="AU7" s="15">
        <f>IFERROR(__xludf.DUMMYFUNCTION("""COMPUTED_VALUE"""),0.0)</f>
        <v>0</v>
      </c>
      <c r="AV7" s="15">
        <f>IFERROR(__xludf.DUMMYFUNCTION("""COMPUTED_VALUE"""),0.0)</f>
        <v>0</v>
      </c>
      <c r="AW7" s="15">
        <f>IFERROR(__xludf.DUMMYFUNCTION("""COMPUTED_VALUE"""),0.0)</f>
        <v>0</v>
      </c>
      <c r="AX7" s="15">
        <f>IFERROR(__xludf.DUMMYFUNCTION("""COMPUTED_VALUE"""),0.0)</f>
        <v>0</v>
      </c>
      <c r="AY7" s="15">
        <f>IFERROR(__xludf.DUMMYFUNCTION("""COMPUTED_VALUE"""),0.0)</f>
        <v>0</v>
      </c>
      <c r="AZ7" s="15">
        <f>IFERROR(__xludf.DUMMYFUNCTION("""COMPUTED_VALUE"""),0.0)</f>
        <v>0</v>
      </c>
    </row>
    <row r="8">
      <c r="A8" s="15">
        <v>1023.0</v>
      </c>
      <c r="B8" s="15" t="s">
        <v>18</v>
      </c>
      <c r="C8" s="15">
        <f t="shared" si="1"/>
        <v>6</v>
      </c>
      <c r="E8" s="15">
        <f>IFERROR(__xludf.DUMMYFUNCTION("""COMPUTED_VALUE"""),4.0)</f>
        <v>4</v>
      </c>
      <c r="F8" s="15">
        <f>IFERROR(__xludf.DUMMYFUNCTION("""COMPUTED_VALUE"""),0.0)</f>
        <v>0</v>
      </c>
      <c r="G8" s="15">
        <f>IFERROR(__xludf.DUMMYFUNCTION("""COMPUTED_VALUE"""),15.0)</f>
        <v>15</v>
      </c>
      <c r="I8" s="15">
        <f>IFERROR(__xludf.DUMMYFUNCTION("""COMPUTED_VALUE"""),0.0)</f>
        <v>0</v>
      </c>
      <c r="J8" s="15">
        <f>IFERROR(__xludf.DUMMYFUNCTION("""COMPUTED_VALUE"""),0.0)</f>
        <v>0</v>
      </c>
      <c r="K8" s="15">
        <f>IFERROR(__xludf.DUMMYFUNCTION("""COMPUTED_VALUE"""),0.0)</f>
        <v>0</v>
      </c>
      <c r="L8" s="15">
        <f>IFERROR(__xludf.DUMMYFUNCTION("""COMPUTED_VALUE"""),0.0)</f>
        <v>0</v>
      </c>
      <c r="M8" s="15">
        <f>IFERROR(__xludf.DUMMYFUNCTION("""COMPUTED_VALUE"""),10.0)</f>
        <v>10</v>
      </c>
      <c r="N8" s="15">
        <f>IFERROR(__xludf.DUMMYFUNCTION("""COMPUTED_VALUE"""),15.0)</f>
        <v>15</v>
      </c>
      <c r="O8" s="15">
        <f>IFERROR(__xludf.DUMMYFUNCTION("""COMPUTED_VALUE"""),10.0)</f>
        <v>10</v>
      </c>
      <c r="P8" s="15">
        <f>IFERROR(__xludf.DUMMYFUNCTION("""COMPUTED_VALUE"""),10.0)</f>
        <v>10</v>
      </c>
      <c r="Q8" s="15">
        <f>IFERROR(__xludf.DUMMYFUNCTION("""COMPUTED_VALUE"""),0.0)</f>
        <v>0</v>
      </c>
      <c r="R8" s="15">
        <f>IFERROR(__xludf.DUMMYFUNCTION("""COMPUTED_VALUE"""),0.0)</f>
        <v>0</v>
      </c>
      <c r="S8" s="15">
        <f>IFERROR(__xludf.DUMMYFUNCTION("""COMPUTED_VALUE"""),15.0)</f>
        <v>15</v>
      </c>
      <c r="T8" s="15">
        <f>IFERROR(__xludf.DUMMYFUNCTION("""COMPUTED_VALUE"""),0.0)</f>
        <v>0</v>
      </c>
      <c r="U8" s="15">
        <f>IFERROR(__xludf.DUMMYFUNCTION("""COMPUTED_VALUE"""),0.0)</f>
        <v>0</v>
      </c>
      <c r="V8" s="15">
        <f>IFERROR(__xludf.DUMMYFUNCTION("""COMPUTED_VALUE"""),6.0)</f>
        <v>6</v>
      </c>
      <c r="W8" s="15">
        <f>IFERROR(__xludf.DUMMYFUNCTION("""COMPUTED_VALUE"""),0.0)</f>
        <v>0</v>
      </c>
      <c r="X8" s="15">
        <f>IFERROR(__xludf.DUMMYFUNCTION("""COMPUTED_VALUE"""),0.0)</f>
        <v>0</v>
      </c>
      <c r="Y8" s="15">
        <f>IFERROR(__xludf.DUMMYFUNCTION("""COMPUTED_VALUE"""),0.0)</f>
        <v>0</v>
      </c>
      <c r="Z8" s="15">
        <f>IFERROR(__xludf.DUMMYFUNCTION("""COMPUTED_VALUE"""),10.0)</f>
        <v>10</v>
      </c>
      <c r="AA8" s="15">
        <f>IFERROR(__xludf.DUMMYFUNCTION("""COMPUTED_VALUE"""),10.0)</f>
        <v>10</v>
      </c>
      <c r="AB8" s="15">
        <f>IFERROR(__xludf.DUMMYFUNCTION("""COMPUTED_VALUE"""),0.0)</f>
        <v>0</v>
      </c>
      <c r="AC8" s="15">
        <f>IFERROR(__xludf.DUMMYFUNCTION("""COMPUTED_VALUE"""),0.0)</f>
        <v>0</v>
      </c>
      <c r="AD8" s="15">
        <f>IFERROR(__xludf.DUMMYFUNCTION("""COMPUTED_VALUE"""),0.0)</f>
        <v>0</v>
      </c>
      <c r="AE8" s="15">
        <f>IFERROR(__xludf.DUMMYFUNCTION("""COMPUTED_VALUE"""),0.0)</f>
        <v>0</v>
      </c>
      <c r="AF8" s="15">
        <f>IFERROR(__xludf.DUMMYFUNCTION("""COMPUTED_VALUE"""),0.0)</f>
        <v>0</v>
      </c>
      <c r="AG8" s="15">
        <f>IFERROR(__xludf.DUMMYFUNCTION("""COMPUTED_VALUE"""),0.0)</f>
        <v>0</v>
      </c>
      <c r="AH8" s="15">
        <f>IFERROR(__xludf.DUMMYFUNCTION("""COMPUTED_VALUE"""),0.0)</f>
        <v>0</v>
      </c>
      <c r="AI8" s="15">
        <f>IFERROR(__xludf.DUMMYFUNCTION("""COMPUTED_VALUE"""),0.0)</f>
        <v>0</v>
      </c>
      <c r="AJ8" s="15">
        <f>IFERROR(__xludf.DUMMYFUNCTION("""COMPUTED_VALUE"""),10.0)</f>
        <v>10</v>
      </c>
      <c r="AK8" s="15">
        <f>IFERROR(__xludf.DUMMYFUNCTION("""COMPUTED_VALUE"""),10.0)</f>
        <v>10</v>
      </c>
      <c r="AL8" s="15">
        <f>IFERROR(__xludf.DUMMYFUNCTION("""COMPUTED_VALUE"""),6.0)</f>
        <v>6</v>
      </c>
      <c r="AM8" s="15">
        <f>IFERROR(__xludf.DUMMYFUNCTION("""COMPUTED_VALUE"""),0.0)</f>
        <v>0</v>
      </c>
      <c r="AN8" s="15">
        <f>IFERROR(__xludf.DUMMYFUNCTION("""COMPUTED_VALUE"""),0.0)</f>
        <v>0</v>
      </c>
      <c r="AO8" s="15">
        <f>IFERROR(__xludf.DUMMYFUNCTION("""COMPUTED_VALUE"""),0.0)</f>
        <v>0</v>
      </c>
      <c r="AP8" s="15">
        <f>IFERROR(__xludf.DUMMYFUNCTION("""COMPUTED_VALUE"""),0.0)</f>
        <v>0</v>
      </c>
      <c r="AQ8" s="15">
        <f>IFERROR(__xludf.DUMMYFUNCTION("""COMPUTED_VALUE"""),0.0)</f>
        <v>0</v>
      </c>
      <c r="AR8" s="15">
        <f>IFERROR(__xludf.DUMMYFUNCTION("""COMPUTED_VALUE"""),0.0)</f>
        <v>0</v>
      </c>
      <c r="AS8" s="15">
        <f>IFERROR(__xludf.DUMMYFUNCTION("""COMPUTED_VALUE"""),0.0)</f>
        <v>0</v>
      </c>
      <c r="AT8" s="15">
        <f>IFERROR(__xludf.DUMMYFUNCTION("""COMPUTED_VALUE"""),0.0)</f>
        <v>0</v>
      </c>
      <c r="AU8" s="15">
        <f>IFERROR(__xludf.DUMMYFUNCTION("""COMPUTED_VALUE"""),0.0)</f>
        <v>0</v>
      </c>
      <c r="AV8" s="15">
        <f>IFERROR(__xludf.DUMMYFUNCTION("""COMPUTED_VALUE"""),0.0)</f>
        <v>0</v>
      </c>
      <c r="AW8" s="15">
        <f>IFERROR(__xludf.DUMMYFUNCTION("""COMPUTED_VALUE"""),0.0)</f>
        <v>0</v>
      </c>
      <c r="AX8" s="15">
        <f>IFERROR(__xludf.DUMMYFUNCTION("""COMPUTED_VALUE"""),0.0)</f>
        <v>0</v>
      </c>
      <c r="AY8" s="15">
        <f>IFERROR(__xludf.DUMMYFUNCTION("""COMPUTED_VALUE"""),0.0)</f>
        <v>0</v>
      </c>
      <c r="AZ8" s="15">
        <f>IFERROR(__xludf.DUMMYFUNCTION("""COMPUTED_VALUE"""),0.0)</f>
        <v>0</v>
      </c>
    </row>
    <row r="9">
      <c r="A9" s="15">
        <v>1024.0</v>
      </c>
      <c r="B9" s="15" t="s">
        <v>34</v>
      </c>
      <c r="C9" s="15">
        <f t="shared" si="1"/>
        <v>15</v>
      </c>
      <c r="E9" s="15">
        <f>IFERROR(__xludf.DUMMYFUNCTION("""COMPUTED_VALUE"""),0.0)</f>
        <v>0</v>
      </c>
      <c r="F9" s="15">
        <f>IFERROR(__xludf.DUMMYFUNCTION("""COMPUTED_VALUE"""),0.0)</f>
        <v>0</v>
      </c>
      <c r="I9" s="15">
        <f>IFERROR(__xludf.DUMMYFUNCTION("""COMPUTED_VALUE"""),0.0)</f>
        <v>0</v>
      </c>
      <c r="J9" s="15">
        <f>IFERROR(__xludf.DUMMYFUNCTION("""COMPUTED_VALUE"""),0.0)</f>
        <v>0</v>
      </c>
      <c r="M9" s="15">
        <f>IFERROR(__xludf.DUMMYFUNCTION("""COMPUTED_VALUE"""),0.0)</f>
        <v>0</v>
      </c>
      <c r="N9" s="15">
        <f>IFERROR(__xludf.DUMMYFUNCTION("""COMPUTED_VALUE"""),15.0)</f>
        <v>15</v>
      </c>
      <c r="P9" s="15">
        <f>IFERROR(__xludf.DUMMYFUNCTION("""COMPUTED_VALUE"""),10.0)</f>
        <v>10</v>
      </c>
      <c r="Q9" s="15">
        <f>IFERROR(__xludf.DUMMYFUNCTION("""COMPUTED_VALUE"""),0.0)</f>
        <v>0</v>
      </c>
      <c r="S9" s="15">
        <f>IFERROR(__xludf.DUMMYFUNCTION("""COMPUTED_VALUE"""),10.0)</f>
        <v>10</v>
      </c>
      <c r="T9" s="15">
        <f>IFERROR(__xludf.DUMMYFUNCTION("""COMPUTED_VALUE"""),0.0)</f>
        <v>0</v>
      </c>
      <c r="U9" s="15">
        <f>IFERROR(__xludf.DUMMYFUNCTION("""COMPUTED_VALUE"""),0.0)</f>
        <v>0</v>
      </c>
      <c r="AC9" s="15">
        <f>IFERROR(__xludf.DUMMYFUNCTION("""COMPUTED_VALUE"""),0.0)</f>
        <v>0</v>
      </c>
      <c r="AE9" s="15">
        <f>IFERROR(__xludf.DUMMYFUNCTION("""COMPUTED_VALUE"""),0.0)</f>
        <v>0</v>
      </c>
      <c r="AJ9" s="15">
        <f>IFERROR(__xludf.DUMMYFUNCTION("""COMPUTED_VALUE"""),0.0)</f>
        <v>0</v>
      </c>
      <c r="AL9" s="15">
        <f>IFERROR(__xludf.DUMMYFUNCTION("""COMPUTED_VALUE"""),0.0)</f>
        <v>0</v>
      </c>
      <c r="AN9" s="15">
        <f>IFERROR(__xludf.DUMMYFUNCTION("""COMPUTED_VALUE"""),0.0)</f>
        <v>0</v>
      </c>
      <c r="AO9" s="15">
        <f>IFERROR(__xludf.DUMMYFUNCTION("""COMPUTED_VALUE"""),0.0)</f>
        <v>0</v>
      </c>
      <c r="AQ9" s="15">
        <f>IFERROR(__xludf.DUMMYFUNCTION("""COMPUTED_VALUE"""),0.0)</f>
        <v>0</v>
      </c>
      <c r="AV9" s="15">
        <f>IFERROR(__xludf.DUMMYFUNCTION("""COMPUTED_VALUE"""),0.0)</f>
        <v>0</v>
      </c>
      <c r="AX9" s="15">
        <f>IFERROR(__xludf.DUMMYFUNCTION("""COMPUTED_VALUE"""),0.0)</f>
        <v>0</v>
      </c>
      <c r="AY9" s="15">
        <f>IFERROR(__xludf.DUMMYFUNCTION("""COMPUTED_VALUE"""),0.0)</f>
        <v>0</v>
      </c>
    </row>
    <row r="10">
      <c r="A10" s="15">
        <v>1024.0</v>
      </c>
      <c r="B10" s="15" t="s">
        <v>39</v>
      </c>
      <c r="C10" s="15">
        <f t="shared" si="1"/>
        <v>0</v>
      </c>
    </row>
    <row r="11">
      <c r="A11" s="15">
        <v>1024.0</v>
      </c>
      <c r="B11" s="15" t="s">
        <v>42</v>
      </c>
      <c r="C11" s="15">
        <f t="shared" si="1"/>
        <v>10</v>
      </c>
    </row>
    <row r="12">
      <c r="A12" s="15">
        <v>1024.0</v>
      </c>
      <c r="B12" s="15" t="s">
        <v>42</v>
      </c>
      <c r="C12" s="15">
        <f t="shared" si="1"/>
        <v>10</v>
      </c>
    </row>
    <row r="13">
      <c r="A13" s="15">
        <v>1024.0</v>
      </c>
      <c r="B13" s="15" t="s">
        <v>34</v>
      </c>
      <c r="C13" s="15">
        <f t="shared" si="1"/>
        <v>15</v>
      </c>
    </row>
    <row r="14">
      <c r="A14" s="15">
        <v>1024.0</v>
      </c>
      <c r="B14" s="15" t="s">
        <v>34</v>
      </c>
      <c r="C14" s="15">
        <f t="shared" si="1"/>
        <v>15</v>
      </c>
    </row>
    <row r="15">
      <c r="A15" s="15">
        <v>1024.0</v>
      </c>
      <c r="B15" s="15" t="s">
        <v>42</v>
      </c>
      <c r="C15" s="15">
        <f t="shared" si="1"/>
        <v>10</v>
      </c>
    </row>
    <row r="16">
      <c r="A16" s="15">
        <v>1024.0</v>
      </c>
      <c r="B16" s="15" t="s">
        <v>34</v>
      </c>
      <c r="C16" s="15">
        <f t="shared" si="1"/>
        <v>15</v>
      </c>
    </row>
    <row r="17">
      <c r="A17" s="15">
        <v>118.0</v>
      </c>
      <c r="B17" s="15" t="s">
        <v>34</v>
      </c>
      <c r="C17" s="15">
        <f t="shared" si="1"/>
        <v>15</v>
      </c>
    </row>
    <row r="18">
      <c r="A18" s="15">
        <v>118.0</v>
      </c>
      <c r="B18" s="15" t="s">
        <v>34</v>
      </c>
      <c r="C18" s="15">
        <f t="shared" si="1"/>
        <v>15</v>
      </c>
    </row>
    <row r="19">
      <c r="A19" s="15">
        <v>118.0</v>
      </c>
      <c r="B19" s="15" t="s">
        <v>34</v>
      </c>
      <c r="C19" s="15">
        <f t="shared" si="1"/>
        <v>15</v>
      </c>
    </row>
    <row r="20">
      <c r="A20" s="15">
        <v>118.0</v>
      </c>
      <c r="B20" s="15" t="s">
        <v>39</v>
      </c>
      <c r="C20" s="15">
        <f t="shared" si="1"/>
        <v>0</v>
      </c>
    </row>
    <row r="21">
      <c r="A21" s="15">
        <v>118.0</v>
      </c>
      <c r="B21" s="15" t="s">
        <v>28</v>
      </c>
      <c r="C21" s="15">
        <f t="shared" si="1"/>
        <v>0</v>
      </c>
    </row>
    <row r="22">
      <c r="A22" s="15">
        <v>118.0</v>
      </c>
      <c r="B22" s="15" t="s">
        <v>34</v>
      </c>
      <c r="C22" s="15">
        <f t="shared" si="1"/>
        <v>15</v>
      </c>
    </row>
    <row r="23">
      <c r="A23" s="15">
        <v>118.0</v>
      </c>
      <c r="B23" s="15" t="s">
        <v>34</v>
      </c>
      <c r="C23" s="15">
        <f t="shared" si="1"/>
        <v>15</v>
      </c>
    </row>
    <row r="24">
      <c r="A24" s="15">
        <v>118.0</v>
      </c>
      <c r="B24" s="15" t="s">
        <v>34</v>
      </c>
      <c r="C24" s="15">
        <f t="shared" si="1"/>
        <v>15</v>
      </c>
    </row>
    <row r="25">
      <c r="A25" s="15">
        <v>1339.0</v>
      </c>
      <c r="B25" s="15" t="s">
        <v>34</v>
      </c>
      <c r="C25" s="15">
        <f t="shared" si="1"/>
        <v>15</v>
      </c>
    </row>
    <row r="26">
      <c r="A26" s="15">
        <v>1339.0</v>
      </c>
      <c r="B26" s="15" t="s">
        <v>34</v>
      </c>
      <c r="C26" s="15">
        <f t="shared" si="1"/>
        <v>15</v>
      </c>
    </row>
    <row r="27">
      <c r="A27" s="15">
        <v>1339.0</v>
      </c>
      <c r="B27" s="15" t="s">
        <v>34</v>
      </c>
      <c r="C27" s="15">
        <f t="shared" si="1"/>
        <v>15</v>
      </c>
    </row>
    <row r="28">
      <c r="A28" s="15">
        <v>1339.0</v>
      </c>
      <c r="B28" s="15" t="s">
        <v>34</v>
      </c>
      <c r="C28" s="15">
        <f t="shared" si="1"/>
        <v>15</v>
      </c>
    </row>
    <row r="29">
      <c r="A29" s="15">
        <v>1339.0</v>
      </c>
      <c r="B29" s="15" t="s">
        <v>34</v>
      </c>
      <c r="C29" s="15">
        <f t="shared" si="1"/>
        <v>15</v>
      </c>
    </row>
    <row r="30">
      <c r="A30" s="15">
        <v>1339.0</v>
      </c>
      <c r="B30" s="15" t="s">
        <v>34</v>
      </c>
      <c r="C30" s="15">
        <f t="shared" si="1"/>
        <v>15</v>
      </c>
    </row>
    <row r="31">
      <c r="A31" s="15">
        <v>1339.0</v>
      </c>
      <c r="B31" s="15" t="s">
        <v>34</v>
      </c>
      <c r="C31" s="15">
        <f t="shared" si="1"/>
        <v>15</v>
      </c>
    </row>
    <row r="32">
      <c r="A32" s="15">
        <v>1533.0</v>
      </c>
      <c r="B32" s="15" t="s">
        <v>39</v>
      </c>
      <c r="C32" s="15">
        <f t="shared" si="1"/>
        <v>0</v>
      </c>
      <c r="E32" s="15">
        <f t="shared" ref="E32:EI32" si="2">IF(E1="","",SORTN(E2:E31,ROUND(COUNT(E2:E31)/$D$34,0),E2:E31,ROUND(COUNT(E2:E31)/$D$34,0),FALSE))</f>
        <v>15</v>
      </c>
      <c r="F32" s="15">
        <f t="shared" si="2"/>
        <v>15</v>
      </c>
      <c r="G32" s="15">
        <f t="shared" si="2"/>
        <v>15</v>
      </c>
      <c r="H32" s="15">
        <f t="shared" si="2"/>
        <v>15</v>
      </c>
      <c r="I32" s="15">
        <f t="shared" si="2"/>
        <v>15</v>
      </c>
      <c r="J32" s="15">
        <f t="shared" si="2"/>
        <v>10</v>
      </c>
      <c r="K32" s="15">
        <f t="shared" si="2"/>
        <v>15</v>
      </c>
      <c r="L32" s="15">
        <f t="shared" si="2"/>
        <v>15</v>
      </c>
      <c r="M32" s="15">
        <f t="shared" si="2"/>
        <v>15</v>
      </c>
      <c r="N32" s="15">
        <f t="shared" si="2"/>
        <v>15</v>
      </c>
      <c r="O32" s="15">
        <f t="shared" si="2"/>
        <v>15</v>
      </c>
      <c r="P32" s="15">
        <f t="shared" si="2"/>
        <v>15</v>
      </c>
      <c r="Q32" s="15">
        <f t="shared" si="2"/>
        <v>15</v>
      </c>
      <c r="R32" s="15">
        <f t="shared" si="2"/>
        <v>15</v>
      </c>
      <c r="S32" s="15">
        <f t="shared" si="2"/>
        <v>15</v>
      </c>
      <c r="T32" s="15">
        <f t="shared" si="2"/>
        <v>15</v>
      </c>
      <c r="U32" s="15">
        <f t="shared" si="2"/>
        <v>15</v>
      </c>
      <c r="V32" s="15">
        <f t="shared" si="2"/>
        <v>15</v>
      </c>
      <c r="W32" s="15">
        <f t="shared" si="2"/>
        <v>15</v>
      </c>
      <c r="X32" s="15">
        <f t="shared" si="2"/>
        <v>6</v>
      </c>
      <c r="Y32" s="15">
        <f t="shared" si="2"/>
        <v>15</v>
      </c>
      <c r="Z32" s="15">
        <f t="shared" si="2"/>
        <v>15</v>
      </c>
      <c r="AA32" s="15">
        <f t="shared" si="2"/>
        <v>15</v>
      </c>
      <c r="AB32" s="15">
        <f t="shared" si="2"/>
        <v>15</v>
      </c>
      <c r="AC32" s="15">
        <f t="shared" si="2"/>
        <v>15</v>
      </c>
      <c r="AD32" s="15">
        <f t="shared" si="2"/>
        <v>15</v>
      </c>
      <c r="AE32" s="15">
        <f t="shared" si="2"/>
        <v>15</v>
      </c>
      <c r="AF32" s="15">
        <f t="shared" si="2"/>
        <v>15</v>
      </c>
      <c r="AG32" s="15">
        <f t="shared" si="2"/>
        <v>15</v>
      </c>
      <c r="AH32" s="15">
        <f t="shared" si="2"/>
        <v>15</v>
      </c>
      <c r="AI32" s="15">
        <f t="shared" si="2"/>
        <v>6</v>
      </c>
      <c r="AJ32" s="15">
        <f t="shared" si="2"/>
        <v>15</v>
      </c>
      <c r="AK32" s="15">
        <f t="shared" si="2"/>
        <v>15</v>
      </c>
      <c r="AL32" s="15">
        <f t="shared" si="2"/>
        <v>15</v>
      </c>
      <c r="AM32" s="15">
        <f t="shared" si="2"/>
        <v>15</v>
      </c>
      <c r="AN32" s="15">
        <f t="shared" si="2"/>
        <v>10</v>
      </c>
      <c r="AO32" s="15">
        <f t="shared" si="2"/>
        <v>15</v>
      </c>
      <c r="AP32" s="15">
        <f t="shared" si="2"/>
        <v>15</v>
      </c>
      <c r="AQ32" s="15">
        <f t="shared" si="2"/>
        <v>6</v>
      </c>
      <c r="AR32" s="15">
        <f t="shared" si="2"/>
        <v>6</v>
      </c>
      <c r="AS32" s="15">
        <f t="shared" si="2"/>
        <v>15</v>
      </c>
      <c r="AT32" s="15">
        <f t="shared" si="2"/>
        <v>15</v>
      </c>
      <c r="AU32" s="15">
        <f t="shared" si="2"/>
        <v>15</v>
      </c>
      <c r="AV32" s="15">
        <f t="shared" si="2"/>
        <v>4</v>
      </c>
      <c r="AW32" s="15">
        <f t="shared" si="2"/>
        <v>10</v>
      </c>
      <c r="AX32" s="15">
        <f t="shared" si="2"/>
        <v>6</v>
      </c>
      <c r="AY32" s="15">
        <f t="shared" si="2"/>
        <v>0</v>
      </c>
      <c r="AZ32" s="15">
        <f t="shared" si="2"/>
        <v>4</v>
      </c>
      <c r="BA32" s="15" t="str">
        <f t="shared" si="2"/>
        <v/>
      </c>
      <c r="BB32" s="15" t="str">
        <f t="shared" si="2"/>
        <v/>
      </c>
      <c r="BC32" s="15" t="str">
        <f t="shared" si="2"/>
        <v/>
      </c>
      <c r="BD32" s="15" t="str">
        <f t="shared" si="2"/>
        <v/>
      </c>
      <c r="BE32" s="15" t="str">
        <f t="shared" si="2"/>
        <v/>
      </c>
      <c r="BF32" s="15" t="str">
        <f t="shared" si="2"/>
        <v/>
      </c>
      <c r="BG32" s="15" t="str">
        <f t="shared" si="2"/>
        <v/>
      </c>
      <c r="BH32" s="15" t="str">
        <f t="shared" si="2"/>
        <v/>
      </c>
      <c r="BI32" s="15" t="str">
        <f t="shared" si="2"/>
        <v/>
      </c>
      <c r="BJ32" s="15" t="str">
        <f t="shared" si="2"/>
        <v/>
      </c>
      <c r="BK32" s="15" t="str">
        <f t="shared" si="2"/>
        <v/>
      </c>
      <c r="BL32" s="15" t="str">
        <f t="shared" si="2"/>
        <v/>
      </c>
      <c r="BM32" s="15" t="str">
        <f t="shared" si="2"/>
        <v/>
      </c>
      <c r="BN32" s="15" t="str">
        <f t="shared" si="2"/>
        <v/>
      </c>
      <c r="BO32" s="15" t="str">
        <f t="shared" si="2"/>
        <v/>
      </c>
      <c r="BP32" s="15" t="str">
        <f t="shared" si="2"/>
        <v/>
      </c>
      <c r="BQ32" s="15" t="str">
        <f t="shared" si="2"/>
        <v/>
      </c>
      <c r="BR32" s="15" t="str">
        <f t="shared" si="2"/>
        <v/>
      </c>
      <c r="BS32" s="15" t="str">
        <f t="shared" si="2"/>
        <v/>
      </c>
      <c r="BT32" s="15" t="str">
        <f t="shared" si="2"/>
        <v/>
      </c>
      <c r="BU32" s="15" t="str">
        <f t="shared" si="2"/>
        <v/>
      </c>
      <c r="BV32" s="15" t="str">
        <f t="shared" si="2"/>
        <v/>
      </c>
      <c r="BW32" s="15" t="str">
        <f t="shared" si="2"/>
        <v/>
      </c>
      <c r="BX32" s="15" t="str">
        <f t="shared" si="2"/>
        <v/>
      </c>
      <c r="BY32" s="15" t="str">
        <f t="shared" si="2"/>
        <v/>
      </c>
      <c r="BZ32" s="15" t="str">
        <f t="shared" si="2"/>
        <v/>
      </c>
      <c r="CA32" s="15" t="str">
        <f t="shared" si="2"/>
        <v/>
      </c>
      <c r="CB32" s="15" t="str">
        <f t="shared" si="2"/>
        <v/>
      </c>
      <c r="CC32" s="15" t="str">
        <f t="shared" si="2"/>
        <v/>
      </c>
      <c r="CD32" s="15" t="str">
        <f t="shared" si="2"/>
        <v/>
      </c>
      <c r="CE32" s="15" t="str">
        <f t="shared" si="2"/>
        <v/>
      </c>
      <c r="CF32" s="15" t="str">
        <f t="shared" si="2"/>
        <v/>
      </c>
      <c r="CG32" s="15" t="str">
        <f t="shared" si="2"/>
        <v/>
      </c>
      <c r="CH32" s="15" t="str">
        <f t="shared" si="2"/>
        <v/>
      </c>
      <c r="CI32" s="15" t="str">
        <f t="shared" si="2"/>
        <v/>
      </c>
      <c r="CJ32" s="15" t="str">
        <f t="shared" si="2"/>
        <v/>
      </c>
      <c r="CK32" s="15" t="str">
        <f t="shared" si="2"/>
        <v/>
      </c>
      <c r="CL32" s="15" t="str">
        <f t="shared" si="2"/>
        <v/>
      </c>
      <c r="CM32" s="15" t="str">
        <f t="shared" si="2"/>
        <v/>
      </c>
      <c r="CN32" s="15" t="str">
        <f t="shared" si="2"/>
        <v/>
      </c>
      <c r="CO32" s="15" t="str">
        <f t="shared" si="2"/>
        <v/>
      </c>
      <c r="CP32" s="15" t="str">
        <f t="shared" si="2"/>
        <v/>
      </c>
      <c r="CQ32" s="15" t="str">
        <f t="shared" si="2"/>
        <v/>
      </c>
      <c r="CR32" s="15" t="str">
        <f t="shared" si="2"/>
        <v/>
      </c>
      <c r="CS32" s="15" t="str">
        <f t="shared" si="2"/>
        <v/>
      </c>
      <c r="CT32" s="15" t="str">
        <f t="shared" si="2"/>
        <v/>
      </c>
      <c r="CU32" s="15" t="str">
        <f t="shared" si="2"/>
        <v/>
      </c>
      <c r="CV32" s="15" t="str">
        <f t="shared" si="2"/>
        <v/>
      </c>
      <c r="CW32" s="15" t="str">
        <f t="shared" si="2"/>
        <v/>
      </c>
      <c r="CX32" s="15" t="str">
        <f t="shared" si="2"/>
        <v/>
      </c>
      <c r="CY32" s="15" t="str">
        <f t="shared" si="2"/>
        <v/>
      </c>
      <c r="CZ32" s="15" t="str">
        <f t="shared" si="2"/>
        <v/>
      </c>
      <c r="DA32" s="15" t="str">
        <f t="shared" si="2"/>
        <v/>
      </c>
      <c r="DB32" s="15" t="str">
        <f t="shared" si="2"/>
        <v/>
      </c>
      <c r="DC32" s="15" t="str">
        <f t="shared" si="2"/>
        <v/>
      </c>
      <c r="DD32" s="15" t="str">
        <f t="shared" si="2"/>
        <v/>
      </c>
      <c r="DE32" s="15" t="str">
        <f t="shared" si="2"/>
        <v/>
      </c>
      <c r="DF32" s="15" t="str">
        <f t="shared" si="2"/>
        <v/>
      </c>
      <c r="DG32" s="15" t="str">
        <f t="shared" si="2"/>
        <v/>
      </c>
      <c r="DH32" s="15" t="str">
        <f t="shared" si="2"/>
        <v/>
      </c>
      <c r="DI32" s="15" t="str">
        <f t="shared" si="2"/>
        <v/>
      </c>
      <c r="DJ32" s="15" t="str">
        <f t="shared" si="2"/>
        <v/>
      </c>
      <c r="DK32" s="15" t="str">
        <f t="shared" si="2"/>
        <v/>
      </c>
      <c r="DL32" s="15" t="str">
        <f t="shared" si="2"/>
        <v/>
      </c>
      <c r="DM32" s="15" t="str">
        <f t="shared" si="2"/>
        <v/>
      </c>
      <c r="DN32" s="15" t="str">
        <f t="shared" si="2"/>
        <v/>
      </c>
      <c r="DO32" s="15" t="str">
        <f t="shared" si="2"/>
        <v/>
      </c>
      <c r="DP32" s="15" t="str">
        <f t="shared" si="2"/>
        <v/>
      </c>
      <c r="DQ32" s="15" t="str">
        <f t="shared" si="2"/>
        <v/>
      </c>
      <c r="DR32" s="15" t="str">
        <f t="shared" si="2"/>
        <v/>
      </c>
      <c r="DS32" s="15" t="str">
        <f t="shared" si="2"/>
        <v/>
      </c>
      <c r="DT32" s="15" t="str">
        <f t="shared" si="2"/>
        <v/>
      </c>
      <c r="DU32" s="15" t="str">
        <f t="shared" si="2"/>
        <v/>
      </c>
      <c r="DV32" s="15" t="str">
        <f t="shared" si="2"/>
        <v/>
      </c>
      <c r="DW32" s="15" t="str">
        <f t="shared" si="2"/>
        <v/>
      </c>
      <c r="DX32" s="15" t="str">
        <f t="shared" si="2"/>
        <v/>
      </c>
      <c r="DY32" s="15" t="str">
        <f t="shared" si="2"/>
        <v/>
      </c>
      <c r="DZ32" s="15" t="str">
        <f t="shared" si="2"/>
        <v/>
      </c>
      <c r="EA32" s="15" t="str">
        <f t="shared" si="2"/>
        <v/>
      </c>
      <c r="EB32" s="15" t="str">
        <f t="shared" si="2"/>
        <v/>
      </c>
      <c r="EC32" s="15" t="str">
        <f t="shared" si="2"/>
        <v/>
      </c>
      <c r="ED32" s="15" t="str">
        <f t="shared" si="2"/>
        <v/>
      </c>
      <c r="EE32" s="15" t="str">
        <f t="shared" si="2"/>
        <v/>
      </c>
      <c r="EF32" s="15" t="str">
        <f t="shared" si="2"/>
        <v/>
      </c>
      <c r="EG32" s="15" t="str">
        <f t="shared" si="2"/>
        <v/>
      </c>
      <c r="EH32" s="15" t="str">
        <f t="shared" si="2"/>
        <v/>
      </c>
      <c r="EI32" s="15" t="str">
        <f t="shared" si="2"/>
        <v/>
      </c>
    </row>
    <row r="33">
      <c r="A33" s="15">
        <v>1533.0</v>
      </c>
      <c r="B33" s="15" t="s">
        <v>39</v>
      </c>
      <c r="C33" s="15">
        <f t="shared" si="1"/>
        <v>0</v>
      </c>
      <c r="D33" s="18" t="s">
        <v>506</v>
      </c>
      <c r="E33" s="15">
        <v>6.0</v>
      </c>
      <c r="F33" s="15">
        <v>15.0</v>
      </c>
      <c r="G33" s="15">
        <v>15.0</v>
      </c>
      <c r="H33" s="15">
        <v>15.0</v>
      </c>
      <c r="I33" s="15">
        <v>15.0</v>
      </c>
      <c r="J33" s="15">
        <v>10.0</v>
      </c>
      <c r="K33" s="15">
        <v>15.0</v>
      </c>
      <c r="L33" s="15">
        <v>15.0</v>
      </c>
      <c r="M33" s="15">
        <v>15.0</v>
      </c>
      <c r="N33" s="15">
        <v>15.0</v>
      </c>
      <c r="O33" s="15">
        <v>15.0</v>
      </c>
      <c r="P33" s="15">
        <v>15.0</v>
      </c>
      <c r="Q33" s="15">
        <v>15.0</v>
      </c>
      <c r="R33" s="15">
        <v>15.0</v>
      </c>
      <c r="S33" s="15">
        <v>15.0</v>
      </c>
      <c r="T33" s="15">
        <v>15.0</v>
      </c>
      <c r="U33" s="15">
        <v>15.0</v>
      </c>
      <c r="V33" s="15">
        <v>15.0</v>
      </c>
      <c r="W33" s="15">
        <v>15.0</v>
      </c>
      <c r="X33" s="15">
        <v>6.0</v>
      </c>
      <c r="Y33" s="15">
        <v>15.0</v>
      </c>
      <c r="Z33" s="15">
        <v>15.0</v>
      </c>
      <c r="AA33" s="15">
        <v>15.0</v>
      </c>
      <c r="AB33" s="15">
        <v>10.0</v>
      </c>
      <c r="AC33" s="15">
        <v>15.0</v>
      </c>
      <c r="AD33" s="15">
        <v>15.0</v>
      </c>
      <c r="AE33" s="15">
        <v>6.0</v>
      </c>
      <c r="AF33" s="15">
        <v>15.0</v>
      </c>
      <c r="AG33" s="15">
        <v>15.0</v>
      </c>
      <c r="AH33" s="15">
        <v>15.0</v>
      </c>
      <c r="AI33" s="15">
        <v>6.0</v>
      </c>
      <c r="AJ33" s="15">
        <v>15.0</v>
      </c>
      <c r="AK33" s="15">
        <v>15.0</v>
      </c>
      <c r="AL33" s="15">
        <v>15.0</v>
      </c>
      <c r="AM33" s="15">
        <v>15.0</v>
      </c>
      <c r="AN33" s="15">
        <v>6.0</v>
      </c>
      <c r="AO33" s="15">
        <v>15.0</v>
      </c>
      <c r="AP33" s="15">
        <v>15.0</v>
      </c>
      <c r="AQ33" s="15">
        <v>6.0</v>
      </c>
      <c r="AR33" s="15">
        <v>6.0</v>
      </c>
      <c r="AS33" s="15">
        <v>15.0</v>
      </c>
      <c r="AT33" s="15">
        <v>15.0</v>
      </c>
      <c r="AU33" s="15">
        <v>15.0</v>
      </c>
      <c r="AV33" s="15">
        <v>4.0</v>
      </c>
      <c r="AW33" s="15">
        <v>6.0</v>
      </c>
      <c r="AX33" s="15">
        <v>6.0</v>
      </c>
      <c r="AY33" s="15">
        <v>0.0</v>
      </c>
      <c r="AZ33" s="15">
        <v>0.0</v>
      </c>
    </row>
    <row r="34">
      <c r="A34" s="15">
        <v>1533.0</v>
      </c>
      <c r="B34" s="15" t="s">
        <v>39</v>
      </c>
      <c r="C34" s="15">
        <f t="shared" si="1"/>
        <v>0</v>
      </c>
      <c r="D34" s="18">
        <v>1.5</v>
      </c>
      <c r="E34" s="15">
        <v>6.0</v>
      </c>
      <c r="F34" s="15">
        <v>15.0</v>
      </c>
      <c r="G34" s="15">
        <v>15.0</v>
      </c>
      <c r="H34" s="15">
        <v>15.0</v>
      </c>
      <c r="I34" s="15">
        <v>15.0</v>
      </c>
      <c r="J34" s="15">
        <v>10.0</v>
      </c>
      <c r="K34" s="15">
        <v>10.0</v>
      </c>
      <c r="L34" s="15">
        <v>15.0</v>
      </c>
      <c r="M34" s="15">
        <v>15.0</v>
      </c>
      <c r="N34" s="15">
        <v>15.0</v>
      </c>
      <c r="O34" s="15">
        <v>15.0</v>
      </c>
      <c r="P34" s="15">
        <v>15.0</v>
      </c>
      <c r="Q34" s="15">
        <v>10.0</v>
      </c>
      <c r="R34" s="15">
        <v>15.0</v>
      </c>
      <c r="S34" s="15">
        <v>15.0</v>
      </c>
      <c r="T34" s="15">
        <v>15.0</v>
      </c>
      <c r="U34" s="15">
        <v>15.0</v>
      </c>
      <c r="V34" s="15">
        <v>15.0</v>
      </c>
      <c r="W34" s="15">
        <v>15.0</v>
      </c>
      <c r="X34" s="15">
        <v>0.0</v>
      </c>
      <c r="Y34" s="15">
        <v>15.0</v>
      </c>
      <c r="Z34" s="15">
        <v>15.0</v>
      </c>
      <c r="AA34" s="15">
        <v>15.0</v>
      </c>
      <c r="AB34" s="15">
        <v>0.0</v>
      </c>
      <c r="AC34" s="15">
        <v>15.0</v>
      </c>
      <c r="AD34" s="15">
        <v>15.0</v>
      </c>
      <c r="AE34" s="15">
        <v>6.0</v>
      </c>
      <c r="AF34" s="15">
        <v>15.0</v>
      </c>
      <c r="AG34" s="15">
        <v>15.0</v>
      </c>
      <c r="AH34" s="15">
        <v>15.0</v>
      </c>
      <c r="AI34" s="15">
        <v>6.0</v>
      </c>
      <c r="AJ34" s="15">
        <v>15.0</v>
      </c>
      <c r="AK34" s="15">
        <v>15.0</v>
      </c>
      <c r="AL34" s="15">
        <v>15.0</v>
      </c>
      <c r="AM34" s="15">
        <v>15.0</v>
      </c>
      <c r="AN34" s="15">
        <v>6.0</v>
      </c>
      <c r="AO34" s="15">
        <v>6.0</v>
      </c>
      <c r="AP34" s="15">
        <v>15.0</v>
      </c>
      <c r="AQ34" s="15">
        <v>6.0</v>
      </c>
      <c r="AR34" s="15">
        <v>0.0</v>
      </c>
      <c r="AS34" s="15">
        <v>15.0</v>
      </c>
      <c r="AT34" s="15">
        <v>15.0</v>
      </c>
      <c r="AU34" s="15">
        <v>15.0</v>
      </c>
      <c r="AV34" s="15">
        <v>4.0</v>
      </c>
      <c r="AW34" s="15">
        <v>0.0</v>
      </c>
      <c r="AX34" s="15">
        <v>6.0</v>
      </c>
      <c r="AY34" s="15">
        <v>0.0</v>
      </c>
      <c r="AZ34" s="15">
        <v>0.0</v>
      </c>
    </row>
    <row r="35">
      <c r="A35" s="15">
        <v>1533.0</v>
      </c>
      <c r="B35" s="15" t="s">
        <v>18</v>
      </c>
      <c r="C35" s="15">
        <f t="shared" si="1"/>
        <v>6</v>
      </c>
      <c r="E35" s="15">
        <v>6.0</v>
      </c>
      <c r="F35" s="15">
        <v>10.0</v>
      </c>
      <c r="G35" s="15">
        <v>15.0</v>
      </c>
      <c r="H35" s="15">
        <v>15.0</v>
      </c>
      <c r="I35" s="15">
        <v>15.0</v>
      </c>
      <c r="J35" s="15">
        <v>6.0</v>
      </c>
      <c r="K35" s="15">
        <v>6.0</v>
      </c>
      <c r="L35" s="15">
        <v>15.0</v>
      </c>
      <c r="M35" s="15">
        <v>15.0</v>
      </c>
      <c r="N35" s="15">
        <v>15.0</v>
      </c>
      <c r="O35" s="15">
        <v>15.0</v>
      </c>
      <c r="P35" s="15">
        <v>15.0</v>
      </c>
      <c r="Q35" s="15">
        <v>10.0</v>
      </c>
      <c r="R35" s="15">
        <v>15.0</v>
      </c>
      <c r="S35" s="15">
        <v>15.0</v>
      </c>
      <c r="T35" s="15">
        <v>15.0</v>
      </c>
      <c r="U35" s="15">
        <v>15.0</v>
      </c>
      <c r="V35" s="15">
        <v>15.0</v>
      </c>
      <c r="W35" s="15">
        <v>15.0</v>
      </c>
      <c r="X35" s="15">
        <v>0.0</v>
      </c>
      <c r="Y35" s="15">
        <v>15.0</v>
      </c>
      <c r="Z35" s="15">
        <v>15.0</v>
      </c>
      <c r="AA35" s="15">
        <v>15.0</v>
      </c>
      <c r="AB35" s="15">
        <v>0.0</v>
      </c>
      <c r="AC35" s="15">
        <v>6.0</v>
      </c>
      <c r="AD35" s="15">
        <v>0.0</v>
      </c>
      <c r="AE35" s="15">
        <v>6.0</v>
      </c>
      <c r="AF35" s="15">
        <v>10.0</v>
      </c>
      <c r="AG35" s="15">
        <v>6.0</v>
      </c>
      <c r="AH35" s="15">
        <v>10.0</v>
      </c>
      <c r="AI35" s="15">
        <v>6.0</v>
      </c>
      <c r="AJ35" s="15">
        <v>15.0</v>
      </c>
      <c r="AK35" s="15">
        <v>15.0</v>
      </c>
      <c r="AL35" s="15">
        <v>15.0</v>
      </c>
      <c r="AM35" s="15">
        <v>15.0</v>
      </c>
      <c r="AN35" s="15">
        <v>0.0</v>
      </c>
      <c r="AO35" s="15">
        <v>0.0</v>
      </c>
      <c r="AP35" s="15">
        <v>0.0</v>
      </c>
      <c r="AQ35" s="15">
        <v>6.0</v>
      </c>
      <c r="AR35" s="15">
        <v>0.0</v>
      </c>
      <c r="AS35" s="15">
        <v>15.0</v>
      </c>
      <c r="AT35" s="15">
        <v>10.0</v>
      </c>
      <c r="AU35" s="15">
        <v>10.0</v>
      </c>
      <c r="AV35" s="15">
        <v>0.0</v>
      </c>
      <c r="AW35" s="15">
        <v>0.0</v>
      </c>
      <c r="AX35" s="15">
        <v>0.0</v>
      </c>
      <c r="AY35" s="15">
        <v>0.0</v>
      </c>
      <c r="AZ35" s="15">
        <v>0.0</v>
      </c>
    </row>
    <row r="36">
      <c r="A36" s="15">
        <v>1533.0</v>
      </c>
      <c r="B36" s="15" t="s">
        <v>39</v>
      </c>
      <c r="C36" s="15">
        <f t="shared" si="1"/>
        <v>0</v>
      </c>
      <c r="E36" s="15">
        <v>6.0</v>
      </c>
      <c r="F36" s="15">
        <v>6.0</v>
      </c>
      <c r="G36" s="15">
        <v>15.0</v>
      </c>
      <c r="I36" s="15">
        <v>10.0</v>
      </c>
      <c r="J36" s="15">
        <v>6.0</v>
      </c>
      <c r="K36" s="15">
        <v>6.0</v>
      </c>
      <c r="L36" s="15">
        <v>15.0</v>
      </c>
      <c r="M36" s="15">
        <v>15.0</v>
      </c>
      <c r="N36" s="15">
        <v>15.0</v>
      </c>
      <c r="O36" s="15">
        <v>15.0</v>
      </c>
      <c r="P36" s="15">
        <v>15.0</v>
      </c>
      <c r="Q36" s="15">
        <v>6.0</v>
      </c>
      <c r="R36" s="15">
        <v>0.0</v>
      </c>
      <c r="S36" s="15">
        <v>15.0</v>
      </c>
      <c r="T36" s="15">
        <v>15.0</v>
      </c>
      <c r="U36" s="15">
        <v>15.0</v>
      </c>
      <c r="V36" s="15">
        <v>15.0</v>
      </c>
      <c r="W36" s="15">
        <v>10.0</v>
      </c>
      <c r="X36" s="15">
        <v>0.0</v>
      </c>
      <c r="Y36" s="15">
        <v>10.0</v>
      </c>
      <c r="Z36" s="15">
        <v>15.0</v>
      </c>
      <c r="AA36" s="15">
        <v>15.0</v>
      </c>
      <c r="AB36" s="15">
        <v>0.0</v>
      </c>
      <c r="AC36" s="15">
        <v>0.0</v>
      </c>
      <c r="AD36" s="15">
        <v>0.0</v>
      </c>
      <c r="AE36" s="15">
        <v>0.0</v>
      </c>
      <c r="AF36" s="15">
        <v>4.0</v>
      </c>
      <c r="AG36" s="15">
        <v>6.0</v>
      </c>
      <c r="AH36" s="15">
        <v>0.0</v>
      </c>
      <c r="AI36" s="15">
        <v>0.0</v>
      </c>
      <c r="AJ36" s="15">
        <v>10.0</v>
      </c>
      <c r="AK36" s="15">
        <v>10.0</v>
      </c>
      <c r="AL36" s="15">
        <v>15.0</v>
      </c>
      <c r="AM36" s="15">
        <v>6.0</v>
      </c>
      <c r="AN36" s="15">
        <v>0.0</v>
      </c>
      <c r="AO36" s="15">
        <v>0.0</v>
      </c>
      <c r="AP36" s="15">
        <v>0.0</v>
      </c>
      <c r="AQ36" s="15">
        <v>4.0</v>
      </c>
      <c r="AR36" s="15">
        <v>0.0</v>
      </c>
      <c r="AS36" s="15">
        <v>15.0</v>
      </c>
      <c r="AT36" s="15">
        <v>6.0</v>
      </c>
      <c r="AU36" s="15">
        <v>4.0</v>
      </c>
      <c r="AV36" s="15">
        <v>0.0</v>
      </c>
      <c r="AW36" s="15">
        <v>0.0</v>
      </c>
      <c r="AX36" s="15">
        <v>0.0</v>
      </c>
      <c r="AY36" s="15">
        <v>0.0</v>
      </c>
      <c r="AZ36" s="15">
        <v>0.0</v>
      </c>
    </row>
    <row r="37">
      <c r="A37" s="15">
        <v>1533.0</v>
      </c>
      <c r="B37" s="15" t="s">
        <v>34</v>
      </c>
      <c r="C37" s="15">
        <f t="shared" si="1"/>
        <v>15</v>
      </c>
    </row>
    <row r="38">
      <c r="A38" s="15">
        <v>1533.0</v>
      </c>
      <c r="B38" s="15" t="s">
        <v>34</v>
      </c>
      <c r="C38" s="15">
        <f t="shared" si="1"/>
        <v>15</v>
      </c>
    </row>
    <row r="39">
      <c r="A39" s="15">
        <v>1533.0</v>
      </c>
      <c r="B39" s="15" t="s">
        <v>34</v>
      </c>
      <c r="C39" s="15">
        <f t="shared" si="1"/>
        <v>15</v>
      </c>
    </row>
    <row r="40">
      <c r="A40" s="15">
        <v>1706.0</v>
      </c>
      <c r="B40" s="15" t="s">
        <v>28</v>
      </c>
      <c r="C40" s="15">
        <f t="shared" si="1"/>
        <v>0</v>
      </c>
    </row>
    <row r="41">
      <c r="A41" s="15">
        <v>1706.0</v>
      </c>
      <c r="B41" s="15" t="s">
        <v>39</v>
      </c>
      <c r="C41" s="15">
        <f t="shared" si="1"/>
        <v>0</v>
      </c>
    </row>
    <row r="42">
      <c r="A42" s="15">
        <v>1706.0</v>
      </c>
      <c r="B42" s="15" t="s">
        <v>39</v>
      </c>
      <c r="C42" s="15">
        <f t="shared" si="1"/>
        <v>0</v>
      </c>
    </row>
    <row r="43">
      <c r="A43" s="15">
        <v>1706.0</v>
      </c>
      <c r="B43" s="15" t="s">
        <v>39</v>
      </c>
      <c r="C43" s="15">
        <f t="shared" si="1"/>
        <v>0</v>
      </c>
    </row>
    <row r="44">
      <c r="A44" s="15">
        <v>1706.0</v>
      </c>
      <c r="B44" s="15" t="s">
        <v>28</v>
      </c>
      <c r="C44" s="15">
        <f t="shared" si="1"/>
        <v>0</v>
      </c>
    </row>
    <row r="45">
      <c r="A45" s="15">
        <v>1706.0</v>
      </c>
      <c r="B45" s="15" t="s">
        <v>18</v>
      </c>
      <c r="C45" s="15">
        <f t="shared" si="1"/>
        <v>6</v>
      </c>
    </row>
    <row r="46">
      <c r="A46" s="15">
        <v>1706.0</v>
      </c>
      <c r="B46" s="15" t="s">
        <v>18</v>
      </c>
      <c r="C46" s="15">
        <f t="shared" si="1"/>
        <v>6</v>
      </c>
    </row>
    <row r="47">
      <c r="A47" s="15">
        <v>1720.0</v>
      </c>
      <c r="B47" s="15" t="s">
        <v>39</v>
      </c>
      <c r="C47" s="15">
        <f t="shared" si="1"/>
        <v>0</v>
      </c>
    </row>
    <row r="48">
      <c r="A48" s="15">
        <v>1720.0</v>
      </c>
      <c r="B48" s="15" t="s">
        <v>39</v>
      </c>
      <c r="C48" s="15">
        <f t="shared" si="1"/>
        <v>0</v>
      </c>
    </row>
    <row r="49">
      <c r="A49" s="15">
        <v>1720.0</v>
      </c>
      <c r="B49" s="15" t="s">
        <v>18</v>
      </c>
      <c r="C49" s="15">
        <f t="shared" si="1"/>
        <v>6</v>
      </c>
    </row>
    <row r="50">
      <c r="A50" s="15">
        <v>1720.0</v>
      </c>
      <c r="B50" s="15" t="s">
        <v>39</v>
      </c>
      <c r="C50" s="15">
        <f t="shared" si="1"/>
        <v>0</v>
      </c>
    </row>
    <row r="51">
      <c r="A51" s="15">
        <v>1720.0</v>
      </c>
      <c r="B51" s="15" t="s">
        <v>39</v>
      </c>
      <c r="C51" s="15">
        <f t="shared" si="1"/>
        <v>0</v>
      </c>
    </row>
    <row r="52">
      <c r="A52" s="15">
        <v>1720.0</v>
      </c>
      <c r="B52" s="15" t="s">
        <v>42</v>
      </c>
      <c r="C52" s="15">
        <f t="shared" si="1"/>
        <v>10</v>
      </c>
    </row>
    <row r="53">
      <c r="A53" s="15">
        <v>1720.0</v>
      </c>
      <c r="B53" s="15" t="s">
        <v>39</v>
      </c>
      <c r="C53" s="15">
        <f t="shared" si="1"/>
        <v>0</v>
      </c>
    </row>
    <row r="54">
      <c r="A54" s="15">
        <v>1730.0</v>
      </c>
      <c r="B54" s="15" t="s">
        <v>28</v>
      </c>
      <c r="C54" s="15">
        <f t="shared" si="1"/>
        <v>0</v>
      </c>
    </row>
    <row r="55">
      <c r="A55" s="15">
        <v>1730.0</v>
      </c>
      <c r="B55" s="15" t="s">
        <v>28</v>
      </c>
      <c r="C55" s="15">
        <f t="shared" si="1"/>
        <v>0</v>
      </c>
    </row>
    <row r="56">
      <c r="A56" s="15">
        <v>1730.0</v>
      </c>
      <c r="B56" s="15" t="s">
        <v>42</v>
      </c>
      <c r="C56" s="15">
        <f t="shared" si="1"/>
        <v>10</v>
      </c>
    </row>
    <row r="57">
      <c r="A57" s="15">
        <v>1730.0</v>
      </c>
      <c r="B57" s="15" t="s">
        <v>28</v>
      </c>
      <c r="C57" s="15">
        <f t="shared" si="1"/>
        <v>0</v>
      </c>
    </row>
    <row r="58">
      <c r="A58" s="15">
        <v>1730.0</v>
      </c>
      <c r="B58" s="15" t="s">
        <v>34</v>
      </c>
      <c r="C58" s="15">
        <f t="shared" si="1"/>
        <v>15</v>
      </c>
    </row>
    <row r="59">
      <c r="A59" s="15">
        <v>1730.0</v>
      </c>
      <c r="B59" s="15" t="s">
        <v>34</v>
      </c>
      <c r="C59" s="15">
        <f t="shared" si="1"/>
        <v>15</v>
      </c>
    </row>
    <row r="60">
      <c r="A60" s="15">
        <v>1730.0</v>
      </c>
      <c r="B60" s="15" t="s">
        <v>34</v>
      </c>
      <c r="C60" s="15">
        <f t="shared" si="1"/>
        <v>15</v>
      </c>
    </row>
    <row r="61">
      <c r="A61" s="15">
        <v>1732.0</v>
      </c>
      <c r="B61" s="15" t="s">
        <v>32</v>
      </c>
      <c r="C61" s="15">
        <f t="shared" si="1"/>
        <v>4</v>
      </c>
    </row>
    <row r="62">
      <c r="A62" s="15">
        <v>1732.0</v>
      </c>
      <c r="B62" s="15" t="s">
        <v>28</v>
      </c>
      <c r="C62" s="15">
        <f t="shared" si="1"/>
        <v>0</v>
      </c>
    </row>
    <row r="63">
      <c r="A63" s="15">
        <v>1732.0</v>
      </c>
      <c r="B63" s="15" t="s">
        <v>18</v>
      </c>
      <c r="C63" s="15">
        <f t="shared" si="1"/>
        <v>6</v>
      </c>
    </row>
    <row r="64">
      <c r="A64" s="15">
        <v>1732.0</v>
      </c>
      <c r="B64" s="15" t="s">
        <v>32</v>
      </c>
      <c r="C64" s="15">
        <f t="shared" si="1"/>
        <v>4</v>
      </c>
    </row>
    <row r="65">
      <c r="A65" s="15">
        <v>1732.0</v>
      </c>
      <c r="B65" s="15" t="s">
        <v>39</v>
      </c>
      <c r="C65" s="15">
        <f t="shared" si="1"/>
        <v>0</v>
      </c>
    </row>
    <row r="66">
      <c r="A66" s="15">
        <v>1732.0</v>
      </c>
      <c r="B66" s="15" t="s">
        <v>18</v>
      </c>
      <c r="C66" s="15">
        <f t="shared" si="1"/>
        <v>6</v>
      </c>
    </row>
    <row r="67">
      <c r="A67" s="15">
        <v>1732.0</v>
      </c>
      <c r="B67" s="15" t="s">
        <v>18</v>
      </c>
      <c r="C67" s="15">
        <f t="shared" si="1"/>
        <v>6</v>
      </c>
    </row>
    <row r="68">
      <c r="A68" s="15">
        <v>1732.0</v>
      </c>
      <c r="B68" s="15" t="s">
        <v>18</v>
      </c>
      <c r="C68" s="15">
        <f t="shared" si="1"/>
        <v>6</v>
      </c>
    </row>
    <row r="69">
      <c r="A69" s="15">
        <v>180.0</v>
      </c>
      <c r="B69" s="15" t="s">
        <v>42</v>
      </c>
      <c r="C69" s="15">
        <f t="shared" si="1"/>
        <v>10</v>
      </c>
    </row>
    <row r="70">
      <c r="A70" s="15">
        <v>180.0</v>
      </c>
      <c r="B70" s="15" t="s">
        <v>42</v>
      </c>
      <c r="C70" s="15">
        <f t="shared" si="1"/>
        <v>10</v>
      </c>
    </row>
    <row r="71">
      <c r="A71" s="15">
        <v>180.0</v>
      </c>
      <c r="B71" s="15" t="s">
        <v>42</v>
      </c>
      <c r="C71" s="15">
        <f t="shared" si="1"/>
        <v>10</v>
      </c>
    </row>
    <row r="72">
      <c r="A72" s="15">
        <v>180.0</v>
      </c>
      <c r="B72" s="15" t="s">
        <v>39</v>
      </c>
      <c r="C72" s="15">
        <f t="shared" si="1"/>
        <v>0</v>
      </c>
    </row>
    <row r="73">
      <c r="A73" s="15">
        <v>180.0</v>
      </c>
      <c r="B73" s="15" t="s">
        <v>18</v>
      </c>
      <c r="C73" s="15">
        <f t="shared" si="1"/>
        <v>6</v>
      </c>
    </row>
    <row r="74">
      <c r="A74" s="15">
        <v>180.0</v>
      </c>
      <c r="B74" s="15" t="s">
        <v>28</v>
      </c>
      <c r="C74" s="15">
        <f t="shared" si="1"/>
        <v>0</v>
      </c>
    </row>
    <row r="75">
      <c r="A75" s="15">
        <v>180.0</v>
      </c>
      <c r="B75" s="15" t="s">
        <v>18</v>
      </c>
      <c r="C75" s="15">
        <f t="shared" si="1"/>
        <v>6</v>
      </c>
    </row>
    <row r="76">
      <c r="A76" s="15">
        <v>180.0</v>
      </c>
      <c r="B76" s="15" t="s">
        <v>39</v>
      </c>
      <c r="C76" s="15">
        <f t="shared" si="1"/>
        <v>0</v>
      </c>
    </row>
    <row r="77">
      <c r="A77" s="15">
        <v>195.0</v>
      </c>
      <c r="B77" s="15" t="s">
        <v>34</v>
      </c>
      <c r="C77" s="15">
        <f t="shared" si="1"/>
        <v>15</v>
      </c>
    </row>
    <row r="78">
      <c r="A78" s="15">
        <v>195.0</v>
      </c>
      <c r="B78" s="15" t="s">
        <v>34</v>
      </c>
      <c r="C78" s="15">
        <f t="shared" si="1"/>
        <v>15</v>
      </c>
    </row>
    <row r="79">
      <c r="A79" s="15">
        <v>195.0</v>
      </c>
      <c r="B79" s="15" t="s">
        <v>34</v>
      </c>
      <c r="C79" s="15">
        <f t="shared" si="1"/>
        <v>15</v>
      </c>
    </row>
    <row r="80">
      <c r="A80" s="15">
        <v>195.0</v>
      </c>
      <c r="B80" s="15" t="s">
        <v>34</v>
      </c>
      <c r="C80" s="15">
        <f t="shared" si="1"/>
        <v>15</v>
      </c>
    </row>
    <row r="81">
      <c r="A81" s="15">
        <v>195.0</v>
      </c>
      <c r="B81" s="15" t="s">
        <v>34</v>
      </c>
      <c r="C81" s="15">
        <f t="shared" si="1"/>
        <v>15</v>
      </c>
    </row>
    <row r="82">
      <c r="A82" s="15">
        <v>195.0</v>
      </c>
      <c r="B82" s="15" t="s">
        <v>42</v>
      </c>
      <c r="C82" s="15">
        <f t="shared" si="1"/>
        <v>10</v>
      </c>
    </row>
    <row r="83">
      <c r="A83" s="15">
        <v>195.0</v>
      </c>
      <c r="B83" s="15" t="s">
        <v>18</v>
      </c>
      <c r="C83" s="15">
        <f t="shared" si="1"/>
        <v>6</v>
      </c>
    </row>
    <row r="84">
      <c r="A84" s="15">
        <v>1987.0</v>
      </c>
      <c r="B84" s="15" t="s">
        <v>34</v>
      </c>
      <c r="C84" s="15">
        <f t="shared" si="1"/>
        <v>15</v>
      </c>
    </row>
    <row r="85">
      <c r="A85" s="15">
        <v>1987.0</v>
      </c>
      <c r="B85" s="15" t="s">
        <v>28</v>
      </c>
      <c r="C85" s="15">
        <f t="shared" si="1"/>
        <v>0</v>
      </c>
    </row>
    <row r="86">
      <c r="A86" s="15">
        <v>1987.0</v>
      </c>
      <c r="B86" s="15" t="s">
        <v>18</v>
      </c>
      <c r="C86" s="15">
        <f t="shared" si="1"/>
        <v>6</v>
      </c>
    </row>
    <row r="87">
      <c r="A87" s="15">
        <v>1987.0</v>
      </c>
      <c r="B87" s="15" t="s">
        <v>34</v>
      </c>
      <c r="C87" s="15">
        <f t="shared" si="1"/>
        <v>15</v>
      </c>
    </row>
    <row r="88">
      <c r="A88" s="15">
        <v>1987.0</v>
      </c>
      <c r="B88" s="15" t="s">
        <v>39</v>
      </c>
      <c r="C88" s="15">
        <f t="shared" si="1"/>
        <v>0</v>
      </c>
    </row>
    <row r="89">
      <c r="A89" s="15">
        <v>1987.0</v>
      </c>
      <c r="B89" s="15" t="s">
        <v>28</v>
      </c>
      <c r="C89" s="15">
        <f t="shared" si="1"/>
        <v>0</v>
      </c>
    </row>
    <row r="90">
      <c r="A90" s="15">
        <v>1987.0</v>
      </c>
      <c r="B90" s="15" t="s">
        <v>39</v>
      </c>
      <c r="C90" s="15">
        <f t="shared" si="1"/>
        <v>0</v>
      </c>
    </row>
    <row r="91">
      <c r="A91" s="15">
        <v>1987.0</v>
      </c>
      <c r="B91" s="15" t="s">
        <v>39</v>
      </c>
      <c r="C91" s="15">
        <f t="shared" si="1"/>
        <v>0</v>
      </c>
    </row>
    <row r="92">
      <c r="A92" s="15">
        <v>2056.0</v>
      </c>
      <c r="B92" s="15" t="s">
        <v>34</v>
      </c>
      <c r="C92" s="15">
        <f t="shared" si="1"/>
        <v>15</v>
      </c>
    </row>
    <row r="93">
      <c r="A93" s="15">
        <v>2056.0</v>
      </c>
      <c r="B93" s="15" t="s">
        <v>42</v>
      </c>
      <c r="C93" s="15">
        <f t="shared" si="1"/>
        <v>10</v>
      </c>
    </row>
    <row r="94">
      <c r="A94" s="15">
        <v>2056.0</v>
      </c>
      <c r="B94" s="15" t="s">
        <v>39</v>
      </c>
      <c r="C94" s="15">
        <f t="shared" si="1"/>
        <v>0</v>
      </c>
    </row>
    <row r="95">
      <c r="A95" s="15">
        <v>2056.0</v>
      </c>
      <c r="B95" s="15" t="s">
        <v>34</v>
      </c>
      <c r="C95" s="15">
        <f t="shared" si="1"/>
        <v>15</v>
      </c>
    </row>
    <row r="96">
      <c r="A96" s="15">
        <v>2056.0</v>
      </c>
      <c r="B96" s="15" t="s">
        <v>39</v>
      </c>
      <c r="C96" s="15">
        <f t="shared" si="1"/>
        <v>0</v>
      </c>
    </row>
    <row r="97">
      <c r="A97" s="15">
        <v>2056.0</v>
      </c>
      <c r="B97" s="15" t="s">
        <v>39</v>
      </c>
      <c r="C97" s="15">
        <f t="shared" si="1"/>
        <v>0</v>
      </c>
    </row>
    <row r="98">
      <c r="A98" s="15">
        <v>2056.0</v>
      </c>
      <c r="B98" s="15" t="s">
        <v>18</v>
      </c>
      <c r="C98" s="15">
        <f t="shared" si="1"/>
        <v>6</v>
      </c>
    </row>
    <row r="99">
      <c r="A99" s="15">
        <v>2056.0</v>
      </c>
      <c r="B99" s="15" t="s">
        <v>34</v>
      </c>
      <c r="C99" s="15">
        <f t="shared" si="1"/>
        <v>15</v>
      </c>
    </row>
    <row r="100">
      <c r="A100" s="15">
        <v>2075.0</v>
      </c>
      <c r="B100" s="15" t="s">
        <v>39</v>
      </c>
      <c r="C100" s="15">
        <f t="shared" si="1"/>
        <v>0</v>
      </c>
    </row>
    <row r="101">
      <c r="A101" s="15">
        <v>2075.0</v>
      </c>
      <c r="B101" s="15" t="s">
        <v>18</v>
      </c>
      <c r="C101" s="15">
        <f t="shared" si="1"/>
        <v>6</v>
      </c>
    </row>
    <row r="102">
      <c r="A102" s="15">
        <v>2075.0</v>
      </c>
      <c r="B102" s="15" t="s">
        <v>18</v>
      </c>
      <c r="C102" s="15">
        <f t="shared" si="1"/>
        <v>6</v>
      </c>
    </row>
    <row r="103">
      <c r="A103" s="15">
        <v>2075.0</v>
      </c>
      <c r="B103" s="15" t="s">
        <v>28</v>
      </c>
      <c r="C103" s="15">
        <f t="shared" si="1"/>
        <v>0</v>
      </c>
    </row>
    <row r="104">
      <c r="A104" s="15">
        <v>2075.0</v>
      </c>
      <c r="B104" s="15" t="s">
        <v>39</v>
      </c>
      <c r="C104" s="15">
        <f t="shared" si="1"/>
        <v>0</v>
      </c>
    </row>
    <row r="105">
      <c r="A105" s="15">
        <v>2075.0</v>
      </c>
      <c r="B105" s="15" t="s">
        <v>42</v>
      </c>
      <c r="C105" s="15">
        <f t="shared" si="1"/>
        <v>10</v>
      </c>
    </row>
    <row r="106">
      <c r="A106" s="15">
        <v>2075.0</v>
      </c>
      <c r="B106" s="15" t="s">
        <v>39</v>
      </c>
      <c r="C106" s="15">
        <f t="shared" si="1"/>
        <v>0</v>
      </c>
    </row>
    <row r="107">
      <c r="A107" s="15">
        <v>2075.0</v>
      </c>
      <c r="B107" s="15" t="s">
        <v>39</v>
      </c>
      <c r="C107" s="15">
        <f t="shared" si="1"/>
        <v>0</v>
      </c>
    </row>
    <row r="108">
      <c r="A108" s="15">
        <v>2338.0</v>
      </c>
      <c r="B108" s="15" t="s">
        <v>42</v>
      </c>
      <c r="C108" s="15">
        <f t="shared" si="1"/>
        <v>10</v>
      </c>
    </row>
    <row r="109">
      <c r="A109" s="15">
        <v>2338.0</v>
      </c>
      <c r="B109" s="15" t="s">
        <v>34</v>
      </c>
      <c r="C109" s="15">
        <f t="shared" si="1"/>
        <v>15</v>
      </c>
    </row>
    <row r="110">
      <c r="A110" s="15">
        <v>2338.0</v>
      </c>
      <c r="B110" s="15" t="s">
        <v>34</v>
      </c>
      <c r="C110" s="15">
        <f t="shared" si="1"/>
        <v>15</v>
      </c>
    </row>
    <row r="111">
      <c r="A111" s="15">
        <v>2338.0</v>
      </c>
      <c r="B111" s="15" t="s">
        <v>34</v>
      </c>
      <c r="C111" s="15">
        <f t="shared" si="1"/>
        <v>15</v>
      </c>
    </row>
    <row r="112">
      <c r="A112" s="15">
        <v>2338.0</v>
      </c>
      <c r="B112" s="15" t="s">
        <v>34</v>
      </c>
      <c r="C112" s="15">
        <f t="shared" si="1"/>
        <v>15</v>
      </c>
    </row>
    <row r="113">
      <c r="A113" s="15">
        <v>2338.0</v>
      </c>
      <c r="B113" s="15" t="s">
        <v>34</v>
      </c>
      <c r="C113" s="15">
        <f t="shared" si="1"/>
        <v>15</v>
      </c>
    </row>
    <row r="114">
      <c r="A114" s="15">
        <v>2338.0</v>
      </c>
      <c r="B114" s="15" t="s">
        <v>34</v>
      </c>
      <c r="C114" s="15">
        <f t="shared" si="1"/>
        <v>15</v>
      </c>
    </row>
    <row r="115">
      <c r="A115" s="15">
        <v>234.0</v>
      </c>
      <c r="B115" s="15" t="s">
        <v>42</v>
      </c>
      <c r="C115" s="15">
        <f t="shared" si="1"/>
        <v>10</v>
      </c>
    </row>
    <row r="116">
      <c r="A116" s="15">
        <v>234.0</v>
      </c>
      <c r="B116" s="15" t="s">
        <v>34</v>
      </c>
      <c r="C116" s="15">
        <f t="shared" si="1"/>
        <v>15</v>
      </c>
    </row>
    <row r="117">
      <c r="A117" s="15">
        <v>234.0</v>
      </c>
      <c r="B117" s="15" t="s">
        <v>39</v>
      </c>
      <c r="C117" s="15">
        <f t="shared" si="1"/>
        <v>0</v>
      </c>
    </row>
    <row r="118">
      <c r="A118" s="15">
        <v>234.0</v>
      </c>
      <c r="B118" s="15" t="s">
        <v>28</v>
      </c>
      <c r="C118" s="15">
        <f t="shared" si="1"/>
        <v>0</v>
      </c>
    </row>
    <row r="119">
      <c r="A119" s="15">
        <v>234.0</v>
      </c>
      <c r="B119" s="15" t="s">
        <v>34</v>
      </c>
      <c r="C119" s="15">
        <f t="shared" si="1"/>
        <v>15</v>
      </c>
    </row>
    <row r="120">
      <c r="A120" s="15">
        <v>234.0</v>
      </c>
      <c r="B120" s="15" t="s">
        <v>34</v>
      </c>
      <c r="C120" s="15">
        <f t="shared" si="1"/>
        <v>15</v>
      </c>
    </row>
    <row r="121">
      <c r="A121" s="15">
        <v>234.0</v>
      </c>
      <c r="B121" s="15" t="s">
        <v>32</v>
      </c>
      <c r="C121" s="15">
        <f t="shared" si="1"/>
        <v>4</v>
      </c>
    </row>
    <row r="122">
      <c r="A122" s="15">
        <v>2363.0</v>
      </c>
      <c r="B122" s="15" t="s">
        <v>28</v>
      </c>
      <c r="C122" s="15">
        <f t="shared" si="1"/>
        <v>0</v>
      </c>
    </row>
    <row r="123">
      <c r="A123" s="15">
        <v>2363.0</v>
      </c>
      <c r="B123" s="15" t="s">
        <v>39</v>
      </c>
      <c r="C123" s="15">
        <f t="shared" si="1"/>
        <v>0</v>
      </c>
    </row>
    <row r="124">
      <c r="A124" s="15">
        <v>2363.0</v>
      </c>
      <c r="B124" s="15" t="s">
        <v>18</v>
      </c>
      <c r="C124" s="15">
        <f t="shared" si="1"/>
        <v>6</v>
      </c>
    </row>
    <row r="125">
      <c r="A125" s="15">
        <v>2363.0</v>
      </c>
      <c r="B125" s="15" t="s">
        <v>18</v>
      </c>
      <c r="C125" s="15">
        <f t="shared" si="1"/>
        <v>6</v>
      </c>
    </row>
    <row r="126">
      <c r="A126" s="15">
        <v>2363.0</v>
      </c>
      <c r="B126" s="15" t="s">
        <v>18</v>
      </c>
      <c r="C126" s="15">
        <f t="shared" si="1"/>
        <v>6</v>
      </c>
    </row>
    <row r="127">
      <c r="A127" s="15">
        <v>2363.0</v>
      </c>
      <c r="B127" s="15" t="s">
        <v>28</v>
      </c>
      <c r="C127" s="15">
        <f t="shared" si="1"/>
        <v>0</v>
      </c>
    </row>
    <row r="128">
      <c r="A128" s="15">
        <v>2363.0</v>
      </c>
      <c r="B128" s="15" t="s">
        <v>18</v>
      </c>
      <c r="C128" s="15">
        <f t="shared" si="1"/>
        <v>6</v>
      </c>
    </row>
    <row r="129">
      <c r="A129" s="15">
        <v>2468.0</v>
      </c>
      <c r="B129" s="15" t="s">
        <v>32</v>
      </c>
      <c r="C129" s="15">
        <f t="shared" si="1"/>
        <v>4</v>
      </c>
    </row>
    <row r="130">
      <c r="A130" s="15">
        <v>2468.0</v>
      </c>
      <c r="B130" s="15" t="s">
        <v>34</v>
      </c>
      <c r="C130" s="15">
        <f t="shared" si="1"/>
        <v>15</v>
      </c>
    </row>
    <row r="131">
      <c r="A131" s="15">
        <v>2468.0</v>
      </c>
      <c r="B131" s="15" t="s">
        <v>34</v>
      </c>
      <c r="C131" s="15">
        <f t="shared" si="1"/>
        <v>15</v>
      </c>
    </row>
    <row r="132">
      <c r="A132" s="15">
        <v>2468.0</v>
      </c>
      <c r="B132" s="15" t="s">
        <v>39</v>
      </c>
      <c r="C132" s="15">
        <f t="shared" si="1"/>
        <v>0</v>
      </c>
    </row>
    <row r="133">
      <c r="A133" s="15">
        <v>2468.0</v>
      </c>
      <c r="B133" s="15" t="s">
        <v>34</v>
      </c>
      <c r="C133" s="15">
        <f t="shared" si="1"/>
        <v>15</v>
      </c>
    </row>
    <row r="134">
      <c r="A134" s="15">
        <v>2468.0</v>
      </c>
      <c r="B134" s="15" t="s">
        <v>42</v>
      </c>
      <c r="C134" s="15">
        <f t="shared" si="1"/>
        <v>10</v>
      </c>
    </row>
    <row r="135">
      <c r="A135" s="15">
        <v>2468.0</v>
      </c>
      <c r="B135" s="15" t="s">
        <v>34</v>
      </c>
      <c r="C135" s="15">
        <f t="shared" si="1"/>
        <v>15</v>
      </c>
    </row>
    <row r="136">
      <c r="A136" s="15">
        <v>2539.0</v>
      </c>
      <c r="B136" s="15" t="s">
        <v>34</v>
      </c>
      <c r="C136" s="15">
        <f t="shared" si="1"/>
        <v>15</v>
      </c>
    </row>
    <row r="137">
      <c r="A137" s="15">
        <v>2539.0</v>
      </c>
      <c r="B137" s="15" t="s">
        <v>42</v>
      </c>
      <c r="C137" s="15">
        <f t="shared" si="1"/>
        <v>10</v>
      </c>
    </row>
    <row r="138">
      <c r="A138" s="15">
        <v>2539.0</v>
      </c>
      <c r="B138" s="15" t="s">
        <v>42</v>
      </c>
      <c r="C138" s="15">
        <f t="shared" si="1"/>
        <v>10</v>
      </c>
    </row>
    <row r="139">
      <c r="A139" s="15">
        <v>2539.0</v>
      </c>
      <c r="B139" s="15" t="s">
        <v>34</v>
      </c>
      <c r="C139" s="15">
        <f t="shared" si="1"/>
        <v>15</v>
      </c>
    </row>
    <row r="140">
      <c r="A140" s="15">
        <v>2539.0</v>
      </c>
      <c r="B140" s="15" t="s">
        <v>34</v>
      </c>
      <c r="C140" s="15">
        <f t="shared" si="1"/>
        <v>15</v>
      </c>
    </row>
    <row r="141">
      <c r="A141" s="15">
        <v>2539.0</v>
      </c>
      <c r="B141" s="15" t="s">
        <v>34</v>
      </c>
      <c r="C141" s="15">
        <f t="shared" si="1"/>
        <v>15</v>
      </c>
    </row>
    <row r="142">
      <c r="A142" s="15">
        <v>2539.0</v>
      </c>
      <c r="B142" s="15" t="s">
        <v>34</v>
      </c>
      <c r="C142" s="15">
        <f t="shared" si="1"/>
        <v>15</v>
      </c>
    </row>
    <row r="143">
      <c r="A143" s="15">
        <v>2614.0</v>
      </c>
      <c r="B143" s="15" t="s">
        <v>18</v>
      </c>
      <c r="C143" s="15">
        <f t="shared" si="1"/>
        <v>6</v>
      </c>
    </row>
    <row r="144">
      <c r="A144" s="15">
        <v>2614.0</v>
      </c>
      <c r="B144" s="15" t="s">
        <v>39</v>
      </c>
      <c r="C144" s="15">
        <f t="shared" si="1"/>
        <v>0</v>
      </c>
    </row>
    <row r="145">
      <c r="A145" s="15">
        <v>2614.0</v>
      </c>
      <c r="B145" s="15" t="s">
        <v>39</v>
      </c>
      <c r="C145" s="15">
        <f t="shared" si="1"/>
        <v>0</v>
      </c>
    </row>
    <row r="146">
      <c r="A146" s="15">
        <v>2614.0</v>
      </c>
      <c r="B146" s="15" t="s">
        <v>39</v>
      </c>
      <c r="C146" s="15">
        <f t="shared" si="1"/>
        <v>0</v>
      </c>
    </row>
    <row r="147">
      <c r="A147" s="15">
        <v>2614.0</v>
      </c>
      <c r="B147" s="15" t="s">
        <v>18</v>
      </c>
      <c r="C147" s="15">
        <f t="shared" si="1"/>
        <v>6</v>
      </c>
    </row>
    <row r="148">
      <c r="A148" s="15">
        <v>2614.0</v>
      </c>
      <c r="B148" s="15" t="s">
        <v>18</v>
      </c>
      <c r="C148" s="15">
        <f t="shared" si="1"/>
        <v>6</v>
      </c>
    </row>
    <row r="149">
      <c r="A149" s="15">
        <v>2614.0</v>
      </c>
      <c r="B149" s="15" t="s">
        <v>39</v>
      </c>
      <c r="C149" s="15">
        <f t="shared" si="1"/>
        <v>0</v>
      </c>
    </row>
    <row r="150">
      <c r="A150" s="15">
        <v>2614.0</v>
      </c>
      <c r="B150" s="15" t="s">
        <v>39</v>
      </c>
      <c r="C150" s="15">
        <f t="shared" si="1"/>
        <v>0</v>
      </c>
    </row>
    <row r="151">
      <c r="A151" s="15">
        <v>2767.0</v>
      </c>
      <c r="B151" s="15" t="s">
        <v>34</v>
      </c>
      <c r="C151" s="15">
        <f t="shared" si="1"/>
        <v>15</v>
      </c>
    </row>
    <row r="152">
      <c r="A152" s="15">
        <v>2767.0</v>
      </c>
      <c r="B152" s="15" t="s">
        <v>34</v>
      </c>
      <c r="C152" s="15">
        <f t="shared" si="1"/>
        <v>15</v>
      </c>
    </row>
    <row r="153">
      <c r="A153" s="15">
        <v>2767.0</v>
      </c>
      <c r="B153" s="15" t="s">
        <v>34</v>
      </c>
      <c r="C153" s="15">
        <f t="shared" si="1"/>
        <v>15</v>
      </c>
    </row>
    <row r="154">
      <c r="A154" s="15">
        <v>2767.0</v>
      </c>
      <c r="B154" s="15" t="s">
        <v>39</v>
      </c>
      <c r="C154" s="15">
        <f t="shared" si="1"/>
        <v>0</v>
      </c>
    </row>
    <row r="155">
      <c r="A155" s="15">
        <v>2767.0</v>
      </c>
      <c r="B155" s="15" t="s">
        <v>34</v>
      </c>
      <c r="C155" s="15">
        <f t="shared" si="1"/>
        <v>15</v>
      </c>
    </row>
    <row r="156">
      <c r="A156" s="15">
        <v>2767.0</v>
      </c>
      <c r="B156" s="15" t="s">
        <v>34</v>
      </c>
      <c r="C156" s="15">
        <f t="shared" si="1"/>
        <v>15</v>
      </c>
    </row>
    <row r="157">
      <c r="A157" s="15">
        <v>2767.0</v>
      </c>
      <c r="B157" s="15" t="s">
        <v>34</v>
      </c>
      <c r="C157" s="15">
        <f t="shared" si="1"/>
        <v>15</v>
      </c>
    </row>
    <row r="158">
      <c r="A158" s="15">
        <v>27.0</v>
      </c>
      <c r="B158" s="15" t="s">
        <v>34</v>
      </c>
      <c r="C158" s="15">
        <f t="shared" si="1"/>
        <v>15</v>
      </c>
    </row>
    <row r="159">
      <c r="A159" s="15">
        <v>27.0</v>
      </c>
      <c r="B159" s="15" t="s">
        <v>34</v>
      </c>
      <c r="C159" s="15">
        <f t="shared" si="1"/>
        <v>15</v>
      </c>
    </row>
    <row r="160">
      <c r="A160" s="15">
        <v>27.0</v>
      </c>
      <c r="B160" s="15" t="s">
        <v>34</v>
      </c>
      <c r="C160" s="15">
        <f t="shared" si="1"/>
        <v>15</v>
      </c>
    </row>
    <row r="161">
      <c r="A161" s="15">
        <v>27.0</v>
      </c>
      <c r="B161" s="15" t="s">
        <v>34</v>
      </c>
      <c r="C161" s="15">
        <f t="shared" si="1"/>
        <v>15</v>
      </c>
    </row>
    <row r="162">
      <c r="A162" s="15">
        <v>27.0</v>
      </c>
      <c r="B162" s="15" t="s">
        <v>42</v>
      </c>
      <c r="C162" s="15">
        <f t="shared" si="1"/>
        <v>10</v>
      </c>
    </row>
    <row r="163">
      <c r="A163" s="15">
        <v>27.0</v>
      </c>
      <c r="B163" s="15" t="s">
        <v>34</v>
      </c>
      <c r="C163" s="15">
        <f t="shared" si="1"/>
        <v>15</v>
      </c>
    </row>
    <row r="164">
      <c r="A164" s="15">
        <v>27.0</v>
      </c>
      <c r="B164" s="15" t="s">
        <v>34</v>
      </c>
      <c r="C164" s="15">
        <f t="shared" si="1"/>
        <v>15</v>
      </c>
    </row>
    <row r="165">
      <c r="A165" s="15">
        <v>27.0</v>
      </c>
      <c r="B165" s="15" t="s">
        <v>34</v>
      </c>
      <c r="C165" s="15">
        <f t="shared" si="1"/>
        <v>15</v>
      </c>
    </row>
    <row r="166">
      <c r="A166" s="15">
        <v>3175.0</v>
      </c>
      <c r="B166" s="15" t="s">
        <v>39</v>
      </c>
      <c r="C166" s="15">
        <f t="shared" si="1"/>
        <v>0</v>
      </c>
    </row>
    <row r="167">
      <c r="A167" s="15">
        <v>3175.0</v>
      </c>
      <c r="B167" s="15" t="s">
        <v>28</v>
      </c>
      <c r="C167" s="15">
        <f t="shared" si="1"/>
        <v>0</v>
      </c>
    </row>
    <row r="168">
      <c r="A168" s="15">
        <v>3175.0</v>
      </c>
      <c r="B168" s="15" t="s">
        <v>39</v>
      </c>
      <c r="C168" s="15">
        <f t="shared" si="1"/>
        <v>0</v>
      </c>
    </row>
    <row r="169">
      <c r="A169" s="15">
        <v>3175.0</v>
      </c>
      <c r="B169" s="15" t="s">
        <v>28</v>
      </c>
      <c r="C169" s="15">
        <f t="shared" si="1"/>
        <v>0</v>
      </c>
    </row>
    <row r="170">
      <c r="A170" s="15">
        <v>3175.0</v>
      </c>
      <c r="B170" s="15" t="s">
        <v>39</v>
      </c>
      <c r="C170" s="15">
        <f t="shared" si="1"/>
        <v>0</v>
      </c>
    </row>
    <row r="171">
      <c r="A171" s="15">
        <v>3175.0</v>
      </c>
      <c r="B171" s="15" t="s">
        <v>39</v>
      </c>
      <c r="C171" s="15">
        <f t="shared" si="1"/>
        <v>0</v>
      </c>
    </row>
    <row r="172">
      <c r="A172" s="15">
        <v>3175.0</v>
      </c>
      <c r="B172" s="15" t="s">
        <v>39</v>
      </c>
      <c r="C172" s="15">
        <f t="shared" si="1"/>
        <v>0</v>
      </c>
    </row>
    <row r="173">
      <c r="A173" s="15">
        <v>3175.0</v>
      </c>
      <c r="B173" s="15" t="s">
        <v>39</v>
      </c>
      <c r="C173" s="15">
        <f t="shared" si="1"/>
        <v>0</v>
      </c>
    </row>
    <row r="174">
      <c r="A174" s="15">
        <v>3176.0</v>
      </c>
      <c r="B174" s="15" t="s">
        <v>39</v>
      </c>
      <c r="C174" s="15">
        <f t="shared" si="1"/>
        <v>0</v>
      </c>
    </row>
    <row r="175">
      <c r="A175" s="15">
        <v>3176.0</v>
      </c>
      <c r="B175" s="15" t="s">
        <v>39</v>
      </c>
      <c r="C175" s="15">
        <f t="shared" si="1"/>
        <v>0</v>
      </c>
    </row>
    <row r="176">
      <c r="A176" s="15">
        <v>3176.0</v>
      </c>
      <c r="B176" s="15" t="s">
        <v>32</v>
      </c>
      <c r="C176" s="15">
        <f t="shared" si="1"/>
        <v>4</v>
      </c>
    </row>
    <row r="177">
      <c r="A177" s="15">
        <v>3176.0</v>
      </c>
      <c r="B177" s="15" t="s">
        <v>28</v>
      </c>
      <c r="C177" s="15">
        <f t="shared" si="1"/>
        <v>0</v>
      </c>
    </row>
    <row r="178">
      <c r="A178" s="15">
        <v>3176.0</v>
      </c>
      <c r="B178" s="15" t="s">
        <v>32</v>
      </c>
      <c r="C178" s="15">
        <f t="shared" si="1"/>
        <v>4</v>
      </c>
    </row>
    <row r="179">
      <c r="A179" s="15">
        <v>3176.0</v>
      </c>
      <c r="B179" s="15" t="s">
        <v>39</v>
      </c>
      <c r="C179" s="15">
        <f t="shared" si="1"/>
        <v>0</v>
      </c>
    </row>
    <row r="180">
      <c r="A180" s="15">
        <v>3176.0</v>
      </c>
      <c r="B180" s="15" t="s">
        <v>32</v>
      </c>
      <c r="C180" s="15">
        <f t="shared" si="1"/>
        <v>4</v>
      </c>
    </row>
    <row r="181">
      <c r="A181" s="15">
        <v>3176.0</v>
      </c>
      <c r="B181" s="15" t="s">
        <v>39</v>
      </c>
      <c r="C181" s="15">
        <f t="shared" si="1"/>
        <v>0</v>
      </c>
    </row>
    <row r="182">
      <c r="A182" s="15">
        <v>325.0</v>
      </c>
      <c r="B182" s="15" t="s">
        <v>39</v>
      </c>
      <c r="C182" s="15">
        <f t="shared" si="1"/>
        <v>0</v>
      </c>
    </row>
    <row r="183">
      <c r="A183" s="15">
        <v>325.0</v>
      </c>
      <c r="B183" s="15" t="s">
        <v>39</v>
      </c>
      <c r="C183" s="15">
        <f t="shared" si="1"/>
        <v>0</v>
      </c>
    </row>
    <row r="184">
      <c r="A184" s="15">
        <v>325.0</v>
      </c>
      <c r="B184" s="15" t="s">
        <v>39</v>
      </c>
      <c r="C184" s="15">
        <f t="shared" si="1"/>
        <v>0</v>
      </c>
    </row>
    <row r="185">
      <c r="A185" s="15">
        <v>325.0</v>
      </c>
      <c r="B185" s="15" t="s">
        <v>39</v>
      </c>
      <c r="C185" s="15">
        <f t="shared" si="1"/>
        <v>0</v>
      </c>
    </row>
    <row r="186">
      <c r="A186" s="15">
        <v>325.0</v>
      </c>
      <c r="B186" s="15" t="s">
        <v>39</v>
      </c>
      <c r="C186" s="15">
        <f t="shared" si="1"/>
        <v>0</v>
      </c>
    </row>
    <row r="187">
      <c r="A187" s="15">
        <v>325.0</v>
      </c>
      <c r="B187" s="15" t="s">
        <v>32</v>
      </c>
      <c r="C187" s="15">
        <f t="shared" si="1"/>
        <v>4</v>
      </c>
    </row>
    <row r="188">
      <c r="A188" s="15">
        <v>325.0</v>
      </c>
      <c r="B188" s="15" t="s">
        <v>39</v>
      </c>
      <c r="C188" s="15">
        <f t="shared" si="1"/>
        <v>0</v>
      </c>
    </row>
    <row r="189">
      <c r="A189" s="15">
        <v>3357.0</v>
      </c>
      <c r="B189" s="15" t="s">
        <v>34</v>
      </c>
      <c r="C189" s="15">
        <f t="shared" si="1"/>
        <v>15</v>
      </c>
    </row>
    <row r="190">
      <c r="A190" s="15">
        <v>3357.0</v>
      </c>
      <c r="B190" s="15" t="s">
        <v>39</v>
      </c>
      <c r="C190" s="15">
        <f t="shared" si="1"/>
        <v>0</v>
      </c>
    </row>
    <row r="191">
      <c r="A191" s="15">
        <v>3357.0</v>
      </c>
      <c r="B191" s="15" t="s">
        <v>42</v>
      </c>
      <c r="C191" s="15">
        <f t="shared" si="1"/>
        <v>10</v>
      </c>
    </row>
    <row r="192">
      <c r="A192" s="15">
        <v>3357.0</v>
      </c>
      <c r="B192" s="15" t="s">
        <v>34</v>
      </c>
      <c r="C192" s="15">
        <f t="shared" si="1"/>
        <v>15</v>
      </c>
    </row>
    <row r="193">
      <c r="A193" s="15">
        <v>3357.0</v>
      </c>
      <c r="B193" s="15" t="s">
        <v>34</v>
      </c>
      <c r="C193" s="15">
        <f t="shared" si="1"/>
        <v>15</v>
      </c>
    </row>
    <row r="194">
      <c r="A194" s="15">
        <v>3357.0</v>
      </c>
      <c r="B194" s="15" t="s">
        <v>42</v>
      </c>
      <c r="C194" s="15">
        <f t="shared" si="1"/>
        <v>10</v>
      </c>
    </row>
    <row r="195">
      <c r="A195" s="15">
        <v>3357.0</v>
      </c>
      <c r="B195" s="15" t="s">
        <v>34</v>
      </c>
      <c r="C195" s="15">
        <f t="shared" si="1"/>
        <v>15</v>
      </c>
    </row>
    <row r="196">
      <c r="A196" s="15">
        <v>33.0</v>
      </c>
      <c r="B196" s="15" t="s">
        <v>34</v>
      </c>
      <c r="C196" s="15">
        <f t="shared" si="1"/>
        <v>15</v>
      </c>
    </row>
    <row r="197">
      <c r="A197" s="15">
        <v>33.0</v>
      </c>
      <c r="B197" s="15" t="s">
        <v>34</v>
      </c>
      <c r="C197" s="15">
        <f t="shared" si="1"/>
        <v>15</v>
      </c>
    </row>
    <row r="198">
      <c r="A198" s="15">
        <v>33.0</v>
      </c>
      <c r="B198" s="15" t="s">
        <v>39</v>
      </c>
      <c r="C198" s="15">
        <f t="shared" si="1"/>
        <v>0</v>
      </c>
    </row>
    <row r="199">
      <c r="A199" s="15">
        <v>33.0</v>
      </c>
      <c r="B199" s="15" t="s">
        <v>34</v>
      </c>
      <c r="C199" s="15">
        <f t="shared" si="1"/>
        <v>15</v>
      </c>
    </row>
    <row r="200">
      <c r="A200" s="15">
        <v>33.0</v>
      </c>
      <c r="B200" s="15" t="s">
        <v>39</v>
      </c>
      <c r="C200" s="15">
        <f t="shared" si="1"/>
        <v>0</v>
      </c>
    </row>
    <row r="201">
      <c r="A201" s="15">
        <v>33.0</v>
      </c>
      <c r="B201" s="15" t="s">
        <v>39</v>
      </c>
      <c r="C201" s="15">
        <f t="shared" si="1"/>
        <v>0</v>
      </c>
    </row>
    <row r="202">
      <c r="A202" s="15">
        <v>33.0</v>
      </c>
      <c r="B202" s="15" t="s">
        <v>39</v>
      </c>
      <c r="C202" s="15">
        <f t="shared" si="1"/>
        <v>0</v>
      </c>
    </row>
    <row r="203">
      <c r="A203" s="15">
        <v>340.0</v>
      </c>
      <c r="B203" s="15" t="s">
        <v>39</v>
      </c>
      <c r="C203" s="15">
        <f t="shared" si="1"/>
        <v>0</v>
      </c>
    </row>
    <row r="204">
      <c r="A204" s="15">
        <v>340.0</v>
      </c>
      <c r="B204" s="15" t="s">
        <v>39</v>
      </c>
      <c r="C204" s="15">
        <f t="shared" si="1"/>
        <v>0</v>
      </c>
    </row>
    <row r="205">
      <c r="A205" s="15">
        <v>340.0</v>
      </c>
      <c r="B205" s="15" t="s">
        <v>34</v>
      </c>
      <c r="C205" s="15">
        <f t="shared" si="1"/>
        <v>15</v>
      </c>
    </row>
    <row r="206">
      <c r="A206" s="15">
        <v>340.0</v>
      </c>
      <c r="B206" s="15" t="s">
        <v>34</v>
      </c>
      <c r="C206" s="15">
        <f t="shared" si="1"/>
        <v>15</v>
      </c>
    </row>
    <row r="207">
      <c r="A207" s="15">
        <v>340.0</v>
      </c>
      <c r="B207" s="15" t="s">
        <v>34</v>
      </c>
      <c r="C207" s="15">
        <f t="shared" si="1"/>
        <v>15</v>
      </c>
    </row>
    <row r="208">
      <c r="A208" s="15">
        <v>340.0</v>
      </c>
      <c r="B208" s="15" t="s">
        <v>39</v>
      </c>
      <c r="C208" s="15">
        <f t="shared" si="1"/>
        <v>0</v>
      </c>
    </row>
    <row r="209">
      <c r="A209" s="15">
        <v>340.0</v>
      </c>
      <c r="B209" s="15" t="s">
        <v>34</v>
      </c>
      <c r="C209" s="15">
        <f t="shared" si="1"/>
        <v>15</v>
      </c>
    </row>
    <row r="210">
      <c r="A210" s="15">
        <v>340.0</v>
      </c>
      <c r="B210" s="15" t="s">
        <v>42</v>
      </c>
      <c r="C210" s="15">
        <f t="shared" si="1"/>
        <v>10</v>
      </c>
    </row>
    <row r="211">
      <c r="A211" s="15">
        <v>3538.0</v>
      </c>
      <c r="B211" s="15" t="s">
        <v>34</v>
      </c>
      <c r="C211" s="15">
        <f t="shared" si="1"/>
        <v>15</v>
      </c>
    </row>
    <row r="212">
      <c r="A212" s="15">
        <v>3538.0</v>
      </c>
      <c r="B212" s="15" t="s">
        <v>39</v>
      </c>
      <c r="C212" s="15">
        <f t="shared" si="1"/>
        <v>0</v>
      </c>
    </row>
    <row r="213">
      <c r="A213" s="15">
        <v>3538.0</v>
      </c>
      <c r="B213" s="15" t="s">
        <v>34</v>
      </c>
      <c r="C213" s="15">
        <f t="shared" si="1"/>
        <v>15</v>
      </c>
    </row>
    <row r="214">
      <c r="A214" s="15">
        <v>3538.0</v>
      </c>
      <c r="B214" s="15" t="s">
        <v>34</v>
      </c>
      <c r="C214" s="15">
        <f t="shared" si="1"/>
        <v>15</v>
      </c>
    </row>
    <row r="215">
      <c r="A215" s="15">
        <v>3538.0</v>
      </c>
      <c r="B215" s="15" t="s">
        <v>34</v>
      </c>
      <c r="C215" s="15">
        <f t="shared" si="1"/>
        <v>15</v>
      </c>
    </row>
    <row r="216">
      <c r="A216" s="15">
        <v>3538.0</v>
      </c>
      <c r="B216" s="15" t="s">
        <v>34</v>
      </c>
      <c r="C216" s="15">
        <f t="shared" si="1"/>
        <v>15</v>
      </c>
    </row>
    <row r="217">
      <c r="A217" s="15">
        <v>3940.0</v>
      </c>
      <c r="B217" s="15" t="s">
        <v>34</v>
      </c>
      <c r="C217" s="15">
        <f t="shared" si="1"/>
        <v>15</v>
      </c>
    </row>
    <row r="218">
      <c r="A218" s="15">
        <v>3940.0</v>
      </c>
      <c r="B218" s="15" t="s">
        <v>34</v>
      </c>
      <c r="C218" s="15">
        <f t="shared" si="1"/>
        <v>15</v>
      </c>
    </row>
    <row r="219">
      <c r="A219" s="15">
        <v>3940.0</v>
      </c>
      <c r="B219" s="15" t="s">
        <v>34</v>
      </c>
      <c r="C219" s="15">
        <f t="shared" si="1"/>
        <v>15</v>
      </c>
    </row>
    <row r="220">
      <c r="A220" s="15">
        <v>3940.0</v>
      </c>
      <c r="B220" s="15" t="s">
        <v>42</v>
      </c>
      <c r="C220" s="15">
        <f t="shared" si="1"/>
        <v>10</v>
      </c>
    </row>
    <row r="221">
      <c r="A221" s="15">
        <v>3940.0</v>
      </c>
      <c r="B221" s="15" t="s">
        <v>42</v>
      </c>
      <c r="C221" s="15">
        <f t="shared" si="1"/>
        <v>10</v>
      </c>
    </row>
    <row r="222">
      <c r="A222" s="15">
        <v>3940.0</v>
      </c>
      <c r="B222" s="15" t="s">
        <v>34</v>
      </c>
      <c r="C222" s="15">
        <f t="shared" si="1"/>
        <v>15</v>
      </c>
    </row>
    <row r="223">
      <c r="A223" s="15">
        <v>3940.0</v>
      </c>
      <c r="B223" s="15" t="s">
        <v>34</v>
      </c>
      <c r="C223" s="15">
        <f t="shared" si="1"/>
        <v>15</v>
      </c>
    </row>
    <row r="224">
      <c r="A224" s="15">
        <v>4028.0</v>
      </c>
      <c r="B224" s="15" t="s">
        <v>18</v>
      </c>
      <c r="C224" s="15">
        <f t="shared" si="1"/>
        <v>6</v>
      </c>
    </row>
    <row r="225">
      <c r="A225" s="15">
        <v>4028.0</v>
      </c>
      <c r="B225" s="15" t="s">
        <v>39</v>
      </c>
      <c r="C225" s="15">
        <f t="shared" si="1"/>
        <v>0</v>
      </c>
    </row>
    <row r="226">
      <c r="A226" s="15">
        <v>4028.0</v>
      </c>
      <c r="B226" s="15" t="s">
        <v>18</v>
      </c>
      <c r="C226" s="15">
        <f t="shared" si="1"/>
        <v>6</v>
      </c>
    </row>
    <row r="227">
      <c r="A227" s="15">
        <v>4028.0</v>
      </c>
      <c r="B227" s="15" t="s">
        <v>39</v>
      </c>
      <c r="C227" s="15">
        <f t="shared" si="1"/>
        <v>0</v>
      </c>
    </row>
    <row r="228">
      <c r="A228" s="15">
        <v>4028.0</v>
      </c>
      <c r="B228" s="15" t="s">
        <v>34</v>
      </c>
      <c r="C228" s="15">
        <f t="shared" si="1"/>
        <v>15</v>
      </c>
    </row>
    <row r="229">
      <c r="A229" s="15">
        <v>4028.0</v>
      </c>
      <c r="B229" s="15" t="s">
        <v>42</v>
      </c>
      <c r="C229" s="15">
        <f t="shared" si="1"/>
        <v>10</v>
      </c>
    </row>
    <row r="230">
      <c r="A230" s="15">
        <v>4028.0</v>
      </c>
      <c r="B230" s="15" t="s">
        <v>34</v>
      </c>
      <c r="C230" s="15">
        <f t="shared" si="1"/>
        <v>15</v>
      </c>
    </row>
    <row r="231">
      <c r="A231" s="15">
        <v>4099.0</v>
      </c>
      <c r="B231" s="15" t="s">
        <v>34</v>
      </c>
      <c r="C231" s="15">
        <f t="shared" si="1"/>
        <v>15</v>
      </c>
    </row>
    <row r="232">
      <c r="A232" s="15">
        <v>4099.0</v>
      </c>
      <c r="B232" s="15" t="s">
        <v>34</v>
      </c>
      <c r="C232" s="15">
        <f t="shared" si="1"/>
        <v>15</v>
      </c>
    </row>
    <row r="233">
      <c r="A233" s="15">
        <v>4099.0</v>
      </c>
      <c r="B233" s="15" t="s">
        <v>34</v>
      </c>
      <c r="C233" s="15">
        <f t="shared" si="1"/>
        <v>15</v>
      </c>
    </row>
    <row r="234">
      <c r="A234" s="15">
        <v>4099.0</v>
      </c>
      <c r="B234" s="15" t="s">
        <v>34</v>
      </c>
      <c r="C234" s="15">
        <f t="shared" si="1"/>
        <v>15</v>
      </c>
    </row>
    <row r="235">
      <c r="A235" s="15">
        <v>4099.0</v>
      </c>
      <c r="B235" s="15" t="s">
        <v>39</v>
      </c>
      <c r="C235" s="15">
        <f t="shared" si="1"/>
        <v>0</v>
      </c>
    </row>
    <row r="236">
      <c r="A236" s="15">
        <v>4099.0</v>
      </c>
      <c r="B236" s="15" t="s">
        <v>34</v>
      </c>
      <c r="C236" s="15">
        <f t="shared" si="1"/>
        <v>15</v>
      </c>
    </row>
    <row r="237">
      <c r="A237" s="15">
        <v>4099.0</v>
      </c>
      <c r="B237" s="15" t="s">
        <v>34</v>
      </c>
      <c r="C237" s="15">
        <f t="shared" si="1"/>
        <v>15</v>
      </c>
    </row>
    <row r="238">
      <c r="A238" s="15">
        <v>4143.0</v>
      </c>
      <c r="B238" s="15" t="s">
        <v>18</v>
      </c>
      <c r="C238" s="15">
        <f t="shared" si="1"/>
        <v>6</v>
      </c>
    </row>
    <row r="239">
      <c r="A239" s="15">
        <v>4143.0</v>
      </c>
      <c r="B239" s="15" t="s">
        <v>39</v>
      </c>
      <c r="C239" s="15">
        <f t="shared" si="1"/>
        <v>0</v>
      </c>
    </row>
    <row r="240">
      <c r="A240" s="15">
        <v>4143.0</v>
      </c>
      <c r="B240" s="15" t="s">
        <v>34</v>
      </c>
      <c r="C240" s="15">
        <f t="shared" si="1"/>
        <v>15</v>
      </c>
    </row>
    <row r="241">
      <c r="A241" s="15">
        <v>4143.0</v>
      </c>
      <c r="B241" s="15" t="s">
        <v>42</v>
      </c>
      <c r="C241" s="15">
        <f t="shared" si="1"/>
        <v>10</v>
      </c>
    </row>
    <row r="242">
      <c r="A242" s="15">
        <v>4143.0</v>
      </c>
      <c r="B242" s="15" t="s">
        <v>42</v>
      </c>
      <c r="C242" s="15">
        <f t="shared" si="1"/>
        <v>10</v>
      </c>
    </row>
    <row r="243">
      <c r="A243" s="15">
        <v>4143.0</v>
      </c>
      <c r="B243" s="15" t="s">
        <v>39</v>
      </c>
      <c r="C243" s="15">
        <f t="shared" si="1"/>
        <v>0</v>
      </c>
    </row>
    <row r="244">
      <c r="A244" s="15">
        <v>4143.0</v>
      </c>
      <c r="B244" s="15" t="s">
        <v>34</v>
      </c>
      <c r="C244" s="15">
        <f t="shared" si="1"/>
        <v>15</v>
      </c>
    </row>
    <row r="245">
      <c r="A245" s="15">
        <v>4143.0</v>
      </c>
      <c r="B245" s="15" t="s">
        <v>18</v>
      </c>
      <c r="C245" s="15">
        <f t="shared" si="1"/>
        <v>6</v>
      </c>
    </row>
    <row r="246">
      <c r="A246" s="15">
        <v>4265.0</v>
      </c>
      <c r="B246" s="15" t="s">
        <v>39</v>
      </c>
      <c r="C246" s="15">
        <f t="shared" si="1"/>
        <v>0</v>
      </c>
    </row>
    <row r="247">
      <c r="A247" s="15">
        <v>4265.0</v>
      </c>
      <c r="B247" s="15" t="s">
        <v>18</v>
      </c>
      <c r="C247" s="15">
        <f t="shared" si="1"/>
        <v>6</v>
      </c>
    </row>
    <row r="248">
      <c r="A248" s="15">
        <v>4265.0</v>
      </c>
      <c r="B248" s="15" t="s">
        <v>39</v>
      </c>
      <c r="C248" s="15">
        <f t="shared" si="1"/>
        <v>0</v>
      </c>
    </row>
    <row r="249">
      <c r="A249" s="15">
        <v>4265.0</v>
      </c>
      <c r="B249" s="15" t="s">
        <v>39</v>
      </c>
      <c r="C249" s="15">
        <f t="shared" si="1"/>
        <v>0</v>
      </c>
    </row>
    <row r="250">
      <c r="A250" s="15">
        <v>4265.0</v>
      </c>
      <c r="B250" s="15" t="s">
        <v>39</v>
      </c>
      <c r="C250" s="15">
        <f t="shared" si="1"/>
        <v>0</v>
      </c>
    </row>
    <row r="251">
      <c r="A251" s="15">
        <v>4265.0</v>
      </c>
      <c r="B251" s="15" t="s">
        <v>39</v>
      </c>
      <c r="C251" s="15">
        <f t="shared" si="1"/>
        <v>0</v>
      </c>
    </row>
    <row r="252">
      <c r="A252" s="15">
        <v>4265.0</v>
      </c>
      <c r="B252" s="15" t="s">
        <v>18</v>
      </c>
      <c r="C252" s="15">
        <f t="shared" si="1"/>
        <v>6</v>
      </c>
    </row>
    <row r="253">
      <c r="A253" s="15">
        <v>4499.0</v>
      </c>
      <c r="B253" s="15" t="s">
        <v>34</v>
      </c>
      <c r="C253" s="15">
        <f t="shared" si="1"/>
        <v>15</v>
      </c>
    </row>
    <row r="254">
      <c r="A254" s="15">
        <v>4499.0</v>
      </c>
      <c r="B254" s="15" t="s">
        <v>34</v>
      </c>
      <c r="C254" s="15">
        <f t="shared" si="1"/>
        <v>15</v>
      </c>
    </row>
    <row r="255">
      <c r="A255" s="15">
        <v>4499.0</v>
      </c>
      <c r="B255" s="15" t="s">
        <v>34</v>
      </c>
      <c r="C255" s="15">
        <f t="shared" si="1"/>
        <v>15</v>
      </c>
    </row>
    <row r="256">
      <c r="A256" s="15">
        <v>4499.0</v>
      </c>
      <c r="B256" s="15" t="s">
        <v>34</v>
      </c>
      <c r="C256" s="15">
        <f t="shared" si="1"/>
        <v>15</v>
      </c>
    </row>
    <row r="257">
      <c r="A257" s="15">
        <v>4499.0</v>
      </c>
      <c r="B257" s="15" t="s">
        <v>34</v>
      </c>
      <c r="C257" s="15">
        <f t="shared" si="1"/>
        <v>15</v>
      </c>
    </row>
    <row r="258">
      <c r="A258" s="15">
        <v>4499.0</v>
      </c>
      <c r="B258" s="15" t="s">
        <v>34</v>
      </c>
      <c r="C258" s="15">
        <f t="shared" si="1"/>
        <v>15</v>
      </c>
    </row>
    <row r="259">
      <c r="A259" s="15">
        <v>4499.0</v>
      </c>
      <c r="B259" s="15" t="s">
        <v>34</v>
      </c>
      <c r="C259" s="15">
        <f t="shared" si="1"/>
        <v>15</v>
      </c>
    </row>
    <row r="260">
      <c r="A260" s="15">
        <v>4499.0</v>
      </c>
      <c r="B260" s="15" t="s">
        <v>34</v>
      </c>
      <c r="C260" s="15">
        <f t="shared" si="1"/>
        <v>15</v>
      </c>
    </row>
    <row r="261">
      <c r="A261" s="15">
        <v>4635.0</v>
      </c>
      <c r="B261" s="15" t="s">
        <v>42</v>
      </c>
      <c r="C261" s="15">
        <f t="shared" si="1"/>
        <v>10</v>
      </c>
    </row>
    <row r="262">
      <c r="A262" s="15">
        <v>4635.0</v>
      </c>
      <c r="B262" s="15" t="s">
        <v>39</v>
      </c>
      <c r="C262" s="15">
        <f t="shared" si="1"/>
        <v>0</v>
      </c>
    </row>
    <row r="263">
      <c r="A263" s="15">
        <v>4635.0</v>
      </c>
      <c r="B263" s="15" t="s">
        <v>39</v>
      </c>
      <c r="C263" s="15">
        <f t="shared" si="1"/>
        <v>0</v>
      </c>
    </row>
    <row r="264">
      <c r="A264" s="15">
        <v>4635.0</v>
      </c>
      <c r="B264" s="15" t="s">
        <v>39</v>
      </c>
      <c r="C264" s="15">
        <f t="shared" si="1"/>
        <v>0</v>
      </c>
    </row>
    <row r="265">
      <c r="A265" s="15">
        <v>4635.0</v>
      </c>
      <c r="B265" s="15" t="s">
        <v>39</v>
      </c>
      <c r="C265" s="15">
        <f t="shared" si="1"/>
        <v>0</v>
      </c>
    </row>
    <row r="266">
      <c r="A266" s="15">
        <v>4635.0</v>
      </c>
      <c r="B266" s="15" t="s">
        <v>28</v>
      </c>
      <c r="C266" s="15">
        <f t="shared" si="1"/>
        <v>0</v>
      </c>
    </row>
    <row r="267">
      <c r="A267" s="15">
        <v>4635.0</v>
      </c>
      <c r="B267" s="15" t="s">
        <v>34</v>
      </c>
      <c r="C267" s="15">
        <f t="shared" si="1"/>
        <v>15</v>
      </c>
    </row>
    <row r="268">
      <c r="A268" s="15">
        <v>4926.0</v>
      </c>
      <c r="B268" s="15" t="s">
        <v>42</v>
      </c>
      <c r="C268" s="15">
        <f t="shared" si="1"/>
        <v>10</v>
      </c>
    </row>
    <row r="269">
      <c r="A269" s="15">
        <v>4926.0</v>
      </c>
      <c r="B269" s="15" t="s">
        <v>34</v>
      </c>
      <c r="C269" s="15">
        <f t="shared" si="1"/>
        <v>15</v>
      </c>
    </row>
    <row r="270">
      <c r="A270" s="15">
        <v>4926.0</v>
      </c>
      <c r="B270" s="15" t="s">
        <v>34</v>
      </c>
      <c r="C270" s="15">
        <f t="shared" si="1"/>
        <v>15</v>
      </c>
    </row>
    <row r="271">
      <c r="A271" s="15">
        <v>4926.0</v>
      </c>
      <c r="B271" s="15" t="s">
        <v>42</v>
      </c>
      <c r="C271" s="15">
        <f t="shared" si="1"/>
        <v>10</v>
      </c>
    </row>
    <row r="272">
      <c r="A272" s="15">
        <v>4926.0</v>
      </c>
      <c r="B272" s="15" t="s">
        <v>34</v>
      </c>
      <c r="C272" s="15">
        <f t="shared" si="1"/>
        <v>15</v>
      </c>
    </row>
    <row r="273">
      <c r="A273" s="15">
        <v>4926.0</v>
      </c>
      <c r="B273" s="15" t="s">
        <v>42</v>
      </c>
      <c r="C273" s="15">
        <f t="shared" si="1"/>
        <v>10</v>
      </c>
    </row>
    <row r="274">
      <c r="A274" s="15">
        <v>4926.0</v>
      </c>
      <c r="B274" s="15" t="s">
        <v>34</v>
      </c>
      <c r="C274" s="15">
        <f t="shared" si="1"/>
        <v>15</v>
      </c>
    </row>
    <row r="275">
      <c r="A275" s="15">
        <v>5010.0</v>
      </c>
      <c r="B275" s="15" t="s">
        <v>34</v>
      </c>
      <c r="C275" s="15">
        <f t="shared" si="1"/>
        <v>15</v>
      </c>
    </row>
    <row r="276">
      <c r="A276" s="15">
        <v>5010.0</v>
      </c>
      <c r="B276" s="15" t="s">
        <v>42</v>
      </c>
      <c r="C276" s="15">
        <f t="shared" si="1"/>
        <v>10</v>
      </c>
    </row>
    <row r="277">
      <c r="A277" s="15">
        <v>5010.0</v>
      </c>
      <c r="B277" s="15" t="s">
        <v>18</v>
      </c>
      <c r="C277" s="15">
        <f t="shared" si="1"/>
        <v>6</v>
      </c>
    </row>
    <row r="278">
      <c r="A278" s="15">
        <v>5010.0</v>
      </c>
      <c r="B278" s="15" t="s">
        <v>39</v>
      </c>
      <c r="C278" s="15">
        <f t="shared" si="1"/>
        <v>0</v>
      </c>
    </row>
    <row r="279">
      <c r="A279" s="15">
        <v>5010.0</v>
      </c>
      <c r="B279" s="15" t="s">
        <v>18</v>
      </c>
      <c r="C279" s="15">
        <f t="shared" si="1"/>
        <v>6</v>
      </c>
    </row>
    <row r="280">
      <c r="A280" s="15">
        <v>5010.0</v>
      </c>
      <c r="B280" s="15" t="s">
        <v>34</v>
      </c>
      <c r="C280" s="15">
        <f t="shared" si="1"/>
        <v>15</v>
      </c>
    </row>
    <row r="281">
      <c r="A281" s="15">
        <v>5010.0</v>
      </c>
      <c r="B281" s="15" t="s">
        <v>34</v>
      </c>
      <c r="C281" s="15">
        <f t="shared" si="1"/>
        <v>15</v>
      </c>
    </row>
    <row r="282">
      <c r="A282" s="15">
        <v>503.0</v>
      </c>
      <c r="B282" s="15" t="s">
        <v>34</v>
      </c>
      <c r="C282" s="15">
        <f t="shared" si="1"/>
        <v>15</v>
      </c>
    </row>
    <row r="283">
      <c r="A283" s="15">
        <v>503.0</v>
      </c>
      <c r="B283" s="15" t="s">
        <v>34</v>
      </c>
      <c r="C283" s="15">
        <f t="shared" si="1"/>
        <v>15</v>
      </c>
    </row>
    <row r="284">
      <c r="A284" s="15">
        <v>503.0</v>
      </c>
      <c r="B284" s="15" t="s">
        <v>34</v>
      </c>
      <c r="C284" s="15">
        <f t="shared" si="1"/>
        <v>15</v>
      </c>
    </row>
    <row r="285">
      <c r="A285" s="15">
        <v>503.0</v>
      </c>
      <c r="B285" s="15" t="s">
        <v>39</v>
      </c>
      <c r="C285" s="15">
        <f t="shared" si="1"/>
        <v>0</v>
      </c>
    </row>
    <row r="286">
      <c r="A286" s="15">
        <v>503.0</v>
      </c>
      <c r="B286" s="15" t="s">
        <v>34</v>
      </c>
      <c r="C286" s="15">
        <f t="shared" si="1"/>
        <v>15</v>
      </c>
    </row>
    <row r="287">
      <c r="A287" s="15">
        <v>503.0</v>
      </c>
      <c r="B287" s="15" t="s">
        <v>28</v>
      </c>
      <c r="C287" s="15">
        <f t="shared" si="1"/>
        <v>0</v>
      </c>
    </row>
    <row r="288">
      <c r="A288" s="15">
        <v>503.0</v>
      </c>
      <c r="B288" s="15" t="s">
        <v>18</v>
      </c>
      <c r="C288" s="15">
        <f t="shared" si="1"/>
        <v>6</v>
      </c>
    </row>
    <row r="289">
      <c r="A289" s="15">
        <v>5406.0</v>
      </c>
      <c r="B289" s="15" t="s">
        <v>34</v>
      </c>
      <c r="C289" s="15">
        <f t="shared" si="1"/>
        <v>15</v>
      </c>
    </row>
    <row r="290">
      <c r="A290" s="15">
        <v>5406.0</v>
      </c>
      <c r="B290" s="15" t="s">
        <v>39</v>
      </c>
      <c r="C290" s="15">
        <f t="shared" si="1"/>
        <v>0</v>
      </c>
    </row>
    <row r="291">
      <c r="A291" s="15">
        <v>5406.0</v>
      </c>
      <c r="B291" s="15" t="s">
        <v>39</v>
      </c>
      <c r="C291" s="15">
        <f t="shared" si="1"/>
        <v>0</v>
      </c>
    </row>
    <row r="292">
      <c r="A292" s="15">
        <v>5406.0</v>
      </c>
      <c r="B292" s="15" t="s">
        <v>34</v>
      </c>
      <c r="C292" s="15">
        <f t="shared" si="1"/>
        <v>15</v>
      </c>
    </row>
    <row r="293">
      <c r="A293" s="15">
        <v>5406.0</v>
      </c>
      <c r="B293" s="15" t="s">
        <v>34</v>
      </c>
      <c r="C293" s="15">
        <f t="shared" si="1"/>
        <v>15</v>
      </c>
    </row>
    <row r="294">
      <c r="A294" s="15">
        <v>5406.0</v>
      </c>
      <c r="B294" s="15" t="s">
        <v>39</v>
      </c>
      <c r="C294" s="15">
        <f t="shared" si="1"/>
        <v>0</v>
      </c>
    </row>
    <row r="295">
      <c r="A295" s="15">
        <v>5406.0</v>
      </c>
      <c r="B295" s="15" t="s">
        <v>39</v>
      </c>
      <c r="C295" s="15">
        <f t="shared" si="1"/>
        <v>0</v>
      </c>
    </row>
    <row r="296">
      <c r="A296" s="15">
        <v>5484.0</v>
      </c>
      <c r="B296" s="15" t="s">
        <v>34</v>
      </c>
      <c r="C296" s="15">
        <f t="shared" si="1"/>
        <v>15</v>
      </c>
    </row>
    <row r="297">
      <c r="A297" s="15">
        <v>5484.0</v>
      </c>
      <c r="B297" s="15" t="s">
        <v>34</v>
      </c>
      <c r="C297" s="15">
        <f t="shared" si="1"/>
        <v>15</v>
      </c>
    </row>
    <row r="298">
      <c r="A298" s="15">
        <v>5484.0</v>
      </c>
      <c r="B298" s="15" t="s">
        <v>34</v>
      </c>
      <c r="C298" s="15">
        <f t="shared" si="1"/>
        <v>15</v>
      </c>
    </row>
    <row r="299">
      <c r="A299" s="15">
        <v>5484.0</v>
      </c>
      <c r="B299" s="15" t="s">
        <v>34</v>
      </c>
      <c r="C299" s="15">
        <f t="shared" si="1"/>
        <v>15</v>
      </c>
    </row>
    <row r="300">
      <c r="A300" s="15">
        <v>5484.0</v>
      </c>
      <c r="B300" s="15" t="s">
        <v>18</v>
      </c>
      <c r="C300" s="15">
        <f t="shared" si="1"/>
        <v>6</v>
      </c>
    </row>
    <row r="301">
      <c r="A301" s="15">
        <v>5484.0</v>
      </c>
      <c r="B301" s="15" t="s">
        <v>39</v>
      </c>
      <c r="C301" s="15">
        <f t="shared" si="1"/>
        <v>0</v>
      </c>
    </row>
    <row r="302">
      <c r="A302" s="15">
        <v>5484.0</v>
      </c>
      <c r="B302" s="15" t="s">
        <v>34</v>
      </c>
      <c r="C302" s="15">
        <f t="shared" si="1"/>
        <v>15</v>
      </c>
    </row>
    <row r="303">
      <c r="A303" s="15">
        <v>5484.0</v>
      </c>
      <c r="B303" s="15" t="s">
        <v>34</v>
      </c>
      <c r="C303" s="15">
        <f t="shared" si="1"/>
        <v>15</v>
      </c>
    </row>
    <row r="304">
      <c r="A304" s="15">
        <v>5712.0</v>
      </c>
      <c r="B304" s="15" t="s">
        <v>39</v>
      </c>
      <c r="C304" s="15">
        <f t="shared" si="1"/>
        <v>0</v>
      </c>
    </row>
    <row r="305">
      <c r="A305" s="15">
        <v>5712.0</v>
      </c>
      <c r="B305" s="15" t="s">
        <v>34</v>
      </c>
      <c r="C305" s="15">
        <f t="shared" si="1"/>
        <v>15</v>
      </c>
    </row>
    <row r="306">
      <c r="A306" s="15">
        <v>5712.0</v>
      </c>
      <c r="B306" s="15" t="s">
        <v>34</v>
      </c>
      <c r="C306" s="15">
        <f t="shared" si="1"/>
        <v>15</v>
      </c>
    </row>
    <row r="307">
      <c r="A307" s="15">
        <v>5712.0</v>
      </c>
      <c r="B307" s="15" t="s">
        <v>34</v>
      </c>
      <c r="C307" s="15">
        <f t="shared" si="1"/>
        <v>15</v>
      </c>
    </row>
    <row r="308">
      <c r="A308" s="15">
        <v>5712.0</v>
      </c>
      <c r="B308" s="15" t="s">
        <v>34</v>
      </c>
      <c r="C308" s="15">
        <f t="shared" si="1"/>
        <v>15</v>
      </c>
    </row>
    <row r="309">
      <c r="A309" s="15">
        <v>5712.0</v>
      </c>
      <c r="B309" s="15" t="s">
        <v>34</v>
      </c>
      <c r="C309" s="15">
        <f t="shared" si="1"/>
        <v>15</v>
      </c>
    </row>
    <row r="310">
      <c r="A310" s="15">
        <v>5712.0</v>
      </c>
      <c r="B310" s="15" t="s">
        <v>34</v>
      </c>
      <c r="C310" s="15">
        <f t="shared" si="1"/>
        <v>15</v>
      </c>
    </row>
    <row r="311">
      <c r="A311" s="15">
        <v>5712.0</v>
      </c>
      <c r="B311" s="15" t="s">
        <v>42</v>
      </c>
      <c r="C311" s="15">
        <f t="shared" si="1"/>
        <v>10</v>
      </c>
    </row>
    <row r="312">
      <c r="A312" s="15">
        <v>587.0</v>
      </c>
      <c r="B312" s="15" t="s">
        <v>39</v>
      </c>
      <c r="C312" s="15">
        <f t="shared" si="1"/>
        <v>0</v>
      </c>
    </row>
    <row r="313">
      <c r="A313" s="15">
        <v>587.0</v>
      </c>
      <c r="B313" s="15" t="s">
        <v>34</v>
      </c>
      <c r="C313" s="15">
        <f t="shared" si="1"/>
        <v>15</v>
      </c>
    </row>
    <row r="314">
      <c r="A314" s="15">
        <v>587.0</v>
      </c>
      <c r="B314" s="15" t="s">
        <v>34</v>
      </c>
      <c r="C314" s="15">
        <f t="shared" si="1"/>
        <v>15</v>
      </c>
    </row>
    <row r="315">
      <c r="A315" s="15">
        <v>587.0</v>
      </c>
      <c r="B315" s="15" t="s">
        <v>34</v>
      </c>
      <c r="C315" s="15">
        <f t="shared" si="1"/>
        <v>15</v>
      </c>
    </row>
    <row r="316">
      <c r="A316" s="15">
        <v>587.0</v>
      </c>
      <c r="B316" s="15" t="s">
        <v>34</v>
      </c>
      <c r="C316" s="15">
        <f t="shared" si="1"/>
        <v>15</v>
      </c>
    </row>
    <row r="317">
      <c r="A317" s="15">
        <v>587.0</v>
      </c>
      <c r="B317" s="15" t="s">
        <v>34</v>
      </c>
      <c r="C317" s="15">
        <f t="shared" si="1"/>
        <v>15</v>
      </c>
    </row>
    <row r="318">
      <c r="A318" s="15">
        <v>587.0</v>
      </c>
      <c r="B318" s="15" t="s">
        <v>39</v>
      </c>
      <c r="C318" s="15">
        <f t="shared" si="1"/>
        <v>0</v>
      </c>
    </row>
    <row r="319">
      <c r="A319" s="15">
        <v>587.0</v>
      </c>
      <c r="B319" s="15" t="s">
        <v>39</v>
      </c>
      <c r="C319" s="15">
        <f t="shared" si="1"/>
        <v>0</v>
      </c>
    </row>
    <row r="320">
      <c r="A320" s="15">
        <v>624.0</v>
      </c>
      <c r="B320" s="15" t="s">
        <v>28</v>
      </c>
      <c r="C320" s="15">
        <f t="shared" si="1"/>
        <v>0</v>
      </c>
    </row>
    <row r="321">
      <c r="A321" s="15">
        <v>624.0</v>
      </c>
      <c r="B321" s="15" t="s">
        <v>39</v>
      </c>
      <c r="C321" s="15">
        <f t="shared" si="1"/>
        <v>0</v>
      </c>
    </row>
    <row r="322">
      <c r="A322" s="15">
        <v>624.0</v>
      </c>
      <c r="B322" s="15" t="s">
        <v>34</v>
      </c>
      <c r="C322" s="15">
        <f t="shared" si="1"/>
        <v>15</v>
      </c>
    </row>
    <row r="323">
      <c r="A323" s="15">
        <v>624.0</v>
      </c>
      <c r="B323" s="15" t="s">
        <v>28</v>
      </c>
      <c r="C323" s="15">
        <f t="shared" si="1"/>
        <v>0</v>
      </c>
    </row>
    <row r="324">
      <c r="A324" s="15">
        <v>624.0</v>
      </c>
      <c r="B324" s="15" t="s">
        <v>18</v>
      </c>
      <c r="C324" s="15">
        <f t="shared" si="1"/>
        <v>6</v>
      </c>
    </row>
    <row r="325">
      <c r="A325" s="15">
        <v>624.0</v>
      </c>
      <c r="B325" s="15" t="s">
        <v>28</v>
      </c>
      <c r="C325" s="15">
        <f t="shared" si="1"/>
        <v>0</v>
      </c>
    </row>
    <row r="326">
      <c r="A326" s="15">
        <v>624.0</v>
      </c>
      <c r="B326" s="15" t="s">
        <v>18</v>
      </c>
      <c r="C326" s="15">
        <f t="shared" si="1"/>
        <v>6</v>
      </c>
    </row>
    <row r="327">
      <c r="A327" s="15">
        <v>624.0</v>
      </c>
      <c r="B327" s="15" t="s">
        <v>18</v>
      </c>
      <c r="C327" s="15">
        <f t="shared" si="1"/>
        <v>6</v>
      </c>
    </row>
    <row r="328">
      <c r="A328" s="15">
        <v>67.0</v>
      </c>
      <c r="B328" s="15" t="s">
        <v>34</v>
      </c>
      <c r="C328" s="15">
        <f t="shared" si="1"/>
        <v>15</v>
      </c>
    </row>
    <row r="329">
      <c r="A329" s="15">
        <v>67.0</v>
      </c>
      <c r="B329" s="15" t="s">
        <v>34</v>
      </c>
      <c r="C329" s="15">
        <f t="shared" si="1"/>
        <v>15</v>
      </c>
    </row>
    <row r="330">
      <c r="A330" s="15">
        <v>67.0</v>
      </c>
      <c r="B330" s="15" t="s">
        <v>34</v>
      </c>
      <c r="C330" s="15">
        <f t="shared" si="1"/>
        <v>15</v>
      </c>
    </row>
    <row r="331">
      <c r="A331" s="15">
        <v>67.0</v>
      </c>
      <c r="B331" s="15" t="s">
        <v>34</v>
      </c>
      <c r="C331" s="15">
        <f t="shared" si="1"/>
        <v>15</v>
      </c>
    </row>
    <row r="332">
      <c r="A332" s="15">
        <v>67.0</v>
      </c>
      <c r="B332" s="15" t="s">
        <v>39</v>
      </c>
      <c r="C332" s="15">
        <f t="shared" si="1"/>
        <v>0</v>
      </c>
    </row>
    <row r="333">
      <c r="A333" s="15">
        <v>67.0</v>
      </c>
      <c r="B333" s="15" t="s">
        <v>28</v>
      </c>
      <c r="C333" s="15">
        <f t="shared" si="1"/>
        <v>0</v>
      </c>
    </row>
    <row r="334">
      <c r="A334" s="15">
        <v>67.0</v>
      </c>
      <c r="B334" s="15" t="s">
        <v>39</v>
      </c>
      <c r="C334" s="15">
        <f t="shared" si="1"/>
        <v>0</v>
      </c>
    </row>
    <row r="335">
      <c r="A335" s="15">
        <v>694.0</v>
      </c>
      <c r="B335" s="15" t="s">
        <v>42</v>
      </c>
      <c r="C335" s="15">
        <f t="shared" si="1"/>
        <v>10</v>
      </c>
    </row>
    <row r="336">
      <c r="A336" s="15">
        <v>694.0</v>
      </c>
      <c r="B336" s="15" t="s">
        <v>34</v>
      </c>
      <c r="C336" s="15">
        <f t="shared" si="1"/>
        <v>15</v>
      </c>
    </row>
    <row r="337">
      <c r="A337" s="15">
        <v>694.0</v>
      </c>
      <c r="B337" s="15" t="s">
        <v>34</v>
      </c>
      <c r="C337" s="15">
        <f t="shared" si="1"/>
        <v>15</v>
      </c>
    </row>
    <row r="338">
      <c r="A338" s="15">
        <v>694.0</v>
      </c>
      <c r="B338" s="15" t="s">
        <v>34</v>
      </c>
      <c r="C338" s="15">
        <f t="shared" si="1"/>
        <v>15</v>
      </c>
    </row>
    <row r="339">
      <c r="A339" s="15">
        <v>694.0</v>
      </c>
      <c r="B339" s="15" t="s">
        <v>42</v>
      </c>
      <c r="C339" s="15">
        <f t="shared" si="1"/>
        <v>10</v>
      </c>
    </row>
    <row r="340">
      <c r="A340" s="15">
        <v>694.0</v>
      </c>
      <c r="B340" s="15" t="s">
        <v>34</v>
      </c>
      <c r="C340" s="15">
        <f t="shared" si="1"/>
        <v>15</v>
      </c>
    </row>
    <row r="341">
      <c r="A341" s="15">
        <v>694.0</v>
      </c>
      <c r="B341" s="15" t="s">
        <v>34</v>
      </c>
      <c r="C341" s="15">
        <f t="shared" si="1"/>
        <v>15</v>
      </c>
    </row>
    <row r="342">
      <c r="A342" s="15">
        <v>694.0</v>
      </c>
      <c r="B342" s="15" t="s">
        <v>42</v>
      </c>
      <c r="C342" s="15">
        <f t="shared" si="1"/>
        <v>10</v>
      </c>
    </row>
    <row r="343">
      <c r="A343" s="15">
        <v>7457.0</v>
      </c>
      <c r="B343" s="15" t="s">
        <v>18</v>
      </c>
      <c r="C343" s="15">
        <f t="shared" si="1"/>
        <v>6</v>
      </c>
    </row>
    <row r="344">
      <c r="A344" s="15">
        <v>7457.0</v>
      </c>
      <c r="B344" s="15" t="s">
        <v>39</v>
      </c>
      <c r="C344" s="15">
        <f t="shared" si="1"/>
        <v>0</v>
      </c>
    </row>
    <row r="345">
      <c r="A345" s="15">
        <v>7457.0</v>
      </c>
      <c r="B345" s="15" t="s">
        <v>34</v>
      </c>
      <c r="C345" s="15">
        <f t="shared" si="1"/>
        <v>15</v>
      </c>
    </row>
    <row r="346">
      <c r="A346" s="15">
        <v>7457.0</v>
      </c>
      <c r="B346" s="15" t="s">
        <v>34</v>
      </c>
      <c r="C346" s="15">
        <f t="shared" si="1"/>
        <v>15</v>
      </c>
    </row>
    <row r="347">
      <c r="A347" s="15">
        <v>7457.0</v>
      </c>
      <c r="B347" s="15" t="s">
        <v>18</v>
      </c>
      <c r="C347" s="15">
        <f t="shared" si="1"/>
        <v>6</v>
      </c>
    </row>
    <row r="348">
      <c r="A348" s="15">
        <v>7457.0</v>
      </c>
      <c r="B348" s="15" t="s">
        <v>34</v>
      </c>
      <c r="C348" s="15">
        <f t="shared" si="1"/>
        <v>15</v>
      </c>
    </row>
    <row r="349">
      <c r="A349" s="15">
        <v>7457.0</v>
      </c>
      <c r="B349" s="15" t="s">
        <v>18</v>
      </c>
      <c r="C349" s="15">
        <f t="shared" si="1"/>
        <v>6</v>
      </c>
    </row>
    <row r="350">
      <c r="A350" s="15">
        <v>829.0</v>
      </c>
      <c r="B350" s="15" t="s">
        <v>39</v>
      </c>
      <c r="C350" s="15">
        <f t="shared" si="1"/>
        <v>0</v>
      </c>
    </row>
    <row r="351">
      <c r="A351" s="15">
        <v>829.0</v>
      </c>
      <c r="B351" s="15" t="s">
        <v>42</v>
      </c>
      <c r="C351" s="15">
        <f t="shared" si="1"/>
        <v>10</v>
      </c>
    </row>
    <row r="352">
      <c r="A352" s="15">
        <v>829.0</v>
      </c>
      <c r="B352" s="15" t="s">
        <v>34</v>
      </c>
      <c r="C352" s="15">
        <f t="shared" si="1"/>
        <v>15</v>
      </c>
    </row>
    <row r="353">
      <c r="A353" s="15">
        <v>829.0</v>
      </c>
      <c r="B353" s="15" t="s">
        <v>34</v>
      </c>
      <c r="C353" s="15">
        <f t="shared" si="1"/>
        <v>15</v>
      </c>
    </row>
    <row r="354">
      <c r="A354" s="15">
        <v>829.0</v>
      </c>
      <c r="B354" s="15" t="s">
        <v>39</v>
      </c>
      <c r="C354" s="15">
        <f t="shared" si="1"/>
        <v>0</v>
      </c>
    </row>
    <row r="355">
      <c r="A355" s="15">
        <v>829.0</v>
      </c>
      <c r="B355" s="15" t="s">
        <v>32</v>
      </c>
      <c r="C355" s="15">
        <f t="shared" si="1"/>
        <v>4</v>
      </c>
    </row>
    <row r="356">
      <c r="A356" s="15">
        <v>829.0</v>
      </c>
      <c r="B356" s="15" t="s">
        <v>34</v>
      </c>
      <c r="C356" s="15">
        <f t="shared" si="1"/>
        <v>15</v>
      </c>
    </row>
    <row r="357">
      <c r="A357" s="15"/>
      <c r="B357" s="15"/>
      <c r="C357" s="15">
        <f t="shared" si="1"/>
        <v>0</v>
      </c>
    </row>
    <row r="358">
      <c r="A358" s="15"/>
      <c r="B358" s="15"/>
      <c r="C358" s="15">
        <f t="shared" si="1"/>
        <v>0</v>
      </c>
    </row>
    <row r="359">
      <c r="A359" s="15"/>
      <c r="B359" s="15"/>
      <c r="C359" s="15">
        <f t="shared" si="1"/>
        <v>0</v>
      </c>
    </row>
    <row r="360">
      <c r="A360" s="15"/>
      <c r="B360" s="15"/>
      <c r="C360" s="15">
        <f t="shared" si="1"/>
        <v>0</v>
      </c>
    </row>
    <row r="361">
      <c r="A361" s="15"/>
      <c r="B361" s="15"/>
      <c r="C361" s="15">
        <f t="shared" si="1"/>
        <v>0</v>
      </c>
    </row>
    <row r="362">
      <c r="A362" s="15"/>
      <c r="B362" s="15"/>
      <c r="C362" s="15">
        <f t="shared" si="1"/>
        <v>0</v>
      </c>
    </row>
    <row r="363">
      <c r="A363" s="15"/>
      <c r="B363" s="15"/>
      <c r="C363" s="15">
        <f t="shared" si="1"/>
        <v>0</v>
      </c>
    </row>
    <row r="364">
      <c r="A364" s="15"/>
      <c r="B364" s="15"/>
      <c r="C364" s="15">
        <f t="shared" si="1"/>
        <v>0</v>
      </c>
    </row>
    <row r="365">
      <c r="A365" s="15"/>
      <c r="B365" s="15"/>
      <c r="C365" s="15">
        <f t="shared" si="1"/>
        <v>0</v>
      </c>
    </row>
    <row r="366">
      <c r="A366" s="15"/>
      <c r="B366" s="15"/>
      <c r="C366" s="15">
        <f t="shared" si="1"/>
        <v>0</v>
      </c>
    </row>
    <row r="367">
      <c r="A367" s="15"/>
      <c r="B367" s="15"/>
      <c r="C367" s="15">
        <f t="shared" si="1"/>
        <v>0</v>
      </c>
    </row>
    <row r="368">
      <c r="A368" s="15"/>
      <c r="B368" s="15"/>
      <c r="C368" s="15">
        <f t="shared" si="1"/>
        <v>0</v>
      </c>
    </row>
    <row r="369">
      <c r="A369" s="15"/>
      <c r="B369" s="15"/>
      <c r="C369" s="15">
        <f t="shared" si="1"/>
        <v>0</v>
      </c>
    </row>
    <row r="370">
      <c r="A370" s="15"/>
      <c r="B370" s="15"/>
      <c r="C370" s="15">
        <f t="shared" si="1"/>
        <v>0</v>
      </c>
    </row>
    <row r="371">
      <c r="A371" s="15"/>
      <c r="B371" s="15"/>
      <c r="C371" s="15">
        <f t="shared" si="1"/>
        <v>0</v>
      </c>
    </row>
    <row r="372">
      <c r="A372" s="15"/>
      <c r="B372" s="15"/>
      <c r="C372" s="15">
        <f t="shared" si="1"/>
        <v>0</v>
      </c>
    </row>
    <row r="373">
      <c r="A373" s="15"/>
      <c r="B373" s="15"/>
      <c r="C373" s="15">
        <f t="shared" si="1"/>
        <v>0</v>
      </c>
    </row>
    <row r="374">
      <c r="A374" s="15"/>
      <c r="B374" s="15"/>
      <c r="C374" s="15">
        <f t="shared" si="1"/>
        <v>0</v>
      </c>
    </row>
    <row r="375">
      <c r="A375" s="15"/>
      <c r="B375" s="15"/>
      <c r="C375" s="15">
        <f t="shared" si="1"/>
        <v>0</v>
      </c>
    </row>
    <row r="376">
      <c r="A376" s="15"/>
      <c r="B376" s="15"/>
      <c r="C376" s="15">
        <f t="shared" si="1"/>
        <v>0</v>
      </c>
    </row>
    <row r="377">
      <c r="A377" s="15"/>
      <c r="B377" s="15"/>
      <c r="C377" s="15">
        <f t="shared" si="1"/>
        <v>0</v>
      </c>
    </row>
    <row r="378">
      <c r="A378" s="15"/>
      <c r="B378" s="15"/>
      <c r="C378" s="15">
        <f t="shared" si="1"/>
        <v>0</v>
      </c>
    </row>
    <row r="379">
      <c r="A379" s="15"/>
      <c r="B379" s="15"/>
      <c r="C379" s="15">
        <f t="shared" si="1"/>
        <v>0</v>
      </c>
    </row>
    <row r="380">
      <c r="A380" s="15"/>
      <c r="B380" s="15"/>
      <c r="C380" s="15">
        <f t="shared" si="1"/>
        <v>0</v>
      </c>
    </row>
    <row r="381">
      <c r="A381" s="15"/>
      <c r="B381" s="15"/>
      <c r="C381" s="15">
        <f t="shared" si="1"/>
        <v>0</v>
      </c>
    </row>
    <row r="382">
      <c r="A382" s="15"/>
      <c r="B382" s="15"/>
      <c r="C382" s="15">
        <f t="shared" si="1"/>
        <v>0</v>
      </c>
    </row>
    <row r="383">
      <c r="A383" s="15"/>
      <c r="B383" s="15"/>
      <c r="C383" s="15">
        <f t="shared" si="1"/>
        <v>0</v>
      </c>
    </row>
    <row r="384">
      <c r="A384" s="15"/>
      <c r="B384" s="15"/>
      <c r="C384" s="15">
        <f t="shared" si="1"/>
        <v>0</v>
      </c>
    </row>
    <row r="385">
      <c r="A385" s="15"/>
      <c r="B385" s="15"/>
      <c r="C385" s="15">
        <f t="shared" si="1"/>
        <v>0</v>
      </c>
    </row>
    <row r="386">
      <c r="A386" s="15"/>
      <c r="B386" s="15"/>
      <c r="C386" s="15">
        <f t="shared" si="1"/>
        <v>0</v>
      </c>
    </row>
    <row r="387">
      <c r="A387" s="15"/>
      <c r="B387" s="15"/>
      <c r="C387" s="15">
        <f t="shared" si="1"/>
        <v>0</v>
      </c>
    </row>
    <row r="388">
      <c r="A388" s="15"/>
      <c r="B388" s="15"/>
      <c r="C388" s="15">
        <f t="shared" si="1"/>
        <v>0</v>
      </c>
    </row>
    <row r="389">
      <c r="A389" s="15"/>
      <c r="B389" s="15"/>
      <c r="C389" s="15">
        <f t="shared" si="1"/>
        <v>0</v>
      </c>
    </row>
    <row r="390">
      <c r="A390" s="15"/>
      <c r="B390" s="15"/>
      <c r="C390" s="15">
        <f t="shared" si="1"/>
        <v>0</v>
      </c>
    </row>
    <row r="391">
      <c r="A391" s="15"/>
      <c r="B391" s="15"/>
      <c r="C391" s="15">
        <f t="shared" si="1"/>
        <v>0</v>
      </c>
    </row>
    <row r="392">
      <c r="A392" s="15"/>
      <c r="B392" s="15"/>
      <c r="C392" s="15">
        <f t="shared" si="1"/>
        <v>0</v>
      </c>
    </row>
    <row r="393">
      <c r="A393" s="15"/>
      <c r="B393" s="15"/>
      <c r="C393" s="15">
        <f t="shared" si="1"/>
        <v>0</v>
      </c>
    </row>
    <row r="394">
      <c r="A394" s="15"/>
      <c r="B394" s="15"/>
      <c r="C394" s="15">
        <f t="shared" si="1"/>
        <v>0</v>
      </c>
    </row>
    <row r="395">
      <c r="A395" s="15"/>
      <c r="B395" s="15"/>
      <c r="C395" s="15">
        <f t="shared" si="1"/>
        <v>0</v>
      </c>
    </row>
    <row r="396">
      <c r="A396" s="15"/>
      <c r="B396" s="15"/>
      <c r="C396" s="15">
        <f t="shared" si="1"/>
        <v>0</v>
      </c>
    </row>
    <row r="397">
      <c r="A397" s="15"/>
      <c r="B397" s="15"/>
      <c r="C397" s="15">
        <f t="shared" si="1"/>
        <v>0</v>
      </c>
    </row>
    <row r="398">
      <c r="A398" s="15"/>
      <c r="B398" s="15"/>
      <c r="C398" s="15">
        <f t="shared" si="1"/>
        <v>0</v>
      </c>
    </row>
    <row r="399">
      <c r="A399" s="15"/>
      <c r="B399" s="15"/>
      <c r="C399" s="15">
        <f t="shared" si="1"/>
        <v>0</v>
      </c>
    </row>
    <row r="400">
      <c r="A400" s="15"/>
      <c r="B400" s="15"/>
      <c r="C400" s="15">
        <f t="shared" si="1"/>
        <v>0</v>
      </c>
    </row>
    <row r="401">
      <c r="A401" s="15"/>
      <c r="B401" s="15"/>
      <c r="C401" s="15">
        <f t="shared" si="1"/>
        <v>0</v>
      </c>
    </row>
    <row r="402">
      <c r="A402" s="15"/>
      <c r="B402" s="15"/>
      <c r="C402" s="15">
        <f t="shared" si="1"/>
        <v>0</v>
      </c>
    </row>
    <row r="403">
      <c r="A403" s="15"/>
      <c r="B403" s="15"/>
      <c r="C403" s="15">
        <f t="shared" si="1"/>
        <v>0</v>
      </c>
    </row>
    <row r="404">
      <c r="A404" s="15"/>
      <c r="B404" s="15"/>
      <c r="C404" s="15">
        <f t="shared" si="1"/>
        <v>0</v>
      </c>
    </row>
    <row r="405">
      <c r="A405" s="15"/>
      <c r="B405" s="15"/>
      <c r="C405" s="15">
        <f t="shared" si="1"/>
        <v>0</v>
      </c>
    </row>
    <row r="406">
      <c r="A406" s="15"/>
      <c r="B406" s="15"/>
      <c r="C406" s="15">
        <f t="shared" si="1"/>
        <v>0</v>
      </c>
    </row>
    <row r="407">
      <c r="A407" s="15"/>
      <c r="B407" s="15"/>
      <c r="C407" s="15">
        <f t="shared" si="1"/>
        <v>0</v>
      </c>
    </row>
    <row r="408">
      <c r="A408" s="15"/>
      <c r="B408" s="15"/>
      <c r="C408" s="15">
        <f t="shared" si="1"/>
        <v>0</v>
      </c>
    </row>
    <row r="409">
      <c r="A409" s="15"/>
      <c r="B409" s="15"/>
      <c r="C409" s="15">
        <f t="shared" si="1"/>
        <v>0</v>
      </c>
    </row>
    <row r="410">
      <c r="A410" s="15"/>
      <c r="B410" s="15"/>
      <c r="C410" s="15">
        <f t="shared" si="1"/>
        <v>0</v>
      </c>
    </row>
    <row r="411">
      <c r="A411" s="15"/>
      <c r="B411" s="15"/>
      <c r="C411" s="15">
        <f t="shared" si="1"/>
        <v>0</v>
      </c>
    </row>
    <row r="412">
      <c r="A412" s="15"/>
      <c r="B412" s="15"/>
      <c r="C412" s="15">
        <f t="shared" si="1"/>
        <v>0</v>
      </c>
    </row>
    <row r="413">
      <c r="A413" s="15"/>
      <c r="B413" s="15"/>
      <c r="C413" s="15">
        <f t="shared" si="1"/>
        <v>0</v>
      </c>
    </row>
    <row r="414">
      <c r="A414" s="15"/>
      <c r="B414" s="15"/>
      <c r="C414" s="15">
        <f t="shared" si="1"/>
        <v>0</v>
      </c>
    </row>
    <row r="415">
      <c r="A415" s="15"/>
      <c r="B415" s="15"/>
      <c r="C415" s="15">
        <f t="shared" si="1"/>
        <v>0</v>
      </c>
    </row>
    <row r="416">
      <c r="A416" s="15"/>
      <c r="B416" s="15"/>
      <c r="C416" s="15">
        <f t="shared" si="1"/>
        <v>0</v>
      </c>
    </row>
    <row r="417">
      <c r="A417" s="15"/>
      <c r="B417" s="15"/>
      <c r="C417" s="15">
        <f t="shared" si="1"/>
        <v>0</v>
      </c>
    </row>
    <row r="418">
      <c r="A418" s="15"/>
      <c r="B418" s="15"/>
      <c r="C418" s="15">
        <f t="shared" si="1"/>
        <v>0</v>
      </c>
    </row>
    <row r="419">
      <c r="A419" s="15"/>
      <c r="B419" s="15"/>
      <c r="C419" s="15">
        <f t="shared" si="1"/>
        <v>0</v>
      </c>
    </row>
    <row r="420">
      <c r="A420" s="15"/>
      <c r="B420" s="15"/>
      <c r="C420" s="15">
        <f t="shared" si="1"/>
        <v>0</v>
      </c>
    </row>
    <row r="421">
      <c r="A421" s="15"/>
      <c r="B421" s="15"/>
      <c r="C421" s="15">
        <f t="shared" si="1"/>
        <v>0</v>
      </c>
    </row>
    <row r="422">
      <c r="A422" s="15"/>
      <c r="B422" s="15"/>
      <c r="C422" s="15">
        <f t="shared" si="1"/>
        <v>0</v>
      </c>
      <c r="E422" s="15">
        <f t="array" ref="E422:E717">TRANSPOSE(E1:KN1)</f>
        <v>1023</v>
      </c>
      <c r="F422" s="15">
        <f t="array" ref="F422:BV717">TRANSPOSE(E32:KN100)</f>
        <v>15</v>
      </c>
      <c r="G422" s="15">
        <v>6.0</v>
      </c>
      <c r="H422" s="15">
        <v>6.0</v>
      </c>
      <c r="I422" s="15">
        <v>6.0</v>
      </c>
      <c r="J422" s="15">
        <v>6.0</v>
      </c>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row>
    <row r="423">
      <c r="A423" s="15"/>
      <c r="B423" s="15"/>
      <c r="C423" s="15">
        <f t="shared" si="1"/>
        <v>0</v>
      </c>
      <c r="E423" s="15">
        <v>2056.0</v>
      </c>
      <c r="F423" s="15">
        <v>15.0</v>
      </c>
      <c r="G423" s="15">
        <v>15.0</v>
      </c>
      <c r="H423" s="15">
        <v>15.0</v>
      </c>
      <c r="I423" s="15">
        <v>10.0</v>
      </c>
      <c r="J423" s="15">
        <v>6.0</v>
      </c>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5"/>
    </row>
    <row r="424">
      <c r="A424" s="15"/>
      <c r="B424" s="15"/>
      <c r="C424" s="15">
        <f t="shared" si="1"/>
        <v>0</v>
      </c>
      <c r="E424" s="15">
        <v>1339.0</v>
      </c>
      <c r="F424" s="15">
        <v>15.0</v>
      </c>
      <c r="G424" s="15">
        <v>15.0</v>
      </c>
      <c r="H424" s="15">
        <v>15.0</v>
      </c>
      <c r="I424" s="15">
        <v>15.0</v>
      </c>
      <c r="J424" s="15">
        <v>15.0</v>
      </c>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5"/>
    </row>
    <row r="425">
      <c r="A425" s="15"/>
      <c r="B425" s="15"/>
      <c r="C425" s="15">
        <f t="shared" si="1"/>
        <v>0</v>
      </c>
      <c r="E425" s="15">
        <v>3538.0</v>
      </c>
      <c r="F425" s="15">
        <v>15.0</v>
      </c>
      <c r="G425" s="15">
        <v>15.0</v>
      </c>
      <c r="H425" s="15">
        <v>15.0</v>
      </c>
      <c r="I425" s="15">
        <v>15.0</v>
      </c>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5"/>
    </row>
    <row r="426">
      <c r="A426" s="15"/>
      <c r="B426" s="15"/>
      <c r="C426" s="15">
        <f t="shared" si="1"/>
        <v>0</v>
      </c>
      <c r="E426" s="15">
        <v>340.0</v>
      </c>
      <c r="F426" s="15">
        <v>15.0</v>
      </c>
      <c r="G426" s="15">
        <v>15.0</v>
      </c>
      <c r="H426" s="15">
        <v>15.0</v>
      </c>
      <c r="I426" s="15">
        <v>15.0</v>
      </c>
      <c r="J426" s="15">
        <v>10.0</v>
      </c>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row>
    <row r="427">
      <c r="A427" s="15"/>
      <c r="B427" s="15"/>
      <c r="C427" s="15">
        <f t="shared" si="1"/>
        <v>0</v>
      </c>
      <c r="E427" s="15">
        <v>180.0</v>
      </c>
      <c r="F427" s="15">
        <v>10.0</v>
      </c>
      <c r="G427" s="15">
        <v>10.0</v>
      </c>
      <c r="H427" s="15">
        <v>10.0</v>
      </c>
      <c r="I427" s="15">
        <v>6.0</v>
      </c>
      <c r="J427" s="15">
        <v>6.0</v>
      </c>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5"/>
    </row>
    <row r="428">
      <c r="A428" s="15"/>
      <c r="B428" s="15"/>
      <c r="C428" s="15">
        <f t="shared" si="1"/>
        <v>0</v>
      </c>
      <c r="E428" s="15">
        <v>4028.0</v>
      </c>
      <c r="F428" s="15">
        <v>15.0</v>
      </c>
      <c r="G428" s="15">
        <v>15.0</v>
      </c>
      <c r="H428" s="15">
        <v>10.0</v>
      </c>
      <c r="I428" s="15">
        <v>6.0</v>
      </c>
      <c r="J428" s="15">
        <v>6.0</v>
      </c>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row>
    <row r="429">
      <c r="A429" s="15"/>
      <c r="B429" s="15"/>
      <c r="C429" s="15">
        <f t="shared" si="1"/>
        <v>0</v>
      </c>
      <c r="E429" s="15">
        <v>2767.0</v>
      </c>
      <c r="F429" s="15">
        <v>15.0</v>
      </c>
      <c r="G429" s="15">
        <v>15.0</v>
      </c>
      <c r="H429" s="15">
        <v>15.0</v>
      </c>
      <c r="I429" s="15">
        <v>15.0</v>
      </c>
      <c r="J429" s="15">
        <v>15.0</v>
      </c>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5"/>
    </row>
    <row r="430">
      <c r="A430" s="15"/>
      <c r="B430" s="15"/>
      <c r="C430" s="15">
        <f t="shared" si="1"/>
        <v>0</v>
      </c>
      <c r="E430" s="15">
        <v>5712.0</v>
      </c>
      <c r="F430" s="15">
        <v>15.0</v>
      </c>
      <c r="G430" s="15">
        <v>15.0</v>
      </c>
      <c r="H430" s="15">
        <v>15.0</v>
      </c>
      <c r="I430" s="15">
        <v>15.0</v>
      </c>
      <c r="J430" s="15">
        <v>15.0</v>
      </c>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row>
    <row r="431">
      <c r="A431" s="15"/>
      <c r="B431" s="15"/>
      <c r="C431" s="15">
        <f t="shared" si="1"/>
        <v>0</v>
      </c>
      <c r="E431" s="15">
        <v>4499.0</v>
      </c>
      <c r="F431" s="15">
        <v>15.0</v>
      </c>
      <c r="G431" s="15">
        <v>15.0</v>
      </c>
      <c r="H431" s="15">
        <v>15.0</v>
      </c>
      <c r="I431" s="15">
        <v>15.0</v>
      </c>
      <c r="J431" s="15">
        <v>15.0</v>
      </c>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5"/>
    </row>
    <row r="432">
      <c r="A432" s="15"/>
      <c r="B432" s="15"/>
      <c r="C432" s="15">
        <f t="shared" si="1"/>
        <v>0</v>
      </c>
      <c r="E432" s="15">
        <v>2338.0</v>
      </c>
      <c r="F432" s="15">
        <v>15.0</v>
      </c>
      <c r="G432" s="15">
        <v>15.0</v>
      </c>
      <c r="H432" s="15">
        <v>15.0</v>
      </c>
      <c r="I432" s="15">
        <v>15.0</v>
      </c>
      <c r="J432" s="15">
        <v>15.0</v>
      </c>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row>
    <row r="433">
      <c r="A433" s="15"/>
      <c r="B433" s="15"/>
      <c r="C433" s="15">
        <f t="shared" si="1"/>
        <v>0</v>
      </c>
      <c r="E433" s="15">
        <v>694.0</v>
      </c>
      <c r="F433" s="15">
        <v>15.0</v>
      </c>
      <c r="G433" s="15">
        <v>15.0</v>
      </c>
      <c r="H433" s="15">
        <v>15.0</v>
      </c>
      <c r="I433" s="15">
        <v>15.0</v>
      </c>
      <c r="J433" s="15">
        <v>15.0</v>
      </c>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row>
    <row r="434">
      <c r="A434" s="15"/>
      <c r="B434" s="15"/>
      <c r="C434" s="15">
        <f t="shared" si="1"/>
        <v>0</v>
      </c>
      <c r="E434" s="15">
        <v>4143.0</v>
      </c>
      <c r="F434" s="15">
        <v>15.0</v>
      </c>
      <c r="G434" s="15">
        <v>15.0</v>
      </c>
      <c r="H434" s="15">
        <v>10.0</v>
      </c>
      <c r="I434" s="15">
        <v>10.0</v>
      </c>
      <c r="J434" s="15">
        <v>6.0</v>
      </c>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row>
    <row r="435">
      <c r="A435" s="15"/>
      <c r="B435" s="15"/>
      <c r="C435" s="15">
        <f t="shared" si="1"/>
        <v>0</v>
      </c>
      <c r="E435" s="15">
        <v>67.0</v>
      </c>
      <c r="F435" s="15">
        <v>15.0</v>
      </c>
      <c r="G435" s="15">
        <v>15.0</v>
      </c>
      <c r="H435" s="15">
        <v>15.0</v>
      </c>
      <c r="I435" s="15">
        <v>15.0</v>
      </c>
      <c r="J435" s="15">
        <v>0.0</v>
      </c>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5"/>
    </row>
    <row r="436">
      <c r="A436" s="15"/>
      <c r="B436" s="15"/>
      <c r="C436" s="15">
        <f t="shared" si="1"/>
        <v>0</v>
      </c>
      <c r="E436" s="15">
        <v>27.0</v>
      </c>
      <c r="F436" s="15">
        <v>15.0</v>
      </c>
      <c r="G436" s="15">
        <v>15.0</v>
      </c>
      <c r="H436" s="15">
        <v>15.0</v>
      </c>
      <c r="I436" s="15">
        <v>15.0</v>
      </c>
      <c r="J436" s="15">
        <v>15.0</v>
      </c>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5"/>
    </row>
    <row r="437">
      <c r="A437" s="15"/>
      <c r="B437" s="15"/>
      <c r="C437" s="15">
        <f t="shared" si="1"/>
        <v>0</v>
      </c>
      <c r="E437" s="15">
        <v>118.0</v>
      </c>
      <c r="F437" s="15">
        <v>15.0</v>
      </c>
      <c r="G437" s="15">
        <v>15.0</v>
      </c>
      <c r="H437" s="15">
        <v>15.0</v>
      </c>
      <c r="I437" s="15">
        <v>15.0</v>
      </c>
      <c r="J437" s="15">
        <v>15.0</v>
      </c>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row>
    <row r="438">
      <c r="A438" s="15"/>
      <c r="B438" s="15"/>
      <c r="C438" s="15">
        <f t="shared" si="1"/>
        <v>0</v>
      </c>
      <c r="E438" s="15">
        <v>587.0</v>
      </c>
      <c r="F438" s="15">
        <v>15.0</v>
      </c>
      <c r="G438" s="15">
        <v>15.0</v>
      </c>
      <c r="H438" s="15">
        <v>15.0</v>
      </c>
      <c r="I438" s="15">
        <v>15.0</v>
      </c>
      <c r="J438" s="15">
        <v>15.0</v>
      </c>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row>
    <row r="439">
      <c r="A439" s="15"/>
      <c r="B439" s="15"/>
      <c r="C439" s="15">
        <f t="shared" si="1"/>
        <v>0</v>
      </c>
      <c r="E439" s="15">
        <v>195.0</v>
      </c>
      <c r="F439" s="15">
        <v>15.0</v>
      </c>
      <c r="G439" s="15">
        <v>15.0</v>
      </c>
      <c r="H439" s="15">
        <v>15.0</v>
      </c>
      <c r="I439" s="15">
        <v>15.0</v>
      </c>
      <c r="J439" s="15">
        <v>15.0</v>
      </c>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row>
    <row r="440">
      <c r="A440" s="15"/>
      <c r="B440" s="15"/>
      <c r="C440" s="15">
        <f t="shared" si="1"/>
        <v>0</v>
      </c>
      <c r="E440" s="15">
        <v>2468.0</v>
      </c>
      <c r="F440" s="15">
        <v>15.0</v>
      </c>
      <c r="G440" s="15">
        <v>15.0</v>
      </c>
      <c r="H440" s="15">
        <v>15.0</v>
      </c>
      <c r="I440" s="15">
        <v>15.0</v>
      </c>
      <c r="J440" s="15">
        <v>10.0</v>
      </c>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row>
    <row r="441">
      <c r="A441" s="15"/>
      <c r="B441" s="15"/>
      <c r="C441" s="15">
        <f t="shared" si="1"/>
        <v>0</v>
      </c>
      <c r="E441" s="15">
        <v>1706.0</v>
      </c>
      <c r="F441" s="15">
        <v>6.0</v>
      </c>
      <c r="G441" s="15">
        <v>6.0</v>
      </c>
      <c r="H441" s="15">
        <v>0.0</v>
      </c>
      <c r="I441" s="15">
        <v>0.0</v>
      </c>
      <c r="J441" s="15">
        <v>0.0</v>
      </c>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row>
    <row r="442">
      <c r="A442" s="15"/>
      <c r="B442" s="15"/>
      <c r="C442" s="15">
        <f t="shared" si="1"/>
        <v>0</v>
      </c>
      <c r="E442" s="15">
        <v>3357.0</v>
      </c>
      <c r="F442" s="15">
        <v>15.0</v>
      </c>
      <c r="G442" s="15">
        <v>15.0</v>
      </c>
      <c r="H442" s="15">
        <v>15.0</v>
      </c>
      <c r="I442" s="15">
        <v>15.0</v>
      </c>
      <c r="J442" s="15">
        <v>10.0</v>
      </c>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row>
    <row r="443">
      <c r="A443" s="15"/>
      <c r="B443" s="15"/>
      <c r="C443" s="15">
        <f t="shared" si="1"/>
        <v>0</v>
      </c>
      <c r="E443" s="15">
        <v>2539.0</v>
      </c>
      <c r="F443" s="15">
        <v>15.0</v>
      </c>
      <c r="G443" s="15">
        <v>15.0</v>
      </c>
      <c r="H443" s="15">
        <v>15.0</v>
      </c>
      <c r="I443" s="15">
        <v>15.0</v>
      </c>
      <c r="J443" s="15">
        <v>15.0</v>
      </c>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row>
    <row r="444">
      <c r="A444" s="15"/>
      <c r="B444" s="15"/>
      <c r="C444" s="15">
        <f t="shared" si="1"/>
        <v>0</v>
      </c>
      <c r="E444" s="15">
        <v>3940.0</v>
      </c>
      <c r="F444" s="15">
        <v>15.0</v>
      </c>
      <c r="G444" s="15">
        <v>15.0</v>
      </c>
      <c r="H444" s="15">
        <v>15.0</v>
      </c>
      <c r="I444" s="15">
        <v>15.0</v>
      </c>
      <c r="J444" s="15">
        <v>15.0</v>
      </c>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row>
    <row r="445">
      <c r="A445" s="15"/>
      <c r="B445" s="15"/>
      <c r="C445" s="15">
        <f t="shared" si="1"/>
        <v>0</v>
      </c>
      <c r="E445" s="15">
        <v>4635.0</v>
      </c>
      <c r="F445" s="15">
        <v>15.0</v>
      </c>
      <c r="G445" s="15">
        <v>10.0</v>
      </c>
      <c r="H445" s="15">
        <v>0.0</v>
      </c>
      <c r="I445" s="15">
        <v>0.0</v>
      </c>
      <c r="J445" s="15">
        <v>0.0</v>
      </c>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row>
    <row r="446">
      <c r="A446" s="15"/>
      <c r="B446" s="15"/>
      <c r="C446" s="15">
        <f t="shared" si="1"/>
        <v>0</v>
      </c>
      <c r="E446" s="15">
        <v>1533.0</v>
      </c>
      <c r="F446" s="15">
        <v>15.0</v>
      </c>
      <c r="G446" s="15">
        <v>15.0</v>
      </c>
      <c r="H446" s="15">
        <v>15.0</v>
      </c>
      <c r="I446" s="15">
        <v>6.0</v>
      </c>
      <c r="J446" s="15">
        <v>0.0</v>
      </c>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row>
    <row r="447">
      <c r="A447" s="15"/>
      <c r="B447" s="15"/>
      <c r="C447" s="15">
        <f t="shared" si="1"/>
        <v>0</v>
      </c>
      <c r="E447" s="15">
        <v>33.0</v>
      </c>
      <c r="F447" s="15">
        <v>15.0</v>
      </c>
      <c r="G447" s="15">
        <v>15.0</v>
      </c>
      <c r="H447" s="15">
        <v>15.0</v>
      </c>
      <c r="I447" s="15">
        <v>0.0</v>
      </c>
      <c r="J447" s="15">
        <v>0.0</v>
      </c>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row>
    <row r="448">
      <c r="A448" s="15"/>
      <c r="B448" s="15"/>
      <c r="C448" s="15">
        <f t="shared" si="1"/>
        <v>0</v>
      </c>
      <c r="E448" s="15">
        <v>624.0</v>
      </c>
      <c r="F448" s="15">
        <v>15.0</v>
      </c>
      <c r="G448" s="15">
        <v>6.0</v>
      </c>
      <c r="H448" s="15">
        <v>6.0</v>
      </c>
      <c r="I448" s="15">
        <v>6.0</v>
      </c>
      <c r="J448" s="15">
        <v>0.0</v>
      </c>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row>
    <row r="449">
      <c r="A449" s="15"/>
      <c r="B449" s="15"/>
      <c r="C449" s="15">
        <f t="shared" si="1"/>
        <v>0</v>
      </c>
      <c r="E449" s="15">
        <v>829.0</v>
      </c>
      <c r="F449" s="15">
        <v>15.0</v>
      </c>
      <c r="G449" s="15">
        <v>15.0</v>
      </c>
      <c r="H449" s="15">
        <v>15.0</v>
      </c>
      <c r="I449" s="15">
        <v>10.0</v>
      </c>
      <c r="J449" s="15">
        <v>4.0</v>
      </c>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row>
    <row r="450">
      <c r="A450" s="15"/>
      <c r="B450" s="15"/>
      <c r="C450" s="15">
        <f t="shared" si="1"/>
        <v>0</v>
      </c>
      <c r="E450" s="15">
        <v>7457.0</v>
      </c>
      <c r="F450" s="15">
        <v>15.0</v>
      </c>
      <c r="G450" s="15">
        <v>15.0</v>
      </c>
      <c r="H450" s="15">
        <v>15.0</v>
      </c>
      <c r="I450" s="15">
        <v>6.0</v>
      </c>
      <c r="J450" s="15">
        <v>6.0</v>
      </c>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row>
    <row r="451">
      <c r="A451" s="15"/>
      <c r="B451" s="15"/>
      <c r="C451" s="15">
        <f t="shared" si="1"/>
        <v>0</v>
      </c>
      <c r="E451" s="15">
        <v>1730.0</v>
      </c>
      <c r="F451" s="15">
        <v>15.0</v>
      </c>
      <c r="G451" s="15">
        <v>15.0</v>
      </c>
      <c r="H451" s="15">
        <v>15.0</v>
      </c>
      <c r="I451" s="15">
        <v>10.0</v>
      </c>
      <c r="J451" s="15">
        <v>0.0</v>
      </c>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row>
    <row r="452">
      <c r="A452" s="15"/>
      <c r="B452" s="15"/>
      <c r="C452" s="15">
        <f t="shared" si="1"/>
        <v>0</v>
      </c>
      <c r="E452" s="15">
        <v>2363.0</v>
      </c>
      <c r="F452" s="15">
        <v>6.0</v>
      </c>
      <c r="G452" s="15">
        <v>6.0</v>
      </c>
      <c r="H452" s="15">
        <v>6.0</v>
      </c>
      <c r="I452" s="15">
        <v>6.0</v>
      </c>
      <c r="J452" s="15">
        <v>0.0</v>
      </c>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row>
    <row r="453">
      <c r="A453" s="15"/>
      <c r="B453" s="15"/>
      <c r="C453" s="15">
        <f t="shared" si="1"/>
        <v>0</v>
      </c>
      <c r="E453" s="15">
        <v>1024.0</v>
      </c>
      <c r="F453" s="15">
        <v>15.0</v>
      </c>
      <c r="G453" s="15">
        <v>15.0</v>
      </c>
      <c r="H453" s="15">
        <v>15.0</v>
      </c>
      <c r="I453" s="15">
        <v>15.0</v>
      </c>
      <c r="J453" s="15">
        <v>10.0</v>
      </c>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row>
    <row r="454">
      <c r="A454" s="15"/>
      <c r="B454" s="15"/>
      <c r="C454" s="15">
        <f t="shared" si="1"/>
        <v>0</v>
      </c>
      <c r="E454" s="15">
        <v>4926.0</v>
      </c>
      <c r="F454" s="15">
        <v>15.0</v>
      </c>
      <c r="G454" s="15">
        <v>15.0</v>
      </c>
      <c r="H454" s="15">
        <v>15.0</v>
      </c>
      <c r="I454" s="15">
        <v>15.0</v>
      </c>
      <c r="J454" s="15">
        <v>10.0</v>
      </c>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row>
    <row r="455">
      <c r="A455" s="15"/>
      <c r="B455" s="15"/>
      <c r="C455" s="15">
        <f t="shared" si="1"/>
        <v>0</v>
      </c>
      <c r="E455" s="15">
        <v>5484.0</v>
      </c>
      <c r="F455" s="15">
        <v>15.0</v>
      </c>
      <c r="G455" s="15">
        <v>15.0</v>
      </c>
      <c r="H455" s="15">
        <v>15.0</v>
      </c>
      <c r="I455" s="15">
        <v>15.0</v>
      </c>
      <c r="J455" s="15">
        <v>15.0</v>
      </c>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row>
    <row r="456">
      <c r="A456" s="15"/>
      <c r="B456" s="15"/>
      <c r="C456" s="15">
        <f t="shared" si="1"/>
        <v>0</v>
      </c>
      <c r="E456" s="15">
        <v>503.0</v>
      </c>
      <c r="F456" s="15">
        <v>15.0</v>
      </c>
      <c r="G456" s="15">
        <v>15.0</v>
      </c>
      <c r="H456" s="15">
        <v>15.0</v>
      </c>
      <c r="I456" s="15">
        <v>15.0</v>
      </c>
      <c r="J456" s="15">
        <v>6.0</v>
      </c>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row>
    <row r="457">
      <c r="A457" s="15"/>
      <c r="B457" s="15"/>
      <c r="C457" s="15">
        <f t="shared" si="1"/>
        <v>0</v>
      </c>
      <c r="E457" s="15">
        <v>2075.0</v>
      </c>
      <c r="F457" s="15">
        <v>10.0</v>
      </c>
      <c r="G457" s="15">
        <v>6.0</v>
      </c>
      <c r="H457" s="15">
        <v>6.0</v>
      </c>
      <c r="I457" s="15">
        <v>0.0</v>
      </c>
      <c r="J457" s="15">
        <v>0.0</v>
      </c>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row>
    <row r="458">
      <c r="A458" s="15"/>
      <c r="B458" s="15"/>
      <c r="C458" s="15">
        <f t="shared" si="1"/>
        <v>0</v>
      </c>
      <c r="E458" s="15">
        <v>1987.0</v>
      </c>
      <c r="F458" s="15">
        <v>15.0</v>
      </c>
      <c r="G458" s="15">
        <v>15.0</v>
      </c>
      <c r="H458" s="15">
        <v>6.0</v>
      </c>
      <c r="I458" s="15">
        <v>0.0</v>
      </c>
      <c r="J458" s="15">
        <v>0.0</v>
      </c>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row>
    <row r="459">
      <c r="A459" s="15"/>
      <c r="B459" s="15"/>
      <c r="C459" s="15">
        <f t="shared" si="1"/>
        <v>0</v>
      </c>
      <c r="E459" s="15">
        <v>5406.0</v>
      </c>
      <c r="F459" s="15">
        <v>15.0</v>
      </c>
      <c r="G459" s="15">
        <v>15.0</v>
      </c>
      <c r="H459" s="15">
        <v>15.0</v>
      </c>
      <c r="I459" s="15">
        <v>0.0</v>
      </c>
      <c r="J459" s="15">
        <v>0.0</v>
      </c>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row>
    <row r="460">
      <c r="A460" s="15"/>
      <c r="B460" s="15"/>
      <c r="C460" s="15">
        <f t="shared" si="1"/>
        <v>0</v>
      </c>
      <c r="E460" s="15">
        <v>1732.0</v>
      </c>
      <c r="F460" s="15">
        <v>6.0</v>
      </c>
      <c r="G460" s="15">
        <v>6.0</v>
      </c>
      <c r="H460" s="15">
        <v>6.0</v>
      </c>
      <c r="I460" s="15">
        <v>6.0</v>
      </c>
      <c r="J460" s="15">
        <v>4.0</v>
      </c>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row>
    <row r="461">
      <c r="A461" s="15"/>
      <c r="B461" s="15"/>
      <c r="C461" s="15">
        <f t="shared" si="1"/>
        <v>0</v>
      </c>
      <c r="E461" s="15">
        <v>4265.0</v>
      </c>
      <c r="F461" s="15">
        <v>6.0</v>
      </c>
      <c r="G461" s="15">
        <v>6.0</v>
      </c>
      <c r="H461" s="15">
        <v>0.0</v>
      </c>
      <c r="I461" s="15">
        <v>0.0</v>
      </c>
      <c r="J461" s="15">
        <v>0.0</v>
      </c>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row>
    <row r="462">
      <c r="A462" s="15"/>
      <c r="B462" s="15"/>
      <c r="C462" s="15">
        <f t="shared" si="1"/>
        <v>0</v>
      </c>
      <c r="E462" s="15">
        <v>4099.0</v>
      </c>
      <c r="F462" s="15">
        <v>15.0</v>
      </c>
      <c r="G462" s="15">
        <v>15.0</v>
      </c>
      <c r="H462" s="15">
        <v>15.0</v>
      </c>
      <c r="I462" s="15">
        <v>15.0</v>
      </c>
      <c r="J462" s="15">
        <v>15.0</v>
      </c>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row>
    <row r="463">
      <c r="A463" s="15"/>
      <c r="B463" s="15"/>
      <c r="C463" s="15">
        <f t="shared" si="1"/>
        <v>0</v>
      </c>
      <c r="E463" s="15">
        <v>5010.0</v>
      </c>
      <c r="F463" s="15">
        <v>15.0</v>
      </c>
      <c r="G463" s="15">
        <v>15.0</v>
      </c>
      <c r="H463" s="15">
        <v>15.0</v>
      </c>
      <c r="I463" s="15">
        <v>10.0</v>
      </c>
      <c r="J463" s="15">
        <v>6.0</v>
      </c>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row>
    <row r="464">
      <c r="A464" s="15"/>
      <c r="B464" s="15"/>
      <c r="C464" s="15">
        <f t="shared" si="1"/>
        <v>0</v>
      </c>
      <c r="E464" s="15">
        <v>234.0</v>
      </c>
      <c r="F464" s="15">
        <v>15.0</v>
      </c>
      <c r="G464" s="15">
        <v>15.0</v>
      </c>
      <c r="H464" s="15">
        <v>15.0</v>
      </c>
      <c r="I464" s="15">
        <v>10.0</v>
      </c>
      <c r="J464" s="15">
        <v>4.0</v>
      </c>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row>
    <row r="465">
      <c r="A465" s="15"/>
      <c r="B465" s="15"/>
      <c r="C465" s="15">
        <f t="shared" si="1"/>
        <v>0</v>
      </c>
      <c r="E465" s="15">
        <v>3176.0</v>
      </c>
      <c r="F465" s="15">
        <v>4.0</v>
      </c>
      <c r="G465" s="15">
        <v>4.0</v>
      </c>
      <c r="H465" s="15">
        <v>4.0</v>
      </c>
      <c r="I465" s="15">
        <v>0.0</v>
      </c>
      <c r="J465" s="15">
        <v>0.0</v>
      </c>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row>
    <row r="466">
      <c r="A466" s="15"/>
      <c r="B466" s="15"/>
      <c r="C466" s="15">
        <f t="shared" si="1"/>
        <v>0</v>
      </c>
      <c r="E466" s="15">
        <v>1720.0</v>
      </c>
      <c r="F466" s="15">
        <v>10.0</v>
      </c>
      <c r="G466" s="15">
        <v>6.0</v>
      </c>
      <c r="H466" s="15">
        <v>0.0</v>
      </c>
      <c r="I466" s="15">
        <v>0.0</v>
      </c>
      <c r="J466" s="15">
        <v>0.0</v>
      </c>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5"/>
    </row>
    <row r="467">
      <c r="A467" s="15"/>
      <c r="B467" s="15"/>
      <c r="C467" s="15">
        <f t="shared" si="1"/>
        <v>0</v>
      </c>
      <c r="E467" s="15">
        <v>2614.0</v>
      </c>
      <c r="F467" s="15">
        <v>6.0</v>
      </c>
      <c r="G467" s="15">
        <v>6.0</v>
      </c>
      <c r="H467" s="15">
        <v>6.0</v>
      </c>
      <c r="I467" s="15">
        <v>0.0</v>
      </c>
      <c r="J467" s="15">
        <v>0.0</v>
      </c>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5"/>
    </row>
    <row r="468">
      <c r="A468" s="15"/>
      <c r="B468" s="15"/>
      <c r="C468" s="15">
        <f t="shared" si="1"/>
        <v>0</v>
      </c>
      <c r="E468" s="15">
        <v>3175.0</v>
      </c>
      <c r="F468" s="15">
        <v>0.0</v>
      </c>
      <c r="G468" s="15">
        <v>0.0</v>
      </c>
      <c r="H468" s="15">
        <v>0.0</v>
      </c>
      <c r="I468" s="15">
        <v>0.0</v>
      </c>
      <c r="J468" s="15">
        <v>0.0</v>
      </c>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row>
    <row r="469">
      <c r="A469" s="15"/>
      <c r="B469" s="15"/>
      <c r="C469" s="15">
        <f t="shared" si="1"/>
        <v>0</v>
      </c>
      <c r="E469" s="15">
        <v>325.0</v>
      </c>
      <c r="F469" s="15">
        <v>4.0</v>
      </c>
      <c r="G469" s="15">
        <v>0.0</v>
      </c>
      <c r="H469" s="15">
        <v>0.0</v>
      </c>
      <c r="I469" s="15">
        <v>0.0</v>
      </c>
      <c r="J469" s="15">
        <v>0.0</v>
      </c>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5"/>
    </row>
    <row r="470">
      <c r="A470" s="15"/>
      <c r="B470" s="15"/>
      <c r="C470" s="15">
        <f t="shared" si="1"/>
        <v>0</v>
      </c>
      <c r="E470" s="15"/>
      <c r="F470" s="15" t="s">
        <v>507</v>
      </c>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row>
    <row r="471">
      <c r="A471" s="15"/>
      <c r="B471" s="15"/>
      <c r="C471" s="15">
        <f t="shared" si="1"/>
        <v>0</v>
      </c>
      <c r="E471" s="15"/>
      <c r="F471" s="15" t="s">
        <v>507</v>
      </c>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row>
    <row r="472">
      <c r="A472" s="15"/>
      <c r="B472" s="15"/>
      <c r="C472" s="15">
        <f t="shared" si="1"/>
        <v>0</v>
      </c>
      <c r="E472" s="15"/>
      <c r="F472" s="15" t="s">
        <v>507</v>
      </c>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row>
    <row r="473">
      <c r="A473" s="15"/>
      <c r="B473" s="15"/>
      <c r="C473" s="15">
        <f t="shared" si="1"/>
        <v>0</v>
      </c>
      <c r="E473" s="15"/>
      <c r="F473" s="15" t="s">
        <v>507</v>
      </c>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row>
    <row r="474">
      <c r="A474" s="15"/>
      <c r="B474" s="15"/>
      <c r="C474" s="15">
        <f t="shared" si="1"/>
        <v>0</v>
      </c>
      <c r="E474" s="15"/>
      <c r="F474" s="15" t="s">
        <v>507</v>
      </c>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row>
    <row r="475">
      <c r="A475" s="15"/>
      <c r="B475" s="15"/>
      <c r="C475" s="15">
        <f t="shared" si="1"/>
        <v>0</v>
      </c>
      <c r="E475" s="15"/>
      <c r="F475" s="15" t="s">
        <v>507</v>
      </c>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row>
    <row r="476">
      <c r="A476" s="15"/>
      <c r="B476" s="15"/>
      <c r="C476" s="15">
        <f t="shared" si="1"/>
        <v>0</v>
      </c>
      <c r="E476" s="15"/>
      <c r="F476" s="15" t="s">
        <v>507</v>
      </c>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row>
    <row r="477">
      <c r="A477" s="15"/>
      <c r="B477" s="15"/>
      <c r="C477" s="15">
        <f t="shared" si="1"/>
        <v>0</v>
      </c>
      <c r="E477" s="15"/>
      <c r="F477" s="15" t="s">
        <v>507</v>
      </c>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row>
    <row r="478">
      <c r="A478" s="15"/>
      <c r="B478" s="15"/>
      <c r="C478" s="15">
        <f t="shared" si="1"/>
        <v>0</v>
      </c>
      <c r="E478" s="15"/>
      <c r="F478" s="15" t="s">
        <v>507</v>
      </c>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row>
    <row r="479">
      <c r="A479" s="15"/>
      <c r="B479" s="15"/>
      <c r="C479" s="15">
        <f t="shared" si="1"/>
        <v>0</v>
      </c>
      <c r="E479" s="15"/>
      <c r="F479" s="15" t="s">
        <v>507</v>
      </c>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row>
    <row r="480">
      <c r="A480" s="15"/>
      <c r="B480" s="15"/>
      <c r="C480" s="15">
        <f t="shared" si="1"/>
        <v>0</v>
      </c>
      <c r="E480" s="15"/>
      <c r="F480" s="15" t="s">
        <v>507</v>
      </c>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row>
    <row r="481">
      <c r="A481" s="15"/>
      <c r="B481" s="15"/>
      <c r="C481" s="15">
        <f t="shared" si="1"/>
        <v>0</v>
      </c>
      <c r="E481" s="15"/>
      <c r="F481" s="15" t="s">
        <v>507</v>
      </c>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row>
    <row r="482">
      <c r="A482" s="15"/>
      <c r="B482" s="15"/>
      <c r="C482" s="15">
        <f t="shared" si="1"/>
        <v>0</v>
      </c>
      <c r="E482" s="15"/>
      <c r="F482" s="15" t="s">
        <v>507</v>
      </c>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row>
    <row r="483">
      <c r="A483" s="15"/>
      <c r="B483" s="15"/>
      <c r="C483" s="15">
        <f t="shared" si="1"/>
        <v>0</v>
      </c>
      <c r="E483" s="15"/>
      <c r="F483" s="15" t="s">
        <v>507</v>
      </c>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row>
    <row r="484">
      <c r="A484" s="15"/>
      <c r="B484" s="15"/>
      <c r="C484" s="15">
        <f t="shared" si="1"/>
        <v>0</v>
      </c>
      <c r="E484" s="15"/>
      <c r="F484" s="15" t="s">
        <v>507</v>
      </c>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row>
    <row r="485">
      <c r="A485" s="15"/>
      <c r="B485" s="15"/>
      <c r="C485" s="15">
        <f t="shared" si="1"/>
        <v>0</v>
      </c>
      <c r="E485" s="15"/>
      <c r="F485" s="15" t="s">
        <v>507</v>
      </c>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row>
    <row r="486">
      <c r="A486" s="15"/>
      <c r="B486" s="15"/>
      <c r="C486" s="15">
        <f t="shared" si="1"/>
        <v>0</v>
      </c>
      <c r="E486" s="15"/>
      <c r="F486" s="15" t="s">
        <v>507</v>
      </c>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row>
    <row r="487">
      <c r="A487" s="15"/>
      <c r="B487" s="15"/>
      <c r="C487" s="15">
        <f t="shared" si="1"/>
        <v>0</v>
      </c>
      <c r="E487" s="15"/>
      <c r="F487" s="15" t="s">
        <v>507</v>
      </c>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row>
    <row r="488">
      <c r="A488" s="15"/>
      <c r="B488" s="15"/>
      <c r="C488" s="15">
        <f t="shared" si="1"/>
        <v>0</v>
      </c>
      <c r="E488" s="15"/>
      <c r="F488" s="15" t="s">
        <v>507</v>
      </c>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row>
    <row r="489">
      <c r="A489" s="15"/>
      <c r="B489" s="15"/>
      <c r="C489" s="15">
        <f t="shared" si="1"/>
        <v>0</v>
      </c>
      <c r="E489" s="15"/>
      <c r="F489" s="15" t="s">
        <v>507</v>
      </c>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row>
    <row r="490">
      <c r="A490" s="15"/>
      <c r="B490" s="15"/>
      <c r="C490" s="15">
        <f t="shared" si="1"/>
        <v>0</v>
      </c>
      <c r="E490" s="15"/>
      <c r="F490" s="15" t="s">
        <v>507</v>
      </c>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row>
    <row r="491">
      <c r="A491" s="15"/>
      <c r="B491" s="15"/>
      <c r="C491" s="15">
        <f t="shared" si="1"/>
        <v>0</v>
      </c>
      <c r="E491" s="15"/>
      <c r="F491" s="15" t="s">
        <v>507</v>
      </c>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row>
    <row r="492">
      <c r="A492" s="15"/>
      <c r="B492" s="15"/>
      <c r="C492" s="15">
        <f t="shared" si="1"/>
        <v>0</v>
      </c>
      <c r="E492" s="15"/>
      <c r="F492" s="15" t="s">
        <v>507</v>
      </c>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row>
    <row r="493">
      <c r="A493" s="15"/>
      <c r="B493" s="15"/>
      <c r="C493" s="15">
        <f t="shared" si="1"/>
        <v>0</v>
      </c>
      <c r="E493" s="15"/>
      <c r="F493" s="15" t="s">
        <v>507</v>
      </c>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row>
    <row r="494">
      <c r="A494" s="15"/>
      <c r="B494" s="15"/>
      <c r="C494" s="15">
        <f t="shared" si="1"/>
        <v>0</v>
      </c>
      <c r="E494" s="15"/>
      <c r="F494" s="15" t="s">
        <v>507</v>
      </c>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row>
    <row r="495">
      <c r="A495" s="15"/>
      <c r="B495" s="15"/>
      <c r="C495" s="15">
        <f t="shared" si="1"/>
        <v>0</v>
      </c>
      <c r="E495" s="15"/>
      <c r="F495" s="15" t="s">
        <v>507</v>
      </c>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row>
    <row r="496">
      <c r="A496" s="15"/>
      <c r="B496" s="15"/>
      <c r="C496" s="15">
        <f t="shared" si="1"/>
        <v>0</v>
      </c>
      <c r="E496" s="15"/>
      <c r="F496" s="15" t="s">
        <v>507</v>
      </c>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row>
    <row r="497">
      <c r="A497" s="15"/>
      <c r="B497" s="15"/>
      <c r="C497" s="15">
        <f t="shared" si="1"/>
        <v>0</v>
      </c>
      <c r="E497" s="15"/>
      <c r="F497" s="15" t="s">
        <v>507</v>
      </c>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15"/>
      <c r="BK497" s="15"/>
      <c r="BL497" s="15"/>
      <c r="BM497" s="15"/>
      <c r="BN497" s="15"/>
      <c r="BO497" s="15"/>
      <c r="BP497" s="15"/>
      <c r="BQ497" s="15"/>
      <c r="BR497" s="15"/>
      <c r="BS497" s="15"/>
      <c r="BT497" s="15"/>
      <c r="BU497" s="15"/>
      <c r="BV497" s="15"/>
    </row>
    <row r="498">
      <c r="A498" s="15"/>
      <c r="B498" s="15"/>
      <c r="C498" s="15">
        <f t="shared" si="1"/>
        <v>0</v>
      </c>
      <c r="E498" s="15"/>
      <c r="F498" s="15" t="s">
        <v>507</v>
      </c>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row>
    <row r="499">
      <c r="A499" s="15"/>
      <c r="B499" s="15"/>
      <c r="C499" s="15">
        <f t="shared" si="1"/>
        <v>0</v>
      </c>
      <c r="E499" s="15"/>
      <c r="F499" s="15" t="s">
        <v>507</v>
      </c>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row>
    <row r="500">
      <c r="A500" s="15"/>
      <c r="B500" s="15"/>
      <c r="C500" s="15">
        <f t="shared" si="1"/>
        <v>0</v>
      </c>
      <c r="E500" s="15"/>
      <c r="F500" s="15" t="s">
        <v>507</v>
      </c>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row>
    <row r="501">
      <c r="A501" s="15"/>
      <c r="B501" s="15"/>
      <c r="C501" s="15">
        <f t="shared" si="1"/>
        <v>0</v>
      </c>
      <c r="E501" s="15"/>
      <c r="F501" s="15" t="s">
        <v>507</v>
      </c>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row>
    <row r="502">
      <c r="A502" s="15"/>
      <c r="B502" s="15"/>
      <c r="C502" s="15">
        <f t="shared" si="1"/>
        <v>0</v>
      </c>
      <c r="E502" s="15"/>
      <c r="F502" s="15" t="s">
        <v>507</v>
      </c>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15"/>
      <c r="BK502" s="15"/>
      <c r="BL502" s="15"/>
      <c r="BM502" s="15"/>
      <c r="BN502" s="15"/>
      <c r="BO502" s="15"/>
      <c r="BP502" s="15"/>
      <c r="BQ502" s="15"/>
      <c r="BR502" s="15"/>
      <c r="BS502" s="15"/>
      <c r="BT502" s="15"/>
      <c r="BU502" s="15"/>
      <c r="BV502" s="15"/>
    </row>
    <row r="503">
      <c r="A503" s="15"/>
      <c r="B503" s="15"/>
      <c r="C503" s="15">
        <f t="shared" si="1"/>
        <v>0</v>
      </c>
      <c r="E503" s="15"/>
      <c r="F503" s="15" t="s">
        <v>507</v>
      </c>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row>
    <row r="504">
      <c r="A504" s="15"/>
      <c r="B504" s="15"/>
      <c r="C504" s="15">
        <f t="shared" si="1"/>
        <v>0</v>
      </c>
      <c r="E504" s="15"/>
      <c r="F504" s="15" t="s">
        <v>507</v>
      </c>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row>
    <row r="505">
      <c r="A505" s="15"/>
      <c r="B505" s="15"/>
      <c r="C505" s="15">
        <f t="shared" si="1"/>
        <v>0</v>
      </c>
      <c r="E505" s="15"/>
      <c r="F505" s="15" t="s">
        <v>507</v>
      </c>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row>
    <row r="506">
      <c r="A506" s="15"/>
      <c r="B506" s="15"/>
      <c r="C506" s="15">
        <f t="shared" si="1"/>
        <v>0</v>
      </c>
      <c r="E506" s="15"/>
      <c r="F506" s="15" t="s">
        <v>507</v>
      </c>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row>
    <row r="507">
      <c r="A507" s="15"/>
      <c r="B507" s="15"/>
      <c r="C507" s="15">
        <f t="shared" si="1"/>
        <v>0</v>
      </c>
      <c r="E507" s="15"/>
      <c r="F507" s="15" t="s">
        <v>507</v>
      </c>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row>
    <row r="508">
      <c r="A508" s="15"/>
      <c r="B508" s="15"/>
      <c r="C508" s="15">
        <f t="shared" si="1"/>
        <v>0</v>
      </c>
      <c r="E508" s="15"/>
      <c r="F508" s="15" t="s">
        <v>507</v>
      </c>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row>
    <row r="509">
      <c r="A509" s="15"/>
      <c r="B509" s="15"/>
      <c r="C509" s="15">
        <f t="shared" si="1"/>
        <v>0</v>
      </c>
      <c r="E509" s="15"/>
      <c r="F509" s="15" t="s">
        <v>507</v>
      </c>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row>
    <row r="510">
      <c r="A510" s="15"/>
      <c r="B510" s="15"/>
      <c r="C510" s="15">
        <f t="shared" si="1"/>
        <v>0</v>
      </c>
      <c r="E510" s="15"/>
      <c r="F510" s="15" t="s">
        <v>507</v>
      </c>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row>
    <row r="511">
      <c r="A511" s="15"/>
      <c r="B511" s="15"/>
      <c r="C511" s="15">
        <f t="shared" si="1"/>
        <v>0</v>
      </c>
      <c r="E511" s="15"/>
      <c r="F511" s="15" t="s">
        <v>507</v>
      </c>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row>
    <row r="512">
      <c r="A512" s="15"/>
      <c r="B512" s="15"/>
      <c r="C512" s="15">
        <f t="shared" si="1"/>
        <v>0</v>
      </c>
      <c r="E512" s="15"/>
      <c r="F512" s="15" t="s">
        <v>507</v>
      </c>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row>
    <row r="513">
      <c r="A513" s="15"/>
      <c r="B513" s="15"/>
      <c r="C513" s="15">
        <f t="shared" si="1"/>
        <v>0</v>
      </c>
      <c r="E513" s="15"/>
      <c r="F513" s="15" t="s">
        <v>507</v>
      </c>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row>
    <row r="514">
      <c r="A514" s="15"/>
      <c r="B514" s="15"/>
      <c r="C514" s="15">
        <f t="shared" si="1"/>
        <v>0</v>
      </c>
      <c r="E514" s="15"/>
      <c r="F514" s="15" t="s">
        <v>507</v>
      </c>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row>
    <row r="515">
      <c r="A515" s="15"/>
      <c r="B515" s="15"/>
      <c r="C515" s="15">
        <f t="shared" si="1"/>
        <v>0</v>
      </c>
      <c r="E515" s="15"/>
      <c r="F515" s="15" t="s">
        <v>507</v>
      </c>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15"/>
      <c r="BK515" s="15"/>
      <c r="BL515" s="15"/>
      <c r="BM515" s="15"/>
      <c r="BN515" s="15"/>
      <c r="BO515" s="15"/>
      <c r="BP515" s="15"/>
      <c r="BQ515" s="15"/>
      <c r="BR515" s="15"/>
      <c r="BS515" s="15"/>
      <c r="BT515" s="15"/>
      <c r="BU515" s="15"/>
      <c r="BV515" s="15"/>
    </row>
    <row r="516">
      <c r="A516" s="15"/>
      <c r="B516" s="15"/>
      <c r="C516" s="15">
        <f t="shared" si="1"/>
        <v>0</v>
      </c>
      <c r="E516" s="15"/>
      <c r="F516" s="15" t="s">
        <v>507</v>
      </c>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row>
    <row r="517">
      <c r="A517" s="15"/>
      <c r="B517" s="15"/>
      <c r="C517" s="15">
        <f t="shared" si="1"/>
        <v>0</v>
      </c>
      <c r="E517" s="15"/>
      <c r="F517" s="15" t="s">
        <v>507</v>
      </c>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row>
    <row r="518">
      <c r="A518" s="15"/>
      <c r="B518" s="15"/>
      <c r="C518" s="15">
        <f t="shared" si="1"/>
        <v>0</v>
      </c>
      <c r="E518" s="15"/>
      <c r="F518" s="15" t="s">
        <v>507</v>
      </c>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row>
    <row r="519">
      <c r="A519" s="15"/>
      <c r="B519" s="15"/>
      <c r="C519" s="15">
        <f t="shared" si="1"/>
        <v>0</v>
      </c>
      <c r="E519" s="15"/>
      <c r="F519" s="15" t="s">
        <v>507</v>
      </c>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row>
    <row r="520">
      <c r="A520" s="15"/>
      <c r="B520" s="15"/>
      <c r="C520" s="15">
        <f t="shared" si="1"/>
        <v>0</v>
      </c>
      <c r="E520" s="15"/>
      <c r="F520" s="15" t="s">
        <v>507</v>
      </c>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row>
    <row r="521">
      <c r="A521" s="15"/>
      <c r="B521" s="15"/>
      <c r="C521" s="15">
        <f t="shared" si="1"/>
        <v>0</v>
      </c>
      <c r="E521" s="15"/>
      <c r="F521" s="15" t="s">
        <v>507</v>
      </c>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row>
    <row r="522">
      <c r="A522" s="15"/>
      <c r="B522" s="15"/>
      <c r="C522" s="15">
        <f t="shared" si="1"/>
        <v>0</v>
      </c>
      <c r="E522" s="15"/>
      <c r="F522" s="15" t="s">
        <v>507</v>
      </c>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row>
    <row r="523">
      <c r="A523" s="15"/>
      <c r="B523" s="15"/>
      <c r="C523" s="15">
        <f t="shared" si="1"/>
        <v>0</v>
      </c>
      <c r="E523" s="15"/>
      <c r="F523" s="15" t="s">
        <v>507</v>
      </c>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row>
    <row r="524">
      <c r="A524" s="15"/>
      <c r="B524" s="15"/>
      <c r="C524" s="15">
        <f t="shared" si="1"/>
        <v>0</v>
      </c>
      <c r="E524" s="15"/>
      <c r="F524" s="15" t="s">
        <v>507</v>
      </c>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row>
    <row r="525">
      <c r="A525" s="15"/>
      <c r="B525" s="15"/>
      <c r="C525" s="15">
        <f t="shared" si="1"/>
        <v>0</v>
      </c>
      <c r="E525" s="15"/>
      <c r="F525" s="15" t="s">
        <v>507</v>
      </c>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row>
    <row r="526">
      <c r="A526" s="15"/>
      <c r="B526" s="15"/>
      <c r="C526" s="15">
        <f t="shared" si="1"/>
        <v>0</v>
      </c>
      <c r="E526" s="15"/>
      <c r="F526" s="15" t="s">
        <v>507</v>
      </c>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c r="BT526" s="15"/>
      <c r="BU526" s="15"/>
      <c r="BV526" s="15"/>
    </row>
    <row r="527">
      <c r="A527" s="15"/>
      <c r="B527" s="15"/>
      <c r="C527" s="15">
        <f t="shared" si="1"/>
        <v>0</v>
      </c>
      <c r="E527" s="15"/>
      <c r="F527" s="15" t="s">
        <v>507</v>
      </c>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row>
    <row r="528">
      <c r="A528" s="15"/>
      <c r="B528" s="15"/>
      <c r="C528" s="15">
        <f t="shared" si="1"/>
        <v>0</v>
      </c>
      <c r="E528" s="15"/>
      <c r="F528" s="15" t="s">
        <v>507</v>
      </c>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row>
    <row r="529">
      <c r="A529" s="15"/>
      <c r="B529" s="15"/>
      <c r="C529" s="15">
        <f t="shared" si="1"/>
        <v>0</v>
      </c>
      <c r="E529" s="15"/>
      <c r="F529" s="15" t="s">
        <v>507</v>
      </c>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row>
    <row r="530">
      <c r="A530" s="15"/>
      <c r="B530" s="15"/>
      <c r="C530" s="15">
        <f t="shared" si="1"/>
        <v>0</v>
      </c>
      <c r="E530" s="15"/>
      <c r="F530" s="15" t="s">
        <v>507</v>
      </c>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row>
    <row r="531">
      <c r="A531" s="15"/>
      <c r="B531" s="15"/>
      <c r="C531" s="15">
        <f t="shared" si="1"/>
        <v>0</v>
      </c>
      <c r="E531" s="15"/>
      <c r="F531" s="15" t="s">
        <v>507</v>
      </c>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row>
    <row r="532">
      <c r="A532" s="15"/>
      <c r="B532" s="15"/>
      <c r="C532" s="15">
        <f t="shared" si="1"/>
        <v>0</v>
      </c>
      <c r="E532" s="15"/>
      <c r="F532" s="15" t="s">
        <v>507</v>
      </c>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row>
    <row r="533">
      <c r="A533" s="15"/>
      <c r="B533" s="15"/>
      <c r="C533" s="15">
        <f t="shared" si="1"/>
        <v>0</v>
      </c>
      <c r="E533" s="15"/>
      <c r="F533" s="15" t="s">
        <v>507</v>
      </c>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row>
    <row r="534">
      <c r="A534" s="15"/>
      <c r="B534" s="15"/>
      <c r="C534" s="15">
        <f t="shared" si="1"/>
        <v>0</v>
      </c>
      <c r="E534" s="15"/>
      <c r="F534" s="15" t="s">
        <v>507</v>
      </c>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row>
    <row r="535">
      <c r="A535" s="15"/>
      <c r="B535" s="15"/>
      <c r="C535" s="15">
        <f t="shared" si="1"/>
        <v>0</v>
      </c>
      <c r="E535" s="15"/>
      <c r="F535" s="15" t="s">
        <v>507</v>
      </c>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row>
    <row r="536">
      <c r="A536" s="15"/>
      <c r="B536" s="15"/>
      <c r="C536" s="15">
        <f t="shared" si="1"/>
        <v>0</v>
      </c>
      <c r="E536" s="15"/>
      <c r="F536" s="15" t="s">
        <v>507</v>
      </c>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row>
    <row r="537">
      <c r="A537" s="15"/>
      <c r="B537" s="15"/>
      <c r="C537" s="15">
        <f t="shared" si="1"/>
        <v>0</v>
      </c>
      <c r="E537" s="15"/>
      <c r="F537" s="15" t="s">
        <v>507</v>
      </c>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row>
    <row r="538">
      <c r="A538" s="15"/>
      <c r="B538" s="15"/>
      <c r="C538" s="15">
        <f t="shared" si="1"/>
        <v>0</v>
      </c>
      <c r="E538" s="15"/>
      <c r="F538" s="15" t="s">
        <v>507</v>
      </c>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row>
    <row r="539">
      <c r="A539" s="15"/>
      <c r="B539" s="15"/>
      <c r="C539" s="15">
        <f t="shared" si="1"/>
        <v>0</v>
      </c>
      <c r="E539" s="15"/>
      <c r="F539" s="15" t="s">
        <v>507</v>
      </c>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row>
    <row r="540">
      <c r="A540" s="15"/>
      <c r="B540" s="15"/>
      <c r="C540" s="15">
        <f t="shared" si="1"/>
        <v>0</v>
      </c>
      <c r="E540" s="15"/>
      <c r="F540" s="15" t="s">
        <v>507</v>
      </c>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row>
    <row r="541">
      <c r="A541" s="15"/>
      <c r="B541" s="15"/>
      <c r="C541" s="15">
        <f t="shared" si="1"/>
        <v>0</v>
      </c>
      <c r="E541" s="15"/>
      <c r="F541" s="15" t="s">
        <v>507</v>
      </c>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row>
    <row r="542">
      <c r="A542" s="15"/>
      <c r="B542" s="15"/>
      <c r="C542" s="15">
        <f t="shared" si="1"/>
        <v>0</v>
      </c>
      <c r="E542" s="15"/>
      <c r="F542" s="15" t="s">
        <v>507</v>
      </c>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row>
    <row r="543">
      <c r="A543" s="15"/>
      <c r="B543" s="15"/>
      <c r="C543" s="15">
        <f t="shared" si="1"/>
        <v>0</v>
      </c>
      <c r="E543" s="15"/>
      <c r="F543" s="15" t="s">
        <v>507</v>
      </c>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row>
    <row r="544">
      <c r="A544" s="15"/>
      <c r="B544" s="15"/>
      <c r="C544" s="15">
        <f t="shared" si="1"/>
        <v>0</v>
      </c>
      <c r="E544" s="15"/>
      <c r="F544" s="15" t="s">
        <v>507</v>
      </c>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row>
    <row r="545">
      <c r="A545" s="15"/>
      <c r="B545" s="15"/>
      <c r="C545" s="15">
        <f t="shared" si="1"/>
        <v>0</v>
      </c>
      <c r="E545" s="15"/>
      <c r="F545" s="15" t="s">
        <v>507</v>
      </c>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row>
    <row r="546">
      <c r="A546" s="15"/>
      <c r="B546" s="15"/>
      <c r="C546" s="15">
        <f t="shared" si="1"/>
        <v>0</v>
      </c>
      <c r="E546" s="15"/>
      <c r="F546" s="15" t="s">
        <v>507</v>
      </c>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row>
    <row r="547">
      <c r="A547" s="15"/>
      <c r="B547" s="15"/>
      <c r="C547" s="15">
        <f t="shared" si="1"/>
        <v>0</v>
      </c>
      <c r="E547" s="15"/>
      <c r="F547" s="15" t="s">
        <v>507</v>
      </c>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row>
    <row r="548">
      <c r="A548" s="15"/>
      <c r="B548" s="15"/>
      <c r="C548" s="15">
        <f t="shared" si="1"/>
        <v>0</v>
      </c>
      <c r="E548" s="15"/>
      <c r="F548" s="15" t="s">
        <v>507</v>
      </c>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row>
    <row r="549">
      <c r="A549" s="15"/>
      <c r="B549" s="15"/>
      <c r="C549" s="15">
        <f t="shared" si="1"/>
        <v>0</v>
      </c>
      <c r="E549" s="15"/>
      <c r="F549" s="15" t="s">
        <v>507</v>
      </c>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row>
    <row r="550">
      <c r="A550" s="15"/>
      <c r="B550" s="15"/>
      <c r="C550" s="15">
        <f t="shared" si="1"/>
        <v>0</v>
      </c>
      <c r="E550" s="15"/>
      <c r="F550" s="15" t="s">
        <v>507</v>
      </c>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row>
    <row r="551">
      <c r="A551" s="15"/>
      <c r="B551" s="15"/>
      <c r="C551" s="15">
        <f t="shared" si="1"/>
        <v>0</v>
      </c>
      <c r="E551" s="15"/>
      <c r="F551" s="15" t="s">
        <v>507</v>
      </c>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row>
    <row r="552">
      <c r="A552" s="15"/>
      <c r="B552" s="15"/>
      <c r="C552" s="15">
        <f t="shared" si="1"/>
        <v>0</v>
      </c>
      <c r="E552" s="15"/>
      <c r="F552" s="15" t="s">
        <v>507</v>
      </c>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row>
    <row r="553">
      <c r="A553" s="15"/>
      <c r="B553" s="15"/>
      <c r="C553" s="15">
        <f t="shared" si="1"/>
        <v>0</v>
      </c>
      <c r="E553" s="15"/>
      <c r="F553" s="15" t="s">
        <v>507</v>
      </c>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row>
    <row r="554">
      <c r="A554" s="15"/>
      <c r="B554" s="15"/>
      <c r="C554" s="15">
        <f t="shared" si="1"/>
        <v>0</v>
      </c>
      <c r="E554" s="15"/>
      <c r="F554" s="15" t="s">
        <v>507</v>
      </c>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row>
    <row r="555">
      <c r="A555" s="15"/>
      <c r="B555" s="15"/>
      <c r="C555" s="15">
        <f t="shared" si="1"/>
        <v>0</v>
      </c>
      <c r="E555" s="15"/>
      <c r="F555" s="15" t="s">
        <v>507</v>
      </c>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row>
    <row r="556">
      <c r="A556" s="15"/>
      <c r="B556" s="15"/>
      <c r="C556" s="15">
        <f t="shared" si="1"/>
        <v>0</v>
      </c>
      <c r="E556" s="15"/>
      <c r="F556" s="15" t="s">
        <v>507</v>
      </c>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row>
    <row r="557">
      <c r="A557" s="15"/>
      <c r="B557" s="15"/>
      <c r="C557" s="15">
        <f t="shared" si="1"/>
        <v>0</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row>
    <row r="558">
      <c r="A558" s="15"/>
      <c r="B558" s="15"/>
      <c r="C558" s="15">
        <f t="shared" si="1"/>
        <v>0</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row>
    <row r="559">
      <c r="A559" s="15"/>
      <c r="B559" s="15"/>
      <c r="C559" s="15">
        <f t="shared" si="1"/>
        <v>0</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row>
    <row r="560">
      <c r="A560" s="15"/>
      <c r="B560" s="15"/>
      <c r="C560" s="15">
        <f t="shared" si="1"/>
        <v>0</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row>
    <row r="561">
      <c r="A561" s="15"/>
      <c r="B561" s="15"/>
      <c r="C561" s="15">
        <f t="shared" si="1"/>
        <v>0</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row>
    <row r="562">
      <c r="A562" s="15"/>
      <c r="B562" s="15"/>
      <c r="C562" s="15">
        <f t="shared" si="1"/>
        <v>0</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row>
    <row r="563">
      <c r="A563" s="15"/>
      <c r="B563" s="15"/>
      <c r="C563" s="15">
        <f t="shared" si="1"/>
        <v>0</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row>
    <row r="564">
      <c r="A564" s="15"/>
      <c r="B564" s="15"/>
      <c r="C564" s="15">
        <f t="shared" si="1"/>
        <v>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row>
    <row r="565">
      <c r="A565" s="15"/>
      <c r="B565" s="15"/>
      <c r="C565" s="15">
        <f t="shared" si="1"/>
        <v>0</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row>
    <row r="566">
      <c r="A566" s="15"/>
      <c r="B566" s="15"/>
      <c r="C566" s="15">
        <f t="shared" si="1"/>
        <v>0</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row>
    <row r="567">
      <c r="A567" s="15"/>
      <c r="B567" s="15"/>
      <c r="C567" s="15">
        <f t="shared" si="1"/>
        <v>0</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row>
    <row r="568">
      <c r="A568" s="15"/>
      <c r="B568" s="15"/>
      <c r="C568" s="15">
        <f t="shared" si="1"/>
        <v>0</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row>
    <row r="569">
      <c r="A569" s="15"/>
      <c r="B569" s="15"/>
      <c r="C569" s="15">
        <f t="shared" si="1"/>
        <v>0</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row>
    <row r="570">
      <c r="A570" s="15"/>
      <c r="B570" s="15"/>
      <c r="C570" s="15">
        <f t="shared" si="1"/>
        <v>0</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row>
    <row r="571">
      <c r="A571" s="15"/>
      <c r="B571" s="15"/>
      <c r="C571" s="15">
        <f t="shared" si="1"/>
        <v>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row>
    <row r="572">
      <c r="A572" s="15"/>
      <c r="B572" s="15"/>
      <c r="C572" s="15">
        <f t="shared" si="1"/>
        <v>0</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row>
    <row r="573">
      <c r="A573" s="15"/>
      <c r="B573" s="15"/>
      <c r="C573" s="15">
        <f t="shared" si="1"/>
        <v>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row>
    <row r="574">
      <c r="A574" s="15"/>
      <c r="B574" s="15"/>
      <c r="C574" s="15">
        <f t="shared" si="1"/>
        <v>0</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row>
    <row r="575">
      <c r="A575" s="15"/>
      <c r="B575" s="15"/>
      <c r="C575" s="15">
        <f t="shared" si="1"/>
        <v>0</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row>
    <row r="576">
      <c r="A576" s="15"/>
      <c r="B576" s="15"/>
      <c r="C576" s="15">
        <f t="shared" si="1"/>
        <v>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row>
    <row r="577">
      <c r="A577" s="15"/>
      <c r="B577" s="15"/>
      <c r="C577" s="15">
        <f t="shared" si="1"/>
        <v>0</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row>
    <row r="578">
      <c r="A578" s="15"/>
      <c r="B578" s="15"/>
      <c r="C578" s="15">
        <f t="shared" si="1"/>
        <v>0</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row>
    <row r="579">
      <c r="A579" s="15"/>
      <c r="B579" s="15"/>
      <c r="C579" s="15">
        <f t="shared" si="1"/>
        <v>0</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row>
    <row r="580">
      <c r="A580" s="15"/>
      <c r="B580" s="15"/>
      <c r="C580" s="15">
        <f t="shared" si="1"/>
        <v>0</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row>
    <row r="581">
      <c r="A581" s="15"/>
      <c r="B581" s="15"/>
      <c r="C581" s="15">
        <f t="shared" si="1"/>
        <v>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row>
    <row r="582">
      <c r="A582" s="15"/>
      <c r="B582" s="15"/>
      <c r="C582" s="15">
        <f t="shared" si="1"/>
        <v>0</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row>
    <row r="583">
      <c r="A583" s="15"/>
      <c r="B583" s="15"/>
      <c r="C583" s="15">
        <f t="shared" si="1"/>
        <v>0</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15"/>
      <c r="BK583" s="15"/>
      <c r="BL583" s="15"/>
      <c r="BM583" s="15"/>
      <c r="BN583" s="15"/>
      <c r="BO583" s="15"/>
      <c r="BP583" s="15"/>
      <c r="BQ583" s="15"/>
      <c r="BR583" s="15"/>
      <c r="BS583" s="15"/>
      <c r="BT583" s="15"/>
      <c r="BU583" s="15"/>
      <c r="BV583" s="15"/>
    </row>
    <row r="584">
      <c r="A584" s="15"/>
      <c r="B584" s="15"/>
      <c r="C584" s="15">
        <f t="shared" si="1"/>
        <v>0</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row>
    <row r="585">
      <c r="A585" s="15"/>
      <c r="B585" s="15"/>
      <c r="C585" s="15">
        <f t="shared" si="1"/>
        <v>0</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15"/>
      <c r="BK585" s="15"/>
      <c r="BL585" s="15"/>
      <c r="BM585" s="15"/>
      <c r="BN585" s="15"/>
      <c r="BO585" s="15"/>
      <c r="BP585" s="15"/>
      <c r="BQ585" s="15"/>
      <c r="BR585" s="15"/>
      <c r="BS585" s="15"/>
      <c r="BT585" s="15"/>
      <c r="BU585" s="15"/>
      <c r="BV585" s="15"/>
    </row>
    <row r="586">
      <c r="A586" s="15"/>
      <c r="B586" s="15"/>
      <c r="C586" s="15">
        <f t="shared" si="1"/>
        <v>0</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15"/>
      <c r="BK586" s="15"/>
      <c r="BL586" s="15"/>
      <c r="BM586" s="15"/>
      <c r="BN586" s="15"/>
      <c r="BO586" s="15"/>
      <c r="BP586" s="15"/>
      <c r="BQ586" s="15"/>
      <c r="BR586" s="15"/>
      <c r="BS586" s="15"/>
      <c r="BT586" s="15"/>
      <c r="BU586" s="15"/>
      <c r="BV586" s="15"/>
    </row>
    <row r="587">
      <c r="A587" s="15"/>
      <c r="B587" s="15"/>
      <c r="C587" s="15">
        <f t="shared" si="1"/>
        <v>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row>
    <row r="588">
      <c r="A588" s="15"/>
      <c r="B588" s="15"/>
      <c r="C588" s="15">
        <f t="shared" si="1"/>
        <v>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5"/>
    </row>
    <row r="589">
      <c r="A589" s="15"/>
      <c r="B589" s="15"/>
      <c r="C589" s="15">
        <f t="shared" si="1"/>
        <v>0</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row>
    <row r="590">
      <c r="A590" s="15"/>
      <c r="B590" s="15"/>
      <c r="C590" s="15">
        <f t="shared" si="1"/>
        <v>0</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row>
    <row r="591">
      <c r="A591" s="15"/>
      <c r="B591" s="15"/>
      <c r="C591" s="15">
        <f t="shared" si="1"/>
        <v>0</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c r="BT591" s="15"/>
      <c r="BU591" s="15"/>
      <c r="BV591" s="15"/>
    </row>
    <row r="592">
      <c r="A592" s="15"/>
      <c r="B592" s="15"/>
      <c r="C592" s="15">
        <f t="shared" si="1"/>
        <v>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row>
    <row r="593">
      <c r="A593" s="15"/>
      <c r="B593" s="15"/>
      <c r="C593" s="15">
        <f t="shared" si="1"/>
        <v>0</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c r="BT593" s="15"/>
      <c r="BU593" s="15"/>
      <c r="BV593" s="15"/>
    </row>
    <row r="594">
      <c r="A594" s="15"/>
      <c r="B594" s="15"/>
      <c r="C594" s="15">
        <f t="shared" si="1"/>
        <v>0</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c r="BT594" s="15"/>
      <c r="BU594" s="15"/>
      <c r="BV594" s="15"/>
    </row>
    <row r="595">
      <c r="A595" s="15"/>
      <c r="B595" s="15"/>
      <c r="C595" s="15">
        <f t="shared" si="1"/>
        <v>0</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c r="BT595" s="15"/>
      <c r="BU595" s="15"/>
      <c r="BV595" s="15"/>
    </row>
    <row r="596">
      <c r="A596" s="15"/>
      <c r="B596" s="15"/>
      <c r="C596" s="15">
        <f t="shared" si="1"/>
        <v>0</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c r="BT596" s="15"/>
      <c r="BU596" s="15"/>
      <c r="BV596" s="15"/>
    </row>
    <row r="597">
      <c r="A597" s="15"/>
      <c r="B597" s="15"/>
      <c r="C597" s="15">
        <f t="shared" si="1"/>
        <v>0</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c r="BO597" s="15"/>
      <c r="BP597" s="15"/>
      <c r="BQ597" s="15"/>
      <c r="BR597" s="15"/>
      <c r="BS597" s="15"/>
      <c r="BT597" s="15"/>
      <c r="BU597" s="15"/>
      <c r="BV597" s="15"/>
    </row>
    <row r="598">
      <c r="A598" s="15"/>
      <c r="B598" s="15"/>
      <c r="C598" s="15">
        <f t="shared" si="1"/>
        <v>0</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15"/>
      <c r="BK598" s="15"/>
      <c r="BL598" s="15"/>
      <c r="BM598" s="15"/>
      <c r="BN598" s="15"/>
      <c r="BO598" s="15"/>
      <c r="BP598" s="15"/>
      <c r="BQ598" s="15"/>
      <c r="BR598" s="15"/>
      <c r="BS598" s="15"/>
      <c r="BT598" s="15"/>
      <c r="BU598" s="15"/>
      <c r="BV598" s="15"/>
    </row>
    <row r="599">
      <c r="A599" s="15"/>
      <c r="B599" s="15"/>
      <c r="C599" s="15">
        <f t="shared" si="1"/>
        <v>0</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15"/>
      <c r="BK599" s="15"/>
      <c r="BL599" s="15"/>
      <c r="BM599" s="15"/>
      <c r="BN599" s="15"/>
      <c r="BO599" s="15"/>
      <c r="BP599" s="15"/>
      <c r="BQ599" s="15"/>
      <c r="BR599" s="15"/>
      <c r="BS599" s="15"/>
      <c r="BT599" s="15"/>
      <c r="BU599" s="15"/>
      <c r="BV599" s="15"/>
    </row>
    <row r="600">
      <c r="A600" s="15"/>
      <c r="B600" s="15"/>
      <c r="C600" s="15">
        <f t="shared" si="1"/>
        <v>0</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c r="BO600" s="15"/>
      <c r="BP600" s="15"/>
      <c r="BQ600" s="15"/>
      <c r="BR600" s="15"/>
      <c r="BS600" s="15"/>
      <c r="BT600" s="15"/>
      <c r="BU600" s="15"/>
      <c r="BV600" s="15"/>
    </row>
    <row r="601">
      <c r="A601" s="15"/>
      <c r="B601" s="15"/>
      <c r="C601" s="15">
        <f t="shared" si="1"/>
        <v>0</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c r="BO601" s="15"/>
      <c r="BP601" s="15"/>
      <c r="BQ601" s="15"/>
      <c r="BR601" s="15"/>
      <c r="BS601" s="15"/>
      <c r="BT601" s="15"/>
      <c r="BU601" s="15"/>
      <c r="BV601" s="15"/>
    </row>
    <row r="602">
      <c r="A602" s="15"/>
      <c r="B602" s="15"/>
      <c r="C602" s="15">
        <f t="shared" si="1"/>
        <v>0</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c r="BO602" s="15"/>
      <c r="BP602" s="15"/>
      <c r="BQ602" s="15"/>
      <c r="BR602" s="15"/>
      <c r="BS602" s="15"/>
      <c r="BT602" s="15"/>
      <c r="BU602" s="15"/>
      <c r="BV602" s="15"/>
    </row>
    <row r="603">
      <c r="A603" s="15"/>
      <c r="B603" s="15"/>
      <c r="C603" s="15">
        <f t="shared" si="1"/>
        <v>0</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c r="BO603" s="15"/>
      <c r="BP603" s="15"/>
      <c r="BQ603" s="15"/>
      <c r="BR603" s="15"/>
      <c r="BS603" s="15"/>
      <c r="BT603" s="15"/>
      <c r="BU603" s="15"/>
      <c r="BV603" s="15"/>
    </row>
    <row r="604">
      <c r="A604" s="15"/>
      <c r="B604" s="15"/>
      <c r="C604" s="15">
        <f t="shared" si="1"/>
        <v>0</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c r="BO604" s="15"/>
      <c r="BP604" s="15"/>
      <c r="BQ604" s="15"/>
      <c r="BR604" s="15"/>
      <c r="BS604" s="15"/>
      <c r="BT604" s="15"/>
      <c r="BU604" s="15"/>
      <c r="BV604" s="15"/>
    </row>
    <row r="605">
      <c r="A605" s="15"/>
      <c r="B605" s="15"/>
      <c r="C605" s="15">
        <f t="shared" si="1"/>
        <v>0</v>
      </c>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row>
    <row r="606">
      <c r="A606" s="15"/>
      <c r="B606" s="15"/>
      <c r="C606" s="15">
        <f t="shared" si="1"/>
        <v>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15"/>
      <c r="BK606" s="15"/>
      <c r="BL606" s="15"/>
      <c r="BM606" s="15"/>
      <c r="BN606" s="15"/>
      <c r="BO606" s="15"/>
      <c r="BP606" s="15"/>
      <c r="BQ606" s="15"/>
      <c r="BR606" s="15"/>
      <c r="BS606" s="15"/>
      <c r="BT606" s="15"/>
      <c r="BU606" s="15"/>
      <c r="BV606" s="15"/>
    </row>
    <row r="607">
      <c r="A607" s="15"/>
      <c r="B607" s="15"/>
      <c r="C607" s="15">
        <f t="shared" si="1"/>
        <v>0</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c r="BT607" s="15"/>
      <c r="BU607" s="15"/>
      <c r="BV607" s="15"/>
    </row>
    <row r="608">
      <c r="A608" s="15"/>
      <c r="B608" s="15"/>
      <c r="C608" s="15">
        <f t="shared" si="1"/>
        <v>0</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row>
    <row r="609">
      <c r="A609" s="15"/>
      <c r="B609" s="15"/>
      <c r="C609" s="15">
        <f t="shared" si="1"/>
        <v>0</v>
      </c>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row>
    <row r="610">
      <c r="A610" s="15"/>
      <c r="B610" s="15"/>
      <c r="C610" s="15">
        <f t="shared" si="1"/>
        <v>0</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c r="BT610" s="15"/>
      <c r="BU610" s="15"/>
      <c r="BV610" s="15"/>
    </row>
    <row r="611">
      <c r="A611" s="15"/>
      <c r="B611" s="15"/>
      <c r="C611" s="15">
        <f t="shared" si="1"/>
        <v>0</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c r="BT611" s="15"/>
      <c r="BU611" s="15"/>
      <c r="BV611" s="15"/>
    </row>
    <row r="612">
      <c r="A612" s="15"/>
      <c r="B612" s="15"/>
      <c r="C612" s="15">
        <f t="shared" si="1"/>
        <v>0</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5"/>
    </row>
    <row r="613">
      <c r="A613" s="15"/>
      <c r="B613" s="15"/>
      <c r="C613" s="15">
        <f t="shared" si="1"/>
        <v>0</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row>
    <row r="614">
      <c r="A614" s="15"/>
      <c r="B614" s="15"/>
      <c r="C614" s="15">
        <f t="shared" si="1"/>
        <v>0</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c r="BT614" s="15"/>
      <c r="BU614" s="15"/>
      <c r="BV614" s="15"/>
    </row>
    <row r="615">
      <c r="A615" s="15"/>
      <c r="B615" s="15"/>
      <c r="C615" s="15">
        <f t="shared" si="1"/>
        <v>0</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row>
    <row r="616">
      <c r="A616" s="15"/>
      <c r="B616" s="15"/>
      <c r="C616" s="15">
        <f t="shared" si="1"/>
        <v>0</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row>
    <row r="617">
      <c r="A617" s="15"/>
      <c r="B617" s="15"/>
      <c r="C617" s="15">
        <f t="shared" si="1"/>
        <v>0</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c r="BT617" s="15"/>
      <c r="BU617" s="15"/>
      <c r="BV617" s="15"/>
    </row>
    <row r="618">
      <c r="A618" s="15"/>
      <c r="B618" s="15"/>
      <c r="C618" s="15">
        <f t="shared" si="1"/>
        <v>0</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c r="BT618" s="15"/>
      <c r="BU618" s="15"/>
      <c r="BV618" s="15"/>
    </row>
    <row r="619">
      <c r="A619" s="15"/>
      <c r="B619" s="15"/>
      <c r="C619" s="15">
        <f t="shared" si="1"/>
        <v>0</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c r="BT619" s="15"/>
      <c r="BU619" s="15"/>
      <c r="BV619" s="15"/>
    </row>
    <row r="620">
      <c r="A620" s="15"/>
      <c r="B620" s="15"/>
      <c r="C620" s="15">
        <f t="shared" si="1"/>
        <v>0</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c r="BT620" s="15"/>
      <c r="BU620" s="15"/>
      <c r="BV620" s="15"/>
    </row>
    <row r="621">
      <c r="A621" s="15"/>
      <c r="B621" s="15"/>
      <c r="C621" s="15">
        <f t="shared" si="1"/>
        <v>0</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c r="BT621" s="15"/>
      <c r="BU621" s="15"/>
      <c r="BV621" s="15"/>
    </row>
    <row r="622">
      <c r="A622" s="15"/>
      <c r="B622" s="15"/>
      <c r="C622" s="15">
        <f t="shared" si="1"/>
        <v>0</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c r="BT622" s="15"/>
      <c r="BU622" s="15"/>
      <c r="BV622" s="15"/>
    </row>
    <row r="623">
      <c r="A623" s="15"/>
      <c r="B623" s="15"/>
      <c r="C623" s="15">
        <f t="shared" si="1"/>
        <v>0</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c r="BT623" s="15"/>
      <c r="BU623" s="15"/>
      <c r="BV623" s="15"/>
    </row>
    <row r="624">
      <c r="A624" s="15"/>
      <c r="B624" s="15"/>
      <c r="C624" s="15">
        <f t="shared" si="1"/>
        <v>0</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c r="BT624" s="15"/>
      <c r="BU624" s="15"/>
      <c r="BV624" s="15"/>
    </row>
    <row r="625">
      <c r="A625" s="15"/>
      <c r="B625" s="15"/>
      <c r="C625" s="15">
        <f t="shared" si="1"/>
        <v>0</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5"/>
    </row>
    <row r="626">
      <c r="A626" s="15"/>
      <c r="B626" s="15"/>
      <c r="C626" s="15">
        <f t="shared" si="1"/>
        <v>0</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c r="BT626" s="15"/>
      <c r="BU626" s="15"/>
      <c r="BV626" s="15"/>
    </row>
    <row r="627">
      <c r="A627" s="15"/>
      <c r="B627" s="15"/>
      <c r="C627" s="15">
        <f t="shared" si="1"/>
        <v>0</v>
      </c>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c r="BT627" s="15"/>
      <c r="BU627" s="15"/>
      <c r="BV627" s="15"/>
    </row>
    <row r="628">
      <c r="A628" s="15"/>
      <c r="B628" s="15"/>
      <c r="C628" s="15">
        <f t="shared" si="1"/>
        <v>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c r="BT628" s="15"/>
      <c r="BU628" s="15"/>
      <c r="BV628" s="15"/>
    </row>
    <row r="629">
      <c r="A629" s="15"/>
      <c r="B629" s="15"/>
      <c r="C629" s="15">
        <f t="shared" si="1"/>
        <v>0</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c r="BT629" s="15"/>
      <c r="BU629" s="15"/>
      <c r="BV629" s="15"/>
    </row>
    <row r="630">
      <c r="A630" s="15"/>
      <c r="B630" s="15"/>
      <c r="C630" s="15">
        <f t="shared" si="1"/>
        <v>0</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c r="BT630" s="15"/>
      <c r="BU630" s="15"/>
      <c r="BV630" s="15"/>
    </row>
    <row r="631">
      <c r="A631" s="15"/>
      <c r="B631" s="15"/>
      <c r="C631" s="15">
        <f t="shared" si="1"/>
        <v>0</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5"/>
    </row>
    <row r="632">
      <c r="A632" s="15"/>
      <c r="B632" s="15"/>
      <c r="C632" s="15">
        <f t="shared" si="1"/>
        <v>0</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c r="BT632" s="15"/>
      <c r="BU632" s="15"/>
      <c r="BV632" s="15"/>
    </row>
    <row r="633">
      <c r="A633" s="15"/>
      <c r="B633" s="15"/>
      <c r="C633" s="15">
        <f t="shared" si="1"/>
        <v>0</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c r="BT633" s="15"/>
      <c r="BU633" s="15"/>
      <c r="BV633" s="15"/>
    </row>
    <row r="634">
      <c r="A634" s="15"/>
      <c r="B634" s="15"/>
      <c r="C634" s="15">
        <f t="shared" si="1"/>
        <v>0</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c r="BT634" s="15"/>
      <c r="BU634" s="15"/>
      <c r="BV634" s="15"/>
    </row>
    <row r="635">
      <c r="A635" s="15"/>
      <c r="B635" s="15"/>
      <c r="C635" s="15">
        <f t="shared" si="1"/>
        <v>0</v>
      </c>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c r="BT635" s="15"/>
      <c r="BU635" s="15"/>
      <c r="BV635" s="15"/>
    </row>
    <row r="636">
      <c r="A636" s="15"/>
      <c r="B636" s="15"/>
      <c r="C636" s="15">
        <f t="shared" si="1"/>
        <v>0</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c r="BT636" s="15"/>
      <c r="BU636" s="15"/>
      <c r="BV636" s="15"/>
    </row>
    <row r="637">
      <c r="A637" s="15"/>
      <c r="B637" s="15"/>
      <c r="C637" s="15">
        <f t="shared" si="1"/>
        <v>0</v>
      </c>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c r="BT637" s="15"/>
      <c r="BU637" s="15"/>
      <c r="BV637" s="15"/>
    </row>
    <row r="638">
      <c r="A638" s="15"/>
      <c r="B638" s="15"/>
      <c r="C638" s="15">
        <f t="shared" si="1"/>
        <v>0</v>
      </c>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c r="BT638" s="15"/>
      <c r="BU638" s="15"/>
      <c r="BV638" s="15"/>
    </row>
    <row r="639">
      <c r="A639" s="15"/>
      <c r="B639" s="15"/>
      <c r="C639" s="15">
        <f t="shared" si="1"/>
        <v>0</v>
      </c>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row>
    <row r="640">
      <c r="A640" s="15"/>
      <c r="B640" s="15"/>
      <c r="C640" s="15">
        <f t="shared" si="1"/>
        <v>0</v>
      </c>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c r="BT640" s="15"/>
      <c r="BU640" s="15"/>
      <c r="BV640" s="15"/>
    </row>
    <row r="641">
      <c r="A641" s="15"/>
      <c r="B641" s="15"/>
      <c r="C641" s="15">
        <f t="shared" si="1"/>
        <v>0</v>
      </c>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row>
    <row r="642">
      <c r="A642" s="15"/>
      <c r="B642" s="15"/>
      <c r="C642" s="15">
        <f t="shared" si="1"/>
        <v>0</v>
      </c>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row>
    <row r="643">
      <c r="A643" s="15"/>
      <c r="B643" s="15"/>
      <c r="C643" s="15">
        <f t="shared" si="1"/>
        <v>0</v>
      </c>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row>
    <row r="644">
      <c r="A644" s="15"/>
      <c r="B644" s="15"/>
      <c r="C644" s="15">
        <f t="shared" si="1"/>
        <v>0</v>
      </c>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row>
    <row r="645">
      <c r="A645" s="15"/>
      <c r="B645" s="15"/>
      <c r="C645" s="15">
        <f t="shared" si="1"/>
        <v>0</v>
      </c>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row>
    <row r="646">
      <c r="A646" s="15"/>
      <c r="B646" s="15"/>
      <c r="C646" s="15">
        <f t="shared" si="1"/>
        <v>0</v>
      </c>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row>
    <row r="647">
      <c r="A647" s="15"/>
      <c r="B647" s="15"/>
      <c r="C647" s="15">
        <f t="shared" si="1"/>
        <v>0</v>
      </c>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row>
    <row r="648">
      <c r="A648" s="15"/>
      <c r="B648" s="15"/>
      <c r="C648" s="15">
        <f t="shared" si="1"/>
        <v>0</v>
      </c>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c r="BT648" s="15"/>
      <c r="BU648" s="15"/>
      <c r="BV648" s="15"/>
    </row>
    <row r="649">
      <c r="A649" s="15"/>
      <c r="B649" s="15"/>
      <c r="C649" s="15">
        <f t="shared" si="1"/>
        <v>0</v>
      </c>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c r="BT649" s="15"/>
      <c r="BU649" s="15"/>
      <c r="BV649" s="15"/>
    </row>
    <row r="650">
      <c r="A650" s="15"/>
      <c r="B650" s="15"/>
      <c r="C650" s="15">
        <f t="shared" si="1"/>
        <v>0</v>
      </c>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c r="BT650" s="15"/>
      <c r="BU650" s="15"/>
      <c r="BV650" s="15"/>
    </row>
    <row r="651">
      <c r="A651" s="15"/>
      <c r="B651" s="15"/>
      <c r="C651" s="15">
        <f t="shared" si="1"/>
        <v>0</v>
      </c>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c r="BT651" s="15"/>
      <c r="BU651" s="15"/>
      <c r="BV651" s="15"/>
    </row>
    <row r="652">
      <c r="A652" s="15"/>
      <c r="B652" s="15"/>
      <c r="C652" s="15">
        <f t="shared" si="1"/>
        <v>0</v>
      </c>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c r="BT652" s="15"/>
      <c r="BU652" s="15"/>
      <c r="BV652" s="15"/>
    </row>
    <row r="653">
      <c r="A653" s="15"/>
      <c r="B653" s="15"/>
      <c r="C653" s="15">
        <f t="shared" si="1"/>
        <v>0</v>
      </c>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c r="BT653" s="15"/>
      <c r="BU653" s="15"/>
      <c r="BV653" s="15"/>
    </row>
    <row r="654">
      <c r="A654" s="15"/>
      <c r="B654" s="15"/>
      <c r="C654" s="15">
        <f t="shared" si="1"/>
        <v>0</v>
      </c>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c r="BT654" s="15"/>
      <c r="BU654" s="15"/>
      <c r="BV654" s="15"/>
    </row>
    <row r="655">
      <c r="A655" s="15"/>
      <c r="B655" s="15"/>
      <c r="C655" s="15">
        <f t="shared" si="1"/>
        <v>0</v>
      </c>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c r="BT655" s="15"/>
      <c r="BU655" s="15"/>
      <c r="BV655" s="15"/>
    </row>
    <row r="656">
      <c r="A656" s="15"/>
      <c r="B656" s="15"/>
      <c r="C656" s="15">
        <f t="shared" si="1"/>
        <v>0</v>
      </c>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5"/>
    </row>
    <row r="657">
      <c r="A657" s="15"/>
      <c r="B657" s="15"/>
      <c r="C657" s="15">
        <f t="shared" si="1"/>
        <v>0</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c r="BT657" s="15"/>
      <c r="BU657" s="15"/>
      <c r="BV657" s="15"/>
    </row>
    <row r="658">
      <c r="A658" s="15"/>
      <c r="B658" s="15"/>
      <c r="C658" s="15">
        <f t="shared" si="1"/>
        <v>0</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c r="BT658" s="15"/>
      <c r="BU658" s="15"/>
      <c r="BV658" s="15"/>
    </row>
    <row r="659">
      <c r="A659" s="15"/>
      <c r="B659" s="15"/>
      <c r="C659" s="15">
        <f t="shared" si="1"/>
        <v>0</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c r="BT659" s="15"/>
      <c r="BU659" s="15"/>
      <c r="BV659" s="15"/>
    </row>
    <row r="660">
      <c r="A660" s="15"/>
      <c r="B660" s="15"/>
      <c r="C660" s="15">
        <f t="shared" si="1"/>
        <v>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c r="BP660" s="15"/>
      <c r="BQ660" s="15"/>
      <c r="BR660" s="15"/>
      <c r="BS660" s="15"/>
      <c r="BT660" s="15"/>
      <c r="BU660" s="15"/>
      <c r="BV660" s="15"/>
    </row>
    <row r="661">
      <c r="A661" s="15"/>
      <c r="B661" s="15"/>
      <c r="C661" s="15">
        <f t="shared" si="1"/>
        <v>0</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c r="BP661" s="15"/>
      <c r="BQ661" s="15"/>
      <c r="BR661" s="15"/>
      <c r="BS661" s="15"/>
      <c r="BT661" s="15"/>
      <c r="BU661" s="15"/>
      <c r="BV661" s="15"/>
    </row>
    <row r="662">
      <c r="A662" s="15"/>
      <c r="B662" s="15"/>
      <c r="C662" s="15">
        <f t="shared" si="1"/>
        <v>0</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c r="BP662" s="15"/>
      <c r="BQ662" s="15"/>
      <c r="BR662" s="15"/>
      <c r="BS662" s="15"/>
      <c r="BT662" s="15"/>
      <c r="BU662" s="15"/>
      <c r="BV662" s="15"/>
    </row>
    <row r="663">
      <c r="A663" s="15"/>
      <c r="B663" s="15"/>
      <c r="C663" s="15">
        <f t="shared" si="1"/>
        <v>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c r="BT663" s="15"/>
      <c r="BU663" s="15"/>
      <c r="BV663" s="15"/>
    </row>
    <row r="664">
      <c r="A664" s="15"/>
      <c r="B664" s="15"/>
      <c r="C664" s="15">
        <f t="shared" si="1"/>
        <v>0</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15"/>
      <c r="BK664" s="15"/>
      <c r="BL664" s="15"/>
      <c r="BM664" s="15"/>
      <c r="BN664" s="15"/>
      <c r="BO664" s="15"/>
      <c r="BP664" s="15"/>
      <c r="BQ664" s="15"/>
      <c r="BR664" s="15"/>
      <c r="BS664" s="15"/>
      <c r="BT664" s="15"/>
      <c r="BU664" s="15"/>
      <c r="BV664" s="15"/>
    </row>
    <row r="665">
      <c r="A665" s="15"/>
      <c r="B665" s="15"/>
      <c r="C665" s="15">
        <f t="shared" si="1"/>
        <v>0</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15"/>
      <c r="BK665" s="15"/>
      <c r="BL665" s="15"/>
      <c r="BM665" s="15"/>
      <c r="BN665" s="15"/>
      <c r="BO665" s="15"/>
      <c r="BP665" s="15"/>
      <c r="BQ665" s="15"/>
      <c r="BR665" s="15"/>
      <c r="BS665" s="15"/>
      <c r="BT665" s="15"/>
      <c r="BU665" s="15"/>
      <c r="BV665" s="15"/>
    </row>
    <row r="666">
      <c r="A666" s="15"/>
      <c r="B666" s="15"/>
      <c r="C666" s="15">
        <f t="shared" si="1"/>
        <v>0</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row>
    <row r="667">
      <c r="A667" s="15"/>
      <c r="B667" s="15"/>
      <c r="C667" s="15">
        <f t="shared" si="1"/>
        <v>0</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row>
    <row r="668">
      <c r="A668" s="15"/>
      <c r="B668" s="15"/>
      <c r="C668" s="15">
        <f t="shared" si="1"/>
        <v>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c r="BT668" s="15"/>
      <c r="BU668" s="15"/>
      <c r="BV668" s="15"/>
    </row>
    <row r="669">
      <c r="A669" s="15"/>
      <c r="B669" s="15"/>
      <c r="C669" s="15">
        <f t="shared" si="1"/>
        <v>0</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15"/>
      <c r="BK669" s="15"/>
      <c r="BL669" s="15"/>
      <c r="BM669" s="15"/>
      <c r="BN669" s="15"/>
      <c r="BO669" s="15"/>
      <c r="BP669" s="15"/>
      <c r="BQ669" s="15"/>
      <c r="BR669" s="15"/>
      <c r="BS669" s="15"/>
      <c r="BT669" s="15"/>
      <c r="BU669" s="15"/>
      <c r="BV669" s="15"/>
    </row>
    <row r="670">
      <c r="A670" s="15"/>
      <c r="B670" s="15"/>
      <c r="C670" s="15">
        <f t="shared" si="1"/>
        <v>0</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c r="BT670" s="15"/>
      <c r="BU670" s="15"/>
      <c r="BV670" s="15"/>
    </row>
    <row r="671">
      <c r="A671" s="15"/>
      <c r="B671" s="15"/>
      <c r="C671" s="15">
        <f t="shared" si="1"/>
        <v>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15"/>
      <c r="BK671" s="15"/>
      <c r="BL671" s="15"/>
      <c r="BM671" s="15"/>
      <c r="BN671" s="15"/>
      <c r="BO671" s="15"/>
      <c r="BP671" s="15"/>
      <c r="BQ671" s="15"/>
      <c r="BR671" s="15"/>
      <c r="BS671" s="15"/>
      <c r="BT671" s="15"/>
      <c r="BU671" s="15"/>
      <c r="BV671" s="15"/>
    </row>
    <row r="672">
      <c r="A672" s="15"/>
      <c r="B672" s="15"/>
      <c r="C672" s="15">
        <f t="shared" si="1"/>
        <v>0</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c r="BT672" s="15"/>
      <c r="BU672" s="15"/>
      <c r="BV672" s="15"/>
    </row>
    <row r="673">
      <c r="A673" s="15"/>
      <c r="B673" s="15"/>
      <c r="C673" s="15">
        <f t="shared" si="1"/>
        <v>0</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c r="BT673" s="15"/>
      <c r="BU673" s="15"/>
      <c r="BV673" s="15"/>
    </row>
    <row r="674">
      <c r="A674" s="15"/>
      <c r="B674" s="15"/>
      <c r="C674" s="15">
        <f t="shared" si="1"/>
        <v>0</v>
      </c>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c r="BT674" s="15"/>
      <c r="BU674" s="15"/>
      <c r="BV674" s="15"/>
    </row>
    <row r="675">
      <c r="A675" s="15"/>
      <c r="B675" s="15"/>
      <c r="C675" s="15">
        <f t="shared" si="1"/>
        <v>0</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15"/>
      <c r="BK675" s="15"/>
      <c r="BL675" s="15"/>
      <c r="BM675" s="15"/>
      <c r="BN675" s="15"/>
      <c r="BO675" s="15"/>
      <c r="BP675" s="15"/>
      <c r="BQ675" s="15"/>
      <c r="BR675" s="15"/>
      <c r="BS675" s="15"/>
      <c r="BT675" s="15"/>
      <c r="BU675" s="15"/>
      <c r="BV675" s="15"/>
    </row>
    <row r="676">
      <c r="A676" s="15"/>
      <c r="B676" s="15"/>
      <c r="C676" s="15">
        <f t="shared" si="1"/>
        <v>0</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15"/>
      <c r="BK676" s="15"/>
      <c r="BL676" s="15"/>
      <c r="BM676" s="15"/>
      <c r="BN676" s="15"/>
      <c r="BO676" s="15"/>
      <c r="BP676" s="15"/>
      <c r="BQ676" s="15"/>
      <c r="BR676" s="15"/>
      <c r="BS676" s="15"/>
      <c r="BT676" s="15"/>
      <c r="BU676" s="15"/>
      <c r="BV676" s="15"/>
    </row>
    <row r="677">
      <c r="A677" s="15"/>
      <c r="B677" s="15"/>
      <c r="C677" s="15">
        <f t="shared" si="1"/>
        <v>0</v>
      </c>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15"/>
      <c r="BK677" s="15"/>
      <c r="BL677" s="15"/>
      <c r="BM677" s="15"/>
      <c r="BN677" s="15"/>
      <c r="BO677" s="15"/>
      <c r="BP677" s="15"/>
      <c r="BQ677" s="15"/>
      <c r="BR677" s="15"/>
      <c r="BS677" s="15"/>
      <c r="BT677" s="15"/>
      <c r="BU677" s="15"/>
      <c r="BV677" s="15"/>
    </row>
    <row r="678">
      <c r="A678" s="15"/>
      <c r="B678" s="15"/>
      <c r="C678" s="15">
        <f t="shared" si="1"/>
        <v>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15"/>
      <c r="BK678" s="15"/>
      <c r="BL678" s="15"/>
      <c r="BM678" s="15"/>
      <c r="BN678" s="15"/>
      <c r="BO678" s="15"/>
      <c r="BP678" s="15"/>
      <c r="BQ678" s="15"/>
      <c r="BR678" s="15"/>
      <c r="BS678" s="15"/>
      <c r="BT678" s="15"/>
      <c r="BU678" s="15"/>
      <c r="BV678" s="15"/>
    </row>
    <row r="679">
      <c r="A679" s="15"/>
      <c r="B679" s="15"/>
      <c r="C679" s="15">
        <f t="shared" si="1"/>
        <v>0</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c r="BO679" s="15"/>
      <c r="BP679" s="15"/>
      <c r="BQ679" s="15"/>
      <c r="BR679" s="15"/>
      <c r="BS679" s="15"/>
      <c r="BT679" s="15"/>
      <c r="BU679" s="15"/>
      <c r="BV679" s="15"/>
    </row>
    <row r="680">
      <c r="A680" s="15"/>
      <c r="B680" s="15"/>
      <c r="C680" s="15">
        <f t="shared" si="1"/>
        <v>0</v>
      </c>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c r="BO680" s="15"/>
      <c r="BP680" s="15"/>
      <c r="BQ680" s="15"/>
      <c r="BR680" s="15"/>
      <c r="BS680" s="15"/>
      <c r="BT680" s="15"/>
      <c r="BU680" s="15"/>
      <c r="BV680" s="15"/>
    </row>
    <row r="681">
      <c r="A681" s="15"/>
      <c r="B681" s="15"/>
      <c r="C681" s="15">
        <f t="shared" si="1"/>
        <v>0</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c r="BO681" s="15"/>
      <c r="BP681" s="15"/>
      <c r="BQ681" s="15"/>
      <c r="BR681" s="15"/>
      <c r="BS681" s="15"/>
      <c r="BT681" s="15"/>
      <c r="BU681" s="15"/>
      <c r="BV681" s="15"/>
    </row>
    <row r="682">
      <c r="A682" s="15"/>
      <c r="B682" s="15"/>
      <c r="C682" s="15">
        <f t="shared" si="1"/>
        <v>0</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c r="BO682" s="15"/>
      <c r="BP682" s="15"/>
      <c r="BQ682" s="15"/>
      <c r="BR682" s="15"/>
      <c r="BS682" s="15"/>
      <c r="BT682" s="15"/>
      <c r="BU682" s="15"/>
      <c r="BV682" s="15"/>
    </row>
    <row r="683">
      <c r="A683" s="15"/>
      <c r="B683" s="15"/>
      <c r="C683" s="15">
        <f t="shared" si="1"/>
        <v>0</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c r="BO683" s="15"/>
      <c r="BP683" s="15"/>
      <c r="BQ683" s="15"/>
      <c r="BR683" s="15"/>
      <c r="BS683" s="15"/>
      <c r="BT683" s="15"/>
      <c r="BU683" s="15"/>
      <c r="BV683" s="15"/>
    </row>
    <row r="684">
      <c r="A684" s="15"/>
      <c r="B684" s="15"/>
      <c r="C684" s="15">
        <f t="shared" si="1"/>
        <v>0</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c r="BO684" s="15"/>
      <c r="BP684" s="15"/>
      <c r="BQ684" s="15"/>
      <c r="BR684" s="15"/>
      <c r="BS684" s="15"/>
      <c r="BT684" s="15"/>
      <c r="BU684" s="15"/>
      <c r="BV684" s="15"/>
    </row>
    <row r="685">
      <c r="A685" s="15"/>
      <c r="B685" s="15"/>
      <c r="C685" s="15">
        <f t="shared" si="1"/>
        <v>0</v>
      </c>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c r="BT685" s="15"/>
      <c r="BU685" s="15"/>
      <c r="BV685" s="15"/>
    </row>
    <row r="686">
      <c r="A686" s="15"/>
      <c r="B686" s="15"/>
      <c r="C686" s="15">
        <f t="shared" si="1"/>
        <v>0</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c r="BP686" s="15"/>
      <c r="BQ686" s="15"/>
      <c r="BR686" s="15"/>
      <c r="BS686" s="15"/>
      <c r="BT686" s="15"/>
      <c r="BU686" s="15"/>
      <c r="BV686" s="15"/>
    </row>
    <row r="687">
      <c r="A687" s="15"/>
      <c r="B687" s="15"/>
      <c r="C687" s="15">
        <f t="shared" si="1"/>
        <v>0</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c r="BP687" s="15"/>
      <c r="BQ687" s="15"/>
      <c r="BR687" s="15"/>
      <c r="BS687" s="15"/>
      <c r="BT687" s="15"/>
      <c r="BU687" s="15"/>
      <c r="BV687" s="15"/>
    </row>
    <row r="688">
      <c r="A688" s="15"/>
      <c r="B688" s="15"/>
      <c r="C688" s="15">
        <f t="shared" si="1"/>
        <v>0</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c r="BP688" s="15"/>
      <c r="BQ688" s="15"/>
      <c r="BR688" s="15"/>
      <c r="BS688" s="15"/>
      <c r="BT688" s="15"/>
      <c r="BU688" s="15"/>
      <c r="BV688" s="15"/>
    </row>
    <row r="689">
      <c r="A689" s="15"/>
      <c r="B689" s="15"/>
      <c r="C689" s="15">
        <f t="shared" si="1"/>
        <v>0</v>
      </c>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c r="BP689" s="15"/>
      <c r="BQ689" s="15"/>
      <c r="BR689" s="15"/>
      <c r="BS689" s="15"/>
      <c r="BT689" s="15"/>
      <c r="BU689" s="15"/>
      <c r="BV689" s="15"/>
    </row>
    <row r="690">
      <c r="A690" s="15"/>
      <c r="B690" s="15"/>
      <c r="C690" s="15">
        <f t="shared" si="1"/>
        <v>0</v>
      </c>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c r="BP690" s="15"/>
      <c r="BQ690" s="15"/>
      <c r="BR690" s="15"/>
      <c r="BS690" s="15"/>
      <c r="BT690" s="15"/>
      <c r="BU690" s="15"/>
      <c r="BV690" s="15"/>
    </row>
    <row r="691">
      <c r="A691" s="15"/>
      <c r="B691" s="15"/>
      <c r="C691" s="15">
        <f t="shared" si="1"/>
        <v>0</v>
      </c>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c r="BP691" s="15"/>
      <c r="BQ691" s="15"/>
      <c r="BR691" s="15"/>
      <c r="BS691" s="15"/>
      <c r="BT691" s="15"/>
      <c r="BU691" s="15"/>
      <c r="BV691" s="15"/>
    </row>
    <row r="692">
      <c r="A692" s="15"/>
      <c r="B692" s="15"/>
      <c r="C692" s="15">
        <f t="shared" si="1"/>
        <v>0</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c r="BP692" s="15"/>
      <c r="BQ692" s="15"/>
      <c r="BR692" s="15"/>
      <c r="BS692" s="15"/>
      <c r="BT692" s="15"/>
      <c r="BU692" s="15"/>
      <c r="BV692" s="15"/>
    </row>
    <row r="693">
      <c r="A693" s="15"/>
      <c r="B693" s="15"/>
      <c r="C693" s="15">
        <f t="shared" si="1"/>
        <v>0</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c r="BP693" s="15"/>
      <c r="BQ693" s="15"/>
      <c r="BR693" s="15"/>
      <c r="BS693" s="15"/>
      <c r="BT693" s="15"/>
      <c r="BU693" s="15"/>
      <c r="BV693" s="15"/>
    </row>
    <row r="694">
      <c r="A694" s="15"/>
      <c r="B694" s="15"/>
      <c r="C694" s="15">
        <f t="shared" si="1"/>
        <v>0</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row>
    <row r="695">
      <c r="A695" s="15"/>
      <c r="B695" s="15"/>
      <c r="C695" s="15">
        <f t="shared" si="1"/>
        <v>0</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row>
    <row r="696">
      <c r="A696" s="15"/>
      <c r="B696" s="15"/>
      <c r="C696" s="15">
        <f t="shared" si="1"/>
        <v>0</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row>
    <row r="697">
      <c r="A697" s="15"/>
      <c r="B697" s="15"/>
      <c r="C697" s="15">
        <f t="shared" si="1"/>
        <v>0</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row>
    <row r="698">
      <c r="A698" s="15"/>
      <c r="B698" s="15"/>
      <c r="C698" s="15">
        <f t="shared" si="1"/>
        <v>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row>
    <row r="699">
      <c r="A699" s="15"/>
      <c r="B699" s="15"/>
      <c r="C699" s="15">
        <f t="shared" si="1"/>
        <v>0</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row>
    <row r="700">
      <c r="A700" s="15"/>
      <c r="B700" s="15"/>
      <c r="C700" s="15">
        <f t="shared" si="1"/>
        <v>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row>
    <row r="701">
      <c r="A701" s="15"/>
      <c r="B701" s="15"/>
      <c r="C701" s="15">
        <f t="shared" si="1"/>
        <v>0</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row>
    <row r="702">
      <c r="A702" s="15"/>
      <c r="B702" s="15"/>
      <c r="C702" s="15">
        <f t="shared" si="1"/>
        <v>0</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row>
    <row r="703">
      <c r="A703" s="15"/>
      <c r="B703" s="15"/>
      <c r="C703" s="15">
        <f t="shared" si="1"/>
        <v>0</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row>
    <row r="704">
      <c r="A704" s="15"/>
      <c r="B704" s="15"/>
      <c r="C704" s="15">
        <f t="shared" si="1"/>
        <v>0</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row>
    <row r="705">
      <c r="A705" s="15"/>
      <c r="B705" s="15"/>
      <c r="C705" s="15">
        <f t="shared" si="1"/>
        <v>0</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row>
    <row r="706">
      <c r="A706" s="15"/>
      <c r="B706" s="15"/>
      <c r="C706" s="15">
        <f t="shared" si="1"/>
        <v>0</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row>
    <row r="707">
      <c r="A707" s="15"/>
      <c r="B707" s="15"/>
      <c r="C707" s="15">
        <f t="shared" si="1"/>
        <v>0</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row>
    <row r="708">
      <c r="A708" s="15"/>
      <c r="B708" s="15"/>
      <c r="C708" s="15">
        <f t="shared" si="1"/>
        <v>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row>
    <row r="709">
      <c r="A709" s="15"/>
      <c r="B709" s="15"/>
      <c r="C709" s="15">
        <f t="shared" si="1"/>
        <v>0</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row>
    <row r="710">
      <c r="A710" s="15"/>
      <c r="B710" s="15"/>
      <c r="C710" s="15">
        <f t="shared" si="1"/>
        <v>0</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row>
    <row r="711">
      <c r="A711" s="15"/>
      <c r="B711" s="15"/>
      <c r="C711" s="15">
        <f t="shared" si="1"/>
        <v>0</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row>
    <row r="712">
      <c r="A712" s="15"/>
      <c r="B712" s="15"/>
      <c r="C712" s="15">
        <f t="shared" si="1"/>
        <v>0</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row>
    <row r="713">
      <c r="A713" s="15"/>
      <c r="B713" s="15"/>
      <c r="C713" s="15">
        <f t="shared" si="1"/>
        <v>0</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row>
    <row r="714">
      <c r="A714" s="15"/>
      <c r="B714" s="15"/>
      <c r="C714" s="15">
        <f t="shared" si="1"/>
        <v>0</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row>
    <row r="715">
      <c r="A715" s="15"/>
      <c r="B715" s="15"/>
      <c r="C715" s="15">
        <f t="shared" si="1"/>
        <v>0</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row>
    <row r="716">
      <c r="A716" s="15"/>
      <c r="B716" s="15"/>
      <c r="C716" s="15">
        <f t="shared" si="1"/>
        <v>0</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row>
    <row r="717">
      <c r="A717" s="15"/>
      <c r="B717" s="15"/>
      <c r="C717" s="15">
        <f t="shared" si="1"/>
        <v>0</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row>
    <row r="718">
      <c r="A718" s="15"/>
      <c r="B718" s="15"/>
      <c r="C718" s="15">
        <f t="shared" si="1"/>
        <v>0</v>
      </c>
    </row>
    <row r="719">
      <c r="A719" s="15"/>
      <c r="B719" s="15"/>
      <c r="C719" s="15">
        <f t="shared" si="1"/>
        <v>0</v>
      </c>
    </row>
    <row r="720">
      <c r="A720" s="15"/>
      <c r="B720" s="15"/>
      <c r="C720" s="15">
        <f t="shared" si="1"/>
        <v>0</v>
      </c>
    </row>
    <row r="721">
      <c r="A721" s="15"/>
      <c r="B721" s="15"/>
      <c r="C721" s="15">
        <f t="shared" si="1"/>
        <v>0</v>
      </c>
    </row>
    <row r="722">
      <c r="A722" s="15"/>
      <c r="B722" s="15"/>
      <c r="C722" s="15">
        <f t="shared" si="1"/>
        <v>0</v>
      </c>
    </row>
    <row r="723">
      <c r="A723" s="15"/>
      <c r="B723" s="15"/>
      <c r="C723" s="15">
        <f t="shared" si="1"/>
        <v>0</v>
      </c>
    </row>
    <row r="724">
      <c r="A724" s="15"/>
      <c r="B724" s="15"/>
      <c r="C724" s="15">
        <f t="shared" si="1"/>
        <v>0</v>
      </c>
    </row>
    <row r="725">
      <c r="A725" s="15"/>
      <c r="B725" s="15"/>
      <c r="C725" s="15">
        <f t="shared" si="1"/>
        <v>0</v>
      </c>
    </row>
    <row r="726">
      <c r="A726" s="15"/>
      <c r="B726" s="15"/>
      <c r="C726" s="15">
        <f t="shared" si="1"/>
        <v>0</v>
      </c>
    </row>
    <row r="727">
      <c r="A727" s="15"/>
      <c r="B727" s="15"/>
      <c r="C727" s="15">
        <f t="shared" si="1"/>
        <v>0</v>
      </c>
    </row>
    <row r="728">
      <c r="A728" s="15"/>
      <c r="B728" s="15"/>
      <c r="C728" s="15">
        <f t="shared" si="1"/>
        <v>0</v>
      </c>
    </row>
    <row r="729">
      <c r="A729" s="15"/>
      <c r="B729" s="15"/>
      <c r="C729" s="15">
        <f t="shared" si="1"/>
        <v>0</v>
      </c>
    </row>
    <row r="730">
      <c r="A730" s="15"/>
      <c r="B730" s="15"/>
      <c r="C730" s="15">
        <f t="shared" si="1"/>
        <v>0</v>
      </c>
    </row>
    <row r="731">
      <c r="A731" s="15"/>
      <c r="B731" s="15"/>
      <c r="C731" s="15">
        <f t="shared" si="1"/>
        <v>0</v>
      </c>
    </row>
    <row r="732">
      <c r="A732" s="15"/>
      <c r="B732" s="15"/>
      <c r="C732" s="15">
        <f t="shared" si="1"/>
        <v>0</v>
      </c>
    </row>
    <row r="733">
      <c r="A733" s="15"/>
      <c r="B733" s="15"/>
      <c r="C733" s="15">
        <f t="shared" si="1"/>
        <v>0</v>
      </c>
    </row>
    <row r="734">
      <c r="A734" s="15"/>
      <c r="B734" s="15"/>
      <c r="C734" s="15">
        <f t="shared" si="1"/>
        <v>0</v>
      </c>
    </row>
    <row r="735">
      <c r="A735" s="15"/>
      <c r="B735" s="15"/>
      <c r="C735" s="15">
        <f t="shared" si="1"/>
        <v>0</v>
      </c>
    </row>
    <row r="736">
      <c r="A736" s="15"/>
      <c r="B736" s="15"/>
      <c r="C736" s="15">
        <f t="shared" si="1"/>
        <v>0</v>
      </c>
    </row>
    <row r="737">
      <c r="A737" s="15"/>
      <c r="B737" s="15"/>
      <c r="C737" s="15">
        <f t="shared" si="1"/>
        <v>0</v>
      </c>
    </row>
    <row r="738">
      <c r="A738" s="15"/>
      <c r="B738" s="15"/>
      <c r="C738" s="15">
        <f t="shared" si="1"/>
        <v>0</v>
      </c>
    </row>
    <row r="739">
      <c r="A739" s="15"/>
      <c r="B739" s="15"/>
      <c r="C739" s="15">
        <f t="shared" si="1"/>
        <v>0</v>
      </c>
    </row>
    <row r="740">
      <c r="A740" s="15"/>
      <c r="B740" s="15"/>
      <c r="C740" s="15">
        <f t="shared" si="1"/>
        <v>0</v>
      </c>
    </row>
    <row r="741">
      <c r="A741" s="15"/>
      <c r="B741" s="15"/>
      <c r="C741" s="15">
        <f t="shared" si="1"/>
        <v>0</v>
      </c>
    </row>
    <row r="742">
      <c r="A742" s="15"/>
      <c r="B742" s="15"/>
      <c r="C742" s="15">
        <f t="shared" si="1"/>
        <v>0</v>
      </c>
    </row>
    <row r="743">
      <c r="A743" s="15"/>
      <c r="B743" s="15"/>
      <c r="C743" s="15">
        <f t="shared" si="1"/>
        <v>0</v>
      </c>
    </row>
    <row r="744">
      <c r="A744" s="15"/>
      <c r="B744" s="15"/>
      <c r="C744" s="15">
        <f t="shared" si="1"/>
        <v>0</v>
      </c>
    </row>
    <row r="745">
      <c r="A745" s="15"/>
      <c r="B745" s="15"/>
      <c r="C745" s="15">
        <f t="shared" si="1"/>
        <v>0</v>
      </c>
    </row>
    <row r="746">
      <c r="A746" s="15"/>
      <c r="B746" s="15"/>
      <c r="C746" s="15">
        <f t="shared" si="1"/>
        <v>0</v>
      </c>
    </row>
    <row r="747">
      <c r="A747" s="15"/>
      <c r="B747" s="15"/>
      <c r="C747" s="15">
        <f t="shared" si="1"/>
        <v>0</v>
      </c>
    </row>
    <row r="748">
      <c r="A748" s="15"/>
      <c r="B748" s="15"/>
      <c r="C748" s="15">
        <f t="shared" si="1"/>
        <v>0</v>
      </c>
    </row>
    <row r="749">
      <c r="A749" s="15"/>
      <c r="B749" s="15"/>
      <c r="C749" s="15">
        <f t="shared" si="1"/>
        <v>0</v>
      </c>
    </row>
    <row r="750">
      <c r="A750" s="15"/>
      <c r="B750" s="15"/>
      <c r="C750" s="15">
        <f t="shared" si="1"/>
        <v>0</v>
      </c>
    </row>
    <row r="751">
      <c r="A751" s="15"/>
      <c r="B751" s="15"/>
      <c r="C751" s="15">
        <f t="shared" si="1"/>
        <v>0</v>
      </c>
    </row>
    <row r="752">
      <c r="A752" s="15"/>
      <c r="B752" s="15"/>
      <c r="C752" s="15">
        <f t="shared" si="1"/>
        <v>0</v>
      </c>
    </row>
    <row r="753">
      <c r="A753" s="15"/>
      <c r="B753" s="15"/>
      <c r="C753" s="15">
        <f t="shared" si="1"/>
        <v>0</v>
      </c>
    </row>
    <row r="754">
      <c r="A754" s="15"/>
      <c r="B754" s="15"/>
      <c r="C754" s="15">
        <f t="shared" si="1"/>
        <v>0</v>
      </c>
    </row>
    <row r="755">
      <c r="A755" s="15"/>
      <c r="B755" s="15"/>
      <c r="C755" s="15">
        <f t="shared" si="1"/>
        <v>0</v>
      </c>
    </row>
    <row r="756">
      <c r="A756" s="15"/>
      <c r="B756" s="15"/>
      <c r="C756" s="15">
        <f t="shared" si="1"/>
        <v>0</v>
      </c>
    </row>
    <row r="757">
      <c r="A757" s="15"/>
      <c r="B757" s="15"/>
      <c r="C757" s="15">
        <f t="shared" si="1"/>
        <v>0</v>
      </c>
    </row>
    <row r="758">
      <c r="A758" s="15"/>
      <c r="B758" s="15"/>
      <c r="C758" s="15">
        <f t="shared" si="1"/>
        <v>0</v>
      </c>
    </row>
    <row r="759">
      <c r="A759" s="15"/>
      <c r="B759" s="15"/>
      <c r="C759" s="15">
        <f t="shared" si="1"/>
        <v>0</v>
      </c>
    </row>
    <row r="760">
      <c r="A760" s="15"/>
      <c r="B760" s="15"/>
      <c r="C760" s="15">
        <f t="shared" si="1"/>
        <v>0</v>
      </c>
    </row>
    <row r="761">
      <c r="A761" s="15"/>
      <c r="B761" s="15"/>
      <c r="C761" s="15">
        <f t="shared" si="1"/>
        <v>0</v>
      </c>
    </row>
    <row r="762">
      <c r="A762" s="15"/>
      <c r="B762" s="15"/>
      <c r="C762" s="15">
        <f t="shared" si="1"/>
        <v>0</v>
      </c>
    </row>
    <row r="763">
      <c r="A763" s="15"/>
      <c r="B763" s="15"/>
      <c r="C763" s="15">
        <f t="shared" si="1"/>
        <v>0</v>
      </c>
    </row>
    <row r="764">
      <c r="A764" s="15"/>
      <c r="B764" s="15"/>
      <c r="C764" s="15">
        <f t="shared" si="1"/>
        <v>0</v>
      </c>
    </row>
    <row r="765">
      <c r="A765" s="15"/>
      <c r="B765" s="15"/>
      <c r="C765" s="15">
        <f t="shared" si="1"/>
        <v>0</v>
      </c>
    </row>
    <row r="766">
      <c r="A766" s="15"/>
      <c r="B766" s="15"/>
      <c r="C766" s="15">
        <f t="shared" si="1"/>
        <v>0</v>
      </c>
    </row>
    <row r="767">
      <c r="A767" s="15"/>
      <c r="B767" s="15"/>
      <c r="C767" s="15">
        <f t="shared" si="1"/>
        <v>0</v>
      </c>
    </row>
    <row r="768">
      <c r="A768" s="15"/>
      <c r="B768" s="15"/>
      <c r="C768" s="15">
        <f t="shared" si="1"/>
        <v>0</v>
      </c>
    </row>
    <row r="769">
      <c r="A769" s="15"/>
      <c r="B769" s="15"/>
      <c r="C769" s="15">
        <f t="shared" si="1"/>
        <v>0</v>
      </c>
    </row>
    <row r="770">
      <c r="A770" s="15"/>
      <c r="B770" s="15"/>
      <c r="C770" s="15">
        <f t="shared" si="1"/>
        <v>0</v>
      </c>
    </row>
    <row r="771">
      <c r="A771" s="15"/>
      <c r="B771" s="15"/>
      <c r="C771" s="15">
        <f t="shared" si="1"/>
        <v>0</v>
      </c>
    </row>
    <row r="772">
      <c r="A772" s="15"/>
      <c r="B772" s="15"/>
      <c r="C772" s="15">
        <f t="shared" si="1"/>
        <v>0</v>
      </c>
    </row>
    <row r="773">
      <c r="A773" s="15"/>
      <c r="B773" s="15"/>
      <c r="C773" s="15">
        <f t="shared" si="1"/>
        <v>0</v>
      </c>
    </row>
    <row r="774">
      <c r="A774" s="15"/>
      <c r="B774" s="15"/>
      <c r="C774" s="15">
        <f t="shared" si="1"/>
        <v>0</v>
      </c>
    </row>
    <row r="775">
      <c r="A775" s="15"/>
      <c r="B775" s="15"/>
      <c r="C775" s="15">
        <f t="shared" si="1"/>
        <v>0</v>
      </c>
    </row>
    <row r="776">
      <c r="A776" s="15"/>
      <c r="B776" s="15"/>
      <c r="C776" s="15">
        <f t="shared" si="1"/>
        <v>0</v>
      </c>
    </row>
    <row r="777">
      <c r="A777" s="15"/>
      <c r="B777" s="15"/>
      <c r="C777" s="15">
        <f t="shared" si="1"/>
        <v>0</v>
      </c>
    </row>
    <row r="778">
      <c r="A778" s="15"/>
      <c r="B778" s="15"/>
      <c r="C778" s="15">
        <f t="shared" si="1"/>
        <v>0</v>
      </c>
    </row>
    <row r="779">
      <c r="A779" s="15"/>
      <c r="B779" s="15"/>
      <c r="C779" s="15">
        <f t="shared" si="1"/>
        <v>0</v>
      </c>
    </row>
    <row r="780">
      <c r="A780" s="15"/>
      <c r="B780" s="15"/>
      <c r="C780" s="15">
        <f t="shared" si="1"/>
        <v>0</v>
      </c>
    </row>
    <row r="781">
      <c r="A781" s="15"/>
      <c r="B781" s="15"/>
      <c r="C781" s="15">
        <f t="shared" si="1"/>
        <v>0</v>
      </c>
    </row>
    <row r="782">
      <c r="A782" s="15"/>
      <c r="B782" s="15"/>
      <c r="C782" s="15">
        <f t="shared" si="1"/>
        <v>0</v>
      </c>
    </row>
    <row r="783">
      <c r="A783" s="15"/>
      <c r="B783" s="15"/>
      <c r="C783" s="15">
        <f t="shared" si="1"/>
        <v>0</v>
      </c>
    </row>
    <row r="784">
      <c r="A784" s="15"/>
      <c r="B784" s="15"/>
      <c r="C784" s="15">
        <f t="shared" si="1"/>
        <v>0</v>
      </c>
    </row>
    <row r="785">
      <c r="A785" s="15"/>
      <c r="B785" s="15"/>
      <c r="C785" s="15">
        <f t="shared" si="1"/>
        <v>0</v>
      </c>
    </row>
    <row r="786">
      <c r="A786" s="15"/>
      <c r="B786" s="15"/>
      <c r="C786" s="15">
        <f t="shared" si="1"/>
        <v>0</v>
      </c>
    </row>
    <row r="787">
      <c r="A787" s="15"/>
      <c r="B787" s="15"/>
      <c r="C787" s="15">
        <f t="shared" si="1"/>
        <v>0</v>
      </c>
    </row>
    <row r="788">
      <c r="A788" s="15"/>
      <c r="B788" s="15"/>
      <c r="C788" s="15">
        <f t="shared" si="1"/>
        <v>0</v>
      </c>
    </row>
    <row r="789">
      <c r="A789" s="15"/>
      <c r="B789" s="15"/>
      <c r="C789" s="15">
        <f t="shared" si="1"/>
        <v>0</v>
      </c>
    </row>
    <row r="790">
      <c r="A790" s="15"/>
      <c r="B790" s="15"/>
      <c r="C790" s="15">
        <f t="shared" si="1"/>
        <v>0</v>
      </c>
    </row>
    <row r="791">
      <c r="A791" s="15"/>
      <c r="B791" s="15"/>
      <c r="C791" s="15">
        <f t="shared" si="1"/>
        <v>0</v>
      </c>
    </row>
    <row r="792">
      <c r="A792" s="15"/>
      <c r="B792" s="15"/>
      <c r="C792" s="15">
        <f t="shared" si="1"/>
        <v>0</v>
      </c>
    </row>
    <row r="793">
      <c r="A793" s="15"/>
      <c r="B793" s="15"/>
      <c r="C793" s="15">
        <f t="shared" si="1"/>
        <v>0</v>
      </c>
    </row>
    <row r="794">
      <c r="A794" s="15"/>
      <c r="B794" s="15"/>
      <c r="C794" s="15">
        <f t="shared" si="1"/>
        <v>0</v>
      </c>
    </row>
    <row r="795">
      <c r="A795" s="15"/>
      <c r="B795" s="15"/>
      <c r="C795" s="15">
        <f t="shared" si="1"/>
        <v>0</v>
      </c>
    </row>
    <row r="796">
      <c r="A796" s="15"/>
      <c r="B796" s="15"/>
      <c r="C796" s="15">
        <f t="shared" si="1"/>
        <v>0</v>
      </c>
    </row>
    <row r="797">
      <c r="A797" s="15"/>
      <c r="B797" s="15"/>
      <c r="C797" s="15">
        <f t="shared" si="1"/>
        <v>0</v>
      </c>
    </row>
    <row r="798">
      <c r="A798" s="15"/>
      <c r="B798" s="15"/>
      <c r="C798" s="15">
        <f t="shared" si="1"/>
        <v>0</v>
      </c>
    </row>
    <row r="799">
      <c r="A799" s="15"/>
      <c r="B799" s="15"/>
      <c r="C799" s="15">
        <f t="shared" si="1"/>
        <v>0</v>
      </c>
    </row>
    <row r="800">
      <c r="A800" s="15"/>
      <c r="B800" s="15"/>
      <c r="C800" s="15">
        <f t="shared" si="1"/>
        <v>0</v>
      </c>
    </row>
    <row r="801">
      <c r="A801" s="15"/>
      <c r="B801" s="15"/>
      <c r="C801" s="15">
        <f t="shared" si="1"/>
        <v>0</v>
      </c>
    </row>
    <row r="802">
      <c r="A802" s="15"/>
      <c r="B802" s="15"/>
      <c r="C802" s="15">
        <f t="shared" si="1"/>
        <v>0</v>
      </c>
    </row>
    <row r="803">
      <c r="A803" s="15"/>
      <c r="B803" s="15"/>
      <c r="C803" s="15">
        <f t="shared" si="1"/>
        <v>0</v>
      </c>
    </row>
    <row r="804">
      <c r="A804" s="15"/>
      <c r="B804" s="15"/>
      <c r="C804" s="15">
        <f t="shared" si="1"/>
        <v>0</v>
      </c>
    </row>
    <row r="805">
      <c r="A805" s="15"/>
      <c r="B805" s="15"/>
      <c r="C805" s="15">
        <f t="shared" si="1"/>
        <v>0</v>
      </c>
    </row>
    <row r="806">
      <c r="A806" s="15"/>
      <c r="B806" s="15"/>
      <c r="C806" s="15">
        <f t="shared" si="1"/>
        <v>0</v>
      </c>
    </row>
    <row r="807">
      <c r="A807" s="15"/>
      <c r="B807" s="15"/>
      <c r="C807" s="15">
        <f t="shared" si="1"/>
        <v>0</v>
      </c>
    </row>
    <row r="808">
      <c r="A808" s="15"/>
      <c r="B808" s="15"/>
      <c r="C808" s="15">
        <f t="shared" si="1"/>
        <v>0</v>
      </c>
    </row>
    <row r="809">
      <c r="A809" s="15"/>
      <c r="B809" s="15"/>
      <c r="C809" s="15">
        <f t="shared" si="1"/>
        <v>0</v>
      </c>
    </row>
    <row r="810">
      <c r="A810" s="15"/>
      <c r="B810" s="15"/>
      <c r="C810" s="15">
        <f t="shared" si="1"/>
        <v>0</v>
      </c>
    </row>
    <row r="811">
      <c r="A811" s="15"/>
      <c r="B811" s="15"/>
      <c r="C811" s="15">
        <f t="shared" si="1"/>
        <v>0</v>
      </c>
    </row>
    <row r="812">
      <c r="A812" s="15"/>
      <c r="B812" s="15"/>
      <c r="C812" s="15">
        <f t="shared" si="1"/>
        <v>0</v>
      </c>
    </row>
    <row r="813">
      <c r="A813" s="15"/>
      <c r="B813" s="15"/>
      <c r="C813" s="15">
        <f t="shared" si="1"/>
        <v>0</v>
      </c>
    </row>
    <row r="814">
      <c r="A814" s="15"/>
      <c r="B814" s="15"/>
      <c r="C814" s="15">
        <f t="shared" si="1"/>
        <v>0</v>
      </c>
    </row>
    <row r="815">
      <c r="A815" s="15"/>
      <c r="B815" s="15"/>
      <c r="C815" s="15">
        <f t="shared" si="1"/>
        <v>0</v>
      </c>
    </row>
    <row r="816">
      <c r="A816" s="15"/>
      <c r="B816" s="15"/>
      <c r="C816" s="15">
        <f t="shared" si="1"/>
        <v>0</v>
      </c>
    </row>
    <row r="817">
      <c r="A817" s="15"/>
      <c r="B817" s="15"/>
      <c r="C817" s="15">
        <f t="shared" si="1"/>
        <v>0</v>
      </c>
    </row>
    <row r="818">
      <c r="A818" s="15"/>
      <c r="B818" s="15"/>
      <c r="C818" s="15">
        <f t="shared" si="1"/>
        <v>0</v>
      </c>
    </row>
    <row r="819">
      <c r="A819" s="15"/>
      <c r="B819" s="15"/>
      <c r="C819" s="15">
        <f t="shared" si="1"/>
        <v>0</v>
      </c>
    </row>
    <row r="820">
      <c r="A820" s="15"/>
      <c r="B820" s="15"/>
      <c r="C820" s="15">
        <f t="shared" si="1"/>
        <v>0</v>
      </c>
    </row>
    <row r="821">
      <c r="A821" s="15"/>
      <c r="B821" s="15"/>
      <c r="C821" s="15">
        <f t="shared" si="1"/>
        <v>0</v>
      </c>
    </row>
    <row r="822">
      <c r="A822" s="15"/>
      <c r="B822" s="15"/>
      <c r="C822" s="15">
        <f t="shared" si="1"/>
        <v>0</v>
      </c>
    </row>
    <row r="823">
      <c r="A823" s="15"/>
      <c r="B823" s="15"/>
      <c r="C823" s="15">
        <f t="shared" si="1"/>
        <v>0</v>
      </c>
    </row>
    <row r="824">
      <c r="A824" s="15"/>
      <c r="B824" s="15"/>
      <c r="C824" s="15">
        <f t="shared" si="1"/>
        <v>0</v>
      </c>
    </row>
    <row r="825">
      <c r="A825" s="15"/>
      <c r="B825" s="15"/>
      <c r="C825" s="15">
        <f t="shared" si="1"/>
        <v>0</v>
      </c>
    </row>
    <row r="826">
      <c r="A826" s="15"/>
      <c r="B826" s="15"/>
      <c r="C826" s="15">
        <f t="shared" si="1"/>
        <v>0</v>
      </c>
    </row>
    <row r="827">
      <c r="A827" s="15"/>
      <c r="B827" s="15"/>
      <c r="C827" s="15">
        <f t="shared" si="1"/>
        <v>0</v>
      </c>
    </row>
    <row r="828">
      <c r="A828" s="15"/>
      <c r="B828" s="15"/>
      <c r="C828" s="15">
        <f t="shared" si="1"/>
        <v>0</v>
      </c>
    </row>
    <row r="829">
      <c r="A829" s="15"/>
      <c r="B829" s="15"/>
      <c r="C829" s="15">
        <f t="shared" si="1"/>
        <v>0</v>
      </c>
    </row>
    <row r="830">
      <c r="A830" s="15"/>
      <c r="B830" s="15"/>
      <c r="C830" s="15">
        <f t="shared" si="1"/>
        <v>0</v>
      </c>
    </row>
    <row r="831">
      <c r="A831" s="15"/>
      <c r="B831" s="15"/>
      <c r="C831" s="15">
        <f t="shared" si="1"/>
        <v>0</v>
      </c>
    </row>
    <row r="832">
      <c r="A832" s="15"/>
      <c r="B832" s="15"/>
      <c r="C832" s="15">
        <f t="shared" si="1"/>
        <v>0</v>
      </c>
    </row>
    <row r="833">
      <c r="A833" s="15"/>
      <c r="B833" s="15"/>
      <c r="C833" s="15">
        <f t="shared" si="1"/>
        <v>0</v>
      </c>
    </row>
    <row r="834">
      <c r="A834" s="15"/>
      <c r="B834" s="15"/>
      <c r="C834" s="15">
        <f t="shared" si="1"/>
        <v>0</v>
      </c>
    </row>
    <row r="835">
      <c r="A835" s="15"/>
      <c r="B835" s="15"/>
      <c r="C835" s="15">
        <f t="shared" si="1"/>
        <v>0</v>
      </c>
    </row>
    <row r="836">
      <c r="A836" s="15"/>
      <c r="B836" s="15"/>
      <c r="C836" s="15">
        <f t="shared" si="1"/>
        <v>0</v>
      </c>
    </row>
    <row r="837">
      <c r="A837" s="15"/>
      <c r="B837" s="15"/>
      <c r="C837" s="15">
        <f t="shared" si="1"/>
        <v>0</v>
      </c>
    </row>
    <row r="838">
      <c r="A838" s="15"/>
      <c r="B838" s="15"/>
      <c r="C838" s="15">
        <f t="shared" si="1"/>
        <v>0</v>
      </c>
    </row>
    <row r="839">
      <c r="A839" s="15"/>
      <c r="B839" s="15"/>
      <c r="C839" s="15">
        <f t="shared" si="1"/>
        <v>0</v>
      </c>
    </row>
    <row r="840">
      <c r="A840" s="15"/>
      <c r="B840" s="15"/>
      <c r="C840" s="15">
        <f t="shared" si="1"/>
        <v>0</v>
      </c>
    </row>
    <row r="841">
      <c r="A841" s="15"/>
      <c r="B841" s="15"/>
      <c r="C841" s="15">
        <f t="shared" si="1"/>
        <v>0</v>
      </c>
    </row>
    <row r="842">
      <c r="A842" s="15"/>
      <c r="B842" s="15"/>
      <c r="C842" s="15">
        <f t="shared" si="1"/>
        <v>0</v>
      </c>
    </row>
    <row r="843">
      <c r="A843" s="15"/>
      <c r="B843" s="15"/>
      <c r="C843" s="15">
        <f t="shared" si="1"/>
        <v>0</v>
      </c>
    </row>
    <row r="844">
      <c r="A844" s="15"/>
      <c r="B844" s="15"/>
      <c r="C844" s="15">
        <f t="shared" si="1"/>
        <v>0</v>
      </c>
    </row>
    <row r="845">
      <c r="A845" s="15"/>
      <c r="B845" s="15"/>
      <c r="C845" s="15">
        <f t="shared" si="1"/>
        <v>0</v>
      </c>
    </row>
    <row r="846">
      <c r="A846" s="15"/>
      <c r="B846" s="15"/>
      <c r="C846" s="15">
        <f t="shared" si="1"/>
        <v>0</v>
      </c>
    </row>
    <row r="847">
      <c r="A847" s="15"/>
      <c r="B847" s="15"/>
      <c r="C847" s="15">
        <f t="shared" si="1"/>
        <v>0</v>
      </c>
    </row>
    <row r="848">
      <c r="A848" s="15"/>
      <c r="B848" s="15"/>
      <c r="C848" s="15">
        <f t="shared" si="1"/>
        <v>0</v>
      </c>
    </row>
    <row r="849">
      <c r="A849" s="15"/>
      <c r="B849" s="15"/>
      <c r="C849" s="15">
        <f t="shared" si="1"/>
        <v>0</v>
      </c>
    </row>
    <row r="850">
      <c r="A850" s="15"/>
      <c r="B850" s="15"/>
      <c r="C850" s="15">
        <f t="shared" si="1"/>
        <v>0</v>
      </c>
    </row>
    <row r="851">
      <c r="A851" s="15"/>
      <c r="B851" s="15"/>
      <c r="C851" s="15">
        <f t="shared" si="1"/>
        <v>0</v>
      </c>
    </row>
    <row r="852">
      <c r="A852" s="15"/>
      <c r="B852" s="15"/>
      <c r="C852" s="15">
        <f t="shared" si="1"/>
        <v>0</v>
      </c>
    </row>
    <row r="853">
      <c r="A853" s="15"/>
      <c r="B853" s="15"/>
      <c r="C853" s="15">
        <f t="shared" si="1"/>
        <v>0</v>
      </c>
    </row>
    <row r="854">
      <c r="A854" s="15"/>
      <c r="B854" s="15"/>
      <c r="C854" s="15">
        <f t="shared" si="1"/>
        <v>0</v>
      </c>
    </row>
    <row r="855">
      <c r="A855" s="15"/>
      <c r="B855" s="15"/>
      <c r="C855" s="15">
        <f t="shared" si="1"/>
        <v>0</v>
      </c>
    </row>
    <row r="856">
      <c r="A856" s="15"/>
      <c r="B856" s="15"/>
      <c r="C856" s="15">
        <f t="shared" si="1"/>
        <v>0</v>
      </c>
    </row>
    <row r="857">
      <c r="A857" s="15"/>
      <c r="B857" s="15"/>
      <c r="C857" s="15">
        <f t="shared" si="1"/>
        <v>0</v>
      </c>
    </row>
    <row r="858">
      <c r="A858" s="15"/>
      <c r="B858" s="15"/>
      <c r="C858" s="15">
        <f t="shared" si="1"/>
        <v>0</v>
      </c>
    </row>
    <row r="859">
      <c r="A859" s="15"/>
      <c r="B859" s="15"/>
      <c r="C859" s="15">
        <f t="shared" si="1"/>
        <v>0</v>
      </c>
    </row>
    <row r="860">
      <c r="A860" s="15"/>
      <c r="B860" s="15"/>
      <c r="C860" s="15">
        <f t="shared" si="1"/>
        <v>0</v>
      </c>
    </row>
    <row r="861">
      <c r="A861" s="15"/>
      <c r="B861" s="15"/>
      <c r="C861" s="15">
        <f t="shared" si="1"/>
        <v>0</v>
      </c>
    </row>
    <row r="862">
      <c r="A862" s="15"/>
      <c r="B862" s="15"/>
      <c r="C862" s="15">
        <f t="shared" si="1"/>
        <v>0</v>
      </c>
    </row>
    <row r="863">
      <c r="A863" s="15"/>
      <c r="B863" s="15"/>
      <c r="C863" s="15">
        <f t="shared" si="1"/>
        <v>0</v>
      </c>
    </row>
    <row r="864">
      <c r="A864" s="15"/>
      <c r="B864" s="15"/>
      <c r="C864" s="15">
        <f t="shared" si="1"/>
        <v>0</v>
      </c>
    </row>
    <row r="865">
      <c r="A865" s="15"/>
      <c r="B865" s="15"/>
      <c r="C865" s="15">
        <f t="shared" si="1"/>
        <v>0</v>
      </c>
    </row>
    <row r="866">
      <c r="A866" s="15"/>
      <c r="B866" s="15"/>
      <c r="C866" s="15">
        <f t="shared" si="1"/>
        <v>0</v>
      </c>
    </row>
    <row r="867">
      <c r="A867" s="15"/>
      <c r="B867" s="15"/>
      <c r="C867" s="15">
        <f t="shared" si="1"/>
        <v>0</v>
      </c>
    </row>
    <row r="868">
      <c r="A868" s="15"/>
      <c r="B868" s="15"/>
      <c r="C868" s="15">
        <f t="shared" si="1"/>
        <v>0</v>
      </c>
    </row>
    <row r="869">
      <c r="A869" s="15"/>
      <c r="B869" s="15"/>
      <c r="C869" s="15">
        <f t="shared" si="1"/>
        <v>0</v>
      </c>
    </row>
    <row r="870">
      <c r="A870" s="15"/>
      <c r="B870" s="15"/>
      <c r="C870" s="15">
        <f t="shared" si="1"/>
        <v>0</v>
      </c>
    </row>
    <row r="871">
      <c r="A871" s="15"/>
      <c r="B871" s="15"/>
      <c r="C871" s="15">
        <f t="shared" si="1"/>
        <v>0</v>
      </c>
    </row>
    <row r="872">
      <c r="A872" s="15"/>
      <c r="B872" s="15"/>
      <c r="C872" s="15">
        <f t="shared" si="1"/>
        <v>0</v>
      </c>
    </row>
    <row r="873">
      <c r="A873" s="15"/>
      <c r="B873" s="15"/>
      <c r="C873" s="15">
        <f t="shared" si="1"/>
        <v>0</v>
      </c>
    </row>
    <row r="874">
      <c r="A874" s="15"/>
      <c r="B874" s="15"/>
      <c r="C874" s="15">
        <f t="shared" si="1"/>
        <v>0</v>
      </c>
    </row>
    <row r="875">
      <c r="A875" s="15"/>
      <c r="B875" s="15"/>
      <c r="C875" s="15">
        <f t="shared" si="1"/>
        <v>0</v>
      </c>
    </row>
    <row r="876">
      <c r="A876" s="15"/>
      <c r="B876" s="15"/>
      <c r="C876" s="15">
        <f t="shared" si="1"/>
        <v>0</v>
      </c>
    </row>
    <row r="877">
      <c r="A877" s="15"/>
      <c r="B877" s="15"/>
      <c r="C877" s="15">
        <f t="shared" si="1"/>
        <v>0</v>
      </c>
    </row>
    <row r="878">
      <c r="A878" s="15"/>
      <c r="B878" s="15"/>
      <c r="C878" s="15">
        <f t="shared" si="1"/>
        <v>0</v>
      </c>
    </row>
    <row r="879">
      <c r="A879" s="15"/>
      <c r="B879" s="15"/>
      <c r="C879" s="15">
        <f t="shared" si="1"/>
        <v>0</v>
      </c>
    </row>
    <row r="880">
      <c r="A880" s="15"/>
      <c r="B880" s="15"/>
      <c r="C880" s="15">
        <f t="shared" si="1"/>
        <v>0</v>
      </c>
    </row>
    <row r="881">
      <c r="A881" s="15"/>
      <c r="B881" s="15"/>
      <c r="C881" s="15">
        <f t="shared" si="1"/>
        <v>0</v>
      </c>
    </row>
    <row r="882">
      <c r="A882" s="15"/>
      <c r="B882" s="15"/>
      <c r="C882" s="15">
        <f t="shared" si="1"/>
        <v>0</v>
      </c>
    </row>
    <row r="883">
      <c r="A883" s="15"/>
      <c r="B883" s="15"/>
      <c r="C883" s="15">
        <f t="shared" si="1"/>
        <v>0</v>
      </c>
    </row>
    <row r="884">
      <c r="A884" s="15"/>
      <c r="B884" s="15"/>
      <c r="C884" s="15">
        <f t="shared" si="1"/>
        <v>0</v>
      </c>
    </row>
    <row r="885">
      <c r="A885" s="15"/>
      <c r="B885" s="15"/>
      <c r="C885" s="15">
        <f t="shared" si="1"/>
        <v>0</v>
      </c>
    </row>
    <row r="886">
      <c r="A886" s="15"/>
      <c r="B886" s="15"/>
      <c r="C886" s="15">
        <f t="shared" si="1"/>
        <v>0</v>
      </c>
    </row>
    <row r="887">
      <c r="A887" s="15"/>
      <c r="B887" s="15"/>
      <c r="C887" s="15">
        <f t="shared" si="1"/>
        <v>0</v>
      </c>
    </row>
    <row r="888">
      <c r="A888" s="15"/>
      <c r="B888" s="15"/>
      <c r="C888" s="15">
        <f t="shared" si="1"/>
        <v>0</v>
      </c>
    </row>
    <row r="889">
      <c r="A889" s="15"/>
      <c r="B889" s="15"/>
      <c r="C889" s="15">
        <f t="shared" si="1"/>
        <v>0</v>
      </c>
    </row>
    <row r="890">
      <c r="A890" s="15"/>
      <c r="B890" s="15"/>
      <c r="C890" s="15">
        <f t="shared" si="1"/>
        <v>0</v>
      </c>
    </row>
    <row r="891">
      <c r="A891" s="15"/>
      <c r="B891" s="15"/>
      <c r="C891" s="15">
        <f t="shared" si="1"/>
        <v>0</v>
      </c>
    </row>
    <row r="892">
      <c r="A892" s="15"/>
      <c r="B892" s="15"/>
      <c r="C892" s="15">
        <f t="shared" si="1"/>
        <v>0</v>
      </c>
    </row>
    <row r="893">
      <c r="A893" s="15"/>
      <c r="B893" s="15"/>
      <c r="C893" s="15">
        <f t="shared" si="1"/>
        <v>0</v>
      </c>
    </row>
    <row r="894">
      <c r="A894" s="15"/>
      <c r="B894" s="15"/>
      <c r="C894" s="15">
        <f t="shared" si="1"/>
        <v>0</v>
      </c>
    </row>
    <row r="895">
      <c r="A895" s="15"/>
      <c r="B895" s="15"/>
      <c r="C895" s="15">
        <f t="shared" si="1"/>
        <v>0</v>
      </c>
    </row>
    <row r="896">
      <c r="A896" s="15"/>
      <c r="B896" s="15"/>
      <c r="C896" s="15">
        <f t="shared" si="1"/>
        <v>0</v>
      </c>
    </row>
    <row r="897">
      <c r="A897" s="15"/>
      <c r="B897" s="15"/>
      <c r="C897" s="15">
        <f t="shared" si="1"/>
        <v>0</v>
      </c>
    </row>
    <row r="898">
      <c r="A898" s="15"/>
      <c r="B898" s="15"/>
      <c r="C898" s="15">
        <f t="shared" si="1"/>
        <v>0</v>
      </c>
    </row>
    <row r="899">
      <c r="A899" s="15"/>
      <c r="B899" s="15"/>
      <c r="C899" s="15">
        <f t="shared" si="1"/>
        <v>0</v>
      </c>
    </row>
    <row r="900">
      <c r="A900" s="15"/>
      <c r="B900" s="15"/>
      <c r="C900" s="15">
        <f t="shared" si="1"/>
        <v>0</v>
      </c>
    </row>
    <row r="901">
      <c r="A901" s="15"/>
      <c r="B901" s="15"/>
      <c r="C901" s="15">
        <f t="shared" si="1"/>
        <v>0</v>
      </c>
    </row>
    <row r="902">
      <c r="A902" s="15"/>
      <c r="B902" s="15"/>
      <c r="C902" s="15">
        <f t="shared" si="1"/>
        <v>0</v>
      </c>
    </row>
    <row r="903">
      <c r="A903" s="15"/>
      <c r="B903" s="15"/>
      <c r="C903" s="15">
        <f t="shared" si="1"/>
        <v>0</v>
      </c>
    </row>
    <row r="904">
      <c r="A904" s="15"/>
      <c r="B904" s="15"/>
      <c r="C904" s="15">
        <f t="shared" si="1"/>
        <v>0</v>
      </c>
    </row>
    <row r="905">
      <c r="A905" s="15"/>
      <c r="B905" s="15"/>
      <c r="C905" s="15">
        <f t="shared" si="1"/>
        <v>0</v>
      </c>
    </row>
    <row r="906">
      <c r="A906" s="15"/>
      <c r="B906" s="15"/>
      <c r="C906" s="15">
        <f t="shared" si="1"/>
        <v>0</v>
      </c>
    </row>
    <row r="907">
      <c r="A907" s="15"/>
      <c r="B907" s="15"/>
      <c r="C907" s="15">
        <f t="shared" si="1"/>
        <v>0</v>
      </c>
    </row>
    <row r="908">
      <c r="A908" s="15"/>
      <c r="B908" s="15"/>
      <c r="C908" s="15">
        <f t="shared" si="1"/>
        <v>0</v>
      </c>
    </row>
    <row r="909">
      <c r="A909" s="15"/>
      <c r="B909" s="15"/>
      <c r="C909" s="15">
        <f t="shared" si="1"/>
        <v>0</v>
      </c>
    </row>
    <row r="910">
      <c r="A910" s="15"/>
      <c r="B910" s="15"/>
      <c r="C910" s="15">
        <f t="shared" si="1"/>
        <v>0</v>
      </c>
    </row>
    <row r="911">
      <c r="A911" s="15"/>
      <c r="B911" s="15"/>
      <c r="C911" s="15">
        <f t="shared" si="1"/>
        <v>0</v>
      </c>
    </row>
    <row r="912">
      <c r="A912" s="15"/>
      <c r="B912" s="15"/>
      <c r="C912" s="15">
        <f t="shared" si="1"/>
        <v>0</v>
      </c>
    </row>
    <row r="913">
      <c r="A913" s="15"/>
      <c r="B913" s="15"/>
      <c r="C913" s="15">
        <f t="shared" si="1"/>
        <v>0</v>
      </c>
    </row>
    <row r="914">
      <c r="A914" s="15"/>
      <c r="B914" s="15"/>
      <c r="C914" s="15">
        <f t="shared" si="1"/>
        <v>0</v>
      </c>
    </row>
    <row r="915">
      <c r="A915" s="15"/>
      <c r="B915" s="15"/>
      <c r="C915" s="15">
        <f t="shared" si="1"/>
        <v>0</v>
      </c>
    </row>
    <row r="916">
      <c r="A916" s="15"/>
      <c r="B916" s="15"/>
      <c r="C916" s="15">
        <f t="shared" si="1"/>
        <v>0</v>
      </c>
    </row>
    <row r="917">
      <c r="A917" s="15"/>
      <c r="B917" s="15"/>
      <c r="C917" s="15">
        <f t="shared" si="1"/>
        <v>0</v>
      </c>
    </row>
    <row r="918">
      <c r="A918" s="15"/>
      <c r="B918" s="15"/>
      <c r="C918" s="15">
        <f t="shared" si="1"/>
        <v>0</v>
      </c>
    </row>
    <row r="919">
      <c r="A919" s="15"/>
      <c r="B919" s="15"/>
      <c r="C919" s="15">
        <f t="shared" si="1"/>
        <v>0</v>
      </c>
    </row>
    <row r="920">
      <c r="A920" s="15"/>
      <c r="B920" s="15"/>
      <c r="C920" s="15">
        <f t="shared" si="1"/>
        <v>0</v>
      </c>
    </row>
    <row r="921">
      <c r="A921" s="15"/>
      <c r="B921" s="15"/>
      <c r="C921" s="15">
        <f t="shared" si="1"/>
        <v>0</v>
      </c>
    </row>
    <row r="922">
      <c r="A922" s="15"/>
      <c r="B922" s="15"/>
      <c r="C922" s="15">
        <f t="shared" si="1"/>
        <v>0</v>
      </c>
    </row>
    <row r="923">
      <c r="A923" s="15"/>
      <c r="B923" s="15"/>
      <c r="C923" s="15">
        <f t="shared" si="1"/>
        <v>0</v>
      </c>
    </row>
    <row r="924">
      <c r="A924" s="15"/>
      <c r="B924" s="15"/>
      <c r="C924" s="15">
        <f t="shared" si="1"/>
        <v>0</v>
      </c>
    </row>
    <row r="925">
      <c r="A925" s="15"/>
      <c r="B925" s="15"/>
      <c r="C925" s="15">
        <f t="shared" si="1"/>
        <v>0</v>
      </c>
    </row>
    <row r="926">
      <c r="A926" s="15"/>
      <c r="B926" s="15"/>
      <c r="C926" s="15">
        <f t="shared" si="1"/>
        <v>0</v>
      </c>
    </row>
    <row r="927">
      <c r="A927" s="15"/>
      <c r="B927" s="15"/>
      <c r="C927" s="15">
        <f t="shared" si="1"/>
        <v>0</v>
      </c>
    </row>
    <row r="928">
      <c r="A928" s="15"/>
      <c r="B928" s="15"/>
      <c r="C928" s="15">
        <f t="shared" si="1"/>
        <v>0</v>
      </c>
    </row>
    <row r="929">
      <c r="A929" s="15"/>
      <c r="B929" s="15"/>
      <c r="C929" s="15">
        <f t="shared" si="1"/>
        <v>0</v>
      </c>
    </row>
    <row r="930">
      <c r="A930" s="15"/>
      <c r="B930" s="15"/>
      <c r="C930" s="15">
        <f t="shared" si="1"/>
        <v>0</v>
      </c>
    </row>
    <row r="931">
      <c r="A931" s="15"/>
      <c r="B931" s="15"/>
      <c r="C931" s="15">
        <f t="shared" si="1"/>
        <v>0</v>
      </c>
    </row>
    <row r="932">
      <c r="A932" s="15"/>
      <c r="B932" s="15"/>
      <c r="C932" s="15">
        <f t="shared" si="1"/>
        <v>0</v>
      </c>
    </row>
    <row r="933">
      <c r="A933" s="15"/>
      <c r="B933" s="15"/>
      <c r="C933" s="15">
        <f t="shared" si="1"/>
        <v>0</v>
      </c>
    </row>
    <row r="934">
      <c r="A934" s="15"/>
      <c r="B934" s="15"/>
      <c r="C934" s="15">
        <f t="shared" si="1"/>
        <v>0</v>
      </c>
    </row>
    <row r="935">
      <c r="A935" s="15"/>
      <c r="B935" s="15"/>
      <c r="C935" s="15">
        <f t="shared" si="1"/>
        <v>0</v>
      </c>
    </row>
    <row r="936">
      <c r="A936" s="15"/>
      <c r="B936" s="15"/>
      <c r="C936" s="15">
        <f t="shared" si="1"/>
        <v>0</v>
      </c>
    </row>
    <row r="937">
      <c r="A937" s="15"/>
      <c r="B937" s="15"/>
      <c r="C937" s="15">
        <f t="shared" si="1"/>
        <v>0</v>
      </c>
    </row>
    <row r="938">
      <c r="A938" s="15"/>
      <c r="B938" s="15"/>
      <c r="C938" s="15">
        <f t="shared" si="1"/>
        <v>0</v>
      </c>
    </row>
    <row r="939">
      <c r="A939" s="15"/>
      <c r="B939" s="15"/>
      <c r="C939" s="15">
        <f t="shared" si="1"/>
        <v>0</v>
      </c>
    </row>
    <row r="940">
      <c r="A940" s="15"/>
      <c r="B940" s="15"/>
      <c r="C940" s="15">
        <f t="shared" si="1"/>
        <v>0</v>
      </c>
    </row>
    <row r="941">
      <c r="A941" s="15"/>
      <c r="B941" s="15"/>
      <c r="C941" s="15">
        <f t="shared" si="1"/>
        <v>0</v>
      </c>
    </row>
    <row r="942">
      <c r="A942" s="15"/>
      <c r="B942" s="15"/>
      <c r="C942" s="15">
        <f t="shared" si="1"/>
        <v>0</v>
      </c>
    </row>
    <row r="943">
      <c r="A943" s="15"/>
      <c r="B943" s="15"/>
      <c r="C943" s="15">
        <f t="shared" si="1"/>
        <v>0</v>
      </c>
    </row>
    <row r="944">
      <c r="A944" s="15"/>
      <c r="B944" s="15"/>
      <c r="C944" s="15">
        <f t="shared" si="1"/>
        <v>0</v>
      </c>
    </row>
    <row r="945">
      <c r="A945" s="15"/>
      <c r="B945" s="15"/>
      <c r="C945" s="15">
        <f t="shared" si="1"/>
        <v>0</v>
      </c>
    </row>
    <row r="946">
      <c r="A946" s="15"/>
      <c r="B946" s="15"/>
      <c r="C946" s="15">
        <f t="shared" si="1"/>
        <v>0</v>
      </c>
    </row>
    <row r="947">
      <c r="A947" s="15"/>
      <c r="B947" s="15"/>
      <c r="C947" s="15">
        <f t="shared" si="1"/>
        <v>0</v>
      </c>
    </row>
    <row r="948">
      <c r="A948" s="15"/>
      <c r="B948" s="15"/>
      <c r="C948" s="15">
        <f t="shared" si="1"/>
        <v>0</v>
      </c>
    </row>
    <row r="949">
      <c r="A949" s="15"/>
      <c r="B949" s="15"/>
      <c r="C949" s="15">
        <f t="shared" si="1"/>
        <v>0</v>
      </c>
    </row>
    <row r="950">
      <c r="A950" s="15"/>
      <c r="B950" s="15"/>
      <c r="C950" s="15">
        <f t="shared" si="1"/>
        <v>0</v>
      </c>
    </row>
    <row r="951">
      <c r="A951" s="15"/>
      <c r="B951" s="15"/>
      <c r="C951" s="15">
        <f t="shared" si="1"/>
        <v>0</v>
      </c>
    </row>
    <row r="952">
      <c r="A952" s="15"/>
      <c r="B952" s="15"/>
      <c r="C952" s="15">
        <f t="shared" si="1"/>
        <v>0</v>
      </c>
    </row>
    <row r="953">
      <c r="A953" s="15"/>
      <c r="B953" s="15"/>
      <c r="C953" s="15">
        <f t="shared" si="1"/>
        <v>0</v>
      </c>
    </row>
    <row r="954">
      <c r="A954" s="15"/>
      <c r="B954" s="15"/>
      <c r="C954" s="15">
        <f t="shared" si="1"/>
        <v>0</v>
      </c>
    </row>
    <row r="955">
      <c r="A955" s="15"/>
      <c r="B955" s="15"/>
      <c r="C955" s="15">
        <f t="shared" si="1"/>
        <v>0</v>
      </c>
    </row>
    <row r="956">
      <c r="A956" s="15"/>
      <c r="B956" s="15"/>
      <c r="C956" s="15">
        <f t="shared" si="1"/>
        <v>0</v>
      </c>
    </row>
    <row r="957">
      <c r="A957" s="15"/>
      <c r="B957" s="15"/>
      <c r="C957" s="15">
        <f t="shared" si="1"/>
        <v>0</v>
      </c>
    </row>
    <row r="958">
      <c r="A958" s="15"/>
      <c r="B958" s="15"/>
      <c r="C958" s="15">
        <f t="shared" si="1"/>
        <v>0</v>
      </c>
    </row>
    <row r="959">
      <c r="A959" s="15"/>
      <c r="B959" s="15"/>
      <c r="C959" s="15">
        <f t="shared" si="1"/>
        <v>0</v>
      </c>
    </row>
    <row r="960">
      <c r="A960" s="15"/>
      <c r="B960" s="15"/>
      <c r="C960" s="15">
        <f t="shared" si="1"/>
        <v>0</v>
      </c>
    </row>
    <row r="961">
      <c r="A961" s="15"/>
      <c r="B961" s="15"/>
      <c r="C961" s="15">
        <f t="shared" si="1"/>
        <v>0</v>
      </c>
    </row>
    <row r="962">
      <c r="A962" s="15"/>
      <c r="B962" s="15"/>
      <c r="C962" s="15">
        <f t="shared" si="1"/>
        <v>0</v>
      </c>
    </row>
    <row r="963">
      <c r="A963" s="15"/>
      <c r="B963" s="15"/>
      <c r="C963" s="15">
        <f t="shared" si="1"/>
        <v>0</v>
      </c>
    </row>
    <row r="964">
      <c r="A964" s="15"/>
      <c r="B964" s="15"/>
      <c r="C964" s="15">
        <f t="shared" si="1"/>
        <v>0</v>
      </c>
    </row>
    <row r="965">
      <c r="A965" s="15"/>
      <c r="B965" s="15"/>
      <c r="C965" s="15">
        <f t="shared" si="1"/>
        <v>0</v>
      </c>
    </row>
    <row r="966">
      <c r="A966" s="15"/>
      <c r="B966" s="15"/>
      <c r="C966" s="15">
        <f t="shared" si="1"/>
        <v>0</v>
      </c>
    </row>
    <row r="967">
      <c r="A967" s="15"/>
      <c r="B967" s="15"/>
      <c r="C967" s="15">
        <f t="shared" si="1"/>
        <v>0</v>
      </c>
    </row>
    <row r="968">
      <c r="A968" s="15"/>
      <c r="B968" s="15"/>
      <c r="C968" s="15">
        <f t="shared" si="1"/>
        <v>0</v>
      </c>
    </row>
    <row r="969">
      <c r="A969" s="15"/>
      <c r="B969" s="15"/>
      <c r="C969" s="15">
        <f t="shared" si="1"/>
        <v>0</v>
      </c>
    </row>
    <row r="970">
      <c r="A970" s="15"/>
      <c r="B970" s="15"/>
      <c r="C970" s="15">
        <f t="shared" si="1"/>
        <v>0</v>
      </c>
    </row>
    <row r="971">
      <c r="A971" s="15"/>
      <c r="B971" s="15"/>
      <c r="C971" s="15">
        <f t="shared" si="1"/>
        <v>0</v>
      </c>
    </row>
    <row r="972">
      <c r="A972" s="15"/>
      <c r="B972" s="15"/>
      <c r="C972" s="15">
        <f t="shared" si="1"/>
        <v>0</v>
      </c>
    </row>
    <row r="973">
      <c r="A973" s="15"/>
      <c r="B973" s="15"/>
      <c r="C973" s="15">
        <f t="shared" si="1"/>
        <v>0</v>
      </c>
    </row>
    <row r="974">
      <c r="A974" s="15"/>
      <c r="B974" s="15"/>
      <c r="C974" s="15">
        <f t="shared" si="1"/>
        <v>0</v>
      </c>
    </row>
    <row r="975">
      <c r="A975" s="15"/>
      <c r="B975" s="15"/>
      <c r="C975" s="15">
        <f t="shared" si="1"/>
        <v>0</v>
      </c>
    </row>
    <row r="976">
      <c r="A976" s="15"/>
      <c r="B976" s="15"/>
      <c r="C976" s="15">
        <f t="shared" si="1"/>
        <v>0</v>
      </c>
    </row>
    <row r="977">
      <c r="A977" s="15"/>
      <c r="B977" s="15"/>
      <c r="C977" s="15">
        <f t="shared" si="1"/>
        <v>0</v>
      </c>
    </row>
    <row r="978">
      <c r="A978" s="15"/>
      <c r="B978" s="15"/>
      <c r="C978" s="15">
        <f t="shared" si="1"/>
        <v>0</v>
      </c>
    </row>
    <row r="979">
      <c r="A979" s="15"/>
      <c r="B979" s="15"/>
      <c r="C979" s="15">
        <f t="shared" si="1"/>
        <v>0</v>
      </c>
    </row>
    <row r="980">
      <c r="A980" s="15"/>
      <c r="B980" s="15"/>
      <c r="C980" s="15">
        <f t="shared" si="1"/>
        <v>0</v>
      </c>
    </row>
    <row r="981">
      <c r="A981" s="15"/>
      <c r="B981" s="15"/>
      <c r="C981" s="15">
        <f t="shared" si="1"/>
        <v>0</v>
      </c>
    </row>
    <row r="982">
      <c r="A982" s="15"/>
      <c r="B982" s="15"/>
      <c r="C982" s="15">
        <f t="shared" si="1"/>
        <v>0</v>
      </c>
    </row>
    <row r="983">
      <c r="A983" s="15"/>
      <c r="B983" s="15"/>
      <c r="C983" s="15">
        <f t="shared" si="1"/>
        <v>0</v>
      </c>
    </row>
    <row r="984">
      <c r="A984" s="15"/>
      <c r="B984" s="15"/>
      <c r="C984" s="15">
        <f t="shared" si="1"/>
        <v>0</v>
      </c>
    </row>
    <row r="985">
      <c r="A985" s="15"/>
      <c r="B985" s="15"/>
      <c r="C985" s="15">
        <f t="shared" si="1"/>
        <v>0</v>
      </c>
    </row>
    <row r="986">
      <c r="A986" s="15"/>
      <c r="B986" s="15"/>
      <c r="C986" s="15">
        <f t="shared" si="1"/>
        <v>0</v>
      </c>
    </row>
    <row r="987">
      <c r="A987" s="15"/>
      <c r="B987" s="15"/>
      <c r="C987" s="15">
        <f t="shared" si="1"/>
        <v>0</v>
      </c>
    </row>
    <row r="988">
      <c r="A988" s="15"/>
      <c r="B988" s="15"/>
      <c r="C988" s="15">
        <f t="shared" si="1"/>
        <v>0</v>
      </c>
    </row>
    <row r="989">
      <c r="A989" s="15"/>
      <c r="B989" s="15"/>
      <c r="C989" s="15">
        <f t="shared" si="1"/>
        <v>0</v>
      </c>
    </row>
    <row r="990">
      <c r="A990" s="15"/>
      <c r="B990" s="15"/>
      <c r="C990" s="15">
        <f t="shared" si="1"/>
        <v>0</v>
      </c>
    </row>
    <row r="991">
      <c r="A991" s="15"/>
      <c r="B991" s="15"/>
      <c r="C991" s="15">
        <f t="shared" si="1"/>
        <v>0</v>
      </c>
    </row>
    <row r="992">
      <c r="A992" s="15"/>
      <c r="B992" s="15"/>
      <c r="C992" s="15">
        <f t="shared" si="1"/>
        <v>0</v>
      </c>
    </row>
    <row r="993">
      <c r="A993" s="15"/>
      <c r="B993" s="15"/>
      <c r="C993" s="15">
        <f t="shared" si="1"/>
        <v>0</v>
      </c>
    </row>
    <row r="994">
      <c r="A994" s="15"/>
      <c r="B994" s="15"/>
      <c r="C994" s="15">
        <f t="shared" si="1"/>
        <v>0</v>
      </c>
    </row>
    <row r="995">
      <c r="A995" s="15"/>
      <c r="B995" s="15"/>
      <c r="C995" s="15">
        <f t="shared" si="1"/>
        <v>0</v>
      </c>
    </row>
    <row r="996">
      <c r="A996" s="15"/>
      <c r="B996" s="15"/>
      <c r="C996" s="15">
        <f t="shared" si="1"/>
        <v>0</v>
      </c>
    </row>
    <row r="997">
      <c r="A997" s="15"/>
      <c r="B997" s="15"/>
      <c r="C997" s="15">
        <f t="shared" si="1"/>
        <v>0</v>
      </c>
    </row>
    <row r="998">
      <c r="A998" s="15"/>
      <c r="B998" s="15"/>
      <c r="C998" s="15">
        <f t="shared" si="1"/>
        <v>0</v>
      </c>
    </row>
    <row r="999">
      <c r="A999" s="15"/>
      <c r="B999" s="15"/>
      <c r="C999" s="15">
        <f t="shared" si="1"/>
        <v>0</v>
      </c>
    </row>
    <row r="1000">
      <c r="A1000" s="15"/>
      <c r="B1000" s="15"/>
      <c r="C1000" s="15">
        <f t="shared" si="1"/>
        <v>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13"/>
    <col customWidth="1" min="2" max="2" width="10.25"/>
    <col customWidth="1" min="3" max="3" width="17.5"/>
    <col customWidth="1" min="4" max="4" width="17.88"/>
    <col customWidth="1" min="5" max="5" width="19.38"/>
    <col customWidth="1" min="6" max="6" width="17.25"/>
    <col customWidth="1" min="7" max="7" width="16.38"/>
    <col customWidth="1" min="8" max="8" width="21.88"/>
    <col customWidth="1" min="9" max="9" width="28.0"/>
    <col customWidth="1" min="10" max="11" width="29.0"/>
    <col customWidth="1" min="12" max="12" width="16.75"/>
    <col customWidth="1" min="13" max="13" width="17.25"/>
    <col customWidth="1" min="14" max="14" width="19.63"/>
    <col customWidth="1" min="15" max="15" width="11.75"/>
    <col customWidth="1" min="16" max="16" width="14.25"/>
    <col customWidth="1" min="17" max="17" width="22.5"/>
    <col customWidth="1" min="18" max="18" width="20.38"/>
    <col customWidth="1" min="19" max="19" width="18.13"/>
    <col customWidth="1" min="20" max="20" width="14.38"/>
    <col customWidth="1" min="21" max="21" width="13.88"/>
    <col customWidth="1" min="22" max="22" width="14.75"/>
    <col customWidth="1" min="23" max="23" width="18.25"/>
    <col customWidth="1" min="24" max="24" width="26.0"/>
    <col customWidth="1" min="25" max="25" width="12.38"/>
    <col customWidth="1" min="26" max="26" width="11.75"/>
    <col customWidth="1" min="27" max="27" width="14.88"/>
    <col customWidth="1" min="28" max="28" width="28.5"/>
    <col customWidth="1" min="29" max="29" width="17.63"/>
    <col customWidth="1" min="30" max="30" width="28.5"/>
    <col customWidth="1" min="31" max="31" width="13.38"/>
    <col customWidth="1" min="32" max="32" width="13.88"/>
    <col customWidth="1" min="33" max="33" width="14.63"/>
    <col customWidth="1" min="34" max="34" width="15.13"/>
    <col customWidth="1" min="35" max="35" width="92.75"/>
    <col customWidth="1" min="36" max="37" width="15.0"/>
    <col customWidth="1" min="38" max="38" width="16.38"/>
    <col customWidth="1" min="39" max="39" width="14.0"/>
    <col customWidth="1" min="40" max="40" width="14.38"/>
    <col customWidth="1" min="43" max="43" width="15.38"/>
    <col customWidth="1" min="44" max="44" width="14.75"/>
    <col customWidth="1" min="45" max="45" width="20.38"/>
    <col customWidth="1" min="47" max="47" width="14.63"/>
    <col customWidth="1" min="54" max="54" width="5.13"/>
    <col customWidth="1" min="55" max="55" width="14.0"/>
  </cols>
  <sheetData>
    <row r="1">
      <c r="A1" s="19" t="s">
        <v>1</v>
      </c>
      <c r="B1" s="20" t="s">
        <v>508</v>
      </c>
      <c r="C1" s="21" t="s">
        <v>509</v>
      </c>
      <c r="D1" s="21" t="s">
        <v>510</v>
      </c>
      <c r="E1" s="21" t="s">
        <v>511</v>
      </c>
      <c r="F1" s="21" t="s">
        <v>9</v>
      </c>
      <c r="G1" s="21" t="s">
        <v>512</v>
      </c>
      <c r="H1" s="21" t="s">
        <v>513</v>
      </c>
      <c r="I1" s="21" t="s">
        <v>514</v>
      </c>
      <c r="J1" s="21" t="s">
        <v>515</v>
      </c>
      <c r="K1" s="21" t="s">
        <v>516</v>
      </c>
      <c r="L1" s="21" t="s">
        <v>517</v>
      </c>
      <c r="M1" s="21" t="s">
        <v>518</v>
      </c>
      <c r="N1" s="21" t="s">
        <v>519</v>
      </c>
      <c r="O1" s="21" t="s">
        <v>520</v>
      </c>
      <c r="P1" s="21" t="s">
        <v>521</v>
      </c>
      <c r="Q1" s="21" t="s">
        <v>522</v>
      </c>
      <c r="R1" s="21" t="s">
        <v>523</v>
      </c>
      <c r="S1" s="21" t="s">
        <v>524</v>
      </c>
      <c r="T1" s="21" t="s">
        <v>525</v>
      </c>
      <c r="U1" s="21" t="s">
        <v>526</v>
      </c>
      <c r="V1" s="21" t="s">
        <v>527</v>
      </c>
      <c r="W1" s="21" t="s">
        <v>528</v>
      </c>
      <c r="X1" s="21" t="s">
        <v>529</v>
      </c>
      <c r="Y1" s="22" t="s">
        <v>530</v>
      </c>
      <c r="Z1" s="22" t="s">
        <v>531</v>
      </c>
      <c r="AA1" s="21" t="s">
        <v>532</v>
      </c>
      <c r="AB1" s="21" t="s">
        <v>533</v>
      </c>
      <c r="AC1" s="21" t="s">
        <v>534</v>
      </c>
      <c r="AD1" s="21" t="s">
        <v>535</v>
      </c>
      <c r="AE1" s="21" t="s">
        <v>536</v>
      </c>
      <c r="AF1" s="21" t="s">
        <v>537</v>
      </c>
      <c r="AG1" s="23" t="s">
        <v>538</v>
      </c>
      <c r="AH1" s="23" t="s">
        <v>539</v>
      </c>
      <c r="AI1" s="24" t="s">
        <v>540</v>
      </c>
      <c r="AJ1" s="25" t="s">
        <v>541</v>
      </c>
      <c r="AK1" s="25" t="s">
        <v>542</v>
      </c>
      <c r="AL1" s="25" t="s">
        <v>543</v>
      </c>
      <c r="AM1" s="26"/>
      <c r="AN1" s="27"/>
      <c r="AY1" s="28"/>
      <c r="AZ1" s="28"/>
      <c r="BA1" s="28" t="s">
        <v>544</v>
      </c>
      <c r="BB1" s="18" t="s">
        <v>545</v>
      </c>
      <c r="BC1" s="28" t="s">
        <v>546</v>
      </c>
    </row>
    <row r="2">
      <c r="A2" s="29">
        <v>1023.0</v>
      </c>
      <c r="B2" s="30">
        <f>IFERROR(__xludf.DUMMYFUNCTION("IFERROR(ROUND(
(COUNTIF(FILTER(Data!O:O, Data!B:B=A2), ""Win"")
+ COUNTIF(FILTER(Data!O:O, Data!B:B=A2), {""Tie"",""Results""}))
/ (COUNTIF(Data!B:B, A2)),
2),"""")"),0.5)</f>
        <v>0.5</v>
      </c>
      <c r="C2" s="31">
        <f>IFERROR((SUMIF(Data!B:B, A2, Data!H:H)
/ (COUNTIF(Data!B:B, A2)
)),"")</f>
        <v>0</v>
      </c>
      <c r="D2" s="31">
        <f>IFERROR((SUMIF(Data!B:B, A2, Data!G:G)
/ (COUNTIF(Data!B:B, A2)
)),"")</f>
        <v>1.375</v>
      </c>
      <c r="E2" s="31">
        <f t="shared" ref="E2:E142" si="1">IFERROR(IF(D2="","",(D2-$AU$3)/$AU$5),"")</f>
        <v>-0.6902589274</v>
      </c>
      <c r="F2" s="31">
        <f>IFERROR((SUMIF(Data!B:B, A2, Data!J:J)
/ (COUNTIF(Data!B:B, A2)
)),"")</f>
        <v>2.75</v>
      </c>
      <c r="G2" s="32">
        <f>IF(A2="","",IFERROR((((((SUMIF(Data!B:B, A2, Data!H:H)+(SUMIF(Data!B:B, A2,Data!G:G)))/(SUMIF(Data!B:B, A2, Data!J:J)))))),0))</f>
        <v>0.5</v>
      </c>
      <c r="H2" s="33">
        <f>IFERROR(__xludf.DUMMYFUNCTION("IFERROR(IF(G2="""","""",(SUM(FIlter(Filter(Data!G:G,Data!B:B=A2),(Filter(Data!J:J&lt;3,Data!B:B=A2))))+SUM((FIlter(Filter(Data!H:H,Data!B:B=A2),(Filter(Data!J:J&lt;3,Data!B:B=A2))))))/(SUM(Filter(Filter(Data!J:J,Data!B:B=A2),FILTER(Data!J:J&lt;3,Data!B:B=A2))))),"&amp;""""")"),1.0)</f>
        <v>1</v>
      </c>
      <c r="I2" s="32">
        <f>IFERROR(__xludf.DUMMYFUNCTION("IF(A2="""","""",(COUNT(FILTER(IF(Data!G:G&lt;&gt;0,Data!G:G,IF(Data!H:H&lt;&gt;0,Data!H:H)),Data!B:B=A2)))/(COUNT(FILTER(Data!J:J,Data!B:B=A2))))"),0.75)</f>
        <v>0.75</v>
      </c>
      <c r="J2" s="32">
        <f t="shared" ref="J2:J114" si="2">IF(A2="","",AVERAGE(H2:I2))</f>
        <v>0.875</v>
      </c>
      <c r="K2" s="31">
        <f t="shared" ref="K2:K147" si="3">IFERROR(IF(L2="","",(IF(J2="","",(J2-$AS$3)/$AS$5))),"")</f>
        <v>0.1618040957</v>
      </c>
      <c r="L2" s="31">
        <f>IFERROR((SUMIF(Data!B:B, A2, Data!L:L)
/ (COUNTIF(Data!B:B, A2)
)),"")</f>
        <v>0</v>
      </c>
      <c r="M2" s="31">
        <f>IFERROR((SUMIF(Data!B:B, A2, Data!K:K)
/ (COUNTIF(Data!B:B, A2)
)),"")</f>
        <v>12.625</v>
      </c>
      <c r="N2" s="34">
        <f t="shared" ref="N2:N6" si="4">IFERROR(IF(M2="","",((M2-$AX$3)/$AX$5)),"")</f>
        <v>0.7699507503</v>
      </c>
      <c r="O2" s="32">
        <f>IF(A2="","",IFERROR((((((SUMIF(Data!B:B, A2, Data!H:H)+(SUMIF(Data!B:B, A2,Data!G:G)+(SUMIF(Data!B:B, A2,Data!L:L)+(SUMIF(Data!B:B, A2,Data!K:K)))))/(SUMIF(Data!B:B, A2, Data!M:M)+(SUMIF(Data!B:B, A2, Data!H:H)+(SUMIF(Data!B:B, A2,Data!G:G)+(SUMIF(Data!B:B, A2,Data!K:K)+(SUMIF(Data!B:B, A2,Data!L:L)))))))))),0))</f>
        <v>0.8296296296</v>
      </c>
      <c r="P2" s="35">
        <f>IFERROR(__xludf.DUMMYFUNCTION("IFERROR(((COUNTIF(FILTER(Data!N:N,Data!B:B=A2),""TRAVERSE"")*15)+(COUNTIF(FILTER(Data!N:N,Data!B:B=A2),""HIGH"")*10)+(COUNTIF(FILTER(Data!N:N,Data!B:B=A2),""MIDDLE"")*6)+(COUNTIF(FILTER(Data!N:N,Data!B:B=A2),""LOW"")*4)) / (COUNTIF(Data!B:B, A2)),"""")"),6.125)</f>
        <v>6.125</v>
      </c>
      <c r="Q2" s="31">
        <f>IFERROR(__xludf.DUMMYFUNCTION("IF(P2="""","""",Average(FIlter(('Convert Name to Number'!$F$422:$Z1000),'Convert Name to Number'!$E$422:$E1000=$A2)))"),7.8)</f>
        <v>7.8</v>
      </c>
      <c r="R2" s="36">
        <f t="shared" ref="R2:R138" si="5">IFERROR(IF(P2="","",(Q2-$AV$3)/$AV$5),"")</f>
        <v>-0.5746465367</v>
      </c>
      <c r="S2" s="37">
        <f>IFERROR(__xludf.DUMMYFUNCTION("IFERROR((((COUNTIF(FILTER(Data!N:N,Data!B:B=A2),""TRAVERSE""))+(COUNTIF(FILTER(Data!N:N,Data!B:B=A2),""HIGH""))+(COUNTIF(FILTER(Data!N:N,Data!B:B=A2),""MIDDLE""))+(COUNTIF(FILTER(Data!N:N,Data!B:B=A2),""LOW"")))) / (((COUNTIF(Data!B:B, A2)))-(COUNTIF(FILT"&amp;"ER(Data!N:N,Data!B:B=A2),""NONE""))),IF(ISBLANK(A2),"""",0))"),0.875)</f>
        <v>0.875</v>
      </c>
      <c r="T2" s="32">
        <f>IFERROR(__xludf.DUMMYFUNCTION("IFERROR((COUNTIF(FILTER(Data!N:N, Data!B:B=A2),""LOW"")) / (COUNTIF(Data!B:B, A2)),"""")"),0.125)</f>
        <v>0.125</v>
      </c>
      <c r="U2" s="38">
        <f>IFERROR(__xludf.DUMMYFUNCTION("IFERROR((COUNTIF(FILTER(Data!N:N, Data!B:B=A2),""MIDDLE"")) / (COUNTIF(Data!B:B, A2)),"""")"),0.625)</f>
        <v>0.625</v>
      </c>
      <c r="V2" s="38">
        <f>IFERROR(__xludf.DUMMYFUNCTION("IFERROR((COUNTIF(FILTER(Data!N:N, Data!B:B=A2),""HIGH"")) / (COUNTIF(Data!B:B, A2)),"""")"),0.0)</f>
        <v>0</v>
      </c>
      <c r="W2" s="38">
        <f>IFERROR(__xludf.DUMMYFUNCTION("IFERROR((COUNTIF(FILTER(Data!N:N, Data!B:B=A2),""TRAVERSE"")) / (COUNTIF(Data!B:B, A2)),"""")"),0.125)</f>
        <v>0.125</v>
      </c>
      <c r="X2" s="39">
        <f t="shared" ref="X2:X138" si="6">IFERROR(IF(W2="","",(W2-$AT$3)/$AT$5),"")</f>
        <v>-0.9703024199</v>
      </c>
      <c r="Y2" s="31">
        <f t="shared" ref="Y2:Y803" si="7">IF(A2="","",((C2*2)+(D2*4)))</f>
        <v>5.5</v>
      </c>
      <c r="Z2" s="31">
        <f t="shared" ref="Z2:Z803" si="8">IF(A2="","",((L2*1)+(M2*2)))</f>
        <v>25.25</v>
      </c>
      <c r="AA2" s="31">
        <f t="shared" ref="AA2:AA803" si="9">IF(A2="","",(Z2+Y2))</f>
        <v>30.75</v>
      </c>
      <c r="AB2" s="40">
        <f t="shared" ref="AB2:AB6" si="10">IFERROR(IF(A2="","",((M2+D2)-$AR$3)/$AR$5),"")</f>
        <v>0.5289143483</v>
      </c>
      <c r="AC2" s="41">
        <f>IFERROR(__xludf.DUMMYFUNCTION("IF(AA2="""","""",MAX(Filter((Data!K:K),Data!B:B=A2)))"),20.0)</f>
        <v>20</v>
      </c>
      <c r="AD2" s="41">
        <f t="shared" ref="AD2:AD147" si="11">IFERROR(IF(A2="","",(AC2-$AW$3)/$AW$5),"")</f>
        <v>0.8085147243</v>
      </c>
      <c r="AE2" s="31">
        <f t="shared" ref="AE2:AE803" si="12">IF(A2="","",(M2+L2+D2+C2))</f>
        <v>14</v>
      </c>
      <c r="AF2" s="31">
        <f t="shared" ref="AF2:AF803" si="13">IF(A2="","",(P2+Y2+Z2))</f>
        <v>36.875</v>
      </c>
      <c r="AG2" s="42">
        <f>IF(A2="","",(((AD2)*Picklist!$P$3)+((K2)*Picklist!$P$4)+(E2*Picklist!$P$5)+(N2*Picklist!$P$6)+(X2*Picklist!$P$7)+(R2*Picklist!$P$8)))</f>
        <v>0.981584924</v>
      </c>
      <c r="AH2" s="43">
        <f>IF(A2="","",(((AD2)*Picklist!$P$14)+((K2)*Picklist!$P$15)+(E2*Picklist!$P$16)+(N2*Picklist!$P$17)+(X2*Picklist!$P$18)+(R2*Picklist!$P$19)))</f>
        <v>0.4069383873</v>
      </c>
      <c r="AI2" s="44" t="str">
        <f>IFERROR(__xludf.DUMMYFUNCTION("TEXTJOIN("", "",TRUE, FILTER(Data!P:P, Data!B:B=A2))"),"")</f>
        <v/>
      </c>
      <c r="AJ2" s="45">
        <f t="shared" ref="AJ2:AJ178" si="14">IF(A2="","",((L2)+(M2)))</f>
        <v>12.625</v>
      </c>
      <c r="AK2" s="46" t="str">
        <f>IFERROR(__xludf.DUMMYFUNCTION("IF(A2&lt;&gt;"""",IFERROR(AVERAGE(FILTER('Defense Calculations'!BJ:CS,'Defense Calculations'!A:A=A2)),""""),"""")"),"")</f>
        <v/>
      </c>
      <c r="AL2" s="15" t="str">
        <f t="shared" ref="AL2:AL49" si="15">IFERROR(IF(A2&lt;&gt;"",((AK2-$AY$3)/$AY$5),""),"")</f>
        <v/>
      </c>
      <c r="AM2" s="47"/>
      <c r="AN2" s="48"/>
      <c r="AO2" s="18" t="s">
        <v>547</v>
      </c>
      <c r="AQ2" s="18" t="s">
        <v>548</v>
      </c>
      <c r="AR2" s="18" t="s">
        <v>549</v>
      </c>
      <c r="AS2" s="18" t="s">
        <v>515</v>
      </c>
      <c r="AT2" s="18" t="s">
        <v>550</v>
      </c>
      <c r="AU2" s="18" t="s">
        <v>551</v>
      </c>
      <c r="AV2" s="18" t="s">
        <v>552</v>
      </c>
      <c r="AW2" s="18" t="s">
        <v>553</v>
      </c>
      <c r="AX2" s="28" t="s">
        <v>554</v>
      </c>
      <c r="AY2" s="18" t="s">
        <v>555</v>
      </c>
      <c r="AZ2" s="46">
        <f>IFERROR(__xludf.DUMMYFUNCTION("(FLATTEN(UNIQUE(Data!B2:B1000)))"),1023.0)</f>
        <v>1023</v>
      </c>
      <c r="BA2" s="17">
        <f>IFERROR(__xludf.DUMMYFUNCTION("COUNT(UNIQUE(Setup!H2:H1000))"),48.0)</f>
        <v>48</v>
      </c>
      <c r="BB2" s="49">
        <f t="shared" ref="BB2:BB121" si="16">O2*AE2</f>
        <v>11.61481481</v>
      </c>
      <c r="BC2" s="50" t="str">
        <f t="shared" ref="BC2:BC121" si="17">""&amp;A2</f>
        <v>1023</v>
      </c>
    </row>
    <row r="3">
      <c r="A3" s="15">
        <v>2056.0</v>
      </c>
      <c r="B3" s="30">
        <f>IFERROR(__xludf.DUMMYFUNCTION("IFERROR(ROUND(
(COUNTIF(FILTER(Data!O:O, Data!B:B=A3), ""Win"")
+ COUNTIF(FILTER(Data!O:O, Data!B:B=A3), {""Tie"",""Results""}))
/ (COUNTIF(Data!B:B, A3)),
2),"""")"),0.88)</f>
        <v>0.88</v>
      </c>
      <c r="C3" s="31">
        <f>IFERROR((SUMIF(Data!B:B, A3, Data!H:H)
/ (COUNTIF(Data!B:B, A3)
)),"")</f>
        <v>0</v>
      </c>
      <c r="D3" s="31">
        <f>IFERROR((SUMIF(Data!B:B, A3, Data!G:G)
/ (COUNTIF(Data!B:B, A3)
)),"")</f>
        <v>4</v>
      </c>
      <c r="E3" s="31">
        <f t="shared" si="1"/>
        <v>2.303880617</v>
      </c>
      <c r="F3" s="31">
        <f>IFERROR((SUMIF(Data!B:B, A3, Data!J:J)
/ (COUNTIF(Data!B:B, A3)
)),"")</f>
        <v>4</v>
      </c>
      <c r="G3" s="32">
        <f>IF(A3="","",IFERROR((((((SUMIF(Data!B:B, A3, Data!H:H)+(SUMIF(Data!B:B, A3,Data!G:G)))/(SUMIF(Data!B:B, A3, Data!J:J)))))),0))</f>
        <v>1</v>
      </c>
      <c r="H3" s="33">
        <f>IFERROR(__xludf.DUMMYFUNCTION("IFERROR(IF(G3="""","""",(SUM(FIlter(Filter(Data!G:G,Data!B:B=A3),(Filter(Data!J:J&lt;3,Data!B:B=A3))))+SUM((FIlter(Filter(Data!H:H,Data!B:B=A3),(Filter(Data!J:J&lt;3,Data!B:B=A3))))))/(SUM(Filter(Filter(Data!J:J,Data!B:B=A3),FILTER(Data!J:J&lt;3,Data!B:B=A3))))),"&amp;""""")"),1.0)</f>
        <v>1</v>
      </c>
      <c r="I3" s="32">
        <f>IFERROR(__xludf.DUMMYFUNCTION("IF(A3="""","""",(COUNT(FILTER(IF(Data!G:G&lt;&gt;0,Data!G:G,IF(Data!H:H&lt;&gt;0,Data!H:H)),Data!B:B=A3)))/(COUNT(FILTER(Data!J:J,Data!B:B=A3))))"),1.0)</f>
        <v>1</v>
      </c>
      <c r="J3" s="32">
        <f t="shared" si="2"/>
        <v>1</v>
      </c>
      <c r="K3" s="31">
        <f t="shared" si="3"/>
        <v>1.075780341</v>
      </c>
      <c r="L3" s="31">
        <f>IFERROR((SUMIF(Data!B:B, A3, Data!L:L)
/ (COUNTIF(Data!B:B, A3)
)),"")</f>
        <v>0</v>
      </c>
      <c r="M3" s="31">
        <f>IFERROR((SUMIF(Data!B:B, A3, Data!K:K)
/ (COUNTIF(Data!B:B, A3)
)),"")</f>
        <v>15.25</v>
      </c>
      <c r="N3" s="34">
        <f t="shared" si="4"/>
        <v>1.361906494</v>
      </c>
      <c r="O3" s="32">
        <f>IF(A3="","",IFERROR((((((SUMIF(Data!B:B, A3, Data!H:H)+(SUMIF(Data!B:B, A3,Data!G:G)+(SUMIF(Data!B:B, A3,Data!L:L)+(SUMIF(Data!B:B, A3,Data!K:K)))))/(SUMIF(Data!B:B, A3, Data!M:M)+(SUMIF(Data!B:B, A3, Data!H:H)+(SUMIF(Data!B:B, A3,Data!G:G)+(SUMIF(Data!B:B, A3,Data!K:K)+(SUMIF(Data!B:B, A3,Data!L:L)))))))))),0))</f>
        <v>0.8901734104</v>
      </c>
      <c r="P3" s="35">
        <f>IFERROR(__xludf.DUMMYFUNCTION("IFERROR(((COUNTIF(FILTER(Data!N:N,Data!B:B=A3),""TRAVERSE"")*15)+(COUNTIF(FILTER(Data!N:N,Data!B:B=A3),""HIGH"")*10)+(COUNTIF(FILTER(Data!N:N,Data!B:B=A3),""MIDDLE"")*6)+(COUNTIF(FILTER(Data!N:N,Data!B:B=A3),""LOW"")*4)) / (COUNTIF(Data!B:B, A3)),"""")"),7.625)</f>
        <v>7.625</v>
      </c>
      <c r="Q3" s="31">
        <f>IFERROR(__xludf.DUMMYFUNCTION("IF(P3="""","""",Average(FIlter(('Convert Name to Number'!$F$422:$Z1000),'Convert Name to Number'!$E$422:$E1000=$A3)))"),12.2)</f>
        <v>12.2</v>
      </c>
      <c r="R3" s="36">
        <f t="shared" si="5"/>
        <v>0.3546440341</v>
      </c>
      <c r="S3" s="37">
        <f>IFERROR(__xludf.DUMMYFUNCTION("IFERROR((((COUNTIF(FILTER(Data!N:N,Data!B:B=A3),""TRAVERSE""))+(COUNTIF(FILTER(Data!N:N,Data!B:B=A3),""HIGH""))+(COUNTIF(FILTER(Data!N:N,Data!B:B=A3),""MIDDLE""))+(COUNTIF(FILTER(Data!N:N,Data!B:B=A3),""LOW"")))) / (((COUNTIF(Data!B:B, A3)))-(COUNTIF(FILT"&amp;"ER(Data!N:N,Data!B:B=A3),""NONE""))),IF(ISBLANK(A3),"""",0))"),1.0)</f>
        <v>1</v>
      </c>
      <c r="T3" s="32">
        <f>IFERROR(__xludf.DUMMYFUNCTION("IFERROR((COUNTIF(FILTER(Data!N:N, Data!B:B=A3),""LOW"")) / (COUNTIF(Data!B:B, A3)),"""")"),0.0)</f>
        <v>0</v>
      </c>
      <c r="U3" s="38">
        <f>IFERROR(__xludf.DUMMYFUNCTION("IFERROR((COUNTIF(FILTER(Data!N:N, Data!B:B=A3),""MIDDLE"")) / (COUNTIF(Data!B:B, A3)),"""")"),0.125)</f>
        <v>0.125</v>
      </c>
      <c r="V3" s="38">
        <f>IFERROR(__xludf.DUMMYFUNCTION("IFERROR((COUNTIF(FILTER(Data!N:N, Data!B:B=A3),""HIGH"")) / (COUNTIF(Data!B:B, A3)),"""")"),0.125)</f>
        <v>0.125</v>
      </c>
      <c r="W3" s="38">
        <f>IFERROR(__xludf.DUMMYFUNCTION("IFERROR((COUNTIF(FILTER(Data!N:N, Data!B:B=A3),""TRAVERSE"")) / (COUNTIF(Data!B:B, A3)),"""")"),0.375)</f>
        <v>0.375</v>
      </c>
      <c r="X3" s="39">
        <f t="shared" si="6"/>
        <v>-0.1786675844</v>
      </c>
      <c r="Y3" s="31">
        <f t="shared" si="7"/>
        <v>16</v>
      </c>
      <c r="Z3" s="31">
        <f t="shared" si="8"/>
        <v>30.5</v>
      </c>
      <c r="AA3" s="31">
        <f t="shared" si="9"/>
        <v>46.5</v>
      </c>
      <c r="AB3" s="40">
        <f t="shared" si="10"/>
        <v>1.517397898</v>
      </c>
      <c r="AC3" s="41">
        <f>IFERROR(__xludf.DUMMYFUNCTION("IF(AA3="""","""",MAX(Filter((Data!K:K),Data!B:B=A3)))"),26.0)</f>
        <v>26</v>
      </c>
      <c r="AD3" s="41">
        <f t="shared" si="11"/>
        <v>1.825336736</v>
      </c>
      <c r="AE3" s="31">
        <f t="shared" si="12"/>
        <v>19.25</v>
      </c>
      <c r="AF3" s="31">
        <f t="shared" si="13"/>
        <v>54.125</v>
      </c>
      <c r="AG3" s="42">
        <f>IF(A3="","",(((AD3)*Picklist!$P$3)+((K3)*Picklist!$P$4)+(E3*Picklist!$P$5)+(N3*Picklist!$P$6)+(X3*Picklist!$P$7)+(R3*Picklist!$P$8)))</f>
        <v>8.405412695</v>
      </c>
      <c r="AH3" s="43">
        <f>IF(A3="","",(((AD3)*Picklist!$P$14)+((K3)*Picklist!$P$15)+(E3*Picklist!$P$16)+(N3*Picklist!$P$17)+(X3*Picklist!$P$18)+(R3*Picklist!$P$19)))</f>
        <v>8.760056729</v>
      </c>
      <c r="AI3" s="44" t="str">
        <f>IFERROR(__xludf.DUMMYFUNCTION("TEXTJOIN("", "",TRUE, FILTER(Data!P:P, Data!B:B=A3))"),"very good scorer. shoots 3 ball bursts, move and shoot during auto")</f>
        <v>very good scorer. shoots 3 ball bursts, move and shoot during auto</v>
      </c>
      <c r="AJ3" s="45">
        <f t="shared" si="14"/>
        <v>15.25</v>
      </c>
      <c r="AK3" s="46" t="str">
        <f>IFERROR(__xludf.DUMMYFUNCTION("IF(A3&lt;&gt;"""",IFERROR(AVERAGE(FILTER('Defense Calculations'!BJ:CS,'Defense Calculations'!A:A=A3)),""""),"""")"),"")</f>
        <v/>
      </c>
      <c r="AL3" s="15" t="str">
        <f t="shared" si="15"/>
        <v/>
      </c>
      <c r="AM3" s="47"/>
      <c r="AN3" s="51"/>
      <c r="AR3" s="15">
        <f>AVERAGE(M:M)+AVERAGE(D:D)</f>
        <v>11.19084821</v>
      </c>
      <c r="AS3" s="15">
        <f>AVERAGE(J:J)</f>
        <v>0.852870856</v>
      </c>
      <c r="AT3" s="15">
        <f>AVERAGE(W:W)</f>
        <v>0.4314236111</v>
      </c>
      <c r="AU3" s="15">
        <f>AVERAge(D:D)</f>
        <v>1.98015873</v>
      </c>
      <c r="AV3" s="15">
        <f>AVERAGE(Q:Q)</f>
        <v>10.52083333</v>
      </c>
      <c r="AW3" s="15">
        <f>AVERAGE(AC:AC)</f>
        <v>15.22916667</v>
      </c>
      <c r="AX3" s="15">
        <f>AVERAGE(M:M)</f>
        <v>9.210689484</v>
      </c>
      <c r="AY3" s="15" t="str">
        <f>AVERAGE(AK:AK)</f>
        <v>#DIV/0!</v>
      </c>
      <c r="AZ3" s="15">
        <f>IFERROR(__xludf.DUMMYFUNCTION("""COMPUTED_VALUE"""),1024.0)</f>
        <v>1024</v>
      </c>
      <c r="BB3" s="49">
        <f t="shared" si="16"/>
        <v>17.13583815</v>
      </c>
      <c r="BC3" s="50" t="str">
        <f t="shared" si="17"/>
        <v>2056</v>
      </c>
    </row>
    <row r="4">
      <c r="A4" s="15">
        <v>1339.0</v>
      </c>
      <c r="B4" s="30">
        <f>IFERROR(__xludf.DUMMYFUNCTION("IFERROR(ROUND(
(COUNTIF(FILTER(Data!O:O, Data!B:B=A4), ""Win"")
+ COUNTIF(FILTER(Data!O:O, Data!B:B=A4), {""Tie"",""Results""}))
/ (COUNTIF(Data!B:B, A4)),
2),"""")"),0.71)</f>
        <v>0.71</v>
      </c>
      <c r="C4" s="31">
        <f>IFERROR((SUMIF(Data!B:B, A4, Data!H:H)
/ (COUNTIF(Data!B:B, A4)
)),"")</f>
        <v>0</v>
      </c>
      <c r="D4" s="31">
        <f>IFERROR((SUMIF(Data!B:B, A4, Data!G:G)
/ (COUNTIF(Data!B:B, A4)
)),"")</f>
        <v>2</v>
      </c>
      <c r="E4" s="31">
        <f t="shared" si="1"/>
        <v>0.02263144024</v>
      </c>
      <c r="F4" s="31">
        <f>IFERROR((SUMIF(Data!B:B, A4, Data!J:J)
/ (COUNTIF(Data!B:B, A4)
)),"")</f>
        <v>2</v>
      </c>
      <c r="G4" s="32">
        <f>IF(A4="","",IFERROR((((((SUMIF(Data!B:B, A4, Data!H:H)+(SUMIF(Data!B:B, A4,Data!G:G)))/(SUMIF(Data!B:B, A4, Data!J:J)))))),0))</f>
        <v>1</v>
      </c>
      <c r="H4" s="33">
        <f>IFERROR(__xludf.DUMMYFUNCTION("IFERROR(IF(G4="""","""",(SUM(FIlter(Filter(Data!G:G,Data!B:B=A4),(Filter(Data!J:J&lt;3,Data!B:B=A4))))+SUM((FIlter(Filter(Data!H:H,Data!B:B=A4),(Filter(Data!J:J&lt;3,Data!B:B=A4))))))/(SUM(Filter(Filter(Data!J:J,Data!B:B=A4),FILTER(Data!J:J&lt;3,Data!B:B=A4))))),"&amp;""""")"),1.0)</f>
        <v>1</v>
      </c>
      <c r="I4" s="32">
        <f>IFERROR(__xludf.DUMMYFUNCTION("IF(A4="""","""",(COUNT(FILTER(IF(Data!G:G&lt;&gt;0,Data!G:G,IF(Data!H:H&lt;&gt;0,Data!H:H)),Data!B:B=A4)))/(COUNT(FILTER(Data!J:J,Data!B:B=A4))))"),0.8571428571428571)</f>
        <v>0.8571428571</v>
      </c>
      <c r="J4" s="32">
        <f t="shared" si="2"/>
        <v>0.9285714286</v>
      </c>
      <c r="K4" s="31">
        <f t="shared" si="3"/>
        <v>0.553508201</v>
      </c>
      <c r="L4" s="31">
        <f>IFERROR((SUMIF(Data!B:B, A4, Data!L:L)
/ (COUNTIF(Data!B:B, A4)
)),"")</f>
        <v>0</v>
      </c>
      <c r="M4" s="31">
        <f>IFERROR((SUMIF(Data!B:B, A4, Data!K:K)
/ (COUNTIF(Data!B:B, A4)
)),"")</f>
        <v>13.85714286</v>
      </c>
      <c r="N4" s="34">
        <f t="shared" si="4"/>
        <v>1.047807528</v>
      </c>
      <c r="O4" s="32">
        <f>IF(A4="","",IFERROR((((((SUMIF(Data!B:B, A4, Data!H:H)+(SUMIF(Data!B:B, A4,Data!G:G)+(SUMIF(Data!B:B, A4,Data!L:L)+(SUMIF(Data!B:B, A4,Data!K:K)))))/(SUMIF(Data!B:B, A4, Data!M:M)+(SUMIF(Data!B:B, A4, Data!H:H)+(SUMIF(Data!B:B, A4,Data!G:G)+(SUMIF(Data!B:B, A4,Data!K:K)+(SUMIF(Data!B:B, A4,Data!L:L)))))))))),0))</f>
        <v>0.880952381</v>
      </c>
      <c r="P4" s="35">
        <f>IFERROR(__xludf.DUMMYFUNCTION("IFERROR(((COUNTIF(FILTER(Data!N:N,Data!B:B=A4),""TRAVERSE"")*15)+(COUNTIF(FILTER(Data!N:N,Data!B:B=A4),""HIGH"")*10)+(COUNTIF(FILTER(Data!N:N,Data!B:B=A4),""MIDDLE"")*6)+(COUNTIF(FILTER(Data!N:N,Data!B:B=A4),""LOW"")*4)) / (COUNTIF(Data!B:B, A4)),"""")"),15.0)</f>
        <v>15</v>
      </c>
      <c r="Q4" s="31">
        <f>IFERROR(__xludf.DUMMYFUNCTION("IF(P4="""","""",Average(FIlter(('Convert Name to Number'!$F$422:$Z1000),'Convert Name to Number'!$E$422:$E1000=$A4)))"),15.0)</f>
        <v>15</v>
      </c>
      <c r="R4" s="36">
        <f t="shared" si="5"/>
        <v>0.946010761</v>
      </c>
      <c r="S4" s="37">
        <f>IFERROR(__xludf.DUMMYFUNCTION("IFERROR((((COUNTIF(FILTER(Data!N:N,Data!B:B=A4),""TRAVERSE""))+(COUNTIF(FILTER(Data!N:N,Data!B:B=A4),""HIGH""))+(COUNTIF(FILTER(Data!N:N,Data!B:B=A4),""MIDDLE""))+(COUNTIF(FILTER(Data!N:N,Data!B:B=A4),""LOW"")))) / (((COUNTIF(Data!B:B, A4)))-(COUNTIF(FILT"&amp;"ER(Data!N:N,Data!B:B=A4),""NONE""))),IF(ISBLANK(A4),"""",0))"),1.0)</f>
        <v>1</v>
      </c>
      <c r="T4" s="32">
        <f>IFERROR(__xludf.DUMMYFUNCTION("IFERROR((COUNTIF(FILTER(Data!N:N, Data!B:B=A4),""LOW"")) / (COUNTIF(Data!B:B, A4)),"""")"),0.0)</f>
        <v>0</v>
      </c>
      <c r="U4" s="38">
        <f>IFERROR(__xludf.DUMMYFUNCTION("IFERROR((COUNTIF(FILTER(Data!N:N, Data!B:B=A4),""MIDDLE"")) / (COUNTIF(Data!B:B, A4)),"""")"),0.0)</f>
        <v>0</v>
      </c>
      <c r="V4" s="38">
        <f>IFERROR(__xludf.DUMMYFUNCTION("IFERROR((COUNTIF(FILTER(Data!N:N, Data!B:B=A4),""HIGH"")) / (COUNTIF(Data!B:B, A4)),"""")"),0.0)</f>
        <v>0</v>
      </c>
      <c r="W4" s="38">
        <f>IFERROR(__xludf.DUMMYFUNCTION("IFERROR((COUNTIF(FILTER(Data!N:N, Data!B:B=A4),""TRAVERSE"")) / (COUNTIF(Data!B:B, A4)),"""")"),1.0)</f>
        <v>1</v>
      </c>
      <c r="X4" s="39">
        <f t="shared" si="6"/>
        <v>1.800419504</v>
      </c>
      <c r="Y4" s="31">
        <f t="shared" si="7"/>
        <v>8</v>
      </c>
      <c r="Z4" s="31">
        <f t="shared" si="8"/>
        <v>27.71428571</v>
      </c>
      <c r="AA4" s="31">
        <f t="shared" si="9"/>
        <v>35.71428571</v>
      </c>
      <c r="AB4" s="40">
        <f t="shared" si="10"/>
        <v>0.8785819985</v>
      </c>
      <c r="AC4" s="41">
        <f>IFERROR(__xludf.DUMMYFUNCTION("IF(AA4="""","""",MAX(Filter((Data!K:K),Data!B:B=A4)))"),19.0)</f>
        <v>19</v>
      </c>
      <c r="AD4" s="41">
        <f t="shared" si="11"/>
        <v>0.6390443891</v>
      </c>
      <c r="AE4" s="31">
        <f t="shared" si="12"/>
        <v>15.85714286</v>
      </c>
      <c r="AF4" s="31">
        <f t="shared" si="13"/>
        <v>50.71428571</v>
      </c>
      <c r="AG4" s="42">
        <f>IF(A4="","",(((AD4)*Picklist!$P$3)+((K4)*Picklist!$P$4)+(E4*Picklist!$P$5)+(N4*Picklist!$P$6)+(X4*Picklist!$P$7)+(R4*Picklist!$P$8)))</f>
        <v>8.120018218</v>
      </c>
      <c r="AH4" s="43">
        <f>IF(A4="","",(((AD4)*Picklist!$P$14)+((K4)*Picklist!$P$15)+(E4*Picklist!$P$16)+(N4*Picklist!$P$17)+(X4*Picklist!$P$18)+(R4*Picklist!$P$19)))</f>
        <v>9.066028979</v>
      </c>
      <c r="AI4" s="44" t="str">
        <f>IFERROR(__xludf.DUMMYFUNCTION("TEXTJOIN("", "",TRUE, FILTER(Data!P:P, Data!B:B=A4))"),"fast and smooth intake, 18 sec traverse climb, fast intake, consistent. i like them.")</f>
        <v>fast and smooth intake, 18 sec traverse climb, fast intake, consistent. i like them.</v>
      </c>
      <c r="AJ4" s="45">
        <f t="shared" si="14"/>
        <v>13.85714286</v>
      </c>
      <c r="AK4" s="46" t="str">
        <f>IFERROR(__xludf.DUMMYFUNCTION("IF(A4&lt;&gt;"""",IFERROR(AVERAGE(FILTER('Defense Calculations'!BJ:CS,'Defense Calculations'!A:A=A4)),""""),"""")"),"")</f>
        <v/>
      </c>
      <c r="AL4" s="15" t="str">
        <f t="shared" si="15"/>
        <v/>
      </c>
      <c r="AM4" s="47"/>
      <c r="AN4" s="51"/>
      <c r="AZ4" s="15">
        <f>IFERROR(__xludf.DUMMYFUNCTION("""COMPUTED_VALUE"""),118.0)</f>
        <v>118</v>
      </c>
      <c r="BB4" s="49">
        <f t="shared" si="16"/>
        <v>13.96938776</v>
      </c>
      <c r="BC4" s="50" t="str">
        <f t="shared" si="17"/>
        <v>1339</v>
      </c>
    </row>
    <row r="5">
      <c r="A5" s="15">
        <v>3538.0</v>
      </c>
      <c r="B5" s="30">
        <f>IFERROR(__xludf.DUMMYFUNCTION("IFERROR(ROUND(
(COUNTIF(FILTER(Data!O:O, Data!B:B=A5), ""Win"")
+ COUNTIF(FILTER(Data!O:O, Data!B:B=A5), {""Tie"",""Results""}))
/ (COUNTIF(Data!B:B, A5)),
2),"""")"),0.83)</f>
        <v>0.83</v>
      </c>
      <c r="C5" s="31">
        <f>IFERROR((SUMIF(Data!B:B, A5, Data!H:H)
/ (COUNTIF(Data!B:B, A5)
)),"")</f>
        <v>0</v>
      </c>
      <c r="D5" s="31">
        <f>IFERROR((SUMIF(Data!B:B, A5, Data!G:G)
/ (COUNTIF(Data!B:B, A5)
)),"")</f>
        <v>2.333333333</v>
      </c>
      <c r="E5" s="31">
        <f t="shared" si="1"/>
        <v>0.4028396363</v>
      </c>
      <c r="F5" s="31">
        <f>IFERROR((SUMIF(Data!B:B, A5, Data!J:J)
/ (COUNTIF(Data!B:B, A5)
)),"")</f>
        <v>3.666666667</v>
      </c>
      <c r="G5" s="32">
        <f>IF(A5="","",IFERROR((((((SUMIF(Data!B:B, A5, Data!H:H)+(SUMIF(Data!B:B, A5,Data!G:G)))/(SUMIF(Data!B:B, A5, Data!J:J)))))),0))</f>
        <v>0.6363636364</v>
      </c>
      <c r="H5" s="33">
        <f>IFERROR(__xludf.DUMMYFUNCTION("IFERROR(IF(G5="""","""",(SUM(FIlter(Filter(Data!G:G,Data!B:B=A5),(Filter(Data!J:J&lt;3,Data!B:B=A5))))+SUM((FIlter(Filter(Data!H:H,Data!B:B=A5),(Filter(Data!J:J&lt;3,Data!B:B=A5))))))/(SUM(Filter(Filter(Data!J:J,Data!B:B=A5),FILTER(Data!J:J&lt;3,Data!B:B=A5))))),"&amp;""""")"),1.0)</f>
        <v>1</v>
      </c>
      <c r="I5" s="32">
        <f>IFERROR(__xludf.DUMMYFUNCTION("IF(A5="""","""",(COUNT(FILTER(IF(Data!G:G&lt;&gt;0,Data!G:G,IF(Data!H:H&lt;&gt;0,Data!H:H)),Data!B:B=A5)))/(COUNT(FILTER(Data!J:J,Data!B:B=A5))))"),0.8333333333333334)</f>
        <v>0.8333333333</v>
      </c>
      <c r="J5" s="32">
        <f t="shared" si="2"/>
        <v>0.9166666667</v>
      </c>
      <c r="K5" s="31">
        <f t="shared" si="3"/>
        <v>0.4664628443</v>
      </c>
      <c r="L5" s="31">
        <f>IFERROR((SUMIF(Data!B:B, A5, Data!L:L)
/ (COUNTIF(Data!B:B, A5)
)),"")</f>
        <v>0</v>
      </c>
      <c r="M5" s="31">
        <f>IFERROR((SUMIF(Data!B:B, A5, Data!K:K)
/ (COUNTIF(Data!B:B, A5)
)),"")</f>
        <v>13.16666667</v>
      </c>
      <c r="N5" s="34">
        <f t="shared" si="4"/>
        <v>0.8921003481</v>
      </c>
      <c r="O5" s="32">
        <f>IF(A5="","",IFERROR((((((SUMIF(Data!B:B, A5, Data!H:H)+(SUMIF(Data!B:B, A5,Data!G:G)+(SUMIF(Data!B:B, A5,Data!L:L)+(SUMIF(Data!B:B, A5,Data!K:K)))))/(SUMIF(Data!B:B, A5, Data!M:M)+(SUMIF(Data!B:B, A5, Data!H:H)+(SUMIF(Data!B:B, A5,Data!G:G)+(SUMIF(Data!B:B, A5,Data!K:K)+(SUMIF(Data!B:B, A5,Data!L:L)))))))))),0))</f>
        <v>0.8157894737</v>
      </c>
      <c r="P5" s="35">
        <f>IFERROR(__xludf.DUMMYFUNCTION("IFERROR(((COUNTIF(FILTER(Data!N:N,Data!B:B=A5),""TRAVERSE"")*15)+(COUNTIF(FILTER(Data!N:N,Data!B:B=A5),""HIGH"")*10)+(COUNTIF(FILTER(Data!N:N,Data!B:B=A5),""MIDDLE"")*6)+(COUNTIF(FILTER(Data!N:N,Data!B:B=A5),""LOW"")*4)) / (COUNTIF(Data!B:B, A5)),"""")"),12.5)</f>
        <v>12.5</v>
      </c>
      <c r="Q5" s="31">
        <f>IFERROR(__xludf.DUMMYFUNCTION("IF(P5="""","""",Average(FIlter(('Convert Name to Number'!$F$422:$Z1000),'Convert Name to Number'!$E$422:$E1000=$A5)))"),15.0)</f>
        <v>15</v>
      </c>
      <c r="R5" s="36">
        <f t="shared" si="5"/>
        <v>0.946010761</v>
      </c>
      <c r="S5" s="37">
        <f>IFERROR(__xludf.DUMMYFUNCTION("IFERROR((((COUNTIF(FILTER(Data!N:N,Data!B:B=A5),""TRAVERSE""))+(COUNTIF(FILTER(Data!N:N,Data!B:B=A5),""HIGH""))+(COUNTIF(FILTER(Data!N:N,Data!B:B=A5),""MIDDLE""))+(COUNTIF(FILTER(Data!N:N,Data!B:B=A5),""LOW"")))) / (((COUNTIF(Data!B:B, A5)))-(COUNTIF(FILT"&amp;"ER(Data!N:N,Data!B:B=A5),""NONE""))),IF(ISBLANK(A5),"""",0))"),1.0)</f>
        <v>1</v>
      </c>
      <c r="T5" s="32">
        <f>IFERROR(__xludf.DUMMYFUNCTION("IFERROR((COUNTIF(FILTER(Data!N:N, Data!B:B=A5),""LOW"")) / (COUNTIF(Data!B:B, A5)),"""")"),0.0)</f>
        <v>0</v>
      </c>
      <c r="U5" s="38">
        <f>IFERROR(__xludf.DUMMYFUNCTION("IFERROR((COUNTIF(FILTER(Data!N:N, Data!B:B=A5),""MIDDLE"")) / (COUNTIF(Data!B:B, A5)),"""")"),0.0)</f>
        <v>0</v>
      </c>
      <c r="V5" s="38">
        <f>IFERROR(__xludf.DUMMYFUNCTION("IFERROR((COUNTIF(FILTER(Data!N:N, Data!B:B=A5),""HIGH"")) / (COUNTIF(Data!B:B, A5)),"""")"),0.0)</f>
        <v>0</v>
      </c>
      <c r="W5" s="38">
        <f>IFERROR(__xludf.DUMMYFUNCTION("IFERROR((COUNTIF(FILTER(Data!N:N, Data!B:B=A5),""TRAVERSE"")) / (COUNTIF(Data!B:B, A5)),"""")"),0.8333333333333334)</f>
        <v>0.8333333333</v>
      </c>
      <c r="X5" s="39">
        <f t="shared" si="6"/>
        <v>1.272662947</v>
      </c>
      <c r="Y5" s="31">
        <f t="shared" si="7"/>
        <v>9.333333333</v>
      </c>
      <c r="Z5" s="31">
        <f t="shared" si="8"/>
        <v>26.33333333</v>
      </c>
      <c r="AA5" s="31">
        <f t="shared" si="9"/>
        <v>35.66666667</v>
      </c>
      <c r="AB5" s="40">
        <f t="shared" si="10"/>
        <v>0.8113382196</v>
      </c>
      <c r="AC5" s="41">
        <f>IFERROR(__xludf.DUMMYFUNCTION("IF(AA5="""","""",MAX(Filter((Data!K:K),Data!B:B=A5)))"),18.0)</f>
        <v>18</v>
      </c>
      <c r="AD5" s="41">
        <f t="shared" si="11"/>
        <v>0.4695740539</v>
      </c>
      <c r="AE5" s="31">
        <f t="shared" si="12"/>
        <v>15.5</v>
      </c>
      <c r="AF5" s="31">
        <f t="shared" si="13"/>
        <v>48.16666667</v>
      </c>
      <c r="AG5" s="42">
        <f>IF(A5="","",(((AD5)*Picklist!$P$3)+((K5)*Picklist!$P$4)+(E5*Picklist!$P$5)+(N5*Picklist!$P$6)+(X5*Picklist!$P$7)+(R5*Picklist!$P$8)))</f>
        <v>7.396380987</v>
      </c>
      <c r="AH5" s="43">
        <f>IF(A5="","",(((AD5)*Picklist!$P$14)+((K5)*Picklist!$P$15)+(E5*Picklist!$P$16)+(N5*Picklist!$P$17)+(X5*Picklist!$P$18)+(R5*Picklist!$P$19)))</f>
        <v>8.342391748</v>
      </c>
      <c r="AI5" s="44" t="str">
        <f>IFERROR(__xludf.DUMMYFUNCTION("TEXTJOIN("", "",TRUE, FILTER(Data!P:P, Data!B:B=A5))"),"often did one ball cycles, accuarate shootEr close and far missed shots due to aggressive defense")</f>
        <v>often did one ball cycles, accuarate shootEr close and far missed shots due to aggressive defense</v>
      </c>
      <c r="AJ5" s="45">
        <f t="shared" si="14"/>
        <v>13.16666667</v>
      </c>
      <c r="AK5" s="46" t="str">
        <f>IFERROR(__xludf.DUMMYFUNCTION("IF(A5&lt;&gt;"""",IFERROR(AVERAGE(FILTER('Defense Calculations'!BJ:CS,'Defense Calculations'!A:A=A5)),""""),"""")"),"")</f>
        <v/>
      </c>
      <c r="AL5" s="15" t="str">
        <f t="shared" si="15"/>
        <v/>
      </c>
      <c r="AM5" s="47"/>
      <c r="AN5" s="51"/>
      <c r="AQ5" s="18" t="s">
        <v>556</v>
      </c>
      <c r="AR5" s="15">
        <f>STDEV(M:M)+STDEV(D:D)</f>
        <v>5.311165777</v>
      </c>
      <c r="AS5" s="15">
        <f>STDEV(J:J)</f>
        <v>0.1367650424</v>
      </c>
      <c r="AT5" s="15">
        <f>STDev(W:W)</f>
        <v>0.3158021714</v>
      </c>
      <c r="AU5" s="15">
        <f>STDEV(D:D)</f>
        <v>0.8767126452</v>
      </c>
      <c r="AV5" s="15">
        <f>STDEV(Q:Q)</f>
        <v>4.734794625</v>
      </c>
      <c r="AW5" s="15">
        <f>STDEV(AC:AC)</f>
        <v>5.900737723</v>
      </c>
      <c r="AX5" s="15">
        <f>STDEV(M:M)</f>
        <v>4.434453132</v>
      </c>
      <c r="AY5" s="15" t="str">
        <f>STDEV(AK:AK)</f>
        <v>#DIV/0!</v>
      </c>
      <c r="AZ5" s="15">
        <f>IFERROR(__xludf.DUMMYFUNCTION("""COMPUTED_VALUE"""),1339.0)</f>
        <v>1339</v>
      </c>
      <c r="BB5" s="49">
        <f t="shared" si="16"/>
        <v>12.64473684</v>
      </c>
      <c r="BC5" s="50" t="str">
        <f t="shared" si="17"/>
        <v>3538</v>
      </c>
    </row>
    <row r="6">
      <c r="A6" s="15">
        <v>340.0</v>
      </c>
      <c r="B6" s="30">
        <f>IFERROR(__xludf.DUMMYFUNCTION("IFERROR(ROUND(
(COUNTIF(FILTER(Data!O:O, Data!B:B=A6), ""Win"")
+ COUNTIF(FILTER(Data!O:O, Data!B:B=A6), {""Tie"",""Results""}))
/ (COUNTIF(Data!B:B, A6)),
2),"""")"),0.5)</f>
        <v>0.5</v>
      </c>
      <c r="C6" s="31">
        <f>IFERROR((SUMIF(Data!B:B, A6, Data!H:H)
/ (COUNTIF(Data!B:B, A6)
)),"")</f>
        <v>0</v>
      </c>
      <c r="D6" s="31">
        <f>IFERROR((SUMIF(Data!B:B, A6, Data!G:G)
/ (COUNTIF(Data!B:B, A6)
)),"")</f>
        <v>2</v>
      </c>
      <c r="E6" s="31">
        <f t="shared" si="1"/>
        <v>0.02263144024</v>
      </c>
      <c r="F6" s="31">
        <f>IFERROR((SUMIF(Data!B:B, A6, Data!J:J)
/ (COUNTIF(Data!B:B, A6)
)),"")</f>
        <v>2</v>
      </c>
      <c r="G6" s="32">
        <f>IF(A6="","",IFERROR((((((SUMIF(Data!B:B, A6, Data!H:H)+(SUMIF(Data!B:B, A6,Data!G:G)))/(SUMIF(Data!B:B, A6, Data!J:J)))))),0))</f>
        <v>1</v>
      </c>
      <c r="H6" s="33">
        <f>IFERROR(__xludf.DUMMYFUNCTION("IFERROR(IF(G6="""","""",(SUM(FIlter(Filter(Data!G:G,Data!B:B=A6),(Filter(Data!J:J&lt;3,Data!B:B=A6))))+SUM((FIlter(Filter(Data!H:H,Data!B:B=A6),(Filter(Data!J:J&lt;3,Data!B:B=A6))))))/(SUM(Filter(Filter(Data!J:J,Data!B:B=A6),FILTER(Data!J:J&lt;3,Data!B:B=A6))))),"&amp;""""")"),1.0)</f>
        <v>1</v>
      </c>
      <c r="I6" s="32">
        <f>IFERROR(__xludf.DUMMYFUNCTION("IF(A6="""","""",(COUNT(FILTER(IF(Data!G:G&lt;&gt;0,Data!G:G,IF(Data!H:H&lt;&gt;0,Data!H:H)),Data!B:B=A6)))/(COUNT(FILTER(Data!J:J,Data!B:B=A6))))"),0.875)</f>
        <v>0.875</v>
      </c>
      <c r="J6" s="32">
        <f t="shared" si="2"/>
        <v>0.9375</v>
      </c>
      <c r="K6" s="31">
        <f t="shared" si="3"/>
        <v>0.6187922186</v>
      </c>
      <c r="L6" s="31">
        <f>IFERROR((SUMIF(Data!B:B, A6, Data!L:L)
/ (COUNTIF(Data!B:B, A6)
)),"")</f>
        <v>0</v>
      </c>
      <c r="M6" s="31">
        <f>IFERROR((SUMIF(Data!B:B, A6, Data!K:K)
/ (COUNTIF(Data!B:B, A6)
)),"")</f>
        <v>11.75</v>
      </c>
      <c r="N6" s="34">
        <f t="shared" si="4"/>
        <v>0.5726321692</v>
      </c>
      <c r="O6" s="32">
        <f>IF(A6="","",IFERROR((((((SUMIF(Data!B:B, A6, Data!H:H)+(SUMIF(Data!B:B, A6,Data!G:G)+(SUMIF(Data!B:B, A6,Data!L:L)+(SUMIF(Data!B:B, A6,Data!K:K)))))/(SUMIF(Data!B:B, A6, Data!M:M)+(SUMIF(Data!B:B, A6, Data!H:H)+(SUMIF(Data!B:B, A6,Data!G:G)+(SUMIF(Data!B:B, A6,Data!K:K)+(SUMIF(Data!B:B, A6,Data!L:L)))))))))),0))</f>
        <v>0.9482758621</v>
      </c>
      <c r="P6" s="35">
        <f>IFERROR(__xludf.DUMMYFUNCTION("IFERROR(((COUNTIF(FILTER(Data!N:N,Data!B:B=A6),""TRAVERSE"")*15)+(COUNTIF(FILTER(Data!N:N,Data!B:B=A6),""HIGH"")*10)+(COUNTIF(FILTER(Data!N:N,Data!B:B=A6),""MIDDLE"")*6)+(COUNTIF(FILTER(Data!N:N,Data!B:B=A6),""LOW"")*4)) / (COUNTIF(Data!B:B, A6)),"""")"),8.75)</f>
        <v>8.75</v>
      </c>
      <c r="Q6" s="31">
        <f>IFERROR(__xludf.DUMMYFUNCTION("IF(P6="""","""",Average(FIlter(('Convert Name to Number'!$F$422:$Z1000),'Convert Name to Number'!$E$422:$E1000=$A6)))"),14.0)</f>
        <v>14</v>
      </c>
      <c r="R6" s="36">
        <f t="shared" si="5"/>
        <v>0.7348083586</v>
      </c>
      <c r="S6" s="37">
        <f>IFERROR(__xludf.DUMMYFUNCTION("IFERROR((((COUNTIF(FILTER(Data!N:N,Data!B:B=A6),""TRAVERSE""))+(COUNTIF(FILTER(Data!N:N,Data!B:B=A6),""HIGH""))+(COUNTIF(FILTER(Data!N:N,Data!B:B=A6),""MIDDLE""))+(COUNTIF(FILTER(Data!N:N,Data!B:B=A6),""LOW"")))) / (((COUNTIF(Data!B:B, A6)))-(COUNTIF(FILT"&amp;"ER(Data!N:N,Data!B:B=A6),""NONE""))),IF(ISBLANK(A6),"""",0))"),1.0)</f>
        <v>1</v>
      </c>
      <c r="T6" s="32">
        <f>IFERROR(__xludf.DUMMYFUNCTION("IFERROR((COUNTIF(FILTER(Data!N:N, Data!B:B=A6),""LOW"")) / (COUNTIF(Data!B:B, A6)),"""")"),0.0)</f>
        <v>0</v>
      </c>
      <c r="U6" s="38">
        <f>IFERROR(__xludf.DUMMYFUNCTION("IFERROR((COUNTIF(FILTER(Data!N:N, Data!B:B=A6),""MIDDLE"")) / (COUNTIF(Data!B:B, A6)),"""")"),0.0)</f>
        <v>0</v>
      </c>
      <c r="V6" s="38">
        <f>IFERROR(__xludf.DUMMYFUNCTION("IFERROR((COUNTIF(FILTER(Data!N:N, Data!B:B=A6),""HIGH"")) / (COUNTIF(Data!B:B, A6)),"""")"),0.125)</f>
        <v>0.125</v>
      </c>
      <c r="W6" s="38">
        <f>IFERROR(__xludf.DUMMYFUNCTION("IFERROR((COUNTIF(FILTER(Data!N:N, Data!B:B=A6),""TRAVERSE"")) / (COUNTIF(Data!B:B, A6)),"""")"),0.5)</f>
        <v>0.5</v>
      </c>
      <c r="X6" s="39">
        <f t="shared" si="6"/>
        <v>0.2171498333</v>
      </c>
      <c r="Y6" s="31">
        <f t="shared" si="7"/>
        <v>8</v>
      </c>
      <c r="Z6" s="31">
        <f t="shared" si="8"/>
        <v>23.5</v>
      </c>
      <c r="AA6" s="31">
        <f t="shared" si="9"/>
        <v>31.5</v>
      </c>
      <c r="AB6" s="40">
        <f t="shared" si="10"/>
        <v>0.4818437031</v>
      </c>
      <c r="AC6" s="41">
        <f>IFERROR(__xludf.DUMMYFUNCTION("IF(AA6="""","""",MAX(Filter((Data!K:K),Data!B:B=A6)))"),24.0)</f>
        <v>24</v>
      </c>
      <c r="AD6" s="41">
        <f t="shared" si="11"/>
        <v>1.486396065</v>
      </c>
      <c r="AE6" s="31">
        <f t="shared" si="12"/>
        <v>13.75</v>
      </c>
      <c r="AF6" s="31">
        <f t="shared" si="13"/>
        <v>40.25</v>
      </c>
      <c r="AG6" s="42">
        <f>IF(A6="","",(((AD6)*Picklist!$P$3)+((K6)*Picklist!$P$4)+(E6*Picklist!$P$5)+(N6*Picklist!$P$6)+(X6*Picklist!$P$7)+(R6*Picklist!$P$8)))</f>
        <v>6.762318226</v>
      </c>
      <c r="AH6" s="43">
        <f>IF(A6="","",(((AD6)*Picklist!$P$14)+((K6)*Picklist!$P$15)+(E6*Picklist!$P$16)+(N6*Picklist!$P$17)+(X6*Picklist!$P$18)+(R6*Picklist!$P$19)))</f>
        <v>7.497126584</v>
      </c>
      <c r="AI6" s="44" t="str">
        <f>IFERROR(__xludf.DUMMYFUNCTION("TEXTJOIN("", "",TRUE, FILTER(Data!P:P, Data!B:B=A6))"),"incapacitated halfway through, disconnected at the 30 sec. mark")</f>
        <v>incapacitated halfway through, disconnected at the 30 sec. mark</v>
      </c>
      <c r="AJ6" s="45">
        <f t="shared" si="14"/>
        <v>11.75</v>
      </c>
      <c r="AK6" s="46" t="str">
        <f>IFERROR(__xludf.DUMMYFUNCTION("IF(A6&lt;&gt;"""",IFERROR(AVERAGE(FILTER('Defense Calculations'!BJ:CS,'Defense Calculations'!A:A=A6)),""""),"""")"),"")</f>
        <v/>
      </c>
      <c r="AL6" s="15" t="str">
        <f t="shared" si="15"/>
        <v/>
      </c>
      <c r="AM6" s="47"/>
      <c r="AN6" s="51"/>
      <c r="AZ6" s="15">
        <f>IFERROR(__xludf.DUMMYFUNCTION("""COMPUTED_VALUE"""),1533.0)</f>
        <v>1533</v>
      </c>
      <c r="BB6" s="49">
        <f t="shared" si="16"/>
        <v>13.0387931</v>
      </c>
      <c r="BC6" s="50" t="str">
        <f t="shared" si="17"/>
        <v>340</v>
      </c>
    </row>
    <row r="7">
      <c r="A7" s="15">
        <v>180.0</v>
      </c>
      <c r="B7" s="30">
        <f>IFERROR(__xludf.DUMMYFUNCTION("IFERROR(ROUND(
(COUNTIF(FILTER(Data!O:O, Data!B:B=A7), ""Win"")
+ COUNTIF(FILTER(Data!O:O, Data!B:B=A7), {""Tie"",""Results""}))
/ (COUNTIF(Data!B:B, A7)),
2),"""")"),0.88)</f>
        <v>0.88</v>
      </c>
      <c r="C7" s="31">
        <f>IFERROR((SUMIF(Data!B:B, A7, Data!H:H)
/ (COUNTIF(Data!B:B, A7)
)),"")</f>
        <v>0</v>
      </c>
      <c r="D7" s="31">
        <f>IFERROR((SUMIF(Data!B:B, A7, Data!G:G)
/ (COUNTIF(Data!B:B, A7)
)),"")</f>
        <v>2.875</v>
      </c>
      <c r="E7" s="31">
        <f t="shared" si="1"/>
        <v>1.020677955</v>
      </c>
      <c r="F7" s="31">
        <f>IFERROR((SUMIF(Data!B:B, A7, Data!J:J)
/ (COUNTIF(Data!B:B, A7)
)),"")</f>
        <v>3.125</v>
      </c>
      <c r="G7" s="32">
        <f>IF(A7="","",IFERROR((((((SUMIF(Data!B:B, A7, Data!H:H)+(SUMIF(Data!B:B, A7,Data!G:G)))/(SUMIF(Data!B:B, A7, Data!J:J)))))),0))</f>
        <v>0.92</v>
      </c>
      <c r="H7" s="33">
        <f>IFERROR(__xludf.DUMMYFUNCTION("IFERROR(IF(G7="""","""",(SUM(FIlter(Filter(Data!G:G,Data!B:B=A7),(Filter(Data!J:J&lt;3,Data!B:B=A7))))+SUM((FIlter(Filter(Data!H:H,Data!B:B=A7),(Filter(Data!J:J&lt;3,Data!B:B=A7))))))/(SUM(Filter(Filter(Data!J:J,Data!B:B=A7),FILTER(Data!J:J&lt;3,Data!B:B=A7))))),"&amp;""""")"),0.8333333333333334)</f>
        <v>0.8333333333</v>
      </c>
      <c r="I7" s="32">
        <f>IFERROR(__xludf.DUMMYFUNCTION("IF(A7="""","""",(COUNT(FILTER(IF(Data!G:G&lt;&gt;0,Data!G:G,IF(Data!H:H&lt;&gt;0,Data!H:H)),Data!B:B=A7)))/(COUNT(FILTER(Data!J:J,Data!B:B=A7))))"),0.875)</f>
        <v>0.875</v>
      </c>
      <c r="J7" s="32">
        <f t="shared" si="2"/>
        <v>0.8541666667</v>
      </c>
      <c r="K7" s="31">
        <f t="shared" si="3"/>
        <v>0.009474721377</v>
      </c>
      <c r="L7" s="31">
        <f>IFERROR((SUMIF(Data!B:B, A7, Data!L:L)
/ (COUNTIF(Data!B:B, A7)
)),"")</f>
        <v>0</v>
      </c>
      <c r="M7" s="31">
        <f>IFERROR((SUMIF(Data!B:B, A7, Data!K:K)
/ (COUNTIF(Data!B:B, A7)
)),"")</f>
        <v>18.625</v>
      </c>
      <c r="N7" s="34">
        <f>IF(M7="","",((M7-$AX$3)/$AX$5))</f>
        <v>2.122992449</v>
      </c>
      <c r="O7" s="32">
        <f>IF(A7="","",IFERROR((((((SUMIF(Data!B:B, A7, Data!H:H)+(SUMIF(Data!B:B, A7,Data!G:G)+(SUMIF(Data!B:B, A7,Data!L:L)+(SUMIF(Data!B:B, A7,Data!K:K)))))/(SUMIF(Data!B:B, A7, Data!M:M)+(SUMIF(Data!B:B, A7, Data!H:H)+(SUMIF(Data!B:B, A7,Data!G:G)+(SUMIF(Data!B:B, A7,Data!K:K)+(SUMIF(Data!B:B, A7,Data!L:L)))))))))),0))</f>
        <v>0.9347826087</v>
      </c>
      <c r="P7" s="35">
        <f>IFERROR(__xludf.DUMMYFUNCTION("IFERROR(((COUNTIF(FILTER(Data!N:N,Data!B:B=A7),""TRAVERSE"")*15)+(COUNTIF(FILTER(Data!N:N,Data!B:B=A7),""HIGH"")*10)+(COUNTIF(FILTER(Data!N:N,Data!B:B=A7),""MIDDLE"")*6)+(COUNTIF(FILTER(Data!N:N,Data!B:B=A7),""LOW"")*4)) / (COUNTIF(Data!B:B, A7)),"""")"),5.25)</f>
        <v>5.25</v>
      </c>
      <c r="Q7" s="31">
        <f>IFERROR(__xludf.DUMMYFUNCTION("IF(P7="""","""",Average(FIlter(('Convert Name to Number'!$F$422:$Z1000),'Convert Name to Number'!$E$422:$E1000=$A7)))"),8.4)</f>
        <v>8.4</v>
      </c>
      <c r="R7" s="36">
        <f t="shared" si="5"/>
        <v>-0.4479250952</v>
      </c>
      <c r="S7" s="37">
        <f>IFERROR(__xludf.DUMMYFUNCTION("IFERROR((((COUNTIF(FILTER(Data!N:N,Data!B:B=A7),""TRAVERSE""))+(COUNTIF(FILTER(Data!N:N,Data!B:B=A7),""HIGH""))+(COUNTIF(FILTER(Data!N:N,Data!B:B=A7),""MIDDLE""))+(COUNTIF(FILTER(Data!N:N,Data!B:B=A7),""LOW"")))) / (((COUNTIF(Data!B:B, A7)))-(COUNTIF(FILT"&amp;"ER(Data!N:N,Data!B:B=A7),""NONE""))),IF(ISBLANK(A7),"""",0))"),0.8333333333333334)</f>
        <v>0.8333333333</v>
      </c>
      <c r="T7" s="32">
        <f>IFERROR(__xludf.DUMMYFUNCTION("IFERROR((COUNTIF(FILTER(Data!N:N, Data!B:B=A7),""LOW"")) / (COUNTIF(Data!B:B, A7)),"""")"),0.0)</f>
        <v>0</v>
      </c>
      <c r="U7" s="38">
        <f>IFERROR(__xludf.DUMMYFUNCTION("IFERROR((COUNTIF(FILTER(Data!N:N, Data!B:B=A7),""MIDDLE"")) / (COUNTIF(Data!B:B, A7)),"""")"),0.25)</f>
        <v>0.25</v>
      </c>
      <c r="V7" s="38">
        <f>IFERROR(__xludf.DUMMYFUNCTION("IFERROR((COUNTIF(FILTER(Data!N:N, Data!B:B=A7),""HIGH"")) / (COUNTIF(Data!B:B, A7)),"""")"),0.375)</f>
        <v>0.375</v>
      </c>
      <c r="W7" s="38">
        <f>IFERROR(__xludf.DUMMYFUNCTION("IFERROR((COUNTIF(FILTER(Data!N:N, Data!B:B=A7),""TRAVERSE"")) / (COUNTIF(Data!B:B, A7)),"""")"),0.0)</f>
        <v>0</v>
      </c>
      <c r="X7" s="39">
        <f t="shared" si="6"/>
        <v>-1.366119838</v>
      </c>
      <c r="Y7" s="31">
        <f t="shared" si="7"/>
        <v>11.5</v>
      </c>
      <c r="Z7" s="31">
        <f t="shared" si="8"/>
        <v>37.25</v>
      </c>
      <c r="AA7" s="31">
        <f t="shared" si="9"/>
        <v>48.75</v>
      </c>
      <c r="AB7" s="40">
        <f>IF(A7="","",((M7+D7)-$AR$3)/$AR$5)</f>
        <v>1.941033705</v>
      </c>
      <c r="AC7" s="41">
        <f>IFERROR(__xludf.DUMMYFUNCTION("IF(AA7="""","""",MAX(Filter((Data!K:K),Data!B:B=A7)))"),26.0)</f>
        <v>26</v>
      </c>
      <c r="AD7" s="41">
        <f t="shared" si="11"/>
        <v>1.825336736</v>
      </c>
      <c r="AE7" s="31">
        <f t="shared" si="12"/>
        <v>21.5</v>
      </c>
      <c r="AF7" s="31">
        <f t="shared" si="13"/>
        <v>54</v>
      </c>
      <c r="AG7" s="42">
        <f>IF(A7="","",(((AD7)*Picklist!$P$3)+((K7)*Picklist!$P$4)+(E7*Picklist!$P$5)+(N7*Picklist!$P$6)+(X7*Picklist!$P$7)+(R7*Picklist!$P$8)))</f>
        <v>6.412088424</v>
      </c>
      <c r="AH7" s="43">
        <f>IF(A7="","",(((AD7)*Picklist!$P$14)+((K7)*Picklist!$P$15)+(E7*Picklist!$P$16)+(N7*Picklist!$P$17)+(X7*Picklist!$P$18)+(R7*Picklist!$P$19)))</f>
        <v>5.964163329</v>
      </c>
      <c r="AI7" s="44" t="str">
        <f>IFERROR(__xludf.DUMMYFUNCTION("TEXTJOIN("", "",TRUE, FILTER(Data!P:P, Data!B:B=A7))"),"Froze for 25 ish seconds., slow, single balls but accurate and fast cycle tIme. climbed quickly and then dropped down before 5 second limit")</f>
        <v>Froze for 25 ish seconds., slow, single balls but accurate and fast cycle tIme. climbed quickly and then dropped down before 5 second limit</v>
      </c>
      <c r="AJ7" s="45">
        <f t="shared" si="14"/>
        <v>18.625</v>
      </c>
      <c r="AK7" s="46" t="str">
        <f>IFERROR(__xludf.DUMMYFUNCTION("IF(A7&lt;&gt;"""",IFERROR(AVERAGE(FILTER('Defense Calculations'!BJ:CS,'Defense Calculations'!A:A=A7)),""""),"""")"),"")</f>
        <v/>
      </c>
      <c r="AL7" s="15" t="str">
        <f t="shared" si="15"/>
        <v/>
      </c>
      <c r="AM7" s="47"/>
      <c r="AN7" s="51"/>
      <c r="AZ7" s="15">
        <f>IFERROR(__xludf.DUMMYFUNCTION("""COMPUTED_VALUE"""),1706.0)</f>
        <v>1706</v>
      </c>
      <c r="BB7" s="49">
        <f t="shared" si="16"/>
        <v>20.09782609</v>
      </c>
      <c r="BC7" s="50" t="str">
        <f t="shared" si="17"/>
        <v>180</v>
      </c>
    </row>
    <row r="8">
      <c r="A8" s="15">
        <v>4028.0</v>
      </c>
      <c r="B8" s="30">
        <f>IFERROR(__xludf.DUMMYFUNCTION("IFERROR(ROUND(
(COUNTIF(FILTER(Data!O:O, Data!B:B=A8), ""Win"")
+ COUNTIF(FILTER(Data!O:O, Data!B:B=A8), {""Tie"",""Results""}))
/ (COUNTIF(Data!B:B, A8)),
2),"""")"),0.43)</f>
        <v>0.43</v>
      </c>
      <c r="C8" s="31">
        <f>IFERROR((SUMIF(Data!B:B, A8, Data!H:H)
/ (COUNTIF(Data!B:B, A8)
)),"")</f>
        <v>0</v>
      </c>
      <c r="D8" s="31">
        <f>IFERROR((SUMIF(Data!B:B, A8, Data!G:G)
/ (COUNTIF(Data!B:B, A8)
)),"")</f>
        <v>3.428571429</v>
      </c>
      <c r="E8" s="31">
        <f t="shared" si="1"/>
        <v>1.652095138</v>
      </c>
      <c r="F8" s="31">
        <f>IFERROR((SUMIF(Data!B:B, A8, Data!J:J)
/ (COUNTIF(Data!B:B, A8)
)),"")</f>
        <v>3.714285714</v>
      </c>
      <c r="G8" s="32">
        <f>IF(A8="","",IFERROR((((((SUMIF(Data!B:B, A8, Data!H:H)+(SUMIF(Data!B:B, A8,Data!G:G)))/(SUMIF(Data!B:B, A8, Data!J:J)))))),0))</f>
        <v>0.9230769231</v>
      </c>
      <c r="H8" s="33">
        <f>IFERROR(__xludf.DUMMYFUNCTION("IFERROR(IF(G8="""","""",(SUM(FIlter(Filter(Data!G:G,Data!B:B=A8),(Filter(Data!J:J&lt;3,Data!B:B=A8))))+SUM((FIlter(Filter(Data!H:H,Data!B:B=A8),(Filter(Data!J:J&lt;3,Data!B:B=A8))))))/(SUM(Filter(Filter(Data!J:J,Data!B:B=A8),FILTER(Data!J:J&lt;3,Data!B:B=A8))))),"&amp;""""")"),1.0)</f>
        <v>1</v>
      </c>
      <c r="I8" s="32">
        <f>IFERROR(__xludf.DUMMYFUNCTION("IF(A8="""","""",(COUNT(FILTER(IF(Data!G:G&lt;&gt;0,Data!G:G,IF(Data!H:H&lt;&gt;0,Data!H:H)),Data!B:B=A8)))/(COUNT(FILTER(Data!J:J,Data!B:B=A8))))"),1.0)</f>
        <v>1</v>
      </c>
      <c r="J8" s="32">
        <f t="shared" si="2"/>
        <v>1</v>
      </c>
      <c r="K8" s="31">
        <f t="shared" si="3"/>
        <v>1.075780341</v>
      </c>
      <c r="L8" s="31">
        <f>IFERROR((SUMIF(Data!B:B, A8, Data!L:L)
/ (COUNTIF(Data!B:B, A8)
)),"")</f>
        <v>0</v>
      </c>
      <c r="M8" s="31">
        <f>IFERROR((SUMIF(Data!B:B, A8, Data!K:K)
/ (COUNTIF(Data!B:B, A8)
)),"")</f>
        <v>15.85714286</v>
      </c>
      <c r="N8" s="34">
        <f t="shared" ref="N8:N9" si="18">IFERROR(IF(M8="","",((M8-$AX$3)/$AX$5)),"")</f>
        <v>1.498821427</v>
      </c>
      <c r="O8" s="32">
        <f>IF(A8="","",IFERROR((((((SUMIF(Data!B:B, A8, Data!H:H)+(SUMIF(Data!B:B, A8,Data!G:G)+(SUMIF(Data!B:B, A8,Data!L:L)+(SUMIF(Data!B:B, A8,Data!K:K)))))/(SUMIF(Data!B:B, A8, Data!M:M)+(SUMIF(Data!B:B, A8, Data!H:H)+(SUMIF(Data!B:B, A8,Data!G:G)+(SUMIF(Data!B:B, A8,Data!K:K)+(SUMIF(Data!B:B, A8,Data!L:L)))))))))),0))</f>
        <v>0.9246575342</v>
      </c>
      <c r="P8" s="35">
        <f>IFERROR(__xludf.DUMMYFUNCTION("IFERROR(((COUNTIF(FILTER(Data!N:N,Data!B:B=A8),""TRAVERSE"")*15)+(COUNTIF(FILTER(Data!N:N,Data!B:B=A8),""HIGH"")*10)+(COUNTIF(FILTER(Data!N:N,Data!B:B=A8),""MIDDLE"")*6)+(COUNTIF(FILTER(Data!N:N,Data!B:B=A8),""LOW"")*4)) / (COUNTIF(Data!B:B, A8)),"""")"),7.428571428571429)</f>
        <v>7.428571429</v>
      </c>
      <c r="Q8" s="31">
        <f>IFERROR(__xludf.DUMMYFUNCTION("IF(P8="""","""",Average(FIlter(('Convert Name to Number'!$F$422:$Z1000),'Convert Name to Number'!$E$422:$E1000=$A8)))"),10.4)</f>
        <v>10.4</v>
      </c>
      <c r="R8" s="36">
        <f t="shared" si="5"/>
        <v>-0.0255202903</v>
      </c>
      <c r="S8" s="37">
        <f>IFERROR(__xludf.DUMMYFUNCTION("IFERROR((((COUNTIF(FILTER(Data!N:N,Data!B:B=A8),""TRAVERSE""))+(COUNTIF(FILTER(Data!N:N,Data!B:B=A8),""HIGH""))+(COUNTIF(FILTER(Data!N:N,Data!B:B=A8),""MIDDLE""))+(COUNTIF(FILTER(Data!N:N,Data!B:B=A8),""LOW"")))) / (((COUNTIF(Data!B:B, A8)))-(COUNTIF(FILT"&amp;"ER(Data!N:N,Data!B:B=A8),""NONE""))),IF(ISBLANK(A8),"""",0))"),1.0)</f>
        <v>1</v>
      </c>
      <c r="T8" s="32">
        <f>IFERROR(__xludf.DUMMYFUNCTION("IFERROR((COUNTIF(FILTER(Data!N:N, Data!B:B=A8),""LOW"")) / (COUNTIF(Data!B:B, A8)),"""")"),0.0)</f>
        <v>0</v>
      </c>
      <c r="U8" s="38">
        <f>IFERROR(__xludf.DUMMYFUNCTION("IFERROR((COUNTIF(FILTER(Data!N:N, Data!B:B=A8),""MIDDLE"")) / (COUNTIF(Data!B:B, A8)),"""")"),0.2857142857142857)</f>
        <v>0.2857142857</v>
      </c>
      <c r="V8" s="38">
        <f>IFERROR(__xludf.DUMMYFUNCTION("IFERROR((COUNTIF(FILTER(Data!N:N, Data!B:B=A8),""HIGH"")) / (COUNTIF(Data!B:B, A8)),"""")"),0.14285714285714285)</f>
        <v>0.1428571429</v>
      </c>
      <c r="W8" s="38">
        <f>IFERROR(__xludf.DUMMYFUNCTION("IFERROR((COUNTIF(FILTER(Data!N:N, Data!B:B=A8),""TRAVERSE"")) / (COUNTIF(Data!B:B, A8)),"""")"),0.2857142857142857)</f>
        <v>0.2857142857</v>
      </c>
      <c r="X8" s="39">
        <f t="shared" si="6"/>
        <v>-0.4613943114</v>
      </c>
      <c r="Y8" s="31">
        <f t="shared" si="7"/>
        <v>13.71428571</v>
      </c>
      <c r="Z8" s="31">
        <f t="shared" si="8"/>
        <v>31.71428571</v>
      </c>
      <c r="AA8" s="31">
        <f t="shared" si="9"/>
        <v>45.42857143</v>
      </c>
      <c r="AB8" s="40">
        <f t="shared" ref="AB8:AB9" si="19">IFERROR(IF(A8="","",((M8+D8)-$AR$3)/$AR$5),"")</f>
        <v>1.524122276</v>
      </c>
      <c r="AC8" s="41">
        <f>IFERROR(__xludf.DUMMYFUNCTION("IF(AA8="""","""",MAX(Filter((Data!K:K),Data!B:B=A8)))"),20.0)</f>
        <v>20</v>
      </c>
      <c r="AD8" s="41">
        <f t="shared" si="11"/>
        <v>0.8085147243</v>
      </c>
      <c r="AE8" s="31">
        <f t="shared" si="12"/>
        <v>19.28571429</v>
      </c>
      <c r="AF8" s="31">
        <f t="shared" si="13"/>
        <v>52.85714286</v>
      </c>
      <c r="AG8" s="42">
        <f>IF(A8="","",(((AD8)*Picklist!$P$3)+((K8)*Picklist!$P$4)+(E8*Picklist!$P$5)+(N8*Picklist!$P$6)+(X8*Picklist!$P$7)+(R8*Picklist!$P$8)))</f>
        <v>6.278678187</v>
      </c>
      <c r="AH8" s="43">
        <f>IF(A8="","",(((AD8)*Picklist!$P$14)+((K8)*Picklist!$P$15)+(E8*Picklist!$P$16)+(N8*Picklist!$P$17)+(X8*Picklist!$P$18)+(R8*Picklist!$P$19)))</f>
        <v>6.253157897</v>
      </c>
      <c r="AI8" s="44" t="str">
        <f>IFERROR(__xludf.DUMMYFUNCTION("TEXTJOIN("", "",TRUE, FILTER(Data!P:P, Data!B:B=A8))"),"Struggled with climb, had to realign twice and still bareky made it up. Quick shots but shaky intake")</f>
        <v>Struggled with climb, had to realign twice and still bareky made it up. Quick shots but shaky intake</v>
      </c>
      <c r="AJ8" s="45">
        <f t="shared" si="14"/>
        <v>15.85714286</v>
      </c>
      <c r="AK8" s="46" t="str">
        <f>IFERROR(__xludf.DUMMYFUNCTION("IF(A8&lt;&gt;"""",IFERROR(AVERAGE(FILTER('Defense Calculations'!BJ:CS,'Defense Calculations'!A:A=A8)),""""),"""")"),"")</f>
        <v/>
      </c>
      <c r="AL8" s="15" t="str">
        <f t="shared" si="15"/>
        <v/>
      </c>
      <c r="AM8" s="47"/>
      <c r="AN8" s="51"/>
      <c r="AZ8" s="15">
        <f>IFERROR(__xludf.DUMMYFUNCTION("""COMPUTED_VALUE"""),1720.0)</f>
        <v>1720</v>
      </c>
      <c r="BB8" s="49">
        <f t="shared" si="16"/>
        <v>17.83268102</v>
      </c>
      <c r="BC8" s="50" t="str">
        <f t="shared" si="17"/>
        <v>4028</v>
      </c>
    </row>
    <row r="9">
      <c r="A9" s="15">
        <v>2767.0</v>
      </c>
      <c r="B9" s="30">
        <f>IFERROR(__xludf.DUMMYFUNCTION("IFERROR(ROUND(
(COUNTIF(FILTER(Data!O:O, Data!B:B=A9), ""Win"")
+ COUNTIF(FILTER(Data!O:O, Data!B:B=A9), {""Tie"",""Results""}))
/ (COUNTIF(Data!B:B, A9)),
2),"""")"),0.71)</f>
        <v>0.71</v>
      </c>
      <c r="C9" s="31">
        <f>IFERROR((SUMIF(Data!B:B, A9, Data!H:H)
/ (COUNTIF(Data!B:B, A9)
)),"")</f>
        <v>0</v>
      </c>
      <c r="D9" s="31">
        <f>IFERROR((SUMIF(Data!B:B, A9, Data!G:G)
/ (COUNTIF(Data!B:B, A9)
)),"")</f>
        <v>2.714285714</v>
      </c>
      <c r="E9" s="31">
        <f t="shared" si="1"/>
        <v>0.837363289</v>
      </c>
      <c r="F9" s="31">
        <f>IFERROR((SUMIF(Data!B:B, A9, Data!J:J)
/ (COUNTIF(Data!B:B, A9)
)),"")</f>
        <v>3</v>
      </c>
      <c r="G9" s="32">
        <f>IF(A9="","",IFERROR((((((SUMIF(Data!B:B, A9, Data!H:H)+(SUMIF(Data!B:B, A9,Data!G:G)))/(SUMIF(Data!B:B, A9, Data!J:J)))))),0))</f>
        <v>0.9047619048</v>
      </c>
      <c r="H9" s="33">
        <f>IFERROR(__xludf.DUMMYFUNCTION("IFERROR(IF(G9="""","""",(SUM(FIlter(Filter(Data!G:G,Data!B:B=A9),(Filter(Data!J:J&lt;3,Data!B:B=A9))))+SUM((FIlter(Filter(Data!H:H,Data!B:B=A9),(Filter(Data!J:J&lt;3,Data!B:B=A9))))))/(SUM(Filter(Filter(Data!J:J,Data!B:B=A9),FILTER(Data!J:J&lt;3,Data!B:B=A9))))),"&amp;""""")"),1.0)</f>
        <v>1</v>
      </c>
      <c r="I9" s="32">
        <f>IFERROR(__xludf.DUMMYFUNCTION("IF(A9="""","""",(COUNT(FILTER(IF(Data!G:G&lt;&gt;0,Data!G:G,IF(Data!H:H&lt;&gt;0,Data!H:H)),Data!B:B=A9)))/(COUNT(FILTER(Data!J:J,Data!B:B=A9))))"),1.0)</f>
        <v>1</v>
      </c>
      <c r="J9" s="32">
        <f t="shared" si="2"/>
        <v>1</v>
      </c>
      <c r="K9" s="31">
        <f t="shared" si="3"/>
        <v>1.075780341</v>
      </c>
      <c r="L9" s="31">
        <f>IFERROR((SUMIF(Data!B:B, A9, Data!L:L)
/ (COUNTIF(Data!B:B, A9)
)),"")</f>
        <v>0.2857142857</v>
      </c>
      <c r="M9" s="31">
        <f>IFERROR((SUMIF(Data!B:B, A9, Data!K:K)
/ (COUNTIF(Data!B:B, A9)
)),"")</f>
        <v>10.85714286</v>
      </c>
      <c r="N9" s="34">
        <f t="shared" si="18"/>
        <v>0.3712866782</v>
      </c>
      <c r="O9" s="32">
        <f>IF(A9="","",IFERROR((((((SUMIF(Data!B:B, A9, Data!H:H)+(SUMIF(Data!B:B, A9,Data!G:G)+(SUMIF(Data!B:B, A9,Data!L:L)+(SUMIF(Data!B:B, A9,Data!K:K)))))/(SUMIF(Data!B:B, A9, Data!M:M)+(SUMIF(Data!B:B, A9, Data!H:H)+(SUMIF(Data!B:B, A9,Data!G:G)+(SUMIF(Data!B:B, A9,Data!K:K)+(SUMIF(Data!B:B, A9,Data!L:L)))))))))),0))</f>
        <v>0.9417475728</v>
      </c>
      <c r="P9" s="35">
        <f>IFERROR(__xludf.DUMMYFUNCTION("IFERROR(((COUNTIF(FILTER(Data!N:N,Data!B:B=A9),""TRAVERSE"")*15)+(COUNTIF(FILTER(Data!N:N,Data!B:B=A9),""HIGH"")*10)+(COUNTIF(FILTER(Data!N:N,Data!B:B=A9),""MIDDLE"")*6)+(COUNTIF(FILTER(Data!N:N,Data!B:B=A9),""LOW"")*4)) / (COUNTIF(Data!B:B, A9)),"""")"),12.857142857142858)</f>
        <v>12.85714286</v>
      </c>
      <c r="Q9" s="31">
        <f>IFERROR(__xludf.DUMMYFUNCTION("IF(P9="""","""",Average(FIlter(('Convert Name to Number'!$F$422:$Z1000),'Convert Name to Number'!$E$422:$E1000=$A9)))"),15.0)</f>
        <v>15</v>
      </c>
      <c r="R9" s="36">
        <f t="shared" si="5"/>
        <v>0.946010761</v>
      </c>
      <c r="S9" s="37">
        <f>IFERROR(__xludf.DUMMYFUNCTION("IFERROR((((COUNTIF(FILTER(Data!N:N,Data!B:B=A9),""TRAVERSE""))+(COUNTIF(FILTER(Data!N:N,Data!B:B=A9),""HIGH""))+(COUNTIF(FILTER(Data!N:N,Data!B:B=A9),""MIDDLE""))+(COUNTIF(FILTER(Data!N:N,Data!B:B=A9),""LOW"")))) / (((COUNTIF(Data!B:B, A9)))-(COUNTIF(FILT"&amp;"ER(Data!N:N,Data!B:B=A9),""NONE""))),IF(ISBLANK(A9),"""",0))"),1.0)</f>
        <v>1</v>
      </c>
      <c r="T9" s="32">
        <f>IFERROR(__xludf.DUMMYFUNCTION("IFERROR((COUNTIF(FILTER(Data!N:N, Data!B:B=A9),""LOW"")) / (COUNTIF(Data!B:B, A9)),"""")"),0.0)</f>
        <v>0</v>
      </c>
      <c r="U9" s="38">
        <f>IFERROR(__xludf.DUMMYFUNCTION("IFERROR((COUNTIF(FILTER(Data!N:N, Data!B:B=A9),""MIDDLE"")) / (COUNTIF(Data!B:B, A9)),"""")"),0.0)</f>
        <v>0</v>
      </c>
      <c r="V9" s="38">
        <f>IFERROR(__xludf.DUMMYFUNCTION("IFERROR((COUNTIF(FILTER(Data!N:N, Data!B:B=A9),""HIGH"")) / (COUNTIF(Data!B:B, A9)),"""")"),0.0)</f>
        <v>0</v>
      </c>
      <c r="W9" s="38">
        <f>IFERROR(__xludf.DUMMYFUNCTION("IFERROR((COUNTIF(FILTER(Data!N:N, Data!B:B=A9),""TRAVERSE"")) / (COUNTIF(Data!B:B, A9)),"""")"),0.8571428571428571)</f>
        <v>0.8571428571</v>
      </c>
      <c r="X9" s="39">
        <f t="shared" si="6"/>
        <v>1.348056741</v>
      </c>
      <c r="Y9" s="31">
        <f t="shared" si="7"/>
        <v>10.85714286</v>
      </c>
      <c r="Z9" s="31">
        <f t="shared" si="8"/>
        <v>22</v>
      </c>
      <c r="AA9" s="31">
        <f t="shared" si="9"/>
        <v>32.85714286</v>
      </c>
      <c r="AB9" s="40">
        <f t="shared" si="19"/>
        <v>0.4482218137</v>
      </c>
      <c r="AC9" s="41">
        <f>IFERROR(__xludf.DUMMYFUNCTION("IF(AA9="""","""",MAX(Filter((Data!K:K),Data!B:B=A9)))"),16.0)</f>
        <v>16</v>
      </c>
      <c r="AD9" s="41">
        <f t="shared" si="11"/>
        <v>0.1306333834</v>
      </c>
      <c r="AE9" s="31">
        <f t="shared" si="12"/>
        <v>13.85714286</v>
      </c>
      <c r="AF9" s="31">
        <f t="shared" si="13"/>
        <v>45.71428571</v>
      </c>
      <c r="AG9" s="42">
        <f>IF(A9="","",(((AD9)*Picklist!$P$3)+((K9)*Picklist!$P$4)+(E9*Picklist!$P$5)+(N9*Picklist!$P$6)+(X9*Picklist!$P$7)+(R9*Picklist!$P$8)))</f>
        <v>6.104316804</v>
      </c>
      <c r="AH9" s="43">
        <f>IF(A9="","",(((AD9)*Picklist!$P$14)+((K9)*Picklist!$P$15)+(E9*Picklist!$P$16)+(N9*Picklist!$P$17)+(X9*Picklist!$P$18)+(R9*Picklist!$P$19)))</f>
        <v>7.050327565</v>
      </c>
      <c r="AI9" s="44" t="str">
        <f>IFERROR(__xludf.DUMMYFUNCTION("TEXTJOIN("", "",TRUE, FILTER(Data!P:P, Data!B:B=A9))"),"")</f>
        <v/>
      </c>
      <c r="AJ9" s="45">
        <f t="shared" si="14"/>
        <v>11.14285714</v>
      </c>
      <c r="AK9" s="46" t="str">
        <f>IFERROR(__xludf.DUMMYFUNCTION("IF(A9&lt;&gt;"""",IFERROR(AVERAGE(FILTER('Defense Calculations'!BJ:CS,'Defense Calculations'!A:A=A9)),""""),"""")"),"")</f>
        <v/>
      </c>
      <c r="AL9" s="15" t="str">
        <f t="shared" si="15"/>
        <v/>
      </c>
      <c r="AM9" s="47"/>
      <c r="AN9" s="51"/>
      <c r="AZ9" s="15">
        <f>IFERROR(__xludf.DUMMYFUNCTION("""COMPUTED_VALUE"""),1730.0)</f>
        <v>1730</v>
      </c>
      <c r="BB9" s="49">
        <f t="shared" si="16"/>
        <v>13.04993065</v>
      </c>
      <c r="BC9" s="50" t="str">
        <f t="shared" si="17"/>
        <v>2767</v>
      </c>
    </row>
    <row r="10">
      <c r="A10" s="15">
        <v>5712.0</v>
      </c>
      <c r="B10" s="30">
        <f>IFERROR(__xludf.DUMMYFUNCTION("IFERROR(ROUND(
(COUNTIF(FILTER(Data!O:O, Data!B:B=A10), ""Win"")
+ COUNTIF(FILTER(Data!O:O, Data!B:B=A10), {""Tie"",""Results""}))
/ (COUNTIF(Data!B:B, A10)),
2),"""")"),0.38)</f>
        <v>0.38</v>
      </c>
      <c r="C10" s="31">
        <f>IFERROR((SUMIF(Data!B:B, A10, Data!H:H)
/ (COUNTIF(Data!B:B, A10)
)),"")</f>
        <v>0</v>
      </c>
      <c r="D10" s="31">
        <f>IFERROR((SUMIF(Data!B:B, A10, Data!G:G)
/ (COUNTIF(Data!B:B, A10)
)),"")</f>
        <v>1</v>
      </c>
      <c r="E10" s="31">
        <f t="shared" si="1"/>
        <v>-1.117993148</v>
      </c>
      <c r="F10" s="31">
        <f>IFERROR((SUMIF(Data!B:B, A10, Data!J:J)
/ (COUNTIF(Data!B:B, A10)
)),"")</f>
        <v>1.5</v>
      </c>
      <c r="G10" s="32">
        <f>IF(A10="","",IFERROR((((((SUMIF(Data!B:B, A10, Data!H:H)+(SUMIF(Data!B:B, A10,Data!G:G)))/(SUMIF(Data!B:B, A10, Data!J:J)))))),0))</f>
        <v>0.6666666667</v>
      </c>
      <c r="H10" s="33">
        <f>IFERROR(__xludf.DUMMYFUNCTION("IFERROR(IF(G10="""","""",(SUM(FIlter(Filter(Data!G:G,Data!B:B=A10),(Filter(Data!J:J&lt;3,Data!B:B=A10))))+SUM((FIlter(Filter(Data!H:H,Data!B:B=A10),(Filter(Data!J:J&lt;3,Data!B:B=A10))))))/(SUM(Filter(Filter(Data!J:J,Data!B:B=A10),FILTER(Data!J:J&lt;3,Data!B:B=A10"&amp;"))))),"""")"),0.6666666666666666)</f>
        <v>0.6666666667</v>
      </c>
      <c r="I10" s="32">
        <f>IFERROR(__xludf.DUMMYFUNCTION("IF(A10="""","""",(COUNT(FILTER(IF(Data!G:G&lt;&gt;0,Data!G:G,IF(Data!H:H&lt;&gt;0,Data!H:H)),Data!B:B=A10)))/(COUNT(FILTER(Data!J:J,Data!B:B=A10))))"),0.625)</f>
        <v>0.625</v>
      </c>
      <c r="J10" s="32">
        <f t="shared" si="2"/>
        <v>0.6458333333</v>
      </c>
      <c r="K10" s="31">
        <f t="shared" si="3"/>
        <v>-1.513819022</v>
      </c>
      <c r="L10" s="31">
        <f>IFERROR((SUMIF(Data!B:B, A10, Data!L:L)
/ (COUNTIF(Data!B:B, A10)
)),"")</f>
        <v>0.125</v>
      </c>
      <c r="M10" s="31">
        <f>IFERROR((SUMIF(Data!B:B, A10, Data!K:K)
/ (COUNTIF(Data!B:B, A10)
)),"")</f>
        <v>12</v>
      </c>
      <c r="N10" s="34">
        <f>IF(M10="","",((M10-$AX$3)/$AX$5))</f>
        <v>0.6290089066</v>
      </c>
      <c r="O10" s="32">
        <f>IF(A10="","",IFERROR((((((SUMIF(Data!B:B, A10, Data!H:H)+(SUMIF(Data!B:B, A10,Data!G:G)+(SUMIF(Data!B:B, A10,Data!L:L)+(SUMIF(Data!B:B, A10,Data!K:K)))))/(SUMIF(Data!B:B, A10, Data!M:M)+(SUMIF(Data!B:B, A10, Data!H:H)+(SUMIF(Data!B:B, A10,Data!G:G)+(SUMIF(Data!B:B, A10,Data!K:K)+(SUMIF(Data!B:B, A10,Data!L:L)))))))))),0))</f>
        <v>0.875</v>
      </c>
      <c r="P10" s="35">
        <f>IFERROR(__xludf.DUMMYFUNCTION("IFERROR(((COUNTIF(FILTER(Data!N:N,Data!B:B=A10),""TRAVERSE"")*15)+(COUNTIF(FILTER(Data!N:N,Data!B:B=A10),""HIGH"")*10)+(COUNTIF(FILTER(Data!N:N,Data!B:B=A10),""MIDDLE"")*6)+(COUNTIF(FILTER(Data!N:N,Data!B:B=A10),""LOW"")*4)) / (COUNTIF(Data!B:B, A10)),"""&amp;""")"),12.5)</f>
        <v>12.5</v>
      </c>
      <c r="Q10" s="31">
        <f>IFERROR(__xludf.DUMMYFUNCTION("IF(P10="""","""",Average(FIlter(('Convert Name to Number'!$F$422:$Z1000),'Convert Name to Number'!$E$422:$E1000=$A10)))"),15.0)</f>
        <v>15</v>
      </c>
      <c r="R10" s="36">
        <f t="shared" si="5"/>
        <v>0.946010761</v>
      </c>
      <c r="S10" s="37">
        <f>IFERROR(__xludf.DUMMYFUNCTION("IFERROR((((COUNTIF(FILTER(Data!N:N,Data!B:B=A10),""TRAVERSE""))+(COUNTIF(FILTER(Data!N:N,Data!B:B=A10),""HIGH""))+(COUNTIF(FILTER(Data!N:N,Data!B:B=A10),""MIDDLE""))+(COUNTIF(FILTER(Data!N:N,Data!B:B=A10),""LOW"")))) / (((COUNTIF(Data!B:B, A10)))-(COUNTIF"&amp;"(FILTER(Data!N:N,Data!B:B=A10),""NONE""))),IF(ISBLANK(A10),"""",0))"),1.0)</f>
        <v>1</v>
      </c>
      <c r="T10" s="32">
        <f>IFERROR(__xludf.DUMMYFUNCTION("IFERROR((COUNTIF(FILTER(Data!N:N, Data!B:B=A10),""LOW"")) / (COUNTIF(Data!B:B, A10)),"""")"),0.0)</f>
        <v>0</v>
      </c>
      <c r="U10" s="38">
        <f>IFERROR(__xludf.DUMMYFUNCTION("IFERROR((COUNTIF(FILTER(Data!N:N, Data!B:B=A10),""MIDDLE"")) / (COUNTIF(Data!B:B, A10)),"""")"),0.0)</f>
        <v>0</v>
      </c>
      <c r="V10" s="38">
        <f>IFERROR(__xludf.DUMMYFUNCTION("IFERROR((COUNTIF(FILTER(Data!N:N, Data!B:B=A10),""HIGH"")) / (COUNTIF(Data!B:B, A10)),"""")"),0.125)</f>
        <v>0.125</v>
      </c>
      <c r="W10" s="38">
        <f>IFERROR(__xludf.DUMMYFUNCTION("IFERROR((COUNTIF(FILTER(Data!N:N, Data!B:B=A10),""TRAVERSE"")) / (COUNTIF(Data!B:B, A10)),"""")"),0.75)</f>
        <v>0.75</v>
      </c>
      <c r="X10" s="39">
        <f t="shared" si="6"/>
        <v>1.008784669</v>
      </c>
      <c r="Y10" s="31">
        <f t="shared" si="7"/>
        <v>4</v>
      </c>
      <c r="Z10" s="31">
        <f t="shared" si="8"/>
        <v>24.125</v>
      </c>
      <c r="AA10" s="31">
        <f t="shared" si="9"/>
        <v>28.125</v>
      </c>
      <c r="AB10" s="40">
        <f>IF(A10="","",((M10+D10)-$AR$3)/$AR$5)</f>
        <v>0.3406317674</v>
      </c>
      <c r="AC10" s="41">
        <f>IFERROR(__xludf.DUMMYFUNCTION("IF(AA10="""","""",MAX(Filter((Data!K:K),Data!B:B=A10)))"),26.0)</f>
        <v>26</v>
      </c>
      <c r="AD10" s="41">
        <f t="shared" si="11"/>
        <v>1.825336736</v>
      </c>
      <c r="AE10" s="31">
        <f t="shared" si="12"/>
        <v>13.125</v>
      </c>
      <c r="AF10" s="31">
        <f t="shared" si="13"/>
        <v>40.625</v>
      </c>
      <c r="AG10" s="42">
        <f>IF(A10="","",(((AD10)*Picklist!$P$3)+((K10)*Picklist!$P$4)+(E10*Picklist!$P$5)+(N10*Picklist!$P$6)+(X10*Picklist!$P$7)+(R10*Picklist!$P$8)))</f>
        <v>5.982587478</v>
      </c>
      <c r="AH10" s="43">
        <f>IF(A10="","",(((AD10)*Picklist!$P$14)+((K10)*Picklist!$P$15)+(E10*Picklist!$P$16)+(N10*Picklist!$P$17)+(X10*Picklist!$P$18)+(R10*Picklist!$P$19)))</f>
        <v>6.928598239</v>
      </c>
      <c r="AI10" s="44" t="str">
        <f>IFERROR(__xludf.DUMMYFUNCTION("TEXTJOIN("", "",TRUE, FILTER(Data!P:P, Data!B:B=A10))"),"Didn't attempt climb, completely overshot auto, Slow turning, quick climb once lined up properly")</f>
        <v>Didn't attempt climb, completely overshot auto, Slow turning, quick climb once lined up properly</v>
      </c>
      <c r="AJ10" s="45">
        <f t="shared" si="14"/>
        <v>12.125</v>
      </c>
      <c r="AK10" s="46" t="str">
        <f>IFERROR(__xludf.DUMMYFUNCTION("IF(A10&lt;&gt;"""",IFERROR(AVERAGE(FILTER('Defense Calculations'!BJ:CS,'Defense Calculations'!A:A=A10)),""""),"""")"),"")</f>
        <v/>
      </c>
      <c r="AL10" s="15" t="str">
        <f t="shared" si="15"/>
        <v/>
      </c>
      <c r="AM10" s="47"/>
      <c r="AN10" s="51"/>
      <c r="AZ10" s="15">
        <f>IFERROR(__xludf.DUMMYFUNCTION("""COMPUTED_VALUE"""),1732.0)</f>
        <v>1732</v>
      </c>
      <c r="BB10" s="49">
        <f t="shared" si="16"/>
        <v>11.484375</v>
      </c>
      <c r="BC10" s="50" t="str">
        <f t="shared" si="17"/>
        <v>5712</v>
      </c>
    </row>
    <row r="11">
      <c r="A11" s="15">
        <v>4499.0</v>
      </c>
      <c r="B11" s="30">
        <f>IFERROR(__xludf.DUMMYFUNCTION("IFERROR(ROUND(
(COUNTIF(FILTER(Data!O:O, Data!B:B=A11), ""Win"")
+ COUNTIF(FILTER(Data!O:O, Data!B:B=A11), {""Tie"",""Results""}))
/ (COUNTIF(Data!B:B, A11)),
2),"""")"),0.75)</f>
        <v>0.75</v>
      </c>
      <c r="C11" s="31">
        <f>IFERROR((SUMIF(Data!B:B, A11, Data!H:H)
/ (COUNTIF(Data!B:B, A11)
)),"")</f>
        <v>0</v>
      </c>
      <c r="D11" s="31">
        <f>IFERROR((SUMIF(Data!B:B, A11, Data!G:G)
/ (COUNTIF(Data!B:B, A11)
)),"")</f>
        <v>2.25</v>
      </c>
      <c r="E11" s="31">
        <f t="shared" si="1"/>
        <v>0.3077875873</v>
      </c>
      <c r="F11" s="31">
        <f>IFERROR((SUMIF(Data!B:B, A11, Data!J:J)
/ (COUNTIF(Data!B:B, A11)
)),"")</f>
        <v>2.625</v>
      </c>
      <c r="G11" s="32">
        <f>IF(A11="","",IFERROR((((((SUMIF(Data!B:B, A11, Data!H:H)+(SUMIF(Data!B:B, A11,Data!G:G)))/(SUMIF(Data!B:B, A11, Data!J:J)))))),0))</f>
        <v>0.8571428571</v>
      </c>
      <c r="H11" s="33">
        <f>IFERROR(__xludf.DUMMYFUNCTION("IFERROR(IF(G11="""","""",(SUM(FIlter(Filter(Data!G:G,Data!B:B=A11),(Filter(Data!J:J&lt;3,Data!B:B=A11))))+SUM((FIlter(Filter(Data!H:H,Data!B:B=A11),(Filter(Data!J:J&lt;3,Data!B:B=A11))))))/(SUM(Filter(Filter(Data!J:J,Data!B:B=A11),FILTER(Data!J:J&lt;3,Data!B:B=A11"&amp;"))))),"""")"),1.0)</f>
        <v>1</v>
      </c>
      <c r="I11" s="32">
        <f>IFERROR(__xludf.DUMMYFUNCTION("IF(A11="""","""",(COUNT(FILTER(IF(Data!G:G&lt;&gt;0,Data!G:G,IF(Data!H:H&lt;&gt;0,Data!H:H)),Data!B:B=A11)))/(COUNT(FILTER(Data!J:J,Data!B:B=A11))))"),0.875)</f>
        <v>0.875</v>
      </c>
      <c r="J11" s="32">
        <f t="shared" si="2"/>
        <v>0.9375</v>
      </c>
      <c r="K11" s="31">
        <f t="shared" si="3"/>
        <v>0.6187922186</v>
      </c>
      <c r="L11" s="31">
        <f>IFERROR((SUMIF(Data!B:B, A11, Data!L:L)
/ (COUNTIF(Data!B:B, A11)
)),"")</f>
        <v>0</v>
      </c>
      <c r="M11" s="31">
        <f>IFERROR((SUMIF(Data!B:B, A11, Data!K:K)
/ (COUNTIF(Data!B:B, A11)
)),"")</f>
        <v>10.375</v>
      </c>
      <c r="N11" s="34">
        <f t="shared" ref="N11:N12" si="20">IFERROR(IF(M11="","",((M11-$AX$3)/$AX$5)),"")</f>
        <v>0.2625601131</v>
      </c>
      <c r="O11" s="32">
        <f>IF(A11="","",IFERROR((((((SUMIF(Data!B:B, A11, Data!H:H)+(SUMIF(Data!B:B, A11,Data!G:G)+(SUMIF(Data!B:B, A11,Data!L:L)+(SUMIF(Data!B:B, A11,Data!K:K)))))/(SUMIF(Data!B:B, A11, Data!M:M)+(SUMIF(Data!B:B, A11, Data!H:H)+(SUMIF(Data!B:B, A11,Data!G:G)+(SUMIF(Data!B:B, A11,Data!K:K)+(SUMIF(Data!B:B, A11,Data!L:L)))))))))),0))</f>
        <v>0.9528301887</v>
      </c>
      <c r="P11" s="35">
        <f>IFERROR(__xludf.DUMMYFUNCTION("IFERROR(((COUNTIF(FILTER(Data!N:N,Data!B:B=A11),""TRAVERSE"")*15)+(COUNTIF(FILTER(Data!N:N,Data!B:B=A11),""HIGH"")*10)+(COUNTIF(FILTER(Data!N:N,Data!B:B=A11),""MIDDLE"")*6)+(COUNTIF(FILTER(Data!N:N,Data!B:B=A11),""LOW"")*4)) / (COUNTIF(Data!B:B, A11)),"""&amp;""")"),15.0)</f>
        <v>15</v>
      </c>
      <c r="Q11" s="31">
        <f>IFERROR(__xludf.DUMMYFUNCTION("IF(P11="""","""",Average(FIlter(('Convert Name to Number'!$F$422:$Z1000),'Convert Name to Number'!$E$422:$E1000=$A11)))"),15.0)</f>
        <v>15</v>
      </c>
      <c r="R11" s="36">
        <f t="shared" si="5"/>
        <v>0.946010761</v>
      </c>
      <c r="S11" s="37">
        <f>IFERROR(__xludf.DUMMYFUNCTION("IFERROR((((COUNTIF(FILTER(Data!N:N,Data!B:B=A11),""TRAVERSE""))+(COUNTIF(FILTER(Data!N:N,Data!B:B=A11),""HIGH""))+(COUNTIF(FILTER(Data!N:N,Data!B:B=A11),""MIDDLE""))+(COUNTIF(FILTER(Data!N:N,Data!B:B=A11),""LOW"")))) / (((COUNTIF(Data!B:B, A11)))-(COUNTIF"&amp;"(FILTER(Data!N:N,Data!B:B=A11),""NONE""))),IF(ISBLANK(A11),"""",0))"),1.0)</f>
        <v>1</v>
      </c>
      <c r="T11" s="32">
        <f>IFERROR(__xludf.DUMMYFUNCTION("IFERROR((COUNTIF(FILTER(Data!N:N, Data!B:B=A11),""LOW"")) / (COUNTIF(Data!B:B, A11)),"""")"),0.0)</f>
        <v>0</v>
      </c>
      <c r="U11" s="38">
        <f>IFERROR(__xludf.DUMMYFUNCTION("IFERROR((COUNTIF(FILTER(Data!N:N, Data!B:B=A11),""MIDDLE"")) / (COUNTIF(Data!B:B, A11)),"""")"),0.0)</f>
        <v>0</v>
      </c>
      <c r="V11" s="38">
        <f>IFERROR(__xludf.DUMMYFUNCTION("IFERROR((COUNTIF(FILTER(Data!N:N, Data!B:B=A11),""HIGH"")) / (COUNTIF(Data!B:B, A11)),"""")"),0.0)</f>
        <v>0</v>
      </c>
      <c r="W11" s="38">
        <f>IFERROR(__xludf.DUMMYFUNCTION("IFERROR((COUNTIF(FILTER(Data!N:N, Data!B:B=A11),""TRAVERSE"")) / (COUNTIF(Data!B:B, A11)),"""")"),1.0)</f>
        <v>1</v>
      </c>
      <c r="X11" s="39">
        <f t="shared" si="6"/>
        <v>1.800419504</v>
      </c>
      <c r="Y11" s="31">
        <f t="shared" si="7"/>
        <v>9</v>
      </c>
      <c r="Z11" s="31">
        <f t="shared" si="8"/>
        <v>20.75</v>
      </c>
      <c r="AA11" s="31">
        <f t="shared" si="9"/>
        <v>29.75</v>
      </c>
      <c r="AB11" s="40">
        <f t="shared" ref="AB11:AB12" si="21">IFERROR(IF(A11="","",((M11+D11)-$AR$3)/$AR$5),"")</f>
        <v>0.2700257996</v>
      </c>
      <c r="AC11" s="41">
        <f>IFERROR(__xludf.DUMMYFUNCTION("IF(AA11="""","""",MAX(Filter((Data!K:K),Data!B:B=A11)))"),17.0)</f>
        <v>17</v>
      </c>
      <c r="AD11" s="41">
        <f t="shared" si="11"/>
        <v>0.3001037186</v>
      </c>
      <c r="AE11" s="31">
        <f t="shared" si="12"/>
        <v>12.625</v>
      </c>
      <c r="AF11" s="31">
        <f t="shared" si="13"/>
        <v>44.75</v>
      </c>
      <c r="AG11" s="42">
        <f>IF(A11="","",(((AD11)*Picklist!$P$3)+((K11)*Picklist!$P$4)+(E11*Picklist!$P$5)+(N11*Picklist!$P$6)+(X11*Picklist!$P$7)+(R11*Picklist!$P$8)))</f>
        <v>5.490619321</v>
      </c>
      <c r="AH11" s="43">
        <f>IF(A11="","",(((AD11)*Picklist!$P$14)+((K11)*Picklist!$P$15)+(E11*Picklist!$P$16)+(N11*Picklist!$P$17)+(X11*Picklist!$P$18)+(R11*Picklist!$P$19)))</f>
        <v>6.436630082</v>
      </c>
      <c r="AI11" s="44" t="str">
        <f>IFERROR(__xludf.DUMMYFUNCTION("TEXTJOIN("", "",TRUE, FILTER(Data!P:P, Data!B:B=A11))"),"climbed 15 seconds early, lot of opposing defense")</f>
        <v>climbed 15 seconds early, lot of opposing defense</v>
      </c>
      <c r="AJ11" s="45">
        <f t="shared" si="14"/>
        <v>10.375</v>
      </c>
      <c r="AK11" s="46" t="str">
        <f>IFERROR(__xludf.DUMMYFUNCTION("IF(A11&lt;&gt;"""",IFERROR(AVERAGE(FILTER('Defense Calculations'!BJ:CS,'Defense Calculations'!A:A=A11)),""""),"""")"),"")</f>
        <v/>
      </c>
      <c r="AL11" s="15" t="str">
        <f t="shared" si="15"/>
        <v/>
      </c>
      <c r="AM11" s="47"/>
      <c r="AN11" s="51"/>
      <c r="AZ11" s="15">
        <f>IFERROR(__xludf.DUMMYFUNCTION("""COMPUTED_VALUE"""),180.0)</f>
        <v>180</v>
      </c>
      <c r="BB11" s="49">
        <f t="shared" si="16"/>
        <v>12.02948113</v>
      </c>
      <c r="BC11" s="50" t="str">
        <f t="shared" si="17"/>
        <v>4499</v>
      </c>
    </row>
    <row r="12">
      <c r="A12" s="15">
        <v>2338.0</v>
      </c>
      <c r="B12" s="30">
        <f>IFERROR(__xludf.DUMMYFUNCTION("IFERROR(ROUND(
(COUNTIF(FILTER(Data!O:O, Data!B:B=A12), ""Win"")
+ COUNTIF(FILTER(Data!O:O, Data!B:B=A12), {""Tie"",""Results""}))
/ (COUNTIF(Data!B:B, A12)),
2),"""")"),0.14)</f>
        <v>0.14</v>
      </c>
      <c r="C12" s="31">
        <f>IFERROR((SUMIF(Data!B:B, A12, Data!H:H)
/ (COUNTIF(Data!B:B, A12)
)),"")</f>
        <v>0</v>
      </c>
      <c r="D12" s="31">
        <f>IFERROR((SUMIF(Data!B:B, A12, Data!G:G)
/ (COUNTIF(Data!B:B, A12)
)),"")</f>
        <v>2.285714286</v>
      </c>
      <c r="E12" s="31">
        <f t="shared" si="1"/>
        <v>0.3485241797</v>
      </c>
      <c r="F12" s="31">
        <f>IFERROR((SUMIF(Data!B:B, A12, Data!J:J)
/ (COUNTIF(Data!B:B, A12)
)),"")</f>
        <v>2.857142857</v>
      </c>
      <c r="G12" s="32">
        <f>IF(A12="","",IFERROR((((((SUMIF(Data!B:B, A12, Data!H:H)+(SUMIF(Data!B:B, A12,Data!G:G)))/(SUMIF(Data!B:B, A12, Data!J:J)))))),0))</f>
        <v>0.8</v>
      </c>
      <c r="H12" s="33">
        <f>IFERROR(__xludf.DUMMYFUNCTION("IFERROR(IF(G12="""","""",(SUM(FIlter(Filter(Data!G:G,Data!B:B=A12),(Filter(Data!J:J&lt;3,Data!B:B=A12))))+SUM((FIlter(Filter(Data!H:H,Data!B:B=A12),(Filter(Data!J:J&lt;3,Data!B:B=A12))))))/(SUM(Filter(Filter(Data!J:J,Data!B:B=A12),FILTER(Data!J:J&lt;3,Data!B:B=A12"&amp;"))))),"""")"),1.0)</f>
        <v>1</v>
      </c>
      <c r="I12" s="32">
        <f>IFERROR(__xludf.DUMMYFUNCTION("IF(A12="""","""",(COUNT(FILTER(IF(Data!G:G&lt;&gt;0,Data!G:G,IF(Data!H:H&lt;&gt;0,Data!H:H)),Data!B:B=A12)))/(COUNT(FILTER(Data!J:J,Data!B:B=A12))))"),1.0)</f>
        <v>1</v>
      </c>
      <c r="J12" s="32">
        <f t="shared" si="2"/>
        <v>1</v>
      </c>
      <c r="K12" s="31">
        <f t="shared" si="3"/>
        <v>1.075780341</v>
      </c>
      <c r="L12" s="31">
        <f>IFERROR((SUMIF(Data!B:B, A12, Data!L:L)
/ (COUNTIF(Data!B:B, A12)
)),"")</f>
        <v>0</v>
      </c>
      <c r="M12" s="31">
        <f>IFERROR((SUMIF(Data!B:B, A12, Data!K:K)
/ (COUNTIF(Data!B:B, A12)
)),"")</f>
        <v>10.14285714</v>
      </c>
      <c r="N12" s="34">
        <f t="shared" si="20"/>
        <v>0.2102102855</v>
      </c>
      <c r="O12" s="32">
        <f>IF(A12="","",IFERROR((((((SUMIF(Data!B:B, A12, Data!H:H)+(SUMIF(Data!B:B, A12,Data!G:G)+(SUMIF(Data!B:B, A12,Data!L:L)+(SUMIF(Data!B:B, A12,Data!K:K)))))/(SUMIF(Data!B:B, A12, Data!M:M)+(SUMIF(Data!B:B, A12, Data!H:H)+(SUMIF(Data!B:B, A12,Data!G:G)+(SUMIF(Data!B:B, A12,Data!K:K)+(SUMIF(Data!B:B, A12,Data!L:L)))))))))),0))</f>
        <v>0.9255319149</v>
      </c>
      <c r="P12" s="35">
        <f>IFERROR(__xludf.DUMMYFUNCTION("IFERROR(((COUNTIF(FILTER(Data!N:N,Data!B:B=A12),""TRAVERSE"")*15)+(COUNTIF(FILTER(Data!N:N,Data!B:B=A12),""HIGH"")*10)+(COUNTIF(FILTER(Data!N:N,Data!B:B=A12),""MIDDLE"")*6)+(COUNTIF(FILTER(Data!N:N,Data!B:B=A12),""LOW"")*4)) / (COUNTIF(Data!B:B, A12)),"""&amp;""")"),14.285714285714286)</f>
        <v>14.28571429</v>
      </c>
      <c r="Q12" s="31">
        <f>IFERROR(__xludf.DUMMYFUNCTION("IF(P12="""","""",Average(FIlter(('Convert Name to Number'!$F$422:$Z1000),'Convert Name to Number'!$E$422:$E1000=$A12)))"),15.0)</f>
        <v>15</v>
      </c>
      <c r="R12" s="36">
        <f t="shared" si="5"/>
        <v>0.946010761</v>
      </c>
      <c r="S12" s="37">
        <f>IFERROR(__xludf.DUMMYFUNCTION("IFERROR((((COUNTIF(FILTER(Data!N:N,Data!B:B=A12),""TRAVERSE""))+(COUNTIF(FILTER(Data!N:N,Data!B:B=A12),""HIGH""))+(COUNTIF(FILTER(Data!N:N,Data!B:B=A12),""MIDDLE""))+(COUNTIF(FILTER(Data!N:N,Data!B:B=A12),""LOW"")))) / (((COUNTIF(Data!B:B, A12)))-(COUNTIF"&amp;"(FILTER(Data!N:N,Data!B:B=A12),""NONE""))),IF(ISBLANK(A12),"""",0))"),1.0)</f>
        <v>1</v>
      </c>
      <c r="T12" s="32">
        <f>IFERROR(__xludf.DUMMYFUNCTION("IFERROR((COUNTIF(FILTER(Data!N:N, Data!B:B=A12),""LOW"")) / (COUNTIF(Data!B:B, A12)),"""")"),0.0)</f>
        <v>0</v>
      </c>
      <c r="U12" s="38">
        <f>IFERROR(__xludf.DUMMYFUNCTION("IFERROR((COUNTIF(FILTER(Data!N:N, Data!B:B=A12),""MIDDLE"")) / (COUNTIF(Data!B:B, A12)),"""")"),0.0)</f>
        <v>0</v>
      </c>
      <c r="V12" s="38">
        <f>IFERROR(__xludf.DUMMYFUNCTION("IFERROR((COUNTIF(FILTER(Data!N:N, Data!B:B=A12),""HIGH"")) / (COUNTIF(Data!B:B, A12)),"""")"),0.14285714285714285)</f>
        <v>0.1428571429</v>
      </c>
      <c r="W12" s="38">
        <f>IFERROR(__xludf.DUMMYFUNCTION("IFERROR((COUNTIF(FILTER(Data!N:N, Data!B:B=A12),""TRAVERSE"")) / (COUNTIF(Data!B:B, A12)),"""")"),0.8571428571428571)</f>
        <v>0.8571428571</v>
      </c>
      <c r="X12" s="39">
        <f t="shared" si="6"/>
        <v>1.348056741</v>
      </c>
      <c r="Y12" s="31">
        <f t="shared" si="7"/>
        <v>9.142857143</v>
      </c>
      <c r="Z12" s="31">
        <f t="shared" si="8"/>
        <v>20.28571429</v>
      </c>
      <c r="AA12" s="31">
        <f t="shared" si="9"/>
        <v>29.42857143</v>
      </c>
      <c r="AB12" s="40">
        <f t="shared" si="21"/>
        <v>0.2330417212</v>
      </c>
      <c r="AC12" s="41">
        <f>IFERROR(__xludf.DUMMYFUNCTION("IF(AA12="""","""",MAX(Filter((Data!K:K),Data!B:B=A12)))"),15.0)</f>
        <v>15</v>
      </c>
      <c r="AD12" s="41">
        <f t="shared" si="11"/>
        <v>-0.03883695182</v>
      </c>
      <c r="AE12" s="31">
        <f t="shared" si="12"/>
        <v>12.42857143</v>
      </c>
      <c r="AF12" s="31">
        <f t="shared" si="13"/>
        <v>43.71428571</v>
      </c>
      <c r="AG12" s="42">
        <f>IF(A12="","",(((AD12)*Picklist!$P$3)+((K12)*Picklist!$P$4)+(E12*Picklist!$P$5)+(N12*Picklist!$P$6)+(X12*Picklist!$P$7)+(R12*Picklist!$P$8)))</f>
        <v>5.45161729</v>
      </c>
      <c r="AH12" s="43">
        <f>IF(A12="","",(((AD12)*Picklist!$P$14)+((K12)*Picklist!$P$15)+(E12*Picklist!$P$16)+(N12*Picklist!$P$17)+(X12*Picklist!$P$18)+(R12*Picklist!$P$19)))</f>
        <v>6.397628051</v>
      </c>
      <c r="AI12" s="44" t="str">
        <f>IFERROR(__xludf.DUMMYFUNCTION("TEXTJOIN("", "",TRUE, FILTER(Data!P:P, Data!B:B=A12))"),"very accurate shooter, played defense most the match")</f>
        <v>very accurate shooter, played defense most the match</v>
      </c>
      <c r="AJ12" s="45">
        <f t="shared" si="14"/>
        <v>10.14285714</v>
      </c>
      <c r="AK12" s="46" t="str">
        <f>IFERROR(__xludf.DUMMYFUNCTION("IF(A12&lt;&gt;"""",IFERROR(AVERAGE(FILTER('Defense Calculations'!BJ:CS,'Defense Calculations'!A:A=A12)),""""),"""")"),"")</f>
        <v/>
      </c>
      <c r="AL12" s="15" t="str">
        <f t="shared" si="15"/>
        <v/>
      </c>
      <c r="AM12" s="47"/>
      <c r="AN12" s="51"/>
      <c r="AZ12" s="15">
        <f>IFERROR(__xludf.DUMMYFUNCTION("""COMPUTED_VALUE"""),195.0)</f>
        <v>195</v>
      </c>
      <c r="BB12" s="49">
        <f t="shared" si="16"/>
        <v>11.50303951</v>
      </c>
      <c r="BC12" s="50" t="str">
        <f t="shared" si="17"/>
        <v>2338</v>
      </c>
    </row>
    <row r="13">
      <c r="A13" s="15">
        <v>694.0</v>
      </c>
      <c r="B13" s="30">
        <f>IFERROR(__xludf.DUMMYFUNCTION("IFERROR(ROUND(
(COUNTIF(FILTER(Data!O:O, Data!B:B=A13), ""Win"")
+ COUNTIF(FILTER(Data!O:O, Data!B:B=A13), {""Tie"",""Results""}))
/ (COUNTIF(Data!B:B, A13)),
2),"""")"),0.5)</f>
        <v>0.5</v>
      </c>
      <c r="C13" s="31">
        <f>IFERROR((SUMIF(Data!B:B, A13, Data!H:H)
/ (COUNTIF(Data!B:B, A13)
)),"")</f>
        <v>0</v>
      </c>
      <c r="D13" s="31">
        <f>IFERROR((SUMIF(Data!B:B, A13, Data!G:G)
/ (COUNTIF(Data!B:B, A13)
)),"")</f>
        <v>3.375</v>
      </c>
      <c r="E13" s="31">
        <f t="shared" si="1"/>
        <v>1.590990249</v>
      </c>
      <c r="F13" s="31">
        <f>IFERROR((SUMIF(Data!B:B, A13, Data!J:J)
/ (COUNTIF(Data!B:B, A13)
)),"")</f>
        <v>4</v>
      </c>
      <c r="G13" s="32">
        <f>IF(A13="","",IFERROR((((((SUMIF(Data!B:B, A13, Data!H:H)+(SUMIF(Data!B:B, A13,Data!G:G)))/(SUMIF(Data!B:B, A13, Data!J:J)))))),0))</f>
        <v>0.84375</v>
      </c>
      <c r="H13" s="33" t="str">
        <f>IFERROR(__xludf.DUMMYFUNCTION("IFERROR(IF(G13="""","""",(SUM(FIlter(Filter(Data!G:G,Data!B:B=A13),(Filter(Data!J:J&lt;3,Data!B:B=A13))))+SUM((FIlter(Filter(Data!H:H,Data!B:B=A13),(Filter(Data!J:J&lt;3,Data!B:B=A13))))))/(SUM(Filter(Filter(Data!J:J,Data!B:B=A13),FILTER(Data!J:J&lt;3,Data!B:B=A13"&amp;"))))),"""")"),"")</f>
        <v/>
      </c>
      <c r="I13" s="32">
        <f>IFERROR(__xludf.DUMMYFUNCTION("IF(A13="""","""",(COUNT(FILTER(IF(Data!G:G&lt;&gt;0,Data!G:G,IF(Data!H:H&lt;&gt;0,Data!H:H)),Data!B:B=A13)))/(COUNT(FILTER(Data!J:J,Data!B:B=A13))))"),1.0)</f>
        <v>1</v>
      </c>
      <c r="J13" s="32">
        <f t="shared" si="2"/>
        <v>1</v>
      </c>
      <c r="K13" s="31">
        <f t="shared" si="3"/>
        <v>1.075780341</v>
      </c>
      <c r="L13" s="31">
        <f>IFERROR((SUMIF(Data!B:B, A13, Data!L:L)
/ (COUNTIF(Data!B:B, A13)
)),"")</f>
        <v>0</v>
      </c>
      <c r="M13" s="31">
        <f>IFERROR((SUMIF(Data!B:B, A13, Data!K:K)
/ (COUNTIF(Data!B:B, A13)
)),"")</f>
        <v>9.875</v>
      </c>
      <c r="N13" s="34">
        <f>IF(M13="","",((M13-$AX$3)/$AX$5))</f>
        <v>0.1498066382</v>
      </c>
      <c r="O13" s="32">
        <f>IF(A13="","",IFERROR((((((SUMIF(Data!B:B, A13, Data!H:H)+(SUMIF(Data!B:B, A13,Data!G:G)+(SUMIF(Data!B:B, A13,Data!L:L)+(SUMIF(Data!B:B, A13,Data!K:K)))))/(SUMIF(Data!B:B, A13, Data!M:M)+(SUMIF(Data!B:B, A13, Data!H:H)+(SUMIF(Data!B:B, A13,Data!G:G)+(SUMIF(Data!B:B, A13,Data!K:K)+(SUMIF(Data!B:B, A13,Data!L:L)))))))))),0))</f>
        <v>0.9380530973</v>
      </c>
      <c r="P13" s="35">
        <f>IFERROR(__xludf.DUMMYFUNCTION("IFERROR(((COUNTIF(FILTER(Data!N:N,Data!B:B=A13),""TRAVERSE"")*15)+(COUNTIF(FILTER(Data!N:N,Data!B:B=A13),""HIGH"")*10)+(COUNTIF(FILTER(Data!N:N,Data!B:B=A13),""MIDDLE"")*6)+(COUNTIF(FILTER(Data!N:N,Data!B:B=A13),""LOW"")*4)) / (COUNTIF(Data!B:B, A13)),"""&amp;""")"),13.125)</f>
        <v>13.125</v>
      </c>
      <c r="Q13" s="31">
        <f>IFERROR(__xludf.DUMMYFUNCTION("IF(P13="""","""",Average(FIlter(('Convert Name to Number'!$F$422:$Z1000),'Convert Name to Number'!$E$422:$E1000=$A13)))"),15.0)</f>
        <v>15</v>
      </c>
      <c r="R13" s="36">
        <f t="shared" si="5"/>
        <v>0.946010761</v>
      </c>
      <c r="S13" s="37">
        <f>IFERROR(__xludf.DUMMYFUNCTION("IFERROR((((COUNTIF(FILTER(Data!N:N,Data!B:B=A13),""TRAVERSE""))+(COUNTIF(FILTER(Data!N:N,Data!B:B=A13),""HIGH""))+(COUNTIF(FILTER(Data!N:N,Data!B:B=A13),""MIDDLE""))+(COUNTIF(FILTER(Data!N:N,Data!B:B=A13),""LOW"")))) / (((COUNTIF(Data!B:B, A13)))-(COUNTIF"&amp;"(FILTER(Data!N:N,Data!B:B=A13),""NONE""))),IF(ISBLANK(A13),"""",0))"),1.0)</f>
        <v>1</v>
      </c>
      <c r="T13" s="32">
        <f>IFERROR(__xludf.DUMMYFUNCTION("IFERROR((COUNTIF(FILTER(Data!N:N, Data!B:B=A13),""LOW"")) / (COUNTIF(Data!B:B, A13)),"""")"),0.0)</f>
        <v>0</v>
      </c>
      <c r="U13" s="38">
        <f>IFERROR(__xludf.DUMMYFUNCTION("IFERROR((COUNTIF(FILTER(Data!N:N, Data!B:B=A13),""MIDDLE"")) / (COUNTIF(Data!B:B, A13)),"""")"),0.0)</f>
        <v>0</v>
      </c>
      <c r="V13" s="38">
        <f>IFERROR(__xludf.DUMMYFUNCTION("IFERROR((COUNTIF(FILTER(Data!N:N, Data!B:B=A13),""HIGH"")) / (COUNTIF(Data!B:B, A13)),"""")"),0.375)</f>
        <v>0.375</v>
      </c>
      <c r="W13" s="38">
        <f>IFERROR(__xludf.DUMMYFUNCTION("IFERROR((COUNTIF(FILTER(Data!N:N, Data!B:B=A13),""TRAVERSE"")) / (COUNTIF(Data!B:B, A13)),"""")"),0.625)</f>
        <v>0.625</v>
      </c>
      <c r="X13" s="39">
        <f t="shared" si="6"/>
        <v>0.6129672511</v>
      </c>
      <c r="Y13" s="31">
        <f t="shared" si="7"/>
        <v>13.5</v>
      </c>
      <c r="Z13" s="31">
        <f t="shared" si="8"/>
        <v>19.75</v>
      </c>
      <c r="AA13" s="31">
        <f t="shared" si="9"/>
        <v>33.25</v>
      </c>
      <c r="AB13" s="40">
        <f>IF(A13="","",((M13+D13)-$AR$3)/$AR$5)</f>
        <v>0.3877024127</v>
      </c>
      <c r="AC13" s="41">
        <f>IFERROR(__xludf.DUMMYFUNCTION("IF(AA13="""","""",MAX(Filter((Data!K:K),Data!B:B=A13)))"),13.0)</f>
        <v>13</v>
      </c>
      <c r="AD13" s="41">
        <f t="shared" si="11"/>
        <v>-0.3777776223</v>
      </c>
      <c r="AE13" s="31">
        <f t="shared" si="12"/>
        <v>13.25</v>
      </c>
      <c r="AF13" s="31">
        <f t="shared" si="13"/>
        <v>46.375</v>
      </c>
      <c r="AG13" s="42">
        <f>IF(A13="","",(((AD13)*Picklist!$P$3)+((K13)*Picklist!$P$4)+(E13*Picklist!$P$5)+(N13*Picklist!$P$6)+(X13*Picklist!$P$7)+(R13*Picklist!$P$8)))</f>
        <v>4.931465678</v>
      </c>
      <c r="AH13" s="43">
        <f>IF(A13="","",(((AD13)*Picklist!$P$14)+((K13)*Picklist!$P$15)+(E13*Picklist!$P$16)+(N13*Picklist!$P$17)+(X13*Picklist!$P$18)+(R13*Picklist!$P$19)))</f>
        <v>5.877476439</v>
      </c>
      <c r="AI13" s="44" t="str">
        <f>IFERROR(__xludf.DUMMYFUNCTION("TEXTJOIN("", "",TRUE, FILTER(Data!P:P, Data!B:B=A13))"),"attempted traversal")</f>
        <v>attempted traversal</v>
      </c>
      <c r="AJ13" s="45">
        <f t="shared" si="14"/>
        <v>9.875</v>
      </c>
      <c r="AK13" s="46" t="str">
        <f>IFERROR(__xludf.DUMMYFUNCTION("IF(A13&lt;&gt;"""",IFERROR(AVERAGE(FILTER('Defense Calculations'!BJ:CS,'Defense Calculations'!A:A=A13)),""""),"""")"),"")</f>
        <v/>
      </c>
      <c r="AL13" s="15" t="str">
        <f t="shared" si="15"/>
        <v/>
      </c>
      <c r="AM13" s="47"/>
      <c r="AN13" s="51"/>
      <c r="AZ13" s="15">
        <f>IFERROR(__xludf.DUMMYFUNCTION("""COMPUTED_VALUE"""),1987.0)</f>
        <v>1987</v>
      </c>
      <c r="BB13" s="49">
        <f t="shared" si="16"/>
        <v>12.42920354</v>
      </c>
      <c r="BC13" s="50" t="str">
        <f t="shared" si="17"/>
        <v>694</v>
      </c>
    </row>
    <row r="14">
      <c r="A14" s="15">
        <v>4143.0</v>
      </c>
      <c r="B14" s="30">
        <f>IFERROR(__xludf.DUMMYFUNCTION("IFERROR(ROUND(
(COUNTIF(FILTER(Data!O:O, Data!B:B=A14), ""Win"")
+ COUNTIF(FILTER(Data!O:O, Data!B:B=A14), {""Tie"",""Results""}))
/ (COUNTIF(Data!B:B, A14)),
2),"""")"),0.38)</f>
        <v>0.38</v>
      </c>
      <c r="C14" s="31">
        <f>IFERROR((SUMIF(Data!B:B, A14, Data!H:H)
/ (COUNTIF(Data!B:B, A14)
)),"")</f>
        <v>0</v>
      </c>
      <c r="D14" s="31">
        <f>IFERROR((SUMIF(Data!B:B, A14, Data!G:G)
/ (COUNTIF(Data!B:B, A14)
)),"")</f>
        <v>1.5</v>
      </c>
      <c r="E14" s="31">
        <f t="shared" si="1"/>
        <v>-0.5476808539</v>
      </c>
      <c r="F14" s="31">
        <f>IFERROR((SUMIF(Data!B:B, A14, Data!J:J)
/ (COUNTIF(Data!B:B, A14)
)),"")</f>
        <v>1.625</v>
      </c>
      <c r="G14" s="32">
        <f>IF(A14="","",IFERROR((((((SUMIF(Data!B:B, A14, Data!H:H)+(SUMIF(Data!B:B, A14,Data!G:G)))/(SUMIF(Data!B:B, A14, Data!J:J)))))),0))</f>
        <v>0.9230769231</v>
      </c>
      <c r="H14" s="33">
        <f>IFERROR(__xludf.DUMMYFUNCTION("IFERROR(IF(G14="""","""",(SUM(FIlter(Filter(Data!G:G,Data!B:B=A14),(Filter(Data!J:J&lt;3,Data!B:B=A14))))+SUM((FIlter(Filter(Data!H:H,Data!B:B=A14),(Filter(Data!J:J&lt;3,Data!B:B=A14))))))/(SUM(Filter(Filter(Data!J:J,Data!B:B=A14),FILTER(Data!J:J&lt;3,Data!B:B=A14"&amp;"))))),"""")"),1.0)</f>
        <v>1</v>
      </c>
      <c r="I14" s="32">
        <f>IFERROR(__xludf.DUMMYFUNCTION("IF(A14="""","""",(COUNT(FILTER(IF(Data!G:G&lt;&gt;0,Data!G:G,IF(Data!H:H&lt;&gt;0,Data!H:H)),Data!B:B=A14)))/(COUNT(FILTER(Data!J:J,Data!B:B=A14))))"),0.75)</f>
        <v>0.75</v>
      </c>
      <c r="J14" s="32">
        <f t="shared" si="2"/>
        <v>0.875</v>
      </c>
      <c r="K14" s="31">
        <f t="shared" si="3"/>
        <v>0.1618040957</v>
      </c>
      <c r="L14" s="31">
        <f>IFERROR((SUMIF(Data!B:B, A14, Data!L:L)
/ (COUNTIF(Data!B:B, A14)
)),"")</f>
        <v>0</v>
      </c>
      <c r="M14" s="31">
        <f>IFERROR((SUMIF(Data!B:B, A14, Data!K:K)
/ (COUNTIF(Data!B:B, A14)
)),"")</f>
        <v>13.375</v>
      </c>
      <c r="N14" s="34">
        <f t="shared" ref="N14:N16" si="22">IFERROR(IF(M14="","",((M14-$AX$3)/$AX$5)),"")</f>
        <v>0.9390809627</v>
      </c>
      <c r="O14" s="32">
        <f>IF(A14="","",IFERROR((((((SUMIF(Data!B:B, A14, Data!H:H)+(SUMIF(Data!B:B, A14,Data!G:G)+(SUMIF(Data!B:B, A14,Data!L:L)+(SUMIF(Data!B:B, A14,Data!K:K)))))/(SUMIF(Data!B:B, A14, Data!M:M)+(SUMIF(Data!B:B, A14, Data!H:H)+(SUMIF(Data!B:B, A14,Data!G:G)+(SUMIF(Data!B:B, A14,Data!K:K)+(SUMIF(Data!B:B, A14,Data!L:L)))))))))),0))</f>
        <v>0.9296875</v>
      </c>
      <c r="P14" s="35">
        <f>IFERROR(__xludf.DUMMYFUNCTION("IFERROR(((COUNTIF(FILTER(Data!N:N,Data!B:B=A14),""TRAVERSE"")*15)+(COUNTIF(FILTER(Data!N:N,Data!B:B=A14),""HIGH"")*10)+(COUNTIF(FILTER(Data!N:N,Data!B:B=A14),""MIDDLE"")*6)+(COUNTIF(FILTER(Data!N:N,Data!B:B=A14),""LOW"")*4)) / (COUNTIF(Data!B:B, A14)),"""&amp;""")"),7.75)</f>
        <v>7.75</v>
      </c>
      <c r="Q14" s="31">
        <f>IFERROR(__xludf.DUMMYFUNCTION("IF(P14="""","""",Average(FIlter(('Convert Name to Number'!$F$422:$Z1000),'Convert Name to Number'!$E$422:$E1000=$A14)))"),11.2)</f>
        <v>11.2</v>
      </c>
      <c r="R14" s="36">
        <f t="shared" si="5"/>
        <v>0.1434416317</v>
      </c>
      <c r="S14" s="37">
        <f>IFERROR(__xludf.DUMMYFUNCTION("IFERROR((((COUNTIF(FILTER(Data!N:N,Data!B:B=A14),""TRAVERSE""))+(COUNTIF(FILTER(Data!N:N,Data!B:B=A14),""HIGH""))+(COUNTIF(FILTER(Data!N:N,Data!B:B=A14),""MIDDLE""))+(COUNTIF(FILTER(Data!N:N,Data!B:B=A14),""LOW"")))) / (((COUNTIF(Data!B:B, A14)))-(COUNTIF"&amp;"(FILTER(Data!N:N,Data!B:B=A14),""NONE""))),IF(ISBLANK(A14),"""",0))"),1.0)</f>
        <v>1</v>
      </c>
      <c r="T14" s="32">
        <f>IFERROR(__xludf.DUMMYFUNCTION("IFERROR((COUNTIF(FILTER(Data!N:N, Data!B:B=A14),""LOW"")) / (COUNTIF(Data!B:B, A14)),"""")"),0.0)</f>
        <v>0</v>
      </c>
      <c r="U14" s="38">
        <f>IFERROR(__xludf.DUMMYFUNCTION("IFERROR((COUNTIF(FILTER(Data!N:N, Data!B:B=A14),""MIDDLE"")) / (COUNTIF(Data!B:B, A14)),"""")"),0.25)</f>
        <v>0.25</v>
      </c>
      <c r="V14" s="38">
        <f>IFERROR(__xludf.DUMMYFUNCTION("IFERROR((COUNTIF(FILTER(Data!N:N, Data!B:B=A14),""HIGH"")) / (COUNTIF(Data!B:B, A14)),"""")"),0.25)</f>
        <v>0.25</v>
      </c>
      <c r="W14" s="38">
        <f>IFERROR(__xludf.DUMMYFUNCTION("IFERROR((COUNTIF(FILTER(Data!N:N, Data!B:B=A14),""TRAVERSE"")) / (COUNTIF(Data!B:B, A14)),"""")"),0.25)</f>
        <v>0.25</v>
      </c>
      <c r="X14" s="39">
        <f t="shared" si="6"/>
        <v>-0.5744850021</v>
      </c>
      <c r="Y14" s="31">
        <f t="shared" si="7"/>
        <v>6</v>
      </c>
      <c r="Z14" s="31">
        <f t="shared" si="8"/>
        <v>26.75</v>
      </c>
      <c r="AA14" s="31">
        <f t="shared" si="9"/>
        <v>32.75</v>
      </c>
      <c r="AB14" s="40">
        <f t="shared" ref="AB14:AB16" si="23">IFERROR(IF(A14="","",((M14+D14)-$AR$3)/$AR$5),"")</f>
        <v>0.6936616066</v>
      </c>
      <c r="AC14" s="41">
        <f>IFERROR(__xludf.DUMMYFUNCTION("IF(AA14="""","""",MAX(Filter((Data!K:K),Data!B:B=A14)))"),22.0)</f>
        <v>22</v>
      </c>
      <c r="AD14" s="41">
        <f t="shared" si="11"/>
        <v>1.147455395</v>
      </c>
      <c r="AE14" s="31">
        <f t="shared" si="12"/>
        <v>14.875</v>
      </c>
      <c r="AF14" s="31">
        <f t="shared" si="13"/>
        <v>40.5</v>
      </c>
      <c r="AG14" s="42">
        <f>IF(A14="","",(((AD14)*Picklist!$P$3)+((K14)*Picklist!$P$4)+(E14*Picklist!$P$5)+(N14*Picklist!$P$6)+(X14*Picklist!$P$7)+(R14*Picklist!$P$8)))</f>
        <v>4.700268905</v>
      </c>
      <c r="AH14" s="43">
        <f>IF(A14="","",(((AD14)*Picklist!$P$14)+((K14)*Picklist!$P$15)+(E14*Picklist!$P$16)+(N14*Picklist!$P$17)+(X14*Picklist!$P$18)+(R14*Picklist!$P$19)))</f>
        <v>4.843710537</v>
      </c>
      <c r="AI14" s="44" t="str">
        <f>IFERROR(__xludf.DUMMYFUNCTION("TEXTJOIN("", "",TRUE, FILTER(Data!P:P, Data!B:B=A14))"),"intake is iffy at sn angle, played 2+1 auto, didnt perform during auto")</f>
        <v>intake is iffy at sn angle, played 2+1 auto, didnt perform during auto</v>
      </c>
      <c r="AJ14" s="45">
        <f t="shared" si="14"/>
        <v>13.375</v>
      </c>
      <c r="AK14" s="46" t="str">
        <f>IFERROR(__xludf.DUMMYFUNCTION("IF(A14&lt;&gt;"""",IFERROR(AVERAGE(FILTER('Defense Calculations'!BJ:CS,'Defense Calculations'!A:A=A14)),""""),"""")"),"")</f>
        <v/>
      </c>
      <c r="AL14" s="15" t="str">
        <f t="shared" si="15"/>
        <v/>
      </c>
      <c r="AM14" s="47"/>
      <c r="AN14" s="51"/>
      <c r="AZ14" s="15">
        <f>IFERROR(__xludf.DUMMYFUNCTION("""COMPUTED_VALUE"""),2056.0)</f>
        <v>2056</v>
      </c>
      <c r="BB14" s="49">
        <f t="shared" si="16"/>
        <v>13.82910156</v>
      </c>
      <c r="BC14" s="50" t="str">
        <f t="shared" si="17"/>
        <v>4143</v>
      </c>
    </row>
    <row r="15">
      <c r="A15" s="15">
        <v>67.0</v>
      </c>
      <c r="B15" s="30">
        <f>IFERROR(__xludf.DUMMYFUNCTION("IFERROR(ROUND(
(COUNTIF(FILTER(Data!O:O, Data!B:B=A15), ""Win"")
+ COUNTIF(FILTER(Data!O:O, Data!B:B=A15), {""Tie"",""Results""}))
/ (COUNTIF(Data!B:B, A15)),
2),"""")"),0.57)</f>
        <v>0.57</v>
      </c>
      <c r="C15" s="31">
        <f>IFERROR((SUMIF(Data!B:B, A15, Data!H:H)
/ (COUNTIF(Data!B:B, A15)
)),"")</f>
        <v>0</v>
      </c>
      <c r="D15" s="31">
        <f>IFERROR((SUMIF(Data!B:B, A15, Data!G:G)
/ (COUNTIF(Data!B:B, A15)
)),"")</f>
        <v>2.714285714</v>
      </c>
      <c r="E15" s="31">
        <f t="shared" si="1"/>
        <v>0.837363289</v>
      </c>
      <c r="F15" s="31">
        <f>IFERROR((SUMIF(Data!B:B, A15, Data!J:J)
/ (COUNTIF(Data!B:B, A15)
)),"")</f>
        <v>3.142857143</v>
      </c>
      <c r="G15" s="32">
        <f>IF(A15="","",IFERROR((((((SUMIF(Data!B:B, A15, Data!H:H)+(SUMIF(Data!B:B, A15,Data!G:G)))/(SUMIF(Data!B:B, A15, Data!J:J)))))),0))</f>
        <v>0.8636363636</v>
      </c>
      <c r="H15" s="33">
        <f>IFERROR(__xludf.DUMMYFUNCTION("IFERROR(IF(G15="""","""",(SUM(FIlter(Filter(Data!G:G,Data!B:B=A15),(Filter(Data!J:J&lt;3,Data!B:B=A15))))+SUM((FIlter(Filter(Data!H:H,Data!B:B=A15),(Filter(Data!J:J&lt;3,Data!B:B=A15))))))/(SUM(Filter(Filter(Data!J:J,Data!B:B=A15),FILTER(Data!J:J&lt;3,Data!B:B=A15"&amp;"))))),"""")"),0.5)</f>
        <v>0.5</v>
      </c>
      <c r="I15" s="32">
        <f>IFERROR(__xludf.DUMMYFUNCTION("IF(A15="""","""",(COUNT(FILTER(IF(Data!G:G&lt;&gt;0,Data!G:G,IF(Data!H:H&lt;&gt;0,Data!H:H)),Data!B:B=A15)))/(COUNT(FILTER(Data!J:J,Data!B:B=A15))))"),0.8571428571428571)</f>
        <v>0.8571428571</v>
      </c>
      <c r="J15" s="32">
        <f t="shared" si="2"/>
        <v>0.6785714286</v>
      </c>
      <c r="K15" s="31">
        <f t="shared" si="3"/>
        <v>-1.274444291</v>
      </c>
      <c r="L15" s="31">
        <f>IFERROR((SUMIF(Data!B:B, A15, Data!L:L)
/ (COUNTIF(Data!B:B, A15)
)),"")</f>
        <v>0</v>
      </c>
      <c r="M15" s="31">
        <f>IFERROR((SUMIF(Data!B:B, A15, Data!K:K)
/ (COUNTIF(Data!B:B, A15)
)),"")</f>
        <v>14.14285714</v>
      </c>
      <c r="N15" s="34">
        <f t="shared" si="22"/>
        <v>1.112238085</v>
      </c>
      <c r="O15" s="32">
        <f>IF(A15="","",IFERROR((((((SUMIF(Data!B:B, A15, Data!H:H)+(SUMIF(Data!B:B, A15,Data!G:G)+(SUMIF(Data!B:B, A15,Data!L:L)+(SUMIF(Data!B:B, A15,Data!K:K)))))/(SUMIF(Data!B:B, A15, Data!M:M)+(SUMIF(Data!B:B, A15, Data!H:H)+(SUMIF(Data!B:B, A15,Data!G:G)+(SUMIF(Data!B:B, A15,Data!K:K)+(SUMIF(Data!B:B, A15,Data!L:L)))))))))),0))</f>
        <v>0.9291338583</v>
      </c>
      <c r="P15" s="35">
        <f>IFERROR(__xludf.DUMMYFUNCTION("IFERROR(((COUNTIF(FILTER(Data!N:N,Data!B:B=A15),""TRAVERSE"")*15)+(COUNTIF(FILTER(Data!N:N,Data!B:B=A15),""HIGH"")*10)+(COUNTIF(FILTER(Data!N:N,Data!B:B=A15),""MIDDLE"")*6)+(COUNTIF(FILTER(Data!N:N,Data!B:B=A15),""LOW"")*4)) / (COUNTIF(Data!B:B, A15)),"""&amp;""")"),8.571428571428571)</f>
        <v>8.571428571</v>
      </c>
      <c r="Q15" s="31">
        <f>IFERROR(__xludf.DUMMYFUNCTION("IF(P15="""","""",Average(FIlter(('Convert Name to Number'!$F$422:$Z1000),'Convert Name to Number'!$E$422:$E1000=$A15)))"),12.0)</f>
        <v>12</v>
      </c>
      <c r="R15" s="36">
        <f t="shared" si="5"/>
        <v>0.3124035536</v>
      </c>
      <c r="S15" s="37">
        <f>IFERROR(__xludf.DUMMYFUNCTION("IFERROR((((COUNTIF(FILTER(Data!N:N,Data!B:B=A15),""TRAVERSE""))+(COUNTIF(FILTER(Data!N:N,Data!B:B=A15),""HIGH""))+(COUNTIF(FILTER(Data!N:N,Data!B:B=A15),""MIDDLE""))+(COUNTIF(FILTER(Data!N:N,Data!B:B=A15),""LOW"")))) / (((COUNTIF(Data!B:B, A15)))-(COUNTIF"&amp;"(FILTER(Data!N:N,Data!B:B=A15),""NONE""))),IF(ISBLANK(A15),"""",0))"),0.8)</f>
        <v>0.8</v>
      </c>
      <c r="T15" s="32">
        <f>IFERROR(__xludf.DUMMYFUNCTION("IFERROR((COUNTIF(FILTER(Data!N:N, Data!B:B=A15),""LOW"")) / (COUNTIF(Data!B:B, A15)),"""")"),0.0)</f>
        <v>0</v>
      </c>
      <c r="U15" s="38">
        <f>IFERROR(__xludf.DUMMYFUNCTION("IFERROR((COUNTIF(FILTER(Data!N:N, Data!B:B=A15),""MIDDLE"")) / (COUNTIF(Data!B:B, A15)),"""")"),0.0)</f>
        <v>0</v>
      </c>
      <c r="V15" s="38">
        <f>IFERROR(__xludf.DUMMYFUNCTION("IFERROR((COUNTIF(FILTER(Data!N:N, Data!B:B=A15),""HIGH"")) / (COUNTIF(Data!B:B, A15)),"""")"),0.0)</f>
        <v>0</v>
      </c>
      <c r="W15" s="38">
        <f>IFERROR(__xludf.DUMMYFUNCTION("IFERROR((COUNTIF(FILTER(Data!N:N, Data!B:B=A15),""TRAVERSE"")) / (COUNTIF(Data!B:B, A15)),"""")"),0.5714285714285714)</f>
        <v>0.5714285714</v>
      </c>
      <c r="X15" s="39">
        <f t="shared" si="6"/>
        <v>0.4433312149</v>
      </c>
      <c r="Y15" s="31">
        <f t="shared" si="7"/>
        <v>10.85714286</v>
      </c>
      <c r="Z15" s="31">
        <f t="shared" si="8"/>
        <v>28.28571429</v>
      </c>
      <c r="AA15" s="31">
        <f t="shared" si="9"/>
        <v>39.14285714</v>
      </c>
      <c r="AB15" s="40">
        <f t="shared" si="23"/>
        <v>1.066864579</v>
      </c>
      <c r="AC15" s="41">
        <f>IFERROR(__xludf.DUMMYFUNCTION("IF(AA15="""","""",MAX(Filter((Data!K:K),Data!B:B=A15)))"),21.0)</f>
        <v>21</v>
      </c>
      <c r="AD15" s="41">
        <f t="shared" si="11"/>
        <v>0.9779850596</v>
      </c>
      <c r="AE15" s="31">
        <f t="shared" si="12"/>
        <v>16.85714286</v>
      </c>
      <c r="AF15" s="31">
        <f t="shared" si="13"/>
        <v>47.71428571</v>
      </c>
      <c r="AG15" s="42">
        <f>IF(A15="","",(((AD15)*Picklist!$P$3)+((K15)*Picklist!$P$4)+(E15*Picklist!$P$5)+(N15*Picklist!$P$6)+(X15*Picklist!$P$7)+(R15*Picklist!$P$8)))</f>
        <v>4.289869238</v>
      </c>
      <c r="AH15" s="43">
        <f>IF(A15="","",(((AD15)*Picklist!$P$14)+((K15)*Picklist!$P$15)+(E15*Picklist!$P$16)+(N15*Picklist!$P$17)+(X15*Picklist!$P$18)+(R15*Picklist!$P$19)))</f>
        <v>4.602272792</v>
      </c>
      <c r="AI15" s="44" t="str">
        <f>IFERROR(__xludf.DUMMYFUNCTION("TEXTJOIN("", "",TRUE, FILTER(Data!P:P, Data!B:B=A15))"),"fast climb")</f>
        <v>fast climb</v>
      </c>
      <c r="AJ15" s="45">
        <f t="shared" si="14"/>
        <v>14.14285714</v>
      </c>
      <c r="AK15" s="46" t="str">
        <f>IFERROR(__xludf.DUMMYFUNCTION("IF(A15&lt;&gt;"""",IFERROR(AVERAGE(FILTER('Defense Calculations'!BJ:CS,'Defense Calculations'!A:A=A15)),""""),"""")"),"")</f>
        <v/>
      </c>
      <c r="AL15" s="15" t="str">
        <f t="shared" si="15"/>
        <v/>
      </c>
      <c r="AM15" s="47"/>
      <c r="AN15" s="51"/>
      <c r="AZ15" s="15">
        <f>IFERROR(__xludf.DUMMYFUNCTION("""COMPUTED_VALUE"""),2075.0)</f>
        <v>2075</v>
      </c>
      <c r="BB15" s="49">
        <f t="shared" si="16"/>
        <v>15.66254218</v>
      </c>
      <c r="BC15" s="50" t="str">
        <f t="shared" si="17"/>
        <v>67</v>
      </c>
    </row>
    <row r="16">
      <c r="A16" s="15">
        <v>27.0</v>
      </c>
      <c r="B16" s="30">
        <f>IFERROR(__xludf.DUMMYFUNCTION("IFERROR(ROUND(
(COUNTIF(FILTER(Data!O:O, Data!B:B=A16), ""Win"")
+ COUNTIF(FILTER(Data!O:O, Data!B:B=A16), {""Tie"",""Results""}))
/ (COUNTIF(Data!B:B, A16)),
2),"""")"),0.75)</f>
        <v>0.75</v>
      </c>
      <c r="C16" s="31">
        <f>IFERROR((SUMIF(Data!B:B, A16, Data!H:H)
/ (COUNTIF(Data!B:B, A16)
)),"")</f>
        <v>0</v>
      </c>
      <c r="D16" s="31">
        <f>IFERROR((SUMIF(Data!B:B, A16, Data!G:G)
/ (COUNTIF(Data!B:B, A16)
)),"")</f>
        <v>2.5</v>
      </c>
      <c r="E16" s="31">
        <f t="shared" si="1"/>
        <v>0.5929437344</v>
      </c>
      <c r="F16" s="31">
        <f>IFERROR((SUMIF(Data!B:B, A16, Data!J:J)
/ (COUNTIF(Data!B:B, A16)
)),"")</f>
        <v>2.75</v>
      </c>
      <c r="G16" s="32">
        <f>IF(A16="","",IFERROR((((((SUMIF(Data!B:B, A16, Data!H:H)+(SUMIF(Data!B:B, A16,Data!G:G)))/(SUMIF(Data!B:B, A16, Data!J:J)))))),0))</f>
        <v>0.9090909091</v>
      </c>
      <c r="H16" s="33">
        <f>IFERROR(__xludf.DUMMYFUNCTION("IFERROR(IF(G16="""","""",(SUM(FIlter(Filter(Data!G:G,Data!B:B=A16),(Filter(Data!J:J&lt;3,Data!B:B=A16))))+SUM((FIlter(Filter(Data!H:H,Data!B:B=A16),(Filter(Data!J:J&lt;3,Data!B:B=A16))))))/(SUM(Filter(Filter(Data!J:J,Data!B:B=A16),FILTER(Data!J:J&lt;3,Data!B:B=A16"&amp;"))))),"""")"),0.8888888888888888)</f>
        <v>0.8888888889</v>
      </c>
      <c r="I16" s="32">
        <f>IFERROR(__xludf.DUMMYFUNCTION("IF(A16="""","""",(COUNT(FILTER(IF(Data!G:G&lt;&gt;0,Data!G:G,IF(Data!H:H&lt;&gt;0,Data!H:H)),Data!B:B=A16)))/(COUNT(FILTER(Data!J:J,Data!B:B=A16))))"),1.0)</f>
        <v>1</v>
      </c>
      <c r="J16" s="32">
        <f t="shared" si="2"/>
        <v>0.9444444444</v>
      </c>
      <c r="K16" s="31">
        <f t="shared" si="3"/>
        <v>0.6695686767</v>
      </c>
      <c r="L16" s="31">
        <f>IFERROR((SUMIF(Data!B:B, A16, Data!L:L)
/ (COUNTIF(Data!B:B, A16)
)),"")</f>
        <v>0</v>
      </c>
      <c r="M16" s="31">
        <f>IFERROR((SUMIF(Data!B:B, A16, Data!K:K)
/ (COUNTIF(Data!B:B, A16)
)),"")</f>
        <v>9.375</v>
      </c>
      <c r="N16" s="34">
        <f t="shared" si="22"/>
        <v>0.03705316326</v>
      </c>
      <c r="O16" s="32">
        <f>IF(A16="","",IFERROR((((((SUMIF(Data!B:B, A16, Data!H:H)+(SUMIF(Data!B:B, A16,Data!G:G)+(SUMIF(Data!B:B, A16,Data!L:L)+(SUMIF(Data!B:B, A16,Data!K:K)))))/(SUMIF(Data!B:B, A16, Data!M:M)+(SUMIF(Data!B:B, A16, Data!H:H)+(SUMIF(Data!B:B, A16,Data!G:G)+(SUMIF(Data!B:B, A16,Data!K:K)+(SUMIF(Data!B:B, A16,Data!L:L)))))))))),0))</f>
        <v>0.8407079646</v>
      </c>
      <c r="P16" s="35">
        <f>IFERROR(__xludf.DUMMYFUNCTION("IFERROR(((COUNTIF(FILTER(Data!N:N,Data!B:B=A16),""TRAVERSE"")*15)+(COUNTIF(FILTER(Data!N:N,Data!B:B=A16),""HIGH"")*10)+(COUNTIF(FILTER(Data!N:N,Data!B:B=A16),""MIDDLE"")*6)+(COUNTIF(FILTER(Data!N:N,Data!B:B=A16),""LOW"")*4)) / (COUNTIF(Data!B:B, A16)),"""&amp;""")"),14.375)</f>
        <v>14.375</v>
      </c>
      <c r="Q16" s="31">
        <f>IFERROR(__xludf.DUMMYFUNCTION("IF(P16="""","""",Average(FIlter(('Convert Name to Number'!$F$422:$Z1000),'Convert Name to Number'!$E$422:$E1000=$A16)))"),15.0)</f>
        <v>15</v>
      </c>
      <c r="R16" s="36">
        <f t="shared" si="5"/>
        <v>0.946010761</v>
      </c>
      <c r="S16" s="37">
        <f>IFERROR(__xludf.DUMMYFUNCTION("IFERROR((((COUNTIF(FILTER(Data!N:N,Data!B:B=A16),""TRAVERSE""))+(COUNTIF(FILTER(Data!N:N,Data!B:B=A16),""HIGH""))+(COUNTIF(FILTER(Data!N:N,Data!B:B=A16),""MIDDLE""))+(COUNTIF(FILTER(Data!N:N,Data!B:B=A16),""LOW"")))) / (((COUNTIF(Data!B:B, A16)))-(COUNTIF"&amp;"(FILTER(Data!N:N,Data!B:B=A16),""NONE""))),IF(ISBLANK(A16),"""",0))"),1.0)</f>
        <v>1</v>
      </c>
      <c r="T16" s="32">
        <f>IFERROR(__xludf.DUMMYFUNCTION("IFERROR((COUNTIF(FILTER(Data!N:N, Data!B:B=A16),""LOW"")) / (COUNTIF(Data!B:B, A16)),"""")"),0.0)</f>
        <v>0</v>
      </c>
      <c r="U16" s="38">
        <f>IFERROR(__xludf.DUMMYFUNCTION("IFERROR((COUNTIF(FILTER(Data!N:N, Data!B:B=A16),""MIDDLE"")) / (COUNTIF(Data!B:B, A16)),"""")"),0.0)</f>
        <v>0</v>
      </c>
      <c r="V16" s="38">
        <f>IFERROR(__xludf.DUMMYFUNCTION("IFERROR((COUNTIF(FILTER(Data!N:N, Data!B:B=A16),""HIGH"")) / (COUNTIF(Data!B:B, A16)),"""")"),0.125)</f>
        <v>0.125</v>
      </c>
      <c r="W16" s="38">
        <f>IFERROR(__xludf.DUMMYFUNCTION("IFERROR((COUNTIF(FILTER(Data!N:N, Data!B:B=A16),""TRAVERSE"")) / (COUNTIF(Data!B:B, A16)),"""")"),0.875)</f>
        <v>0.875</v>
      </c>
      <c r="X16" s="39">
        <f t="shared" si="6"/>
        <v>1.404602087</v>
      </c>
      <c r="Y16" s="31">
        <f t="shared" si="7"/>
        <v>10</v>
      </c>
      <c r="Z16" s="31">
        <f t="shared" si="8"/>
        <v>18.75</v>
      </c>
      <c r="AA16" s="31">
        <f t="shared" si="9"/>
        <v>28.75</v>
      </c>
      <c r="AB16" s="40">
        <f t="shared" si="23"/>
        <v>0.1288138639</v>
      </c>
      <c r="AC16" s="41">
        <f>IFERROR(__xludf.DUMMYFUNCTION("IF(AA16="""","""",MAX(Filter((Data!K:K),Data!B:B=A16)))"),13.0)</f>
        <v>13</v>
      </c>
      <c r="AD16" s="41">
        <f t="shared" si="11"/>
        <v>-0.3777776223</v>
      </c>
      <c r="AE16" s="31">
        <f t="shared" si="12"/>
        <v>11.875</v>
      </c>
      <c r="AF16" s="31">
        <f t="shared" si="13"/>
        <v>43.125</v>
      </c>
      <c r="AG16" s="42">
        <f>IF(A16="","",(((AD16)*Picklist!$P$3)+((K16)*Picklist!$P$4)+(E16*Picklist!$P$5)+(N16*Picklist!$P$6)+(X16*Picklist!$P$7)+(R16*Picklist!$P$8)))</f>
        <v>4.186993588</v>
      </c>
      <c r="AH16" s="43">
        <f>IF(A16="","",(((AD16)*Picklist!$P$14)+((K16)*Picklist!$P$15)+(E16*Picklist!$P$16)+(N16*Picklist!$P$17)+(X16*Picklist!$P$18)+(R16*Picklist!$P$19)))</f>
        <v>5.133004349</v>
      </c>
      <c r="AI16" s="44" t="str">
        <f>IFERROR(__xludf.DUMMYFUNCTION("TEXTJOIN("", "",TRUE, FILTER(Data!P:P, Data!B:B=A16))"),"put ine red cargo into hanger during auto, very efficient, but slow on intake due to driver, quick traversal climb, intakw has issues picking up balls at an angke, 20 sec climb to traversal")</f>
        <v>put ine red cargo into hanger during auto, very efficient, but slow on intake due to driver, quick traversal climb, intakw has issues picking up balls at an angke, 20 sec climb to traversal</v>
      </c>
      <c r="AJ16" s="45">
        <f t="shared" si="14"/>
        <v>9.375</v>
      </c>
      <c r="AK16" s="46" t="str">
        <f>IFERROR(__xludf.DUMMYFUNCTION("IF(A16&lt;&gt;"""",IFERROR(AVERAGE(FILTER('Defense Calculations'!BJ:CS,'Defense Calculations'!A:A=A16)),""""),"""")"),"")</f>
        <v/>
      </c>
      <c r="AL16" s="15" t="str">
        <f t="shared" si="15"/>
        <v/>
      </c>
      <c r="AM16" s="47"/>
      <c r="AN16" s="52"/>
      <c r="AZ16" s="15">
        <f>IFERROR(__xludf.DUMMYFUNCTION("""COMPUTED_VALUE"""),2338.0)</f>
        <v>2338</v>
      </c>
      <c r="BB16" s="49">
        <f t="shared" si="16"/>
        <v>9.98340708</v>
      </c>
      <c r="BC16" s="50" t="str">
        <f t="shared" si="17"/>
        <v>27</v>
      </c>
    </row>
    <row r="17">
      <c r="A17" s="15">
        <v>118.0</v>
      </c>
      <c r="B17" s="30">
        <f>IFERROR(__xludf.DUMMYFUNCTION("IFERROR(ROUND(
(COUNTIF(FILTER(Data!O:O, Data!B:B=A17), ""Win"")
+ COUNTIF(FILTER(Data!O:O, Data!B:B=A17), {""Tie"",""Results""}))
/ (COUNTIF(Data!B:B, A17)),
2),"""")"),0.75)</f>
        <v>0.75</v>
      </c>
      <c r="C17" s="31">
        <f>IFERROR((SUMIF(Data!B:B, A17, Data!H:H)
/ (COUNTIF(Data!B:B, A17)
)),"")</f>
        <v>0</v>
      </c>
      <c r="D17" s="31">
        <f>IFERROR((SUMIF(Data!B:B, A17, Data!G:G)
/ (COUNTIF(Data!B:B, A17)
)),"")</f>
        <v>1.75</v>
      </c>
      <c r="E17" s="31">
        <f t="shared" si="1"/>
        <v>-0.2625247068</v>
      </c>
      <c r="F17" s="31">
        <f>IFERROR((SUMIF(Data!B:B, A17, Data!J:J)
/ (COUNTIF(Data!B:B, A17)
)),"")</f>
        <v>2.125</v>
      </c>
      <c r="G17" s="32">
        <f>IF(A17="","",IFERROR((((((SUMIF(Data!B:B, A17, Data!H:H)+(SUMIF(Data!B:B, A17,Data!G:G)))/(SUMIF(Data!B:B, A17, Data!J:J)))))),0))</f>
        <v>0.8235294118</v>
      </c>
      <c r="H17" s="33">
        <f>IFERROR(__xludf.DUMMYFUNCTION("IFERROR(IF(G17="""","""",(SUM(FIlter(Filter(Data!G:G,Data!B:B=A17),(Filter(Data!J:J&lt;3,Data!B:B=A17))))+SUM((FIlter(Filter(Data!H:H,Data!B:B=A17),(Filter(Data!J:J&lt;3,Data!B:B=A17))))))/(SUM(Filter(Filter(Data!J:J,Data!B:B=A17),FILTER(Data!J:J&lt;3,Data!B:B=A17"&amp;"))))),"""")"),0.5)</f>
        <v>0.5</v>
      </c>
      <c r="I17" s="32">
        <f>IFERROR(__xludf.DUMMYFUNCTION("IF(A17="""","""",(COUNT(FILTER(IF(Data!G:G&lt;&gt;0,Data!G:G,IF(Data!H:H&lt;&gt;0,Data!H:H)),Data!B:B=A17)))/(COUNT(FILTER(Data!J:J,Data!B:B=A17))))"),0.625)</f>
        <v>0.625</v>
      </c>
      <c r="J17" s="32">
        <f t="shared" si="2"/>
        <v>0.5625</v>
      </c>
      <c r="K17" s="31">
        <f t="shared" si="3"/>
        <v>-2.123136519</v>
      </c>
      <c r="L17" s="31">
        <f>IFERROR((SUMIF(Data!B:B, A17, Data!L:L)
/ (COUNTIF(Data!B:B, A17)
)),"")</f>
        <v>0</v>
      </c>
      <c r="M17" s="31">
        <f>IFERROR((SUMIF(Data!B:B, A17, Data!K:K)
/ (COUNTIF(Data!B:B, A17)
)),"")</f>
        <v>11.375</v>
      </c>
      <c r="N17" s="34">
        <f>IF(M17="","",((M17-$AX$3)/$AX$5))</f>
        <v>0.488067063</v>
      </c>
      <c r="O17" s="32">
        <f>IF(A17="","",IFERROR((((((SUMIF(Data!B:B, A17, Data!H:H)+(SUMIF(Data!B:B, A17,Data!G:G)+(SUMIF(Data!B:B, A17,Data!L:L)+(SUMIF(Data!B:B, A17,Data!K:K)))))/(SUMIF(Data!B:B, A17, Data!M:M)+(SUMIF(Data!B:B, A17, Data!H:H)+(SUMIF(Data!B:B, A17,Data!G:G)+(SUMIF(Data!B:B, A17,Data!K:K)+(SUMIF(Data!B:B, A17,Data!L:L)))))))))),0))</f>
        <v>0.8898305085</v>
      </c>
      <c r="P17" s="35">
        <f>IFERROR(__xludf.DUMMYFUNCTION("IFERROR(((COUNTIF(FILTER(Data!N:N,Data!B:B=A17),""TRAVERSE"")*15)+(COUNTIF(FILTER(Data!N:N,Data!B:B=A17),""HIGH"")*10)+(COUNTIF(FILTER(Data!N:N,Data!B:B=A17),""MIDDLE"")*6)+(COUNTIF(FILTER(Data!N:N,Data!B:B=A17),""LOW"")*4)) / (COUNTIF(Data!B:B, A17)),"""&amp;""")"),11.25)</f>
        <v>11.25</v>
      </c>
      <c r="Q17" s="31">
        <f>IFERROR(__xludf.DUMMYFUNCTION("IF(P17="""","""",Average(FIlter(('Convert Name to Number'!$F$422:$Z1000),'Convert Name to Number'!$E$422:$E1000=$A17)))"),15.0)</f>
        <v>15</v>
      </c>
      <c r="R17" s="36">
        <f t="shared" si="5"/>
        <v>0.946010761</v>
      </c>
      <c r="S17" s="37">
        <f>IFERROR(__xludf.DUMMYFUNCTION("IFERROR((((COUNTIF(FILTER(Data!N:N,Data!B:B=A17),""TRAVERSE""))+(COUNTIF(FILTER(Data!N:N,Data!B:B=A17),""HIGH""))+(COUNTIF(FILTER(Data!N:N,Data!B:B=A17),""MIDDLE""))+(COUNTIF(FILTER(Data!N:N,Data!B:B=A17),""LOW"")))) / (((COUNTIF(Data!B:B, A17)))-(COUNTIF"&amp;"(FILTER(Data!N:N,Data!B:B=A17),""NONE""))),IF(ISBLANK(A17),"""",0))"),0.8571428571428571)</f>
        <v>0.8571428571</v>
      </c>
      <c r="T17" s="32">
        <f>IFERROR(__xludf.DUMMYFUNCTION("IFERROR((COUNTIF(FILTER(Data!N:N, Data!B:B=A17),""LOW"")) / (COUNTIF(Data!B:B, A17)),"""")"),0.0)</f>
        <v>0</v>
      </c>
      <c r="U17" s="38">
        <f>IFERROR(__xludf.DUMMYFUNCTION("IFERROR((COUNTIF(FILTER(Data!N:N, Data!B:B=A17),""MIDDLE"")) / (COUNTIF(Data!B:B, A17)),"""")"),0.0)</f>
        <v>0</v>
      </c>
      <c r="V17" s="38">
        <f>IFERROR(__xludf.DUMMYFUNCTION("IFERROR((COUNTIF(FILTER(Data!N:N, Data!B:B=A17),""HIGH"")) / (COUNTIF(Data!B:B, A17)),"""")"),0.0)</f>
        <v>0</v>
      </c>
      <c r="W17" s="38">
        <f>IFERROR(__xludf.DUMMYFUNCTION("IFERROR((COUNTIF(FILTER(Data!N:N, Data!B:B=A17),""TRAVERSE"")) / (COUNTIF(Data!B:B, A17)),"""")"),0.75)</f>
        <v>0.75</v>
      </c>
      <c r="X17" s="39">
        <f t="shared" si="6"/>
        <v>1.008784669</v>
      </c>
      <c r="Y17" s="31">
        <f t="shared" si="7"/>
        <v>7</v>
      </c>
      <c r="Z17" s="31">
        <f t="shared" si="8"/>
        <v>22.75</v>
      </c>
      <c r="AA17" s="31">
        <f t="shared" si="9"/>
        <v>29.75</v>
      </c>
      <c r="AB17" s="40">
        <f>IF(A17="","",((M17+D17)-$AR$3)/$AR$5)</f>
        <v>0.36416709</v>
      </c>
      <c r="AC17" s="41">
        <f>IFERROR(__xludf.DUMMYFUNCTION("IF(AA17="""","""",MAX(Filter((Data!K:K),Data!B:B=A17)))"),21.0)</f>
        <v>21</v>
      </c>
      <c r="AD17" s="41">
        <f t="shared" si="11"/>
        <v>0.9779850596</v>
      </c>
      <c r="AE17" s="31">
        <f t="shared" si="12"/>
        <v>13.125</v>
      </c>
      <c r="AF17" s="31">
        <f t="shared" si="13"/>
        <v>41</v>
      </c>
      <c r="AG17" s="42">
        <f>IF(A17="","",(((AD17)*Picklist!$P$3)+((K17)*Picklist!$P$4)+(E17*Picklist!$P$5)+(N17*Picklist!$P$6)+(X17*Picklist!$P$7)+(R17*Picklist!$P$8)))</f>
        <v>4.103092774</v>
      </c>
      <c r="AH17" s="43">
        <f>IF(A17="","",(((AD17)*Picklist!$P$14)+((K17)*Picklist!$P$15)+(E17*Picklist!$P$16)+(N17*Picklist!$P$17)+(X17*Picklist!$P$18)+(R17*Picklist!$P$19)))</f>
        <v>5.049103535</v>
      </c>
      <c r="AI17" s="44" t="str">
        <f>IFERROR(__xludf.DUMMYFUNCTION("TEXTJOIN("", "",TRUE, FILTER(Data!P:P, Data!B:B=A17))"),"very fast climb, kind of shaky whdn moving around the field")</f>
        <v>very fast climb, kind of shaky whdn moving around the field</v>
      </c>
      <c r="AJ17" s="45">
        <f t="shared" si="14"/>
        <v>11.375</v>
      </c>
      <c r="AK17" s="46" t="str">
        <f>IFERROR(__xludf.DUMMYFUNCTION("IF(A17&lt;&gt;"""",IFERROR(AVERAGE(FILTER('Defense Calculations'!BJ:CS,'Defense Calculations'!A:A=A17)),""""),"""")"),"")</f>
        <v/>
      </c>
      <c r="AL17" s="15" t="str">
        <f t="shared" si="15"/>
        <v/>
      </c>
      <c r="AM17" s="47"/>
      <c r="AN17" s="51"/>
      <c r="AZ17" s="15">
        <f>IFERROR(__xludf.DUMMYFUNCTION("""COMPUTED_VALUE"""),234.0)</f>
        <v>234</v>
      </c>
      <c r="BB17" s="49">
        <f t="shared" si="16"/>
        <v>11.67902542</v>
      </c>
      <c r="BC17" s="50" t="str">
        <f t="shared" si="17"/>
        <v>118</v>
      </c>
    </row>
    <row r="18">
      <c r="A18" s="15">
        <v>587.0</v>
      </c>
      <c r="B18" s="30">
        <f>IFERROR(__xludf.DUMMYFUNCTION("IFERROR(ROUND(
(COUNTIF(FILTER(Data!O:O, Data!B:B=A18), ""Win"")
+ COUNTIF(FILTER(Data!O:O, Data!B:B=A18), {""Tie"",""Results""}))
/ (COUNTIF(Data!B:B, A18)),
2),"""")"),0.63)</f>
        <v>0.63</v>
      </c>
      <c r="C18" s="31">
        <f>IFERROR((SUMIF(Data!B:B, A18, Data!H:H)
/ (COUNTIF(Data!B:B, A18)
)),"")</f>
        <v>0.125</v>
      </c>
      <c r="D18" s="31">
        <f>IFERROR((SUMIF(Data!B:B, A18, Data!G:G)
/ (COUNTIF(Data!B:B, A18)
)),"")</f>
        <v>0.75</v>
      </c>
      <c r="E18" s="31">
        <f t="shared" si="1"/>
        <v>-1.403149295</v>
      </c>
      <c r="F18" s="31">
        <f>IFERROR((SUMIF(Data!B:B, A18, Data!J:J)
/ (COUNTIF(Data!B:B, A18)
)),"")</f>
        <v>1.125</v>
      </c>
      <c r="G18" s="32">
        <f>IF(A18="","",IFERROR((((((SUMIF(Data!B:B, A18, Data!H:H)+(SUMIF(Data!B:B, A18,Data!G:G)))/(SUMIF(Data!B:B, A18, Data!J:J)))))),0))</f>
        <v>0.7777777778</v>
      </c>
      <c r="H18" s="33">
        <f>IFERROR(__xludf.DUMMYFUNCTION("IFERROR(IF(G18="""","""",(SUM(FIlter(Filter(Data!G:G,Data!B:B=A18),(Filter(Data!J:J&lt;3,Data!B:B=A18))))+SUM((FIlter(Filter(Data!H:H,Data!B:B=A18),(Filter(Data!J:J&lt;3,Data!B:B=A18))))))/(SUM(Filter(Filter(Data!J:J,Data!B:B=A18),FILTER(Data!J:J&lt;3,Data!B:B=A18"&amp;"))))),"""")"),0.7777777777777778)</f>
        <v>0.7777777778</v>
      </c>
      <c r="I18" s="32">
        <f>IFERROR(__xludf.DUMMYFUNCTION("IF(A18="""","""",(COUNT(FILTER(IF(Data!G:G&lt;&gt;0,Data!G:G,IF(Data!H:H&lt;&gt;0,Data!H:H)),Data!B:B=A18)))/(COUNT(FILTER(Data!J:J,Data!B:B=A18))))"),0.625)</f>
        <v>0.625</v>
      </c>
      <c r="J18" s="32">
        <f t="shared" si="2"/>
        <v>0.7013888889</v>
      </c>
      <c r="K18" s="31">
        <f t="shared" si="3"/>
        <v>-1.107607357</v>
      </c>
      <c r="L18" s="31">
        <f>IFERROR((SUMIF(Data!B:B, A18, Data!L:L)
/ (COUNTIF(Data!B:B, A18)
)),"")</f>
        <v>0.25</v>
      </c>
      <c r="M18" s="31">
        <f>IFERROR((SUMIF(Data!B:B, A18, Data!K:K)
/ (COUNTIF(Data!B:B, A18)
)),"")</f>
        <v>8.5</v>
      </c>
      <c r="N18" s="34">
        <f t="shared" ref="N18:N21" si="24">IFERROR(IF(M18="","",((M18-$AX$3)/$AX$5)),"")</f>
        <v>-0.1602654179</v>
      </c>
      <c r="O18" s="32">
        <f>IF(A18="","",IFERROR((((((SUMIF(Data!B:B, A18, Data!H:H)+(SUMIF(Data!B:B, A18,Data!G:G)+(SUMIF(Data!B:B, A18,Data!L:L)+(SUMIF(Data!B:B, A18,Data!K:K)))))/(SUMIF(Data!B:B, A18, Data!M:M)+(SUMIF(Data!B:B, A18, Data!H:H)+(SUMIF(Data!B:B, A18,Data!G:G)+(SUMIF(Data!B:B, A18,Data!K:K)+(SUMIF(Data!B:B, A18,Data!L:L)))))))))),0))</f>
        <v>0.712962963</v>
      </c>
      <c r="P18" s="35">
        <f>IFERROR(__xludf.DUMMYFUNCTION("IFERROR(((COUNTIF(FILTER(Data!N:N,Data!B:B=A18),""TRAVERSE"")*15)+(COUNTIF(FILTER(Data!N:N,Data!B:B=A18),""HIGH"")*10)+(COUNTIF(FILTER(Data!N:N,Data!B:B=A18),""MIDDLE"")*6)+(COUNTIF(FILTER(Data!N:N,Data!B:B=A18),""LOW"")*4)) / (COUNTIF(Data!B:B, A18)),"""&amp;""")"),9.375)</f>
        <v>9.375</v>
      </c>
      <c r="Q18" s="31">
        <f>IFERROR(__xludf.DUMMYFUNCTION("IF(P18="""","""",Average(FIlter(('Convert Name to Number'!$F$422:$Z1000),'Convert Name to Number'!$E$422:$E1000=$A18)))"),15.0)</f>
        <v>15</v>
      </c>
      <c r="R18" s="36">
        <f t="shared" si="5"/>
        <v>0.946010761</v>
      </c>
      <c r="S18" s="37">
        <f>IFERROR(__xludf.DUMMYFUNCTION("IFERROR((((COUNTIF(FILTER(Data!N:N,Data!B:B=A18),""TRAVERSE""))+(COUNTIF(FILTER(Data!N:N,Data!B:B=A18),""HIGH""))+(COUNTIF(FILTER(Data!N:N,Data!B:B=A18),""MIDDLE""))+(COUNTIF(FILTER(Data!N:N,Data!B:B=A18),""LOW"")))) / (((COUNTIF(Data!B:B, A18)))-(COUNTIF"&amp;"(FILTER(Data!N:N,Data!B:B=A18),""NONE""))),IF(ISBLANK(A18),"""",0))"),1.0)</f>
        <v>1</v>
      </c>
      <c r="T18" s="32">
        <f>IFERROR(__xludf.DUMMYFUNCTION("IFERROR((COUNTIF(FILTER(Data!N:N, Data!B:B=A18),""LOW"")) / (COUNTIF(Data!B:B, A18)),"""")"),0.0)</f>
        <v>0</v>
      </c>
      <c r="U18" s="38">
        <f>IFERROR(__xludf.DUMMYFUNCTION("IFERROR((COUNTIF(FILTER(Data!N:N, Data!B:B=A18),""MIDDLE"")) / (COUNTIF(Data!B:B, A18)),"""")"),0.0)</f>
        <v>0</v>
      </c>
      <c r="V18" s="38">
        <f>IFERROR(__xludf.DUMMYFUNCTION("IFERROR((COUNTIF(FILTER(Data!N:N, Data!B:B=A18),""HIGH"")) / (COUNTIF(Data!B:B, A18)),"""")"),0.0)</f>
        <v>0</v>
      </c>
      <c r="W18" s="38">
        <f>IFERROR(__xludf.DUMMYFUNCTION("IFERROR((COUNTIF(FILTER(Data!N:N, Data!B:B=A18),""TRAVERSE"")) / (COUNTIF(Data!B:B, A18)),"""")"),0.625)</f>
        <v>0.625</v>
      </c>
      <c r="X18" s="39">
        <f t="shared" si="6"/>
        <v>0.6129672511</v>
      </c>
      <c r="Y18" s="31">
        <f t="shared" si="7"/>
        <v>3.25</v>
      </c>
      <c r="Z18" s="31">
        <f t="shared" si="8"/>
        <v>17.25</v>
      </c>
      <c r="AA18" s="31">
        <f t="shared" si="9"/>
        <v>20.5</v>
      </c>
      <c r="AB18" s="40">
        <f t="shared" ref="AB18:AB21" si="25">IFERROR(IF(A18="","",((M18+D18)-$AR$3)/$AR$5),"")</f>
        <v>-0.3654279109</v>
      </c>
      <c r="AC18" s="41">
        <f>IFERROR(__xludf.DUMMYFUNCTION("IF(AA18="""","""",MAX(Filter((Data!K:K),Data!B:B=A18)))"),16.0)</f>
        <v>16</v>
      </c>
      <c r="AD18" s="41">
        <f t="shared" si="11"/>
        <v>0.1306333834</v>
      </c>
      <c r="AE18" s="31">
        <f t="shared" si="12"/>
        <v>9.625</v>
      </c>
      <c r="AF18" s="31">
        <f t="shared" si="13"/>
        <v>29.875</v>
      </c>
      <c r="AG18" s="42">
        <f>IF(A18="","",(((AD18)*Picklist!$P$3)+((K18)*Picklist!$P$4)+(E18*Picklist!$P$5)+(N18*Picklist!$P$6)+(X18*Picklist!$P$7)+(R18*Picklist!$P$8)))</f>
        <v>2.326272817</v>
      </c>
      <c r="AH18" s="43">
        <f>IF(A18="","",(((AD18)*Picklist!$P$14)+((K18)*Picklist!$P$15)+(E18*Picklist!$P$16)+(N18*Picklist!$P$17)+(X18*Picklist!$P$18)+(R18*Picklist!$P$19)))</f>
        <v>3.272283578</v>
      </c>
      <c r="AI18" s="44" t="str">
        <f>IFERROR(__xludf.DUMMYFUNCTION("TEXTJOIN("", "",TRUE, FILTER(Data!P:P, Data!B:B=A18))"),"crashed early stopped picking up balls and played defrnse. almost tipped over, their climber was very smooth")</f>
        <v>crashed early stopped picking up balls and played defrnse. almost tipped over, their climber was very smooth</v>
      </c>
      <c r="AJ18" s="45">
        <f t="shared" si="14"/>
        <v>8.75</v>
      </c>
      <c r="AK18" s="46" t="str">
        <f>IFERROR(__xludf.DUMMYFUNCTION("IF(A18&lt;&gt;"""",IFERROR(AVERAGE(FILTER('Defense Calculations'!BJ:CS,'Defense Calculations'!A:A=A18)),""""),"""")"),"")</f>
        <v/>
      </c>
      <c r="AL18" s="15" t="str">
        <f t="shared" si="15"/>
        <v/>
      </c>
      <c r="AM18" s="47"/>
      <c r="AN18" s="51"/>
      <c r="AZ18" s="15">
        <f>IFERROR(__xludf.DUMMYFUNCTION("""COMPUTED_VALUE"""),2363.0)</f>
        <v>2363</v>
      </c>
      <c r="BB18" s="49">
        <f t="shared" si="16"/>
        <v>6.862268519</v>
      </c>
      <c r="BC18" s="50" t="str">
        <f t="shared" si="17"/>
        <v>587</v>
      </c>
    </row>
    <row r="19">
      <c r="A19" s="15">
        <v>195.0</v>
      </c>
      <c r="B19" s="30">
        <f>IFERROR(__xludf.DUMMYFUNCTION("IFERROR(ROUND(
(COUNTIF(FILTER(Data!O:O, Data!B:B=A19), ""Win"")
+ COUNTIF(FILTER(Data!O:O, Data!B:B=A19), {""Tie"",""Results""}))
/ (COUNTIF(Data!B:B, A19)),
2),"""")"),0.71)</f>
        <v>0.71</v>
      </c>
      <c r="C19" s="31">
        <f>IFERROR((SUMIF(Data!B:B, A19, Data!H:H)
/ (COUNTIF(Data!B:B, A19)
)),"")</f>
        <v>0</v>
      </c>
      <c r="D19" s="31">
        <f>IFERROR((SUMIF(Data!B:B, A19, Data!G:G)
/ (COUNTIF(Data!B:B, A19)
)),"")</f>
        <v>1.571428571</v>
      </c>
      <c r="E19" s="31">
        <f t="shared" si="1"/>
        <v>-0.466207669</v>
      </c>
      <c r="F19" s="31">
        <f>IFERROR((SUMIF(Data!B:B, A19, Data!J:J)
/ (COUNTIF(Data!B:B, A19)
)),"")</f>
        <v>2</v>
      </c>
      <c r="G19" s="32">
        <f>IF(A19="","",IFERROR((((((SUMIF(Data!B:B, A19, Data!H:H)+(SUMIF(Data!B:B, A19,Data!G:G)))/(SUMIF(Data!B:B, A19, Data!J:J)))))),0))</f>
        <v>0.7857142857</v>
      </c>
      <c r="H19" s="33">
        <f>IFERROR(__xludf.DUMMYFUNCTION("IFERROR(IF(G19="""","""",(SUM(FIlter(Filter(Data!G:G,Data!B:B=A19),(Filter(Data!J:J&lt;3,Data!B:B=A19))))+SUM((FIlter(Filter(Data!H:H,Data!B:B=A19),(Filter(Data!J:J&lt;3,Data!B:B=A19))))))/(SUM(Filter(Filter(Data!J:J,Data!B:B=A19),FILTER(Data!J:J&lt;3,Data!B:B=A19"&amp;"))))),"""")"),0.8)</f>
        <v>0.8</v>
      </c>
      <c r="I19" s="32">
        <f>IFERROR(__xludf.DUMMYFUNCTION("IF(A19="""","""",(COUNT(FILTER(IF(Data!G:G&lt;&gt;0,Data!G:G,IF(Data!H:H&lt;&gt;0,Data!H:H)),Data!B:B=A19)))/(COUNT(FILTER(Data!J:J,Data!B:B=A19))))"),0.7142857142857143)</f>
        <v>0.7142857143</v>
      </c>
      <c r="J19" s="32">
        <f t="shared" si="2"/>
        <v>0.7571428571</v>
      </c>
      <c r="K19" s="31">
        <f t="shared" si="3"/>
        <v>-0.6999449361</v>
      </c>
      <c r="L19" s="31">
        <f>IFERROR((SUMIF(Data!B:B, A19, Data!L:L)
/ (COUNTIF(Data!B:B, A19)
)),"")</f>
        <v>0</v>
      </c>
      <c r="M19" s="31">
        <f>IFERROR((SUMIF(Data!B:B, A19, Data!K:K)
/ (COUNTIF(Data!B:B, A19)
)),"")</f>
        <v>8.714285714</v>
      </c>
      <c r="N19" s="34">
        <f t="shared" si="24"/>
        <v>-0.1119425</v>
      </c>
      <c r="O19" s="32">
        <f>IF(A19="","",IFERROR((((((SUMIF(Data!B:B, A19, Data!H:H)+(SUMIF(Data!B:B, A19,Data!G:G)+(SUMIF(Data!B:B, A19,Data!L:L)+(SUMIF(Data!B:B, A19,Data!K:K)))))/(SUMIF(Data!B:B, A19, Data!M:M)+(SUMIF(Data!B:B, A19, Data!H:H)+(SUMIF(Data!B:B, A19,Data!G:G)+(SUMIF(Data!B:B, A19,Data!K:K)+(SUMIF(Data!B:B, A19,Data!L:L)))))))))),0))</f>
        <v>0.8</v>
      </c>
      <c r="P19" s="35">
        <f>IFERROR(__xludf.DUMMYFUNCTION("IFERROR(((COUNTIF(FILTER(Data!N:N,Data!B:B=A19),""TRAVERSE"")*15)+(COUNTIF(FILTER(Data!N:N,Data!B:B=A19),""HIGH"")*10)+(COUNTIF(FILTER(Data!N:N,Data!B:B=A19),""MIDDLE"")*6)+(COUNTIF(FILTER(Data!N:N,Data!B:B=A19),""LOW"")*4)) / (COUNTIF(Data!B:B, A19)),"""&amp;""")"),13.0)</f>
        <v>13</v>
      </c>
      <c r="Q19" s="31">
        <f>IFERROR(__xludf.DUMMYFUNCTION("IF(P19="""","""",Average(FIlter(('Convert Name to Number'!$F$422:$Z1000),'Convert Name to Number'!$E$422:$E1000=$A19)))"),15.0)</f>
        <v>15</v>
      </c>
      <c r="R19" s="36">
        <f t="shared" si="5"/>
        <v>0.946010761</v>
      </c>
      <c r="S19" s="37">
        <f>IFERROR(__xludf.DUMMYFUNCTION("IFERROR((((COUNTIF(FILTER(Data!N:N,Data!B:B=A19),""TRAVERSE""))+(COUNTIF(FILTER(Data!N:N,Data!B:B=A19),""HIGH""))+(COUNTIF(FILTER(Data!N:N,Data!B:B=A19),""MIDDLE""))+(COUNTIF(FILTER(Data!N:N,Data!B:B=A19),""LOW"")))) / (((COUNTIF(Data!B:B, A19)))-(COUNTIF"&amp;"(FILTER(Data!N:N,Data!B:B=A19),""NONE""))),IF(ISBLANK(A19),"""",0))"),1.0)</f>
        <v>1</v>
      </c>
      <c r="T19" s="32">
        <f>IFERROR(__xludf.DUMMYFUNCTION("IFERROR((COUNTIF(FILTER(Data!N:N, Data!B:B=A19),""LOW"")) / (COUNTIF(Data!B:B, A19)),"""")"),0.0)</f>
        <v>0</v>
      </c>
      <c r="U19" s="38">
        <f>IFERROR(__xludf.DUMMYFUNCTION("IFERROR((COUNTIF(FILTER(Data!N:N, Data!B:B=A19),""MIDDLE"")) / (COUNTIF(Data!B:B, A19)),"""")"),0.14285714285714285)</f>
        <v>0.1428571429</v>
      </c>
      <c r="V19" s="38">
        <f>IFERROR(__xludf.DUMMYFUNCTION("IFERROR((COUNTIF(FILTER(Data!N:N, Data!B:B=A19),""HIGH"")) / (COUNTIF(Data!B:B, A19)),"""")"),0.14285714285714285)</f>
        <v>0.1428571429</v>
      </c>
      <c r="W19" s="38">
        <f>IFERROR(__xludf.DUMMYFUNCTION("IFERROR((COUNTIF(FILTER(Data!N:N, Data!B:B=A19),""TRAVERSE"")) / (COUNTIF(Data!B:B, A19)),"""")"),0.7142857142857143)</f>
        <v>0.7142857143</v>
      </c>
      <c r="X19" s="39">
        <f t="shared" si="6"/>
        <v>0.8956939781</v>
      </c>
      <c r="Y19" s="31">
        <f t="shared" si="7"/>
        <v>6.285714286</v>
      </c>
      <c r="Z19" s="31">
        <f t="shared" si="8"/>
        <v>17.42857143</v>
      </c>
      <c r="AA19" s="31">
        <f t="shared" si="9"/>
        <v>23.71428571</v>
      </c>
      <c r="AB19" s="40">
        <f t="shared" si="25"/>
        <v>-0.1704209521</v>
      </c>
      <c r="AC19" s="41">
        <f>IFERROR(__xludf.DUMMYFUNCTION("IF(AA19="""","""",MAX(Filter((Data!K:K),Data!B:B=A19)))"),12.0)</f>
        <v>12</v>
      </c>
      <c r="AD19" s="41">
        <f t="shared" si="11"/>
        <v>-0.5472479575</v>
      </c>
      <c r="AE19" s="31">
        <f t="shared" si="12"/>
        <v>10.28571429</v>
      </c>
      <c r="AF19" s="31">
        <f t="shared" si="13"/>
        <v>36.71428571</v>
      </c>
      <c r="AG19" s="42">
        <f>IF(A19="","",(((AD19)*Picklist!$P$3)+((K19)*Picklist!$P$4)+(E19*Picklist!$P$5)+(N19*Picklist!$P$6)+(X19*Picklist!$P$7)+(R19*Picklist!$P$8)))</f>
        <v>2.201022651</v>
      </c>
      <c r="AH19" s="43">
        <f>IF(A19="","",(((AD19)*Picklist!$P$14)+((K19)*Picklist!$P$15)+(E19*Picklist!$P$16)+(N19*Picklist!$P$17)+(X19*Picklist!$P$18)+(R19*Picklist!$P$19)))</f>
        <v>3.147033412</v>
      </c>
      <c r="AI19" s="44" t="str">
        <f>IFERROR(__xludf.DUMMYFUNCTION("TEXTJOIN("", "",TRUE, FILTER(Data!P:P, Data!B:B=A19))"),"spent most of the match damaging their intake, fell on first climb attemot and barely stayed on 2nd.")</f>
        <v>spent most of the match damaging their intake, fell on first climb attemot and barely stayed on 2nd.</v>
      </c>
      <c r="AJ19" s="45">
        <f t="shared" si="14"/>
        <v>8.714285714</v>
      </c>
      <c r="AK19" s="46" t="str">
        <f>IFERROR(__xludf.DUMMYFUNCTION("IF(A19&lt;&gt;"""",IFERROR(AVERAGE(FILTER('Defense Calculations'!BJ:CS,'Defense Calculations'!A:A=A19)),""""),"""")"),"")</f>
        <v/>
      </c>
      <c r="AL19" s="15" t="str">
        <f t="shared" si="15"/>
        <v/>
      </c>
      <c r="AM19" s="47"/>
      <c r="AN19" s="51"/>
      <c r="AZ19" s="15">
        <f>IFERROR(__xludf.DUMMYFUNCTION("""COMPUTED_VALUE"""),2468.0)</f>
        <v>2468</v>
      </c>
      <c r="BB19" s="49">
        <f t="shared" si="16"/>
        <v>8.228571429</v>
      </c>
      <c r="BC19" s="50" t="str">
        <f t="shared" si="17"/>
        <v>195</v>
      </c>
    </row>
    <row r="20">
      <c r="A20" s="15">
        <v>2468.0</v>
      </c>
      <c r="B20" s="30">
        <f>IFERROR(__xludf.DUMMYFUNCTION("IFERROR(ROUND(
(COUNTIF(FILTER(Data!O:O, Data!B:B=A20), ""Win"")
+ COUNTIF(FILTER(Data!O:O, Data!B:B=A20), {""Tie"",""Results""}))
/ (COUNTIF(Data!B:B, A20)),
2),"""")"),0.71)</f>
        <v>0.71</v>
      </c>
      <c r="C20" s="31">
        <f>IFERROR((SUMIF(Data!B:B, A20, Data!H:H)
/ (COUNTIF(Data!B:B, A20)
)),"")</f>
        <v>0</v>
      </c>
      <c r="D20" s="31">
        <f>IFERROR((SUMIF(Data!B:B, A20, Data!G:G)
/ (COUNTIF(Data!B:B, A20)
)),"")</f>
        <v>1.428571429</v>
      </c>
      <c r="E20" s="31">
        <f t="shared" si="1"/>
        <v>-0.6291540388</v>
      </c>
      <c r="F20" s="31">
        <f>IFERROR((SUMIF(Data!B:B, A20, Data!J:J)
/ (COUNTIF(Data!B:B, A20)
)),"")</f>
        <v>1.857142857</v>
      </c>
      <c r="G20" s="32">
        <f>IF(A20="","",IFERROR((((((SUMIF(Data!B:B, A20, Data!H:H)+(SUMIF(Data!B:B, A20,Data!G:G)))/(SUMIF(Data!B:B, A20, Data!J:J)))))),0))</f>
        <v>0.7692307692</v>
      </c>
      <c r="H20" s="33">
        <f>IFERROR(__xludf.DUMMYFUNCTION("IFERROR(IF(G20="""","""",(SUM(FIlter(Filter(Data!G:G,Data!B:B=A20),(Filter(Data!J:J&lt;3,Data!B:B=A20))))+SUM((FIlter(Filter(Data!H:H,Data!B:B=A20),(Filter(Data!J:J&lt;3,Data!B:B=A20))))))/(SUM(Filter(Filter(Data!J:J,Data!B:B=A20),FILTER(Data!J:J&lt;3,Data!B:B=A20"&amp;"))))),"""")"),0.8333333333333334)</f>
        <v>0.8333333333</v>
      </c>
      <c r="I20" s="32">
        <f>IFERROR(__xludf.DUMMYFUNCTION("IF(A20="""","""",(COUNT(FILTER(IF(Data!G:G&lt;&gt;0,Data!G:G,IF(Data!H:H&lt;&gt;0,Data!H:H)),Data!B:B=A20)))/(COUNT(FILTER(Data!J:J,Data!B:B=A20))))"),0.8571428571428571)</f>
        <v>0.8571428571</v>
      </c>
      <c r="J20" s="32">
        <f t="shared" si="2"/>
        <v>0.8452380952</v>
      </c>
      <c r="K20" s="31">
        <f t="shared" si="3"/>
        <v>-0.05580929618</v>
      </c>
      <c r="L20" s="31">
        <f>IFERROR((SUMIF(Data!B:B, A20, Data!L:L)
/ (COUNTIF(Data!B:B, A20)
)),"")</f>
        <v>0</v>
      </c>
      <c r="M20" s="31">
        <f>IFERROR((SUMIF(Data!B:B, A20, Data!K:K)
/ (COUNTIF(Data!B:B, A20)
)),"")</f>
        <v>8.714285714</v>
      </c>
      <c r="N20" s="34">
        <f t="shared" si="24"/>
        <v>-0.1119425</v>
      </c>
      <c r="O20" s="32">
        <f>IF(A20="","",IFERROR((((((SUMIF(Data!B:B, A20, Data!H:H)+(SUMIF(Data!B:B, A20,Data!G:G)+(SUMIF(Data!B:B, A20,Data!L:L)+(SUMIF(Data!B:B, A20,Data!K:K)))))/(SUMIF(Data!B:B, A20, Data!M:M)+(SUMIF(Data!B:B, A20, Data!H:H)+(SUMIF(Data!B:B, A20,Data!G:G)+(SUMIF(Data!B:B, A20,Data!K:K)+(SUMIF(Data!B:B, A20,Data!L:L)))))))))),0))</f>
        <v>0.8875</v>
      </c>
      <c r="P20" s="35">
        <f>IFERROR(__xludf.DUMMYFUNCTION("IFERROR(((COUNTIF(FILTER(Data!N:N,Data!B:B=A20),""TRAVERSE"")*15)+(COUNTIF(FILTER(Data!N:N,Data!B:B=A20),""HIGH"")*10)+(COUNTIF(FILTER(Data!N:N,Data!B:B=A20),""MIDDLE"")*6)+(COUNTIF(FILTER(Data!N:N,Data!B:B=A20),""LOW"")*4)) / (COUNTIF(Data!B:B, A20)),"""&amp;""")"),10.571428571428571)</f>
        <v>10.57142857</v>
      </c>
      <c r="Q20" s="31">
        <f>IFERROR(__xludf.DUMMYFUNCTION("IF(P20="""","""",Average(FIlter(('Convert Name to Number'!$F$422:$Z1000),'Convert Name to Number'!$E$422:$E1000=$A20)))"),14.0)</f>
        <v>14</v>
      </c>
      <c r="R20" s="36">
        <f t="shared" si="5"/>
        <v>0.7348083586</v>
      </c>
      <c r="S20" s="37">
        <f>IFERROR(__xludf.DUMMYFUNCTION("IFERROR((((COUNTIF(FILTER(Data!N:N,Data!B:B=A20),""TRAVERSE""))+(COUNTIF(FILTER(Data!N:N,Data!B:B=A20),""HIGH""))+(COUNTIF(FILTER(Data!N:N,Data!B:B=A20),""MIDDLE""))+(COUNTIF(FILTER(Data!N:N,Data!B:B=A20),""LOW"")))) / (((COUNTIF(Data!B:B, A20)))-(COUNTIF"&amp;"(FILTER(Data!N:N,Data!B:B=A20),""NONE""))),IF(ISBLANK(A20),"""",0))"),1.0)</f>
        <v>1</v>
      </c>
      <c r="T20" s="32">
        <f>IFERROR(__xludf.DUMMYFUNCTION("IFERROR((COUNTIF(FILTER(Data!N:N, Data!B:B=A20),""LOW"")) / (COUNTIF(Data!B:B, A20)),"""")"),0.14285714285714285)</f>
        <v>0.1428571429</v>
      </c>
      <c r="U20" s="38">
        <f>IFERROR(__xludf.DUMMYFUNCTION("IFERROR((COUNTIF(FILTER(Data!N:N, Data!B:B=A20),""MIDDLE"")) / (COUNTIF(Data!B:B, A20)),"""")"),0.0)</f>
        <v>0</v>
      </c>
      <c r="V20" s="38">
        <f>IFERROR(__xludf.DUMMYFUNCTION("IFERROR((COUNTIF(FILTER(Data!N:N, Data!B:B=A20),""HIGH"")) / (COUNTIF(Data!B:B, A20)),"""")"),0.14285714285714285)</f>
        <v>0.1428571429</v>
      </c>
      <c r="W20" s="38">
        <f>IFERROR(__xludf.DUMMYFUNCTION("IFERROR((COUNTIF(FILTER(Data!N:N, Data!B:B=A20),""TRAVERSE"")) / (COUNTIF(Data!B:B, A20)),"""")"),0.5714285714285714)</f>
        <v>0.5714285714</v>
      </c>
      <c r="X20" s="39">
        <f t="shared" si="6"/>
        <v>0.4433312149</v>
      </c>
      <c r="Y20" s="31">
        <f t="shared" si="7"/>
        <v>5.714285714</v>
      </c>
      <c r="Z20" s="31">
        <f t="shared" si="8"/>
        <v>17.42857143</v>
      </c>
      <c r="AA20" s="31">
        <f t="shared" si="9"/>
        <v>23.14285714</v>
      </c>
      <c r="AB20" s="40">
        <f t="shared" si="25"/>
        <v>-0.1973184637</v>
      </c>
      <c r="AC20" s="41">
        <f>IFERROR(__xludf.DUMMYFUNCTION("IF(AA20="""","""",MAX(Filter((Data!K:K),Data!B:B=A20)))"),13.0)</f>
        <v>13</v>
      </c>
      <c r="AD20" s="41">
        <f t="shared" si="11"/>
        <v>-0.3777776223</v>
      </c>
      <c r="AE20" s="31">
        <f t="shared" si="12"/>
        <v>10.14285714</v>
      </c>
      <c r="AF20" s="31">
        <f t="shared" si="13"/>
        <v>33.71428571</v>
      </c>
      <c r="AG20" s="42">
        <f>IF(A20="","",(((AD20)*Picklist!$P$3)+((K20)*Picklist!$P$4)+(E20*Picklist!$P$5)+(N20*Picklist!$P$6)+(X20*Picklist!$P$7)+(R20*Picklist!$P$8)))</f>
        <v>2.169819016</v>
      </c>
      <c r="AH20" s="43">
        <f>IF(A20="","",(((AD20)*Picklist!$P$14)+((K20)*Picklist!$P$15)+(E20*Picklist!$P$16)+(N20*Picklist!$P$17)+(X20*Picklist!$P$18)+(R20*Picklist!$P$19)))</f>
        <v>2.904627374</v>
      </c>
      <c r="AI20" s="44" t="str">
        <f>IFERROR(__xludf.DUMMYFUNCTION("TEXTJOIN("", "",TRUE, FILTER(Data!P:P, Data!B:B=A20))"),"didnt really try to pick up more than one ball at a time, also only really shot one at a time, they were ballin")</f>
        <v>didnt really try to pick up more than one ball at a time, also only really shot one at a time, they were ballin</v>
      </c>
      <c r="AJ20" s="45">
        <f t="shared" si="14"/>
        <v>8.714285714</v>
      </c>
      <c r="AK20" s="46" t="str">
        <f>IFERROR(__xludf.DUMMYFUNCTION("IF(A20&lt;&gt;"""",IFERROR(AVERAGE(FILTER('Defense Calculations'!BJ:CS,'Defense Calculations'!A:A=A20)),""""),"""")"),"")</f>
        <v/>
      </c>
      <c r="AL20" s="15" t="str">
        <f t="shared" si="15"/>
        <v/>
      </c>
      <c r="AM20" s="47"/>
      <c r="AN20" s="51"/>
      <c r="AZ20" s="15">
        <f>IFERROR(__xludf.DUMMYFUNCTION("""COMPUTED_VALUE"""),2539.0)</f>
        <v>2539</v>
      </c>
      <c r="BB20" s="49">
        <f t="shared" si="16"/>
        <v>9.001785714</v>
      </c>
      <c r="BC20" s="50" t="str">
        <f t="shared" si="17"/>
        <v>2468</v>
      </c>
    </row>
    <row r="21">
      <c r="A21" s="15">
        <v>1706.0</v>
      </c>
      <c r="B21" s="30">
        <f>IFERROR(__xludf.DUMMYFUNCTION("IFERROR(ROUND(
(COUNTIF(FILTER(Data!O:O, Data!B:B=A21), ""Win"")
+ COUNTIF(FILTER(Data!O:O, Data!B:B=A21), {""Tie"",""Results""}))
/ (COUNTIF(Data!B:B, A21)),
2),"""")"),0.57)</f>
        <v>0.57</v>
      </c>
      <c r="C21" s="31">
        <f>IFERROR((SUMIF(Data!B:B, A21, Data!H:H)
/ (COUNTIF(Data!B:B, A21)
)),"")</f>
        <v>0</v>
      </c>
      <c r="D21" s="31">
        <f>IFERROR((SUMIF(Data!B:B, A21, Data!G:G)
/ (COUNTIF(Data!B:B, A21)
)),"")</f>
        <v>3.285714286</v>
      </c>
      <c r="E21" s="31">
        <f t="shared" si="1"/>
        <v>1.489148768</v>
      </c>
      <c r="F21" s="31">
        <f>IFERROR((SUMIF(Data!B:B, A21, Data!J:J)
/ (COUNTIF(Data!B:B, A21)
)),"")</f>
        <v>3.571428571</v>
      </c>
      <c r="G21" s="32">
        <f>IF(A21="","",IFERROR((((((SUMIF(Data!B:B, A21, Data!H:H)+(SUMIF(Data!B:B, A21,Data!G:G)))/(SUMIF(Data!B:B, A21, Data!J:J)))))),0))</f>
        <v>0.92</v>
      </c>
      <c r="H21" s="33">
        <f>IFERROR(__xludf.DUMMYFUNCTION("IFERROR(IF(G21="""","""",(SUM(FIlter(Filter(Data!G:G,Data!B:B=A21),(Filter(Data!J:J&lt;3,Data!B:B=A21))))+SUM((FIlter(Filter(Data!H:H,Data!B:B=A21),(Filter(Data!J:J&lt;3,Data!B:B=A21))))))/(SUM(Filter(Filter(Data!J:J,Data!B:B=A21),FILTER(Data!J:J&lt;3,Data!B:B=A21"&amp;"))))),"""")"),1.0)</f>
        <v>1</v>
      </c>
      <c r="I21" s="32">
        <f>IFERROR(__xludf.DUMMYFUNCTION("IF(A21="""","""",(COUNT(FILTER(IF(Data!G:G&lt;&gt;0,Data!G:G,IF(Data!H:H&lt;&gt;0,Data!H:H)),Data!B:B=A21)))/(COUNT(FILTER(Data!J:J,Data!B:B=A21))))"),1.0)</f>
        <v>1</v>
      </c>
      <c r="J21" s="32">
        <f t="shared" si="2"/>
        <v>1</v>
      </c>
      <c r="K21" s="31">
        <f t="shared" si="3"/>
        <v>1.075780341</v>
      </c>
      <c r="L21" s="31">
        <f>IFERROR((SUMIF(Data!B:B, A21, Data!L:L)
/ (COUNTIF(Data!B:B, A21)
)),"")</f>
        <v>0</v>
      </c>
      <c r="M21" s="31">
        <f>IFERROR((SUMIF(Data!B:B, A21, Data!K:K)
/ (COUNTIF(Data!B:B, A21)
)),"")</f>
        <v>17.71428571</v>
      </c>
      <c r="N21" s="34">
        <f t="shared" si="24"/>
        <v>1.917620049</v>
      </c>
      <c r="O21" s="32">
        <f>IF(A21="","",IFERROR((((((SUMIF(Data!B:B, A21, Data!H:H)+(SUMIF(Data!B:B, A21,Data!G:G)+(SUMIF(Data!B:B, A21,Data!L:L)+(SUMIF(Data!B:B, A21,Data!K:K)))))/(SUMIF(Data!B:B, A21, Data!M:M)+(SUMIF(Data!B:B, A21, Data!H:H)+(SUMIF(Data!B:B, A21,Data!G:G)+(SUMIF(Data!B:B, A21,Data!K:K)+(SUMIF(Data!B:B, A21,Data!L:L)))))))))),0))</f>
        <v>0.8596491228</v>
      </c>
      <c r="P21" s="35">
        <f>IFERROR(__xludf.DUMMYFUNCTION("IFERROR(((COUNTIF(FILTER(Data!N:N,Data!B:B=A21),""TRAVERSE"")*15)+(COUNTIF(FILTER(Data!N:N,Data!B:B=A21),""HIGH"")*10)+(COUNTIF(FILTER(Data!N:N,Data!B:B=A21),""MIDDLE"")*6)+(COUNTIF(FILTER(Data!N:N,Data!B:B=A21),""LOW"")*4)) / (COUNTIF(Data!B:B, A21)),"""&amp;""")"),1.7142857142857142)</f>
        <v>1.714285714</v>
      </c>
      <c r="Q21" s="31">
        <f>IFERROR(__xludf.DUMMYFUNCTION("IF(P21="""","""",Average(FIlter(('Convert Name to Number'!$F$422:$Z1000),'Convert Name to Number'!$E$422:$E1000=$A21)))"),2.4)</f>
        <v>2.4</v>
      </c>
      <c r="R21" s="36">
        <f t="shared" si="5"/>
        <v>-1.71513951</v>
      </c>
      <c r="S21" s="37">
        <f>IFERROR(__xludf.DUMMYFUNCTION("IFERROR((((COUNTIF(FILTER(Data!N:N,Data!B:B=A21),""TRAVERSE""))+(COUNTIF(FILTER(Data!N:N,Data!B:B=A21),""HIGH""))+(COUNTIF(FILTER(Data!N:N,Data!B:B=A21),""MIDDLE""))+(COUNTIF(FILTER(Data!N:N,Data!B:B=A21),""LOW"")))) / (((COUNTIF(Data!B:B, A21)))-(COUNTIF"&amp;"(FILTER(Data!N:N,Data!B:B=A21),""NONE""))),IF(ISBLANK(A21),"""",0))"),0.5)</f>
        <v>0.5</v>
      </c>
      <c r="T21" s="32">
        <f>IFERROR(__xludf.DUMMYFUNCTION("IFERROR((COUNTIF(FILTER(Data!N:N, Data!B:B=A21),""LOW"")) / (COUNTIF(Data!B:B, A21)),"""")"),0.0)</f>
        <v>0</v>
      </c>
      <c r="U21" s="38">
        <f>IFERROR(__xludf.DUMMYFUNCTION("IFERROR((COUNTIF(FILTER(Data!N:N, Data!B:B=A21),""MIDDLE"")) / (COUNTIF(Data!B:B, A21)),"""")"),0.2857142857142857)</f>
        <v>0.2857142857</v>
      </c>
      <c r="V21" s="38">
        <f>IFERROR(__xludf.DUMMYFUNCTION("IFERROR((COUNTIF(FILTER(Data!N:N, Data!B:B=A21),""HIGH"")) / (COUNTIF(Data!B:B, A21)),"""")"),0.0)</f>
        <v>0</v>
      </c>
      <c r="W21" s="38">
        <f>IFERROR(__xludf.DUMMYFUNCTION("IFERROR((COUNTIF(FILTER(Data!N:N, Data!B:B=A21),""TRAVERSE"")) / (COUNTIF(Data!B:B, A21)),"""")"),0.0)</f>
        <v>0</v>
      </c>
      <c r="X21" s="39">
        <f t="shared" si="6"/>
        <v>-1.366119838</v>
      </c>
      <c r="Y21" s="31">
        <f t="shared" si="7"/>
        <v>13.14285714</v>
      </c>
      <c r="Z21" s="31">
        <f t="shared" si="8"/>
        <v>35.42857143</v>
      </c>
      <c r="AA21" s="31">
        <f t="shared" si="9"/>
        <v>48.57142857</v>
      </c>
      <c r="AB21" s="40">
        <f t="shared" si="25"/>
        <v>1.846892415</v>
      </c>
      <c r="AC21" s="41">
        <f>IFERROR(__xludf.DUMMYFUNCTION("IF(AA21="""","""",MAX(Filter((Data!K:K),Data!B:B=A21)))"),24.0)</f>
        <v>24</v>
      </c>
      <c r="AD21" s="41">
        <f t="shared" si="11"/>
        <v>1.486396065</v>
      </c>
      <c r="AE21" s="31">
        <f t="shared" si="12"/>
        <v>21</v>
      </c>
      <c r="AF21" s="31">
        <f t="shared" si="13"/>
        <v>50.28571429</v>
      </c>
      <c r="AG21" s="42">
        <f>IF(A21="","",(((AD21)*Picklist!$P$3)+((K21)*Picklist!$P$4)+(E21*Picklist!$P$5)+(N21*Picklist!$P$6)+(X21*Picklist!$P$7)+(R21*Picklist!$P$8)))</f>
        <v>1.454478513</v>
      </c>
      <c r="AH21" s="43">
        <f>IF(A21="","",(((AD21)*Picklist!$P$14)+((K21)*Picklist!$P$15)+(E21*Picklist!$P$16)+(N21*Picklist!$P$17)+(X21*Picklist!$P$18)+(R21*Picklist!$P$19)))</f>
        <v>-0.2606609974</v>
      </c>
      <c r="AI21" s="44" t="str">
        <f>IFERROR(__xludf.DUMMYFUNCTION("TEXTJOIN("", "",TRUE, FILTER(Data!P:P, Data!B:B=A21))"),"")</f>
        <v/>
      </c>
      <c r="AJ21" s="45">
        <f t="shared" si="14"/>
        <v>17.71428571</v>
      </c>
      <c r="AK21" s="46" t="str">
        <f>IFERROR(__xludf.DUMMYFUNCTION("IF(A21&lt;&gt;"""",IFERROR(AVERAGE(FILTER('Defense Calculations'!BJ:CS,'Defense Calculations'!A:A=A21)),""""),"""")"),"")</f>
        <v/>
      </c>
      <c r="AL21" s="15" t="str">
        <f t="shared" si="15"/>
        <v/>
      </c>
      <c r="AM21" s="47"/>
      <c r="AN21" s="51"/>
      <c r="AZ21" s="15">
        <f>IFERROR(__xludf.DUMMYFUNCTION("""COMPUTED_VALUE"""),2614.0)</f>
        <v>2614</v>
      </c>
      <c r="BB21" s="49">
        <f t="shared" si="16"/>
        <v>18.05263158</v>
      </c>
      <c r="BC21" s="50" t="str">
        <f t="shared" si="17"/>
        <v>1706</v>
      </c>
    </row>
    <row r="22">
      <c r="A22" s="15">
        <v>3357.0</v>
      </c>
      <c r="B22" s="30">
        <f>IFERROR(__xludf.DUMMYFUNCTION("IFERROR(ROUND(
(COUNTIF(FILTER(Data!O:O, Data!B:B=A22), ""Win"")
+ COUNTIF(FILTER(Data!O:O, Data!B:B=A22), {""Tie"",""Results""}))
/ (COUNTIF(Data!B:B, A22)),
2),"""")"),0.71)</f>
        <v>0.71</v>
      </c>
      <c r="C22" s="31">
        <f>IFERROR((SUMIF(Data!B:B, A22, Data!H:H)
/ (COUNTIF(Data!B:B, A22)
)),"")</f>
        <v>0</v>
      </c>
      <c r="D22" s="31">
        <f>IFERROR((SUMIF(Data!B:B, A22, Data!G:G)
/ (COUNTIF(Data!B:B, A22)
)),"")</f>
        <v>1.714285714</v>
      </c>
      <c r="E22" s="31">
        <f t="shared" si="1"/>
        <v>-0.3032612993</v>
      </c>
      <c r="F22" s="31">
        <f>IFERROR((SUMIF(Data!B:B, A22, Data!J:J)
/ (COUNTIF(Data!B:B, A22)
)),"")</f>
        <v>2.142857143</v>
      </c>
      <c r="G22" s="32">
        <f>IF(A22="","",IFERROR((((((SUMIF(Data!B:B, A22, Data!H:H)+(SUMIF(Data!B:B, A22,Data!G:G)))/(SUMIF(Data!B:B, A22, Data!J:J)))))),0))</f>
        <v>0.8</v>
      </c>
      <c r="H22" s="33">
        <f>IFERROR(__xludf.DUMMYFUNCTION("IFERROR(IF(G22="""","""",(SUM(FIlter(Filter(Data!G:G,Data!B:B=A22),(Filter(Data!J:J&lt;3,Data!B:B=A22))))+SUM((FIlter(Filter(Data!H:H,Data!B:B=A22),(Filter(Data!J:J&lt;3,Data!B:B=A22))))))/(SUM(Filter(Filter(Data!J:J,Data!B:B=A22),FILTER(Data!J:J&lt;3,Data!B:B=A22"&amp;"))))),"""")"),0.8888888888888888)</f>
        <v>0.8888888889</v>
      </c>
      <c r="I22" s="32">
        <f>IFERROR(__xludf.DUMMYFUNCTION("IF(A22="""","""",(COUNT(FILTER(IF(Data!G:G&lt;&gt;0,Data!G:G,IF(Data!H:H&lt;&gt;0,Data!H:H)),Data!B:B=A22)))/(COUNT(FILTER(Data!J:J,Data!B:B=A22))))"),1.0)</f>
        <v>1</v>
      </c>
      <c r="J22" s="32">
        <f t="shared" si="2"/>
        <v>0.9444444444</v>
      </c>
      <c r="K22" s="31">
        <f t="shared" si="3"/>
        <v>0.6695686767</v>
      </c>
      <c r="L22" s="31">
        <f>IFERROR((SUMIF(Data!B:B, A22, Data!L:L)
/ (COUNTIF(Data!B:B, A22)
)),"")</f>
        <v>0.1428571429</v>
      </c>
      <c r="M22" s="31">
        <f>IFERROR((SUMIF(Data!B:B, A22, Data!K:K)
/ (COUNTIF(Data!B:B, A22)
)),"")</f>
        <v>7</v>
      </c>
      <c r="N22" s="34">
        <f>IF(M22="","",((M22-$AX$3)/$AX$5))</f>
        <v>-0.4985258426</v>
      </c>
      <c r="O22" s="32">
        <f>IF(A22="","",IFERROR((((((SUMIF(Data!B:B, A22, Data!H:H)+(SUMIF(Data!B:B, A22,Data!G:G)+(SUMIF(Data!B:B, A22,Data!L:L)+(SUMIF(Data!B:B, A22,Data!K:K)))))/(SUMIF(Data!B:B, A22, Data!M:M)+(SUMIF(Data!B:B, A22, Data!H:H)+(SUMIF(Data!B:B, A22,Data!G:G)+(SUMIF(Data!B:B, A22,Data!K:K)+(SUMIF(Data!B:B, A22,Data!L:L)))))))))),0))</f>
        <v>0.8051948052</v>
      </c>
      <c r="P22" s="35">
        <f>IFERROR(__xludf.DUMMYFUNCTION("IFERROR(((COUNTIF(FILTER(Data!N:N,Data!B:B=A22),""TRAVERSE"")*15)+(COUNTIF(FILTER(Data!N:N,Data!B:B=A22),""HIGH"")*10)+(COUNTIF(FILTER(Data!N:N,Data!B:B=A22),""MIDDLE"")*6)+(COUNTIF(FILTER(Data!N:N,Data!B:B=A22),""LOW"")*4)) / (COUNTIF(Data!B:B, A22)),"""&amp;""")"),11.428571428571429)</f>
        <v>11.42857143</v>
      </c>
      <c r="Q22" s="31">
        <f>IFERROR(__xludf.DUMMYFUNCTION("IF(P22="""","""",Average(FIlter(('Convert Name to Number'!$F$422:$Z1000),'Convert Name to Number'!$E$422:$E1000=$A22)))"),14.0)</f>
        <v>14</v>
      </c>
      <c r="R22" s="36">
        <f t="shared" si="5"/>
        <v>0.7348083586</v>
      </c>
      <c r="S22" s="37">
        <f>IFERROR(__xludf.DUMMYFUNCTION("IFERROR((((COUNTIF(FILTER(Data!N:N,Data!B:B=A22),""TRAVERSE""))+(COUNTIF(FILTER(Data!N:N,Data!B:B=A22),""HIGH""))+(COUNTIF(FILTER(Data!N:N,Data!B:B=A22),""MIDDLE""))+(COUNTIF(FILTER(Data!N:N,Data!B:B=A22),""LOW"")))) / (((COUNTIF(Data!B:B, A22)))-(COUNTIF"&amp;"(FILTER(Data!N:N,Data!B:B=A22),""NONE""))),IF(ISBLANK(A22),"""",0))"),1.0)</f>
        <v>1</v>
      </c>
      <c r="T22" s="32">
        <f>IFERROR(__xludf.DUMMYFUNCTION("IFERROR((COUNTIF(FILTER(Data!N:N, Data!B:B=A22),""LOW"")) / (COUNTIF(Data!B:B, A22)),"""")"),0.0)</f>
        <v>0</v>
      </c>
      <c r="U22" s="38">
        <f>IFERROR(__xludf.DUMMYFUNCTION("IFERROR((COUNTIF(FILTER(Data!N:N, Data!B:B=A22),""MIDDLE"")) / (COUNTIF(Data!B:B, A22)),"""")"),0.0)</f>
        <v>0</v>
      </c>
      <c r="V22" s="38">
        <f>IFERROR(__xludf.DUMMYFUNCTION("IFERROR((COUNTIF(FILTER(Data!N:N, Data!B:B=A22),""HIGH"")) / (COUNTIF(Data!B:B, A22)),"""")"),0.2857142857142857)</f>
        <v>0.2857142857</v>
      </c>
      <c r="W22" s="38">
        <f>IFERROR(__xludf.DUMMYFUNCTION("IFERROR((COUNTIF(FILTER(Data!N:N, Data!B:B=A22),""TRAVERSE"")) / (COUNTIF(Data!B:B, A22)),"""")"),0.5714285714285714)</f>
        <v>0.5714285714</v>
      </c>
      <c r="X22" s="39">
        <f t="shared" si="6"/>
        <v>0.4433312149</v>
      </c>
      <c r="Y22" s="31">
        <f t="shared" si="7"/>
        <v>6.857142857</v>
      </c>
      <c r="Z22" s="31">
        <f t="shared" si="8"/>
        <v>14.14285714</v>
      </c>
      <c r="AA22" s="31">
        <f t="shared" si="9"/>
        <v>21</v>
      </c>
      <c r="AB22" s="40">
        <f>IF(A22="","",((M22+D22)-$AR$3)/$AR$5)</f>
        <v>-0.4662935792</v>
      </c>
      <c r="AC22" s="41">
        <f>IFERROR(__xludf.DUMMYFUNCTION("IF(AA22="""","""",MAX(Filter((Data!K:K),Data!B:B=A22)))"),10.0)</f>
        <v>10</v>
      </c>
      <c r="AD22" s="41">
        <f t="shared" si="11"/>
        <v>-0.886188628</v>
      </c>
      <c r="AE22" s="31">
        <f t="shared" si="12"/>
        <v>8.857142857</v>
      </c>
      <c r="AF22" s="31">
        <f t="shared" si="13"/>
        <v>32.42857143</v>
      </c>
      <c r="AG22" s="42">
        <f>IF(A22="","",(((AD22)*Picklist!$P$3)+((K22)*Picklist!$P$4)+(E22*Picklist!$P$5)+(N22*Picklist!$P$6)+(X22*Picklist!$P$7)+(R22*Picklist!$P$8)))</f>
        <v>1.227035955</v>
      </c>
      <c r="AH22" s="43">
        <f>IF(A22="","",(((AD22)*Picklist!$P$14)+((K22)*Picklist!$P$15)+(E22*Picklist!$P$16)+(N22*Picklist!$P$17)+(X22*Picklist!$P$18)+(R22*Picklist!$P$19)))</f>
        <v>1.961844314</v>
      </c>
      <c r="AI22" s="44" t="str">
        <f>IFERROR(__xludf.DUMMYFUNCTION("TEXTJOIN("", "",TRUE, FILTER(Data!P:P, Data!B:B=A22))"),"Attempted traverse but ran out of time. Struggled against defense. Can shoot from anywhere on tge field, very vulnerable to being pinned for the whole match")</f>
        <v>Attempted traverse but ran out of time. Struggled against defense. Can shoot from anywhere on tge field, very vulnerable to being pinned for the whole match</v>
      </c>
      <c r="AJ22" s="45">
        <f t="shared" si="14"/>
        <v>7.142857143</v>
      </c>
      <c r="AK22" s="46" t="str">
        <f>IFERROR(__xludf.DUMMYFUNCTION("IF(A22&lt;&gt;"""",IFERROR(AVERAGE(FILTER('Defense Calculations'!BJ:CS,'Defense Calculations'!A:A=A22)),""""),"""")"),"")</f>
        <v/>
      </c>
      <c r="AL22" s="15" t="str">
        <f t="shared" si="15"/>
        <v/>
      </c>
      <c r="AM22" s="47"/>
      <c r="AN22" s="51"/>
      <c r="AZ22" s="15">
        <f>IFERROR(__xludf.DUMMYFUNCTION("""COMPUTED_VALUE"""),2767.0)</f>
        <v>2767</v>
      </c>
      <c r="BB22" s="49">
        <f t="shared" si="16"/>
        <v>7.131725417</v>
      </c>
      <c r="BC22" s="50" t="str">
        <f t="shared" si="17"/>
        <v>3357</v>
      </c>
    </row>
    <row r="23">
      <c r="A23" s="15">
        <v>2539.0</v>
      </c>
      <c r="B23" s="30">
        <f>IFERROR(__xludf.DUMMYFUNCTION("IFERROR(ROUND(
(COUNTIF(FILTER(Data!O:O, Data!B:B=A23), ""Win"")
+ COUNTIF(FILTER(Data!O:O, Data!B:B=A23), {""Tie"",""Results""}))
/ (COUNTIF(Data!B:B, A23)),
2),"""")"),0.57)</f>
        <v>0.57</v>
      </c>
      <c r="C23" s="31">
        <f>IFERROR((SUMIF(Data!B:B, A23, Data!H:H)
/ (COUNTIF(Data!B:B, A23)
)),"")</f>
        <v>0</v>
      </c>
      <c r="D23" s="31">
        <f>IFERROR((SUMIF(Data!B:B, A23, Data!G:G)
/ (COUNTIF(Data!B:B, A23)
)),"")</f>
        <v>1.857142857</v>
      </c>
      <c r="E23" s="31">
        <f t="shared" si="1"/>
        <v>-0.1403149295</v>
      </c>
      <c r="F23" s="31">
        <f>IFERROR((SUMIF(Data!B:B, A23, Data!J:J)
/ (COUNTIF(Data!B:B, A23)
)),"")</f>
        <v>2.285714286</v>
      </c>
      <c r="G23" s="32">
        <f>IF(A23="","",IFERROR((((((SUMIF(Data!B:B, A23, Data!H:H)+(SUMIF(Data!B:B, A23,Data!G:G)))/(SUMIF(Data!B:B, A23, Data!J:J)))))),0))</f>
        <v>0.8125</v>
      </c>
      <c r="H23" s="33">
        <f>IFERROR(__xludf.DUMMYFUNCTION("IFERROR(IF(G23="""","""",(SUM(FIlter(Filter(Data!G:G,Data!B:B=A23),(Filter(Data!J:J&lt;3,Data!B:B=A23))))+SUM((FIlter(Filter(Data!H:H,Data!B:B=A23),(Filter(Data!J:J&lt;3,Data!B:B=A23))))))/(SUM(Filter(Filter(Data!J:J,Data!B:B=A23),FILTER(Data!J:J&lt;3,Data!B:B=A23"&amp;"))))),"""")"),0.8888888888888888)</f>
        <v>0.8888888889</v>
      </c>
      <c r="I23" s="32">
        <f>IFERROR(__xludf.DUMMYFUNCTION("IF(A23="""","""",(COUNT(FILTER(IF(Data!G:G&lt;&gt;0,Data!G:G,IF(Data!H:H&lt;&gt;0,Data!H:H)),Data!B:B=A23)))/(COUNT(FILTER(Data!J:J,Data!B:B=A23))))"),1.0)</f>
        <v>1</v>
      </c>
      <c r="J23" s="32">
        <f t="shared" si="2"/>
        <v>0.9444444444</v>
      </c>
      <c r="K23" s="31">
        <f t="shared" si="3"/>
        <v>0.6695686767</v>
      </c>
      <c r="L23" s="31">
        <f>IFERROR((SUMIF(Data!B:B, A23, Data!L:L)
/ (COUNTIF(Data!B:B, A23)
)),"")</f>
        <v>0</v>
      </c>
      <c r="M23" s="31">
        <f>IFERROR((SUMIF(Data!B:B, A23, Data!K:K)
/ (COUNTIF(Data!B:B, A23)
)),"")</f>
        <v>4.428571429</v>
      </c>
      <c r="N23" s="34">
        <f t="shared" ref="N23:N35" si="26">IFERROR(IF(M23="","",((M23-$AX$3)/$AX$5)),"")</f>
        <v>-1.078400857</v>
      </c>
      <c r="O23" s="32">
        <f>IF(A23="","",IFERROR((((((SUMIF(Data!B:B, A23, Data!H:H)+(SUMIF(Data!B:B, A23,Data!G:G)+(SUMIF(Data!B:B, A23,Data!L:L)+(SUMIF(Data!B:B, A23,Data!K:K)))))/(SUMIF(Data!B:B, A23, Data!M:M)+(SUMIF(Data!B:B, A23, Data!H:H)+(SUMIF(Data!B:B, A23,Data!G:G)+(SUMIF(Data!B:B, A23,Data!K:K)+(SUMIF(Data!B:B, A23,Data!L:L)))))))))),0))</f>
        <v>0.862745098</v>
      </c>
      <c r="P23" s="35">
        <f>IFERROR(__xludf.DUMMYFUNCTION("IFERROR(((COUNTIF(FILTER(Data!N:N,Data!B:B=A23),""TRAVERSE"")*15)+(COUNTIF(FILTER(Data!N:N,Data!B:B=A23),""HIGH"")*10)+(COUNTIF(FILTER(Data!N:N,Data!B:B=A23),""MIDDLE"")*6)+(COUNTIF(FILTER(Data!N:N,Data!B:B=A23),""LOW"")*4)) / (COUNTIF(Data!B:B, A23)),"""&amp;""")"),13.571428571428571)</f>
        <v>13.57142857</v>
      </c>
      <c r="Q23" s="31">
        <f>IFERROR(__xludf.DUMMYFUNCTION("IF(P23="""","""",Average(FIlter(('Convert Name to Number'!$F$422:$Z1000),'Convert Name to Number'!$E$422:$E1000=$A23)))"),15.0)</f>
        <v>15</v>
      </c>
      <c r="R23" s="36">
        <f t="shared" si="5"/>
        <v>0.946010761</v>
      </c>
      <c r="S23" s="37">
        <f>IFERROR(__xludf.DUMMYFUNCTION("IFERROR((((COUNTIF(FILTER(Data!N:N,Data!B:B=A23),""TRAVERSE""))+(COUNTIF(FILTER(Data!N:N,Data!B:B=A23),""HIGH""))+(COUNTIF(FILTER(Data!N:N,Data!B:B=A23),""MIDDLE""))+(COUNTIF(FILTER(Data!N:N,Data!B:B=A23),""LOW"")))) / (((COUNTIF(Data!B:B, A23)))-(COUNTIF"&amp;"(FILTER(Data!N:N,Data!B:B=A23),""NONE""))),IF(ISBLANK(A23),"""",0))"),1.0)</f>
        <v>1</v>
      </c>
      <c r="T23" s="32">
        <f>IFERROR(__xludf.DUMMYFUNCTION("IFERROR((COUNTIF(FILTER(Data!N:N, Data!B:B=A23),""LOW"")) / (COUNTIF(Data!B:B, A23)),"""")"),0.0)</f>
        <v>0</v>
      </c>
      <c r="U23" s="38">
        <f>IFERROR(__xludf.DUMMYFUNCTION("IFERROR((COUNTIF(FILTER(Data!N:N, Data!B:B=A23),""MIDDLE"")) / (COUNTIF(Data!B:B, A23)),"""")"),0.0)</f>
        <v>0</v>
      </c>
      <c r="V23" s="38">
        <f>IFERROR(__xludf.DUMMYFUNCTION("IFERROR((COUNTIF(FILTER(Data!N:N, Data!B:B=A23),""HIGH"")) / (COUNTIF(Data!B:B, A23)),"""")"),0.2857142857142857)</f>
        <v>0.2857142857</v>
      </c>
      <c r="W23" s="38">
        <f>IFERROR(__xludf.DUMMYFUNCTION("IFERROR((COUNTIF(FILTER(Data!N:N, Data!B:B=A23),""TRAVERSE"")) / (COUNTIF(Data!B:B, A23)),"""")"),0.7142857142857143)</f>
        <v>0.7142857143</v>
      </c>
      <c r="X23" s="39">
        <f t="shared" si="6"/>
        <v>0.8956939781</v>
      </c>
      <c r="Y23" s="31">
        <f t="shared" si="7"/>
        <v>7.428571429</v>
      </c>
      <c r="Z23" s="31">
        <f t="shared" si="8"/>
        <v>8.857142857</v>
      </c>
      <c r="AA23" s="31">
        <f t="shared" si="9"/>
        <v>16.28571429</v>
      </c>
      <c r="AB23" s="40">
        <f t="shared" ref="AB23:AB35" si="27">IFERROR(IF(A23="","",((M23+D23)-$AR$3)/$AR$5),"")</f>
        <v>-0.9235512757</v>
      </c>
      <c r="AC23" s="41">
        <f>IFERROR(__xludf.DUMMYFUNCTION("IF(AA23="""","""",MAX(Filter((Data!K:K),Data!B:B=A23)))"),15.0)</f>
        <v>15</v>
      </c>
      <c r="AD23" s="41">
        <f t="shared" si="11"/>
        <v>-0.03883695182</v>
      </c>
      <c r="AE23" s="31">
        <f t="shared" si="12"/>
        <v>6.285714286</v>
      </c>
      <c r="AF23" s="31">
        <f t="shared" si="13"/>
        <v>29.85714286</v>
      </c>
      <c r="AG23" s="42">
        <f>IF(A23="","",(((AD23)*Picklist!$P$3)+((K23)*Picklist!$P$4)+(E23*Picklist!$P$5)+(N23*Picklist!$P$6)+(X23*Picklist!$P$7)+(R23*Picklist!$P$8)))</f>
        <v>1.179572199</v>
      </c>
      <c r="AH23" s="43">
        <f>IF(A23="","",(((AD23)*Picklist!$P$14)+((K23)*Picklist!$P$15)+(E23*Picklist!$P$16)+(N23*Picklist!$P$17)+(X23*Picklist!$P$18)+(R23*Picklist!$P$19)))</f>
        <v>2.12558296</v>
      </c>
      <c r="AI23" s="44" t="str">
        <f>IFERROR(__xludf.DUMMYFUNCTION("TEXTJOIN("", "",TRUE, FILTER(Data!P:P, Data!B:B=A23))"),"defended mostly, played defense, played defense, defense")</f>
        <v>defended mostly, played defense, played defense, defense</v>
      </c>
      <c r="AJ23" s="45">
        <f t="shared" si="14"/>
        <v>4.428571429</v>
      </c>
      <c r="AK23" s="46" t="str">
        <f>IFERROR(__xludf.DUMMYFUNCTION("IF(A23&lt;&gt;"""",IFERROR(AVERAGE(FILTER('Defense Calculations'!BJ:CS,'Defense Calculations'!A:A=A23)),""""),"""")"),"")</f>
        <v/>
      </c>
      <c r="AL23" s="15" t="str">
        <f t="shared" si="15"/>
        <v/>
      </c>
      <c r="AM23" s="47"/>
      <c r="AN23" s="51"/>
      <c r="AZ23" s="15">
        <f>IFERROR(__xludf.DUMMYFUNCTION("""COMPUTED_VALUE"""),27.0)</f>
        <v>27</v>
      </c>
      <c r="BB23" s="49">
        <f t="shared" si="16"/>
        <v>5.422969188</v>
      </c>
      <c r="BC23" s="50" t="str">
        <f t="shared" si="17"/>
        <v>2539</v>
      </c>
    </row>
    <row r="24">
      <c r="A24" s="15">
        <v>3940.0</v>
      </c>
      <c r="B24" s="30">
        <f>IFERROR(__xludf.DUMMYFUNCTION("IFERROR(ROUND(
(COUNTIF(FILTER(Data!O:O, Data!B:B=A24), ""Win"")
+ COUNTIF(FILTER(Data!O:O, Data!B:B=A24), {""Tie"",""Results""}))
/ (COUNTIF(Data!B:B, A24)),
2),"""")"),0.29)</f>
        <v>0.29</v>
      </c>
      <c r="C24" s="31">
        <f>IFERROR((SUMIF(Data!B:B, A24, Data!H:H)
/ (COUNTIF(Data!B:B, A24)
)),"")</f>
        <v>0</v>
      </c>
      <c r="D24" s="31">
        <f>IFERROR((SUMIF(Data!B:B, A24, Data!G:G)
/ (COUNTIF(Data!B:B, A24)
)),"")</f>
        <v>1.285714286</v>
      </c>
      <c r="E24" s="31">
        <f t="shared" si="1"/>
        <v>-0.7921004085</v>
      </c>
      <c r="F24" s="31">
        <f>IFERROR((SUMIF(Data!B:B, A24, Data!J:J)
/ (COUNTIF(Data!B:B, A24)
)),"")</f>
        <v>1.428571429</v>
      </c>
      <c r="G24" s="32">
        <f>IF(A24="","",IFERROR((((((SUMIF(Data!B:B, A24, Data!H:H)+(SUMIF(Data!B:B, A24,Data!G:G)))/(SUMIF(Data!B:B, A24, Data!J:J)))))),0))</f>
        <v>0.9</v>
      </c>
      <c r="H24" s="33">
        <f>IFERROR(__xludf.DUMMYFUNCTION("IFERROR(IF(G24="""","""",(SUM(FIlter(Filter(Data!G:G,Data!B:B=A24),(Filter(Data!J:J&lt;3,Data!B:B=A24))))+SUM((FIlter(Filter(Data!H:H,Data!B:B=A24),(Filter(Data!J:J&lt;3,Data!B:B=A24))))))/(SUM(Filter(Filter(Data!J:J,Data!B:B=A24),FILTER(Data!J:J&lt;3,Data!B:B=A24"&amp;"))))),"""")"),0.9)</f>
        <v>0.9</v>
      </c>
      <c r="I24" s="32">
        <f>IFERROR(__xludf.DUMMYFUNCTION("IF(A24="""","""",(COUNT(FILTER(IF(Data!G:G&lt;&gt;0,Data!G:G,IF(Data!H:H&lt;&gt;0,Data!H:H)),Data!B:B=A24)))/(COUNT(FILTER(Data!J:J,Data!B:B=A24))))"),1.0)</f>
        <v>1</v>
      </c>
      <c r="J24" s="32">
        <f t="shared" si="2"/>
        <v>0.95</v>
      </c>
      <c r="K24" s="31">
        <f t="shared" si="3"/>
        <v>0.7101898431</v>
      </c>
      <c r="L24" s="31">
        <f>IFERROR((SUMIF(Data!B:B, A24, Data!L:L)
/ (COUNTIF(Data!B:B, A24)
)),"")</f>
        <v>0</v>
      </c>
      <c r="M24" s="31">
        <f>IFERROR((SUMIF(Data!B:B, A24, Data!K:K)
/ (COUNTIF(Data!B:B, A24)
)),"")</f>
        <v>5.428571429</v>
      </c>
      <c r="N24" s="34">
        <f t="shared" si="26"/>
        <v>-0.8528939067</v>
      </c>
      <c r="O24" s="32">
        <f>IF(A24="","",IFERROR((((((SUMIF(Data!B:B, A24, Data!H:H)+(SUMIF(Data!B:B, A24,Data!G:G)+(SUMIF(Data!B:B, A24,Data!L:L)+(SUMIF(Data!B:B, A24,Data!K:K)))))/(SUMIF(Data!B:B, A24, Data!M:M)+(SUMIF(Data!B:B, A24, Data!H:H)+(SUMIF(Data!B:B, A24,Data!G:G)+(SUMIF(Data!B:B, A24,Data!K:K)+(SUMIF(Data!B:B, A24,Data!L:L)))))))))),0))</f>
        <v>0.9038461538</v>
      </c>
      <c r="P24" s="35">
        <f>IFERROR(__xludf.DUMMYFUNCTION("IFERROR(((COUNTIF(FILTER(Data!N:N,Data!B:B=A24),""TRAVERSE"")*15)+(COUNTIF(FILTER(Data!N:N,Data!B:B=A24),""HIGH"")*10)+(COUNTIF(FILTER(Data!N:N,Data!B:B=A24),""MIDDLE"")*6)+(COUNTIF(FILTER(Data!N:N,Data!B:B=A24),""LOW"")*4)) / (COUNTIF(Data!B:B, A24)),"""&amp;""")"),13.571428571428571)</f>
        <v>13.57142857</v>
      </c>
      <c r="Q24" s="31">
        <f>IFERROR(__xludf.DUMMYFUNCTION("IF(P24="""","""",Average(FIlter(('Convert Name to Number'!$F$422:$Z1000),'Convert Name to Number'!$E$422:$E1000=$A24)))"),15.0)</f>
        <v>15</v>
      </c>
      <c r="R24" s="36">
        <f t="shared" si="5"/>
        <v>0.946010761</v>
      </c>
      <c r="S24" s="37">
        <f>IFERROR(__xludf.DUMMYFUNCTION("IFERROR((((COUNTIF(FILTER(Data!N:N,Data!B:B=A24),""TRAVERSE""))+(COUNTIF(FILTER(Data!N:N,Data!B:B=A24),""HIGH""))+(COUNTIF(FILTER(Data!N:N,Data!B:B=A24),""MIDDLE""))+(COUNTIF(FILTER(Data!N:N,Data!B:B=A24),""LOW"")))) / (((COUNTIF(Data!B:B, A24)))-(COUNTIF"&amp;"(FILTER(Data!N:N,Data!B:B=A24),""NONE""))),IF(ISBLANK(A24),"""",0))"),1.0)</f>
        <v>1</v>
      </c>
      <c r="T24" s="32">
        <f>IFERROR(__xludf.DUMMYFUNCTION("IFERROR((COUNTIF(FILTER(Data!N:N, Data!B:B=A24),""LOW"")) / (COUNTIF(Data!B:B, A24)),"""")"),0.0)</f>
        <v>0</v>
      </c>
      <c r="U24" s="38">
        <f>IFERROR(__xludf.DUMMYFUNCTION("IFERROR((COUNTIF(FILTER(Data!N:N, Data!B:B=A24),""MIDDLE"")) / (COUNTIF(Data!B:B, A24)),"""")"),0.0)</f>
        <v>0</v>
      </c>
      <c r="V24" s="38">
        <f>IFERROR(__xludf.DUMMYFUNCTION("IFERROR((COUNTIF(FILTER(Data!N:N, Data!B:B=A24),""HIGH"")) / (COUNTIF(Data!B:B, A24)),"""")"),0.2857142857142857)</f>
        <v>0.2857142857</v>
      </c>
      <c r="W24" s="38">
        <f>IFERROR(__xludf.DUMMYFUNCTION("IFERROR((COUNTIF(FILTER(Data!N:N, Data!B:B=A24),""TRAVERSE"")) / (COUNTIF(Data!B:B, A24)),"""")"),0.7142857142857143)</f>
        <v>0.7142857143</v>
      </c>
      <c r="X24" s="39">
        <f t="shared" si="6"/>
        <v>0.8956939781</v>
      </c>
      <c r="Y24" s="31">
        <f t="shared" si="7"/>
        <v>5.142857143</v>
      </c>
      <c r="Z24" s="31">
        <f t="shared" si="8"/>
        <v>10.85714286</v>
      </c>
      <c r="AA24" s="31">
        <f t="shared" si="9"/>
        <v>16</v>
      </c>
      <c r="AB24" s="40">
        <f t="shared" si="27"/>
        <v>-0.842858741</v>
      </c>
      <c r="AC24" s="41">
        <f>IFERROR(__xludf.DUMMYFUNCTION("IF(AA24="""","""",MAX(Filter((Data!K:K),Data!B:B=A24)))"),10.0)</f>
        <v>10</v>
      </c>
      <c r="AD24" s="41">
        <f t="shared" si="11"/>
        <v>-0.886188628</v>
      </c>
      <c r="AE24" s="31">
        <f t="shared" si="12"/>
        <v>6.714285714</v>
      </c>
      <c r="AF24" s="31">
        <f t="shared" si="13"/>
        <v>29.57142857</v>
      </c>
      <c r="AG24" s="42">
        <f>IF(A24="","",(((AD24)*Picklist!$P$3)+((K24)*Picklist!$P$4)+(E24*Picklist!$P$5)+(N24*Picklist!$P$6)+(X24*Picklist!$P$7)+(R24*Picklist!$P$8)))</f>
        <v>1.049362539</v>
      </c>
      <c r="AH24" s="43">
        <f>IF(A24="","",(((AD24)*Picklist!$P$14)+((K24)*Picklist!$P$15)+(E24*Picklist!$P$16)+(N24*Picklist!$P$17)+(X24*Picklist!$P$18)+(R24*Picklist!$P$19)))</f>
        <v>1.9953733</v>
      </c>
      <c r="AI24" s="44" t="str">
        <f>IFERROR(__xludf.DUMMYFUNCTION("TEXTJOIN("", "",TRUE, FILTER(Data!P:P, Data!B:B=A24))"),"")</f>
        <v/>
      </c>
      <c r="AJ24" s="45">
        <f t="shared" si="14"/>
        <v>5.428571429</v>
      </c>
      <c r="AK24" s="46" t="str">
        <f>IFERROR(__xludf.DUMMYFUNCTION("IF(A24&lt;&gt;"""",IFERROR(AVERAGE(FILTER('Defense Calculations'!BJ:CS,'Defense Calculations'!A:A=A24)),""""),"""")"),"")</f>
        <v/>
      </c>
      <c r="AL24" s="15" t="str">
        <f t="shared" si="15"/>
        <v/>
      </c>
      <c r="AM24" s="47"/>
      <c r="AN24" s="51"/>
      <c r="AZ24" s="15">
        <f>IFERROR(__xludf.DUMMYFUNCTION("""COMPUTED_VALUE"""),3175.0)</f>
        <v>3175</v>
      </c>
      <c r="BB24" s="49">
        <f t="shared" si="16"/>
        <v>6.068681319</v>
      </c>
      <c r="BC24" s="50" t="str">
        <f t="shared" si="17"/>
        <v>3940</v>
      </c>
    </row>
    <row r="25">
      <c r="A25" s="15">
        <v>4635.0</v>
      </c>
      <c r="B25" s="30">
        <f>IFERROR(__xludf.DUMMYFUNCTION("IFERROR(ROUND(
(COUNTIF(FILTER(Data!O:O, Data!B:B=A25), ""Win"")
+ COUNTIF(FILTER(Data!O:O, Data!B:B=A25), {""Tie"",""Results""}))
/ (COUNTIF(Data!B:B, A25)),
2),"""")"),0.57)</f>
        <v>0.57</v>
      </c>
      <c r="C25" s="31">
        <f>IFERROR((SUMIF(Data!B:B, A25, Data!H:H)
/ (COUNTIF(Data!B:B, A25)
)),"")</f>
        <v>0</v>
      </c>
      <c r="D25" s="31">
        <f>IFERROR((SUMIF(Data!B:B, A25, Data!G:G)
/ (COUNTIF(Data!B:B, A25)
)),"")</f>
        <v>2</v>
      </c>
      <c r="E25" s="31">
        <f t="shared" si="1"/>
        <v>0.02263144024</v>
      </c>
      <c r="F25" s="31">
        <f>IFERROR((SUMIF(Data!B:B, A25, Data!J:J)
/ (COUNTIF(Data!B:B, A25)
)),"")</f>
        <v>2</v>
      </c>
      <c r="G25" s="32">
        <f>IF(A25="","",IFERROR((((((SUMIF(Data!B:B, A25, Data!H:H)+(SUMIF(Data!B:B, A25,Data!G:G)))/(SUMIF(Data!B:B, A25, Data!J:J)))))),0))</f>
        <v>1</v>
      </c>
      <c r="H25" s="33">
        <f>IFERROR(__xludf.DUMMYFUNCTION("IFERROR(IF(G25="""","""",(SUM(FIlter(Filter(Data!G:G,Data!B:B=A25),(Filter(Data!J:J&lt;3,Data!B:B=A25))))+SUM((FIlter(Filter(Data!H:H,Data!B:B=A25),(Filter(Data!J:J&lt;3,Data!B:B=A25))))))/(SUM(Filter(Filter(Data!J:J,Data!B:B=A25),FILTER(Data!J:J&lt;3,Data!B:B=A25"&amp;"))))),"""")"),1.0)</f>
        <v>1</v>
      </c>
      <c r="I25" s="32">
        <f>IFERROR(__xludf.DUMMYFUNCTION("IF(A25="""","""",(COUNT(FILTER(IF(Data!G:G&lt;&gt;0,Data!G:G,IF(Data!H:H&lt;&gt;0,Data!H:H)),Data!B:B=A25)))/(COUNT(FILTER(Data!J:J,Data!B:B=A25))))"),1.0)</f>
        <v>1</v>
      </c>
      <c r="J25" s="32">
        <f t="shared" si="2"/>
        <v>1</v>
      </c>
      <c r="K25" s="31">
        <f t="shared" si="3"/>
        <v>1.075780341</v>
      </c>
      <c r="L25" s="31">
        <f>IFERROR((SUMIF(Data!B:B, A25, Data!L:L)
/ (COUNTIF(Data!B:B, A25)
)),"")</f>
        <v>0</v>
      </c>
      <c r="M25" s="31">
        <f>IFERROR((SUMIF(Data!B:B, A25, Data!K:K)
/ (COUNTIF(Data!B:B, A25)
)),"")</f>
        <v>14.57142857</v>
      </c>
      <c r="N25" s="34">
        <f t="shared" si="26"/>
        <v>1.208883921</v>
      </c>
      <c r="O25" s="32">
        <f>IF(A25="","",IFERROR((((((SUMIF(Data!B:B, A25, Data!H:H)+(SUMIF(Data!B:B, A25,Data!G:G)+(SUMIF(Data!B:B, A25,Data!L:L)+(SUMIF(Data!B:B, A25,Data!K:K)))))/(SUMIF(Data!B:B, A25, Data!M:M)+(SUMIF(Data!B:B, A25, Data!H:H)+(SUMIF(Data!B:B, A25,Data!G:G)+(SUMIF(Data!B:B, A25,Data!K:K)+(SUMIF(Data!B:B, A25,Data!L:L)))))))))),0))</f>
        <v>0.7945205479</v>
      </c>
      <c r="P25" s="35">
        <f>IFERROR(__xludf.DUMMYFUNCTION("IFERROR(((COUNTIF(FILTER(Data!N:N,Data!B:B=A25),""TRAVERSE"")*15)+(COUNTIF(FILTER(Data!N:N,Data!B:B=A25),""HIGH"")*10)+(COUNTIF(FILTER(Data!N:N,Data!B:B=A25),""MIDDLE"")*6)+(COUNTIF(FILTER(Data!N:N,Data!B:B=A25),""LOW"")*4)) / (COUNTIF(Data!B:B, A25)),"""&amp;""")"),3.5714285714285716)</f>
        <v>3.571428571</v>
      </c>
      <c r="Q25" s="31">
        <f>IFERROR(__xludf.DUMMYFUNCTION("IF(P25="""","""",Average(FIlter(('Convert Name to Number'!$F$422:$Z1000),'Convert Name to Number'!$E$422:$E1000=$A25)))"),5.0)</f>
        <v>5</v>
      </c>
      <c r="R25" s="36">
        <f t="shared" si="5"/>
        <v>-1.166013264</v>
      </c>
      <c r="S25" s="37">
        <f>IFERROR(__xludf.DUMMYFUNCTION("IFERROR((((COUNTIF(FILTER(Data!N:N,Data!B:B=A25),""TRAVERSE""))+(COUNTIF(FILTER(Data!N:N,Data!B:B=A25),""HIGH""))+(COUNTIF(FILTER(Data!N:N,Data!B:B=A25),""MIDDLE""))+(COUNTIF(FILTER(Data!N:N,Data!B:B=A25),""LOW"")))) / (((COUNTIF(Data!B:B, A25)))-(COUNTIF"&amp;"(FILTER(Data!N:N,Data!B:B=A25),""NONE""))),IF(ISBLANK(A25),"""",0))"),0.6666666666666666)</f>
        <v>0.6666666667</v>
      </c>
      <c r="T25" s="32">
        <f>IFERROR(__xludf.DUMMYFUNCTION("IFERROR((COUNTIF(FILTER(Data!N:N, Data!B:B=A25),""LOW"")) / (COUNTIF(Data!B:B, A25)),"""")"),0.0)</f>
        <v>0</v>
      </c>
      <c r="U25" s="38">
        <f>IFERROR(__xludf.DUMMYFUNCTION("IFERROR((COUNTIF(FILTER(Data!N:N, Data!B:B=A25),""MIDDLE"")) / (COUNTIF(Data!B:B, A25)),"""")"),0.0)</f>
        <v>0</v>
      </c>
      <c r="V25" s="38">
        <f>IFERROR(__xludf.DUMMYFUNCTION("IFERROR((COUNTIF(FILTER(Data!N:N, Data!B:B=A25),""HIGH"")) / (COUNTIF(Data!B:B, A25)),"""")"),0.14285714285714285)</f>
        <v>0.1428571429</v>
      </c>
      <c r="W25" s="38">
        <f>IFERROR(__xludf.DUMMYFUNCTION("IFERROR((COUNTIF(FILTER(Data!N:N, Data!B:B=A25),""TRAVERSE"")) / (COUNTIF(Data!B:B, A25)),"""")"),0.14285714285714285)</f>
        <v>0.1428571429</v>
      </c>
      <c r="X25" s="39">
        <f t="shared" si="6"/>
        <v>-0.9137570745</v>
      </c>
      <c r="Y25" s="31">
        <f t="shared" si="7"/>
        <v>8</v>
      </c>
      <c r="Z25" s="31">
        <f t="shared" si="8"/>
        <v>29.14285714</v>
      </c>
      <c r="AA25" s="31">
        <f t="shared" si="9"/>
        <v>37.14285714</v>
      </c>
      <c r="AB25" s="40">
        <f t="shared" si="27"/>
        <v>1.013069556</v>
      </c>
      <c r="AC25" s="41">
        <f>IFERROR(__xludf.DUMMYFUNCTION("IF(AA25="""","""",MAX(Filter((Data!K:K),Data!B:B=A25)))"),19.0)</f>
        <v>19</v>
      </c>
      <c r="AD25" s="41">
        <f t="shared" si="11"/>
        <v>0.6390443891</v>
      </c>
      <c r="AE25" s="31">
        <f t="shared" si="12"/>
        <v>16.57142857</v>
      </c>
      <c r="AF25" s="31">
        <f t="shared" si="13"/>
        <v>40.71428571</v>
      </c>
      <c r="AG25" s="42">
        <f>IF(A25="","",(((AD25)*Picklist!$P$3)+((K25)*Picklist!$P$4)+(E25*Picklist!$P$5)+(N25*Picklist!$P$6)+(X25*Picklist!$P$7)+(R25*Picklist!$P$8)))</f>
        <v>0.6774234377</v>
      </c>
      <c r="AH25" s="43">
        <f>IF(A25="","",(((AD25)*Picklist!$P$14)+((K25)*Picklist!$P$15)+(E25*Picklist!$P$16)+(N25*Picklist!$P$17)+(X25*Picklist!$P$18)+(R25*Picklist!$P$19)))</f>
        <v>-0.4885898259</v>
      </c>
      <c r="AI25" s="44" t="str">
        <f>IFERROR(__xludf.DUMMYFUNCTION("TEXTJOIN("", "",TRUE, FILTER(Data!P:P, Data!B:B=A25))"),"Second hook of climber didn't connect, and it was too much strain for one hook by itself.")</f>
        <v>Second hook of climber didn't connect, and it was too much strain for one hook by itself.</v>
      </c>
      <c r="AJ25" s="45">
        <f t="shared" si="14"/>
        <v>14.57142857</v>
      </c>
      <c r="AK25" s="46" t="str">
        <f>IFERROR(__xludf.DUMMYFUNCTION("IF(A25&lt;&gt;"""",IFERROR(AVERAGE(FILTER('Defense Calculations'!BJ:CS,'Defense Calculations'!A:A=A25)),""""),"""")"),"")</f>
        <v/>
      </c>
      <c r="AL25" s="15" t="str">
        <f t="shared" si="15"/>
        <v/>
      </c>
      <c r="AM25" s="47"/>
      <c r="AN25" s="51"/>
      <c r="AZ25" s="15">
        <f>IFERROR(__xludf.DUMMYFUNCTION("""COMPUTED_VALUE"""),3176.0)</f>
        <v>3176</v>
      </c>
      <c r="BB25" s="49">
        <f t="shared" si="16"/>
        <v>13.16634051</v>
      </c>
      <c r="BC25" s="50" t="str">
        <f t="shared" si="17"/>
        <v>4635</v>
      </c>
    </row>
    <row r="26">
      <c r="A26" s="15">
        <v>1533.0</v>
      </c>
      <c r="B26" s="30">
        <f>IFERROR(__xludf.DUMMYFUNCTION("IFERROR(ROUND(
(COUNTIF(FILTER(Data!O:O, Data!B:B=A26), ""Win"")
+ COUNTIF(FILTER(Data!O:O, Data!B:B=A26), {""Tie"",""Results""}))
/ (COUNTIF(Data!B:B, A26)),
2),"""")"),0.63)</f>
        <v>0.63</v>
      </c>
      <c r="C26" s="31">
        <f>IFERROR((SUMIF(Data!B:B, A26, Data!H:H)
/ (COUNTIF(Data!B:B, A26)
)),"")</f>
        <v>0</v>
      </c>
      <c r="D26" s="31">
        <f>IFERROR((SUMIF(Data!B:B, A26, Data!G:G)
/ (COUNTIF(Data!B:B, A26)
)),"")</f>
        <v>0.75</v>
      </c>
      <c r="E26" s="31">
        <f t="shared" si="1"/>
        <v>-1.403149295</v>
      </c>
      <c r="F26" s="31">
        <f>IFERROR((SUMIF(Data!B:B, A26, Data!J:J)
/ (COUNTIF(Data!B:B, A26)
)),"")</f>
        <v>0.875</v>
      </c>
      <c r="G26" s="32">
        <f>IF(A26="","",IFERROR((((((SUMIF(Data!B:B, A26, Data!H:H)+(SUMIF(Data!B:B, A26,Data!G:G)))/(SUMIF(Data!B:B, A26, Data!J:J)))))),0))</f>
        <v>0.8571428571</v>
      </c>
      <c r="H26" s="33">
        <f>IFERROR(__xludf.DUMMYFUNCTION("IFERROR(IF(G26="""","""",(SUM(FIlter(Filter(Data!G:G,Data!B:B=A26),(Filter(Data!J:J&lt;3,Data!B:B=A26))))+SUM((FIlter(Filter(Data!H:H,Data!B:B=A26),(Filter(Data!J:J&lt;3,Data!B:B=A26))))))/(SUM(Filter(Filter(Data!J:J,Data!B:B=A26),FILTER(Data!J:J&lt;3,Data!B:B=A26"&amp;"))))),"""")"),0.8571428571428571)</f>
        <v>0.8571428571</v>
      </c>
      <c r="I26" s="32">
        <f>IFERROR(__xludf.DUMMYFUNCTION("IF(A26="""","""",(COUNT(FILTER(IF(Data!G:G&lt;&gt;0,Data!G:G,IF(Data!H:H&lt;&gt;0,Data!H:H)),Data!B:B=A26)))/(COUNT(FILTER(Data!J:J,Data!B:B=A26))))"),0.75)</f>
        <v>0.75</v>
      </c>
      <c r="J26" s="32">
        <f t="shared" si="2"/>
        <v>0.8035714286</v>
      </c>
      <c r="K26" s="31">
        <f t="shared" si="3"/>
        <v>-0.3604680448</v>
      </c>
      <c r="L26" s="31">
        <f>IFERROR((SUMIF(Data!B:B, A26, Data!L:L)
/ (COUNTIF(Data!B:B, A26)
)),"")</f>
        <v>0</v>
      </c>
      <c r="M26" s="31">
        <f>IFERROR((SUMIF(Data!B:B, A26, Data!K:K)
/ (COUNTIF(Data!B:B, A26)
)),"")</f>
        <v>10.25</v>
      </c>
      <c r="N26" s="34">
        <f t="shared" si="26"/>
        <v>0.2343717444</v>
      </c>
      <c r="O26" s="32">
        <f>IF(A26="","",IFERROR((((((SUMIF(Data!B:B, A26, Data!H:H)+(SUMIF(Data!B:B, A26,Data!G:G)+(SUMIF(Data!B:B, A26,Data!L:L)+(SUMIF(Data!B:B, A26,Data!K:K)))))/(SUMIF(Data!B:B, A26, Data!M:M)+(SUMIF(Data!B:B, A26, Data!H:H)+(SUMIF(Data!B:B, A26,Data!G:G)+(SUMIF(Data!B:B, A26,Data!K:K)+(SUMIF(Data!B:B, A26,Data!L:L)))))))))),0))</f>
        <v>0.7652173913</v>
      </c>
      <c r="P26" s="35">
        <f>IFERROR(__xludf.DUMMYFUNCTION("IFERROR(((COUNTIF(FILTER(Data!N:N,Data!B:B=A26),""TRAVERSE"")*15)+(COUNTIF(FILTER(Data!N:N,Data!B:B=A26),""HIGH"")*10)+(COUNTIF(FILTER(Data!N:N,Data!B:B=A26),""MIDDLE"")*6)+(COUNTIF(FILTER(Data!N:N,Data!B:B=A26),""LOW"")*4)) / (COUNTIF(Data!B:B, A26)),"""&amp;""")"),6.375)</f>
        <v>6.375</v>
      </c>
      <c r="Q26" s="31">
        <f>IFERROR(__xludf.DUMMYFUNCTION("IF(P26="""","""",Average(FIlter(('Convert Name to Number'!$F$422:$Z1000),'Convert Name to Number'!$E$422:$E1000=$A26)))"),10.2)</f>
        <v>10.2</v>
      </c>
      <c r="R26" s="36">
        <f t="shared" si="5"/>
        <v>-0.06776077079</v>
      </c>
      <c r="S26" s="37">
        <f>IFERROR(__xludf.DUMMYFUNCTION("IFERROR((((COUNTIF(FILTER(Data!N:N,Data!B:B=A26),""TRAVERSE""))+(COUNTIF(FILTER(Data!N:N,Data!B:B=A26),""HIGH""))+(COUNTIF(FILTER(Data!N:N,Data!B:B=A26),""MIDDLE""))+(COUNTIF(FILTER(Data!N:N,Data!B:B=A26),""LOW"")))) / (((COUNTIF(Data!B:B, A26)))-(COUNTIF"&amp;"(FILTER(Data!N:N,Data!B:B=A26),""NONE""))),IF(ISBLANK(A26),"""",0))"),1.0)</f>
        <v>1</v>
      </c>
      <c r="T26" s="32">
        <f>IFERROR(__xludf.DUMMYFUNCTION("IFERROR((COUNTIF(FILTER(Data!N:N, Data!B:B=A26),""LOW"")) / (COUNTIF(Data!B:B, A26)),"""")"),0.0)</f>
        <v>0</v>
      </c>
      <c r="U26" s="38">
        <f>IFERROR(__xludf.DUMMYFUNCTION("IFERROR((COUNTIF(FILTER(Data!N:N, Data!B:B=A26),""MIDDLE"")) / (COUNTIF(Data!B:B, A26)),"""")"),0.125)</f>
        <v>0.125</v>
      </c>
      <c r="V26" s="38">
        <f>IFERROR(__xludf.DUMMYFUNCTION("IFERROR((COUNTIF(FILTER(Data!N:N, Data!B:B=A26),""HIGH"")) / (COUNTIF(Data!B:B, A26)),"""")"),0.0)</f>
        <v>0</v>
      </c>
      <c r="W26" s="38">
        <f>IFERROR(__xludf.DUMMYFUNCTION("IFERROR((COUNTIF(FILTER(Data!N:N, Data!B:B=A26),""TRAVERSE"")) / (COUNTIF(Data!B:B, A26)),"""")"),0.375)</f>
        <v>0.375</v>
      </c>
      <c r="X26" s="39">
        <f t="shared" si="6"/>
        <v>-0.1786675844</v>
      </c>
      <c r="Y26" s="31">
        <f t="shared" si="7"/>
        <v>3</v>
      </c>
      <c r="Z26" s="31">
        <f t="shared" si="8"/>
        <v>20.5</v>
      </c>
      <c r="AA26" s="31">
        <f t="shared" si="9"/>
        <v>23.5</v>
      </c>
      <c r="AB26" s="40">
        <f t="shared" si="27"/>
        <v>-0.03593339434</v>
      </c>
      <c r="AC26" s="41">
        <f>IFERROR(__xludf.DUMMYFUNCTION("IF(AA26="""","""",MAX(Filter((Data!K:K),Data!B:B=A26)))"),17.0)</f>
        <v>17</v>
      </c>
      <c r="AD26" s="41">
        <f t="shared" si="11"/>
        <v>0.3001037186</v>
      </c>
      <c r="AE26" s="31">
        <f t="shared" si="12"/>
        <v>11</v>
      </c>
      <c r="AF26" s="31">
        <f t="shared" si="13"/>
        <v>29.875</v>
      </c>
      <c r="AG26" s="42">
        <f>IF(A26="","",(((AD26)*Picklist!$P$3)+((K26)*Picklist!$P$4)+(E26*Picklist!$P$5)+(N26*Picklist!$P$6)+(X26*Picklist!$P$7)+(R26*Picklist!$P$8)))</f>
        <v>0.3717078239</v>
      </c>
      <c r="AH26" s="43">
        <f>IF(A26="","",(((AD26)*Picklist!$P$14)+((K26)*Picklist!$P$15)+(E26*Picklist!$P$16)+(N26*Picklist!$P$17)+(X26*Picklist!$P$18)+(R26*Picklist!$P$19)))</f>
        <v>0.3039470531</v>
      </c>
      <c r="AI26" s="44" t="str">
        <f>IFERROR(__xludf.DUMMYFUNCTION("TEXTJOIN("", "",TRUE, FILTER(Data!P:P, Data!B:B=A26))"),"very fast and effective, did good in both sides of the field")</f>
        <v>very fast and effective, did good in both sides of the field</v>
      </c>
      <c r="AJ26" s="45">
        <f t="shared" si="14"/>
        <v>10.25</v>
      </c>
      <c r="AK26" s="46" t="str">
        <f>IFERROR(__xludf.DUMMYFUNCTION("IF(A26&lt;&gt;"""",IFERROR(AVERAGE(FILTER('Defense Calculations'!BJ:CS,'Defense Calculations'!A:A=A26)),""""),"""")"),"")</f>
        <v/>
      </c>
      <c r="AL26" s="15" t="str">
        <f t="shared" si="15"/>
        <v/>
      </c>
      <c r="AM26" s="47"/>
      <c r="AN26" s="51"/>
      <c r="AZ26" s="15">
        <f>IFERROR(__xludf.DUMMYFUNCTION("""COMPUTED_VALUE"""),325.0)</f>
        <v>325</v>
      </c>
      <c r="BB26" s="49">
        <f t="shared" si="16"/>
        <v>8.417391304</v>
      </c>
      <c r="BC26" s="50" t="str">
        <f t="shared" si="17"/>
        <v>1533</v>
      </c>
    </row>
    <row r="27">
      <c r="A27" s="15">
        <v>33.0</v>
      </c>
      <c r="B27" s="30">
        <f>IFERROR(__xludf.DUMMYFUNCTION("IFERROR(ROUND(
(COUNTIF(FILTER(Data!O:O, Data!B:B=A27), ""Win"")
+ COUNTIF(FILTER(Data!O:O, Data!B:B=A27), {""Tie"",""Results""}))
/ (COUNTIF(Data!B:B, A27)),
2),"""")"),0.86)</f>
        <v>0.86</v>
      </c>
      <c r="C27" s="31">
        <f>IFERROR((SUMIF(Data!B:B, A27, Data!H:H)
/ (COUNTIF(Data!B:B, A27)
)),"")</f>
        <v>0</v>
      </c>
      <c r="D27" s="31">
        <f>IFERROR((SUMIF(Data!B:B, A27, Data!G:G)
/ (COUNTIF(Data!B:B, A27)
)),"")</f>
        <v>3.142857143</v>
      </c>
      <c r="E27" s="31">
        <f t="shared" si="1"/>
        <v>1.326202398</v>
      </c>
      <c r="F27" s="31">
        <f>IFERROR((SUMIF(Data!B:B, A27, Data!J:J)
/ (COUNTIF(Data!B:B, A27)
)),"")</f>
        <v>3.857142857</v>
      </c>
      <c r="G27" s="32">
        <f>IF(A27="","",IFERROR((((((SUMIF(Data!B:B, A27, Data!H:H)+(SUMIF(Data!B:B, A27,Data!G:G)))/(SUMIF(Data!B:B, A27, Data!J:J)))))),0))</f>
        <v>0.8148148148</v>
      </c>
      <c r="H27" s="33">
        <f>IFERROR(__xludf.DUMMYFUNCTION("IFERROR(IF(G27="""","""",(SUM(FIlter(Filter(Data!G:G,Data!B:B=A27),(Filter(Data!J:J&lt;3,Data!B:B=A27))))+SUM((FIlter(Filter(Data!H:H,Data!B:B=A27),(Filter(Data!J:J&lt;3,Data!B:B=A27))))))/(SUM(Filter(Filter(Data!J:J,Data!B:B=A27),FILTER(Data!J:J&lt;3,Data!B:B=A27"&amp;"))))),"""")"),0.25)</f>
        <v>0.25</v>
      </c>
      <c r="I27" s="32">
        <f>IFERROR(__xludf.DUMMYFUNCTION("IF(A27="""","""",(COUNT(FILTER(IF(Data!G:G&lt;&gt;0,Data!G:G,IF(Data!H:H&lt;&gt;0,Data!H:H)),Data!B:B=A27)))/(COUNT(FILTER(Data!J:J,Data!B:B=A27))))"),0.8571428571428571)</f>
        <v>0.8571428571</v>
      </c>
      <c r="J27" s="32">
        <f t="shared" si="2"/>
        <v>0.5535714286</v>
      </c>
      <c r="K27" s="31">
        <f t="shared" si="3"/>
        <v>-2.188420536</v>
      </c>
      <c r="L27" s="31">
        <f>IFERROR((SUMIF(Data!B:B, A27, Data!L:L)
/ (COUNTIF(Data!B:B, A27)
)),"")</f>
        <v>0.1428571429</v>
      </c>
      <c r="M27" s="31">
        <f>IFERROR((SUMIF(Data!B:B, A27, Data!K:K)
/ (COUNTIF(Data!B:B, A27)
)),"")</f>
        <v>13.42857143</v>
      </c>
      <c r="N27" s="34">
        <f t="shared" si="26"/>
        <v>0.9511616921</v>
      </c>
      <c r="O27" s="32">
        <f>IF(A27="","",IFERROR((((((SUMIF(Data!B:B, A27, Data!H:H)+(SUMIF(Data!B:B, A27,Data!G:G)+(SUMIF(Data!B:B, A27,Data!L:L)+(SUMIF(Data!B:B, A27,Data!K:K)))))/(SUMIF(Data!B:B, A27, Data!M:M)+(SUMIF(Data!B:B, A27, Data!H:H)+(SUMIF(Data!B:B, A27,Data!G:G)+(SUMIF(Data!B:B, A27,Data!K:K)+(SUMIF(Data!B:B, A27,Data!L:L)))))))))),0))</f>
        <v>0.8731343284</v>
      </c>
      <c r="P27" s="35">
        <f>IFERROR(__xludf.DUMMYFUNCTION("IFERROR(((COUNTIF(FILTER(Data!N:N,Data!B:B=A27),""TRAVERSE"")*15)+(COUNTIF(FILTER(Data!N:N,Data!B:B=A27),""HIGH"")*10)+(COUNTIF(FILTER(Data!N:N,Data!B:B=A27),""MIDDLE"")*6)+(COUNTIF(FILTER(Data!N:N,Data!B:B=A27),""LOW"")*4)) / (COUNTIF(Data!B:B, A27)),"""&amp;""")"),6.428571428571429)</f>
        <v>6.428571429</v>
      </c>
      <c r="Q27" s="31">
        <f>IFERROR(__xludf.DUMMYFUNCTION("IF(P27="""","""",Average(FIlter(('Convert Name to Number'!$F$422:$Z1000),'Convert Name to Number'!$E$422:$E1000=$A27)))"),9.0)</f>
        <v>9</v>
      </c>
      <c r="R27" s="36">
        <f t="shared" si="5"/>
        <v>-0.3212036537</v>
      </c>
      <c r="S27" s="37">
        <f>IFERROR(__xludf.DUMMYFUNCTION("IFERROR((((COUNTIF(FILTER(Data!N:N,Data!B:B=A27),""TRAVERSE""))+(COUNTIF(FILTER(Data!N:N,Data!B:B=A27),""HIGH""))+(COUNTIF(FILTER(Data!N:N,Data!B:B=A27),""MIDDLE""))+(COUNTIF(FILTER(Data!N:N,Data!B:B=A27),""LOW"")))) / (((COUNTIF(Data!B:B, A27)))-(COUNTIF"&amp;"(FILTER(Data!N:N,Data!B:B=A27),""NONE""))),IF(ISBLANK(A27),"""",0))"),1.0)</f>
        <v>1</v>
      </c>
      <c r="T27" s="32">
        <f>IFERROR(__xludf.DUMMYFUNCTION("IFERROR((COUNTIF(FILTER(Data!N:N, Data!B:B=A27),""LOW"")) / (COUNTIF(Data!B:B, A27)),"""")"),0.0)</f>
        <v>0</v>
      </c>
      <c r="U27" s="38">
        <f>IFERROR(__xludf.DUMMYFUNCTION("IFERROR((COUNTIF(FILTER(Data!N:N, Data!B:B=A27),""MIDDLE"")) / (COUNTIF(Data!B:B, A27)),"""")"),0.0)</f>
        <v>0</v>
      </c>
      <c r="V27" s="38">
        <f>IFERROR(__xludf.DUMMYFUNCTION("IFERROR((COUNTIF(FILTER(Data!N:N, Data!B:B=A27),""HIGH"")) / (COUNTIF(Data!B:B, A27)),"""")"),0.0)</f>
        <v>0</v>
      </c>
      <c r="W27" s="38">
        <f>IFERROR(__xludf.DUMMYFUNCTION("IFERROR((COUNTIF(FILTER(Data!N:N, Data!B:B=A27),""TRAVERSE"")) / (COUNTIF(Data!B:B, A27)),"""")"),0.42857142857142855)</f>
        <v>0.4285714286</v>
      </c>
      <c r="X27" s="39">
        <f t="shared" si="6"/>
        <v>-0.009031548222</v>
      </c>
      <c r="Y27" s="31">
        <f t="shared" si="7"/>
        <v>12.57142857</v>
      </c>
      <c r="Z27" s="31">
        <f t="shared" si="8"/>
        <v>27</v>
      </c>
      <c r="AA27" s="31">
        <f t="shared" si="9"/>
        <v>39.57142857</v>
      </c>
      <c r="AB27" s="40">
        <f t="shared" si="27"/>
        <v>1.013069556</v>
      </c>
      <c r="AC27" s="41">
        <f>IFERROR(__xludf.DUMMYFUNCTION("IF(AA27="""","""",MAX(Filter((Data!K:K),Data!B:B=A27)))"),21.0)</f>
        <v>21</v>
      </c>
      <c r="AD27" s="41">
        <f t="shared" si="11"/>
        <v>0.9779850596</v>
      </c>
      <c r="AE27" s="31">
        <f t="shared" si="12"/>
        <v>16.71428571</v>
      </c>
      <c r="AF27" s="31">
        <f t="shared" si="13"/>
        <v>46</v>
      </c>
      <c r="AG27" s="42">
        <f>IF(A27="","",(((AD27)*Picklist!$P$3)+((K27)*Picklist!$P$4)+(E27*Picklist!$P$5)+(N27*Picklist!$P$6)+(X27*Picklist!$P$7)+(R27*Picklist!$P$8)))</f>
        <v>0.3582349847</v>
      </c>
      <c r="AH27" s="43">
        <f>IF(A27="","",(((AD27)*Picklist!$P$14)+((K27)*Picklist!$P$15)+(E27*Picklist!$P$16)+(N27*Picklist!$P$17)+(X27*Picklist!$P$18)+(R27*Picklist!$P$19)))</f>
        <v>0.03703133092</v>
      </c>
      <c r="AI27" s="44" t="str">
        <f>IFERROR(__xludf.DUMMYFUNCTION("TEXTJOIN("", "",TRUE, FILTER(Data!P:P, Data!B:B=A27))"),"Quick fire rate even with mild defense against them. Strong team")</f>
        <v>Quick fire rate even with mild defense against them. Strong team</v>
      </c>
      <c r="AJ27" s="45">
        <f t="shared" si="14"/>
        <v>13.57142857</v>
      </c>
      <c r="AK27" s="46" t="str">
        <f>IFERROR(__xludf.DUMMYFUNCTION("IF(A27&lt;&gt;"""",IFERROR(AVERAGE(FILTER('Defense Calculations'!BJ:CS,'Defense Calculations'!A:A=A27)),""""),"""")"),"")</f>
        <v/>
      </c>
      <c r="AL27" s="15" t="str">
        <f t="shared" si="15"/>
        <v/>
      </c>
      <c r="AM27" s="47"/>
      <c r="AN27" s="51"/>
      <c r="AZ27" s="15">
        <f>IFERROR(__xludf.DUMMYFUNCTION("""COMPUTED_VALUE"""),3357.0)</f>
        <v>3357</v>
      </c>
      <c r="BB27" s="49">
        <f t="shared" si="16"/>
        <v>14.59381663</v>
      </c>
      <c r="BC27" s="50" t="str">
        <f t="shared" si="17"/>
        <v>33</v>
      </c>
    </row>
    <row r="28">
      <c r="A28" s="15">
        <v>624.0</v>
      </c>
      <c r="B28" s="30">
        <f>IFERROR(__xludf.DUMMYFUNCTION("IFERROR(ROUND(
(COUNTIF(FILTER(Data!O:O, Data!B:B=A28), ""Win"")
+ COUNTIF(FILTER(Data!O:O, Data!B:B=A28), {""Tie"",""Results""}))
/ (COUNTIF(Data!B:B, A28)),
2),"""")"),0.25)</f>
        <v>0.25</v>
      </c>
      <c r="C28" s="31">
        <f>IFERROR((SUMIF(Data!B:B, A28, Data!H:H)
/ (COUNTIF(Data!B:B, A28)
)),"")</f>
        <v>0</v>
      </c>
      <c r="D28" s="31">
        <f>IFERROR((SUMIF(Data!B:B, A28, Data!G:G)
/ (COUNTIF(Data!B:B, A28)
)),"")</f>
        <v>4.375</v>
      </c>
      <c r="E28" s="31">
        <f t="shared" si="1"/>
        <v>2.731614837</v>
      </c>
      <c r="F28" s="31">
        <f>IFERROR((SUMIF(Data!B:B, A28, Data!J:J)
/ (COUNTIF(Data!B:B, A28)
)),"")</f>
        <v>4.5</v>
      </c>
      <c r="G28" s="32">
        <f>IF(A28="","",IFERROR((((((SUMIF(Data!B:B, A28, Data!H:H)+(SUMIF(Data!B:B, A28,Data!G:G)))/(SUMIF(Data!B:B, A28, Data!J:J)))))),0))</f>
        <v>0.9722222222</v>
      </c>
      <c r="H28" s="33" t="str">
        <f>IFERROR(__xludf.DUMMYFUNCTION("IFERROR(IF(G28="""","""",(SUM(FIlter(Filter(Data!G:G,Data!B:B=A28),(Filter(Data!J:J&lt;3,Data!B:B=A28))))+SUM((FIlter(Filter(Data!H:H,Data!B:B=A28),(Filter(Data!J:J&lt;3,Data!B:B=A28))))))/(SUM(Filter(Filter(Data!J:J,Data!B:B=A28),FILTER(Data!J:J&lt;3,Data!B:B=A28"&amp;"))))),"""")"),"")</f>
        <v/>
      </c>
      <c r="I28" s="32">
        <f>IFERROR(__xludf.DUMMYFUNCTION("IF(A28="""","""",(COUNT(FILTER(IF(Data!G:G&lt;&gt;0,Data!G:G,IF(Data!H:H&lt;&gt;0,Data!H:H)),Data!B:B=A28)))/(COUNT(FILTER(Data!J:J,Data!B:B=A28))))"),1.0)</f>
        <v>1</v>
      </c>
      <c r="J28" s="32">
        <f t="shared" si="2"/>
        <v>1</v>
      </c>
      <c r="K28" s="31">
        <f t="shared" si="3"/>
        <v>1.075780341</v>
      </c>
      <c r="L28" s="31">
        <f>IFERROR((SUMIF(Data!B:B, A28, Data!L:L)
/ (COUNTIF(Data!B:B, A28)
)),"")</f>
        <v>0.375</v>
      </c>
      <c r="M28" s="31">
        <f>IFERROR((SUMIF(Data!B:B, A28, Data!K:K)
/ (COUNTIF(Data!B:B, A28)
)),"")</f>
        <v>12.25</v>
      </c>
      <c r="N28" s="34">
        <f t="shared" si="26"/>
        <v>0.6853856441</v>
      </c>
      <c r="O28" s="32">
        <f>IF(A28="","",IFERROR((((((SUMIF(Data!B:B, A28, Data!H:H)+(SUMIF(Data!B:B, A28,Data!G:G)+(SUMIF(Data!B:B, A28,Data!L:L)+(SUMIF(Data!B:B, A28,Data!K:K)))))/(SUMIF(Data!B:B, A28, Data!M:M)+(SUMIF(Data!B:B, A28, Data!H:H)+(SUMIF(Data!B:B, A28,Data!G:G)+(SUMIF(Data!B:B, A28,Data!K:K)+(SUMIF(Data!B:B, A28,Data!L:L)))))))))),0))</f>
        <v>0.8395061728</v>
      </c>
      <c r="P28" s="35">
        <f>IFERROR(__xludf.DUMMYFUNCTION("IFERROR(((COUNTIF(FILTER(Data!N:N,Data!B:B=A28),""TRAVERSE"")*15)+(COUNTIF(FILTER(Data!N:N,Data!B:B=A28),""HIGH"")*10)+(COUNTIF(FILTER(Data!N:N,Data!B:B=A28),""MIDDLE"")*6)+(COUNTIF(FILTER(Data!N:N,Data!B:B=A28),""LOW"")*4)) / (COUNTIF(Data!B:B, A28)),"""&amp;""")"),4.125)</f>
        <v>4.125</v>
      </c>
      <c r="Q28" s="31">
        <f>IFERROR(__xludf.DUMMYFUNCTION("IF(P28="""","""",Average(FIlter(('Convert Name to Number'!$F$422:$Z1000),'Convert Name to Number'!$E$422:$E1000=$A28)))"),6.6)</f>
        <v>6.6</v>
      </c>
      <c r="R28" s="36">
        <f t="shared" si="5"/>
        <v>-0.8280894197</v>
      </c>
      <c r="S28" s="37">
        <f>IFERROR(__xludf.DUMMYFUNCTION("IFERROR((((COUNTIF(FILTER(Data!N:N,Data!B:B=A28),""TRAVERSE""))+(COUNTIF(FILTER(Data!N:N,Data!B:B=A28),""HIGH""))+(COUNTIF(FILTER(Data!N:N,Data!B:B=A28),""MIDDLE""))+(COUNTIF(FILTER(Data!N:N,Data!B:B=A28),""LOW"")))) / (((COUNTIF(Data!B:B, A28)))-(COUNTIF"&amp;"(FILTER(Data!N:N,Data!B:B=A28),""NONE""))),IF(ISBLANK(A28),"""",0))"),0.5714285714285714)</f>
        <v>0.5714285714</v>
      </c>
      <c r="T28" s="32">
        <f>IFERROR(__xludf.DUMMYFUNCTION("IFERROR((COUNTIF(FILTER(Data!N:N, Data!B:B=A28),""LOW"")) / (COUNTIF(Data!B:B, A28)),"""")"),0.0)</f>
        <v>0</v>
      </c>
      <c r="U28" s="38">
        <f>IFERROR(__xludf.DUMMYFUNCTION("IFERROR((COUNTIF(FILTER(Data!N:N, Data!B:B=A28),""MIDDLE"")) / (COUNTIF(Data!B:B, A28)),"""")"),0.375)</f>
        <v>0.375</v>
      </c>
      <c r="V28" s="38">
        <f>IFERROR(__xludf.DUMMYFUNCTION("IFERROR((COUNTIF(FILTER(Data!N:N, Data!B:B=A28),""HIGH"")) / (COUNTIF(Data!B:B, A28)),"""")"),0.0)</f>
        <v>0</v>
      </c>
      <c r="W28" s="38">
        <f>IFERROR(__xludf.DUMMYFUNCTION("IFERROR((COUNTIF(FILTER(Data!N:N, Data!B:B=A28),""TRAVERSE"")) / (COUNTIF(Data!B:B, A28)),"""")"),0.125)</f>
        <v>0.125</v>
      </c>
      <c r="X28" s="39">
        <f t="shared" si="6"/>
        <v>-0.9703024199</v>
      </c>
      <c r="Y28" s="31">
        <f t="shared" si="7"/>
        <v>17.5</v>
      </c>
      <c r="Z28" s="31">
        <f t="shared" si="8"/>
        <v>24.875</v>
      </c>
      <c r="AA28" s="31">
        <f t="shared" si="9"/>
        <v>42.375</v>
      </c>
      <c r="AB28" s="40">
        <f t="shared" si="27"/>
        <v>1.023156123</v>
      </c>
      <c r="AC28" s="41">
        <f>IFERROR(__xludf.DUMMYFUNCTION("IF(AA28="""","""",MAX(Filter((Data!K:K),Data!B:B=A28)))"),17.0)</f>
        <v>17</v>
      </c>
      <c r="AD28" s="41">
        <f t="shared" si="11"/>
        <v>0.3001037186</v>
      </c>
      <c r="AE28" s="31">
        <f t="shared" si="12"/>
        <v>17</v>
      </c>
      <c r="AF28" s="31">
        <f t="shared" si="13"/>
        <v>46.5</v>
      </c>
      <c r="AG28" s="42">
        <f>IF(A28="","",(((AD28)*Picklist!$P$3)+((K28)*Picklist!$P$4)+(E28*Picklist!$P$5)+(N28*Picklist!$P$6)+(X28*Picklist!$P$7)+(R28*Picklist!$P$8)))</f>
        <v>0.1196833137</v>
      </c>
      <c r="AH28" s="43">
        <f>IF(A28="","",(((AD28)*Picklist!$P$14)+((K28)*Picklist!$P$15)+(E28*Picklist!$P$16)+(N28*Picklist!$P$17)+(X28*Picklist!$P$18)+(R28*Picklist!$P$19)))</f>
        <v>-0.708406106</v>
      </c>
      <c r="AI28" s="44" t="str">
        <f>IFERROR(__xludf.DUMMYFUNCTION("TEXTJOIN("", "",TRUE, FILTER(Data!P:P, Data!B:B=A28))"),"it got flipped, climber barely works, suddenly began throwing balls to the moon 1\2 way through")</f>
        <v>it got flipped, climber barely works, suddenly began throwing balls to the moon 1\2 way through</v>
      </c>
      <c r="AJ28" s="45">
        <f t="shared" si="14"/>
        <v>12.625</v>
      </c>
      <c r="AK28" s="46" t="str">
        <f>IFERROR(__xludf.DUMMYFUNCTION("IF(A28&lt;&gt;"""",IFERROR(AVERAGE(FILTER('Defense Calculations'!BJ:CS,'Defense Calculations'!A:A=A28)),""""),"""")"),"")</f>
        <v/>
      </c>
      <c r="AL28" s="15" t="str">
        <f t="shared" si="15"/>
        <v/>
      </c>
      <c r="AM28" s="47"/>
      <c r="AN28" s="51"/>
      <c r="AZ28" s="15">
        <f>IFERROR(__xludf.DUMMYFUNCTION("""COMPUTED_VALUE"""),33.0)</f>
        <v>33</v>
      </c>
      <c r="BB28" s="49">
        <f t="shared" si="16"/>
        <v>14.27160494</v>
      </c>
      <c r="BC28" s="50" t="str">
        <f t="shared" si="17"/>
        <v>624</v>
      </c>
    </row>
    <row r="29">
      <c r="A29" s="15">
        <v>829.0</v>
      </c>
      <c r="B29" s="30">
        <f>IFERROR(__xludf.DUMMYFUNCTION("IFERROR(ROUND(
(COUNTIF(FILTER(Data!O:O, Data!B:B=A29), ""Win"")
+ COUNTIF(FILTER(Data!O:O, Data!B:B=A29), {""Tie"",""Results""}))
/ (COUNTIF(Data!B:B, A29)),
2),"""")"),0.29)</f>
        <v>0.29</v>
      </c>
      <c r="C29" s="31">
        <f>IFERROR((SUMIF(Data!B:B, A29, Data!H:H)
/ (COUNTIF(Data!B:B, A29)
)),"")</f>
        <v>0</v>
      </c>
      <c r="D29" s="31">
        <f>IFERROR((SUMIF(Data!B:B, A29, Data!G:G)
/ (COUNTIF(Data!B:B, A29)
)),"")</f>
        <v>1.571428571</v>
      </c>
      <c r="E29" s="31">
        <f t="shared" si="1"/>
        <v>-0.466207669</v>
      </c>
      <c r="F29" s="31">
        <f>IFERROR((SUMIF(Data!B:B, A29, Data!J:J)
/ (COUNTIF(Data!B:B, A29)
)),"")</f>
        <v>2</v>
      </c>
      <c r="G29" s="32">
        <f>IF(A29="","",IFERROR((((((SUMIF(Data!B:B, A29, Data!H:H)+(SUMIF(Data!B:B, A29,Data!G:G)))/(SUMIF(Data!B:B, A29, Data!J:J)))))),0))</f>
        <v>0.7857142857</v>
      </c>
      <c r="H29" s="33">
        <f>IFERROR(__xludf.DUMMYFUNCTION("IFERROR(IF(G29="""","""",(SUM(FIlter(Filter(Data!G:G,Data!B:B=A29),(Filter(Data!J:J&lt;3,Data!B:B=A29))))+SUM((FIlter(Filter(Data!H:H,Data!B:B=A29),(Filter(Data!J:J&lt;3,Data!B:B=A29))))))/(SUM(Filter(Filter(Data!J:J,Data!B:B=A29),FILTER(Data!J:J&lt;3,Data!B:B=A29"&amp;"))))),"""")"),0.9)</f>
        <v>0.9</v>
      </c>
      <c r="I29" s="32">
        <f>IFERROR(__xludf.DUMMYFUNCTION("IF(A29="""","""",(COUNT(FILTER(IF(Data!G:G&lt;&gt;0,Data!G:G,IF(Data!H:H&lt;&gt;0,Data!H:H)),Data!B:B=A29)))/(COUNT(FILTER(Data!J:J,Data!B:B=A29))))"),0.8571428571428571)</f>
        <v>0.8571428571</v>
      </c>
      <c r="J29" s="32">
        <f t="shared" si="2"/>
        <v>0.8785714286</v>
      </c>
      <c r="K29" s="31">
        <f t="shared" si="3"/>
        <v>0.1879177027</v>
      </c>
      <c r="L29" s="31">
        <f>IFERROR((SUMIF(Data!B:B, A29, Data!L:L)
/ (COUNTIF(Data!B:B, A29)
)),"")</f>
        <v>0.2857142857</v>
      </c>
      <c r="M29" s="31">
        <f>IFERROR((SUMIF(Data!B:B, A29, Data!K:K)
/ (COUNTIF(Data!B:B, A29)
)),"")</f>
        <v>8</v>
      </c>
      <c r="N29" s="34">
        <f t="shared" si="26"/>
        <v>-0.2730188928</v>
      </c>
      <c r="O29" s="32">
        <f>IF(A29="","",IFERROR((((((SUMIF(Data!B:B, A29, Data!H:H)+(SUMIF(Data!B:B, A29,Data!G:G)+(SUMIF(Data!B:B, A29,Data!L:L)+(SUMIF(Data!B:B, A29,Data!K:K)))))/(SUMIF(Data!B:B, A29, Data!M:M)+(SUMIF(Data!B:B, A29, Data!H:H)+(SUMIF(Data!B:B, A29,Data!G:G)+(SUMIF(Data!B:B, A29,Data!K:K)+(SUMIF(Data!B:B, A29,Data!L:L)))))))))),0))</f>
        <v>0.8625</v>
      </c>
      <c r="P29" s="35">
        <f>IFERROR(__xludf.DUMMYFUNCTION("IFERROR(((COUNTIF(FILTER(Data!N:N,Data!B:B=A29),""TRAVERSE"")*15)+(COUNTIF(FILTER(Data!N:N,Data!B:B=A29),""HIGH"")*10)+(COUNTIF(FILTER(Data!N:N,Data!B:B=A29),""MIDDLE"")*6)+(COUNTIF(FILTER(Data!N:N,Data!B:B=A29),""LOW"")*4)) / (COUNTIF(Data!B:B, A29)),"""&amp;""")"),8.428571428571429)</f>
        <v>8.428571429</v>
      </c>
      <c r="Q29" s="31">
        <f>IFERROR(__xludf.DUMMYFUNCTION("IF(P29="""","""",Average(FIlter(('Convert Name to Number'!$F$422:$Z1000),'Convert Name to Number'!$E$422:$E1000=$A29)))"),11.8)</f>
        <v>11.8</v>
      </c>
      <c r="R29" s="36">
        <f t="shared" si="5"/>
        <v>0.2701630732</v>
      </c>
      <c r="S29" s="37">
        <f>IFERROR(__xludf.DUMMYFUNCTION("IFERROR((((COUNTIF(FILTER(Data!N:N,Data!B:B=A29),""TRAVERSE""))+(COUNTIF(FILTER(Data!N:N,Data!B:B=A29),""HIGH""))+(COUNTIF(FILTER(Data!N:N,Data!B:B=A29),""MIDDLE""))+(COUNTIF(FILTER(Data!N:N,Data!B:B=A29),""LOW"")))) / (((COUNTIF(Data!B:B, A29)))-(COUNTIF"&amp;"(FILTER(Data!N:N,Data!B:B=A29),""NONE""))),IF(ISBLANK(A29),"""",0))"),1.0)</f>
        <v>1</v>
      </c>
      <c r="T29" s="32">
        <f>IFERROR(__xludf.DUMMYFUNCTION("IFERROR((COUNTIF(FILTER(Data!N:N, Data!B:B=A29),""LOW"")) / (COUNTIF(Data!B:B, A29)),"""")"),0.14285714285714285)</f>
        <v>0.1428571429</v>
      </c>
      <c r="U29" s="38">
        <f>IFERROR(__xludf.DUMMYFUNCTION("IFERROR((COUNTIF(FILTER(Data!N:N, Data!B:B=A29),""MIDDLE"")) / (COUNTIF(Data!B:B, A29)),"""")"),0.0)</f>
        <v>0</v>
      </c>
      <c r="V29" s="38">
        <f>IFERROR(__xludf.DUMMYFUNCTION("IFERROR((COUNTIF(FILTER(Data!N:N, Data!B:B=A29),""HIGH"")) / (COUNTIF(Data!B:B, A29)),"""")"),0.14285714285714285)</f>
        <v>0.1428571429</v>
      </c>
      <c r="W29" s="38">
        <f>IFERROR(__xludf.DUMMYFUNCTION("IFERROR((COUNTIF(FILTER(Data!N:N, Data!B:B=A29),""TRAVERSE"")) / (COUNTIF(Data!B:B, A29)),"""")"),0.42857142857142855)</f>
        <v>0.4285714286</v>
      </c>
      <c r="X29" s="39">
        <f t="shared" si="6"/>
        <v>-0.009031548222</v>
      </c>
      <c r="Y29" s="31">
        <f t="shared" si="7"/>
        <v>6.285714286</v>
      </c>
      <c r="Z29" s="31">
        <f t="shared" si="8"/>
        <v>16.28571429</v>
      </c>
      <c r="AA29" s="31">
        <f t="shared" si="9"/>
        <v>22.57142857</v>
      </c>
      <c r="AB29" s="40">
        <f t="shared" si="27"/>
        <v>-0.3049085099</v>
      </c>
      <c r="AC29" s="41">
        <f>IFERROR(__xludf.DUMMYFUNCTION("IF(AA29="""","""",MAX(Filter((Data!K:K),Data!B:B=A29)))"),13.0)</f>
        <v>13</v>
      </c>
      <c r="AD29" s="41">
        <f t="shared" si="11"/>
        <v>-0.3777776223</v>
      </c>
      <c r="AE29" s="31">
        <f t="shared" si="12"/>
        <v>9.857142857</v>
      </c>
      <c r="AF29" s="31">
        <f t="shared" si="13"/>
        <v>31</v>
      </c>
      <c r="AG29" s="42">
        <f>IF(A29="","",(((AD29)*Picklist!$P$3)+((K29)*Picklist!$P$4)+(E29*Picklist!$P$5)+(N29*Picklist!$P$6)+(X29*Picklist!$P$7)+(R29*Picklist!$P$8)))</f>
        <v>0.07173569466</v>
      </c>
      <c r="AH29" s="43">
        <f>IF(A29="","",(((AD29)*Picklist!$P$14)+((K29)*Picklist!$P$15)+(E29*Picklist!$P$16)+(N29*Picklist!$P$17)+(X29*Picklist!$P$18)+(R29*Picklist!$P$19)))</f>
        <v>0.3418987678</v>
      </c>
      <c r="AI29" s="44" t="str">
        <f>IFERROR(__xludf.DUMMYFUNCTION("TEXTJOIN("", "",TRUE, FILTER(Data!P:P, Data!B:B=A29))"),"1 side unhooked when climbing due to massive swinging. Robot stayed on high bar though, Something happened in the middle as the power behind the shots was lost so the cargo wasn't getting enough height. They also lined up to climb but then never extended "&amp;"their climber and left the hanger shortly after.")</f>
        <v>1 side unhooked when climbing due to massive swinging. Robot stayed on high bar though, Something happened in the middle as the power behind the shots was lost so the cargo wasn't getting enough height. They also lined up to climb but then never extended their climber and left the hanger shortly after.</v>
      </c>
      <c r="AJ29" s="45">
        <f t="shared" si="14"/>
        <v>8.285714286</v>
      </c>
      <c r="AK29" s="46" t="str">
        <f>IFERROR(__xludf.DUMMYFUNCTION("IF(A29&lt;&gt;"""",IFERROR(AVERAGE(FILTER('Defense Calculations'!BJ:CS,'Defense Calculations'!A:A=A29)),""""),"""")"),"")</f>
        <v/>
      </c>
      <c r="AL29" s="15" t="str">
        <f t="shared" si="15"/>
        <v/>
      </c>
      <c r="AM29" s="47"/>
      <c r="AN29" s="51"/>
      <c r="AZ29" s="15">
        <f>IFERROR(__xludf.DUMMYFUNCTION("""COMPUTED_VALUE"""),340.0)</f>
        <v>340</v>
      </c>
      <c r="BB29" s="49">
        <f t="shared" si="16"/>
        <v>8.501785714</v>
      </c>
      <c r="BC29" s="50" t="str">
        <f t="shared" si="17"/>
        <v>829</v>
      </c>
    </row>
    <row r="30">
      <c r="A30" s="15">
        <v>7457.0</v>
      </c>
      <c r="B30" s="30">
        <f>IFERROR(__xludf.DUMMYFUNCTION("IFERROR(ROUND(
(COUNTIF(FILTER(Data!O:O, Data!B:B=A30), ""Win"")
+ COUNTIF(FILTER(Data!O:O, Data!B:B=A30), {""Tie"",""Results""}))
/ (COUNTIF(Data!B:B, A30)),
2),"""")"),0.43)</f>
        <v>0.43</v>
      </c>
      <c r="C30" s="31">
        <f>IFERROR((SUMIF(Data!B:B, A30, Data!H:H)
/ (COUNTIF(Data!B:B, A30)
)),"")</f>
        <v>0</v>
      </c>
      <c r="D30" s="31">
        <f>IFERROR((SUMIF(Data!B:B, A30, Data!G:G)
/ (COUNTIF(Data!B:B, A30)
)),"")</f>
        <v>3.142857143</v>
      </c>
      <c r="E30" s="31">
        <f t="shared" si="1"/>
        <v>1.326202398</v>
      </c>
      <c r="F30" s="31">
        <f>IFERROR((SUMIF(Data!B:B, A30, Data!J:J)
/ (COUNTIF(Data!B:B, A30)
)),"")</f>
        <v>3.142857143</v>
      </c>
      <c r="G30" s="32">
        <f>IF(A30="","",IFERROR((((((SUMIF(Data!B:B, A30, Data!H:H)+(SUMIF(Data!B:B, A30,Data!G:G)))/(SUMIF(Data!B:B, A30, Data!J:J)))))),0))</f>
        <v>1</v>
      </c>
      <c r="H30" s="33">
        <f>IFERROR(__xludf.DUMMYFUNCTION("IFERROR(IF(G30="""","""",(SUM(FIlter(Filter(Data!G:G,Data!B:B=A30),(Filter(Data!J:J&lt;3,Data!B:B=A30))))+SUM((FIlter(Filter(Data!H:H,Data!B:B=A30),(Filter(Data!J:J&lt;3,Data!B:B=A30))))))/(SUM(Filter(Filter(Data!J:J,Data!B:B=A30),FILTER(Data!J:J&lt;3,Data!B:B=A30"&amp;"))))),"""")"),1.0)</f>
        <v>1</v>
      </c>
      <c r="I30" s="32">
        <f>IFERROR(__xludf.DUMMYFUNCTION("IF(A30="""","""",(COUNT(FILTER(IF(Data!G:G&lt;&gt;0,Data!G:G,IF(Data!H:H&lt;&gt;0,Data!H:H)),Data!B:B=A30)))/(COUNT(FILTER(Data!J:J,Data!B:B=A30))))"),0.8571428571428571)</f>
        <v>0.8571428571</v>
      </c>
      <c r="J30" s="32">
        <f t="shared" si="2"/>
        <v>0.9285714286</v>
      </c>
      <c r="K30" s="31">
        <f t="shared" si="3"/>
        <v>0.553508201</v>
      </c>
      <c r="L30" s="31">
        <f>IFERROR((SUMIF(Data!B:B, A30, Data!L:L)
/ (COUNTIF(Data!B:B, A30)
)),"")</f>
        <v>0</v>
      </c>
      <c r="M30" s="31">
        <f>IFERROR((SUMIF(Data!B:B, A30, Data!K:K)
/ (COUNTIF(Data!B:B, A30)
)),"")</f>
        <v>7.428571429</v>
      </c>
      <c r="N30" s="34">
        <f t="shared" si="26"/>
        <v>-0.401880007</v>
      </c>
      <c r="O30" s="32">
        <f>IF(A30="","",IFERROR((((((SUMIF(Data!B:B, A30, Data!H:H)+(SUMIF(Data!B:B, A30,Data!G:G)+(SUMIF(Data!B:B, A30,Data!L:L)+(SUMIF(Data!B:B, A30,Data!K:K)))))/(SUMIF(Data!B:B, A30, Data!M:M)+(SUMIF(Data!B:B, A30, Data!H:H)+(SUMIF(Data!B:B, A30,Data!G:G)+(SUMIF(Data!B:B, A30,Data!K:K)+(SUMIF(Data!B:B, A30,Data!L:L)))))))))),0))</f>
        <v>0.8604651163</v>
      </c>
      <c r="P30" s="35">
        <f>IFERROR(__xludf.DUMMYFUNCTION("IFERROR(((COUNTIF(FILTER(Data!N:N,Data!B:B=A30),""TRAVERSE"")*15)+(COUNTIF(FILTER(Data!N:N,Data!B:B=A30),""HIGH"")*10)+(COUNTIF(FILTER(Data!N:N,Data!B:B=A30),""MIDDLE"")*6)+(COUNTIF(FILTER(Data!N:N,Data!B:B=A30),""LOW"")*4)) / (COUNTIF(Data!B:B, A30)),"""&amp;""")"),9.0)</f>
        <v>9</v>
      </c>
      <c r="Q30" s="31">
        <f>IFERROR(__xludf.DUMMYFUNCTION("IF(P30="""","""",Average(FIlter(('Convert Name to Number'!$F$422:$Z1000),'Convert Name to Number'!$E$422:$E1000=$A30)))"),11.4)</f>
        <v>11.4</v>
      </c>
      <c r="R30" s="36">
        <f t="shared" si="5"/>
        <v>0.1856821122</v>
      </c>
      <c r="S30" s="37">
        <f>IFERROR(__xludf.DUMMYFUNCTION("IFERROR((((COUNTIF(FILTER(Data!N:N,Data!B:B=A30),""TRAVERSE""))+(COUNTIF(FILTER(Data!N:N,Data!B:B=A30),""HIGH""))+(COUNTIF(FILTER(Data!N:N,Data!B:B=A30),""MIDDLE""))+(COUNTIF(FILTER(Data!N:N,Data!B:B=A30),""LOW"")))) / (((COUNTIF(Data!B:B, A30)))-(COUNTIF"&amp;"(FILTER(Data!N:N,Data!B:B=A30),""NONE""))),IF(ISBLANK(A30),"""",0))"),1.0)</f>
        <v>1</v>
      </c>
      <c r="T30" s="32">
        <f>IFERROR(__xludf.DUMMYFUNCTION("IFERROR((COUNTIF(FILTER(Data!N:N, Data!B:B=A30),""LOW"")) / (COUNTIF(Data!B:B, A30)),"""")"),0.0)</f>
        <v>0</v>
      </c>
      <c r="U30" s="38">
        <f>IFERROR(__xludf.DUMMYFUNCTION("IFERROR((COUNTIF(FILTER(Data!N:N, Data!B:B=A30),""MIDDLE"")) / (COUNTIF(Data!B:B, A30)),"""")"),0.42857142857142855)</f>
        <v>0.4285714286</v>
      </c>
      <c r="V30" s="38">
        <f>IFERROR(__xludf.DUMMYFUNCTION("IFERROR((COUNTIF(FILTER(Data!N:N, Data!B:B=A30),""HIGH"")) / (COUNTIF(Data!B:B, A30)),"""")"),0.0)</f>
        <v>0</v>
      </c>
      <c r="W30" s="38">
        <f>IFERROR(__xludf.DUMMYFUNCTION("IFERROR((COUNTIF(FILTER(Data!N:N, Data!B:B=A30),""TRAVERSE"")) / (COUNTIF(Data!B:B, A30)),"""")"),0.42857142857142855)</f>
        <v>0.4285714286</v>
      </c>
      <c r="X30" s="39">
        <f t="shared" si="6"/>
        <v>-0.009031548222</v>
      </c>
      <c r="Y30" s="31">
        <f t="shared" si="7"/>
        <v>12.57142857</v>
      </c>
      <c r="Z30" s="31">
        <f t="shared" si="8"/>
        <v>14.85714286</v>
      </c>
      <c r="AA30" s="31">
        <f t="shared" si="9"/>
        <v>27.42857143</v>
      </c>
      <c r="AB30" s="40">
        <f t="shared" si="27"/>
        <v>-0.116625929</v>
      </c>
      <c r="AC30" s="41">
        <f>IFERROR(__xludf.DUMMYFUNCTION("IF(AA30="""","""",MAX(Filter((Data!K:K),Data!B:B=A30)))"),15.0)</f>
        <v>15</v>
      </c>
      <c r="AD30" s="41">
        <f t="shared" si="11"/>
        <v>-0.03883695182</v>
      </c>
      <c r="AE30" s="31">
        <f t="shared" si="12"/>
        <v>10.57142857</v>
      </c>
      <c r="AF30" s="31">
        <f t="shared" si="13"/>
        <v>36.42857143</v>
      </c>
      <c r="AG30" s="42">
        <f>IF(A30="","",(((AD30)*Picklist!$P$3)+((K30)*Picklist!$P$4)+(E30*Picklist!$P$5)+(N30*Picklist!$P$6)+(X30*Picklist!$P$7)+(R30*Picklist!$P$8)))</f>
        <v>0.05175967688</v>
      </c>
      <c r="AH30" s="43">
        <f>IF(A30="","",(((AD30)*Picklist!$P$14)+((K30)*Picklist!$P$15)+(E30*Picklist!$P$16)+(N30*Picklist!$P$17)+(X30*Picklist!$P$18)+(R30*Picklist!$P$19)))</f>
        <v>0.237441789</v>
      </c>
      <c r="AI30" s="44" t="str">
        <f>IFERROR(__xludf.DUMMYFUNCTION("TEXTJOIN("", "",TRUE, FILTER(Data!P:P, Data!B:B=A30))"),"went to climb a little before 30 but didnt move past mid, very slow. easy to play defense against, defended for a majority of the game")</f>
        <v>went to climb a little before 30 but didnt move past mid, very slow. easy to play defense against, defended for a majority of the game</v>
      </c>
      <c r="AJ30" s="45">
        <f t="shared" si="14"/>
        <v>7.428571429</v>
      </c>
      <c r="AK30" s="46" t="str">
        <f>IFERROR(__xludf.DUMMYFUNCTION("IF(A30&lt;&gt;"""",IFERROR(AVERAGE(FILTER('Defense Calculations'!BJ:CS,'Defense Calculations'!A:A=A30)),""""),"""")"),"")</f>
        <v/>
      </c>
      <c r="AL30" s="15" t="str">
        <f t="shared" si="15"/>
        <v/>
      </c>
      <c r="AM30" s="47"/>
      <c r="AN30" s="51"/>
      <c r="AZ30" s="15">
        <f>IFERROR(__xludf.DUMMYFUNCTION("""COMPUTED_VALUE"""),3538.0)</f>
        <v>3538</v>
      </c>
      <c r="BB30" s="49">
        <f t="shared" si="16"/>
        <v>9.096345515</v>
      </c>
      <c r="BC30" s="50" t="str">
        <f t="shared" si="17"/>
        <v>7457</v>
      </c>
    </row>
    <row r="31">
      <c r="A31" s="15">
        <v>1730.0</v>
      </c>
      <c r="B31" s="30">
        <f>IFERROR(__xludf.DUMMYFUNCTION("IFERROR(ROUND(
(COUNTIF(FILTER(Data!O:O, Data!B:B=A31), ""Win"")
+ COUNTIF(FILTER(Data!O:O, Data!B:B=A31), {""Tie"",""Results""}))
/ (COUNTIF(Data!B:B, A31)),
2),"""")"),0.57)</f>
        <v>0.57</v>
      </c>
      <c r="C31" s="31">
        <f>IFERROR((SUMIF(Data!B:B, A31, Data!H:H)
/ (COUNTIF(Data!B:B, A31)
)),"")</f>
        <v>0</v>
      </c>
      <c r="D31" s="31">
        <f>IFERROR((SUMIF(Data!B:B, A31, Data!G:G)
/ (COUNTIF(Data!B:B, A31)
)),"")</f>
        <v>1.714285714</v>
      </c>
      <c r="E31" s="31">
        <f t="shared" si="1"/>
        <v>-0.3032612993</v>
      </c>
      <c r="F31" s="31">
        <f>IFERROR((SUMIF(Data!B:B, A31, Data!J:J)
/ (COUNTIF(Data!B:B, A31)
)),"")</f>
        <v>1.714285714</v>
      </c>
      <c r="G31" s="32">
        <f>IF(A31="","",IFERROR((((((SUMIF(Data!B:B, A31, Data!H:H)+(SUMIF(Data!B:B, A31,Data!G:G)))/(SUMIF(Data!B:B, A31, Data!J:J)))))),0))</f>
        <v>1</v>
      </c>
      <c r="H31" s="33">
        <f>IFERROR(__xludf.DUMMYFUNCTION("IFERROR(IF(G31="""","""",(SUM(FIlter(Filter(Data!G:G,Data!B:B=A31),(Filter(Data!J:J&lt;3,Data!B:B=A31))))+SUM((FIlter(Filter(Data!H:H,Data!B:B=A31),(Filter(Data!J:J&lt;3,Data!B:B=A31))))))/(SUM(Filter(Filter(Data!J:J,Data!B:B=A31),FILTER(Data!J:J&lt;3,Data!B:B=A31"&amp;"))))),"""")"),1.0)</f>
        <v>1</v>
      </c>
      <c r="I31" s="32">
        <f>IFERROR(__xludf.DUMMYFUNCTION("IF(A31="""","""",(COUNT(FILTER(IF(Data!G:G&lt;&gt;0,Data!G:G,IF(Data!H:H&lt;&gt;0,Data!H:H)),Data!B:B=A31)))/(COUNT(FILTER(Data!J:J,Data!B:B=A31))))"),1.0)</f>
        <v>1</v>
      </c>
      <c r="J31" s="32">
        <f t="shared" si="2"/>
        <v>1</v>
      </c>
      <c r="K31" s="31">
        <f t="shared" si="3"/>
        <v>1.075780341</v>
      </c>
      <c r="L31" s="31">
        <f>IFERROR((SUMIF(Data!B:B, A31, Data!L:L)
/ (COUNTIF(Data!B:B, A31)
)),"")</f>
        <v>0.1428571429</v>
      </c>
      <c r="M31" s="31">
        <f>IFERROR((SUMIF(Data!B:B, A31, Data!K:K)
/ (COUNTIF(Data!B:B, A31)
)),"")</f>
        <v>7.142857143</v>
      </c>
      <c r="N31" s="34">
        <f t="shared" si="26"/>
        <v>-0.4663105641</v>
      </c>
      <c r="O31" s="32">
        <f>IF(A31="","",IFERROR((((((SUMIF(Data!B:B, A31, Data!H:H)+(SUMIF(Data!B:B, A31,Data!G:G)+(SUMIF(Data!B:B, A31,Data!L:L)+(SUMIF(Data!B:B, A31,Data!K:K)))))/(SUMIF(Data!B:B, A31, Data!M:M)+(SUMIF(Data!B:B, A31, Data!H:H)+(SUMIF(Data!B:B, A31,Data!G:G)+(SUMIF(Data!B:B, A31,Data!K:K)+(SUMIF(Data!B:B, A31,Data!L:L)))))))))),0))</f>
        <v>0.75</v>
      </c>
      <c r="P31" s="35">
        <f>IFERROR(__xludf.DUMMYFUNCTION("IFERROR(((COUNTIF(FILTER(Data!N:N,Data!B:B=A31),""TRAVERSE"")*15)+(COUNTIF(FILTER(Data!N:N,Data!B:B=A31),""HIGH"")*10)+(COUNTIF(FILTER(Data!N:N,Data!B:B=A31),""MIDDLE"")*6)+(COUNTIF(FILTER(Data!N:N,Data!B:B=A31),""LOW"")*4)) / (COUNTIF(Data!B:B, A31)),"""&amp;""")"),7.857142857142857)</f>
        <v>7.857142857</v>
      </c>
      <c r="Q31" s="31">
        <f>IFERROR(__xludf.DUMMYFUNCTION("IF(P31="""","""",Average(FIlter(('Convert Name to Number'!$F$422:$Z1000),'Convert Name to Number'!$E$422:$E1000=$A31)))"),11.0)</f>
        <v>11</v>
      </c>
      <c r="R31" s="36">
        <f t="shared" si="5"/>
        <v>0.1012011512</v>
      </c>
      <c r="S31" s="37">
        <f>IFERROR(__xludf.DUMMYFUNCTION("IFERROR((((COUNTIF(FILTER(Data!N:N,Data!B:B=A31),""TRAVERSE""))+(COUNTIF(FILTER(Data!N:N,Data!B:B=A31),""HIGH""))+(COUNTIF(FILTER(Data!N:N,Data!B:B=A31),""MIDDLE""))+(COUNTIF(FILTER(Data!N:N,Data!B:B=A31),""LOW"")))) / (((COUNTIF(Data!B:B, A31)))-(COUNTIF"&amp;"(FILTER(Data!N:N,Data!B:B=A31),""NONE""))),IF(ISBLANK(A31),"""",0))"),0.5714285714285714)</f>
        <v>0.5714285714</v>
      </c>
      <c r="T31" s="32">
        <f>IFERROR(__xludf.DUMMYFUNCTION("IFERROR((COUNTIF(FILTER(Data!N:N, Data!B:B=A31),""LOW"")) / (COUNTIF(Data!B:B, A31)),"""")"),0.0)</f>
        <v>0</v>
      </c>
      <c r="U31" s="38">
        <f>IFERROR(__xludf.DUMMYFUNCTION("IFERROR((COUNTIF(FILTER(Data!N:N, Data!B:B=A31),""MIDDLE"")) / (COUNTIF(Data!B:B, A31)),"""")"),0.0)</f>
        <v>0</v>
      </c>
      <c r="V31" s="38">
        <f>IFERROR(__xludf.DUMMYFUNCTION("IFERROR((COUNTIF(FILTER(Data!N:N, Data!B:B=A31),""HIGH"")) / (COUNTIF(Data!B:B, A31)),"""")"),0.14285714285714285)</f>
        <v>0.1428571429</v>
      </c>
      <c r="W31" s="38">
        <f>IFERROR(__xludf.DUMMYFUNCTION("IFERROR((COUNTIF(FILTER(Data!N:N, Data!B:B=A31),""TRAVERSE"")) / (COUNTIF(Data!B:B, A31)),"""")"),0.42857142857142855)</f>
        <v>0.4285714286</v>
      </c>
      <c r="X31" s="39">
        <f t="shared" si="6"/>
        <v>-0.009031548222</v>
      </c>
      <c r="Y31" s="31">
        <f t="shared" si="7"/>
        <v>6.857142857</v>
      </c>
      <c r="Z31" s="31">
        <f t="shared" si="8"/>
        <v>14.42857143</v>
      </c>
      <c r="AA31" s="31">
        <f t="shared" si="9"/>
        <v>21.28571429</v>
      </c>
      <c r="AB31" s="40">
        <f t="shared" si="27"/>
        <v>-0.4393960677</v>
      </c>
      <c r="AC31" s="41">
        <f>IFERROR(__xludf.DUMMYFUNCTION("IF(AA31="""","""",MAX(Filter((Data!K:K),Data!B:B=A31)))"),12.0)</f>
        <v>12</v>
      </c>
      <c r="AD31" s="41">
        <f t="shared" si="11"/>
        <v>-0.5472479575</v>
      </c>
      <c r="AE31" s="31">
        <f t="shared" si="12"/>
        <v>9</v>
      </c>
      <c r="AF31" s="31">
        <f t="shared" si="13"/>
        <v>29.14285714</v>
      </c>
      <c r="AG31" s="42">
        <f>IF(A31="","",(((AD31)*Picklist!$P$3)+((K31)*Picklist!$P$4)+(E31*Picklist!$P$5)+(N31*Picklist!$P$6)+(X31*Picklist!$P$7)+(R31*Picklist!$P$8)))</f>
        <v>-0.4655947036</v>
      </c>
      <c r="AH31" s="43">
        <f>IF(A31="","",(((AD31)*Picklist!$P$14)+((K31)*Picklist!$P$15)+(E31*Picklist!$P$16)+(N31*Picklist!$P$17)+(X31*Picklist!$P$18)+(R31*Picklist!$P$19)))</f>
        <v>-0.3643935524</v>
      </c>
      <c r="AI31" s="44" t="str">
        <f>IFERROR(__xludf.DUMMYFUNCTION("TEXTJOIN("", "",TRUE, FILTER(Data!P:P, Data!B:B=A31))"),"got stuck on low bar, too slow on climb, defended")</f>
        <v>got stuck on low bar, too slow on climb, defended</v>
      </c>
      <c r="AJ31" s="45">
        <f t="shared" si="14"/>
        <v>7.285714286</v>
      </c>
      <c r="AK31" s="46" t="str">
        <f>IFERROR(__xludf.DUMMYFUNCTION("IF(A31&lt;&gt;"""",IFERROR(AVERAGE(FILTER('Defense Calculations'!BJ:CS,'Defense Calculations'!A:A=A31)),""""),"""")"),"")</f>
        <v/>
      </c>
      <c r="AL31" s="15" t="str">
        <f t="shared" si="15"/>
        <v/>
      </c>
      <c r="AM31" s="47"/>
      <c r="AN31" s="51"/>
      <c r="AZ31" s="15">
        <f>IFERROR(__xludf.DUMMYFUNCTION("""COMPUTED_VALUE"""),3940.0)</f>
        <v>3940</v>
      </c>
      <c r="BB31" s="49">
        <f t="shared" si="16"/>
        <v>6.75</v>
      </c>
      <c r="BC31" s="50" t="str">
        <f t="shared" si="17"/>
        <v>1730</v>
      </c>
    </row>
    <row r="32">
      <c r="A32" s="15">
        <v>2363.0</v>
      </c>
      <c r="B32" s="30">
        <f>IFERROR(__xludf.DUMMYFUNCTION("IFERROR(ROUND(
(COUNTIF(FILTER(Data!O:O, Data!B:B=A32), ""Win"")
+ COUNTIF(FILTER(Data!O:O, Data!B:B=A32), {""Tie"",""Results""}))
/ (COUNTIF(Data!B:B, A32)),
2),"""")"),0.57)</f>
        <v>0.57</v>
      </c>
      <c r="C32" s="31">
        <f>IFERROR((SUMIF(Data!B:B, A32, Data!H:H)
/ (COUNTIF(Data!B:B, A32)
)),"")</f>
        <v>0</v>
      </c>
      <c r="D32" s="31">
        <f>IFERROR((SUMIF(Data!B:B, A32, Data!G:G)
/ (COUNTIF(Data!B:B, A32)
)),"")</f>
        <v>1.857142857</v>
      </c>
      <c r="E32" s="31">
        <f t="shared" si="1"/>
        <v>-0.1403149295</v>
      </c>
      <c r="F32" s="31">
        <f>IFERROR((SUMIF(Data!B:B, A32, Data!J:J)
/ (COUNTIF(Data!B:B, A32)
)),"")</f>
        <v>2</v>
      </c>
      <c r="G32" s="32">
        <f>IF(A32="","",IFERROR((((((SUMIF(Data!B:B, A32, Data!H:H)+(SUMIF(Data!B:B, A32,Data!G:G)))/(SUMIF(Data!B:B, A32, Data!J:J)))))),0))</f>
        <v>0.9285714286</v>
      </c>
      <c r="H32" s="33">
        <f>IFERROR(__xludf.DUMMYFUNCTION("IFERROR(IF(G32="""","""",(SUM(FIlter(Filter(Data!G:G,Data!B:B=A32),(Filter(Data!J:J&lt;3,Data!B:B=A32))))+SUM((FIlter(Filter(Data!H:H,Data!B:B=A32),(Filter(Data!J:J&lt;3,Data!B:B=A32))))))/(SUM(Filter(Filter(Data!J:J,Data!B:B=A32),FILTER(Data!J:J&lt;3,Data!B:B=A32"&amp;"))))),"""")"),1.0)</f>
        <v>1</v>
      </c>
      <c r="I32" s="32">
        <f>IFERROR(__xludf.DUMMYFUNCTION("IF(A32="""","""",(COUNT(FILTER(IF(Data!G:G&lt;&gt;0,Data!G:G,IF(Data!H:H&lt;&gt;0,Data!H:H)),Data!B:B=A32)))/(COUNT(FILTER(Data!J:J,Data!B:B=A32))))"),0.8571428571428571)</f>
        <v>0.8571428571</v>
      </c>
      <c r="J32" s="32">
        <f t="shared" si="2"/>
        <v>0.9285714286</v>
      </c>
      <c r="K32" s="31">
        <f t="shared" si="3"/>
        <v>0.553508201</v>
      </c>
      <c r="L32" s="31">
        <f>IFERROR((SUMIF(Data!B:B, A32, Data!L:L)
/ (COUNTIF(Data!B:B, A32)
)),"")</f>
        <v>0</v>
      </c>
      <c r="M32" s="31">
        <f>IFERROR((SUMIF(Data!B:B, A32, Data!K:K)
/ (COUNTIF(Data!B:B, A32)
)),"")</f>
        <v>13.14285714</v>
      </c>
      <c r="N32" s="34">
        <f t="shared" si="26"/>
        <v>0.886731135</v>
      </c>
      <c r="O32" s="32">
        <f>IF(A32="","",IFERROR((((((SUMIF(Data!B:B, A32, Data!H:H)+(SUMIF(Data!B:B, A32,Data!G:G)+(SUMIF(Data!B:B, A32,Data!L:L)+(SUMIF(Data!B:B, A32,Data!K:K)))))/(SUMIF(Data!B:B, A32, Data!M:M)+(SUMIF(Data!B:B, A32, Data!H:H)+(SUMIF(Data!B:B, A32,Data!G:G)+(SUMIF(Data!B:B, A32,Data!K:K)+(SUMIF(Data!B:B, A32,Data!L:L)))))))))),0))</f>
        <v>0.8267716535</v>
      </c>
      <c r="P32" s="35">
        <f>IFERROR(__xludf.DUMMYFUNCTION("IFERROR(((COUNTIF(FILTER(Data!N:N,Data!B:B=A32),""TRAVERSE"")*15)+(COUNTIF(FILTER(Data!N:N,Data!B:B=A32),""HIGH"")*10)+(COUNTIF(FILTER(Data!N:N,Data!B:B=A32),""MIDDLE"")*6)+(COUNTIF(FILTER(Data!N:N,Data!B:B=A32),""LOW"")*4)) / (COUNTIF(Data!B:B, A32)),"""&amp;""")"),3.4285714285714284)</f>
        <v>3.428571429</v>
      </c>
      <c r="Q32" s="31">
        <f>IFERROR(__xludf.DUMMYFUNCTION("IF(P32="""","""",Average(FIlter(('Convert Name to Number'!$F$422:$Z1000),'Convert Name to Number'!$E$422:$E1000=$A32)))"),4.8)</f>
        <v>4.8</v>
      </c>
      <c r="R32" s="36">
        <f t="shared" si="5"/>
        <v>-1.208253744</v>
      </c>
      <c r="S32" s="37">
        <f>IFERROR(__xludf.DUMMYFUNCTION("IFERROR((((COUNTIF(FILTER(Data!N:N,Data!B:B=A32),""TRAVERSE""))+(COUNTIF(FILTER(Data!N:N,Data!B:B=A32),""HIGH""))+(COUNTIF(FILTER(Data!N:N,Data!B:B=A32),""MIDDLE""))+(COUNTIF(FILTER(Data!N:N,Data!B:B=A32),""LOW"")))) / (((COUNTIF(Data!B:B, A32)))-(COUNTIF"&amp;"(FILTER(Data!N:N,Data!B:B=A32),""NONE""))),IF(ISBLANK(A32),"""",0))"),0.6666666666666666)</f>
        <v>0.6666666667</v>
      </c>
      <c r="T32" s="32">
        <f>IFERROR(__xludf.DUMMYFUNCTION("IFERROR((COUNTIF(FILTER(Data!N:N, Data!B:B=A32),""LOW"")) / (COUNTIF(Data!B:B, A32)),"""")"),0.0)</f>
        <v>0</v>
      </c>
      <c r="U32" s="38">
        <f>IFERROR(__xludf.DUMMYFUNCTION("IFERROR((COUNTIF(FILTER(Data!N:N, Data!B:B=A32),""MIDDLE"")) / (COUNTIF(Data!B:B, A32)),"""")"),0.5714285714285714)</f>
        <v>0.5714285714</v>
      </c>
      <c r="V32" s="38">
        <f>IFERROR(__xludf.DUMMYFUNCTION("IFERROR((COUNTIF(FILTER(Data!N:N, Data!B:B=A32),""HIGH"")) / (COUNTIF(Data!B:B, A32)),"""")"),0.0)</f>
        <v>0</v>
      </c>
      <c r="W32" s="38">
        <f>IFERROR(__xludf.DUMMYFUNCTION("IFERROR((COUNTIF(FILTER(Data!N:N, Data!B:B=A32),""TRAVERSE"")) / (COUNTIF(Data!B:B, A32)),"""")"),0.0)</f>
        <v>0</v>
      </c>
      <c r="X32" s="39">
        <f t="shared" si="6"/>
        <v>-1.366119838</v>
      </c>
      <c r="Y32" s="31">
        <f t="shared" si="7"/>
        <v>7.428571429</v>
      </c>
      <c r="Z32" s="31">
        <f t="shared" si="8"/>
        <v>26.28571429</v>
      </c>
      <c r="AA32" s="31">
        <f t="shared" si="9"/>
        <v>33.71428571</v>
      </c>
      <c r="AB32" s="40">
        <f t="shared" si="27"/>
        <v>0.7171969292</v>
      </c>
      <c r="AC32" s="41">
        <f>IFERROR(__xludf.DUMMYFUNCTION("IF(AA32="""","""",MAX(Filter((Data!K:K),Data!B:B=A32)))"),21.0)</f>
        <v>21</v>
      </c>
      <c r="AD32" s="41">
        <f t="shared" si="11"/>
        <v>0.9779850596</v>
      </c>
      <c r="AE32" s="31">
        <f t="shared" si="12"/>
        <v>15</v>
      </c>
      <c r="AF32" s="31">
        <f t="shared" si="13"/>
        <v>37.14285714</v>
      </c>
      <c r="AG32" s="42">
        <f>IF(A32="","",(((AD32)*Picklist!$P$3)+((K32)*Picklist!$P$4)+(E32*Picklist!$P$5)+(N32*Picklist!$P$6)+(X32*Picklist!$P$7)+(R32*Picklist!$P$8)))</f>
        <v>-0.6413283107</v>
      </c>
      <c r="AH32" s="43">
        <f>IF(A32="","",(((AD32)*Picklist!$P$14)+((K32)*Picklist!$P$15)+(E32*Picklist!$P$16)+(N32*Picklist!$P$17)+(X32*Picklist!$P$18)+(R32*Picklist!$P$19)))</f>
        <v>-1.849582055</v>
      </c>
      <c r="AI32" s="44" t="str">
        <f>IFERROR(__xludf.DUMMYFUNCTION("TEXTJOIN("", "",TRUE, FILTER(Data!P:P, Data!B:B=A32))"),"Good intake and shooter, Climber misaligned with the bar so robot didnt leave ground")</f>
        <v>Good intake and shooter, Climber misaligned with the bar so robot didnt leave ground</v>
      </c>
      <c r="AJ32" s="45">
        <f t="shared" si="14"/>
        <v>13.14285714</v>
      </c>
      <c r="AK32" s="46" t="str">
        <f>IFERROR(__xludf.DUMMYFUNCTION("IF(A32&lt;&gt;"""",IFERROR(AVERAGE(FILTER('Defense Calculations'!BJ:CS,'Defense Calculations'!A:A=A32)),""""),"""")"),"")</f>
        <v/>
      </c>
      <c r="AL32" s="15" t="str">
        <f t="shared" si="15"/>
        <v/>
      </c>
      <c r="AM32" s="47"/>
      <c r="AN32" s="51"/>
      <c r="AZ32" s="15">
        <f>IFERROR(__xludf.DUMMYFUNCTION("""COMPUTED_VALUE"""),4028.0)</f>
        <v>4028</v>
      </c>
      <c r="BB32" s="49">
        <f t="shared" si="16"/>
        <v>12.4015748</v>
      </c>
      <c r="BC32" s="50" t="str">
        <f t="shared" si="17"/>
        <v>2363</v>
      </c>
    </row>
    <row r="33">
      <c r="A33" s="15">
        <v>1024.0</v>
      </c>
      <c r="B33" s="30">
        <f>IFERROR(__xludf.DUMMYFUNCTION("IFERROR(ROUND(
(COUNTIF(FILTER(Data!O:O, Data!B:B=A33), ""Win"")
+ COUNTIF(FILTER(Data!O:O, Data!B:B=A33), {""Tie"",""Results""}))
/ (COUNTIF(Data!B:B, A33)),
2),"""")"),0.38)</f>
        <v>0.38</v>
      </c>
      <c r="C33" s="31">
        <f>IFERROR((SUMIF(Data!B:B, A33, Data!H:H)
/ (COUNTIF(Data!B:B, A33)
)),"")</f>
        <v>0</v>
      </c>
      <c r="D33" s="31">
        <f>IFERROR((SUMIF(Data!B:B, A33, Data!G:G)
/ (COUNTIF(Data!B:B, A33)
)),"")</f>
        <v>1.625</v>
      </c>
      <c r="E33" s="31">
        <f t="shared" si="1"/>
        <v>-0.4051027804</v>
      </c>
      <c r="F33" s="31">
        <f>IFERROR((SUMIF(Data!B:B, A33, Data!J:J)
/ (COUNTIF(Data!B:B, A33)
)),"")</f>
        <v>1.75</v>
      </c>
      <c r="G33" s="32">
        <f>IF(A33="","",IFERROR((((((SUMIF(Data!B:B, A33, Data!H:H)+(SUMIF(Data!B:B, A33,Data!G:G)))/(SUMIF(Data!B:B, A33, Data!J:J)))))),0))</f>
        <v>0.9285714286</v>
      </c>
      <c r="H33" s="33">
        <f>IFERROR(__xludf.DUMMYFUNCTION("IFERROR(IF(G33="""","""",(SUM(FIlter(Filter(Data!G:G,Data!B:B=A33),(Filter(Data!J:J&lt;3,Data!B:B=A33))))+SUM((FIlter(Filter(Data!H:H,Data!B:B=A33),(Filter(Data!J:J&lt;3,Data!B:B=A33))))))/(SUM(Filter(Filter(Data!J:J,Data!B:B=A33),FILTER(Data!J:J&lt;3,Data!B:B=A33"&amp;"))))),"""")"),0.9090909090909091)</f>
        <v>0.9090909091</v>
      </c>
      <c r="I33" s="32">
        <f>IFERROR(__xludf.DUMMYFUNCTION("IF(A33="""","""",(COUNT(FILTER(IF(Data!G:G&lt;&gt;0,Data!G:G,IF(Data!H:H&lt;&gt;0,Data!H:H)),Data!B:B=A33)))/(COUNT(FILTER(Data!J:J,Data!B:B=A33))))"),0.875)</f>
        <v>0.875</v>
      </c>
      <c r="J33" s="32">
        <f t="shared" si="2"/>
        <v>0.8920454545</v>
      </c>
      <c r="K33" s="31">
        <f t="shared" si="3"/>
        <v>0.2864372201</v>
      </c>
      <c r="L33" s="31">
        <f>IFERROR((SUMIF(Data!B:B, A33, Data!L:L)
/ (COUNTIF(Data!B:B, A33)
)),"")</f>
        <v>0.25</v>
      </c>
      <c r="M33" s="31">
        <f>IFERROR((SUMIF(Data!B:B, A33, Data!K:K)
/ (COUNTIF(Data!B:B, A33)
)),"")</f>
        <v>4.5</v>
      </c>
      <c r="N33" s="34">
        <f t="shared" si="26"/>
        <v>-1.062293217</v>
      </c>
      <c r="O33" s="32">
        <f>IF(A33="","",IFERROR((((((SUMIF(Data!B:B, A33, Data!H:H)+(SUMIF(Data!B:B, A33,Data!G:G)+(SUMIF(Data!B:B, A33,Data!L:L)+(SUMIF(Data!B:B, A33,Data!K:K)))))/(SUMIF(Data!B:B, A33, Data!M:M)+(SUMIF(Data!B:B, A33, Data!H:H)+(SUMIF(Data!B:B, A33,Data!G:G)+(SUMIF(Data!B:B, A33,Data!K:K)+(SUMIF(Data!B:B, A33,Data!L:L)))))))))),0))</f>
        <v>0.8095238095</v>
      </c>
      <c r="P33" s="35">
        <f>IFERROR(__xludf.DUMMYFUNCTION("IFERROR(((COUNTIF(FILTER(Data!N:N,Data!B:B=A33),""TRAVERSE"")*15)+(COUNTIF(FILTER(Data!N:N,Data!B:B=A33),""HIGH"")*10)+(COUNTIF(FILTER(Data!N:N,Data!B:B=A33),""MIDDLE"")*6)+(COUNTIF(FILTER(Data!N:N,Data!B:B=A33),""LOW"")*4)) / (COUNTIF(Data!B:B, A33)),"""&amp;""")"),11.25)</f>
        <v>11.25</v>
      </c>
      <c r="Q33" s="31">
        <f>IFERROR(__xludf.DUMMYFUNCTION("IF(P33="""","""",Average(FIlter(('Convert Name to Number'!$F$422:$Z1000),'Convert Name to Number'!$E$422:$E1000=$A33)))"),14.0)</f>
        <v>14</v>
      </c>
      <c r="R33" s="36">
        <f t="shared" si="5"/>
        <v>0.7348083586</v>
      </c>
      <c r="S33" s="37">
        <f>IFERROR(__xludf.DUMMYFUNCTION("IFERROR((((COUNTIF(FILTER(Data!N:N,Data!B:B=A33),""TRAVERSE""))+(COUNTIF(FILTER(Data!N:N,Data!B:B=A33),""HIGH""))+(COUNTIF(FILTER(Data!N:N,Data!B:B=A33),""MIDDLE""))+(COUNTIF(FILTER(Data!N:N,Data!B:B=A33),""LOW"")))) / (((COUNTIF(Data!B:B, A33)))-(COUNTIF"&amp;"(FILTER(Data!N:N,Data!B:B=A33),""NONE""))),IF(ISBLANK(A33),"""",0))"),1.0)</f>
        <v>1</v>
      </c>
      <c r="T33" s="32">
        <f>IFERROR(__xludf.DUMMYFUNCTION("IFERROR((COUNTIF(FILTER(Data!N:N, Data!B:B=A33),""LOW"")) / (COUNTIF(Data!B:B, A33)),"""")"),0.0)</f>
        <v>0</v>
      </c>
      <c r="U33" s="38">
        <f>IFERROR(__xludf.DUMMYFUNCTION("IFERROR((COUNTIF(FILTER(Data!N:N, Data!B:B=A33),""MIDDLE"")) / (COUNTIF(Data!B:B, A33)),"""")"),0.0)</f>
        <v>0</v>
      </c>
      <c r="V33" s="38">
        <f>IFERROR(__xludf.DUMMYFUNCTION("IFERROR((COUNTIF(FILTER(Data!N:N, Data!B:B=A33),""HIGH"")) / (COUNTIF(Data!B:B, A33)),"""")"),0.375)</f>
        <v>0.375</v>
      </c>
      <c r="W33" s="38">
        <f>IFERROR(__xludf.DUMMYFUNCTION("IFERROR((COUNTIF(FILTER(Data!N:N, Data!B:B=A33),""TRAVERSE"")) / (COUNTIF(Data!B:B, A33)),"""")"),0.5)</f>
        <v>0.5</v>
      </c>
      <c r="X33" s="39">
        <f t="shared" si="6"/>
        <v>0.2171498333</v>
      </c>
      <c r="Y33" s="31">
        <f t="shared" si="7"/>
        <v>6.5</v>
      </c>
      <c r="Z33" s="31">
        <f t="shared" si="8"/>
        <v>9.25</v>
      </c>
      <c r="AA33" s="31">
        <f t="shared" si="9"/>
        <v>15.75</v>
      </c>
      <c r="AB33" s="40">
        <f t="shared" si="27"/>
        <v>-0.9538109762</v>
      </c>
      <c r="AC33" s="41">
        <f>IFERROR(__xludf.DUMMYFUNCTION("IF(AA33="""","""",MAX(Filter((Data!K:K),Data!B:B=A33)))"),10.0)</f>
        <v>10</v>
      </c>
      <c r="AD33" s="41">
        <f t="shared" si="11"/>
        <v>-0.886188628</v>
      </c>
      <c r="AE33" s="31">
        <f t="shared" si="12"/>
        <v>6.375</v>
      </c>
      <c r="AF33" s="31">
        <f t="shared" si="13"/>
        <v>27</v>
      </c>
      <c r="AG33" s="42">
        <f>IF(A33="","",(((AD33)*Picklist!$P$3)+((K33)*Picklist!$P$4)+(E33*Picklist!$P$5)+(N33*Picklist!$P$6)+(X33*Picklist!$P$7)+(R33*Picklist!$P$8)))</f>
        <v>-0.8473976254</v>
      </c>
      <c r="AH33" s="43">
        <f>IF(A33="","",(((AD33)*Picklist!$P$14)+((K33)*Picklist!$P$15)+(E33*Picklist!$P$16)+(N33*Picklist!$P$17)+(X33*Picklist!$P$18)+(R33*Picklist!$P$19)))</f>
        <v>-0.1125892668</v>
      </c>
      <c r="AI33" s="44" t="str">
        <f>IFERROR(__xludf.DUMMYFUNCTION("TEXTJOIN("", "",TRUE, FILTER(Data!P:P, Data!B:B=A33))"),"played defense entire time, Fell off the middle rung once. Climbed again. Played decent defense., takes a long time to climb compared to other traversals")</f>
        <v>played defense entire time, Fell off the middle rung once. Climbed again. Played decent defense., takes a long time to climb compared to other traversals</v>
      </c>
      <c r="AJ33" s="45">
        <f t="shared" si="14"/>
        <v>4.75</v>
      </c>
      <c r="AK33" s="46" t="str">
        <f>IFERROR(__xludf.DUMMYFUNCTION("IF(A33&lt;&gt;"""",IFERROR(AVERAGE(FILTER('Defense Calculations'!BJ:CS,'Defense Calculations'!A:A=A33)),""""),"""")"),"")</f>
        <v/>
      </c>
      <c r="AL33" s="15" t="str">
        <f t="shared" si="15"/>
        <v/>
      </c>
      <c r="AM33" s="47"/>
      <c r="AN33" s="51"/>
      <c r="AZ33" s="15">
        <f>IFERROR(__xludf.DUMMYFUNCTION("""COMPUTED_VALUE"""),4099.0)</f>
        <v>4099</v>
      </c>
      <c r="BB33" s="49">
        <f t="shared" si="16"/>
        <v>5.160714286</v>
      </c>
      <c r="BC33" s="50" t="str">
        <f t="shared" si="17"/>
        <v>1024</v>
      </c>
    </row>
    <row r="34">
      <c r="A34" s="15">
        <v>4926.0</v>
      </c>
      <c r="B34" s="30">
        <f>IFERROR(__xludf.DUMMYFUNCTION("IFERROR(ROUND(
(COUNTIF(FILTER(Data!O:O, Data!B:B=A34), ""Win"")
+ COUNTIF(FILTER(Data!O:O, Data!B:B=A34), {""Tie"",""Results""}))
/ (COUNTIF(Data!B:B, A34)),
2),"""")"),0.57)</f>
        <v>0.57</v>
      </c>
      <c r="C34" s="31">
        <f>IFERROR((SUMIF(Data!B:B, A34, Data!H:H)
/ (COUNTIF(Data!B:B, A34)
)),"")</f>
        <v>0</v>
      </c>
      <c r="D34" s="31">
        <f>IFERROR((SUMIF(Data!B:B, A34, Data!G:G)
/ (COUNTIF(Data!B:B, A34)
)),"")</f>
        <v>1</v>
      </c>
      <c r="E34" s="31">
        <f t="shared" si="1"/>
        <v>-1.117993148</v>
      </c>
      <c r="F34" s="31">
        <f>IFERROR((SUMIF(Data!B:B, A34, Data!J:J)
/ (COUNTIF(Data!B:B, A34)
)),"")</f>
        <v>1.571428571</v>
      </c>
      <c r="G34" s="32">
        <f>IF(A34="","",IFERROR((((((SUMIF(Data!B:B, A34, Data!H:H)+(SUMIF(Data!B:B, A34,Data!G:G)))/(SUMIF(Data!B:B, A34, Data!J:J)))))),0))</f>
        <v>0.6363636364</v>
      </c>
      <c r="H34" s="33">
        <f>IFERROR(__xludf.DUMMYFUNCTION("IFERROR(IF(G34="""","""",(SUM(FIlter(Filter(Data!G:G,Data!B:B=A34),(Filter(Data!J:J&lt;3,Data!B:B=A34))))+SUM((FIlter(Filter(Data!H:H,Data!B:B=A34),(Filter(Data!J:J&lt;3,Data!B:B=A34))))))/(SUM(Filter(Filter(Data!J:J,Data!B:B=A34),FILTER(Data!J:J&lt;3,Data!B:B=A34"&amp;"))))),"""")"),0.6363636363636364)</f>
        <v>0.6363636364</v>
      </c>
      <c r="I34" s="32">
        <f>IFERROR(__xludf.DUMMYFUNCTION("IF(A34="""","""",(COUNT(FILTER(IF(Data!G:G&lt;&gt;0,Data!G:G,IF(Data!H:H&lt;&gt;0,Data!H:H)),Data!B:B=A34)))/(COUNT(FILTER(Data!J:J,Data!B:B=A34))))"),0.7142857142857143)</f>
        <v>0.7142857143</v>
      </c>
      <c r="J34" s="32">
        <f t="shared" si="2"/>
        <v>0.6753246753</v>
      </c>
      <c r="K34" s="31">
        <f t="shared" si="3"/>
        <v>-1.298183933</v>
      </c>
      <c r="L34" s="31">
        <f>IFERROR((SUMIF(Data!B:B, A34, Data!L:L)
/ (COUNTIF(Data!B:B, A34)
)),"")</f>
        <v>0</v>
      </c>
      <c r="M34" s="31">
        <f>IFERROR((SUMIF(Data!B:B, A34, Data!K:K)
/ (COUNTIF(Data!B:B, A34)
)),"")</f>
        <v>5.714285714</v>
      </c>
      <c r="N34" s="34">
        <f t="shared" si="26"/>
        <v>-0.7884633496</v>
      </c>
      <c r="O34" s="32">
        <f>IF(A34="","",IFERROR((((((SUMIF(Data!B:B, A34, Data!H:H)+(SUMIF(Data!B:B, A34,Data!G:G)+(SUMIF(Data!B:B, A34,Data!L:L)+(SUMIF(Data!B:B, A34,Data!K:K)))))/(SUMIF(Data!B:B, A34, Data!M:M)+(SUMIF(Data!B:B, A34, Data!H:H)+(SUMIF(Data!B:B, A34,Data!G:G)+(SUMIF(Data!B:B, A34,Data!K:K)+(SUMIF(Data!B:B, A34,Data!L:L)))))))))),0))</f>
        <v>0.8245614035</v>
      </c>
      <c r="P34" s="35">
        <f>IFERROR(__xludf.DUMMYFUNCTION("IFERROR(((COUNTIF(FILTER(Data!N:N,Data!B:B=A34),""TRAVERSE"")*15)+(COUNTIF(FILTER(Data!N:N,Data!B:B=A34),""HIGH"")*10)+(COUNTIF(FILTER(Data!N:N,Data!B:B=A34),""MIDDLE"")*6)+(COUNTIF(FILTER(Data!N:N,Data!B:B=A34),""LOW"")*4)) / (COUNTIF(Data!B:B, A34)),"""&amp;""")"),12.857142857142858)</f>
        <v>12.85714286</v>
      </c>
      <c r="Q34" s="31">
        <f>IFERROR(__xludf.DUMMYFUNCTION("IF(P34="""","""",Average(FIlter(('Convert Name to Number'!$F$422:$Z1000),'Convert Name to Number'!$E$422:$E1000=$A34)))"),14.0)</f>
        <v>14</v>
      </c>
      <c r="R34" s="36">
        <f t="shared" si="5"/>
        <v>0.7348083586</v>
      </c>
      <c r="S34" s="37">
        <f>IFERROR(__xludf.DUMMYFUNCTION("IFERROR((((COUNTIF(FILTER(Data!N:N,Data!B:B=A34),""TRAVERSE""))+(COUNTIF(FILTER(Data!N:N,Data!B:B=A34),""HIGH""))+(COUNTIF(FILTER(Data!N:N,Data!B:B=A34),""MIDDLE""))+(COUNTIF(FILTER(Data!N:N,Data!B:B=A34),""LOW"")))) / (((COUNTIF(Data!B:B, A34)))-(COUNTIF"&amp;"(FILTER(Data!N:N,Data!B:B=A34),""NONE""))),IF(ISBLANK(A34),"""",0))"),1.0)</f>
        <v>1</v>
      </c>
      <c r="T34" s="32">
        <f>IFERROR(__xludf.DUMMYFUNCTION("IFERROR((COUNTIF(FILTER(Data!N:N, Data!B:B=A34),""LOW"")) / (COUNTIF(Data!B:B, A34)),"""")"),0.0)</f>
        <v>0</v>
      </c>
      <c r="U34" s="38">
        <f>IFERROR(__xludf.DUMMYFUNCTION("IFERROR((COUNTIF(FILTER(Data!N:N, Data!B:B=A34),""MIDDLE"")) / (COUNTIF(Data!B:B, A34)),"""")"),0.0)</f>
        <v>0</v>
      </c>
      <c r="V34" s="38">
        <f>IFERROR(__xludf.DUMMYFUNCTION("IFERROR((COUNTIF(FILTER(Data!N:N, Data!B:B=A34),""HIGH"")) / (COUNTIF(Data!B:B, A34)),"""")"),0.42857142857142855)</f>
        <v>0.4285714286</v>
      </c>
      <c r="W34" s="38">
        <f>IFERROR(__xludf.DUMMYFUNCTION("IFERROR((COUNTIF(FILTER(Data!N:N, Data!B:B=A34),""TRAVERSE"")) / (COUNTIF(Data!B:B, A34)),"""")"),0.5714285714285714)</f>
        <v>0.5714285714</v>
      </c>
      <c r="X34" s="39">
        <f t="shared" si="6"/>
        <v>0.4433312149</v>
      </c>
      <c r="Y34" s="31">
        <f t="shared" si="7"/>
        <v>4</v>
      </c>
      <c r="Z34" s="31">
        <f t="shared" si="8"/>
        <v>11.42857143</v>
      </c>
      <c r="AA34" s="31">
        <f t="shared" si="9"/>
        <v>15.42857143</v>
      </c>
      <c r="AB34" s="40">
        <f t="shared" si="27"/>
        <v>-0.842858741</v>
      </c>
      <c r="AC34" s="41">
        <f>IFERROR(__xludf.DUMMYFUNCTION("IF(AA34="""","""",MAX(Filter((Data!K:K),Data!B:B=A34)))"),14.0)</f>
        <v>14</v>
      </c>
      <c r="AD34" s="41">
        <f t="shared" si="11"/>
        <v>-0.2083072871</v>
      </c>
      <c r="AE34" s="31">
        <f t="shared" si="12"/>
        <v>6.714285714</v>
      </c>
      <c r="AF34" s="31">
        <f t="shared" si="13"/>
        <v>28.28571429</v>
      </c>
      <c r="AG34" s="42">
        <f>IF(A34="","",(((AD34)*Picklist!$P$3)+((K34)*Picklist!$P$4)+(E34*Picklist!$P$5)+(N34*Picklist!$P$6)+(X34*Picklist!$P$7)+(R34*Picklist!$P$8)))</f>
        <v>-0.9326478348</v>
      </c>
      <c r="AH34" s="43">
        <f>IF(A34="","",(((AD34)*Picklist!$P$14)+((K34)*Picklist!$P$15)+(E34*Picklist!$P$16)+(N34*Picklist!$P$17)+(X34*Picklist!$P$18)+(R34*Picklist!$P$19)))</f>
        <v>-0.1978394762</v>
      </c>
      <c r="AI34" s="44" t="str">
        <f>IFERROR(__xludf.DUMMYFUNCTION("TEXTJOIN("", "",TRUE, FILTER(Data!P:P, Data!B:B=A34))"),"Near the half of the match, the bot started to go to defense.")</f>
        <v>Near the half of the match, the bot started to go to defense.</v>
      </c>
      <c r="AJ34" s="45">
        <f t="shared" si="14"/>
        <v>5.714285714</v>
      </c>
      <c r="AK34" s="46" t="str">
        <f>IFERROR(__xludf.DUMMYFUNCTION("IF(A34&lt;&gt;"""",IFERROR(AVERAGE(FILTER('Defense Calculations'!BJ:CS,'Defense Calculations'!A:A=A34)),""""),"""")"),"")</f>
        <v/>
      </c>
      <c r="AL34" s="15" t="str">
        <f t="shared" si="15"/>
        <v/>
      </c>
      <c r="AM34" s="47"/>
      <c r="AN34" s="51"/>
      <c r="AZ34" s="15">
        <f>IFERROR(__xludf.DUMMYFUNCTION("""COMPUTED_VALUE"""),4143.0)</f>
        <v>4143</v>
      </c>
      <c r="BB34" s="49">
        <f t="shared" si="16"/>
        <v>5.536340852</v>
      </c>
      <c r="BC34" s="50" t="str">
        <f t="shared" si="17"/>
        <v>4926</v>
      </c>
    </row>
    <row r="35">
      <c r="A35" s="15">
        <v>5484.0</v>
      </c>
      <c r="B35" s="30">
        <f>IFERROR(__xludf.DUMMYFUNCTION("IFERROR(ROUND(
(COUNTIF(FILTER(Data!O:O, Data!B:B=A35), ""Win"")
+ COUNTIF(FILTER(Data!O:O, Data!B:B=A35), {""Tie"",""Results""}))
/ (COUNTIF(Data!B:B, A35)),
2),"""")"),0.5)</f>
        <v>0.5</v>
      </c>
      <c r="C35" s="31">
        <f>IFERROR((SUMIF(Data!B:B, A35, Data!H:H)
/ (COUNTIF(Data!B:B, A35)
)),"")</f>
        <v>0</v>
      </c>
      <c r="D35" s="31">
        <f>IFERROR((SUMIF(Data!B:B, A35, Data!G:G)
/ (COUNTIF(Data!B:B, A35)
)),"")</f>
        <v>1.875</v>
      </c>
      <c r="E35" s="31">
        <f t="shared" si="1"/>
        <v>-0.1199466333</v>
      </c>
      <c r="F35" s="31">
        <f>IFERROR((SUMIF(Data!B:B, A35, Data!J:J)
/ (COUNTIF(Data!B:B, A35)
)),"")</f>
        <v>1.875</v>
      </c>
      <c r="G35" s="32">
        <f>IF(A35="","",IFERROR((((((SUMIF(Data!B:B, A35, Data!H:H)+(SUMIF(Data!B:B, A35,Data!G:G)))/(SUMIF(Data!B:B, A35, Data!J:J)))))),0))</f>
        <v>1</v>
      </c>
      <c r="H35" s="33">
        <f>IFERROR(__xludf.DUMMYFUNCTION("IFERROR(IF(G35="""","""",(SUM(FIlter(Filter(Data!G:G,Data!B:B=A35),(Filter(Data!J:J&lt;3,Data!B:B=A35))))+SUM((FIlter(Filter(Data!H:H,Data!B:B=A35),(Filter(Data!J:J&lt;3,Data!B:B=A35))))))/(SUM(Filter(Filter(Data!J:J,Data!B:B=A35),FILTER(Data!J:J&lt;3,Data!B:B=A35"&amp;"))))),"""")"),1.0)</f>
        <v>1</v>
      </c>
      <c r="I35" s="32">
        <f>IFERROR(__xludf.DUMMYFUNCTION("IF(A35="""","""",(COUNT(FILTER(IF(Data!G:G&lt;&gt;0,Data!G:G,IF(Data!H:H&lt;&gt;0,Data!H:H)),Data!B:B=A35)))/(COUNT(FILTER(Data!J:J,Data!B:B=A35))))"),1.0)</f>
        <v>1</v>
      </c>
      <c r="J35" s="32">
        <f t="shared" si="2"/>
        <v>1</v>
      </c>
      <c r="K35" s="31">
        <f t="shared" si="3"/>
        <v>1.075780341</v>
      </c>
      <c r="L35" s="31">
        <f>IFERROR((SUMIF(Data!B:B, A35, Data!L:L)
/ (COUNTIF(Data!B:B, A35)
)),"")</f>
        <v>0</v>
      </c>
      <c r="M35" s="31">
        <f>IFERROR((SUMIF(Data!B:B, A35, Data!K:K)
/ (COUNTIF(Data!B:B, A35)
)),"")</f>
        <v>2.5</v>
      </c>
      <c r="N35" s="34">
        <f t="shared" si="26"/>
        <v>-1.513307117</v>
      </c>
      <c r="O35" s="32">
        <f>IF(A35="","",IFERROR((((((SUMIF(Data!B:B, A35, Data!H:H)+(SUMIF(Data!B:B, A35,Data!G:G)+(SUMIF(Data!B:B, A35,Data!L:L)+(SUMIF(Data!B:B, A35,Data!K:K)))))/(SUMIF(Data!B:B, A35, Data!M:M)+(SUMIF(Data!B:B, A35, Data!H:H)+(SUMIF(Data!B:B, A35,Data!G:G)+(SUMIF(Data!B:B, A35,Data!K:K)+(SUMIF(Data!B:B, A35,Data!L:L)))))))))),0))</f>
        <v>0.8974358974</v>
      </c>
      <c r="P35" s="35">
        <f>IFERROR(__xludf.DUMMYFUNCTION("IFERROR(((COUNTIF(FILTER(Data!N:N,Data!B:B=A35),""TRAVERSE"")*15)+(COUNTIF(FILTER(Data!N:N,Data!B:B=A35),""HIGH"")*10)+(COUNTIF(FILTER(Data!N:N,Data!B:B=A35),""MIDDLE"")*6)+(COUNTIF(FILTER(Data!N:N,Data!B:B=A35),""LOW"")*4)) / (COUNTIF(Data!B:B, A35)),"""&amp;""")"),12.0)</f>
        <v>12</v>
      </c>
      <c r="Q35" s="31">
        <f>IFERROR(__xludf.DUMMYFUNCTION("IF(P35="""","""",Average(FIlter(('Convert Name to Number'!$F$422:$Z1000),'Convert Name to Number'!$E$422:$E1000=$A35)))"),15.0)</f>
        <v>15</v>
      </c>
      <c r="R35" s="36">
        <f t="shared" si="5"/>
        <v>0.946010761</v>
      </c>
      <c r="S35" s="37">
        <f>IFERROR(__xludf.DUMMYFUNCTION("IFERROR((((COUNTIF(FILTER(Data!N:N,Data!B:B=A35),""TRAVERSE""))+(COUNTIF(FILTER(Data!N:N,Data!B:B=A35),""HIGH""))+(COUNTIF(FILTER(Data!N:N,Data!B:B=A35),""MIDDLE""))+(COUNTIF(FILTER(Data!N:N,Data!B:B=A35),""LOW"")))) / (((COUNTIF(Data!B:B, A35)))-(COUNTIF"&amp;"(FILTER(Data!N:N,Data!B:B=A35),""NONE""))),IF(ISBLANK(A35),"""",0))"),1.0)</f>
        <v>1</v>
      </c>
      <c r="T35" s="32">
        <f>IFERROR(__xludf.DUMMYFUNCTION("IFERROR((COUNTIF(FILTER(Data!N:N, Data!B:B=A35),""LOW"")) / (COUNTIF(Data!B:B, A35)),"""")"),0.0)</f>
        <v>0</v>
      </c>
      <c r="U35" s="38">
        <f>IFERROR(__xludf.DUMMYFUNCTION("IFERROR((COUNTIF(FILTER(Data!N:N, Data!B:B=A35),""MIDDLE"")) / (COUNTIF(Data!B:B, A35)),"""")"),0.125)</f>
        <v>0.125</v>
      </c>
      <c r="V35" s="38">
        <f>IFERROR(__xludf.DUMMYFUNCTION("IFERROR((COUNTIF(FILTER(Data!N:N, Data!B:B=A35),""HIGH"")) / (COUNTIF(Data!B:B, A35)),"""")"),0.0)</f>
        <v>0</v>
      </c>
      <c r="W35" s="38">
        <f>IFERROR(__xludf.DUMMYFUNCTION("IFERROR((COUNTIF(FILTER(Data!N:N, Data!B:B=A35),""TRAVERSE"")) / (COUNTIF(Data!B:B, A35)),"""")"),0.75)</f>
        <v>0.75</v>
      </c>
      <c r="X35" s="39">
        <f t="shared" si="6"/>
        <v>1.008784669</v>
      </c>
      <c r="Y35" s="31">
        <f t="shared" si="7"/>
        <v>7.5</v>
      </c>
      <c r="Z35" s="31">
        <f t="shared" si="8"/>
        <v>5</v>
      </c>
      <c r="AA35" s="31">
        <f t="shared" si="9"/>
        <v>12.5</v>
      </c>
      <c r="AB35" s="40">
        <f t="shared" si="27"/>
        <v>-1.283305493</v>
      </c>
      <c r="AC35" s="41">
        <f>IFERROR(__xludf.DUMMYFUNCTION("IF(AA35="""","""",MAX(Filter((Data!K:K),Data!B:B=A35)))"),7.0)</f>
        <v>7</v>
      </c>
      <c r="AD35" s="41">
        <f t="shared" si="11"/>
        <v>-1.394599634</v>
      </c>
      <c r="AE35" s="31">
        <f t="shared" si="12"/>
        <v>4.375</v>
      </c>
      <c r="AF35" s="31">
        <f t="shared" si="13"/>
        <v>24.5</v>
      </c>
      <c r="AG35" s="42">
        <f>IF(A35="","",(((AD35)*Picklist!$P$3)+((K35)*Picklist!$P$4)+(E35*Picklist!$P$5)+(N35*Picklist!$P$6)+(X35*Picklist!$P$7)+(R35*Picklist!$P$8)))</f>
        <v>-1.074697599</v>
      </c>
      <c r="AH35" s="43">
        <f>IF(A35="","",(((AD35)*Picklist!$P$14)+((K35)*Picklist!$P$15)+(E35*Picklist!$P$16)+(N35*Picklist!$P$17)+(X35*Picklist!$P$18)+(R35*Picklist!$P$19)))</f>
        <v>-0.128686838</v>
      </c>
      <c r="AI35" s="44" t="str">
        <f>IFERROR(__xludf.DUMMYFUNCTION("TEXTJOIN("", "",TRUE, FILTER(Data!P:P, Data!B:B=A35))"),"Played defense, defense held blue ball entire match. fell off during climb but reclimbed to middle rung")</f>
        <v>Played defense, defense held blue ball entire match. fell off during climb but reclimbed to middle rung</v>
      </c>
      <c r="AJ35" s="45">
        <f t="shared" si="14"/>
        <v>2.5</v>
      </c>
      <c r="AK35" s="46" t="str">
        <f>IFERROR(__xludf.DUMMYFUNCTION("IF(A35&lt;&gt;"""",IFERROR(AVERAGE(FILTER('Defense Calculations'!BJ:CS,'Defense Calculations'!A:A=A35)),""""),"""")"),"")</f>
        <v/>
      </c>
      <c r="AL35" s="15" t="str">
        <f t="shared" si="15"/>
        <v/>
      </c>
      <c r="AM35" s="47"/>
      <c r="AN35" s="51"/>
      <c r="AZ35" s="15">
        <f>IFERROR(__xludf.DUMMYFUNCTION("""COMPUTED_VALUE"""),4265.0)</f>
        <v>4265</v>
      </c>
      <c r="BB35" s="49">
        <f t="shared" si="16"/>
        <v>3.926282051</v>
      </c>
      <c r="BC35" s="50" t="str">
        <f t="shared" si="17"/>
        <v>5484</v>
      </c>
    </row>
    <row r="36">
      <c r="A36" s="15">
        <v>503.0</v>
      </c>
      <c r="B36" s="30">
        <f>IFERROR(__xludf.DUMMYFUNCTION("IFERROR(ROUND(
(COUNTIF(FILTER(Data!O:O, Data!B:B=A36), ""Win"")
+ COUNTIF(FILTER(Data!O:O, Data!B:B=A36), {""Tie"",""Results""}))
/ (COUNTIF(Data!B:B, A36)),
2),"""")"),0.43)</f>
        <v>0.43</v>
      </c>
      <c r="C36" s="31">
        <f>IFERROR((SUMIF(Data!B:B, A36, Data!H:H)
/ (COUNTIF(Data!B:B, A36)
)),"")</f>
        <v>0</v>
      </c>
      <c r="D36" s="31">
        <f>IFERROR((SUMIF(Data!B:B, A36, Data!G:G)
/ (COUNTIF(Data!B:B, A36)
)),"")</f>
        <v>1.857142857</v>
      </c>
      <c r="E36" s="31">
        <f t="shared" si="1"/>
        <v>-0.1403149295</v>
      </c>
      <c r="F36" s="31">
        <f>IFERROR((SUMIF(Data!B:B, A36, Data!J:J)
/ (COUNTIF(Data!B:B, A36)
)),"")</f>
        <v>2.428571429</v>
      </c>
      <c r="G36" s="32">
        <f>IF(A36="","",IFERROR((((((SUMIF(Data!B:B, A36, Data!H:H)+(SUMIF(Data!B:B, A36,Data!G:G)))/(SUMIF(Data!B:B, A36, Data!J:J)))))),0))</f>
        <v>0.7647058824</v>
      </c>
      <c r="H36" s="33">
        <f>IFERROR(__xludf.DUMMYFUNCTION("IFERROR(IF(G36="""","""",(SUM(FIlter(Filter(Data!G:G,Data!B:B=A36),(Filter(Data!J:J&lt;3,Data!B:B=A36))))+SUM((FIlter(Filter(Data!H:H,Data!B:B=A36),(Filter(Data!J:J&lt;3,Data!B:B=A36))))))/(SUM(Filter(Filter(Data!J:J,Data!B:B=A36),FILTER(Data!J:J&lt;3,Data!B:B=A36"&amp;"))))),"""")"),0.8)</f>
        <v>0.8</v>
      </c>
      <c r="I36" s="32">
        <f>IFERROR(__xludf.DUMMYFUNCTION("IF(A36="""","""",(COUNT(FILTER(IF(Data!G:G&lt;&gt;0,Data!G:G,IF(Data!H:H&lt;&gt;0,Data!H:H)),Data!B:B=A36)))/(COUNT(FILTER(Data!J:J,Data!B:B=A36))))"),0.7142857142857143)</f>
        <v>0.7142857143</v>
      </c>
      <c r="J36" s="32">
        <f t="shared" si="2"/>
        <v>0.7571428571</v>
      </c>
      <c r="K36" s="31">
        <f t="shared" si="3"/>
        <v>-0.6999449361</v>
      </c>
      <c r="L36" s="31">
        <f>IFERROR((SUMIF(Data!B:B, A36, Data!L:L)
/ (COUNTIF(Data!B:B, A36)
)),"")</f>
        <v>0</v>
      </c>
      <c r="M36" s="31">
        <f>IFERROR((SUMIF(Data!B:B, A36, Data!K:K)
/ (COUNTIF(Data!B:B, A36)
)),"")</f>
        <v>6.428571429</v>
      </c>
      <c r="N36" s="34">
        <f>IF(M36="","",((M36-$AX$3)/$AX$5))</f>
        <v>-0.6273869568</v>
      </c>
      <c r="O36" s="32">
        <f>IF(A36="","",IFERROR((((((SUMIF(Data!B:B, A36, Data!H:H)+(SUMIF(Data!B:B, A36,Data!G:G)+(SUMIF(Data!B:B, A36,Data!L:L)+(SUMIF(Data!B:B, A36,Data!K:K)))))/(SUMIF(Data!B:B, A36, Data!M:M)+(SUMIF(Data!B:B, A36, Data!H:H)+(SUMIF(Data!B:B, A36,Data!G:G)+(SUMIF(Data!B:B, A36,Data!K:K)+(SUMIF(Data!B:B, A36,Data!L:L)))))))))),0))</f>
        <v>0.6590909091</v>
      </c>
      <c r="P36" s="35">
        <f>IFERROR(__xludf.DUMMYFUNCTION("IFERROR(((COUNTIF(FILTER(Data!N:N,Data!B:B=A36),""TRAVERSE"")*15)+(COUNTIF(FILTER(Data!N:N,Data!B:B=A36),""HIGH"")*10)+(COUNTIF(FILTER(Data!N:N,Data!B:B=A36),""MIDDLE"")*6)+(COUNTIF(FILTER(Data!N:N,Data!B:B=A36),""LOW"")*4)) / (COUNTIF(Data!B:B, A36)),"""&amp;""")"),9.428571428571429)</f>
        <v>9.428571429</v>
      </c>
      <c r="Q36" s="31">
        <f>IFERROR(__xludf.DUMMYFUNCTION("IF(P36="""","""",Average(FIlter(('Convert Name to Number'!$F$422:$Z1000),'Convert Name to Number'!$E$422:$E1000=$A36)))"),13.2)</f>
        <v>13.2</v>
      </c>
      <c r="R36" s="36">
        <f t="shared" si="5"/>
        <v>0.5658464366</v>
      </c>
      <c r="S36" s="37">
        <f>IFERROR(__xludf.DUMMYFUNCTION("IFERROR((((COUNTIF(FILTER(Data!N:N,Data!B:B=A36),""TRAVERSE""))+(COUNTIF(FILTER(Data!N:N,Data!B:B=A36),""HIGH""))+(COUNTIF(FILTER(Data!N:N,Data!B:B=A36),""MIDDLE""))+(COUNTIF(FILTER(Data!N:N,Data!B:B=A36),""LOW"")))) / (((COUNTIF(Data!B:B, A36)))-(COUNTIF"&amp;"(FILTER(Data!N:N,Data!B:B=A36),""NONE""))),IF(ISBLANK(A36),"""",0))"),0.8333333333333334)</f>
        <v>0.8333333333</v>
      </c>
      <c r="T36" s="32">
        <f>IFERROR(__xludf.DUMMYFUNCTION("IFERROR((COUNTIF(FILTER(Data!N:N, Data!B:B=A36),""LOW"")) / (COUNTIF(Data!B:B, A36)),"""")"),0.0)</f>
        <v>0</v>
      </c>
      <c r="U36" s="38">
        <f>IFERROR(__xludf.DUMMYFUNCTION("IFERROR((COUNTIF(FILTER(Data!N:N, Data!B:B=A36),""MIDDLE"")) / (COUNTIF(Data!B:B, A36)),"""")"),0.14285714285714285)</f>
        <v>0.1428571429</v>
      </c>
      <c r="V36" s="38">
        <f>IFERROR(__xludf.DUMMYFUNCTION("IFERROR((COUNTIF(FILTER(Data!N:N, Data!B:B=A36),""HIGH"")) / (COUNTIF(Data!B:B, A36)),"""")"),0.0)</f>
        <v>0</v>
      </c>
      <c r="W36" s="38">
        <f>IFERROR(__xludf.DUMMYFUNCTION("IFERROR((COUNTIF(FILTER(Data!N:N, Data!B:B=A36),""TRAVERSE"")) / (COUNTIF(Data!B:B, A36)),"""")"),0.5714285714285714)</f>
        <v>0.5714285714</v>
      </c>
      <c r="X36" s="39">
        <f t="shared" si="6"/>
        <v>0.4433312149</v>
      </c>
      <c r="Y36" s="31">
        <f t="shared" si="7"/>
        <v>7.428571429</v>
      </c>
      <c r="Z36" s="31">
        <f t="shared" si="8"/>
        <v>12.85714286</v>
      </c>
      <c r="AA36" s="31">
        <f t="shared" si="9"/>
        <v>20.28571429</v>
      </c>
      <c r="AB36" s="40">
        <f>IF(A36="","",((M36+D36)-$AR$3)/$AR$5)</f>
        <v>-0.5469861139</v>
      </c>
      <c r="AC36" s="41">
        <f>IFERROR(__xludf.DUMMYFUNCTION("IF(AA36="""","""",MAX(Filter((Data!K:K),Data!B:B=A36)))"),9.0)</f>
        <v>9</v>
      </c>
      <c r="AD36" s="41">
        <f t="shared" si="11"/>
        <v>-1.055658963</v>
      </c>
      <c r="AE36" s="31">
        <f t="shared" si="12"/>
        <v>8.285714286</v>
      </c>
      <c r="AF36" s="31">
        <f t="shared" si="13"/>
        <v>29.71428571</v>
      </c>
      <c r="AG36" s="42">
        <f>IF(A36="","",(((AD36)*Picklist!$P$3)+((K36)*Picklist!$P$4)+(E36*Picklist!$P$5)+(N36*Picklist!$P$6)+(X36*Picklist!$P$7)+(R36*Picklist!$P$8)))</f>
        <v>-1.374379023</v>
      </c>
      <c r="AH36" s="43">
        <f>IF(A36="","",(((AD36)*Picklist!$P$14)+((K36)*Picklist!$P$15)+(E36*Picklist!$P$16)+(N36*Picklist!$P$17)+(X36*Picklist!$P$18)+(R36*Picklist!$P$19)))</f>
        <v>-0.8085325868</v>
      </c>
      <c r="AI36" s="44" t="str">
        <f>IFERROR(__xludf.DUMMYFUNCTION("TEXTJOIN("", "",TRUE, FILTER(Data!P:P, Data!B:B=A36))"),"defended, started climb at 14 sec")</f>
        <v>defended, started climb at 14 sec</v>
      </c>
      <c r="AJ36" s="45">
        <f t="shared" si="14"/>
        <v>6.428571429</v>
      </c>
      <c r="AK36" s="46" t="str">
        <f>IFERROR(__xludf.DUMMYFUNCTION("IF(A36&lt;&gt;"""",IFERROR(AVERAGE(FILTER('Defense Calculations'!BJ:CS,'Defense Calculations'!A:A=A36)),""""),"""")"),"")</f>
        <v/>
      </c>
      <c r="AL36" s="15" t="str">
        <f t="shared" si="15"/>
        <v/>
      </c>
      <c r="AM36" s="47"/>
      <c r="AN36" s="51"/>
      <c r="AZ36" s="15">
        <f>IFERROR(__xludf.DUMMYFUNCTION("""COMPUTED_VALUE"""),4499.0)</f>
        <v>4499</v>
      </c>
      <c r="BB36" s="49">
        <f t="shared" si="16"/>
        <v>5.461038961</v>
      </c>
      <c r="BC36" s="50" t="str">
        <f t="shared" si="17"/>
        <v>503</v>
      </c>
    </row>
    <row r="37">
      <c r="A37" s="15">
        <v>2075.0</v>
      </c>
      <c r="B37" s="30">
        <f>IFERROR(__xludf.DUMMYFUNCTION("IFERROR(ROUND(
(COUNTIF(FILTER(Data!O:O, Data!B:B=A37), ""Win"")
+ COUNTIF(FILTER(Data!O:O, Data!B:B=A37), {""Tie"",""Results""}))
/ (COUNTIF(Data!B:B, A37)),
2),"""")"),0.5)</f>
        <v>0.5</v>
      </c>
      <c r="C37" s="31">
        <f>IFERROR((SUMIF(Data!B:B, A37, Data!H:H)
/ (COUNTIF(Data!B:B, A37)
)),"")</f>
        <v>0</v>
      </c>
      <c r="D37" s="31">
        <f>IFERROR((SUMIF(Data!B:B, A37, Data!G:G)
/ (COUNTIF(Data!B:B, A37)
)),"")</f>
        <v>2.5</v>
      </c>
      <c r="E37" s="31">
        <f t="shared" si="1"/>
        <v>0.5929437344</v>
      </c>
      <c r="F37" s="31">
        <f>IFERROR((SUMIF(Data!B:B, A37, Data!J:J)
/ (COUNTIF(Data!B:B, A37)
)),"")</f>
        <v>3</v>
      </c>
      <c r="G37" s="32">
        <f>IF(A37="","",IFERROR((((((SUMIF(Data!B:B, A37, Data!H:H)+(SUMIF(Data!B:B, A37,Data!G:G)))/(SUMIF(Data!B:B, A37, Data!J:J)))))),0))</f>
        <v>0.8333333333</v>
      </c>
      <c r="H37" s="33">
        <f>IFERROR(__xludf.DUMMYFUNCTION("IFERROR(IF(G37="""","""",(SUM(FIlter(Filter(Data!G:G,Data!B:B=A37),(Filter(Data!J:J&lt;3,Data!B:B=A37))))+SUM((FIlter(Filter(Data!H:H,Data!B:B=A37),(Filter(Data!J:J&lt;3,Data!B:B=A37))))))/(SUM(Filter(Filter(Data!J:J,Data!B:B=A37),FILTER(Data!J:J&lt;3,Data!B:B=A37"&amp;"))))),"""")"),0.875)</f>
        <v>0.875</v>
      </c>
      <c r="I37" s="32">
        <f>IFERROR(__xludf.DUMMYFUNCTION("IF(A37="""","""",(COUNT(FILTER(IF(Data!G:G&lt;&gt;0,Data!G:G,IF(Data!H:H&lt;&gt;0,Data!H:H)),Data!B:B=A37)))/(COUNT(FILTER(Data!J:J,Data!B:B=A37))))"),1.0)</f>
        <v>1</v>
      </c>
      <c r="J37" s="32">
        <f t="shared" si="2"/>
        <v>0.9375</v>
      </c>
      <c r="K37" s="31">
        <f t="shared" si="3"/>
        <v>0.6187922186</v>
      </c>
      <c r="L37" s="31">
        <f>IFERROR((SUMIF(Data!B:B, A37, Data!L:L)
/ (COUNTIF(Data!B:B, A37)
)),"")</f>
        <v>0</v>
      </c>
      <c r="M37" s="31">
        <f>IFERROR((SUMIF(Data!B:B, A37, Data!K:K)
/ (COUNTIF(Data!B:B, A37)
)),"")</f>
        <v>11.625</v>
      </c>
      <c r="N37" s="34">
        <f t="shared" ref="N37:N47" si="28">IFERROR(IF(M37="","",((M37-$AX$3)/$AX$5)),"")</f>
        <v>0.5444438004</v>
      </c>
      <c r="O37" s="32">
        <f>IF(A37="","",IFERROR((((((SUMIF(Data!B:B, A37, Data!H:H)+(SUMIF(Data!B:B, A37,Data!G:G)+(SUMIF(Data!B:B, A37,Data!L:L)+(SUMIF(Data!B:B, A37,Data!K:K)))))/(SUMIF(Data!B:B, A37, Data!M:M)+(SUMIF(Data!B:B, A37, Data!H:H)+(SUMIF(Data!B:B, A37,Data!G:G)+(SUMIF(Data!B:B, A37,Data!K:K)+(SUMIF(Data!B:B, A37,Data!L:L)))))))))),0))</f>
        <v>0.8308823529</v>
      </c>
      <c r="P37" s="35">
        <f>IFERROR(__xludf.DUMMYFUNCTION("IFERROR(((COUNTIF(FILTER(Data!N:N,Data!B:B=A37),""TRAVERSE"")*15)+(COUNTIF(FILTER(Data!N:N,Data!B:B=A37),""HIGH"")*10)+(COUNTIF(FILTER(Data!N:N,Data!B:B=A37),""MIDDLE"")*6)+(COUNTIF(FILTER(Data!N:N,Data!B:B=A37),""LOW"")*4)) / (COUNTIF(Data!B:B, A37)),"""&amp;""")"),2.75)</f>
        <v>2.75</v>
      </c>
      <c r="Q37" s="31">
        <f>IFERROR(__xludf.DUMMYFUNCTION("IF(P37="""","""",Average(FIlter(('Convert Name to Number'!$F$422:$Z1000),'Convert Name to Number'!$E$422:$E1000=$A37)))"),4.4)</f>
        <v>4.4</v>
      </c>
      <c r="R37" s="36">
        <f t="shared" si="5"/>
        <v>-1.292734705</v>
      </c>
      <c r="S37" s="37">
        <f>IFERROR(__xludf.DUMMYFUNCTION("IFERROR((((COUNTIF(FILTER(Data!N:N,Data!B:B=A37),""TRAVERSE""))+(COUNTIF(FILTER(Data!N:N,Data!B:B=A37),""HIGH""))+(COUNTIF(FILTER(Data!N:N,Data!B:B=A37),""MIDDLE""))+(COUNTIF(FILTER(Data!N:N,Data!B:B=A37),""LOW"")))) / (((COUNTIF(Data!B:B, A37)))-(COUNTIF"&amp;"(FILTER(Data!N:N,Data!B:B=A37),""NONE""))),IF(ISBLANK(A37),"""",0))"),0.75)</f>
        <v>0.75</v>
      </c>
      <c r="T37" s="32">
        <f>IFERROR(__xludf.DUMMYFUNCTION("IFERROR((COUNTIF(FILTER(Data!N:N, Data!B:B=A37),""LOW"")) / (COUNTIF(Data!B:B, A37)),"""")"),0.0)</f>
        <v>0</v>
      </c>
      <c r="U37" s="38">
        <f>IFERROR(__xludf.DUMMYFUNCTION("IFERROR((COUNTIF(FILTER(Data!N:N, Data!B:B=A37),""MIDDLE"")) / (COUNTIF(Data!B:B, A37)),"""")"),0.25)</f>
        <v>0.25</v>
      </c>
      <c r="V37" s="38">
        <f>IFERROR(__xludf.DUMMYFUNCTION("IFERROR((COUNTIF(FILTER(Data!N:N, Data!B:B=A37),""HIGH"")) / (COUNTIF(Data!B:B, A37)),"""")"),0.125)</f>
        <v>0.125</v>
      </c>
      <c r="W37" s="38">
        <f>IFERROR(__xludf.DUMMYFUNCTION("IFERROR((COUNTIF(FILTER(Data!N:N, Data!B:B=A37),""TRAVERSE"")) / (COUNTIF(Data!B:B, A37)),"""")"),0.0)</f>
        <v>0</v>
      </c>
      <c r="X37" s="39">
        <f t="shared" si="6"/>
        <v>-1.366119838</v>
      </c>
      <c r="Y37" s="31">
        <f t="shared" si="7"/>
        <v>10</v>
      </c>
      <c r="Z37" s="31">
        <f t="shared" si="8"/>
        <v>23.25</v>
      </c>
      <c r="AA37" s="31">
        <f t="shared" si="9"/>
        <v>33.25</v>
      </c>
      <c r="AB37" s="40">
        <f t="shared" ref="AB37:AB52" si="29">IFERROR(IF(A37="","",((M37+D37)-$AR$3)/$AR$5),"")</f>
        <v>0.5524496709</v>
      </c>
      <c r="AC37" s="41">
        <f>IFERROR(__xludf.DUMMYFUNCTION("IF(AA37="""","""",MAX(Filter((Data!K:K),Data!B:B=A37)))"),20.0)</f>
        <v>20</v>
      </c>
      <c r="AD37" s="41">
        <f t="shared" si="11"/>
        <v>0.8085147243</v>
      </c>
      <c r="AE37" s="31">
        <f t="shared" si="12"/>
        <v>14.125</v>
      </c>
      <c r="AF37" s="31">
        <f t="shared" si="13"/>
        <v>36</v>
      </c>
      <c r="AG37" s="42">
        <f>IF(A37="","",(((AD37)*Picklist!$P$3)+((K37)*Picklist!$P$4)+(E37*Picklist!$P$5)+(N37*Picklist!$P$6)+(X37*Picklist!$P$7)+(R37*Picklist!$P$8)))</f>
        <v>-2.110300476</v>
      </c>
      <c r="AH37" s="43">
        <f>IF(A37="","",(((AD37)*Picklist!$P$14)+((K37)*Picklist!$P$15)+(E37*Picklist!$P$16)+(N37*Picklist!$P$17)+(X37*Picklist!$P$18)+(R37*Picklist!$P$19)))</f>
        <v>-3.403035181</v>
      </c>
      <c r="AI37" s="44" t="str">
        <f>IFERROR(__xludf.DUMMYFUNCTION("TEXTJOIN("", "",TRUE, FILTER(Data!P:P, Data!B:B=A37))"),"the missed shot in auto was the human player not rolling cargo in time, Was defended while shooting. Too slow on climb. Tried to intake a ball a teammate was in the process of intaking, played well while getting defended")</f>
        <v>the missed shot in auto was the human player not rolling cargo in time, Was defended while shooting. Too slow on climb. Tried to intake a ball a teammate was in the process of intaking, played well while getting defended</v>
      </c>
      <c r="AJ37" s="45">
        <f t="shared" si="14"/>
        <v>11.625</v>
      </c>
      <c r="AK37" s="46" t="str">
        <f>IFERROR(__xludf.DUMMYFUNCTION("IF(A37&lt;&gt;"""",IFERROR(AVERAGE(FILTER('Defense Calculations'!BJ:CS,'Defense Calculations'!A:A=A37)),""""),"""")"),"")</f>
        <v/>
      </c>
      <c r="AL37" s="15" t="str">
        <f t="shared" si="15"/>
        <v/>
      </c>
      <c r="AM37" s="47"/>
      <c r="AN37" s="51"/>
      <c r="AZ37" s="15">
        <f>IFERROR(__xludf.DUMMYFUNCTION("""COMPUTED_VALUE"""),4635.0)</f>
        <v>4635</v>
      </c>
      <c r="BB37" s="49">
        <f t="shared" si="16"/>
        <v>11.73621324</v>
      </c>
      <c r="BC37" s="50" t="str">
        <f t="shared" si="17"/>
        <v>2075</v>
      </c>
    </row>
    <row r="38">
      <c r="A38" s="15">
        <v>1987.0</v>
      </c>
      <c r="B38" s="30">
        <f>IFERROR(__xludf.DUMMYFUNCTION("IFERROR(ROUND(
(COUNTIF(FILTER(Data!O:O, Data!B:B=A38), ""Win"")
+ COUNTIF(FILTER(Data!O:O, Data!B:B=A38), {""Tie"",""Results""}))
/ (COUNTIF(Data!B:B, A38)),
2),"""")"),0.5)</f>
        <v>0.5</v>
      </c>
      <c r="C38" s="31">
        <f>IFERROR((SUMIF(Data!B:B, A38, Data!H:H)
/ (COUNTIF(Data!B:B, A38)
)),"")</f>
        <v>0</v>
      </c>
      <c r="D38" s="31">
        <f>IFERROR((SUMIF(Data!B:B, A38, Data!G:G)
/ (COUNTIF(Data!B:B, A38)
)),"")</f>
        <v>1.875</v>
      </c>
      <c r="E38" s="31">
        <f t="shared" si="1"/>
        <v>-0.1199466333</v>
      </c>
      <c r="F38" s="31">
        <f>IFERROR((SUMIF(Data!B:B, A38, Data!J:J)
/ (COUNTIF(Data!B:B, A38)
)),"")</f>
        <v>2</v>
      </c>
      <c r="G38" s="32">
        <f>IF(A38="","",IFERROR((((((SUMIF(Data!B:B, A38, Data!H:H)+(SUMIF(Data!B:B, A38,Data!G:G)))/(SUMIF(Data!B:B, A38, Data!J:J)))))),0))</f>
        <v>0.9375</v>
      </c>
      <c r="H38" s="33">
        <f>IFERROR(__xludf.DUMMYFUNCTION("IFERROR(IF(G38="""","""",(SUM(FIlter(Filter(Data!G:G,Data!B:B=A38),(Filter(Data!J:J&lt;3,Data!B:B=A38))))+SUM((FIlter(Filter(Data!H:H,Data!B:B=A38),(Filter(Data!J:J&lt;3,Data!B:B=A38))))))/(SUM(Filter(Filter(Data!J:J,Data!B:B=A38),FILTER(Data!J:J&lt;3,Data!B:B=A38"&amp;"))))),"""")"),0.9230769230769231)</f>
        <v>0.9230769231</v>
      </c>
      <c r="I38" s="32">
        <f>IFERROR(__xludf.DUMMYFUNCTION("IF(A38="""","""",(COUNT(FILTER(IF(Data!G:G&lt;&gt;0,Data!G:G,IF(Data!H:H&lt;&gt;0,Data!H:H)),Data!B:B=A38)))/(COUNT(FILTER(Data!J:J,Data!B:B=A38))))"),0.875)</f>
        <v>0.875</v>
      </c>
      <c r="J38" s="32">
        <f t="shared" si="2"/>
        <v>0.8990384615</v>
      </c>
      <c r="K38" s="31">
        <f t="shared" si="3"/>
        <v>0.3375687583</v>
      </c>
      <c r="L38" s="31">
        <f>IFERROR((SUMIF(Data!B:B, A38, Data!L:L)
/ (COUNTIF(Data!B:B, A38)
)),"")</f>
        <v>0</v>
      </c>
      <c r="M38" s="31">
        <f>IFERROR((SUMIF(Data!B:B, A38, Data!K:K)
/ (COUNTIF(Data!B:B, A38)
)),"")</f>
        <v>9.625</v>
      </c>
      <c r="N38" s="34">
        <f t="shared" si="28"/>
        <v>0.09342990073</v>
      </c>
      <c r="O38" s="32">
        <f>IF(A38="","",IFERROR((((((SUMIF(Data!B:B, A38, Data!H:H)+(SUMIF(Data!B:B, A38,Data!G:G)+(SUMIF(Data!B:B, A38,Data!L:L)+(SUMIF(Data!B:B, A38,Data!K:K)))))/(SUMIF(Data!B:B, A38, Data!M:M)+(SUMIF(Data!B:B, A38, Data!H:H)+(SUMIF(Data!B:B, A38,Data!G:G)+(SUMIF(Data!B:B, A38,Data!K:K)+(SUMIF(Data!B:B, A38,Data!L:L)))))))))),0))</f>
        <v>0.9108910891</v>
      </c>
      <c r="P38" s="35">
        <f>IFERROR(__xludf.DUMMYFUNCTION("IFERROR(((COUNTIF(FILTER(Data!N:N,Data!B:B=A38),""TRAVERSE"")*15)+(COUNTIF(FILTER(Data!N:N,Data!B:B=A38),""HIGH"")*10)+(COUNTIF(FILTER(Data!N:N,Data!B:B=A38),""MIDDLE"")*6)+(COUNTIF(FILTER(Data!N:N,Data!B:B=A38),""LOW"")*4)) / (COUNTIF(Data!B:B, A38)),"""&amp;""")"),4.5)</f>
        <v>4.5</v>
      </c>
      <c r="Q38" s="31">
        <f>IFERROR(__xludf.DUMMYFUNCTION("IF(P38="""","""",Average(FIlter(('Convert Name to Number'!$F$422:$Z1000),'Convert Name to Number'!$E$422:$E1000=$A38)))"),7.2)</f>
        <v>7.2</v>
      </c>
      <c r="R38" s="36">
        <f t="shared" si="5"/>
        <v>-0.7013679782</v>
      </c>
      <c r="S38" s="37">
        <f>IFERROR(__xludf.DUMMYFUNCTION("IFERROR((((COUNTIF(FILTER(Data!N:N,Data!B:B=A38),""TRAVERSE""))+(COUNTIF(FILTER(Data!N:N,Data!B:B=A38),""HIGH""))+(COUNTIF(FILTER(Data!N:N,Data!B:B=A38),""MIDDLE""))+(COUNTIF(FILTER(Data!N:N,Data!B:B=A38),""LOW"")))) / (((COUNTIF(Data!B:B, A38)))-(COUNTIF"&amp;"(FILTER(Data!N:N,Data!B:B=A38),""NONE""))),IF(ISBLANK(A38),"""",0))"),0.6)</f>
        <v>0.6</v>
      </c>
      <c r="T38" s="32">
        <f>IFERROR(__xludf.DUMMYFUNCTION("IFERROR((COUNTIF(FILTER(Data!N:N, Data!B:B=A38),""LOW"")) / (COUNTIF(Data!B:B, A38)),"""")"),0.0)</f>
        <v>0</v>
      </c>
      <c r="U38" s="38">
        <f>IFERROR(__xludf.DUMMYFUNCTION("IFERROR((COUNTIF(FILTER(Data!N:N, Data!B:B=A38),""MIDDLE"")) / (COUNTIF(Data!B:B, A38)),"""")"),0.125)</f>
        <v>0.125</v>
      </c>
      <c r="V38" s="38">
        <f>IFERROR(__xludf.DUMMYFUNCTION("IFERROR((COUNTIF(FILTER(Data!N:N, Data!B:B=A38),""HIGH"")) / (COUNTIF(Data!B:B, A38)),"""")"),0.0)</f>
        <v>0</v>
      </c>
      <c r="W38" s="38">
        <f>IFERROR(__xludf.DUMMYFUNCTION("IFERROR((COUNTIF(FILTER(Data!N:N, Data!B:B=A38),""TRAVERSE"")) / (COUNTIF(Data!B:B, A38)),"""")"),0.25)</f>
        <v>0.25</v>
      </c>
      <c r="X38" s="39">
        <f t="shared" si="6"/>
        <v>-0.5744850021</v>
      </c>
      <c r="Y38" s="31">
        <f t="shared" si="7"/>
        <v>7.5</v>
      </c>
      <c r="Z38" s="31">
        <f t="shared" si="8"/>
        <v>19.25</v>
      </c>
      <c r="AA38" s="31">
        <f t="shared" si="9"/>
        <v>26.75</v>
      </c>
      <c r="AB38" s="40">
        <f t="shared" si="29"/>
        <v>0.0582078961</v>
      </c>
      <c r="AC38" s="41">
        <f>IFERROR(__xludf.DUMMYFUNCTION("IF(AA38="""","""",MAX(Filter((Data!K:K),Data!B:B=A38)))"),14.0)</f>
        <v>14</v>
      </c>
      <c r="AD38" s="41">
        <f t="shared" si="11"/>
        <v>-0.2083072871</v>
      </c>
      <c r="AE38" s="31">
        <f t="shared" si="12"/>
        <v>11.5</v>
      </c>
      <c r="AF38" s="31">
        <f t="shared" si="13"/>
        <v>31.25</v>
      </c>
      <c r="AG38" s="42">
        <f>IF(A38="","",(((AD38)*Picklist!$P$3)+((K38)*Picklist!$P$4)+(E38*Picklist!$P$5)+(N38*Picklist!$P$6)+(X38*Picklist!$P$7)+(R38*Picklist!$P$8)))</f>
        <v>-2.395920739</v>
      </c>
      <c r="AH38" s="43">
        <f>IF(A38="","",(((AD38)*Picklist!$P$14)+((K38)*Picklist!$P$15)+(E38*Picklist!$P$16)+(N38*Picklist!$P$17)+(X38*Picklist!$P$18)+(R38*Picklist!$P$19)))</f>
        <v>-3.097288717</v>
      </c>
      <c r="AI38" s="44" t="str">
        <f>IFERROR(__xludf.DUMMYFUNCTION("TEXTJOIN("", "",TRUE, FILTER(Data!P:P, Data!B:B=A38))"),"2 black semitransparent pieces fell off during the match., had plenty of time to climb but must have grabbed wrong because it just gave up, minor brownout at the end, but normal otherwise, switched to defense. intake error maybe")</f>
        <v>2 black semitransparent pieces fell off during the match., had plenty of time to climb but must have grabbed wrong because it just gave up, minor brownout at the end, but normal otherwise, switched to defense. intake error maybe</v>
      </c>
      <c r="AJ38" s="45">
        <f t="shared" si="14"/>
        <v>9.625</v>
      </c>
      <c r="AK38" s="46" t="str">
        <f>IFERROR(__xludf.DUMMYFUNCTION("IF(A38&lt;&gt;"""",IFERROR(AVERAGE(FILTER('Defense Calculations'!BJ:CS,'Defense Calculations'!A:A=A38)),""""),"""")"),"")</f>
        <v/>
      </c>
      <c r="AL38" s="15" t="str">
        <f t="shared" si="15"/>
        <v/>
      </c>
      <c r="AM38" s="47"/>
      <c r="AN38" s="51"/>
      <c r="AZ38" s="15">
        <f>IFERROR(__xludf.DUMMYFUNCTION("""COMPUTED_VALUE"""),4926.0)</f>
        <v>4926</v>
      </c>
      <c r="BB38" s="49">
        <f t="shared" si="16"/>
        <v>10.47524752</v>
      </c>
      <c r="BC38" s="50" t="str">
        <f t="shared" si="17"/>
        <v>1987</v>
      </c>
    </row>
    <row r="39">
      <c r="A39" s="15">
        <v>5406.0</v>
      </c>
      <c r="B39" s="30">
        <f>IFERROR(__xludf.DUMMYFUNCTION("IFERROR(ROUND(
(COUNTIF(FILTER(Data!O:O, Data!B:B=A39), ""Win"")
+ COUNTIF(FILTER(Data!O:O, Data!B:B=A39), {""Tie"",""Results""}))
/ (COUNTIF(Data!B:B, A39)),
2),"""")"),0.57)</f>
        <v>0.57</v>
      </c>
      <c r="C39" s="31">
        <f>IFERROR((SUMIF(Data!B:B, A39, Data!H:H)
/ (COUNTIF(Data!B:B, A39)
)),"")</f>
        <v>0</v>
      </c>
      <c r="D39" s="31">
        <f>IFERROR((SUMIF(Data!B:B, A39, Data!G:G)
/ (COUNTIF(Data!B:B, A39)
)),"")</f>
        <v>2.571428571</v>
      </c>
      <c r="E39" s="31">
        <f t="shared" si="1"/>
        <v>0.6744169193</v>
      </c>
      <c r="F39" s="31">
        <f>IFERROR((SUMIF(Data!B:B, A39, Data!J:J)
/ (COUNTIF(Data!B:B, A39)
)),"")</f>
        <v>2.714285714</v>
      </c>
      <c r="G39" s="32">
        <f>IF(A39="","",IFERROR((((((SUMIF(Data!B:B, A39, Data!H:H)+(SUMIF(Data!B:B, A39,Data!G:G)))/(SUMIF(Data!B:B, A39, Data!J:J)))))),0))</f>
        <v>0.9473684211</v>
      </c>
      <c r="H39" s="33">
        <f>IFERROR(__xludf.DUMMYFUNCTION("IFERROR(IF(G39="""","""",(SUM(FIlter(Filter(Data!G:G,Data!B:B=A39),(Filter(Data!J:J&lt;3,Data!B:B=A39))))+SUM((FIlter(Filter(Data!H:H,Data!B:B=A39),(Filter(Data!J:J&lt;3,Data!B:B=A39))))))/(SUM(Filter(Filter(Data!J:J,Data!B:B=A39),FILTER(Data!J:J&lt;3,Data!B:B=A39"&amp;"))))),"""")"),1.0)</f>
        <v>1</v>
      </c>
      <c r="I39" s="32">
        <f>IFERROR(__xludf.DUMMYFUNCTION("IF(A39="""","""",(COUNT(FILTER(IF(Data!G:G&lt;&gt;0,Data!G:G,IF(Data!H:H&lt;&gt;0,Data!H:H)),Data!B:B=A39)))/(COUNT(FILTER(Data!J:J,Data!B:B=A39))))"),0.8571428571428571)</f>
        <v>0.8571428571</v>
      </c>
      <c r="J39" s="32">
        <f t="shared" si="2"/>
        <v>0.9285714286</v>
      </c>
      <c r="K39" s="31">
        <f t="shared" si="3"/>
        <v>0.553508201</v>
      </c>
      <c r="L39" s="31">
        <f>IFERROR((SUMIF(Data!B:B, A39, Data!L:L)
/ (COUNTIF(Data!B:B, A39)
)),"")</f>
        <v>0</v>
      </c>
      <c r="M39" s="31">
        <f>IFERROR((SUMIF(Data!B:B, A39, Data!K:K)
/ (COUNTIF(Data!B:B, A39)
)),"")</f>
        <v>6</v>
      </c>
      <c r="N39" s="34">
        <f t="shared" si="28"/>
        <v>-0.7240327925</v>
      </c>
      <c r="O39" s="32">
        <f>IF(A39="","",IFERROR((((((SUMIF(Data!B:B, A39, Data!H:H)+(SUMIF(Data!B:B, A39,Data!G:G)+(SUMIF(Data!B:B, A39,Data!L:L)+(SUMIF(Data!B:B, A39,Data!K:K)))))/(SUMIF(Data!B:B, A39, Data!M:M)+(SUMIF(Data!B:B, A39, Data!H:H)+(SUMIF(Data!B:B, A39,Data!G:G)+(SUMIF(Data!B:B, A39,Data!K:K)+(SUMIF(Data!B:B, A39,Data!L:L)))))))))),0))</f>
        <v>0.8450704225</v>
      </c>
      <c r="P39" s="35">
        <f>IFERROR(__xludf.DUMMYFUNCTION("IFERROR(((COUNTIF(FILTER(Data!N:N,Data!B:B=A39),""TRAVERSE"")*15)+(COUNTIF(FILTER(Data!N:N,Data!B:B=A39),""HIGH"")*10)+(COUNTIF(FILTER(Data!N:N,Data!B:B=A39),""MIDDLE"")*6)+(COUNTIF(FILTER(Data!N:N,Data!B:B=A39),""LOW"")*4)) / (COUNTIF(Data!B:B, A39)),"""&amp;""")"),6.428571428571429)</f>
        <v>6.428571429</v>
      </c>
      <c r="Q39" s="31">
        <f>IFERROR(__xludf.DUMMYFUNCTION("IF(P39="""","""",Average(FIlter(('Convert Name to Number'!$F$422:$Z1000),'Convert Name to Number'!$E$422:$E1000=$A39)))"),9.0)</f>
        <v>9</v>
      </c>
      <c r="R39" s="36">
        <f t="shared" si="5"/>
        <v>-0.3212036537</v>
      </c>
      <c r="S39" s="37">
        <f>IFERROR(__xludf.DUMMYFUNCTION("IFERROR((((COUNTIF(FILTER(Data!N:N,Data!B:B=A39),""TRAVERSE""))+(COUNTIF(FILTER(Data!N:N,Data!B:B=A39),""HIGH""))+(COUNTIF(FILTER(Data!N:N,Data!B:B=A39),""MIDDLE""))+(COUNTIF(FILTER(Data!N:N,Data!B:B=A39),""LOW"")))) / (((COUNTIF(Data!B:B, A39)))-(COUNTIF"&amp;"(FILTER(Data!N:N,Data!B:B=A39),""NONE""))),IF(ISBLANK(A39),"""",0))"),1.0)</f>
        <v>1</v>
      </c>
      <c r="T39" s="32">
        <f>IFERROR(__xludf.DUMMYFUNCTION("IFERROR((COUNTIF(FILTER(Data!N:N, Data!B:B=A39),""LOW"")) / (COUNTIF(Data!B:B, A39)),"""")"),0.0)</f>
        <v>0</v>
      </c>
      <c r="U39" s="38">
        <f>IFERROR(__xludf.DUMMYFUNCTION("IFERROR((COUNTIF(FILTER(Data!N:N, Data!B:B=A39),""MIDDLE"")) / (COUNTIF(Data!B:B, A39)),"""")"),0.0)</f>
        <v>0</v>
      </c>
      <c r="V39" s="38">
        <f>IFERROR(__xludf.DUMMYFUNCTION("IFERROR((COUNTIF(FILTER(Data!N:N, Data!B:B=A39),""HIGH"")) / (COUNTIF(Data!B:B, A39)),"""")"),0.0)</f>
        <v>0</v>
      </c>
      <c r="W39" s="38">
        <f>IFERROR(__xludf.DUMMYFUNCTION("IFERROR((COUNTIF(FILTER(Data!N:N, Data!B:B=A39),""TRAVERSE"")) / (COUNTIF(Data!B:B, A39)),"""")"),0.42857142857142855)</f>
        <v>0.4285714286</v>
      </c>
      <c r="X39" s="39">
        <f t="shared" si="6"/>
        <v>-0.009031548222</v>
      </c>
      <c r="Y39" s="31">
        <f t="shared" si="7"/>
        <v>10.28571429</v>
      </c>
      <c r="Z39" s="31">
        <f t="shared" si="8"/>
        <v>12</v>
      </c>
      <c r="AA39" s="31">
        <f t="shared" si="9"/>
        <v>22.28571429</v>
      </c>
      <c r="AB39" s="40">
        <f t="shared" si="29"/>
        <v>-0.4931910908</v>
      </c>
      <c r="AC39" s="41">
        <f>IFERROR(__xludf.DUMMYFUNCTION("IF(AA39="""","""",MAX(Filter((Data!K:K),Data!B:B=A39)))"),15.0)</f>
        <v>15</v>
      </c>
      <c r="AD39" s="41">
        <f t="shared" si="11"/>
        <v>-0.03883695182</v>
      </c>
      <c r="AE39" s="31">
        <f t="shared" si="12"/>
        <v>8.571428571</v>
      </c>
      <c r="AF39" s="31">
        <f t="shared" si="13"/>
        <v>28.71428571</v>
      </c>
      <c r="AG39" s="42">
        <f>IF(A39="","",(((AD39)*Picklist!$P$3)+((K39)*Picklist!$P$4)+(E39*Picklist!$P$5)+(N39*Picklist!$P$6)+(X39*Picklist!$P$7)+(R39*Picklist!$P$8)))</f>
        <v>-2.942241743</v>
      </c>
      <c r="AH39" s="43">
        <f>IF(A39="","",(((AD39)*Picklist!$P$14)+((K39)*Picklist!$P$15)+(E39*Picklist!$P$16)+(N39*Picklist!$P$17)+(X39*Picklist!$P$18)+(R39*Picklist!$P$19)))</f>
        <v>-3.263445397</v>
      </c>
      <c r="AI39" s="44" t="str">
        <f>IFERROR(__xludf.DUMMYFUNCTION("TEXTJOIN("", "",TRUE, FILTER(Data!P:P, Data!B:B=A39))"),"windmill climber, intake unreliable as balls kept slipping out, decided to play defense last minute but robot died halfway through the gams, 10 second traversal, tipped over mid game, kept getting pinned")</f>
        <v>windmill climber, intake unreliable as balls kept slipping out, decided to play defense last minute but robot died halfway through the gams, 10 second traversal, tipped over mid game, kept getting pinned</v>
      </c>
      <c r="AJ39" s="45">
        <f t="shared" si="14"/>
        <v>6</v>
      </c>
      <c r="AK39" s="46" t="str">
        <f>IFERROR(__xludf.DUMMYFUNCTION("IF(A39&lt;&gt;"""",IFERROR(AVERAGE(FILTER('Defense Calculations'!BJ:CS,'Defense Calculations'!A:A=A39)),""""),"""")"),"")</f>
        <v/>
      </c>
      <c r="AL39" s="15" t="str">
        <f t="shared" si="15"/>
        <v/>
      </c>
      <c r="AM39" s="47"/>
      <c r="AN39" s="51"/>
      <c r="AZ39" s="15">
        <f>IFERROR(__xludf.DUMMYFUNCTION("""COMPUTED_VALUE"""),5010.0)</f>
        <v>5010</v>
      </c>
      <c r="BB39" s="49">
        <f t="shared" si="16"/>
        <v>7.243460765</v>
      </c>
      <c r="BC39" s="50" t="str">
        <f t="shared" si="17"/>
        <v>5406</v>
      </c>
    </row>
    <row r="40">
      <c r="A40" s="15">
        <v>1732.0</v>
      </c>
      <c r="B40" s="30">
        <f>IFERROR(__xludf.DUMMYFUNCTION("IFERROR(ROUND(
(COUNTIF(FILTER(Data!O:O, Data!B:B=A40), ""Win"")
+ COUNTIF(FILTER(Data!O:O, Data!B:B=A40), {""Tie"",""Results""}))
/ (COUNTIF(Data!B:B, A40)),
2),"""")"),0.38)</f>
        <v>0.38</v>
      </c>
      <c r="C40" s="31">
        <f>IFERROR((SUMIF(Data!B:B, A40, Data!H:H)
/ (COUNTIF(Data!B:B, A40)
)),"")</f>
        <v>0</v>
      </c>
      <c r="D40" s="31">
        <f>IFERROR((SUMIF(Data!B:B, A40, Data!G:G)
/ (COUNTIF(Data!B:B, A40)
)),"")</f>
        <v>2.625</v>
      </c>
      <c r="E40" s="31">
        <f t="shared" si="1"/>
        <v>0.7355218079</v>
      </c>
      <c r="F40" s="31">
        <f>IFERROR((SUMIF(Data!B:B, A40, Data!J:J)
/ (COUNTIF(Data!B:B, A40)
)),"")</f>
        <v>3.25</v>
      </c>
      <c r="G40" s="32">
        <f>IF(A40="","",IFERROR((((((SUMIF(Data!B:B, A40, Data!H:H)+(SUMIF(Data!B:B, A40,Data!G:G)))/(SUMIF(Data!B:B, A40, Data!J:J)))))),0))</f>
        <v>0.8076923077</v>
      </c>
      <c r="H40" s="33">
        <f>IFERROR(__xludf.DUMMYFUNCTION("IFERROR(IF(G40="""","""",(SUM(FIlter(Filter(Data!G:G,Data!B:B=A40),(Filter(Data!J:J&lt;3,Data!B:B=A40))))+SUM((FIlter(Filter(Data!H:H,Data!B:B=A40),(Filter(Data!J:J&lt;3,Data!B:B=A40))))))/(SUM(Filter(Filter(Data!J:J,Data!B:B=A40),FILTER(Data!J:J&lt;3,Data!B:B=A40"&amp;"))))),"""")"),1.0)</f>
        <v>1</v>
      </c>
      <c r="I40" s="32">
        <f>IFERROR(__xludf.DUMMYFUNCTION("IF(A40="""","""",(COUNT(FILTER(IF(Data!G:G&lt;&gt;0,Data!G:G,IF(Data!H:H&lt;&gt;0,Data!H:H)),Data!B:B=A40)))/(COUNT(FILTER(Data!J:J,Data!B:B=A40))))"),0.75)</f>
        <v>0.75</v>
      </c>
      <c r="J40" s="32">
        <f t="shared" si="2"/>
        <v>0.875</v>
      </c>
      <c r="K40" s="31">
        <f t="shared" si="3"/>
        <v>0.1618040957</v>
      </c>
      <c r="L40" s="31">
        <f>IFERROR((SUMIF(Data!B:B, A40, Data!L:L)
/ (COUNTIF(Data!B:B, A40)
)),"")</f>
        <v>0</v>
      </c>
      <c r="M40" s="31">
        <f>IFERROR((SUMIF(Data!B:B, A40, Data!K:K)
/ (COUNTIF(Data!B:B, A40)
)),"")</f>
        <v>10.25</v>
      </c>
      <c r="N40" s="34">
        <f t="shared" si="28"/>
        <v>0.2343717444</v>
      </c>
      <c r="O40" s="32">
        <f>IF(A40="","",IFERROR((((((SUMIF(Data!B:B, A40, Data!H:H)+(SUMIF(Data!B:B, A40,Data!G:G)+(SUMIF(Data!B:B, A40,Data!L:L)+(SUMIF(Data!B:B, A40,Data!K:K)))))/(SUMIF(Data!B:B, A40, Data!M:M)+(SUMIF(Data!B:B, A40, Data!H:H)+(SUMIF(Data!B:B, A40,Data!G:G)+(SUMIF(Data!B:B, A40,Data!K:K)+(SUMIF(Data!B:B, A40,Data!L:L)))))))))),0))</f>
        <v>0.8174603175</v>
      </c>
      <c r="P40" s="35">
        <f>IFERROR(__xludf.DUMMYFUNCTION("IFERROR(((COUNTIF(FILTER(Data!N:N,Data!B:B=A40),""TRAVERSE"")*15)+(COUNTIF(FILTER(Data!N:N,Data!B:B=A40),""HIGH"")*10)+(COUNTIF(FILTER(Data!N:N,Data!B:B=A40),""MIDDLE"")*6)+(COUNTIF(FILTER(Data!N:N,Data!B:B=A40),""LOW"")*4)) / (COUNTIF(Data!B:B, A40)),"""&amp;""")"),4.0)</f>
        <v>4</v>
      </c>
      <c r="Q40" s="31">
        <f>IFERROR(__xludf.DUMMYFUNCTION("IF(P40="""","""",Average(FIlter(('Convert Name to Number'!$F$422:$Z1000),'Convert Name to Number'!$E$422:$E1000=$A40)))"),5.6)</f>
        <v>5.6</v>
      </c>
      <c r="R40" s="36">
        <f t="shared" si="5"/>
        <v>-1.039291822</v>
      </c>
      <c r="S40" s="37">
        <f>IFERROR(__xludf.DUMMYFUNCTION("IFERROR((((COUNTIF(FILTER(Data!N:N,Data!B:B=A40),""TRAVERSE""))+(COUNTIF(FILTER(Data!N:N,Data!B:B=A40),""HIGH""))+(COUNTIF(FILTER(Data!N:N,Data!B:B=A40),""MIDDLE""))+(COUNTIF(FILTER(Data!N:N,Data!B:B=A40),""LOW"")))) / (((COUNTIF(Data!B:B, A40)))-(COUNTIF"&amp;"(FILTER(Data!N:N,Data!B:B=A40),""NONE""))),IF(ISBLANK(A40),"""",0))"),0.8571428571428571)</f>
        <v>0.8571428571</v>
      </c>
      <c r="T40" s="32">
        <f>IFERROR(__xludf.DUMMYFUNCTION("IFERROR((COUNTIF(FILTER(Data!N:N, Data!B:B=A40),""LOW"")) / (COUNTIF(Data!B:B, A40)),"""")"),0.25)</f>
        <v>0.25</v>
      </c>
      <c r="U40" s="38">
        <f>IFERROR(__xludf.DUMMYFUNCTION("IFERROR((COUNTIF(FILTER(Data!N:N, Data!B:B=A40),""MIDDLE"")) / (COUNTIF(Data!B:B, A40)),"""")"),0.5)</f>
        <v>0.5</v>
      </c>
      <c r="V40" s="38">
        <f>IFERROR(__xludf.DUMMYFUNCTION("IFERROR((COUNTIF(FILTER(Data!N:N, Data!B:B=A40),""HIGH"")) / (COUNTIF(Data!B:B, A40)),"""")"),0.0)</f>
        <v>0</v>
      </c>
      <c r="W40" s="38">
        <f>IFERROR(__xludf.DUMMYFUNCTION("IFERROR((COUNTIF(FILTER(Data!N:N, Data!B:B=A40),""TRAVERSE"")) / (COUNTIF(Data!B:B, A40)),"""")"),0.0)</f>
        <v>0</v>
      </c>
      <c r="X40" s="39">
        <f t="shared" si="6"/>
        <v>-1.366119838</v>
      </c>
      <c r="Y40" s="31">
        <f t="shared" si="7"/>
        <v>10.5</v>
      </c>
      <c r="Z40" s="31">
        <f t="shared" si="8"/>
        <v>20.5</v>
      </c>
      <c r="AA40" s="31">
        <f t="shared" si="9"/>
        <v>31</v>
      </c>
      <c r="AB40" s="40">
        <f t="shared" si="29"/>
        <v>0.3170964448</v>
      </c>
      <c r="AC40" s="41">
        <f>IFERROR(__xludf.DUMMYFUNCTION("IF(AA40="""","""",MAX(Filter((Data!K:K),Data!B:B=A40)))"),16.0)</f>
        <v>16</v>
      </c>
      <c r="AD40" s="41">
        <f t="shared" si="11"/>
        <v>0.1306333834</v>
      </c>
      <c r="AE40" s="31">
        <f t="shared" si="12"/>
        <v>12.875</v>
      </c>
      <c r="AF40" s="31">
        <f t="shared" si="13"/>
        <v>35</v>
      </c>
      <c r="AG40" s="42">
        <f>IF(A40="","",(((AD40)*Picklist!$P$3)+((K40)*Picklist!$P$4)+(E40*Picklist!$P$5)+(N40*Picklist!$P$6)+(X40*Picklist!$P$7)+(R40*Picklist!$P$8)))</f>
        <v>-3.161614576</v>
      </c>
      <c r="AH40" s="43">
        <f>IF(A40="","",(((AD40)*Picklist!$P$14)+((K40)*Picklist!$P$15)+(E40*Picklist!$P$16)+(N40*Picklist!$P$17)+(X40*Picklist!$P$18)+(R40*Picklist!$P$19)))</f>
        <v>-4.200906398</v>
      </c>
      <c r="AI40" s="44" t="str">
        <f>IFERROR(__xludf.DUMMYFUNCTION("TEXTJOIN("", "",TRUE, FILTER(Data!P:P, Data!B:B=A40))"),"defense prevented most shots, they did good, though 4028 was going crazy")</f>
        <v>defense prevented most shots, they did good, though 4028 was going crazy</v>
      </c>
      <c r="AJ40" s="45">
        <f t="shared" si="14"/>
        <v>10.25</v>
      </c>
      <c r="AK40" s="46" t="str">
        <f>IFERROR(__xludf.DUMMYFUNCTION("IF(A40&lt;&gt;"""",IFERROR(AVERAGE(FILTER('Defense Calculations'!BJ:CS,'Defense Calculations'!A:A=A40)),""""),"""")"),"")</f>
        <v/>
      </c>
      <c r="AL40" s="15" t="str">
        <f t="shared" si="15"/>
        <v/>
      </c>
      <c r="AM40" s="47"/>
      <c r="AN40" s="51"/>
      <c r="AZ40" s="15">
        <f>IFERROR(__xludf.DUMMYFUNCTION("""COMPUTED_VALUE"""),503.0)</f>
        <v>503</v>
      </c>
      <c r="BB40" s="49">
        <f t="shared" si="16"/>
        <v>10.52480159</v>
      </c>
      <c r="BC40" s="50" t="str">
        <f t="shared" si="17"/>
        <v>1732</v>
      </c>
    </row>
    <row r="41">
      <c r="A41" s="15">
        <v>4265.0</v>
      </c>
      <c r="B41" s="30">
        <f>IFERROR(__xludf.DUMMYFUNCTION("IFERROR(ROUND(
(COUNTIF(FILTER(Data!O:O, Data!B:B=A41), ""Win"")
+ COUNTIF(FILTER(Data!O:O, Data!B:B=A41), {""Tie"",""Results""}))
/ (COUNTIF(Data!B:B, A41)),
2),"""")"),0.43)</f>
        <v>0.43</v>
      </c>
      <c r="C41" s="31">
        <f>IFERROR((SUMIF(Data!B:B, A41, Data!H:H)
/ (COUNTIF(Data!B:B, A41)
)),"")</f>
        <v>0</v>
      </c>
      <c r="D41" s="31">
        <f>IFERROR((SUMIF(Data!B:B, A41, Data!G:G)
/ (COUNTIF(Data!B:B, A41)
)),"")</f>
        <v>2</v>
      </c>
      <c r="E41" s="31">
        <f t="shared" si="1"/>
        <v>0.02263144024</v>
      </c>
      <c r="F41" s="31">
        <f>IFERROR((SUMIF(Data!B:B, A41, Data!J:J)
/ (COUNTIF(Data!B:B, A41)
)),"")</f>
        <v>3</v>
      </c>
      <c r="G41" s="32">
        <f>IF(A41="","",IFERROR((((((SUMIF(Data!B:B, A41, Data!H:H)+(SUMIF(Data!B:B, A41,Data!G:G)))/(SUMIF(Data!B:B, A41, Data!J:J)))))),0))</f>
        <v>0.6666666667</v>
      </c>
      <c r="H41" s="33">
        <f>IFERROR(__xludf.DUMMYFUNCTION("IFERROR(IF(G41="""","""",(SUM(FIlter(Filter(Data!G:G,Data!B:B=A41),(Filter(Data!J:J&lt;3,Data!B:B=A41))))+SUM((FIlter(Filter(Data!H:H,Data!B:B=A41),(Filter(Data!J:J&lt;3,Data!B:B=A41))))))/(SUM(Filter(Filter(Data!J:J,Data!B:B=A41),FILTER(Data!J:J&lt;3,Data!B:B=A41"&amp;"))))),"""")"),1.0)</f>
        <v>1</v>
      </c>
      <c r="I41" s="32">
        <f>IFERROR(__xludf.DUMMYFUNCTION("IF(A41="""","""",(COUNT(FILTER(IF(Data!G:G&lt;&gt;0,Data!G:G,IF(Data!H:H&lt;&gt;0,Data!H:H)),Data!B:B=A41)))/(COUNT(FILTER(Data!J:J,Data!B:B=A41))))"),0.8571428571428571)</f>
        <v>0.8571428571</v>
      </c>
      <c r="J41" s="32">
        <f t="shared" si="2"/>
        <v>0.9285714286</v>
      </c>
      <c r="K41" s="31">
        <f t="shared" si="3"/>
        <v>0.553508201</v>
      </c>
      <c r="L41" s="31">
        <f>IFERROR((SUMIF(Data!B:B, A41, Data!L:L)
/ (COUNTIF(Data!B:B, A41)
)),"")</f>
        <v>0</v>
      </c>
      <c r="M41" s="31">
        <f>IFERROR((SUMIF(Data!B:B, A41, Data!K:K)
/ (COUNTIF(Data!B:B, A41)
)),"")</f>
        <v>11</v>
      </c>
      <c r="N41" s="34">
        <f t="shared" si="28"/>
        <v>0.4035019568</v>
      </c>
      <c r="O41" s="32">
        <f>IF(A41="","",IFERROR((((((SUMIF(Data!B:B, A41, Data!H:H)+(SUMIF(Data!B:B, A41,Data!G:G)+(SUMIF(Data!B:B, A41,Data!L:L)+(SUMIF(Data!B:B, A41,Data!K:K)))))/(SUMIF(Data!B:B, A41, Data!M:M)+(SUMIF(Data!B:B, A41, Data!H:H)+(SUMIF(Data!B:B, A41,Data!G:G)+(SUMIF(Data!B:B, A41,Data!K:K)+(SUMIF(Data!B:B, A41,Data!L:L)))))))))),0))</f>
        <v>0.8272727273</v>
      </c>
      <c r="P41" s="35">
        <f>IFERROR(__xludf.DUMMYFUNCTION("IFERROR(((COUNTIF(FILTER(Data!N:N,Data!B:B=A41),""TRAVERSE"")*15)+(COUNTIF(FILTER(Data!N:N,Data!B:B=A41),""HIGH"")*10)+(COUNTIF(FILTER(Data!N:N,Data!B:B=A41),""MIDDLE"")*6)+(COUNTIF(FILTER(Data!N:N,Data!B:B=A41),""LOW"")*4)) / (COUNTIF(Data!B:B, A41)),"""&amp;""")"),1.7142857142857142)</f>
        <v>1.714285714</v>
      </c>
      <c r="Q41" s="31">
        <f>IFERROR(__xludf.DUMMYFUNCTION("IF(P41="""","""",Average(FIlter(('Convert Name to Number'!$F$422:$Z1000),'Convert Name to Number'!$E$422:$E1000=$A41)))"),2.4)</f>
        <v>2.4</v>
      </c>
      <c r="R41" s="36">
        <f t="shared" si="5"/>
        <v>-1.71513951</v>
      </c>
      <c r="S41" s="37">
        <f>IFERROR(__xludf.DUMMYFUNCTION("IFERROR((((COUNTIF(FILTER(Data!N:N,Data!B:B=A41),""TRAVERSE""))+(COUNTIF(FILTER(Data!N:N,Data!B:B=A41),""HIGH""))+(COUNTIF(FILTER(Data!N:N,Data!B:B=A41),""MIDDLE""))+(COUNTIF(FILTER(Data!N:N,Data!B:B=A41),""LOW"")))) / (((COUNTIF(Data!B:B, A41)))-(COUNTIF"&amp;"(FILTER(Data!N:N,Data!B:B=A41),""NONE""))),IF(ISBLANK(A41),"""",0))"),1.0)</f>
        <v>1</v>
      </c>
      <c r="T41" s="32">
        <f>IFERROR(__xludf.DUMMYFUNCTION("IFERROR((COUNTIF(FILTER(Data!N:N, Data!B:B=A41),""LOW"")) / (COUNTIF(Data!B:B, A41)),"""")"),0.0)</f>
        <v>0</v>
      </c>
      <c r="U41" s="38">
        <f>IFERROR(__xludf.DUMMYFUNCTION("IFERROR((COUNTIF(FILTER(Data!N:N, Data!B:B=A41),""MIDDLE"")) / (COUNTIF(Data!B:B, A41)),"""")"),0.2857142857142857)</f>
        <v>0.2857142857</v>
      </c>
      <c r="V41" s="38">
        <f>IFERROR(__xludf.DUMMYFUNCTION("IFERROR((COUNTIF(FILTER(Data!N:N, Data!B:B=A41),""HIGH"")) / (COUNTIF(Data!B:B, A41)),"""")"),0.0)</f>
        <v>0</v>
      </c>
      <c r="W41" s="38">
        <f>IFERROR(__xludf.DUMMYFUNCTION("IFERROR((COUNTIF(FILTER(Data!N:N, Data!B:B=A41),""TRAVERSE"")) / (COUNTIF(Data!B:B, A41)),"""")"),0.0)</f>
        <v>0</v>
      </c>
      <c r="X41" s="39">
        <f t="shared" si="6"/>
        <v>-1.366119838</v>
      </c>
      <c r="Y41" s="31">
        <f t="shared" si="7"/>
        <v>8</v>
      </c>
      <c r="Z41" s="31">
        <f t="shared" si="8"/>
        <v>22</v>
      </c>
      <c r="AA41" s="31">
        <f t="shared" si="9"/>
        <v>30</v>
      </c>
      <c r="AB41" s="40">
        <f t="shared" si="29"/>
        <v>0.3406317674</v>
      </c>
      <c r="AC41" s="41">
        <f>IFERROR(__xludf.DUMMYFUNCTION("IF(AA41="""","""",MAX(Filter((Data!K:K),Data!B:B=A41)))"),14.0)</f>
        <v>14</v>
      </c>
      <c r="AD41" s="41">
        <f t="shared" si="11"/>
        <v>-0.2083072871</v>
      </c>
      <c r="AE41" s="31">
        <f t="shared" si="12"/>
        <v>13</v>
      </c>
      <c r="AF41" s="31">
        <f t="shared" si="13"/>
        <v>31.71428571</v>
      </c>
      <c r="AG41" s="42">
        <f>IF(A41="","",(((AD41)*Picklist!$P$3)+((K41)*Picklist!$P$4)+(E41*Picklist!$P$5)+(N41*Picklist!$P$6)+(X41*Picklist!$P$7)+(R41*Picklist!$P$8)))</f>
        <v>-5.304851256</v>
      </c>
      <c r="AH41" s="43">
        <f>IF(A41="","",(((AD41)*Picklist!$P$14)+((K41)*Picklist!$P$15)+(E41*Picklist!$P$16)+(N41*Picklist!$P$17)+(X41*Picklist!$P$18)+(R41*Picklist!$P$19)))</f>
        <v>-7.019990766</v>
      </c>
      <c r="AI41" s="44" t="str">
        <f>IFERROR(__xludf.DUMMYFUNCTION("TEXTJOIN("", "",TRUE, FILTER(Data!P:P, Data!B:B=A41))"),"")</f>
        <v/>
      </c>
      <c r="AJ41" s="45">
        <f t="shared" si="14"/>
        <v>11</v>
      </c>
      <c r="AK41" s="46" t="str">
        <f>IFERROR(__xludf.DUMMYFUNCTION("IF(A41&lt;&gt;"""",IFERROR(AVERAGE(FILTER('Defense Calculations'!BJ:CS,'Defense Calculations'!A:A=A41)),""""),"""")"),"")</f>
        <v/>
      </c>
      <c r="AL41" s="15" t="str">
        <f t="shared" si="15"/>
        <v/>
      </c>
      <c r="AM41" s="47"/>
      <c r="AN41" s="51"/>
      <c r="AZ41" s="15">
        <f>IFERROR(__xludf.DUMMYFUNCTION("""COMPUTED_VALUE"""),5406.0)</f>
        <v>5406</v>
      </c>
      <c r="BB41" s="49">
        <f t="shared" si="16"/>
        <v>10.75454545</v>
      </c>
      <c r="BC41" s="50" t="str">
        <f t="shared" si="17"/>
        <v>4265</v>
      </c>
    </row>
    <row r="42">
      <c r="A42" s="15">
        <v>4099.0</v>
      </c>
      <c r="B42" s="30">
        <f>IFERROR(__xludf.DUMMYFUNCTION("IFERROR(ROUND(
(COUNTIF(FILTER(Data!O:O, Data!B:B=A42), ""Win"")
+ COUNTIF(FILTER(Data!O:O, Data!B:B=A42), {""Tie"",""Results""}))
/ (COUNTIF(Data!B:B, A42)),
2),"""")"),0.43)</f>
        <v>0.43</v>
      </c>
      <c r="C42" s="31">
        <f>IFERROR((SUMIF(Data!B:B, A42, Data!H:H)
/ (COUNTIF(Data!B:B, A42)
)),"")</f>
        <v>0</v>
      </c>
      <c r="D42" s="31">
        <f>IFERROR((SUMIF(Data!B:B, A42, Data!G:G)
/ (COUNTIF(Data!B:B, A42)
)),"")</f>
        <v>1.142857143</v>
      </c>
      <c r="E42" s="31">
        <f t="shared" si="1"/>
        <v>-0.9550467783</v>
      </c>
      <c r="F42" s="31">
        <f>IFERROR((SUMIF(Data!B:B, A42, Data!J:J)
/ (COUNTIF(Data!B:B, A42)
)),"")</f>
        <v>1.428571429</v>
      </c>
      <c r="G42" s="32">
        <f>IF(A42="","",IFERROR((((((SUMIF(Data!B:B, A42, Data!H:H)+(SUMIF(Data!B:B, A42,Data!G:G)))/(SUMIF(Data!B:B, A42, Data!J:J)))))),0))</f>
        <v>0.8</v>
      </c>
      <c r="H42" s="33">
        <f>IFERROR(__xludf.DUMMYFUNCTION("IFERROR(IF(G42="""","""",(SUM(FIlter(Filter(Data!G:G,Data!B:B=A42),(Filter(Data!J:J&lt;3,Data!B:B=A42))))+SUM((FIlter(Filter(Data!H:H,Data!B:B=A42),(Filter(Data!J:J&lt;3,Data!B:B=A42))))))/(SUM(Filter(Filter(Data!J:J,Data!B:B=A42),FILTER(Data!J:J&lt;3,Data!B:B=A42"&amp;"))))),"""")"),0.7142857142857143)</f>
        <v>0.7142857143</v>
      </c>
      <c r="I42" s="32">
        <f>IFERROR(__xludf.DUMMYFUNCTION("IF(A42="""","""",(COUNT(FILTER(IF(Data!G:G&lt;&gt;0,Data!G:G,IF(Data!H:H&lt;&gt;0,Data!H:H)),Data!B:B=A42)))/(COUNT(FILTER(Data!J:J,Data!B:B=A42))))"),0.7142857142857143)</f>
        <v>0.7142857143</v>
      </c>
      <c r="J42" s="32">
        <f t="shared" si="2"/>
        <v>0.7142857143</v>
      </c>
      <c r="K42" s="31">
        <f t="shared" si="3"/>
        <v>-1.01330822</v>
      </c>
      <c r="L42" s="31">
        <f>IFERROR((SUMIF(Data!B:B, A42, Data!L:L)
/ (COUNTIF(Data!B:B, A42)
)),"")</f>
        <v>0</v>
      </c>
      <c r="M42" s="31">
        <f>IFERROR((SUMIF(Data!B:B, A42, Data!K:K)
/ (COUNTIF(Data!B:B, A42)
)),"")</f>
        <v>0.1428571429</v>
      </c>
      <c r="N42" s="34">
        <f t="shared" si="28"/>
        <v>-2.044859213</v>
      </c>
      <c r="O42" s="32">
        <f>IF(A42="","",IFERROR((((((SUMIF(Data!B:B, A42, Data!H:H)+(SUMIF(Data!B:B, A42,Data!G:G)+(SUMIF(Data!B:B, A42,Data!L:L)+(SUMIF(Data!B:B, A42,Data!K:K)))))/(SUMIF(Data!B:B, A42, Data!M:M)+(SUMIF(Data!B:B, A42, Data!H:H)+(SUMIF(Data!B:B, A42,Data!G:G)+(SUMIF(Data!B:B, A42,Data!K:K)+(SUMIF(Data!B:B, A42,Data!L:L)))))))))),0))</f>
        <v>0.8181818182</v>
      </c>
      <c r="P42" s="35">
        <f>IFERROR(__xludf.DUMMYFUNCTION("IFERROR(((COUNTIF(FILTER(Data!N:N,Data!B:B=A42),""TRAVERSE"")*15)+(COUNTIF(FILTER(Data!N:N,Data!B:B=A42),""HIGH"")*10)+(COUNTIF(FILTER(Data!N:N,Data!B:B=A42),""MIDDLE"")*6)+(COUNTIF(FILTER(Data!N:N,Data!B:B=A42),""LOW"")*4)) / (COUNTIF(Data!B:B, A42)),"""&amp;""")"),12.857142857142858)</f>
        <v>12.85714286</v>
      </c>
      <c r="Q42" s="31">
        <f>IFERROR(__xludf.DUMMYFUNCTION("IF(P42="""","""",Average(FIlter(('Convert Name to Number'!$F$422:$Z1000),'Convert Name to Number'!$E$422:$E1000=$A42)))"),15.0)</f>
        <v>15</v>
      </c>
      <c r="R42" s="36">
        <f t="shared" si="5"/>
        <v>0.946010761</v>
      </c>
      <c r="S42" s="37">
        <f>IFERROR(__xludf.DUMMYFUNCTION("IFERROR((((COUNTIF(FILTER(Data!N:N,Data!B:B=A42),""TRAVERSE""))+(COUNTIF(FILTER(Data!N:N,Data!B:B=A42),""HIGH""))+(COUNTIF(FILTER(Data!N:N,Data!B:B=A42),""MIDDLE""))+(COUNTIF(FILTER(Data!N:N,Data!B:B=A42),""LOW"")))) / (((COUNTIF(Data!B:B, A42)))-(COUNTIF"&amp;"(FILTER(Data!N:N,Data!B:B=A42),""NONE""))),IF(ISBLANK(A42),"""",0))"),1.0)</f>
        <v>1</v>
      </c>
      <c r="T42" s="32">
        <f>IFERROR(__xludf.DUMMYFUNCTION("IFERROR((COUNTIF(FILTER(Data!N:N, Data!B:B=A42),""LOW"")) / (COUNTIF(Data!B:B, A42)),"""")"),0.0)</f>
        <v>0</v>
      </c>
      <c r="U42" s="38">
        <f>IFERROR(__xludf.DUMMYFUNCTION("IFERROR((COUNTIF(FILTER(Data!N:N, Data!B:B=A42),""MIDDLE"")) / (COUNTIF(Data!B:B, A42)),"""")"),0.0)</f>
        <v>0</v>
      </c>
      <c r="V42" s="38">
        <f>IFERROR(__xludf.DUMMYFUNCTION("IFERROR((COUNTIF(FILTER(Data!N:N, Data!B:B=A42),""HIGH"")) / (COUNTIF(Data!B:B, A42)),"""")"),0.0)</f>
        <v>0</v>
      </c>
      <c r="W42" s="38">
        <f>IFERROR(__xludf.DUMMYFUNCTION("IFERROR((COUNTIF(FILTER(Data!N:N, Data!B:B=A42),""TRAVERSE"")) / (COUNTIF(Data!B:B, A42)),"""")"),0.8571428571428571)</f>
        <v>0.8571428571</v>
      </c>
      <c r="X42" s="39">
        <f t="shared" si="6"/>
        <v>1.348056741</v>
      </c>
      <c r="Y42" s="31">
        <f t="shared" si="7"/>
        <v>4.571428571</v>
      </c>
      <c r="Z42" s="31">
        <f t="shared" si="8"/>
        <v>0.2857142857</v>
      </c>
      <c r="AA42" s="31">
        <f t="shared" si="9"/>
        <v>4.857142857</v>
      </c>
      <c r="AB42" s="40">
        <f t="shared" si="29"/>
        <v>-1.86496418</v>
      </c>
      <c r="AC42" s="41">
        <f>IFERROR(__xludf.DUMMYFUNCTION("IF(AA42="""","""",MAX(Filter((Data!K:K),Data!B:B=A42)))"),1.0)</f>
        <v>1</v>
      </c>
      <c r="AD42" s="41">
        <f t="shared" si="11"/>
        <v>-2.411421645</v>
      </c>
      <c r="AE42" s="31">
        <f t="shared" si="12"/>
        <v>1.285714286</v>
      </c>
      <c r="AF42" s="31">
        <f t="shared" si="13"/>
        <v>17.71428571</v>
      </c>
      <c r="AG42" s="42">
        <f>IF(A42="","",(((AD42)*Picklist!$P$3)+((K42)*Picklist!$P$4)+(E42*Picklist!$P$5)+(N42*Picklist!$P$6)+(X42*Picklist!$P$7)+(R42*Picklist!$P$8)))</f>
        <v>-5.77526446</v>
      </c>
      <c r="AH42" s="43">
        <f>IF(A42="","",(((AD42)*Picklist!$P$14)+((K42)*Picklist!$P$15)+(E42*Picklist!$P$16)+(N42*Picklist!$P$17)+(X42*Picklist!$P$18)+(R42*Picklist!$P$19)))</f>
        <v>-4.829253699</v>
      </c>
      <c r="AI42" s="44" t="str">
        <f>IFERROR(__xludf.DUMMYFUNCTION("TEXTJOIN("", "",TRUE, FILTER(Data!P:P, Data!B:B=A42))"),"on defense, likely due to shooter problems, keeping teo red balls off the field, fast climb, Decent defense., played skillful defense no offense, played defense")</f>
        <v>on defense, likely due to shooter problems, keeping teo red balls off the field, fast climb, Decent defense., played skillful defense no offense, played defense</v>
      </c>
      <c r="AJ42" s="45">
        <f t="shared" si="14"/>
        <v>0.1428571429</v>
      </c>
      <c r="AK42" s="46" t="str">
        <f>IFERROR(__xludf.DUMMYFUNCTION("IF(A42&lt;&gt;"""",IFERROR(AVERAGE(FILTER('Defense Calculations'!BJ:CS,'Defense Calculations'!A:A=A42)),""""),"""")"),"")</f>
        <v/>
      </c>
      <c r="AL42" s="15" t="str">
        <f t="shared" si="15"/>
        <v/>
      </c>
      <c r="AM42" s="47"/>
      <c r="AN42" s="51"/>
      <c r="AZ42" s="15">
        <f>IFERROR(__xludf.DUMMYFUNCTION("""COMPUTED_VALUE"""),5484.0)</f>
        <v>5484</v>
      </c>
      <c r="BB42" s="49">
        <f t="shared" si="16"/>
        <v>1.051948052</v>
      </c>
      <c r="BC42" s="50" t="str">
        <f t="shared" si="17"/>
        <v>4099</v>
      </c>
    </row>
    <row r="43">
      <c r="A43" s="15">
        <v>5010.0</v>
      </c>
      <c r="B43" s="30">
        <f>IFERROR(__xludf.DUMMYFUNCTION("IFERROR(ROUND(
(COUNTIF(FILTER(Data!O:O, Data!B:B=A43), ""Win"")
+ COUNTIF(FILTER(Data!O:O, Data!B:B=A43), {""Tie"",""Results""}))
/ (COUNTIF(Data!B:B, A43)),
2),"""")"),0.14)</f>
        <v>0.14</v>
      </c>
      <c r="C43" s="31">
        <f>IFERROR((SUMIF(Data!B:B, A43, Data!H:H)
/ (COUNTIF(Data!B:B, A43)
)),"")</f>
        <v>0</v>
      </c>
      <c r="D43" s="31">
        <f>IFERROR((SUMIF(Data!B:B, A43, Data!G:G)
/ (COUNTIF(Data!B:B, A43)
)),"")</f>
        <v>0.8571428571</v>
      </c>
      <c r="E43" s="31">
        <f t="shared" si="1"/>
        <v>-1.280939518</v>
      </c>
      <c r="F43" s="31">
        <f>IFERROR((SUMIF(Data!B:B, A43, Data!J:J)
/ (COUNTIF(Data!B:B, A43)
)),"")</f>
        <v>1</v>
      </c>
      <c r="G43" s="32">
        <f>IF(A43="","",IFERROR((((((SUMIF(Data!B:B, A43, Data!H:H)+(SUMIF(Data!B:B, A43,Data!G:G)))/(SUMIF(Data!B:B, A43, Data!J:J)))))),0))</f>
        <v>0.8571428571</v>
      </c>
      <c r="H43" s="33">
        <f>IFERROR(__xludf.DUMMYFUNCTION("IFERROR(IF(G43="""","""",(SUM(FIlter(Filter(Data!G:G,Data!B:B=A43),(Filter(Data!J:J&lt;3,Data!B:B=A43))))+SUM((FIlter(Filter(Data!H:H,Data!B:B=A43),(Filter(Data!J:J&lt;3,Data!B:B=A43))))))/(SUM(Filter(Filter(Data!J:J,Data!B:B=A43),FILTER(Data!J:J&lt;3,Data!B:B=A43"&amp;"))))),"""")"),0.8571428571428571)</f>
        <v>0.8571428571</v>
      </c>
      <c r="I43" s="32">
        <f>IFERROR(__xludf.DUMMYFUNCTION("IF(A43="""","""",(COUNT(FILTER(IF(Data!G:G&lt;&gt;0,Data!G:G,IF(Data!H:H&lt;&gt;0,Data!H:H)),Data!B:B=A43)))/(COUNT(FILTER(Data!J:J,Data!B:B=A43))))"),0.5714285714285714)</f>
        <v>0.5714285714</v>
      </c>
      <c r="J43" s="32">
        <f t="shared" si="2"/>
        <v>0.7142857143</v>
      </c>
      <c r="K43" s="31">
        <f t="shared" si="3"/>
        <v>-1.01330822</v>
      </c>
      <c r="L43" s="31">
        <f>IFERROR((SUMIF(Data!B:B, A43, Data!L:L)
/ (COUNTIF(Data!B:B, A43)
)),"")</f>
        <v>0</v>
      </c>
      <c r="M43" s="31">
        <f>IFERROR((SUMIF(Data!B:B, A43, Data!K:K)
/ (COUNTIF(Data!B:B, A43)
)),"")</f>
        <v>1.857142857</v>
      </c>
      <c r="N43" s="34">
        <f t="shared" si="28"/>
        <v>-1.65827587</v>
      </c>
      <c r="O43" s="32">
        <f>IF(A43="","",IFERROR((((((SUMIF(Data!B:B, A43, Data!H:H)+(SUMIF(Data!B:B, A43,Data!G:G)+(SUMIF(Data!B:B, A43,Data!L:L)+(SUMIF(Data!B:B, A43,Data!K:K)))))/(SUMIF(Data!B:B, A43, Data!M:M)+(SUMIF(Data!B:B, A43, Data!H:H)+(SUMIF(Data!B:B, A43,Data!G:G)+(SUMIF(Data!B:B, A43,Data!K:K)+(SUMIF(Data!B:B, A43,Data!L:L)))))))))),0))</f>
        <v>0.8636363636</v>
      </c>
      <c r="P43" s="35">
        <f>IFERROR(__xludf.DUMMYFUNCTION("IFERROR(((COUNTIF(FILTER(Data!N:N,Data!B:B=A43),""TRAVERSE"")*15)+(COUNTIF(FILTER(Data!N:N,Data!B:B=A43),""HIGH"")*10)+(COUNTIF(FILTER(Data!N:N,Data!B:B=A43),""MIDDLE"")*6)+(COUNTIF(FILTER(Data!N:N,Data!B:B=A43),""LOW"")*4)) / (COUNTIF(Data!B:B, A43)),"""&amp;""")"),9.571428571428571)</f>
        <v>9.571428571</v>
      </c>
      <c r="Q43" s="31">
        <f>IFERROR(__xludf.DUMMYFUNCTION("IF(P43="""","""",Average(FIlter(('Convert Name to Number'!$F$422:$Z1000),'Convert Name to Number'!$E$422:$E1000=$A43)))"),12.2)</f>
        <v>12.2</v>
      </c>
      <c r="R43" s="36">
        <f t="shared" si="5"/>
        <v>0.3546440341</v>
      </c>
      <c r="S43" s="37">
        <f>IFERROR(__xludf.DUMMYFUNCTION("IFERROR((((COUNTIF(FILTER(Data!N:N,Data!B:B=A43),""TRAVERSE""))+(COUNTIF(FILTER(Data!N:N,Data!B:B=A43),""HIGH""))+(COUNTIF(FILTER(Data!N:N,Data!B:B=A43),""MIDDLE""))+(COUNTIF(FILTER(Data!N:N,Data!B:B=A43),""LOW"")))) / (((COUNTIF(Data!B:B, A43)))-(COUNTIF"&amp;"(FILTER(Data!N:N,Data!B:B=A43),""NONE""))),IF(ISBLANK(A43),"""",0))"),1.0)</f>
        <v>1</v>
      </c>
      <c r="T43" s="32">
        <f>IFERROR(__xludf.DUMMYFUNCTION("IFERROR((COUNTIF(FILTER(Data!N:N, Data!B:B=A43),""LOW"")) / (COUNTIF(Data!B:B, A43)),"""")"),0.0)</f>
        <v>0</v>
      </c>
      <c r="U43" s="38">
        <f>IFERROR(__xludf.DUMMYFUNCTION("IFERROR((COUNTIF(FILTER(Data!N:N, Data!B:B=A43),""MIDDLE"")) / (COUNTIF(Data!B:B, A43)),"""")"),0.2857142857142857)</f>
        <v>0.2857142857</v>
      </c>
      <c r="V43" s="38">
        <f>IFERROR(__xludf.DUMMYFUNCTION("IFERROR((COUNTIF(FILTER(Data!N:N, Data!B:B=A43),""HIGH"")) / (COUNTIF(Data!B:B, A43)),"""")"),0.14285714285714285)</f>
        <v>0.1428571429</v>
      </c>
      <c r="W43" s="38">
        <f>IFERROR(__xludf.DUMMYFUNCTION("IFERROR((COUNTIF(FILTER(Data!N:N, Data!B:B=A43),""TRAVERSE"")) / (COUNTIF(Data!B:B, A43)),"""")"),0.42857142857142855)</f>
        <v>0.4285714286</v>
      </c>
      <c r="X43" s="39">
        <f t="shared" si="6"/>
        <v>-0.009031548222</v>
      </c>
      <c r="Y43" s="31">
        <f t="shared" si="7"/>
        <v>3.428571429</v>
      </c>
      <c r="Z43" s="31">
        <f t="shared" si="8"/>
        <v>3.714285714</v>
      </c>
      <c r="AA43" s="31">
        <f t="shared" si="9"/>
        <v>7.142857143</v>
      </c>
      <c r="AB43" s="40">
        <f t="shared" si="29"/>
        <v>-1.595989065</v>
      </c>
      <c r="AC43" s="41">
        <f>IFERROR(__xludf.DUMMYFUNCTION("IF(AA43="""","""",MAX(Filter((Data!K:K),Data!B:B=A43)))"),7.0)</f>
        <v>7</v>
      </c>
      <c r="AD43" s="41">
        <f t="shared" si="11"/>
        <v>-1.394599634</v>
      </c>
      <c r="AE43" s="31">
        <f t="shared" si="12"/>
        <v>2.714285714</v>
      </c>
      <c r="AF43" s="31">
        <f t="shared" si="13"/>
        <v>16.71428571</v>
      </c>
      <c r="AG43" s="42">
        <f>IF(A43="","",(((AD43)*Picklist!$P$3)+((K43)*Picklist!$P$4)+(E43*Picklist!$P$5)+(N43*Picklist!$P$6)+(X43*Picklist!$P$7)+(R43*Picklist!$P$8)))</f>
        <v>-5.964159329</v>
      </c>
      <c r="AH43" s="43">
        <f>IF(A43="","",(((AD43)*Picklist!$P$14)+((K43)*Picklist!$P$15)+(E43*Picklist!$P$16)+(N43*Picklist!$P$17)+(X43*Picklist!$P$18)+(R43*Picklist!$P$19)))</f>
        <v>-5.609515295</v>
      </c>
      <c r="AI43" s="44" t="str">
        <f>IFERROR(__xludf.DUMMYFUNCTION("TEXTJOIN("", "",TRUE, FILTER(Data!P:P, Data!B:B=A43))"),"just pushed people around and were generally shaky, defensive, likely due to shooter difficulties, they kept breaking down, played defense")</f>
        <v>just pushed people around and were generally shaky, defensive, likely due to shooter difficulties, they kept breaking down, played defense</v>
      </c>
      <c r="AJ43" s="45">
        <f t="shared" si="14"/>
        <v>1.857142857</v>
      </c>
      <c r="AK43" s="46" t="str">
        <f>IFERROR(__xludf.DUMMYFUNCTION("IF(A43&lt;&gt;"""",IFERROR(AVERAGE(FILTER('Defense Calculations'!BJ:CS,'Defense Calculations'!A:A=A43)),""""),"""")"),"")</f>
        <v/>
      </c>
      <c r="AL43" s="15" t="str">
        <f t="shared" si="15"/>
        <v/>
      </c>
      <c r="AM43" s="47"/>
      <c r="AN43" s="51"/>
      <c r="AZ43" s="15">
        <f>IFERROR(__xludf.DUMMYFUNCTION("""COMPUTED_VALUE"""),5712.0)</f>
        <v>5712</v>
      </c>
      <c r="BB43" s="49">
        <f t="shared" si="16"/>
        <v>2.344155844</v>
      </c>
      <c r="BC43" s="50" t="str">
        <f t="shared" si="17"/>
        <v>5010</v>
      </c>
    </row>
    <row r="44">
      <c r="A44" s="15">
        <v>234.0</v>
      </c>
      <c r="B44" s="30">
        <f>IFERROR(__xludf.DUMMYFUNCTION("IFERROR(ROUND(
(COUNTIF(FILTER(Data!O:O, Data!B:B=A44), ""Win"")
+ COUNTIF(FILTER(Data!O:O, Data!B:B=A44), {""Tie"",""Results""}))
/ (COUNTIF(Data!B:B, A44)),
2),"""")"),0.14)</f>
        <v>0.14</v>
      </c>
      <c r="C44" s="31">
        <f>IFERROR((SUMIF(Data!B:B, A44, Data!H:H)
/ (COUNTIF(Data!B:B, A44)
)),"")</f>
        <v>0</v>
      </c>
      <c r="D44" s="31">
        <f>IFERROR((SUMIF(Data!B:B, A44, Data!G:G)
/ (COUNTIF(Data!B:B, A44)
)),"")</f>
        <v>0.7142857143</v>
      </c>
      <c r="E44" s="31">
        <f t="shared" si="1"/>
        <v>-1.443885888</v>
      </c>
      <c r="F44" s="31">
        <f>IFERROR((SUMIF(Data!B:B, A44, Data!J:J)
/ (COUNTIF(Data!B:B, A44)
)),"")</f>
        <v>1.142857143</v>
      </c>
      <c r="G44" s="32">
        <f>IF(A44="","",IFERROR((((((SUMIF(Data!B:B, A44, Data!H:H)+(SUMIF(Data!B:B, A44,Data!G:G)))/(SUMIF(Data!B:B, A44, Data!J:J)))))),0))</f>
        <v>0.625</v>
      </c>
      <c r="H44" s="33">
        <f>IFERROR(__xludf.DUMMYFUNCTION("IFERROR(IF(G44="""","""",(SUM(FIlter(Filter(Data!G:G,Data!B:B=A44),(Filter(Data!J:J&lt;3,Data!B:B=A44))))+SUM((FIlter(Filter(Data!H:H,Data!B:B=A44),(Filter(Data!J:J&lt;3,Data!B:B=A44))))))/(SUM(Filter(Filter(Data!J:J,Data!B:B=A44),FILTER(Data!J:J&lt;3,Data!B:B=A44"&amp;"))))),"""")"),0.625)</f>
        <v>0.625</v>
      </c>
      <c r="I44" s="32">
        <f>IFERROR(__xludf.DUMMYFUNCTION("IF(A44="""","""",(COUNT(FILTER(IF(Data!G:G&lt;&gt;0,Data!G:G,IF(Data!H:H&lt;&gt;0,Data!H:H)),Data!B:B=A44)))/(COUNT(FILTER(Data!J:J,Data!B:B=A44))))"),0.42857142857142855)</f>
        <v>0.4285714286</v>
      </c>
      <c r="J44" s="32">
        <f t="shared" si="2"/>
        <v>0.5267857143</v>
      </c>
      <c r="K44" s="31">
        <f t="shared" si="3"/>
        <v>-2.384272589</v>
      </c>
      <c r="L44" s="31">
        <f>IFERROR((SUMIF(Data!B:B, A44, Data!L:L)
/ (COUNTIF(Data!B:B, A44)
)),"")</f>
        <v>0</v>
      </c>
      <c r="M44" s="31">
        <f>IFERROR((SUMIF(Data!B:B, A44, Data!K:K)
/ (COUNTIF(Data!B:B, A44)
)),"")</f>
        <v>1.428571429</v>
      </c>
      <c r="N44" s="34">
        <f t="shared" si="28"/>
        <v>-1.754921706</v>
      </c>
      <c r="O44" s="32">
        <f>IF(A44="","",IFERROR((((((SUMIF(Data!B:B, A44, Data!H:H)+(SUMIF(Data!B:B, A44,Data!G:G)+(SUMIF(Data!B:B, A44,Data!L:L)+(SUMIF(Data!B:B, A44,Data!K:K)))))/(SUMIF(Data!B:B, A44, Data!M:M)+(SUMIF(Data!B:B, A44, Data!H:H)+(SUMIF(Data!B:B, A44,Data!G:G)+(SUMIF(Data!B:B, A44,Data!K:K)+(SUMIF(Data!B:B, A44,Data!L:L)))))))))),0))</f>
        <v>0.7142857143</v>
      </c>
      <c r="P44" s="35">
        <f>IFERROR(__xludf.DUMMYFUNCTION("IFERROR(((COUNTIF(FILTER(Data!N:N,Data!B:B=A44),""TRAVERSE"")*15)+(COUNTIF(FILTER(Data!N:N,Data!B:B=A44),""HIGH"")*10)+(COUNTIF(FILTER(Data!N:N,Data!B:B=A44),""MIDDLE"")*6)+(COUNTIF(FILTER(Data!N:N,Data!B:B=A44),""LOW"")*4)) / (COUNTIF(Data!B:B, A44)),"""&amp;""")"),8.428571428571429)</f>
        <v>8.428571429</v>
      </c>
      <c r="Q44" s="31">
        <f>IFERROR(__xludf.DUMMYFUNCTION("IF(P44="""","""",Average(FIlter(('Convert Name to Number'!$F$422:$Z1000),'Convert Name to Number'!$E$422:$E1000=$A44)))"),11.8)</f>
        <v>11.8</v>
      </c>
      <c r="R44" s="36">
        <f t="shared" si="5"/>
        <v>0.2701630732</v>
      </c>
      <c r="S44" s="37">
        <f>IFERROR(__xludf.DUMMYFUNCTION("IFERROR((((COUNTIF(FILTER(Data!N:N,Data!B:B=A44),""TRAVERSE""))+(COUNTIF(FILTER(Data!N:N,Data!B:B=A44),""HIGH""))+(COUNTIF(FILTER(Data!N:N,Data!B:B=A44),""MIDDLE""))+(COUNTIF(FILTER(Data!N:N,Data!B:B=A44),""LOW"")))) / (((COUNTIF(Data!B:B, A44)))-(COUNTIF"&amp;"(FILTER(Data!N:N,Data!B:B=A44),""NONE""))),IF(ISBLANK(A44),"""",0))"),0.8333333333333334)</f>
        <v>0.8333333333</v>
      </c>
      <c r="T44" s="32">
        <f>IFERROR(__xludf.DUMMYFUNCTION("IFERROR((COUNTIF(FILTER(Data!N:N, Data!B:B=A44),""LOW"")) / (COUNTIF(Data!B:B, A44)),"""")"),0.14285714285714285)</f>
        <v>0.1428571429</v>
      </c>
      <c r="U44" s="38">
        <f>IFERROR(__xludf.DUMMYFUNCTION("IFERROR((COUNTIF(FILTER(Data!N:N, Data!B:B=A44),""MIDDLE"")) / (COUNTIF(Data!B:B, A44)),"""")"),0.0)</f>
        <v>0</v>
      </c>
      <c r="V44" s="38">
        <f>IFERROR(__xludf.DUMMYFUNCTION("IFERROR((COUNTIF(FILTER(Data!N:N, Data!B:B=A44),""HIGH"")) / (COUNTIF(Data!B:B, A44)),"""")"),0.14285714285714285)</f>
        <v>0.1428571429</v>
      </c>
      <c r="W44" s="38">
        <f>IFERROR(__xludf.DUMMYFUNCTION("IFERROR((COUNTIF(FILTER(Data!N:N, Data!B:B=A44),""TRAVERSE"")) / (COUNTIF(Data!B:B, A44)),"""")"),0.42857142857142855)</f>
        <v>0.4285714286</v>
      </c>
      <c r="X44" s="39">
        <f t="shared" si="6"/>
        <v>-0.009031548222</v>
      </c>
      <c r="Y44" s="31">
        <f t="shared" si="7"/>
        <v>2.857142857</v>
      </c>
      <c r="Z44" s="31">
        <f t="shared" si="8"/>
        <v>2.857142857</v>
      </c>
      <c r="AA44" s="31">
        <f t="shared" si="9"/>
        <v>5.714285714</v>
      </c>
      <c r="AB44" s="40">
        <f t="shared" si="29"/>
        <v>-1.703579111</v>
      </c>
      <c r="AC44" s="41">
        <f>IFERROR(__xludf.DUMMYFUNCTION("IF(AA44="""","""",MAX(Filter((Data!K:K),Data!B:B=A44)))"),5.0)</f>
        <v>5</v>
      </c>
      <c r="AD44" s="41">
        <f t="shared" si="11"/>
        <v>-1.733540304</v>
      </c>
      <c r="AE44" s="31">
        <f t="shared" si="12"/>
        <v>2.142857143</v>
      </c>
      <c r="AF44" s="31">
        <f t="shared" si="13"/>
        <v>14.14285714</v>
      </c>
      <c r="AG44" s="42">
        <f>IF(A44="","",(((AD44)*Picklist!$P$3)+((K44)*Picklist!$P$4)+(E44*Picklist!$P$5)+(N44*Picklist!$P$6)+(X44*Picklist!$P$7)+(R44*Picklist!$P$8)))</f>
        <v>-8.301925719</v>
      </c>
      <c r="AH44" s="43">
        <f>IF(A44="","",(((AD44)*Picklist!$P$14)+((K44)*Picklist!$P$15)+(E44*Picklist!$P$16)+(N44*Picklist!$P$17)+(X44*Picklist!$P$18)+(R44*Picklist!$P$19)))</f>
        <v>-8.031762646</v>
      </c>
      <c r="AI44" s="44" t="str">
        <f>IFERROR(__xludf.DUMMYFUNCTION("TEXTJOIN("", "",TRUE, FILTER(Data!P:P, Data!B:B=A44))"),"auto is just taxi, played defense, used mostly as defence, played defense, played defense")</f>
        <v>auto is just taxi, played defense, used mostly as defence, played defense, played defense</v>
      </c>
      <c r="AJ44" s="45">
        <f t="shared" si="14"/>
        <v>1.428571429</v>
      </c>
      <c r="AK44" s="46" t="str">
        <f>IFERROR(__xludf.DUMMYFUNCTION("IF(A44&lt;&gt;"""",IFERROR(AVERAGE(FILTER('Defense Calculations'!BJ:CS,'Defense Calculations'!A:A=A44)),""""),"""")"),"")</f>
        <v/>
      </c>
      <c r="AL44" s="15" t="str">
        <f t="shared" si="15"/>
        <v/>
      </c>
      <c r="AM44" s="47"/>
      <c r="AN44" s="51"/>
      <c r="AZ44" s="15">
        <f>IFERROR(__xludf.DUMMYFUNCTION("""COMPUTED_VALUE"""),587.0)</f>
        <v>587</v>
      </c>
      <c r="BB44" s="49">
        <f t="shared" si="16"/>
        <v>1.530612245</v>
      </c>
      <c r="BC44" s="50" t="str">
        <f t="shared" si="17"/>
        <v>234</v>
      </c>
    </row>
    <row r="45">
      <c r="A45" s="15">
        <v>3176.0</v>
      </c>
      <c r="B45" s="30">
        <f>IFERROR(__xludf.DUMMYFUNCTION("IFERROR(ROUND(
(COUNTIF(FILTER(Data!O:O, Data!B:B=A45), ""Win"")
+ COUNTIF(FILTER(Data!O:O, Data!B:B=A45), {""Tie"",""Results""}))
/ (COUNTIF(Data!B:B, A45)),
2),"""")"),0.13)</f>
        <v>0.13</v>
      </c>
      <c r="C45" s="31">
        <f>IFERROR((SUMIF(Data!B:B, A45, Data!H:H)
/ (COUNTIF(Data!B:B, A45)
)),"")</f>
        <v>0</v>
      </c>
      <c r="D45" s="31">
        <f>IFERROR((SUMIF(Data!B:B, A45, Data!G:G)
/ (COUNTIF(Data!B:B, A45)
)),"")</f>
        <v>1.5</v>
      </c>
      <c r="E45" s="31">
        <f t="shared" si="1"/>
        <v>-0.5476808539</v>
      </c>
      <c r="F45" s="31">
        <f>IFERROR((SUMIF(Data!B:B, A45, Data!J:J)
/ (COUNTIF(Data!B:B, A45)
)),"")</f>
        <v>1.75</v>
      </c>
      <c r="G45" s="32">
        <f>IF(A45="","",IFERROR((((((SUMIF(Data!B:B, A45, Data!H:H)+(SUMIF(Data!B:B, A45,Data!G:G)))/(SUMIF(Data!B:B, A45, Data!J:J)))))),0))</f>
        <v>0.8571428571</v>
      </c>
      <c r="H45" s="33">
        <f>IFERROR(__xludf.DUMMYFUNCTION("IFERROR(IF(G45="""","""",(SUM(FIlter(Filter(Data!G:G,Data!B:B=A45),(Filter(Data!J:J&lt;3,Data!B:B=A45))))+SUM((FIlter(Filter(Data!H:H,Data!B:B=A45),(Filter(Data!J:J&lt;3,Data!B:B=A45))))))/(SUM(Filter(Filter(Data!J:J,Data!B:B=A45),FILTER(Data!J:J&lt;3,Data!B:B=A45"&amp;"))))),"""")"),0.8181818181818182)</f>
        <v>0.8181818182</v>
      </c>
      <c r="I45" s="32">
        <f>IFERROR(__xludf.DUMMYFUNCTION("IF(A45="""","""",(COUNT(FILTER(IF(Data!G:G&lt;&gt;0,Data!G:G,IF(Data!H:H&lt;&gt;0,Data!H:H)),Data!B:B=A45)))/(COUNT(FILTER(Data!J:J,Data!B:B=A45))))"),0.875)</f>
        <v>0.875</v>
      </c>
      <c r="J45" s="32">
        <f t="shared" si="2"/>
        <v>0.8465909091</v>
      </c>
      <c r="K45" s="31">
        <f t="shared" si="3"/>
        <v>-0.04591777837</v>
      </c>
      <c r="L45" s="31">
        <f>IFERROR((SUMIF(Data!B:B, A45, Data!L:L)
/ (COUNTIF(Data!B:B, A45)
)),"")</f>
        <v>0.25</v>
      </c>
      <c r="M45" s="31">
        <f>IFERROR((SUMIF(Data!B:B, A45, Data!K:K)
/ (COUNTIF(Data!B:B, A45)
)),"")</f>
        <v>5.5</v>
      </c>
      <c r="N45" s="34">
        <f t="shared" si="28"/>
        <v>-0.8367862674</v>
      </c>
      <c r="O45" s="32">
        <f>IF(A45="","",IFERROR((((((SUMIF(Data!B:B, A45, Data!H:H)+(SUMIF(Data!B:B, A45,Data!G:G)+(SUMIF(Data!B:B, A45,Data!L:L)+(SUMIF(Data!B:B, A45,Data!K:K)))))/(SUMIF(Data!B:B, A45, Data!M:M)+(SUMIF(Data!B:B, A45, Data!H:H)+(SUMIF(Data!B:B, A45,Data!G:G)+(SUMIF(Data!B:B, A45,Data!K:K)+(SUMIF(Data!B:B, A45,Data!L:L)))))))))),0))</f>
        <v>0.8405797101</v>
      </c>
      <c r="P45" s="35">
        <f>IFERROR(__xludf.DUMMYFUNCTION("IFERROR(((COUNTIF(FILTER(Data!N:N,Data!B:B=A45),""TRAVERSE"")*15)+(COUNTIF(FILTER(Data!N:N,Data!B:B=A45),""HIGH"")*10)+(COUNTIF(FILTER(Data!N:N,Data!B:B=A45),""MIDDLE"")*6)+(COUNTIF(FILTER(Data!N:N,Data!B:B=A45),""LOW"")*4)) / (COUNTIF(Data!B:B, A45)),"""&amp;""")"),1.5)</f>
        <v>1.5</v>
      </c>
      <c r="Q45" s="31">
        <f>IFERROR(__xludf.DUMMYFUNCTION("IF(P45="""","""",Average(FIlter(('Convert Name to Number'!$F$422:$Z1000),'Convert Name to Number'!$E$422:$E1000=$A45)))"),2.4)</f>
        <v>2.4</v>
      </c>
      <c r="R45" s="36">
        <f t="shared" si="5"/>
        <v>-1.71513951</v>
      </c>
      <c r="S45" s="37">
        <f>IFERROR(__xludf.DUMMYFUNCTION("IFERROR((((COUNTIF(FILTER(Data!N:N,Data!B:B=A45),""TRAVERSE""))+(COUNTIF(FILTER(Data!N:N,Data!B:B=A45),""HIGH""))+(COUNTIF(FILTER(Data!N:N,Data!B:B=A45),""MIDDLE""))+(COUNTIF(FILTER(Data!N:N,Data!B:B=A45),""LOW"")))) / (((COUNTIF(Data!B:B, A45)))-(COUNTIF"&amp;"(FILTER(Data!N:N,Data!B:B=A45),""NONE""))),IF(ISBLANK(A45),"""",0))"),0.75)</f>
        <v>0.75</v>
      </c>
      <c r="T45" s="32">
        <f>IFERROR(__xludf.DUMMYFUNCTION("IFERROR((COUNTIF(FILTER(Data!N:N, Data!B:B=A45),""LOW"")) / (COUNTIF(Data!B:B, A45)),"""")"),0.375)</f>
        <v>0.375</v>
      </c>
      <c r="U45" s="38">
        <f>IFERROR(__xludf.DUMMYFUNCTION("IFERROR((COUNTIF(FILTER(Data!N:N, Data!B:B=A45),""MIDDLE"")) / (COUNTIF(Data!B:B, A45)),"""")"),0.0)</f>
        <v>0</v>
      </c>
      <c r="V45" s="38">
        <f>IFERROR(__xludf.DUMMYFUNCTION("IFERROR((COUNTIF(FILTER(Data!N:N, Data!B:B=A45),""HIGH"")) / (COUNTIF(Data!B:B, A45)),"""")"),0.0)</f>
        <v>0</v>
      </c>
      <c r="W45" s="38">
        <f>IFERROR(__xludf.DUMMYFUNCTION("IFERROR((COUNTIF(FILTER(Data!N:N, Data!B:B=A45),""TRAVERSE"")) / (COUNTIF(Data!B:B, A45)),"""")"),0.0)</f>
        <v>0</v>
      </c>
      <c r="X45" s="39">
        <f t="shared" si="6"/>
        <v>-1.366119838</v>
      </c>
      <c r="Y45" s="31">
        <f t="shared" si="7"/>
        <v>6</v>
      </c>
      <c r="Z45" s="31">
        <f t="shared" si="8"/>
        <v>11.25</v>
      </c>
      <c r="AA45" s="31">
        <f t="shared" si="9"/>
        <v>17.25</v>
      </c>
      <c r="AB45" s="40">
        <f t="shared" si="29"/>
        <v>-0.7890637179</v>
      </c>
      <c r="AC45" s="41">
        <f>IFERROR(__xludf.DUMMYFUNCTION("IF(AA45="""","""",MAX(Filter((Data!K:K),Data!B:B=A45)))"),10.0)</f>
        <v>10</v>
      </c>
      <c r="AD45" s="41">
        <f t="shared" si="11"/>
        <v>-0.886188628</v>
      </c>
      <c r="AE45" s="31">
        <f t="shared" si="12"/>
        <v>7.25</v>
      </c>
      <c r="AF45" s="31">
        <f t="shared" si="13"/>
        <v>18.75</v>
      </c>
      <c r="AG45" s="42">
        <f>IF(A45="","",(((AD45)*Picklist!$P$3)+((K45)*Picklist!$P$4)+(E45*Picklist!$P$5)+(N45*Picklist!$P$6)+(X45*Picklist!$P$7)+(R45*Picklist!$P$8)))</f>
        <v>-10.30302325</v>
      </c>
      <c r="AH45" s="43">
        <f>IF(A45="","",(((AD45)*Picklist!$P$14)+((K45)*Picklist!$P$15)+(E45*Picklist!$P$16)+(N45*Picklist!$P$17)+(X45*Picklist!$P$18)+(R45*Picklist!$P$19)))</f>
        <v>-12.01816276</v>
      </c>
      <c r="AI45" s="44" t="str">
        <f>IFERROR(__xludf.DUMMYFUNCTION("TEXTJOIN("", "",TRUE, FILTER(Data!P:P, Data!B:B=A45))"),"robot was not able to climb due to technical difficulties, only played defense, got a pinning foul this match, looks loke manual aim")</f>
        <v>robot was not able to climb due to technical difficulties, only played defense, got a pinning foul this match, looks loke manual aim</v>
      </c>
      <c r="AJ45" s="45">
        <f t="shared" si="14"/>
        <v>5.75</v>
      </c>
      <c r="AK45" s="46" t="str">
        <f>IFERROR(__xludf.DUMMYFUNCTION("IF(A45&lt;&gt;"""",IFERROR(AVERAGE(FILTER('Defense Calculations'!BJ:CS,'Defense Calculations'!A:A=A45)),""""),"""")"),"")</f>
        <v/>
      </c>
      <c r="AL45" s="15" t="str">
        <f t="shared" si="15"/>
        <v/>
      </c>
      <c r="AM45" s="47"/>
      <c r="AN45" s="51"/>
      <c r="AZ45" s="15">
        <f>IFERROR(__xludf.DUMMYFUNCTION("""COMPUTED_VALUE"""),624.0)</f>
        <v>624</v>
      </c>
      <c r="BB45" s="49">
        <f t="shared" si="16"/>
        <v>6.094202899</v>
      </c>
      <c r="BC45" s="50" t="str">
        <f t="shared" si="17"/>
        <v>3176</v>
      </c>
    </row>
    <row r="46">
      <c r="A46" s="15">
        <v>1720.0</v>
      </c>
      <c r="B46" s="30">
        <f>IFERROR(__xludf.DUMMYFUNCTION("IFERROR(ROUND(
(COUNTIF(FILTER(Data!O:O, Data!B:B=A46), ""Win"")
+ COUNTIF(FILTER(Data!O:O, Data!B:B=A46), {""Tie"",""Results""}))
/ (COUNTIF(Data!B:B, A46)),
2),"""")"),0.14)</f>
        <v>0.14</v>
      </c>
      <c r="C46" s="31">
        <f>IFERROR((SUMIF(Data!B:B, A46, Data!H:H)
/ (COUNTIF(Data!B:B, A46)
)),"")</f>
        <v>0</v>
      </c>
      <c r="D46" s="31">
        <f>IFERROR((SUMIF(Data!B:B, A46, Data!G:G)
/ (COUNTIF(Data!B:B, A46)
)),"")</f>
        <v>0.5714285714</v>
      </c>
      <c r="E46" s="31">
        <f t="shared" si="1"/>
        <v>-1.606832257</v>
      </c>
      <c r="F46" s="31">
        <f>IFERROR((SUMIF(Data!B:B, A46, Data!J:J)
/ (COUNTIF(Data!B:B, A46)
)),"")</f>
        <v>0.7142857143</v>
      </c>
      <c r="G46" s="32">
        <f>IF(A46="","",IFERROR((((((SUMIF(Data!B:B, A46, Data!H:H)+(SUMIF(Data!B:B, A46,Data!G:G)))/(SUMIF(Data!B:B, A46, Data!J:J)))))),0))</f>
        <v>0.8</v>
      </c>
      <c r="H46" s="33">
        <f>IFERROR(__xludf.DUMMYFUNCTION("IFERROR(IF(G46="""","""",(SUM(FIlter(Filter(Data!G:G,Data!B:B=A46),(Filter(Data!J:J&lt;3,Data!B:B=A46))))+SUM((FIlter(Filter(Data!H:H,Data!B:B=A46),(Filter(Data!J:J&lt;3,Data!B:B=A46))))))/(SUM(Filter(Filter(Data!J:J,Data!B:B=A46),FILTER(Data!J:J&lt;3,Data!B:B=A46"&amp;"))))),"""")"),0.8)</f>
        <v>0.8</v>
      </c>
      <c r="I46" s="32">
        <f>IFERROR(__xludf.DUMMYFUNCTION("IF(A46="""","""",(COUNT(FILTER(IF(Data!G:G&lt;&gt;0,Data!G:G,IF(Data!H:H&lt;&gt;0,Data!H:H)),Data!B:B=A46)))/(COUNT(FILTER(Data!J:J,Data!B:B=A46))))"),0.42857142857142855)</f>
        <v>0.4285714286</v>
      </c>
      <c r="J46" s="32">
        <f t="shared" si="2"/>
        <v>0.6142857143</v>
      </c>
      <c r="K46" s="31">
        <f t="shared" si="3"/>
        <v>-1.744489217</v>
      </c>
      <c r="L46" s="31">
        <f>IFERROR((SUMIF(Data!B:B, A46, Data!L:L)
/ (COUNTIF(Data!B:B, A46)
)),"")</f>
        <v>0.2857142857</v>
      </c>
      <c r="M46" s="31">
        <f>IFERROR((SUMIF(Data!B:B, A46, Data!K:K)
/ (COUNTIF(Data!B:B, A46)
)),"")</f>
        <v>6</v>
      </c>
      <c r="N46" s="34">
        <f t="shared" si="28"/>
        <v>-0.7240327925</v>
      </c>
      <c r="O46" s="32">
        <f>IF(A46="","",IFERROR((((((SUMIF(Data!B:B, A46, Data!H:H)+(SUMIF(Data!B:B, A46,Data!G:G)+(SUMIF(Data!B:B, A46,Data!L:L)+(SUMIF(Data!B:B, A46,Data!K:K)))))/(SUMIF(Data!B:B, A46, Data!M:M)+(SUMIF(Data!B:B, A46, Data!H:H)+(SUMIF(Data!B:B, A46,Data!G:G)+(SUMIF(Data!B:B, A46,Data!K:K)+(SUMIF(Data!B:B, A46,Data!L:L)))))))))),0))</f>
        <v>0.8727272727</v>
      </c>
      <c r="P46" s="35">
        <f>IFERROR(__xludf.DUMMYFUNCTION("IFERROR(((COUNTIF(FILTER(Data!N:N,Data!B:B=A46),""TRAVERSE"")*15)+(COUNTIF(FILTER(Data!N:N,Data!B:B=A46),""HIGH"")*10)+(COUNTIF(FILTER(Data!N:N,Data!B:B=A46),""MIDDLE"")*6)+(COUNTIF(FILTER(Data!N:N,Data!B:B=A46),""LOW"")*4)) / (COUNTIF(Data!B:B, A46)),"""&amp;""")"),2.2857142857142856)</f>
        <v>2.285714286</v>
      </c>
      <c r="Q46" s="31">
        <f>IFERROR(__xludf.DUMMYFUNCTION("IF(P46="""","""",Average(FIlter(('Convert Name to Number'!$F$422:$Z1000),'Convert Name to Number'!$E$422:$E1000=$A46)))"),3.2)</f>
        <v>3.2</v>
      </c>
      <c r="R46" s="36">
        <f t="shared" si="5"/>
        <v>-1.546177588</v>
      </c>
      <c r="S46" s="37">
        <f>IFERROR(__xludf.DUMMYFUNCTION("IFERROR((((COUNTIF(FILTER(Data!N:N,Data!B:B=A46),""TRAVERSE""))+(COUNTIF(FILTER(Data!N:N,Data!B:B=A46),""HIGH""))+(COUNTIF(FILTER(Data!N:N,Data!B:B=A46),""MIDDLE""))+(COUNTIF(FILTER(Data!N:N,Data!B:B=A46),""LOW"")))) / (((COUNTIF(Data!B:B, A46)))-(COUNTIF"&amp;"(FILTER(Data!N:N,Data!B:B=A46),""NONE""))),IF(ISBLANK(A46),"""",0))"),1.0)</f>
        <v>1</v>
      </c>
      <c r="T46" s="32">
        <f>IFERROR(__xludf.DUMMYFUNCTION("IFERROR((COUNTIF(FILTER(Data!N:N, Data!B:B=A46),""LOW"")) / (COUNTIF(Data!B:B, A46)),"""")"),0.0)</f>
        <v>0</v>
      </c>
      <c r="U46" s="38">
        <f>IFERROR(__xludf.DUMMYFUNCTION("IFERROR((COUNTIF(FILTER(Data!N:N, Data!B:B=A46),""MIDDLE"")) / (COUNTIF(Data!B:B, A46)),"""")"),0.14285714285714285)</f>
        <v>0.1428571429</v>
      </c>
      <c r="V46" s="38">
        <f>IFERROR(__xludf.DUMMYFUNCTION("IFERROR((COUNTIF(FILTER(Data!N:N, Data!B:B=A46),""HIGH"")) / (COUNTIF(Data!B:B, A46)),"""")"),0.14285714285714285)</f>
        <v>0.1428571429</v>
      </c>
      <c r="W46" s="38">
        <f>IFERROR(__xludf.DUMMYFUNCTION("IFERROR((COUNTIF(FILTER(Data!N:N, Data!B:B=A46),""TRAVERSE"")) / (COUNTIF(Data!B:B, A46)),"""")"),0.0)</f>
        <v>0</v>
      </c>
      <c r="X46" s="39">
        <f t="shared" si="6"/>
        <v>-1.366119838</v>
      </c>
      <c r="Y46" s="31">
        <f t="shared" si="7"/>
        <v>2.285714286</v>
      </c>
      <c r="Z46" s="31">
        <f t="shared" si="8"/>
        <v>12.28571429</v>
      </c>
      <c r="AA46" s="31">
        <f t="shared" si="9"/>
        <v>14.57142857</v>
      </c>
      <c r="AB46" s="40">
        <f t="shared" si="29"/>
        <v>-0.8697562526</v>
      </c>
      <c r="AC46" s="41">
        <f>IFERROR(__xludf.DUMMYFUNCTION("IF(AA46="""","""",MAX(Filter((Data!K:K),Data!B:B=A46)))"),12.0)</f>
        <v>12</v>
      </c>
      <c r="AD46" s="41">
        <f t="shared" si="11"/>
        <v>-0.5472479575</v>
      </c>
      <c r="AE46" s="31">
        <f t="shared" si="12"/>
        <v>6.857142857</v>
      </c>
      <c r="AF46" s="31">
        <f t="shared" si="13"/>
        <v>16.85714286</v>
      </c>
      <c r="AG46" s="42">
        <f>IF(A46="","",(((AD46)*Picklist!$P$3)+((K46)*Picklist!$P$4)+(E46*Picklist!$P$5)+(N46*Picklist!$P$6)+(X46*Picklist!$P$7)+(R46*Picklist!$P$8)))</f>
        <v>-10.6485459</v>
      </c>
      <c r="AH46" s="43">
        <f>IF(A46="","",(((AD46)*Picklist!$P$14)+((K46)*Picklist!$P$15)+(E46*Picklist!$P$16)+(N46*Picklist!$P$17)+(X46*Picklist!$P$18)+(R46*Picklist!$P$19)))</f>
        <v>-12.19472349</v>
      </c>
      <c r="AI46" s="44" t="str">
        <f>IFERROR(__xludf.DUMMYFUNCTION("TEXTJOIN("", "",TRUE, FILTER(Data!P:P, Data!B:B=A46))"),"played defense but didn't really stop anything, Interesting climber., Disabled")</f>
        <v>played defense but didn't really stop anything, Interesting climber., Disabled</v>
      </c>
      <c r="AJ46" s="45">
        <f t="shared" si="14"/>
        <v>6.285714286</v>
      </c>
      <c r="AK46" s="46" t="str">
        <f>IFERROR(__xludf.DUMMYFUNCTION("IF(A46&lt;&gt;"""",IFERROR(AVERAGE(FILTER('Defense Calculations'!BJ:CS,'Defense Calculations'!A:A=A46)),""""),"""")"),"")</f>
        <v/>
      </c>
      <c r="AL46" s="15" t="str">
        <f t="shared" si="15"/>
        <v/>
      </c>
      <c r="AM46" s="47"/>
      <c r="AN46" s="51"/>
      <c r="AZ46" s="15">
        <f>IFERROR(__xludf.DUMMYFUNCTION("""COMPUTED_VALUE"""),67.0)</f>
        <v>67</v>
      </c>
      <c r="BB46" s="49">
        <f t="shared" si="16"/>
        <v>5.984415584</v>
      </c>
      <c r="BC46" s="50" t="str">
        <f t="shared" si="17"/>
        <v>1720</v>
      </c>
    </row>
    <row r="47">
      <c r="A47" s="15">
        <v>2614.0</v>
      </c>
      <c r="B47" s="30">
        <f>IFERROR(__xludf.DUMMYFUNCTION("IFERROR(ROUND(
(COUNTIF(FILTER(Data!O:O, Data!B:B=A47), ""Win"")
+ COUNTIF(FILTER(Data!O:O, Data!B:B=A47), {""Tie"",""Results""}))
/ (COUNTIF(Data!B:B, A47)),
2),"""")"),0.25)</f>
        <v>0.25</v>
      </c>
      <c r="C47" s="31">
        <f>IFERROR((SUMIF(Data!B:B, A47, Data!H:H)
/ (COUNTIF(Data!B:B, A47)
)),"")</f>
        <v>0</v>
      </c>
      <c r="D47" s="31">
        <f>IFERROR((SUMIF(Data!B:B, A47, Data!G:G)
/ (COUNTIF(Data!B:B, A47)
)),"")</f>
        <v>1.25</v>
      </c>
      <c r="E47" s="31">
        <f t="shared" si="1"/>
        <v>-0.832837001</v>
      </c>
      <c r="F47" s="31">
        <f>IFERROR((SUMIF(Data!B:B, A47, Data!J:J)
/ (COUNTIF(Data!B:B, A47)
)),"")</f>
        <v>1.75</v>
      </c>
      <c r="G47" s="32">
        <f>IF(A47="","",IFERROR((((((SUMIF(Data!B:B, A47, Data!H:H)+(SUMIF(Data!B:B, A47,Data!G:G)))/(SUMIF(Data!B:B, A47, Data!J:J)))))),0))</f>
        <v>0.7142857143</v>
      </c>
      <c r="H47" s="33">
        <f>IFERROR(__xludf.DUMMYFUNCTION("IFERROR(IF(G47="""","""",(SUM(FIlter(Filter(Data!G:G,Data!B:B=A47),(Filter(Data!J:J&lt;3,Data!B:B=A47))))+SUM((FIlter(Filter(Data!H:H,Data!B:B=A47),(Filter(Data!J:J&lt;3,Data!B:B=A47))))))/(SUM(Filter(Filter(Data!J:J,Data!B:B=A47),FILTER(Data!J:J&lt;3,Data!B:B=A47"&amp;"))))),"""")"),0.7142857142857143)</f>
        <v>0.7142857143</v>
      </c>
      <c r="I47" s="32">
        <f>IFERROR(__xludf.DUMMYFUNCTION("IF(A47="""","""",(COUNT(FILTER(IF(Data!G:G&lt;&gt;0,Data!G:G,IF(Data!H:H&lt;&gt;0,Data!H:H)),Data!B:B=A47)))/(COUNT(FILTER(Data!J:J,Data!B:B=A47))))"),0.625)</f>
        <v>0.625</v>
      </c>
      <c r="J47" s="32">
        <f t="shared" si="2"/>
        <v>0.6696428571</v>
      </c>
      <c r="K47" s="31">
        <f t="shared" si="3"/>
        <v>-1.339728308</v>
      </c>
      <c r="L47" s="31">
        <f>IFERROR((SUMIF(Data!B:B, A47, Data!L:L)
/ (COUNTIF(Data!B:B, A47)
)),"")</f>
        <v>0.125</v>
      </c>
      <c r="M47" s="31">
        <f>IFERROR((SUMIF(Data!B:B, A47, Data!K:K)
/ (COUNTIF(Data!B:B, A47)
)),"")</f>
        <v>5</v>
      </c>
      <c r="N47" s="34">
        <f t="shared" si="28"/>
        <v>-0.9495397423</v>
      </c>
      <c r="O47" s="32">
        <f>IF(A47="","",IFERROR((((((SUMIF(Data!B:B, A47, Data!H:H)+(SUMIF(Data!B:B, A47,Data!G:G)+(SUMIF(Data!B:B, A47,Data!L:L)+(SUMIF(Data!B:B, A47,Data!K:K)))))/(SUMIF(Data!B:B, A47, Data!M:M)+(SUMIF(Data!B:B, A47, Data!H:H)+(SUMIF(Data!B:B, A47,Data!G:G)+(SUMIF(Data!B:B, A47,Data!K:K)+(SUMIF(Data!B:B, A47,Data!L:L)))))))))),0))</f>
        <v>0.8225806452</v>
      </c>
      <c r="P47" s="35">
        <f>IFERROR(__xludf.DUMMYFUNCTION("IFERROR(((COUNTIF(FILTER(Data!N:N,Data!B:B=A47),""TRAVERSE"")*15)+(COUNTIF(FILTER(Data!N:N,Data!B:B=A47),""HIGH"")*10)+(COUNTIF(FILTER(Data!N:N,Data!B:B=A47),""MIDDLE"")*6)+(COUNTIF(FILTER(Data!N:N,Data!B:B=A47),""LOW"")*4)) / (COUNTIF(Data!B:B, A47)),"""&amp;""")"),2.25)</f>
        <v>2.25</v>
      </c>
      <c r="Q47" s="31">
        <f>IFERROR(__xludf.DUMMYFUNCTION("IF(P47="""","""",Average(FIlter(('Convert Name to Number'!$F$422:$Z1000),'Convert Name to Number'!$E$422:$E1000=$A47)))"),3.6)</f>
        <v>3.6</v>
      </c>
      <c r="R47" s="36">
        <f t="shared" si="5"/>
        <v>-1.461696627</v>
      </c>
      <c r="S47" s="37">
        <f>IFERROR(__xludf.DUMMYFUNCTION("IFERROR((((COUNTIF(FILTER(Data!N:N,Data!B:B=A47),""TRAVERSE""))+(COUNTIF(FILTER(Data!N:N,Data!B:B=A47),""HIGH""))+(COUNTIF(FILTER(Data!N:N,Data!B:B=A47),""MIDDLE""))+(COUNTIF(FILTER(Data!N:N,Data!B:B=A47),""LOW"")))) / (((COUNTIF(Data!B:B, A47)))-(COUNTIF"&amp;"(FILTER(Data!N:N,Data!B:B=A47),""NONE""))),IF(ISBLANK(A47),"""",0))"),1.0)</f>
        <v>1</v>
      </c>
      <c r="T47" s="32">
        <f>IFERROR(__xludf.DUMMYFUNCTION("IFERROR((COUNTIF(FILTER(Data!N:N, Data!B:B=A47),""LOW"")) / (COUNTIF(Data!B:B, A47)),"""")"),0.0)</f>
        <v>0</v>
      </c>
      <c r="U47" s="38">
        <f>IFERROR(__xludf.DUMMYFUNCTION("IFERROR((COUNTIF(FILTER(Data!N:N, Data!B:B=A47),""MIDDLE"")) / (COUNTIF(Data!B:B, A47)),"""")"),0.375)</f>
        <v>0.375</v>
      </c>
      <c r="V47" s="38">
        <f>IFERROR(__xludf.DUMMYFUNCTION("IFERROR((COUNTIF(FILTER(Data!N:N, Data!B:B=A47),""HIGH"")) / (COUNTIF(Data!B:B, A47)),"""")"),0.0)</f>
        <v>0</v>
      </c>
      <c r="W47" s="38">
        <f>IFERROR(__xludf.DUMMYFUNCTION("IFERROR((COUNTIF(FILTER(Data!N:N, Data!B:B=A47),""TRAVERSE"")) / (COUNTIF(Data!B:B, A47)),"""")"),0.0)</f>
        <v>0</v>
      </c>
      <c r="X47" s="39">
        <f t="shared" si="6"/>
        <v>-1.366119838</v>
      </c>
      <c r="Y47" s="31">
        <f t="shared" si="7"/>
        <v>5</v>
      </c>
      <c r="Z47" s="31">
        <f t="shared" si="8"/>
        <v>10.125</v>
      </c>
      <c r="AA47" s="31">
        <f t="shared" si="9"/>
        <v>15.125</v>
      </c>
      <c r="AB47" s="40">
        <f t="shared" si="29"/>
        <v>-0.9302756536</v>
      </c>
      <c r="AC47" s="41">
        <f>IFERROR(__xludf.DUMMYFUNCTION("IF(AA47="""","""",MAX(Filter((Data!K:K),Data!B:B=A47)))"),9.0)</f>
        <v>9</v>
      </c>
      <c r="AD47" s="41">
        <f t="shared" si="11"/>
        <v>-1.055658963</v>
      </c>
      <c r="AE47" s="31">
        <f t="shared" si="12"/>
        <v>6.375</v>
      </c>
      <c r="AF47" s="31">
        <f t="shared" si="13"/>
        <v>17.375</v>
      </c>
      <c r="AG47" s="42">
        <f>IF(A47="","",(((AD47)*Picklist!$P$3)+((K47)*Picklist!$P$4)+(E47*Picklist!$P$5)+(N47*Picklist!$P$6)+(X47*Picklist!$P$7)+(R47*Picklist!$P$8)))</f>
        <v>-11.09079301</v>
      </c>
      <c r="AH47" s="43">
        <f>IF(A47="","",(((AD47)*Picklist!$P$14)+((K47)*Picklist!$P$15)+(E47*Picklist!$P$16)+(N47*Picklist!$P$17)+(X47*Picklist!$P$18)+(R47*Picklist!$P$19)))</f>
        <v>-12.55248963</v>
      </c>
      <c r="AI47" s="44" t="str">
        <f>IFERROR(__xludf.DUMMYFUNCTION("TEXTJOIN("", "",TRUE, FILTER(Data!P:P, Data!B:B=A47))"),"hook came off of bar otherwise they woyld have gone higher, slower than average, must be stationary to shoot and can only hold one ball at a time.")</f>
        <v>hook came off of bar otherwise they woyld have gone higher, slower than average, must be stationary to shoot and can only hold one ball at a time.</v>
      </c>
      <c r="AJ47" s="45">
        <f t="shared" si="14"/>
        <v>5.125</v>
      </c>
      <c r="AK47" s="46" t="str">
        <f>IFERROR(__xludf.DUMMYFUNCTION("IF(A47&lt;&gt;"""",IFERROR(AVERAGE(FILTER('Defense Calculations'!BJ:CS,'Defense Calculations'!A:A=A47)),""""),"""")"),"")</f>
        <v/>
      </c>
      <c r="AL47" s="15" t="str">
        <f t="shared" si="15"/>
        <v/>
      </c>
      <c r="AM47" s="47"/>
      <c r="AN47" s="51"/>
      <c r="AZ47" s="15">
        <f>IFERROR(__xludf.DUMMYFUNCTION("""COMPUTED_VALUE"""),694.0)</f>
        <v>694</v>
      </c>
      <c r="BB47" s="49">
        <f t="shared" si="16"/>
        <v>5.243951613</v>
      </c>
      <c r="BC47" s="50" t="str">
        <f t="shared" si="17"/>
        <v>2614</v>
      </c>
    </row>
    <row r="48">
      <c r="A48" s="15">
        <v>3175.0</v>
      </c>
      <c r="B48" s="30">
        <f>IFERROR(__xludf.DUMMYFUNCTION("IFERROR(ROUND(
(COUNTIF(FILTER(Data!O:O, Data!B:B=A48), ""Win"")
+ COUNTIF(FILTER(Data!O:O, Data!B:B=A48), {""Tie"",""Results""}))
/ (COUNTIF(Data!B:B, A48)),
2),"""")"),0.63)</f>
        <v>0.63</v>
      </c>
      <c r="C48" s="31">
        <f>IFERROR((SUMIF(Data!B:B, A48, Data!H:H)
/ (COUNTIF(Data!B:B, A48)
)),"")</f>
        <v>0</v>
      </c>
      <c r="D48" s="31">
        <f>IFERROR((SUMIF(Data!B:B, A48, Data!G:G)
/ (COUNTIF(Data!B:B, A48)
)),"")</f>
        <v>1.25</v>
      </c>
      <c r="E48" s="31">
        <f t="shared" si="1"/>
        <v>-0.832837001</v>
      </c>
      <c r="F48" s="31">
        <f>IFERROR((SUMIF(Data!B:B, A48, Data!J:J)
/ (COUNTIF(Data!B:B, A48)
)),"")</f>
        <v>1.625</v>
      </c>
      <c r="G48" s="32">
        <f>IF(A48="","",IFERROR((((((SUMIF(Data!B:B, A48, Data!H:H)+(SUMIF(Data!B:B, A48,Data!G:G)))/(SUMIF(Data!B:B, A48, Data!J:J)))))),0))</f>
        <v>0.7692307692</v>
      </c>
      <c r="H48" s="33">
        <f>IFERROR(__xludf.DUMMYFUNCTION("IFERROR(IF(G48="""","""",(SUM(FIlter(Filter(Data!G:G,Data!B:B=A48),(Filter(Data!J:J&lt;3,Data!B:B=A48))))+SUM((FIlter(Filter(Data!H:H,Data!B:B=A48),(Filter(Data!J:J&lt;3,Data!B:B=A48))))))/(SUM(Filter(Filter(Data!J:J,Data!B:B=A48),FILTER(Data!J:J&lt;3,Data!B:B=A48"&amp;"))))),"""")"),0.7777777777777778)</f>
        <v>0.7777777778</v>
      </c>
      <c r="I48" s="32">
        <f>IFERROR(__xludf.DUMMYFUNCTION("IF(A48="""","""",(COUNT(FILTER(IF(Data!G:G&lt;&gt;0,Data!G:G,IF(Data!H:H&lt;&gt;0,Data!H:H)),Data!B:B=A48)))/(COUNT(FILTER(Data!J:J,Data!B:B=A48))))"),0.75)</f>
        <v>0.75</v>
      </c>
      <c r="J48" s="32">
        <f t="shared" si="2"/>
        <v>0.7638888889</v>
      </c>
      <c r="K48" s="31">
        <f t="shared" si="3"/>
        <v>-0.6506192339</v>
      </c>
      <c r="L48" s="31">
        <f>IFERROR((SUMIF(Data!B:B, A48, Data!L:L)
/ (COUNTIF(Data!B:B, A48)
)),"")</f>
        <v>0</v>
      </c>
      <c r="M48" s="31">
        <f>IFERROR((SUMIF(Data!B:B, A48, Data!K:K)
/ (COUNTIF(Data!B:B, A48)
)),"")</f>
        <v>4.75</v>
      </c>
      <c r="N48" s="34">
        <f>IF(M48="","",((M48-$AX$3)/$AX$5))</f>
        <v>-1.00591648</v>
      </c>
      <c r="O48" s="32">
        <f>IF(A48="","",IFERROR((((((SUMIF(Data!B:B, A48, Data!H:H)+(SUMIF(Data!B:B, A48,Data!G:G)+(SUMIF(Data!B:B, A48,Data!L:L)+(SUMIF(Data!B:B, A48,Data!K:K)))))/(SUMIF(Data!B:B, A48, Data!M:M)+(SUMIF(Data!B:B, A48, Data!H:H)+(SUMIF(Data!B:B, A48,Data!G:G)+(SUMIF(Data!B:B, A48,Data!K:K)+(SUMIF(Data!B:B, A48,Data!L:L)))))))))),0))</f>
        <v>0.8421052632</v>
      </c>
      <c r="P48" s="35">
        <f>IFERROR(__xludf.DUMMYFUNCTION("IFERROR(((COUNTIF(FILTER(Data!N:N,Data!B:B=A48),""TRAVERSE"")*15)+(COUNTIF(FILTER(Data!N:N,Data!B:B=A48),""HIGH"")*10)+(COUNTIF(FILTER(Data!N:N,Data!B:B=A48),""MIDDLE"")*6)+(COUNTIF(FILTER(Data!N:N,Data!B:B=A48),""LOW"")*4)) / (COUNTIF(Data!B:B, A48)),"""&amp;""")"),0.0)</f>
        <v>0</v>
      </c>
      <c r="Q48" s="31">
        <f>IFERROR(__xludf.DUMMYFUNCTION("IF(P48="""","""",Average(FIlter(('Convert Name to Number'!$F$422:$Z1000),'Convert Name to Number'!$E$422:$E1000=$A48)))"),0.0)</f>
        <v>0</v>
      </c>
      <c r="R48" s="36">
        <f t="shared" si="5"/>
        <v>-2.222025276</v>
      </c>
      <c r="S48" s="37">
        <f>IFERROR(__xludf.DUMMYFUNCTION("IFERROR((((COUNTIF(FILTER(Data!N:N,Data!B:B=A48),""TRAVERSE""))+(COUNTIF(FILTER(Data!N:N,Data!B:B=A48),""HIGH""))+(COUNTIF(FILTER(Data!N:N,Data!B:B=A48),""MIDDLE""))+(COUNTIF(FILTER(Data!N:N,Data!B:B=A48),""LOW"")))) / (((COUNTIF(Data!B:B, A48)))-(COUNTIF"&amp;"(FILTER(Data!N:N,Data!B:B=A48),""NONE""))),IF(ISBLANK(A48),"""",0))"),0.0)</f>
        <v>0</v>
      </c>
      <c r="T48" s="32">
        <f>IFERROR(__xludf.DUMMYFUNCTION("IFERROR((COUNTIF(FILTER(Data!N:N, Data!B:B=A48),""LOW"")) / (COUNTIF(Data!B:B, A48)),"""")"),0.0)</f>
        <v>0</v>
      </c>
      <c r="U48" s="38">
        <f>IFERROR(__xludf.DUMMYFUNCTION("IFERROR((COUNTIF(FILTER(Data!N:N, Data!B:B=A48),""MIDDLE"")) / (COUNTIF(Data!B:B, A48)),"""")"),0.0)</f>
        <v>0</v>
      </c>
      <c r="V48" s="38">
        <f>IFERROR(__xludf.DUMMYFUNCTION("IFERROR((COUNTIF(FILTER(Data!N:N, Data!B:B=A48),""HIGH"")) / (COUNTIF(Data!B:B, A48)),"""")"),0.0)</f>
        <v>0</v>
      </c>
      <c r="W48" s="38">
        <f>IFERROR(__xludf.DUMMYFUNCTION("IFERROR((COUNTIF(FILTER(Data!N:N, Data!B:B=A48),""TRAVERSE"")) / (COUNTIF(Data!B:B, A48)),"""")"),0.0)</f>
        <v>0</v>
      </c>
      <c r="X48" s="39">
        <f t="shared" si="6"/>
        <v>-1.366119838</v>
      </c>
      <c r="Y48" s="31">
        <f t="shared" si="7"/>
        <v>5</v>
      </c>
      <c r="Z48" s="31">
        <f t="shared" si="8"/>
        <v>9.5</v>
      </c>
      <c r="AA48" s="31">
        <f t="shared" si="9"/>
        <v>14.5</v>
      </c>
      <c r="AB48" s="40">
        <f t="shared" si="29"/>
        <v>-0.9773462988</v>
      </c>
      <c r="AC48" s="41">
        <f>IFERROR(__xludf.DUMMYFUNCTION("IF(AA48="""","""",MAX(Filter((Data!K:K),Data!B:B=A48)))"),13.0)</f>
        <v>13</v>
      </c>
      <c r="AD48" s="41">
        <f t="shared" si="11"/>
        <v>-0.3777776223</v>
      </c>
      <c r="AE48" s="31">
        <f t="shared" si="12"/>
        <v>6</v>
      </c>
      <c r="AF48" s="31">
        <f t="shared" si="13"/>
        <v>14.5</v>
      </c>
      <c r="AG48" s="42">
        <f>IF(A48="","",(((AD48)*Picklist!$P$3)+((K48)*Picklist!$P$4)+(E48*Picklist!$P$5)+(N48*Picklist!$P$6)+(X48*Picklist!$P$7)+(R48*Picklist!$P$8)))</f>
        <v>-12.9342474</v>
      </c>
      <c r="AH48" s="43">
        <f>IF(A48="","",(((AD48)*Picklist!$P$14)+((K48)*Picklist!$P$15)+(E48*Picklist!$P$16)+(N48*Picklist!$P$17)+(X48*Picklist!$P$18)+(R48*Picklist!$P$19)))</f>
        <v>-15.15627268</v>
      </c>
      <c r="AI48" s="44" t="str">
        <f>IFERROR(__xludf.DUMMYFUNCTION("TEXTJOIN("", "",TRUE, FILTER(Data!P:P, Data!B:B=A48))"),"There appeared to be something wrong with the game firing mechanism at the end, hook (one) on high bar but bumper on floor, they played defense and disabled 2767 with only 4 points penalty, Decent defense.")</f>
        <v>There appeared to be something wrong with the game firing mechanism at the end, hook (one) on high bar but bumper on floor, they played defense and disabled 2767 with only 4 points penalty, Decent defense.</v>
      </c>
      <c r="AJ48" s="45">
        <f t="shared" si="14"/>
        <v>4.75</v>
      </c>
      <c r="AK48" s="46" t="str">
        <f>IFERROR(__xludf.DUMMYFUNCTION("IF(A48&lt;&gt;"""",IFERROR(AVERAGE(FILTER('Defense Calculations'!BJ:CS,'Defense Calculations'!A:A=A48)),""""),"""")"),"")</f>
        <v/>
      </c>
      <c r="AL48" s="15" t="str">
        <f t="shared" si="15"/>
        <v/>
      </c>
      <c r="AM48" s="47"/>
      <c r="AN48" s="51"/>
      <c r="AZ48" s="15">
        <f>IFERROR(__xludf.DUMMYFUNCTION("""COMPUTED_VALUE"""),7457.0)</f>
        <v>7457</v>
      </c>
      <c r="BB48" s="49">
        <f t="shared" si="16"/>
        <v>5.052631579</v>
      </c>
      <c r="BC48" s="50" t="str">
        <f t="shared" si="17"/>
        <v>3175</v>
      </c>
    </row>
    <row r="49">
      <c r="A49" s="15">
        <v>325.0</v>
      </c>
      <c r="B49" s="30">
        <f>IFERROR(__xludf.DUMMYFUNCTION("IFERROR(ROUND(
(COUNTIF(FILTER(Data!O:O, Data!B:B=A49), ""Win"")
+ COUNTIF(FILTER(Data!O:O, Data!B:B=A49), {""Tie"",""Results""}))
/ (COUNTIF(Data!B:B, A49)),
2),"""")"),0.43)</f>
        <v>0.43</v>
      </c>
      <c r="C49" s="31">
        <f>IFERROR((SUMIF(Data!B:B, A49, Data!H:H)
/ (COUNTIF(Data!B:B, A49)
)),"")</f>
        <v>0</v>
      </c>
      <c r="D49" s="31">
        <f>IFERROR((SUMIF(Data!B:B, A49, Data!G:G)
/ (COUNTIF(Data!B:B, A49)
)),"")</f>
        <v>1.285714286</v>
      </c>
      <c r="E49" s="31">
        <f t="shared" si="1"/>
        <v>-0.7921004085</v>
      </c>
      <c r="F49" s="31">
        <f>IFERROR((SUMIF(Data!B:B, A49, Data!J:J)
/ (COUNTIF(Data!B:B, A49)
)),"")</f>
        <v>1.714285714</v>
      </c>
      <c r="G49" s="32">
        <f>IF(A49="","",IFERROR((((((SUMIF(Data!B:B, A49, Data!H:H)+(SUMIF(Data!B:B, A49,Data!G:G)))/(SUMIF(Data!B:B, A49, Data!J:J)))))),0))</f>
        <v>0.75</v>
      </c>
      <c r="H49" s="33">
        <f>IFERROR(__xludf.DUMMYFUNCTION("IFERROR(IF(G49="""","""",(SUM(FIlter(Filter(Data!G:G,Data!B:B=A49),(Filter(Data!J:J&lt;3,Data!B:B=A49))))+SUM((FIlter(Filter(Data!H:H,Data!B:B=A49),(Filter(Data!J:J&lt;3,Data!B:B=A49))))))/(SUM(Filter(Filter(Data!J:J,Data!B:B=A49),FILTER(Data!J:J&lt;3,Data!B:B=A49"&amp;"))))),"""")"),0.75)</f>
        <v>0.75</v>
      </c>
      <c r="I49" s="32">
        <f>IFERROR(__xludf.DUMMYFUNCTION("IF(A49="""","""",(COUNT(FILTER(IF(Data!G:G&lt;&gt;0,Data!G:G,IF(Data!H:H&lt;&gt;0,Data!H:H)),Data!B:B=A49)))/(COUNT(FILTER(Data!J:J,Data!B:B=A49))))"),0.8571428571428571)</f>
        <v>0.8571428571</v>
      </c>
      <c r="J49" s="32">
        <f t="shared" si="2"/>
        <v>0.8035714286</v>
      </c>
      <c r="K49" s="31">
        <f t="shared" si="3"/>
        <v>-0.3604680448</v>
      </c>
      <c r="L49" s="31">
        <f>IFERROR((SUMIF(Data!B:B, A49, Data!L:L)
/ (COUNTIF(Data!B:B, A49)
)),"")</f>
        <v>0</v>
      </c>
      <c r="M49" s="31">
        <f>IFERROR((SUMIF(Data!B:B, A49, Data!K:K)
/ (COUNTIF(Data!B:B, A49)
)),"")</f>
        <v>0.4285714286</v>
      </c>
      <c r="N49" s="34">
        <f t="shared" ref="N49:N52" si="30">IFERROR(IF(M49="","",((M49-$AX$3)/$AX$5)),"")</f>
        <v>-1.980428656</v>
      </c>
      <c r="O49" s="32">
        <f>IF(A49="","",IFERROR((((((SUMIF(Data!B:B, A49, Data!H:H)+(SUMIF(Data!B:B, A49,Data!G:G)+(SUMIF(Data!B:B, A49,Data!L:L)+(SUMIF(Data!B:B, A49,Data!K:K)))))/(SUMIF(Data!B:B, A49, Data!M:M)+(SUMIF(Data!B:B, A49, Data!H:H)+(SUMIF(Data!B:B, A49,Data!G:G)+(SUMIF(Data!B:B, A49,Data!K:K)+(SUMIF(Data!B:B, A49,Data!L:L)))))))))),0))</f>
        <v>0.8571428571</v>
      </c>
      <c r="P49" s="35">
        <f>IFERROR(__xludf.DUMMYFUNCTION("IFERROR(((COUNTIF(FILTER(Data!N:N,Data!B:B=A49),""TRAVERSE"")*15)+(COUNTIF(FILTER(Data!N:N,Data!B:B=A49),""HIGH"")*10)+(COUNTIF(FILTER(Data!N:N,Data!B:B=A49),""MIDDLE"")*6)+(COUNTIF(FILTER(Data!N:N,Data!B:B=A49),""LOW"")*4)) / (COUNTIF(Data!B:B, A49)),"""&amp;""")"),0.5714285714285714)</f>
        <v>0.5714285714</v>
      </c>
      <c r="Q49" s="31">
        <f>IFERROR(__xludf.DUMMYFUNCTION("IF(P49="""","""",Average(FIlter(('Convert Name to Number'!$F$422:$Z1000),'Convert Name to Number'!$E$422:$E1000=$A49)))"),0.8)</f>
        <v>0.8</v>
      </c>
      <c r="R49" s="36">
        <f t="shared" si="5"/>
        <v>-2.053063354</v>
      </c>
      <c r="S49" s="37">
        <f>IFERROR(__xludf.DUMMYFUNCTION("IFERROR((((COUNTIF(FILTER(Data!N:N,Data!B:B=A49),""TRAVERSE""))+(COUNTIF(FILTER(Data!N:N,Data!B:B=A49),""HIGH""))+(COUNTIF(FILTER(Data!N:N,Data!B:B=A49),""MIDDLE""))+(COUNTIF(FILTER(Data!N:N,Data!B:B=A49),""LOW"")))) / (((COUNTIF(Data!B:B, A49)))-(COUNTIF"&amp;"(FILTER(Data!N:N,Data!B:B=A49),""NONE""))),IF(ISBLANK(A49),"""",0))"),1.0)</f>
        <v>1</v>
      </c>
      <c r="T49" s="32">
        <f>IFERROR(__xludf.DUMMYFUNCTION("IFERROR((COUNTIF(FILTER(Data!N:N, Data!B:B=A49),""LOW"")) / (COUNTIF(Data!B:B, A49)),"""")"),0.14285714285714285)</f>
        <v>0.1428571429</v>
      </c>
      <c r="U49" s="38">
        <f>IFERROR(__xludf.DUMMYFUNCTION("IFERROR((COUNTIF(FILTER(Data!N:N, Data!B:B=A49),""MIDDLE"")) / (COUNTIF(Data!B:B, A49)),"""")"),0.0)</f>
        <v>0</v>
      </c>
      <c r="V49" s="38">
        <f>IFERROR(__xludf.DUMMYFUNCTION("IFERROR((COUNTIF(FILTER(Data!N:N, Data!B:B=A49),""HIGH"")) / (COUNTIF(Data!B:B, A49)),"""")"),0.0)</f>
        <v>0</v>
      </c>
      <c r="W49" s="38">
        <f>IFERROR(__xludf.DUMMYFUNCTION("IFERROR((COUNTIF(FILTER(Data!N:N, Data!B:B=A49),""TRAVERSE"")) / (COUNTIF(Data!B:B, A49)),"""")"),0.0)</f>
        <v>0</v>
      </c>
      <c r="X49" s="39">
        <f t="shared" si="6"/>
        <v>-1.366119838</v>
      </c>
      <c r="Y49" s="31">
        <f t="shared" si="7"/>
        <v>5.142857143</v>
      </c>
      <c r="Z49" s="31">
        <f t="shared" si="8"/>
        <v>0.8571428571</v>
      </c>
      <c r="AA49" s="31">
        <f t="shared" si="9"/>
        <v>6</v>
      </c>
      <c r="AB49" s="40">
        <f t="shared" si="29"/>
        <v>-1.784271645</v>
      </c>
      <c r="AC49" s="41">
        <f>IFERROR(__xludf.DUMMYFUNCTION("IF(AA49="""","""",MAX(Filter((Data!K:K),Data!B:B=A49)))"),3.0)</f>
        <v>3</v>
      </c>
      <c r="AD49" s="41">
        <f t="shared" si="11"/>
        <v>-2.072480975</v>
      </c>
      <c r="AE49" s="31">
        <f t="shared" si="12"/>
        <v>1.714285714</v>
      </c>
      <c r="AF49" s="31">
        <f t="shared" si="13"/>
        <v>6.571428571</v>
      </c>
      <c r="AG49" s="42">
        <f>IF(A49="","",(((AD49)*Picklist!$P$3)+((K49)*Picklist!$P$4)+(E49*Picklist!$P$5)+(N49*Picklist!$P$6)+(X49*Picklist!$P$7)+(R49*Picklist!$P$8)))</f>
        <v>-16.5864884</v>
      </c>
      <c r="AH49" s="43">
        <f>IF(A49="","",(((AD49)*Picklist!$P$14)+((K49)*Picklist!$P$15)+(E49*Picklist!$P$16)+(N49*Picklist!$P$17)+(X49*Picklist!$P$18)+(R49*Picklist!$P$19)))</f>
        <v>-18.63955176</v>
      </c>
      <c r="AI49" s="44" t="str">
        <f>IFERROR(__xludf.DUMMYFUNCTION("TEXTJOIN("", "",TRUE, FILTER(Data!P:P, Data!B:B=A49))"),"i think they played defense, defensive, mostly defensive and attempted to climb but ran out of time., defense, held 2 blue cargo emtire match. played defense against team 118 entire match, no battery i think")</f>
        <v>i think they played defense, defensive, mostly defensive and attempted to climb but ran out of time., defense, held 2 blue cargo emtire match. played defense against team 118 entire match, no battery i think</v>
      </c>
      <c r="AJ49" s="45">
        <f t="shared" si="14"/>
        <v>0.4285714286</v>
      </c>
      <c r="AK49" s="46" t="str">
        <f>IFERROR(__xludf.DUMMYFUNCTION("IF(A49&lt;&gt;"""",IFERROR(AVERAGE(FILTER('Defense Calculations'!BJ:CS,'Defense Calculations'!A:A=A49)),""""),"""")"),"")</f>
        <v/>
      </c>
      <c r="AL49" s="15" t="str">
        <f t="shared" si="15"/>
        <v/>
      </c>
      <c r="AM49" s="47"/>
      <c r="AN49" s="51"/>
      <c r="AZ49" s="15">
        <f>IFERROR(__xludf.DUMMYFUNCTION("""COMPUTED_VALUE"""),829.0)</f>
        <v>829</v>
      </c>
      <c r="BB49" s="49">
        <f t="shared" si="16"/>
        <v>1.469387755</v>
      </c>
      <c r="BC49" s="50" t="str">
        <f t="shared" si="17"/>
        <v>325</v>
      </c>
    </row>
    <row r="50">
      <c r="B50" s="30" t="str">
        <f>IFERROR(__xludf.DUMMYFUNCTION("IFERROR(ROUND(
(COUNTIF(FILTER(Data!O:O, Data!B:B=A50), ""Win"")
+ COUNTIF(FILTER(Data!O:O, Data!B:B=A50), {""Tie"",""Results""}))
/ (COUNTIF(Data!B:B, A50)),
1),"""")"),"")</f>
        <v/>
      </c>
      <c r="C50" s="31" t="str">
        <f>IFERROR((SUMIF(Data!B:B, A50, Data!H:H)
/ (COUNTIF(Data!B:B, A50)
)),"")</f>
        <v/>
      </c>
      <c r="D50" s="31" t="str">
        <f>IFERROR((SUMIF(Data!B:B, A50, Data!G:G)
/ (COUNTIF(Data!B:B, A50)
)),"")</f>
        <v/>
      </c>
      <c r="E50" s="31" t="str">
        <f t="shared" si="1"/>
        <v/>
      </c>
      <c r="F50" s="31" t="str">
        <f>IFERROR((SUMIF(Data!B:B, A50, Data!J:J)
/ (COUNTIF(Data!B:B, A50)
)),"")</f>
        <v/>
      </c>
      <c r="G50" s="32" t="str">
        <f>IF(A50="","",IFERROR((((((SUMIF(Data!B:B, A50, Data!H:H)+(SUMIF(Data!B:B, A50,Data!G:G)))/(SUMIF(Data!B:B, A50, Data!J:J)))))),0))</f>
        <v/>
      </c>
      <c r="H50" s="33" t="str">
        <f>IFERROR(__xludf.DUMMYFUNCTION("IFERROR(IF(G50="""","""",(SUM(FIlter(Filter(Data!G:G,Data!B:B=A50),(Filter(Data!J:J&lt;3,Data!B:B=A50))))+SUM((FIlter(Filter(Data!H:H,Data!B:B=A50),(Filter(Data!J:J&lt;3,Data!B:B=A50))))))/(SUM(Filter(Filter(Data!J:J,Data!B:B=A50),FILTER(Data!J:J&lt;3,Data!B:B=A50"&amp;"))))),"""")"),"")</f>
        <v/>
      </c>
      <c r="I50" s="32" t="str">
        <f>IFERROR(__xludf.DUMMYFUNCTION("IF(A50="""","""",(COUNT(FILTER(IF(Data!G:G&lt;&gt;0,Data!G:G,IF(Data!H:H&lt;&gt;0,Data!H:H)),Data!B:B=A50)))/(COUNT(FILTER(Data!J:J,Data!B:B=A50))))"),"")</f>
        <v/>
      </c>
      <c r="J50" s="32" t="str">
        <f t="shared" si="2"/>
        <v/>
      </c>
      <c r="K50" s="31" t="str">
        <f t="shared" si="3"/>
        <v/>
      </c>
      <c r="L50" s="31" t="str">
        <f>IFERROR((SUMIF(Data!B:B, A50, Data!L:L)
/ (COUNTIF(Data!B:B, A50)
)),"")</f>
        <v/>
      </c>
      <c r="M50" s="31" t="str">
        <f>IFERROR((SUMIF(Data!B:B, A50, Data!K:K)
/ (COUNTIF(Data!B:B, A50)
)),"")</f>
        <v/>
      </c>
      <c r="N50" s="34" t="str">
        <f t="shared" si="30"/>
        <v/>
      </c>
      <c r="O50" s="32" t="str">
        <f>IF(A50="","",IFERROR((((((SUMIF(Data!B:B, A50, Data!H:H)+(SUMIF(Data!B:B, A50,Data!G:G)+(SUMIF(Data!B:B, A50,Data!L:L)+(SUMIF(Data!B:B, A50,Data!K:K)))))/(SUMIF(Data!B:B, A50, Data!M:M)+(SUMIF(Data!B:B, A50, Data!H:H)+(SUMIF(Data!B:B, A50,Data!G:G)+(SUMIF(Data!B:B, A50,Data!K:K)+(SUMIF(Data!B:B, A50,Data!L:L)))))))))),0))</f>
        <v/>
      </c>
      <c r="P50" s="35" t="str">
        <f>IFERROR(__xludf.DUMMYFUNCTION("IFERROR(((COUNTIF(FILTER(Data!N:N,Data!B:B=A50),""TRAVERSE"")*15)+(COUNTIF(FILTER(Data!N:N,Data!B:B=A50),""HIGH"")*10)+(COUNTIF(FILTER(Data!N:N,Data!B:B=A50),""MIDDLE"")*6)+(COUNTIF(FILTER(Data!N:N,Data!B:B=A50),""LOW"")*4)) / (COUNTIF(Data!B:B, A50)),"""&amp;""")"),"")</f>
        <v/>
      </c>
      <c r="Q50" s="31" t="str">
        <f>IFERROR(__xludf.DUMMYFUNCTION("IF(P50="""","""",Average(FIlter(('Convert Name to Number'!$F$422:$Z1000),'Convert Name to Number'!$E$422:$E1000=$A50)))"),"")</f>
        <v/>
      </c>
      <c r="R50" s="36" t="str">
        <f t="shared" si="5"/>
        <v/>
      </c>
      <c r="S50" s="37" t="str">
        <f>IFERROR(__xludf.DUMMYFUNCTION("IFERROR((((COUNTIF(FILTER(Data!N:N,Data!B:B=A50),""TRAVERSE""))+(COUNTIF(FILTER(Data!N:N,Data!B:B=A50),""HIGH""))+(COUNTIF(FILTER(Data!N:N,Data!B:B=A50),""MIDDLE""))+(COUNTIF(FILTER(Data!N:N,Data!B:B=A50),""LOW"")))) / (((COUNTIF(Data!B:B, A50)))-(COUNTIF"&amp;"(FILTER(Data!N:N,Data!B:B=A50),""NONE""))),IF(ISBLANK(A50),"""",0))"),"")</f>
        <v/>
      </c>
      <c r="T50" s="32" t="str">
        <f>IFERROR(__xludf.DUMMYFUNCTION("IFERROR((COUNTIF(FILTER(Data!N:N, Data!B:B=A50),""LOW"")) / (COUNTIF(Data!B:B, A50)),"""")"),"")</f>
        <v/>
      </c>
      <c r="U50" s="38" t="str">
        <f>IFERROR(__xludf.DUMMYFUNCTION("IFERROR((COUNTIF(FILTER(Data!N:N, Data!B:B=A50),""MIDDLE"")) / (COUNTIF(Data!B:B, A50)),"""")"),"")</f>
        <v/>
      </c>
      <c r="V50" s="38" t="str">
        <f>IFERROR(__xludf.DUMMYFUNCTION("IFERROR((COUNTIF(FILTER(Data!N:N, Data!B:B=A50),""HIGH"")) / (COUNTIF(Data!B:B, A50)),"""")"),"")</f>
        <v/>
      </c>
      <c r="W50" s="38" t="str">
        <f>IFERROR(__xludf.DUMMYFUNCTION("IFERROR((COUNTIF(FILTER(Data!N:N, Data!B:B=A50),""TRAVERSE"")) / (COUNTIF(Data!B:B, A50)),"""")"),"")</f>
        <v/>
      </c>
      <c r="X50" s="39" t="str">
        <f t="shared" si="6"/>
        <v/>
      </c>
      <c r="Y50" s="31" t="str">
        <f t="shared" si="7"/>
        <v/>
      </c>
      <c r="Z50" s="31" t="str">
        <f t="shared" si="8"/>
        <v/>
      </c>
      <c r="AA50" s="41" t="str">
        <f t="shared" si="9"/>
        <v/>
      </c>
      <c r="AB50" s="40" t="str">
        <f t="shared" si="29"/>
        <v/>
      </c>
      <c r="AC50" s="41" t="str">
        <f>IFERROR(__xludf.DUMMYFUNCTION("IF(AA50="""","""",MAX(Filter((Data!G:G+Data!K:K),Data!B:B=A50)))"),"")</f>
        <v/>
      </c>
      <c r="AD50" s="41" t="str">
        <f t="shared" si="11"/>
        <v/>
      </c>
      <c r="AE50" s="41" t="str">
        <f t="shared" si="12"/>
        <v/>
      </c>
      <c r="AF50" s="41" t="str">
        <f t="shared" si="13"/>
        <v/>
      </c>
      <c r="AG50" s="42" t="str">
        <f>IF(A50="","",(((AD50)*Picklist!$P$3)+((K50)*Picklist!$P$4)+(E50*Picklist!$P$5)+(N50*Picklist!$P$6)+(X50*Picklist!$P$7)+(R50*Picklist!$P$8)))</f>
        <v/>
      </c>
      <c r="AH50" s="43" t="str">
        <f>IF(A50="","",(((AD50)*Picklist!$P$14)+((K50)*Picklist!$P$15)+(E50*Picklist!$P$16)+(N50*Picklist!$P$17)+(X50*Picklist!$P$18)+(R50*Picklist!$P$19)))</f>
        <v/>
      </c>
      <c r="AI50" s="44" t="str">
        <f>IFERROR(__xludf.DUMMYFUNCTION("TEXTJOIN("", "",TRUE, FILTER(Data!P:P, Data!B:B=A50))"),"")</f>
        <v/>
      </c>
      <c r="AJ50" s="16" t="str">
        <f t="shared" si="14"/>
        <v/>
      </c>
      <c r="AK50" s="46" t="str">
        <f>IFERROR(__xludf.DUMMYFUNCTION("IF(A50&lt;&gt;"""",IFERROR(AVERAGE(FILTER('Defense Calculations'!BJ:CS,'Defense Calculations'!A:A=A50)),""""),"""")"),"")</f>
        <v/>
      </c>
      <c r="AM50" s="47"/>
      <c r="AN50" s="51"/>
      <c r="AZ50" s="15"/>
      <c r="BB50" s="49">
        <f t="shared" si="16"/>
        <v>0</v>
      </c>
      <c r="BC50" s="50" t="str">
        <f t="shared" si="17"/>
        <v/>
      </c>
    </row>
    <row r="51">
      <c r="B51" s="30" t="str">
        <f>IFERROR(__xludf.DUMMYFUNCTION("IFERROR(ROUND(
(COUNTIF(FILTER(Data!O:O, Data!B:B=A51), ""Win"")
+ COUNTIF(FILTER(Data!O:O, Data!B:B=A51), {""Tie"",""Results""}))
/ (COUNTIF(Data!B:B, A51)),
1),"""")"),"")</f>
        <v/>
      </c>
      <c r="C51" s="31" t="str">
        <f>IFERROR((SUMIF(Data!B:B, A51, Data!H:H)
/ (COUNTIF(Data!B:B, A51)
)),"")</f>
        <v/>
      </c>
      <c r="D51" s="31" t="str">
        <f>IFERROR((SUMIF(Data!B:B, A51, Data!G:G)
/ (COUNTIF(Data!B:B, A51)
)),"")</f>
        <v/>
      </c>
      <c r="E51" s="31" t="str">
        <f t="shared" si="1"/>
        <v/>
      </c>
      <c r="F51" s="31" t="str">
        <f>IFERROR((SUMIF(Data!B:B, A51, Data!J:J)
/ (COUNTIF(Data!B:B, A51)
)),"")</f>
        <v/>
      </c>
      <c r="G51" s="32" t="str">
        <f>IF(A51="","",IFERROR((((((SUMIF(Data!B:B, A51, Data!H:H)+(SUMIF(Data!B:B, A51,Data!G:G)))/(SUMIF(Data!B:B, A51, Data!J:J)))))),0))</f>
        <v/>
      </c>
      <c r="H51" s="33" t="str">
        <f>IFERROR(__xludf.DUMMYFUNCTION("IFERROR(IF(G51="""","""",(SUM(FIlter(Filter(Data!G:G,Data!B:B=A51),(Filter(Data!J:J&lt;3,Data!B:B=A51))))+SUM((FIlter(Filter(Data!H:H,Data!B:B=A51),(Filter(Data!J:J&lt;3,Data!B:B=A51))))))/(SUM(Filter(Filter(Data!J:J,Data!B:B=A51),FILTER(Data!J:J&lt;3,Data!B:B=A51"&amp;"))))),"""")"),"")</f>
        <v/>
      </c>
      <c r="I51" s="32" t="str">
        <f>IFERROR(__xludf.DUMMYFUNCTION("IF(A51="""","""",(COUNT(FILTER(IF(Data!G:G&lt;&gt;0,Data!G:G,IF(Data!H:H&lt;&gt;0,Data!H:H)),Data!B:B=A51)))/(COUNT(FILTER(Data!J:J,Data!B:B=A51))))"),"")</f>
        <v/>
      </c>
      <c r="J51" s="32" t="str">
        <f t="shared" si="2"/>
        <v/>
      </c>
      <c r="K51" s="31" t="str">
        <f t="shared" si="3"/>
        <v/>
      </c>
      <c r="L51" s="31" t="str">
        <f>IFERROR((SUMIF(Data!B:B, A51, Data!L:L)
/ (COUNTIF(Data!B:B, A51)
)),"")</f>
        <v/>
      </c>
      <c r="M51" s="31" t="str">
        <f>IFERROR((SUMIF(Data!B:B, A51, Data!K:K)
/ (COUNTIF(Data!B:B, A51)
)),"")</f>
        <v/>
      </c>
      <c r="N51" s="34" t="str">
        <f t="shared" si="30"/>
        <v/>
      </c>
      <c r="O51" s="32" t="str">
        <f>IF(A51="","",IFERROR((((((SUMIF(Data!B:B, A51, Data!H:H)+(SUMIF(Data!B:B, A51,Data!G:G)+(SUMIF(Data!B:B, A51,Data!L:L)+(SUMIF(Data!B:B, A51,Data!K:K)))))/(SUMIF(Data!B:B, A51, Data!M:M)+(SUMIF(Data!B:B, A51, Data!H:H)+(SUMIF(Data!B:B, A51,Data!G:G)+(SUMIF(Data!B:B, A51,Data!K:K)+(SUMIF(Data!B:B, A51,Data!L:L)))))))))),0))</f>
        <v/>
      </c>
      <c r="P51" s="35" t="str">
        <f>IFERROR(__xludf.DUMMYFUNCTION("IFERROR(((COUNTIF(FILTER(Data!N:N,Data!B:B=A51),""TRAVERSE"")*15)+(COUNTIF(FILTER(Data!N:N,Data!B:B=A51),""HIGH"")*10)+(COUNTIF(FILTER(Data!N:N,Data!B:B=A51),""MIDDLE"")*6)+(COUNTIF(FILTER(Data!N:N,Data!B:B=A51),""LOW"")*4)) / (COUNTIF(Data!B:B, A51)),"""&amp;""")"),"")</f>
        <v/>
      </c>
      <c r="Q51" s="31" t="str">
        <f>IFERROR(__xludf.DUMMYFUNCTION("IF(P51="""","""",Average(FIlter(('Convert Name to Number'!$F$422:$Z1000),'Convert Name to Number'!$E$422:$E1000=$A51)))"),"")</f>
        <v/>
      </c>
      <c r="R51" s="36" t="str">
        <f t="shared" si="5"/>
        <v/>
      </c>
      <c r="S51" s="37" t="str">
        <f>IFERROR(__xludf.DUMMYFUNCTION("IFERROR((((COUNTIF(FILTER(Data!N:N,Data!B:B=A51),""TRAVERSE""))+(COUNTIF(FILTER(Data!N:N,Data!B:B=A51),""HIGH""))+(COUNTIF(FILTER(Data!N:N,Data!B:B=A51),""MIDDLE""))+(COUNTIF(FILTER(Data!N:N,Data!B:B=A51),""LOW"")))) / (((COUNTIF(Data!B:B, A51)))-(COUNTIF"&amp;"(FILTER(Data!N:N,Data!B:B=A51),""NONE""))),IF(ISBLANK(A51),"""",0))"),"")</f>
        <v/>
      </c>
      <c r="T51" s="32" t="str">
        <f>IFERROR(__xludf.DUMMYFUNCTION("IFERROR((COUNTIF(FILTER(Data!N:N, Data!B:B=A51),""LOW"")) / (COUNTIF(Data!B:B, A51)),"""")"),"")</f>
        <v/>
      </c>
      <c r="U51" s="38" t="str">
        <f>IFERROR(__xludf.DUMMYFUNCTION("IFERROR((COUNTIF(FILTER(Data!N:N, Data!B:B=A51),""MIDDLE"")) / (COUNTIF(Data!B:B, A51)),"""")"),"")</f>
        <v/>
      </c>
      <c r="V51" s="38" t="str">
        <f>IFERROR(__xludf.DUMMYFUNCTION("IFERROR((COUNTIF(FILTER(Data!N:N, Data!B:B=A51),""HIGH"")) / (COUNTIF(Data!B:B, A51)),"""")"),"")</f>
        <v/>
      </c>
      <c r="W51" s="38" t="str">
        <f>IFERROR(__xludf.DUMMYFUNCTION("IFERROR((COUNTIF(FILTER(Data!N:N, Data!B:B=A51),""TRAVERSE"")) / (COUNTIF(Data!B:B, A51)),"""")"),"")</f>
        <v/>
      </c>
      <c r="X51" s="39" t="str">
        <f t="shared" si="6"/>
        <v/>
      </c>
      <c r="Y51" s="31" t="str">
        <f t="shared" si="7"/>
        <v/>
      </c>
      <c r="Z51" s="31" t="str">
        <f t="shared" si="8"/>
        <v/>
      </c>
      <c r="AA51" s="41" t="str">
        <f t="shared" si="9"/>
        <v/>
      </c>
      <c r="AB51" s="40" t="str">
        <f t="shared" si="29"/>
        <v/>
      </c>
      <c r="AC51" s="41" t="str">
        <f>IFERROR(__xludf.DUMMYFUNCTION("IF(AA51="""","""",MAX(Filter((Data!G:G+Data!K:K),Data!B:B=A51)))"),"")</f>
        <v/>
      </c>
      <c r="AD51" s="41" t="str">
        <f t="shared" si="11"/>
        <v/>
      </c>
      <c r="AE51" s="41" t="str">
        <f t="shared" si="12"/>
        <v/>
      </c>
      <c r="AF51" s="41" t="str">
        <f t="shared" si="13"/>
        <v/>
      </c>
      <c r="AG51" s="42" t="str">
        <f>IF(A51="","",(((AD51)*Picklist!$P$3)+((K51)*Picklist!$P$4)+(E51*Picklist!$P$5)+(N51*Picklist!$P$6)+(X51*Picklist!$P$7)+(R51*Picklist!$P$8)))</f>
        <v/>
      </c>
      <c r="AH51" s="43" t="str">
        <f>IF(A51="","",(((AD51)*Picklist!$P$14)+((K51)*Picklist!$P$15)+(E51*Picklist!$P$16)+(N51*Picklist!$P$17)+(X51*Picklist!$P$18)+(R51*Picklist!$P$19)))</f>
        <v/>
      </c>
      <c r="AI51" s="44" t="str">
        <f>IFERROR(__xludf.DUMMYFUNCTION("TEXTJOIN("", "",TRUE, FILTER(Data!P:P, Data!B:B=A51))"),"")</f>
        <v/>
      </c>
      <c r="AJ51" s="16" t="str">
        <f t="shared" si="14"/>
        <v/>
      </c>
      <c r="AK51" s="46" t="str">
        <f>IFERROR(__xludf.DUMMYFUNCTION("IF(A51&lt;&gt;"""",IFERROR(AVERAGE(FILTER('Defense Calculations'!BJ:CS,'Defense Calculations'!A:A=A51)),""""),"""")"),"")</f>
        <v/>
      </c>
      <c r="AM51" s="47"/>
      <c r="AN51" s="51"/>
      <c r="BB51" s="49">
        <f t="shared" si="16"/>
        <v>0</v>
      </c>
      <c r="BC51" s="50" t="str">
        <f t="shared" si="17"/>
        <v/>
      </c>
    </row>
    <row r="52">
      <c r="B52" s="30" t="str">
        <f>IFERROR(__xludf.DUMMYFUNCTION("IFERROR(ROUND(
(COUNTIF(FILTER(Data!O:O, Data!B:B=A52), ""Win"")
+ COUNTIF(FILTER(Data!O:O, Data!B:B=A52), {""Tie"",""Results""}))
/ (COUNTIF(Data!B:B, A52)),
1),"""")"),"")</f>
        <v/>
      </c>
      <c r="C52" s="31" t="str">
        <f>IFERROR((SUMIF(Data!B:B, A52, Data!H:H)
/ (COUNTIF(Data!B:B, A52)
)),"")</f>
        <v/>
      </c>
      <c r="D52" s="31" t="str">
        <f>IFERROR((SUMIF(Data!B:B, A52, Data!G:G)
/ (COUNTIF(Data!B:B, A52)
)),"")</f>
        <v/>
      </c>
      <c r="E52" s="31" t="str">
        <f t="shared" si="1"/>
        <v/>
      </c>
      <c r="F52" s="31" t="str">
        <f>IFERROR((SUMIF(Data!B:B, A52, Data!J:J)
/ (COUNTIF(Data!B:B, A52)
)),"")</f>
        <v/>
      </c>
      <c r="G52" s="32" t="str">
        <f>IF(A52="","",IFERROR((((((SUMIF(Data!B:B, A52, Data!H:H)+(SUMIF(Data!B:B, A52,Data!G:G)))/(SUMIF(Data!B:B, A52, Data!J:J)))))),0))</f>
        <v/>
      </c>
      <c r="H52" s="33" t="str">
        <f>IFERROR(__xludf.DUMMYFUNCTION("IFERROR(IF(G52="""","""",(SUM(FIlter(Filter(Data!G:G,Data!B:B=A52),(Filter(Data!J:J&lt;3,Data!B:B=A52))))+SUM((FIlter(Filter(Data!H:H,Data!B:B=A52),(Filter(Data!J:J&lt;3,Data!B:B=A52))))))/(SUM(Filter(Filter(Data!J:J,Data!B:B=A52),FILTER(Data!J:J&lt;3,Data!B:B=A52"&amp;"))))),"""")"),"")</f>
        <v/>
      </c>
      <c r="I52" s="32" t="str">
        <f>IFERROR(__xludf.DUMMYFUNCTION("IF(A52="""","""",(COUNT(FILTER(IF(Data!G:G&lt;&gt;0,Data!G:G,IF(Data!H:H&lt;&gt;0,Data!H:H)),Data!B:B=A52)))/(COUNT(FILTER(Data!J:J,Data!B:B=A52))))"),"")</f>
        <v/>
      </c>
      <c r="J52" s="32" t="str">
        <f t="shared" si="2"/>
        <v/>
      </c>
      <c r="K52" s="31" t="str">
        <f t="shared" si="3"/>
        <v/>
      </c>
      <c r="L52" s="31" t="str">
        <f>IFERROR((SUMIF(Data!B:B, A52, Data!L:L)
/ (COUNTIF(Data!B:B, A52)
)),"")</f>
        <v/>
      </c>
      <c r="M52" s="31" t="str">
        <f>IFERROR((SUMIF(Data!B:B, A52, Data!K:K)
/ (COUNTIF(Data!B:B, A52)
)),"")</f>
        <v/>
      </c>
      <c r="N52" s="34" t="str">
        <f t="shared" si="30"/>
        <v/>
      </c>
      <c r="O52" s="32" t="str">
        <f>IF(A52="","",IFERROR((((((SUMIF(Data!B:B, A52, Data!H:H)+(SUMIF(Data!B:B, A52,Data!G:G)+(SUMIF(Data!B:B, A52,Data!L:L)+(SUMIF(Data!B:B, A52,Data!K:K)))))/(SUMIF(Data!B:B, A52, Data!M:M)+(SUMIF(Data!B:B, A52, Data!H:H)+(SUMIF(Data!B:B, A52,Data!G:G)+(SUMIF(Data!B:B, A52,Data!K:K)+(SUMIF(Data!B:B, A52,Data!L:L)))))))))),0))</f>
        <v/>
      </c>
      <c r="P52" s="35" t="str">
        <f>IFERROR(__xludf.DUMMYFUNCTION("IFERROR(((COUNTIF(FILTER(Data!N:N,Data!B:B=A52),""TRAVERSE"")*15)+(COUNTIF(FILTER(Data!N:N,Data!B:B=A52),""HIGH"")*10)+(COUNTIF(FILTER(Data!N:N,Data!B:B=A52),""MIDDLE"")*6)+(COUNTIF(FILTER(Data!N:N,Data!B:B=A52),""LOW"")*4)) / (COUNTIF(Data!B:B, A52)),"""&amp;""")"),"")</f>
        <v/>
      </c>
      <c r="Q52" s="31" t="str">
        <f>IFERROR(__xludf.DUMMYFUNCTION("IF(P52="""","""",Average(FIlter(('Convert Name to Number'!$F$422:$Z1000),'Convert Name to Number'!$E$422:$E1000=$A52)))"),"")</f>
        <v/>
      </c>
      <c r="R52" s="36" t="str">
        <f t="shared" si="5"/>
        <v/>
      </c>
      <c r="S52" s="37" t="str">
        <f>IFERROR(__xludf.DUMMYFUNCTION("IFERROR((((COUNTIF(FILTER(Data!N:N,Data!B:B=A52),""TRAVERSE""))+(COUNTIF(FILTER(Data!N:N,Data!B:B=A52),""HIGH""))+(COUNTIF(FILTER(Data!N:N,Data!B:B=A52),""MIDDLE""))+(COUNTIF(FILTER(Data!N:N,Data!B:B=A52),""LOW"")))) / (((COUNTIF(Data!B:B, A52)))-(COUNTIF"&amp;"(FILTER(Data!N:N,Data!B:B=A52),""NONE""))),IF(ISBLANK(A52),"""",0))"),"")</f>
        <v/>
      </c>
      <c r="T52" s="32" t="str">
        <f>IFERROR(__xludf.DUMMYFUNCTION("IFERROR((COUNTIF(FILTER(Data!N:N, Data!B:B=A52),""LOW"")) / (COUNTIF(Data!B:B, A52)),"""")"),"")</f>
        <v/>
      </c>
      <c r="U52" s="38" t="str">
        <f>IFERROR(__xludf.DUMMYFUNCTION("IFERROR((COUNTIF(FILTER(Data!N:N, Data!B:B=A52),""MIDDLE"")) / (COUNTIF(Data!B:B, A52)),"""")"),"")</f>
        <v/>
      </c>
      <c r="V52" s="38" t="str">
        <f>IFERROR(__xludf.DUMMYFUNCTION("IFERROR((COUNTIF(FILTER(Data!N:N, Data!B:B=A52),""HIGH"")) / (COUNTIF(Data!B:B, A52)),"""")"),"")</f>
        <v/>
      </c>
      <c r="W52" s="38" t="str">
        <f>IFERROR(__xludf.DUMMYFUNCTION("IFERROR((COUNTIF(FILTER(Data!N:N, Data!B:B=A52),""TRAVERSE"")) / (COUNTIF(Data!B:B, A52)),"""")"),"")</f>
        <v/>
      </c>
      <c r="X52" s="39" t="str">
        <f t="shared" si="6"/>
        <v/>
      </c>
      <c r="Y52" s="31" t="str">
        <f t="shared" si="7"/>
        <v/>
      </c>
      <c r="Z52" s="31" t="str">
        <f t="shared" si="8"/>
        <v/>
      </c>
      <c r="AA52" s="41" t="str">
        <f t="shared" si="9"/>
        <v/>
      </c>
      <c r="AB52" s="40" t="str">
        <f t="shared" si="29"/>
        <v/>
      </c>
      <c r="AC52" s="41" t="str">
        <f>IFERROR(__xludf.DUMMYFUNCTION("IF(AA52="""","""",MAX(Filter((Data!G:G+Data!K:K),Data!B:B=A52)))"),"")</f>
        <v/>
      </c>
      <c r="AD52" s="41" t="str">
        <f t="shared" si="11"/>
        <v/>
      </c>
      <c r="AE52" s="41" t="str">
        <f t="shared" si="12"/>
        <v/>
      </c>
      <c r="AF52" s="41" t="str">
        <f t="shared" si="13"/>
        <v/>
      </c>
      <c r="AG52" s="42" t="str">
        <f>IF(A52="","",(((AD52)*Picklist!$P$3)+((K52)*Picklist!$P$4)+(E52*Picklist!$P$5)+(N52*Picklist!$P$6)+(X52*Picklist!$P$7)+(R52*Picklist!$P$8)))</f>
        <v/>
      </c>
      <c r="AH52" s="43" t="str">
        <f>IF(A52="","",(((AD52)*Picklist!$P$14)+((K52)*Picklist!$P$15)+(E52*Picklist!$P$16)+(N52*Picklist!$P$17)+(X52*Picklist!$P$18)+(R52*Picklist!$P$19)))</f>
        <v/>
      </c>
      <c r="AI52" s="44" t="str">
        <f>IFERROR(__xludf.DUMMYFUNCTION("TEXTJOIN("", "",TRUE, FILTER(Data!P:P, Data!B:B=A52))"),"")</f>
        <v/>
      </c>
      <c r="AJ52" s="16" t="str">
        <f t="shared" si="14"/>
        <v/>
      </c>
      <c r="AK52" s="46" t="str">
        <f>IFERROR(__xludf.DUMMYFUNCTION("IF(A52&lt;&gt;"""",IFERROR(AVERAGE(FILTER('Defense Calculations'!BJ:CS,'Defense Calculations'!A:A=A52)),""""),"""")"),"")</f>
        <v/>
      </c>
      <c r="AM52" s="47"/>
      <c r="AN52" s="51"/>
      <c r="BB52" s="49">
        <f t="shared" si="16"/>
        <v>0</v>
      </c>
      <c r="BC52" s="50" t="str">
        <f t="shared" si="17"/>
        <v/>
      </c>
    </row>
    <row r="53">
      <c r="B53" s="30" t="str">
        <f>IFERROR(__xludf.DUMMYFUNCTION("IFERROR(ROUND(
(COUNTIF(FILTER(Data!O:O, Data!B:B=A53), ""Win"")
+ COUNTIF(FILTER(Data!O:O, Data!B:B=A53), {""Tie"",""Results""}))
/ (COUNTIF(Data!B:B, A53)),
1),"""")"),"")</f>
        <v/>
      </c>
      <c r="C53" s="31" t="str">
        <f>IFERROR((SUMIF(Data!B:B, A53, Data!H:H)
/ (COUNTIF(Data!B:B, A53)
)),"")</f>
        <v/>
      </c>
      <c r="D53" s="31" t="str">
        <f>IFERROR((SUMIF(Data!B:B, A53, Data!G:G)
/ (COUNTIF(Data!B:B, A53)
)),"")</f>
        <v/>
      </c>
      <c r="E53" s="31" t="str">
        <f t="shared" si="1"/>
        <v/>
      </c>
      <c r="F53" s="31" t="str">
        <f>IFERROR((SUMIF(Data!B:B, A53, Data!J:J)
/ (COUNTIF(Data!B:B, A53)
)),"")</f>
        <v/>
      </c>
      <c r="G53" s="32" t="str">
        <f>IF(A53="","",IFERROR((((((SUMIF(Data!B:B, A53, Data!H:H)+(SUMIF(Data!B:B, A53,Data!G:G)))/(SUMIF(Data!B:B, A53, Data!J:J)))))),0))</f>
        <v/>
      </c>
      <c r="H53" s="33" t="str">
        <f>IFERROR(__xludf.DUMMYFUNCTION("IFERROR(IF(G53="""","""",(SUM(FIlter(Filter(Data!G:G,Data!B:B=A53),(Filter(Data!J:J&lt;3,Data!B:B=A53))))+SUM((FIlter(Filter(Data!H:H,Data!B:B=A53),(Filter(Data!J:J&lt;3,Data!B:B=A53))))))/(SUM(Filter(Filter(Data!J:J,Data!B:B=A53),FILTER(Data!J:J&lt;3,Data!B:B=A53"&amp;"))))),"""")"),"")</f>
        <v/>
      </c>
      <c r="I53" s="32" t="str">
        <f>IFERROR(__xludf.DUMMYFUNCTION("IF(A53="""","""",(COUNT(FILTER(IF(Data!G:G&lt;&gt;0,Data!G:G,IF(Data!H:H&lt;&gt;0,Data!H:H)),Data!B:B=A53)))/(COUNT(FILTER(Data!J:J,Data!B:B=A53))))"),"")</f>
        <v/>
      </c>
      <c r="J53" s="32" t="str">
        <f t="shared" si="2"/>
        <v/>
      </c>
      <c r="K53" s="31" t="str">
        <f t="shared" si="3"/>
        <v/>
      </c>
      <c r="L53" s="31" t="str">
        <f>IFERROR((SUMIF(Data!B:B, A53, Data!L:L)
/ (COUNTIF(Data!B:B, A53)
)),"")</f>
        <v/>
      </c>
      <c r="M53" s="31" t="str">
        <f>IFERROR((SUMIF(Data!B:B, A53, Data!K:K)
/ (COUNTIF(Data!B:B, A53)
)),"")</f>
        <v/>
      </c>
      <c r="N53" s="34" t="str">
        <f>IF(M53="","",((M53-$AX$3)/$AX$5))</f>
        <v/>
      </c>
      <c r="O53" s="32" t="str">
        <f>IF(A53="","",IFERROR((((((SUMIF(Data!B:B, A53, Data!H:H)+(SUMIF(Data!B:B, A53,Data!G:G)+(SUMIF(Data!B:B, A53,Data!L:L)+(SUMIF(Data!B:B, A53,Data!K:K)))))/(SUMIF(Data!B:B, A53, Data!M:M)+(SUMIF(Data!B:B, A53, Data!H:H)+(SUMIF(Data!B:B, A53,Data!G:G)+(SUMIF(Data!B:B, A53,Data!K:K)+(SUMIF(Data!B:B, A53,Data!L:L)))))))))),0))</f>
        <v/>
      </c>
      <c r="P53" s="35" t="str">
        <f>IFERROR(__xludf.DUMMYFUNCTION("IFERROR(((COUNTIF(FILTER(Data!N:N,Data!B:B=A53),""TRAVERSE"")*15)+(COUNTIF(FILTER(Data!N:N,Data!B:B=A53),""HIGH"")*10)+(COUNTIF(FILTER(Data!N:N,Data!B:B=A53),""MIDDLE"")*6)+(COUNTIF(FILTER(Data!N:N,Data!B:B=A53),""LOW"")*4)) / (COUNTIF(Data!B:B, A53)),"""&amp;""")"),"")</f>
        <v/>
      </c>
      <c r="Q53" s="31" t="str">
        <f>IFERROR(__xludf.DUMMYFUNCTION("IF(P53="""","""",Average(FIlter(('Convert Name to Number'!$F$422:$Z1000),'Convert Name to Number'!$E$422:$E1000=$A53)))"),"")</f>
        <v/>
      </c>
      <c r="R53" s="36" t="str">
        <f t="shared" si="5"/>
        <v/>
      </c>
      <c r="S53" s="37" t="str">
        <f>IFERROR(__xludf.DUMMYFUNCTION("IFERROR((((COUNTIF(FILTER(Data!N:N,Data!B:B=A53),""TRAVERSE""))+(COUNTIF(FILTER(Data!N:N,Data!B:B=A53),""HIGH""))+(COUNTIF(FILTER(Data!N:N,Data!B:B=A53),""MIDDLE""))+(COUNTIF(FILTER(Data!N:N,Data!B:B=A53),""LOW"")))) / (((COUNTIF(Data!B:B, A53)))-(COUNTIF"&amp;"(FILTER(Data!N:N,Data!B:B=A53),""NONE""))),IF(ISBLANK(A53),"""",0))"),"")</f>
        <v/>
      </c>
      <c r="T53" s="32" t="str">
        <f>IFERROR(__xludf.DUMMYFUNCTION("IFERROR((COUNTIF(FILTER(Data!N:N, Data!B:B=A53),""LOW"")) / (COUNTIF(Data!B:B, A53)),"""")"),"")</f>
        <v/>
      </c>
      <c r="U53" s="38" t="str">
        <f>IFERROR(__xludf.DUMMYFUNCTION("IFERROR((COUNTIF(FILTER(Data!N:N, Data!B:B=A53),""MIDDLE"")) / (COUNTIF(Data!B:B, A53)),"""")"),"")</f>
        <v/>
      </c>
      <c r="V53" s="38" t="str">
        <f>IFERROR(__xludf.DUMMYFUNCTION("IFERROR((COUNTIF(FILTER(Data!N:N, Data!B:B=A53),""HIGH"")) / (COUNTIF(Data!B:B, A53)),"""")"),"")</f>
        <v/>
      </c>
      <c r="W53" s="38" t="str">
        <f>IFERROR(__xludf.DUMMYFUNCTION("IFERROR((COUNTIF(FILTER(Data!N:N, Data!B:B=A53),""TRAVERSE"")) / (COUNTIF(Data!B:B, A53)),"""")"),"")</f>
        <v/>
      </c>
      <c r="X53" s="39" t="str">
        <f t="shared" si="6"/>
        <v/>
      </c>
      <c r="Y53" s="31" t="str">
        <f t="shared" si="7"/>
        <v/>
      </c>
      <c r="Z53" s="31" t="str">
        <f t="shared" si="8"/>
        <v/>
      </c>
      <c r="AA53" s="41" t="str">
        <f t="shared" si="9"/>
        <v/>
      </c>
      <c r="AB53" s="40" t="str">
        <f>IF(A53="","",((M53+D53)-$AR$3)/$AR$5)</f>
        <v/>
      </c>
      <c r="AC53" s="41" t="str">
        <f>IFERROR(__xludf.DUMMYFUNCTION("IF(AA53="""","""",MAX(Filter((Data!G:G+Data!K:K),Data!B:B=A53)))"),"")</f>
        <v/>
      </c>
      <c r="AD53" s="41" t="str">
        <f t="shared" si="11"/>
        <v/>
      </c>
      <c r="AE53" s="41" t="str">
        <f t="shared" si="12"/>
        <v/>
      </c>
      <c r="AF53" s="41" t="str">
        <f t="shared" si="13"/>
        <v/>
      </c>
      <c r="AG53" s="42" t="str">
        <f>IF(A53="","",(((AD53)*Picklist!$P$3)+((K53)*Picklist!$P$4)+(E53*Picklist!$P$5)+(N53*Picklist!$P$6)+(X53*Picklist!$P$7)+(R53*Picklist!$P$8)))</f>
        <v/>
      </c>
      <c r="AH53" s="43" t="str">
        <f>IF(A53="","",(((AD53)*Picklist!$P$14)+((K53)*Picklist!$P$15)+(E53*Picklist!$P$16)+(N53*Picklist!$P$17)+(X53*Picklist!$P$18)+(R53*Picklist!$P$19)))</f>
        <v/>
      </c>
      <c r="AI53" s="44" t="str">
        <f>IFERROR(__xludf.DUMMYFUNCTION("TEXTJOIN("", "",TRUE, FILTER(Data!P:P, Data!B:B=A53))"),"")</f>
        <v/>
      </c>
      <c r="AJ53" s="16" t="str">
        <f t="shared" si="14"/>
        <v/>
      </c>
      <c r="AK53" s="46" t="str">
        <f>IFERROR(__xludf.DUMMYFUNCTION("IF(A53&lt;&gt;"""",IFERROR(AVERAGE(FILTER('Defense Calculations'!BJ:CS,'Defense Calculations'!A:A=A53)),""""),"""")"),"")</f>
        <v/>
      </c>
      <c r="AM53" s="47"/>
      <c r="AN53" s="51"/>
      <c r="BB53" s="49">
        <f t="shared" si="16"/>
        <v>0</v>
      </c>
      <c r="BC53" s="50" t="str">
        <f t="shared" si="17"/>
        <v/>
      </c>
    </row>
    <row r="54">
      <c r="B54" s="30" t="str">
        <f>IFERROR(__xludf.DUMMYFUNCTION("IFERROR(ROUND(
(COUNTIF(FILTER(Data!O:O, Data!B:B=A54), ""Win"")
+ COUNTIF(FILTER(Data!O:O, Data!B:B=A54), {""Tie"",""Results""}))
/ (COUNTIF(Data!B:B, A54)),
1),"""")"),"")</f>
        <v/>
      </c>
      <c r="C54" s="31" t="str">
        <f>IFERROR((SUMIF(Data!B:B, A54, Data!H:H)
/ (COUNTIF(Data!B:B, A54)
)),"")</f>
        <v/>
      </c>
      <c r="D54" s="31" t="str">
        <f>IFERROR((SUMIF(Data!B:B, A54, Data!G:G)
/ (COUNTIF(Data!B:B, A54)
)),"")</f>
        <v/>
      </c>
      <c r="E54" s="31" t="str">
        <f t="shared" si="1"/>
        <v/>
      </c>
      <c r="F54" s="31" t="str">
        <f>IFERROR((SUMIF(Data!B:B, A54, Data!J:J)
/ (COUNTIF(Data!B:B, A54)
)),"")</f>
        <v/>
      </c>
      <c r="G54" s="32" t="str">
        <f>IF(A54="","",IFERROR((((((SUMIF(Data!B:B, A54, Data!H:H)+(SUMIF(Data!B:B, A54,Data!G:G)))/(SUMIF(Data!B:B, A54, Data!J:J)))))),0))</f>
        <v/>
      </c>
      <c r="H54" s="33" t="str">
        <f>IFERROR(__xludf.DUMMYFUNCTION("IFERROR(IF(G54="""","""",(SUM(FIlter(Filter(Data!G:G,Data!B:B=A54),(Filter(Data!J:J&lt;3,Data!B:B=A54))))+SUM((FIlter(Filter(Data!H:H,Data!B:B=A54),(Filter(Data!J:J&lt;3,Data!B:B=A54))))))/(SUM(Filter(Filter(Data!J:J,Data!B:B=A54),FILTER(Data!J:J&lt;3,Data!B:B=A54"&amp;"))))),"""")"),"")</f>
        <v/>
      </c>
      <c r="I54" s="32" t="str">
        <f>IFERROR(__xludf.DUMMYFUNCTION("IF(A54="""","""",(COUNT(FILTER(IF(Data!G:G&lt;&gt;0,Data!G:G,IF(Data!H:H&lt;&gt;0,Data!H:H)),Data!B:B=A54)))/(COUNT(FILTER(Data!J:J,Data!B:B=A54))))"),"")</f>
        <v/>
      </c>
      <c r="J54" s="32" t="str">
        <f t="shared" si="2"/>
        <v/>
      </c>
      <c r="K54" s="31" t="str">
        <f t="shared" si="3"/>
        <v/>
      </c>
      <c r="L54" s="31" t="str">
        <f>IFERROR((SUMIF(Data!B:B, A54, Data!L:L)
/ (COUNTIF(Data!B:B, A54)
)),"")</f>
        <v/>
      </c>
      <c r="M54" s="31" t="str">
        <f>IFERROR((SUMIF(Data!B:B, A54, Data!K:K)
/ (COUNTIF(Data!B:B, A54)
)),"")</f>
        <v/>
      </c>
      <c r="N54" s="34" t="str">
        <f t="shared" ref="N54:N66" si="31">IFERROR(IF(M54="","",((M54-$AX$3)/$AX$5)),"")</f>
        <v/>
      </c>
      <c r="O54" s="32" t="str">
        <f>IF(A54="","",IFERROR((((((SUMIF(Data!B:B, A54, Data!H:H)+(SUMIF(Data!B:B, A54,Data!G:G)+(SUMIF(Data!B:B, A54,Data!L:L)+(SUMIF(Data!B:B, A54,Data!K:K)))))/(SUMIF(Data!B:B, A54, Data!M:M)+(SUMIF(Data!B:B, A54, Data!H:H)+(SUMIF(Data!B:B, A54,Data!G:G)+(SUMIF(Data!B:B, A54,Data!K:K)+(SUMIF(Data!B:B, A54,Data!L:L)))))))))),0))</f>
        <v/>
      </c>
      <c r="P54" s="35" t="str">
        <f>IFERROR(__xludf.DUMMYFUNCTION("IFERROR(((COUNTIF(FILTER(Data!N:N,Data!B:B=A54),""TRAVERSE"")*15)+(COUNTIF(FILTER(Data!N:N,Data!B:B=A54),""HIGH"")*10)+(COUNTIF(FILTER(Data!N:N,Data!B:B=A54),""MIDDLE"")*6)+(COUNTIF(FILTER(Data!N:N,Data!B:B=A54),""LOW"")*4)) / (COUNTIF(Data!B:B, A54)),"""&amp;""")"),"")</f>
        <v/>
      </c>
      <c r="Q54" s="31" t="str">
        <f>IFERROR(__xludf.DUMMYFUNCTION("IF(P54="""","""",Average(FIlter(('Convert Name to Number'!$F$422:$Z1000),'Convert Name to Number'!$E$422:$E1000=$A54)))"),"")</f>
        <v/>
      </c>
      <c r="R54" s="36" t="str">
        <f t="shared" si="5"/>
        <v/>
      </c>
      <c r="S54" s="37" t="str">
        <f>IFERROR(__xludf.DUMMYFUNCTION("IFERROR((((COUNTIF(FILTER(Data!N:N,Data!B:B=A54),""TRAVERSE""))+(COUNTIF(FILTER(Data!N:N,Data!B:B=A54),""HIGH""))+(COUNTIF(FILTER(Data!N:N,Data!B:B=A54),""MIDDLE""))+(COUNTIF(FILTER(Data!N:N,Data!B:B=A54),""LOW"")))) / (((COUNTIF(Data!B:B, A54)))-(COUNTIF"&amp;"(FILTER(Data!N:N,Data!B:B=A54),""NONE""))),IF(ISBLANK(A54),"""",0))"),"")</f>
        <v/>
      </c>
      <c r="T54" s="32" t="str">
        <f>IFERROR(__xludf.DUMMYFUNCTION("IFERROR((COUNTIF(FILTER(Data!N:N, Data!B:B=A54),""LOW"")) / (COUNTIF(Data!B:B, A54)),"""")"),"")</f>
        <v/>
      </c>
      <c r="U54" s="38" t="str">
        <f>IFERROR(__xludf.DUMMYFUNCTION("IFERROR((COUNTIF(FILTER(Data!N:N, Data!B:B=A54),""MIDDLE"")) / (COUNTIF(Data!B:B, A54)),"""")"),"")</f>
        <v/>
      </c>
      <c r="V54" s="38" t="str">
        <f>IFERROR(__xludf.DUMMYFUNCTION("IFERROR((COUNTIF(FILTER(Data!N:N, Data!B:B=A54),""HIGH"")) / (COUNTIF(Data!B:B, A54)),"""")"),"")</f>
        <v/>
      </c>
      <c r="W54" s="38" t="str">
        <f>IFERROR(__xludf.DUMMYFUNCTION("IFERROR((COUNTIF(FILTER(Data!N:N, Data!B:B=A54),""TRAVERSE"")) / (COUNTIF(Data!B:B, A54)),"""")"),"")</f>
        <v/>
      </c>
      <c r="X54" s="39" t="str">
        <f t="shared" si="6"/>
        <v/>
      </c>
      <c r="Y54" s="31" t="str">
        <f t="shared" si="7"/>
        <v/>
      </c>
      <c r="Z54" s="31" t="str">
        <f t="shared" si="8"/>
        <v/>
      </c>
      <c r="AA54" s="41" t="str">
        <f t="shared" si="9"/>
        <v/>
      </c>
      <c r="AB54" s="40" t="str">
        <f t="shared" ref="AB54:AB66" si="32">IFERROR(IF(A54="","",((M54+D54)-$AR$3)/$AR$5),"")</f>
        <v/>
      </c>
      <c r="AC54" s="41" t="str">
        <f>IFERROR(__xludf.DUMMYFUNCTION("IF(AA54="""","""",MAX(Filter((Data!G:G+Data!K:K),Data!B:B=A54)))"),"")</f>
        <v/>
      </c>
      <c r="AD54" s="41" t="str">
        <f t="shared" si="11"/>
        <v/>
      </c>
      <c r="AE54" s="41" t="str">
        <f t="shared" si="12"/>
        <v/>
      </c>
      <c r="AF54" s="41" t="str">
        <f t="shared" si="13"/>
        <v/>
      </c>
      <c r="AG54" s="42" t="str">
        <f>IF(A54="","",(((AD54)*Picklist!$P$3)+((K54)*Picklist!$P$4)+(E54*Picklist!$P$5)+(N54*Picklist!$P$6)+(X54*Picklist!$P$7)+(R54*Picklist!$P$8)))</f>
        <v/>
      </c>
      <c r="AH54" s="43" t="str">
        <f>IF(A54="","",(((AD54)*Picklist!$P$14)+((K54)*Picklist!$P$15)+(E54*Picklist!$P$16)+(N54*Picklist!$P$17)+(X54*Picklist!$P$18)+(R54*Picklist!$P$19)))</f>
        <v/>
      </c>
      <c r="AI54" s="44" t="str">
        <f>IFERROR(__xludf.DUMMYFUNCTION("TEXTJOIN("", "",TRUE, FILTER(Data!P:P, Data!B:B=A54))"),"")</f>
        <v/>
      </c>
      <c r="AJ54" s="16" t="str">
        <f t="shared" si="14"/>
        <v/>
      </c>
      <c r="AK54" s="46" t="str">
        <f>IFERROR(__xludf.DUMMYFUNCTION("IF(A54&lt;&gt;"""",IFERROR(AVERAGE(FILTER('Defense Calculations'!BJ:CS,'Defense Calculations'!A:A=A54)),""""),"""")"),"")</f>
        <v/>
      </c>
      <c r="AM54" s="47"/>
      <c r="AN54" s="51"/>
      <c r="BB54" s="49">
        <f t="shared" si="16"/>
        <v>0</v>
      </c>
      <c r="BC54" s="50" t="str">
        <f t="shared" si="17"/>
        <v/>
      </c>
    </row>
    <row r="55">
      <c r="B55" s="30" t="str">
        <f>IFERROR(__xludf.DUMMYFUNCTION("IFERROR(ROUND(
(COUNTIF(FILTER(Data!O:O, Data!B:B=A55), ""Win"")
+ COUNTIF(FILTER(Data!O:O, Data!B:B=A55), {""Tie"",""Results""}))
/ (COUNTIF(Data!B:B, A55)),
1),"""")"),"")</f>
        <v/>
      </c>
      <c r="C55" s="31" t="str">
        <f>IFERROR((SUMIF(Data!B:B, A55, Data!H:H)
/ (COUNTIF(Data!B:B, A55)
)),"")</f>
        <v/>
      </c>
      <c r="D55" s="31" t="str">
        <f>IFERROR((SUMIF(Data!B:B, A55, Data!G:G)
/ (COUNTIF(Data!B:B, A55)
)),"")</f>
        <v/>
      </c>
      <c r="E55" s="31" t="str">
        <f t="shared" si="1"/>
        <v/>
      </c>
      <c r="F55" s="31" t="str">
        <f>IFERROR((SUMIF(Data!B:B, A55, Data!J:J)
/ (COUNTIF(Data!B:B, A55)
)),"")</f>
        <v/>
      </c>
      <c r="G55" s="32" t="str">
        <f>IF(A55="","",IFERROR((((((SUMIF(Data!B:B, A55, Data!H:H)+(SUMIF(Data!B:B, A55,Data!G:G)))/(SUMIF(Data!B:B, A55, Data!J:J)))))),0))</f>
        <v/>
      </c>
      <c r="H55" s="33" t="str">
        <f>IFERROR(__xludf.DUMMYFUNCTION("IFERROR(IF(G55="""","""",(SUM(FIlter(Filter(Data!G:G,Data!B:B=A55),(Filter(Data!J:J&lt;3,Data!B:B=A55))))+SUM((FIlter(Filter(Data!H:H,Data!B:B=A55),(Filter(Data!J:J&lt;3,Data!B:B=A55))))))/(SUM(Filter(Filter(Data!J:J,Data!B:B=A55),FILTER(Data!J:J&lt;3,Data!B:B=A55"&amp;"))))),"""")"),"")</f>
        <v/>
      </c>
      <c r="I55" s="32" t="str">
        <f>IFERROR(__xludf.DUMMYFUNCTION("IF(A55="""","""",(COUNT(FILTER(IF(Data!G:G&lt;&gt;0,Data!G:G,IF(Data!H:H&lt;&gt;0,Data!H:H)),Data!B:B=A55)))/(COUNT(FILTER(Data!J:J,Data!B:B=A55))))"),"")</f>
        <v/>
      </c>
      <c r="J55" s="32" t="str">
        <f t="shared" si="2"/>
        <v/>
      </c>
      <c r="K55" s="31" t="str">
        <f t="shared" si="3"/>
        <v/>
      </c>
      <c r="L55" s="31" t="str">
        <f>IFERROR((SUMIF(Data!B:B, A55, Data!L:L)
/ (COUNTIF(Data!B:B, A55)
)),"")</f>
        <v/>
      </c>
      <c r="M55" s="31" t="str">
        <f>IFERROR((SUMIF(Data!B:B, A55, Data!K:K)
/ (COUNTIF(Data!B:B, A55)
)),"")</f>
        <v/>
      </c>
      <c r="N55" s="34" t="str">
        <f t="shared" si="31"/>
        <v/>
      </c>
      <c r="O55" s="32" t="str">
        <f>IF(A55="","",IFERROR((((((SUMIF(Data!B:B, A55, Data!H:H)+(SUMIF(Data!B:B, A55,Data!G:G)+(SUMIF(Data!B:B, A55,Data!L:L)+(SUMIF(Data!B:B, A55,Data!K:K)))))/(SUMIF(Data!B:B, A55, Data!M:M)+(SUMIF(Data!B:B, A55, Data!H:H)+(SUMIF(Data!B:B, A55,Data!G:G)+(SUMIF(Data!B:B, A55,Data!K:K)+(SUMIF(Data!B:B, A55,Data!L:L)))))))))),0))</f>
        <v/>
      </c>
      <c r="P55" s="35" t="str">
        <f>IFERROR(__xludf.DUMMYFUNCTION("IFERROR(((COUNTIF(FILTER(Data!N:N,Data!B:B=A55),""TRAVERSE"")*15)+(COUNTIF(FILTER(Data!N:N,Data!B:B=A55),""HIGH"")*10)+(COUNTIF(FILTER(Data!N:N,Data!B:B=A55),""MIDDLE"")*6)+(COUNTIF(FILTER(Data!N:N,Data!B:B=A55),""LOW"")*4)) / (COUNTIF(Data!B:B, A55)),"""&amp;""")"),"")</f>
        <v/>
      </c>
      <c r="Q55" s="31" t="str">
        <f>IFERROR(__xludf.DUMMYFUNCTION("IF(P55="""","""",Average(FIlter(('Convert Name to Number'!$F$422:$Z1000),'Convert Name to Number'!$E$422:$E1000=$A55)))"),"")</f>
        <v/>
      </c>
      <c r="R55" s="36" t="str">
        <f t="shared" si="5"/>
        <v/>
      </c>
      <c r="S55" s="37" t="str">
        <f>IFERROR(__xludf.DUMMYFUNCTION("IFERROR((((COUNTIF(FILTER(Data!N:N,Data!B:B=A55),""TRAVERSE""))+(COUNTIF(FILTER(Data!N:N,Data!B:B=A55),""HIGH""))+(COUNTIF(FILTER(Data!N:N,Data!B:B=A55),""MIDDLE""))+(COUNTIF(FILTER(Data!N:N,Data!B:B=A55),""LOW"")))) / (((COUNTIF(Data!B:B, A55)))-(COUNTIF"&amp;"(FILTER(Data!N:N,Data!B:B=A55),""NONE""))),IF(ISBLANK(A55),"""",0))"),"")</f>
        <v/>
      </c>
      <c r="T55" s="32" t="str">
        <f>IFERROR(__xludf.DUMMYFUNCTION("IFERROR((COUNTIF(FILTER(Data!N:N, Data!B:B=A55),""LOW"")) / (COUNTIF(Data!B:B, A55)),"""")"),"")</f>
        <v/>
      </c>
      <c r="U55" s="38" t="str">
        <f>IFERROR(__xludf.DUMMYFUNCTION("IFERROR((COUNTIF(FILTER(Data!N:N, Data!B:B=A55),""MIDDLE"")) / (COUNTIF(Data!B:B, A55)),"""")"),"")</f>
        <v/>
      </c>
      <c r="V55" s="38" t="str">
        <f>IFERROR(__xludf.DUMMYFUNCTION("IFERROR((COUNTIF(FILTER(Data!N:N, Data!B:B=A55),""HIGH"")) / (COUNTIF(Data!B:B, A55)),"""")"),"")</f>
        <v/>
      </c>
      <c r="W55" s="38" t="str">
        <f>IFERROR(__xludf.DUMMYFUNCTION("IFERROR((COUNTIF(FILTER(Data!N:N, Data!B:B=A55),""TRAVERSE"")) / (COUNTIF(Data!B:B, A55)),"""")"),"")</f>
        <v/>
      </c>
      <c r="X55" s="39" t="str">
        <f t="shared" si="6"/>
        <v/>
      </c>
      <c r="Y55" s="31" t="str">
        <f t="shared" si="7"/>
        <v/>
      </c>
      <c r="Z55" s="31" t="str">
        <f t="shared" si="8"/>
        <v/>
      </c>
      <c r="AA55" s="41" t="str">
        <f t="shared" si="9"/>
        <v/>
      </c>
      <c r="AB55" s="40" t="str">
        <f t="shared" si="32"/>
        <v/>
      </c>
      <c r="AC55" s="41" t="str">
        <f>IFERROR(__xludf.DUMMYFUNCTION("IF(AA55="""","""",MAX(Filter((Data!G:G+Data!K:K),Data!B:B=A55)))"),"")</f>
        <v/>
      </c>
      <c r="AD55" s="41" t="str">
        <f t="shared" si="11"/>
        <v/>
      </c>
      <c r="AE55" s="41" t="str">
        <f t="shared" si="12"/>
        <v/>
      </c>
      <c r="AF55" s="41" t="str">
        <f t="shared" si="13"/>
        <v/>
      </c>
      <c r="AG55" s="42" t="str">
        <f>IF(A55="","",(((AD55)*Picklist!$P$3)+((K55)*Picklist!$P$4)+(E55*Picklist!$P$5)+(N55*Picklist!$P$6)+(X55*Picklist!$P$7)+(R55*Picklist!$P$8)))</f>
        <v/>
      </c>
      <c r="AH55" s="43" t="str">
        <f>IF(A55="","",(((AD55)*Picklist!$P$14)+((K55)*Picklist!$P$15)+(E55*Picklist!$P$16)+(N55*Picklist!$P$17)+(X55*Picklist!$P$18)+(R55*Picklist!$P$19)))</f>
        <v/>
      </c>
      <c r="AI55" s="44" t="str">
        <f>IFERROR(__xludf.DUMMYFUNCTION("TEXTJOIN("", "",TRUE, FILTER(Data!P:P, Data!B:B=A55))"),"")</f>
        <v/>
      </c>
      <c r="AJ55" s="16" t="str">
        <f t="shared" si="14"/>
        <v/>
      </c>
      <c r="AK55" s="46" t="str">
        <f>IFERROR(__xludf.DUMMYFUNCTION("IF(A55&lt;&gt;"""",IFERROR(AVERAGE(FILTER('Defense Calculations'!BJ:CS,'Defense Calculations'!A:A=A55)),""""),"""")"),"")</f>
        <v/>
      </c>
      <c r="AM55" s="47"/>
      <c r="AN55" s="51"/>
      <c r="BB55" s="49">
        <f t="shared" si="16"/>
        <v>0</v>
      </c>
      <c r="BC55" s="50" t="str">
        <f t="shared" si="17"/>
        <v/>
      </c>
    </row>
    <row r="56">
      <c r="B56" s="30" t="str">
        <f>IFERROR(__xludf.DUMMYFUNCTION("IFERROR(ROUND(
(COUNTIF(FILTER(Data!O:O, Data!B:B=A56), ""Win"")
+ COUNTIF(FILTER(Data!O:O, Data!B:B=A56), {""Tie"",""Results""}))
/ (COUNTIF(Data!B:B, A56)),
1),"""")"),"")</f>
        <v/>
      </c>
      <c r="C56" s="31" t="str">
        <f>IFERROR((SUMIF(Data!B:B, A56, Data!H:H)
/ (COUNTIF(Data!B:B, A56)
)),"")</f>
        <v/>
      </c>
      <c r="D56" s="31" t="str">
        <f>IFERROR((SUMIF(Data!B:B, A56, Data!G:G)
/ (COUNTIF(Data!B:B, A56)
)),"")</f>
        <v/>
      </c>
      <c r="E56" s="31" t="str">
        <f t="shared" si="1"/>
        <v/>
      </c>
      <c r="F56" s="31" t="str">
        <f>IFERROR((SUMIF(Data!B:B, A56, Data!J:J)
/ (COUNTIF(Data!B:B, A56)
)),"")</f>
        <v/>
      </c>
      <c r="G56" s="32" t="str">
        <f>IF(A56="","",IFERROR((((((SUMIF(Data!B:B, A56, Data!H:H)+(SUMIF(Data!B:B, A56,Data!G:G)))/(SUMIF(Data!B:B, A56, Data!J:J)))))),0))</f>
        <v/>
      </c>
      <c r="H56" s="33" t="str">
        <f>IFERROR(__xludf.DUMMYFUNCTION("IFERROR(IF(G56="""","""",(SUM(FIlter(Filter(Data!G:G,Data!B:B=A56),(Filter(Data!J:J&lt;3,Data!B:B=A56))))+SUM((FIlter(Filter(Data!H:H,Data!B:B=A56),(Filter(Data!J:J&lt;3,Data!B:B=A56))))))/(SUM(Filter(Filter(Data!J:J,Data!B:B=A56),FILTER(Data!J:J&lt;3,Data!B:B=A56"&amp;"))))),"""")"),"")</f>
        <v/>
      </c>
      <c r="I56" s="32" t="str">
        <f>IFERROR(__xludf.DUMMYFUNCTION("IF(A56="""","""",(COUNT(FILTER(IF(Data!G:G&lt;&gt;0,Data!G:G,IF(Data!H:H&lt;&gt;0,Data!H:H)),Data!B:B=A56)))/(COUNT(FILTER(Data!J:J,Data!B:B=A56))))"),"")</f>
        <v/>
      </c>
      <c r="J56" s="32" t="str">
        <f t="shared" si="2"/>
        <v/>
      </c>
      <c r="K56" s="31" t="str">
        <f t="shared" si="3"/>
        <v/>
      </c>
      <c r="L56" s="31" t="str">
        <f>IFERROR((SUMIF(Data!B:B, A56, Data!L:L)
/ (COUNTIF(Data!B:B, A56)
)),"")</f>
        <v/>
      </c>
      <c r="M56" s="31" t="str">
        <f>IFERROR((SUMIF(Data!B:B, A56, Data!K:K)
/ (COUNTIF(Data!B:B, A56)
)),"")</f>
        <v/>
      </c>
      <c r="N56" s="34" t="str">
        <f t="shared" si="31"/>
        <v/>
      </c>
      <c r="O56" s="32" t="str">
        <f>IF(A56="","",IFERROR((((((SUMIF(Data!B:B, A56, Data!H:H)+(SUMIF(Data!B:B, A56,Data!G:G)+(SUMIF(Data!B:B, A56,Data!L:L)+(SUMIF(Data!B:B, A56,Data!K:K)))))/(SUMIF(Data!B:B, A56, Data!M:M)+(SUMIF(Data!B:B, A56, Data!H:H)+(SUMIF(Data!B:B, A56,Data!G:G)+(SUMIF(Data!B:B, A56,Data!K:K)+(SUMIF(Data!B:B, A56,Data!L:L)))))))))),0))</f>
        <v/>
      </c>
      <c r="P56" s="35" t="str">
        <f>IFERROR(__xludf.DUMMYFUNCTION("IFERROR(((COUNTIF(FILTER(Data!N:N,Data!B:B=A56),""TRAVERSE"")*15)+(COUNTIF(FILTER(Data!N:N,Data!B:B=A56),""HIGH"")*10)+(COUNTIF(FILTER(Data!N:N,Data!B:B=A56),""MIDDLE"")*6)+(COUNTIF(FILTER(Data!N:N,Data!B:B=A56),""LOW"")*4)) / (COUNTIF(Data!B:B, A56)),"""&amp;""")"),"")</f>
        <v/>
      </c>
      <c r="Q56" s="31" t="str">
        <f>IFERROR(__xludf.DUMMYFUNCTION("IF(P56="""","""",Average(FIlter(('Convert Name to Number'!$F$422:$Z1000),'Convert Name to Number'!$E$422:$E1000=$A56)))"),"")</f>
        <v/>
      </c>
      <c r="R56" s="36" t="str">
        <f t="shared" si="5"/>
        <v/>
      </c>
      <c r="S56" s="37" t="str">
        <f>IFERROR(__xludf.DUMMYFUNCTION("IFERROR((((COUNTIF(FILTER(Data!N:N,Data!B:B=A56),""TRAVERSE""))+(COUNTIF(FILTER(Data!N:N,Data!B:B=A56),""HIGH""))+(COUNTIF(FILTER(Data!N:N,Data!B:B=A56),""MIDDLE""))+(COUNTIF(FILTER(Data!N:N,Data!B:B=A56),""LOW"")))) / (((COUNTIF(Data!B:B, A56)))-(COUNTIF"&amp;"(FILTER(Data!N:N,Data!B:B=A56),""NONE""))),IF(ISBLANK(A56),"""",0))"),"")</f>
        <v/>
      </c>
      <c r="T56" s="32" t="str">
        <f>IFERROR(__xludf.DUMMYFUNCTION("IFERROR((COUNTIF(FILTER(Data!N:N, Data!B:B=A56),""LOW"")) / (COUNTIF(Data!B:B, A56)),"""")"),"")</f>
        <v/>
      </c>
      <c r="U56" s="38" t="str">
        <f>IFERROR(__xludf.DUMMYFUNCTION("IFERROR((COUNTIF(FILTER(Data!N:N, Data!B:B=A56),""MIDDLE"")) / (COUNTIF(Data!B:B, A56)),"""")"),"")</f>
        <v/>
      </c>
      <c r="V56" s="38" t="str">
        <f>IFERROR(__xludf.DUMMYFUNCTION("IFERROR((COUNTIF(FILTER(Data!N:N, Data!B:B=A56),""HIGH"")) / (COUNTIF(Data!B:B, A56)),"""")"),"")</f>
        <v/>
      </c>
      <c r="W56" s="38" t="str">
        <f>IFERROR(__xludf.DUMMYFUNCTION("IFERROR((COUNTIF(FILTER(Data!N:N, Data!B:B=A56),""TRAVERSE"")) / (COUNTIF(Data!B:B, A56)),"""")"),"")</f>
        <v/>
      </c>
      <c r="X56" s="39" t="str">
        <f t="shared" si="6"/>
        <v/>
      </c>
      <c r="Y56" s="31" t="str">
        <f t="shared" si="7"/>
        <v/>
      </c>
      <c r="Z56" s="31" t="str">
        <f t="shared" si="8"/>
        <v/>
      </c>
      <c r="AA56" s="41" t="str">
        <f t="shared" si="9"/>
        <v/>
      </c>
      <c r="AB56" s="40" t="str">
        <f t="shared" si="32"/>
        <v/>
      </c>
      <c r="AC56" s="41" t="str">
        <f>IFERROR(__xludf.DUMMYFUNCTION("IF(AA56="""","""",MAX(Filter((Data!G:G+Data!K:K),Data!B:B=A56)))"),"")</f>
        <v/>
      </c>
      <c r="AD56" s="41" t="str">
        <f t="shared" si="11"/>
        <v/>
      </c>
      <c r="AE56" s="41" t="str">
        <f t="shared" si="12"/>
        <v/>
      </c>
      <c r="AF56" s="41" t="str">
        <f t="shared" si="13"/>
        <v/>
      </c>
      <c r="AG56" s="42" t="str">
        <f>IF(A56="","",(((AD56)*Picklist!$P$3)+((K56)*Picklist!$P$4)+(E56*Picklist!$P$5)+(N56*Picklist!$P$6)+(X56*Picklist!$P$7)+(R56*Picklist!$P$8)))</f>
        <v/>
      </c>
      <c r="AH56" s="43" t="str">
        <f>IF(A56="","",(((AD56)*Picklist!$P$14)+((K56)*Picklist!$P$15)+(E56*Picklist!$P$16)+(N56*Picklist!$P$17)+(X56*Picklist!$P$18)+(R56*Picklist!$P$19)))</f>
        <v/>
      </c>
      <c r="AI56" s="44" t="str">
        <f>IFERROR(__xludf.DUMMYFUNCTION("TEXTJOIN("", "",TRUE, FILTER(Data!P:P, Data!B:B=A56))"),"")</f>
        <v/>
      </c>
      <c r="AJ56" s="16" t="str">
        <f t="shared" si="14"/>
        <v/>
      </c>
      <c r="AK56" s="46" t="str">
        <f>IFERROR(__xludf.DUMMYFUNCTION("IF(A56&lt;&gt;"""",IFERROR(AVERAGE(FILTER('Defense Calculations'!BJ:CS,'Defense Calculations'!A:A=A56)),""""),"""")"),"")</f>
        <v/>
      </c>
      <c r="AM56" s="47"/>
      <c r="AN56" s="51"/>
      <c r="BB56" s="49">
        <f t="shared" si="16"/>
        <v>0</v>
      </c>
      <c r="BC56" s="50" t="str">
        <f t="shared" si="17"/>
        <v/>
      </c>
    </row>
    <row r="57">
      <c r="B57" s="30" t="str">
        <f>IFERROR(__xludf.DUMMYFUNCTION("IFERROR(ROUND(
(COUNTIF(FILTER(Data!O:O, Data!B:B=A57), ""Win"")
+ COUNTIF(FILTER(Data!O:O, Data!B:B=A57), {""Tie"",""Results""}))
/ (COUNTIF(Data!B:B, A57)),
1),"""")"),"")</f>
        <v/>
      </c>
      <c r="C57" s="31" t="str">
        <f>IFERROR((SUMIF(Data!B:B, A57, Data!H:H)
/ (COUNTIF(Data!B:B, A57)
)),"")</f>
        <v/>
      </c>
      <c r="D57" s="31" t="str">
        <f>IFERROR((SUMIF(Data!B:B, A57, Data!G:G)
/ (COUNTIF(Data!B:B, A57)
)),"")</f>
        <v/>
      </c>
      <c r="E57" s="31" t="str">
        <f t="shared" si="1"/>
        <v/>
      </c>
      <c r="F57" s="31" t="str">
        <f>IFERROR((SUMIF(Data!B:B, A57, Data!J:J)
/ (COUNTIF(Data!B:B, A57)
)),"")</f>
        <v/>
      </c>
      <c r="G57" s="32" t="str">
        <f>IF(A57="","",IFERROR((((((SUMIF(Data!B:B, A57, Data!H:H)+(SUMIF(Data!B:B, A57,Data!G:G)))/(SUMIF(Data!B:B, A57, Data!J:J)))))),0))</f>
        <v/>
      </c>
      <c r="H57" s="33" t="str">
        <f>IFERROR(__xludf.DUMMYFUNCTION("IFERROR(IF(G57="""","""",(SUM(FIlter(Filter(Data!G:G,Data!B:B=A57),(Filter(Data!J:J&lt;3,Data!B:B=A57))))+SUM((FIlter(Filter(Data!H:H,Data!B:B=A57),(Filter(Data!J:J&lt;3,Data!B:B=A57))))))/(SUM(Filter(Filter(Data!J:J,Data!B:B=A57),FILTER(Data!J:J&lt;3,Data!B:B=A57"&amp;"))))),"""")"),"")</f>
        <v/>
      </c>
      <c r="I57" s="32" t="str">
        <f>IFERROR(__xludf.DUMMYFUNCTION("IF(A57="""","""",(COUNT(FILTER(IF(Data!G:G&lt;&gt;0,Data!G:G,IF(Data!H:H&lt;&gt;0,Data!H:H)),Data!B:B=A57)))/(COUNT(FILTER(Data!J:J,Data!B:B=A57))))"),"")</f>
        <v/>
      </c>
      <c r="J57" s="32" t="str">
        <f t="shared" si="2"/>
        <v/>
      </c>
      <c r="K57" s="31" t="str">
        <f t="shared" si="3"/>
        <v/>
      </c>
      <c r="L57" s="31" t="str">
        <f>IFERROR((SUMIF(Data!B:B, A57, Data!L:L)
/ (COUNTIF(Data!B:B, A57)
)),"")</f>
        <v/>
      </c>
      <c r="M57" s="31" t="str">
        <f>IFERROR((SUMIF(Data!B:B, A57, Data!K:K)
/ (COUNTIF(Data!B:B, A57)
)),"")</f>
        <v/>
      </c>
      <c r="N57" s="34" t="str">
        <f t="shared" si="31"/>
        <v/>
      </c>
      <c r="O57" s="32" t="str">
        <f>IF(A57="","",IFERROR((((((SUMIF(Data!B:B, A57, Data!H:H)+(SUMIF(Data!B:B, A57,Data!G:G)+(SUMIF(Data!B:B, A57,Data!L:L)+(SUMIF(Data!B:B, A57,Data!K:K)))))/(SUMIF(Data!B:B, A57, Data!M:M)+(SUMIF(Data!B:B, A57, Data!H:H)+(SUMIF(Data!B:B, A57,Data!G:G)+(SUMIF(Data!B:B, A57,Data!K:K)+(SUMIF(Data!B:B, A57,Data!L:L)))))))))),0))</f>
        <v/>
      </c>
      <c r="P57" s="35" t="str">
        <f>IFERROR(__xludf.DUMMYFUNCTION("IFERROR(((COUNTIF(FILTER(Data!N:N,Data!B:B=A57),""TRAVERSE"")*15)+(COUNTIF(FILTER(Data!N:N,Data!B:B=A57),""HIGH"")*10)+(COUNTIF(FILTER(Data!N:N,Data!B:B=A57),""MIDDLE"")*6)+(COUNTIF(FILTER(Data!N:N,Data!B:B=A57),""LOW"")*4)) / (COUNTIF(Data!B:B, A57)),"""&amp;""")"),"")</f>
        <v/>
      </c>
      <c r="Q57" s="31" t="str">
        <f>IFERROR(__xludf.DUMMYFUNCTION("IF(P57="""","""",Average(FIlter(('Convert Name to Number'!$F$422:$Z1000),'Convert Name to Number'!$E$422:$E1000=$A57)))"),"")</f>
        <v/>
      </c>
      <c r="R57" s="36" t="str">
        <f t="shared" si="5"/>
        <v/>
      </c>
      <c r="S57" s="37" t="str">
        <f>IFERROR(__xludf.DUMMYFUNCTION("IFERROR((((COUNTIF(FILTER(Data!N:N,Data!B:B=A57),""TRAVERSE""))+(COUNTIF(FILTER(Data!N:N,Data!B:B=A57),""HIGH""))+(COUNTIF(FILTER(Data!N:N,Data!B:B=A57),""MIDDLE""))+(COUNTIF(FILTER(Data!N:N,Data!B:B=A57),""LOW"")))) / (((COUNTIF(Data!B:B, A57)))-(COUNTIF"&amp;"(FILTER(Data!N:N,Data!B:B=A57),""NONE""))),IF(ISBLANK(A57),"""",0))"),"")</f>
        <v/>
      </c>
      <c r="T57" s="32" t="str">
        <f>IFERROR(__xludf.DUMMYFUNCTION("IFERROR((COUNTIF(FILTER(Data!N:N, Data!B:B=A57),""LOW"")) / (COUNTIF(Data!B:B, A57)),"""")"),"")</f>
        <v/>
      </c>
      <c r="U57" s="38" t="str">
        <f>IFERROR(__xludf.DUMMYFUNCTION("IFERROR((COUNTIF(FILTER(Data!N:N, Data!B:B=A57),""MIDDLE"")) / (COUNTIF(Data!B:B, A57)),"""")"),"")</f>
        <v/>
      </c>
      <c r="V57" s="38" t="str">
        <f>IFERROR(__xludf.DUMMYFUNCTION("IFERROR((COUNTIF(FILTER(Data!N:N, Data!B:B=A57),""HIGH"")) / (COUNTIF(Data!B:B, A57)),"""")"),"")</f>
        <v/>
      </c>
      <c r="W57" s="38" t="str">
        <f>IFERROR(__xludf.DUMMYFUNCTION("IFERROR((COUNTIF(FILTER(Data!N:N, Data!B:B=A57),""TRAVERSE"")) / (COUNTIF(Data!B:B, A57)),"""")"),"")</f>
        <v/>
      </c>
      <c r="X57" s="39" t="str">
        <f t="shared" si="6"/>
        <v/>
      </c>
      <c r="Y57" s="31" t="str">
        <f t="shared" si="7"/>
        <v/>
      </c>
      <c r="Z57" s="31" t="str">
        <f t="shared" si="8"/>
        <v/>
      </c>
      <c r="AA57" s="41" t="str">
        <f t="shared" si="9"/>
        <v/>
      </c>
      <c r="AB57" s="40" t="str">
        <f t="shared" si="32"/>
        <v/>
      </c>
      <c r="AC57" s="41" t="str">
        <f>IFERROR(__xludf.DUMMYFUNCTION("IF(AA57="""","""",MAX(Filter((Data!G:G+Data!K:K),Data!B:B=A57)))"),"")</f>
        <v/>
      </c>
      <c r="AD57" s="41" t="str">
        <f t="shared" si="11"/>
        <v/>
      </c>
      <c r="AE57" s="41" t="str">
        <f t="shared" si="12"/>
        <v/>
      </c>
      <c r="AF57" s="41" t="str">
        <f t="shared" si="13"/>
        <v/>
      </c>
      <c r="AG57" s="42" t="str">
        <f>IF(A57="","",(((AD57)*Picklist!$P$3)+((K57)*Picklist!$P$4)+(E57*Picklist!$P$5)+(N57*Picklist!$P$6)+(X57*Picklist!$P$7)+(R57*Picklist!$P$8)))</f>
        <v/>
      </c>
      <c r="AH57" s="43" t="str">
        <f>IF(A57="","",(((AD57)*Picklist!$P$14)+((K57)*Picklist!$P$15)+(E57*Picklist!$P$16)+(N57*Picklist!$P$17)+(X57*Picklist!$P$18)+(R57*Picklist!$P$19)))</f>
        <v/>
      </c>
      <c r="AI57" s="44" t="str">
        <f>IFERROR(__xludf.DUMMYFUNCTION("TEXTJOIN("", "",TRUE, FILTER(Data!P:P, Data!B:B=A57))"),"")</f>
        <v/>
      </c>
      <c r="AJ57" s="16" t="str">
        <f t="shared" si="14"/>
        <v/>
      </c>
      <c r="AK57" s="46" t="str">
        <f>IFERROR(__xludf.DUMMYFUNCTION("IF(A57&lt;&gt;"""",IFERROR(AVERAGE(FILTER('Defense Calculations'!BJ:CS,'Defense Calculations'!A:A=A57)),""""),"""")"),"")</f>
        <v/>
      </c>
      <c r="AM57" s="47"/>
      <c r="AN57" s="51"/>
      <c r="BB57" s="49">
        <f t="shared" si="16"/>
        <v>0</v>
      </c>
      <c r="BC57" s="50" t="str">
        <f t="shared" si="17"/>
        <v/>
      </c>
    </row>
    <row r="58">
      <c r="B58" s="30" t="str">
        <f>IFERROR(__xludf.DUMMYFUNCTION("IFERROR(ROUND(
(COUNTIF(FILTER(Data!O:O, Data!B:B=A58), ""Win"")
+ COUNTIF(FILTER(Data!O:O, Data!B:B=A58), {""Tie"",""Results""}))
/ (COUNTIF(Data!B:B, A58)),
1),"""")"),"")</f>
        <v/>
      </c>
      <c r="C58" s="31" t="str">
        <f>IFERROR((SUMIF(Data!B:B, A58, Data!H:H)
/ (COUNTIF(Data!B:B, A58)
)),"")</f>
        <v/>
      </c>
      <c r="D58" s="31" t="str">
        <f>IFERROR((SUMIF(Data!B:B, A58, Data!G:G)
/ (COUNTIF(Data!B:B, A58)
)),"")</f>
        <v/>
      </c>
      <c r="E58" s="31" t="str">
        <f t="shared" si="1"/>
        <v/>
      </c>
      <c r="F58" s="31" t="str">
        <f>IFERROR((SUMIF(Data!B:B, A58, Data!J:J)
/ (COUNTIF(Data!B:B, A58)
)),"")</f>
        <v/>
      </c>
      <c r="G58" s="32" t="str">
        <f>IF(A58="","",IFERROR((((((SUMIF(Data!B:B, A58, Data!H:H)+(SUMIF(Data!B:B, A58,Data!G:G)))/(SUMIF(Data!B:B, A58, Data!J:J)))))),0))</f>
        <v/>
      </c>
      <c r="H58" s="33" t="str">
        <f>IFERROR(__xludf.DUMMYFUNCTION("IFERROR(IF(G58="""","""",(SUM(FIlter(Filter(Data!G:G,Data!B:B=A58),(Filter(Data!J:J&lt;3,Data!B:B=A58))))+SUM((FIlter(Filter(Data!H:H,Data!B:B=A58),(Filter(Data!J:J&lt;3,Data!B:B=A58))))))/(SUM(Filter(Filter(Data!J:J,Data!B:B=A58),FILTER(Data!J:J&lt;3,Data!B:B=A58"&amp;"))))),"""")"),"")</f>
        <v/>
      </c>
      <c r="I58" s="32" t="str">
        <f>IFERROR(__xludf.DUMMYFUNCTION("IF(A58="""","""",(COUNT(FILTER(IF(Data!G:G&lt;&gt;0,Data!G:G,IF(Data!H:H&lt;&gt;0,Data!H:H)),Data!B:B=A58)))/(COUNT(FILTER(Data!J:J,Data!B:B=A58))))"),"")</f>
        <v/>
      </c>
      <c r="J58" s="32" t="str">
        <f t="shared" si="2"/>
        <v/>
      </c>
      <c r="K58" s="31" t="str">
        <f t="shared" si="3"/>
        <v/>
      </c>
      <c r="L58" s="31" t="str">
        <f>IFERROR((SUMIF(Data!B:B, A58, Data!L:L)
/ (COUNTIF(Data!B:B, A58)
)),"")</f>
        <v/>
      </c>
      <c r="M58" s="31" t="str">
        <f>IFERROR((SUMIF(Data!B:B, A58, Data!K:K)
/ (COUNTIF(Data!B:B, A58)
)),"")</f>
        <v/>
      </c>
      <c r="N58" s="34" t="str">
        <f t="shared" si="31"/>
        <v/>
      </c>
      <c r="O58" s="32" t="str">
        <f>IF(A58="","",IFERROR((((((SUMIF(Data!B:B, A58, Data!H:H)+(SUMIF(Data!B:B, A58,Data!G:G)+(SUMIF(Data!B:B, A58,Data!L:L)+(SUMIF(Data!B:B, A58,Data!K:K)))))/(SUMIF(Data!B:B, A58, Data!M:M)+(SUMIF(Data!B:B, A58, Data!H:H)+(SUMIF(Data!B:B, A58,Data!G:G)+(SUMIF(Data!B:B, A58,Data!K:K)+(SUMIF(Data!B:B, A58,Data!L:L)))))))))),0))</f>
        <v/>
      </c>
      <c r="P58" s="35" t="str">
        <f>IFERROR(__xludf.DUMMYFUNCTION("IFERROR(((COUNTIF(FILTER(Data!N:N,Data!B:B=A58),""TRAVERSE"")*15)+(COUNTIF(FILTER(Data!N:N,Data!B:B=A58),""HIGH"")*10)+(COUNTIF(FILTER(Data!N:N,Data!B:B=A58),""MIDDLE"")*6)+(COUNTIF(FILTER(Data!N:N,Data!B:B=A58),""LOW"")*4)) / (COUNTIF(Data!B:B, A58)),"""&amp;""")"),"")</f>
        <v/>
      </c>
      <c r="Q58" s="31" t="str">
        <f>IFERROR(__xludf.DUMMYFUNCTION("IF(P58="""","""",Average(FIlter(('Convert Name to Number'!$F$422:$Z1000),'Convert Name to Number'!$E$422:$E1000=$A58)))"),"")</f>
        <v/>
      </c>
      <c r="R58" s="36" t="str">
        <f t="shared" si="5"/>
        <v/>
      </c>
      <c r="S58" s="37" t="str">
        <f>IFERROR(__xludf.DUMMYFUNCTION("IFERROR((((COUNTIF(FILTER(Data!N:N,Data!B:B=A58),""TRAVERSE""))+(COUNTIF(FILTER(Data!N:N,Data!B:B=A58),""HIGH""))+(COUNTIF(FILTER(Data!N:N,Data!B:B=A58),""MIDDLE""))+(COUNTIF(FILTER(Data!N:N,Data!B:B=A58),""LOW"")))) / (((COUNTIF(Data!B:B, A58)))-(COUNTIF"&amp;"(FILTER(Data!N:N,Data!B:B=A58),""NONE""))),IF(ISBLANK(A58),"""",0))"),"")</f>
        <v/>
      </c>
      <c r="T58" s="32" t="str">
        <f>IFERROR(__xludf.DUMMYFUNCTION("IFERROR((COUNTIF(FILTER(Data!N:N, Data!B:B=A58),""LOW"")) / (COUNTIF(Data!B:B, A58)),"""")"),"")</f>
        <v/>
      </c>
      <c r="U58" s="38" t="str">
        <f>IFERROR(__xludf.DUMMYFUNCTION("IFERROR((COUNTIF(FILTER(Data!N:N, Data!B:B=A58),""MIDDLE"")) / (COUNTIF(Data!B:B, A58)),"""")"),"")</f>
        <v/>
      </c>
      <c r="V58" s="38" t="str">
        <f>IFERROR(__xludf.DUMMYFUNCTION("IFERROR((COUNTIF(FILTER(Data!N:N, Data!B:B=A58),""HIGH"")) / (COUNTIF(Data!B:B, A58)),"""")"),"")</f>
        <v/>
      </c>
      <c r="W58" s="38" t="str">
        <f>IFERROR(__xludf.DUMMYFUNCTION("IFERROR((COUNTIF(FILTER(Data!N:N, Data!B:B=A58),""TRAVERSE"")) / (COUNTIF(Data!B:B, A58)),"""")"),"")</f>
        <v/>
      </c>
      <c r="X58" s="39" t="str">
        <f t="shared" si="6"/>
        <v/>
      </c>
      <c r="Y58" s="31" t="str">
        <f t="shared" si="7"/>
        <v/>
      </c>
      <c r="Z58" s="31" t="str">
        <f t="shared" si="8"/>
        <v/>
      </c>
      <c r="AA58" s="41" t="str">
        <f t="shared" si="9"/>
        <v/>
      </c>
      <c r="AB58" s="40" t="str">
        <f t="shared" si="32"/>
        <v/>
      </c>
      <c r="AC58" s="41" t="str">
        <f>IFERROR(__xludf.DUMMYFUNCTION("IF(AA58="""","""",MAX(Filter((Data!G:G+Data!K:K),Data!B:B=A58)))"),"")</f>
        <v/>
      </c>
      <c r="AD58" s="41" t="str">
        <f t="shared" si="11"/>
        <v/>
      </c>
      <c r="AE58" s="41" t="str">
        <f t="shared" si="12"/>
        <v/>
      </c>
      <c r="AF58" s="41" t="str">
        <f t="shared" si="13"/>
        <v/>
      </c>
      <c r="AG58" s="42" t="str">
        <f>IF(A58="","",(((AD58)*Picklist!$P$3)+((K58)*Picklist!$P$4)+(E58*Picklist!$P$5)+(N58*Picklist!$P$6)+(X58*Picklist!$P$7)+(R58*Picklist!$P$8)))</f>
        <v/>
      </c>
      <c r="AH58" s="43" t="str">
        <f>IF(A58="","",(((AD58)*Picklist!$P$14)+((K58)*Picklist!$P$15)+(E58*Picklist!$P$16)+(N58*Picklist!$P$17)+(X58*Picklist!$P$18)+(R58*Picklist!$P$19)))</f>
        <v/>
      </c>
      <c r="AI58" s="44" t="str">
        <f>IFERROR(__xludf.DUMMYFUNCTION("TEXTJOIN("", "",TRUE, FILTER(Data!P:P, Data!B:B=A58))"),"")</f>
        <v/>
      </c>
      <c r="AJ58" s="16" t="str">
        <f t="shared" si="14"/>
        <v/>
      </c>
      <c r="AK58" s="46" t="str">
        <f>IFERROR(__xludf.DUMMYFUNCTION("IF(A58&lt;&gt;"""",IFERROR(AVERAGE(FILTER('Defense Calculations'!BJ:CS,'Defense Calculations'!A:A=A58)),""""),"""")"),"")</f>
        <v/>
      </c>
      <c r="AM58" s="47"/>
      <c r="AN58" s="51"/>
      <c r="BB58" s="49">
        <f t="shared" si="16"/>
        <v>0</v>
      </c>
      <c r="BC58" s="50" t="str">
        <f t="shared" si="17"/>
        <v/>
      </c>
    </row>
    <row r="59">
      <c r="B59" s="30" t="str">
        <f>IFERROR(__xludf.DUMMYFUNCTION("IFERROR(ROUND(
(COUNTIF(FILTER(Data!O:O, Data!B:B=A59), ""Win"")
+ COUNTIF(FILTER(Data!O:O, Data!B:B=A59), {""Tie"",""Results""}))
/ (COUNTIF(Data!B:B, A59)),
1),"""")"),"")</f>
        <v/>
      </c>
      <c r="C59" s="31" t="str">
        <f>IFERROR((SUMIF(Data!B:B, A59, Data!H:H)
/ (COUNTIF(Data!B:B, A59)
)),"")</f>
        <v/>
      </c>
      <c r="D59" s="31" t="str">
        <f>IFERROR((SUMIF(Data!B:B, A59, Data!G:G)
/ (COUNTIF(Data!B:B, A59)
)),"")</f>
        <v/>
      </c>
      <c r="E59" s="31" t="str">
        <f t="shared" si="1"/>
        <v/>
      </c>
      <c r="F59" s="31" t="str">
        <f>IFERROR((SUMIF(Data!B:B, A59, Data!J:J)
/ (COUNTIF(Data!B:B, A59)
)),"")</f>
        <v/>
      </c>
      <c r="G59" s="32" t="str">
        <f>IF(A59="","",IFERROR((((((SUMIF(Data!B:B, A59, Data!H:H)+(SUMIF(Data!B:B, A59,Data!G:G)))/(SUMIF(Data!B:B, A59, Data!J:J)))))),0))</f>
        <v/>
      </c>
      <c r="H59" s="33" t="str">
        <f>IFERROR(__xludf.DUMMYFUNCTION("IFERROR(IF(G59="""","""",(SUM(FIlter(Filter(Data!G:G,Data!B:B=A59),(Filter(Data!J:J&lt;3,Data!B:B=A59))))+SUM((FIlter(Filter(Data!H:H,Data!B:B=A59),(Filter(Data!J:J&lt;3,Data!B:B=A59))))))/(SUM(Filter(Filter(Data!J:J,Data!B:B=A59),FILTER(Data!J:J&lt;3,Data!B:B=A59"&amp;"))))),"""")"),"")</f>
        <v/>
      </c>
      <c r="I59" s="32" t="str">
        <f>IFERROR(__xludf.DUMMYFUNCTION("IF(A59="""","""",(COUNT(FILTER(IF(Data!G:G&lt;&gt;0,Data!G:G,IF(Data!H:H&lt;&gt;0,Data!H:H)),Data!B:B=A59)))/(COUNT(FILTER(Data!J:J,Data!B:B=A59))))"),"")</f>
        <v/>
      </c>
      <c r="J59" s="32" t="str">
        <f t="shared" si="2"/>
        <v/>
      </c>
      <c r="K59" s="31" t="str">
        <f t="shared" si="3"/>
        <v/>
      </c>
      <c r="L59" s="31" t="str">
        <f>IFERROR((SUMIF(Data!B:B, A59, Data!L:L)
/ (COUNTIF(Data!B:B, A59)
)),"")</f>
        <v/>
      </c>
      <c r="M59" s="31" t="str">
        <f>IFERROR((SUMIF(Data!B:B, A59, Data!K:K)
/ (COUNTIF(Data!B:B, A59)
)),"")</f>
        <v/>
      </c>
      <c r="N59" s="34" t="str">
        <f t="shared" si="31"/>
        <v/>
      </c>
      <c r="O59" s="32" t="str">
        <f>IF(A59="","",IFERROR((((((SUMIF(Data!B:B, A59, Data!H:H)+(SUMIF(Data!B:B, A59,Data!G:G)+(SUMIF(Data!B:B, A59,Data!L:L)+(SUMIF(Data!B:B, A59,Data!K:K)))))/(SUMIF(Data!B:B, A59, Data!M:M)+(SUMIF(Data!B:B, A59, Data!H:H)+(SUMIF(Data!B:B, A59,Data!G:G)+(SUMIF(Data!B:B, A59,Data!K:K)+(SUMIF(Data!B:B, A59,Data!L:L)))))))))),0))</f>
        <v/>
      </c>
      <c r="P59" s="35" t="str">
        <f>IFERROR(__xludf.DUMMYFUNCTION("IFERROR(((COUNTIF(FILTER(Data!N:N,Data!B:B=A59),""TRAVERSE"")*15)+(COUNTIF(FILTER(Data!N:N,Data!B:B=A59),""HIGH"")*10)+(COUNTIF(FILTER(Data!N:N,Data!B:B=A59),""MIDDLE"")*6)+(COUNTIF(FILTER(Data!N:N,Data!B:B=A59),""LOW"")*4)) / (COUNTIF(Data!B:B, A59)),"""&amp;""")"),"")</f>
        <v/>
      </c>
      <c r="Q59" s="31" t="str">
        <f>IFERROR(__xludf.DUMMYFUNCTION("IF(P59="""","""",Average(FIlter(('Convert Name to Number'!$F$422:$Z1000),'Convert Name to Number'!$E$422:$E1000=$A59)))"),"")</f>
        <v/>
      </c>
      <c r="R59" s="36" t="str">
        <f t="shared" si="5"/>
        <v/>
      </c>
      <c r="S59" s="37" t="str">
        <f>IFERROR(__xludf.DUMMYFUNCTION("IFERROR((((COUNTIF(FILTER(Data!N:N,Data!B:B=A59),""TRAVERSE""))+(COUNTIF(FILTER(Data!N:N,Data!B:B=A59),""HIGH""))+(COUNTIF(FILTER(Data!N:N,Data!B:B=A59),""MIDDLE""))+(COUNTIF(FILTER(Data!N:N,Data!B:B=A59),""LOW"")))) / (((COUNTIF(Data!B:B, A59)))-(COUNTIF"&amp;"(FILTER(Data!N:N,Data!B:B=A59),""NONE""))),IF(ISBLANK(A59),"""",0))"),"")</f>
        <v/>
      </c>
      <c r="T59" s="32" t="str">
        <f>IFERROR(__xludf.DUMMYFUNCTION("IFERROR((COUNTIF(FILTER(Data!N:N, Data!B:B=A59),""LOW"")) / (COUNTIF(Data!B:B, A59)),"""")"),"")</f>
        <v/>
      </c>
      <c r="U59" s="38" t="str">
        <f>IFERROR(__xludf.DUMMYFUNCTION("IFERROR((COUNTIF(FILTER(Data!N:N, Data!B:B=A59),""MIDDLE"")) / (COUNTIF(Data!B:B, A59)),"""")"),"")</f>
        <v/>
      </c>
      <c r="V59" s="38" t="str">
        <f>IFERROR(__xludf.DUMMYFUNCTION("IFERROR((COUNTIF(FILTER(Data!N:N, Data!B:B=A59),""HIGH"")) / (COUNTIF(Data!B:B, A59)),"""")"),"")</f>
        <v/>
      </c>
      <c r="W59" s="38" t="str">
        <f>IFERROR(__xludf.DUMMYFUNCTION("IFERROR((COUNTIF(FILTER(Data!N:N, Data!B:B=A59),""TRAVERSE"")) / (COUNTIF(Data!B:B, A59)),"""")"),"")</f>
        <v/>
      </c>
      <c r="X59" s="39" t="str">
        <f t="shared" si="6"/>
        <v/>
      </c>
      <c r="Y59" s="31" t="str">
        <f t="shared" si="7"/>
        <v/>
      </c>
      <c r="Z59" s="31" t="str">
        <f t="shared" si="8"/>
        <v/>
      </c>
      <c r="AA59" s="41" t="str">
        <f t="shared" si="9"/>
        <v/>
      </c>
      <c r="AB59" s="40" t="str">
        <f t="shared" si="32"/>
        <v/>
      </c>
      <c r="AC59" s="41" t="str">
        <f>IFERROR(__xludf.DUMMYFUNCTION("IF(AA59="""","""",MAX(Filter((Data!G:G+Data!K:K),Data!B:B=A59)))"),"")</f>
        <v/>
      </c>
      <c r="AD59" s="41" t="str">
        <f t="shared" si="11"/>
        <v/>
      </c>
      <c r="AE59" s="41" t="str">
        <f t="shared" si="12"/>
        <v/>
      </c>
      <c r="AF59" s="41" t="str">
        <f t="shared" si="13"/>
        <v/>
      </c>
      <c r="AG59" s="42" t="str">
        <f>IF(A59="","",(((AD59)*Picklist!$P$3)+((K59)*Picklist!$P$4)+(E59*Picklist!$P$5)+(N59*Picklist!$P$6)+(X59*Picklist!$P$7)+(R59*Picklist!$P$8)))</f>
        <v/>
      </c>
      <c r="AH59" s="43" t="str">
        <f>IF(A59="","",(((AD59)*Picklist!$P$14)+((K59)*Picklist!$P$15)+(E59*Picklist!$P$16)+(N59*Picklist!$P$17)+(X59*Picklist!$P$18)+(R59*Picklist!$P$19)))</f>
        <v/>
      </c>
      <c r="AI59" s="44" t="str">
        <f>IFERROR(__xludf.DUMMYFUNCTION("TEXTJOIN("", "",TRUE, FILTER(Data!P:P, Data!B:B=A59))"),"")</f>
        <v/>
      </c>
      <c r="AJ59" s="16" t="str">
        <f t="shared" si="14"/>
        <v/>
      </c>
      <c r="AK59" s="46" t="str">
        <f>IFERROR(__xludf.DUMMYFUNCTION("IF(A59&lt;&gt;"""",IFERROR(AVERAGE(FILTER('Defense Calculations'!BJ:CS,'Defense Calculations'!A:A=A59)),""""),"""")"),"")</f>
        <v/>
      </c>
      <c r="AM59" s="47"/>
      <c r="AN59" s="51"/>
      <c r="BB59" s="49">
        <f t="shared" si="16"/>
        <v>0</v>
      </c>
      <c r="BC59" s="50" t="str">
        <f t="shared" si="17"/>
        <v/>
      </c>
    </row>
    <row r="60">
      <c r="B60" s="30" t="str">
        <f>IFERROR(__xludf.DUMMYFUNCTION("IFERROR(ROUND(
(COUNTIF(FILTER(Data!O:O, Data!B:B=A60), ""Win"")
+ COUNTIF(FILTER(Data!O:O, Data!B:B=A60), {""Tie"",""Results""}))
/ (COUNTIF(Data!B:B, A60)),
1),"""")"),"")</f>
        <v/>
      </c>
      <c r="C60" s="31" t="str">
        <f>IFERROR((SUMIF(Data!B:B, A60, Data!H:H)
/ (COUNTIF(Data!B:B, A60)
)),"")</f>
        <v/>
      </c>
      <c r="D60" s="31" t="str">
        <f>IFERROR((SUMIF(Data!B:B, A60, Data!G:G)
/ (COUNTIF(Data!B:B, A60)
)),"")</f>
        <v/>
      </c>
      <c r="E60" s="31" t="str">
        <f t="shared" si="1"/>
        <v/>
      </c>
      <c r="F60" s="31" t="str">
        <f>IFERROR((SUMIF(Data!B:B, A60, Data!J:J)
/ (COUNTIF(Data!B:B, A60)
)),"")</f>
        <v/>
      </c>
      <c r="G60" s="32" t="str">
        <f>IF(A60="","",IFERROR((((((SUMIF(Data!B:B, A60, Data!H:H)+(SUMIF(Data!B:B, A60,Data!G:G)))/(SUMIF(Data!B:B, A60, Data!J:J)))))),0))</f>
        <v/>
      </c>
      <c r="H60" s="33" t="str">
        <f>IFERROR(__xludf.DUMMYFUNCTION("IFERROR(IF(G60="""","""",(SUM(FIlter(Filter(Data!G:G,Data!B:B=A60),(Filter(Data!J:J&lt;3,Data!B:B=A60))))+SUM((FIlter(Filter(Data!H:H,Data!B:B=A60),(Filter(Data!J:J&lt;3,Data!B:B=A60))))))/(SUM(Filter(Filter(Data!J:J,Data!B:B=A60),FILTER(Data!J:J&lt;3,Data!B:B=A60"&amp;"))))),"""")"),"")</f>
        <v/>
      </c>
      <c r="I60" s="32" t="str">
        <f>IFERROR(__xludf.DUMMYFUNCTION("IF(A60="""","""",(COUNT(FILTER(IF(Data!G:G&lt;&gt;0,Data!G:G,IF(Data!H:H&lt;&gt;0,Data!H:H)),Data!B:B=A60)))/(COUNT(FILTER(Data!J:J,Data!B:B=A60))))"),"")</f>
        <v/>
      </c>
      <c r="J60" s="32" t="str">
        <f t="shared" si="2"/>
        <v/>
      </c>
      <c r="K60" s="31" t="str">
        <f t="shared" si="3"/>
        <v/>
      </c>
      <c r="L60" s="31" t="str">
        <f>IFERROR((SUMIF(Data!B:B, A60, Data!L:L)
/ (COUNTIF(Data!B:B, A60)
)),"")</f>
        <v/>
      </c>
      <c r="M60" s="31" t="str">
        <f>IFERROR((SUMIF(Data!B:B, A60, Data!K:K)
/ (COUNTIF(Data!B:B, A60)
)),"")</f>
        <v/>
      </c>
      <c r="N60" s="34" t="str">
        <f t="shared" si="31"/>
        <v/>
      </c>
      <c r="O60" s="32" t="str">
        <f>IF(A60="","",IFERROR((((((SUMIF(Data!B:B, A60, Data!H:H)+(SUMIF(Data!B:B, A60,Data!G:G)+(SUMIF(Data!B:B, A60,Data!L:L)+(SUMIF(Data!B:B, A60,Data!K:K)))))/(SUMIF(Data!B:B, A60, Data!M:M)+(SUMIF(Data!B:B, A60, Data!H:H)+(SUMIF(Data!B:B, A60,Data!G:G)+(SUMIF(Data!B:B, A60,Data!K:K)+(SUMIF(Data!B:B, A60,Data!L:L)))))))))),0))</f>
        <v/>
      </c>
      <c r="P60" s="35" t="str">
        <f>IFERROR(__xludf.DUMMYFUNCTION("IFERROR(((COUNTIF(FILTER(Data!N:N,Data!B:B=A60),""TRAVERSE"")*15)+(COUNTIF(FILTER(Data!N:N,Data!B:B=A60),""HIGH"")*10)+(COUNTIF(FILTER(Data!N:N,Data!B:B=A60),""MIDDLE"")*6)+(COUNTIF(FILTER(Data!N:N,Data!B:B=A60),""LOW"")*4)) / (COUNTIF(Data!B:B, A60)),"""&amp;""")"),"")</f>
        <v/>
      </c>
      <c r="Q60" s="31" t="str">
        <f>IFERROR(__xludf.DUMMYFUNCTION("IF(P60="""","""",Average(FIlter(('Convert Name to Number'!$F$422:$Z1000),'Convert Name to Number'!$E$422:$E1000=$A60)))"),"")</f>
        <v/>
      </c>
      <c r="R60" s="36" t="str">
        <f t="shared" si="5"/>
        <v/>
      </c>
      <c r="S60" s="37" t="str">
        <f>IFERROR(__xludf.DUMMYFUNCTION("IFERROR((((COUNTIF(FILTER(Data!N:N,Data!B:B=A60),""TRAVERSE""))+(COUNTIF(FILTER(Data!N:N,Data!B:B=A60),""HIGH""))+(COUNTIF(FILTER(Data!N:N,Data!B:B=A60),""MIDDLE""))+(COUNTIF(FILTER(Data!N:N,Data!B:B=A60),""LOW"")))) / (((COUNTIF(Data!B:B, A60)))-(COUNTIF"&amp;"(FILTER(Data!N:N,Data!B:B=A60),""NONE""))),IF(ISBLANK(A60),"""",0))"),"")</f>
        <v/>
      </c>
      <c r="T60" s="32" t="str">
        <f>IFERROR(__xludf.DUMMYFUNCTION("IFERROR((COUNTIF(FILTER(Data!N:N, Data!B:B=A60),""LOW"")) / (COUNTIF(Data!B:B, A60)),"""")"),"")</f>
        <v/>
      </c>
      <c r="U60" s="38" t="str">
        <f>IFERROR(__xludf.DUMMYFUNCTION("IFERROR((COUNTIF(FILTER(Data!N:N, Data!B:B=A60),""MIDDLE"")) / (COUNTIF(Data!B:B, A60)),"""")"),"")</f>
        <v/>
      </c>
      <c r="V60" s="38" t="str">
        <f>IFERROR(__xludf.DUMMYFUNCTION("IFERROR((COUNTIF(FILTER(Data!N:N, Data!B:B=A60),""HIGH"")) / (COUNTIF(Data!B:B, A60)),"""")"),"")</f>
        <v/>
      </c>
      <c r="W60" s="38" t="str">
        <f>IFERROR(__xludf.DUMMYFUNCTION("IFERROR((COUNTIF(FILTER(Data!N:N, Data!B:B=A60),""TRAVERSE"")) / (COUNTIF(Data!B:B, A60)),"""")"),"")</f>
        <v/>
      </c>
      <c r="X60" s="39" t="str">
        <f t="shared" si="6"/>
        <v/>
      </c>
      <c r="Y60" s="31" t="str">
        <f t="shared" si="7"/>
        <v/>
      </c>
      <c r="Z60" s="31" t="str">
        <f t="shared" si="8"/>
        <v/>
      </c>
      <c r="AA60" s="41" t="str">
        <f t="shared" si="9"/>
        <v/>
      </c>
      <c r="AB60" s="40" t="str">
        <f t="shared" si="32"/>
        <v/>
      </c>
      <c r="AC60" s="41" t="str">
        <f>IFERROR(__xludf.DUMMYFUNCTION("IF(AA60="""","""",MAX(Filter((Data!G:G+Data!K:K),Data!B:B=A60)))"),"")</f>
        <v/>
      </c>
      <c r="AD60" s="41" t="str">
        <f t="shared" si="11"/>
        <v/>
      </c>
      <c r="AE60" s="41" t="str">
        <f t="shared" si="12"/>
        <v/>
      </c>
      <c r="AF60" s="41" t="str">
        <f t="shared" si="13"/>
        <v/>
      </c>
      <c r="AG60" s="42" t="str">
        <f>IF(A60="","",(((AD60)*Picklist!$P$3)+((K60)*Picklist!$P$4)+(E60*Picklist!$P$5)+(N60*Picklist!$P$6)+(X60*Picklist!$P$7)+(R60*Picklist!$P$8)))</f>
        <v/>
      </c>
      <c r="AH60" s="43" t="str">
        <f>IF(A60="","",(((AD60)*Picklist!$P$14)+((K60)*Picklist!$P$15)+(E60*Picklist!$P$16)+(N60*Picklist!$P$17)+(X60*Picklist!$P$18)+(R60*Picklist!$P$19)))</f>
        <v/>
      </c>
      <c r="AI60" s="44" t="str">
        <f>IFERROR(__xludf.DUMMYFUNCTION("TEXTJOIN("", "",TRUE, FILTER(Data!P:P, Data!B:B=A60))"),"")</f>
        <v/>
      </c>
      <c r="AJ60" s="16" t="str">
        <f t="shared" si="14"/>
        <v/>
      </c>
      <c r="AK60" s="46" t="str">
        <f>IFERROR(__xludf.DUMMYFUNCTION("IF(A60&lt;&gt;"""",IFERROR(AVERAGE(FILTER('Defense Calculations'!BJ:CS,'Defense Calculations'!A:A=A60)),""""),"""")"),"")</f>
        <v/>
      </c>
      <c r="AM60" s="47"/>
      <c r="AN60" s="51"/>
      <c r="BB60" s="49">
        <f t="shared" si="16"/>
        <v>0</v>
      </c>
      <c r="BC60" s="50" t="str">
        <f t="shared" si="17"/>
        <v/>
      </c>
    </row>
    <row r="61">
      <c r="B61" s="30" t="str">
        <f>IFERROR(__xludf.DUMMYFUNCTION("IFERROR(ROUND(
(COUNTIF(FILTER(Data!O:O, Data!B:B=A61), ""Win"")
+ COUNTIF(FILTER(Data!O:O, Data!B:B=A61), {""Tie"",""Results""}))
/ (COUNTIF(Data!B:B, A61)),
1),"""")"),"")</f>
        <v/>
      </c>
      <c r="C61" s="31" t="str">
        <f>IFERROR((SUMIF(Data!B:B, A61, Data!H:H)
/ (COUNTIF(Data!B:B, A61)
)),"")</f>
        <v/>
      </c>
      <c r="D61" s="31" t="str">
        <f>IFERROR((SUMIF(Data!B:B, A61, Data!G:G)
/ (COUNTIF(Data!B:B, A61)
)),"")</f>
        <v/>
      </c>
      <c r="E61" s="31" t="str">
        <f t="shared" si="1"/>
        <v/>
      </c>
      <c r="F61" s="31" t="str">
        <f>IFERROR((SUMIF(Data!B:B, A61, Data!J:J)
/ (COUNTIF(Data!B:B, A61)
)),"")</f>
        <v/>
      </c>
      <c r="G61" s="32" t="str">
        <f>IF(A61="","",IFERROR((((((SUMIF(Data!B:B, A61, Data!H:H)+(SUMIF(Data!B:B, A61,Data!G:G)))/(SUMIF(Data!B:B, A61, Data!J:J)))))),0))</f>
        <v/>
      </c>
      <c r="H61" s="33" t="str">
        <f>IFERROR(__xludf.DUMMYFUNCTION("IFERROR(IF(G61="""","""",(SUM(FIlter(Filter(Data!G:G,Data!B:B=A61),(Filter(Data!J:J&lt;3,Data!B:B=A61))))+SUM((FIlter(Filter(Data!H:H,Data!B:B=A61),(Filter(Data!J:J&lt;3,Data!B:B=A61))))))/(SUM(Filter(Filter(Data!J:J,Data!B:B=A61),FILTER(Data!J:J&lt;3,Data!B:B=A61"&amp;"))))),"""")"),"")</f>
        <v/>
      </c>
      <c r="I61" s="32" t="str">
        <f>IFERROR(__xludf.DUMMYFUNCTION("IF(A61="""","""",(COUNT(FILTER(IF(Data!G:G&lt;&gt;0,Data!G:G,IF(Data!H:H&lt;&gt;0,Data!H:H)),Data!B:B=A61)))/(COUNT(FILTER(Data!J:J,Data!B:B=A61))))"),"")</f>
        <v/>
      </c>
      <c r="J61" s="32" t="str">
        <f t="shared" si="2"/>
        <v/>
      </c>
      <c r="K61" s="31" t="str">
        <f t="shared" si="3"/>
        <v/>
      </c>
      <c r="L61" s="31" t="str">
        <f>IFERROR((SUMIF(Data!B:B, A61, Data!L:L)
/ (COUNTIF(Data!B:B, A61)
)),"")</f>
        <v/>
      </c>
      <c r="M61" s="31" t="str">
        <f>IFERROR((SUMIF(Data!B:B, A61, Data!K:K)
/ (COUNTIF(Data!B:B, A61)
)),"")</f>
        <v/>
      </c>
      <c r="N61" s="34" t="str">
        <f t="shared" si="31"/>
        <v/>
      </c>
      <c r="O61" s="32" t="str">
        <f>IF(A61="","",IFERROR((((((SUMIF(Data!B:B, A61, Data!H:H)+(SUMIF(Data!B:B, A61,Data!G:G)+(SUMIF(Data!B:B, A61,Data!L:L)+(SUMIF(Data!B:B, A61,Data!K:K)))))/(SUMIF(Data!B:B, A61, Data!M:M)+(SUMIF(Data!B:B, A61, Data!H:H)+(SUMIF(Data!B:B, A61,Data!G:G)+(SUMIF(Data!B:B, A61,Data!K:K)+(SUMIF(Data!B:B, A61,Data!L:L)))))))))),0))</f>
        <v/>
      </c>
      <c r="P61" s="35" t="str">
        <f>IFERROR(__xludf.DUMMYFUNCTION("IFERROR(((COUNTIF(FILTER(Data!N:N,Data!B:B=A61),""TRAVERSE"")*15)+(COUNTIF(FILTER(Data!N:N,Data!B:B=A61),""HIGH"")*10)+(COUNTIF(FILTER(Data!N:N,Data!B:B=A61),""MIDDLE"")*6)+(COUNTIF(FILTER(Data!N:N,Data!B:B=A61),""LOW"")*4)) / (COUNTIF(Data!B:B, A61)),"""&amp;""")"),"")</f>
        <v/>
      </c>
      <c r="Q61" s="31" t="str">
        <f>IFERROR(__xludf.DUMMYFUNCTION("IF(P61="""","""",Average(FIlter(('Convert Name to Number'!$F$422:$Z1000),'Convert Name to Number'!$E$422:$E1000=$A61)))"),"")</f>
        <v/>
      </c>
      <c r="R61" s="36" t="str">
        <f t="shared" si="5"/>
        <v/>
      </c>
      <c r="S61" s="37" t="str">
        <f>IFERROR(__xludf.DUMMYFUNCTION("IFERROR((((COUNTIF(FILTER(Data!N:N,Data!B:B=A61),""TRAVERSE""))+(COUNTIF(FILTER(Data!N:N,Data!B:B=A61),""HIGH""))+(COUNTIF(FILTER(Data!N:N,Data!B:B=A61),""MIDDLE""))+(COUNTIF(FILTER(Data!N:N,Data!B:B=A61),""LOW"")))) / (((COUNTIF(Data!B:B, A61)))-(COUNTIF"&amp;"(FILTER(Data!N:N,Data!B:B=A61),""NONE""))),IF(ISBLANK(A61),"""",0))"),"")</f>
        <v/>
      </c>
      <c r="T61" s="32" t="str">
        <f>IFERROR(__xludf.DUMMYFUNCTION("IFERROR((COUNTIF(FILTER(Data!N:N, Data!B:B=A61),""LOW"")) / (COUNTIF(Data!B:B, A61)),"""")"),"")</f>
        <v/>
      </c>
      <c r="U61" s="38" t="str">
        <f>IFERROR(__xludf.DUMMYFUNCTION("IFERROR((COUNTIF(FILTER(Data!N:N, Data!B:B=A61),""MIDDLE"")) / (COUNTIF(Data!B:B, A61)),"""")"),"")</f>
        <v/>
      </c>
      <c r="V61" s="38" t="str">
        <f>IFERROR(__xludf.DUMMYFUNCTION("IFERROR((COUNTIF(FILTER(Data!N:N, Data!B:B=A61),""HIGH"")) / (COUNTIF(Data!B:B, A61)),"""")"),"")</f>
        <v/>
      </c>
      <c r="W61" s="38" t="str">
        <f>IFERROR(__xludf.DUMMYFUNCTION("IFERROR((COUNTIF(FILTER(Data!N:N, Data!B:B=A61),""TRAVERSE"")) / (COUNTIF(Data!B:B, A61)),"""")"),"")</f>
        <v/>
      </c>
      <c r="X61" s="39" t="str">
        <f t="shared" si="6"/>
        <v/>
      </c>
      <c r="Y61" s="31" t="str">
        <f t="shared" si="7"/>
        <v/>
      </c>
      <c r="Z61" s="31" t="str">
        <f t="shared" si="8"/>
        <v/>
      </c>
      <c r="AA61" s="41" t="str">
        <f t="shared" si="9"/>
        <v/>
      </c>
      <c r="AB61" s="40" t="str">
        <f t="shared" si="32"/>
        <v/>
      </c>
      <c r="AC61" s="41" t="str">
        <f>IFERROR(__xludf.DUMMYFUNCTION("IF(AA61="""","""",MAX(Filter((Data!G:G+Data!K:K),Data!B:B=A61)))"),"")</f>
        <v/>
      </c>
      <c r="AD61" s="41" t="str">
        <f t="shared" si="11"/>
        <v/>
      </c>
      <c r="AE61" s="41" t="str">
        <f t="shared" si="12"/>
        <v/>
      </c>
      <c r="AF61" s="41" t="str">
        <f t="shared" si="13"/>
        <v/>
      </c>
      <c r="AG61" s="42" t="str">
        <f>IF(A61="","",(((AD61)*Picklist!$P$3)+((K61)*Picklist!$P$4)+(E61*Picklist!$P$5)+(N61*Picklist!$P$6)+(X61*Picklist!$P$7)+(R61*Picklist!$P$8)))</f>
        <v/>
      </c>
      <c r="AH61" s="43" t="str">
        <f>IF(A61="","",(((AD61)*Picklist!$P$14)+((K61)*Picklist!$P$15)+(E61*Picklist!$P$16)+(N61*Picklist!$P$17)+(X61*Picklist!$P$18)+(R61*Picklist!$P$19)))</f>
        <v/>
      </c>
      <c r="AI61" s="44" t="str">
        <f>IFERROR(__xludf.DUMMYFUNCTION("TEXTJOIN("", "",TRUE, FILTER(Data!P:P, Data!B:B=A61))"),"")</f>
        <v/>
      </c>
      <c r="AJ61" s="16" t="str">
        <f t="shared" si="14"/>
        <v/>
      </c>
      <c r="AK61" s="46" t="str">
        <f>IFERROR(__xludf.DUMMYFUNCTION("IF(A61&lt;&gt;"""",IFERROR(AVERAGE(FILTER('Defense Calculations'!BJ:CS,'Defense Calculations'!A:A=A61)),""""),"""")"),"")</f>
        <v/>
      </c>
      <c r="AM61" s="47"/>
      <c r="AN61" s="51"/>
      <c r="BB61" s="49">
        <f t="shared" si="16"/>
        <v>0</v>
      </c>
      <c r="BC61" s="50" t="str">
        <f t="shared" si="17"/>
        <v/>
      </c>
    </row>
    <row r="62">
      <c r="B62" s="30" t="str">
        <f>IFERROR(__xludf.DUMMYFUNCTION("IFERROR(ROUND(
(COUNTIF(FILTER(Data!O:O, Data!B:B=A62), ""Win"")
+ COUNTIF(FILTER(Data!O:O, Data!B:B=A62), {""Tie"",""Results""}))
/ (COUNTIF(Data!B:B, A62)),
1),"""")"),"")</f>
        <v/>
      </c>
      <c r="C62" s="31" t="str">
        <f>IFERROR((SUMIF(Data!B:B, A62, Data!H:H)
/ (COUNTIF(Data!B:B, A62)
)),"")</f>
        <v/>
      </c>
      <c r="D62" s="31" t="str">
        <f>IFERROR((SUMIF(Data!B:B, A62, Data!G:G)
/ (COUNTIF(Data!B:B, A62)
)),"")</f>
        <v/>
      </c>
      <c r="E62" s="31" t="str">
        <f t="shared" si="1"/>
        <v/>
      </c>
      <c r="F62" s="31" t="str">
        <f>IFERROR((SUMIF(Data!B:B, A62, Data!J:J)
/ (COUNTIF(Data!B:B, A62)
)),"")</f>
        <v/>
      </c>
      <c r="G62" s="32" t="str">
        <f>IF(A62="","",IFERROR((((((SUMIF(Data!B:B, A62, Data!H:H)+(SUMIF(Data!B:B, A62,Data!G:G)))/(SUMIF(Data!B:B, A62, Data!J:J)))))),0))</f>
        <v/>
      </c>
      <c r="H62" s="33" t="str">
        <f>IFERROR(__xludf.DUMMYFUNCTION("IFERROR(IF(G62="""","""",(SUM(FIlter(Filter(Data!G:G,Data!B:B=A62),(Filter(Data!J:J&lt;3,Data!B:B=A62))))+SUM((FIlter(Filter(Data!H:H,Data!B:B=A62),(Filter(Data!J:J&lt;3,Data!B:B=A62))))))/(SUM(Filter(Filter(Data!J:J,Data!B:B=A62),FILTER(Data!J:J&lt;3,Data!B:B=A62"&amp;"))))),"""")"),"")</f>
        <v/>
      </c>
      <c r="I62" s="32" t="str">
        <f>IFERROR(__xludf.DUMMYFUNCTION("IF(A62="""","""",(COUNT(FILTER(IF(Data!G:G&lt;&gt;0,Data!G:G,IF(Data!H:H&lt;&gt;0,Data!H:H)),Data!B:B=A62)))/(COUNT(FILTER(Data!J:J,Data!B:B=A62))))"),"")</f>
        <v/>
      </c>
      <c r="J62" s="32" t="str">
        <f t="shared" si="2"/>
        <v/>
      </c>
      <c r="K62" s="31" t="str">
        <f t="shared" si="3"/>
        <v/>
      </c>
      <c r="L62" s="31" t="str">
        <f>IFERROR((SUMIF(Data!B:B, A62, Data!L:L)
/ (COUNTIF(Data!B:B, A62)
)),"")</f>
        <v/>
      </c>
      <c r="M62" s="31" t="str">
        <f>IFERROR((SUMIF(Data!B:B, A62, Data!K:K)
/ (COUNTIF(Data!B:B, A62)
)),"")</f>
        <v/>
      </c>
      <c r="N62" s="34" t="str">
        <f t="shared" si="31"/>
        <v/>
      </c>
      <c r="O62" s="32" t="str">
        <f>IF(A62="","",IFERROR((((((SUMIF(Data!B:B, A62, Data!H:H)+(SUMIF(Data!B:B, A62,Data!G:G)+(SUMIF(Data!B:B, A62,Data!L:L)+(SUMIF(Data!B:B, A62,Data!K:K)))))/(SUMIF(Data!B:B, A62, Data!M:M)+(SUMIF(Data!B:B, A62, Data!H:H)+(SUMIF(Data!B:B, A62,Data!G:G)+(SUMIF(Data!B:B, A62,Data!K:K)+(SUMIF(Data!B:B, A62,Data!L:L)))))))))),0))</f>
        <v/>
      </c>
      <c r="P62" s="35" t="str">
        <f>IFERROR(__xludf.DUMMYFUNCTION("IFERROR(((COUNTIF(FILTER(Data!N:N,Data!B:B=A62),""TRAVERSE"")*15)+(COUNTIF(FILTER(Data!N:N,Data!B:B=A62),""HIGH"")*10)+(COUNTIF(FILTER(Data!N:N,Data!B:B=A62),""MIDDLE"")*6)+(COUNTIF(FILTER(Data!N:N,Data!B:B=A62),""LOW"")*4)) / (COUNTIF(Data!B:B, A62)),"""&amp;""")"),"")</f>
        <v/>
      </c>
      <c r="Q62" s="31" t="str">
        <f>IFERROR(__xludf.DUMMYFUNCTION("IF(P62="""","""",Average(FIlter(('Convert Name to Number'!$F$422:$Z1000),'Convert Name to Number'!$E$422:$E1000=$A62)))"),"")</f>
        <v/>
      </c>
      <c r="R62" s="36" t="str">
        <f t="shared" si="5"/>
        <v/>
      </c>
      <c r="S62" s="37" t="str">
        <f>IFERROR(__xludf.DUMMYFUNCTION("IFERROR((((COUNTIF(FILTER(Data!N:N,Data!B:B=A62),""TRAVERSE""))+(COUNTIF(FILTER(Data!N:N,Data!B:B=A62),""HIGH""))+(COUNTIF(FILTER(Data!N:N,Data!B:B=A62),""MIDDLE""))+(COUNTIF(FILTER(Data!N:N,Data!B:B=A62),""LOW"")))) / (((COUNTIF(Data!B:B, A62)))-(COUNTIF"&amp;"(FILTER(Data!N:N,Data!B:B=A62),""NONE""))),IF(ISBLANK(A62),"""",0))"),"")</f>
        <v/>
      </c>
      <c r="T62" s="32" t="str">
        <f>IFERROR(__xludf.DUMMYFUNCTION("IFERROR((COUNTIF(FILTER(Data!N:N, Data!B:B=A62),""LOW"")) / (COUNTIF(Data!B:B, A62)),"""")"),"")</f>
        <v/>
      </c>
      <c r="U62" s="38" t="str">
        <f>IFERROR(__xludf.DUMMYFUNCTION("IFERROR((COUNTIF(FILTER(Data!N:N, Data!B:B=A62),""MIDDLE"")) / (COUNTIF(Data!B:B, A62)),"""")"),"")</f>
        <v/>
      </c>
      <c r="V62" s="38" t="str">
        <f>IFERROR(__xludf.DUMMYFUNCTION("IFERROR((COUNTIF(FILTER(Data!N:N, Data!B:B=A62),""HIGH"")) / (COUNTIF(Data!B:B, A62)),"""")"),"")</f>
        <v/>
      </c>
      <c r="W62" s="38" t="str">
        <f>IFERROR(__xludf.DUMMYFUNCTION("IFERROR((COUNTIF(FILTER(Data!N:N, Data!B:B=A62),""TRAVERSE"")) / (COUNTIF(Data!B:B, A62)),"""")"),"")</f>
        <v/>
      </c>
      <c r="X62" s="39" t="str">
        <f t="shared" si="6"/>
        <v/>
      </c>
      <c r="Y62" s="31" t="str">
        <f t="shared" si="7"/>
        <v/>
      </c>
      <c r="Z62" s="31" t="str">
        <f t="shared" si="8"/>
        <v/>
      </c>
      <c r="AA62" s="41" t="str">
        <f t="shared" si="9"/>
        <v/>
      </c>
      <c r="AB62" s="40" t="str">
        <f t="shared" si="32"/>
        <v/>
      </c>
      <c r="AC62" s="41" t="str">
        <f>IFERROR(__xludf.DUMMYFUNCTION("IF(AA62="""","""",MAX(Filter((Data!G:G+Data!K:K),Data!B:B=A62)))"),"")</f>
        <v/>
      </c>
      <c r="AD62" s="41" t="str">
        <f t="shared" si="11"/>
        <v/>
      </c>
      <c r="AE62" s="41" t="str">
        <f t="shared" si="12"/>
        <v/>
      </c>
      <c r="AF62" s="41" t="str">
        <f t="shared" si="13"/>
        <v/>
      </c>
      <c r="AG62" s="42" t="str">
        <f>IF(A62="","",(((AD62)*Picklist!$P$3)+((K62)*Picklist!$P$4)+(E62*Picklist!$P$5)+(N62*Picklist!$P$6)+(X62*Picklist!$P$7)+(R62*Picklist!$P$8)))</f>
        <v/>
      </c>
      <c r="AH62" s="43" t="str">
        <f>IF(A62="","",(((AD62)*Picklist!$P$14)+((K62)*Picklist!$P$15)+(E62*Picklist!$P$16)+(N62*Picklist!$P$17)+(X62*Picklist!$P$18)+(R62*Picklist!$P$19)))</f>
        <v/>
      </c>
      <c r="AI62" s="44" t="str">
        <f>IFERROR(__xludf.DUMMYFUNCTION("TEXTJOIN("", "",TRUE, FILTER(Data!P:P, Data!B:B=A62))"),"")</f>
        <v/>
      </c>
      <c r="AJ62" s="16" t="str">
        <f t="shared" si="14"/>
        <v/>
      </c>
      <c r="AK62" s="46" t="str">
        <f>IFERROR(__xludf.DUMMYFUNCTION("IF(A62&lt;&gt;"""",IFERROR(AVERAGE(FILTER('Defense Calculations'!BJ:CS,'Defense Calculations'!A:A=A62)),""""),"""")"),"")</f>
        <v/>
      </c>
      <c r="AM62" s="47"/>
      <c r="AN62" s="51"/>
      <c r="BB62" s="49">
        <f t="shared" si="16"/>
        <v>0</v>
      </c>
      <c r="BC62" s="50" t="str">
        <f t="shared" si="17"/>
        <v/>
      </c>
    </row>
    <row r="63">
      <c r="B63" s="30" t="str">
        <f>IFERROR(__xludf.DUMMYFUNCTION("IFERROR(ROUND(
(COUNTIF(FILTER(Data!O:O, Data!B:B=A63), ""Win"")
+ COUNTIF(FILTER(Data!O:O, Data!B:B=A63), {""Tie"",""Results""}))
/ (COUNTIF(Data!B:B, A63)),
1),"""")"),"")</f>
        <v/>
      </c>
      <c r="C63" s="31" t="str">
        <f>IFERROR((SUMIF(Data!B:B, A63, Data!H:H)
/ (COUNTIF(Data!B:B, A63)
)),"")</f>
        <v/>
      </c>
      <c r="D63" s="31" t="str">
        <f>IFERROR((SUMIF(Data!B:B, A63, Data!G:G)
/ (COUNTIF(Data!B:B, A63)
)),"")</f>
        <v/>
      </c>
      <c r="E63" s="31" t="str">
        <f t="shared" si="1"/>
        <v/>
      </c>
      <c r="F63" s="31" t="str">
        <f>IFERROR((SUMIF(Data!B:B, A63, Data!J:J)
/ (COUNTIF(Data!B:B, A63)
)),"")</f>
        <v/>
      </c>
      <c r="G63" s="32" t="str">
        <f>IF(A63="","",IFERROR((((((SUMIF(Data!B:B, A63, Data!H:H)+(SUMIF(Data!B:B, A63,Data!G:G)))/(SUMIF(Data!B:B, A63, Data!J:J)))))),0))</f>
        <v/>
      </c>
      <c r="H63" s="33" t="str">
        <f>IFERROR(__xludf.DUMMYFUNCTION("IFERROR(IF(G63="""","""",(SUM(FIlter(Filter(Data!G:G,Data!B:B=A63),(Filter(Data!J:J&lt;3,Data!B:B=A63))))+SUM((FIlter(Filter(Data!H:H,Data!B:B=A63),(Filter(Data!J:J&lt;3,Data!B:B=A63))))))/(SUM(Filter(Filter(Data!J:J,Data!B:B=A63),FILTER(Data!J:J&lt;3,Data!B:B=A63"&amp;"))))),"""")"),"")</f>
        <v/>
      </c>
      <c r="I63" s="32" t="str">
        <f>IFERROR(__xludf.DUMMYFUNCTION("IF(A63="""","""",(COUNT(FILTER(IF(Data!G:G&lt;&gt;0,Data!G:G,IF(Data!H:H&lt;&gt;0,Data!H:H)),Data!B:B=A63)))/(COUNT(FILTER(Data!J:J,Data!B:B=A63))))"),"")</f>
        <v/>
      </c>
      <c r="J63" s="32" t="str">
        <f t="shared" si="2"/>
        <v/>
      </c>
      <c r="K63" s="31" t="str">
        <f t="shared" si="3"/>
        <v/>
      </c>
      <c r="L63" s="31" t="str">
        <f>IFERROR((SUMIF(Data!B:B, A63, Data!L:L)
/ (COUNTIF(Data!B:B, A63)
)),"")</f>
        <v/>
      </c>
      <c r="M63" s="31" t="str">
        <f>IFERROR((SUMIF(Data!B:B, A63, Data!K:K)
/ (COUNTIF(Data!B:B, A63)
)),"")</f>
        <v/>
      </c>
      <c r="N63" s="34" t="str">
        <f t="shared" si="31"/>
        <v/>
      </c>
      <c r="O63" s="32" t="str">
        <f>IF(A63="","",IFERROR((((((SUMIF(Data!B:B, A63, Data!H:H)+(SUMIF(Data!B:B, A63,Data!G:G)+(SUMIF(Data!B:B, A63,Data!L:L)+(SUMIF(Data!B:B, A63,Data!K:K)))))/(SUMIF(Data!B:B, A63, Data!M:M)+(SUMIF(Data!B:B, A63, Data!H:H)+(SUMIF(Data!B:B, A63,Data!G:G)+(SUMIF(Data!B:B, A63,Data!K:K)+(SUMIF(Data!B:B, A63,Data!L:L)))))))))),0))</f>
        <v/>
      </c>
      <c r="P63" s="35" t="str">
        <f>IFERROR(__xludf.DUMMYFUNCTION("IFERROR(((COUNTIF(FILTER(Data!N:N,Data!B:B=A63),""TRAVERSE"")*15)+(COUNTIF(FILTER(Data!N:N,Data!B:B=A63),""HIGH"")*10)+(COUNTIF(FILTER(Data!N:N,Data!B:B=A63),""MIDDLE"")*6)+(COUNTIF(FILTER(Data!N:N,Data!B:B=A63),""LOW"")*4)) / (COUNTIF(Data!B:B, A63)),"""&amp;""")"),"")</f>
        <v/>
      </c>
      <c r="Q63" s="31" t="str">
        <f>IFERROR(__xludf.DUMMYFUNCTION("IF(P63="""","""",Average(FIlter(('Convert Name to Number'!$F$422:$Z1000),'Convert Name to Number'!$E$422:$E1000=$A63)))"),"")</f>
        <v/>
      </c>
      <c r="R63" s="36" t="str">
        <f t="shared" si="5"/>
        <v/>
      </c>
      <c r="S63" s="37" t="str">
        <f>IFERROR(__xludf.DUMMYFUNCTION("IFERROR((((COUNTIF(FILTER(Data!N:N,Data!B:B=A63),""TRAVERSE""))+(COUNTIF(FILTER(Data!N:N,Data!B:B=A63),""HIGH""))+(COUNTIF(FILTER(Data!N:N,Data!B:B=A63),""MIDDLE""))+(COUNTIF(FILTER(Data!N:N,Data!B:B=A63),""LOW"")))) / (((COUNTIF(Data!B:B, A63)))-(COUNTIF"&amp;"(FILTER(Data!N:N,Data!B:B=A63),""NONE""))),IF(ISBLANK(A63),"""",0))"),"")</f>
        <v/>
      </c>
      <c r="T63" s="32" t="str">
        <f>IFERROR(__xludf.DUMMYFUNCTION("IFERROR((COUNTIF(FILTER(Data!N:N, Data!B:B=A63),""LOW"")) / (COUNTIF(Data!B:B, A63)),"""")"),"")</f>
        <v/>
      </c>
      <c r="U63" s="38" t="str">
        <f>IFERROR(__xludf.DUMMYFUNCTION("IFERROR((COUNTIF(FILTER(Data!N:N, Data!B:B=A63),""MIDDLE"")) / (COUNTIF(Data!B:B, A63)),"""")"),"")</f>
        <v/>
      </c>
      <c r="V63" s="38" t="str">
        <f>IFERROR(__xludf.DUMMYFUNCTION("IFERROR((COUNTIF(FILTER(Data!N:N, Data!B:B=A63),""HIGH"")) / (COUNTIF(Data!B:B, A63)),"""")"),"")</f>
        <v/>
      </c>
      <c r="W63" s="38" t="str">
        <f>IFERROR(__xludf.DUMMYFUNCTION("IFERROR((COUNTIF(FILTER(Data!N:N, Data!B:B=A63),""TRAVERSE"")) / (COUNTIF(Data!B:B, A63)),"""")"),"")</f>
        <v/>
      </c>
      <c r="X63" s="39" t="str">
        <f t="shared" si="6"/>
        <v/>
      </c>
      <c r="Y63" s="31" t="str">
        <f t="shared" si="7"/>
        <v/>
      </c>
      <c r="Z63" s="31" t="str">
        <f t="shared" si="8"/>
        <v/>
      </c>
      <c r="AA63" s="41" t="str">
        <f t="shared" si="9"/>
        <v/>
      </c>
      <c r="AB63" s="40" t="str">
        <f t="shared" si="32"/>
        <v/>
      </c>
      <c r="AC63" s="41" t="str">
        <f>IFERROR(__xludf.DUMMYFUNCTION("IF(AA63="""","""",MAX(Filter((Data!G:G+Data!K:K),Data!B:B=A63)))"),"")</f>
        <v/>
      </c>
      <c r="AD63" s="41" t="str">
        <f t="shared" si="11"/>
        <v/>
      </c>
      <c r="AE63" s="41" t="str">
        <f t="shared" si="12"/>
        <v/>
      </c>
      <c r="AF63" s="41" t="str">
        <f t="shared" si="13"/>
        <v/>
      </c>
      <c r="AG63" s="42" t="str">
        <f>IF(A63="","",(((AD63)*Picklist!$P$3)+((K63)*Picklist!$P$4)+(E63*Picklist!$P$5)+(N63*Picklist!$P$6)+(X63*Picklist!$P$7)+(R63*Picklist!$P$8)))</f>
        <v/>
      </c>
      <c r="AH63" s="43" t="str">
        <f>IF(A63="","",(((AD63)*Picklist!$P$14)+((K63)*Picklist!$P$15)+(E63*Picklist!$P$16)+(N63*Picklist!$P$17)+(X63*Picklist!$P$18)+(R63*Picklist!$P$19)))</f>
        <v/>
      </c>
      <c r="AI63" s="44" t="str">
        <f>IFERROR(__xludf.DUMMYFUNCTION("TEXTJOIN("", "",TRUE, FILTER(Data!P:P, Data!B:B=A63))"),"")</f>
        <v/>
      </c>
      <c r="AJ63" s="16" t="str">
        <f t="shared" si="14"/>
        <v/>
      </c>
      <c r="AK63" s="46" t="str">
        <f>IFERROR(__xludf.DUMMYFUNCTION("IF(A63&lt;&gt;"""",IFERROR(AVERAGE(FILTER('Defense Calculations'!BJ:CS,'Defense Calculations'!A:A=A63)),""""),"""")"),"")</f>
        <v/>
      </c>
      <c r="AM63" s="47"/>
      <c r="AN63" s="51"/>
      <c r="BB63" s="49">
        <f t="shared" si="16"/>
        <v>0</v>
      </c>
      <c r="BC63" s="50" t="str">
        <f t="shared" si="17"/>
        <v/>
      </c>
    </row>
    <row r="64">
      <c r="B64" s="30" t="str">
        <f>IFERROR(__xludf.DUMMYFUNCTION("IFERROR(ROUND(
(COUNTIF(FILTER(Data!O:O, Data!B:B=A64), ""Win"")
+ COUNTIF(FILTER(Data!O:O, Data!B:B=A64), {""Tie"",""Results""}))
/ (COUNTIF(Data!B:B, A64)),
1),"""")"),"")</f>
        <v/>
      </c>
      <c r="C64" s="31" t="str">
        <f>IFERROR((SUMIF(Data!B:B, A64, Data!H:H)
/ (COUNTIF(Data!B:B, A64)
)),"")</f>
        <v/>
      </c>
      <c r="D64" s="31" t="str">
        <f>IFERROR((SUMIF(Data!B:B, A64, Data!G:G)
/ (COUNTIF(Data!B:B, A64)
)),"")</f>
        <v/>
      </c>
      <c r="E64" s="31" t="str">
        <f t="shared" si="1"/>
        <v/>
      </c>
      <c r="F64" s="31" t="str">
        <f>IFERROR((SUMIF(Data!B:B, A64, Data!J:J)
/ (COUNTIF(Data!B:B, A64)
)),"")</f>
        <v/>
      </c>
      <c r="G64" s="32" t="str">
        <f>IF(A64="","",IFERROR((((((SUMIF(Data!B:B, A64, Data!H:H)+(SUMIF(Data!B:B, A64,Data!G:G)))/(SUMIF(Data!B:B, A64, Data!J:J)))))),0))</f>
        <v/>
      </c>
      <c r="H64" s="33" t="str">
        <f>IFERROR(__xludf.DUMMYFUNCTION("IFERROR(IF(G64="""","""",(SUM(FIlter(Filter(Data!G:G,Data!B:B=A64),(Filter(Data!J:J&lt;3,Data!B:B=A64))))+SUM((FIlter(Filter(Data!H:H,Data!B:B=A64),(Filter(Data!J:J&lt;3,Data!B:B=A64))))))/(SUM(Filter(Filter(Data!J:J,Data!B:B=A64),FILTER(Data!J:J&lt;3,Data!B:B=A64"&amp;"))))),"""")"),"")</f>
        <v/>
      </c>
      <c r="I64" s="32" t="str">
        <f>IFERROR(__xludf.DUMMYFUNCTION("IF(A64="""","""",(COUNT(FILTER(IF(Data!G:G&lt;&gt;0,Data!G:G,IF(Data!H:H&lt;&gt;0,Data!H:H)),Data!B:B=A64)))/(COUNT(FILTER(Data!J:J,Data!B:B=A64))))"),"")</f>
        <v/>
      </c>
      <c r="J64" s="32" t="str">
        <f t="shared" si="2"/>
        <v/>
      </c>
      <c r="K64" s="31" t="str">
        <f t="shared" si="3"/>
        <v/>
      </c>
      <c r="L64" s="31" t="str">
        <f>IFERROR((SUMIF(Data!B:B, A64, Data!L:L)
/ (COUNTIF(Data!B:B, A64)
)),"")</f>
        <v/>
      </c>
      <c r="M64" s="31" t="str">
        <f>IFERROR((SUMIF(Data!B:B, A64, Data!K:K)
/ (COUNTIF(Data!B:B, A64)
)),"")</f>
        <v/>
      </c>
      <c r="N64" s="34" t="str">
        <f t="shared" si="31"/>
        <v/>
      </c>
      <c r="O64" s="32" t="str">
        <f>IF(A64="","",IFERROR((((((SUMIF(Data!B:B, A64, Data!H:H)+(SUMIF(Data!B:B, A64,Data!G:G)+(SUMIF(Data!B:B, A64,Data!L:L)+(SUMIF(Data!B:B, A64,Data!K:K)))))/(SUMIF(Data!B:B, A64, Data!M:M)+(SUMIF(Data!B:B, A64, Data!H:H)+(SUMIF(Data!B:B, A64,Data!G:G)+(SUMIF(Data!B:B, A64,Data!K:K)+(SUMIF(Data!B:B, A64,Data!L:L)))))))))),0))</f>
        <v/>
      </c>
      <c r="P64" s="35" t="str">
        <f>IFERROR(__xludf.DUMMYFUNCTION("IFERROR(((COUNTIF(FILTER(Data!N:N,Data!B:B=A64),""TRAVERSE"")*15)+(COUNTIF(FILTER(Data!N:N,Data!B:B=A64),""HIGH"")*10)+(COUNTIF(FILTER(Data!N:N,Data!B:B=A64),""MIDDLE"")*6)+(COUNTIF(FILTER(Data!N:N,Data!B:B=A64),""LOW"")*4)) / (COUNTIF(Data!B:B, A64)),"""&amp;""")"),"")</f>
        <v/>
      </c>
      <c r="Q64" s="31" t="str">
        <f>IFERROR(__xludf.DUMMYFUNCTION("IF(P64="""","""",Average(FIlter(('Convert Name to Number'!$F$422:$Z1000),'Convert Name to Number'!$E$422:$E1000=$A64)))"),"")</f>
        <v/>
      </c>
      <c r="R64" s="36" t="str">
        <f t="shared" si="5"/>
        <v/>
      </c>
      <c r="S64" s="37" t="str">
        <f>IFERROR(__xludf.DUMMYFUNCTION("IFERROR((((COUNTIF(FILTER(Data!N:N,Data!B:B=A64),""TRAVERSE""))+(COUNTIF(FILTER(Data!N:N,Data!B:B=A64),""HIGH""))+(COUNTIF(FILTER(Data!N:N,Data!B:B=A64),""MIDDLE""))+(COUNTIF(FILTER(Data!N:N,Data!B:B=A64),""LOW"")))) / (((COUNTIF(Data!B:B, A64)))-(COUNTIF"&amp;"(FILTER(Data!N:N,Data!B:B=A64),""NONE""))),IF(ISBLANK(A64),"""",0))"),"")</f>
        <v/>
      </c>
      <c r="T64" s="32" t="str">
        <f>IFERROR(__xludf.DUMMYFUNCTION("IFERROR((COUNTIF(FILTER(Data!N:N, Data!B:B=A64),""LOW"")) / (COUNTIF(Data!B:B, A64)),"""")"),"")</f>
        <v/>
      </c>
      <c r="U64" s="38" t="str">
        <f>IFERROR(__xludf.DUMMYFUNCTION("IFERROR((COUNTIF(FILTER(Data!N:N, Data!B:B=A64),""MIDDLE"")) / (COUNTIF(Data!B:B, A64)),"""")"),"")</f>
        <v/>
      </c>
      <c r="V64" s="38" t="str">
        <f>IFERROR(__xludf.DUMMYFUNCTION("IFERROR((COUNTIF(FILTER(Data!N:N, Data!B:B=A64),""HIGH"")) / (COUNTIF(Data!B:B, A64)),"""")"),"")</f>
        <v/>
      </c>
      <c r="W64" s="38" t="str">
        <f>IFERROR(__xludf.DUMMYFUNCTION("IFERROR((COUNTIF(FILTER(Data!N:N, Data!B:B=A64),""TRAVERSE"")) / (COUNTIF(Data!B:B, A64)),"""")"),"")</f>
        <v/>
      </c>
      <c r="X64" s="39" t="str">
        <f t="shared" si="6"/>
        <v/>
      </c>
      <c r="Y64" s="31" t="str">
        <f t="shared" si="7"/>
        <v/>
      </c>
      <c r="Z64" s="31" t="str">
        <f t="shared" si="8"/>
        <v/>
      </c>
      <c r="AA64" s="41" t="str">
        <f t="shared" si="9"/>
        <v/>
      </c>
      <c r="AB64" s="40" t="str">
        <f t="shared" si="32"/>
        <v/>
      </c>
      <c r="AC64" s="41" t="str">
        <f>IFERROR(__xludf.DUMMYFUNCTION("IF(AA64="""","""",MAX(Filter((Data!G:G+Data!K:K),Data!B:B=A64)))"),"")</f>
        <v/>
      </c>
      <c r="AD64" s="41" t="str">
        <f t="shared" si="11"/>
        <v/>
      </c>
      <c r="AE64" s="41" t="str">
        <f t="shared" si="12"/>
        <v/>
      </c>
      <c r="AF64" s="41" t="str">
        <f t="shared" si="13"/>
        <v/>
      </c>
      <c r="AG64" s="42" t="str">
        <f>IF(A64="","",(((AD64)*Picklist!$P$3)+((K64)*Picklist!$P$4)+(E64*Picklist!$P$5)+(N64*Picklist!$P$6)+(X64*Picklist!$P$7)+(R64*Picklist!$P$8)))</f>
        <v/>
      </c>
      <c r="AH64" s="43" t="str">
        <f>IF(A64="","",(((AD64)*Picklist!$P$14)+((K64)*Picklist!$P$15)+(E64*Picklist!$P$16)+(N64*Picklist!$P$17)+(X64*Picklist!$P$18)+(R64*Picklist!$P$19)))</f>
        <v/>
      </c>
      <c r="AI64" s="44" t="str">
        <f>IFERROR(__xludf.DUMMYFUNCTION("TEXTJOIN("", "",TRUE, FILTER(Data!P:P, Data!B:B=A64))"),"")</f>
        <v/>
      </c>
      <c r="AJ64" s="16" t="str">
        <f t="shared" si="14"/>
        <v/>
      </c>
      <c r="AK64" s="46" t="str">
        <f>IFERROR(__xludf.DUMMYFUNCTION("IF(A64&lt;&gt;"""",IFERROR(AVERAGE(FILTER('Defense Calculations'!BJ:CS,'Defense Calculations'!A:A=A64)),""""),"""")"),"")</f>
        <v/>
      </c>
      <c r="AM64" s="47"/>
      <c r="AN64" s="51"/>
      <c r="BB64" s="49">
        <f t="shared" si="16"/>
        <v>0</v>
      </c>
      <c r="BC64" s="50" t="str">
        <f t="shared" si="17"/>
        <v/>
      </c>
    </row>
    <row r="65">
      <c r="B65" s="30" t="str">
        <f>IFERROR(__xludf.DUMMYFUNCTION("IFERROR(ROUND(
(COUNTIF(FILTER(Data!O:O, Data!B:B=A65), ""Win"")
+ COUNTIF(FILTER(Data!O:O, Data!B:B=A65), {""Tie"",""Results""}))
/ (COUNTIF(Data!B:B, A65)),
1),"""")"),"")</f>
        <v/>
      </c>
      <c r="C65" s="31" t="str">
        <f>IFERROR((SUMIF(Data!B:B, A65, Data!H:H)
/ (COUNTIF(Data!B:B, A65)
)),"")</f>
        <v/>
      </c>
      <c r="D65" s="31" t="str">
        <f>IFERROR((SUMIF(Data!B:B, A65, Data!G:G)
/ (COUNTIF(Data!B:B, A65)
)),"")</f>
        <v/>
      </c>
      <c r="E65" s="31" t="str">
        <f t="shared" si="1"/>
        <v/>
      </c>
      <c r="F65" s="31" t="str">
        <f>IFERROR((SUMIF(Data!B:B, A65, Data!J:J)
/ (COUNTIF(Data!B:B, A65)
)),"")</f>
        <v/>
      </c>
      <c r="G65" s="32" t="str">
        <f>IF(A65="","",IFERROR((((((SUMIF(Data!B:B, A65, Data!H:H)+(SUMIF(Data!B:B, A65,Data!G:G)))/(SUMIF(Data!B:B, A65, Data!J:J)))))),0))</f>
        <v/>
      </c>
      <c r="H65" s="33" t="str">
        <f>IFERROR(__xludf.DUMMYFUNCTION("IFERROR(IF(G65="""","""",(SUM(FIlter(Filter(Data!G:G,Data!B:B=A65),(Filter(Data!J:J&lt;3,Data!B:B=A65))))+SUM((FIlter(Filter(Data!H:H,Data!B:B=A65),(Filter(Data!J:J&lt;3,Data!B:B=A65))))))/(SUM(Filter(Filter(Data!J:J,Data!B:B=A65),FILTER(Data!J:J&lt;3,Data!B:B=A65"&amp;"))))),"""")"),"")</f>
        <v/>
      </c>
      <c r="I65" s="32" t="str">
        <f>IFERROR(__xludf.DUMMYFUNCTION("IF(A65="""","""",(COUNT(FILTER(IF(Data!G:G&lt;&gt;0,Data!G:G,IF(Data!H:H&lt;&gt;0,Data!H:H)),Data!B:B=A65)))/(COUNT(FILTER(Data!J:J,Data!B:B=A65))))"),"")</f>
        <v/>
      </c>
      <c r="J65" s="32" t="str">
        <f t="shared" si="2"/>
        <v/>
      </c>
      <c r="K65" s="31" t="str">
        <f t="shared" si="3"/>
        <v/>
      </c>
      <c r="L65" s="31" t="str">
        <f>IFERROR((SUMIF(Data!B:B, A65, Data!L:L)
/ (COUNTIF(Data!B:B, A65)
)),"")</f>
        <v/>
      </c>
      <c r="M65" s="31" t="str">
        <f>IFERROR((SUMIF(Data!B:B, A65, Data!K:K)
/ (COUNTIF(Data!B:B, A65)
)),"")</f>
        <v/>
      </c>
      <c r="N65" s="34" t="str">
        <f t="shared" si="31"/>
        <v/>
      </c>
      <c r="O65" s="32" t="str">
        <f>IF(A65="","",IFERROR((((((SUMIF(Data!B:B, A65, Data!H:H)+(SUMIF(Data!B:B, A65,Data!G:G)+(SUMIF(Data!B:B, A65,Data!L:L)+(SUMIF(Data!B:B, A65,Data!K:K)))))/(SUMIF(Data!B:B, A65, Data!M:M)+(SUMIF(Data!B:B, A65, Data!H:H)+(SUMIF(Data!B:B, A65,Data!G:G)+(SUMIF(Data!B:B, A65,Data!K:K)+(SUMIF(Data!B:B, A65,Data!L:L)))))))))),0))</f>
        <v/>
      </c>
      <c r="P65" s="35" t="str">
        <f>IFERROR(__xludf.DUMMYFUNCTION("IFERROR(((COUNTIF(FILTER(Data!N:N,Data!B:B=A65),""TRAVERSE"")*15)+(COUNTIF(FILTER(Data!N:N,Data!B:B=A65),""HIGH"")*10)+(COUNTIF(FILTER(Data!N:N,Data!B:B=A65),""MIDDLE"")*6)+(COUNTIF(FILTER(Data!N:N,Data!B:B=A65),""LOW"")*4)) / (COUNTIF(Data!B:B, A65)),"""&amp;""")"),"")</f>
        <v/>
      </c>
      <c r="Q65" s="31" t="str">
        <f>IFERROR(__xludf.DUMMYFUNCTION("IF(P65="""","""",Average(FIlter(('Convert Name to Number'!$F$422:$Z1000),'Convert Name to Number'!$E$422:$E1000=$A65)))"),"")</f>
        <v/>
      </c>
      <c r="R65" s="36" t="str">
        <f t="shared" si="5"/>
        <v/>
      </c>
      <c r="S65" s="37" t="str">
        <f>IFERROR(__xludf.DUMMYFUNCTION("IFERROR((((COUNTIF(FILTER(Data!N:N,Data!B:B=A65),""TRAVERSE""))+(COUNTIF(FILTER(Data!N:N,Data!B:B=A65),""HIGH""))+(COUNTIF(FILTER(Data!N:N,Data!B:B=A65),""MIDDLE""))+(COUNTIF(FILTER(Data!N:N,Data!B:B=A65),""LOW"")))) / (((COUNTIF(Data!B:B, A65)))-(COUNTIF"&amp;"(FILTER(Data!N:N,Data!B:B=A65),""NONE""))),IF(ISBLANK(A65),"""",0))"),"")</f>
        <v/>
      </c>
      <c r="T65" s="32" t="str">
        <f>IFERROR(__xludf.DUMMYFUNCTION("IFERROR((COUNTIF(FILTER(Data!N:N, Data!B:B=A65),""LOW"")) / (COUNTIF(Data!B:B, A65)),"""")"),"")</f>
        <v/>
      </c>
      <c r="U65" s="38" t="str">
        <f>IFERROR(__xludf.DUMMYFUNCTION("IFERROR((COUNTIF(FILTER(Data!N:N, Data!B:B=A65),""MIDDLE"")) / (COUNTIF(Data!B:B, A65)),"""")"),"")</f>
        <v/>
      </c>
      <c r="V65" s="38" t="str">
        <f>IFERROR(__xludf.DUMMYFUNCTION("IFERROR((COUNTIF(FILTER(Data!N:N, Data!B:B=A65),""HIGH"")) / (COUNTIF(Data!B:B, A65)),"""")"),"")</f>
        <v/>
      </c>
      <c r="W65" s="38" t="str">
        <f>IFERROR(__xludf.DUMMYFUNCTION("IFERROR((COUNTIF(FILTER(Data!N:N, Data!B:B=A65),""TRAVERSE"")) / (COUNTIF(Data!B:B, A65)),"""")"),"")</f>
        <v/>
      </c>
      <c r="X65" s="39" t="str">
        <f t="shared" si="6"/>
        <v/>
      </c>
      <c r="Y65" s="31" t="str">
        <f t="shared" si="7"/>
        <v/>
      </c>
      <c r="Z65" s="31" t="str">
        <f t="shared" si="8"/>
        <v/>
      </c>
      <c r="AA65" s="41" t="str">
        <f t="shared" si="9"/>
        <v/>
      </c>
      <c r="AB65" s="40" t="str">
        <f t="shared" si="32"/>
        <v/>
      </c>
      <c r="AC65" s="41" t="str">
        <f>IFERROR(__xludf.DUMMYFUNCTION("IF(AA65="""","""",MAX(Filter((Data!G:G+Data!K:K),Data!B:B=A65)))"),"")</f>
        <v/>
      </c>
      <c r="AD65" s="41" t="str">
        <f t="shared" si="11"/>
        <v/>
      </c>
      <c r="AE65" s="41" t="str">
        <f t="shared" si="12"/>
        <v/>
      </c>
      <c r="AF65" s="41" t="str">
        <f t="shared" si="13"/>
        <v/>
      </c>
      <c r="AG65" s="42" t="str">
        <f>IF(A65="","",(((AD65)*Picklist!$P$3)+((K65)*Picklist!$P$4)+(E65*Picklist!$P$5)+(N65*Picklist!$P$6)+(X65*Picklist!$P$7)+(R65*Picklist!$P$8)))</f>
        <v/>
      </c>
      <c r="AH65" s="43" t="str">
        <f>IF(A65="","",(((AD65)*Picklist!$P$14)+((K65)*Picklist!$P$15)+(E65*Picklist!$P$16)+(N65*Picklist!$P$17)+(X65*Picklist!$P$18)+(R65*Picklist!$P$19)))</f>
        <v/>
      </c>
      <c r="AI65" s="44" t="str">
        <f>IFERROR(__xludf.DUMMYFUNCTION("TEXTJOIN("", "",TRUE, FILTER(Data!P:P, Data!B:B=A65))"),"")</f>
        <v/>
      </c>
      <c r="AJ65" s="16" t="str">
        <f t="shared" si="14"/>
        <v/>
      </c>
      <c r="AK65" s="46" t="str">
        <f>IFERROR(__xludf.DUMMYFUNCTION("IF(A65&lt;&gt;"""",IFERROR(AVERAGE(FILTER('Defense Calculations'!BJ:CS,'Defense Calculations'!A:A=A65)),""""),"""")"),"")</f>
        <v/>
      </c>
      <c r="AM65" s="47"/>
      <c r="AN65" s="51"/>
      <c r="BB65" s="49">
        <f t="shared" si="16"/>
        <v>0</v>
      </c>
      <c r="BC65" s="50" t="str">
        <f t="shared" si="17"/>
        <v/>
      </c>
    </row>
    <row r="66">
      <c r="B66" s="30" t="str">
        <f>IFERROR(__xludf.DUMMYFUNCTION("IFERROR(ROUND(
(COUNTIF(FILTER(Data!O:O, Data!B:B=A66), ""Win"")
+ COUNTIF(FILTER(Data!O:O, Data!B:B=A66), {""Tie"",""Results""}))
/ (COUNTIF(Data!B:B, A66)),
1),"""")"),"")</f>
        <v/>
      </c>
      <c r="C66" s="31" t="str">
        <f>IFERROR((SUMIF(Data!B:B, A66, Data!H:H)
/ (COUNTIF(Data!B:B, A66)
)),"")</f>
        <v/>
      </c>
      <c r="D66" s="31" t="str">
        <f>IFERROR((SUMIF(Data!B:B, A66, Data!G:G)
/ (COUNTIF(Data!B:B, A66)
)),"")</f>
        <v/>
      </c>
      <c r="E66" s="31" t="str">
        <f t="shared" si="1"/>
        <v/>
      </c>
      <c r="F66" s="31" t="str">
        <f>IFERROR((SUMIF(Data!B:B, A66, Data!J:J)
/ (COUNTIF(Data!B:B, A66)
)),"")</f>
        <v/>
      </c>
      <c r="G66" s="32" t="str">
        <f>IF(A66="","",IFERROR((((((SUMIF(Data!B:B, A66, Data!H:H)+(SUMIF(Data!B:B, A66,Data!G:G)))/(SUMIF(Data!B:B, A66, Data!J:J)))))),0))</f>
        <v/>
      </c>
      <c r="H66" s="33" t="str">
        <f>IFERROR(__xludf.DUMMYFUNCTION("IFERROR(IF(G66="""","""",(SUM(FIlter(Filter(Data!G:G,Data!B:B=A66),(Filter(Data!J:J&lt;3,Data!B:B=A66))))+SUM((FIlter(Filter(Data!H:H,Data!B:B=A66),(Filter(Data!J:J&lt;3,Data!B:B=A66))))))/(SUM(Filter(Filter(Data!J:J,Data!B:B=A66),FILTER(Data!J:J&lt;3,Data!B:B=A66"&amp;"))))),"""")"),"")</f>
        <v/>
      </c>
      <c r="I66" s="32" t="str">
        <f>IFERROR(__xludf.DUMMYFUNCTION("IF(A66="""","""",(COUNT(FILTER(IF(Data!G:G&lt;&gt;0,Data!G:G,IF(Data!H:H&lt;&gt;0,Data!H:H)),Data!B:B=A66)))/(COUNT(FILTER(Data!J:J,Data!B:B=A66))))"),"")</f>
        <v/>
      </c>
      <c r="J66" s="32" t="str">
        <f t="shared" si="2"/>
        <v/>
      </c>
      <c r="K66" s="31" t="str">
        <f t="shared" si="3"/>
        <v/>
      </c>
      <c r="L66" s="31" t="str">
        <f>IFERROR((SUMIF(Data!B:B, A66, Data!L:L)
/ (COUNTIF(Data!B:B, A66)
)),"")</f>
        <v/>
      </c>
      <c r="M66" s="31" t="str">
        <f>IFERROR((SUMIF(Data!B:B, A66, Data!K:K)
/ (COUNTIF(Data!B:B, A66)
)),"")</f>
        <v/>
      </c>
      <c r="N66" s="34" t="str">
        <f t="shared" si="31"/>
        <v/>
      </c>
      <c r="O66" s="32" t="str">
        <f>IF(A66="","",IFERROR((((((SUMIF(Data!B:B, A66, Data!H:H)+(SUMIF(Data!B:B, A66,Data!G:G)+(SUMIF(Data!B:B, A66,Data!L:L)+(SUMIF(Data!B:B, A66,Data!K:K)))))/(SUMIF(Data!B:B, A66, Data!M:M)+(SUMIF(Data!B:B, A66, Data!H:H)+(SUMIF(Data!B:B, A66,Data!G:G)+(SUMIF(Data!B:B, A66,Data!K:K)+(SUMIF(Data!B:B, A66,Data!L:L)))))))))),0))</f>
        <v/>
      </c>
      <c r="P66" s="35" t="str">
        <f>IFERROR(__xludf.DUMMYFUNCTION("IFERROR(((COUNTIF(FILTER(Data!N:N,Data!B:B=A66),""TRAVERSE"")*15)+(COUNTIF(FILTER(Data!N:N,Data!B:B=A66),""HIGH"")*10)+(COUNTIF(FILTER(Data!N:N,Data!B:B=A66),""MIDDLE"")*6)+(COUNTIF(FILTER(Data!N:N,Data!B:B=A66),""LOW"")*4)) / (COUNTIF(Data!B:B, A66)),"""&amp;""")"),"")</f>
        <v/>
      </c>
      <c r="Q66" s="31" t="str">
        <f>IFERROR(__xludf.DUMMYFUNCTION("IF(P66="""","""",Average(FIlter(('Convert Name to Number'!$F$422:$Z1000),'Convert Name to Number'!$E$422:$E1000=$A66)))"),"")</f>
        <v/>
      </c>
      <c r="R66" s="36" t="str">
        <f t="shared" si="5"/>
        <v/>
      </c>
      <c r="S66" s="37" t="str">
        <f>IFERROR(__xludf.DUMMYFUNCTION("IFERROR((((COUNTIF(FILTER(Data!N:N,Data!B:B=A66),""TRAVERSE""))+(COUNTIF(FILTER(Data!N:N,Data!B:B=A66),""HIGH""))+(COUNTIF(FILTER(Data!N:N,Data!B:B=A66),""MIDDLE""))+(COUNTIF(FILTER(Data!N:N,Data!B:B=A66),""LOW"")))) / (((COUNTIF(Data!B:B, A66)))-(COUNTIF"&amp;"(FILTER(Data!N:N,Data!B:B=A66),""NONE""))),IF(ISBLANK(A66),"""",0))"),"")</f>
        <v/>
      </c>
      <c r="T66" s="32" t="str">
        <f>IFERROR(__xludf.DUMMYFUNCTION("IFERROR((COUNTIF(FILTER(Data!N:N, Data!B:B=A66),""LOW"")) / (COUNTIF(Data!B:B, A66)),"""")"),"")</f>
        <v/>
      </c>
      <c r="U66" s="38" t="str">
        <f>IFERROR(__xludf.DUMMYFUNCTION("IFERROR((COUNTIF(FILTER(Data!N:N, Data!B:B=A66),""MIDDLE"")) / (COUNTIF(Data!B:B, A66)),"""")"),"")</f>
        <v/>
      </c>
      <c r="V66" s="38" t="str">
        <f>IFERROR(__xludf.DUMMYFUNCTION("IFERROR((COUNTIF(FILTER(Data!N:N, Data!B:B=A66),""HIGH"")) / (COUNTIF(Data!B:B, A66)),"""")"),"")</f>
        <v/>
      </c>
      <c r="W66" s="38" t="str">
        <f>IFERROR(__xludf.DUMMYFUNCTION("IFERROR((COUNTIF(FILTER(Data!N:N, Data!B:B=A66),""TRAVERSE"")) / (COUNTIF(Data!B:B, A66)),"""")"),"")</f>
        <v/>
      </c>
      <c r="X66" s="39" t="str">
        <f t="shared" si="6"/>
        <v/>
      </c>
      <c r="Y66" s="31" t="str">
        <f t="shared" si="7"/>
        <v/>
      </c>
      <c r="Z66" s="31" t="str">
        <f t="shared" si="8"/>
        <v/>
      </c>
      <c r="AA66" s="41" t="str">
        <f t="shared" si="9"/>
        <v/>
      </c>
      <c r="AB66" s="40" t="str">
        <f t="shared" si="32"/>
        <v/>
      </c>
      <c r="AC66" s="41" t="str">
        <f>IFERROR(__xludf.DUMMYFUNCTION("IF(AA66="""","""",MAX(Filter((Data!G:G+Data!K:K),Data!B:B=A66)))"),"")</f>
        <v/>
      </c>
      <c r="AD66" s="41" t="str">
        <f t="shared" si="11"/>
        <v/>
      </c>
      <c r="AE66" s="41" t="str">
        <f t="shared" si="12"/>
        <v/>
      </c>
      <c r="AF66" s="41" t="str">
        <f t="shared" si="13"/>
        <v/>
      </c>
      <c r="AG66" s="42" t="str">
        <f>IF(A66="","",(((AD66)*Picklist!$P$3)+((K66)*Picklist!$P$4)+(E66*Picklist!$P$5)+(N66*Picklist!$P$6)+(X66*Picklist!$P$7)+(R66*Picklist!$P$8)))</f>
        <v/>
      </c>
      <c r="AH66" s="43" t="str">
        <f>IF(A66="","",(((AD66)*Picklist!$P$14)+((K66)*Picklist!$P$15)+(E66*Picklist!$P$16)+(N66*Picklist!$P$17)+(X66*Picklist!$P$18)+(R66*Picklist!$P$19)))</f>
        <v/>
      </c>
      <c r="AI66" s="44" t="str">
        <f>IFERROR(__xludf.DUMMYFUNCTION("TEXTJOIN("", "",TRUE, FILTER(Data!P:P, Data!B:B=A66))"),"")</f>
        <v/>
      </c>
      <c r="AJ66" s="16" t="str">
        <f t="shared" si="14"/>
        <v/>
      </c>
      <c r="AK66" s="46" t="str">
        <f>IFERROR(__xludf.DUMMYFUNCTION("IF(A66&lt;&gt;"""",IFERROR(AVERAGE(FILTER('Defense Calculations'!BJ:CS,'Defense Calculations'!A:A=A66)),""""),"""")"),"")</f>
        <v/>
      </c>
      <c r="AM66" s="47"/>
      <c r="AN66" s="51"/>
      <c r="BB66" s="49">
        <f t="shared" si="16"/>
        <v>0</v>
      </c>
      <c r="BC66" s="50" t="str">
        <f t="shared" si="17"/>
        <v/>
      </c>
    </row>
    <row r="67">
      <c r="B67" s="30" t="str">
        <f>IFERROR(__xludf.DUMMYFUNCTION("IFERROR(ROUND(
(COUNTIF(FILTER(Data!O:O, Data!B:B=A67), ""Win"")
+ COUNTIF(FILTER(Data!O:O, Data!B:B=A67), {""Tie"",""Results""}))
/ (COUNTIF(Data!B:B, A67)),
1),"""")"),"")</f>
        <v/>
      </c>
      <c r="C67" s="31" t="str">
        <f>IFERROR((SUMIF(Data!B:B, A67, Data!H:H)
/ (COUNTIF(Data!B:B, A67)
)),"")</f>
        <v/>
      </c>
      <c r="D67" s="31" t="str">
        <f>IFERROR((SUMIF(Data!B:B, A67, Data!G:G)
/ (COUNTIF(Data!B:B, A67)
)),"")</f>
        <v/>
      </c>
      <c r="E67" s="31" t="str">
        <f t="shared" si="1"/>
        <v/>
      </c>
      <c r="F67" s="31" t="str">
        <f>IFERROR((SUMIF(Data!B:B, A67, Data!J:J)
/ (COUNTIF(Data!B:B, A67)
)),"")</f>
        <v/>
      </c>
      <c r="G67" s="32" t="str">
        <f>IF(A67="","",IFERROR((((((SUMIF(Data!B:B, A67, Data!H:H)+(SUMIF(Data!B:B, A67,Data!G:G)))/(SUMIF(Data!B:B, A67, Data!J:J)))))),0))</f>
        <v/>
      </c>
      <c r="H67" s="33" t="str">
        <f>IFERROR(__xludf.DUMMYFUNCTION("IFERROR(IF(G67="""","""",(SUM(FIlter(Filter(Data!G:G,Data!B:B=A67),(Filter(Data!J:J&lt;3,Data!B:B=A67))))+SUM((FIlter(Filter(Data!H:H,Data!B:B=A67),(Filter(Data!J:J&lt;3,Data!B:B=A67))))))/(SUM(Filter(Filter(Data!J:J,Data!B:B=A67),FILTER(Data!J:J&lt;3,Data!B:B=A67"&amp;"))))),"""")"),"")</f>
        <v/>
      </c>
      <c r="I67" s="32" t="str">
        <f>IFERROR(__xludf.DUMMYFUNCTION("IF(A67="""","""",(COUNT(FILTER(IF(Data!G:G&lt;&gt;0,Data!G:G,IF(Data!H:H&lt;&gt;0,Data!H:H)),Data!B:B=A67)))/(COUNT(FILTER(Data!J:J,Data!B:B=A67))))"),"")</f>
        <v/>
      </c>
      <c r="J67" s="32" t="str">
        <f t="shared" si="2"/>
        <v/>
      </c>
      <c r="K67" s="31" t="str">
        <f t="shared" si="3"/>
        <v/>
      </c>
      <c r="L67" s="31" t="str">
        <f>IFERROR((SUMIF(Data!B:B, A67, Data!L:L)
/ (COUNTIF(Data!B:B, A67)
)),"")</f>
        <v/>
      </c>
      <c r="M67" s="31" t="str">
        <f>IFERROR((SUMIF(Data!B:B, A67, Data!K:K)
/ (COUNTIF(Data!B:B, A67)
)),"")</f>
        <v/>
      </c>
      <c r="N67" s="34" t="str">
        <f>IF(M67="","",((M67-$AX$3)/$AX$5))</f>
        <v/>
      </c>
      <c r="O67" s="32" t="str">
        <f>IF(A67="","",IFERROR((((((SUMIF(Data!B:B, A67, Data!H:H)+(SUMIF(Data!B:B, A67,Data!G:G)+(SUMIF(Data!B:B, A67,Data!L:L)+(SUMIF(Data!B:B, A67,Data!K:K)))))/(SUMIF(Data!B:B, A67, Data!M:M)+(SUMIF(Data!B:B, A67, Data!H:H)+(SUMIF(Data!B:B, A67,Data!G:G)+(SUMIF(Data!B:B, A67,Data!K:K)+(SUMIF(Data!B:B, A67,Data!L:L)))))))))),0))</f>
        <v/>
      </c>
      <c r="P67" s="35" t="str">
        <f>IFERROR(__xludf.DUMMYFUNCTION("IFERROR(((COUNTIF(FILTER(Data!N:N,Data!B:B=A67),""TRAVERSE"")*15)+(COUNTIF(FILTER(Data!N:N,Data!B:B=A67),""HIGH"")*10)+(COUNTIF(FILTER(Data!N:N,Data!B:B=A67),""MIDDLE"")*6)+(COUNTIF(FILTER(Data!N:N,Data!B:B=A67),""LOW"")*4)) / (COUNTIF(Data!B:B, A67)),"""&amp;""")"),"")</f>
        <v/>
      </c>
      <c r="Q67" s="31" t="str">
        <f>IFERROR(__xludf.DUMMYFUNCTION("IF(P67="""","""",Average(FIlter(('Convert Name to Number'!$F$422:$Z1000),'Convert Name to Number'!$E$422:$E1000=$A67)))"),"")</f>
        <v/>
      </c>
      <c r="R67" s="36" t="str">
        <f t="shared" si="5"/>
        <v/>
      </c>
      <c r="S67" s="37" t="str">
        <f>IFERROR(__xludf.DUMMYFUNCTION("IFERROR((((COUNTIF(FILTER(Data!N:N,Data!B:B=A67),""TRAVERSE""))+(COUNTIF(FILTER(Data!N:N,Data!B:B=A67),""HIGH""))+(COUNTIF(FILTER(Data!N:N,Data!B:B=A67),""MIDDLE""))+(COUNTIF(FILTER(Data!N:N,Data!B:B=A67),""LOW"")))) / (((COUNTIF(Data!B:B, A67)))-(COUNTIF"&amp;"(FILTER(Data!N:N,Data!B:B=A67),""NONE""))),IF(ISBLANK(A67),"""",0))"),"")</f>
        <v/>
      </c>
      <c r="T67" s="32" t="str">
        <f>IFERROR(__xludf.DUMMYFUNCTION("IFERROR((COUNTIF(FILTER(Data!N:N, Data!B:B=A67),""LOW"")) / (COUNTIF(Data!B:B, A67)),"""")"),"")</f>
        <v/>
      </c>
      <c r="U67" s="38" t="str">
        <f>IFERROR(__xludf.DUMMYFUNCTION("IFERROR((COUNTIF(FILTER(Data!N:N, Data!B:B=A67),""MIDDLE"")) / (COUNTIF(Data!B:B, A67)),"""")"),"")</f>
        <v/>
      </c>
      <c r="V67" s="38" t="str">
        <f>IFERROR(__xludf.DUMMYFUNCTION("IFERROR((COUNTIF(FILTER(Data!N:N, Data!B:B=A67),""HIGH"")) / (COUNTIF(Data!B:B, A67)),"""")"),"")</f>
        <v/>
      </c>
      <c r="W67" s="38" t="str">
        <f>IFERROR(__xludf.DUMMYFUNCTION("IFERROR((COUNTIF(FILTER(Data!N:N, Data!B:B=A67),""TRAVERSE"")) / (COUNTIF(Data!B:B, A67)),"""")"),"")</f>
        <v/>
      </c>
      <c r="X67" s="39" t="str">
        <f t="shared" si="6"/>
        <v/>
      </c>
      <c r="Y67" s="31" t="str">
        <f t="shared" si="7"/>
        <v/>
      </c>
      <c r="Z67" s="31" t="str">
        <f t="shared" si="8"/>
        <v/>
      </c>
      <c r="AA67" s="41" t="str">
        <f t="shared" si="9"/>
        <v/>
      </c>
      <c r="AB67" s="40" t="str">
        <f>IF(A67="","",((M67+D67)-$AR$3)/$AR$5)</f>
        <v/>
      </c>
      <c r="AC67" s="41" t="str">
        <f>IFERROR(__xludf.DUMMYFUNCTION("IF(AA67="""","""",MAX(Filter((Data!G:G+Data!K:K),Data!B:B=A67)))"),"")</f>
        <v/>
      </c>
      <c r="AD67" s="41" t="str">
        <f t="shared" si="11"/>
        <v/>
      </c>
      <c r="AE67" s="41" t="str">
        <f t="shared" si="12"/>
        <v/>
      </c>
      <c r="AF67" s="41" t="str">
        <f t="shared" si="13"/>
        <v/>
      </c>
      <c r="AG67" s="42" t="str">
        <f>IF(A67="","",(((AD67)*Picklist!$P$3)+((K67)*Picklist!$P$4)+(E67*Picklist!$P$5)+(N67*Picklist!$P$6)+(X67*Picklist!$P$7)+(R67*Picklist!$P$8)))</f>
        <v/>
      </c>
      <c r="AH67" s="43" t="str">
        <f>IF(A67="","",(((AD67)*Picklist!$P$14)+((K67)*Picklist!$P$15)+(E67*Picklist!$P$16)+(N67*Picklist!$P$17)+(X67*Picklist!$P$18)+(R67*Picklist!$P$19)))</f>
        <v/>
      </c>
      <c r="AI67" s="44" t="str">
        <f>IFERROR(__xludf.DUMMYFUNCTION("TEXTJOIN("", "",TRUE, FILTER(Data!P:P, Data!B:B=A67))"),"")</f>
        <v/>
      </c>
      <c r="AJ67" s="16" t="str">
        <f t="shared" si="14"/>
        <v/>
      </c>
      <c r="AK67" s="46" t="str">
        <f>IFERROR(__xludf.DUMMYFUNCTION("IF(A67&lt;&gt;"""",IFERROR(AVERAGE(FILTER('Defense Calculations'!BJ:CS,'Defense Calculations'!A:A=A67)),""""),"""")"),"")</f>
        <v/>
      </c>
      <c r="AM67" s="47"/>
      <c r="AN67" s="51"/>
      <c r="BB67" s="49">
        <f t="shared" si="16"/>
        <v>0</v>
      </c>
      <c r="BC67" s="50" t="str">
        <f t="shared" si="17"/>
        <v/>
      </c>
    </row>
    <row r="68">
      <c r="B68" s="30" t="str">
        <f>IFERROR(__xludf.DUMMYFUNCTION("IFERROR(ROUND(
(COUNTIF(FILTER(Data!O:O, Data!B:B=A68), ""Win"")
+ COUNTIF(FILTER(Data!O:O, Data!B:B=A68), {""Tie"",""Results""}))
/ (COUNTIF(Data!B:B, A68)),
1),"""")"),"")</f>
        <v/>
      </c>
      <c r="C68" s="31" t="str">
        <f>IFERROR((SUMIF(Data!B:B, A68, Data!H:H)
/ (COUNTIF(Data!B:B, A68)
)),"")</f>
        <v/>
      </c>
      <c r="D68" s="31" t="str">
        <f>IFERROR((SUMIF(Data!B:B, A68, Data!G:G)
/ (COUNTIF(Data!B:B, A68)
)),"")</f>
        <v/>
      </c>
      <c r="E68" s="31" t="str">
        <f t="shared" si="1"/>
        <v/>
      </c>
      <c r="F68" s="31" t="str">
        <f>IFERROR((SUMIF(Data!B:B, A68, Data!J:J)
/ (COUNTIF(Data!B:B, A68)
)),"")</f>
        <v/>
      </c>
      <c r="G68" s="32" t="str">
        <f>IF(A68="","",IFERROR((((((SUMIF(Data!B:B, A68, Data!H:H)+(SUMIF(Data!B:B, A68,Data!G:G)))/(SUMIF(Data!B:B, A68, Data!J:J)))))),0))</f>
        <v/>
      </c>
      <c r="H68" s="33" t="str">
        <f>IFERROR(__xludf.DUMMYFUNCTION("IFERROR(IF(G68="""","""",(SUM(FIlter(Filter(Data!G:G,Data!B:B=A68),(Filter(Data!J:J&lt;3,Data!B:B=A68))))+SUM((FIlter(Filter(Data!H:H,Data!B:B=A68),(Filter(Data!J:J&lt;3,Data!B:B=A68))))))/(SUM(Filter(Filter(Data!J:J,Data!B:B=A68),FILTER(Data!J:J&lt;3,Data!B:B=A68"&amp;"))))),"""")"),"")</f>
        <v/>
      </c>
      <c r="I68" s="32" t="str">
        <f>IFERROR(__xludf.DUMMYFUNCTION("IF(A68="""","""",(COUNT(FILTER(IF(Data!G:G&lt;&gt;0,Data!G:G,IF(Data!H:H&lt;&gt;0,Data!H:H)),Data!B:B=A68)))/(COUNT(FILTER(Data!J:J,Data!B:B=A68))))"),"")</f>
        <v/>
      </c>
      <c r="J68" s="32" t="str">
        <f t="shared" si="2"/>
        <v/>
      </c>
      <c r="K68" s="31" t="str">
        <f t="shared" si="3"/>
        <v/>
      </c>
      <c r="L68" s="31" t="str">
        <f>IFERROR((SUMIF(Data!B:B, A68, Data!L:L)
/ (COUNTIF(Data!B:B, A68)
)),"")</f>
        <v/>
      </c>
      <c r="M68" s="31" t="str">
        <f>IFERROR((SUMIF(Data!B:B, A68, Data!K:K)
/ (COUNTIF(Data!B:B, A68)
)),"")</f>
        <v/>
      </c>
      <c r="N68" s="34" t="str">
        <f t="shared" ref="N68:N138" si="33">IFERROR(IF(M68="","",((M68-$AX$3)/$AX$5)),"")</f>
        <v/>
      </c>
      <c r="O68" s="32" t="str">
        <f>IF(A68="","",IFERROR((((((SUMIF(Data!B:B, A68, Data!H:H)+(SUMIF(Data!B:B, A68,Data!G:G)+(SUMIF(Data!B:B, A68,Data!L:L)+(SUMIF(Data!B:B, A68,Data!K:K)))))/(SUMIF(Data!B:B, A68, Data!M:M)+(SUMIF(Data!B:B, A68, Data!H:H)+(SUMIF(Data!B:B, A68,Data!G:G)+(SUMIF(Data!B:B, A68,Data!K:K)+(SUMIF(Data!B:B, A68,Data!L:L)))))))))),0))</f>
        <v/>
      </c>
      <c r="P68" s="35" t="str">
        <f>IFERROR(__xludf.DUMMYFUNCTION("IFERROR(((COUNTIF(FILTER(Data!N:N,Data!B:B=A68),""TRAVERSE"")*15)+(COUNTIF(FILTER(Data!N:N,Data!B:B=A68),""HIGH"")*10)+(COUNTIF(FILTER(Data!N:N,Data!B:B=A68),""MIDDLE"")*6)+(COUNTIF(FILTER(Data!N:N,Data!B:B=A68),""LOW"")*4)) / (COUNTIF(Data!B:B, A68)),"""&amp;""")"),"")</f>
        <v/>
      </c>
      <c r="Q68" s="31" t="str">
        <f>IFERROR(__xludf.DUMMYFUNCTION("IF(P68="""","""",Average(FIlter(('Convert Name to Number'!$F$422:$Z1000),'Convert Name to Number'!$E$422:$E1000=$A68)))"),"")</f>
        <v/>
      </c>
      <c r="R68" s="36" t="str">
        <f t="shared" si="5"/>
        <v/>
      </c>
      <c r="S68" s="37" t="str">
        <f>IFERROR(__xludf.DUMMYFUNCTION("IFERROR((((COUNTIF(FILTER(Data!N:N,Data!B:B=A68),""TRAVERSE""))+(COUNTIF(FILTER(Data!N:N,Data!B:B=A68),""HIGH""))+(COUNTIF(FILTER(Data!N:N,Data!B:B=A68),""MIDDLE""))+(COUNTIF(FILTER(Data!N:N,Data!B:B=A68),""LOW"")))) / (((COUNTIF(Data!B:B, A68)))-(COUNTIF"&amp;"(FILTER(Data!N:N,Data!B:B=A68),""NONE""))),IF(ISBLANK(A68),"""",0))"),"")</f>
        <v/>
      </c>
      <c r="T68" s="32" t="str">
        <f>IFERROR(__xludf.DUMMYFUNCTION("IFERROR((COUNTIF(FILTER(Data!N:N, Data!B:B=A68),""LOW"")) / (COUNTIF(Data!B:B, A68)),"""")"),"")</f>
        <v/>
      </c>
      <c r="U68" s="38" t="str">
        <f>IFERROR(__xludf.DUMMYFUNCTION("IFERROR((COUNTIF(FILTER(Data!N:N, Data!B:B=A68),""MIDDLE"")) / (COUNTIF(Data!B:B, A68)),"""")"),"")</f>
        <v/>
      </c>
      <c r="V68" s="38" t="str">
        <f>IFERROR(__xludf.DUMMYFUNCTION("IFERROR((COUNTIF(FILTER(Data!N:N, Data!B:B=A68),""HIGH"")) / (COUNTIF(Data!B:B, A68)),"""")"),"")</f>
        <v/>
      </c>
      <c r="W68" s="38" t="str">
        <f>IFERROR(__xludf.DUMMYFUNCTION("IFERROR((COUNTIF(FILTER(Data!N:N, Data!B:B=A68),""TRAVERSE"")) / (COUNTIF(Data!B:B, A68)),"""")"),"")</f>
        <v/>
      </c>
      <c r="X68" s="39" t="str">
        <f t="shared" si="6"/>
        <v/>
      </c>
      <c r="Y68" s="31" t="str">
        <f t="shared" si="7"/>
        <v/>
      </c>
      <c r="Z68" s="31" t="str">
        <f t="shared" si="8"/>
        <v/>
      </c>
      <c r="AA68" s="41" t="str">
        <f t="shared" si="9"/>
        <v/>
      </c>
      <c r="AB68" s="40" t="str">
        <f t="shared" ref="AB68:AB154" si="34">IFERROR(IF(A68="","",((M68+D68)-$AR$3)/$AR$5),"")</f>
        <v/>
      </c>
      <c r="AC68" s="41" t="str">
        <f>IFERROR(__xludf.DUMMYFUNCTION("IF(AA68="""","""",MAX(Filter((Data!G:G+Data!K:K),Data!B:B=A68)))"),"")</f>
        <v/>
      </c>
      <c r="AD68" s="41" t="str">
        <f t="shared" si="11"/>
        <v/>
      </c>
      <c r="AE68" s="41" t="str">
        <f t="shared" si="12"/>
        <v/>
      </c>
      <c r="AF68" s="41" t="str">
        <f t="shared" si="13"/>
        <v/>
      </c>
      <c r="AG68" s="42" t="str">
        <f>IF(A68="","",(((AD68)*Picklist!$P$3)+((K68)*Picklist!$P$4)+(E68*Picklist!$P$5)+(N68*Picklist!$P$6)+(X68*Picklist!$P$7)+(R68*Picklist!$P$8)))</f>
        <v/>
      </c>
      <c r="AH68" s="43" t="str">
        <f>IF(A68="","",(((AD68)*Picklist!$P$14)+((K68)*Picklist!$P$15)+(E68*Picklist!$P$16)+(N68*Picklist!$P$17)+(X68*Picklist!$P$18)+(R68*Picklist!$P$19)))</f>
        <v/>
      </c>
      <c r="AI68" s="44" t="str">
        <f>IFERROR(__xludf.DUMMYFUNCTION("TEXTJOIN("", "",TRUE, FILTER(Data!P:P, Data!B:B=A68))"),"")</f>
        <v/>
      </c>
      <c r="AJ68" s="16" t="str">
        <f t="shared" si="14"/>
        <v/>
      </c>
      <c r="AK68" s="46" t="str">
        <f>IFERROR(__xludf.DUMMYFUNCTION("IF(A68&lt;&gt;"""",IFERROR(AVERAGE(FILTER('Defense Calculations'!BJ:CS,'Defense Calculations'!A:A=A68)),""""),"""")"),"")</f>
        <v/>
      </c>
      <c r="AM68" s="47"/>
      <c r="AN68" s="51"/>
      <c r="BB68" s="49">
        <f t="shared" si="16"/>
        <v>0</v>
      </c>
      <c r="BC68" s="50" t="str">
        <f t="shared" si="17"/>
        <v/>
      </c>
    </row>
    <row r="69">
      <c r="B69" s="30" t="str">
        <f>IFERROR(__xludf.DUMMYFUNCTION("IFERROR(ROUND(
(COUNTIF(FILTER(Data!O:O, Data!B:B=A69), ""Win"")
+ COUNTIF(FILTER(Data!O:O, Data!B:B=A69), {""Tie"",""Results""}))
/ (COUNTIF(Data!B:B, A69)),
1),"""")"),"")</f>
        <v/>
      </c>
      <c r="C69" s="31" t="str">
        <f>IFERROR((SUMIF(Data!B:B, A69, Data!H:H)
/ (COUNTIF(Data!B:B, A69)
)),"")</f>
        <v/>
      </c>
      <c r="D69" s="31" t="str">
        <f>IFERROR((SUMIF(Data!B:B, A69, Data!G:G)
/ (COUNTIF(Data!B:B, A69)
)),"")</f>
        <v/>
      </c>
      <c r="E69" s="31" t="str">
        <f t="shared" si="1"/>
        <v/>
      </c>
      <c r="F69" s="31" t="str">
        <f>IFERROR((SUMIF(Data!B:B, A69, Data!J:J)
/ (COUNTIF(Data!B:B, A69)
)),"")</f>
        <v/>
      </c>
      <c r="G69" s="32" t="str">
        <f>IF(A69="","",IFERROR((((((SUMIF(Data!B:B, A69, Data!H:H)+(SUMIF(Data!B:B, A69,Data!G:G)))/(SUMIF(Data!B:B, A69, Data!J:J)))))),0))</f>
        <v/>
      </c>
      <c r="H69" s="33" t="str">
        <f>IFERROR(__xludf.DUMMYFUNCTION("IFERROR(IF(G69="""","""",(SUM(FIlter(Filter(Data!G:G,Data!B:B=A69),(Filter(Data!J:J&lt;3,Data!B:B=A69))))+SUM((FIlter(Filter(Data!H:H,Data!B:B=A69),(Filter(Data!J:J&lt;3,Data!B:B=A69))))))/(SUM(Filter(Filter(Data!J:J,Data!B:B=A69),FILTER(Data!J:J&lt;3,Data!B:B=A69"&amp;"))))),"""")"),"")</f>
        <v/>
      </c>
      <c r="I69" s="32" t="str">
        <f>IFERROR(__xludf.DUMMYFUNCTION("IF(A69="""","""",(COUNT(FILTER(IF(Data!G:G&lt;&gt;0,Data!G:G,IF(Data!H:H&lt;&gt;0,Data!H:H)),Data!B:B=A69)))/(COUNT(FILTER(Data!J:J,Data!B:B=A69))))"),"")</f>
        <v/>
      </c>
      <c r="J69" s="32" t="str">
        <f t="shared" si="2"/>
        <v/>
      </c>
      <c r="K69" s="31" t="str">
        <f t="shared" si="3"/>
        <v/>
      </c>
      <c r="L69" s="31" t="str">
        <f>IFERROR((SUMIF(Data!B:B, A69, Data!L:L)
/ (COUNTIF(Data!B:B, A69)
)),"")</f>
        <v/>
      </c>
      <c r="M69" s="31" t="str">
        <f>IFERROR((SUMIF(Data!B:B, A69, Data!K:K)
/ (COUNTIF(Data!B:B, A69)
)),"")</f>
        <v/>
      </c>
      <c r="N69" s="34" t="str">
        <f t="shared" si="33"/>
        <v/>
      </c>
      <c r="O69" s="32" t="str">
        <f>IF(A69="","",IFERROR((((((SUMIF(Data!B:B, A69, Data!H:H)+(SUMIF(Data!B:B, A69,Data!G:G)+(SUMIF(Data!B:B, A69,Data!L:L)+(SUMIF(Data!B:B, A69,Data!K:K)))))/(SUMIF(Data!B:B, A69, Data!M:M)+(SUMIF(Data!B:B, A69, Data!H:H)+(SUMIF(Data!B:B, A69,Data!G:G)+(SUMIF(Data!B:B, A69,Data!K:K)+(SUMIF(Data!B:B, A69,Data!L:L)))))))))),0))</f>
        <v/>
      </c>
      <c r="P69" s="35" t="str">
        <f>IFERROR(__xludf.DUMMYFUNCTION("IFERROR(((COUNTIF(FILTER(Data!N:N,Data!B:B=A69),""TRAVERSE"")*15)+(COUNTIF(FILTER(Data!N:N,Data!B:B=A69),""HIGH"")*10)+(COUNTIF(FILTER(Data!N:N,Data!B:B=A69),""MIDDLE"")*6)+(COUNTIF(FILTER(Data!N:N,Data!B:B=A69),""LOW"")*4)) / (COUNTIF(Data!B:B, A69)),"""&amp;""")"),"")</f>
        <v/>
      </c>
      <c r="Q69" s="31" t="str">
        <f>IFERROR(__xludf.DUMMYFUNCTION("IF(P69="""","""",Average(FIlter(('Convert Name to Number'!$F$422:$Z1000),'Convert Name to Number'!$E$422:$E1000=$A69)))"),"")</f>
        <v/>
      </c>
      <c r="R69" s="36" t="str">
        <f t="shared" si="5"/>
        <v/>
      </c>
      <c r="S69" s="37" t="str">
        <f>IFERROR(__xludf.DUMMYFUNCTION("IFERROR((((COUNTIF(FILTER(Data!N:N,Data!B:B=A69),""TRAVERSE""))+(COUNTIF(FILTER(Data!N:N,Data!B:B=A69),""HIGH""))+(COUNTIF(FILTER(Data!N:N,Data!B:B=A69),""MIDDLE""))+(COUNTIF(FILTER(Data!N:N,Data!B:B=A69),""LOW"")))) / (((COUNTIF(Data!B:B, A69)))-(COUNTIF"&amp;"(FILTER(Data!N:N,Data!B:B=A69),""NONE""))),IF(ISBLANK(A69),"""",0))"),"")</f>
        <v/>
      </c>
      <c r="T69" s="32" t="str">
        <f>IFERROR(__xludf.DUMMYFUNCTION("IFERROR((COUNTIF(FILTER(Data!N:N, Data!B:B=A69),""LOW"")) / (COUNTIF(Data!B:B, A69)),"""")"),"")</f>
        <v/>
      </c>
      <c r="U69" s="38" t="str">
        <f>IFERROR(__xludf.DUMMYFUNCTION("IFERROR((COUNTIF(FILTER(Data!N:N, Data!B:B=A69),""MIDDLE"")) / (COUNTIF(Data!B:B, A69)),"""")"),"")</f>
        <v/>
      </c>
      <c r="V69" s="38" t="str">
        <f>IFERROR(__xludf.DUMMYFUNCTION("IFERROR((COUNTIF(FILTER(Data!N:N, Data!B:B=A69),""HIGH"")) / (COUNTIF(Data!B:B, A69)),"""")"),"")</f>
        <v/>
      </c>
      <c r="W69" s="38" t="str">
        <f>IFERROR(__xludf.DUMMYFUNCTION("IFERROR((COUNTIF(FILTER(Data!N:N, Data!B:B=A69),""TRAVERSE"")) / (COUNTIF(Data!B:B, A69)),"""")"),"")</f>
        <v/>
      </c>
      <c r="X69" s="39" t="str">
        <f t="shared" si="6"/>
        <v/>
      </c>
      <c r="Y69" s="31" t="str">
        <f t="shared" si="7"/>
        <v/>
      </c>
      <c r="Z69" s="31" t="str">
        <f t="shared" si="8"/>
        <v/>
      </c>
      <c r="AA69" s="41" t="str">
        <f t="shared" si="9"/>
        <v/>
      </c>
      <c r="AB69" s="40" t="str">
        <f t="shared" si="34"/>
        <v/>
      </c>
      <c r="AC69" s="41" t="str">
        <f>IFERROR(__xludf.DUMMYFUNCTION("IF(AA69="""","""",MAX(Filter((Data!G:G+Data!K:K),Data!B:B=A69)))"),"")</f>
        <v/>
      </c>
      <c r="AD69" s="41" t="str">
        <f t="shared" si="11"/>
        <v/>
      </c>
      <c r="AE69" s="41" t="str">
        <f t="shared" si="12"/>
        <v/>
      </c>
      <c r="AF69" s="41" t="str">
        <f t="shared" si="13"/>
        <v/>
      </c>
      <c r="AG69" s="42" t="str">
        <f>IF(A69="","",(((AD69)*Picklist!$P$3)+((K69)*Picklist!$P$4)+(E69*Picklist!$P$5)+(N69*Picklist!$P$6)+(X69*Picklist!$P$7)+(R69*Picklist!$P$8)))</f>
        <v/>
      </c>
      <c r="AH69" s="43" t="str">
        <f>IF(A69="","",(((AD69)*Picklist!$P$14)+((K69)*Picklist!$P$15)+(E69*Picklist!$P$16)+(N69*Picklist!$P$17)+(X69*Picklist!$P$18)+(R69*Picklist!$P$19)))</f>
        <v/>
      </c>
      <c r="AI69" s="44" t="str">
        <f>IFERROR(__xludf.DUMMYFUNCTION("TEXTJOIN("", "",TRUE, FILTER(Data!P:P, Data!B:B=A69))"),"")</f>
        <v/>
      </c>
      <c r="AJ69" s="16" t="str">
        <f t="shared" si="14"/>
        <v/>
      </c>
      <c r="AK69" s="46" t="str">
        <f>IFERROR(__xludf.DUMMYFUNCTION("IF(A69&lt;&gt;"""",IFERROR(AVERAGE(FILTER('Defense Calculations'!BJ:CS,'Defense Calculations'!A:A=A69)),""""),"""")"),"")</f>
        <v/>
      </c>
      <c r="AM69" s="47"/>
      <c r="AN69" s="51"/>
      <c r="BB69" s="49">
        <f t="shared" si="16"/>
        <v>0</v>
      </c>
      <c r="BC69" s="50" t="str">
        <f t="shared" si="17"/>
        <v/>
      </c>
    </row>
    <row r="70">
      <c r="B70" s="30" t="str">
        <f>IFERROR(__xludf.DUMMYFUNCTION("IFERROR(ROUND(
(COUNTIF(FILTER(Data!O:O, Data!B:B=A70), ""Win"")
+ COUNTIF(FILTER(Data!O:O, Data!B:B=A70), {""Tie"",""Results""}))
/ (COUNTIF(Data!B:B, A70)),
1),"""")"),"")</f>
        <v/>
      </c>
      <c r="C70" s="31" t="str">
        <f>IFERROR((SUMIF(Data!B:B, A70, Data!H:H)
/ (COUNTIF(Data!B:B, A70)
)),"")</f>
        <v/>
      </c>
      <c r="D70" s="31" t="str">
        <f>IFERROR((SUMIF(Data!B:B, A70, Data!G:G)
/ (COUNTIF(Data!B:B, A70)
)),"")</f>
        <v/>
      </c>
      <c r="E70" s="31" t="str">
        <f t="shared" si="1"/>
        <v/>
      </c>
      <c r="F70" s="31" t="str">
        <f>IFERROR((SUMIF(Data!B:B, A70, Data!J:J)
/ (COUNTIF(Data!B:B, A70)
)),"")</f>
        <v/>
      </c>
      <c r="G70" s="32" t="str">
        <f>IF(A70="","",IFERROR((((((SUMIF(Data!B:B, A70, Data!H:H)+(SUMIF(Data!B:B, A70,Data!G:G)))/(SUMIF(Data!B:B, A70, Data!J:J)))))),0))</f>
        <v/>
      </c>
      <c r="H70" s="33" t="str">
        <f>IFERROR(__xludf.DUMMYFUNCTION("IFERROR(IF(G70="""","""",(SUM(FIlter(Filter(Data!G:G,Data!B:B=A70),(Filter(Data!J:J&lt;3,Data!B:B=A70))))+SUM((FIlter(Filter(Data!H:H,Data!B:B=A70),(Filter(Data!J:J&lt;3,Data!B:B=A70))))))/(SUM(Filter(Filter(Data!J:J,Data!B:B=A70),FILTER(Data!J:J&lt;3,Data!B:B=A70"&amp;"))))),"""")"),"")</f>
        <v/>
      </c>
      <c r="I70" s="32" t="str">
        <f>IFERROR(__xludf.DUMMYFUNCTION("IF(A70="""","""",(COUNT(FILTER(IF(Data!G:G&lt;&gt;0,Data!G:G,IF(Data!H:H&lt;&gt;0,Data!H:H)),Data!B:B=A70)))/(COUNT(FILTER(Data!J:J,Data!B:B=A70))))"),"")</f>
        <v/>
      </c>
      <c r="J70" s="32" t="str">
        <f t="shared" si="2"/>
        <v/>
      </c>
      <c r="K70" s="31" t="str">
        <f t="shared" si="3"/>
        <v/>
      </c>
      <c r="L70" s="31" t="str">
        <f>IFERROR((SUMIF(Data!B:B, A70, Data!L:L)
/ (COUNTIF(Data!B:B, A70)
)),"")</f>
        <v/>
      </c>
      <c r="M70" s="31" t="str">
        <f>IFERROR((SUMIF(Data!B:B, A70, Data!K:K)
/ (COUNTIF(Data!B:B, A70)
)),"")</f>
        <v/>
      </c>
      <c r="N70" s="34" t="str">
        <f t="shared" si="33"/>
        <v/>
      </c>
      <c r="O70" s="32" t="str">
        <f>IF(A70="","",IFERROR((((((SUMIF(Data!B:B, A70, Data!H:H)+(SUMIF(Data!B:B, A70,Data!G:G)+(SUMIF(Data!B:B, A70,Data!L:L)+(SUMIF(Data!B:B, A70,Data!K:K)))))/(SUMIF(Data!B:B, A70, Data!M:M)+(SUMIF(Data!B:B, A70, Data!H:H)+(SUMIF(Data!B:B, A70,Data!G:G)+(SUMIF(Data!B:B, A70,Data!K:K)+(SUMIF(Data!B:B, A70,Data!L:L)))))))))),0))</f>
        <v/>
      </c>
      <c r="P70" s="35" t="str">
        <f>IFERROR(__xludf.DUMMYFUNCTION("IFERROR(((COUNTIF(FILTER(Data!N:N,Data!B:B=A70),""TRAVERSE"")*15)+(COUNTIF(FILTER(Data!N:N,Data!B:B=A70),""HIGH"")*10)+(COUNTIF(FILTER(Data!N:N,Data!B:B=A70),""MIDDLE"")*6)+(COUNTIF(FILTER(Data!N:N,Data!B:B=A70),""LOW"")*4)) / (COUNTIF(Data!B:B, A70)),"""&amp;""")"),"")</f>
        <v/>
      </c>
      <c r="Q70" s="31" t="str">
        <f>IFERROR(__xludf.DUMMYFUNCTION("IF(P70="""","""",Average(FIlter(('Convert Name to Number'!$F$422:$Z1000),'Convert Name to Number'!$E$422:$E1000=$A70)))"),"")</f>
        <v/>
      </c>
      <c r="R70" s="36" t="str">
        <f t="shared" si="5"/>
        <v/>
      </c>
      <c r="S70" s="37" t="str">
        <f>IFERROR(__xludf.DUMMYFUNCTION("IFERROR((((COUNTIF(FILTER(Data!N:N,Data!B:B=A70),""TRAVERSE""))+(COUNTIF(FILTER(Data!N:N,Data!B:B=A70),""HIGH""))+(COUNTIF(FILTER(Data!N:N,Data!B:B=A70),""MIDDLE""))+(COUNTIF(FILTER(Data!N:N,Data!B:B=A70),""LOW"")))) / (((COUNTIF(Data!B:B, A70)))-(COUNTIF"&amp;"(FILTER(Data!N:N,Data!B:B=A70),""NONE""))),IF(ISBLANK(A70),"""",0))"),"")</f>
        <v/>
      </c>
      <c r="T70" s="32" t="str">
        <f>IFERROR(__xludf.DUMMYFUNCTION("IFERROR((COUNTIF(FILTER(Data!N:N, Data!B:B=A70),""LOW"")) / (COUNTIF(Data!B:B, A70)),"""")"),"")</f>
        <v/>
      </c>
      <c r="U70" s="38" t="str">
        <f>IFERROR(__xludf.DUMMYFUNCTION("IFERROR((COUNTIF(FILTER(Data!N:N, Data!B:B=A70),""MIDDLE"")) / (COUNTIF(Data!B:B, A70)),"""")"),"")</f>
        <v/>
      </c>
      <c r="V70" s="38" t="str">
        <f>IFERROR(__xludf.DUMMYFUNCTION("IFERROR((COUNTIF(FILTER(Data!N:N, Data!B:B=A70),""HIGH"")) / (COUNTIF(Data!B:B, A70)),"""")"),"")</f>
        <v/>
      </c>
      <c r="W70" s="38" t="str">
        <f>IFERROR(__xludf.DUMMYFUNCTION("IFERROR((COUNTIF(FILTER(Data!N:N, Data!B:B=A70),""TRAVERSE"")) / (COUNTIF(Data!B:B, A70)),"""")"),"")</f>
        <v/>
      </c>
      <c r="X70" s="39" t="str">
        <f t="shared" si="6"/>
        <v/>
      </c>
      <c r="Y70" s="31" t="str">
        <f t="shared" si="7"/>
        <v/>
      </c>
      <c r="Z70" s="31" t="str">
        <f t="shared" si="8"/>
        <v/>
      </c>
      <c r="AA70" s="41" t="str">
        <f t="shared" si="9"/>
        <v/>
      </c>
      <c r="AB70" s="40" t="str">
        <f t="shared" si="34"/>
        <v/>
      </c>
      <c r="AC70" s="41" t="str">
        <f>IFERROR(__xludf.DUMMYFUNCTION("IF(AA70="""","""",MAX(Filter((Data!G:G+Data!K:K),Data!B:B=A70)))"),"")</f>
        <v/>
      </c>
      <c r="AD70" s="41" t="str">
        <f t="shared" si="11"/>
        <v/>
      </c>
      <c r="AE70" s="41" t="str">
        <f t="shared" si="12"/>
        <v/>
      </c>
      <c r="AF70" s="41" t="str">
        <f t="shared" si="13"/>
        <v/>
      </c>
      <c r="AG70" s="42" t="str">
        <f>IF(A70="","",(((AD70)*Picklist!$P$3)+((K70)*Picklist!$P$4)+(E70*Picklist!$P$5)+(N70*Picklist!$P$6)+(X70*Picklist!$P$7)+(R70*Picklist!$P$8)))</f>
        <v/>
      </c>
      <c r="AH70" s="43" t="str">
        <f>IF(A70="","",(((AD70)*Picklist!$P$14)+((K70)*Picklist!$P$15)+(E70*Picklist!$P$16)+(N70*Picklist!$P$17)+(X70*Picklist!$P$18)+(R70*Picklist!$P$19)))</f>
        <v/>
      </c>
      <c r="AI70" s="44" t="str">
        <f>IFERROR(__xludf.DUMMYFUNCTION("TEXTJOIN("", "",TRUE, FILTER(Data!P:P, Data!B:B=A70))"),"")</f>
        <v/>
      </c>
      <c r="AJ70" s="16" t="str">
        <f t="shared" si="14"/>
        <v/>
      </c>
      <c r="AK70" s="46" t="str">
        <f>IFERROR(__xludf.DUMMYFUNCTION("IF(A70&lt;&gt;"""",IFERROR(AVERAGE(FILTER('Defense Calculations'!BJ:CS,'Defense Calculations'!A:A=A70)),""""),"""")"),"")</f>
        <v/>
      </c>
      <c r="AM70" s="47"/>
      <c r="AN70" s="51"/>
      <c r="BB70" s="49">
        <f t="shared" si="16"/>
        <v>0</v>
      </c>
      <c r="BC70" s="50" t="str">
        <f t="shared" si="17"/>
        <v/>
      </c>
    </row>
    <row r="71">
      <c r="B71" s="30" t="str">
        <f>IFERROR(__xludf.DUMMYFUNCTION("IFERROR(ROUND(
(COUNTIF(FILTER(Data!O:O, Data!B:B=A71), ""Win"")
+ COUNTIF(FILTER(Data!O:O, Data!B:B=A71), {""Tie"",""Results""}))
/ (COUNTIF(Data!B:B, A71)),
1),"""")"),"")</f>
        <v/>
      </c>
      <c r="C71" s="31" t="str">
        <f>IFERROR((SUMIF(Data!B:B, A71, Data!H:H)
/ (COUNTIF(Data!B:B, A71)
)),"")</f>
        <v/>
      </c>
      <c r="D71" s="31" t="str">
        <f>IFERROR((SUMIF(Data!B:B, A71, Data!G:G)
/ (COUNTIF(Data!B:B, A71)
)),"")</f>
        <v/>
      </c>
      <c r="E71" s="31" t="str">
        <f t="shared" si="1"/>
        <v/>
      </c>
      <c r="F71" s="31" t="str">
        <f>IFERROR((SUMIF(Data!B:B, A71, Data!J:J)
/ (COUNTIF(Data!B:B, A71)
)),"")</f>
        <v/>
      </c>
      <c r="G71" s="32" t="str">
        <f>IF(A71="","",IFERROR((((((SUMIF(Data!B:B, A71, Data!H:H)+(SUMIF(Data!B:B, A71,Data!G:G)))/(SUMIF(Data!B:B, A71, Data!J:J)))))),0))</f>
        <v/>
      </c>
      <c r="H71" s="33" t="str">
        <f>IFERROR(__xludf.DUMMYFUNCTION("IFERROR(IF(G71="""","""",(SUM(FIlter(Filter(Data!G:G,Data!B:B=A71),(Filter(Data!J:J&lt;3,Data!B:B=A71))))+SUM((FIlter(Filter(Data!H:H,Data!B:B=A71),(Filter(Data!J:J&lt;3,Data!B:B=A71))))))/(SUM(Filter(Filter(Data!J:J,Data!B:B=A71),FILTER(Data!J:J&lt;3,Data!B:B=A71"&amp;"))))),"""")"),"")</f>
        <v/>
      </c>
      <c r="I71" s="32" t="str">
        <f>IFERROR(__xludf.DUMMYFUNCTION("IF(A71="""","""",(COUNT(FILTER(IF(Data!G:G&lt;&gt;0,Data!G:G,IF(Data!H:H&lt;&gt;0,Data!H:H)),Data!B:B=A71)))/(COUNT(FILTER(Data!J:J,Data!B:B=A71))))"),"")</f>
        <v/>
      </c>
      <c r="J71" s="32" t="str">
        <f t="shared" si="2"/>
        <v/>
      </c>
      <c r="K71" s="31" t="str">
        <f t="shared" si="3"/>
        <v/>
      </c>
      <c r="L71" s="31" t="str">
        <f>IFERROR((SUMIF(Data!B:B, A71, Data!L:L)
/ (COUNTIF(Data!B:B, A71)
)),"")</f>
        <v/>
      </c>
      <c r="M71" s="31" t="str">
        <f>IFERROR((SUMIF(Data!B:B, A71, Data!K:K)
/ (COUNTIF(Data!B:B, A71)
)),"")</f>
        <v/>
      </c>
      <c r="N71" s="34" t="str">
        <f t="shared" si="33"/>
        <v/>
      </c>
      <c r="O71" s="32" t="str">
        <f>IF(A71="","",IFERROR((((((SUMIF(Data!B:B, A71, Data!H:H)+(SUMIF(Data!B:B, A71,Data!G:G)+(SUMIF(Data!B:B, A71,Data!L:L)+(SUMIF(Data!B:B, A71,Data!K:K)))))/(SUMIF(Data!B:B, A71, Data!M:M)+(SUMIF(Data!B:B, A71, Data!H:H)+(SUMIF(Data!B:B, A71,Data!G:G)+(SUMIF(Data!B:B, A71,Data!K:K)+(SUMIF(Data!B:B, A71,Data!L:L)))))))))),0))</f>
        <v/>
      </c>
      <c r="P71" s="35" t="str">
        <f>IFERROR(__xludf.DUMMYFUNCTION("IFERROR(((COUNTIF(FILTER(Data!N:N,Data!B:B=A71),""TRAVERSE"")*15)+(COUNTIF(FILTER(Data!N:N,Data!B:B=A71),""HIGH"")*10)+(COUNTIF(FILTER(Data!N:N,Data!B:B=A71),""MIDDLE"")*6)+(COUNTIF(FILTER(Data!N:N,Data!B:B=A71),""LOW"")*4)) / (COUNTIF(Data!B:B, A71)),"""&amp;""")"),"")</f>
        <v/>
      </c>
      <c r="Q71" s="31" t="str">
        <f>IFERROR(__xludf.DUMMYFUNCTION("IF(P71="""","""",Average(FIlter(('Convert Name to Number'!$F$422:$Z1000),'Convert Name to Number'!$E$422:$E1000=$A71)))"),"")</f>
        <v/>
      </c>
      <c r="R71" s="36" t="str">
        <f t="shared" si="5"/>
        <v/>
      </c>
      <c r="S71" s="37" t="str">
        <f>IFERROR(__xludf.DUMMYFUNCTION("IFERROR((((COUNTIF(FILTER(Data!N:N,Data!B:B=A71),""TRAVERSE""))+(COUNTIF(FILTER(Data!N:N,Data!B:B=A71),""HIGH""))+(COUNTIF(FILTER(Data!N:N,Data!B:B=A71),""MIDDLE""))+(COUNTIF(FILTER(Data!N:N,Data!B:B=A71),""LOW"")))) / (((COUNTIF(Data!B:B, A71)))-(COUNTIF"&amp;"(FILTER(Data!N:N,Data!B:B=A71),""NONE""))),IF(ISBLANK(A71),"""",0))"),"")</f>
        <v/>
      </c>
      <c r="T71" s="32" t="str">
        <f>IFERROR(__xludf.DUMMYFUNCTION("IFERROR((COUNTIF(FILTER(Data!N:N, Data!B:B=A71),""LOW"")) / (COUNTIF(Data!B:B, A71)),"""")"),"")</f>
        <v/>
      </c>
      <c r="U71" s="38" t="str">
        <f>IFERROR(__xludf.DUMMYFUNCTION("IFERROR((COUNTIF(FILTER(Data!N:N, Data!B:B=A71),""MIDDLE"")) / (COUNTIF(Data!B:B, A71)),"""")"),"")</f>
        <v/>
      </c>
      <c r="V71" s="38" t="str">
        <f>IFERROR(__xludf.DUMMYFUNCTION("IFERROR((COUNTIF(FILTER(Data!N:N, Data!B:B=A71),""HIGH"")) / (COUNTIF(Data!B:B, A71)),"""")"),"")</f>
        <v/>
      </c>
      <c r="W71" s="38" t="str">
        <f>IFERROR(__xludf.DUMMYFUNCTION("IFERROR((COUNTIF(FILTER(Data!N:N, Data!B:B=A71),""TRAVERSE"")) / (COUNTIF(Data!B:B, A71)),"""")"),"")</f>
        <v/>
      </c>
      <c r="X71" s="39" t="str">
        <f t="shared" si="6"/>
        <v/>
      </c>
      <c r="Y71" s="31" t="str">
        <f t="shared" si="7"/>
        <v/>
      </c>
      <c r="Z71" s="31" t="str">
        <f t="shared" si="8"/>
        <v/>
      </c>
      <c r="AA71" s="41" t="str">
        <f t="shared" si="9"/>
        <v/>
      </c>
      <c r="AB71" s="40" t="str">
        <f t="shared" si="34"/>
        <v/>
      </c>
      <c r="AC71" s="41" t="str">
        <f>IFERROR(__xludf.DUMMYFUNCTION("IF(AA71="""","""",MAX(Filter((Data!G:G+Data!K:K),Data!B:B=A71)))"),"")</f>
        <v/>
      </c>
      <c r="AD71" s="41" t="str">
        <f t="shared" si="11"/>
        <v/>
      </c>
      <c r="AE71" s="41" t="str">
        <f t="shared" si="12"/>
        <v/>
      </c>
      <c r="AF71" s="41" t="str">
        <f t="shared" si="13"/>
        <v/>
      </c>
      <c r="AG71" s="42" t="str">
        <f>IF(A71="","",(((AD71)*Picklist!$P$3)+((K71)*Picklist!$P$4)+(E71*Picklist!$P$5)+(N71*Picklist!$P$6)+(X71*Picklist!$P$7)+(R71*Picklist!$P$8)))</f>
        <v/>
      </c>
      <c r="AH71" s="43" t="str">
        <f>IF(A71="","",(((AD71)*Picklist!$P$14)+((K71)*Picklist!$P$15)+(E71*Picklist!$P$16)+(N71*Picklist!$P$17)+(X71*Picklist!$P$18)+(R71*Picklist!$P$19)))</f>
        <v/>
      </c>
      <c r="AI71" s="44" t="str">
        <f>IFERROR(__xludf.DUMMYFUNCTION("TEXTJOIN("", "",TRUE, FILTER(Data!P:P, Data!B:B=A71))"),"")</f>
        <v/>
      </c>
      <c r="AJ71" s="16" t="str">
        <f t="shared" si="14"/>
        <v/>
      </c>
      <c r="AK71" s="46" t="str">
        <f>IFERROR(__xludf.DUMMYFUNCTION("IF(A71&lt;&gt;"""",IFERROR(AVERAGE(FILTER('Defense Calculations'!BJ:CS,'Defense Calculations'!A:A=A71)),""""),"""")"),"")</f>
        <v/>
      </c>
      <c r="AM71" s="47"/>
      <c r="AN71" s="51"/>
      <c r="BB71" s="49">
        <f t="shared" si="16"/>
        <v>0</v>
      </c>
      <c r="BC71" s="50" t="str">
        <f t="shared" si="17"/>
        <v/>
      </c>
    </row>
    <row r="72">
      <c r="B72" s="30" t="str">
        <f>IFERROR(__xludf.DUMMYFUNCTION("IFERROR(ROUND(
(COUNTIF(FILTER(Data!O:O, Data!B:B=A72), ""Win"")
+ COUNTIF(FILTER(Data!O:O, Data!B:B=A72), {""Tie"",""Results""}))
/ (COUNTIF(Data!B:B, A72)),
1),"""")"),"")</f>
        <v/>
      </c>
      <c r="C72" s="31" t="str">
        <f>IFERROR((SUMIF(Data!B:B, A72, Data!H:H)
/ (COUNTIF(Data!B:B, A72)
)),"")</f>
        <v/>
      </c>
      <c r="D72" s="31" t="str">
        <f>IFERROR((SUMIF(Data!B:B, A72, Data!G:G)
/ (COUNTIF(Data!B:B, A72)
)),"")</f>
        <v/>
      </c>
      <c r="E72" s="31" t="str">
        <f t="shared" si="1"/>
        <v/>
      </c>
      <c r="F72" s="31" t="str">
        <f>IFERROR((SUMIF(Data!B:B, A72, Data!J:J)
/ (COUNTIF(Data!B:B, A72)
)),"")</f>
        <v/>
      </c>
      <c r="G72" s="32" t="str">
        <f>IF(A72="","",IFERROR((((((SUMIF(Data!B:B, A72, Data!H:H)+(SUMIF(Data!B:B, A72,Data!G:G)))/(SUMIF(Data!B:B, A72, Data!J:J)))))),0))</f>
        <v/>
      </c>
      <c r="H72" s="33" t="str">
        <f>IFERROR(__xludf.DUMMYFUNCTION("IFERROR(IF(G72="""","""",(SUM(FIlter(Filter(Data!G:G,Data!B:B=A72),(Filter(Data!J:J&lt;3,Data!B:B=A72))))+SUM((FIlter(Filter(Data!H:H,Data!B:B=A72),(Filter(Data!J:J&lt;3,Data!B:B=A72))))))/(SUM(Filter(Filter(Data!J:J,Data!B:B=A72),FILTER(Data!J:J&lt;3,Data!B:B=A72"&amp;"))))),"""")"),"")</f>
        <v/>
      </c>
      <c r="I72" s="32" t="str">
        <f>IFERROR(__xludf.DUMMYFUNCTION("IF(A72="""","""",(COUNT(FILTER(IF(Data!G:G&lt;&gt;0,Data!G:G,IF(Data!H:H&lt;&gt;0,Data!H:H)),Data!B:B=A72)))/(COUNT(FILTER(Data!J:J,Data!B:B=A72))))"),"")</f>
        <v/>
      </c>
      <c r="J72" s="32" t="str">
        <f t="shared" si="2"/>
        <v/>
      </c>
      <c r="K72" s="31" t="str">
        <f t="shared" si="3"/>
        <v/>
      </c>
      <c r="L72" s="31" t="str">
        <f>IFERROR((SUMIF(Data!B:B, A72, Data!L:L)
/ (COUNTIF(Data!B:B, A72)
)),"")</f>
        <v/>
      </c>
      <c r="M72" s="31" t="str">
        <f>IFERROR((SUMIF(Data!B:B, A72, Data!K:K)
/ (COUNTIF(Data!B:B, A72)
)),"")</f>
        <v/>
      </c>
      <c r="N72" s="34" t="str">
        <f t="shared" si="33"/>
        <v/>
      </c>
      <c r="O72" s="32" t="str">
        <f>IF(A72="","",IFERROR((((((SUMIF(Data!B:B, A72, Data!H:H)+(SUMIF(Data!B:B, A72,Data!G:G)+(SUMIF(Data!B:B, A72,Data!L:L)+(SUMIF(Data!B:B, A72,Data!K:K)))))/(SUMIF(Data!B:B, A72, Data!M:M)+(SUMIF(Data!B:B, A72, Data!H:H)+(SUMIF(Data!B:B, A72,Data!G:G)+(SUMIF(Data!B:B, A72,Data!K:K)+(SUMIF(Data!B:B, A72,Data!L:L)))))))))),0))</f>
        <v/>
      </c>
      <c r="P72" s="35" t="str">
        <f>IFERROR(__xludf.DUMMYFUNCTION("IFERROR(((COUNTIF(FILTER(Data!N:N,Data!B:B=A72),""TRAVERSE"")*15)+(COUNTIF(FILTER(Data!N:N,Data!B:B=A72),""HIGH"")*10)+(COUNTIF(FILTER(Data!N:N,Data!B:B=A72),""MIDDLE"")*6)+(COUNTIF(FILTER(Data!N:N,Data!B:B=A72),""LOW"")*4)) / (COUNTIF(Data!B:B, A72)),"""&amp;""")"),"")</f>
        <v/>
      </c>
      <c r="Q72" s="31" t="str">
        <f>IFERROR(__xludf.DUMMYFUNCTION("IF(P72="""","""",Average(FIlter(('Convert Name to Number'!$F$422:$Z1000),'Convert Name to Number'!$E$422:$E1000=$A72)))"),"")</f>
        <v/>
      </c>
      <c r="R72" s="36" t="str">
        <f t="shared" si="5"/>
        <v/>
      </c>
      <c r="S72" s="37" t="str">
        <f>IFERROR(__xludf.DUMMYFUNCTION("IFERROR((((COUNTIF(FILTER(Data!N:N,Data!B:B=A72),""TRAVERSE""))+(COUNTIF(FILTER(Data!N:N,Data!B:B=A72),""HIGH""))+(COUNTIF(FILTER(Data!N:N,Data!B:B=A72),""MIDDLE""))+(COUNTIF(FILTER(Data!N:N,Data!B:B=A72),""LOW"")))) / (((COUNTIF(Data!B:B, A72)))-(COUNTIF"&amp;"(FILTER(Data!N:N,Data!B:B=A72),""NONE""))),IF(ISBLANK(A72),"""",0))"),"")</f>
        <v/>
      </c>
      <c r="T72" s="32" t="str">
        <f>IFERROR(__xludf.DUMMYFUNCTION("IFERROR((COUNTIF(FILTER(Data!N:N, Data!B:B=A72),""LOW"")) / (COUNTIF(Data!B:B, A72)),"""")"),"")</f>
        <v/>
      </c>
      <c r="U72" s="38" t="str">
        <f>IFERROR(__xludf.DUMMYFUNCTION("IFERROR((COUNTIF(FILTER(Data!N:N, Data!B:B=A72),""MIDDLE"")) / (COUNTIF(Data!B:B, A72)),"""")"),"")</f>
        <v/>
      </c>
      <c r="V72" s="38" t="str">
        <f>IFERROR(__xludf.DUMMYFUNCTION("IFERROR((COUNTIF(FILTER(Data!N:N, Data!B:B=A72),""HIGH"")) / (COUNTIF(Data!B:B, A72)),"""")"),"")</f>
        <v/>
      </c>
      <c r="W72" s="38" t="str">
        <f>IFERROR(__xludf.DUMMYFUNCTION("IFERROR((COUNTIF(FILTER(Data!N:N, Data!B:B=A72),""TRAVERSE"")) / (COUNTIF(Data!B:B, A72)),"""")"),"")</f>
        <v/>
      </c>
      <c r="X72" s="39" t="str">
        <f t="shared" si="6"/>
        <v/>
      </c>
      <c r="Y72" s="31" t="str">
        <f t="shared" si="7"/>
        <v/>
      </c>
      <c r="Z72" s="31" t="str">
        <f t="shared" si="8"/>
        <v/>
      </c>
      <c r="AA72" s="41" t="str">
        <f t="shared" si="9"/>
        <v/>
      </c>
      <c r="AB72" s="40" t="str">
        <f t="shared" si="34"/>
        <v/>
      </c>
      <c r="AC72" s="41" t="str">
        <f>IFERROR(__xludf.DUMMYFUNCTION("IF(AA72="""","""",MAX(Filter((Data!G:G+Data!K:K),Data!B:B=A72)))"),"")</f>
        <v/>
      </c>
      <c r="AD72" s="41" t="str">
        <f t="shared" si="11"/>
        <v/>
      </c>
      <c r="AE72" s="41" t="str">
        <f t="shared" si="12"/>
        <v/>
      </c>
      <c r="AF72" s="41" t="str">
        <f t="shared" si="13"/>
        <v/>
      </c>
      <c r="AG72" s="42" t="str">
        <f>IF(A72="","",(((AD72)*Picklist!$P$3)+((K72)*Picklist!$P$4)+(E72*Picklist!$P$5)+(N72*Picklist!$P$6)+(X72*Picklist!$P$7)+(R72*Picklist!$P$8)))</f>
        <v/>
      </c>
      <c r="AH72" s="43" t="str">
        <f>IF(A72="","",(((AD72)*Picklist!$P$14)+((K72)*Picklist!$P$15)+(E72*Picklist!$P$16)+(N72*Picklist!$P$17)+(X72*Picklist!$P$18)+(R72*Picklist!$P$19)))</f>
        <v/>
      </c>
      <c r="AI72" s="44" t="str">
        <f>IFERROR(__xludf.DUMMYFUNCTION("TEXTJOIN("", "",TRUE, FILTER(Data!P:P, Data!B:B=A72))"),"")</f>
        <v/>
      </c>
      <c r="AJ72" s="16" t="str">
        <f t="shared" si="14"/>
        <v/>
      </c>
      <c r="AK72" s="46" t="str">
        <f>IFERROR(__xludf.DUMMYFUNCTION("IF(A72&lt;&gt;"""",IFERROR(AVERAGE(FILTER('Defense Calculations'!BJ:CS,'Defense Calculations'!A:A=A72)),""""),"""")"),"")</f>
        <v/>
      </c>
      <c r="AM72" s="47"/>
      <c r="AN72" s="51"/>
      <c r="BB72" s="49">
        <f t="shared" si="16"/>
        <v>0</v>
      </c>
      <c r="BC72" s="50" t="str">
        <f t="shared" si="17"/>
        <v/>
      </c>
    </row>
    <row r="73">
      <c r="B73" s="30" t="str">
        <f>IFERROR(__xludf.DUMMYFUNCTION("IFERROR(ROUND(
(COUNTIF(FILTER(Data!O:O, Data!B:B=A73), ""Win"")
+ COUNTIF(FILTER(Data!O:O, Data!B:B=A73), {""Tie"",""Results""}))
/ (COUNTIF(Data!B:B, A73)),
1),"""")"),"")</f>
        <v/>
      </c>
      <c r="C73" s="31" t="str">
        <f>IFERROR((SUMIF(Data!B:B, A73, Data!H:H)
/ (COUNTIF(Data!B:B, A73)
)),"")</f>
        <v/>
      </c>
      <c r="D73" s="31" t="str">
        <f>IFERROR((SUMIF(Data!B:B, A73, Data!G:G)
/ (COUNTIF(Data!B:B, A73)
)),"")</f>
        <v/>
      </c>
      <c r="E73" s="31" t="str">
        <f t="shared" si="1"/>
        <v/>
      </c>
      <c r="F73" s="31" t="str">
        <f>IFERROR((SUMIF(Data!B:B, A73, Data!J:J)
/ (COUNTIF(Data!B:B, A73)
)),"")</f>
        <v/>
      </c>
      <c r="G73" s="32" t="str">
        <f>IF(A73="","",IFERROR((((((SUMIF(Data!B:B, A73, Data!H:H)+(SUMIF(Data!B:B, A73,Data!G:G)))/(SUMIF(Data!B:B, A73, Data!J:J)))))),0))</f>
        <v/>
      </c>
      <c r="H73" s="33" t="str">
        <f>IFERROR(__xludf.DUMMYFUNCTION("IFERROR(IF(G73="""","""",(SUM(FIlter(Filter(Data!G:G,Data!B:B=A73),(Filter(Data!J:J&lt;3,Data!B:B=A73))))+SUM((FIlter(Filter(Data!H:H,Data!B:B=A73),(Filter(Data!J:J&lt;3,Data!B:B=A73))))))/(SUM(Filter(Filter(Data!J:J,Data!B:B=A73),FILTER(Data!J:J&lt;3,Data!B:B=A73"&amp;"))))),"""")"),"")</f>
        <v/>
      </c>
      <c r="I73" s="32" t="str">
        <f>IFERROR(__xludf.DUMMYFUNCTION("IF(A73="""","""",(COUNT(FILTER(IF(Data!G:G&lt;&gt;0,Data!G:G,IF(Data!H:H&lt;&gt;0,Data!H:H)),Data!B:B=A73)))/(COUNT(FILTER(Data!J:J,Data!B:B=A73))))"),"")</f>
        <v/>
      </c>
      <c r="J73" s="32" t="str">
        <f t="shared" si="2"/>
        <v/>
      </c>
      <c r="K73" s="31" t="str">
        <f t="shared" si="3"/>
        <v/>
      </c>
      <c r="L73" s="31" t="str">
        <f>IFERROR((SUMIF(Data!B:B, A73, Data!L:L)
/ (COUNTIF(Data!B:B, A73)
)),"")</f>
        <v/>
      </c>
      <c r="M73" s="31" t="str">
        <f>IFERROR((SUMIF(Data!B:B, A73, Data!K:K)
/ (COUNTIF(Data!B:B, A73)
)),"")</f>
        <v/>
      </c>
      <c r="N73" s="34" t="str">
        <f t="shared" si="33"/>
        <v/>
      </c>
      <c r="O73" s="32" t="str">
        <f>IF(A73="","",IFERROR((((((SUMIF(Data!B:B, A73, Data!H:H)+(SUMIF(Data!B:B, A73,Data!G:G)+(SUMIF(Data!B:B, A73,Data!L:L)+(SUMIF(Data!B:B, A73,Data!K:K)))))/(SUMIF(Data!B:B, A73, Data!M:M)+(SUMIF(Data!B:B, A73, Data!H:H)+(SUMIF(Data!B:B, A73,Data!G:G)+(SUMIF(Data!B:B, A73,Data!K:K)+(SUMIF(Data!B:B, A73,Data!L:L)))))))))),0))</f>
        <v/>
      </c>
      <c r="P73" s="35" t="str">
        <f>IFERROR(__xludf.DUMMYFUNCTION("IFERROR(((COUNTIF(FILTER(Data!N:N,Data!B:B=A73),""TRAVERSE"")*15)+(COUNTIF(FILTER(Data!N:N,Data!B:B=A73),""HIGH"")*10)+(COUNTIF(FILTER(Data!N:N,Data!B:B=A73),""MIDDLE"")*6)+(COUNTIF(FILTER(Data!N:N,Data!B:B=A73),""LOW"")*4)) / (COUNTIF(Data!B:B, A73)),"""&amp;""")"),"")</f>
        <v/>
      </c>
      <c r="Q73" s="31" t="str">
        <f>IFERROR(__xludf.DUMMYFUNCTION("IF(P73="""","""",Average(FIlter(('Convert Name to Number'!$F$422:$Z1000),'Convert Name to Number'!$E$422:$E1000=$A73)))"),"")</f>
        <v/>
      </c>
      <c r="R73" s="36" t="str">
        <f t="shared" si="5"/>
        <v/>
      </c>
      <c r="S73" s="37" t="str">
        <f>IFERROR(__xludf.DUMMYFUNCTION("IFERROR((((COUNTIF(FILTER(Data!N:N,Data!B:B=A73),""TRAVERSE""))+(COUNTIF(FILTER(Data!N:N,Data!B:B=A73),""HIGH""))+(COUNTIF(FILTER(Data!N:N,Data!B:B=A73),""MIDDLE""))+(COUNTIF(FILTER(Data!N:N,Data!B:B=A73),""LOW"")))) / (((COUNTIF(Data!B:B, A73)))-(COUNTIF"&amp;"(FILTER(Data!N:N,Data!B:B=A73),""NONE""))),IF(ISBLANK(A73),"""",0))"),"")</f>
        <v/>
      </c>
      <c r="T73" s="32" t="str">
        <f>IFERROR(__xludf.DUMMYFUNCTION("IFERROR((COUNTIF(FILTER(Data!N:N, Data!B:B=A73),""LOW"")) / (COUNTIF(Data!B:B, A73)),"""")"),"")</f>
        <v/>
      </c>
      <c r="U73" s="38" t="str">
        <f>IFERROR(__xludf.DUMMYFUNCTION("IFERROR((COUNTIF(FILTER(Data!N:N, Data!B:B=A73),""MIDDLE"")) / (COUNTIF(Data!B:B, A73)),"""")"),"")</f>
        <v/>
      </c>
      <c r="V73" s="38" t="str">
        <f>IFERROR(__xludf.DUMMYFUNCTION("IFERROR((COUNTIF(FILTER(Data!N:N, Data!B:B=A73),""HIGH"")) / (COUNTIF(Data!B:B, A73)),"""")"),"")</f>
        <v/>
      </c>
      <c r="W73" s="38" t="str">
        <f>IFERROR(__xludf.DUMMYFUNCTION("IFERROR((COUNTIF(FILTER(Data!N:N, Data!B:B=A73),""TRAVERSE"")) / (COUNTIF(Data!B:B, A73)),"""")"),"")</f>
        <v/>
      </c>
      <c r="X73" s="39" t="str">
        <f t="shared" si="6"/>
        <v/>
      </c>
      <c r="Y73" s="31" t="str">
        <f t="shared" si="7"/>
        <v/>
      </c>
      <c r="Z73" s="31" t="str">
        <f t="shared" si="8"/>
        <v/>
      </c>
      <c r="AA73" s="41" t="str">
        <f t="shared" si="9"/>
        <v/>
      </c>
      <c r="AB73" s="40" t="str">
        <f t="shared" si="34"/>
        <v/>
      </c>
      <c r="AC73" s="41" t="str">
        <f>IFERROR(__xludf.DUMMYFUNCTION("IF(AA73="""","""",MAX(Filter((Data!G:G+Data!K:K),Data!B:B=A73)))"),"")</f>
        <v/>
      </c>
      <c r="AD73" s="41" t="str">
        <f t="shared" si="11"/>
        <v/>
      </c>
      <c r="AE73" s="41" t="str">
        <f t="shared" si="12"/>
        <v/>
      </c>
      <c r="AF73" s="41" t="str">
        <f t="shared" si="13"/>
        <v/>
      </c>
      <c r="AG73" s="42" t="str">
        <f>IF(A73="","",(((AD73)*Picklist!$P$3)+((K73)*Picklist!$P$4)+(E73*Picklist!$P$5)+(N73*Picklist!$P$6)+(X73*Picklist!$P$7)+(R73*Picklist!$P$8)))</f>
        <v/>
      </c>
      <c r="AH73" s="43" t="str">
        <f>IF(A73="","",(((AD73)*Picklist!$P$14)+((K73)*Picklist!$P$15)+(E73*Picklist!$P$16)+(N73*Picklist!$P$17)+(X73*Picklist!$P$18)+(R73*Picklist!$P$19)))</f>
        <v/>
      </c>
      <c r="AI73" s="44" t="str">
        <f>IFERROR(__xludf.DUMMYFUNCTION("TEXTJOIN("", "",TRUE, FILTER(Data!P:P, Data!B:B=A73))"),"")</f>
        <v/>
      </c>
      <c r="AJ73" s="16" t="str">
        <f t="shared" si="14"/>
        <v/>
      </c>
      <c r="AK73" s="46" t="str">
        <f>IFERROR(__xludf.DUMMYFUNCTION("IF(A73&lt;&gt;"""",IFERROR(AVERAGE(FILTER('Defense Calculations'!BJ:CS,'Defense Calculations'!A:A=A73)),""""),"""")"),"")</f>
        <v/>
      </c>
      <c r="AM73" s="47"/>
      <c r="AN73" s="51"/>
      <c r="BB73" s="49">
        <f t="shared" si="16"/>
        <v>0</v>
      </c>
      <c r="BC73" s="50" t="str">
        <f t="shared" si="17"/>
        <v/>
      </c>
    </row>
    <row r="74">
      <c r="B74" s="30" t="str">
        <f>IFERROR(__xludf.DUMMYFUNCTION("IFERROR(ROUND(
(COUNTIF(FILTER(Data!O:O, Data!B:B=A74), ""Win"")
+ COUNTIF(FILTER(Data!O:O, Data!B:B=A74), {""Tie"",""Results""}))
/ (COUNTIF(Data!B:B, A74)),
1),"""")"),"")</f>
        <v/>
      </c>
      <c r="C74" s="31" t="str">
        <f>IFERROR((SUMIF(Data!B:B, A74, Data!H:H)
/ (COUNTIF(Data!B:B, A74)
)),"")</f>
        <v/>
      </c>
      <c r="D74" s="31" t="str">
        <f>IFERROR((SUMIF(Data!B:B, A74, Data!G:G)
/ (COUNTIF(Data!B:B, A74)
)),"")</f>
        <v/>
      </c>
      <c r="E74" s="31" t="str">
        <f t="shared" si="1"/>
        <v/>
      </c>
      <c r="F74" s="31" t="str">
        <f>IFERROR((SUMIF(Data!B:B, A74, Data!J:J)
/ (COUNTIF(Data!B:B, A74)
)),"")</f>
        <v/>
      </c>
      <c r="G74" s="32" t="str">
        <f>IF(A74="","",IFERROR((((((SUMIF(Data!B:B, A74, Data!H:H)+(SUMIF(Data!B:B, A74,Data!G:G)))/(SUMIF(Data!B:B, A74, Data!J:J)))))),0))</f>
        <v/>
      </c>
      <c r="H74" s="33" t="str">
        <f>IFERROR(__xludf.DUMMYFUNCTION("IFERROR(IF(G74="""","""",(SUM(FIlter(Filter(Data!G:G,Data!B:B=A74),(Filter(Data!J:J&lt;3,Data!B:B=A74))))+SUM((FIlter(Filter(Data!H:H,Data!B:B=A74),(Filter(Data!J:J&lt;3,Data!B:B=A74))))))/(SUM(Filter(Filter(Data!J:J,Data!B:B=A74),FILTER(Data!J:J&lt;3,Data!B:B=A74"&amp;"))))),"""")"),"")</f>
        <v/>
      </c>
      <c r="I74" s="32" t="str">
        <f>IFERROR(__xludf.DUMMYFUNCTION("IF(A74="""","""",(COUNT(FILTER(IF(Data!G:G&lt;&gt;0,Data!G:G,IF(Data!H:H&lt;&gt;0,Data!H:H)),Data!B:B=A74)))/(COUNT(FILTER(Data!J:J,Data!B:B=A74))))"),"")</f>
        <v/>
      </c>
      <c r="J74" s="32" t="str">
        <f t="shared" si="2"/>
        <v/>
      </c>
      <c r="K74" s="31" t="str">
        <f t="shared" si="3"/>
        <v/>
      </c>
      <c r="L74" s="31" t="str">
        <f>IFERROR((SUMIF(Data!B:B, A74, Data!L:L)
/ (COUNTIF(Data!B:B, A74)
)),"")</f>
        <v/>
      </c>
      <c r="M74" s="31" t="str">
        <f>IFERROR((SUMIF(Data!B:B, A74, Data!K:K)
/ (COUNTIF(Data!B:B, A74)
)),"")</f>
        <v/>
      </c>
      <c r="N74" s="34" t="str">
        <f t="shared" si="33"/>
        <v/>
      </c>
      <c r="O74" s="32" t="str">
        <f>IF(A74="","",IFERROR((((((SUMIF(Data!B:B, A74, Data!H:H)+(SUMIF(Data!B:B, A74,Data!G:G)+(SUMIF(Data!B:B, A74,Data!L:L)+(SUMIF(Data!B:B, A74,Data!K:K)))))/(SUMIF(Data!B:B, A74, Data!M:M)+(SUMIF(Data!B:B, A74, Data!H:H)+(SUMIF(Data!B:B, A74,Data!G:G)+(SUMIF(Data!B:B, A74,Data!K:K)+(SUMIF(Data!B:B, A74,Data!L:L)))))))))),0))</f>
        <v/>
      </c>
      <c r="P74" s="35" t="str">
        <f>IFERROR(__xludf.DUMMYFUNCTION("IFERROR(((COUNTIF(FILTER(Data!N:N,Data!B:B=A74),""TRAVERSE"")*15)+(COUNTIF(FILTER(Data!N:N,Data!B:B=A74),""HIGH"")*10)+(COUNTIF(FILTER(Data!N:N,Data!B:B=A74),""MIDDLE"")*6)+(COUNTIF(FILTER(Data!N:N,Data!B:B=A74),""LOW"")*4)) / (COUNTIF(Data!B:B, A74)),"""&amp;""")"),"")</f>
        <v/>
      </c>
      <c r="Q74" s="31" t="str">
        <f>IFERROR(__xludf.DUMMYFUNCTION("IF(P74="""","""",Average(FIlter(('Convert Name to Number'!$F$422:$Z1000),'Convert Name to Number'!$E$422:$E1000=$A74)))"),"")</f>
        <v/>
      </c>
      <c r="R74" s="36" t="str">
        <f t="shared" si="5"/>
        <v/>
      </c>
      <c r="S74" s="37" t="str">
        <f>IFERROR(__xludf.DUMMYFUNCTION("IFERROR((((COUNTIF(FILTER(Data!N:N,Data!B:B=A74),""TRAVERSE""))+(COUNTIF(FILTER(Data!N:N,Data!B:B=A74),""HIGH""))+(COUNTIF(FILTER(Data!N:N,Data!B:B=A74),""MIDDLE""))+(COUNTIF(FILTER(Data!N:N,Data!B:B=A74),""LOW"")))) / (((COUNTIF(Data!B:B, A74)))-(COUNTIF"&amp;"(FILTER(Data!N:N,Data!B:B=A74),""NONE""))),IF(ISBLANK(A74),"""",0))"),"")</f>
        <v/>
      </c>
      <c r="T74" s="32" t="str">
        <f>IFERROR(__xludf.DUMMYFUNCTION("IFERROR((COUNTIF(FILTER(Data!N:N, Data!B:B=A74),""LOW"")) / (COUNTIF(Data!B:B, A74)),"""")"),"")</f>
        <v/>
      </c>
      <c r="U74" s="38" t="str">
        <f>IFERROR(__xludf.DUMMYFUNCTION("IFERROR((COUNTIF(FILTER(Data!N:N, Data!B:B=A74),""MIDDLE"")) / (COUNTIF(Data!B:B, A74)),"""")"),"")</f>
        <v/>
      </c>
      <c r="V74" s="38" t="str">
        <f>IFERROR(__xludf.DUMMYFUNCTION("IFERROR((COUNTIF(FILTER(Data!N:N, Data!B:B=A74),""HIGH"")) / (COUNTIF(Data!B:B, A74)),"""")"),"")</f>
        <v/>
      </c>
      <c r="W74" s="38" t="str">
        <f>IFERROR(__xludf.DUMMYFUNCTION("IFERROR((COUNTIF(FILTER(Data!N:N, Data!B:B=A74),""TRAVERSE"")) / (COUNTIF(Data!B:B, A74)),"""")"),"")</f>
        <v/>
      </c>
      <c r="X74" s="39" t="str">
        <f t="shared" si="6"/>
        <v/>
      </c>
      <c r="Y74" s="31" t="str">
        <f t="shared" si="7"/>
        <v/>
      </c>
      <c r="Z74" s="31" t="str">
        <f t="shared" si="8"/>
        <v/>
      </c>
      <c r="AA74" s="41" t="str">
        <f t="shared" si="9"/>
        <v/>
      </c>
      <c r="AB74" s="40" t="str">
        <f t="shared" si="34"/>
        <v/>
      </c>
      <c r="AC74" s="41" t="str">
        <f>IFERROR(__xludf.DUMMYFUNCTION("IF(AA74="""","""",MAX(Filter((Data!G:G+Data!K:K),Data!B:B=A74)))"),"")</f>
        <v/>
      </c>
      <c r="AD74" s="41" t="str">
        <f t="shared" si="11"/>
        <v/>
      </c>
      <c r="AE74" s="41" t="str">
        <f t="shared" si="12"/>
        <v/>
      </c>
      <c r="AF74" s="41" t="str">
        <f t="shared" si="13"/>
        <v/>
      </c>
      <c r="AG74" s="42" t="str">
        <f>IF(A74="","",(((AD74)*Picklist!$P$3)+((K74)*Picklist!$P$4)+(E74*Picklist!$P$5)+(N74*Picklist!$P$6)+(X74*Picklist!$P$7)+(R74*Picklist!$P$8)))</f>
        <v/>
      </c>
      <c r="AH74" s="43" t="str">
        <f>IF(A74="","",(((AD74)*Picklist!$P$14)+((K74)*Picklist!$P$15)+(E74*Picklist!$P$16)+(N74*Picklist!$P$17)+(X74*Picklist!$P$18)+(R74*Picklist!$P$19)))</f>
        <v/>
      </c>
      <c r="AI74" s="44" t="str">
        <f>IFERROR(__xludf.DUMMYFUNCTION("TEXTJOIN("", "",TRUE, FILTER(Data!P:P, Data!B:B=A74))"),"")</f>
        <v/>
      </c>
      <c r="AJ74" s="16" t="str">
        <f t="shared" si="14"/>
        <v/>
      </c>
      <c r="AK74" s="46" t="str">
        <f>IFERROR(__xludf.DUMMYFUNCTION("IF(A74&lt;&gt;"""",IFERROR(AVERAGE(FILTER('Defense Calculations'!BJ:CS,'Defense Calculations'!A:A=A74)),""""),"""")"),"")</f>
        <v/>
      </c>
      <c r="AM74" s="47"/>
      <c r="AN74" s="51"/>
      <c r="BB74" s="49">
        <f t="shared" si="16"/>
        <v>0</v>
      </c>
      <c r="BC74" s="50" t="str">
        <f t="shared" si="17"/>
        <v/>
      </c>
    </row>
    <row r="75">
      <c r="B75" s="30" t="str">
        <f>IFERROR(__xludf.DUMMYFUNCTION("IFERROR(ROUND(
(COUNTIF(FILTER(Data!O:O, Data!B:B=A75), ""Win"")
+ COUNTIF(FILTER(Data!O:O, Data!B:B=A75), {""Tie"",""Results""}))
/ (COUNTIF(Data!B:B, A75)),
1),"""")"),"")</f>
        <v/>
      </c>
      <c r="C75" s="31" t="str">
        <f>IFERROR((SUMIF(Data!B:B, A75, Data!H:H)
/ (COUNTIF(Data!B:B, A75)
)),"")</f>
        <v/>
      </c>
      <c r="D75" s="31" t="str">
        <f>IFERROR((SUMIF(Data!B:B, A75, Data!G:G)
/ (COUNTIF(Data!B:B, A75)
)),"")</f>
        <v/>
      </c>
      <c r="E75" s="31" t="str">
        <f t="shared" si="1"/>
        <v/>
      </c>
      <c r="F75" s="31" t="str">
        <f>IFERROR((SUMIF(Data!B:B, A75, Data!J:J)
/ (COUNTIF(Data!B:B, A75)
)),"")</f>
        <v/>
      </c>
      <c r="G75" s="32" t="str">
        <f>IF(A75="","",IFERROR((((((SUMIF(Data!B:B, A75, Data!H:H)+(SUMIF(Data!B:B, A75,Data!G:G)))/(SUMIF(Data!B:B, A75, Data!J:J)))))),0))</f>
        <v/>
      </c>
      <c r="H75" s="33" t="str">
        <f>IFERROR(__xludf.DUMMYFUNCTION("IFERROR(IF(G75="""","""",(SUM(FIlter(Filter(Data!G:G,Data!B:B=A75),(Filter(Data!J:J&lt;3,Data!B:B=A75))))+SUM((FIlter(Filter(Data!H:H,Data!B:B=A75),(Filter(Data!J:J&lt;3,Data!B:B=A75))))))/(SUM(Filter(Filter(Data!J:J,Data!B:B=A75),FILTER(Data!J:J&lt;3,Data!B:B=A75"&amp;"))))),"""")"),"")</f>
        <v/>
      </c>
      <c r="I75" s="32" t="str">
        <f>IFERROR(__xludf.DUMMYFUNCTION("IF(A75="""","""",(COUNT(FILTER(IF(Data!G:G&lt;&gt;0,Data!G:G,IF(Data!H:H&lt;&gt;0,Data!H:H)),Data!B:B=A75)))/(COUNT(FILTER(Data!J:J,Data!B:B=A75))))"),"")</f>
        <v/>
      </c>
      <c r="J75" s="32" t="str">
        <f t="shared" si="2"/>
        <v/>
      </c>
      <c r="K75" s="31" t="str">
        <f t="shared" si="3"/>
        <v/>
      </c>
      <c r="L75" s="31" t="str">
        <f>IFERROR((SUMIF(Data!B:B, A75, Data!L:L)
/ (COUNTIF(Data!B:B, A75)
)),"")</f>
        <v/>
      </c>
      <c r="M75" s="31" t="str">
        <f>IFERROR((SUMIF(Data!B:B, A75, Data!K:K)
/ (COUNTIF(Data!B:B, A75)
)),"")</f>
        <v/>
      </c>
      <c r="N75" s="34" t="str">
        <f t="shared" si="33"/>
        <v/>
      </c>
      <c r="O75" s="32" t="str">
        <f>IF(A75="","",IFERROR((((((SUMIF(Data!B:B, A75, Data!H:H)+(SUMIF(Data!B:B, A75,Data!G:G)+(SUMIF(Data!B:B, A75,Data!L:L)+(SUMIF(Data!B:B, A75,Data!K:K)))))/(SUMIF(Data!B:B, A75, Data!M:M)+(SUMIF(Data!B:B, A75, Data!H:H)+(SUMIF(Data!B:B, A75,Data!G:G)+(SUMIF(Data!B:B, A75,Data!K:K)+(SUMIF(Data!B:B, A75,Data!L:L)))))))))),0))</f>
        <v/>
      </c>
      <c r="P75" s="35" t="str">
        <f>IFERROR(__xludf.DUMMYFUNCTION("IFERROR(((COUNTIF(FILTER(Data!N:N,Data!B:B=A75),""TRAVERSE"")*15)+(COUNTIF(FILTER(Data!N:N,Data!B:B=A75),""HIGH"")*10)+(COUNTIF(FILTER(Data!N:N,Data!B:B=A75),""MIDDLE"")*6)+(COUNTIF(FILTER(Data!N:N,Data!B:B=A75),""LOW"")*4)) / (COUNTIF(Data!B:B, A75)),"""&amp;""")"),"")</f>
        <v/>
      </c>
      <c r="Q75" s="31" t="str">
        <f>IFERROR(__xludf.DUMMYFUNCTION("IF(P75="""","""",Average(FIlter(('Convert Name to Number'!$F$422:$Z1000),'Convert Name to Number'!$E$422:$E1000=$A75)))"),"")</f>
        <v/>
      </c>
      <c r="R75" s="36" t="str">
        <f t="shared" si="5"/>
        <v/>
      </c>
      <c r="S75" s="37" t="str">
        <f>IFERROR(__xludf.DUMMYFUNCTION("IFERROR((((COUNTIF(FILTER(Data!N:N,Data!B:B=A75),""TRAVERSE""))+(COUNTIF(FILTER(Data!N:N,Data!B:B=A75),""HIGH""))+(COUNTIF(FILTER(Data!N:N,Data!B:B=A75),""MIDDLE""))+(COUNTIF(FILTER(Data!N:N,Data!B:B=A75),""LOW"")))) / (((COUNTIF(Data!B:B, A75)))-(COUNTIF"&amp;"(FILTER(Data!N:N,Data!B:B=A75),""NONE""))),IF(ISBLANK(A75),"""",0))"),"")</f>
        <v/>
      </c>
      <c r="T75" s="32" t="str">
        <f>IFERROR(__xludf.DUMMYFUNCTION("IFERROR((COUNTIF(FILTER(Data!N:N, Data!B:B=A75),""LOW"")) / (COUNTIF(Data!B:B, A75)),"""")"),"")</f>
        <v/>
      </c>
      <c r="U75" s="38" t="str">
        <f>IFERROR(__xludf.DUMMYFUNCTION("IFERROR((COUNTIF(FILTER(Data!N:N, Data!B:B=A75),""MIDDLE"")) / (COUNTIF(Data!B:B, A75)),"""")"),"")</f>
        <v/>
      </c>
      <c r="V75" s="38" t="str">
        <f>IFERROR(__xludf.DUMMYFUNCTION("IFERROR((COUNTIF(FILTER(Data!N:N, Data!B:B=A75),""HIGH"")) / (COUNTIF(Data!B:B, A75)),"""")"),"")</f>
        <v/>
      </c>
      <c r="W75" s="38" t="str">
        <f>IFERROR(__xludf.DUMMYFUNCTION("IFERROR((COUNTIF(FILTER(Data!N:N, Data!B:B=A75),""TRAVERSE"")) / (COUNTIF(Data!B:B, A75)),"""")"),"")</f>
        <v/>
      </c>
      <c r="X75" s="39" t="str">
        <f t="shared" si="6"/>
        <v/>
      </c>
      <c r="Y75" s="31" t="str">
        <f t="shared" si="7"/>
        <v/>
      </c>
      <c r="Z75" s="31" t="str">
        <f t="shared" si="8"/>
        <v/>
      </c>
      <c r="AA75" s="41" t="str">
        <f t="shared" si="9"/>
        <v/>
      </c>
      <c r="AB75" s="40" t="str">
        <f t="shared" si="34"/>
        <v/>
      </c>
      <c r="AC75" s="41" t="str">
        <f>IFERROR(__xludf.DUMMYFUNCTION("IF(AA75="""","""",MAX(Filter((Data!G:G+Data!K:K),Data!B:B=A75)))"),"")</f>
        <v/>
      </c>
      <c r="AD75" s="41" t="str">
        <f t="shared" si="11"/>
        <v/>
      </c>
      <c r="AE75" s="41" t="str">
        <f t="shared" si="12"/>
        <v/>
      </c>
      <c r="AF75" s="41" t="str">
        <f t="shared" si="13"/>
        <v/>
      </c>
      <c r="AG75" s="42" t="str">
        <f>IF(A75="","",(((AD75)*Picklist!$P$3)+((K75)*Picklist!$P$4)+(E75*Picklist!$P$5)+(N75*Picklist!$P$6)+(X75*Picklist!$P$7)+(R75*Picklist!$P$8)))</f>
        <v/>
      </c>
      <c r="AH75" s="43" t="str">
        <f>IF(A75="","",(((AD75)*Picklist!$P$14)+((K75)*Picklist!$P$15)+(E75*Picklist!$P$16)+(N75*Picklist!$P$17)+(X75*Picklist!$P$18)+(R75*Picklist!$P$19)))</f>
        <v/>
      </c>
      <c r="AI75" s="44" t="str">
        <f>IFERROR(__xludf.DUMMYFUNCTION("TEXTJOIN("", "",TRUE, FILTER(Data!P:P, Data!B:B=A75))"),"")</f>
        <v/>
      </c>
      <c r="AJ75" s="16" t="str">
        <f t="shared" si="14"/>
        <v/>
      </c>
      <c r="AK75" s="46" t="str">
        <f>IFERROR(__xludf.DUMMYFUNCTION("IF(A75&lt;&gt;"""",IFERROR(AVERAGE(FILTER('Defense Calculations'!BJ:CS,'Defense Calculations'!A:A=A75)),""""),"""")"),"")</f>
        <v/>
      </c>
      <c r="AM75" s="47"/>
      <c r="AN75" s="51"/>
      <c r="BB75" s="49">
        <f t="shared" si="16"/>
        <v>0</v>
      </c>
      <c r="BC75" s="50" t="str">
        <f t="shared" si="17"/>
        <v/>
      </c>
    </row>
    <row r="76">
      <c r="B76" s="30" t="str">
        <f>IFERROR(__xludf.DUMMYFUNCTION("IFERROR(ROUND(
(COUNTIF(FILTER(Data!O:O, Data!B:B=A76), ""Win"")
+ COUNTIF(FILTER(Data!O:O, Data!B:B=A76), {""Tie"",""Results""}))
/ (COUNTIF(Data!B:B, A76)),
1),"""")"),"")</f>
        <v/>
      </c>
      <c r="C76" s="31" t="str">
        <f>IFERROR((SUMIF(Data!B:B, A76, Data!H:H)
/ (COUNTIF(Data!B:B, A76)
)),"")</f>
        <v/>
      </c>
      <c r="D76" s="31" t="str">
        <f>IFERROR((SUMIF(Data!B:B, A76, Data!G:G)
/ (COUNTIF(Data!B:B, A76)
)),"")</f>
        <v/>
      </c>
      <c r="E76" s="31" t="str">
        <f t="shared" si="1"/>
        <v/>
      </c>
      <c r="F76" s="31" t="str">
        <f>IFERROR((SUMIF(Data!B:B, A76, Data!J:J)
/ (COUNTIF(Data!B:B, A76)
)),"")</f>
        <v/>
      </c>
      <c r="G76" s="32" t="str">
        <f>IF(A76="","",IFERROR((((((SUMIF(Data!B:B, A76, Data!H:H)+(SUMIF(Data!B:B, A76,Data!G:G)))/(SUMIF(Data!B:B, A76, Data!J:J)))))),0))</f>
        <v/>
      </c>
      <c r="H76" s="33" t="str">
        <f>IFERROR(__xludf.DUMMYFUNCTION("IFERROR(IF(G76="""","""",(SUM(FIlter(Filter(Data!G:G,Data!B:B=A76),(Filter(Data!J:J&lt;3,Data!B:B=A76))))+SUM((FIlter(Filter(Data!H:H,Data!B:B=A76),(Filter(Data!J:J&lt;3,Data!B:B=A76))))))/(SUM(Filter(Filter(Data!J:J,Data!B:B=A76),FILTER(Data!J:J&lt;3,Data!B:B=A76"&amp;"))))),"""")"),"")</f>
        <v/>
      </c>
      <c r="I76" s="32" t="str">
        <f>IFERROR(__xludf.DUMMYFUNCTION("IF(A76="""","""",(COUNT(FILTER(IF(Data!G:G&lt;&gt;0,Data!G:G,IF(Data!H:H&lt;&gt;0,Data!H:H)),Data!B:B=A76)))/(COUNT(FILTER(Data!J:J,Data!B:B=A76))))"),"")</f>
        <v/>
      </c>
      <c r="J76" s="32" t="str">
        <f t="shared" si="2"/>
        <v/>
      </c>
      <c r="K76" s="31" t="str">
        <f t="shared" si="3"/>
        <v/>
      </c>
      <c r="L76" s="31" t="str">
        <f>IFERROR((SUMIF(Data!B:B, A76, Data!L:L)
/ (COUNTIF(Data!B:B, A76)
)),"")</f>
        <v/>
      </c>
      <c r="M76" s="31" t="str">
        <f>IFERROR((SUMIF(Data!B:B, A76, Data!K:K)
/ (COUNTIF(Data!B:B, A76)
)),"")</f>
        <v/>
      </c>
      <c r="N76" s="34" t="str">
        <f t="shared" si="33"/>
        <v/>
      </c>
      <c r="O76" s="32" t="str">
        <f>IF(A76="","",IFERROR((((((SUMIF(Data!B:B, A76, Data!H:H)+(SUMIF(Data!B:B, A76,Data!G:G)+(SUMIF(Data!B:B, A76,Data!L:L)+(SUMIF(Data!B:B, A76,Data!K:K)))))/(SUMIF(Data!B:B, A76, Data!M:M)+(SUMIF(Data!B:B, A76, Data!H:H)+(SUMIF(Data!B:B, A76,Data!G:G)+(SUMIF(Data!B:B, A76,Data!K:K)+(SUMIF(Data!B:B, A76,Data!L:L)))))))))),0))</f>
        <v/>
      </c>
      <c r="P76" s="35" t="str">
        <f>IFERROR(__xludf.DUMMYFUNCTION("IFERROR(((COUNTIF(FILTER(Data!N:N,Data!B:B=A76),""TRAVERSE"")*15)+(COUNTIF(FILTER(Data!N:N,Data!B:B=A76),""HIGH"")*10)+(COUNTIF(FILTER(Data!N:N,Data!B:B=A76),""MIDDLE"")*6)+(COUNTIF(FILTER(Data!N:N,Data!B:B=A76),""LOW"")*4)) / (COUNTIF(Data!B:B, A76)),"""&amp;""")"),"")</f>
        <v/>
      </c>
      <c r="Q76" s="31" t="str">
        <f>IFERROR(__xludf.DUMMYFUNCTION("IF(P76="""","""",Average(FIlter(('Convert Name to Number'!$F$422:$Z1000),'Convert Name to Number'!$E$422:$E1000=$A76)))"),"")</f>
        <v/>
      </c>
      <c r="R76" s="36" t="str">
        <f t="shared" si="5"/>
        <v/>
      </c>
      <c r="S76" s="37" t="str">
        <f>IFERROR(__xludf.DUMMYFUNCTION("IFERROR((((COUNTIF(FILTER(Data!N:N,Data!B:B=A76),""TRAVERSE""))+(COUNTIF(FILTER(Data!N:N,Data!B:B=A76),""HIGH""))+(COUNTIF(FILTER(Data!N:N,Data!B:B=A76),""MIDDLE""))+(COUNTIF(FILTER(Data!N:N,Data!B:B=A76),""LOW"")))) / (((COUNTIF(Data!B:B, A76)))-(COUNTIF"&amp;"(FILTER(Data!N:N,Data!B:B=A76),""NONE""))),IF(ISBLANK(A76),"""",0))"),"")</f>
        <v/>
      </c>
      <c r="T76" s="32" t="str">
        <f>IFERROR(__xludf.DUMMYFUNCTION("IFERROR((COUNTIF(FILTER(Data!N:N, Data!B:B=A76),""LOW"")) / (COUNTIF(Data!B:B, A76)),"""")"),"")</f>
        <v/>
      </c>
      <c r="U76" s="38" t="str">
        <f>IFERROR(__xludf.DUMMYFUNCTION("IFERROR((COUNTIF(FILTER(Data!N:N, Data!B:B=A76),""MIDDLE"")) / (COUNTIF(Data!B:B, A76)),"""")"),"")</f>
        <v/>
      </c>
      <c r="V76" s="38" t="str">
        <f>IFERROR(__xludf.DUMMYFUNCTION("IFERROR((COUNTIF(FILTER(Data!N:N, Data!B:B=A76),""HIGH"")) / (COUNTIF(Data!B:B, A76)),"""")"),"")</f>
        <v/>
      </c>
      <c r="W76" s="38" t="str">
        <f>IFERROR(__xludf.DUMMYFUNCTION("IFERROR((COUNTIF(FILTER(Data!N:N, Data!B:B=A76),""TRAVERSE"")) / (COUNTIF(Data!B:B, A76)),"""")"),"")</f>
        <v/>
      </c>
      <c r="X76" s="39" t="str">
        <f t="shared" si="6"/>
        <v/>
      </c>
      <c r="Y76" s="31" t="str">
        <f t="shared" si="7"/>
        <v/>
      </c>
      <c r="Z76" s="31" t="str">
        <f t="shared" si="8"/>
        <v/>
      </c>
      <c r="AA76" s="41" t="str">
        <f t="shared" si="9"/>
        <v/>
      </c>
      <c r="AB76" s="40" t="str">
        <f t="shared" si="34"/>
        <v/>
      </c>
      <c r="AC76" s="41" t="str">
        <f>IFERROR(__xludf.DUMMYFUNCTION("IF(AA76="""","""",MAX(Filter((Data!G:G+Data!K:K),Data!B:B=A76)))"),"")</f>
        <v/>
      </c>
      <c r="AD76" s="41" t="str">
        <f t="shared" si="11"/>
        <v/>
      </c>
      <c r="AE76" s="41" t="str">
        <f t="shared" si="12"/>
        <v/>
      </c>
      <c r="AF76" s="41" t="str">
        <f t="shared" si="13"/>
        <v/>
      </c>
      <c r="AG76" s="42" t="str">
        <f>IF(A76="","",(((AD76)*Picklist!$P$3)+((K76)*Picklist!$P$4)+(E76*Picklist!$P$5)+(N76*Picklist!$P$6)+(X76*Picklist!$P$7)+(R76*Picklist!$P$8)))</f>
        <v/>
      </c>
      <c r="AH76" s="43" t="str">
        <f>IF(A76="","",(((AD76)*Picklist!$P$14)+((K76)*Picklist!$P$15)+(E76*Picklist!$P$16)+(N76*Picklist!$P$17)+(X76*Picklist!$P$18)+(R76*Picklist!$P$19)))</f>
        <v/>
      </c>
      <c r="AI76" s="44" t="str">
        <f>IFERROR(__xludf.DUMMYFUNCTION("TEXTJOIN("", "",TRUE, FILTER(Data!P:P, Data!B:B=A76))"),"")</f>
        <v/>
      </c>
      <c r="AJ76" s="16" t="str">
        <f t="shared" si="14"/>
        <v/>
      </c>
      <c r="AK76" s="46" t="str">
        <f>IFERROR(__xludf.DUMMYFUNCTION("IF(A76&lt;&gt;"""",IFERROR(AVERAGE(FILTER('Defense Calculations'!BJ:CS,'Defense Calculations'!A:A=A76)),""""),"""")"),"")</f>
        <v/>
      </c>
      <c r="AM76" s="47"/>
      <c r="BB76" s="49">
        <f t="shared" si="16"/>
        <v>0</v>
      </c>
      <c r="BC76" s="50" t="str">
        <f t="shared" si="17"/>
        <v/>
      </c>
    </row>
    <row r="77">
      <c r="A77" s="53"/>
      <c r="B77" s="30" t="str">
        <f>IFERROR(__xludf.DUMMYFUNCTION("IFERROR(ROUND(
(COUNTIF(FILTER(Data!O:O, Data!B:B=A77), ""Win"")
+ COUNTIF(FILTER(Data!O:O, Data!B:B=A77), {""Tie"",""Results""}))
/ (COUNTIF(Data!B:B, A77)),
1),"""")"),"")</f>
        <v/>
      </c>
      <c r="C77" s="31" t="str">
        <f>IFERROR((SUMIF(Data!B:B, A77, Data!H:H)
/ (COUNTIF(Data!B:B, A77)
)),"")</f>
        <v/>
      </c>
      <c r="D77" s="31" t="str">
        <f>IFERROR((SUMIF(Data!B:B, A77, Data!G:G)
/ (COUNTIF(Data!B:B, A77)
)),"")</f>
        <v/>
      </c>
      <c r="E77" s="31" t="str">
        <f t="shared" si="1"/>
        <v/>
      </c>
      <c r="F77" s="31" t="str">
        <f>IFERROR((SUMIF(Data!B:B, A77, Data!J:J)
/ (COUNTIF(Data!B:B, A77)
)),"")</f>
        <v/>
      </c>
      <c r="G77" s="32" t="str">
        <f>IF(A77="","",IFERROR((((((SUMIF(Data!B:B, A77, Data!H:H)+(SUMIF(Data!B:B, A77,Data!G:G)))/(SUMIF(Data!B:B, A77, Data!J:J)))))),0))</f>
        <v/>
      </c>
      <c r="H77" s="33" t="str">
        <f>IFERROR(__xludf.DUMMYFUNCTION("IFERROR(IF(G77="""","""",(SUM(FIlter(Filter(Data!G:G,Data!B:B=A77),(Filter(Data!J:J&lt;3,Data!B:B=A77))))+SUM((FIlter(Filter(Data!H:H,Data!B:B=A77),(Filter(Data!J:J&lt;3,Data!B:B=A77))))))/(SUM(Filter(Filter(Data!J:J,Data!B:B=A77),FILTER(Data!J:J&lt;3,Data!B:B=A77"&amp;"))))),"""")"),"")</f>
        <v/>
      </c>
      <c r="I77" s="32" t="str">
        <f>IFERROR(__xludf.DUMMYFUNCTION("IF(A77="""","""",(COUNT(FILTER(IF(Data!G:G&lt;&gt;0,Data!G:G,IF(Data!H:H&lt;&gt;0,Data!H:H)),Data!B:B=A77)))/(COUNT(FILTER(Data!J:J,Data!B:B=A77))))"),"")</f>
        <v/>
      </c>
      <c r="J77" s="32" t="str">
        <f t="shared" si="2"/>
        <v/>
      </c>
      <c r="K77" s="31" t="str">
        <f t="shared" si="3"/>
        <v/>
      </c>
      <c r="L77" s="31" t="str">
        <f>IFERROR((SUMIF(Data!B:B, A77, Data!L:L)
/ (COUNTIF(Data!B:B, A77)
)),"")</f>
        <v/>
      </c>
      <c r="M77" s="31" t="str">
        <f>IFERROR((SUMIF(Data!B:B, A77, Data!K:K)
/ (COUNTIF(Data!B:B, A77)
)),"")</f>
        <v/>
      </c>
      <c r="N77" s="34" t="str">
        <f t="shared" si="33"/>
        <v/>
      </c>
      <c r="O77" s="32" t="str">
        <f>IF(A77="","",IFERROR((((((SUMIF(Data!B:B, A77, Data!H:H)+(SUMIF(Data!B:B, A77,Data!G:G)+(SUMIF(Data!B:B, A77,Data!L:L)+(SUMIF(Data!B:B, A77,Data!K:K)))))/(SUMIF(Data!B:B, A77, Data!M:M)+(SUMIF(Data!B:B, A77, Data!H:H)+(SUMIF(Data!B:B, A77,Data!G:G)+(SUMIF(Data!B:B, A77,Data!K:K)+(SUMIF(Data!B:B, A77,Data!L:L)))))))))),0))</f>
        <v/>
      </c>
      <c r="P77" s="35" t="str">
        <f>IFERROR(__xludf.DUMMYFUNCTION("IFERROR(((COUNTIF(FILTER(Data!N:N,Data!B:B=A77),""TRAVERSE"")*15)+(COUNTIF(FILTER(Data!N:N,Data!B:B=A77),""HIGH"")*10)+(COUNTIF(FILTER(Data!N:N,Data!B:B=A77),""MIDDLE"")*6)+(COUNTIF(FILTER(Data!N:N,Data!B:B=A77),""LOW"")*4)) / (COUNTIF(Data!B:B, A77)),"""&amp;""")"),"")</f>
        <v/>
      </c>
      <c r="Q77" s="31" t="str">
        <f>IFERROR(__xludf.DUMMYFUNCTION("IF(P77="""","""",Average(FIlter(('Convert Name to Number'!$F$422:$Z1000),'Convert Name to Number'!$E$422:$E1000=$A77)))"),"")</f>
        <v/>
      </c>
      <c r="R77" s="36" t="str">
        <f t="shared" si="5"/>
        <v/>
      </c>
      <c r="S77" s="37" t="str">
        <f>IFERROR(__xludf.DUMMYFUNCTION("IFERROR((((COUNTIF(FILTER(Data!N:N,Data!B:B=A77),""TRAVERSE""))+(COUNTIF(FILTER(Data!N:N,Data!B:B=A77),""HIGH""))+(COUNTIF(FILTER(Data!N:N,Data!B:B=A77),""MIDDLE""))+(COUNTIF(FILTER(Data!N:N,Data!B:B=A77),""LOW"")))) / (((COUNTIF(Data!B:B, A77)))-(COUNTIF"&amp;"(FILTER(Data!N:N,Data!B:B=A77),""NONE""))),IF(ISBLANK(A77),"""",0))"),"")</f>
        <v/>
      </c>
      <c r="T77" s="32" t="str">
        <f>IFERROR(__xludf.DUMMYFUNCTION("IFERROR((COUNTIF(FILTER(Data!N:N, Data!B:B=A77),""LOW"")) / (COUNTIF(Data!B:B, A77)),"""")"),"")</f>
        <v/>
      </c>
      <c r="U77" s="38" t="str">
        <f>IFERROR(__xludf.DUMMYFUNCTION("IFERROR((COUNTIF(FILTER(Data!N:N, Data!B:B=A77),""MIDDLE"")) / (COUNTIF(Data!B:B, A77)),"""")"),"")</f>
        <v/>
      </c>
      <c r="V77" s="38" t="str">
        <f>IFERROR(__xludf.DUMMYFUNCTION("IFERROR((COUNTIF(FILTER(Data!N:N, Data!B:B=A77),""HIGH"")) / (COUNTIF(Data!B:B, A77)),"""")"),"")</f>
        <v/>
      </c>
      <c r="W77" s="38" t="str">
        <f>IFERROR(__xludf.DUMMYFUNCTION("IFERROR((COUNTIF(FILTER(Data!N:N, Data!B:B=A77),""TRAVERSE"")) / (COUNTIF(Data!B:B, A77)),"""")"),"")</f>
        <v/>
      </c>
      <c r="X77" s="39" t="str">
        <f t="shared" si="6"/>
        <v/>
      </c>
      <c r="Y77" s="31" t="str">
        <f t="shared" si="7"/>
        <v/>
      </c>
      <c r="Z77" s="31" t="str">
        <f t="shared" si="8"/>
        <v/>
      </c>
      <c r="AA77" s="41" t="str">
        <f t="shared" si="9"/>
        <v/>
      </c>
      <c r="AB77" s="40" t="str">
        <f t="shared" si="34"/>
        <v/>
      </c>
      <c r="AC77" s="41" t="str">
        <f>IFERROR(__xludf.DUMMYFUNCTION("IF(AA77="""","""",MAX(Filter((Data!G:G+Data!K:K),Data!B:B=A77)))"),"")</f>
        <v/>
      </c>
      <c r="AD77" s="41" t="str">
        <f t="shared" si="11"/>
        <v/>
      </c>
      <c r="AE77" s="41" t="str">
        <f t="shared" si="12"/>
        <v/>
      </c>
      <c r="AF77" s="41" t="str">
        <f t="shared" si="13"/>
        <v/>
      </c>
      <c r="AG77" s="42" t="str">
        <f>IF(A77="","",(((AD77)*Picklist!$P$3)+((K77)*Picklist!$P$4)+(E77*Picklist!$P$5)+(N77*Picklist!$P$6)+(X77*Picklist!$P$7)+(R77*Picklist!$P$8)))</f>
        <v/>
      </c>
      <c r="AH77" s="43" t="str">
        <f>IF(A77="","",(((AD77)*Picklist!$P$14)+((K77)*Picklist!$P$15)+(E77*Picklist!$P$16)+(N77*Picklist!$P$17)+(X77*Picklist!$P$18)+(R77*Picklist!$P$19)))</f>
        <v/>
      </c>
      <c r="AI77" s="44" t="str">
        <f>IFERROR(__xludf.DUMMYFUNCTION("TEXTJOIN("", "",TRUE, FILTER(Data!P:P, Data!B:B=A77))"),"")</f>
        <v/>
      </c>
      <c r="AJ77" s="16" t="str">
        <f t="shared" si="14"/>
        <v/>
      </c>
      <c r="AK77" s="46" t="str">
        <f>IFERROR(__xludf.DUMMYFUNCTION("IF(A77&lt;&gt;"""",IFERROR(AVERAGE(FILTER('Defense Calculations'!BJ:CS,'Defense Calculations'!A:A=A77)),""""),"""")"),"")</f>
        <v/>
      </c>
      <c r="AM77" s="47"/>
      <c r="BB77" s="49">
        <f t="shared" si="16"/>
        <v>0</v>
      </c>
      <c r="BC77" s="50" t="str">
        <f t="shared" si="17"/>
        <v/>
      </c>
    </row>
    <row r="78">
      <c r="A78" s="53"/>
      <c r="B78" s="30" t="str">
        <f>IFERROR(__xludf.DUMMYFUNCTION("IFERROR(ROUND(
(COUNTIF(FILTER(Data!O:O, Data!B:B=A78), ""Win"")
+ COUNTIF(FILTER(Data!O:O, Data!B:B=A78), {""Tie"",""Results""}))
/ (COUNTIF(Data!B:B, A78)),
1),"""")"),"")</f>
        <v/>
      </c>
      <c r="C78" s="31" t="str">
        <f>IFERROR((SUMIF(Data!B:B, A78, Data!H:H)
/ (COUNTIF(Data!B:B, A78)
)),"")</f>
        <v/>
      </c>
      <c r="D78" s="31" t="str">
        <f>IFERROR((SUMIF(Data!B:B, A78, Data!G:G)
/ (COUNTIF(Data!B:B, A78)
)),"")</f>
        <v/>
      </c>
      <c r="E78" s="31" t="str">
        <f t="shared" si="1"/>
        <v/>
      </c>
      <c r="F78" s="31" t="str">
        <f>IFERROR((SUMIF(Data!B:B, A78, Data!J:J)
/ (COUNTIF(Data!B:B, A78)
)),"")</f>
        <v/>
      </c>
      <c r="G78" s="32" t="str">
        <f>IF(A78="","",IFERROR((((((SUMIF(Data!B:B, A78, Data!H:H)+(SUMIF(Data!B:B, A78,Data!G:G)))/(SUMIF(Data!B:B, A78, Data!J:J)))))),0))</f>
        <v/>
      </c>
      <c r="H78" s="33" t="str">
        <f>IFERROR(__xludf.DUMMYFUNCTION("IFERROR(IF(G78="""","""",(SUM(FIlter(Filter(Data!G:G,Data!B:B=A78),(Filter(Data!J:J&lt;3,Data!B:B=A78))))+SUM((FIlter(Filter(Data!H:H,Data!B:B=A78),(Filter(Data!J:J&lt;3,Data!B:B=A78))))))/(SUM(Filter(Filter(Data!J:J,Data!B:B=A78),FILTER(Data!J:J&lt;3,Data!B:B=A78"&amp;"))))),"""")"),"")</f>
        <v/>
      </c>
      <c r="I78" s="32" t="str">
        <f>IFERROR(__xludf.DUMMYFUNCTION("IF(A78="""","""",(COUNT(FILTER(IF(Data!G:G&lt;&gt;0,Data!G:G,IF(Data!H:H&lt;&gt;0,Data!H:H)),Data!B:B=A78)))/(COUNT(FILTER(Data!J:J,Data!B:B=A78))))"),"")</f>
        <v/>
      </c>
      <c r="J78" s="32" t="str">
        <f t="shared" si="2"/>
        <v/>
      </c>
      <c r="K78" s="31" t="str">
        <f t="shared" si="3"/>
        <v/>
      </c>
      <c r="L78" s="31" t="str">
        <f>IFERROR((SUMIF(Data!B:B, A78, Data!L:L)
/ (COUNTIF(Data!B:B, A78)
)),"")</f>
        <v/>
      </c>
      <c r="M78" s="31" t="str">
        <f>IFERROR((SUMIF(Data!B:B, A78, Data!K:K)
/ (COUNTIF(Data!B:B, A78)
)),"")</f>
        <v/>
      </c>
      <c r="N78" s="34" t="str">
        <f t="shared" si="33"/>
        <v/>
      </c>
      <c r="O78" s="32" t="str">
        <f>IF(A78="","",IFERROR((((((SUMIF(Data!B:B, A78, Data!H:H)+(SUMIF(Data!B:B, A78,Data!G:G)+(SUMIF(Data!B:B, A78,Data!L:L)+(SUMIF(Data!B:B, A78,Data!K:K)))))/(SUMIF(Data!B:B, A78, Data!M:M)+(SUMIF(Data!B:B, A78, Data!H:H)+(SUMIF(Data!B:B, A78,Data!G:G)+(SUMIF(Data!B:B, A78,Data!K:K)+(SUMIF(Data!B:B, A78,Data!L:L)))))))))),0))</f>
        <v/>
      </c>
      <c r="P78" s="35" t="str">
        <f>IFERROR(__xludf.DUMMYFUNCTION("IFERROR(((COUNTIF(FILTER(Data!N:N,Data!B:B=A78),""TRAVERSE"")*15)+(COUNTIF(FILTER(Data!N:N,Data!B:B=A78),""HIGH"")*10)+(COUNTIF(FILTER(Data!N:N,Data!B:B=A78),""MIDDLE"")*6)+(COUNTIF(FILTER(Data!N:N,Data!B:B=A78),""LOW"")*4)) / (COUNTIF(Data!B:B, A78)),"""&amp;""")"),"")</f>
        <v/>
      </c>
      <c r="Q78" s="31" t="str">
        <f>IFERROR(__xludf.DUMMYFUNCTION("IF(P78="""","""",Average(FIlter(('Convert Name to Number'!$F$422:$Z1000),'Convert Name to Number'!$E$422:$E1000=$A78)))"),"")</f>
        <v/>
      </c>
      <c r="R78" s="36" t="str">
        <f t="shared" si="5"/>
        <v/>
      </c>
      <c r="S78" s="37" t="str">
        <f>IFERROR(__xludf.DUMMYFUNCTION("IFERROR((((COUNTIF(FILTER(Data!N:N,Data!B:B=A78),""TRAVERSE""))+(COUNTIF(FILTER(Data!N:N,Data!B:B=A78),""HIGH""))+(COUNTIF(FILTER(Data!N:N,Data!B:B=A78),""MIDDLE""))+(COUNTIF(FILTER(Data!N:N,Data!B:B=A78),""LOW"")))) / (((COUNTIF(Data!B:B, A78)))-(COUNTIF"&amp;"(FILTER(Data!N:N,Data!B:B=A78),""NONE""))),IF(ISBLANK(A78),"""",0))"),"")</f>
        <v/>
      </c>
      <c r="T78" s="32" t="str">
        <f>IFERROR(__xludf.DUMMYFUNCTION("IFERROR((COUNTIF(FILTER(Data!N:N, Data!B:B=A78),""LOW"")) / (COUNTIF(Data!B:B, A78)),"""")"),"")</f>
        <v/>
      </c>
      <c r="U78" s="38" t="str">
        <f>IFERROR(__xludf.DUMMYFUNCTION("IFERROR((COUNTIF(FILTER(Data!N:N, Data!B:B=A78),""MIDDLE"")) / (COUNTIF(Data!B:B, A78)),"""")"),"")</f>
        <v/>
      </c>
      <c r="V78" s="38" t="str">
        <f>IFERROR(__xludf.DUMMYFUNCTION("IFERROR((COUNTIF(FILTER(Data!N:N, Data!B:B=A78),""HIGH"")) / (COUNTIF(Data!B:B, A78)),"""")"),"")</f>
        <v/>
      </c>
      <c r="W78" s="38" t="str">
        <f>IFERROR(__xludf.DUMMYFUNCTION("IFERROR((COUNTIF(FILTER(Data!N:N, Data!B:B=A78),""TRAVERSE"")) / (COUNTIF(Data!B:B, A78)),"""")"),"")</f>
        <v/>
      </c>
      <c r="X78" s="39" t="str">
        <f t="shared" si="6"/>
        <v/>
      </c>
      <c r="Y78" s="31" t="str">
        <f t="shared" si="7"/>
        <v/>
      </c>
      <c r="Z78" s="31" t="str">
        <f t="shared" si="8"/>
        <v/>
      </c>
      <c r="AA78" s="41" t="str">
        <f t="shared" si="9"/>
        <v/>
      </c>
      <c r="AB78" s="40" t="str">
        <f t="shared" si="34"/>
        <v/>
      </c>
      <c r="AC78" s="41" t="str">
        <f>IFERROR(__xludf.DUMMYFUNCTION("IF(AA78="""","""",MAX(Filter((Data!G:G+Data!K:K),Data!B:B=A78)))"),"")</f>
        <v/>
      </c>
      <c r="AD78" s="41" t="str">
        <f t="shared" si="11"/>
        <v/>
      </c>
      <c r="AE78" s="41" t="str">
        <f t="shared" si="12"/>
        <v/>
      </c>
      <c r="AF78" s="41" t="str">
        <f t="shared" si="13"/>
        <v/>
      </c>
      <c r="AG78" s="42" t="str">
        <f>IF(A78="","",(((AD78)*Picklist!$P$3)+((K78)*Picklist!$P$4)+(E78*Picklist!$P$5)+(N78*Picklist!$P$6)+(X78*Picklist!$P$7)+(R78*Picklist!$P$8)))</f>
        <v/>
      </c>
      <c r="AH78" s="43" t="str">
        <f>IF(A78="","",(((AD78)*Picklist!$P$14)+((K78)*Picklist!$P$15)+(E78*Picklist!$P$16)+(N78*Picklist!$P$17)+(X78*Picklist!$P$18)+(R78*Picklist!$P$19)))</f>
        <v/>
      </c>
      <c r="AI78" s="44" t="str">
        <f>IFERROR(__xludf.DUMMYFUNCTION("TEXTJOIN("", "",TRUE, FILTER(Data!P:P, Data!B:B=A78))"),"")</f>
        <v/>
      </c>
      <c r="AJ78" s="16" t="str">
        <f t="shared" si="14"/>
        <v/>
      </c>
      <c r="AK78" s="46" t="str">
        <f>IFERROR(__xludf.DUMMYFUNCTION("IF(A78&lt;&gt;"""",IFERROR(AVERAGE(FILTER('Defense Calculations'!BJ:CS,'Defense Calculations'!A:A=A78)),""""),"""")"),"")</f>
        <v/>
      </c>
      <c r="AM78" s="47"/>
      <c r="BB78" s="49">
        <f t="shared" si="16"/>
        <v>0</v>
      </c>
      <c r="BC78" s="50" t="str">
        <f t="shared" si="17"/>
        <v/>
      </c>
    </row>
    <row r="79">
      <c r="A79" s="53"/>
      <c r="B79" s="30" t="str">
        <f>IFERROR(__xludf.DUMMYFUNCTION("IFERROR(ROUND(
(COUNTIF(FILTER(Data!O:O, Data!B:B=A79), ""Win"")
+ COUNTIF(FILTER(Data!O:O, Data!B:B=A79), {""Tie"",""Results""}))
/ (COUNTIF(Data!B:B, A79)),
1),"""")"),"")</f>
        <v/>
      </c>
      <c r="C79" s="31" t="str">
        <f>IFERROR((SUMIF(Data!B:B, A79, Data!H:H)
/ (COUNTIF(Data!B:B, A79)
)),"")</f>
        <v/>
      </c>
      <c r="D79" s="31" t="str">
        <f>IFERROR((SUMIF(Data!B:B, A79, Data!G:G)
/ (COUNTIF(Data!B:B, A79)
)),"")</f>
        <v/>
      </c>
      <c r="E79" s="31" t="str">
        <f t="shared" si="1"/>
        <v/>
      </c>
      <c r="F79" s="31" t="str">
        <f>IFERROR((SUMIF(Data!B:B, A79, Data!J:J)
/ (COUNTIF(Data!B:B, A79)
)),"")</f>
        <v/>
      </c>
      <c r="G79" s="32" t="str">
        <f>IF(A79="","",IFERROR((((((SUMIF(Data!B:B, A79, Data!H:H)+(SUMIF(Data!B:B, A79,Data!G:G)))/(SUMIF(Data!B:B, A79, Data!J:J)))))),0))</f>
        <v/>
      </c>
      <c r="H79" s="33" t="str">
        <f>IFERROR(__xludf.DUMMYFUNCTION("IFERROR(IF(G79="""","""",(SUM(FIlter(Filter(Data!G:G,Data!B:B=A79),(Filter(Data!J:J&lt;3,Data!B:B=A79))))+SUM((FIlter(Filter(Data!H:H,Data!B:B=A79),(Filter(Data!J:J&lt;3,Data!B:B=A79))))))/(SUM(Filter(Filter(Data!J:J,Data!B:B=A79),FILTER(Data!J:J&lt;3,Data!B:B=A79"&amp;"))))),"""")"),"")</f>
        <v/>
      </c>
      <c r="I79" s="32" t="str">
        <f>IFERROR(__xludf.DUMMYFUNCTION("IF(A79="""","""",(COUNT(FILTER(IF(Data!G:G&lt;&gt;0,Data!G:G,IF(Data!H:H&lt;&gt;0,Data!H:H)),Data!B:B=A79)))/(COUNT(FILTER(Data!J:J,Data!B:B=A79))))"),"")</f>
        <v/>
      </c>
      <c r="J79" s="32" t="str">
        <f t="shared" si="2"/>
        <v/>
      </c>
      <c r="K79" s="31" t="str">
        <f t="shared" si="3"/>
        <v/>
      </c>
      <c r="L79" s="31" t="str">
        <f>IFERROR((SUMIF(Data!B:B, A79, Data!L:L)
/ (COUNTIF(Data!B:B, A79)
)),"")</f>
        <v/>
      </c>
      <c r="M79" s="31" t="str">
        <f>IFERROR((SUMIF(Data!B:B, A79, Data!K:K)
/ (COUNTIF(Data!B:B, A79)
)),"")</f>
        <v/>
      </c>
      <c r="N79" s="34" t="str">
        <f t="shared" si="33"/>
        <v/>
      </c>
      <c r="O79" s="32" t="str">
        <f>IF(A79="","",IFERROR((((((SUMIF(Data!B:B, A79, Data!H:H)+(SUMIF(Data!B:B, A79,Data!G:G)+(SUMIF(Data!B:B, A79,Data!L:L)+(SUMIF(Data!B:B, A79,Data!K:K)))))/(SUMIF(Data!B:B, A79, Data!M:M)+(SUMIF(Data!B:B, A79, Data!H:H)+(SUMIF(Data!B:B, A79,Data!G:G)+(SUMIF(Data!B:B, A79,Data!K:K)+(SUMIF(Data!B:B, A79,Data!L:L)))))))))),0))</f>
        <v/>
      </c>
      <c r="P79" s="35" t="str">
        <f>IFERROR(__xludf.DUMMYFUNCTION("IFERROR(((COUNTIF(FILTER(Data!N:N,Data!B:B=A79),""TRAVERSE"")*15)+(COUNTIF(FILTER(Data!N:N,Data!B:B=A79),""HIGH"")*10)+(COUNTIF(FILTER(Data!N:N,Data!B:B=A79),""MIDDLE"")*6)+(COUNTIF(FILTER(Data!N:N,Data!B:B=A79),""LOW"")*4)) / (COUNTIF(Data!B:B, A79)),"""&amp;""")"),"")</f>
        <v/>
      </c>
      <c r="Q79" s="31" t="str">
        <f>IFERROR(__xludf.DUMMYFUNCTION("IF(P79="""","""",Average(FIlter(('Convert Name to Number'!$F$422:$Z1000),'Convert Name to Number'!$E$422:$E1000=$A79)))"),"")</f>
        <v/>
      </c>
      <c r="R79" s="36" t="str">
        <f t="shared" si="5"/>
        <v/>
      </c>
      <c r="S79" s="37" t="str">
        <f>IFERROR(__xludf.DUMMYFUNCTION("IFERROR((((COUNTIF(FILTER(Data!N:N,Data!B:B=A79),""TRAVERSE""))+(COUNTIF(FILTER(Data!N:N,Data!B:B=A79),""HIGH""))+(COUNTIF(FILTER(Data!N:N,Data!B:B=A79),""MIDDLE""))+(COUNTIF(FILTER(Data!N:N,Data!B:B=A79),""LOW"")))) / (((COUNTIF(Data!B:B, A79)))-(COUNTIF"&amp;"(FILTER(Data!N:N,Data!B:B=A79),""NONE""))),IF(ISBLANK(A79),"""",0))"),"")</f>
        <v/>
      </c>
      <c r="T79" s="32" t="str">
        <f>IFERROR(__xludf.DUMMYFUNCTION("IFERROR((COUNTIF(FILTER(Data!N:N, Data!B:B=A79),""LOW"")) / (COUNTIF(Data!B:B, A79)),"""")"),"")</f>
        <v/>
      </c>
      <c r="U79" s="38" t="str">
        <f>IFERROR(__xludf.DUMMYFUNCTION("IFERROR((COUNTIF(FILTER(Data!N:N, Data!B:B=A79),""MIDDLE"")) / (COUNTIF(Data!B:B, A79)),"""")"),"")</f>
        <v/>
      </c>
      <c r="V79" s="38" t="str">
        <f>IFERROR(__xludf.DUMMYFUNCTION("IFERROR((COUNTIF(FILTER(Data!N:N, Data!B:B=A79),""HIGH"")) / (COUNTIF(Data!B:B, A79)),"""")"),"")</f>
        <v/>
      </c>
      <c r="W79" s="38" t="str">
        <f>IFERROR(__xludf.DUMMYFUNCTION("IFERROR((COUNTIF(FILTER(Data!N:N, Data!B:B=A79),""TRAVERSE"")) / (COUNTIF(Data!B:B, A79)),"""")"),"")</f>
        <v/>
      </c>
      <c r="X79" s="39" t="str">
        <f t="shared" si="6"/>
        <v/>
      </c>
      <c r="Y79" s="31" t="str">
        <f t="shared" si="7"/>
        <v/>
      </c>
      <c r="Z79" s="31" t="str">
        <f t="shared" si="8"/>
        <v/>
      </c>
      <c r="AA79" s="41" t="str">
        <f t="shared" si="9"/>
        <v/>
      </c>
      <c r="AB79" s="40" t="str">
        <f t="shared" si="34"/>
        <v/>
      </c>
      <c r="AC79" s="41" t="str">
        <f>IFERROR(__xludf.DUMMYFUNCTION("IF(AA79="""","""",MAX(Filter((Data!G:G+Data!K:K),Data!B:B=A79)))"),"")</f>
        <v/>
      </c>
      <c r="AD79" s="41" t="str">
        <f t="shared" si="11"/>
        <v/>
      </c>
      <c r="AE79" s="41" t="str">
        <f t="shared" si="12"/>
        <v/>
      </c>
      <c r="AF79" s="41" t="str">
        <f t="shared" si="13"/>
        <v/>
      </c>
      <c r="AG79" s="42" t="str">
        <f>IF(A79="","",(((AD79)*Picklist!$P$3)+((K79)*Picklist!$P$4)+(E79*Picklist!$P$5)+(N79*Picklist!$P$6)+(X79*Picklist!$P$7)+(R79*Picklist!$P$8)))</f>
        <v/>
      </c>
      <c r="AH79" s="43" t="str">
        <f>IF(A79="","",(((AD79)*Picklist!$P$14)+((K79)*Picklist!$P$15)+(E79*Picklist!$P$16)+(N79*Picklist!$P$17)+(X79*Picklist!$P$18)+(R79*Picklist!$P$19)))</f>
        <v/>
      </c>
      <c r="AI79" s="44" t="str">
        <f>IFERROR(__xludf.DUMMYFUNCTION("TEXTJOIN("", "",TRUE, FILTER(Data!P:P, Data!B:B=A79))"),"")</f>
        <v/>
      </c>
      <c r="AJ79" s="16" t="str">
        <f t="shared" si="14"/>
        <v/>
      </c>
      <c r="AK79" s="46" t="str">
        <f>IFERROR(__xludf.DUMMYFUNCTION("IF(A79&lt;&gt;"""",IFERROR(AVERAGE(FILTER('Defense Calculations'!BJ:CS,'Defense Calculations'!A:A=A79)),""""),"""")"),"")</f>
        <v/>
      </c>
      <c r="AM79" s="47"/>
      <c r="BB79" s="49">
        <f t="shared" si="16"/>
        <v>0</v>
      </c>
      <c r="BC79" s="50" t="str">
        <f t="shared" si="17"/>
        <v/>
      </c>
    </row>
    <row r="80">
      <c r="A80" s="53"/>
      <c r="B80" s="30" t="str">
        <f>IFERROR(__xludf.DUMMYFUNCTION("IFERROR(ROUND(
(COUNTIF(FILTER(Data!O:O, Data!B:B=A80), ""Win"")
+ COUNTIF(FILTER(Data!O:O, Data!B:B=A80), {""Tie"",""Results""}))
/ (COUNTIF(Data!B:B, A80)),
1),"""")"),"")</f>
        <v/>
      </c>
      <c r="C80" s="31" t="str">
        <f>IFERROR((SUMIF(Data!B:B, A80, Data!H:H)
/ (COUNTIF(Data!B:B, A80)
)),"")</f>
        <v/>
      </c>
      <c r="D80" s="31" t="str">
        <f>IFERROR((SUMIF(Data!B:B, A80, Data!G:G)
/ (COUNTIF(Data!B:B, A80)
)),"")</f>
        <v/>
      </c>
      <c r="E80" s="31" t="str">
        <f t="shared" si="1"/>
        <v/>
      </c>
      <c r="F80" s="31" t="str">
        <f>IFERROR((SUMIF(Data!B:B, A80, Data!J:J)
/ (COUNTIF(Data!B:B, A80)
)),"")</f>
        <v/>
      </c>
      <c r="G80" s="32" t="str">
        <f>IF(A80="","",IFERROR((((((SUMIF(Data!B:B, A80, Data!H:H)+(SUMIF(Data!B:B, A80,Data!G:G)))/(SUMIF(Data!B:B, A80, Data!J:J)))))),0))</f>
        <v/>
      </c>
      <c r="H80" s="33" t="str">
        <f>IFERROR(__xludf.DUMMYFUNCTION("IFERROR(IF(G80="""","""",(SUM(FIlter(Filter(Data!G:G,Data!B:B=A80),(Filter(Data!J:J&lt;3,Data!B:B=A80))))+SUM((FIlter(Filter(Data!H:H,Data!B:B=A80),(Filter(Data!J:J&lt;3,Data!B:B=A80))))))/(SUM(Filter(Filter(Data!J:J,Data!B:B=A80),FILTER(Data!J:J&lt;3,Data!B:B=A80"&amp;"))))),"""")"),"")</f>
        <v/>
      </c>
      <c r="I80" s="32" t="str">
        <f>IFERROR(__xludf.DUMMYFUNCTION("IF(A80="""","""",(COUNT(FILTER(IF(Data!G:G&lt;&gt;0,Data!G:G,IF(Data!H:H&lt;&gt;0,Data!H:H)),Data!B:B=A80)))/(COUNT(FILTER(Data!J:J,Data!B:B=A80))))"),"")</f>
        <v/>
      </c>
      <c r="J80" s="32" t="str">
        <f t="shared" si="2"/>
        <v/>
      </c>
      <c r="K80" s="31" t="str">
        <f t="shared" si="3"/>
        <v/>
      </c>
      <c r="L80" s="31" t="str">
        <f>IFERROR((SUMIF(Data!B:B, A80, Data!L:L)
/ (COUNTIF(Data!B:B, A80)
)),"")</f>
        <v/>
      </c>
      <c r="M80" s="31" t="str">
        <f>IFERROR((SUMIF(Data!B:B, A80, Data!K:K)
/ (COUNTIF(Data!B:B, A80)
)),"")</f>
        <v/>
      </c>
      <c r="N80" s="34" t="str">
        <f t="shared" si="33"/>
        <v/>
      </c>
      <c r="O80" s="32" t="str">
        <f>IF(A80="","",IFERROR((((((SUMIF(Data!B:B, A80, Data!H:H)+(SUMIF(Data!B:B, A80,Data!G:G)+(SUMIF(Data!B:B, A80,Data!L:L)+(SUMIF(Data!B:B, A80,Data!K:K)))))/(SUMIF(Data!B:B, A80, Data!M:M)+(SUMIF(Data!B:B, A80, Data!H:H)+(SUMIF(Data!B:B, A80,Data!G:G)+(SUMIF(Data!B:B, A80,Data!K:K)+(SUMIF(Data!B:B, A80,Data!L:L)))))))))),0))</f>
        <v/>
      </c>
      <c r="P80" s="35" t="str">
        <f>IFERROR(__xludf.DUMMYFUNCTION("IFERROR(((COUNTIF(FILTER(Data!N:N,Data!B:B=A80),""TRAVERSE"")*15)+(COUNTIF(FILTER(Data!N:N,Data!B:B=A80),""HIGH"")*10)+(COUNTIF(FILTER(Data!N:N,Data!B:B=A80),""MIDDLE"")*6)+(COUNTIF(FILTER(Data!N:N,Data!B:B=A80),""LOW"")*4)) / (COUNTIF(Data!B:B, A80)),"""&amp;""")"),"")</f>
        <v/>
      </c>
      <c r="Q80" s="31" t="str">
        <f>IFERROR(__xludf.DUMMYFUNCTION("IF(P80="""","""",Average(FIlter(('Convert Name to Number'!$F$422:$Z1000),'Convert Name to Number'!$E$422:$E1000=$A80)))"),"")</f>
        <v/>
      </c>
      <c r="R80" s="36" t="str">
        <f t="shared" si="5"/>
        <v/>
      </c>
      <c r="S80" s="37" t="str">
        <f>IFERROR(__xludf.DUMMYFUNCTION("IFERROR((((COUNTIF(FILTER(Data!N:N,Data!B:B=A80),""TRAVERSE""))+(COUNTIF(FILTER(Data!N:N,Data!B:B=A80),""HIGH""))+(COUNTIF(FILTER(Data!N:N,Data!B:B=A80),""MIDDLE""))+(COUNTIF(FILTER(Data!N:N,Data!B:B=A80),""LOW"")))) / (((COUNTIF(Data!B:B, A80)))-(COUNTIF"&amp;"(FILTER(Data!N:N,Data!B:B=A80),""NONE""))),IF(ISBLANK(A80),"""",0))"),"")</f>
        <v/>
      </c>
      <c r="T80" s="32" t="str">
        <f>IFERROR(__xludf.DUMMYFUNCTION("IFERROR((COUNTIF(FILTER(Data!N:N, Data!B:B=A80),""LOW"")) / (COUNTIF(Data!B:B, A80)),"""")"),"")</f>
        <v/>
      </c>
      <c r="U80" s="38" t="str">
        <f>IFERROR(__xludf.DUMMYFUNCTION("IFERROR((COUNTIF(FILTER(Data!N:N, Data!B:B=A80),""MIDDLE"")) / (COUNTIF(Data!B:B, A80)),"""")"),"")</f>
        <v/>
      </c>
      <c r="V80" s="38" t="str">
        <f>IFERROR(__xludf.DUMMYFUNCTION("IFERROR((COUNTIF(FILTER(Data!N:N, Data!B:B=A80),""HIGH"")) / (COUNTIF(Data!B:B, A80)),"""")"),"")</f>
        <v/>
      </c>
      <c r="W80" s="38" t="str">
        <f>IFERROR(__xludf.DUMMYFUNCTION("IFERROR((COUNTIF(FILTER(Data!N:N, Data!B:B=A80),""TRAVERSE"")) / (COUNTIF(Data!B:B, A80)),"""")"),"")</f>
        <v/>
      </c>
      <c r="X80" s="39" t="str">
        <f t="shared" si="6"/>
        <v/>
      </c>
      <c r="Y80" s="31" t="str">
        <f t="shared" si="7"/>
        <v/>
      </c>
      <c r="Z80" s="31" t="str">
        <f t="shared" si="8"/>
        <v/>
      </c>
      <c r="AA80" s="41" t="str">
        <f t="shared" si="9"/>
        <v/>
      </c>
      <c r="AB80" s="40" t="str">
        <f t="shared" si="34"/>
        <v/>
      </c>
      <c r="AC80" s="41" t="str">
        <f>IFERROR(__xludf.DUMMYFUNCTION("IF(AA80="""","""",MAX(Filter((Data!G:G+Data!K:K),Data!B:B=A80)))"),"")</f>
        <v/>
      </c>
      <c r="AD80" s="41" t="str">
        <f t="shared" si="11"/>
        <v/>
      </c>
      <c r="AE80" s="41" t="str">
        <f t="shared" si="12"/>
        <v/>
      </c>
      <c r="AF80" s="41" t="str">
        <f t="shared" si="13"/>
        <v/>
      </c>
      <c r="AG80" s="42" t="str">
        <f>IF(A80="","",(((AD80)*Picklist!$P$3)+((K80)*Picklist!$P$4)+(E80*Picklist!$P$5)+(N80*Picklist!$P$6)+(X80*Picklist!$P$7)+(R80*Picklist!$P$8)))</f>
        <v/>
      </c>
      <c r="AH80" s="43" t="str">
        <f>IF(A80="","",(((AD80)*Picklist!$P$14)+((K80)*Picklist!$P$15)+(E80*Picklist!$P$16)+(N80*Picklist!$P$17)+(X80*Picklist!$P$18)+(R80*Picklist!$P$19)))</f>
        <v/>
      </c>
      <c r="AI80" s="44" t="str">
        <f>IFERROR(__xludf.DUMMYFUNCTION("TEXTJOIN("", "",TRUE, FILTER(Data!P:P, Data!B:B=A80))"),"")</f>
        <v/>
      </c>
      <c r="AJ80" s="16" t="str">
        <f t="shared" si="14"/>
        <v/>
      </c>
      <c r="AK80" s="46" t="str">
        <f>IFERROR(__xludf.DUMMYFUNCTION("IF(A80&lt;&gt;"""",IFERROR(AVERAGE(FILTER('Defense Calculations'!BJ:CS,'Defense Calculations'!A:A=A80)),""""),"""")"),"")</f>
        <v/>
      </c>
      <c r="AM80" s="47"/>
      <c r="BB80" s="49">
        <f t="shared" si="16"/>
        <v>0</v>
      </c>
      <c r="BC80" s="50" t="str">
        <f t="shared" si="17"/>
        <v/>
      </c>
    </row>
    <row r="81">
      <c r="A81" s="53"/>
      <c r="B81" s="30" t="str">
        <f>IFERROR(__xludf.DUMMYFUNCTION("IFERROR(ROUND(
(COUNTIF(FILTER(Data!O:O, Data!B:B=A81), ""Win"")
+ COUNTIF(FILTER(Data!O:O, Data!B:B=A81), {""Tie"",""Results""}))
/ (COUNTIF(Data!B:B, A81)),
1),"""")"),"")</f>
        <v/>
      </c>
      <c r="C81" s="31" t="str">
        <f>IFERROR((SUMIF(Data!B:B, A81, Data!H:H)
/ (COUNTIF(Data!B:B, A81)
)),"")</f>
        <v/>
      </c>
      <c r="D81" s="31" t="str">
        <f>IFERROR((SUMIF(Data!B:B, A81, Data!G:G)
/ (COUNTIF(Data!B:B, A81)
)),"")</f>
        <v/>
      </c>
      <c r="E81" s="31" t="str">
        <f t="shared" si="1"/>
        <v/>
      </c>
      <c r="F81" s="31" t="str">
        <f>IFERROR((SUMIF(Data!B:B, A81, Data!J:J)
/ (COUNTIF(Data!B:B, A81)
)),"")</f>
        <v/>
      </c>
      <c r="G81" s="32" t="str">
        <f>IF(A81="","",IFERROR((((((SUMIF(Data!B:B, A81, Data!H:H)+(SUMIF(Data!B:B, A81,Data!G:G)))/(SUMIF(Data!B:B, A81, Data!J:J)))))),0))</f>
        <v/>
      </c>
      <c r="H81" s="33" t="str">
        <f>IFERROR(__xludf.DUMMYFUNCTION("IFERROR(IF(G81="""","""",(SUM(FIlter(Filter(Data!G:G,Data!B:B=A81),(Filter(Data!J:J&lt;3,Data!B:B=A81))))+SUM((FIlter(Filter(Data!H:H,Data!B:B=A81),(Filter(Data!J:J&lt;3,Data!B:B=A81))))))/(SUM(Filter(Filter(Data!J:J,Data!B:B=A81),FILTER(Data!J:J&lt;3,Data!B:B=A81"&amp;"))))),"""")"),"")</f>
        <v/>
      </c>
      <c r="I81" s="32" t="str">
        <f>IFERROR(__xludf.DUMMYFUNCTION("IF(A81="""","""",(COUNT(FILTER(IF(Data!G:G&lt;&gt;0,Data!G:G,IF(Data!H:H&lt;&gt;0,Data!H:H)),Data!B:B=A81)))/(COUNT(FILTER(Data!J:J,Data!B:B=A81))))"),"")</f>
        <v/>
      </c>
      <c r="J81" s="32" t="str">
        <f t="shared" si="2"/>
        <v/>
      </c>
      <c r="K81" s="31" t="str">
        <f t="shared" si="3"/>
        <v/>
      </c>
      <c r="L81" s="31" t="str">
        <f>IFERROR((SUMIF(Data!B:B, A81, Data!L:L)
/ (COUNTIF(Data!B:B, A81)
)),"")</f>
        <v/>
      </c>
      <c r="M81" s="31" t="str">
        <f>IFERROR((SUMIF(Data!B:B, A81, Data!K:K)
/ (COUNTIF(Data!B:B, A81)
)),"")</f>
        <v/>
      </c>
      <c r="N81" s="34" t="str">
        <f t="shared" si="33"/>
        <v/>
      </c>
      <c r="O81" s="32" t="str">
        <f>IF(A81="","",IFERROR((((((SUMIF(Data!B:B, A81, Data!H:H)+(SUMIF(Data!B:B, A81,Data!G:G)+(SUMIF(Data!B:B, A81,Data!L:L)+(SUMIF(Data!B:B, A81,Data!K:K)))))/(SUMIF(Data!B:B, A81, Data!M:M)+(SUMIF(Data!B:B, A81, Data!H:H)+(SUMIF(Data!B:B, A81,Data!G:G)+(SUMIF(Data!B:B, A81,Data!K:K)+(SUMIF(Data!B:B, A81,Data!L:L)))))))))),0))</f>
        <v/>
      </c>
      <c r="P81" s="35" t="str">
        <f>IFERROR(__xludf.DUMMYFUNCTION("IFERROR(((COUNTIF(FILTER(Data!N:N,Data!B:B=A81),""TRAVERSE"")*15)+(COUNTIF(FILTER(Data!N:N,Data!B:B=A81),""HIGH"")*10)+(COUNTIF(FILTER(Data!N:N,Data!B:B=A81),""MIDDLE"")*6)+(COUNTIF(FILTER(Data!N:N,Data!B:B=A81),""LOW"")*4)) / (COUNTIF(Data!B:B, A81)),"""&amp;""")"),"")</f>
        <v/>
      </c>
      <c r="Q81" s="31" t="str">
        <f>IFERROR(__xludf.DUMMYFUNCTION("IF(P81="""","""",Average(FIlter(('Convert Name to Number'!$F$422:$Z1000),'Convert Name to Number'!$E$422:$E1000=$A81)))"),"")</f>
        <v/>
      </c>
      <c r="R81" s="36" t="str">
        <f t="shared" si="5"/>
        <v/>
      </c>
      <c r="S81" s="37" t="str">
        <f>IFERROR(__xludf.DUMMYFUNCTION("IFERROR((((COUNTIF(FILTER(Data!N:N,Data!B:B=A81),""TRAVERSE""))+(COUNTIF(FILTER(Data!N:N,Data!B:B=A81),""HIGH""))+(COUNTIF(FILTER(Data!N:N,Data!B:B=A81),""MIDDLE""))+(COUNTIF(FILTER(Data!N:N,Data!B:B=A81),""LOW"")))) / (((COUNTIF(Data!B:B, A81)))-(COUNTIF"&amp;"(FILTER(Data!N:N,Data!B:B=A81),""NONE""))),IF(ISBLANK(A81),"""",0))"),"")</f>
        <v/>
      </c>
      <c r="T81" s="32" t="str">
        <f>IFERROR(__xludf.DUMMYFUNCTION("IFERROR((COUNTIF(FILTER(Data!N:N, Data!B:B=A81),""LOW"")) / (COUNTIF(Data!B:B, A81)),"""")"),"")</f>
        <v/>
      </c>
      <c r="U81" s="38" t="str">
        <f>IFERROR(__xludf.DUMMYFUNCTION("IFERROR((COUNTIF(FILTER(Data!N:N, Data!B:B=A81),""MIDDLE"")) / (COUNTIF(Data!B:B, A81)),"""")"),"")</f>
        <v/>
      </c>
      <c r="V81" s="38" t="str">
        <f>IFERROR(__xludf.DUMMYFUNCTION("IFERROR((COUNTIF(FILTER(Data!N:N, Data!B:B=A81),""HIGH"")) / (COUNTIF(Data!B:B, A81)),"""")"),"")</f>
        <v/>
      </c>
      <c r="W81" s="38" t="str">
        <f>IFERROR(__xludf.DUMMYFUNCTION("IFERROR((COUNTIF(FILTER(Data!N:N, Data!B:B=A81),""TRAVERSE"")) / (COUNTIF(Data!B:B, A81)),"""")"),"")</f>
        <v/>
      </c>
      <c r="X81" s="39" t="str">
        <f t="shared" si="6"/>
        <v/>
      </c>
      <c r="Y81" s="31" t="str">
        <f t="shared" si="7"/>
        <v/>
      </c>
      <c r="Z81" s="31" t="str">
        <f t="shared" si="8"/>
        <v/>
      </c>
      <c r="AA81" s="41" t="str">
        <f t="shared" si="9"/>
        <v/>
      </c>
      <c r="AB81" s="40" t="str">
        <f t="shared" si="34"/>
        <v/>
      </c>
      <c r="AC81" s="41" t="str">
        <f>IFERROR(__xludf.DUMMYFUNCTION("IF(AA81="""","""",MAX(Filter((Data!G:G+Data!K:K),Data!B:B=A81)))"),"")</f>
        <v/>
      </c>
      <c r="AD81" s="41" t="str">
        <f t="shared" si="11"/>
        <v/>
      </c>
      <c r="AE81" s="41" t="str">
        <f t="shared" si="12"/>
        <v/>
      </c>
      <c r="AF81" s="41" t="str">
        <f t="shared" si="13"/>
        <v/>
      </c>
      <c r="AG81" s="42" t="str">
        <f>IF(A81="","",(((AD81)*Picklist!$P$3)+((K81)*Picklist!$P$4)+(E81*Picklist!$P$5)+(N81*Picklist!$P$6)+(X81*Picklist!$P$7)+(R81*Picklist!$P$8)))</f>
        <v/>
      </c>
      <c r="AH81" s="43" t="str">
        <f>IF(A81="","",(((AD81)*Picklist!$P$14)+((K81)*Picklist!$P$15)+(E81*Picklist!$P$16)+(N81*Picklist!$P$17)+(X81*Picklist!$P$18)+(R81*Picklist!$P$19)))</f>
        <v/>
      </c>
      <c r="AI81" s="44" t="str">
        <f>IFERROR(__xludf.DUMMYFUNCTION("TEXTJOIN("", "",TRUE, FILTER(Data!P:P, Data!B:B=A81))"),"")</f>
        <v/>
      </c>
      <c r="AJ81" s="16" t="str">
        <f t="shared" si="14"/>
        <v/>
      </c>
      <c r="AK81" s="46" t="str">
        <f>IFERROR(__xludf.DUMMYFUNCTION("IF(A81&lt;&gt;"""",IFERROR(AVERAGE(FILTER('Defense Calculations'!BJ:CS,'Defense Calculations'!A:A=A81)),""""),"""")"),"")</f>
        <v/>
      </c>
      <c r="AM81" s="47"/>
      <c r="BB81" s="49">
        <f t="shared" si="16"/>
        <v>0</v>
      </c>
      <c r="BC81" s="50" t="str">
        <f t="shared" si="17"/>
        <v/>
      </c>
    </row>
    <row r="82">
      <c r="A82" s="53"/>
      <c r="B82" s="30" t="str">
        <f>IFERROR(__xludf.DUMMYFUNCTION("IFERROR(ROUND(
(COUNTIF(FILTER(Data!O:O, Data!B:B=A82), ""Win"")
+ COUNTIF(FILTER(Data!O:O, Data!B:B=A82), {""Tie"",""Results""}))
/ (COUNTIF(Data!B:B, A82)),
1),"""")"),"")</f>
        <v/>
      </c>
      <c r="C82" s="31" t="str">
        <f>IFERROR((SUMIF(Data!B:B, A82, Data!H:H)
/ (COUNTIF(Data!B:B, A82)
)),"")</f>
        <v/>
      </c>
      <c r="D82" s="31" t="str">
        <f>IFERROR((SUMIF(Data!B:B, A82, Data!G:G)
/ (COUNTIF(Data!B:B, A82)
)),"")</f>
        <v/>
      </c>
      <c r="E82" s="31" t="str">
        <f t="shared" si="1"/>
        <v/>
      </c>
      <c r="F82" s="31" t="str">
        <f>IFERROR((SUMIF(Data!B:B, A82, Data!J:J)
/ (COUNTIF(Data!B:B, A82)
)),"")</f>
        <v/>
      </c>
      <c r="G82" s="32" t="str">
        <f>IF(A82="","",IFERROR((((((SUMIF(Data!B:B, A82, Data!H:H)+(SUMIF(Data!B:B, A82,Data!G:G)))/(SUMIF(Data!B:B, A82, Data!J:J)))))),0))</f>
        <v/>
      </c>
      <c r="H82" s="33" t="str">
        <f>IFERROR(__xludf.DUMMYFUNCTION("IFERROR(IF(G82="""","""",(SUM(FIlter(Filter(Data!G:G,Data!B:B=A82),(Filter(Data!J:J&lt;3,Data!B:B=A82))))+SUM((FIlter(Filter(Data!H:H,Data!B:B=A82),(Filter(Data!J:J&lt;3,Data!B:B=A82))))))/(SUM(Filter(Filter(Data!J:J,Data!B:B=A82),FILTER(Data!J:J&lt;3,Data!B:B=A82"&amp;"))))),"""")"),"")</f>
        <v/>
      </c>
      <c r="I82" s="32" t="str">
        <f>IFERROR(__xludf.DUMMYFUNCTION("IF(A82="""","""",(COUNT(FILTER(IF(Data!G:G&lt;&gt;0,Data!G:G,IF(Data!H:H&lt;&gt;0,Data!H:H)),Data!B:B=A82)))/(COUNT(FILTER(Data!J:J,Data!B:B=A82))))"),"")</f>
        <v/>
      </c>
      <c r="J82" s="32" t="str">
        <f t="shared" si="2"/>
        <v/>
      </c>
      <c r="K82" s="31" t="str">
        <f t="shared" si="3"/>
        <v/>
      </c>
      <c r="L82" s="31" t="str">
        <f>IFERROR((SUMIF(Data!B:B, A82, Data!L:L)
/ (COUNTIF(Data!B:B, A82)
)),"")</f>
        <v/>
      </c>
      <c r="M82" s="31" t="str">
        <f>IFERROR((SUMIF(Data!B:B, A82, Data!K:K)
/ (COUNTIF(Data!B:B, A82)
)),"")</f>
        <v/>
      </c>
      <c r="N82" s="34" t="str">
        <f t="shared" si="33"/>
        <v/>
      </c>
      <c r="O82" s="32" t="str">
        <f>IF(A82="","",IFERROR((((((SUMIF(Data!B:B, A82, Data!H:H)+(SUMIF(Data!B:B, A82,Data!G:G)+(SUMIF(Data!B:B, A82,Data!L:L)+(SUMIF(Data!B:B, A82,Data!K:K)))))/(SUMIF(Data!B:B, A82, Data!M:M)+(SUMIF(Data!B:B, A82, Data!H:H)+(SUMIF(Data!B:B, A82,Data!G:G)+(SUMIF(Data!B:B, A82,Data!K:K)+(SUMIF(Data!B:B, A82,Data!L:L)))))))))),0))</f>
        <v/>
      </c>
      <c r="P82" s="35" t="str">
        <f>IFERROR(__xludf.DUMMYFUNCTION("IFERROR(((COUNTIF(FILTER(Data!N:N,Data!B:B=A82),""TRAVERSE"")*15)+(COUNTIF(FILTER(Data!N:N,Data!B:B=A82),""HIGH"")*10)+(COUNTIF(FILTER(Data!N:N,Data!B:B=A82),""MIDDLE"")*6)+(COUNTIF(FILTER(Data!N:N,Data!B:B=A82),""LOW"")*4)) / (COUNTIF(Data!B:B, A82)),"""&amp;""")"),"")</f>
        <v/>
      </c>
      <c r="Q82" s="31" t="str">
        <f>IFERROR(__xludf.DUMMYFUNCTION("IF(P82="""","""",Average(FIlter(('Convert Name to Number'!$F$422:$Z1000),'Convert Name to Number'!$E$422:$E1000=$A82)))"),"")</f>
        <v/>
      </c>
      <c r="R82" s="36" t="str">
        <f t="shared" si="5"/>
        <v/>
      </c>
      <c r="S82" s="37" t="str">
        <f>IFERROR(__xludf.DUMMYFUNCTION("IFERROR((((COUNTIF(FILTER(Data!N:N,Data!B:B=A82),""TRAVERSE""))+(COUNTIF(FILTER(Data!N:N,Data!B:B=A82),""HIGH""))+(COUNTIF(FILTER(Data!N:N,Data!B:B=A82),""MIDDLE""))+(COUNTIF(FILTER(Data!N:N,Data!B:B=A82),""LOW"")))) / (((COUNTIF(Data!B:B, A82)))-(COUNTIF"&amp;"(FILTER(Data!N:N,Data!B:B=A82),""NONE""))),IF(ISBLANK(A82),"""",0))"),"")</f>
        <v/>
      </c>
      <c r="T82" s="32" t="str">
        <f>IFERROR(__xludf.DUMMYFUNCTION("IFERROR((COUNTIF(FILTER(Data!N:N, Data!B:B=A82),""LOW"")) / (COUNTIF(Data!B:B, A82)),"""")"),"")</f>
        <v/>
      </c>
      <c r="U82" s="38" t="str">
        <f>IFERROR(__xludf.DUMMYFUNCTION("IFERROR((COUNTIF(FILTER(Data!N:N, Data!B:B=A82),""MIDDLE"")) / (COUNTIF(Data!B:B, A82)),"""")"),"")</f>
        <v/>
      </c>
      <c r="V82" s="38" t="str">
        <f>IFERROR(__xludf.DUMMYFUNCTION("IFERROR((COUNTIF(FILTER(Data!N:N, Data!B:B=A82),""HIGH"")) / (COUNTIF(Data!B:B, A82)),"""")"),"")</f>
        <v/>
      </c>
      <c r="W82" s="38" t="str">
        <f>IFERROR(__xludf.DUMMYFUNCTION("IFERROR((COUNTIF(FILTER(Data!N:N, Data!B:B=A82),""TRAVERSE"")) / (COUNTIF(Data!B:B, A82)),"""")"),"")</f>
        <v/>
      </c>
      <c r="X82" s="39" t="str">
        <f t="shared" si="6"/>
        <v/>
      </c>
      <c r="Y82" s="31" t="str">
        <f t="shared" si="7"/>
        <v/>
      </c>
      <c r="Z82" s="31" t="str">
        <f t="shared" si="8"/>
        <v/>
      </c>
      <c r="AA82" s="41" t="str">
        <f t="shared" si="9"/>
        <v/>
      </c>
      <c r="AB82" s="40" t="str">
        <f t="shared" si="34"/>
        <v/>
      </c>
      <c r="AC82" s="41" t="str">
        <f>IFERROR(__xludf.DUMMYFUNCTION("IF(AA82="""","""",MAX(Filter((Data!G:G+Data!K:K),Data!B:B=A82)))"),"")</f>
        <v/>
      </c>
      <c r="AD82" s="41" t="str">
        <f t="shared" si="11"/>
        <v/>
      </c>
      <c r="AE82" s="41" t="str">
        <f t="shared" si="12"/>
        <v/>
      </c>
      <c r="AF82" s="41" t="str">
        <f t="shared" si="13"/>
        <v/>
      </c>
      <c r="AG82" s="42" t="str">
        <f>IF(A82="","",(((AD82)*Picklist!$P$3)+((K82)*Picklist!$P$4)+(E82*Picklist!$P$5)+(N82*Picklist!$P$6)+(X82*Picklist!$P$7)+(R82*Picklist!$P$8)))</f>
        <v/>
      </c>
      <c r="AH82" s="43" t="str">
        <f>IF(A82="","",(((AD82)*Picklist!$P$14)+((K82)*Picklist!$P$15)+(E82*Picklist!$P$16)+(N82*Picklist!$P$17)+(X82*Picklist!$P$18)+(R82*Picklist!$P$19)))</f>
        <v/>
      </c>
      <c r="AI82" s="44" t="str">
        <f>IFERROR(__xludf.DUMMYFUNCTION("TEXTJOIN("", "",TRUE, FILTER(Data!P:P, Data!B:B=A82))"),"")</f>
        <v/>
      </c>
      <c r="AJ82" s="16" t="str">
        <f t="shared" si="14"/>
        <v/>
      </c>
      <c r="AK82" s="46" t="str">
        <f>IFERROR(__xludf.DUMMYFUNCTION("IF(A82&lt;&gt;"""",IFERROR(AVERAGE(FILTER('Defense Calculations'!BJ:CS,'Defense Calculations'!A:A=A82)),""""),"""")"),"")</f>
        <v/>
      </c>
      <c r="AM82" s="47"/>
      <c r="BB82" s="49">
        <f t="shared" si="16"/>
        <v>0</v>
      </c>
      <c r="BC82" s="50" t="str">
        <f t="shared" si="17"/>
        <v/>
      </c>
    </row>
    <row r="83">
      <c r="A83" s="53"/>
      <c r="B83" s="30" t="str">
        <f>IFERROR(__xludf.DUMMYFUNCTION("IFERROR(ROUND(
(COUNTIF(FILTER(Data!O:O, Data!B:B=A83), ""Win"")
+ COUNTIF(FILTER(Data!O:O, Data!B:B=A83), {""Tie"",""Results""}))
/ (COUNTIF(Data!B:B, A83)),
1),"""")"),"")</f>
        <v/>
      </c>
      <c r="C83" s="31" t="str">
        <f>IFERROR((SUMIF(Data!B:B, A83, Data!H:H)
/ (COUNTIF(Data!B:B, A83)
)),"")</f>
        <v/>
      </c>
      <c r="D83" s="31" t="str">
        <f>IFERROR((SUMIF(Data!B:B, A83, Data!G:G)
/ (COUNTIF(Data!B:B, A83)
)),"")</f>
        <v/>
      </c>
      <c r="E83" s="31" t="str">
        <f t="shared" si="1"/>
        <v/>
      </c>
      <c r="F83" s="31" t="str">
        <f>IFERROR((SUMIF(Data!B:B, A83, Data!J:J)
/ (COUNTIF(Data!B:B, A83)
)),"")</f>
        <v/>
      </c>
      <c r="G83" s="32" t="str">
        <f>IF(A83="","",IFERROR((((((SUMIF(Data!B:B, A83, Data!H:H)+(SUMIF(Data!B:B, A83,Data!G:G)))/(SUMIF(Data!B:B, A83, Data!J:J)))))),0))</f>
        <v/>
      </c>
      <c r="H83" s="33" t="str">
        <f>IFERROR(__xludf.DUMMYFUNCTION("IFERROR(IF(G83="""","""",(SUM(FIlter(Filter(Data!G:G,Data!B:B=A83),(Filter(Data!J:J&lt;3,Data!B:B=A83))))+SUM((FIlter(Filter(Data!H:H,Data!B:B=A83),(Filter(Data!J:J&lt;3,Data!B:B=A83))))))/(SUM(Filter(Filter(Data!J:J,Data!B:B=A83),FILTER(Data!J:J&lt;3,Data!B:B=A83"&amp;"))))),"""")"),"")</f>
        <v/>
      </c>
      <c r="I83" s="32" t="str">
        <f>IFERROR(__xludf.DUMMYFUNCTION("IF(A83="""","""",(COUNT(FILTER(IF(Data!G:G&lt;&gt;0,Data!G:G,IF(Data!H:H&lt;&gt;0,Data!H:H)),Data!B:B=A83)))/(COUNT(FILTER(Data!J:J,Data!B:B=A83))))"),"")</f>
        <v/>
      </c>
      <c r="J83" s="32" t="str">
        <f t="shared" si="2"/>
        <v/>
      </c>
      <c r="K83" s="31" t="str">
        <f t="shared" si="3"/>
        <v/>
      </c>
      <c r="L83" s="31" t="str">
        <f>IFERROR((SUMIF(Data!B:B, A83, Data!L:L)
/ (COUNTIF(Data!B:B, A83)
)),"")</f>
        <v/>
      </c>
      <c r="M83" s="31" t="str">
        <f>IFERROR((SUMIF(Data!B:B, A83, Data!K:K)
/ (COUNTIF(Data!B:B, A83)
)),"")</f>
        <v/>
      </c>
      <c r="N83" s="34" t="str">
        <f t="shared" si="33"/>
        <v/>
      </c>
      <c r="O83" s="32" t="str">
        <f>IF(A83="","",IFERROR((((((SUMIF(Data!B:B, A83, Data!H:H)+(SUMIF(Data!B:B, A83,Data!G:G)+(SUMIF(Data!B:B, A83,Data!L:L)+(SUMIF(Data!B:B, A83,Data!K:K)))))/(SUMIF(Data!B:B, A83, Data!M:M)+(SUMIF(Data!B:B, A83, Data!H:H)+(SUMIF(Data!B:B, A83,Data!G:G)+(SUMIF(Data!B:B, A83,Data!K:K)+(SUMIF(Data!B:B, A83,Data!L:L)))))))))),0))</f>
        <v/>
      </c>
      <c r="P83" s="35" t="str">
        <f>IFERROR(__xludf.DUMMYFUNCTION("IFERROR(((COUNTIF(FILTER(Data!N:N,Data!B:B=A83),""TRAVERSE"")*15)+(COUNTIF(FILTER(Data!N:N,Data!B:B=A83),""HIGH"")*10)+(COUNTIF(FILTER(Data!N:N,Data!B:B=A83),""MIDDLE"")*6)+(COUNTIF(FILTER(Data!N:N,Data!B:B=A83),""LOW"")*4)) / (COUNTIF(Data!B:B, A83)),"""&amp;""")"),"")</f>
        <v/>
      </c>
      <c r="Q83" s="31" t="str">
        <f>IFERROR(__xludf.DUMMYFUNCTION("IF(P83="""","""",Average(FIlter(('Convert Name to Number'!$F$422:$Z1000),'Convert Name to Number'!$E$422:$E1000=$A83)))"),"")</f>
        <v/>
      </c>
      <c r="R83" s="36" t="str">
        <f t="shared" si="5"/>
        <v/>
      </c>
      <c r="S83" s="37" t="str">
        <f>IFERROR(__xludf.DUMMYFUNCTION("IFERROR((((COUNTIF(FILTER(Data!N:N,Data!B:B=A83),""TRAVERSE""))+(COUNTIF(FILTER(Data!N:N,Data!B:B=A83),""HIGH""))+(COUNTIF(FILTER(Data!N:N,Data!B:B=A83),""MIDDLE""))+(COUNTIF(FILTER(Data!N:N,Data!B:B=A83),""LOW"")))) / (((COUNTIF(Data!B:B, A83)))-(COUNTIF"&amp;"(FILTER(Data!N:N,Data!B:B=A83),""NONE""))),IF(ISBLANK(A83),"""",0))"),"")</f>
        <v/>
      </c>
      <c r="T83" s="32" t="str">
        <f>IFERROR(__xludf.DUMMYFUNCTION("IFERROR((COUNTIF(FILTER(Data!N:N, Data!B:B=A83),""LOW"")) / (COUNTIF(Data!B:B, A83)),"""")"),"")</f>
        <v/>
      </c>
      <c r="U83" s="38" t="str">
        <f>IFERROR(__xludf.DUMMYFUNCTION("IFERROR((COUNTIF(FILTER(Data!N:N, Data!B:B=A83),""MIDDLE"")) / (COUNTIF(Data!B:B, A83)),"""")"),"")</f>
        <v/>
      </c>
      <c r="V83" s="38" t="str">
        <f>IFERROR(__xludf.DUMMYFUNCTION("IFERROR((COUNTIF(FILTER(Data!N:N, Data!B:B=A83),""HIGH"")) / (COUNTIF(Data!B:B, A83)),"""")"),"")</f>
        <v/>
      </c>
      <c r="W83" s="38" t="str">
        <f>IFERROR(__xludf.DUMMYFUNCTION("IFERROR((COUNTIF(FILTER(Data!N:N, Data!B:B=A83),""TRAVERSE"")) / (COUNTIF(Data!B:B, A83)),"""")"),"")</f>
        <v/>
      </c>
      <c r="X83" s="39" t="str">
        <f t="shared" si="6"/>
        <v/>
      </c>
      <c r="Y83" s="31" t="str">
        <f t="shared" si="7"/>
        <v/>
      </c>
      <c r="Z83" s="31" t="str">
        <f t="shared" si="8"/>
        <v/>
      </c>
      <c r="AA83" s="41" t="str">
        <f t="shared" si="9"/>
        <v/>
      </c>
      <c r="AB83" s="40" t="str">
        <f t="shared" si="34"/>
        <v/>
      </c>
      <c r="AC83" s="41" t="str">
        <f>IFERROR(__xludf.DUMMYFUNCTION("IF(AA83="""","""",MAX(Filter((Data!G:G+Data!K:K),Data!B:B=A83)))"),"")</f>
        <v/>
      </c>
      <c r="AD83" s="41" t="str">
        <f t="shared" si="11"/>
        <v/>
      </c>
      <c r="AE83" s="41" t="str">
        <f t="shared" si="12"/>
        <v/>
      </c>
      <c r="AF83" s="41" t="str">
        <f t="shared" si="13"/>
        <v/>
      </c>
      <c r="AG83" s="42" t="str">
        <f>IF(A83="","",(((AD83)*Picklist!$P$3)+((K83)*Picklist!$P$4)+(E83*Picklist!$P$5)+(N83*Picklist!$P$6)+(X83*Picklist!$P$7)+(R83*Picklist!$P$8)))</f>
        <v/>
      </c>
      <c r="AH83" s="43" t="str">
        <f>IF(A83="","",(((AD83)*Picklist!$P$14)+((K83)*Picklist!$P$15)+(E83*Picklist!$P$16)+(N83*Picklist!$P$17)+(X83*Picklist!$P$18)+(R83*Picklist!$P$19)))</f>
        <v/>
      </c>
      <c r="AI83" s="44" t="str">
        <f>IFERROR(__xludf.DUMMYFUNCTION("TEXTJOIN("", "",TRUE, FILTER(Data!P:P, Data!B:B=A83))"),"")</f>
        <v/>
      </c>
      <c r="AJ83" s="16" t="str">
        <f t="shared" si="14"/>
        <v/>
      </c>
      <c r="AK83" s="46" t="str">
        <f>IFERROR(__xludf.DUMMYFUNCTION("IF(A83&lt;&gt;"""",IFERROR(AVERAGE(FILTER('Defense Calculations'!BJ:CS,'Defense Calculations'!A:A=A83)),""""),"""")"),"")</f>
        <v/>
      </c>
      <c r="AM83" s="47"/>
      <c r="BB83" s="49">
        <f t="shared" si="16"/>
        <v>0</v>
      </c>
      <c r="BC83" s="50" t="str">
        <f t="shared" si="17"/>
        <v/>
      </c>
    </row>
    <row r="84">
      <c r="A84" s="53"/>
      <c r="B84" s="30" t="str">
        <f>IFERROR(__xludf.DUMMYFUNCTION("IFERROR(ROUND(
(COUNTIF(FILTER(Data!O:O, Data!B:B=A84), ""Win"")
+ COUNTIF(FILTER(Data!O:O, Data!B:B=A84), {""Tie"",""Results""}))
/ (COUNTIF(Data!B:B, A84)),
1),"""")"),"")</f>
        <v/>
      </c>
      <c r="C84" s="31" t="str">
        <f>IFERROR((SUMIF(Data!B:B, A84, Data!H:H)
/ (COUNTIF(Data!B:B, A84)
)),"")</f>
        <v/>
      </c>
      <c r="D84" s="31" t="str">
        <f>IFERROR((SUMIF(Data!B:B, A84, Data!G:G)
/ (COUNTIF(Data!B:B, A84)
)),"")</f>
        <v/>
      </c>
      <c r="E84" s="31" t="str">
        <f t="shared" si="1"/>
        <v/>
      </c>
      <c r="F84" s="31" t="str">
        <f>IFERROR((SUMIF(Data!B:B, A84, Data!J:J)
/ (COUNTIF(Data!B:B, A84)
)),"")</f>
        <v/>
      </c>
      <c r="G84" s="32" t="str">
        <f>IF(A84="","",IFERROR((((((SUMIF(Data!B:B, A84, Data!H:H)+(SUMIF(Data!B:B, A84,Data!G:G)))/(SUMIF(Data!B:B, A84, Data!J:J)))))),0))</f>
        <v/>
      </c>
      <c r="H84" s="33" t="str">
        <f>IFERROR(__xludf.DUMMYFUNCTION("IFERROR(IF(G84="""","""",(SUM(FIlter(Filter(Data!G:G,Data!B:B=A84),(Filter(Data!J:J&lt;3,Data!B:B=A84))))+SUM((FIlter(Filter(Data!H:H,Data!B:B=A84),(Filter(Data!J:J&lt;3,Data!B:B=A84))))))/(SUM(Filter(Filter(Data!J:J,Data!B:B=A84),FILTER(Data!J:J&lt;3,Data!B:B=A84"&amp;"))))),"""")"),"")</f>
        <v/>
      </c>
      <c r="I84" s="32" t="str">
        <f>IFERROR(__xludf.DUMMYFUNCTION("IF(A84="""","""",(COUNT(FILTER(IF(Data!G:G&lt;&gt;0,Data!G:G,IF(Data!H:H&lt;&gt;0,Data!H:H)),Data!B:B=A84)))/(COUNT(FILTER(Data!J:J,Data!B:B=A84))))"),"")</f>
        <v/>
      </c>
      <c r="J84" s="32" t="str">
        <f t="shared" si="2"/>
        <v/>
      </c>
      <c r="K84" s="31" t="str">
        <f t="shared" si="3"/>
        <v/>
      </c>
      <c r="L84" s="31" t="str">
        <f>IFERROR((SUMIF(Data!B:B, A84, Data!L:L)
/ (COUNTIF(Data!B:B, A84)
)),"")</f>
        <v/>
      </c>
      <c r="M84" s="31" t="str">
        <f>IFERROR((SUMIF(Data!B:B, A84, Data!K:K)
/ (COUNTIF(Data!B:B, A84)
)),"")</f>
        <v/>
      </c>
      <c r="N84" s="34" t="str">
        <f t="shared" si="33"/>
        <v/>
      </c>
      <c r="O84" s="32" t="str">
        <f>IF(A84="","",IFERROR((((((SUMIF(Data!B:B, A84, Data!H:H)+(SUMIF(Data!B:B, A84,Data!G:G)+(SUMIF(Data!B:B, A84,Data!L:L)+(SUMIF(Data!B:B, A84,Data!K:K)))))/(SUMIF(Data!B:B, A84, Data!M:M)+(SUMIF(Data!B:B, A84, Data!H:H)+(SUMIF(Data!B:B, A84,Data!G:G)+(SUMIF(Data!B:B, A84,Data!K:K)+(SUMIF(Data!B:B, A84,Data!L:L)))))))))),0))</f>
        <v/>
      </c>
      <c r="P84" s="35" t="str">
        <f>IFERROR(__xludf.DUMMYFUNCTION("IFERROR(((COUNTIF(FILTER(Data!N:N,Data!B:B=A84),""TRAVERSE"")*15)+(COUNTIF(FILTER(Data!N:N,Data!B:B=A84),""HIGH"")*10)+(COUNTIF(FILTER(Data!N:N,Data!B:B=A84),""MIDDLE"")*6)+(COUNTIF(FILTER(Data!N:N,Data!B:B=A84),""LOW"")*4)) / (COUNTIF(Data!B:B, A84)),"""&amp;""")"),"")</f>
        <v/>
      </c>
      <c r="Q84" s="31" t="str">
        <f>IFERROR(__xludf.DUMMYFUNCTION("IF(P84="""","""",Average(FIlter(('Convert Name to Number'!$F$422:$Z1000),'Convert Name to Number'!$E$422:$E1000=$A84)))"),"")</f>
        <v/>
      </c>
      <c r="R84" s="36" t="str">
        <f t="shared" si="5"/>
        <v/>
      </c>
      <c r="S84" s="37" t="str">
        <f>IFERROR(__xludf.DUMMYFUNCTION("IFERROR((((COUNTIF(FILTER(Data!N:N,Data!B:B=A84),""TRAVERSE""))+(COUNTIF(FILTER(Data!N:N,Data!B:B=A84),""HIGH""))+(COUNTIF(FILTER(Data!N:N,Data!B:B=A84),""MIDDLE""))+(COUNTIF(FILTER(Data!N:N,Data!B:B=A84),""LOW"")))) / (((COUNTIF(Data!B:B, A84)))-(COUNTIF"&amp;"(FILTER(Data!N:N,Data!B:B=A84),""NONE""))),IF(ISBLANK(A84),"""",0))"),"")</f>
        <v/>
      </c>
      <c r="T84" s="32" t="str">
        <f>IFERROR(__xludf.DUMMYFUNCTION("IFERROR((COUNTIF(FILTER(Data!N:N, Data!B:B=A84),""LOW"")) / (COUNTIF(Data!B:B, A84)),"""")"),"")</f>
        <v/>
      </c>
      <c r="U84" s="38" t="str">
        <f>IFERROR(__xludf.DUMMYFUNCTION("IFERROR((COUNTIF(FILTER(Data!N:N, Data!B:B=A84),""MIDDLE"")) / (COUNTIF(Data!B:B, A84)),"""")"),"")</f>
        <v/>
      </c>
      <c r="V84" s="38" t="str">
        <f>IFERROR(__xludf.DUMMYFUNCTION("IFERROR((COUNTIF(FILTER(Data!N:N, Data!B:B=A84),""HIGH"")) / (COUNTIF(Data!B:B, A84)),"""")"),"")</f>
        <v/>
      </c>
      <c r="W84" s="38" t="str">
        <f>IFERROR(__xludf.DUMMYFUNCTION("IFERROR((COUNTIF(FILTER(Data!N:N, Data!B:B=A84),""TRAVERSE"")) / (COUNTIF(Data!B:B, A84)),"""")"),"")</f>
        <v/>
      </c>
      <c r="X84" s="39" t="str">
        <f t="shared" si="6"/>
        <v/>
      </c>
      <c r="Y84" s="31" t="str">
        <f t="shared" si="7"/>
        <v/>
      </c>
      <c r="Z84" s="31" t="str">
        <f t="shared" si="8"/>
        <v/>
      </c>
      <c r="AA84" s="41" t="str">
        <f t="shared" si="9"/>
        <v/>
      </c>
      <c r="AB84" s="40" t="str">
        <f t="shared" si="34"/>
        <v/>
      </c>
      <c r="AC84" s="41" t="str">
        <f>IFERROR(__xludf.DUMMYFUNCTION("IF(AA84="""","""",MAX(Filter((Data!G:G+Data!K:K),Data!B:B=A84)))"),"")</f>
        <v/>
      </c>
      <c r="AD84" s="41" t="str">
        <f t="shared" si="11"/>
        <v/>
      </c>
      <c r="AE84" s="41" t="str">
        <f t="shared" si="12"/>
        <v/>
      </c>
      <c r="AF84" s="41" t="str">
        <f t="shared" si="13"/>
        <v/>
      </c>
      <c r="AG84" s="42" t="str">
        <f>IF(A84="","",(((AD84)*Picklist!$P$3)+((K84)*Picklist!$P$4)+(E84*Picklist!$P$5)+(N84*Picklist!$P$6)+(X84*Picklist!$P$7)+(R84*Picklist!$P$8)))</f>
        <v/>
      </c>
      <c r="AH84" s="43" t="str">
        <f>IF(A84="","",(((AD84)*Picklist!$P$14)+((K84)*Picklist!$P$15)+(E84*Picklist!$P$16)+(N84*Picklist!$P$17)+(X84*Picklist!$P$18)+(R84*Picklist!$P$19)))</f>
        <v/>
      </c>
      <c r="AI84" s="44" t="str">
        <f>IFERROR(__xludf.DUMMYFUNCTION("TEXTJOIN("", "",TRUE, FILTER(Data!P:P, Data!B:B=A84))"),"")</f>
        <v/>
      </c>
      <c r="AJ84" s="16" t="str">
        <f t="shared" si="14"/>
        <v/>
      </c>
      <c r="AK84" s="46" t="str">
        <f>IFERROR(__xludf.DUMMYFUNCTION("IF(A84&lt;&gt;"""",IFERROR(AVERAGE(FILTER('Defense Calculations'!BJ:CS,'Defense Calculations'!A:A=A84)),""""),"""")"),"")</f>
        <v/>
      </c>
      <c r="AM84" s="47"/>
      <c r="BB84" s="49">
        <f t="shared" si="16"/>
        <v>0</v>
      </c>
      <c r="BC84" s="50" t="str">
        <f t="shared" si="17"/>
        <v/>
      </c>
    </row>
    <row r="85">
      <c r="A85" s="53"/>
      <c r="B85" s="30" t="str">
        <f>IFERROR(__xludf.DUMMYFUNCTION("IFERROR(ROUND(
(COUNTIF(FILTER(Data!O:O, Data!B:B=A85), ""Win"")
+ COUNTIF(FILTER(Data!O:O, Data!B:B=A85), {""Tie"",""Results""}))
/ (COUNTIF(Data!B:B, A85)),
1),"""")"),"")</f>
        <v/>
      </c>
      <c r="C85" s="31" t="str">
        <f>IFERROR((SUMIF(Data!B:B, A85, Data!H:H)
/ (COUNTIF(Data!B:B, A85)
)),"")</f>
        <v/>
      </c>
      <c r="D85" s="31" t="str">
        <f>IFERROR((SUMIF(Data!B:B, A85, Data!G:G)
/ (COUNTIF(Data!B:B, A85)
)),"")</f>
        <v/>
      </c>
      <c r="E85" s="31" t="str">
        <f t="shared" si="1"/>
        <v/>
      </c>
      <c r="F85" s="31" t="str">
        <f>IFERROR((SUMIF(Data!B:B, A85, Data!J:J)
/ (COUNTIF(Data!B:B, A85)
)),"")</f>
        <v/>
      </c>
      <c r="G85" s="32" t="str">
        <f>IF(A85="","",IFERROR((((((SUMIF(Data!B:B, A85, Data!H:H)+(SUMIF(Data!B:B, A85,Data!G:G)))/(SUMIF(Data!B:B, A85, Data!J:J)))))),0))</f>
        <v/>
      </c>
      <c r="H85" s="33" t="str">
        <f>IFERROR(__xludf.DUMMYFUNCTION("IFERROR(IF(G85="""","""",(SUM(FIlter(Filter(Data!G:G,Data!B:B=A85),(Filter(Data!J:J&lt;3,Data!B:B=A85))))+SUM((FIlter(Filter(Data!H:H,Data!B:B=A85),(Filter(Data!J:J&lt;3,Data!B:B=A85))))))/(SUM(Filter(Filter(Data!J:J,Data!B:B=A85),FILTER(Data!J:J&lt;3,Data!B:B=A85"&amp;"))))),"""")"),"")</f>
        <v/>
      </c>
      <c r="I85" s="32" t="str">
        <f>IFERROR(__xludf.DUMMYFUNCTION("IF(A85="""","""",(COUNT(FILTER(IF(Data!G:G&lt;&gt;0,Data!G:G,IF(Data!H:H&lt;&gt;0,Data!H:H)),Data!B:B=A85)))/(COUNT(FILTER(Data!J:J,Data!B:B=A85))))"),"")</f>
        <v/>
      </c>
      <c r="J85" s="32" t="str">
        <f t="shared" si="2"/>
        <v/>
      </c>
      <c r="K85" s="31" t="str">
        <f t="shared" si="3"/>
        <v/>
      </c>
      <c r="L85" s="31" t="str">
        <f>IFERROR((SUMIF(Data!B:B, A85, Data!L:L)
/ (COUNTIF(Data!B:B, A85)
)),"")</f>
        <v/>
      </c>
      <c r="M85" s="31" t="str">
        <f>IFERROR((SUMIF(Data!B:B, A85, Data!K:K)
/ (COUNTIF(Data!B:B, A85)
)),"")</f>
        <v/>
      </c>
      <c r="N85" s="34" t="str">
        <f t="shared" si="33"/>
        <v/>
      </c>
      <c r="O85" s="32" t="str">
        <f>IF(A85="","",IFERROR((((((SUMIF(Data!B:B, A85, Data!H:H)+(SUMIF(Data!B:B, A85,Data!G:G)+(SUMIF(Data!B:B, A85,Data!L:L)+(SUMIF(Data!B:B, A85,Data!K:K)))))/(SUMIF(Data!B:B, A85, Data!M:M)+(SUMIF(Data!B:B, A85, Data!H:H)+(SUMIF(Data!B:B, A85,Data!G:G)+(SUMIF(Data!B:B, A85,Data!K:K)+(SUMIF(Data!B:B, A85,Data!L:L)))))))))),0))</f>
        <v/>
      </c>
      <c r="P85" s="35" t="str">
        <f>IFERROR(__xludf.DUMMYFUNCTION("IFERROR(((COUNTIF(FILTER(Data!N:N,Data!B:B=A85),""TRAVERSE"")*15)+(COUNTIF(FILTER(Data!N:N,Data!B:B=A85),""HIGH"")*10)+(COUNTIF(FILTER(Data!N:N,Data!B:B=A85),""MIDDLE"")*6)+(COUNTIF(FILTER(Data!N:N,Data!B:B=A85),""LOW"")*4)) / (COUNTIF(Data!B:B, A85)),"""&amp;""")"),"")</f>
        <v/>
      </c>
      <c r="Q85" s="31" t="str">
        <f>IFERROR(__xludf.DUMMYFUNCTION("IF(P85="""","""",Average(FIlter(('Convert Name to Number'!$F$422:$Z1000),'Convert Name to Number'!$E$422:$E1000=$A85)))"),"")</f>
        <v/>
      </c>
      <c r="R85" s="36" t="str">
        <f t="shared" si="5"/>
        <v/>
      </c>
      <c r="S85" s="37" t="str">
        <f>IFERROR(__xludf.DUMMYFUNCTION("IFERROR((((COUNTIF(FILTER(Data!N:N,Data!B:B=A85),""TRAVERSE""))+(COUNTIF(FILTER(Data!N:N,Data!B:B=A85),""HIGH""))+(COUNTIF(FILTER(Data!N:N,Data!B:B=A85),""MIDDLE""))+(COUNTIF(FILTER(Data!N:N,Data!B:B=A85),""LOW"")))) / (((COUNTIF(Data!B:B, A85)))-(COUNTIF"&amp;"(FILTER(Data!N:N,Data!B:B=A85),""NONE""))),IF(ISBLANK(A85),"""",0))"),"")</f>
        <v/>
      </c>
      <c r="T85" s="32" t="str">
        <f>IFERROR(__xludf.DUMMYFUNCTION("IFERROR((COUNTIF(FILTER(Data!N:N, Data!B:B=A85),""LOW"")) / (COUNTIF(Data!B:B, A85)),"""")"),"")</f>
        <v/>
      </c>
      <c r="U85" s="38" t="str">
        <f>IFERROR(__xludf.DUMMYFUNCTION("IFERROR((COUNTIF(FILTER(Data!N:N, Data!B:B=A85),""MIDDLE"")) / (COUNTIF(Data!B:B, A85)),"""")"),"")</f>
        <v/>
      </c>
      <c r="V85" s="38" t="str">
        <f>IFERROR(__xludf.DUMMYFUNCTION("IFERROR((COUNTIF(FILTER(Data!N:N, Data!B:B=A85),""HIGH"")) / (COUNTIF(Data!B:B, A85)),"""")"),"")</f>
        <v/>
      </c>
      <c r="W85" s="38" t="str">
        <f>IFERROR(__xludf.DUMMYFUNCTION("IFERROR((COUNTIF(FILTER(Data!N:N, Data!B:B=A85),""TRAVERSE"")) / (COUNTIF(Data!B:B, A85)),"""")"),"")</f>
        <v/>
      </c>
      <c r="X85" s="39" t="str">
        <f t="shared" si="6"/>
        <v/>
      </c>
      <c r="Y85" s="31" t="str">
        <f t="shared" si="7"/>
        <v/>
      </c>
      <c r="Z85" s="31" t="str">
        <f t="shared" si="8"/>
        <v/>
      </c>
      <c r="AA85" s="41" t="str">
        <f t="shared" si="9"/>
        <v/>
      </c>
      <c r="AB85" s="40" t="str">
        <f t="shared" si="34"/>
        <v/>
      </c>
      <c r="AC85" s="41" t="str">
        <f>IFERROR(__xludf.DUMMYFUNCTION("IF(AA85="""","""",MAX(Filter((Data!G:G+Data!K:K),Data!B:B=A85)))"),"")</f>
        <v/>
      </c>
      <c r="AD85" s="41" t="str">
        <f t="shared" si="11"/>
        <v/>
      </c>
      <c r="AE85" s="41" t="str">
        <f t="shared" si="12"/>
        <v/>
      </c>
      <c r="AF85" s="41" t="str">
        <f t="shared" si="13"/>
        <v/>
      </c>
      <c r="AG85" s="42" t="str">
        <f>IF(A85="","",(((AD85)*Picklist!$P$3)+((K85)*Picklist!$P$4)+(E85*Picklist!$P$5)+(N85*Picklist!$P$6)+(X85*Picklist!$P$7)+(R85*Picklist!$P$8)))</f>
        <v/>
      </c>
      <c r="AH85" s="43" t="str">
        <f>IF(A85="","",(((AD85)*Picklist!$P$14)+((K85)*Picklist!$P$15)+(E85*Picklist!$P$16)+(N85*Picklist!$P$17)+(X85*Picklist!$P$18)+(R85*Picklist!$P$19)))</f>
        <v/>
      </c>
      <c r="AI85" s="44" t="str">
        <f>IFERROR(__xludf.DUMMYFUNCTION("TEXTJOIN("", "",TRUE, FILTER(Data!P:P, Data!B:B=A85))"),"")</f>
        <v/>
      </c>
      <c r="AJ85" s="16" t="str">
        <f t="shared" si="14"/>
        <v/>
      </c>
      <c r="AK85" s="46" t="str">
        <f>IFERROR(__xludf.DUMMYFUNCTION("IF(A85&lt;&gt;"""",IFERROR(AVERAGE(FILTER('Defense Calculations'!BJ:CS,'Defense Calculations'!A:A=A85)),""""),"""")"),"")</f>
        <v/>
      </c>
      <c r="AM85" s="47"/>
      <c r="BB85" s="49">
        <f t="shared" si="16"/>
        <v>0</v>
      </c>
      <c r="BC85" s="50" t="str">
        <f t="shared" si="17"/>
        <v/>
      </c>
    </row>
    <row r="86">
      <c r="A86" s="53"/>
      <c r="B86" s="30" t="str">
        <f>IFERROR(__xludf.DUMMYFUNCTION("IFERROR(ROUND(
(COUNTIF(FILTER(Data!O:O, Data!B:B=A86), ""Win"")
+ COUNTIF(FILTER(Data!O:O, Data!B:B=A86), {""Tie"",""Results""}))
/ (COUNTIF(Data!B:B, A86)),
1),"""")"),"")</f>
        <v/>
      </c>
      <c r="C86" s="31" t="str">
        <f>IFERROR((SUMIF(Data!B:B, A86, Data!H:H)
/ (COUNTIF(Data!B:B, A86)
)),"")</f>
        <v/>
      </c>
      <c r="D86" s="31" t="str">
        <f>IFERROR((SUMIF(Data!B:B, A86, Data!G:G)
/ (COUNTIF(Data!B:B, A86)
)),"")</f>
        <v/>
      </c>
      <c r="E86" s="31" t="str">
        <f t="shared" si="1"/>
        <v/>
      </c>
      <c r="F86" s="31" t="str">
        <f>IFERROR((SUMIF(Data!B:B, A86, Data!J:J)
/ (COUNTIF(Data!B:B, A86)
)),"")</f>
        <v/>
      </c>
      <c r="G86" s="32" t="str">
        <f>IF(A86="","",IFERROR((((((SUMIF(Data!B:B, A86, Data!H:H)+(SUMIF(Data!B:B, A86,Data!G:G)))/(SUMIF(Data!B:B, A86, Data!J:J)))))),0))</f>
        <v/>
      </c>
      <c r="H86" s="33" t="str">
        <f>IFERROR(__xludf.DUMMYFUNCTION("IFERROR(IF(G86="""","""",(SUM(FIlter(Filter(Data!G:G,Data!B:B=A86),(Filter(Data!J:J&lt;3,Data!B:B=A86))))+SUM((FIlter(Filter(Data!H:H,Data!B:B=A86),(Filter(Data!J:J&lt;3,Data!B:B=A86))))))/(SUM(Filter(Filter(Data!J:J,Data!B:B=A86),FILTER(Data!J:J&lt;3,Data!B:B=A86"&amp;"))))),"""")"),"")</f>
        <v/>
      </c>
      <c r="I86" s="32" t="str">
        <f>IFERROR(__xludf.DUMMYFUNCTION("IF(A86="""","""",(COUNT(FILTER(IF(Data!G:G&lt;&gt;0,Data!G:G,IF(Data!H:H&lt;&gt;0,Data!H:H)),Data!B:B=A86)))/(COUNT(FILTER(Data!J:J,Data!B:B=A86))))"),"")</f>
        <v/>
      </c>
      <c r="J86" s="32" t="str">
        <f t="shared" si="2"/>
        <v/>
      </c>
      <c r="K86" s="31" t="str">
        <f t="shared" si="3"/>
        <v/>
      </c>
      <c r="L86" s="31" t="str">
        <f>IFERROR((SUMIF(Data!B:B, A86, Data!L:L)
/ (COUNTIF(Data!B:B, A86)
)),"")</f>
        <v/>
      </c>
      <c r="M86" s="31" t="str">
        <f>IFERROR((SUMIF(Data!B:B, A86, Data!K:K)
/ (COUNTIF(Data!B:B, A86)
)),"")</f>
        <v/>
      </c>
      <c r="N86" s="34" t="str">
        <f t="shared" si="33"/>
        <v/>
      </c>
      <c r="O86" s="32" t="str">
        <f>IF(A86="","",IFERROR((((((SUMIF(Data!B:B, A86, Data!H:H)+(SUMIF(Data!B:B, A86,Data!G:G)+(SUMIF(Data!B:B, A86,Data!L:L)+(SUMIF(Data!B:B, A86,Data!K:K)))))/(SUMIF(Data!B:B, A86, Data!M:M)+(SUMIF(Data!B:B, A86, Data!H:H)+(SUMIF(Data!B:B, A86,Data!G:G)+(SUMIF(Data!B:B, A86,Data!K:K)+(SUMIF(Data!B:B, A86,Data!L:L)))))))))),0))</f>
        <v/>
      </c>
      <c r="P86" s="35" t="str">
        <f>IFERROR(__xludf.DUMMYFUNCTION("IFERROR(((COUNTIF(FILTER(Data!N:N,Data!B:B=A86),""TRAVERSE"")*15)+(COUNTIF(FILTER(Data!N:N,Data!B:B=A86),""HIGH"")*10)+(COUNTIF(FILTER(Data!N:N,Data!B:B=A86),""MIDDLE"")*6)+(COUNTIF(FILTER(Data!N:N,Data!B:B=A86),""LOW"")*4)) / (COUNTIF(Data!B:B, A86)),"""&amp;""")"),"")</f>
        <v/>
      </c>
      <c r="Q86" s="31" t="str">
        <f>IFERROR(__xludf.DUMMYFUNCTION("IF(P86="""","""",Average(FIlter(('Convert Name to Number'!$F$422:$Z1000),'Convert Name to Number'!$E$422:$E1000=$A86)))"),"")</f>
        <v/>
      </c>
      <c r="R86" s="36" t="str">
        <f t="shared" si="5"/>
        <v/>
      </c>
      <c r="S86" s="37" t="str">
        <f>IFERROR(__xludf.DUMMYFUNCTION("IFERROR((((COUNTIF(FILTER(Data!N:N,Data!B:B=A86),""TRAVERSE""))+(COUNTIF(FILTER(Data!N:N,Data!B:B=A86),""HIGH""))+(COUNTIF(FILTER(Data!N:N,Data!B:B=A86),""MIDDLE""))+(COUNTIF(FILTER(Data!N:N,Data!B:B=A86),""LOW"")))) / (((COUNTIF(Data!B:B, A86)))-(COUNTIF"&amp;"(FILTER(Data!N:N,Data!B:B=A86),""NONE""))),IF(ISBLANK(A86),"""",0))"),"")</f>
        <v/>
      </c>
      <c r="T86" s="32" t="str">
        <f>IFERROR(__xludf.DUMMYFUNCTION("IFERROR((COUNTIF(FILTER(Data!N:N, Data!B:B=A86),""LOW"")) / (COUNTIF(Data!B:B, A86)),"""")"),"")</f>
        <v/>
      </c>
      <c r="U86" s="38" t="str">
        <f>IFERROR(__xludf.DUMMYFUNCTION("IFERROR((COUNTIF(FILTER(Data!N:N, Data!B:B=A86),""MIDDLE"")) / (COUNTIF(Data!B:B, A86)),"""")"),"")</f>
        <v/>
      </c>
      <c r="V86" s="38" t="str">
        <f>IFERROR(__xludf.DUMMYFUNCTION("IFERROR((COUNTIF(FILTER(Data!N:N, Data!B:B=A86),""HIGH"")) / (COUNTIF(Data!B:B, A86)),"""")"),"")</f>
        <v/>
      </c>
      <c r="W86" s="38" t="str">
        <f>IFERROR(__xludf.DUMMYFUNCTION("IFERROR((COUNTIF(FILTER(Data!N:N, Data!B:B=A86),""TRAVERSE"")) / (COUNTIF(Data!B:B, A86)),"""")"),"")</f>
        <v/>
      </c>
      <c r="X86" s="39" t="str">
        <f t="shared" si="6"/>
        <v/>
      </c>
      <c r="Y86" s="31" t="str">
        <f t="shared" si="7"/>
        <v/>
      </c>
      <c r="Z86" s="31" t="str">
        <f t="shared" si="8"/>
        <v/>
      </c>
      <c r="AA86" s="41" t="str">
        <f t="shared" si="9"/>
        <v/>
      </c>
      <c r="AB86" s="40" t="str">
        <f t="shared" si="34"/>
        <v/>
      </c>
      <c r="AC86" s="41" t="str">
        <f>IFERROR(__xludf.DUMMYFUNCTION("IF(AA86="""","""",MAX(Filter((Data!G:G+Data!K:K),Data!B:B=A86)))"),"")</f>
        <v/>
      </c>
      <c r="AD86" s="41" t="str">
        <f t="shared" si="11"/>
        <v/>
      </c>
      <c r="AE86" s="41" t="str">
        <f t="shared" si="12"/>
        <v/>
      </c>
      <c r="AF86" s="41" t="str">
        <f t="shared" si="13"/>
        <v/>
      </c>
      <c r="AG86" s="42" t="str">
        <f>IF(A86="","",(((AD86)*Picklist!$P$3)+((K86)*Picklist!$P$4)+(E86*Picklist!$P$5)+(N86*Picklist!$P$6)+(X86*Picklist!$P$7)+(R86*Picklist!$P$8)))</f>
        <v/>
      </c>
      <c r="AH86" s="43" t="str">
        <f>IF(A86="","",(((AD86)*Picklist!$P$14)+((K86)*Picklist!$P$15)+(E86*Picklist!$P$16)+(N86*Picklist!$P$17)+(X86*Picklist!$P$18)+(R86*Picklist!$P$19)))</f>
        <v/>
      </c>
      <c r="AI86" s="44" t="str">
        <f>IFERROR(__xludf.DUMMYFUNCTION("TEXTJOIN("", "",TRUE, FILTER(Data!P:P, Data!B:B=A86))"),"")</f>
        <v/>
      </c>
      <c r="AJ86" s="16" t="str">
        <f t="shared" si="14"/>
        <v/>
      </c>
      <c r="AK86" s="46" t="str">
        <f>IFERROR(__xludf.DUMMYFUNCTION("IF(A86&lt;&gt;"""",IFERROR(AVERAGE(FILTER('Defense Calculations'!BJ:CS,'Defense Calculations'!A:A=A86)),""""),"""")"),"")</f>
        <v/>
      </c>
      <c r="AM86" s="47"/>
      <c r="BB86" s="49">
        <f t="shared" si="16"/>
        <v>0</v>
      </c>
      <c r="BC86" s="50" t="str">
        <f t="shared" si="17"/>
        <v/>
      </c>
    </row>
    <row r="87">
      <c r="A87" s="53"/>
      <c r="B87" s="30" t="str">
        <f>IFERROR(__xludf.DUMMYFUNCTION("IFERROR(ROUND(
(COUNTIF(FILTER(Data!O:O, Data!B:B=A87), ""Win"")
+ COUNTIF(FILTER(Data!O:O, Data!B:B=A87), {""Tie"",""Results""}))
/ (COUNTIF(Data!B:B, A87)),
1),"""")"),"")</f>
        <v/>
      </c>
      <c r="C87" s="31" t="str">
        <f>IFERROR((SUMIF(Data!B:B, A87, Data!H:H)
/ (COUNTIF(Data!B:B, A87)
)),"")</f>
        <v/>
      </c>
      <c r="D87" s="31" t="str">
        <f>IFERROR((SUMIF(Data!B:B, A87, Data!G:G)
/ (COUNTIF(Data!B:B, A87)
)),"")</f>
        <v/>
      </c>
      <c r="E87" s="31" t="str">
        <f t="shared" si="1"/>
        <v/>
      </c>
      <c r="F87" s="31" t="str">
        <f>IFERROR((SUMIF(Data!B:B, A87, Data!J:J)
/ (COUNTIF(Data!B:B, A87)
)),"")</f>
        <v/>
      </c>
      <c r="G87" s="32" t="str">
        <f>IF(A87="","",IFERROR((((((SUMIF(Data!B:B, A87, Data!H:H)+(SUMIF(Data!B:B, A87,Data!G:G)))/(SUMIF(Data!B:B, A87, Data!J:J)))))),0))</f>
        <v/>
      </c>
      <c r="H87" s="33" t="str">
        <f>IFERROR(__xludf.DUMMYFUNCTION("IFERROR(IF(G87="""","""",(SUM(FIlter(Filter(Data!G:G,Data!B:B=A87),(Filter(Data!J:J&lt;3,Data!B:B=A87))))+SUM((FIlter(Filter(Data!H:H,Data!B:B=A87),(Filter(Data!J:J&lt;3,Data!B:B=A87))))))/(SUM(Filter(Filter(Data!J:J,Data!B:B=A87),FILTER(Data!J:J&lt;3,Data!B:B=A87"&amp;"))))),"""")"),"")</f>
        <v/>
      </c>
      <c r="I87" s="32" t="str">
        <f>IFERROR(__xludf.DUMMYFUNCTION("IF(A87="""","""",(COUNT(FILTER(IF(Data!G:G&lt;&gt;0,Data!G:G,IF(Data!H:H&lt;&gt;0,Data!H:H)),Data!B:B=A87)))/(COUNT(FILTER(Data!J:J,Data!B:B=A87))))"),"")</f>
        <v/>
      </c>
      <c r="J87" s="32" t="str">
        <f t="shared" si="2"/>
        <v/>
      </c>
      <c r="K87" s="31" t="str">
        <f t="shared" si="3"/>
        <v/>
      </c>
      <c r="L87" s="31" t="str">
        <f>IFERROR((SUMIF(Data!B:B, A87, Data!L:L)
/ (COUNTIF(Data!B:B, A87)
)),"")</f>
        <v/>
      </c>
      <c r="M87" s="31" t="str">
        <f>IFERROR((SUMIF(Data!B:B, A87, Data!K:K)
/ (COUNTIF(Data!B:B, A87)
)),"")</f>
        <v/>
      </c>
      <c r="N87" s="34" t="str">
        <f t="shared" si="33"/>
        <v/>
      </c>
      <c r="O87" s="32" t="str">
        <f>IF(A87="","",IFERROR((((((SUMIF(Data!B:B, A87, Data!H:H)+(SUMIF(Data!B:B, A87,Data!G:G)+(SUMIF(Data!B:B, A87,Data!L:L)+(SUMIF(Data!B:B, A87,Data!K:K)))))/(SUMIF(Data!B:B, A87, Data!M:M)+(SUMIF(Data!B:B, A87, Data!H:H)+(SUMIF(Data!B:B, A87,Data!G:G)+(SUMIF(Data!B:B, A87,Data!K:K)+(SUMIF(Data!B:B, A87,Data!L:L)))))))))),0))</f>
        <v/>
      </c>
      <c r="P87" s="35" t="str">
        <f>IFERROR(__xludf.DUMMYFUNCTION("IFERROR(((COUNTIF(FILTER(Data!N:N,Data!B:B=A87),""TRAVERSE"")*15)+(COUNTIF(FILTER(Data!N:N,Data!B:B=A87),""HIGH"")*10)+(COUNTIF(FILTER(Data!N:N,Data!B:B=A87),""MIDDLE"")*6)+(COUNTIF(FILTER(Data!N:N,Data!B:B=A87),""LOW"")*4)) / (COUNTIF(Data!B:B, A87)),"""&amp;""")"),"")</f>
        <v/>
      </c>
      <c r="Q87" s="31" t="str">
        <f>IFERROR(__xludf.DUMMYFUNCTION("IF(P87="""","""",Average(FIlter(('Convert Name to Number'!$F$422:$Z1000),'Convert Name to Number'!$E$422:$E1000=$A87)))"),"")</f>
        <v/>
      </c>
      <c r="R87" s="36" t="str">
        <f t="shared" si="5"/>
        <v/>
      </c>
      <c r="S87" s="37" t="str">
        <f>IFERROR(__xludf.DUMMYFUNCTION("IFERROR((((COUNTIF(FILTER(Data!N:N,Data!B:B=A87),""TRAVERSE""))+(COUNTIF(FILTER(Data!N:N,Data!B:B=A87),""HIGH""))+(COUNTIF(FILTER(Data!N:N,Data!B:B=A87),""MIDDLE""))+(COUNTIF(FILTER(Data!N:N,Data!B:B=A87),""LOW"")))) / (((COUNTIF(Data!B:B, A87)))-(COUNTIF"&amp;"(FILTER(Data!N:N,Data!B:B=A87),""NONE""))),IF(ISBLANK(A87),"""",0))"),"")</f>
        <v/>
      </c>
      <c r="T87" s="32" t="str">
        <f>IFERROR(__xludf.DUMMYFUNCTION("IFERROR((COUNTIF(FILTER(Data!N:N, Data!B:B=A87),""LOW"")) / (COUNTIF(Data!B:B, A87)),"""")"),"")</f>
        <v/>
      </c>
      <c r="U87" s="38" t="str">
        <f>IFERROR(__xludf.DUMMYFUNCTION("IFERROR((COUNTIF(FILTER(Data!N:N, Data!B:B=A87),""MIDDLE"")) / (COUNTIF(Data!B:B, A87)),"""")"),"")</f>
        <v/>
      </c>
      <c r="V87" s="38" t="str">
        <f>IFERROR(__xludf.DUMMYFUNCTION("IFERROR((COUNTIF(FILTER(Data!N:N, Data!B:B=A87),""HIGH"")) / (COUNTIF(Data!B:B, A87)),"""")"),"")</f>
        <v/>
      </c>
      <c r="W87" s="38" t="str">
        <f>IFERROR(__xludf.DUMMYFUNCTION("IFERROR((COUNTIF(FILTER(Data!N:N, Data!B:B=A87),""TRAVERSE"")) / (COUNTIF(Data!B:B, A87)),"""")"),"")</f>
        <v/>
      </c>
      <c r="X87" s="39" t="str">
        <f t="shared" si="6"/>
        <v/>
      </c>
      <c r="Y87" s="31" t="str">
        <f t="shared" si="7"/>
        <v/>
      </c>
      <c r="Z87" s="31" t="str">
        <f t="shared" si="8"/>
        <v/>
      </c>
      <c r="AA87" s="41" t="str">
        <f t="shared" si="9"/>
        <v/>
      </c>
      <c r="AB87" s="40" t="str">
        <f t="shared" si="34"/>
        <v/>
      </c>
      <c r="AC87" s="41" t="str">
        <f>IFERROR(__xludf.DUMMYFUNCTION("IF(AA87="""","""",MAX(Filter((Data!G:G+Data!K:K),Data!B:B=A87)))"),"")</f>
        <v/>
      </c>
      <c r="AD87" s="41" t="str">
        <f t="shared" si="11"/>
        <v/>
      </c>
      <c r="AE87" s="41" t="str">
        <f t="shared" si="12"/>
        <v/>
      </c>
      <c r="AF87" s="41" t="str">
        <f t="shared" si="13"/>
        <v/>
      </c>
      <c r="AG87" s="42" t="str">
        <f>IF(A87="","",(((AD87)*Picklist!$P$3)+((K87)*Picklist!$P$4)+(E87*Picklist!$P$5)+(N87*Picklist!$P$6)+(X87*Picklist!$P$7)+(R87*Picklist!$P$8)))</f>
        <v/>
      </c>
      <c r="AH87" s="43" t="str">
        <f>IF(A87="","",(((AD87)*Picklist!$P$14)+((K87)*Picklist!$P$15)+(E87*Picklist!$P$16)+(N87*Picklist!$P$17)+(X87*Picklist!$P$18)+(R87*Picklist!$P$19)))</f>
        <v/>
      </c>
      <c r="AI87" s="44" t="str">
        <f>IFERROR(__xludf.DUMMYFUNCTION("TEXTJOIN("", "",TRUE, FILTER(Data!P:P, Data!B:B=A87))"),"")</f>
        <v/>
      </c>
      <c r="AJ87" s="16" t="str">
        <f t="shared" si="14"/>
        <v/>
      </c>
      <c r="AK87" s="46" t="str">
        <f>IFERROR(__xludf.DUMMYFUNCTION("IF(A87&lt;&gt;"""",IFERROR(AVERAGE(FILTER('Defense Calculations'!BJ:CS,'Defense Calculations'!A:A=A87)),""""),"""")"),"")</f>
        <v/>
      </c>
      <c r="AM87" s="47"/>
      <c r="BB87" s="49">
        <f t="shared" si="16"/>
        <v>0</v>
      </c>
      <c r="BC87" s="50" t="str">
        <f t="shared" si="17"/>
        <v/>
      </c>
    </row>
    <row r="88">
      <c r="A88" s="53"/>
      <c r="B88" s="30" t="str">
        <f>IFERROR(__xludf.DUMMYFUNCTION("IFERROR(ROUND(
(COUNTIF(FILTER(Data!O:O, Data!B:B=A88), ""Win"")
+ COUNTIF(FILTER(Data!O:O, Data!B:B=A88), {""Tie"",""Results""}))
/ (COUNTIF(Data!B:B, A88)),
1),"""")"),"")</f>
        <v/>
      </c>
      <c r="C88" s="31" t="str">
        <f>IFERROR((SUMIF(Data!B:B, A88, Data!H:H)
/ (COUNTIF(Data!B:B, A88)
)),"")</f>
        <v/>
      </c>
      <c r="D88" s="31" t="str">
        <f>IFERROR((SUMIF(Data!B:B, A88, Data!G:G)
/ (COUNTIF(Data!B:B, A88)
)),"")</f>
        <v/>
      </c>
      <c r="E88" s="31" t="str">
        <f t="shared" si="1"/>
        <v/>
      </c>
      <c r="F88" s="31" t="str">
        <f>IFERROR((SUMIF(Data!B:B, A88, Data!J:J)
/ (COUNTIF(Data!B:B, A88)
)),"")</f>
        <v/>
      </c>
      <c r="G88" s="32" t="str">
        <f>IF(A88="","",IFERROR((((((SUMIF(Data!B:B, A88, Data!H:H)+(SUMIF(Data!B:B, A88,Data!G:G)))/(SUMIF(Data!B:B, A88, Data!J:J)))))),0))</f>
        <v/>
      </c>
      <c r="H88" s="33" t="str">
        <f>IFERROR(__xludf.DUMMYFUNCTION("IFERROR(IF(G88="""","""",(SUM(FIlter(Filter(Data!G:G,Data!B:B=A88),(Filter(Data!J:J&lt;3,Data!B:B=A88))))+SUM((FIlter(Filter(Data!H:H,Data!B:B=A88),(Filter(Data!J:J&lt;3,Data!B:B=A88))))))/(SUM(Filter(Filter(Data!J:J,Data!B:B=A88),FILTER(Data!J:J&lt;3,Data!B:B=A88"&amp;"))))),"""")"),"")</f>
        <v/>
      </c>
      <c r="I88" s="32" t="str">
        <f>IFERROR(__xludf.DUMMYFUNCTION("IF(A88="""","""",(COUNT(FILTER(IF(Data!G:G&lt;&gt;0,Data!G:G,IF(Data!H:H&lt;&gt;0,Data!H:H)),Data!B:B=A88)))/(COUNT(FILTER(Data!J:J,Data!B:B=A88))))"),"")</f>
        <v/>
      </c>
      <c r="J88" s="32" t="str">
        <f t="shared" si="2"/>
        <v/>
      </c>
      <c r="K88" s="31" t="str">
        <f t="shared" si="3"/>
        <v/>
      </c>
      <c r="L88" s="31" t="str">
        <f>IFERROR((SUMIF(Data!B:B, A88, Data!L:L)
/ (COUNTIF(Data!B:B, A88)
)),"")</f>
        <v/>
      </c>
      <c r="M88" s="31" t="str">
        <f>IFERROR((SUMIF(Data!B:B, A88, Data!K:K)
/ (COUNTIF(Data!B:B, A88)
)),"")</f>
        <v/>
      </c>
      <c r="N88" s="34" t="str">
        <f t="shared" si="33"/>
        <v/>
      </c>
      <c r="O88" s="32" t="str">
        <f>IF(A88="","",IFERROR((((((SUMIF(Data!B:B, A88, Data!H:H)+(SUMIF(Data!B:B, A88,Data!G:G)+(SUMIF(Data!B:B, A88,Data!L:L)+(SUMIF(Data!B:B, A88,Data!K:K)))))/(SUMIF(Data!B:B, A88, Data!M:M)+(SUMIF(Data!B:B, A88, Data!H:H)+(SUMIF(Data!B:B, A88,Data!G:G)+(SUMIF(Data!B:B, A88,Data!K:K)+(SUMIF(Data!B:B, A88,Data!L:L)))))))))),0))</f>
        <v/>
      </c>
      <c r="P88" s="35" t="str">
        <f>IFERROR(__xludf.DUMMYFUNCTION("IFERROR(((COUNTIF(FILTER(Data!N:N,Data!B:B=A88),""TRAVERSE"")*15)+(COUNTIF(FILTER(Data!N:N,Data!B:B=A88),""HIGH"")*10)+(COUNTIF(FILTER(Data!N:N,Data!B:B=A88),""MIDDLE"")*6)+(COUNTIF(FILTER(Data!N:N,Data!B:B=A88),""LOW"")*4)) / (COUNTIF(Data!B:B, A88)),"""&amp;""")"),"")</f>
        <v/>
      </c>
      <c r="Q88" s="31" t="str">
        <f>IFERROR(__xludf.DUMMYFUNCTION("IF(P88="""","""",Average(FIlter(('Convert Name to Number'!$F$422:$Z1000),'Convert Name to Number'!$E$422:$E1000=$A88)))"),"")</f>
        <v/>
      </c>
      <c r="R88" s="36" t="str">
        <f t="shared" si="5"/>
        <v/>
      </c>
      <c r="S88" s="37" t="str">
        <f>IFERROR(__xludf.DUMMYFUNCTION("IFERROR((((COUNTIF(FILTER(Data!N:N,Data!B:B=A88),""TRAVERSE""))+(COUNTIF(FILTER(Data!N:N,Data!B:B=A88),""HIGH""))+(COUNTIF(FILTER(Data!N:N,Data!B:B=A88),""MIDDLE""))+(COUNTIF(FILTER(Data!N:N,Data!B:B=A88),""LOW"")))) / (((COUNTIF(Data!B:B, A88)))-(COUNTIF"&amp;"(FILTER(Data!N:N,Data!B:B=A88),""NONE""))),IF(ISBLANK(A88),"""",0))"),"")</f>
        <v/>
      </c>
      <c r="T88" s="32" t="str">
        <f>IFERROR(__xludf.DUMMYFUNCTION("IFERROR((COUNTIF(FILTER(Data!N:N, Data!B:B=A88),""LOW"")) / (COUNTIF(Data!B:B, A88)),"""")"),"")</f>
        <v/>
      </c>
      <c r="U88" s="38" t="str">
        <f>IFERROR(__xludf.DUMMYFUNCTION("IFERROR((COUNTIF(FILTER(Data!N:N, Data!B:B=A88),""MIDDLE"")) / (COUNTIF(Data!B:B, A88)),"""")"),"")</f>
        <v/>
      </c>
      <c r="V88" s="38" t="str">
        <f>IFERROR(__xludf.DUMMYFUNCTION("IFERROR((COUNTIF(FILTER(Data!N:N, Data!B:B=A88),""HIGH"")) / (COUNTIF(Data!B:B, A88)),"""")"),"")</f>
        <v/>
      </c>
      <c r="W88" s="38" t="str">
        <f>IFERROR(__xludf.DUMMYFUNCTION("IFERROR((COUNTIF(FILTER(Data!N:N, Data!B:B=A88),""TRAVERSE"")) / (COUNTIF(Data!B:B, A88)),"""")"),"")</f>
        <v/>
      </c>
      <c r="X88" s="39" t="str">
        <f t="shared" si="6"/>
        <v/>
      </c>
      <c r="Y88" s="31" t="str">
        <f t="shared" si="7"/>
        <v/>
      </c>
      <c r="Z88" s="31" t="str">
        <f t="shared" si="8"/>
        <v/>
      </c>
      <c r="AA88" s="41" t="str">
        <f t="shared" si="9"/>
        <v/>
      </c>
      <c r="AB88" s="40" t="str">
        <f t="shared" si="34"/>
        <v/>
      </c>
      <c r="AC88" s="41" t="str">
        <f>IFERROR(__xludf.DUMMYFUNCTION("IF(AA88="""","""",MAX(Filter((Data!G:G+Data!K:K),Data!B:B=A88)))"),"")</f>
        <v/>
      </c>
      <c r="AD88" s="41" t="str">
        <f t="shared" si="11"/>
        <v/>
      </c>
      <c r="AE88" s="41" t="str">
        <f t="shared" si="12"/>
        <v/>
      </c>
      <c r="AF88" s="41" t="str">
        <f t="shared" si="13"/>
        <v/>
      </c>
      <c r="AG88" s="42" t="str">
        <f>IF(A88="","",(((AD88)*Picklist!$P$3)+((K88)*Picklist!$P$4)+(E88*Picklist!$P$5)+(N88*Picklist!$P$6)+(X88*Picklist!$P$7)+(R88*Picklist!$P$8)))</f>
        <v/>
      </c>
      <c r="AH88" s="43" t="str">
        <f>IF(A88="","",(((AD88)*Picklist!$P$14)+((K88)*Picklist!$P$15)+(E88*Picklist!$P$16)+(N88*Picklist!$P$17)+(X88*Picklist!$P$18)+(R88*Picklist!$P$19)))</f>
        <v/>
      </c>
      <c r="AI88" s="44" t="str">
        <f>IFERROR(__xludf.DUMMYFUNCTION("TEXTJOIN("", "",TRUE, FILTER(Data!P:P, Data!B:B=A88))"),"")</f>
        <v/>
      </c>
      <c r="AJ88" s="16" t="str">
        <f t="shared" si="14"/>
        <v/>
      </c>
      <c r="AK88" s="46" t="str">
        <f>IFERROR(__xludf.DUMMYFUNCTION("IF(A88&lt;&gt;"""",IFERROR(AVERAGE(FILTER('Defense Calculations'!BJ:CS,'Defense Calculations'!A:A=A88)),""""),"""")"),"")</f>
        <v/>
      </c>
      <c r="AM88" s="47"/>
      <c r="BB88" s="49">
        <f t="shared" si="16"/>
        <v>0</v>
      </c>
      <c r="BC88" s="50" t="str">
        <f t="shared" si="17"/>
        <v/>
      </c>
    </row>
    <row r="89">
      <c r="A89" s="53"/>
      <c r="B89" s="30" t="str">
        <f>IFERROR(__xludf.DUMMYFUNCTION("IFERROR(ROUND(
(COUNTIF(FILTER(Data!O:O, Data!B:B=A89), ""Win"")
+ COUNTIF(FILTER(Data!O:O, Data!B:B=A89), {""Tie"",""Results""}))
/ (COUNTIF(Data!B:B, A89)),
1),"""")"),"")</f>
        <v/>
      </c>
      <c r="C89" s="31" t="str">
        <f>IFERROR((SUMIF(Data!B:B, A89, Data!H:H)
/ (COUNTIF(Data!B:B, A89)
)),"")</f>
        <v/>
      </c>
      <c r="D89" s="31" t="str">
        <f>IFERROR((SUMIF(Data!B:B, A89, Data!G:G)
/ (COUNTIF(Data!B:B, A89)
)),"")</f>
        <v/>
      </c>
      <c r="E89" s="31" t="str">
        <f t="shared" si="1"/>
        <v/>
      </c>
      <c r="F89" s="31" t="str">
        <f>IFERROR((SUMIF(Data!B:B, A89, Data!J:J)
/ (COUNTIF(Data!B:B, A89)
)),"")</f>
        <v/>
      </c>
      <c r="G89" s="32" t="str">
        <f>IF(A89="","",IFERROR((((((SUMIF(Data!B:B, A89, Data!H:H)+(SUMIF(Data!B:B, A89,Data!G:G)))/(SUMIF(Data!B:B, A89, Data!J:J)))))),0))</f>
        <v/>
      </c>
      <c r="H89" s="33" t="str">
        <f>IFERROR(__xludf.DUMMYFUNCTION("IFERROR(IF(G89="""","""",(SUM(FIlter(Filter(Data!G:G,Data!B:B=A89),(Filter(Data!J:J&lt;3,Data!B:B=A89))))+SUM((FIlter(Filter(Data!H:H,Data!B:B=A89),(Filter(Data!J:J&lt;3,Data!B:B=A89))))))/(SUM(Filter(Filter(Data!J:J,Data!B:B=A89),FILTER(Data!J:J&lt;3,Data!B:B=A89"&amp;"))))),"""")"),"")</f>
        <v/>
      </c>
      <c r="I89" s="32" t="str">
        <f>IFERROR(__xludf.DUMMYFUNCTION("IF(A89="""","""",(COUNT(FILTER(IF(Data!G:G&lt;&gt;0,Data!G:G,IF(Data!H:H&lt;&gt;0,Data!H:H)),Data!B:B=A89)))/(COUNT(FILTER(Data!J:J,Data!B:B=A89))))"),"")</f>
        <v/>
      </c>
      <c r="J89" s="32" t="str">
        <f t="shared" si="2"/>
        <v/>
      </c>
      <c r="K89" s="31" t="str">
        <f t="shared" si="3"/>
        <v/>
      </c>
      <c r="L89" s="31" t="str">
        <f>IFERROR((SUMIF(Data!B:B, A89, Data!L:L)
/ (COUNTIF(Data!B:B, A89)
)),"")</f>
        <v/>
      </c>
      <c r="M89" s="31" t="str">
        <f>IFERROR((SUMIF(Data!B:B, A89, Data!K:K)
/ (COUNTIF(Data!B:B, A89)
)),"")</f>
        <v/>
      </c>
      <c r="N89" s="34" t="str">
        <f t="shared" si="33"/>
        <v/>
      </c>
      <c r="O89" s="32" t="str">
        <f>IF(A89="","",IFERROR((((((SUMIF(Data!B:B, A89, Data!H:H)+(SUMIF(Data!B:B, A89,Data!G:G)+(SUMIF(Data!B:B, A89,Data!L:L)+(SUMIF(Data!B:B, A89,Data!K:K)))))/(SUMIF(Data!B:B, A89, Data!M:M)+(SUMIF(Data!B:B, A89, Data!H:H)+(SUMIF(Data!B:B, A89,Data!G:G)+(SUMIF(Data!B:B, A89,Data!K:K)+(SUMIF(Data!B:B, A89,Data!L:L)))))))))),0))</f>
        <v/>
      </c>
      <c r="P89" s="35" t="str">
        <f>IFERROR(__xludf.DUMMYFUNCTION("IFERROR(((COUNTIF(FILTER(Data!N:N,Data!B:B=A89),""TRAVERSE"")*15)+(COUNTIF(FILTER(Data!N:N,Data!B:B=A89),""HIGH"")*10)+(COUNTIF(FILTER(Data!N:N,Data!B:B=A89),""MIDDLE"")*6)+(COUNTIF(FILTER(Data!N:N,Data!B:B=A89),""LOW"")*4)) / (COUNTIF(Data!B:B, A89)),"""&amp;""")"),"")</f>
        <v/>
      </c>
      <c r="Q89" s="31" t="str">
        <f>IFERROR(__xludf.DUMMYFUNCTION("IF(P89="""","""",Average(FIlter(('Convert Name to Number'!$F$422:$Z1000),'Convert Name to Number'!$E$422:$E1000=$A89)))"),"")</f>
        <v/>
      </c>
      <c r="R89" s="36" t="str">
        <f t="shared" si="5"/>
        <v/>
      </c>
      <c r="S89" s="37" t="str">
        <f>IFERROR(__xludf.DUMMYFUNCTION("IFERROR((((COUNTIF(FILTER(Data!N:N,Data!B:B=A89),""TRAVERSE""))+(COUNTIF(FILTER(Data!N:N,Data!B:B=A89),""HIGH""))+(COUNTIF(FILTER(Data!N:N,Data!B:B=A89),""MIDDLE""))+(COUNTIF(FILTER(Data!N:N,Data!B:B=A89),""LOW"")))) / (((COUNTIF(Data!B:B, A89)))-(COUNTIF"&amp;"(FILTER(Data!N:N,Data!B:B=A89),""NONE""))),IF(ISBLANK(A89),"""",0))"),"")</f>
        <v/>
      </c>
      <c r="T89" s="32" t="str">
        <f>IFERROR(__xludf.DUMMYFUNCTION("IFERROR((COUNTIF(FILTER(Data!N:N, Data!B:B=A89),""LOW"")) / (COUNTIF(Data!B:B, A89)),"""")"),"")</f>
        <v/>
      </c>
      <c r="U89" s="38" t="str">
        <f>IFERROR(__xludf.DUMMYFUNCTION("IFERROR((COUNTIF(FILTER(Data!N:N, Data!B:B=A89),""MIDDLE"")) / (COUNTIF(Data!B:B, A89)),"""")"),"")</f>
        <v/>
      </c>
      <c r="V89" s="38" t="str">
        <f>IFERROR(__xludf.DUMMYFUNCTION("IFERROR((COUNTIF(FILTER(Data!N:N, Data!B:B=A89),""HIGH"")) / (COUNTIF(Data!B:B, A89)),"""")"),"")</f>
        <v/>
      </c>
      <c r="W89" s="38" t="str">
        <f>IFERROR(__xludf.DUMMYFUNCTION("IFERROR((COUNTIF(FILTER(Data!N:N, Data!B:B=A89),""TRAVERSE"")) / (COUNTIF(Data!B:B, A89)),"""")"),"")</f>
        <v/>
      </c>
      <c r="X89" s="39" t="str">
        <f t="shared" si="6"/>
        <v/>
      </c>
      <c r="Y89" s="31" t="str">
        <f t="shared" si="7"/>
        <v/>
      </c>
      <c r="Z89" s="31" t="str">
        <f t="shared" si="8"/>
        <v/>
      </c>
      <c r="AA89" s="41" t="str">
        <f t="shared" si="9"/>
        <v/>
      </c>
      <c r="AB89" s="40" t="str">
        <f t="shared" si="34"/>
        <v/>
      </c>
      <c r="AC89" s="41" t="str">
        <f>IFERROR(__xludf.DUMMYFUNCTION("IF(AA89="""","""",MAX(Filter((Data!G:G+Data!K:K),Data!B:B=A89)))"),"")</f>
        <v/>
      </c>
      <c r="AD89" s="41" t="str">
        <f t="shared" si="11"/>
        <v/>
      </c>
      <c r="AE89" s="41" t="str">
        <f t="shared" si="12"/>
        <v/>
      </c>
      <c r="AF89" s="41" t="str">
        <f t="shared" si="13"/>
        <v/>
      </c>
      <c r="AG89" s="42" t="str">
        <f>IF(A89="","",(((AD89)*Picklist!$P$3)+((K89)*Picklist!$P$4)+(E89*Picklist!$P$5)+(N89*Picklist!$P$6)+(X89*Picklist!$P$7)+(R89*Picklist!$P$8)))</f>
        <v/>
      </c>
      <c r="AH89" s="43" t="str">
        <f>IF(A89="","",(((AD89)*Picklist!$P$14)+((K89)*Picklist!$P$15)+(E89*Picklist!$P$16)+(N89*Picklist!$P$17)+(X89*Picklist!$P$18)+(R89*Picklist!$P$19)))</f>
        <v/>
      </c>
      <c r="AI89" s="44" t="str">
        <f>IFERROR(__xludf.DUMMYFUNCTION("TEXTJOIN("", "",TRUE, FILTER(Data!P:P, Data!B:B=A89))"),"")</f>
        <v/>
      </c>
      <c r="AJ89" s="16" t="str">
        <f t="shared" si="14"/>
        <v/>
      </c>
      <c r="AK89" s="46" t="str">
        <f>IFERROR(__xludf.DUMMYFUNCTION("IF(A89&lt;&gt;"""",IFERROR(AVERAGE(FILTER('Defense Calculations'!BJ:CS,'Defense Calculations'!A:A=A89)),""""),"""")"),"")</f>
        <v/>
      </c>
      <c r="AM89" s="47"/>
      <c r="BB89" s="49">
        <f t="shared" si="16"/>
        <v>0</v>
      </c>
      <c r="BC89" s="50" t="str">
        <f t="shared" si="17"/>
        <v/>
      </c>
    </row>
    <row r="90">
      <c r="A90" s="53"/>
      <c r="B90" s="30" t="str">
        <f>IFERROR(__xludf.DUMMYFUNCTION("IFERROR(ROUND(
(COUNTIF(FILTER(Data!O:O, Data!B:B=A90), ""Win"")
+ COUNTIF(FILTER(Data!O:O, Data!B:B=A90), {""Tie"",""Results""}))
/ (COUNTIF(Data!B:B, A90)),
1),"""")"),"")</f>
        <v/>
      </c>
      <c r="C90" s="31" t="str">
        <f>IFERROR((SUMIF(Data!B:B, A90, Data!H:H)
/ (COUNTIF(Data!B:B, A90)
)),"")</f>
        <v/>
      </c>
      <c r="D90" s="31" t="str">
        <f>IFERROR((SUMIF(Data!B:B, A90, Data!G:G)
/ (COUNTIF(Data!B:B, A90)
)),"")</f>
        <v/>
      </c>
      <c r="E90" s="31" t="str">
        <f t="shared" si="1"/>
        <v/>
      </c>
      <c r="F90" s="31" t="str">
        <f>IFERROR((SUMIF(Data!B:B, A90, Data!J:J)
/ (COUNTIF(Data!B:B, A90)
)),"")</f>
        <v/>
      </c>
      <c r="G90" s="32" t="str">
        <f>IF(A90="","",IFERROR((((((SUMIF(Data!B:B, A90, Data!H:H)+(SUMIF(Data!B:B, A90,Data!G:G)))/(SUMIF(Data!B:B, A90, Data!J:J)))))),0))</f>
        <v/>
      </c>
      <c r="H90" s="33" t="str">
        <f>IFERROR(__xludf.DUMMYFUNCTION("IFERROR(IF(G90="""","""",(SUM(FIlter(Filter(Data!G:G,Data!B:B=A90),(Filter(Data!J:J&lt;3,Data!B:B=A90))))+SUM((FIlter(Filter(Data!H:H,Data!B:B=A90),(Filter(Data!J:J&lt;3,Data!B:B=A90))))))/(SUM(Filter(Filter(Data!J:J,Data!B:B=A90),FILTER(Data!J:J&lt;3,Data!B:B=A90"&amp;"))))),"""")"),"")</f>
        <v/>
      </c>
      <c r="I90" s="32" t="str">
        <f>IFERROR(__xludf.DUMMYFUNCTION("IF(A90="""","""",(COUNT(FILTER(IF(Data!G:G&lt;&gt;0,Data!G:G,IF(Data!H:H&lt;&gt;0,Data!H:H)),Data!B:B=A90)))/(COUNT(FILTER(Data!J:J,Data!B:B=A90))))"),"")</f>
        <v/>
      </c>
      <c r="J90" s="32" t="str">
        <f t="shared" si="2"/>
        <v/>
      </c>
      <c r="K90" s="31" t="str">
        <f t="shared" si="3"/>
        <v/>
      </c>
      <c r="L90" s="31" t="str">
        <f>IFERROR((SUMIF(Data!B:B, A90, Data!L:L)
/ (COUNTIF(Data!B:B, A90)
)),"")</f>
        <v/>
      </c>
      <c r="M90" s="31" t="str">
        <f>IFERROR((SUMIF(Data!B:B, A90, Data!K:K)
/ (COUNTIF(Data!B:B, A90)
)),"")</f>
        <v/>
      </c>
      <c r="N90" s="34" t="str">
        <f t="shared" si="33"/>
        <v/>
      </c>
      <c r="O90" s="32" t="str">
        <f>IF(A90="","",IFERROR((((((SUMIF(Data!B:B, A90, Data!H:H)+(SUMIF(Data!B:B, A90,Data!G:G)+(SUMIF(Data!B:B, A90,Data!L:L)+(SUMIF(Data!B:B, A90,Data!K:K)))))/(SUMIF(Data!B:B, A90, Data!M:M)+(SUMIF(Data!B:B, A90, Data!H:H)+(SUMIF(Data!B:B, A90,Data!G:G)+(SUMIF(Data!B:B, A90,Data!K:K)+(SUMIF(Data!B:B, A90,Data!L:L)))))))))),0))</f>
        <v/>
      </c>
      <c r="P90" s="35" t="str">
        <f>IFERROR(__xludf.DUMMYFUNCTION("IFERROR(((COUNTIF(FILTER(Data!N:N,Data!B:B=A90),""TRAVERSE"")*15)+(COUNTIF(FILTER(Data!N:N,Data!B:B=A90),""HIGH"")*10)+(COUNTIF(FILTER(Data!N:N,Data!B:B=A90),""MIDDLE"")*6)+(COUNTIF(FILTER(Data!N:N,Data!B:B=A90),""LOW"")*4)) / (COUNTIF(Data!B:B, A90)),"""&amp;""")"),"")</f>
        <v/>
      </c>
      <c r="Q90" s="31" t="str">
        <f>IFERROR(__xludf.DUMMYFUNCTION("IF(P90="""","""",Average(FIlter(('Convert Name to Number'!$F$422:$Z1000),'Convert Name to Number'!$E$422:$E1000=$A90)))"),"")</f>
        <v/>
      </c>
      <c r="R90" s="36" t="str">
        <f t="shared" si="5"/>
        <v/>
      </c>
      <c r="S90" s="37" t="str">
        <f>IFERROR(__xludf.DUMMYFUNCTION("IFERROR((((COUNTIF(FILTER(Data!N:N,Data!B:B=A90),""TRAVERSE""))+(COUNTIF(FILTER(Data!N:N,Data!B:B=A90),""HIGH""))+(COUNTIF(FILTER(Data!N:N,Data!B:B=A90),""MIDDLE""))+(COUNTIF(FILTER(Data!N:N,Data!B:B=A90),""LOW"")))) / (((COUNTIF(Data!B:B, A90)))-(COUNTIF"&amp;"(FILTER(Data!N:N,Data!B:B=A90),""NONE""))),IF(ISBLANK(A90),"""",0))"),"")</f>
        <v/>
      </c>
      <c r="T90" s="32" t="str">
        <f>IFERROR(__xludf.DUMMYFUNCTION("IFERROR((COUNTIF(FILTER(Data!N:N, Data!B:B=A90),""LOW"")) / (COUNTIF(Data!B:B, A90)),"""")"),"")</f>
        <v/>
      </c>
      <c r="U90" s="38" t="str">
        <f>IFERROR(__xludf.DUMMYFUNCTION("IFERROR((COUNTIF(FILTER(Data!N:N, Data!B:B=A90),""MIDDLE"")) / (COUNTIF(Data!B:B, A90)),"""")"),"")</f>
        <v/>
      </c>
      <c r="V90" s="38" t="str">
        <f>IFERROR(__xludf.DUMMYFUNCTION("IFERROR((COUNTIF(FILTER(Data!N:N, Data!B:B=A90),""HIGH"")) / (COUNTIF(Data!B:B, A90)),"""")"),"")</f>
        <v/>
      </c>
      <c r="W90" s="38" t="str">
        <f>IFERROR(__xludf.DUMMYFUNCTION("IFERROR((COUNTIF(FILTER(Data!N:N, Data!B:B=A90),""TRAVERSE"")) / (COUNTIF(Data!B:B, A90)),"""")"),"")</f>
        <v/>
      </c>
      <c r="X90" s="39" t="str">
        <f t="shared" si="6"/>
        <v/>
      </c>
      <c r="Y90" s="31" t="str">
        <f t="shared" si="7"/>
        <v/>
      </c>
      <c r="Z90" s="31" t="str">
        <f t="shared" si="8"/>
        <v/>
      </c>
      <c r="AA90" s="41" t="str">
        <f t="shared" si="9"/>
        <v/>
      </c>
      <c r="AB90" s="40" t="str">
        <f t="shared" si="34"/>
        <v/>
      </c>
      <c r="AC90" s="41" t="str">
        <f>IFERROR(__xludf.DUMMYFUNCTION("IF(AA90="""","""",MAX(Filter((Data!G:G+Data!K:K),Data!B:B=A90)))"),"")</f>
        <v/>
      </c>
      <c r="AD90" s="41" t="str">
        <f t="shared" si="11"/>
        <v/>
      </c>
      <c r="AE90" s="41" t="str">
        <f t="shared" si="12"/>
        <v/>
      </c>
      <c r="AF90" s="41" t="str">
        <f t="shared" si="13"/>
        <v/>
      </c>
      <c r="AG90" s="42" t="str">
        <f>IF(A90="","",(((AD90)*Picklist!$P$3)+((K90)*Picklist!$P$4)+(E90*Picklist!$P$5)+(N90*Picklist!$P$6)+(X90*Picklist!$P$7)+(R90*Picklist!$P$8)))</f>
        <v/>
      </c>
      <c r="AH90" s="43" t="str">
        <f>IF(A90="","",(((AD90)*Picklist!$P$14)+((K90)*Picklist!$P$15)+(E90*Picklist!$P$16)+(N90*Picklist!$P$17)+(X90*Picklist!$P$18)+(R90*Picklist!$P$19)))</f>
        <v/>
      </c>
      <c r="AI90" s="44" t="str">
        <f>IFERROR(__xludf.DUMMYFUNCTION("TEXTJOIN("", "",TRUE, FILTER(Data!P:P, Data!B:B=A90))"),"")</f>
        <v/>
      </c>
      <c r="AJ90" s="16" t="str">
        <f t="shared" si="14"/>
        <v/>
      </c>
      <c r="AK90" s="46" t="str">
        <f>IFERROR(__xludf.DUMMYFUNCTION("IF(A90&lt;&gt;"""",IFERROR(AVERAGE(FILTER('Defense Calculations'!BJ:CS,'Defense Calculations'!A:A=A90)),""""),"""")"),"")</f>
        <v/>
      </c>
      <c r="AM90" s="47"/>
      <c r="BB90" s="49">
        <f t="shared" si="16"/>
        <v>0</v>
      </c>
      <c r="BC90" s="50" t="str">
        <f t="shared" si="17"/>
        <v/>
      </c>
    </row>
    <row r="91">
      <c r="A91" s="53"/>
      <c r="B91" s="30" t="str">
        <f>IFERROR(__xludf.DUMMYFUNCTION("IFERROR(ROUND(
(COUNTIF(FILTER(Data!O:O, Data!B:B=A91), ""Win"")
+ COUNTIF(FILTER(Data!O:O, Data!B:B=A91), {""Tie"",""Results""}))
/ (COUNTIF(Data!B:B, A91)),
1),"""")"),"")</f>
        <v/>
      </c>
      <c r="C91" s="31" t="str">
        <f>IFERROR((SUMIF(Data!B:B, A91, Data!H:H)
/ (COUNTIF(Data!B:B, A91)
)),"")</f>
        <v/>
      </c>
      <c r="D91" s="31" t="str">
        <f>IFERROR((SUMIF(Data!B:B, A91, Data!G:G)
/ (COUNTIF(Data!B:B, A91)
)),"")</f>
        <v/>
      </c>
      <c r="E91" s="31" t="str">
        <f t="shared" si="1"/>
        <v/>
      </c>
      <c r="F91" s="31" t="str">
        <f>IFERROR((SUMIF(Data!B:B, A91, Data!J:J)
/ (COUNTIF(Data!B:B, A91)
)),"")</f>
        <v/>
      </c>
      <c r="G91" s="32" t="str">
        <f>IF(A91="","",IFERROR((((((SUMIF(Data!B:B, A91, Data!H:H)+(SUMIF(Data!B:B, A91,Data!G:G)))/(SUMIF(Data!B:B, A91, Data!J:J)))))),0))</f>
        <v/>
      </c>
      <c r="H91" s="33" t="str">
        <f>IFERROR(__xludf.DUMMYFUNCTION("IFERROR(IF(G91="""","""",(SUM(FIlter(Filter(Data!G:G,Data!B:B=A91),(Filter(Data!J:J&lt;3,Data!B:B=A91))))+SUM((FIlter(Filter(Data!H:H,Data!B:B=A91),(Filter(Data!J:J&lt;3,Data!B:B=A91))))))/(SUM(Filter(Filter(Data!J:J,Data!B:B=A91),FILTER(Data!J:J&lt;3,Data!B:B=A91"&amp;"))))),"""")"),"")</f>
        <v/>
      </c>
      <c r="I91" s="32" t="str">
        <f>IFERROR(__xludf.DUMMYFUNCTION("IF(A91="""","""",(COUNT(FILTER(IF(Data!G:G&lt;&gt;0,Data!G:G,IF(Data!H:H&lt;&gt;0,Data!H:H)),Data!B:B=A91)))/(COUNT(FILTER(Data!J:J,Data!B:B=A91))))"),"")</f>
        <v/>
      </c>
      <c r="J91" s="32" t="str">
        <f t="shared" si="2"/>
        <v/>
      </c>
      <c r="K91" s="31" t="str">
        <f t="shared" si="3"/>
        <v/>
      </c>
      <c r="L91" s="31" t="str">
        <f>IFERROR((SUMIF(Data!B:B, A91, Data!L:L)
/ (COUNTIF(Data!B:B, A91)
)),"")</f>
        <v/>
      </c>
      <c r="M91" s="31" t="str">
        <f>IFERROR((SUMIF(Data!B:B, A91, Data!K:K)
/ (COUNTIF(Data!B:B, A91)
)),"")</f>
        <v/>
      </c>
      <c r="N91" s="34" t="str">
        <f t="shared" si="33"/>
        <v/>
      </c>
      <c r="O91" s="32" t="str">
        <f>IF(A91="","",IFERROR((((((SUMIF(Data!B:B, A91, Data!H:H)+(SUMIF(Data!B:B, A91,Data!G:G)+(SUMIF(Data!B:B, A91,Data!L:L)+(SUMIF(Data!B:B, A91,Data!K:K)))))/(SUMIF(Data!B:B, A91, Data!M:M)+(SUMIF(Data!B:B, A91, Data!H:H)+(SUMIF(Data!B:B, A91,Data!G:G)+(SUMIF(Data!B:B, A91,Data!K:K)+(SUMIF(Data!B:B, A91,Data!L:L)))))))))),0))</f>
        <v/>
      </c>
      <c r="P91" s="35" t="str">
        <f>IFERROR(__xludf.DUMMYFUNCTION("IFERROR(((COUNTIF(FILTER(Data!N:N,Data!B:B=A91),""TRAVERSE"")*15)+(COUNTIF(FILTER(Data!N:N,Data!B:B=A91),""HIGH"")*10)+(COUNTIF(FILTER(Data!N:N,Data!B:B=A91),""MIDDLE"")*6)+(COUNTIF(FILTER(Data!N:N,Data!B:B=A91),""LOW"")*4)) / (COUNTIF(Data!B:B, A91)),"""&amp;""")"),"")</f>
        <v/>
      </c>
      <c r="Q91" s="31" t="str">
        <f>IFERROR(__xludf.DUMMYFUNCTION("IF(P91="""","""",Average(FIlter(('Convert Name to Number'!$F$422:$Z1000),'Convert Name to Number'!$E$422:$E1000=$A91)))"),"")</f>
        <v/>
      </c>
      <c r="R91" s="36" t="str">
        <f t="shared" si="5"/>
        <v/>
      </c>
      <c r="S91" s="37" t="str">
        <f>IFERROR(__xludf.DUMMYFUNCTION("IFERROR((((COUNTIF(FILTER(Data!N:N,Data!B:B=A91),""TRAVERSE""))+(COUNTIF(FILTER(Data!N:N,Data!B:B=A91),""HIGH""))+(COUNTIF(FILTER(Data!N:N,Data!B:B=A91),""MIDDLE""))+(COUNTIF(FILTER(Data!N:N,Data!B:B=A91),""LOW"")))) / (((COUNTIF(Data!B:B, A91)))-(COUNTIF"&amp;"(FILTER(Data!N:N,Data!B:B=A91),""NONE""))),IF(ISBLANK(A91),"""",0))"),"")</f>
        <v/>
      </c>
      <c r="T91" s="32" t="str">
        <f>IFERROR(__xludf.DUMMYFUNCTION("IFERROR((COUNTIF(FILTER(Data!N:N, Data!B:B=A91),""LOW"")) / (COUNTIF(Data!B:B, A91)),"""")"),"")</f>
        <v/>
      </c>
      <c r="U91" s="38" t="str">
        <f>IFERROR(__xludf.DUMMYFUNCTION("IFERROR((COUNTIF(FILTER(Data!N:N, Data!B:B=A91),""MIDDLE"")) / (COUNTIF(Data!B:B, A91)),"""")"),"")</f>
        <v/>
      </c>
      <c r="V91" s="38" t="str">
        <f>IFERROR(__xludf.DUMMYFUNCTION("IFERROR((COUNTIF(FILTER(Data!N:N, Data!B:B=A91),""HIGH"")) / (COUNTIF(Data!B:B, A91)),"""")"),"")</f>
        <v/>
      </c>
      <c r="W91" s="38" t="str">
        <f>IFERROR(__xludf.DUMMYFUNCTION("IFERROR((COUNTIF(FILTER(Data!N:N, Data!B:B=A91),""TRAVERSE"")) / (COUNTIF(Data!B:B, A91)),"""")"),"")</f>
        <v/>
      </c>
      <c r="X91" s="39" t="str">
        <f t="shared" si="6"/>
        <v/>
      </c>
      <c r="Y91" s="31" t="str">
        <f t="shared" si="7"/>
        <v/>
      </c>
      <c r="Z91" s="31" t="str">
        <f t="shared" si="8"/>
        <v/>
      </c>
      <c r="AA91" s="41" t="str">
        <f t="shared" si="9"/>
        <v/>
      </c>
      <c r="AB91" s="40" t="str">
        <f t="shared" si="34"/>
        <v/>
      </c>
      <c r="AC91" s="41" t="str">
        <f>IFERROR(__xludf.DUMMYFUNCTION("IF(AA91="""","""",MAX(Filter((Data!G:G+Data!K:K),Data!B:B=A91)))"),"")</f>
        <v/>
      </c>
      <c r="AD91" s="41" t="str">
        <f t="shared" si="11"/>
        <v/>
      </c>
      <c r="AE91" s="41" t="str">
        <f t="shared" si="12"/>
        <v/>
      </c>
      <c r="AF91" s="41" t="str">
        <f t="shared" si="13"/>
        <v/>
      </c>
      <c r="AG91" s="42" t="str">
        <f>IF(A91="","",(((AD91)*Picklist!$P$3)+((K91)*Picklist!$P$4)+(E91*Picklist!$P$5)+(N91*Picklist!$P$6)+(X91*Picklist!$P$7)+(R91*Picklist!$P$8)))</f>
        <v/>
      </c>
      <c r="AH91" s="43" t="str">
        <f>IF(A91="","",(((AD91)*Picklist!$P$14)+((K91)*Picklist!$P$15)+(E91*Picklist!$P$16)+(N91*Picklist!$P$17)+(X91*Picklist!$P$18)+(R91*Picklist!$P$19)))</f>
        <v/>
      </c>
      <c r="AI91" s="44" t="str">
        <f>IFERROR(__xludf.DUMMYFUNCTION("TEXTJOIN("", "",TRUE, FILTER(Data!P:P, Data!B:B=A91))"),"")</f>
        <v/>
      </c>
      <c r="AJ91" s="16" t="str">
        <f t="shared" si="14"/>
        <v/>
      </c>
      <c r="AK91" s="46" t="str">
        <f>IFERROR(__xludf.DUMMYFUNCTION("IF(A91&lt;&gt;"""",IFERROR(AVERAGE(FILTER('Defense Calculations'!BJ:CS,'Defense Calculations'!A:A=A91)),""""),"""")"),"")</f>
        <v/>
      </c>
      <c r="AM91" s="47"/>
      <c r="BB91" s="49">
        <f t="shared" si="16"/>
        <v>0</v>
      </c>
      <c r="BC91" s="50" t="str">
        <f t="shared" si="17"/>
        <v/>
      </c>
    </row>
    <row r="92">
      <c r="A92" s="53"/>
      <c r="B92" s="30" t="str">
        <f>IFERROR(__xludf.DUMMYFUNCTION("IFERROR(ROUND(
(COUNTIF(FILTER(Data!O:O, Data!B:B=A92), ""Win"")
+ COUNTIF(FILTER(Data!O:O, Data!B:B=A92), {""Tie"",""Results""}))
/ (COUNTIF(Data!B:B, A92)),
1),"""")"),"")</f>
        <v/>
      </c>
      <c r="C92" s="31" t="str">
        <f>IFERROR((SUMIF(Data!B:B, A92, Data!H:H)
/ (COUNTIF(Data!B:B, A92)
)),"")</f>
        <v/>
      </c>
      <c r="D92" s="31" t="str">
        <f>IFERROR((SUMIF(Data!B:B, A92, Data!G:G)
/ (COUNTIF(Data!B:B, A92)
)),"")</f>
        <v/>
      </c>
      <c r="E92" s="31" t="str">
        <f t="shared" si="1"/>
        <v/>
      </c>
      <c r="F92" s="31" t="str">
        <f>IFERROR((SUMIF(Data!B:B, A92, Data!J:J)
/ (COUNTIF(Data!B:B, A92)
)),"")</f>
        <v/>
      </c>
      <c r="G92" s="32" t="str">
        <f>IF(A92="","",IFERROR((((((SUMIF(Data!B:B, A92, Data!H:H)+(SUMIF(Data!B:B, A92,Data!G:G)))/(SUMIF(Data!B:B, A92, Data!J:J)))))),0))</f>
        <v/>
      </c>
      <c r="H92" s="33" t="str">
        <f>IFERROR(__xludf.DUMMYFUNCTION("IFERROR(IF(G92="""","""",(SUM(FIlter(Filter(Data!G:G,Data!B:B=A92),(Filter(Data!J:J&lt;3,Data!B:B=A92))))+SUM((FIlter(Filter(Data!H:H,Data!B:B=A92),(Filter(Data!J:J&lt;3,Data!B:B=A92))))))/(SUM(Filter(Filter(Data!J:J,Data!B:B=A92),FILTER(Data!J:J&lt;3,Data!B:B=A92"&amp;"))))),"""")"),"")</f>
        <v/>
      </c>
      <c r="I92" s="32" t="str">
        <f>IFERROR(__xludf.DUMMYFUNCTION("IF(A92="""","""",(COUNT(FILTER(IF(Data!G:G&lt;&gt;0,Data!G:G,IF(Data!H:H&lt;&gt;0,Data!H:H)),Data!B:B=A92)))/(COUNT(FILTER(Data!J:J,Data!B:B=A92))))"),"")</f>
        <v/>
      </c>
      <c r="J92" s="32" t="str">
        <f t="shared" si="2"/>
        <v/>
      </c>
      <c r="K92" s="31" t="str">
        <f t="shared" si="3"/>
        <v/>
      </c>
      <c r="L92" s="31" t="str">
        <f>IFERROR((SUMIF(Data!B:B, A92, Data!L:L)
/ (COUNTIF(Data!B:B, A92)
)),"")</f>
        <v/>
      </c>
      <c r="M92" s="31" t="str">
        <f>IFERROR((SUMIF(Data!B:B, A92, Data!K:K)
/ (COUNTIF(Data!B:B, A92)
)),"")</f>
        <v/>
      </c>
      <c r="N92" s="34" t="str">
        <f t="shared" si="33"/>
        <v/>
      </c>
      <c r="O92" s="32" t="str">
        <f>IF(A92="","",IFERROR((((((SUMIF(Data!B:B, A92, Data!H:H)+(SUMIF(Data!B:B, A92,Data!G:G)+(SUMIF(Data!B:B, A92,Data!L:L)+(SUMIF(Data!B:B, A92,Data!K:K)))))/(SUMIF(Data!B:B, A92, Data!M:M)+(SUMIF(Data!B:B, A92, Data!H:H)+(SUMIF(Data!B:B, A92,Data!G:G)+(SUMIF(Data!B:B, A92,Data!K:K)+(SUMIF(Data!B:B, A92,Data!L:L)))))))))),0))</f>
        <v/>
      </c>
      <c r="P92" s="35" t="str">
        <f>IFERROR(__xludf.DUMMYFUNCTION("IFERROR(((COUNTIF(FILTER(Data!N:N,Data!B:B=A92),""TRAVERSE"")*15)+(COUNTIF(FILTER(Data!N:N,Data!B:B=A92),""HIGH"")*10)+(COUNTIF(FILTER(Data!N:N,Data!B:B=A92),""MIDDLE"")*6)+(COUNTIF(FILTER(Data!N:N,Data!B:B=A92),""LOW"")*4)) / (COUNTIF(Data!B:B, A92)),"""&amp;""")"),"")</f>
        <v/>
      </c>
      <c r="Q92" s="31" t="str">
        <f>IFERROR(__xludf.DUMMYFUNCTION("IF(P92="""","""",Average(FIlter(('Convert Name to Number'!$F$422:$Z1000),'Convert Name to Number'!$E$422:$E1000=$A92)))"),"")</f>
        <v/>
      </c>
      <c r="R92" s="36" t="str">
        <f t="shared" si="5"/>
        <v/>
      </c>
      <c r="S92" s="37" t="str">
        <f>IFERROR(__xludf.DUMMYFUNCTION("IFERROR((((COUNTIF(FILTER(Data!N:N,Data!B:B=A92),""TRAVERSE""))+(COUNTIF(FILTER(Data!N:N,Data!B:B=A92),""HIGH""))+(COUNTIF(FILTER(Data!N:N,Data!B:B=A92),""MIDDLE""))+(COUNTIF(FILTER(Data!N:N,Data!B:B=A92),""LOW"")))) / (((COUNTIF(Data!B:B, A92)))-(COUNTIF"&amp;"(FILTER(Data!N:N,Data!B:B=A92),""NONE""))),IF(ISBLANK(A92),"""",0))"),"")</f>
        <v/>
      </c>
      <c r="T92" s="32" t="str">
        <f>IFERROR(__xludf.DUMMYFUNCTION("IFERROR((COUNTIF(FILTER(Data!N:N, Data!B:B=A92),""LOW"")) / (COUNTIF(Data!B:B, A92)),"""")"),"")</f>
        <v/>
      </c>
      <c r="U92" s="38" t="str">
        <f>IFERROR(__xludf.DUMMYFUNCTION("IFERROR((COUNTIF(FILTER(Data!N:N, Data!B:B=A92),""MIDDLE"")) / (COUNTIF(Data!B:B, A92)),"""")"),"")</f>
        <v/>
      </c>
      <c r="V92" s="38" t="str">
        <f>IFERROR(__xludf.DUMMYFUNCTION("IFERROR((COUNTIF(FILTER(Data!N:N, Data!B:B=A92),""HIGH"")) / (COUNTIF(Data!B:B, A92)),"""")"),"")</f>
        <v/>
      </c>
      <c r="W92" s="38" t="str">
        <f>IFERROR(__xludf.DUMMYFUNCTION("IFERROR((COUNTIF(FILTER(Data!N:N, Data!B:B=A92),""TRAVERSE"")) / (COUNTIF(Data!B:B, A92)),"""")"),"")</f>
        <v/>
      </c>
      <c r="X92" s="39" t="str">
        <f t="shared" si="6"/>
        <v/>
      </c>
      <c r="Y92" s="31" t="str">
        <f t="shared" si="7"/>
        <v/>
      </c>
      <c r="Z92" s="31" t="str">
        <f t="shared" si="8"/>
        <v/>
      </c>
      <c r="AA92" s="41" t="str">
        <f t="shared" si="9"/>
        <v/>
      </c>
      <c r="AB92" s="40" t="str">
        <f t="shared" si="34"/>
        <v/>
      </c>
      <c r="AC92" s="41" t="str">
        <f>IFERROR(__xludf.DUMMYFUNCTION("IF(AA92="""","""",MAX(Filter((Data!G:G+Data!K:K),Data!B:B=A92)))"),"")</f>
        <v/>
      </c>
      <c r="AD92" s="41" t="str">
        <f t="shared" si="11"/>
        <v/>
      </c>
      <c r="AE92" s="41" t="str">
        <f t="shared" si="12"/>
        <v/>
      </c>
      <c r="AF92" s="41" t="str">
        <f t="shared" si="13"/>
        <v/>
      </c>
      <c r="AG92" s="42" t="str">
        <f>IF(A92="","",(((AD92)*Picklist!$P$3)+((K92)*Picklist!$P$4)+(E92*Picklist!$P$5)+(N92*Picklist!$P$6)+(X92*Picklist!$P$7)+(R92*Picklist!$P$8)))</f>
        <v/>
      </c>
      <c r="AH92" s="43" t="str">
        <f>IF(A92="","",(((AD92)*Picklist!$P$14)+((K92)*Picklist!$P$15)+(E92*Picklist!$P$16)+(N92*Picklist!$P$17)+(X92*Picklist!$P$18)+(R92*Picklist!$P$19)))</f>
        <v/>
      </c>
      <c r="AI92" s="44" t="str">
        <f>IFERROR(__xludf.DUMMYFUNCTION("TEXTJOIN("", "",TRUE, FILTER(Data!P:P, Data!B:B=A92))"),"")</f>
        <v/>
      </c>
      <c r="AJ92" s="16" t="str">
        <f t="shared" si="14"/>
        <v/>
      </c>
      <c r="AK92" s="46" t="str">
        <f>IFERROR(__xludf.DUMMYFUNCTION("IF(A92&lt;&gt;"""",IFERROR(AVERAGE(FILTER('Defense Calculations'!BJ:CS,'Defense Calculations'!A:A=A92)),""""),"""")"),"")</f>
        <v/>
      </c>
      <c r="AM92" s="47"/>
      <c r="BB92" s="49">
        <f t="shared" si="16"/>
        <v>0</v>
      </c>
      <c r="BC92" s="50" t="str">
        <f t="shared" si="17"/>
        <v/>
      </c>
    </row>
    <row r="93">
      <c r="A93" s="53"/>
      <c r="B93" s="30" t="str">
        <f>IFERROR(__xludf.DUMMYFUNCTION("IFERROR(ROUND(
(COUNTIF(FILTER(Data!O:O, Data!B:B=A93), ""Win"")
+ COUNTIF(FILTER(Data!O:O, Data!B:B=A93), {""Tie"",""Results""}))
/ (COUNTIF(Data!B:B, A93)),
1),"""")"),"")</f>
        <v/>
      </c>
      <c r="C93" s="31" t="str">
        <f>IFERROR((SUMIF(Data!B:B, A93, Data!H:H)
/ (COUNTIF(Data!B:B, A93)
)),"")</f>
        <v/>
      </c>
      <c r="D93" s="31" t="str">
        <f>IFERROR((SUMIF(Data!B:B, A93, Data!G:G)
/ (COUNTIF(Data!B:B, A93)
)),"")</f>
        <v/>
      </c>
      <c r="E93" s="31" t="str">
        <f t="shared" si="1"/>
        <v/>
      </c>
      <c r="F93" s="31" t="str">
        <f>IFERROR((SUMIF(Data!B:B, A93, Data!J:J)
/ (COUNTIF(Data!B:B, A93)
)),"")</f>
        <v/>
      </c>
      <c r="G93" s="32" t="str">
        <f>IF(A93="","",IFERROR((((((SUMIF(Data!B:B, A93, Data!H:H)+(SUMIF(Data!B:B, A93,Data!G:G)))/(SUMIF(Data!B:B, A93, Data!J:J)))))),0))</f>
        <v/>
      </c>
      <c r="H93" s="33" t="str">
        <f>IFERROR(__xludf.DUMMYFUNCTION("IFERROR(IF(G93="""","""",(SUM(FIlter(Filter(Data!G:G,Data!B:B=A93),(Filter(Data!J:J&lt;3,Data!B:B=A93))))+SUM((FIlter(Filter(Data!H:H,Data!B:B=A93),(Filter(Data!J:J&lt;3,Data!B:B=A93))))))/(SUM(Filter(Filter(Data!J:J,Data!B:B=A93),FILTER(Data!J:J&lt;3,Data!B:B=A93"&amp;"))))),"""")"),"")</f>
        <v/>
      </c>
      <c r="I93" s="32" t="str">
        <f>IFERROR(__xludf.DUMMYFUNCTION("IF(A93="""","""",(COUNT(FILTER(IF(Data!G:G&lt;&gt;0,Data!G:G,IF(Data!H:H&lt;&gt;0,Data!H:H)),Data!B:B=A93)))/(COUNT(FILTER(Data!J:J,Data!B:B=A93))))"),"")</f>
        <v/>
      </c>
      <c r="J93" s="32" t="str">
        <f t="shared" si="2"/>
        <v/>
      </c>
      <c r="K93" s="31" t="str">
        <f t="shared" si="3"/>
        <v/>
      </c>
      <c r="L93" s="31" t="str">
        <f>IFERROR((SUMIF(Data!B:B, A93, Data!L:L)
/ (COUNTIF(Data!B:B, A93)
)),"")</f>
        <v/>
      </c>
      <c r="M93" s="31" t="str">
        <f>IFERROR((SUMIF(Data!B:B, A93, Data!K:K)
/ (COUNTIF(Data!B:B, A93)
)),"")</f>
        <v/>
      </c>
      <c r="N93" s="34" t="str">
        <f t="shared" si="33"/>
        <v/>
      </c>
      <c r="O93" s="32" t="str">
        <f>IF(A93="","",IFERROR((((((SUMIF(Data!B:B, A93, Data!H:H)+(SUMIF(Data!B:B, A93,Data!G:G)+(SUMIF(Data!B:B, A93,Data!L:L)+(SUMIF(Data!B:B, A93,Data!K:K)))))/(SUMIF(Data!B:B, A93, Data!M:M)+(SUMIF(Data!B:B, A93, Data!H:H)+(SUMIF(Data!B:B, A93,Data!G:G)+(SUMIF(Data!B:B, A93,Data!K:K)+(SUMIF(Data!B:B, A93,Data!L:L)))))))))),0))</f>
        <v/>
      </c>
      <c r="P93" s="35" t="str">
        <f>IFERROR(__xludf.DUMMYFUNCTION("IFERROR(((COUNTIF(FILTER(Data!N:N,Data!B:B=A93),""TRAVERSE"")*15)+(COUNTIF(FILTER(Data!N:N,Data!B:B=A93),""HIGH"")*10)+(COUNTIF(FILTER(Data!N:N,Data!B:B=A93),""MIDDLE"")*6)+(COUNTIF(FILTER(Data!N:N,Data!B:B=A93),""LOW"")*4)) / (COUNTIF(Data!B:B, A93)),"""&amp;""")"),"")</f>
        <v/>
      </c>
      <c r="Q93" s="31" t="str">
        <f>IFERROR(__xludf.DUMMYFUNCTION("IF(P93="""","""",Average(FIlter(('Convert Name to Number'!$F$422:$Z1000),'Convert Name to Number'!$E$422:$E1000=$A93)))"),"")</f>
        <v/>
      </c>
      <c r="R93" s="36" t="str">
        <f t="shared" si="5"/>
        <v/>
      </c>
      <c r="S93" s="37" t="str">
        <f>IFERROR(__xludf.DUMMYFUNCTION("IFERROR((((COUNTIF(FILTER(Data!N:N,Data!B:B=A93),""TRAVERSE""))+(COUNTIF(FILTER(Data!N:N,Data!B:B=A93),""HIGH""))+(COUNTIF(FILTER(Data!N:N,Data!B:B=A93),""MIDDLE""))+(COUNTIF(FILTER(Data!N:N,Data!B:B=A93),""LOW"")))) / (((COUNTIF(Data!B:B, A93)))-(COUNTIF"&amp;"(FILTER(Data!N:N,Data!B:B=A93),""NONE""))),IF(ISBLANK(A93),"""",0))"),"")</f>
        <v/>
      </c>
      <c r="T93" s="32" t="str">
        <f>IFERROR(__xludf.DUMMYFUNCTION("IFERROR((COUNTIF(FILTER(Data!N:N, Data!B:B=A93),""LOW"")) / (COUNTIF(Data!B:B, A93)),"""")"),"")</f>
        <v/>
      </c>
      <c r="U93" s="38" t="str">
        <f>IFERROR(__xludf.DUMMYFUNCTION("IFERROR((COUNTIF(FILTER(Data!N:N, Data!B:B=A93),""MIDDLE"")) / (COUNTIF(Data!B:B, A93)),"""")"),"")</f>
        <v/>
      </c>
      <c r="V93" s="38" t="str">
        <f>IFERROR(__xludf.DUMMYFUNCTION("IFERROR((COUNTIF(FILTER(Data!N:N, Data!B:B=A93),""HIGH"")) / (COUNTIF(Data!B:B, A93)),"""")"),"")</f>
        <v/>
      </c>
      <c r="W93" s="38" t="str">
        <f>IFERROR(__xludf.DUMMYFUNCTION("IFERROR((COUNTIF(FILTER(Data!N:N, Data!B:B=A93),""TRAVERSE"")) / (COUNTIF(Data!B:B, A93)),"""")"),"")</f>
        <v/>
      </c>
      <c r="X93" s="39" t="str">
        <f t="shared" si="6"/>
        <v/>
      </c>
      <c r="Y93" s="31" t="str">
        <f t="shared" si="7"/>
        <v/>
      </c>
      <c r="Z93" s="31" t="str">
        <f t="shared" si="8"/>
        <v/>
      </c>
      <c r="AA93" s="41" t="str">
        <f t="shared" si="9"/>
        <v/>
      </c>
      <c r="AB93" s="40" t="str">
        <f t="shared" si="34"/>
        <v/>
      </c>
      <c r="AC93" s="41" t="str">
        <f>IFERROR(__xludf.DUMMYFUNCTION("IF(AA93="""","""",MAX(Filter((Data!G:G+Data!K:K),Data!B:B=A93)))"),"")</f>
        <v/>
      </c>
      <c r="AD93" s="41" t="str">
        <f t="shared" si="11"/>
        <v/>
      </c>
      <c r="AE93" s="41" t="str">
        <f t="shared" si="12"/>
        <v/>
      </c>
      <c r="AF93" s="41" t="str">
        <f t="shared" si="13"/>
        <v/>
      </c>
      <c r="AG93" s="42" t="str">
        <f>IF(A93="","",(((AD93)*Picklist!$P$3)+((K93)*Picklist!$P$4)+(E93*Picklist!$P$5)+(N93*Picklist!$P$6)+(X93*Picklist!$P$7)+(R93*Picklist!$P$8)))</f>
        <v/>
      </c>
      <c r="AH93" s="43" t="str">
        <f>IF(A93="","",(((AD93)*Picklist!$P$14)+((K93)*Picklist!$P$15)+(E93*Picklist!$P$16)+(N93*Picklist!$P$17)+(X93*Picklist!$P$18)+(R93*Picklist!$P$19)))</f>
        <v/>
      </c>
      <c r="AI93" s="44" t="str">
        <f>IFERROR(__xludf.DUMMYFUNCTION("TEXTJOIN("", "",TRUE, FILTER(Data!P:P, Data!B:B=A93))"),"")</f>
        <v/>
      </c>
      <c r="AJ93" s="16" t="str">
        <f t="shared" si="14"/>
        <v/>
      </c>
      <c r="AK93" s="46" t="str">
        <f>IFERROR(__xludf.DUMMYFUNCTION("IF(A93&lt;&gt;"""",IFERROR(AVERAGE(FILTER('Defense Calculations'!BJ:CS,'Defense Calculations'!A:A=A93)),""""),"""")"),"")</f>
        <v/>
      </c>
      <c r="AM93" s="47"/>
      <c r="BB93" s="49">
        <f t="shared" si="16"/>
        <v>0</v>
      </c>
      <c r="BC93" s="50" t="str">
        <f t="shared" si="17"/>
        <v/>
      </c>
    </row>
    <row r="94">
      <c r="A94" s="53"/>
      <c r="B94" s="30" t="str">
        <f>IFERROR(__xludf.DUMMYFUNCTION("IFERROR(ROUND(
(COUNTIF(FILTER(Data!O:O, Data!B:B=A94), ""Win"")
+ COUNTIF(FILTER(Data!O:O, Data!B:B=A94), {""Tie"",""Results""}))
/ (COUNTIF(Data!B:B, A94)),
1),"""")"),"")</f>
        <v/>
      </c>
      <c r="C94" s="31" t="str">
        <f>IFERROR((SUMIF(Data!B:B, A94, Data!H:H)
/ (COUNTIF(Data!B:B, A94)
)),"")</f>
        <v/>
      </c>
      <c r="D94" s="31" t="str">
        <f>IFERROR((SUMIF(Data!B:B, A94, Data!G:G)
/ (COUNTIF(Data!B:B, A94)
)),"")</f>
        <v/>
      </c>
      <c r="E94" s="31" t="str">
        <f t="shared" si="1"/>
        <v/>
      </c>
      <c r="F94" s="31" t="str">
        <f>IFERROR((SUMIF(Data!B:B, A94, Data!J:J)
/ (COUNTIF(Data!B:B, A94)
)),"")</f>
        <v/>
      </c>
      <c r="G94" s="32" t="str">
        <f>IF(A94="","",IFERROR((((((SUMIF(Data!B:B, A94, Data!H:H)+(SUMIF(Data!B:B, A94,Data!G:G)))/(SUMIF(Data!B:B, A94, Data!J:J)))))),0))</f>
        <v/>
      </c>
      <c r="H94" s="33" t="str">
        <f>IFERROR(__xludf.DUMMYFUNCTION("IFERROR(IF(G94="""","""",(SUM(FIlter(Filter(Data!G:G,Data!B:B=A94),(Filter(Data!J:J&lt;3,Data!B:B=A94))))+SUM((FIlter(Filter(Data!H:H,Data!B:B=A94),(Filter(Data!J:J&lt;3,Data!B:B=A94))))))/(SUM(Filter(Filter(Data!J:J,Data!B:B=A94),FILTER(Data!J:J&lt;3,Data!B:B=A94"&amp;"))))),"""")"),"")</f>
        <v/>
      </c>
      <c r="I94" s="32" t="str">
        <f>IFERROR(__xludf.DUMMYFUNCTION("IF(A94="""","""",(COUNT(FILTER(IF(Data!G:G&lt;&gt;0,Data!G:G,IF(Data!H:H&lt;&gt;0,Data!H:H)),Data!B:B=A94)))/(COUNT(FILTER(Data!J:J,Data!B:B=A94))))"),"")</f>
        <v/>
      </c>
      <c r="J94" s="32" t="str">
        <f t="shared" si="2"/>
        <v/>
      </c>
      <c r="K94" s="31" t="str">
        <f t="shared" si="3"/>
        <v/>
      </c>
      <c r="L94" s="31" t="str">
        <f>IFERROR((SUMIF(Data!B:B, A94, Data!L:L)
/ (COUNTIF(Data!B:B, A94)
)),"")</f>
        <v/>
      </c>
      <c r="M94" s="31" t="str">
        <f>IFERROR((SUMIF(Data!B:B, A94, Data!K:K)
/ (COUNTIF(Data!B:B, A94)
)),"")</f>
        <v/>
      </c>
      <c r="N94" s="34" t="str">
        <f t="shared" si="33"/>
        <v/>
      </c>
      <c r="O94" s="32" t="str">
        <f>IF(A94="","",IFERROR((((((SUMIF(Data!B:B, A94, Data!H:H)+(SUMIF(Data!B:B, A94,Data!G:G)+(SUMIF(Data!B:B, A94,Data!L:L)+(SUMIF(Data!B:B, A94,Data!K:K)))))/(SUMIF(Data!B:B, A94, Data!M:M)+(SUMIF(Data!B:B, A94, Data!H:H)+(SUMIF(Data!B:B, A94,Data!G:G)+(SUMIF(Data!B:B, A94,Data!K:K)+(SUMIF(Data!B:B, A94,Data!L:L)))))))))),0))</f>
        <v/>
      </c>
      <c r="P94" s="35" t="str">
        <f>IFERROR(__xludf.DUMMYFUNCTION("IFERROR(((COUNTIF(FILTER(Data!N:N,Data!B:B=A94),""TRAVERSE"")*15)+(COUNTIF(FILTER(Data!N:N,Data!B:B=A94),""HIGH"")*10)+(COUNTIF(FILTER(Data!N:N,Data!B:B=A94),""MIDDLE"")*6)+(COUNTIF(FILTER(Data!N:N,Data!B:B=A94),""LOW"")*4)) / (COUNTIF(Data!B:B, A94)),"""&amp;""")"),"")</f>
        <v/>
      </c>
      <c r="Q94" s="31" t="str">
        <f>IFERROR(__xludf.DUMMYFUNCTION("IF(P94="""","""",Average(FIlter(('Convert Name to Number'!$F$422:$Z1000),'Convert Name to Number'!$E$422:$E1000=$A94)))"),"")</f>
        <v/>
      </c>
      <c r="R94" s="36" t="str">
        <f t="shared" si="5"/>
        <v/>
      </c>
      <c r="S94" s="37" t="str">
        <f>IFERROR(__xludf.DUMMYFUNCTION("IFERROR((((COUNTIF(FILTER(Data!N:N,Data!B:B=A94),""TRAVERSE""))+(COUNTIF(FILTER(Data!N:N,Data!B:B=A94),""HIGH""))+(COUNTIF(FILTER(Data!N:N,Data!B:B=A94),""MIDDLE""))+(COUNTIF(FILTER(Data!N:N,Data!B:B=A94),""LOW"")))) / (((COUNTIF(Data!B:B, A94)))-(COUNTIF"&amp;"(FILTER(Data!N:N,Data!B:B=A94),""NONE""))),IF(ISBLANK(A94),"""",0))"),"")</f>
        <v/>
      </c>
      <c r="T94" s="32" t="str">
        <f>IFERROR(__xludf.DUMMYFUNCTION("IFERROR((COUNTIF(FILTER(Data!N:N, Data!B:B=A94),""LOW"")) / (COUNTIF(Data!B:B, A94)),"""")"),"")</f>
        <v/>
      </c>
      <c r="U94" s="38" t="str">
        <f>IFERROR(__xludf.DUMMYFUNCTION("IFERROR((COUNTIF(FILTER(Data!N:N, Data!B:B=A94),""MIDDLE"")) / (COUNTIF(Data!B:B, A94)),"""")"),"")</f>
        <v/>
      </c>
      <c r="V94" s="38" t="str">
        <f>IFERROR(__xludf.DUMMYFUNCTION("IFERROR((COUNTIF(FILTER(Data!N:N, Data!B:B=A94),""HIGH"")) / (COUNTIF(Data!B:B, A94)),"""")"),"")</f>
        <v/>
      </c>
      <c r="W94" s="38" t="str">
        <f>IFERROR(__xludf.DUMMYFUNCTION("IFERROR((COUNTIF(FILTER(Data!N:N, Data!B:B=A94),""TRAVERSE"")) / (COUNTIF(Data!B:B, A94)),"""")"),"")</f>
        <v/>
      </c>
      <c r="X94" s="39" t="str">
        <f t="shared" si="6"/>
        <v/>
      </c>
      <c r="Y94" s="31" t="str">
        <f t="shared" si="7"/>
        <v/>
      </c>
      <c r="Z94" s="31" t="str">
        <f t="shared" si="8"/>
        <v/>
      </c>
      <c r="AA94" s="41" t="str">
        <f t="shared" si="9"/>
        <v/>
      </c>
      <c r="AB94" s="40" t="str">
        <f t="shared" si="34"/>
        <v/>
      </c>
      <c r="AC94" s="41" t="str">
        <f>IFERROR(__xludf.DUMMYFUNCTION("IF(AA94="""","""",MAX(Filter((Data!G:G+Data!K:K),Data!B:B=A94)))"),"")</f>
        <v/>
      </c>
      <c r="AD94" s="41" t="str">
        <f t="shared" si="11"/>
        <v/>
      </c>
      <c r="AE94" s="41" t="str">
        <f t="shared" si="12"/>
        <v/>
      </c>
      <c r="AF94" s="41" t="str">
        <f t="shared" si="13"/>
        <v/>
      </c>
      <c r="AG94" s="42" t="str">
        <f>IF(A94="","",(((AD94)*Picklist!$P$3)+((K94)*Picklist!$P$4)+(E94*Picklist!$P$5)+(N94*Picklist!$P$6)+(X94*Picklist!$P$7)+(R94*Picklist!$P$8)))</f>
        <v/>
      </c>
      <c r="AH94" s="43" t="str">
        <f>IF(A94="","",(((AD94)*Picklist!$P$14)+((K94)*Picklist!$P$15)+(E94*Picklist!$P$16)+(N94*Picklist!$P$17)+(X94*Picklist!$P$18)+(R94*Picklist!$P$19)))</f>
        <v/>
      </c>
      <c r="AI94" s="44" t="str">
        <f>IFERROR(__xludf.DUMMYFUNCTION("TEXTJOIN("", "",TRUE, FILTER(Data!P:P, Data!B:B=A94))"),"")</f>
        <v/>
      </c>
      <c r="AJ94" s="16" t="str">
        <f t="shared" si="14"/>
        <v/>
      </c>
      <c r="AK94" s="46" t="str">
        <f>IFERROR(__xludf.DUMMYFUNCTION("IF(A94&lt;&gt;"""",IFERROR(AVERAGE(FILTER('Defense Calculations'!BJ:CS,'Defense Calculations'!A:A=A94)),""""),"""")"),"")</f>
        <v/>
      </c>
      <c r="AM94" s="47"/>
      <c r="BB94" s="49">
        <f t="shared" si="16"/>
        <v>0</v>
      </c>
      <c r="BC94" s="50" t="str">
        <f t="shared" si="17"/>
        <v/>
      </c>
    </row>
    <row r="95">
      <c r="A95" s="53"/>
      <c r="B95" s="30" t="str">
        <f>IFERROR(__xludf.DUMMYFUNCTION("IFERROR(ROUND(
(COUNTIF(FILTER(Data!O:O, Data!B:B=A95), ""Win"")
+ COUNTIF(FILTER(Data!O:O, Data!B:B=A95), {""Tie"",""Results""}))
/ (COUNTIF(Data!B:B, A95)),
1),"""")"),"")</f>
        <v/>
      </c>
      <c r="C95" s="31" t="str">
        <f>IFERROR((SUMIF(Data!B:B, A95, Data!H:H)
/ (COUNTIF(Data!B:B, A95)
)),"")</f>
        <v/>
      </c>
      <c r="D95" s="31" t="str">
        <f>IFERROR((SUMIF(Data!B:B, A95, Data!G:G)
/ (COUNTIF(Data!B:B, A95)
)),"")</f>
        <v/>
      </c>
      <c r="E95" s="31" t="str">
        <f t="shared" si="1"/>
        <v/>
      </c>
      <c r="F95" s="31" t="str">
        <f>IFERROR((SUMIF(Data!B:B, A95, Data!J:J)
/ (COUNTIF(Data!B:B, A95)
)),"")</f>
        <v/>
      </c>
      <c r="G95" s="32" t="str">
        <f>IF(A95="","",IFERROR((((((SUMIF(Data!B:B, A95, Data!H:H)+(SUMIF(Data!B:B, A95,Data!G:G)))/(SUMIF(Data!B:B, A95, Data!J:J)))))),0))</f>
        <v/>
      </c>
      <c r="H95" s="33" t="str">
        <f>IFERROR(__xludf.DUMMYFUNCTION("IFERROR(IF(G95="""","""",(SUM(FIlter(Filter(Data!G:G,Data!B:B=A95),(Filter(Data!J:J&lt;3,Data!B:B=A95))))+SUM((FIlter(Filter(Data!H:H,Data!B:B=A95),(Filter(Data!J:J&lt;3,Data!B:B=A95))))))/(SUM(Filter(Filter(Data!J:J,Data!B:B=A95),FILTER(Data!J:J&lt;3,Data!B:B=A95"&amp;"))))),"""")"),"")</f>
        <v/>
      </c>
      <c r="I95" s="32" t="str">
        <f>IFERROR(__xludf.DUMMYFUNCTION("IF(A95="""","""",(COUNT(FILTER(IF(Data!G:G&lt;&gt;0,Data!G:G,IF(Data!H:H&lt;&gt;0,Data!H:H)),Data!B:B=A95)))/(COUNT(FILTER(Data!J:J,Data!B:B=A95))))"),"")</f>
        <v/>
      </c>
      <c r="J95" s="32" t="str">
        <f t="shared" si="2"/>
        <v/>
      </c>
      <c r="K95" s="31" t="str">
        <f t="shared" si="3"/>
        <v/>
      </c>
      <c r="L95" s="31" t="str">
        <f>IFERROR((SUMIF(Data!B:B, A95, Data!L:L)
/ (COUNTIF(Data!B:B, A95)
)),"")</f>
        <v/>
      </c>
      <c r="M95" s="31" t="str">
        <f>IFERROR((SUMIF(Data!B:B, A95, Data!K:K)
/ (COUNTIF(Data!B:B, A95)
)),"")</f>
        <v/>
      </c>
      <c r="N95" s="34" t="str">
        <f t="shared" si="33"/>
        <v/>
      </c>
      <c r="O95" s="32" t="str">
        <f>IF(A95="","",IFERROR((((((SUMIF(Data!B:B, A95, Data!H:H)+(SUMIF(Data!B:B, A95,Data!G:G)+(SUMIF(Data!B:B, A95,Data!L:L)+(SUMIF(Data!B:B, A95,Data!K:K)))))/(SUMIF(Data!B:B, A95, Data!M:M)+(SUMIF(Data!B:B, A95, Data!H:H)+(SUMIF(Data!B:B, A95,Data!G:G)+(SUMIF(Data!B:B, A95,Data!K:K)+(SUMIF(Data!B:B, A95,Data!L:L)))))))))),0))</f>
        <v/>
      </c>
      <c r="P95" s="35" t="str">
        <f>IFERROR(__xludf.DUMMYFUNCTION("IFERROR(((COUNTIF(FILTER(Data!N:N,Data!B:B=A95),""TRAVERSE"")*15)+(COUNTIF(FILTER(Data!N:N,Data!B:B=A95),""HIGH"")*10)+(COUNTIF(FILTER(Data!N:N,Data!B:B=A95),""MIDDLE"")*6)+(COUNTIF(FILTER(Data!N:N,Data!B:B=A95),""LOW"")*4)) / (COUNTIF(Data!B:B, A95)),"""&amp;""")"),"")</f>
        <v/>
      </c>
      <c r="Q95" s="31" t="str">
        <f>IFERROR(__xludf.DUMMYFUNCTION("IF(P95="""","""",Average(FIlter(('Convert Name to Number'!$F$422:$Z1000),'Convert Name to Number'!$E$422:$E1000=$A95)))"),"")</f>
        <v/>
      </c>
      <c r="R95" s="36" t="str">
        <f t="shared" si="5"/>
        <v/>
      </c>
      <c r="S95" s="37" t="str">
        <f>IFERROR(__xludf.DUMMYFUNCTION("IFERROR((((COUNTIF(FILTER(Data!N:N,Data!B:B=A95),""TRAVERSE""))+(COUNTIF(FILTER(Data!N:N,Data!B:B=A95),""HIGH""))+(COUNTIF(FILTER(Data!N:N,Data!B:B=A95),""MIDDLE""))+(COUNTIF(FILTER(Data!N:N,Data!B:B=A95),""LOW"")))) / (((COUNTIF(Data!B:B, A95)))-(COUNTIF"&amp;"(FILTER(Data!N:N,Data!B:B=A95),""NONE""))),IF(ISBLANK(A95),"""",0))"),"")</f>
        <v/>
      </c>
      <c r="T95" s="32" t="str">
        <f>IFERROR(__xludf.DUMMYFUNCTION("IFERROR((COUNTIF(FILTER(Data!N:N, Data!B:B=A95),""LOW"")) / (COUNTIF(Data!B:B, A95)),"""")"),"")</f>
        <v/>
      </c>
      <c r="U95" s="38" t="str">
        <f>IFERROR(__xludf.DUMMYFUNCTION("IFERROR((COUNTIF(FILTER(Data!N:N, Data!B:B=A95),""MIDDLE"")) / (COUNTIF(Data!B:B, A95)),"""")"),"")</f>
        <v/>
      </c>
      <c r="V95" s="38" t="str">
        <f>IFERROR(__xludf.DUMMYFUNCTION("IFERROR((COUNTIF(FILTER(Data!N:N, Data!B:B=A95),""HIGH"")) / (COUNTIF(Data!B:B, A95)),"""")"),"")</f>
        <v/>
      </c>
      <c r="W95" s="38" t="str">
        <f>IFERROR(__xludf.DUMMYFUNCTION("IFERROR((COUNTIF(FILTER(Data!N:N, Data!B:B=A95),""TRAVERSE"")) / (COUNTIF(Data!B:B, A95)),"""")"),"")</f>
        <v/>
      </c>
      <c r="X95" s="39" t="str">
        <f t="shared" si="6"/>
        <v/>
      </c>
      <c r="Y95" s="31" t="str">
        <f t="shared" si="7"/>
        <v/>
      </c>
      <c r="Z95" s="31" t="str">
        <f t="shared" si="8"/>
        <v/>
      </c>
      <c r="AA95" s="41" t="str">
        <f t="shared" si="9"/>
        <v/>
      </c>
      <c r="AB95" s="40" t="str">
        <f t="shared" si="34"/>
        <v/>
      </c>
      <c r="AC95" s="41" t="str">
        <f>IFERROR(__xludf.DUMMYFUNCTION("IF(AA95="""","""",MAX(Filter((Data!G:G+Data!K:K),Data!B:B=A95)))"),"")</f>
        <v/>
      </c>
      <c r="AD95" s="41" t="str">
        <f t="shared" si="11"/>
        <v/>
      </c>
      <c r="AE95" s="41" t="str">
        <f t="shared" si="12"/>
        <v/>
      </c>
      <c r="AF95" s="41" t="str">
        <f t="shared" si="13"/>
        <v/>
      </c>
      <c r="AG95" s="42" t="str">
        <f>IF(A95="","",(((AD95)*Picklist!$P$3)+((K95)*Picklist!$P$4)+(E95*Picklist!$P$5)+(N95*Picklist!$P$6)+(X95*Picklist!$P$7)+(R95*Picklist!$P$8)))</f>
        <v/>
      </c>
      <c r="AH95" s="43" t="str">
        <f>IF(A95="","",(((AD95)*Picklist!$P$14)+((K95)*Picklist!$P$15)+(E95*Picklist!$P$16)+(N95*Picklist!$P$17)+(X95*Picklist!$P$18)+(R95*Picklist!$P$19)))</f>
        <v/>
      </c>
      <c r="AI95" s="44" t="str">
        <f>IFERROR(__xludf.DUMMYFUNCTION("TEXTJOIN("", "",TRUE, FILTER(Data!P:P, Data!B:B=A95))"),"")</f>
        <v/>
      </c>
      <c r="AJ95" s="16" t="str">
        <f t="shared" si="14"/>
        <v/>
      </c>
      <c r="AK95" s="46" t="str">
        <f>IFERROR(__xludf.DUMMYFUNCTION("IF(A95&lt;&gt;"""",IFERROR(AVERAGE(FILTER('Defense Calculations'!BJ:CS,'Defense Calculations'!A:A=A95)),""""),"""")"),"")</f>
        <v/>
      </c>
      <c r="AM95" s="47"/>
      <c r="BB95" s="49">
        <f t="shared" si="16"/>
        <v>0</v>
      </c>
      <c r="BC95" s="50" t="str">
        <f t="shared" si="17"/>
        <v/>
      </c>
    </row>
    <row r="96">
      <c r="A96" s="53"/>
      <c r="B96" s="30" t="str">
        <f>IFERROR(__xludf.DUMMYFUNCTION("IFERROR(ROUND(
(COUNTIF(FILTER(Data!O:O, Data!B:B=A96), ""Win"")
+ COUNTIF(FILTER(Data!O:O, Data!B:B=A96), {""Tie"",""Results""}))
/ (COUNTIF(Data!B:B, A96)),
1),"""")"),"")</f>
        <v/>
      </c>
      <c r="C96" s="31" t="str">
        <f>IFERROR((SUMIF(Data!B:B, A96, Data!H:H)
/ (COUNTIF(Data!B:B, A96)
)),"")</f>
        <v/>
      </c>
      <c r="D96" s="31" t="str">
        <f>IFERROR((SUMIF(Data!B:B, A96, Data!G:G)
/ (COUNTIF(Data!B:B, A96)
)),"")</f>
        <v/>
      </c>
      <c r="E96" s="31" t="str">
        <f t="shared" si="1"/>
        <v/>
      </c>
      <c r="F96" s="31" t="str">
        <f>IFERROR((SUMIF(Data!B:B, A96, Data!J:J)
/ (COUNTIF(Data!B:B, A96)
)),"")</f>
        <v/>
      </c>
      <c r="G96" s="32" t="str">
        <f>IF(A96="","",IFERROR((((((SUMIF(Data!B:B, A96, Data!H:H)+(SUMIF(Data!B:B, A96,Data!G:G)))/(SUMIF(Data!B:B, A96, Data!J:J)))))),0))</f>
        <v/>
      </c>
      <c r="H96" s="33" t="str">
        <f>IFERROR(__xludf.DUMMYFUNCTION("IFERROR(IF(G96="""","""",(SUM(FIlter(Filter(Data!G:G,Data!B:B=A96),(Filter(Data!J:J&lt;3,Data!B:B=A96))))+SUM((FIlter(Filter(Data!H:H,Data!B:B=A96),(Filter(Data!J:J&lt;3,Data!B:B=A96))))))/(SUM(Filter(Filter(Data!J:J,Data!B:B=A96),FILTER(Data!J:J&lt;3,Data!B:B=A96"&amp;"))))),"""")"),"")</f>
        <v/>
      </c>
      <c r="I96" s="32" t="str">
        <f>IFERROR(__xludf.DUMMYFUNCTION("IF(A96="""","""",(COUNT(FILTER(IF(Data!G:G&lt;&gt;0,Data!G:G,IF(Data!H:H&lt;&gt;0,Data!H:H)),Data!B:B=A96)))/(COUNT(FILTER(Data!J:J,Data!B:B=A96))))"),"")</f>
        <v/>
      </c>
      <c r="J96" s="32" t="str">
        <f t="shared" si="2"/>
        <v/>
      </c>
      <c r="K96" s="31" t="str">
        <f t="shared" si="3"/>
        <v/>
      </c>
      <c r="L96" s="31" t="str">
        <f>IFERROR((SUMIF(Data!B:B, A96, Data!L:L)
/ (COUNTIF(Data!B:B, A96)
)),"")</f>
        <v/>
      </c>
      <c r="M96" s="31" t="str">
        <f>IFERROR((SUMIF(Data!B:B, A96, Data!K:K)
/ (COUNTIF(Data!B:B, A96)
)),"")</f>
        <v/>
      </c>
      <c r="N96" s="34" t="str">
        <f t="shared" si="33"/>
        <v/>
      </c>
      <c r="O96" s="32" t="str">
        <f>IF(A96="","",IFERROR((((((SUMIF(Data!B:B, A96, Data!H:H)+(SUMIF(Data!B:B, A96,Data!G:G)+(SUMIF(Data!B:B, A96,Data!L:L)+(SUMIF(Data!B:B, A96,Data!K:K)))))/(SUMIF(Data!B:B, A96, Data!M:M)+(SUMIF(Data!B:B, A96, Data!H:H)+(SUMIF(Data!B:B, A96,Data!G:G)+(SUMIF(Data!B:B, A96,Data!K:K)+(SUMIF(Data!B:B, A96,Data!L:L)))))))))),0))</f>
        <v/>
      </c>
      <c r="P96" s="35" t="str">
        <f>IFERROR(__xludf.DUMMYFUNCTION("IFERROR(((COUNTIF(FILTER(Data!N:N,Data!B:B=A96),""TRAVERSE"")*15)+(COUNTIF(FILTER(Data!N:N,Data!B:B=A96),""HIGH"")*10)+(COUNTIF(FILTER(Data!N:N,Data!B:B=A96),""MIDDLE"")*6)+(COUNTIF(FILTER(Data!N:N,Data!B:B=A96),""LOW"")*4)) / (COUNTIF(Data!B:B, A96)),"""&amp;""")"),"")</f>
        <v/>
      </c>
      <c r="Q96" s="31" t="str">
        <f>IFERROR(__xludf.DUMMYFUNCTION("IF(P96="""","""",Average(FIlter(('Convert Name to Number'!$F$422:$Z1000),'Convert Name to Number'!$E$422:$E1000=$A96)))"),"")</f>
        <v/>
      </c>
      <c r="R96" s="36" t="str">
        <f t="shared" si="5"/>
        <v/>
      </c>
      <c r="S96" s="37" t="str">
        <f>IFERROR(__xludf.DUMMYFUNCTION("IFERROR((((COUNTIF(FILTER(Data!N:N,Data!B:B=A96),""TRAVERSE""))+(COUNTIF(FILTER(Data!N:N,Data!B:B=A96),""HIGH""))+(COUNTIF(FILTER(Data!N:N,Data!B:B=A96),""MIDDLE""))+(COUNTIF(FILTER(Data!N:N,Data!B:B=A96),""LOW"")))) / (((COUNTIF(Data!B:B, A96)))-(COUNTIF"&amp;"(FILTER(Data!N:N,Data!B:B=A96),""NONE""))),IF(ISBLANK(A96),"""",0))"),"")</f>
        <v/>
      </c>
      <c r="T96" s="32" t="str">
        <f>IFERROR(__xludf.DUMMYFUNCTION("IFERROR((COUNTIF(FILTER(Data!N:N, Data!B:B=A96),""LOW"")) / (COUNTIF(Data!B:B, A96)),"""")"),"")</f>
        <v/>
      </c>
      <c r="U96" s="38" t="str">
        <f>IFERROR(__xludf.DUMMYFUNCTION("IFERROR((COUNTIF(FILTER(Data!N:N, Data!B:B=A96),""MIDDLE"")) / (COUNTIF(Data!B:B, A96)),"""")"),"")</f>
        <v/>
      </c>
      <c r="V96" s="38" t="str">
        <f>IFERROR(__xludf.DUMMYFUNCTION("IFERROR((COUNTIF(FILTER(Data!N:N, Data!B:B=A96),""HIGH"")) / (COUNTIF(Data!B:B, A96)),"""")"),"")</f>
        <v/>
      </c>
      <c r="W96" s="38" t="str">
        <f>IFERROR(__xludf.DUMMYFUNCTION("IFERROR((COUNTIF(FILTER(Data!N:N, Data!B:B=A96),""TRAVERSE"")) / (COUNTIF(Data!B:B, A96)),"""")"),"")</f>
        <v/>
      </c>
      <c r="X96" s="39" t="str">
        <f t="shared" si="6"/>
        <v/>
      </c>
      <c r="Y96" s="31" t="str">
        <f t="shared" si="7"/>
        <v/>
      </c>
      <c r="Z96" s="31" t="str">
        <f t="shared" si="8"/>
        <v/>
      </c>
      <c r="AA96" s="41" t="str">
        <f t="shared" si="9"/>
        <v/>
      </c>
      <c r="AB96" s="40" t="str">
        <f t="shared" si="34"/>
        <v/>
      </c>
      <c r="AC96" s="41" t="str">
        <f>IFERROR(__xludf.DUMMYFUNCTION("IF(AA96="""","""",MAX(Filter((Data!G:G+Data!K:K),Data!B:B=A96)))"),"")</f>
        <v/>
      </c>
      <c r="AD96" s="41" t="str">
        <f t="shared" si="11"/>
        <v/>
      </c>
      <c r="AE96" s="41" t="str">
        <f t="shared" si="12"/>
        <v/>
      </c>
      <c r="AF96" s="41" t="str">
        <f t="shared" si="13"/>
        <v/>
      </c>
      <c r="AG96" s="42" t="str">
        <f>IF(A96="","",(((AD96)*Picklist!$P$3)+((K96)*Picklist!$P$4)+(E96*Picklist!$P$5)+(N96*Picklist!$P$6)+(X96*Picklist!$P$7)+(R96*Picklist!$P$8)))</f>
        <v/>
      </c>
      <c r="AH96" s="43" t="str">
        <f>IF(A96="","",(((AD96)*Picklist!$P$14)+((K96)*Picklist!$P$15)+(E96*Picklist!$P$16)+(N96*Picklist!$P$17)+(X96*Picklist!$P$18)+(R96*Picklist!$P$19)))</f>
        <v/>
      </c>
      <c r="AI96" s="44" t="str">
        <f>IFERROR(__xludf.DUMMYFUNCTION("TEXTJOIN("", "",TRUE, FILTER(Data!P:P, Data!B:B=A96))"),"")</f>
        <v/>
      </c>
      <c r="AJ96" s="16" t="str">
        <f t="shared" si="14"/>
        <v/>
      </c>
      <c r="AK96" s="46" t="str">
        <f>IFERROR(__xludf.DUMMYFUNCTION("IF(A96&lt;&gt;"""",IFERROR(AVERAGE(FILTER('Defense Calculations'!BJ:CS,'Defense Calculations'!A:A=A96)),""""),"""")"),"")</f>
        <v/>
      </c>
      <c r="AM96" s="47"/>
      <c r="BB96" s="49">
        <f t="shared" si="16"/>
        <v>0</v>
      </c>
      <c r="BC96" s="50" t="str">
        <f t="shared" si="17"/>
        <v/>
      </c>
    </row>
    <row r="97">
      <c r="A97" s="54"/>
      <c r="B97" s="30" t="str">
        <f>IFERROR(__xludf.DUMMYFUNCTION("IFERROR(ROUND(
(COUNTIF(FILTER(Data!O:O, Data!B:B=A97), ""Win"")
+ COUNTIF(FILTER(Data!O:O, Data!B:B=A97), {""Tie"",""Results""}))
/ (COUNTIF(Data!B:B, A97)),
1),"""")"),"")</f>
        <v/>
      </c>
      <c r="C97" s="31" t="str">
        <f>IFERROR((SUMIF(Data!B:B, A97, Data!H:H)
/ (COUNTIF(Data!B:B, A97)
)),"")</f>
        <v/>
      </c>
      <c r="D97" s="31" t="str">
        <f>IFERROR((SUMIF(Data!B:B, A97, Data!G:G)
/ (COUNTIF(Data!B:B, A97)
)),"")</f>
        <v/>
      </c>
      <c r="E97" s="31" t="str">
        <f t="shared" si="1"/>
        <v/>
      </c>
      <c r="F97" s="31" t="str">
        <f>IFERROR((SUMIF(Data!B:B, A97, Data!J:J)
/ (COUNTIF(Data!B:B, A97)
)),"")</f>
        <v/>
      </c>
      <c r="G97" s="32" t="str">
        <f>IF(A97="","",IFERROR((((((SUMIF(Data!B:B, A97, Data!H:H)+(SUMIF(Data!B:B, A97,Data!G:G)))/(SUMIF(Data!B:B, A97, Data!J:J)))))),0))</f>
        <v/>
      </c>
      <c r="H97" s="33" t="str">
        <f>IFERROR(__xludf.DUMMYFUNCTION("IFERROR(IF(G97="""","""",(SUM(FIlter(Filter(Data!G:G,Data!B:B=A97),(Filter(Data!J:J&lt;3,Data!B:B=A97))))+SUM((FIlter(Filter(Data!H:H,Data!B:B=A97),(Filter(Data!J:J&lt;3,Data!B:B=A97))))))/(SUM(Filter(Filter(Data!J:J,Data!B:B=A97),FILTER(Data!J:J&lt;3,Data!B:B=A97"&amp;"))))),"""")"),"")</f>
        <v/>
      </c>
      <c r="I97" s="32" t="str">
        <f>IFERROR(__xludf.DUMMYFUNCTION("IF(A97="""","""",(COUNT(FILTER(IF(Data!G:G&lt;&gt;0,Data!G:G,IF(Data!H:H&lt;&gt;0,Data!H:H)),Data!B:B=A97)))/(COUNT(FILTER(Data!J:J,Data!B:B=A97))))"),"")</f>
        <v/>
      </c>
      <c r="J97" s="32" t="str">
        <f t="shared" si="2"/>
        <v/>
      </c>
      <c r="K97" s="31" t="str">
        <f t="shared" si="3"/>
        <v/>
      </c>
      <c r="L97" s="31" t="str">
        <f>IFERROR((SUMIF(Data!B:B, A97, Data!L:L)
/ (COUNTIF(Data!B:B, A97)
)),"")</f>
        <v/>
      </c>
      <c r="M97" s="31" t="str">
        <f>IFERROR((SUMIF(Data!B:B, A97, Data!K:K)
/ (COUNTIF(Data!B:B, A97)
)),"")</f>
        <v/>
      </c>
      <c r="N97" s="34" t="str">
        <f t="shared" si="33"/>
        <v/>
      </c>
      <c r="O97" s="32" t="str">
        <f>IF(A97="","",IFERROR((((((SUMIF(Data!B:B, A97, Data!H:H)+(SUMIF(Data!B:B, A97,Data!G:G)+(SUMIF(Data!B:B, A97,Data!L:L)+(SUMIF(Data!B:B, A97,Data!K:K)))))/(SUMIF(Data!B:B, A97, Data!M:M)+(SUMIF(Data!B:B, A97, Data!H:H)+(SUMIF(Data!B:B, A97,Data!G:G)+(SUMIF(Data!B:B, A97,Data!K:K)+(SUMIF(Data!B:B, A97,Data!L:L)))))))))),0))</f>
        <v/>
      </c>
      <c r="P97" s="35" t="str">
        <f>IFERROR(__xludf.DUMMYFUNCTION("IFERROR(((COUNTIF(FILTER(Data!N:N,Data!B:B=A97),""TRAVERSE"")*15)+(COUNTIF(FILTER(Data!N:N,Data!B:B=A97),""HIGH"")*10)+(COUNTIF(FILTER(Data!N:N,Data!B:B=A97),""MIDDLE"")*6)+(COUNTIF(FILTER(Data!N:N,Data!B:B=A97),""LOW"")*4)) / (COUNTIF(Data!B:B, A97)),"""&amp;""")"),"")</f>
        <v/>
      </c>
      <c r="Q97" s="31" t="str">
        <f>IFERROR(__xludf.DUMMYFUNCTION("IF(P97="""","""",Average(FIlter(('Convert Name to Number'!$F$422:$Z1000),'Convert Name to Number'!$E$422:$E1000=$A97)))"),"")</f>
        <v/>
      </c>
      <c r="R97" s="36" t="str">
        <f t="shared" si="5"/>
        <v/>
      </c>
      <c r="S97" s="37" t="str">
        <f>IFERROR(__xludf.DUMMYFUNCTION("IFERROR((((COUNTIF(FILTER(Data!N:N,Data!B:B=A97),""TRAVERSE""))+(COUNTIF(FILTER(Data!N:N,Data!B:B=A97),""HIGH""))+(COUNTIF(FILTER(Data!N:N,Data!B:B=A97),""MIDDLE""))+(COUNTIF(FILTER(Data!N:N,Data!B:B=A97),""LOW"")))) / (((COUNTIF(Data!B:B, A97)))-(COUNTIF"&amp;"(FILTER(Data!N:N,Data!B:B=A97),""NONE""))),IF(ISBLANK(A97),"""",0))"),"")</f>
        <v/>
      </c>
      <c r="T97" s="32" t="str">
        <f>IFERROR(__xludf.DUMMYFUNCTION("IFERROR((COUNTIF(FILTER(Data!N:N, Data!B:B=A97),""LOW"")) / (COUNTIF(Data!B:B, A97)),"""")"),"")</f>
        <v/>
      </c>
      <c r="U97" s="38" t="str">
        <f>IFERROR(__xludf.DUMMYFUNCTION("IFERROR((COUNTIF(FILTER(Data!N:N, Data!B:B=A97),""MIDDLE"")) / (COUNTIF(Data!B:B, A97)),"""")"),"")</f>
        <v/>
      </c>
      <c r="V97" s="38" t="str">
        <f>IFERROR(__xludf.DUMMYFUNCTION("IFERROR((COUNTIF(FILTER(Data!N:N, Data!B:B=A97),""HIGH"")) / (COUNTIF(Data!B:B, A97)),"""")"),"")</f>
        <v/>
      </c>
      <c r="W97" s="38" t="str">
        <f>IFERROR(__xludf.DUMMYFUNCTION("IFERROR((COUNTIF(FILTER(Data!N:N, Data!B:B=A97),""TRAVERSE"")) / (COUNTIF(Data!B:B, A97)),"""")"),"")</f>
        <v/>
      </c>
      <c r="X97" s="39" t="str">
        <f t="shared" si="6"/>
        <v/>
      </c>
      <c r="Y97" s="31" t="str">
        <f t="shared" si="7"/>
        <v/>
      </c>
      <c r="Z97" s="31" t="str">
        <f t="shared" si="8"/>
        <v/>
      </c>
      <c r="AA97" s="41" t="str">
        <f t="shared" si="9"/>
        <v/>
      </c>
      <c r="AB97" s="40" t="str">
        <f t="shared" si="34"/>
        <v/>
      </c>
      <c r="AC97" s="41" t="str">
        <f>IFERROR(__xludf.DUMMYFUNCTION("IF(AA97="""","""",MAX(Filter((Data!G:G+Data!K:K),Data!B:B=A97)))"),"")</f>
        <v/>
      </c>
      <c r="AD97" s="41" t="str">
        <f t="shared" si="11"/>
        <v/>
      </c>
      <c r="AE97" s="41" t="str">
        <f t="shared" si="12"/>
        <v/>
      </c>
      <c r="AF97" s="41" t="str">
        <f t="shared" si="13"/>
        <v/>
      </c>
      <c r="AG97" s="42" t="str">
        <f>IF(A97="","",(((AD97)*Picklist!$P$3)+((K97)*Picklist!$P$4)+(E97*Picklist!$P$5)+(N97*Picklist!$P$6)+(X97*Picklist!$P$7)+(R97*Picklist!$P$8)))</f>
        <v/>
      </c>
      <c r="AH97" s="43" t="str">
        <f>IF(A97="","",(((AD97)*Picklist!$P$14)+((K97)*Picklist!$P$15)+(E97*Picklist!$P$16)+(N97*Picklist!$P$17)+(X97*Picklist!$P$18)+(R97*Picklist!$P$19)))</f>
        <v/>
      </c>
      <c r="AI97" s="44" t="str">
        <f>IFERROR(__xludf.DUMMYFUNCTION("TEXTJOIN("", "",TRUE, FILTER(Data!P:P, Data!B:B=A97))"),"")</f>
        <v/>
      </c>
      <c r="AJ97" s="16" t="str">
        <f t="shared" si="14"/>
        <v/>
      </c>
      <c r="AK97" s="46" t="str">
        <f>IFERROR(__xludf.DUMMYFUNCTION("IF(A97&lt;&gt;"""",IFERROR(AVERAGE(FILTER('Defense Calculations'!BJ:CS,'Defense Calculations'!A:A=A97)),""""),"""")"),"")</f>
        <v/>
      </c>
      <c r="AM97" s="47"/>
      <c r="BB97" s="49">
        <f t="shared" si="16"/>
        <v>0</v>
      </c>
      <c r="BC97" s="50" t="str">
        <f t="shared" si="17"/>
        <v/>
      </c>
    </row>
    <row r="98">
      <c r="A98" s="54"/>
      <c r="B98" s="30" t="str">
        <f>IFERROR(__xludf.DUMMYFUNCTION("IFERROR(ROUND(
(COUNTIF(FILTER(Data!O:O, Data!B:B=A98), ""Win"")
+ COUNTIF(FILTER(Data!O:O, Data!B:B=A98), {""Tie"",""Results""}))
/ (COUNTIF(Data!B:B, A98)),
1),"""")"),"")</f>
        <v/>
      </c>
      <c r="C98" s="31" t="str">
        <f>IFERROR((SUMIF(Data!B:B, A98, Data!H:H)
/ (COUNTIF(Data!B:B, A98)
)),"")</f>
        <v/>
      </c>
      <c r="D98" s="31" t="str">
        <f>IFERROR((SUMIF(Data!B:B, A98, Data!G:G)
/ (COUNTIF(Data!B:B, A98)
)),"")</f>
        <v/>
      </c>
      <c r="E98" s="31" t="str">
        <f t="shared" si="1"/>
        <v/>
      </c>
      <c r="F98" s="31" t="str">
        <f>IFERROR((SUMIF(Data!B:B, A98, Data!J:J)
/ (COUNTIF(Data!B:B, A98)
)),"")</f>
        <v/>
      </c>
      <c r="G98" s="32" t="str">
        <f>IF(A98="","",IFERROR((((((SUMIF(Data!B:B, A98, Data!H:H)+(SUMIF(Data!B:B, A98,Data!G:G)))/(SUMIF(Data!B:B, A98, Data!J:J)))))),0))</f>
        <v/>
      </c>
      <c r="H98" s="33" t="str">
        <f>IFERROR(__xludf.DUMMYFUNCTION("IFERROR(IF(G98="""","""",(SUM(FIlter(Filter(Data!G:G,Data!B:B=A98),(Filter(Data!J:J&lt;3,Data!B:B=A98))))+SUM((FIlter(Filter(Data!H:H,Data!B:B=A98),(Filter(Data!J:J&lt;3,Data!B:B=A98))))))/(SUM(Filter(Filter(Data!J:J,Data!B:B=A98),FILTER(Data!J:J&lt;3,Data!B:B=A98"&amp;"))))),"""")"),"")</f>
        <v/>
      </c>
      <c r="I98" s="32" t="str">
        <f>IFERROR(__xludf.DUMMYFUNCTION("IF(A98="""","""",(COUNT(FILTER(IF(Data!G:G&lt;&gt;0,Data!G:G,IF(Data!H:H&lt;&gt;0,Data!H:H)),Data!B:B=A98)))/(COUNT(FILTER(Data!J:J,Data!B:B=A98))))"),"")</f>
        <v/>
      </c>
      <c r="J98" s="32" t="str">
        <f t="shared" si="2"/>
        <v/>
      </c>
      <c r="K98" s="31" t="str">
        <f t="shared" si="3"/>
        <v/>
      </c>
      <c r="L98" s="31" t="str">
        <f>IFERROR((SUMIF(Data!B:B, A98, Data!L:L)
/ (COUNTIF(Data!B:B, A98)
)),"")</f>
        <v/>
      </c>
      <c r="M98" s="31" t="str">
        <f>IFERROR((SUMIF(Data!B:B, A98, Data!K:K)
/ (COUNTIF(Data!B:B, A98)
)),"")</f>
        <v/>
      </c>
      <c r="N98" s="34" t="str">
        <f t="shared" si="33"/>
        <v/>
      </c>
      <c r="O98" s="32" t="str">
        <f>IF(A98="","",IFERROR((((((SUMIF(Data!B:B, A98, Data!H:H)+(SUMIF(Data!B:B, A98,Data!G:G)+(SUMIF(Data!B:B, A98,Data!L:L)+(SUMIF(Data!B:B, A98,Data!K:K)))))/(SUMIF(Data!B:B, A98, Data!M:M)+(SUMIF(Data!B:B, A98, Data!H:H)+(SUMIF(Data!B:B, A98,Data!G:G)+(SUMIF(Data!B:B, A98,Data!K:K)+(SUMIF(Data!B:B, A98,Data!L:L)))))))))),0))</f>
        <v/>
      </c>
      <c r="P98" s="35" t="str">
        <f>IFERROR(__xludf.DUMMYFUNCTION("IFERROR(((COUNTIF(FILTER(Data!N:N,Data!B:B=A98),""TRAVERSE"")*15)+(COUNTIF(FILTER(Data!N:N,Data!B:B=A98),""HIGH"")*10)+(COUNTIF(FILTER(Data!N:N,Data!B:B=A98),""MIDDLE"")*6)+(COUNTIF(FILTER(Data!N:N,Data!B:B=A98),""LOW"")*4)) / (COUNTIF(Data!B:B, A98)),"""&amp;""")"),"")</f>
        <v/>
      </c>
      <c r="Q98" s="31" t="str">
        <f>IFERROR(__xludf.DUMMYFUNCTION("IF(P98="""","""",Average(FIlter(('Convert Name to Number'!$F$422:$Z1000),'Convert Name to Number'!$E$422:$E1000=$A98)))"),"")</f>
        <v/>
      </c>
      <c r="R98" s="36" t="str">
        <f t="shared" si="5"/>
        <v/>
      </c>
      <c r="S98" s="37" t="str">
        <f>IFERROR(__xludf.DUMMYFUNCTION("IFERROR((((COUNTIF(FILTER(Data!N:N,Data!B:B=A98),""TRAVERSE""))+(COUNTIF(FILTER(Data!N:N,Data!B:B=A98),""HIGH""))+(COUNTIF(FILTER(Data!N:N,Data!B:B=A98),""MIDDLE""))+(COUNTIF(FILTER(Data!N:N,Data!B:B=A98),""LOW"")))) / (((COUNTIF(Data!B:B, A98)))-(COUNTIF"&amp;"(FILTER(Data!N:N,Data!B:B=A98),""NONE""))),IF(ISBLANK(A98),"""",0))"),"")</f>
        <v/>
      </c>
      <c r="T98" s="32" t="str">
        <f>IFERROR(__xludf.DUMMYFUNCTION("IFERROR((COUNTIF(FILTER(Data!N:N, Data!B:B=A98),""LOW"")) / (COUNTIF(Data!B:B, A98)),"""")"),"")</f>
        <v/>
      </c>
      <c r="U98" s="38" t="str">
        <f>IFERROR(__xludf.DUMMYFUNCTION("IFERROR((COUNTIF(FILTER(Data!N:N, Data!B:B=A98),""MIDDLE"")) / (COUNTIF(Data!B:B, A98)),"""")"),"")</f>
        <v/>
      </c>
      <c r="V98" s="38" t="str">
        <f>IFERROR(__xludf.DUMMYFUNCTION("IFERROR((COUNTIF(FILTER(Data!N:N, Data!B:B=A98),""HIGH"")) / (COUNTIF(Data!B:B, A98)),"""")"),"")</f>
        <v/>
      </c>
      <c r="W98" s="38" t="str">
        <f>IFERROR(__xludf.DUMMYFUNCTION("IFERROR((COUNTIF(FILTER(Data!N:N, Data!B:B=A98),""TRAVERSE"")) / (COUNTIF(Data!B:B, A98)),"""")"),"")</f>
        <v/>
      </c>
      <c r="X98" s="39" t="str">
        <f t="shared" si="6"/>
        <v/>
      </c>
      <c r="Y98" s="31" t="str">
        <f t="shared" si="7"/>
        <v/>
      </c>
      <c r="Z98" s="31" t="str">
        <f t="shared" si="8"/>
        <v/>
      </c>
      <c r="AA98" s="41" t="str">
        <f t="shared" si="9"/>
        <v/>
      </c>
      <c r="AB98" s="40" t="str">
        <f t="shared" si="34"/>
        <v/>
      </c>
      <c r="AC98" s="41" t="str">
        <f>IFERROR(__xludf.DUMMYFUNCTION("IF(AA98="""","""",MAX(Filter((Data!G:G+Data!K:K),Data!B:B=A98)))"),"")</f>
        <v/>
      </c>
      <c r="AD98" s="41" t="str">
        <f t="shared" si="11"/>
        <v/>
      </c>
      <c r="AE98" s="41" t="str">
        <f t="shared" si="12"/>
        <v/>
      </c>
      <c r="AF98" s="41" t="str">
        <f t="shared" si="13"/>
        <v/>
      </c>
      <c r="AG98" s="42" t="str">
        <f>IF(A98="","",(((AD98)*Picklist!$P$3)+((K98)*Picklist!$P$4)+(E98*Picklist!$P$5)+(N98*Picklist!$P$6)+(X98*Picklist!$P$7)+(R98*Picklist!$P$8)))</f>
        <v/>
      </c>
      <c r="AH98" s="43" t="str">
        <f>IF(A98="","",(((AD98)*Picklist!$P$14)+((K98)*Picklist!$P$15)+(E98*Picklist!$P$16)+(N98*Picklist!$P$17)+(X98*Picklist!$P$18)+(R98*Picklist!$P$19)))</f>
        <v/>
      </c>
      <c r="AI98" s="44" t="str">
        <f>IFERROR(__xludf.DUMMYFUNCTION("TEXTJOIN("", "",TRUE, FILTER(Data!P:P, Data!B:B=A98))"),"")</f>
        <v/>
      </c>
      <c r="AJ98" s="16" t="str">
        <f t="shared" si="14"/>
        <v/>
      </c>
      <c r="AK98" s="46" t="str">
        <f>IFERROR(__xludf.DUMMYFUNCTION("IF(A98&lt;&gt;"""",IFERROR(AVERAGE(FILTER('Defense Calculations'!BJ:CS,'Defense Calculations'!A:A=A98)),""""),"""")"),"")</f>
        <v/>
      </c>
      <c r="AM98" s="47"/>
      <c r="BB98" s="49">
        <f t="shared" si="16"/>
        <v>0</v>
      </c>
      <c r="BC98" s="50" t="str">
        <f t="shared" si="17"/>
        <v/>
      </c>
    </row>
    <row r="99">
      <c r="A99" s="54"/>
      <c r="B99" s="30" t="str">
        <f>IFERROR(__xludf.DUMMYFUNCTION("IFERROR(ROUND(
(COUNTIF(FILTER(Data!O:O, Data!B:B=A99), ""Win"")
+ COUNTIF(FILTER(Data!O:O, Data!B:B=A99), {""Tie"",""Results""}))
/ (COUNTIF(Data!B:B, A99)),
1),"""")"),"")</f>
        <v/>
      </c>
      <c r="C99" s="31" t="str">
        <f>IFERROR((SUMIF(Data!B:B, A99, Data!H:H)
/ (COUNTIF(Data!B:B, A99)
)),"")</f>
        <v/>
      </c>
      <c r="D99" s="31" t="str">
        <f>IFERROR((SUMIF(Data!B:B, A99, Data!G:G)
/ (COUNTIF(Data!B:B, A99)
)),"")</f>
        <v/>
      </c>
      <c r="E99" s="31" t="str">
        <f t="shared" si="1"/>
        <v/>
      </c>
      <c r="F99" s="31" t="str">
        <f>IFERROR((SUMIF(Data!B:B, A99, Data!J:J)
/ (COUNTIF(Data!B:B, A99)
)),"")</f>
        <v/>
      </c>
      <c r="G99" s="32" t="str">
        <f>IF(A99="","",IFERROR((((((SUMIF(Data!B:B, A99, Data!H:H)+(SUMIF(Data!B:B, A99,Data!G:G)))/(SUMIF(Data!B:B, A99, Data!J:J)))))),0))</f>
        <v/>
      </c>
      <c r="H99" s="33" t="str">
        <f>IFERROR(__xludf.DUMMYFUNCTION("IFERROR(IF(G99="""","""",(SUM(FIlter(Filter(Data!G:G,Data!B:B=A99),(Filter(Data!J:J&lt;3,Data!B:B=A99))))+SUM((FIlter(Filter(Data!H:H,Data!B:B=A99),(Filter(Data!J:J&lt;3,Data!B:B=A99))))))/(SUM(Filter(Filter(Data!J:J,Data!B:B=A99),FILTER(Data!J:J&lt;3,Data!B:B=A99"&amp;"))))),"""")"),"")</f>
        <v/>
      </c>
      <c r="I99" s="32" t="str">
        <f>IFERROR(__xludf.DUMMYFUNCTION("IF(A99="""","""",(COUNT(FILTER(IF(Data!G:G&lt;&gt;0,Data!G:G,IF(Data!H:H&lt;&gt;0,Data!H:H)),Data!B:B=A99)))/(COUNT(FILTER(Data!J:J,Data!B:B=A99))))"),"")</f>
        <v/>
      </c>
      <c r="J99" s="32" t="str">
        <f t="shared" si="2"/>
        <v/>
      </c>
      <c r="K99" s="31" t="str">
        <f t="shared" si="3"/>
        <v/>
      </c>
      <c r="L99" s="31" t="str">
        <f>IFERROR((SUMIF(Data!B:B, A99, Data!L:L)
/ (COUNTIF(Data!B:B, A99)
)),"")</f>
        <v/>
      </c>
      <c r="M99" s="31" t="str">
        <f>IFERROR((SUMIF(Data!B:B, A99, Data!K:K)
/ (COUNTIF(Data!B:B, A99)
)),"")</f>
        <v/>
      </c>
      <c r="N99" s="34" t="str">
        <f t="shared" si="33"/>
        <v/>
      </c>
      <c r="O99" s="32" t="str">
        <f>IF(A99="","",IFERROR((((((SUMIF(Data!B:B, A99, Data!H:H)+(SUMIF(Data!B:B, A99,Data!G:G)+(SUMIF(Data!B:B, A99,Data!L:L)+(SUMIF(Data!B:B, A99,Data!K:K)))))/(SUMIF(Data!B:B, A99, Data!M:M)+(SUMIF(Data!B:B, A99, Data!H:H)+(SUMIF(Data!B:B, A99,Data!G:G)+(SUMIF(Data!B:B, A99,Data!K:K)+(SUMIF(Data!B:B, A99,Data!L:L)))))))))),0))</f>
        <v/>
      </c>
      <c r="P99" s="35" t="str">
        <f>IFERROR(__xludf.DUMMYFUNCTION("IFERROR(((COUNTIF(FILTER(Data!N:N,Data!B:B=A99),""TRAVERSE"")*15)+(COUNTIF(FILTER(Data!N:N,Data!B:B=A99),""HIGH"")*10)+(COUNTIF(FILTER(Data!N:N,Data!B:B=A99),""MIDDLE"")*6)+(COUNTIF(FILTER(Data!N:N,Data!B:B=A99),""LOW"")*4)) / (COUNTIF(Data!B:B, A99)),"""&amp;""")"),"")</f>
        <v/>
      </c>
      <c r="Q99" s="31" t="str">
        <f>IFERROR(__xludf.DUMMYFUNCTION("IF(P99="""","""",Average(FIlter(('Convert Name to Number'!$F$422:$Z1000),'Convert Name to Number'!$E$422:$E1000=$A99)))"),"")</f>
        <v/>
      </c>
      <c r="R99" s="36" t="str">
        <f t="shared" si="5"/>
        <v/>
      </c>
      <c r="S99" s="37" t="str">
        <f>IFERROR(__xludf.DUMMYFUNCTION("IFERROR((((COUNTIF(FILTER(Data!N:N,Data!B:B=A99),""TRAVERSE""))+(COUNTIF(FILTER(Data!N:N,Data!B:B=A99),""HIGH""))+(COUNTIF(FILTER(Data!N:N,Data!B:B=A99),""MIDDLE""))+(COUNTIF(FILTER(Data!N:N,Data!B:B=A99),""LOW"")))) / (((COUNTIF(Data!B:B, A99)))-(COUNTIF"&amp;"(FILTER(Data!N:N,Data!B:B=A99),""NONE""))),IF(ISBLANK(A99),"""",0))"),"")</f>
        <v/>
      </c>
      <c r="T99" s="32" t="str">
        <f>IFERROR(__xludf.DUMMYFUNCTION("IFERROR((COUNTIF(FILTER(Data!N:N, Data!B:B=A99),""LOW"")) / (COUNTIF(Data!B:B, A99)),"""")"),"")</f>
        <v/>
      </c>
      <c r="U99" s="38" t="str">
        <f>IFERROR(__xludf.DUMMYFUNCTION("IFERROR((COUNTIF(FILTER(Data!N:N, Data!B:B=A99),""MIDDLE"")) / (COUNTIF(Data!B:B, A99)),"""")"),"")</f>
        <v/>
      </c>
      <c r="V99" s="38" t="str">
        <f>IFERROR(__xludf.DUMMYFUNCTION("IFERROR((COUNTIF(FILTER(Data!N:N, Data!B:B=A99),""HIGH"")) / (COUNTIF(Data!B:B, A99)),"""")"),"")</f>
        <v/>
      </c>
      <c r="W99" s="38" t="str">
        <f>IFERROR(__xludf.DUMMYFUNCTION("IFERROR((COUNTIF(FILTER(Data!N:N, Data!B:B=A99),""TRAVERSE"")) / (COUNTIF(Data!B:B, A99)),"""")"),"")</f>
        <v/>
      </c>
      <c r="X99" s="39" t="str">
        <f t="shared" si="6"/>
        <v/>
      </c>
      <c r="Y99" s="31" t="str">
        <f t="shared" si="7"/>
        <v/>
      </c>
      <c r="Z99" s="31" t="str">
        <f t="shared" si="8"/>
        <v/>
      </c>
      <c r="AA99" s="41" t="str">
        <f t="shared" si="9"/>
        <v/>
      </c>
      <c r="AB99" s="40" t="str">
        <f t="shared" si="34"/>
        <v/>
      </c>
      <c r="AC99" s="41" t="str">
        <f>IFERROR(__xludf.DUMMYFUNCTION("IF(AA99="""","""",MAX(Filter((Data!G:G+Data!K:K),Data!B:B=A99)))"),"")</f>
        <v/>
      </c>
      <c r="AD99" s="41" t="str">
        <f t="shared" si="11"/>
        <v/>
      </c>
      <c r="AE99" s="41" t="str">
        <f t="shared" si="12"/>
        <v/>
      </c>
      <c r="AF99" s="41" t="str">
        <f t="shared" si="13"/>
        <v/>
      </c>
      <c r="AG99" s="42" t="str">
        <f>IF(A99="","",(((AD99)*Picklist!$P$3)+((K99)*Picklist!$P$4)+(E99*Picklist!$P$5)+(N99*Picklist!$P$6)+(X99*Picklist!$P$7)+(R99*Picklist!$P$8)))</f>
        <v/>
      </c>
      <c r="AH99" s="43" t="str">
        <f>IF(A99="","",(((AD99)*Picklist!$P$14)+((K99)*Picklist!$P$15)+(E99*Picklist!$P$16)+(N99*Picklist!$P$17)+(X99*Picklist!$P$18)+(R99*Picklist!$P$19)))</f>
        <v/>
      </c>
      <c r="AI99" s="44" t="str">
        <f>IFERROR(__xludf.DUMMYFUNCTION("TEXTJOIN("", "",TRUE, FILTER(Data!P:P, Data!B:B=A99))"),"")</f>
        <v/>
      </c>
      <c r="AJ99" s="16" t="str">
        <f t="shared" si="14"/>
        <v/>
      </c>
      <c r="AK99" s="46" t="str">
        <f>IFERROR(__xludf.DUMMYFUNCTION("IF(A99&lt;&gt;"""",IFERROR(AVERAGE(FILTER('Defense Calculations'!BJ:CS,'Defense Calculations'!A:A=A99)),""""),"""")"),"")</f>
        <v/>
      </c>
      <c r="AM99" s="47"/>
      <c r="BB99" s="49">
        <f t="shared" si="16"/>
        <v>0</v>
      </c>
      <c r="BC99" s="50" t="str">
        <f t="shared" si="17"/>
        <v/>
      </c>
    </row>
    <row r="100">
      <c r="A100" s="54"/>
      <c r="B100" s="30" t="str">
        <f>IFERROR(__xludf.DUMMYFUNCTION("IFERROR(ROUND(
(COUNTIF(FILTER(Data!O:O, Data!B:B=A100), ""Win"")
+ COUNTIF(FILTER(Data!O:O, Data!B:B=A100), {""Tie"",""Results""}))
/ (COUNTIF(Data!B:B, A100)),
1),"""")"),"")</f>
        <v/>
      </c>
      <c r="C100" s="31" t="str">
        <f>IFERROR((SUMIF(Data!B:B, A100, Data!H:H)
/ (COUNTIF(Data!B:B, A100)
)),"")</f>
        <v/>
      </c>
      <c r="D100" s="31" t="str">
        <f>IFERROR((SUMIF(Data!B:B, A100, Data!G:G)
/ (COUNTIF(Data!B:B, A100)
)),"")</f>
        <v/>
      </c>
      <c r="E100" s="31" t="str">
        <f t="shared" si="1"/>
        <v/>
      </c>
      <c r="F100" s="31" t="str">
        <f>IFERROR((SUMIF(Data!B:B, A100, Data!J:J)
/ (COUNTIF(Data!B:B, A100)
)),"")</f>
        <v/>
      </c>
      <c r="G100" s="32" t="str">
        <f>IF(A100="","",IFERROR((((((SUMIF(Data!B:B, A100, Data!H:H)+(SUMIF(Data!B:B, A100,Data!G:G)))/(SUMIF(Data!B:B, A100, Data!J:J)))))),0))</f>
        <v/>
      </c>
      <c r="H100" s="33" t="str">
        <f>IFERROR(__xludf.DUMMYFUNCTION("IFERROR(IF(G100="""","""",(SUM(FIlter(Filter(Data!G:G,Data!B:B=A100),(Filter(Data!J:J&lt;3,Data!B:B=A100))))+SUM((FIlter(Filter(Data!H:H,Data!B:B=A100),(Filter(Data!J:J&lt;3,Data!B:B=A100))))))/(SUM(Filter(Filter(Data!J:J,Data!B:B=A100),FILTER(Data!J:J&lt;3,Data!B"&amp;":B=A100))))),"""")"),"")</f>
        <v/>
      </c>
      <c r="I100" s="32" t="str">
        <f>IFERROR(__xludf.DUMMYFUNCTION("IF(A100="""","""",(COUNT(FILTER(IF(Data!G:G&lt;&gt;0,Data!G:G,IF(Data!H:H&lt;&gt;0,Data!H:H)),Data!B:B=A100)))/(COUNT(FILTER(Data!J:J,Data!B:B=A100))))"),"")</f>
        <v/>
      </c>
      <c r="J100" s="32" t="str">
        <f t="shared" si="2"/>
        <v/>
      </c>
      <c r="K100" s="31" t="str">
        <f t="shared" si="3"/>
        <v/>
      </c>
      <c r="L100" s="31" t="str">
        <f>IFERROR((SUMIF(Data!B:B, A100, Data!L:L)
/ (COUNTIF(Data!B:B, A100)
)),"")</f>
        <v/>
      </c>
      <c r="M100" s="31" t="str">
        <f>IFERROR((SUMIF(Data!B:B, A100, Data!K:K)
/ (COUNTIF(Data!B:B, A100)
)),"")</f>
        <v/>
      </c>
      <c r="N100" s="34" t="str">
        <f t="shared" si="33"/>
        <v/>
      </c>
      <c r="O100" s="32" t="str">
        <f>IF(A100="","",IFERROR((((((SUMIF(Data!B:B, A100, Data!H:H)+(SUMIF(Data!B:B, A100,Data!G:G)+(SUMIF(Data!B:B, A100,Data!L:L)+(SUMIF(Data!B:B, A100,Data!K:K)))))/(SUMIF(Data!B:B, A100, Data!M:M)+(SUMIF(Data!B:B, A100, Data!H:H)+(SUMIF(Data!B:B, A100,Data!G:G)+(SUMIF(Data!B:B, A100,Data!K:K)+(SUMIF(Data!B:B, A100,Data!L:L)))))))))),0))</f>
        <v/>
      </c>
      <c r="P100" s="35" t="str">
        <f>IFERROR(__xludf.DUMMYFUNCTION("IFERROR(((COUNTIF(FILTER(Data!N:N,Data!B:B=A100),""TRAVERSE"")*15)+(COUNTIF(FILTER(Data!N:N,Data!B:B=A100),""HIGH"")*10)+(COUNTIF(FILTER(Data!N:N,Data!B:B=A100),""MIDDLE"")*6)+(COUNTIF(FILTER(Data!N:N,Data!B:B=A100),""LOW"")*4)) / (COUNTIF(Data!B:B, A100)"&amp;"),"""")"),"")</f>
        <v/>
      </c>
      <c r="Q100" s="31" t="str">
        <f>IFERROR(__xludf.DUMMYFUNCTION("IF(P100="""","""",Average(FIlter(('Convert Name to Number'!$F$422:$Z1000),'Convert Name to Number'!$E$422:$E1000=$A100)))"),"")</f>
        <v/>
      </c>
      <c r="R100" s="36" t="str">
        <f t="shared" si="5"/>
        <v/>
      </c>
      <c r="S100" s="37" t="str">
        <f>IFERROR(__xludf.DUMMYFUNCTION("IFERROR((((COUNTIF(FILTER(Data!N:N,Data!B:B=A100),""TRAVERSE""))+(COUNTIF(FILTER(Data!N:N,Data!B:B=A100),""HIGH""))+(COUNTIF(FILTER(Data!N:N,Data!B:B=A100),""MIDDLE""))+(COUNTIF(FILTER(Data!N:N,Data!B:B=A100),""LOW"")))) / (((COUNTIF(Data!B:B, A100)))-(CO"&amp;"UNTIF(FILTER(Data!N:N,Data!B:B=A100),""NONE""))),IF(ISBLANK(A100),"""",0))"),"")</f>
        <v/>
      </c>
      <c r="T100" s="32" t="str">
        <f>IFERROR(__xludf.DUMMYFUNCTION("IFERROR((COUNTIF(FILTER(Data!N:N, Data!B:B=A100),""LOW"")) / (COUNTIF(Data!B:B, A100)),"""")"),"")</f>
        <v/>
      </c>
      <c r="U100" s="38" t="str">
        <f>IFERROR(__xludf.DUMMYFUNCTION("IFERROR((COUNTIF(FILTER(Data!N:N, Data!B:B=A100),""MIDDLE"")) / (COUNTIF(Data!B:B, A100)),"""")"),"")</f>
        <v/>
      </c>
      <c r="V100" s="38" t="str">
        <f>IFERROR(__xludf.DUMMYFUNCTION("IFERROR((COUNTIF(FILTER(Data!N:N, Data!B:B=A100),""HIGH"")) / (COUNTIF(Data!B:B, A100)),"""")"),"")</f>
        <v/>
      </c>
      <c r="W100" s="38" t="str">
        <f>IFERROR(__xludf.DUMMYFUNCTION("IFERROR((COUNTIF(FILTER(Data!N:N, Data!B:B=A100),""TRAVERSE"")) / (COUNTIF(Data!B:B, A100)),"""")"),"")</f>
        <v/>
      </c>
      <c r="X100" s="39" t="str">
        <f t="shared" si="6"/>
        <v/>
      </c>
      <c r="Y100" s="31" t="str">
        <f t="shared" si="7"/>
        <v/>
      </c>
      <c r="Z100" s="31" t="str">
        <f t="shared" si="8"/>
        <v/>
      </c>
      <c r="AA100" s="41" t="str">
        <f t="shared" si="9"/>
        <v/>
      </c>
      <c r="AB100" s="40" t="str">
        <f t="shared" si="34"/>
        <v/>
      </c>
      <c r="AC100" s="41" t="str">
        <f>IFERROR(__xludf.DUMMYFUNCTION("IF(AA100="""","""",MAX(Filter((Data!G:G+Data!K:K),Data!B:B=A100)))"),"")</f>
        <v/>
      </c>
      <c r="AD100" s="41" t="str">
        <f t="shared" si="11"/>
        <v/>
      </c>
      <c r="AE100" s="41" t="str">
        <f t="shared" si="12"/>
        <v/>
      </c>
      <c r="AF100" s="41" t="str">
        <f t="shared" si="13"/>
        <v/>
      </c>
      <c r="AG100" s="42" t="str">
        <f>IF(A100="","",(((AD100)*Picklist!$P$3)+((K100)*Picklist!$P$4)+(E100*Picklist!$P$5)+(N100*Picklist!$P$6)+(X100*Picklist!$P$7)+(R100*Picklist!$P$8)))</f>
        <v/>
      </c>
      <c r="AH100" s="43" t="str">
        <f>IF(A100="","",(((AD100)*Picklist!$P$14)+((K100)*Picklist!$P$15)+(E100*Picklist!$P$16)+(N100*Picklist!$P$17)+(X100*Picklist!$P$18)+(R100*Picklist!$P$19)))</f>
        <v/>
      </c>
      <c r="AI100" s="44" t="str">
        <f>IFERROR(__xludf.DUMMYFUNCTION("TEXTJOIN("", "",TRUE, FILTER(Data!P:P, Data!B:B=A100))"),"")</f>
        <v/>
      </c>
      <c r="AJ100" s="16" t="str">
        <f t="shared" si="14"/>
        <v/>
      </c>
      <c r="AK100" s="46" t="str">
        <f>IFERROR(__xludf.DUMMYFUNCTION("IF(A100&lt;&gt;"""",IFERROR(AVERAGE(FILTER('Defense Calculations'!BJ:CS,'Defense Calculations'!A:A=A100)),""""),"""")"),"")</f>
        <v/>
      </c>
      <c r="AM100" s="47"/>
      <c r="BB100" s="49">
        <f t="shared" si="16"/>
        <v>0</v>
      </c>
      <c r="BC100" s="50" t="str">
        <f t="shared" si="17"/>
        <v/>
      </c>
    </row>
    <row r="101">
      <c r="A101" s="54"/>
      <c r="B101" s="30" t="str">
        <f>IFERROR(__xludf.DUMMYFUNCTION("IFERROR(ROUND(
(COUNTIF(FILTER(Data!O:O, Data!B:B=A101), ""Win"")
+ COUNTIF(FILTER(Data!O:O, Data!B:B=A101), {""Tie"",""Results""}))
/ (COUNTIF(Data!B:B, A101)),
1),"""")"),"")</f>
        <v/>
      </c>
      <c r="C101" s="31" t="str">
        <f>IFERROR((SUMIF(Data!B:B, A101, Data!H:H)
/ (COUNTIF(Data!B:B, A101)
)),"")</f>
        <v/>
      </c>
      <c r="D101" s="31" t="str">
        <f>IFERROR((SUMIF(Data!B:B, A101, Data!G:G)
/ (COUNTIF(Data!B:B, A101)
)),"")</f>
        <v/>
      </c>
      <c r="E101" s="31" t="str">
        <f t="shared" si="1"/>
        <v/>
      </c>
      <c r="F101" s="31" t="str">
        <f>IFERROR((SUMIF(Data!B:B, A101, Data!J:J)
/ (COUNTIF(Data!B:B, A101)
)),"")</f>
        <v/>
      </c>
      <c r="G101" s="32" t="str">
        <f>IF(A101="","",IFERROR((((((SUMIF(Data!B:B, A101, Data!H:H)+(SUMIF(Data!B:B, A101,Data!G:G)))/(SUMIF(Data!B:B, A101, Data!J:J)))))),0))</f>
        <v/>
      </c>
      <c r="H101" s="33" t="str">
        <f>IFERROR(__xludf.DUMMYFUNCTION("IFERROR(IF(G101="""","""",(SUM(FIlter(Filter(Data!G:G,Data!B:B=A101),(Filter(Data!J:J&lt;3,Data!B:B=A101))))+SUM((FIlter(Filter(Data!H:H,Data!B:B=A101),(Filter(Data!J:J&lt;3,Data!B:B=A101))))))/(SUM(Filter(Filter(Data!J:J,Data!B:B=A101),FILTER(Data!J:J&lt;3,Data!B"&amp;":B=A101))))),"""")"),"")</f>
        <v/>
      </c>
      <c r="I101" s="32" t="str">
        <f>IFERROR(__xludf.DUMMYFUNCTION("IF(A101="""","""",(COUNT(FILTER(IF(Data!G:G&lt;&gt;0,Data!G:G,IF(Data!H:H&lt;&gt;0,Data!H:H)),Data!B:B=A101)))/(COUNT(FILTER(Data!J:J,Data!B:B=A101))))"),"")</f>
        <v/>
      </c>
      <c r="J101" s="32" t="str">
        <f t="shared" si="2"/>
        <v/>
      </c>
      <c r="K101" s="31" t="str">
        <f t="shared" si="3"/>
        <v/>
      </c>
      <c r="L101" s="31" t="str">
        <f>IFERROR((SUMIF(Data!B:B, A101, Data!L:L)
/ (COUNTIF(Data!B:B, A101)
)),"")</f>
        <v/>
      </c>
      <c r="M101" s="31" t="str">
        <f>IFERROR((SUMIF(Data!B:B, A101, Data!K:K)
/ (COUNTIF(Data!B:B, A101)
)),"")</f>
        <v/>
      </c>
      <c r="N101" s="34" t="str">
        <f t="shared" si="33"/>
        <v/>
      </c>
      <c r="O101" s="32" t="str">
        <f>IF(A101="","",IFERROR((((((SUMIF(Data!B:B, A101, Data!H:H)+(SUMIF(Data!B:B, A101,Data!G:G)+(SUMIF(Data!B:B, A101,Data!L:L)+(SUMIF(Data!B:B, A101,Data!K:K)))))/(SUMIF(Data!B:B, A101, Data!M:M)+(SUMIF(Data!B:B, A101, Data!H:H)+(SUMIF(Data!B:B, A101,Data!G:G)+(SUMIF(Data!B:B, A101,Data!K:K)+(SUMIF(Data!B:B, A101,Data!L:L)))))))))),0))</f>
        <v/>
      </c>
      <c r="P101" s="35" t="str">
        <f>IFERROR(__xludf.DUMMYFUNCTION("IFERROR(((COUNTIF(FILTER(Data!N:N,Data!B:B=A101),""TRAVERSE"")*15)+(COUNTIF(FILTER(Data!N:N,Data!B:B=A101),""HIGH"")*10)+(COUNTIF(FILTER(Data!N:N,Data!B:B=A101),""MIDDLE"")*6)+(COUNTIF(FILTER(Data!N:N,Data!B:B=A101),""LOW"")*4)) / (COUNTIF(Data!B:B, A101)"&amp;"),"""")"),"")</f>
        <v/>
      </c>
      <c r="Q101" s="31" t="str">
        <f>IFERROR(__xludf.DUMMYFUNCTION("IF(P101="""","""",Average(FIlter(('Convert Name to Number'!$F$422:$Z1000),'Convert Name to Number'!$E$422:$E1000=$A101)))"),"")</f>
        <v/>
      </c>
      <c r="R101" s="36" t="str">
        <f t="shared" si="5"/>
        <v/>
      </c>
      <c r="S101" s="37" t="str">
        <f>IFERROR(__xludf.DUMMYFUNCTION("IFERROR((((COUNTIF(FILTER(Data!N:N,Data!B:B=A101),""TRAVERSE""))+(COUNTIF(FILTER(Data!N:N,Data!B:B=A101),""HIGH""))+(COUNTIF(FILTER(Data!N:N,Data!B:B=A101),""MIDDLE""))+(COUNTIF(FILTER(Data!N:N,Data!B:B=A101),""LOW"")))) / (((COUNTIF(Data!B:B, A101)))-(CO"&amp;"UNTIF(FILTER(Data!N:N,Data!B:B=A101),""NONE""))),IF(ISBLANK(A101),"""",0))"),"")</f>
        <v/>
      </c>
      <c r="T101" s="32" t="str">
        <f>IFERROR(__xludf.DUMMYFUNCTION("IFERROR((COUNTIF(FILTER(Data!N:N, Data!B:B=A101),""LOW"")) / (COUNTIF(Data!B:B, A101)),"""")"),"")</f>
        <v/>
      </c>
      <c r="U101" s="38" t="str">
        <f>IFERROR(__xludf.DUMMYFUNCTION("IFERROR((COUNTIF(FILTER(Data!N:N, Data!B:B=A101),""MIDDLE"")) / (COUNTIF(Data!B:B, A101)),"""")"),"")</f>
        <v/>
      </c>
      <c r="V101" s="38" t="str">
        <f>IFERROR(__xludf.DUMMYFUNCTION("IFERROR((COUNTIF(FILTER(Data!N:N, Data!B:B=A101),""HIGH"")) / (COUNTIF(Data!B:B, A101)),"""")"),"")</f>
        <v/>
      </c>
      <c r="W101" s="38" t="str">
        <f>IFERROR(__xludf.DUMMYFUNCTION("IFERROR((COUNTIF(FILTER(Data!N:N, Data!B:B=A101),""TRAVERSE"")) / (COUNTIF(Data!B:B, A101)),"""")"),"")</f>
        <v/>
      </c>
      <c r="X101" s="39" t="str">
        <f t="shared" si="6"/>
        <v/>
      </c>
      <c r="Y101" s="31" t="str">
        <f t="shared" si="7"/>
        <v/>
      </c>
      <c r="Z101" s="31" t="str">
        <f t="shared" si="8"/>
        <v/>
      </c>
      <c r="AA101" s="41" t="str">
        <f t="shared" si="9"/>
        <v/>
      </c>
      <c r="AB101" s="40" t="str">
        <f t="shared" si="34"/>
        <v/>
      </c>
      <c r="AC101" s="41" t="str">
        <f>IFERROR(__xludf.DUMMYFUNCTION("IF(AA101="""","""",MAX(Filter((Data!G:G+Data!K:K),Data!B:B=A101)))"),"")</f>
        <v/>
      </c>
      <c r="AD101" s="41" t="str">
        <f t="shared" si="11"/>
        <v/>
      </c>
      <c r="AE101" s="41" t="str">
        <f t="shared" si="12"/>
        <v/>
      </c>
      <c r="AF101" s="41" t="str">
        <f t="shared" si="13"/>
        <v/>
      </c>
      <c r="AG101" s="42" t="str">
        <f>IF(A101="","",(((AD101)*Picklist!$P$3)+((K101)*Picklist!$P$4)+(E101*Picklist!$P$5)+(N101*Picklist!$P$6)+(X101*Picklist!$P$7)+(R101*Picklist!$P$8)))</f>
        <v/>
      </c>
      <c r="AH101" s="43" t="str">
        <f>IF(A101="","",(((AD101)*Picklist!$P$14)+((K101)*Picklist!$P$15)+(E101*Picklist!$P$16)+(N101*Picklist!$P$17)+(X101*Picklist!$P$18)+(R101*Picklist!$P$19)))</f>
        <v/>
      </c>
      <c r="AI101" s="44" t="str">
        <f>IFERROR(__xludf.DUMMYFUNCTION("TEXTJOIN("", "",TRUE, FILTER(Data!P:P, Data!B:B=A101))"),"")</f>
        <v/>
      </c>
      <c r="AJ101" s="16" t="str">
        <f t="shared" si="14"/>
        <v/>
      </c>
      <c r="AK101" s="46" t="str">
        <f>IFERROR(__xludf.DUMMYFUNCTION("IF(A101&lt;&gt;"""",IFERROR(AVERAGE(FILTER('Defense Calculations'!BJ:CS,'Defense Calculations'!A:A=A101)),""""),"""")"),"")</f>
        <v/>
      </c>
      <c r="AM101" s="47"/>
      <c r="BB101" s="49">
        <f t="shared" si="16"/>
        <v>0</v>
      </c>
      <c r="BC101" s="50" t="str">
        <f t="shared" si="17"/>
        <v/>
      </c>
    </row>
    <row r="102">
      <c r="A102" s="54"/>
      <c r="B102" s="30" t="str">
        <f>IFERROR(__xludf.DUMMYFUNCTION("IFERROR(ROUND(
(COUNTIF(FILTER(Data!O:O, Data!B:B=A102), ""Win"")
+ COUNTIF(FILTER(Data!O:O, Data!B:B=A102), {""Tie"",""Results""}))
/ (COUNTIF(Data!B:B, A102)),
1),"""")"),"")</f>
        <v/>
      </c>
      <c r="C102" s="31" t="str">
        <f>IFERROR((SUMIF(Data!B:B, A102, Data!H:H)
/ (COUNTIF(Data!B:B, A102)
)),"")</f>
        <v/>
      </c>
      <c r="D102" s="31" t="str">
        <f>IFERROR((SUMIF(Data!B:B, A102, Data!G:G)
/ (COUNTIF(Data!B:B, A102)
)),"")</f>
        <v/>
      </c>
      <c r="E102" s="31" t="str">
        <f t="shared" si="1"/>
        <v/>
      </c>
      <c r="F102" s="31" t="str">
        <f>IFERROR((SUMIF(Data!B:B, A102, Data!J:J)
/ (COUNTIF(Data!B:B, A102)
)),"")</f>
        <v/>
      </c>
      <c r="G102" s="32" t="str">
        <f>IF(A102="","",IFERROR((((((SUMIF(Data!B:B, A102, Data!H:H)+(SUMIF(Data!B:B, A102,Data!G:G)))/(SUMIF(Data!B:B, A102, Data!J:J)))))),0))</f>
        <v/>
      </c>
      <c r="H102" s="33" t="str">
        <f>IFERROR(__xludf.DUMMYFUNCTION("IFERROR(IF(G102="""","""",(SUM(FIlter(Filter(Data!G:G,Data!B:B=A102),(Filter(Data!J:J&lt;3,Data!B:B=A102))))+SUM((FIlter(Filter(Data!H:H,Data!B:B=A102),(Filter(Data!J:J&lt;3,Data!B:B=A102))))))/(SUM(Filter(Filter(Data!J:J,Data!B:B=A102),FILTER(Data!J:J&lt;3,Data!B"&amp;":B=A102))))),"""")"),"")</f>
        <v/>
      </c>
      <c r="I102" s="32" t="str">
        <f>IFERROR(__xludf.DUMMYFUNCTION("IF(A102="""","""",(COUNT(FILTER(IF(Data!G:G&lt;&gt;0,Data!G:G,IF(Data!H:H&lt;&gt;0,Data!H:H)),Data!B:B=A102)))/(COUNT(FILTER(Data!J:J,Data!B:B=A102))))"),"")</f>
        <v/>
      </c>
      <c r="J102" s="32" t="str">
        <f t="shared" si="2"/>
        <v/>
      </c>
      <c r="K102" s="31" t="str">
        <f t="shared" si="3"/>
        <v/>
      </c>
      <c r="L102" s="31" t="str">
        <f>IFERROR((SUMIF(Data!B:B, A102, Data!L:L)
/ (COUNTIF(Data!B:B, A102)
)),"")</f>
        <v/>
      </c>
      <c r="M102" s="31" t="str">
        <f>IFERROR((SUMIF(Data!B:B, A102, Data!K:K)
/ (COUNTIF(Data!B:B, A102)
)),"")</f>
        <v/>
      </c>
      <c r="N102" s="34" t="str">
        <f t="shared" si="33"/>
        <v/>
      </c>
      <c r="O102" s="32" t="str">
        <f>IF(A102="","",IFERROR((((((SUMIF(Data!B:B, A102, Data!H:H)+(SUMIF(Data!B:B, A102,Data!G:G)+(SUMIF(Data!B:B, A102,Data!L:L)+(SUMIF(Data!B:B, A102,Data!K:K)))))/(SUMIF(Data!B:B, A102, Data!M:M)+(SUMIF(Data!B:B, A102, Data!H:H)+(SUMIF(Data!B:B, A102,Data!G:G)+(SUMIF(Data!B:B, A102,Data!K:K)+(SUMIF(Data!B:B, A102,Data!L:L)))))))))),0))</f>
        <v/>
      </c>
      <c r="P102" s="35" t="str">
        <f>IFERROR(__xludf.DUMMYFUNCTION("IFERROR(((COUNTIF(FILTER(Data!N:N,Data!B:B=A102),""TRAVERSE"")*15)+(COUNTIF(FILTER(Data!N:N,Data!B:B=A102),""HIGH"")*10)+(COUNTIF(FILTER(Data!N:N,Data!B:B=A102),""MIDDLE"")*6)+(COUNTIF(FILTER(Data!N:N,Data!B:B=A102),""LOW"")*4)) / (COUNTIF(Data!B:B, A102)"&amp;"),"""")"),"")</f>
        <v/>
      </c>
      <c r="Q102" s="31" t="str">
        <f>IFERROR(__xludf.DUMMYFUNCTION("IF(P102="""","""",Average(FIlter(('Convert Name to Number'!$F$422:$Z1000),'Convert Name to Number'!$E$422:$E1000=$A102)))"),"")</f>
        <v/>
      </c>
      <c r="R102" s="36" t="str">
        <f t="shared" si="5"/>
        <v/>
      </c>
      <c r="S102" s="37" t="str">
        <f>IFERROR(__xludf.DUMMYFUNCTION("IFERROR((((COUNTIF(FILTER(Data!N:N,Data!B:B=A102),""TRAVERSE""))+(COUNTIF(FILTER(Data!N:N,Data!B:B=A102),""HIGH""))+(COUNTIF(FILTER(Data!N:N,Data!B:B=A102),""MIDDLE""))+(COUNTIF(FILTER(Data!N:N,Data!B:B=A102),""LOW"")))) / (((COUNTIF(Data!B:B, A102)))-(CO"&amp;"UNTIF(FILTER(Data!N:N,Data!B:B=A102),""NONE""))),IF(ISBLANK(A102),"""",0))"),"")</f>
        <v/>
      </c>
      <c r="T102" s="32" t="str">
        <f>IFERROR(__xludf.DUMMYFUNCTION("IFERROR((COUNTIF(FILTER(Data!N:N, Data!B:B=A102),""LOW"")) / (COUNTIF(Data!B:B, A102)),"""")"),"")</f>
        <v/>
      </c>
      <c r="U102" s="38" t="str">
        <f>IFERROR(__xludf.DUMMYFUNCTION("IFERROR((COUNTIF(FILTER(Data!N:N, Data!B:B=A102),""MIDDLE"")) / (COUNTIF(Data!B:B, A102)),"""")"),"")</f>
        <v/>
      </c>
      <c r="V102" s="38" t="str">
        <f>IFERROR(__xludf.DUMMYFUNCTION("IFERROR((COUNTIF(FILTER(Data!N:N, Data!B:B=A102),""HIGH"")) / (COUNTIF(Data!B:B, A102)),"""")"),"")</f>
        <v/>
      </c>
      <c r="W102" s="38" t="str">
        <f>IFERROR(__xludf.DUMMYFUNCTION("IFERROR((COUNTIF(FILTER(Data!N:N, Data!B:B=A102),""TRAVERSE"")) / (COUNTIF(Data!B:B, A102)),"""")"),"")</f>
        <v/>
      </c>
      <c r="X102" s="39" t="str">
        <f t="shared" si="6"/>
        <v/>
      </c>
      <c r="Y102" s="31" t="str">
        <f t="shared" si="7"/>
        <v/>
      </c>
      <c r="Z102" s="31" t="str">
        <f t="shared" si="8"/>
        <v/>
      </c>
      <c r="AA102" s="41" t="str">
        <f t="shared" si="9"/>
        <v/>
      </c>
      <c r="AB102" s="40" t="str">
        <f t="shared" si="34"/>
        <v/>
      </c>
      <c r="AC102" s="41" t="str">
        <f>IFERROR(__xludf.DUMMYFUNCTION("IF(AA102="""","""",MAX(Filter((Data!G:G+Data!K:K),Data!B:B=A102)))"),"")</f>
        <v/>
      </c>
      <c r="AD102" s="41" t="str">
        <f t="shared" si="11"/>
        <v/>
      </c>
      <c r="AE102" s="41" t="str">
        <f t="shared" si="12"/>
        <v/>
      </c>
      <c r="AF102" s="41" t="str">
        <f t="shared" si="13"/>
        <v/>
      </c>
      <c r="AG102" s="42" t="str">
        <f>IF(A102="","",(((AD102)*Picklist!$P$3)+((K102)*Picklist!$P$4)+(E102*Picklist!$P$5)+(N102*Picklist!$P$6)+(X102*Picklist!$P$7)+(R102*Picklist!$P$8)))</f>
        <v/>
      </c>
      <c r="AH102" s="43" t="str">
        <f>IF(A102="","",(((AD102)*Picklist!$P$14)+((K102)*Picklist!$P$15)+(E102*Picklist!$P$16)+(N102*Picklist!$P$17)+(X102*Picklist!$P$18)+(R102*Picklist!$P$19)))</f>
        <v/>
      </c>
      <c r="AI102" s="44" t="str">
        <f>IFERROR(__xludf.DUMMYFUNCTION("TEXTJOIN("", "",TRUE, FILTER(Data!P:P, Data!B:B=A102))"),"")</f>
        <v/>
      </c>
      <c r="AJ102" s="16" t="str">
        <f t="shared" si="14"/>
        <v/>
      </c>
      <c r="AK102" s="46" t="str">
        <f>IFERROR(__xludf.DUMMYFUNCTION("IF(A102&lt;&gt;"""",IFERROR(AVERAGE(FILTER('Defense Calculations'!BJ:CS,'Defense Calculations'!A:A=A102)),""""),"""")"),"")</f>
        <v/>
      </c>
      <c r="AM102" s="47"/>
      <c r="BB102" s="49">
        <f t="shared" si="16"/>
        <v>0</v>
      </c>
      <c r="BC102" s="50" t="str">
        <f t="shared" si="17"/>
        <v/>
      </c>
    </row>
    <row r="103">
      <c r="A103" s="54"/>
      <c r="B103" s="30" t="str">
        <f>IFERROR(__xludf.DUMMYFUNCTION("IFERROR(ROUND(
(COUNTIF(FILTER(Data!O:O, Data!B:B=A103), ""Win"")
+ COUNTIF(FILTER(Data!O:O, Data!B:B=A103), {""Tie"",""Results""}))
/ (COUNTIF(Data!B:B, A103)),
1),"""")"),"")</f>
        <v/>
      </c>
      <c r="C103" s="31" t="str">
        <f>IFERROR((SUMIF(Data!B:B, A103, Data!H:H)
/ (COUNTIF(Data!B:B, A103)
)),"")</f>
        <v/>
      </c>
      <c r="D103" s="31" t="str">
        <f>IFERROR((SUMIF(Data!B:B, A103, Data!G:G)
/ (COUNTIF(Data!B:B, A103)
)),"")</f>
        <v/>
      </c>
      <c r="E103" s="31" t="str">
        <f t="shared" si="1"/>
        <v/>
      </c>
      <c r="F103" s="31" t="str">
        <f>IFERROR((SUMIF(Data!B:B, A103, Data!J:J)
/ (COUNTIF(Data!B:B, A103)
)),"")</f>
        <v/>
      </c>
      <c r="G103" s="32" t="str">
        <f>IF(A103="","",IFERROR((((((SUMIF(Data!B:B, A103, Data!H:H)+(SUMIF(Data!B:B, A103,Data!G:G)))/(SUMIF(Data!B:B, A103, Data!J:J)))))),0))</f>
        <v/>
      </c>
      <c r="H103" s="33" t="str">
        <f>IFERROR(__xludf.DUMMYFUNCTION("IFERROR(IF(G103="""","""",(SUM(FIlter(Filter(Data!G:G,Data!B:B=A103),(Filter(Data!J:J&lt;3,Data!B:B=A103))))+SUM((FIlter(Filter(Data!H:H,Data!B:B=A103),(Filter(Data!J:J&lt;3,Data!B:B=A103))))))/(SUM(Filter(Filter(Data!J:J,Data!B:B=A103),FILTER(Data!J:J&lt;3,Data!B"&amp;":B=A103))))),"""")"),"")</f>
        <v/>
      </c>
      <c r="I103" s="32" t="str">
        <f>IFERROR(__xludf.DUMMYFUNCTION("IF(A103="""","""",(COUNT(FILTER(IF(Data!G:G&lt;&gt;0,Data!G:G,IF(Data!H:H&lt;&gt;0,Data!H:H)),Data!B:B=A103)))/(COUNT(FILTER(Data!J:J,Data!B:B=A103))))"),"")</f>
        <v/>
      </c>
      <c r="J103" s="32" t="str">
        <f t="shared" si="2"/>
        <v/>
      </c>
      <c r="K103" s="31" t="str">
        <f t="shared" si="3"/>
        <v/>
      </c>
      <c r="L103" s="31" t="str">
        <f>IFERROR((SUMIF(Data!B:B, A103, Data!L:L)
/ (COUNTIF(Data!B:B, A103)
)),"")</f>
        <v/>
      </c>
      <c r="M103" s="31" t="str">
        <f>IFERROR((SUMIF(Data!B:B, A103, Data!K:K)
/ (COUNTIF(Data!B:B, A103)
)),"")</f>
        <v/>
      </c>
      <c r="N103" s="34" t="str">
        <f t="shared" si="33"/>
        <v/>
      </c>
      <c r="O103" s="32" t="str">
        <f>IF(A103="","",IFERROR((((((SUMIF(Data!B:B, A103, Data!H:H)+(SUMIF(Data!B:B, A103,Data!G:G)+(SUMIF(Data!B:B, A103,Data!L:L)+(SUMIF(Data!B:B, A103,Data!K:K)))))/(SUMIF(Data!B:B, A103, Data!M:M)+(SUMIF(Data!B:B, A103, Data!H:H)+(SUMIF(Data!B:B, A103,Data!G:G)+(SUMIF(Data!B:B, A103,Data!K:K)+(SUMIF(Data!B:B, A103,Data!L:L)))))))))),0))</f>
        <v/>
      </c>
      <c r="P103" s="35" t="str">
        <f>IFERROR(__xludf.DUMMYFUNCTION("IFERROR(((COUNTIF(FILTER(Data!N:N,Data!B:B=A103),""TRAVERSE"")*15)+(COUNTIF(FILTER(Data!N:N,Data!B:B=A103),""HIGH"")*10)+(COUNTIF(FILTER(Data!N:N,Data!B:B=A103),""MIDDLE"")*6)+(COUNTIF(FILTER(Data!N:N,Data!B:B=A103),""LOW"")*4)) / (COUNTIF(Data!B:B, A103)"&amp;"),"""")"),"")</f>
        <v/>
      </c>
      <c r="Q103" s="31" t="str">
        <f>IFERROR(__xludf.DUMMYFUNCTION("IF(P103="""","""",Average(FIlter(('Convert Name to Number'!$F$422:$Z1000),'Convert Name to Number'!$E$422:$E1000=$A103)))"),"")</f>
        <v/>
      </c>
      <c r="R103" s="36" t="str">
        <f t="shared" si="5"/>
        <v/>
      </c>
      <c r="S103" s="37" t="str">
        <f>IFERROR(__xludf.DUMMYFUNCTION("IFERROR((((COUNTIF(FILTER(Data!N:N,Data!B:B=A103),""TRAVERSE""))+(COUNTIF(FILTER(Data!N:N,Data!B:B=A103),""HIGH""))+(COUNTIF(FILTER(Data!N:N,Data!B:B=A103),""MIDDLE""))+(COUNTIF(FILTER(Data!N:N,Data!B:B=A103),""LOW"")))) / (((COUNTIF(Data!B:B, A103)))-(CO"&amp;"UNTIF(FILTER(Data!N:N,Data!B:B=A103),""NONE""))),IF(ISBLANK(A103),"""",0))"),"")</f>
        <v/>
      </c>
      <c r="T103" s="32" t="str">
        <f>IFERROR(__xludf.DUMMYFUNCTION("IFERROR((COUNTIF(FILTER(Data!N:N, Data!B:B=A103),""LOW"")) / (COUNTIF(Data!B:B, A103)),"""")"),"")</f>
        <v/>
      </c>
      <c r="U103" s="38" t="str">
        <f>IFERROR(__xludf.DUMMYFUNCTION("IFERROR((COUNTIF(FILTER(Data!N:N, Data!B:B=A103),""MIDDLE"")) / (COUNTIF(Data!B:B, A103)),"""")"),"")</f>
        <v/>
      </c>
      <c r="V103" s="38" t="str">
        <f>IFERROR(__xludf.DUMMYFUNCTION("IFERROR((COUNTIF(FILTER(Data!N:N, Data!B:B=A103),""HIGH"")) / (COUNTIF(Data!B:B, A103)),"""")"),"")</f>
        <v/>
      </c>
      <c r="W103" s="38" t="str">
        <f>IFERROR(__xludf.DUMMYFUNCTION("IFERROR((COUNTIF(FILTER(Data!N:N, Data!B:B=A103),""TRAVERSE"")) / (COUNTIF(Data!B:B, A103)),"""")"),"")</f>
        <v/>
      </c>
      <c r="X103" s="39" t="str">
        <f t="shared" si="6"/>
        <v/>
      </c>
      <c r="Y103" s="31" t="str">
        <f t="shared" si="7"/>
        <v/>
      </c>
      <c r="Z103" s="31" t="str">
        <f t="shared" si="8"/>
        <v/>
      </c>
      <c r="AA103" s="41" t="str">
        <f t="shared" si="9"/>
        <v/>
      </c>
      <c r="AB103" s="40" t="str">
        <f t="shared" si="34"/>
        <v/>
      </c>
      <c r="AC103" s="41" t="str">
        <f>IFERROR(__xludf.DUMMYFUNCTION("IF(AA103="""","""",MAX(Filter((Data!G:G+Data!K:K),Data!B:B=A103)))"),"")</f>
        <v/>
      </c>
      <c r="AD103" s="41" t="str">
        <f t="shared" si="11"/>
        <v/>
      </c>
      <c r="AE103" s="41" t="str">
        <f t="shared" si="12"/>
        <v/>
      </c>
      <c r="AF103" s="41" t="str">
        <f t="shared" si="13"/>
        <v/>
      </c>
      <c r="AG103" s="42" t="str">
        <f>IF(A103="","",(((AD103)*Picklist!$P$3)+((K103)*Picklist!$P$4)+(E103*Picklist!$P$5)+(N103*Picklist!$P$6)+(X103*Picklist!$P$7)+(R103*Picklist!$P$8)))</f>
        <v/>
      </c>
      <c r="AH103" s="43" t="str">
        <f>IF(A103="","",(((AD103)*Picklist!$P$14)+((K103)*Picklist!$P$15)+(E103*Picklist!$P$16)+(N103*Picklist!$P$17)+(X103*Picklist!$P$18)+(R103*Picklist!$P$19)))</f>
        <v/>
      </c>
      <c r="AI103" s="44" t="str">
        <f>IFERROR(__xludf.DUMMYFUNCTION("TEXTJOIN("", "",TRUE, FILTER(Data!P:P, Data!B:B=A103))"),"")</f>
        <v/>
      </c>
      <c r="AJ103" s="16" t="str">
        <f t="shared" si="14"/>
        <v/>
      </c>
      <c r="AK103" s="46" t="str">
        <f>IFERROR(__xludf.DUMMYFUNCTION("IF(A103&lt;&gt;"""",IFERROR(AVERAGE(FILTER('Defense Calculations'!BJ:CS,'Defense Calculations'!A:A=A103)),""""),"""")"),"")</f>
        <v/>
      </c>
      <c r="AM103" s="47"/>
      <c r="BB103" s="49">
        <f t="shared" si="16"/>
        <v>0</v>
      </c>
      <c r="BC103" s="50" t="str">
        <f t="shared" si="17"/>
        <v/>
      </c>
    </row>
    <row r="104">
      <c r="A104" s="54"/>
      <c r="B104" s="30" t="str">
        <f>IFERROR(__xludf.DUMMYFUNCTION("IFERROR(ROUND(
(COUNTIF(FILTER(Data!O:O, Data!B:B=A104), ""Win"")
+ COUNTIF(FILTER(Data!O:O, Data!B:B=A104), {""Tie"",""Results""}))
/ (COUNTIF(Data!B:B, A104)),
1),"""")"),"")</f>
        <v/>
      </c>
      <c r="C104" s="31" t="str">
        <f>IFERROR((SUMIF(Data!B:B, A104, Data!H:H)
/ (COUNTIF(Data!B:B, A104)
)),"")</f>
        <v/>
      </c>
      <c r="D104" s="31" t="str">
        <f>IFERROR((SUMIF(Data!B:B, A104, Data!G:G)
/ (COUNTIF(Data!B:B, A104)
)),"")</f>
        <v/>
      </c>
      <c r="E104" s="31" t="str">
        <f t="shared" si="1"/>
        <v/>
      </c>
      <c r="F104" s="31" t="str">
        <f>IFERROR((SUMIF(Data!B:B, A104, Data!J:J)
/ (COUNTIF(Data!B:B, A104)
)),"")</f>
        <v/>
      </c>
      <c r="G104" s="32" t="str">
        <f>IF(A104="","",IFERROR((((((SUMIF(Data!B:B, A104, Data!H:H)+(SUMIF(Data!B:B, A104,Data!G:G)))/(SUMIF(Data!B:B, A104, Data!J:J)))))),0))</f>
        <v/>
      </c>
      <c r="H104" s="33" t="str">
        <f>IFERROR(__xludf.DUMMYFUNCTION("IFERROR(IF(G104="""","""",(SUM(FIlter(Filter(Data!G:G,Data!B:B=A104),(Filter(Data!J:J&lt;3,Data!B:B=A104))))+SUM((FIlter(Filter(Data!H:H,Data!B:B=A104),(Filter(Data!J:J&lt;3,Data!B:B=A104))))))/(SUM(Filter(Filter(Data!J:J,Data!B:B=A104),FILTER(Data!J:J&lt;3,Data!B"&amp;":B=A104))))),"""")"),"")</f>
        <v/>
      </c>
      <c r="I104" s="32" t="str">
        <f>IFERROR(__xludf.DUMMYFUNCTION("IF(A104="""","""",(COUNT(FILTER(IF(Data!G:G&lt;&gt;0,Data!G:G,IF(Data!H:H&lt;&gt;0,Data!H:H)),Data!B:B=A104)))/(COUNT(FILTER(Data!J:J,Data!B:B=A104))))"),"")</f>
        <v/>
      </c>
      <c r="J104" s="32" t="str">
        <f t="shared" si="2"/>
        <v/>
      </c>
      <c r="K104" s="31" t="str">
        <f t="shared" si="3"/>
        <v/>
      </c>
      <c r="L104" s="31" t="str">
        <f>IFERROR((SUMIF(Data!B:B, A104, Data!L:L)
/ (COUNTIF(Data!B:B, A104)
)),"")</f>
        <v/>
      </c>
      <c r="M104" s="31" t="str">
        <f>IFERROR((SUMIF(Data!B:B, A104, Data!K:K)
/ (COUNTIF(Data!B:B, A104)
)),"")</f>
        <v/>
      </c>
      <c r="N104" s="34" t="str">
        <f t="shared" si="33"/>
        <v/>
      </c>
      <c r="O104" s="32" t="str">
        <f>IF(A104="","",IFERROR((((((SUMIF(Data!B:B, A104, Data!H:H)+(SUMIF(Data!B:B, A104,Data!G:G)+(SUMIF(Data!B:B, A104,Data!L:L)+(SUMIF(Data!B:B, A104,Data!K:K)))))/(SUMIF(Data!B:B, A104, Data!M:M)+(SUMIF(Data!B:B, A104, Data!H:H)+(SUMIF(Data!B:B, A104,Data!G:G)+(SUMIF(Data!B:B, A104,Data!K:K)+(SUMIF(Data!B:B, A104,Data!L:L)))))))))),0))</f>
        <v/>
      </c>
      <c r="P104" s="35" t="str">
        <f>IFERROR(__xludf.DUMMYFUNCTION("IFERROR(((COUNTIF(FILTER(Data!N:N,Data!B:B=A104),""TRAVERSE"")*15)+(COUNTIF(FILTER(Data!N:N,Data!B:B=A104),""HIGH"")*10)+(COUNTIF(FILTER(Data!N:N,Data!B:B=A104),""MIDDLE"")*6)+(COUNTIF(FILTER(Data!N:N,Data!B:B=A104),""LOW"")*4)) / (COUNTIF(Data!B:B, A104)"&amp;"),"""")"),"")</f>
        <v/>
      </c>
      <c r="Q104" s="31" t="str">
        <f>IFERROR(__xludf.DUMMYFUNCTION("IF(P104="""","""",Average(FIlter(('Convert Name to Number'!$F$422:$Z1000),'Convert Name to Number'!$E$422:$E1000=$A104)))"),"")</f>
        <v/>
      </c>
      <c r="R104" s="36" t="str">
        <f t="shared" si="5"/>
        <v/>
      </c>
      <c r="S104" s="37" t="str">
        <f>IFERROR(__xludf.DUMMYFUNCTION("IFERROR((((COUNTIF(FILTER(Data!N:N,Data!B:B=A104),""TRAVERSE""))+(COUNTIF(FILTER(Data!N:N,Data!B:B=A104),""HIGH""))+(COUNTIF(FILTER(Data!N:N,Data!B:B=A104),""MIDDLE""))+(COUNTIF(FILTER(Data!N:N,Data!B:B=A104),""LOW"")))) / (((COUNTIF(Data!B:B, A104)))-(CO"&amp;"UNTIF(FILTER(Data!N:N,Data!B:B=A104),""NONE""))),IF(ISBLANK(A104),"""",0))"),"")</f>
        <v/>
      </c>
      <c r="T104" s="32" t="str">
        <f>IFERROR(__xludf.DUMMYFUNCTION("IFERROR((COUNTIF(FILTER(Data!N:N, Data!B:B=A104),""LOW"")) / (COUNTIF(Data!B:B, A104)),"""")"),"")</f>
        <v/>
      </c>
      <c r="U104" s="38" t="str">
        <f>IFERROR(__xludf.DUMMYFUNCTION("IFERROR((COUNTIF(FILTER(Data!N:N, Data!B:B=A104),""MIDDLE"")) / (COUNTIF(Data!B:B, A104)),"""")"),"")</f>
        <v/>
      </c>
      <c r="V104" s="38" t="str">
        <f>IFERROR(__xludf.DUMMYFUNCTION("IFERROR((COUNTIF(FILTER(Data!N:N, Data!B:B=A104),""HIGH"")) / (COUNTIF(Data!B:B, A104)),"""")"),"")</f>
        <v/>
      </c>
      <c r="W104" s="38" t="str">
        <f>IFERROR(__xludf.DUMMYFUNCTION("IFERROR((COUNTIF(FILTER(Data!N:N, Data!B:B=A104),""TRAVERSE"")) / (COUNTIF(Data!B:B, A104)),"""")"),"")</f>
        <v/>
      </c>
      <c r="X104" s="39" t="str">
        <f t="shared" si="6"/>
        <v/>
      </c>
      <c r="Y104" s="31" t="str">
        <f t="shared" si="7"/>
        <v/>
      </c>
      <c r="Z104" s="31" t="str">
        <f t="shared" si="8"/>
        <v/>
      </c>
      <c r="AA104" s="41" t="str">
        <f t="shared" si="9"/>
        <v/>
      </c>
      <c r="AB104" s="40" t="str">
        <f t="shared" si="34"/>
        <v/>
      </c>
      <c r="AC104" s="41" t="str">
        <f>IFERROR(__xludf.DUMMYFUNCTION("IF(AA104="""","""",MAX(Filter((Data!G:G+Data!K:K),Data!B:B=A104)))"),"")</f>
        <v/>
      </c>
      <c r="AD104" s="41" t="str">
        <f t="shared" si="11"/>
        <v/>
      </c>
      <c r="AE104" s="41" t="str">
        <f t="shared" si="12"/>
        <v/>
      </c>
      <c r="AF104" s="41" t="str">
        <f t="shared" si="13"/>
        <v/>
      </c>
      <c r="AG104" s="42" t="str">
        <f>IF(A104="","",(((AD104)*Picklist!$P$3)+((K104)*Picklist!$P$4)+(E104*Picklist!$P$5)+(N104*Picklist!$P$6)+(X104*Picklist!$P$7)+(R104*Picklist!$P$8)))</f>
        <v/>
      </c>
      <c r="AH104" s="43" t="str">
        <f>IF(A104="","",(((AD104)*Picklist!$P$14)+((K104)*Picklist!$P$15)+(E104*Picklist!$P$16)+(N104*Picklist!$P$17)+(X104*Picklist!$P$18)+(R104*Picklist!$P$19)))</f>
        <v/>
      </c>
      <c r="AI104" s="44" t="str">
        <f>IFERROR(__xludf.DUMMYFUNCTION("TEXTJOIN("", "",TRUE, FILTER(Data!P:P, Data!B:B=A104))"),"")</f>
        <v/>
      </c>
      <c r="AJ104" s="16" t="str">
        <f t="shared" si="14"/>
        <v/>
      </c>
      <c r="AK104" s="46" t="str">
        <f>IFERROR(__xludf.DUMMYFUNCTION("IF(A104&lt;&gt;"""",IFERROR(AVERAGE(FILTER('Defense Calculations'!BJ:CS,'Defense Calculations'!A:A=A104)),""""),"""")"),"")</f>
        <v/>
      </c>
      <c r="AM104" s="47"/>
      <c r="BB104" s="49">
        <f t="shared" si="16"/>
        <v>0</v>
      </c>
      <c r="BC104" s="50" t="str">
        <f t="shared" si="17"/>
        <v/>
      </c>
    </row>
    <row r="105">
      <c r="A105" s="54"/>
      <c r="B105" s="30" t="str">
        <f>IFERROR(__xludf.DUMMYFUNCTION("IFERROR(ROUND(
(COUNTIF(FILTER(Data!O:O, Data!B:B=A105), ""Win"")
+ COUNTIF(FILTER(Data!O:O, Data!B:B=A105), {""Tie"",""Results""}))
/ (COUNTIF(Data!B:B, A105)),
1),"""")"),"")</f>
        <v/>
      </c>
      <c r="C105" s="31" t="str">
        <f>IFERROR((SUMIF(Data!B:B, A105, Data!H:H)
/ (COUNTIF(Data!B:B, A105)
)),"")</f>
        <v/>
      </c>
      <c r="D105" s="31" t="str">
        <f>IFERROR((SUMIF(Data!B:B, A105, Data!G:G)
/ (COUNTIF(Data!B:B, A105)
)),"")</f>
        <v/>
      </c>
      <c r="E105" s="31" t="str">
        <f t="shared" si="1"/>
        <v/>
      </c>
      <c r="F105" s="31" t="str">
        <f>IFERROR((SUMIF(Data!B:B, A105, Data!J:J)
/ (COUNTIF(Data!B:B, A105)
)),"")</f>
        <v/>
      </c>
      <c r="G105" s="32" t="str">
        <f>IF(A105="","",IFERROR((((((SUMIF(Data!B:B, A105, Data!H:H)+(SUMIF(Data!B:B, A105,Data!G:G)))/(SUMIF(Data!B:B, A105, Data!J:J)))))),0))</f>
        <v/>
      </c>
      <c r="H105" s="33" t="str">
        <f>IFERROR(__xludf.DUMMYFUNCTION("IFERROR(IF(G105="""","""",(SUM(FIlter(Filter(Data!G:G,Data!B:B=A105),(Filter(Data!J:J&lt;3,Data!B:B=A105))))+SUM((FIlter(Filter(Data!H:H,Data!B:B=A105),(Filter(Data!J:J&lt;3,Data!B:B=A105))))))/(SUM(Filter(Filter(Data!J:J,Data!B:B=A105),FILTER(Data!J:J&lt;3,Data!B"&amp;":B=A105))))),"""")"),"")</f>
        <v/>
      </c>
      <c r="I105" s="32" t="str">
        <f>IFERROR(__xludf.DUMMYFUNCTION("IF(A105="""","""",(COUNT(FILTER(IF(Data!G:G&lt;&gt;0,Data!G:G,IF(Data!H:H&lt;&gt;0,Data!H:H)),Data!B:B=A105)))/(COUNT(FILTER(Data!J:J,Data!B:B=A105))))"),"")</f>
        <v/>
      </c>
      <c r="J105" s="32" t="str">
        <f t="shared" si="2"/>
        <v/>
      </c>
      <c r="K105" s="31" t="str">
        <f t="shared" si="3"/>
        <v/>
      </c>
      <c r="L105" s="31" t="str">
        <f>IFERROR((SUMIF(Data!B:B, A105, Data!L:L)
/ (COUNTIF(Data!B:B, A105)
)),"")</f>
        <v/>
      </c>
      <c r="M105" s="31" t="str">
        <f>IFERROR((SUMIF(Data!B:B, A105, Data!K:K)
/ (COUNTIF(Data!B:B, A105)
)),"")</f>
        <v/>
      </c>
      <c r="N105" s="34" t="str">
        <f t="shared" si="33"/>
        <v/>
      </c>
      <c r="O105" s="32" t="str">
        <f>IF(A105="","",IFERROR((((((SUMIF(Data!B:B, A105, Data!H:H)+(SUMIF(Data!B:B, A105,Data!G:G)+(SUMIF(Data!B:B, A105,Data!L:L)+(SUMIF(Data!B:B, A105,Data!K:K)))))/(SUMIF(Data!B:B, A105, Data!M:M)+(SUMIF(Data!B:B, A105, Data!H:H)+(SUMIF(Data!B:B, A105,Data!G:G)+(SUMIF(Data!B:B, A105,Data!K:K)+(SUMIF(Data!B:B, A105,Data!L:L)))))))))),0))</f>
        <v/>
      </c>
      <c r="P105" s="35" t="str">
        <f>IFERROR(__xludf.DUMMYFUNCTION("IFERROR(((COUNTIF(FILTER(Data!N:N,Data!B:B=A105),""TRAVERSE"")*15)+(COUNTIF(FILTER(Data!N:N,Data!B:B=A105),""HIGH"")*10)+(COUNTIF(FILTER(Data!N:N,Data!B:B=A105),""MIDDLE"")*6)+(COUNTIF(FILTER(Data!N:N,Data!B:B=A105),""LOW"")*4)) / (COUNTIF(Data!B:B, A105)"&amp;"),"""")"),"")</f>
        <v/>
      </c>
      <c r="Q105" s="31" t="str">
        <f>IFERROR(__xludf.DUMMYFUNCTION("IF(P105="""","""",Average(FIlter(('Convert Name to Number'!$F$422:$Z1000),'Convert Name to Number'!$E$422:$E1000=$A105)))"),"")</f>
        <v/>
      </c>
      <c r="R105" s="36" t="str">
        <f t="shared" si="5"/>
        <v/>
      </c>
      <c r="S105" s="37" t="str">
        <f>IFERROR(__xludf.DUMMYFUNCTION("IFERROR((((COUNTIF(FILTER(Data!N:N,Data!B:B=A105),""TRAVERSE""))+(COUNTIF(FILTER(Data!N:N,Data!B:B=A105),""HIGH""))+(COUNTIF(FILTER(Data!N:N,Data!B:B=A105),""MIDDLE""))+(COUNTIF(FILTER(Data!N:N,Data!B:B=A105),""LOW"")))) / (((COUNTIF(Data!B:B, A105)))-(CO"&amp;"UNTIF(FILTER(Data!N:N,Data!B:B=A105),""NONE""))),IF(ISBLANK(A105),"""",0))"),"")</f>
        <v/>
      </c>
      <c r="T105" s="32" t="str">
        <f>IFERROR(__xludf.DUMMYFUNCTION("IFERROR((COUNTIF(FILTER(Data!N:N, Data!B:B=A105),""LOW"")) / (COUNTIF(Data!B:B, A105)),"""")"),"")</f>
        <v/>
      </c>
      <c r="U105" s="38" t="str">
        <f>IFERROR(__xludf.DUMMYFUNCTION("IFERROR((COUNTIF(FILTER(Data!N:N, Data!B:B=A105),""MIDDLE"")) / (COUNTIF(Data!B:B, A105)),"""")"),"")</f>
        <v/>
      </c>
      <c r="V105" s="38" t="str">
        <f>IFERROR(__xludf.DUMMYFUNCTION("IFERROR((COUNTIF(FILTER(Data!N:N, Data!B:B=A105),""HIGH"")) / (COUNTIF(Data!B:B, A105)),"""")"),"")</f>
        <v/>
      </c>
      <c r="W105" s="38" t="str">
        <f>IFERROR(__xludf.DUMMYFUNCTION("IFERROR((COUNTIF(FILTER(Data!N:N, Data!B:B=A105),""TRAVERSE"")) / (COUNTIF(Data!B:B, A105)),"""")"),"")</f>
        <v/>
      </c>
      <c r="X105" s="39" t="str">
        <f t="shared" si="6"/>
        <v/>
      </c>
      <c r="Y105" s="31" t="str">
        <f t="shared" si="7"/>
        <v/>
      </c>
      <c r="Z105" s="31" t="str">
        <f t="shared" si="8"/>
        <v/>
      </c>
      <c r="AA105" s="41" t="str">
        <f t="shared" si="9"/>
        <v/>
      </c>
      <c r="AB105" s="40" t="str">
        <f t="shared" si="34"/>
        <v/>
      </c>
      <c r="AC105" s="41" t="str">
        <f>IFERROR(__xludf.DUMMYFUNCTION("IF(AA105="""","""",MAX(Filter((Data!G:G+Data!K:K),Data!B:B=A105)))"),"")</f>
        <v/>
      </c>
      <c r="AD105" s="41" t="str">
        <f t="shared" si="11"/>
        <v/>
      </c>
      <c r="AE105" s="41" t="str">
        <f t="shared" si="12"/>
        <v/>
      </c>
      <c r="AF105" s="41" t="str">
        <f t="shared" si="13"/>
        <v/>
      </c>
      <c r="AG105" s="42" t="str">
        <f>IF(A105="","",(((AD105)*Picklist!$P$3)+((K105)*Picklist!$P$4)+(E105*Picklist!$P$5)+(N105*Picklist!$P$6)+(X105*Picklist!$P$7)+(R105*Picklist!$P$8)))</f>
        <v/>
      </c>
      <c r="AH105" s="43" t="str">
        <f>IF(A105="","",(((AD105)*Picklist!$P$14)+((K105)*Picklist!$P$15)+(E105*Picklist!$P$16)+(N105*Picklist!$P$17)+(X105*Picklist!$P$18)+(R105*Picklist!$P$19)))</f>
        <v/>
      </c>
      <c r="AI105" s="44" t="str">
        <f>IFERROR(__xludf.DUMMYFUNCTION("TEXTJOIN("", "",TRUE, FILTER(Data!P:P, Data!B:B=A105))"),"")</f>
        <v/>
      </c>
      <c r="AJ105" s="16" t="str">
        <f t="shared" si="14"/>
        <v/>
      </c>
      <c r="AK105" s="46" t="str">
        <f>IFERROR(__xludf.DUMMYFUNCTION("IF(A105&lt;&gt;"""",IFERROR(AVERAGE(FILTER('Defense Calculations'!BJ:CS,'Defense Calculations'!A:A=A105)),""""),"""")"),"")</f>
        <v/>
      </c>
      <c r="AM105" s="47"/>
      <c r="BB105" s="49">
        <f t="shared" si="16"/>
        <v>0</v>
      </c>
      <c r="BC105" s="50" t="str">
        <f t="shared" si="17"/>
        <v/>
      </c>
    </row>
    <row r="106">
      <c r="A106" s="54"/>
      <c r="B106" s="30" t="str">
        <f>IFERROR(__xludf.DUMMYFUNCTION("IFERROR(ROUND(
(COUNTIF(FILTER(Data!O:O, Data!B:B=A106), ""Win"")
+ COUNTIF(FILTER(Data!O:O, Data!B:B=A106), {""Tie"",""Results""}))
/ (COUNTIF(Data!B:B, A106)),
1),"""")"),"")</f>
        <v/>
      </c>
      <c r="C106" s="31" t="str">
        <f>IFERROR((SUMIF(Data!B:B, A106, Data!H:H)
/ (COUNTIF(Data!B:B, A106)
)),"")</f>
        <v/>
      </c>
      <c r="D106" s="31" t="str">
        <f>IFERROR((SUMIF(Data!B:B, A106, Data!G:G)
/ (COUNTIF(Data!B:B, A106)
)),"")</f>
        <v/>
      </c>
      <c r="E106" s="31" t="str">
        <f t="shared" si="1"/>
        <v/>
      </c>
      <c r="F106" s="31" t="str">
        <f>IFERROR((SUMIF(Data!B:B, A106, Data!J:J)
/ (COUNTIF(Data!B:B, A106)
)),"")</f>
        <v/>
      </c>
      <c r="G106" s="32" t="str">
        <f>IF(A106="","",IFERROR((((((SUMIF(Data!B:B, A106, Data!H:H)+(SUMIF(Data!B:B, A106,Data!G:G)))/(SUMIF(Data!B:B, A106, Data!J:J)))))),0))</f>
        <v/>
      </c>
      <c r="H106" s="33" t="str">
        <f>IFERROR(__xludf.DUMMYFUNCTION("IFERROR(IF(G106="""","""",(SUM(FIlter(Filter(Data!G:G,Data!B:B=A106),(Filter(Data!J:J&lt;3,Data!B:B=A106))))+SUM((FIlter(Filter(Data!H:H,Data!B:B=A106),(Filter(Data!J:J&lt;3,Data!B:B=A106))))))/(SUM(Filter(Filter(Data!J:J,Data!B:B=A106),FILTER(Data!J:J&lt;3,Data!B"&amp;":B=A106))))),"""")"),"")</f>
        <v/>
      </c>
      <c r="I106" s="32" t="str">
        <f>IFERROR(__xludf.DUMMYFUNCTION("IF(A106="""","""",(COUNT(FILTER(IF(Data!G:G&lt;&gt;0,Data!G:G,IF(Data!H:H&lt;&gt;0,Data!H:H)),Data!B:B=A106)))/(COUNT(FILTER(Data!J:J,Data!B:B=A106))))"),"")</f>
        <v/>
      </c>
      <c r="J106" s="32" t="str">
        <f t="shared" si="2"/>
        <v/>
      </c>
      <c r="K106" s="31" t="str">
        <f t="shared" si="3"/>
        <v/>
      </c>
      <c r="L106" s="31" t="str">
        <f>IFERROR((SUMIF(Data!B:B, A106, Data!L:L)
/ (COUNTIF(Data!B:B, A106)
)),"")</f>
        <v/>
      </c>
      <c r="M106" s="31" t="str">
        <f>IFERROR((SUMIF(Data!B:B, A106, Data!K:K)
/ (COUNTIF(Data!B:B, A106)
)),"")</f>
        <v/>
      </c>
      <c r="N106" s="34" t="str">
        <f t="shared" si="33"/>
        <v/>
      </c>
      <c r="O106" s="32" t="str">
        <f>IF(A106="","",IFERROR((((((SUMIF(Data!B:B, A106, Data!H:H)+(SUMIF(Data!B:B, A106,Data!G:G)+(SUMIF(Data!B:B, A106,Data!L:L)+(SUMIF(Data!B:B, A106,Data!K:K)))))/(SUMIF(Data!B:B, A106, Data!M:M)+(SUMIF(Data!B:B, A106, Data!H:H)+(SUMIF(Data!B:B, A106,Data!G:G)+(SUMIF(Data!B:B, A106,Data!K:K)+(SUMIF(Data!B:B, A106,Data!L:L)))))))))),0))</f>
        <v/>
      </c>
      <c r="P106" s="35" t="str">
        <f>IFERROR(__xludf.DUMMYFUNCTION("IFERROR(((COUNTIF(FILTER(Data!N:N,Data!B:B=A106),""TRAVERSE"")*15)+(COUNTIF(FILTER(Data!N:N,Data!B:B=A106),""HIGH"")*10)+(COUNTIF(FILTER(Data!N:N,Data!B:B=A106),""MIDDLE"")*6)+(COUNTIF(FILTER(Data!N:N,Data!B:B=A106),""LOW"")*4)) / (COUNTIF(Data!B:B, A106)"&amp;"),"""")"),"")</f>
        <v/>
      </c>
      <c r="Q106" s="31" t="str">
        <f>IFERROR(__xludf.DUMMYFUNCTION("IF(P106="""","""",Average(FIlter(('Convert Name to Number'!$F$422:$Z1000),'Convert Name to Number'!$E$422:$E1000=$A106)))"),"")</f>
        <v/>
      </c>
      <c r="R106" s="36" t="str">
        <f t="shared" si="5"/>
        <v/>
      </c>
      <c r="S106" s="37" t="str">
        <f>IFERROR(__xludf.DUMMYFUNCTION("IFERROR((((COUNTIF(FILTER(Data!N:N,Data!B:B=A106),""TRAVERSE""))+(COUNTIF(FILTER(Data!N:N,Data!B:B=A106),""HIGH""))+(COUNTIF(FILTER(Data!N:N,Data!B:B=A106),""MIDDLE""))+(COUNTIF(FILTER(Data!N:N,Data!B:B=A106),""LOW"")))) / (((COUNTIF(Data!B:B, A106)))-(CO"&amp;"UNTIF(FILTER(Data!N:N,Data!B:B=A106),""NONE""))),IF(ISBLANK(A106),"""",0))"),"")</f>
        <v/>
      </c>
      <c r="T106" s="32" t="str">
        <f>IFERROR(__xludf.DUMMYFUNCTION("IFERROR((COUNTIF(FILTER(Data!N:N, Data!B:B=A106),""LOW"")) / (COUNTIF(Data!B:B, A106)),"""")"),"")</f>
        <v/>
      </c>
      <c r="U106" s="38" t="str">
        <f>IFERROR(__xludf.DUMMYFUNCTION("IFERROR((COUNTIF(FILTER(Data!N:N, Data!B:B=A106),""MIDDLE"")) / (COUNTIF(Data!B:B, A106)),"""")"),"")</f>
        <v/>
      </c>
      <c r="V106" s="38" t="str">
        <f>IFERROR(__xludf.DUMMYFUNCTION("IFERROR((COUNTIF(FILTER(Data!N:N, Data!B:B=A106),""HIGH"")) / (COUNTIF(Data!B:B, A106)),"""")"),"")</f>
        <v/>
      </c>
      <c r="W106" s="38" t="str">
        <f>IFERROR(__xludf.DUMMYFUNCTION("IFERROR((COUNTIF(FILTER(Data!N:N, Data!B:B=A106),""TRAVERSE"")) / (COUNTIF(Data!B:B, A106)),"""")"),"")</f>
        <v/>
      </c>
      <c r="X106" s="39" t="str">
        <f t="shared" si="6"/>
        <v/>
      </c>
      <c r="Y106" s="31" t="str">
        <f t="shared" si="7"/>
        <v/>
      </c>
      <c r="Z106" s="31" t="str">
        <f t="shared" si="8"/>
        <v/>
      </c>
      <c r="AA106" s="41" t="str">
        <f t="shared" si="9"/>
        <v/>
      </c>
      <c r="AB106" s="40" t="str">
        <f t="shared" si="34"/>
        <v/>
      </c>
      <c r="AC106" s="41" t="str">
        <f>IFERROR(__xludf.DUMMYFUNCTION("IF(AA106="""","""",MAX(Filter((Data!G:G+Data!K:K),Data!B:B=A106)))"),"")</f>
        <v/>
      </c>
      <c r="AD106" s="41" t="str">
        <f t="shared" si="11"/>
        <v/>
      </c>
      <c r="AE106" s="41" t="str">
        <f t="shared" si="12"/>
        <v/>
      </c>
      <c r="AF106" s="41" t="str">
        <f t="shared" si="13"/>
        <v/>
      </c>
      <c r="AG106" s="42" t="str">
        <f>IF(A106="","",(((AD106)*Picklist!$P$3)+((K106)*Picklist!$P$4)+(E106*Picklist!$P$5)+(N106*Picklist!$P$6)+(X106*Picklist!$P$7)+(R106*Picklist!$P$8)))</f>
        <v/>
      </c>
      <c r="AH106" s="43" t="str">
        <f>IF(A106="","",(((AD106)*Picklist!$P$14)+((K106)*Picklist!$P$15)+(E106*Picklist!$P$16)+(N106*Picklist!$P$17)+(X106*Picklist!$P$18)+(R106*Picklist!$P$19)))</f>
        <v/>
      </c>
      <c r="AI106" s="44" t="str">
        <f>IFERROR(__xludf.DUMMYFUNCTION("TEXTJOIN("", "",TRUE, FILTER(Data!P:P, Data!B:B=A106))"),"")</f>
        <v/>
      </c>
      <c r="AJ106" s="16" t="str">
        <f t="shared" si="14"/>
        <v/>
      </c>
      <c r="AK106" s="46" t="str">
        <f>IFERROR(__xludf.DUMMYFUNCTION("IF(A106&lt;&gt;"""",IFERROR(AVERAGE(FILTER('Defense Calculations'!BJ:CS,'Defense Calculations'!A:A=A106)),""""),"""")"),"")</f>
        <v/>
      </c>
      <c r="AM106" s="47"/>
      <c r="BB106" s="49">
        <f t="shared" si="16"/>
        <v>0</v>
      </c>
      <c r="BC106" s="50" t="str">
        <f t="shared" si="17"/>
        <v/>
      </c>
    </row>
    <row r="107">
      <c r="A107" s="54"/>
      <c r="B107" s="30" t="str">
        <f>IFERROR(__xludf.DUMMYFUNCTION("IFERROR(ROUND(
(COUNTIF(FILTER(Data!O:O, Data!B:B=A107), ""Win"")
+ COUNTIF(FILTER(Data!O:O, Data!B:B=A107), {""Tie"",""Results""}))
/ (COUNTIF(Data!B:B, A107)),
1),"""")"),"")</f>
        <v/>
      </c>
      <c r="C107" s="31" t="str">
        <f>IFERROR((SUMIF(Data!B:B, A107, Data!H:H)
/ (COUNTIF(Data!B:B, A107)
)),"")</f>
        <v/>
      </c>
      <c r="D107" s="31" t="str">
        <f>IFERROR((SUMIF(Data!B:B, A107, Data!G:G)
/ (COUNTIF(Data!B:B, A107)
)),"")</f>
        <v/>
      </c>
      <c r="E107" s="31" t="str">
        <f t="shared" si="1"/>
        <v/>
      </c>
      <c r="F107" s="31" t="str">
        <f>IFERROR((SUMIF(Data!B:B, A107, Data!J:J)
/ (COUNTIF(Data!B:B, A107)
)),"")</f>
        <v/>
      </c>
      <c r="G107" s="32" t="str">
        <f>IF(A107="","",IFERROR((((((SUMIF(Data!B:B, A107, Data!H:H)+(SUMIF(Data!B:B, A107,Data!G:G)))/(SUMIF(Data!B:B, A107, Data!J:J)))))),0))</f>
        <v/>
      </c>
      <c r="H107" s="33" t="str">
        <f>IFERROR(__xludf.DUMMYFUNCTION("IFERROR(IF(G107="""","""",(SUM(FIlter(Filter(Data!G:G,Data!B:B=A107),(Filter(Data!J:J&lt;3,Data!B:B=A107))))+SUM((FIlter(Filter(Data!H:H,Data!B:B=A107),(Filter(Data!J:J&lt;3,Data!B:B=A107))))))/(SUM(Filter(Filter(Data!J:J,Data!B:B=A107),FILTER(Data!J:J&lt;3,Data!B"&amp;":B=A107))))),"""")"),"")</f>
        <v/>
      </c>
      <c r="I107" s="32" t="str">
        <f>IFERROR(__xludf.DUMMYFUNCTION("IF(A107="""","""",(COUNT(FILTER(IF(Data!G:G&lt;&gt;0,Data!G:G,IF(Data!H:H&lt;&gt;0,Data!H:H)),Data!B:B=A107)))/(COUNT(FILTER(Data!J:J,Data!B:B=A107))))"),"")</f>
        <v/>
      </c>
      <c r="J107" s="32" t="str">
        <f t="shared" si="2"/>
        <v/>
      </c>
      <c r="K107" s="31" t="str">
        <f t="shared" si="3"/>
        <v/>
      </c>
      <c r="L107" s="31" t="str">
        <f>IFERROR((SUMIF(Data!B:B, A107, Data!L:L)
/ (COUNTIF(Data!B:B, A107)
)),"")</f>
        <v/>
      </c>
      <c r="M107" s="31" t="str">
        <f>IFERROR((SUMIF(Data!B:B, A107, Data!K:K)
/ (COUNTIF(Data!B:B, A107)
)),"")</f>
        <v/>
      </c>
      <c r="N107" s="34" t="str">
        <f t="shared" si="33"/>
        <v/>
      </c>
      <c r="O107" s="32" t="str">
        <f>IF(A107="","",IFERROR((((((SUMIF(Data!B:B, A107, Data!H:H)+(SUMIF(Data!B:B, A107,Data!G:G)+(SUMIF(Data!B:B, A107,Data!L:L)+(SUMIF(Data!B:B, A107,Data!K:K)))))/(SUMIF(Data!B:B, A107, Data!M:M)+(SUMIF(Data!B:B, A107, Data!H:H)+(SUMIF(Data!B:B, A107,Data!G:G)+(SUMIF(Data!B:B, A107,Data!K:K)+(SUMIF(Data!B:B, A107,Data!L:L)))))))))),0))</f>
        <v/>
      </c>
      <c r="P107" s="35" t="str">
        <f>IFERROR(__xludf.DUMMYFUNCTION("IFERROR(((COUNTIF(FILTER(Data!N:N,Data!B:B=A107),""TRAVERSE"")*15)+(COUNTIF(FILTER(Data!N:N,Data!B:B=A107),""HIGH"")*10)+(COUNTIF(FILTER(Data!N:N,Data!B:B=A107),""MIDDLE"")*6)+(COUNTIF(FILTER(Data!N:N,Data!B:B=A107),""LOW"")*4)) / (COUNTIF(Data!B:B, A107)"&amp;"),"""")"),"")</f>
        <v/>
      </c>
      <c r="Q107" s="31" t="str">
        <f>IFERROR(__xludf.DUMMYFUNCTION("IF(P107="""","""",Average(FIlter(('Convert Name to Number'!$F$422:$Z1000),'Convert Name to Number'!$E$422:$E1000=$A107)))"),"")</f>
        <v/>
      </c>
      <c r="R107" s="36" t="str">
        <f t="shared" si="5"/>
        <v/>
      </c>
      <c r="S107" s="37" t="str">
        <f>IFERROR(__xludf.DUMMYFUNCTION("IFERROR((((COUNTIF(FILTER(Data!N:N,Data!B:B=A107),""TRAVERSE""))+(COUNTIF(FILTER(Data!N:N,Data!B:B=A107),""HIGH""))+(COUNTIF(FILTER(Data!N:N,Data!B:B=A107),""MIDDLE""))+(COUNTIF(FILTER(Data!N:N,Data!B:B=A107),""LOW"")))) / (((COUNTIF(Data!B:B, A107)))-(CO"&amp;"UNTIF(FILTER(Data!N:N,Data!B:B=A107),""NONE""))),IF(ISBLANK(A107),"""",0))"),"")</f>
        <v/>
      </c>
      <c r="T107" s="32" t="str">
        <f>IFERROR(__xludf.DUMMYFUNCTION("IFERROR((COUNTIF(FILTER(Data!N:N, Data!B:B=A107),""LOW"")) / (COUNTIF(Data!B:B, A107)),"""")"),"")</f>
        <v/>
      </c>
      <c r="U107" s="38" t="str">
        <f>IFERROR(__xludf.DUMMYFUNCTION("IFERROR((COUNTIF(FILTER(Data!N:N, Data!B:B=A107),""MIDDLE"")) / (COUNTIF(Data!B:B, A107)),"""")"),"")</f>
        <v/>
      </c>
      <c r="V107" s="38" t="str">
        <f>IFERROR(__xludf.DUMMYFUNCTION("IFERROR((COUNTIF(FILTER(Data!N:N, Data!B:B=A107),""HIGH"")) / (COUNTIF(Data!B:B, A107)),"""")"),"")</f>
        <v/>
      </c>
      <c r="W107" s="38" t="str">
        <f>IFERROR(__xludf.DUMMYFUNCTION("IFERROR((COUNTIF(FILTER(Data!N:N, Data!B:B=A107),""TRAVERSE"")) / (COUNTIF(Data!B:B, A107)),"""")"),"")</f>
        <v/>
      </c>
      <c r="X107" s="39" t="str">
        <f t="shared" si="6"/>
        <v/>
      </c>
      <c r="Y107" s="31" t="str">
        <f t="shared" si="7"/>
        <v/>
      </c>
      <c r="Z107" s="31" t="str">
        <f t="shared" si="8"/>
        <v/>
      </c>
      <c r="AA107" s="41" t="str">
        <f t="shared" si="9"/>
        <v/>
      </c>
      <c r="AB107" s="40" t="str">
        <f t="shared" si="34"/>
        <v/>
      </c>
      <c r="AC107" s="41" t="str">
        <f>IFERROR(__xludf.DUMMYFUNCTION("IF(AA107="""","""",MAX(Filter((Data!G:G+Data!K:K),Data!B:B=A107)))"),"")</f>
        <v/>
      </c>
      <c r="AD107" s="41" t="str">
        <f t="shared" si="11"/>
        <v/>
      </c>
      <c r="AE107" s="41" t="str">
        <f t="shared" si="12"/>
        <v/>
      </c>
      <c r="AF107" s="41" t="str">
        <f t="shared" si="13"/>
        <v/>
      </c>
      <c r="AG107" s="42" t="str">
        <f>IF(A107="","",(((AD107)*Picklist!$P$3)+((K107)*Picklist!$P$4)+(E107*Picklist!$P$5)+(N107*Picklist!$P$6)+(X107*Picklist!$P$7)+(R107*Picklist!$P$8)))</f>
        <v/>
      </c>
      <c r="AH107" s="43" t="str">
        <f>IF(A107="","",(((AD107)*Picklist!$P$14)+((K107)*Picklist!$P$15)+(E107*Picklist!$P$16)+(N107*Picklist!$P$17)+(X107*Picklist!$P$18)+(R107*Picklist!$P$19)))</f>
        <v/>
      </c>
      <c r="AI107" s="44" t="str">
        <f>IFERROR(__xludf.DUMMYFUNCTION("TEXTJOIN("", "",TRUE, FILTER(Data!P:P, Data!B:B=A107))"),"")</f>
        <v/>
      </c>
      <c r="AJ107" s="16" t="str">
        <f t="shared" si="14"/>
        <v/>
      </c>
      <c r="AK107" s="46" t="str">
        <f>IFERROR(__xludf.DUMMYFUNCTION("IF(A107&lt;&gt;"""",IFERROR(AVERAGE(FILTER('Defense Calculations'!BJ:CS,'Defense Calculations'!A:A=A107)),""""),"""")"),"")</f>
        <v/>
      </c>
      <c r="AM107" s="47"/>
      <c r="BB107" s="49">
        <f t="shared" si="16"/>
        <v>0</v>
      </c>
      <c r="BC107" s="50" t="str">
        <f t="shared" si="17"/>
        <v/>
      </c>
    </row>
    <row r="108">
      <c r="A108" s="54"/>
      <c r="B108" s="30" t="str">
        <f>IFERROR(__xludf.DUMMYFUNCTION("IFERROR(ROUND(
(COUNTIF(FILTER(Data!O:O, Data!B:B=A108), ""Win"")
+ COUNTIF(FILTER(Data!O:O, Data!B:B=A108), {""Tie"",""Results""}))
/ (COUNTIF(Data!B:B, A108)),
1),"""")"),"")</f>
        <v/>
      </c>
      <c r="C108" s="31" t="str">
        <f>IFERROR((SUMIF(Data!B:B, A108, Data!H:H)
/ (COUNTIF(Data!B:B, A108)
)),"")</f>
        <v/>
      </c>
      <c r="D108" s="31" t="str">
        <f>IFERROR((SUMIF(Data!B:B, A108, Data!G:G)
/ (COUNTIF(Data!B:B, A108)
)),"")</f>
        <v/>
      </c>
      <c r="E108" s="31" t="str">
        <f t="shared" si="1"/>
        <v/>
      </c>
      <c r="F108" s="31" t="str">
        <f>IFERROR((SUMIF(Data!B:B, A108, Data!J:J)
/ (COUNTIF(Data!B:B, A108)
)),"")</f>
        <v/>
      </c>
      <c r="G108" s="32" t="str">
        <f>IF(A108="","",IFERROR((((((SUMIF(Data!B:B, A108, Data!H:H)+(SUMIF(Data!B:B, A108,Data!G:G)))/(SUMIF(Data!B:B, A108, Data!J:J)))))),0))</f>
        <v/>
      </c>
      <c r="H108" s="33" t="str">
        <f>IFERROR(__xludf.DUMMYFUNCTION("IFERROR(IF(G108="""","""",(SUM(FIlter(Filter(Data!G:G,Data!B:B=A108),(Filter(Data!J:J&lt;3,Data!B:B=A108))))+SUM((FIlter(Filter(Data!H:H,Data!B:B=A108),(Filter(Data!J:J&lt;3,Data!B:B=A108))))))/(SUM(Filter(Filter(Data!J:J,Data!B:B=A108),FILTER(Data!J:J&lt;3,Data!B"&amp;":B=A108))))),"""")"),"")</f>
        <v/>
      </c>
      <c r="I108" s="32" t="str">
        <f>IFERROR(__xludf.DUMMYFUNCTION("IF(A108="""","""",(COUNT(FILTER(IF(Data!G:G&lt;&gt;0,Data!G:G,IF(Data!H:H&lt;&gt;0,Data!H:H)),Data!B:B=A108)))/(COUNT(FILTER(Data!J:J,Data!B:B=A108))))"),"")</f>
        <v/>
      </c>
      <c r="J108" s="32" t="str">
        <f t="shared" si="2"/>
        <v/>
      </c>
      <c r="K108" s="31" t="str">
        <f t="shared" si="3"/>
        <v/>
      </c>
      <c r="L108" s="31" t="str">
        <f>IFERROR((SUMIF(Data!B:B, A108, Data!L:L)
/ (COUNTIF(Data!B:B, A108)
)),"")</f>
        <v/>
      </c>
      <c r="M108" s="31" t="str">
        <f>IFERROR((SUMIF(Data!B:B, A108, Data!K:K)
/ (COUNTIF(Data!B:B, A108)
)),"")</f>
        <v/>
      </c>
      <c r="N108" s="34" t="str">
        <f t="shared" si="33"/>
        <v/>
      </c>
      <c r="O108" s="32" t="str">
        <f>IF(A108="","",IFERROR((((((SUMIF(Data!B:B, A108, Data!H:H)+(SUMIF(Data!B:B, A108,Data!G:G)+(SUMIF(Data!B:B, A108,Data!L:L)+(SUMIF(Data!B:B, A108,Data!K:K)))))/(SUMIF(Data!B:B, A108, Data!M:M)+(SUMIF(Data!B:B, A108, Data!H:H)+(SUMIF(Data!B:B, A108,Data!G:G)+(SUMIF(Data!B:B, A108,Data!K:K)+(SUMIF(Data!B:B, A108,Data!L:L)))))))))),0))</f>
        <v/>
      </c>
      <c r="P108" s="35" t="str">
        <f>IFERROR(__xludf.DUMMYFUNCTION("IFERROR(((COUNTIF(FILTER(Data!N:N,Data!B:B=A108),""TRAVERSE"")*15)+(COUNTIF(FILTER(Data!N:N,Data!B:B=A108),""HIGH"")*10)+(COUNTIF(FILTER(Data!N:N,Data!B:B=A108),""MIDDLE"")*6)+(COUNTIF(FILTER(Data!N:N,Data!B:B=A108),""LOW"")*4)) / (COUNTIF(Data!B:B, A108)"&amp;"),"""")"),"")</f>
        <v/>
      </c>
      <c r="Q108" s="31" t="str">
        <f>IFERROR(__xludf.DUMMYFUNCTION("IF(P108="""","""",Average(FIlter(('Convert Name to Number'!$F$422:$Z1000),'Convert Name to Number'!$E$422:$E1000=$A108)))"),"")</f>
        <v/>
      </c>
      <c r="R108" s="36" t="str">
        <f t="shared" si="5"/>
        <v/>
      </c>
      <c r="S108" s="37" t="str">
        <f>IFERROR(__xludf.DUMMYFUNCTION("IFERROR((((COUNTIF(FILTER(Data!N:N,Data!B:B=A108),""TRAVERSE""))+(COUNTIF(FILTER(Data!N:N,Data!B:B=A108),""HIGH""))+(COUNTIF(FILTER(Data!N:N,Data!B:B=A108),""MIDDLE""))+(COUNTIF(FILTER(Data!N:N,Data!B:B=A108),""LOW"")))) / (((COUNTIF(Data!B:B, A108)))-(CO"&amp;"UNTIF(FILTER(Data!N:N,Data!B:B=A108),""NONE""))),IF(ISBLANK(A108),"""",0))"),"")</f>
        <v/>
      </c>
      <c r="T108" s="32" t="str">
        <f>IFERROR(__xludf.DUMMYFUNCTION("IFERROR((COUNTIF(FILTER(Data!N:N, Data!B:B=A108),""LOW"")) / (COUNTIF(Data!B:B, A108)),"""")"),"")</f>
        <v/>
      </c>
      <c r="U108" s="38" t="str">
        <f>IFERROR(__xludf.DUMMYFUNCTION("IFERROR((COUNTIF(FILTER(Data!N:N, Data!B:B=A108),""MIDDLE"")) / (COUNTIF(Data!B:B, A108)),"""")"),"")</f>
        <v/>
      </c>
      <c r="V108" s="38" t="str">
        <f>IFERROR(__xludf.DUMMYFUNCTION("IFERROR((COUNTIF(FILTER(Data!N:N, Data!B:B=A108),""HIGH"")) / (COUNTIF(Data!B:B, A108)),"""")"),"")</f>
        <v/>
      </c>
      <c r="W108" s="38" t="str">
        <f>IFERROR(__xludf.DUMMYFUNCTION("IFERROR((COUNTIF(FILTER(Data!N:N, Data!B:B=A108),""TRAVERSE"")) / (COUNTIF(Data!B:B, A108)),"""")"),"")</f>
        <v/>
      </c>
      <c r="X108" s="39" t="str">
        <f t="shared" si="6"/>
        <v/>
      </c>
      <c r="Y108" s="31" t="str">
        <f t="shared" si="7"/>
        <v/>
      </c>
      <c r="Z108" s="31" t="str">
        <f t="shared" si="8"/>
        <v/>
      </c>
      <c r="AA108" s="41" t="str">
        <f t="shared" si="9"/>
        <v/>
      </c>
      <c r="AB108" s="40" t="str">
        <f t="shared" si="34"/>
        <v/>
      </c>
      <c r="AC108" s="41" t="str">
        <f>IFERROR(__xludf.DUMMYFUNCTION("IF(AA108="""","""",MAX(Filter((Data!G:G+Data!K:K),Data!B:B=A108)))"),"")</f>
        <v/>
      </c>
      <c r="AD108" s="41" t="str">
        <f t="shared" si="11"/>
        <v/>
      </c>
      <c r="AE108" s="41" t="str">
        <f t="shared" si="12"/>
        <v/>
      </c>
      <c r="AF108" s="41" t="str">
        <f t="shared" si="13"/>
        <v/>
      </c>
      <c r="AG108" s="42" t="str">
        <f>IF(A108="","",(((AD108)*Picklist!$P$3)+((K108)*Picklist!$P$4)+(E108*Picklist!$P$5)+(N108*Picklist!$P$6)+(X108*Picklist!$P$7)+(R108*Picklist!$P$8)))</f>
        <v/>
      </c>
      <c r="AH108" s="43" t="str">
        <f>IF(A108="","",(((AD108)*Picklist!$P$14)+((K108)*Picklist!$P$15)+(E108*Picklist!$P$16)+(N108*Picklist!$P$17)+(X108*Picklist!$P$18)+(R108*Picklist!$P$19)))</f>
        <v/>
      </c>
      <c r="AI108" s="44" t="str">
        <f>IFERROR(__xludf.DUMMYFUNCTION("TEXTJOIN("", "",TRUE, FILTER(Data!P:P, Data!B:B=A108))"),"")</f>
        <v/>
      </c>
      <c r="AJ108" s="16" t="str">
        <f t="shared" si="14"/>
        <v/>
      </c>
      <c r="AK108" s="46" t="str">
        <f>IFERROR(__xludf.DUMMYFUNCTION("IF(A108&lt;&gt;"""",IFERROR(AVERAGE(FILTER('Defense Calculations'!BJ:CS,'Defense Calculations'!A:A=A108)),""""),"""")"),"")</f>
        <v/>
      </c>
      <c r="AM108" s="47"/>
      <c r="BB108" s="49">
        <f t="shared" si="16"/>
        <v>0</v>
      </c>
      <c r="BC108" s="50" t="str">
        <f t="shared" si="17"/>
        <v/>
      </c>
    </row>
    <row r="109">
      <c r="A109" s="54"/>
      <c r="B109" s="30" t="str">
        <f>IFERROR(__xludf.DUMMYFUNCTION("IFERROR(ROUND(
(COUNTIF(FILTER(Data!O:O, Data!B:B=A109), ""Win"")
+ COUNTIF(FILTER(Data!O:O, Data!B:B=A109), {""Tie"",""Results""}))
/ (COUNTIF(Data!B:B, A109)),
1),"""")"),"")</f>
        <v/>
      </c>
      <c r="C109" s="31" t="str">
        <f>IFERROR((SUMIF(Data!B:B, A109, Data!H:H)
/ (COUNTIF(Data!B:B, A109)
)),"")</f>
        <v/>
      </c>
      <c r="D109" s="31" t="str">
        <f>IFERROR((SUMIF(Data!B:B, A109, Data!G:G)
/ (COUNTIF(Data!B:B, A109)
)),"")</f>
        <v/>
      </c>
      <c r="E109" s="31" t="str">
        <f t="shared" si="1"/>
        <v/>
      </c>
      <c r="F109" s="31" t="str">
        <f>IFERROR((SUMIF(Data!B:B, A109, Data!J:J)
/ (COUNTIF(Data!B:B, A109)
)),"")</f>
        <v/>
      </c>
      <c r="G109" s="32" t="str">
        <f>IF(A109="","",IFERROR((((((SUMIF(Data!B:B, A109, Data!H:H)+(SUMIF(Data!B:B, A109,Data!G:G)))/(SUMIF(Data!B:B, A109, Data!J:J)))))),0))</f>
        <v/>
      </c>
      <c r="H109" s="33" t="str">
        <f>IFERROR(__xludf.DUMMYFUNCTION("IFERROR(IF(G109="""","""",(SUM(FIlter(Filter(Data!G:G,Data!B:B=A109),(Filter(Data!J:J&lt;3,Data!B:B=A109))))+SUM((FIlter(Filter(Data!H:H,Data!B:B=A109),(Filter(Data!J:J&lt;3,Data!B:B=A109))))))/(SUM(Filter(Filter(Data!J:J,Data!B:B=A109),FILTER(Data!J:J&lt;3,Data!B"&amp;":B=A109))))),"""")"),"")</f>
        <v/>
      </c>
      <c r="I109" s="32" t="str">
        <f>IFERROR(__xludf.DUMMYFUNCTION("IF(A109="""","""",(COUNT(FILTER(IF(Data!G:G&lt;&gt;0,Data!G:G,IF(Data!H:H&lt;&gt;0,Data!H:H)),Data!B:B=A109)))/(COUNT(FILTER(Data!J:J,Data!B:B=A109))))"),"")</f>
        <v/>
      </c>
      <c r="J109" s="32" t="str">
        <f t="shared" si="2"/>
        <v/>
      </c>
      <c r="K109" s="31" t="str">
        <f t="shared" si="3"/>
        <v/>
      </c>
      <c r="L109" s="31" t="str">
        <f>IFERROR((SUMIF(Data!B:B, A109, Data!L:L)
/ (COUNTIF(Data!B:B, A109)
)),"")</f>
        <v/>
      </c>
      <c r="M109" s="31" t="str">
        <f>IFERROR((SUMIF(Data!B:B, A109, Data!K:K)
/ (COUNTIF(Data!B:B, A109)
)),"")</f>
        <v/>
      </c>
      <c r="N109" s="34" t="str">
        <f t="shared" si="33"/>
        <v/>
      </c>
      <c r="O109" s="32" t="str">
        <f>IF(A109="","",IFERROR((((((SUMIF(Data!B:B, A109, Data!H:H)+(SUMIF(Data!B:B, A109,Data!G:G)+(SUMIF(Data!B:B, A109,Data!L:L)+(SUMIF(Data!B:B, A109,Data!K:K)))))/(SUMIF(Data!B:B, A109, Data!M:M)+(SUMIF(Data!B:B, A109, Data!H:H)+(SUMIF(Data!B:B, A109,Data!G:G)+(SUMIF(Data!B:B, A109,Data!K:K)+(SUMIF(Data!B:B, A109,Data!L:L)))))))))),0))</f>
        <v/>
      </c>
      <c r="P109" s="35" t="str">
        <f>IFERROR(__xludf.DUMMYFUNCTION("IFERROR(((COUNTIF(FILTER(Data!N:N,Data!B:B=A109),""TRAVERSE"")*15)+(COUNTIF(FILTER(Data!N:N,Data!B:B=A109),""HIGH"")*10)+(COUNTIF(FILTER(Data!N:N,Data!B:B=A109),""MIDDLE"")*6)+(COUNTIF(FILTER(Data!N:N,Data!B:B=A109),""LOW"")*4)) / (COUNTIF(Data!B:B, A109)"&amp;"),"""")"),"")</f>
        <v/>
      </c>
      <c r="Q109" s="31" t="str">
        <f>IFERROR(__xludf.DUMMYFUNCTION("IF(P109="""","""",Average(FIlter(('Convert Name to Number'!$F$422:$Z1000),'Convert Name to Number'!$E$422:$E1000=$A109)))"),"")</f>
        <v/>
      </c>
      <c r="R109" s="36" t="str">
        <f t="shared" si="5"/>
        <v/>
      </c>
      <c r="S109" s="37" t="str">
        <f>IFERROR(__xludf.DUMMYFUNCTION("IFERROR((((COUNTIF(FILTER(Data!N:N,Data!B:B=A109),""TRAVERSE""))+(COUNTIF(FILTER(Data!N:N,Data!B:B=A109),""HIGH""))+(COUNTIF(FILTER(Data!N:N,Data!B:B=A109),""MIDDLE""))+(COUNTIF(FILTER(Data!N:N,Data!B:B=A109),""LOW"")))) / (((COUNTIF(Data!B:B, A109)))-(CO"&amp;"UNTIF(FILTER(Data!N:N,Data!B:B=A109),""NONE""))),IF(ISBLANK(A109),"""",0))"),"")</f>
        <v/>
      </c>
      <c r="T109" s="32" t="str">
        <f>IFERROR(__xludf.DUMMYFUNCTION("IFERROR((COUNTIF(FILTER(Data!N:N, Data!B:B=A109),""LOW"")) / (COUNTIF(Data!B:B, A109)),"""")"),"")</f>
        <v/>
      </c>
      <c r="U109" s="38" t="str">
        <f>IFERROR(__xludf.DUMMYFUNCTION("IFERROR((COUNTIF(FILTER(Data!N:N, Data!B:B=A109),""MIDDLE"")) / (COUNTIF(Data!B:B, A109)),"""")"),"")</f>
        <v/>
      </c>
      <c r="V109" s="38" t="str">
        <f>IFERROR(__xludf.DUMMYFUNCTION("IFERROR((COUNTIF(FILTER(Data!N:N, Data!B:B=A109),""HIGH"")) / (COUNTIF(Data!B:B, A109)),"""")"),"")</f>
        <v/>
      </c>
      <c r="W109" s="38" t="str">
        <f>IFERROR(__xludf.DUMMYFUNCTION("IFERROR((COUNTIF(FILTER(Data!N:N, Data!B:B=A109),""TRAVERSE"")) / (COUNTIF(Data!B:B, A109)),"""")"),"")</f>
        <v/>
      </c>
      <c r="X109" s="39" t="str">
        <f t="shared" si="6"/>
        <v/>
      </c>
      <c r="Y109" s="31" t="str">
        <f t="shared" si="7"/>
        <v/>
      </c>
      <c r="Z109" s="31" t="str">
        <f t="shared" si="8"/>
        <v/>
      </c>
      <c r="AA109" s="41" t="str">
        <f t="shared" si="9"/>
        <v/>
      </c>
      <c r="AB109" s="40" t="str">
        <f t="shared" si="34"/>
        <v/>
      </c>
      <c r="AC109" s="41" t="str">
        <f>IFERROR(__xludf.DUMMYFUNCTION("IF(AA109="""","""",MAX(Filter((Data!G:G+Data!K:K),Data!B:B=A109)))"),"")</f>
        <v/>
      </c>
      <c r="AD109" s="41" t="str">
        <f t="shared" si="11"/>
        <v/>
      </c>
      <c r="AE109" s="41" t="str">
        <f t="shared" si="12"/>
        <v/>
      </c>
      <c r="AF109" s="41" t="str">
        <f t="shared" si="13"/>
        <v/>
      </c>
      <c r="AG109" s="42" t="str">
        <f>IF(A109="","",(((AD109)*Picklist!$P$3)+((K109)*Picklist!$P$4)+(E109*Picklist!$P$5)+(N109*Picklist!$P$6)+(X109*Picklist!$P$7)+(R109*Picklist!$P$8)))</f>
        <v/>
      </c>
      <c r="AH109" s="43" t="str">
        <f>IF(A109="","",(((AD109)*Picklist!$P$14)+((K109)*Picklist!$P$15)+(E109*Picklist!$P$16)+(N109*Picklist!$P$17)+(X109*Picklist!$P$18)+(R109*Picklist!$P$19)))</f>
        <v/>
      </c>
      <c r="AI109" s="44" t="str">
        <f>IFERROR(__xludf.DUMMYFUNCTION("TEXTJOIN("", "",TRUE, FILTER(Data!P:P, Data!B:B=A109))"),"")</f>
        <v/>
      </c>
      <c r="AJ109" s="16" t="str">
        <f t="shared" si="14"/>
        <v/>
      </c>
      <c r="AK109" s="46" t="str">
        <f>IFERROR(__xludf.DUMMYFUNCTION("IF(A109&lt;&gt;"""",IFERROR(AVERAGE(FILTER('Defense Calculations'!BJ:CS,'Defense Calculations'!A:A=A109)),""""),"""")"),"")</f>
        <v/>
      </c>
      <c r="AM109" s="47"/>
      <c r="BB109" s="49">
        <f t="shared" si="16"/>
        <v>0</v>
      </c>
      <c r="BC109" s="50" t="str">
        <f t="shared" si="17"/>
        <v/>
      </c>
    </row>
    <row r="110">
      <c r="A110" s="54"/>
      <c r="B110" s="30" t="str">
        <f>IFERROR(__xludf.DUMMYFUNCTION("IFERROR(ROUND(
(COUNTIF(FILTER(Data!O:O, Data!B:B=A110), ""Win"")
+ COUNTIF(FILTER(Data!O:O, Data!B:B=A110), {""Tie"",""Results""}))
/ (COUNTIF(Data!B:B, A110)),
1),"""")"),"")</f>
        <v/>
      </c>
      <c r="C110" s="31" t="str">
        <f>IFERROR((SUMIF(Data!B:B, A110, Data!H:H)
/ (COUNTIF(Data!B:B, A110)
)),"")</f>
        <v/>
      </c>
      <c r="D110" s="31" t="str">
        <f>IFERROR((SUMIF(Data!B:B, A110, Data!G:G)
/ (COUNTIF(Data!B:B, A110)
)),"")</f>
        <v/>
      </c>
      <c r="E110" s="31" t="str">
        <f t="shared" si="1"/>
        <v/>
      </c>
      <c r="F110" s="31" t="str">
        <f>IFERROR((SUMIF(Data!B:B, A110, Data!J:J)
/ (COUNTIF(Data!B:B, A110)
)),"")</f>
        <v/>
      </c>
      <c r="G110" s="32" t="str">
        <f>IF(A110="","",IFERROR((((((SUMIF(Data!B:B, A110, Data!H:H)+(SUMIF(Data!B:B, A110,Data!G:G)))/(SUMIF(Data!B:B, A110, Data!J:J)))))),0))</f>
        <v/>
      </c>
      <c r="H110" s="33" t="str">
        <f>IFERROR(__xludf.DUMMYFUNCTION("IFERROR(IF(G110="""","""",(SUM(FIlter(Filter(Data!G:G,Data!B:B=A110),(Filter(Data!J:J&lt;3,Data!B:B=A110))))+SUM((FIlter(Filter(Data!H:H,Data!B:B=A110),(Filter(Data!J:J&lt;3,Data!B:B=A110))))))/(SUM(Filter(Filter(Data!J:J,Data!B:B=A110),FILTER(Data!J:J&lt;3,Data!B"&amp;":B=A110))))),"""")"),"")</f>
        <v/>
      </c>
      <c r="I110" s="32" t="str">
        <f>IFERROR(__xludf.DUMMYFUNCTION("IF(A110="""","""",(COUNT(FILTER(IF(Data!G:G&lt;&gt;0,Data!G:G,IF(Data!H:H&lt;&gt;0,Data!H:H)),Data!B:B=A110)))/(COUNT(FILTER(Data!J:J,Data!B:B=A110))))"),"")</f>
        <v/>
      </c>
      <c r="J110" s="32" t="str">
        <f t="shared" si="2"/>
        <v/>
      </c>
      <c r="K110" s="31" t="str">
        <f t="shared" si="3"/>
        <v/>
      </c>
      <c r="L110" s="31" t="str">
        <f>IFERROR((SUMIF(Data!B:B, A110, Data!L:L)
/ (COUNTIF(Data!B:B, A110)
)),"")</f>
        <v/>
      </c>
      <c r="M110" s="31" t="str">
        <f>IFERROR((SUMIF(Data!B:B, A110, Data!K:K)
/ (COUNTIF(Data!B:B, A110)
)),"")</f>
        <v/>
      </c>
      <c r="N110" s="34" t="str">
        <f t="shared" si="33"/>
        <v/>
      </c>
      <c r="O110" s="32" t="str">
        <f>IF(A110="","",IFERROR((((((SUMIF(Data!B:B, A110, Data!H:H)+(SUMIF(Data!B:B, A110,Data!G:G)+(SUMIF(Data!B:B, A110,Data!L:L)+(SUMIF(Data!B:B, A110,Data!K:K)))))/(SUMIF(Data!B:B, A110, Data!M:M)+(SUMIF(Data!B:B, A110, Data!H:H)+(SUMIF(Data!B:B, A110,Data!G:G)+(SUMIF(Data!B:B, A110,Data!K:K)+(SUMIF(Data!B:B, A110,Data!L:L)))))))))),0))</f>
        <v/>
      </c>
      <c r="P110" s="35" t="str">
        <f>IFERROR(__xludf.DUMMYFUNCTION("IFERROR(((COUNTIF(FILTER(Data!N:N,Data!B:B=A110),""TRAVERSE"")*15)+(COUNTIF(FILTER(Data!N:N,Data!B:B=A110),""HIGH"")*10)+(COUNTIF(FILTER(Data!N:N,Data!B:B=A110),""MIDDLE"")*6)+(COUNTIF(FILTER(Data!N:N,Data!B:B=A110),""LOW"")*4)) / (COUNTIF(Data!B:B, A110)"&amp;"),"""")"),"")</f>
        <v/>
      </c>
      <c r="Q110" s="31" t="str">
        <f>IFERROR(__xludf.DUMMYFUNCTION("IF(P110="""","""",Average(FIlter(('Convert Name to Number'!$F$422:$Z1000),'Convert Name to Number'!$E$422:$E1000=$A110)))"),"")</f>
        <v/>
      </c>
      <c r="R110" s="36" t="str">
        <f t="shared" si="5"/>
        <v/>
      </c>
      <c r="S110" s="37" t="str">
        <f>IFERROR(__xludf.DUMMYFUNCTION("IFERROR((((COUNTIF(FILTER(Data!N:N,Data!B:B=A110),""TRAVERSE""))+(COUNTIF(FILTER(Data!N:N,Data!B:B=A110),""HIGH""))+(COUNTIF(FILTER(Data!N:N,Data!B:B=A110),""MIDDLE""))+(COUNTIF(FILTER(Data!N:N,Data!B:B=A110),""LOW"")))) / (((COUNTIF(Data!B:B, A110)))-(CO"&amp;"UNTIF(FILTER(Data!N:N,Data!B:B=A110),""NONE""))),IF(ISBLANK(A110),"""",0))"),"")</f>
        <v/>
      </c>
      <c r="T110" s="32" t="str">
        <f>IFERROR(__xludf.DUMMYFUNCTION("IFERROR((COUNTIF(FILTER(Data!N:N, Data!B:B=A110),""LOW"")) / (COUNTIF(Data!B:B, A110)),"""")"),"")</f>
        <v/>
      </c>
      <c r="U110" s="38" t="str">
        <f>IFERROR(__xludf.DUMMYFUNCTION("IFERROR((COUNTIF(FILTER(Data!N:N, Data!B:B=A110),""MIDDLE"")) / (COUNTIF(Data!B:B, A110)),"""")"),"")</f>
        <v/>
      </c>
      <c r="V110" s="38" t="str">
        <f>IFERROR(__xludf.DUMMYFUNCTION("IFERROR((COUNTIF(FILTER(Data!N:N, Data!B:B=A110),""HIGH"")) / (COUNTIF(Data!B:B, A110)),"""")"),"")</f>
        <v/>
      </c>
      <c r="W110" s="38" t="str">
        <f>IFERROR(__xludf.DUMMYFUNCTION("IFERROR((COUNTIF(FILTER(Data!N:N, Data!B:B=A110),""TRAVERSE"")) / (COUNTIF(Data!B:B, A110)),"""")"),"")</f>
        <v/>
      </c>
      <c r="X110" s="39" t="str">
        <f t="shared" si="6"/>
        <v/>
      </c>
      <c r="Y110" s="31" t="str">
        <f t="shared" si="7"/>
        <v/>
      </c>
      <c r="Z110" s="31" t="str">
        <f t="shared" si="8"/>
        <v/>
      </c>
      <c r="AA110" s="41" t="str">
        <f t="shared" si="9"/>
        <v/>
      </c>
      <c r="AB110" s="40" t="str">
        <f t="shared" si="34"/>
        <v/>
      </c>
      <c r="AC110" s="41" t="str">
        <f>IFERROR(__xludf.DUMMYFUNCTION("IF(AA110="""","""",MAX(Filter((Data!G:G+Data!K:K),Data!B:B=A110)))"),"")</f>
        <v/>
      </c>
      <c r="AD110" s="41" t="str">
        <f t="shared" si="11"/>
        <v/>
      </c>
      <c r="AE110" s="41" t="str">
        <f t="shared" si="12"/>
        <v/>
      </c>
      <c r="AF110" s="41" t="str">
        <f t="shared" si="13"/>
        <v/>
      </c>
      <c r="AG110" s="42" t="str">
        <f>IF(A110="","",(((AD110)*Picklist!$P$3)+((K110)*Picklist!$P$4)+(E110*Picklist!$P$5)+(N110*Picklist!$P$6)+(X110*Picklist!$P$7)+(R110*Picklist!$P$8)))</f>
        <v/>
      </c>
      <c r="AH110" s="43" t="str">
        <f>IF(A110="","",(((AD110)*Picklist!$P$14)+((K110)*Picklist!$P$15)+(E110*Picklist!$P$16)+(N110*Picklist!$P$17)+(X110*Picklist!$P$18)+(R110*Picklist!$P$19)))</f>
        <v/>
      </c>
      <c r="AI110" s="44" t="str">
        <f>IFERROR(__xludf.DUMMYFUNCTION("TEXTJOIN("", "",TRUE, FILTER(Data!P:P, Data!B:B=A110))"),"")</f>
        <v/>
      </c>
      <c r="AJ110" s="16" t="str">
        <f t="shared" si="14"/>
        <v/>
      </c>
      <c r="AK110" s="46" t="str">
        <f>IFERROR(__xludf.DUMMYFUNCTION("IF(A110&lt;&gt;"""",IFERROR(AVERAGE(FILTER('Defense Calculations'!BJ:CS,'Defense Calculations'!A:A=A110)),""""),"""")"),"")</f>
        <v/>
      </c>
      <c r="AM110" s="47"/>
      <c r="BB110" s="49">
        <f t="shared" si="16"/>
        <v>0</v>
      </c>
      <c r="BC110" s="50" t="str">
        <f t="shared" si="17"/>
        <v/>
      </c>
    </row>
    <row r="111">
      <c r="A111" s="54"/>
      <c r="B111" s="30" t="str">
        <f>IFERROR(__xludf.DUMMYFUNCTION("IFERROR(ROUND(
(COUNTIF(FILTER(Data!O:O, Data!B:B=A111), ""Win"")
+ COUNTIF(FILTER(Data!O:O, Data!B:B=A111), {""Tie"",""Results""}))
/ (COUNTIF(Data!B:B, A111)),
1),"""")"),"")</f>
        <v/>
      </c>
      <c r="C111" s="31" t="str">
        <f>IFERROR((SUMIF(Data!B:B, A111, Data!H:H)
/ (COUNTIF(Data!B:B, A111)
)),"")</f>
        <v/>
      </c>
      <c r="D111" s="31" t="str">
        <f>IFERROR((SUMIF(Data!B:B, A111, Data!G:G)
/ (COUNTIF(Data!B:B, A111)
)),"")</f>
        <v/>
      </c>
      <c r="E111" s="31" t="str">
        <f t="shared" si="1"/>
        <v/>
      </c>
      <c r="F111" s="31" t="str">
        <f>IFERROR((SUMIF(Data!B:B, A111, Data!J:J)
/ (COUNTIF(Data!B:B, A111)
)),"")</f>
        <v/>
      </c>
      <c r="G111" s="32" t="str">
        <f>IF(A111="","",IFERROR((((((SUMIF(Data!B:B, A111, Data!H:H)+(SUMIF(Data!B:B, A111,Data!G:G)))/(SUMIF(Data!B:B, A111, Data!J:J)))))),0))</f>
        <v/>
      </c>
      <c r="H111" s="33" t="str">
        <f>IFERROR(__xludf.DUMMYFUNCTION("IFERROR(IF(G111="""","""",(SUM(FIlter(Filter(Data!G:G,Data!B:B=A111),(Filter(Data!J:J&lt;3,Data!B:B=A111))))+SUM((FIlter(Filter(Data!H:H,Data!B:B=A111),(Filter(Data!J:J&lt;3,Data!B:B=A111))))))/(SUM(Filter(Filter(Data!J:J,Data!B:B=A111),FILTER(Data!J:J&lt;3,Data!B"&amp;":B=A111))))),"""")"),"")</f>
        <v/>
      </c>
      <c r="I111" s="32" t="str">
        <f>IFERROR(__xludf.DUMMYFUNCTION("IF(A111="""","""",(COUNT(FILTER(IF(Data!G:G&lt;&gt;0,Data!G:G,IF(Data!H:H&lt;&gt;0,Data!H:H)),Data!B:B=A111)))/(COUNT(FILTER(Data!J:J,Data!B:B=A111))))"),"")</f>
        <v/>
      </c>
      <c r="J111" s="32" t="str">
        <f t="shared" si="2"/>
        <v/>
      </c>
      <c r="K111" s="31" t="str">
        <f t="shared" si="3"/>
        <v/>
      </c>
      <c r="L111" s="31" t="str">
        <f>IFERROR((SUMIF(Data!B:B, A111, Data!L:L)
/ (COUNTIF(Data!B:B, A111)
)),"")</f>
        <v/>
      </c>
      <c r="M111" s="31" t="str">
        <f>IFERROR((SUMIF(Data!B:B, A111, Data!K:K)
/ (COUNTIF(Data!B:B, A111)
)),"")</f>
        <v/>
      </c>
      <c r="N111" s="34" t="str">
        <f t="shared" si="33"/>
        <v/>
      </c>
      <c r="O111" s="32" t="str">
        <f>IF(A111="","",IFERROR((((((SUMIF(Data!B:B, A111, Data!H:H)+(SUMIF(Data!B:B, A111,Data!G:G)+(SUMIF(Data!B:B, A111,Data!L:L)+(SUMIF(Data!B:B, A111,Data!K:K)))))/(SUMIF(Data!B:B, A111, Data!M:M)+(SUMIF(Data!B:B, A111, Data!H:H)+(SUMIF(Data!B:B, A111,Data!G:G)+(SUMIF(Data!B:B, A111,Data!K:K)+(SUMIF(Data!B:B, A111,Data!L:L)))))))))),0))</f>
        <v/>
      </c>
      <c r="P111" s="35" t="str">
        <f>IFERROR(__xludf.DUMMYFUNCTION("IFERROR(((COUNTIF(FILTER(Data!N:N,Data!B:B=A111),""TRAVERSE"")*15)+(COUNTIF(FILTER(Data!N:N,Data!B:B=A111),""HIGH"")*10)+(COUNTIF(FILTER(Data!N:N,Data!B:B=A111),""MIDDLE"")*6)+(COUNTIF(FILTER(Data!N:N,Data!B:B=A111),""LOW"")*4)) / (COUNTIF(Data!B:B, A111)"&amp;"),"""")"),"")</f>
        <v/>
      </c>
      <c r="Q111" s="31" t="str">
        <f>IFERROR(__xludf.DUMMYFUNCTION("IF(P111="""","""",Average(FIlter(('Convert Name to Number'!$F$422:$Z1000),'Convert Name to Number'!$E$422:$E1000=$A111)))"),"")</f>
        <v/>
      </c>
      <c r="R111" s="36" t="str">
        <f t="shared" si="5"/>
        <v/>
      </c>
      <c r="S111" s="37" t="str">
        <f>IFERROR(__xludf.DUMMYFUNCTION("IFERROR((((COUNTIF(FILTER(Data!N:N,Data!B:B=A111),""TRAVERSE""))+(COUNTIF(FILTER(Data!N:N,Data!B:B=A111),""HIGH""))+(COUNTIF(FILTER(Data!N:N,Data!B:B=A111),""MIDDLE""))+(COUNTIF(FILTER(Data!N:N,Data!B:B=A111),""LOW"")))) / (((COUNTIF(Data!B:B, A111)))-(CO"&amp;"UNTIF(FILTER(Data!N:N,Data!B:B=A111),""NONE""))),IF(ISBLANK(A111),"""",0))"),"")</f>
        <v/>
      </c>
      <c r="T111" s="32" t="str">
        <f>IFERROR(__xludf.DUMMYFUNCTION("IFERROR((COUNTIF(FILTER(Data!N:N, Data!B:B=A111),""LOW"")) / (COUNTIF(Data!B:B, A111)),"""")"),"")</f>
        <v/>
      </c>
      <c r="U111" s="38" t="str">
        <f>IFERROR(__xludf.DUMMYFUNCTION("IFERROR((COUNTIF(FILTER(Data!N:N, Data!B:B=A111),""MIDDLE"")) / (COUNTIF(Data!B:B, A111)),"""")"),"")</f>
        <v/>
      </c>
      <c r="V111" s="38" t="str">
        <f>IFERROR(__xludf.DUMMYFUNCTION("IFERROR((COUNTIF(FILTER(Data!N:N, Data!B:B=A111),""HIGH"")) / (COUNTIF(Data!B:B, A111)),"""")"),"")</f>
        <v/>
      </c>
      <c r="W111" s="38" t="str">
        <f>IFERROR(__xludf.DUMMYFUNCTION("IFERROR((COUNTIF(FILTER(Data!N:N, Data!B:B=A111),""TRAVERSE"")) / (COUNTIF(Data!B:B, A111)),"""")"),"")</f>
        <v/>
      </c>
      <c r="X111" s="39" t="str">
        <f t="shared" si="6"/>
        <v/>
      </c>
      <c r="Y111" s="31" t="str">
        <f t="shared" si="7"/>
        <v/>
      </c>
      <c r="Z111" s="31" t="str">
        <f t="shared" si="8"/>
        <v/>
      </c>
      <c r="AA111" s="41" t="str">
        <f t="shared" si="9"/>
        <v/>
      </c>
      <c r="AB111" s="40" t="str">
        <f t="shared" si="34"/>
        <v/>
      </c>
      <c r="AC111" s="41" t="str">
        <f>IFERROR(__xludf.DUMMYFUNCTION("IF(AA111="""","""",MAX(Filter((Data!G:G+Data!K:K),Data!B:B=A111)))"),"")</f>
        <v/>
      </c>
      <c r="AD111" s="41" t="str">
        <f t="shared" si="11"/>
        <v/>
      </c>
      <c r="AE111" s="41" t="str">
        <f t="shared" si="12"/>
        <v/>
      </c>
      <c r="AF111" s="41" t="str">
        <f t="shared" si="13"/>
        <v/>
      </c>
      <c r="AG111" s="42" t="str">
        <f>IF(A111="","",(((AD111)*Picklist!$P$3)+((K111)*Picklist!$P$4)+(E111*Picklist!$P$5)+(N111*Picklist!$P$6)+(X111*Picklist!$P$7)+(R111*Picklist!$P$8)))</f>
        <v/>
      </c>
      <c r="AH111" s="43" t="str">
        <f>IF(A111="","",(((AD111)*Picklist!$P$14)+((K111)*Picklist!$P$15)+(E111*Picklist!$P$16)+(N111*Picklist!$P$17)+(X111*Picklist!$P$18)+(R111*Picklist!$P$19)))</f>
        <v/>
      </c>
      <c r="AI111" s="44" t="str">
        <f>IFERROR(__xludf.DUMMYFUNCTION("TEXTJOIN("", "",TRUE, FILTER(Data!P:P, Data!B:B=A111))"),"")</f>
        <v/>
      </c>
      <c r="AJ111" s="16" t="str">
        <f t="shared" si="14"/>
        <v/>
      </c>
      <c r="AK111" s="46" t="str">
        <f>IFERROR(__xludf.DUMMYFUNCTION("IF(A111&lt;&gt;"""",IFERROR(AVERAGE(FILTER('Defense Calculations'!BJ:CS,'Defense Calculations'!A:A=A111)),""""),"""")"),"")</f>
        <v/>
      </c>
      <c r="AM111" s="47"/>
      <c r="BB111" s="49">
        <f t="shared" si="16"/>
        <v>0</v>
      </c>
      <c r="BC111" s="50" t="str">
        <f t="shared" si="17"/>
        <v/>
      </c>
    </row>
    <row r="112">
      <c r="A112" s="54"/>
      <c r="B112" s="30" t="str">
        <f>IFERROR(__xludf.DUMMYFUNCTION("IFERROR(ROUND(
(COUNTIF(FILTER(Data!O:O, Data!B:B=A112), ""Win"")
+ COUNTIF(FILTER(Data!O:O, Data!B:B=A112), {""Tie"",""Results""}))
/ (COUNTIF(Data!B:B, A112)),
1),"""")"),"")</f>
        <v/>
      </c>
      <c r="C112" s="31" t="str">
        <f>IFERROR((SUMIF(Data!B:B, A112, Data!H:H)
/ (COUNTIF(Data!B:B, A112)
)),"")</f>
        <v/>
      </c>
      <c r="D112" s="31" t="str">
        <f>IFERROR((SUMIF(Data!B:B, A112, Data!G:G)
/ (COUNTIF(Data!B:B, A112)
)),"")</f>
        <v/>
      </c>
      <c r="E112" s="31" t="str">
        <f t="shared" si="1"/>
        <v/>
      </c>
      <c r="F112" s="31" t="str">
        <f>IFERROR((SUMIF(Data!B:B, A112, Data!J:J)
/ (COUNTIF(Data!B:B, A112)
)),"")</f>
        <v/>
      </c>
      <c r="G112" s="32" t="str">
        <f>IF(A112="","",IFERROR((((((SUMIF(Data!B:B, A112, Data!H:H)+(SUMIF(Data!B:B, A112,Data!G:G)))/(SUMIF(Data!B:B, A112, Data!J:J)))))),0))</f>
        <v/>
      </c>
      <c r="H112" s="33" t="str">
        <f>IFERROR(__xludf.DUMMYFUNCTION("IFERROR(IF(G112="""","""",(SUM(FIlter(Filter(Data!G:G,Data!B:B=A112),(Filter(Data!J:J&lt;3,Data!B:B=A112))))+SUM((FIlter(Filter(Data!H:H,Data!B:B=A112),(Filter(Data!J:J&lt;3,Data!B:B=A112))))))/(SUM(Filter(Filter(Data!J:J,Data!B:B=A112),FILTER(Data!J:J&lt;3,Data!B"&amp;":B=A112))))),"""")"),"")</f>
        <v/>
      </c>
      <c r="I112" s="32" t="str">
        <f>IFERROR(__xludf.DUMMYFUNCTION("IF(A112="""","""",(COUNT(FILTER(IF(Data!G:G&lt;&gt;0,Data!G:G,IF(Data!H:H&lt;&gt;0,Data!H:H)),Data!B:B=A112)))/(COUNT(FILTER(Data!J:J,Data!B:B=A112))))"),"")</f>
        <v/>
      </c>
      <c r="J112" s="32" t="str">
        <f t="shared" si="2"/>
        <v/>
      </c>
      <c r="K112" s="31" t="str">
        <f t="shared" si="3"/>
        <v/>
      </c>
      <c r="L112" s="31" t="str">
        <f>IFERROR((SUMIF(Data!B:B, A112, Data!L:L)
/ (COUNTIF(Data!B:B, A112)
)),"")</f>
        <v/>
      </c>
      <c r="M112" s="31" t="str">
        <f>IFERROR((SUMIF(Data!B:B, A112, Data!K:K)
/ (COUNTIF(Data!B:B, A112)
)),"")</f>
        <v/>
      </c>
      <c r="N112" s="34" t="str">
        <f t="shared" si="33"/>
        <v/>
      </c>
      <c r="O112" s="32" t="str">
        <f>IF(A112="","",IFERROR((((((SUMIF(Data!B:B, A112, Data!H:H)+(SUMIF(Data!B:B, A112,Data!G:G)+(SUMIF(Data!B:B, A112,Data!L:L)+(SUMIF(Data!B:B, A112,Data!K:K)))))/(SUMIF(Data!B:B, A112, Data!M:M)+(SUMIF(Data!B:B, A112, Data!H:H)+(SUMIF(Data!B:B, A112,Data!G:G)+(SUMIF(Data!B:B, A112,Data!K:K)+(SUMIF(Data!B:B, A112,Data!L:L)))))))))),0))</f>
        <v/>
      </c>
      <c r="P112" s="35" t="str">
        <f>IFERROR(__xludf.DUMMYFUNCTION("IFERROR(((COUNTIF(FILTER(Data!N:N,Data!B:B=A112),""TRAVERSE"")*15)+(COUNTIF(FILTER(Data!N:N,Data!B:B=A112),""HIGH"")*10)+(COUNTIF(FILTER(Data!N:N,Data!B:B=A112),""MIDDLE"")*6)+(COUNTIF(FILTER(Data!N:N,Data!B:B=A112),""LOW"")*4)) / (COUNTIF(Data!B:B, A112)"&amp;"),"""")"),"")</f>
        <v/>
      </c>
      <c r="Q112" s="31" t="str">
        <f>IFERROR(__xludf.DUMMYFUNCTION("IF(P112="""","""",Average(FIlter(('Convert Name to Number'!$F$422:$Z1000),'Convert Name to Number'!$E$422:$E1000=$A112)))"),"")</f>
        <v/>
      </c>
      <c r="R112" s="36" t="str">
        <f t="shared" si="5"/>
        <v/>
      </c>
      <c r="S112" s="37" t="str">
        <f>IFERROR(__xludf.DUMMYFUNCTION("IFERROR((((COUNTIF(FILTER(Data!N:N,Data!B:B=A112),""TRAVERSE""))+(COUNTIF(FILTER(Data!N:N,Data!B:B=A112),""HIGH""))+(COUNTIF(FILTER(Data!N:N,Data!B:B=A112),""MIDDLE""))+(COUNTIF(FILTER(Data!N:N,Data!B:B=A112),""LOW"")))) / (((COUNTIF(Data!B:B, A112)))-(CO"&amp;"UNTIF(FILTER(Data!N:N,Data!B:B=A112),""NONE""))),IF(ISBLANK(A112),"""",0))"),"")</f>
        <v/>
      </c>
      <c r="T112" s="32" t="str">
        <f>IFERROR(__xludf.DUMMYFUNCTION("IFERROR((COUNTIF(FILTER(Data!N:N, Data!B:B=A112),""LOW"")) / (COUNTIF(Data!B:B, A112)),"""")"),"")</f>
        <v/>
      </c>
      <c r="U112" s="38" t="str">
        <f>IFERROR(__xludf.DUMMYFUNCTION("IFERROR((COUNTIF(FILTER(Data!N:N, Data!B:B=A112),""MIDDLE"")) / (COUNTIF(Data!B:B, A112)),"""")"),"")</f>
        <v/>
      </c>
      <c r="V112" s="38" t="str">
        <f>IFERROR(__xludf.DUMMYFUNCTION("IFERROR((COUNTIF(FILTER(Data!N:N, Data!B:B=A112),""HIGH"")) / (COUNTIF(Data!B:B, A112)),"""")"),"")</f>
        <v/>
      </c>
      <c r="W112" s="38" t="str">
        <f>IFERROR(__xludf.DUMMYFUNCTION("IFERROR((COUNTIF(FILTER(Data!N:N, Data!B:B=A112),""TRAVERSE"")) / (COUNTIF(Data!B:B, A112)),"""")"),"")</f>
        <v/>
      </c>
      <c r="X112" s="39" t="str">
        <f t="shared" si="6"/>
        <v/>
      </c>
      <c r="Y112" s="31" t="str">
        <f t="shared" si="7"/>
        <v/>
      </c>
      <c r="Z112" s="31" t="str">
        <f t="shared" si="8"/>
        <v/>
      </c>
      <c r="AA112" s="41" t="str">
        <f t="shared" si="9"/>
        <v/>
      </c>
      <c r="AB112" s="40" t="str">
        <f t="shared" si="34"/>
        <v/>
      </c>
      <c r="AC112" s="41" t="str">
        <f>IFERROR(__xludf.DUMMYFUNCTION("IF(AA112="""","""",MAX(Filter((Data!G:G+Data!K:K),Data!B:B=A112)))"),"")</f>
        <v/>
      </c>
      <c r="AD112" s="41" t="str">
        <f t="shared" si="11"/>
        <v/>
      </c>
      <c r="AE112" s="41" t="str">
        <f t="shared" si="12"/>
        <v/>
      </c>
      <c r="AF112" s="41" t="str">
        <f t="shared" si="13"/>
        <v/>
      </c>
      <c r="AG112" s="42" t="str">
        <f>IF(A112="","",(((AD112)*Picklist!$P$3)+((K112)*Picklist!$P$4)+(E112*Picklist!$P$5)+(N112*Picklist!$P$6)+(X112*Picklist!$P$7)+(R112*Picklist!$P$8)))</f>
        <v/>
      </c>
      <c r="AH112" s="43" t="str">
        <f>IF(A112="","",(((AD112)*Picklist!$P$14)+((K112)*Picklist!$P$15)+(E112*Picklist!$P$16)+(N112*Picklist!$P$17)+(X112*Picklist!$P$18)+(R112*Picklist!$P$19)))</f>
        <v/>
      </c>
      <c r="AI112" s="44" t="str">
        <f>IFERROR(__xludf.DUMMYFUNCTION("TEXTJOIN("", "",TRUE, FILTER(Data!P:P, Data!B:B=A112))"),"")</f>
        <v/>
      </c>
      <c r="AJ112" s="16" t="str">
        <f t="shared" si="14"/>
        <v/>
      </c>
      <c r="AK112" s="46" t="str">
        <f>IFERROR(__xludf.DUMMYFUNCTION("IF(A112&lt;&gt;"""",IFERROR(AVERAGE(FILTER('Defense Calculations'!BJ:CS,'Defense Calculations'!A:A=A112)),""""),"""")"),"")</f>
        <v/>
      </c>
      <c r="AM112" s="47"/>
      <c r="BB112" s="49">
        <f t="shared" si="16"/>
        <v>0</v>
      </c>
      <c r="BC112" s="50" t="str">
        <f t="shared" si="17"/>
        <v/>
      </c>
    </row>
    <row r="113">
      <c r="A113" s="54"/>
      <c r="B113" s="30" t="str">
        <f>IFERROR(__xludf.DUMMYFUNCTION("IFERROR(ROUND(
(COUNTIF(FILTER(Data!O:O, Data!B:B=A113), ""Win"")
+ COUNTIF(FILTER(Data!O:O, Data!B:B=A113), {""Tie"",""Results""}))
/ (COUNTIF(Data!B:B, A113)),
1),"""")"),"")</f>
        <v/>
      </c>
      <c r="C113" s="31" t="str">
        <f>IFERROR((SUMIF(Data!B:B, A113, Data!H:H)
/ (COUNTIF(Data!B:B, A113)
)),"")</f>
        <v/>
      </c>
      <c r="D113" s="31" t="str">
        <f>IFERROR((SUMIF(Data!B:B, A113, Data!G:G)
/ (COUNTIF(Data!B:B, A113)
)),"")</f>
        <v/>
      </c>
      <c r="E113" s="31" t="str">
        <f t="shared" si="1"/>
        <v/>
      </c>
      <c r="F113" s="31" t="str">
        <f>IFERROR((SUMIF(Data!B:B, A113, Data!J:J)
/ (COUNTIF(Data!B:B, A113)
)),"")</f>
        <v/>
      </c>
      <c r="G113" s="32" t="str">
        <f>IF(A113="","",IFERROR((((((SUMIF(Data!B:B, A113, Data!H:H)+(SUMIF(Data!B:B, A113,Data!G:G)))/(SUMIF(Data!B:B, A113, Data!J:J)))))),0))</f>
        <v/>
      </c>
      <c r="H113" s="33" t="str">
        <f>IFERROR(__xludf.DUMMYFUNCTION("IFERROR(IF(G113="""","""",(SUM(FIlter(Filter(Data!G:G,Data!B:B=A113),(Filter(Data!J:J&lt;3,Data!B:B=A113))))+SUM((FIlter(Filter(Data!H:H,Data!B:B=A113),(Filter(Data!J:J&lt;3,Data!B:B=A113))))))/(SUM(Filter(Filter(Data!J:J,Data!B:B=A113),FILTER(Data!J:J&lt;3,Data!B"&amp;":B=A113))))),"""")"),"")</f>
        <v/>
      </c>
      <c r="I113" s="32" t="str">
        <f>IFERROR(__xludf.DUMMYFUNCTION("IF(A113="""","""",(COUNT(FILTER(IF(Data!G:G&lt;&gt;0,Data!G:G,IF(Data!H:H&lt;&gt;0,Data!H:H)),Data!B:B=A113)))/(COUNT(FILTER(Data!J:J,Data!B:B=A113))))"),"")</f>
        <v/>
      </c>
      <c r="J113" s="32" t="str">
        <f t="shared" si="2"/>
        <v/>
      </c>
      <c r="K113" s="31" t="str">
        <f t="shared" si="3"/>
        <v/>
      </c>
      <c r="L113" s="31" t="str">
        <f>IFERROR((SUMIF(Data!B:B, A113, Data!L:L)
/ (COUNTIF(Data!B:B, A113)
)),"")</f>
        <v/>
      </c>
      <c r="M113" s="31" t="str">
        <f>IFERROR((SUMIF(Data!B:B, A113, Data!K:K)
/ (COUNTIF(Data!B:B, A113)
)),"")</f>
        <v/>
      </c>
      <c r="N113" s="34" t="str">
        <f t="shared" si="33"/>
        <v/>
      </c>
      <c r="O113" s="32" t="str">
        <f>IF(A113="","",IFERROR((((((SUMIF(Data!B:B, A113, Data!H:H)+(SUMIF(Data!B:B, A113,Data!G:G)+(SUMIF(Data!B:B, A113,Data!L:L)+(SUMIF(Data!B:B, A113,Data!K:K)))))/(SUMIF(Data!B:B, A113, Data!M:M)+(SUMIF(Data!B:B, A113, Data!H:H)+(SUMIF(Data!B:B, A113,Data!G:G)+(SUMIF(Data!B:B, A113,Data!K:K)+(SUMIF(Data!B:B, A113,Data!L:L)))))))))),0))</f>
        <v/>
      </c>
      <c r="P113" s="35" t="str">
        <f>IFERROR(__xludf.DUMMYFUNCTION("IFERROR(((COUNTIF(FILTER(Data!N:N,Data!B:B=A113),""TRAVERSE"")*15)+(COUNTIF(FILTER(Data!N:N,Data!B:B=A113),""HIGH"")*10)+(COUNTIF(FILTER(Data!N:N,Data!B:B=A113),""MIDDLE"")*6)+(COUNTIF(FILTER(Data!N:N,Data!B:B=A113),""LOW"")*4)) / (COUNTIF(Data!B:B, A113)"&amp;"),"""")"),"")</f>
        <v/>
      </c>
      <c r="Q113" s="31" t="str">
        <f>IFERROR(__xludf.DUMMYFUNCTION("IF(P113="""","""",Average(FIlter(('Convert Name to Number'!$F$422:$Z1000),'Convert Name to Number'!$E$422:$E1000=$A113)))"),"")</f>
        <v/>
      </c>
      <c r="R113" s="36" t="str">
        <f t="shared" si="5"/>
        <v/>
      </c>
      <c r="S113" s="37" t="str">
        <f>IFERROR(__xludf.DUMMYFUNCTION("IFERROR((((COUNTIF(FILTER(Data!N:N,Data!B:B=A113),""TRAVERSE""))+(COUNTIF(FILTER(Data!N:N,Data!B:B=A113),""HIGH""))+(COUNTIF(FILTER(Data!N:N,Data!B:B=A113),""MIDDLE""))+(COUNTIF(FILTER(Data!N:N,Data!B:B=A113),""LOW"")))) / (((COUNTIF(Data!B:B, A113)))-(CO"&amp;"UNTIF(FILTER(Data!N:N,Data!B:B=A113),""NONE""))),IF(ISBLANK(A113),"""",0))"),"")</f>
        <v/>
      </c>
      <c r="T113" s="32" t="str">
        <f>IFERROR(__xludf.DUMMYFUNCTION("IFERROR((COUNTIF(FILTER(Data!N:N, Data!B:B=A113),""LOW"")) / (COUNTIF(Data!B:B, A113)),"""")"),"")</f>
        <v/>
      </c>
      <c r="U113" s="38" t="str">
        <f>IFERROR(__xludf.DUMMYFUNCTION("IFERROR((COUNTIF(FILTER(Data!N:N, Data!B:B=A113),""MIDDLE"")) / (COUNTIF(Data!B:B, A113)),"""")"),"")</f>
        <v/>
      </c>
      <c r="V113" s="38" t="str">
        <f>IFERROR(__xludf.DUMMYFUNCTION("IFERROR((COUNTIF(FILTER(Data!N:N, Data!B:B=A113),""HIGH"")) / (COUNTIF(Data!B:B, A113)),"""")"),"")</f>
        <v/>
      </c>
      <c r="W113" s="38" t="str">
        <f>IFERROR(__xludf.DUMMYFUNCTION("IFERROR((COUNTIF(FILTER(Data!N:N, Data!B:B=A113),""TRAVERSE"")) / (COUNTIF(Data!B:B, A113)),"""")"),"")</f>
        <v/>
      </c>
      <c r="X113" s="39" t="str">
        <f t="shared" si="6"/>
        <v/>
      </c>
      <c r="Y113" s="31" t="str">
        <f t="shared" si="7"/>
        <v/>
      </c>
      <c r="Z113" s="31" t="str">
        <f t="shared" si="8"/>
        <v/>
      </c>
      <c r="AA113" s="41" t="str">
        <f t="shared" si="9"/>
        <v/>
      </c>
      <c r="AB113" s="40" t="str">
        <f t="shared" si="34"/>
        <v/>
      </c>
      <c r="AC113" s="41" t="str">
        <f>IFERROR(__xludf.DUMMYFUNCTION("IF(AA113="""","""",MAX(Filter((Data!G:G+Data!K:K),Data!B:B=A113)))"),"")</f>
        <v/>
      </c>
      <c r="AD113" s="41" t="str">
        <f t="shared" si="11"/>
        <v/>
      </c>
      <c r="AE113" s="41" t="str">
        <f t="shared" si="12"/>
        <v/>
      </c>
      <c r="AF113" s="41" t="str">
        <f t="shared" si="13"/>
        <v/>
      </c>
      <c r="AG113" s="42" t="str">
        <f>IF(A113="","",(((AD113)*Picklist!$P$3)+((K113)*Picklist!$P$4)+(E113*Picklist!$P$5)+(N113*Picklist!$P$6)+(X113*Picklist!$P$7)+(R113*Picklist!$P$8)))</f>
        <v/>
      </c>
      <c r="AH113" s="43" t="str">
        <f>IF(A113="","",(((AD113)*Picklist!$P$14)+((K113)*Picklist!$P$15)+(E113*Picklist!$P$16)+(N113*Picklist!$P$17)+(X113*Picklist!$P$18)+(R113*Picklist!$P$19)))</f>
        <v/>
      </c>
      <c r="AI113" s="44" t="str">
        <f>IFERROR(__xludf.DUMMYFUNCTION("TEXTJOIN("", "",TRUE, FILTER(Data!P:P, Data!B:B=A113))"),"")</f>
        <v/>
      </c>
      <c r="AJ113" s="16" t="str">
        <f t="shared" si="14"/>
        <v/>
      </c>
      <c r="AK113" s="46" t="str">
        <f>IFERROR(__xludf.DUMMYFUNCTION("IF(A113&lt;&gt;"""",IFERROR(AVERAGE(FILTER('Defense Calculations'!BJ:CS,'Defense Calculations'!A:A=A113)),""""),"""")"),"")</f>
        <v/>
      </c>
      <c r="AM113" s="47"/>
      <c r="BB113" s="49">
        <f t="shared" si="16"/>
        <v>0</v>
      </c>
      <c r="BC113" s="50" t="str">
        <f t="shared" si="17"/>
        <v/>
      </c>
    </row>
    <row r="114">
      <c r="A114" s="54"/>
      <c r="B114" s="30" t="str">
        <f>IFERROR(__xludf.DUMMYFUNCTION("IFERROR(ROUND(
(COUNTIF(FILTER(Data!O:O, Data!B:B=A114), ""Win"")
+ COUNTIF(FILTER(Data!O:O, Data!B:B=A114), {""Tie"",""Results""}))
/ (COUNTIF(Data!B:B, A114)),
1),"""")"),"")</f>
        <v/>
      </c>
      <c r="C114" s="31" t="str">
        <f>IFERROR((SUMIF(Data!B:B, A114, Data!H:H)
/ (COUNTIF(Data!B:B, A114)
)),"")</f>
        <v/>
      </c>
      <c r="D114" s="31" t="str">
        <f>IFERROR((SUMIF(Data!B:B, A114, Data!G:G)
/ (COUNTIF(Data!B:B, A114)
)),"")</f>
        <v/>
      </c>
      <c r="E114" s="31" t="str">
        <f t="shared" si="1"/>
        <v/>
      </c>
      <c r="F114" s="31" t="str">
        <f>IFERROR((SUMIF(Data!B:B, A114, Data!J:J)
/ (COUNTIF(Data!B:B, A114)
)),"")</f>
        <v/>
      </c>
      <c r="G114" s="32" t="str">
        <f>IF(A114="","",IFERROR((((((SUMIF(Data!B:B, A114, Data!H:H)+(SUMIF(Data!B:B, A114,Data!G:G)))/(SUMIF(Data!B:B, A114, Data!J:J)))))),0))</f>
        <v/>
      </c>
      <c r="H114" s="33" t="str">
        <f>IFERROR(__xludf.DUMMYFUNCTION("IFERROR(IF(G114="""","""",(SUM(FIlter(Filter(Data!G:G,Data!B:B=A114),(Filter(Data!J:J&lt;3,Data!B:B=A114))))+SUM((FIlter(Filter(Data!H:H,Data!B:B=A114),(Filter(Data!J:J&lt;3,Data!B:B=A114))))))/(SUM(Filter(Filter(Data!J:J,Data!B:B=A114),FILTER(Data!J:J&lt;3,Data!B"&amp;":B=A114))))),"""")"),"")</f>
        <v/>
      </c>
      <c r="I114" s="32" t="str">
        <f>IFERROR(__xludf.DUMMYFUNCTION("IF(A114="""","""",(COUNT(FILTER(IF(Data!G:G&lt;&gt;0,Data!G:G,IF(Data!H:H&lt;&gt;0,Data!H:H)),Data!B:B=A114)))/(COUNT(FILTER(Data!J:J,Data!B:B=A114))))"),"")</f>
        <v/>
      </c>
      <c r="J114" s="32" t="str">
        <f t="shared" si="2"/>
        <v/>
      </c>
      <c r="K114" s="31" t="str">
        <f t="shared" si="3"/>
        <v/>
      </c>
      <c r="L114" s="31" t="str">
        <f>IFERROR((SUMIF(Data!B:B, A114, Data!L:L)
/ (COUNTIF(Data!B:B, A114)
)),"")</f>
        <v/>
      </c>
      <c r="M114" s="31" t="str">
        <f>IFERROR((SUMIF(Data!B:B, A114, Data!K:K)
/ (COUNTIF(Data!B:B, A114)
)),"")</f>
        <v/>
      </c>
      <c r="N114" s="34" t="str">
        <f t="shared" si="33"/>
        <v/>
      </c>
      <c r="O114" s="32" t="str">
        <f>IF(A114="","",IFERROR((((((SUMIF(Data!B:B, A114, Data!H:H)+(SUMIF(Data!B:B, A114,Data!G:G)+(SUMIF(Data!B:B, A114,Data!L:L)+(SUMIF(Data!B:B, A114,Data!K:K)))))/(SUMIF(Data!B:B, A114, Data!M:M)+(SUMIF(Data!B:B, A114, Data!H:H)+(SUMIF(Data!B:B, A114,Data!G:G)+(SUMIF(Data!B:B, A114,Data!K:K)+(SUMIF(Data!B:B, A114,Data!L:L)))))))))),0))</f>
        <v/>
      </c>
      <c r="P114" s="35" t="str">
        <f>IFERROR(__xludf.DUMMYFUNCTION("IFERROR(((COUNTIF(FILTER(Data!N:N,Data!B:B=A114),""TRAVERSE"")*15)+(COUNTIF(FILTER(Data!N:N,Data!B:B=A114),""HIGH"")*10)+(COUNTIF(FILTER(Data!N:N,Data!B:B=A114),""MIDDLE"")*6)+(COUNTIF(FILTER(Data!N:N,Data!B:B=A114),""LOW"")*4)) / (COUNTIF(Data!B:B, A114)"&amp;"),"""")"),"")</f>
        <v/>
      </c>
      <c r="Q114" s="31" t="str">
        <f>IFERROR(__xludf.DUMMYFUNCTION("IF(P114="""","""",Average(FIlter(('Convert Name to Number'!$F$422:$Z1000),'Convert Name to Number'!$E$422:$E1000=$A114)))"),"")</f>
        <v/>
      </c>
      <c r="R114" s="36" t="str">
        <f t="shared" si="5"/>
        <v/>
      </c>
      <c r="S114" s="37" t="str">
        <f>IFERROR(__xludf.DUMMYFUNCTION("IFERROR((((COUNTIF(FILTER(Data!N:N,Data!B:B=A114),""TRAVERSE""))+(COUNTIF(FILTER(Data!N:N,Data!B:B=A114),""HIGH""))+(COUNTIF(FILTER(Data!N:N,Data!B:B=A114),""MIDDLE""))+(COUNTIF(FILTER(Data!N:N,Data!B:B=A114),""LOW"")))) / (((COUNTIF(Data!B:B, A114)))-(CO"&amp;"UNTIF(FILTER(Data!N:N,Data!B:B=A114),""NONE""))),IF(ISBLANK(A114),"""",0))"),"")</f>
        <v/>
      </c>
      <c r="T114" s="32" t="str">
        <f>IFERROR(__xludf.DUMMYFUNCTION("IFERROR((COUNTIF(FILTER(Data!N:N, Data!B:B=A114),""LOW"")) / (COUNTIF(Data!B:B, A114)),"""")"),"")</f>
        <v/>
      </c>
      <c r="U114" s="38" t="str">
        <f>IFERROR(__xludf.DUMMYFUNCTION("IFERROR((COUNTIF(FILTER(Data!N:N, Data!B:B=A114),""MIDDLE"")) / (COUNTIF(Data!B:B, A114)),"""")"),"")</f>
        <v/>
      </c>
      <c r="V114" s="38" t="str">
        <f>IFERROR(__xludf.DUMMYFUNCTION("IFERROR((COUNTIF(FILTER(Data!N:N, Data!B:B=A114),""HIGH"")) / (COUNTIF(Data!B:B, A114)),"""")"),"")</f>
        <v/>
      </c>
      <c r="W114" s="38" t="str">
        <f>IFERROR(__xludf.DUMMYFUNCTION("IFERROR((COUNTIF(FILTER(Data!N:N, Data!B:B=A114),""TRAVERSE"")) / (COUNTIF(Data!B:B, A114)),"""")"),"")</f>
        <v/>
      </c>
      <c r="X114" s="39" t="str">
        <f t="shared" si="6"/>
        <v/>
      </c>
      <c r="Y114" s="31" t="str">
        <f t="shared" si="7"/>
        <v/>
      </c>
      <c r="Z114" s="31" t="str">
        <f t="shared" si="8"/>
        <v/>
      </c>
      <c r="AA114" s="41" t="str">
        <f t="shared" si="9"/>
        <v/>
      </c>
      <c r="AB114" s="40" t="str">
        <f t="shared" si="34"/>
        <v/>
      </c>
      <c r="AC114" s="41" t="str">
        <f>IFERROR(__xludf.DUMMYFUNCTION("IF(AA114="""","""",MAX(Filter((Data!G:G+Data!K:K),Data!B:B=A114)))"),"")</f>
        <v/>
      </c>
      <c r="AD114" s="41" t="str">
        <f t="shared" si="11"/>
        <v/>
      </c>
      <c r="AE114" s="41" t="str">
        <f t="shared" si="12"/>
        <v/>
      </c>
      <c r="AF114" s="41" t="str">
        <f t="shared" si="13"/>
        <v/>
      </c>
      <c r="AG114" s="42" t="str">
        <f>IF(A114="","",(((AD114)*Picklist!$P$3)+((K114)*Picklist!$P$4)+(E114*Picklist!$P$5)+(N114*Picklist!$P$6)+(X114*Picklist!$P$7)+(R114*Picklist!$P$8)))</f>
        <v/>
      </c>
      <c r="AH114" s="43" t="str">
        <f>IF(A114="","",(((AD114)*Picklist!$P$14)+((K114)*Picklist!$P$15)+(E114*Picklist!$P$16)+(N114*Picklist!$P$17)+(X114*Picklist!$P$18)+(R114*Picklist!$P$19)))</f>
        <v/>
      </c>
      <c r="AI114" s="44" t="str">
        <f>IFERROR(__xludf.DUMMYFUNCTION("TEXTJOIN("", "",TRUE, FILTER(Data!P:P, Data!B:B=A114))"),"")</f>
        <v/>
      </c>
      <c r="AJ114" s="16" t="str">
        <f t="shared" si="14"/>
        <v/>
      </c>
      <c r="AK114" s="46" t="str">
        <f>IFERROR(__xludf.DUMMYFUNCTION("IF(A114&lt;&gt;"""",IFERROR(AVERAGE(FILTER('Defense Calculations'!BJ:CS,'Defense Calculations'!A:A=A114)),""""),"""")"),"")</f>
        <v/>
      </c>
      <c r="AM114" s="47"/>
      <c r="BB114" s="49">
        <f t="shared" si="16"/>
        <v>0</v>
      </c>
      <c r="BC114" s="50" t="str">
        <f t="shared" si="17"/>
        <v/>
      </c>
    </row>
    <row r="115">
      <c r="A115" s="54"/>
      <c r="B115" s="30" t="str">
        <f>IFERROR(__xludf.DUMMYFUNCTION("IFERROR(ROUND(
(COUNTIF(FILTER(Data!O:O, Data!B:B=A115), ""Win"")
+ COUNTIF(FILTER(Data!O:O, Data!B:B=A115), {""Tie"",""Results""}))
/ (COUNTIF(Data!B:B, A115)),
1),"""")"),"")</f>
        <v/>
      </c>
      <c r="C115" s="31" t="str">
        <f>IFERROR((SUMIF(Data!B:B, A115, Data!H:H)
/ (COUNTIF(Data!B:B, A115)
)),"")</f>
        <v/>
      </c>
      <c r="D115" s="31" t="str">
        <f>IFERROR((SUMIF(Data!B:B, A115, Data!G:G)
/ (COUNTIF(Data!B:B, A115)
)),"")</f>
        <v/>
      </c>
      <c r="E115" s="31" t="str">
        <f t="shared" si="1"/>
        <v/>
      </c>
      <c r="F115" s="31" t="str">
        <f>IFERROR((SUMIF(Data!B:B, A115, Data!J:J)
/ (COUNTIF(Data!B:B, A115)
)),"")</f>
        <v/>
      </c>
      <c r="G115" s="32" t="str">
        <f>IF(A115="","",IFERROR((((((SUMIF(Data!B:B, A115, Data!H:H)+(SUMIF(Data!B:B, A115,Data!G:G)))/(SUMIF(Data!B:B, A115, Data!J:J)))))),0))</f>
        <v/>
      </c>
      <c r="H115" s="32" t="str">
        <f>IFERROR(__xludf.DUMMYFUNCTION("IFERROR(IF(G115="""","""",Average(FILTER(IF(Data!J:J&lt;3,((Data!G:G+Data!H:H)/Data!J:J),1),Data!B:B=A115))),"""")"),"")</f>
        <v/>
      </c>
      <c r="I115" s="31"/>
      <c r="J115" s="31"/>
      <c r="K115" s="31" t="str">
        <f t="shared" si="3"/>
        <v/>
      </c>
      <c r="L115" s="31" t="str">
        <f>IFERROR((SUMIF(Data!B:B, A115, Data!L:L)
/ (COUNTIF(Data!B:B, A115)
)),"")</f>
        <v/>
      </c>
      <c r="M115" s="31" t="str">
        <f>IFERROR((SUMIF(Data!B:B, A115, Data!K:K)
/ (COUNTIF(Data!B:B, A115)
)),"")</f>
        <v/>
      </c>
      <c r="N115" s="34" t="str">
        <f t="shared" si="33"/>
        <v/>
      </c>
      <c r="O115" s="32" t="str">
        <f>IF(A115="","",IFERROR((((((SUMIF(Data!B:B, A115, Data!H:H)+(SUMIF(Data!B:B, A115,Data!G:G)+(SUMIF(Data!B:B, A115,Data!L:L)+(SUMIF(Data!B:B, A115,Data!K:K)))))/(SUMIF(Data!B:B, A115, Data!M:M)+(SUMIF(Data!B:B, A115, Data!H:H)+(SUMIF(Data!B:B, A115,Data!G:G)+(SUMIF(Data!B:B, A115,Data!K:K)+(SUMIF(Data!B:B, A115,Data!L:L)))))))))),0))</f>
        <v/>
      </c>
      <c r="P115" s="35" t="str">
        <f>IFERROR(__xludf.DUMMYFUNCTION("IFERROR(((COUNTIF(FILTER(Data!N:N,Data!B:B=A115),""TRAVERSE"")*15)+(COUNTIF(FILTER(Data!N:N,Data!B:B=A115),""HIGH"")*10)+(COUNTIF(FILTER(Data!N:N,Data!B:B=A115),""MIDDLE"")*6)+(COUNTIF(FILTER(Data!N:N,Data!B:B=A115),""LOW"")*4)) / (COUNTIF(Data!B:B, A115)"&amp;"),"""")"),"")</f>
        <v/>
      </c>
      <c r="Q115" s="31" t="str">
        <f>IFERROR(__xludf.DUMMYFUNCTION("IF(P115="""","""",Average(FIlter(('Convert Name to Number'!$F$422:$Z1000),'Convert Name to Number'!$E$422:$E1000=$A115)))"),"")</f>
        <v/>
      </c>
      <c r="R115" s="36" t="str">
        <f t="shared" si="5"/>
        <v/>
      </c>
      <c r="S115" s="37" t="str">
        <f>IFERROR(__xludf.DUMMYFUNCTION("IFERROR((((COUNTIF(FILTER(Data!N:N,Data!B:B=A115),""TRAVERSE""))+(COUNTIF(FILTER(Data!N:N,Data!B:B=A115),""HIGH""))+(COUNTIF(FILTER(Data!N:N,Data!B:B=A115),""MIDDLE""))+(COUNTIF(FILTER(Data!N:N,Data!B:B=A115),""LOW"")))) / (((COUNTIF(Data!B:B, A115)))-(CO"&amp;"UNTIF(FILTER(Data!N:N,Data!B:B=A115),""NONE""))),IF(ISBLANK(A115),"""",0))"),"")</f>
        <v/>
      </c>
      <c r="T115" s="32" t="str">
        <f>IFERROR(__xludf.DUMMYFUNCTION("IFERROR((COUNTIF(FILTER(Data!N:N, Data!B:B=A115),""LOW"")) / (COUNTIF(Data!B:B, A115)),"""")"),"")</f>
        <v/>
      </c>
      <c r="U115" s="38" t="str">
        <f>IFERROR(__xludf.DUMMYFUNCTION("IFERROR((COUNTIF(FILTER(Data!N:N, Data!B:B=A115),""MIDDLE"")) / (COUNTIF(Data!B:B, A115)),"""")"),"")</f>
        <v/>
      </c>
      <c r="V115" s="38" t="str">
        <f>IFERROR(__xludf.DUMMYFUNCTION("IFERROR((COUNTIF(FILTER(Data!N:N, Data!B:B=A115),""HIGH"")) / (COUNTIF(Data!B:B, A115)),"""")"),"")</f>
        <v/>
      </c>
      <c r="W115" s="38" t="str">
        <f>IFERROR(__xludf.DUMMYFUNCTION("IFERROR((COUNTIF(FILTER(Data!N:N, Data!B:B=A115),""TRAVERSE"")) / (COUNTIF(Data!B:B, A115)),"""")"),"")</f>
        <v/>
      </c>
      <c r="X115" s="39" t="str">
        <f t="shared" si="6"/>
        <v/>
      </c>
      <c r="Y115" s="31" t="str">
        <f t="shared" si="7"/>
        <v/>
      </c>
      <c r="Z115" s="31" t="str">
        <f t="shared" si="8"/>
        <v/>
      </c>
      <c r="AA115" s="41" t="str">
        <f t="shared" si="9"/>
        <v/>
      </c>
      <c r="AB115" s="40" t="str">
        <f t="shared" si="34"/>
        <v/>
      </c>
      <c r="AC115" s="41" t="str">
        <f>IFERROR(__xludf.DUMMYFUNCTION("IF(AA115="""","""",MAX(Filter((Data!G:G+Data!K:K),Data!B:B=A115)))"),"")</f>
        <v/>
      </c>
      <c r="AD115" s="41" t="str">
        <f t="shared" si="11"/>
        <v/>
      </c>
      <c r="AE115" s="41" t="str">
        <f t="shared" si="12"/>
        <v/>
      </c>
      <c r="AF115" s="41" t="str">
        <f t="shared" si="13"/>
        <v/>
      </c>
      <c r="AG115" s="42" t="str">
        <f>IF(A115="","",(((AD115)*Picklist!$P$3)+((K115)*Picklist!$P$4)+(E115*Picklist!$P$5)+(N115*Picklist!$P$6)+(X115*Picklist!$P$7)+(R115*Picklist!$P$8)))</f>
        <v/>
      </c>
      <c r="AH115" s="43" t="str">
        <f>IF(A115="","",(((AD115)*Picklist!$P$14)+((K115)*Picklist!$P$15)+(E115*Picklist!$P$16)+(N115*Picklist!$P$17)+(X115*Picklist!$P$18)+(R115*Picklist!$P$19)))</f>
        <v/>
      </c>
      <c r="AI115" s="44" t="str">
        <f>IFERROR(__xludf.DUMMYFUNCTION("TEXTJOIN("", "",TRUE, FILTER(Data!P:P, Data!B:B=A115))"),"")</f>
        <v/>
      </c>
      <c r="AJ115" s="16" t="str">
        <f t="shared" si="14"/>
        <v/>
      </c>
      <c r="AK115" s="46" t="str">
        <f>IFERROR(__xludf.DUMMYFUNCTION("IF(A115&lt;&gt;"""",IFERROR(AVERAGE(FILTER('Defense Calculations'!BJ:CS,'Defense Calculations'!A:A=A115)),""""),"""")"),"")</f>
        <v/>
      </c>
      <c r="AM115" s="47"/>
      <c r="BB115" s="49">
        <f t="shared" si="16"/>
        <v>0</v>
      </c>
      <c r="BC115" s="50" t="str">
        <f t="shared" si="17"/>
        <v/>
      </c>
    </row>
    <row r="116">
      <c r="A116" s="54"/>
      <c r="B116" s="30" t="str">
        <f>IFERROR(__xludf.DUMMYFUNCTION("IFERROR(ROUND(
(COUNTIF(FILTER(Data!O:O, Data!B:B=A116), ""Win"")
+ COUNTIF(FILTER(Data!O:O, Data!B:B=A116), {""Tie"",""Results""}))
/ (COUNTIF(Data!B:B, A116)),
1),"""")"),"")</f>
        <v/>
      </c>
      <c r="C116" s="31" t="str">
        <f>IFERROR((SUMIF(Data!B:B, A116, Data!H:H)
/ (COUNTIF(Data!B:B, A116)
)),"")</f>
        <v/>
      </c>
      <c r="D116" s="31" t="str">
        <f>IFERROR((SUMIF(Data!B:B, A116, Data!G:G)
/ (COUNTIF(Data!B:B, A116)
)),"")</f>
        <v/>
      </c>
      <c r="E116" s="31" t="str">
        <f t="shared" si="1"/>
        <v/>
      </c>
      <c r="F116" s="31" t="str">
        <f>IFERROR((SUMIF(Data!B:B, A116, Data!J:J)
/ (COUNTIF(Data!B:B, A116)
)),"")</f>
        <v/>
      </c>
      <c r="G116" s="32" t="str">
        <f>IF(A116="","",IFERROR((((((SUMIF(Data!B:B, A116, Data!H:H)+(SUMIF(Data!B:B, A116,Data!G:G)))/(SUMIF(Data!B:B, A116, Data!J:J)))))),0))</f>
        <v/>
      </c>
      <c r="H116" s="32" t="str">
        <f>IFERROR(__xludf.DUMMYFUNCTION("IFERROR(IF(G116="""","""",Average(FILTER(IF(Data!J:J&lt;3,((Data!G:G+Data!H:H)/Data!J:J),1),Data!B:B=A116))),"""")"),"")</f>
        <v/>
      </c>
      <c r="I116" s="31"/>
      <c r="J116" s="31"/>
      <c r="K116" s="31" t="str">
        <f t="shared" si="3"/>
        <v/>
      </c>
      <c r="L116" s="31" t="str">
        <f>IFERROR((SUMIF(Data!B:B, A116, Data!L:L)
/ (COUNTIF(Data!B:B, A116)
)),"")</f>
        <v/>
      </c>
      <c r="M116" s="31" t="str">
        <f>IFERROR((SUMIF(Data!B:B, A116, Data!K:K)
/ (COUNTIF(Data!B:B, A116)
)),"")</f>
        <v/>
      </c>
      <c r="N116" s="34" t="str">
        <f t="shared" si="33"/>
        <v/>
      </c>
      <c r="O116" s="32" t="str">
        <f>IF(A116="","",IFERROR((((((SUMIF(Data!B:B, A116, Data!H:H)+(SUMIF(Data!B:B, A116,Data!G:G)+(SUMIF(Data!B:B, A116,Data!L:L)+(SUMIF(Data!B:B, A116,Data!K:K)))))/(SUMIF(Data!B:B, A116, Data!M:M)+(SUMIF(Data!B:B, A116, Data!H:H)+(SUMIF(Data!B:B, A116,Data!G:G)+(SUMIF(Data!B:B, A116,Data!K:K)+(SUMIF(Data!B:B, A116,Data!L:L)))))))))),0))</f>
        <v/>
      </c>
      <c r="P116" s="35" t="str">
        <f>IFERROR(__xludf.DUMMYFUNCTION("IFERROR(((COUNTIF(FILTER(Data!N:N,Data!B:B=A116),""TRAVERSE"")*15)+(COUNTIF(FILTER(Data!N:N,Data!B:B=A116),""HIGH"")*10)+(COUNTIF(FILTER(Data!N:N,Data!B:B=A116),""MIDDLE"")*6)+(COUNTIF(FILTER(Data!N:N,Data!B:B=A116),""LOW"")*4)) / (COUNTIF(Data!B:B, A116)"&amp;"),"""")"),"")</f>
        <v/>
      </c>
      <c r="Q116" s="31" t="str">
        <f>IFERROR(__xludf.DUMMYFUNCTION("IF(P116="""","""",Average(FIlter(('Convert Name to Number'!$F$422:$Z1000),'Convert Name to Number'!$E$422:$E1000=$A116)))"),"")</f>
        <v/>
      </c>
      <c r="R116" s="36" t="str">
        <f t="shared" si="5"/>
        <v/>
      </c>
      <c r="S116" s="37" t="str">
        <f>IFERROR(__xludf.DUMMYFUNCTION("IFERROR((((COUNTIF(FILTER(Data!N:N,Data!B:B=A116),""TRAVERSE""))+(COUNTIF(FILTER(Data!N:N,Data!B:B=A116),""HIGH""))+(COUNTIF(FILTER(Data!N:N,Data!B:B=A116),""MIDDLE""))+(COUNTIF(FILTER(Data!N:N,Data!B:B=A116),""LOW"")))) / (((COUNTIF(Data!B:B, A116)))-(CO"&amp;"UNTIF(FILTER(Data!N:N,Data!B:B=A116),""NONE""))),IF(ISBLANK(A116),"""",0))"),"")</f>
        <v/>
      </c>
      <c r="T116" s="32" t="str">
        <f>IFERROR(__xludf.DUMMYFUNCTION("IFERROR((COUNTIF(FILTER(Data!N:N, Data!B:B=A116),""LOW"")) / (COUNTIF(Data!B:B, A116)),"""")"),"")</f>
        <v/>
      </c>
      <c r="U116" s="38" t="str">
        <f>IFERROR(__xludf.DUMMYFUNCTION("IFERROR((COUNTIF(FILTER(Data!N:N, Data!B:B=A116),""MIDDLE"")) / (COUNTIF(Data!B:B, A116)),"""")"),"")</f>
        <v/>
      </c>
      <c r="V116" s="38" t="str">
        <f>IFERROR(__xludf.DUMMYFUNCTION("IFERROR((COUNTIF(FILTER(Data!N:N, Data!B:B=A116),""HIGH"")) / (COUNTIF(Data!B:B, A116)),"""")"),"")</f>
        <v/>
      </c>
      <c r="W116" s="38" t="str">
        <f>IFERROR(__xludf.DUMMYFUNCTION("IFERROR((COUNTIF(FILTER(Data!N:N, Data!B:B=A116),""TRAVERSE"")) / (COUNTIF(Data!B:B, A116)),"""")"),"")</f>
        <v/>
      </c>
      <c r="X116" s="39" t="str">
        <f t="shared" si="6"/>
        <v/>
      </c>
      <c r="Y116" s="31" t="str">
        <f t="shared" si="7"/>
        <v/>
      </c>
      <c r="Z116" s="31" t="str">
        <f t="shared" si="8"/>
        <v/>
      </c>
      <c r="AA116" s="41" t="str">
        <f t="shared" si="9"/>
        <v/>
      </c>
      <c r="AB116" s="40" t="str">
        <f t="shared" si="34"/>
        <v/>
      </c>
      <c r="AC116" s="41" t="str">
        <f>IFERROR(__xludf.DUMMYFUNCTION("IF(AA116="""","""",MAX(Filter((Data!G:G+Data!K:K),Data!B:B=A116)))"),"")</f>
        <v/>
      </c>
      <c r="AD116" s="41" t="str">
        <f t="shared" si="11"/>
        <v/>
      </c>
      <c r="AE116" s="41" t="str">
        <f t="shared" si="12"/>
        <v/>
      </c>
      <c r="AF116" s="41" t="str">
        <f t="shared" si="13"/>
        <v/>
      </c>
      <c r="AG116" s="42" t="str">
        <f>IF(A116="","",(((AD116)*Picklist!$P$3)+((K116)*Picklist!$P$4)+(E116*Picklist!$P$5)+(N116*Picklist!$P$6)+(X116*Picklist!$P$7)+(R116*Picklist!$P$8)))</f>
        <v/>
      </c>
      <c r="AH116" s="43" t="str">
        <f>IF(A116="","",(((AD116)*Picklist!$P$14)+((K116)*Picklist!$P$15)+(E116*Picklist!$P$16)+(N116*Picklist!$P$17)+(X116*Picklist!$P$18)+(R116*Picklist!$P$19)))</f>
        <v/>
      </c>
      <c r="AI116" s="44" t="str">
        <f>IFERROR(__xludf.DUMMYFUNCTION("TEXTJOIN("", "",TRUE, FILTER(Data!P:P, Data!B:B=A116))"),"")</f>
        <v/>
      </c>
      <c r="AJ116" s="16" t="str">
        <f t="shared" si="14"/>
        <v/>
      </c>
      <c r="AK116" s="46" t="str">
        <f>IFERROR(__xludf.DUMMYFUNCTION("IF(A116&lt;&gt;"""",IFERROR(AVERAGE(FILTER('Defense Calculations'!BJ:CS,'Defense Calculations'!A:A=A116)),""""),"""")"),"")</f>
        <v/>
      </c>
      <c r="AM116" s="47"/>
      <c r="BB116" s="49">
        <f t="shared" si="16"/>
        <v>0</v>
      </c>
      <c r="BC116" s="50" t="str">
        <f t="shared" si="17"/>
        <v/>
      </c>
    </row>
    <row r="117">
      <c r="A117" s="54"/>
      <c r="B117" s="30" t="str">
        <f>IFERROR(__xludf.DUMMYFUNCTION("IFERROR(ROUND(
(COUNTIF(FILTER(Data!O:O, Data!B:B=A117), ""Win"")
+ COUNTIF(FILTER(Data!O:O, Data!B:B=A117), {""Tie"",""Results""}))
/ (COUNTIF(Data!B:B, A117)),
1),"""")"),"")</f>
        <v/>
      </c>
      <c r="C117" s="31" t="str">
        <f>IFERROR((SUMIF(Data!B:B, A117, Data!H:H)
/ (COUNTIF(Data!B:B, A117)
)),"")</f>
        <v/>
      </c>
      <c r="D117" s="31" t="str">
        <f>IFERROR((SUMIF(Data!B:B, A117, Data!G:G)
/ (COUNTIF(Data!B:B, A117)
)),"")</f>
        <v/>
      </c>
      <c r="E117" s="31" t="str">
        <f t="shared" si="1"/>
        <v/>
      </c>
      <c r="F117" s="31" t="str">
        <f>IFERROR((SUMIF(Data!B:B, A117, Data!J:J)
/ (COUNTIF(Data!B:B, A117)
)),"")</f>
        <v/>
      </c>
      <c r="G117" s="32" t="str">
        <f>IF(A117="","",IFERROR((((((SUMIF(Data!B:B, A117, Data!H:H)+(SUMIF(Data!B:B, A117,Data!G:G)))/(SUMIF(Data!B:B, A117, Data!J:J)))))),0))</f>
        <v/>
      </c>
      <c r="H117" s="32" t="str">
        <f>IFERROR(__xludf.DUMMYFUNCTION("IFERROR(IF(G117="""","""",Average(FILTER(IF(Data!J:J&lt;3,((Data!G:G+Data!H:H)/Data!J:J),1),Data!B:B=A117))),"""")"),"")</f>
        <v/>
      </c>
      <c r="I117" s="31"/>
      <c r="J117" s="31"/>
      <c r="K117" s="31" t="str">
        <f t="shared" si="3"/>
        <v/>
      </c>
      <c r="L117" s="31" t="str">
        <f>IFERROR((SUMIF(Data!B:B, A117, Data!L:L)
/ (COUNTIF(Data!B:B, A117)
)),"")</f>
        <v/>
      </c>
      <c r="M117" s="31" t="str">
        <f>IFERROR((SUMIF(Data!B:B, A117, Data!K:K)
/ (COUNTIF(Data!B:B, A117)
)),"")</f>
        <v/>
      </c>
      <c r="N117" s="34" t="str">
        <f t="shared" si="33"/>
        <v/>
      </c>
      <c r="O117" s="32" t="str">
        <f>IF(A117="","",IFERROR((((((SUMIF(Data!B:B, A117, Data!H:H)+(SUMIF(Data!B:B, A117,Data!G:G)+(SUMIF(Data!B:B, A117,Data!L:L)+(SUMIF(Data!B:B, A117,Data!K:K)))))/(SUMIF(Data!B:B, A117, Data!M:M)+(SUMIF(Data!B:B, A117, Data!H:H)+(SUMIF(Data!B:B, A117,Data!G:G)+(SUMIF(Data!B:B, A117,Data!K:K)+(SUMIF(Data!B:B, A117,Data!L:L)))))))))),0))</f>
        <v/>
      </c>
      <c r="P117" s="35" t="str">
        <f>IFERROR(__xludf.DUMMYFUNCTION("IFERROR(((COUNTIF(FILTER(Data!N:N,Data!B:B=A117),""TRAVERSE"")*15)+(COUNTIF(FILTER(Data!N:N,Data!B:B=A117),""HIGH"")*10)+(COUNTIF(FILTER(Data!N:N,Data!B:B=A117),""MIDDLE"")*6)+(COUNTIF(FILTER(Data!N:N,Data!B:B=A117),""LOW"")*4)) / (COUNTIF(Data!B:B, A117)"&amp;"),"""")"),"")</f>
        <v/>
      </c>
      <c r="Q117" s="31" t="str">
        <f>IFERROR(__xludf.DUMMYFUNCTION("IF(P117="""","""",Average(FIlter(('Convert Name to Number'!$F$422:$Z1000),'Convert Name to Number'!$E$422:$E1000=$A117)))"),"")</f>
        <v/>
      </c>
      <c r="R117" s="36" t="str">
        <f t="shared" si="5"/>
        <v/>
      </c>
      <c r="S117" s="37" t="str">
        <f>IFERROR(__xludf.DUMMYFUNCTION("IFERROR((((COUNTIF(FILTER(Data!N:N,Data!B:B=A117),""TRAVERSE""))+(COUNTIF(FILTER(Data!N:N,Data!B:B=A117),""HIGH""))+(COUNTIF(FILTER(Data!N:N,Data!B:B=A117),""MIDDLE""))+(COUNTIF(FILTER(Data!N:N,Data!B:B=A117),""LOW"")))) / (((COUNTIF(Data!B:B, A117)))-(CO"&amp;"UNTIF(FILTER(Data!N:N,Data!B:B=A117),""NONE""))),IF(ISBLANK(A117),"""",0))"),"")</f>
        <v/>
      </c>
      <c r="T117" s="32" t="str">
        <f>IFERROR(__xludf.DUMMYFUNCTION("IFERROR((COUNTIF(FILTER(Data!N:N, Data!B:B=A117),""LOW"")) / (COUNTIF(Data!B:B, A117)),"""")"),"")</f>
        <v/>
      </c>
      <c r="U117" s="38" t="str">
        <f>IFERROR(__xludf.DUMMYFUNCTION("IFERROR((COUNTIF(FILTER(Data!N:N, Data!B:B=A117),""MIDDLE"")) / (COUNTIF(Data!B:B, A117)),"""")"),"")</f>
        <v/>
      </c>
      <c r="V117" s="38" t="str">
        <f>IFERROR(__xludf.DUMMYFUNCTION("IFERROR((COUNTIF(FILTER(Data!N:N, Data!B:B=A117),""HIGH"")) / (COUNTIF(Data!B:B, A117)),"""")"),"")</f>
        <v/>
      </c>
      <c r="W117" s="38" t="str">
        <f>IFERROR(__xludf.DUMMYFUNCTION("IFERROR((COUNTIF(FILTER(Data!N:N, Data!B:B=A117),""TRAVERSE"")) / (COUNTIF(Data!B:B, A117)),"""")"),"")</f>
        <v/>
      </c>
      <c r="X117" s="39" t="str">
        <f t="shared" si="6"/>
        <v/>
      </c>
      <c r="Y117" s="31" t="str">
        <f t="shared" si="7"/>
        <v/>
      </c>
      <c r="Z117" s="31" t="str">
        <f t="shared" si="8"/>
        <v/>
      </c>
      <c r="AA117" s="41" t="str">
        <f t="shared" si="9"/>
        <v/>
      </c>
      <c r="AB117" s="40" t="str">
        <f t="shared" si="34"/>
        <v/>
      </c>
      <c r="AC117" s="41" t="str">
        <f>IFERROR(__xludf.DUMMYFUNCTION("IF(AA117="""","""",MAX(Filter((Data!G:G+Data!K:K),Data!B:B=A117)))"),"")</f>
        <v/>
      </c>
      <c r="AD117" s="41" t="str">
        <f t="shared" si="11"/>
        <v/>
      </c>
      <c r="AE117" s="41" t="str">
        <f t="shared" si="12"/>
        <v/>
      </c>
      <c r="AF117" s="41" t="str">
        <f t="shared" si="13"/>
        <v/>
      </c>
      <c r="AG117" s="42" t="str">
        <f>IF(A117="","",(((AD117)*Picklist!$P$3)+((K117)*Picklist!$P$4)+(E117*Picklist!$P$5)+(N117*Picklist!$P$6)+(X117*Picklist!$P$7)+(R117*Picklist!$P$8)))</f>
        <v/>
      </c>
      <c r="AH117" s="43" t="str">
        <f>IF(A117="","",(((AD117)*Picklist!$P$14)+((K117)*Picklist!$P$15)+(E117*Picklist!$P$16)+(N117*Picklist!$P$17)+(X117*Picklist!$P$18)+(R117*Picklist!$P$19)))</f>
        <v/>
      </c>
      <c r="AI117" s="44" t="str">
        <f>IFERROR(__xludf.DUMMYFUNCTION("TEXTJOIN("", "",TRUE, FILTER(Data!P:P, Data!B:B=A117))"),"")</f>
        <v/>
      </c>
      <c r="AJ117" s="16" t="str">
        <f t="shared" si="14"/>
        <v/>
      </c>
      <c r="AK117" s="46" t="str">
        <f>IFERROR(__xludf.DUMMYFUNCTION("IF(A117&lt;&gt;"""",IFERROR(AVERAGE(FILTER('Defense Calculations'!BJ:CS,'Defense Calculations'!A:A=A117)),""""),"""")"),"")</f>
        <v/>
      </c>
      <c r="AM117" s="47"/>
      <c r="BB117" s="49">
        <f t="shared" si="16"/>
        <v>0</v>
      </c>
      <c r="BC117" s="50" t="str">
        <f t="shared" si="17"/>
        <v/>
      </c>
    </row>
    <row r="118">
      <c r="A118" s="54"/>
      <c r="B118" s="30" t="str">
        <f>IFERROR(__xludf.DUMMYFUNCTION("IFERROR(ROUND(
(COUNTIF(FILTER(Data!O:O, Data!B:B=A118), ""Win"")
+ COUNTIF(FILTER(Data!O:O, Data!B:B=A118), {""Tie"",""Results""}))
/ (COUNTIF(Data!B:B, A118)),
1),"""")"),"")</f>
        <v/>
      </c>
      <c r="C118" s="31" t="str">
        <f>IFERROR((SUMIF(Data!B:B, A118, Data!H:H)
/ (COUNTIF(Data!B:B, A118)
)),"")</f>
        <v/>
      </c>
      <c r="D118" s="31" t="str">
        <f>IFERROR((SUMIF(Data!B:B, A118, Data!G:G)
/ (COUNTIF(Data!B:B, A118)
)),"")</f>
        <v/>
      </c>
      <c r="E118" s="31" t="str">
        <f t="shared" si="1"/>
        <v/>
      </c>
      <c r="F118" s="31" t="str">
        <f>IFERROR((SUMIF(Data!B:B, A118, Data!J:J)
/ (COUNTIF(Data!B:B, A118)
)),"")</f>
        <v/>
      </c>
      <c r="G118" s="32" t="str">
        <f>IF(A118="","",IFERROR((((((SUMIF(Data!B:B, A118, Data!H:H)+(SUMIF(Data!B:B, A118,Data!G:G)))/(SUMIF(Data!B:B, A118, Data!J:J)))))),0))</f>
        <v/>
      </c>
      <c r="H118" s="32" t="str">
        <f>IFERROR(__xludf.DUMMYFUNCTION("IFERROR(IF(G118="""","""",Average(FILTER(IF(Data!J:J&lt;3,((Data!G:G+Data!H:H)/Data!J:J),1),Data!B:B=A118))),"""")"),"")</f>
        <v/>
      </c>
      <c r="I118" s="31"/>
      <c r="J118" s="31"/>
      <c r="K118" s="31" t="str">
        <f t="shared" si="3"/>
        <v/>
      </c>
      <c r="L118" s="31" t="str">
        <f>IFERROR((SUMIF(Data!B:B, A118, Data!L:L)
/ (COUNTIF(Data!B:B, A118)
)),"")</f>
        <v/>
      </c>
      <c r="M118" s="31" t="str">
        <f>IFERROR((SUMIF(Data!B:B, A118, Data!K:K)
/ (COUNTIF(Data!B:B, A118)
)),"")</f>
        <v/>
      </c>
      <c r="N118" s="34" t="str">
        <f t="shared" si="33"/>
        <v/>
      </c>
      <c r="O118" s="32" t="str">
        <f>IF(A118="","",IFERROR((((((SUMIF(Data!B:B, A118, Data!H:H)+(SUMIF(Data!B:B, A118,Data!G:G)+(SUMIF(Data!B:B, A118,Data!L:L)+(SUMIF(Data!B:B, A118,Data!K:K)))))/(SUMIF(Data!B:B, A118, Data!M:M)+(SUMIF(Data!B:B, A118, Data!H:H)+(SUMIF(Data!B:B, A118,Data!G:G)+(SUMIF(Data!B:B, A118,Data!K:K)+(SUMIF(Data!B:B, A118,Data!L:L)))))))))),0))</f>
        <v/>
      </c>
      <c r="P118" s="35" t="str">
        <f>IFERROR(__xludf.DUMMYFUNCTION("IFERROR(((COUNTIF(FILTER(Data!N:N,Data!B:B=A118),""TRAVERSE"")*15)+(COUNTIF(FILTER(Data!N:N,Data!B:B=A118),""HIGH"")*10)+(COUNTIF(FILTER(Data!N:N,Data!B:B=A118),""MIDDLE"")*6)+(COUNTIF(FILTER(Data!N:N,Data!B:B=A118),""LOW"")*4)) / (COUNTIF(Data!B:B, A118)"&amp;"),"""")"),"")</f>
        <v/>
      </c>
      <c r="Q118" s="31" t="str">
        <f>IFERROR(__xludf.DUMMYFUNCTION("IF(P118="""","""",Average(FIlter(('Convert Name to Number'!$F$422:$Z1000),'Convert Name to Number'!$E$422:$E1000=$A118)))"),"")</f>
        <v/>
      </c>
      <c r="R118" s="36" t="str">
        <f t="shared" si="5"/>
        <v/>
      </c>
      <c r="S118" s="37" t="str">
        <f>IFERROR(__xludf.DUMMYFUNCTION("IFERROR((((COUNTIF(FILTER(Data!N:N,Data!B:B=A118),""TRAVERSE""))+(COUNTIF(FILTER(Data!N:N,Data!B:B=A118),""HIGH""))+(COUNTIF(FILTER(Data!N:N,Data!B:B=A118),""MIDDLE""))+(COUNTIF(FILTER(Data!N:N,Data!B:B=A118),""LOW"")))) / (((COUNTIF(Data!B:B, A118)))-(CO"&amp;"UNTIF(FILTER(Data!N:N,Data!B:B=A118),""NONE""))),IF(ISBLANK(A118),"""",0))"),"")</f>
        <v/>
      </c>
      <c r="T118" s="32" t="str">
        <f>IFERROR(__xludf.DUMMYFUNCTION("IFERROR((COUNTIF(FILTER(Data!N:N, Data!B:B=A118),""LOW"")) / (COUNTIF(Data!B:B, A118)),"""")"),"")</f>
        <v/>
      </c>
      <c r="U118" s="38" t="str">
        <f>IFERROR(__xludf.DUMMYFUNCTION("IFERROR((COUNTIF(FILTER(Data!N:N, Data!B:B=A118),""MIDDLE"")) / (COUNTIF(Data!B:B, A118)),"""")"),"")</f>
        <v/>
      </c>
      <c r="V118" s="38" t="str">
        <f>IFERROR(__xludf.DUMMYFUNCTION("IFERROR((COUNTIF(FILTER(Data!N:N, Data!B:B=A118),""HIGH"")) / (COUNTIF(Data!B:B, A118)),"""")"),"")</f>
        <v/>
      </c>
      <c r="W118" s="38" t="str">
        <f>IFERROR(__xludf.DUMMYFUNCTION("IFERROR((COUNTIF(FILTER(Data!N:N, Data!B:B=A118),""TRAVERSE"")) / (COUNTIF(Data!B:B, A118)),"""")"),"")</f>
        <v/>
      </c>
      <c r="X118" s="39" t="str">
        <f t="shared" si="6"/>
        <v/>
      </c>
      <c r="Y118" s="31" t="str">
        <f t="shared" si="7"/>
        <v/>
      </c>
      <c r="Z118" s="31" t="str">
        <f t="shared" si="8"/>
        <v/>
      </c>
      <c r="AA118" s="41" t="str">
        <f t="shared" si="9"/>
        <v/>
      </c>
      <c r="AB118" s="40" t="str">
        <f t="shared" si="34"/>
        <v/>
      </c>
      <c r="AC118" s="41" t="str">
        <f>IFERROR(__xludf.DUMMYFUNCTION("IF(AA118="""","""",MAX(Filter((Data!G:G+Data!K:K),Data!B:B=A118)))"),"")</f>
        <v/>
      </c>
      <c r="AD118" s="41" t="str">
        <f t="shared" si="11"/>
        <v/>
      </c>
      <c r="AE118" s="41" t="str">
        <f t="shared" si="12"/>
        <v/>
      </c>
      <c r="AF118" s="41" t="str">
        <f t="shared" si="13"/>
        <v/>
      </c>
      <c r="AG118" s="42" t="str">
        <f>IF(A118="","",(((AD118)*Picklist!$P$3)+((K118)*Picklist!$P$4)+(E118*Picklist!$P$5)+(N118*Picklist!$P$6)+(X118*Picklist!$P$7)+(R118*Picklist!$P$8)))</f>
        <v/>
      </c>
      <c r="AH118" s="43" t="str">
        <f>IF(A118="","",(((AD118)*Picklist!$P$14)+((K118)*Picklist!$P$15)+(E118*Picklist!$P$16)+(N118*Picklist!$P$17)+(X118*Picklist!$P$18)+(R118*Picklist!$P$19)))</f>
        <v/>
      </c>
      <c r="AI118" s="44" t="str">
        <f>IFERROR(__xludf.DUMMYFUNCTION("TEXTJOIN("", "",TRUE, FILTER(Data!P:P, Data!B:B=A118))"),"")</f>
        <v/>
      </c>
      <c r="AJ118" s="16" t="str">
        <f t="shared" si="14"/>
        <v/>
      </c>
      <c r="AK118" s="46" t="str">
        <f>IFERROR(__xludf.DUMMYFUNCTION("IF(A118&lt;&gt;"""",IFERROR(AVERAGE(FILTER('Defense Calculations'!BJ:CS,'Defense Calculations'!A:A=A118)),""""),"""")"),"")</f>
        <v/>
      </c>
      <c r="AM118" s="47"/>
      <c r="BB118" s="49">
        <f t="shared" si="16"/>
        <v>0</v>
      </c>
      <c r="BC118" s="50" t="str">
        <f t="shared" si="17"/>
        <v/>
      </c>
    </row>
    <row r="119">
      <c r="A119" s="54"/>
      <c r="B119" s="30" t="str">
        <f>IFERROR(__xludf.DUMMYFUNCTION("IFERROR(ROUND(
(COUNTIF(FILTER(Data!O:O, Data!B:B=A119), ""Win"")
+ COUNTIF(FILTER(Data!O:O, Data!B:B=A119), {""Tie"",""Results""}))
/ (COUNTIF(Data!B:B, A119)),
1),"""")"),"")</f>
        <v/>
      </c>
      <c r="C119" s="31" t="str">
        <f>IFERROR((SUMIF(Data!B:B, A119, Data!H:H)
/ (COUNTIF(Data!B:B, A119)
)),"")</f>
        <v/>
      </c>
      <c r="D119" s="31" t="str">
        <f>IFERROR((SUMIF(Data!B:B, A119, Data!G:G)
/ (COUNTIF(Data!B:B, A119)
)),"")</f>
        <v/>
      </c>
      <c r="E119" s="31" t="str">
        <f t="shared" si="1"/>
        <v/>
      </c>
      <c r="F119" s="31" t="str">
        <f>IFERROR((SUMIF(Data!B:B, A119, Data!J:J)
/ (COUNTIF(Data!B:B, A119)
)),"")</f>
        <v/>
      </c>
      <c r="G119" s="32" t="str">
        <f>IF(A119="","",IFERROR((((((SUMIF(Data!B:B, A119, Data!H:H)+(SUMIF(Data!B:B, A119,Data!G:G)))/(SUMIF(Data!B:B, A119, Data!J:J)))))),0))</f>
        <v/>
      </c>
      <c r="H119" s="32" t="str">
        <f>IFERROR(__xludf.DUMMYFUNCTION("IFERROR(IF(G119="""","""",Average(FILTER(IF(Data!J:J&lt;3,((Data!G:G+Data!H:H)/Data!J:J),1),Data!B:B=A119))),"""")"),"")</f>
        <v/>
      </c>
      <c r="I119" s="31"/>
      <c r="J119" s="31"/>
      <c r="K119" s="31" t="str">
        <f t="shared" si="3"/>
        <v/>
      </c>
      <c r="L119" s="31" t="str">
        <f>IFERROR((SUMIF(Data!B:B, A119, Data!L:L)
/ (COUNTIF(Data!B:B, A119)
)),"")</f>
        <v/>
      </c>
      <c r="M119" s="31" t="str">
        <f>IFERROR((SUMIF(Data!B:B, A119, Data!K:K)
/ (COUNTIF(Data!B:B, A119)
)),"")</f>
        <v/>
      </c>
      <c r="N119" s="34" t="str">
        <f t="shared" si="33"/>
        <v/>
      </c>
      <c r="O119" s="32" t="str">
        <f>IF(A119="","",IFERROR((((((SUMIF(Data!B:B, A119, Data!H:H)+(SUMIF(Data!B:B, A119,Data!G:G)+(SUMIF(Data!B:B, A119,Data!L:L)+(SUMIF(Data!B:B, A119,Data!K:K)))))/(SUMIF(Data!B:B, A119, Data!M:M)+(SUMIF(Data!B:B, A119, Data!H:H)+(SUMIF(Data!B:B, A119,Data!G:G)+(SUMIF(Data!B:B, A119,Data!K:K)+(SUMIF(Data!B:B, A119,Data!L:L)))))))))),0))</f>
        <v/>
      </c>
      <c r="P119" s="35" t="str">
        <f>IFERROR(__xludf.DUMMYFUNCTION("IFERROR(((COUNTIF(FILTER(Data!N:N,Data!B:B=A119),""TRAVERSE"")*15)+(COUNTIF(FILTER(Data!N:N,Data!B:B=A119),""HIGH"")*10)+(COUNTIF(FILTER(Data!N:N,Data!B:B=A119),""MIDDLE"")*6)+(COUNTIF(FILTER(Data!N:N,Data!B:B=A119),""LOW"")*4)) / (COUNTIF(Data!B:B, A119)"&amp;"),"""")"),"")</f>
        <v/>
      </c>
      <c r="Q119" s="31" t="str">
        <f>IFERROR(__xludf.DUMMYFUNCTION("IF(P119="""","""",Average(FIlter(('Convert Name to Number'!$F$422:$Z1000),'Convert Name to Number'!$E$422:$E1000=$A119)))"),"")</f>
        <v/>
      </c>
      <c r="R119" s="36" t="str">
        <f t="shared" si="5"/>
        <v/>
      </c>
      <c r="S119" s="37" t="str">
        <f>IFERROR(__xludf.DUMMYFUNCTION("IFERROR((((COUNTIF(FILTER(Data!N:N,Data!B:B=A119),""TRAVERSE""))+(COUNTIF(FILTER(Data!N:N,Data!B:B=A119),""HIGH""))+(COUNTIF(FILTER(Data!N:N,Data!B:B=A119),""MIDDLE""))+(COUNTIF(FILTER(Data!N:N,Data!B:B=A119),""LOW"")))) / (((COUNTIF(Data!B:B, A119)))-(CO"&amp;"UNTIF(FILTER(Data!N:N,Data!B:B=A119),""NONE""))),IF(ISBLANK(A119),"""",0))"),"")</f>
        <v/>
      </c>
      <c r="T119" s="32" t="str">
        <f>IFERROR(__xludf.DUMMYFUNCTION("IFERROR((COUNTIF(FILTER(Data!N:N, Data!B:B=A119),""LOW"")) / (COUNTIF(Data!B:B, A119)),"""")"),"")</f>
        <v/>
      </c>
      <c r="U119" s="38" t="str">
        <f>IFERROR(__xludf.DUMMYFUNCTION("IFERROR((COUNTIF(FILTER(Data!N:N, Data!B:B=A119),""MIDDLE"")) / (COUNTIF(Data!B:B, A119)),"""")"),"")</f>
        <v/>
      </c>
      <c r="V119" s="38" t="str">
        <f>IFERROR(__xludf.DUMMYFUNCTION("IFERROR((COUNTIF(FILTER(Data!N:N, Data!B:B=A119),""HIGH"")) / (COUNTIF(Data!B:B, A119)),"""")"),"")</f>
        <v/>
      </c>
      <c r="W119" s="38" t="str">
        <f>IFERROR(__xludf.DUMMYFUNCTION("IFERROR((COUNTIF(FILTER(Data!N:N, Data!B:B=A119),""TRAVERSE"")) / (COUNTIF(Data!B:B, A119)),"""")"),"")</f>
        <v/>
      </c>
      <c r="X119" s="39" t="str">
        <f t="shared" si="6"/>
        <v/>
      </c>
      <c r="Y119" s="31" t="str">
        <f t="shared" si="7"/>
        <v/>
      </c>
      <c r="Z119" s="31" t="str">
        <f t="shared" si="8"/>
        <v/>
      </c>
      <c r="AA119" s="41" t="str">
        <f t="shared" si="9"/>
        <v/>
      </c>
      <c r="AB119" s="40" t="str">
        <f t="shared" si="34"/>
        <v/>
      </c>
      <c r="AC119" s="41" t="str">
        <f>IFERROR(__xludf.DUMMYFUNCTION("IF(AA119="""","""",MAX(Filter((Data!G:G+Data!K:K),Data!B:B=A119)))"),"")</f>
        <v/>
      </c>
      <c r="AD119" s="41" t="str">
        <f t="shared" si="11"/>
        <v/>
      </c>
      <c r="AE119" s="41" t="str">
        <f t="shared" si="12"/>
        <v/>
      </c>
      <c r="AF119" s="41" t="str">
        <f t="shared" si="13"/>
        <v/>
      </c>
      <c r="AG119" s="42" t="str">
        <f>IF(A119="","",(((AD119)*Picklist!$P$3)+((K119)*Picklist!$P$4)+(E119*Picklist!$P$5)+(N119*Picklist!$P$6)+(X119*Picklist!$P$7)+(R119*Picklist!$P$8)))</f>
        <v/>
      </c>
      <c r="AH119" s="43" t="str">
        <f>IF(A119="","",(((AD119)*Picklist!$P$14)+((K119)*Picklist!$P$15)+(E119*Picklist!$P$16)+(N119*Picklist!$P$17)+(X119*Picklist!$P$18)+(R119*Picklist!$P$19)))</f>
        <v/>
      </c>
      <c r="AI119" s="44" t="str">
        <f>IFERROR(__xludf.DUMMYFUNCTION("TEXTJOIN("", "",TRUE, FILTER(Data!P:P, Data!B:B=A119))"),"")</f>
        <v/>
      </c>
      <c r="AJ119" s="16" t="str">
        <f t="shared" si="14"/>
        <v/>
      </c>
      <c r="AK119" s="46" t="str">
        <f>IFERROR(__xludf.DUMMYFUNCTION("IF(A119&lt;&gt;"""",IFERROR(AVERAGE(FILTER('Defense Calculations'!BJ:CS,'Defense Calculations'!A:A=A119)),""""),"""")"),"")</f>
        <v/>
      </c>
      <c r="AM119" s="47"/>
      <c r="BB119" s="49">
        <f t="shared" si="16"/>
        <v>0</v>
      </c>
      <c r="BC119" s="50" t="str">
        <f t="shared" si="17"/>
        <v/>
      </c>
    </row>
    <row r="120">
      <c r="A120" s="54"/>
      <c r="B120" s="30" t="str">
        <f>IFERROR(__xludf.DUMMYFUNCTION("IFERROR(ROUND(
(COUNTIF(FILTER(Data!O:O, Data!B:B=A120), ""Win"")
+ COUNTIF(FILTER(Data!O:O, Data!B:B=A120), {""Tie"",""Results""}))
/ (COUNTIF(Data!B:B, A120)),
1),"""")"),"")</f>
        <v/>
      </c>
      <c r="C120" s="31" t="str">
        <f>IFERROR((SUMIF(Data!B:B, A120, Data!H:H)
/ (COUNTIF(Data!B:B, A120)
)),"")</f>
        <v/>
      </c>
      <c r="D120" s="31" t="str">
        <f>IFERROR((SUMIF(Data!B:B, A120, Data!G:G)
/ (COUNTIF(Data!B:B, A120)
)),"")</f>
        <v/>
      </c>
      <c r="E120" s="31" t="str">
        <f t="shared" si="1"/>
        <v/>
      </c>
      <c r="F120" s="31" t="str">
        <f>IFERROR((SUMIF(Data!B:B, A120, Data!J:J)
/ (COUNTIF(Data!B:B, A120)
)),"")</f>
        <v/>
      </c>
      <c r="G120" s="32" t="str">
        <f>IF(A120="","",IFERROR((((((SUMIF(Data!B:B, A120, Data!H:H)+(SUMIF(Data!B:B, A120,Data!G:G)))/(SUMIF(Data!B:B, A120, Data!J:J)))))),0))</f>
        <v/>
      </c>
      <c r="H120" s="32" t="str">
        <f>IFERROR(__xludf.DUMMYFUNCTION("IFERROR(IF(G120="""","""",Average(FILTER(IF(Data!J:J&lt;3,((Data!G:G+Data!H:H)/Data!J:J),1),Data!B:B=A120))),"""")"),"")</f>
        <v/>
      </c>
      <c r="I120" s="31"/>
      <c r="J120" s="31"/>
      <c r="K120" s="31" t="str">
        <f t="shared" si="3"/>
        <v/>
      </c>
      <c r="L120" s="31" t="str">
        <f>IFERROR((SUMIF(Data!B:B, A120, Data!L:L)
/ (COUNTIF(Data!B:B, A120)
)),"")</f>
        <v/>
      </c>
      <c r="M120" s="31" t="str">
        <f>IFERROR((SUMIF(Data!B:B, A120, Data!K:K)
/ (COUNTIF(Data!B:B, A120)
)),"")</f>
        <v/>
      </c>
      <c r="N120" s="34" t="str">
        <f t="shared" si="33"/>
        <v/>
      </c>
      <c r="O120" s="32" t="str">
        <f>IF(A120="","",IFERROR((((((SUMIF(Data!B:B, A120, Data!H:H)+(SUMIF(Data!B:B, A120,Data!G:G)+(SUMIF(Data!B:B, A120,Data!L:L)+(SUMIF(Data!B:B, A120,Data!K:K)))))/(SUMIF(Data!B:B, A120, Data!M:M)+(SUMIF(Data!B:B, A120, Data!H:H)+(SUMIF(Data!B:B, A120,Data!G:G)+(SUMIF(Data!B:B, A120,Data!K:K)+(SUMIF(Data!B:B, A120,Data!L:L)))))))))),0))</f>
        <v/>
      </c>
      <c r="P120" s="35" t="str">
        <f>IFERROR(__xludf.DUMMYFUNCTION("IFERROR(((COUNTIF(FILTER(Data!N:N,Data!B:B=A120),""TRAVERSE"")*15)+(COUNTIF(FILTER(Data!N:N,Data!B:B=A120),""HIGH"")*10)+(COUNTIF(FILTER(Data!N:N,Data!B:B=A120),""MIDDLE"")*6)+(COUNTIF(FILTER(Data!N:N,Data!B:B=A120),""LOW"")*4)) / (COUNTIF(Data!B:B, A120)"&amp;"),"""")"),"")</f>
        <v/>
      </c>
      <c r="Q120" s="31" t="str">
        <f>IFERROR(__xludf.DUMMYFUNCTION("IF(P120="""","""",Average(FIlter(('Convert Name to Number'!$F$422:$Z1000),'Convert Name to Number'!$E$422:$E1000=$A120)))"),"")</f>
        <v/>
      </c>
      <c r="R120" s="36" t="str">
        <f t="shared" si="5"/>
        <v/>
      </c>
      <c r="S120" s="37" t="str">
        <f>IFERROR(__xludf.DUMMYFUNCTION("IFERROR((((COUNTIF(FILTER(Data!N:N,Data!B:B=A120),""TRAVERSE""))+(COUNTIF(FILTER(Data!N:N,Data!B:B=A120),""HIGH""))+(COUNTIF(FILTER(Data!N:N,Data!B:B=A120),""MIDDLE""))+(COUNTIF(FILTER(Data!N:N,Data!B:B=A120),""LOW"")))) / (((COUNTIF(Data!B:B, A120)))-(CO"&amp;"UNTIF(FILTER(Data!N:N,Data!B:B=A120),""NONE""))),IF(ISBLANK(A120),"""",0))"),"")</f>
        <v/>
      </c>
      <c r="T120" s="32" t="str">
        <f>IFERROR(__xludf.DUMMYFUNCTION("IFERROR((COUNTIF(FILTER(Data!N:N, Data!B:B=A120),""LOW"")) / (COUNTIF(Data!B:B, A120)),"""")"),"")</f>
        <v/>
      </c>
      <c r="U120" s="38" t="str">
        <f>IFERROR(__xludf.DUMMYFUNCTION("IFERROR((COUNTIF(FILTER(Data!N:N, Data!B:B=A120),""MIDDLE"")) / (COUNTIF(Data!B:B, A120)),"""")"),"")</f>
        <v/>
      </c>
      <c r="V120" s="38" t="str">
        <f>IFERROR(__xludf.DUMMYFUNCTION("IFERROR((COUNTIF(FILTER(Data!N:N, Data!B:B=A120),""HIGH"")) / (COUNTIF(Data!B:B, A120)),"""")"),"")</f>
        <v/>
      </c>
      <c r="W120" s="38" t="str">
        <f>IFERROR(__xludf.DUMMYFUNCTION("IFERROR((COUNTIF(FILTER(Data!N:N, Data!B:B=A120),""TRAVERSE"")) / (COUNTIF(Data!B:B, A120)),"""")"),"")</f>
        <v/>
      </c>
      <c r="X120" s="39" t="str">
        <f t="shared" si="6"/>
        <v/>
      </c>
      <c r="Y120" s="31" t="str">
        <f t="shared" si="7"/>
        <v/>
      </c>
      <c r="Z120" s="31" t="str">
        <f t="shared" si="8"/>
        <v/>
      </c>
      <c r="AA120" s="41" t="str">
        <f t="shared" si="9"/>
        <v/>
      </c>
      <c r="AB120" s="40" t="str">
        <f t="shared" si="34"/>
        <v/>
      </c>
      <c r="AC120" s="41" t="str">
        <f>IFERROR(__xludf.DUMMYFUNCTION("IF(AA120="""","""",MAX(Filter((Data!G:G+Data!K:K),Data!B:B=A120)))"),"")</f>
        <v/>
      </c>
      <c r="AD120" s="41" t="str">
        <f t="shared" si="11"/>
        <v/>
      </c>
      <c r="AE120" s="41" t="str">
        <f t="shared" si="12"/>
        <v/>
      </c>
      <c r="AF120" s="41" t="str">
        <f t="shared" si="13"/>
        <v/>
      </c>
      <c r="AG120" s="42" t="str">
        <f>IF(A120="","",(((AD120)*Picklist!$P$3)+((K120)*Picklist!$P$4)+(E120*Picklist!$P$5)+(N120*Picklist!$P$6)+(X120*Picklist!$P$7)+(R120*Picklist!$P$8)))</f>
        <v/>
      </c>
      <c r="AH120" s="43" t="str">
        <f>IF(A120="","",(((AD120)*Picklist!$P$14)+((K120)*Picklist!$P$15)+(E120*Picklist!$P$16)+(N120*Picklist!$P$17)+(X120*Picklist!$P$18)+(R120*Picklist!$P$19)))</f>
        <v/>
      </c>
      <c r="AI120" s="44" t="str">
        <f>IFERROR(__xludf.DUMMYFUNCTION("TEXTJOIN("", "",TRUE, FILTER(Data!P:P, Data!B:B=A120))"),"")</f>
        <v/>
      </c>
      <c r="AJ120" s="16" t="str">
        <f t="shared" si="14"/>
        <v/>
      </c>
      <c r="AK120" s="46" t="str">
        <f>IFERROR(__xludf.DUMMYFUNCTION("IF(A120&lt;&gt;"""",IFERROR(AVERAGE(FILTER('Defense Calculations'!BJ:CS,'Defense Calculations'!A:A=A120)),""""),"""")"),"")</f>
        <v/>
      </c>
      <c r="AM120" s="47"/>
      <c r="BB120" s="49">
        <f t="shared" si="16"/>
        <v>0</v>
      </c>
      <c r="BC120" s="50" t="str">
        <f t="shared" si="17"/>
        <v/>
      </c>
    </row>
    <row r="121">
      <c r="A121" s="54"/>
      <c r="B121" s="30" t="str">
        <f>IFERROR(__xludf.DUMMYFUNCTION("IFERROR(ROUND(
(COUNTIF(FILTER(Data!O:O, Data!B:B=A121), ""Win"")
+ COUNTIF(FILTER(Data!O:O, Data!B:B=A121), {""Tie"",""Results""}))
/ (COUNTIF(Data!B:B, A121)),
1),"""")"),"")</f>
        <v/>
      </c>
      <c r="C121" s="31" t="str">
        <f>IFERROR((SUMIF(Data!B:B, A121, Data!H:H)
/ (COUNTIF(Data!B:B, A121)
)),"")</f>
        <v/>
      </c>
      <c r="D121" s="31" t="str">
        <f>IFERROR((SUMIF(Data!B:B, A121, Data!G:G)
/ (COUNTIF(Data!B:B, A121)
)),"")</f>
        <v/>
      </c>
      <c r="E121" s="31" t="str">
        <f t="shared" si="1"/>
        <v/>
      </c>
      <c r="F121" s="31" t="str">
        <f>IFERROR((SUMIF(Data!B:B, A121, Data!J:J)
/ (COUNTIF(Data!B:B, A121)
)),"")</f>
        <v/>
      </c>
      <c r="G121" s="32" t="str">
        <f>IF(A121="","",IFERROR((((((SUMIF(Data!B:B, A121, Data!H:H)+(SUMIF(Data!B:B, A121,Data!G:G)))/(SUMIF(Data!B:B, A121, Data!J:J)))))),0))</f>
        <v/>
      </c>
      <c r="H121" s="32" t="str">
        <f>IFERROR(__xludf.DUMMYFUNCTION("IFERROR(IF(G121="""","""",Average(FILTER(IF(Data!J:J&lt;3,((Data!G:G+Data!H:H)/Data!J:J),1),Data!B:B=A121))),"""")"),"")</f>
        <v/>
      </c>
      <c r="I121" s="31"/>
      <c r="J121" s="31"/>
      <c r="K121" s="31" t="str">
        <f t="shared" si="3"/>
        <v/>
      </c>
      <c r="L121" s="31" t="str">
        <f>IFERROR((SUMIF(Data!B:B, A121, Data!L:L)
/ (COUNTIF(Data!B:B, A121)
)),"")</f>
        <v/>
      </c>
      <c r="M121" s="31" t="str">
        <f>IFERROR((SUMIF(Data!B:B, A121, Data!K:K)
/ (COUNTIF(Data!B:B, A121)
)),"")</f>
        <v/>
      </c>
      <c r="N121" s="34" t="str">
        <f t="shared" si="33"/>
        <v/>
      </c>
      <c r="O121" s="32" t="str">
        <f>IF(A121="","",IFERROR((((((SUMIF(Data!B:B, A121, Data!H:H)+(SUMIF(Data!B:B, A121,Data!G:G)+(SUMIF(Data!B:B, A121,Data!L:L)+(SUMIF(Data!B:B, A121,Data!K:K)))))/(SUMIF(Data!B:B, A121, Data!M:M)+(SUMIF(Data!B:B, A121, Data!H:H)+(SUMIF(Data!B:B, A121,Data!G:G)+(SUMIF(Data!B:B, A121,Data!K:K)+(SUMIF(Data!B:B, A121,Data!L:L)))))))))),0))</f>
        <v/>
      </c>
      <c r="P121" s="35" t="str">
        <f>IFERROR(__xludf.DUMMYFUNCTION("IFERROR(((COUNTIF(FILTER(Data!N:N,Data!B:B=A121),""TRAVERSE"")*15)+(COUNTIF(FILTER(Data!N:N,Data!B:B=A121),""HIGH"")*10)+(COUNTIF(FILTER(Data!N:N,Data!B:B=A121),""MIDDLE"")*6)+(COUNTIF(FILTER(Data!N:N,Data!B:B=A121),""LOW"")*4)) / (COUNTIF(Data!B:B, A121)"&amp;"),"""")"),"")</f>
        <v/>
      </c>
      <c r="Q121" s="31" t="str">
        <f>IFERROR(__xludf.DUMMYFUNCTION("IF(P121="""","""",Average(FIlter(('Convert Name to Number'!$F$422:$Z1000),'Convert Name to Number'!$E$422:$E1000=$A121)))"),"")</f>
        <v/>
      </c>
      <c r="R121" s="36" t="str">
        <f t="shared" si="5"/>
        <v/>
      </c>
      <c r="S121" s="37" t="str">
        <f>IFERROR(__xludf.DUMMYFUNCTION("IFERROR((((COUNTIF(FILTER(Data!N:N,Data!B:B=A121),""TRAVERSE""))+(COUNTIF(FILTER(Data!N:N,Data!B:B=A121),""HIGH""))+(COUNTIF(FILTER(Data!N:N,Data!B:B=A121),""MIDDLE""))+(COUNTIF(FILTER(Data!N:N,Data!B:B=A121),""LOW"")))) / (((COUNTIF(Data!B:B, A121)))-(CO"&amp;"UNTIF(FILTER(Data!N:N,Data!B:B=A121),""NONE""))),IF(ISBLANK(A121),"""",0))"),"")</f>
        <v/>
      </c>
      <c r="T121" s="32" t="str">
        <f>IFERROR(__xludf.DUMMYFUNCTION("IFERROR((COUNTIF(FILTER(Data!N:N, Data!B:B=A121),""LOW"")) / (COUNTIF(Data!B:B, A121)),"""")"),"")</f>
        <v/>
      </c>
      <c r="U121" s="38" t="str">
        <f>IFERROR(__xludf.DUMMYFUNCTION("IFERROR((COUNTIF(FILTER(Data!N:N, Data!B:B=A121),""MIDDLE"")) / (COUNTIF(Data!B:B, A121)),"""")"),"")</f>
        <v/>
      </c>
      <c r="V121" s="38" t="str">
        <f>IFERROR(__xludf.DUMMYFUNCTION("IFERROR((COUNTIF(FILTER(Data!N:N, Data!B:B=A121),""HIGH"")) / (COUNTIF(Data!B:B, A121)),"""")"),"")</f>
        <v/>
      </c>
      <c r="W121" s="38" t="str">
        <f>IFERROR(__xludf.DUMMYFUNCTION("IFERROR((COUNTIF(FILTER(Data!N:N, Data!B:B=A121),""TRAVERSE"")) / (COUNTIF(Data!B:B, A121)),"""")"),"")</f>
        <v/>
      </c>
      <c r="X121" s="39" t="str">
        <f t="shared" si="6"/>
        <v/>
      </c>
      <c r="Y121" s="31" t="str">
        <f t="shared" si="7"/>
        <v/>
      </c>
      <c r="Z121" s="31" t="str">
        <f t="shared" si="8"/>
        <v/>
      </c>
      <c r="AA121" s="41" t="str">
        <f t="shared" si="9"/>
        <v/>
      </c>
      <c r="AB121" s="40" t="str">
        <f t="shared" si="34"/>
        <v/>
      </c>
      <c r="AC121" s="41" t="str">
        <f>IFERROR(__xludf.DUMMYFUNCTION("IF(AA121="""","""",MAX(Filter((Data!G:G+Data!K:K),Data!B:B=A121)))"),"")</f>
        <v/>
      </c>
      <c r="AD121" s="41" t="str">
        <f t="shared" si="11"/>
        <v/>
      </c>
      <c r="AE121" s="41" t="str">
        <f t="shared" si="12"/>
        <v/>
      </c>
      <c r="AF121" s="41" t="str">
        <f t="shared" si="13"/>
        <v/>
      </c>
      <c r="AG121" s="42" t="str">
        <f>IF(A121="","",(((AD121)*Picklist!$P$3)+((K121)*Picklist!$P$4)+(E121*Picklist!$P$5)+(N121*Picklist!$P$6)+(X121*Picklist!$P$7)+(R121*Picklist!$P$8)))</f>
        <v/>
      </c>
      <c r="AH121" s="43" t="str">
        <f>IF(A121="","",(((AD121)*Picklist!$P$14)+((K121)*Picklist!$P$15)+(E121*Picklist!$P$16)+(N121*Picklist!$P$17)+(X121*Picklist!$P$18)+(R121*Picklist!$P$19)))</f>
        <v/>
      </c>
      <c r="AI121" s="44" t="str">
        <f>IFERROR(__xludf.DUMMYFUNCTION("TEXTJOIN("", "",TRUE, FILTER(Data!P:P, Data!B:B=A121))"),"")</f>
        <v/>
      </c>
      <c r="AJ121" s="16" t="str">
        <f t="shared" si="14"/>
        <v/>
      </c>
      <c r="AK121" s="46" t="str">
        <f>IFERROR(__xludf.DUMMYFUNCTION("IF(A121&lt;&gt;"""",IFERROR(AVERAGE(FILTER('Defense Calculations'!BJ:CS,'Defense Calculations'!A:A=A121)),""""),"""")"),"")</f>
        <v/>
      </c>
      <c r="AM121" s="47"/>
      <c r="BB121" s="49">
        <f t="shared" si="16"/>
        <v>0</v>
      </c>
      <c r="BC121" s="50" t="str">
        <f t="shared" si="17"/>
        <v/>
      </c>
    </row>
    <row r="122">
      <c r="A122" s="54"/>
      <c r="B122" s="30" t="str">
        <f>IFERROR(__xludf.DUMMYFUNCTION("IFERROR(ROUND(
(COUNTIF(FILTER(Data!O:O, Data!B:B=A122), ""Win"")
+ COUNTIF(FILTER(Data!O:O, Data!B:B=A122), {""Tie"",""Results""}))
/ (COUNTIF(Data!B:B, A122)),
1),"""")"),"")</f>
        <v/>
      </c>
      <c r="C122" s="31" t="str">
        <f>IFERROR((SUMIF(Data!B:B, A122, Data!H:H)
/ (COUNTIF(Data!B:B, A122)
)),"")</f>
        <v/>
      </c>
      <c r="D122" s="31" t="str">
        <f>IFERROR((SUMIF(Data!B:B, A122, Data!G:G)
/ (COUNTIF(Data!B:B, A122)
)),"")</f>
        <v/>
      </c>
      <c r="E122" s="31" t="str">
        <f t="shared" si="1"/>
        <v/>
      </c>
      <c r="F122" s="31" t="str">
        <f>IFERROR((SUMIF(Data!B:B, A122, Data!J:J)
/ (COUNTIF(Data!B:B, A122)
)),"")</f>
        <v/>
      </c>
      <c r="G122" s="32" t="str">
        <f>IF(A122="","",IFERROR((((((SUMIF(Data!B:B, A122, Data!H:H)+(SUMIF(Data!B:B, A122,Data!G:G)))/(SUMIF(Data!B:B, A122, Data!J:J)))))),0))</f>
        <v/>
      </c>
      <c r="H122" s="32" t="str">
        <f>IFERROR(__xludf.DUMMYFUNCTION("IFERROR(IF(G122="""","""",Average(FILTER(IF(Data!J:J&lt;3,((Data!G:G+Data!H:H)/Data!J:J),1),Data!B:B=A122))),"""")"),"")</f>
        <v/>
      </c>
      <c r="I122" s="31"/>
      <c r="J122" s="31"/>
      <c r="K122" s="31" t="str">
        <f t="shared" si="3"/>
        <v/>
      </c>
      <c r="L122" s="31" t="str">
        <f>IFERROR((SUMIF(Data!B:B, A122, Data!L:L)
/ (COUNTIF(Data!B:B, A122)
)),"")</f>
        <v/>
      </c>
      <c r="M122" s="31" t="str">
        <f>IFERROR((SUMIF(Data!B:B, A122, Data!K:K)
/ (COUNTIF(Data!B:B, A122)
)),"")</f>
        <v/>
      </c>
      <c r="N122" s="34" t="str">
        <f t="shared" si="33"/>
        <v/>
      </c>
      <c r="O122" s="32" t="str">
        <f>IF(A122="","",IFERROR((((((SUMIF(Data!B:B, A122, Data!H:H)+(SUMIF(Data!B:B, A122,Data!G:G)+(SUMIF(Data!B:B, A122,Data!L:L)+(SUMIF(Data!B:B, A122,Data!K:K)))))/(SUMIF(Data!B:B, A122, Data!M:M)+(SUMIF(Data!B:B, A122, Data!H:H)+(SUMIF(Data!B:B, A122,Data!G:G)+(SUMIF(Data!B:B, A122,Data!K:K)+(SUMIF(Data!B:B, A122,Data!L:L)))))))))),0))</f>
        <v/>
      </c>
      <c r="P122" s="35" t="str">
        <f>IFERROR(__xludf.DUMMYFUNCTION("IFERROR(((COUNTIF(FILTER(Data!N:N,Data!B:B=A122),""TRAVERSE"")*15)+(COUNTIF(FILTER(Data!N:N,Data!B:B=A122),""HIGH"")*10)+(COUNTIF(FILTER(Data!N:N,Data!B:B=A122),""MIDDLE"")*6)+(COUNTIF(FILTER(Data!N:N,Data!B:B=A122),""LOW"")*4)) / (COUNTIF(Data!B:B, A122)"&amp;"),"""")"),"")</f>
        <v/>
      </c>
      <c r="Q122" s="31" t="str">
        <f>IFERROR(__xludf.DUMMYFUNCTION("IF(P122="""","""",Average(FIlter(('Convert Name to Number'!$F$422:$H1000),'Convert Name to Number'!$E$422:$E1000=$A122)))"),"")</f>
        <v/>
      </c>
      <c r="R122" s="36" t="str">
        <f t="shared" si="5"/>
        <v/>
      </c>
      <c r="S122" s="37" t="str">
        <f>IFERROR(__xludf.DUMMYFUNCTION("IFERROR((((COUNTIF(FILTER(Data!N:N,Data!B:B=A122),""TRAVERSE""))+(COUNTIF(FILTER(Data!N:N,Data!B:B=A122),""HIGH""))+(COUNTIF(FILTER(Data!N:N,Data!B:B=A122),""MIDDLE""))+(COUNTIF(FILTER(Data!N:N,Data!B:B=A122),""LOW"")))) / (((COUNTIF(Data!B:B, A122)))-(CO"&amp;"UNTIF(FILTER(Data!N:N,Data!B:B=A122),""NONE""))),IF(ISBLANK(A122),"""",0))"),"")</f>
        <v/>
      </c>
      <c r="T122" s="32" t="str">
        <f>IFERROR(__xludf.DUMMYFUNCTION("IFERROR((COUNTIF(FILTER(Data!N:N, Data!B:B=A122),""LOW"")) / (COUNTIF(Data!B:B, A122)),"""")"),"")</f>
        <v/>
      </c>
      <c r="U122" s="38" t="str">
        <f>IFERROR(__xludf.DUMMYFUNCTION("IFERROR((COUNTIF(FILTER(Data!N:N, Data!B:B=A122),""MIDDLE"")) / (COUNTIF(Data!B:B, A122)),"""")"),"")</f>
        <v/>
      </c>
      <c r="V122" s="38" t="str">
        <f>IFERROR(__xludf.DUMMYFUNCTION("IFERROR((COUNTIF(FILTER(Data!N:N, Data!B:B=A122),""HIGH"")) / (COUNTIF(Data!B:B, A122)),"""")"),"")</f>
        <v/>
      </c>
      <c r="W122" s="38" t="str">
        <f>IFERROR(__xludf.DUMMYFUNCTION("IFERROR((COUNTIF(FILTER(Data!N:N, Data!B:B=A122),""TRAVERSE"")) / (COUNTIF(Data!B:B, A122)),"""")"),"")</f>
        <v/>
      </c>
      <c r="X122" s="39" t="str">
        <f t="shared" si="6"/>
        <v/>
      </c>
      <c r="Y122" s="31" t="str">
        <f t="shared" si="7"/>
        <v/>
      </c>
      <c r="Z122" s="31" t="str">
        <f t="shared" si="8"/>
        <v/>
      </c>
      <c r="AA122" s="41" t="str">
        <f t="shared" si="9"/>
        <v/>
      </c>
      <c r="AB122" s="40" t="str">
        <f t="shared" si="34"/>
        <v/>
      </c>
      <c r="AC122" s="41" t="str">
        <f>IFERROR(__xludf.DUMMYFUNCTION("IF(AA122="""","""",MAX(Filter((Data!G:G+Data!K:K),Data!B:B=A122)))"),"")</f>
        <v/>
      </c>
      <c r="AD122" s="41" t="str">
        <f t="shared" si="11"/>
        <v/>
      </c>
      <c r="AE122" s="41" t="str">
        <f t="shared" si="12"/>
        <v/>
      </c>
      <c r="AF122" s="41" t="str">
        <f t="shared" si="13"/>
        <v/>
      </c>
      <c r="AG122" s="42" t="str">
        <f>IF(A122="","",(((AD122)*Picklist!$P$3)+((K122)*Picklist!$P$4)+(E122*Picklist!$P$5)+(N122*Picklist!$P$6)+(X122*Picklist!$P$7)+(R122*Picklist!$P$8)))</f>
        <v/>
      </c>
      <c r="AH122" s="43" t="str">
        <f>IF(A122="","",(((AD122)*Picklist!$P$14)+((K122)*Picklist!$P$15)+(E122*Picklist!$P$16)+(N122*Picklist!$P$17)+(X122*Picklist!$P$18)+(R122*Picklist!$P$19)))</f>
        <v/>
      </c>
      <c r="AI122" s="44" t="str">
        <f>IFERROR(__xludf.DUMMYFUNCTION("TEXTJOIN("", "",TRUE, FILTER(Data!P:P, Data!B:B=A122))"),"")</f>
        <v/>
      </c>
      <c r="AJ122" s="16" t="str">
        <f t="shared" si="14"/>
        <v/>
      </c>
      <c r="AK122" s="46" t="str">
        <f>IFERROR(__xludf.DUMMYFUNCTION("IF(A122&lt;&gt;"""",IFERROR(AVERAGE(FILTER('Defense Calculations'!BJ:CS,'Defense Calculations'!A:A=A122)),""""),"""")"),"")</f>
        <v/>
      </c>
      <c r="AM122" s="47"/>
      <c r="BC122" s="50"/>
    </row>
    <row r="123">
      <c r="A123" s="54"/>
      <c r="B123" s="30" t="str">
        <f>IFERROR(__xludf.DUMMYFUNCTION("IFERROR(ROUND(
(COUNTIF(FILTER(Data!O:O, Data!B:B=A123), ""Win"")
+ COUNTIF(FILTER(Data!O:O, Data!B:B=A123), {""Tie"",""Results""}))
/ (COUNTIF(Data!B:B, A123)),
1),"""")"),"")</f>
        <v/>
      </c>
      <c r="C123" s="31" t="str">
        <f>IFERROR((SUMIF(Data!B:B, A123, Data!H:H)
/ (COUNTIF(Data!B:B, A123)
)),"")</f>
        <v/>
      </c>
      <c r="D123" s="31" t="str">
        <f>IFERROR((SUMIF(Data!B:B, A123, Data!G:G)
/ (COUNTIF(Data!B:B, A123)
)),"")</f>
        <v/>
      </c>
      <c r="E123" s="31" t="str">
        <f t="shared" si="1"/>
        <v/>
      </c>
      <c r="F123" s="31" t="str">
        <f>IFERROR((SUMIF(Data!B:B, A123, Data!J:J)
/ (COUNTIF(Data!B:B, A123)
)),"")</f>
        <v/>
      </c>
      <c r="G123" s="32" t="str">
        <f>IF(A123="","",IFERROR((((((SUMIF(Data!B:B, A123, Data!H:H)+(SUMIF(Data!B:B, A123,Data!G:G)))/(SUMIF(Data!B:B, A123, Data!J:J)))))),0))</f>
        <v/>
      </c>
      <c r="H123" s="32" t="str">
        <f>IFERROR(__xludf.DUMMYFUNCTION("IFERROR(IF(G123="""","""",Average(FILTER(IF(Data!J:J&lt;3,((Data!G:G+Data!H:H)/Data!J:J),1),Data!B:B=A123))),"""")"),"")</f>
        <v/>
      </c>
      <c r="I123" s="31"/>
      <c r="J123" s="31"/>
      <c r="K123" s="31" t="str">
        <f t="shared" si="3"/>
        <v/>
      </c>
      <c r="L123" s="31" t="str">
        <f>IFERROR((SUMIF(Data!B:B, A123, Data!L:L)
/ (COUNTIF(Data!B:B, A123)
)),"")</f>
        <v/>
      </c>
      <c r="M123" s="31" t="str">
        <f>IFERROR((SUMIF(Data!B:B, A123, Data!K:K)
/ (COUNTIF(Data!B:B, A123)
)),"")</f>
        <v/>
      </c>
      <c r="N123" s="34" t="str">
        <f t="shared" si="33"/>
        <v/>
      </c>
      <c r="O123" s="32" t="str">
        <f>IF(A123="","",IFERROR((((((SUMIF(Data!B:B, A123, Data!H:H)+(SUMIF(Data!B:B, A123,Data!G:G)+(SUMIF(Data!B:B, A123,Data!L:L)+(SUMIF(Data!B:B, A123,Data!K:K)))))/(SUMIF(Data!B:B, A123, Data!M:M)+(SUMIF(Data!B:B, A123, Data!H:H)+(SUMIF(Data!B:B, A123,Data!G:G)+(SUMIF(Data!B:B, A123,Data!K:K)+(SUMIF(Data!B:B, A123,Data!L:L)))))))))),0))</f>
        <v/>
      </c>
      <c r="P123" s="35" t="str">
        <f>IFERROR(__xludf.DUMMYFUNCTION("IFERROR(((COUNTIF(FILTER(Data!N:N,Data!B:B=A123),""TRAVERSE"")*15)+(COUNTIF(FILTER(Data!N:N,Data!B:B=A123),""HIGH"")*10)+(COUNTIF(FILTER(Data!N:N,Data!B:B=A123),""MIDDLE"")*6)+(COUNTIF(FILTER(Data!N:N,Data!B:B=A123),""LOW"")*4)) / (COUNTIF(Data!B:B, A123)"&amp;"),"""")"),"")</f>
        <v/>
      </c>
      <c r="Q123" s="31" t="str">
        <f>IFERROR(__xludf.DUMMYFUNCTION("IF(P123="""","""",Average(FIlter(('Convert Name to Number'!$F$422:$H1000),'Convert Name to Number'!$E$422:$E1000=$A123)))"),"")</f>
        <v/>
      </c>
      <c r="R123" s="36" t="str">
        <f t="shared" si="5"/>
        <v/>
      </c>
      <c r="S123" s="37" t="str">
        <f>IFERROR(__xludf.DUMMYFUNCTION("IFERROR((((COUNTIF(FILTER(Data!N:N,Data!B:B=A123),""TRAVERSE""))+(COUNTIF(FILTER(Data!N:N,Data!B:B=A123),""HIGH""))+(COUNTIF(FILTER(Data!N:N,Data!B:B=A123),""MIDDLE""))+(COUNTIF(FILTER(Data!N:N,Data!B:B=A123),""LOW"")))) / (((COUNTIF(Data!B:B, A123)))-(CO"&amp;"UNTIF(FILTER(Data!N:N,Data!B:B=A123),""NONE""))),IF(ISBLANK(A123),"""",0))"),"")</f>
        <v/>
      </c>
      <c r="T123" s="32" t="str">
        <f>IFERROR(__xludf.DUMMYFUNCTION("IFERROR((COUNTIF(FILTER(Data!N:N, Data!B:B=A123),""LOW"")) / (COUNTIF(Data!B:B, A123)),"""")"),"")</f>
        <v/>
      </c>
      <c r="U123" s="38" t="str">
        <f>IFERROR(__xludf.DUMMYFUNCTION("IFERROR((COUNTIF(FILTER(Data!N:N, Data!B:B=A123),""MIDDLE"")) / (COUNTIF(Data!B:B, A123)),"""")"),"")</f>
        <v/>
      </c>
      <c r="V123" s="38" t="str">
        <f>IFERROR(__xludf.DUMMYFUNCTION("IFERROR((COUNTIF(FILTER(Data!N:N, Data!B:B=A123),""HIGH"")) / (COUNTIF(Data!B:B, A123)),"""")"),"")</f>
        <v/>
      </c>
      <c r="W123" s="38" t="str">
        <f>IFERROR(__xludf.DUMMYFUNCTION("IFERROR((COUNTIF(FILTER(Data!N:N, Data!B:B=A123),""TRAVERSE"")) / (COUNTIF(Data!B:B, A123)),"""")"),"")</f>
        <v/>
      </c>
      <c r="X123" s="39" t="str">
        <f t="shared" si="6"/>
        <v/>
      </c>
      <c r="Y123" s="31" t="str">
        <f t="shared" si="7"/>
        <v/>
      </c>
      <c r="Z123" s="31" t="str">
        <f t="shared" si="8"/>
        <v/>
      </c>
      <c r="AA123" s="41" t="str">
        <f t="shared" si="9"/>
        <v/>
      </c>
      <c r="AB123" s="40" t="str">
        <f t="shared" si="34"/>
        <v/>
      </c>
      <c r="AC123" s="41" t="str">
        <f>IFERROR(__xludf.DUMMYFUNCTION("IF(AA123="""","""",MAX(Filter((Data!G:G+Data!K:K),Data!B:B=A123)))"),"")</f>
        <v/>
      </c>
      <c r="AD123" s="41" t="str">
        <f t="shared" si="11"/>
        <v/>
      </c>
      <c r="AE123" s="41" t="str">
        <f t="shared" si="12"/>
        <v/>
      </c>
      <c r="AF123" s="41" t="str">
        <f t="shared" si="13"/>
        <v/>
      </c>
      <c r="AG123" s="42" t="str">
        <f>IF(A123="","",(((AD123)*Picklist!$P$3)+((K123)*Picklist!$P$4)+(E123*Picklist!$P$5)+(N123*Picklist!$P$6)+(X123*Picklist!$P$7)+(R123*Picklist!$P$8)))</f>
        <v/>
      </c>
      <c r="AH123" s="43" t="str">
        <f>IF(A123="","",(((AD123)*Picklist!$P$14)+((K123)*Picklist!$P$15)+(E123*Picklist!$P$16)+(N123*Picklist!$P$17)+(X123*Picklist!$P$18)+(R123*Picklist!$P$19)))</f>
        <v/>
      </c>
      <c r="AI123" s="44" t="str">
        <f>IFERROR(__xludf.DUMMYFUNCTION("TEXTJOIN("", "",TRUE, FILTER(Data!P:P, Data!B:B=A123))"),"")</f>
        <v/>
      </c>
      <c r="AJ123" s="16" t="str">
        <f t="shared" si="14"/>
        <v/>
      </c>
      <c r="AK123" s="46" t="str">
        <f>IFERROR(__xludf.DUMMYFUNCTION("IF(A123&lt;&gt;"""",IFERROR(AVERAGE(FILTER('Defense Calculations'!BJ:CS,'Defense Calculations'!A:A=A123)),""""),"""")"),"")</f>
        <v/>
      </c>
      <c r="AM123" s="47"/>
      <c r="BC123" s="50" t="str">
        <f t="shared" ref="BC123:BC135" si="35">A123</f>
        <v/>
      </c>
    </row>
    <row r="124">
      <c r="A124" s="54"/>
      <c r="B124" s="30" t="str">
        <f>IFERROR(__xludf.DUMMYFUNCTION("IFERROR(ROUND(
(COUNTIF(FILTER(Data!O:O, Data!B:B=A124), ""Win"")
+ COUNTIF(FILTER(Data!O:O, Data!B:B=A124), {""Tie"",""Results""}))
/ (COUNTIF(Data!B:B, A124)),
1),"""")"),"")</f>
        <v/>
      </c>
      <c r="C124" s="31" t="str">
        <f>IFERROR((SUMIF(Data!B:B, A124, Data!H:H)
/ (COUNTIF(Data!B:B, A124)
)),"")</f>
        <v/>
      </c>
      <c r="D124" s="31" t="str">
        <f>IFERROR((SUMIF(Data!B:B, A124, Data!G:G)
/ (COUNTIF(Data!B:B, A124)
)),"")</f>
        <v/>
      </c>
      <c r="E124" s="31" t="str">
        <f t="shared" si="1"/>
        <v/>
      </c>
      <c r="F124" s="31" t="str">
        <f>IFERROR((SUMIF(Data!B:B, A124, Data!J:J)
/ (COUNTIF(Data!B:B, A124)
)),"")</f>
        <v/>
      </c>
      <c r="G124" s="32" t="str">
        <f>IF(A124="","",IFERROR((((((SUMIF(Data!B:B, A124, Data!H:H)+(SUMIF(Data!B:B, A124,Data!G:G)))/(SUMIF(Data!B:B, A124, Data!J:J)))))),0))</f>
        <v/>
      </c>
      <c r="H124" s="32" t="str">
        <f>IFERROR(__xludf.DUMMYFUNCTION("IFERROR(IF(G124="""","""",Average(FILTER(IF(Data!J:J&lt;3,((Data!G:G+Data!H:H)/Data!J:J),1),Data!B:B=A124))),"""")"),"")</f>
        <v/>
      </c>
      <c r="I124" s="31"/>
      <c r="J124" s="31"/>
      <c r="K124" s="31" t="str">
        <f t="shared" si="3"/>
        <v/>
      </c>
      <c r="L124" s="31" t="str">
        <f>IFERROR((SUMIF(Data!B:B, A124, Data!L:L)
/ (COUNTIF(Data!B:B, A124)
)),"")</f>
        <v/>
      </c>
      <c r="M124" s="31" t="str">
        <f>IFERROR((SUMIF(Data!B:B, A124, Data!K:K)
/ (COUNTIF(Data!B:B, A124)
)),"")</f>
        <v/>
      </c>
      <c r="N124" s="34" t="str">
        <f t="shared" si="33"/>
        <v/>
      </c>
      <c r="O124" s="32" t="str">
        <f>IF(A124="","",IFERROR((((((SUMIF(Data!B:B, A124, Data!H:H)+(SUMIF(Data!B:B, A124,Data!G:G)+(SUMIF(Data!B:B, A124,Data!L:L)+(SUMIF(Data!B:B, A124,Data!K:K)))))/(SUMIF(Data!B:B, A124, Data!M:M)+(SUMIF(Data!B:B, A124, Data!H:H)+(SUMIF(Data!B:B, A124,Data!G:G)+(SUMIF(Data!B:B, A124,Data!K:K)+(SUMIF(Data!B:B, A124,Data!L:L)))))))))),0))</f>
        <v/>
      </c>
      <c r="P124" s="35" t="str">
        <f>IFERROR(__xludf.DUMMYFUNCTION("IFERROR(((COUNTIF(FILTER(Data!N:N,Data!B:B=A124),""TRAVERSE"")*15)+(COUNTIF(FILTER(Data!N:N,Data!B:B=A124),""HIGH"")*10)+(COUNTIF(FILTER(Data!N:N,Data!B:B=A124),""MIDDLE"")*6)+(COUNTIF(FILTER(Data!N:N,Data!B:B=A124),""LOW"")*4)) / (COUNTIF(Data!B:B, A124)"&amp;"),"""")"),"")</f>
        <v/>
      </c>
      <c r="Q124" s="31" t="str">
        <f>IFERROR(__xludf.DUMMYFUNCTION("IF(P124="""","""",Average(FIlter(('Convert Name to Number'!$F$422:$H1000),'Convert Name to Number'!$E$422:$E1000=$A124)))"),"")</f>
        <v/>
      </c>
      <c r="R124" s="36" t="str">
        <f t="shared" si="5"/>
        <v/>
      </c>
      <c r="S124" s="37" t="str">
        <f>IFERROR(__xludf.DUMMYFUNCTION("IFERROR((((COUNTIF(FILTER(Data!N:N,Data!B:B=A124),""TRAVERSE""))+(COUNTIF(FILTER(Data!N:N,Data!B:B=A124),""HIGH""))+(COUNTIF(FILTER(Data!N:N,Data!B:B=A124),""MIDDLE""))+(COUNTIF(FILTER(Data!N:N,Data!B:B=A124),""LOW"")))) / (((COUNTIF(Data!B:B, A124)))-(CO"&amp;"UNTIF(FILTER(Data!N:N,Data!B:B=A124),""NONE""))),IF(ISBLANK(A124),"""",0))"),"")</f>
        <v/>
      </c>
      <c r="T124" s="32" t="str">
        <f>IFERROR(__xludf.DUMMYFUNCTION("IFERROR((COUNTIF(FILTER(Data!N:N, Data!B:B=A124),""LOW"")) / (COUNTIF(Data!B:B, A124)),"""")"),"")</f>
        <v/>
      </c>
      <c r="U124" s="38" t="str">
        <f>IFERROR(__xludf.DUMMYFUNCTION("IFERROR((COUNTIF(FILTER(Data!N:N, Data!B:B=A124),""MIDDLE"")) / (COUNTIF(Data!B:B, A124)),"""")"),"")</f>
        <v/>
      </c>
      <c r="V124" s="38" t="str">
        <f>IFERROR(__xludf.DUMMYFUNCTION("IFERROR((COUNTIF(FILTER(Data!N:N, Data!B:B=A124),""HIGH"")) / (COUNTIF(Data!B:B, A124)),"""")"),"")</f>
        <v/>
      </c>
      <c r="W124" s="38" t="str">
        <f>IFERROR(__xludf.DUMMYFUNCTION("IFERROR((COUNTIF(FILTER(Data!N:N, Data!B:B=A124),""TRAVERSE"")) / (COUNTIF(Data!B:B, A124)),"""")"),"")</f>
        <v/>
      </c>
      <c r="X124" s="39" t="str">
        <f t="shared" si="6"/>
        <v/>
      </c>
      <c r="Y124" s="31" t="str">
        <f t="shared" si="7"/>
        <v/>
      </c>
      <c r="Z124" s="31" t="str">
        <f t="shared" si="8"/>
        <v/>
      </c>
      <c r="AA124" s="41" t="str">
        <f t="shared" si="9"/>
        <v/>
      </c>
      <c r="AB124" s="40" t="str">
        <f t="shared" si="34"/>
        <v/>
      </c>
      <c r="AC124" s="41" t="str">
        <f>IFERROR(__xludf.DUMMYFUNCTION("IF(AA124="""","""",MAX(Filter((Data!G:G+Data!K:K),Data!B:B=A124)))"),"")</f>
        <v/>
      </c>
      <c r="AD124" s="41" t="str">
        <f t="shared" si="11"/>
        <v/>
      </c>
      <c r="AE124" s="41" t="str">
        <f t="shared" si="12"/>
        <v/>
      </c>
      <c r="AF124" s="41" t="str">
        <f t="shared" si="13"/>
        <v/>
      </c>
      <c r="AG124" s="42" t="str">
        <f>IF(A124="","",(((AD124)*Picklist!$P$3)+((K124)*Picklist!$P$4)+(E124*Picklist!$P$5)+(N124*Picklist!$P$6)+(X124*Picklist!$P$7)+(R124*Picklist!$P$8)))</f>
        <v/>
      </c>
      <c r="AH124" s="43" t="str">
        <f>IF(A124="","",(((AD124)*Picklist!$P$14)+((K124)*Picklist!$P$15)+(E124*Picklist!$P$16)+(N124*Picklist!$P$17)+(X124*Picklist!$P$18)+(R124*Picklist!$P$19)))</f>
        <v/>
      </c>
      <c r="AI124" s="44" t="str">
        <f>IFERROR(__xludf.DUMMYFUNCTION("TEXTJOIN("", "",TRUE, FILTER(Data!P:P, Data!B:B=A124))"),"")</f>
        <v/>
      </c>
      <c r="AJ124" s="16" t="str">
        <f t="shared" si="14"/>
        <v/>
      </c>
      <c r="AK124" s="46" t="str">
        <f>IFERROR(__xludf.DUMMYFUNCTION("IF(A124&lt;&gt;"""",IFERROR(AVERAGE(FILTER('Defense Calculations'!BJ:CS,'Defense Calculations'!A:A=A124)),""""),"""")"),"")</f>
        <v/>
      </c>
      <c r="AM124" s="47"/>
      <c r="BC124" s="50" t="str">
        <f t="shared" si="35"/>
        <v/>
      </c>
    </row>
    <row r="125">
      <c r="A125" s="54"/>
      <c r="B125" s="30" t="str">
        <f>IFERROR(__xludf.DUMMYFUNCTION("IFERROR(ROUND(
(COUNTIF(FILTER(Data!O:O, Data!B:B=A125), ""Win"")
+ COUNTIF(FILTER(Data!O:O, Data!B:B=A125), {""Tie"",""Results""}))
/ (COUNTIF(Data!B:B, A125)),
1),"""")"),"")</f>
        <v/>
      </c>
      <c r="C125" s="31" t="str">
        <f>IFERROR((SUMIF(Data!B:B, A125, Data!H:H)
/ (COUNTIF(Data!B:B, A125)
)),"")</f>
        <v/>
      </c>
      <c r="D125" s="31" t="str">
        <f>IFERROR((SUMIF(Data!B:B, A125, Data!G:G)
/ (COUNTIF(Data!B:B, A125)
)),"")</f>
        <v/>
      </c>
      <c r="E125" s="31" t="str">
        <f t="shared" si="1"/>
        <v/>
      </c>
      <c r="F125" s="31" t="str">
        <f>IFERROR((SUMIF(Data!B:B, A125, Data!J:J)
/ (COUNTIF(Data!B:B, A125)
)),"")</f>
        <v/>
      </c>
      <c r="G125" s="32" t="str">
        <f>IF(A125="","",IFERROR((((((SUMIF(Data!B:B, A125, Data!H:H)+(SUMIF(Data!B:B, A125,Data!G:G)))/(SUMIF(Data!B:B, A125, Data!J:J)))))),0))</f>
        <v/>
      </c>
      <c r="H125" s="32" t="str">
        <f>IFERROR(__xludf.DUMMYFUNCTION("IFERROR(IF(G125="""","""",Average(FILTER(IF(Data!J:J&lt;3,((Data!G:G+Data!H:H)/Data!J:J),1),Data!B:B=A125))),"""")"),"")</f>
        <v/>
      </c>
      <c r="I125" s="31"/>
      <c r="J125" s="31"/>
      <c r="K125" s="31" t="str">
        <f t="shared" si="3"/>
        <v/>
      </c>
      <c r="L125" s="31" t="str">
        <f>IFERROR((SUMIF(Data!B:B, A125, Data!L:L)
/ (COUNTIF(Data!B:B, A125)
)),"")</f>
        <v/>
      </c>
      <c r="M125" s="31" t="str">
        <f>IFERROR((SUMIF(Data!B:B, A125, Data!K:K)
/ (COUNTIF(Data!B:B, A125)
)),"")</f>
        <v/>
      </c>
      <c r="N125" s="34" t="str">
        <f t="shared" si="33"/>
        <v/>
      </c>
      <c r="O125" s="32" t="str">
        <f>IF(A125="","",IFERROR((((((SUMIF(Data!B:B, A125, Data!H:H)+(SUMIF(Data!B:B, A125,Data!G:G)+(SUMIF(Data!B:B, A125,Data!L:L)+(SUMIF(Data!B:B, A125,Data!K:K)))))/(SUMIF(Data!B:B, A125, Data!M:M)+(SUMIF(Data!B:B, A125, Data!H:H)+(SUMIF(Data!B:B, A125,Data!G:G)+(SUMIF(Data!B:B, A125,Data!K:K)+(SUMIF(Data!B:B, A125,Data!L:L)))))))))),0))</f>
        <v/>
      </c>
      <c r="P125" s="35" t="str">
        <f>IFERROR(__xludf.DUMMYFUNCTION("IFERROR(((COUNTIF(FILTER(Data!N:N,Data!B:B=A125),""TRAVERSE"")*15)+(COUNTIF(FILTER(Data!N:N,Data!B:B=A125),""HIGH"")*10)+(COUNTIF(FILTER(Data!N:N,Data!B:B=A125),""MIDDLE"")*6)+(COUNTIF(FILTER(Data!N:N,Data!B:B=A125),""LOW"")*4)) / (COUNTIF(Data!B:B, A125)"&amp;"),"""")"),"")</f>
        <v/>
      </c>
      <c r="Q125" s="31" t="str">
        <f>IFERROR(__xludf.DUMMYFUNCTION("IF(P125="""","""",Average(FIlter(('Convert Name to Number'!$F$422:$H1000),'Convert Name to Number'!$E$422:$E1000=$A125)))"),"")</f>
        <v/>
      </c>
      <c r="R125" s="36" t="str">
        <f t="shared" si="5"/>
        <v/>
      </c>
      <c r="S125" s="37" t="str">
        <f>IFERROR(__xludf.DUMMYFUNCTION("IFERROR((((COUNTIF(FILTER(Data!N:N,Data!B:B=A125),""TRAVERSE""))+(COUNTIF(FILTER(Data!N:N,Data!B:B=A125),""HIGH""))+(COUNTIF(FILTER(Data!N:N,Data!B:B=A125),""MIDDLE""))+(COUNTIF(FILTER(Data!N:N,Data!B:B=A125),""LOW"")))) / (((COUNTIF(Data!B:B, A125)))-(CO"&amp;"UNTIF(FILTER(Data!N:N,Data!B:B=A125),""NONE""))),IF(ISBLANK(A125),"""",0))"),"")</f>
        <v/>
      </c>
      <c r="T125" s="32" t="str">
        <f>IFERROR(__xludf.DUMMYFUNCTION("IFERROR((COUNTIF(FILTER(Data!N:N, Data!B:B=A125),""LOW"")) / (COUNTIF(Data!B:B, A125)),"""")"),"")</f>
        <v/>
      </c>
      <c r="U125" s="38" t="str">
        <f>IFERROR(__xludf.DUMMYFUNCTION("IFERROR((COUNTIF(FILTER(Data!N:N, Data!B:B=A125),""MIDDLE"")) / (COUNTIF(Data!B:B, A125)),"""")"),"")</f>
        <v/>
      </c>
      <c r="V125" s="38" t="str">
        <f>IFERROR(__xludf.DUMMYFUNCTION("IFERROR((COUNTIF(FILTER(Data!N:N, Data!B:B=A125),""HIGH"")) / (COUNTIF(Data!B:B, A125)),"""")"),"")</f>
        <v/>
      </c>
      <c r="W125" s="38" t="str">
        <f>IFERROR(__xludf.DUMMYFUNCTION("IFERROR((COUNTIF(FILTER(Data!N:N, Data!B:B=A125),""TRAVERSE"")) / (COUNTIF(Data!B:B, A125)),"""")"),"")</f>
        <v/>
      </c>
      <c r="X125" s="39" t="str">
        <f t="shared" si="6"/>
        <v/>
      </c>
      <c r="Y125" s="31" t="str">
        <f t="shared" si="7"/>
        <v/>
      </c>
      <c r="Z125" s="31" t="str">
        <f t="shared" si="8"/>
        <v/>
      </c>
      <c r="AA125" s="41" t="str">
        <f t="shared" si="9"/>
        <v/>
      </c>
      <c r="AB125" s="40" t="str">
        <f t="shared" si="34"/>
        <v/>
      </c>
      <c r="AC125" s="41" t="str">
        <f>IFERROR(__xludf.DUMMYFUNCTION("IF(AA125="""","""",MAX(Filter((Data!G:G+Data!K:K),Data!B:B=A125)))"),"")</f>
        <v/>
      </c>
      <c r="AD125" s="41" t="str">
        <f t="shared" si="11"/>
        <v/>
      </c>
      <c r="AE125" s="41" t="str">
        <f t="shared" si="12"/>
        <v/>
      </c>
      <c r="AF125" s="41" t="str">
        <f t="shared" si="13"/>
        <v/>
      </c>
      <c r="AG125" s="42" t="str">
        <f>IF(A125="","",(((AD125)*Picklist!$P$3)+((K125)*Picklist!$P$4)+(E125*Picklist!$P$5)+(N125*Picklist!$P$6)+(X125*Picklist!$P$7)+(R125*Picklist!$P$8)))</f>
        <v/>
      </c>
      <c r="AH125" s="43" t="str">
        <f>IF(A125="","",(((AD125)*Picklist!$P$14)+((K125)*Picklist!$P$15)+(E125*Picklist!$P$16)+(N125*Picklist!$P$17)+(X125*Picklist!$P$18)+(R125*Picklist!$P$19)))</f>
        <v/>
      </c>
      <c r="AI125" s="44" t="str">
        <f>IFERROR(__xludf.DUMMYFUNCTION("TEXTJOIN("", "",TRUE, FILTER(Data!P:P, Data!B:B=A125))"),"")</f>
        <v/>
      </c>
      <c r="AJ125" s="16" t="str">
        <f t="shared" si="14"/>
        <v/>
      </c>
      <c r="AK125" s="46" t="str">
        <f>IFERROR(__xludf.DUMMYFUNCTION("IF(A125&lt;&gt;"""",IFERROR(AVERAGE(FILTER('Defense Calculations'!BJ:CS,'Defense Calculations'!A:A=A125)),""""),"""")"),"")</f>
        <v/>
      </c>
      <c r="AM125" s="47"/>
      <c r="BC125" s="50" t="str">
        <f t="shared" si="35"/>
        <v/>
      </c>
    </row>
    <row r="126">
      <c r="A126" s="54"/>
      <c r="B126" s="30" t="str">
        <f>IFERROR(__xludf.DUMMYFUNCTION("IFERROR(ROUND(
(COUNTIF(FILTER(Data!O:O, Data!B:B=A126), ""Win"")
+ COUNTIF(FILTER(Data!O:O, Data!B:B=A126), {""Tie"",""Results""}))
/ (COUNTIF(Data!B:B, A126)),
1),"""")"),"")</f>
        <v/>
      </c>
      <c r="C126" s="31" t="str">
        <f>IFERROR((SUMIF(Data!B:B, A126, Data!H:H)
/ (COUNTIF(Data!B:B, A126)
)),"")</f>
        <v/>
      </c>
      <c r="D126" s="31" t="str">
        <f>IFERROR((SUMIF(Data!B:B, A126, Data!G:G)
/ (COUNTIF(Data!B:B, A126)
)),"")</f>
        <v/>
      </c>
      <c r="E126" s="31" t="str">
        <f t="shared" si="1"/>
        <v/>
      </c>
      <c r="F126" s="31" t="str">
        <f>IFERROR((SUMIF(Data!B:B, A126, Data!J:J)
/ (COUNTIF(Data!B:B, A126)
)),"")</f>
        <v/>
      </c>
      <c r="G126" s="32" t="str">
        <f>IF(A126="","",IFERROR((((((SUMIF(Data!B:B, A126, Data!H:H)+(SUMIF(Data!B:B, A126,Data!G:G)))/(SUMIF(Data!B:B, A126, Data!J:J)))))),0))</f>
        <v/>
      </c>
      <c r="H126" s="32" t="str">
        <f>IFERROR(__xludf.DUMMYFUNCTION("IFERROR(IF(G126="""","""",Average(FILTER(IF(Data!J:J&lt;3,((Data!G:G+Data!H:H)/Data!J:J),1),Data!B:B=A126))),"""")"),"")</f>
        <v/>
      </c>
      <c r="I126" s="31"/>
      <c r="J126" s="31"/>
      <c r="K126" s="31" t="str">
        <f t="shared" si="3"/>
        <v/>
      </c>
      <c r="L126" s="31" t="str">
        <f>IFERROR((SUMIF(Data!B:B, A126, Data!L:L)
/ (COUNTIF(Data!B:B, A126)
)),"")</f>
        <v/>
      </c>
      <c r="M126" s="31" t="str">
        <f>IFERROR((SUMIF(Data!B:B, A126, Data!K:K)
/ (COUNTIF(Data!B:B, A126)
)),"")</f>
        <v/>
      </c>
      <c r="N126" s="34" t="str">
        <f t="shared" si="33"/>
        <v/>
      </c>
      <c r="O126" s="32" t="str">
        <f>IF(A126="","",IFERROR((((((SUMIF(Data!B:B, A126, Data!H:H)+(SUMIF(Data!B:B, A126,Data!G:G)+(SUMIF(Data!B:B, A126,Data!L:L)+(SUMIF(Data!B:B, A126,Data!K:K)))))/(SUMIF(Data!B:B, A126, Data!M:M)+(SUMIF(Data!B:B, A126, Data!H:H)+(SUMIF(Data!B:B, A126,Data!G:G)+(SUMIF(Data!B:B, A126,Data!K:K)+(SUMIF(Data!B:B, A126,Data!L:L)))))))))),0))</f>
        <v/>
      </c>
      <c r="P126" s="35" t="str">
        <f>IFERROR(__xludf.DUMMYFUNCTION("IFERROR(((COUNTIF(FILTER(Data!N:N,Data!B:B=A126),""TRAVERSE"")*15)+(COUNTIF(FILTER(Data!N:N,Data!B:B=A126),""HIGH"")*10)+(COUNTIF(FILTER(Data!N:N,Data!B:B=A126),""MIDDLE"")*6)+(COUNTIF(FILTER(Data!N:N,Data!B:B=A126),""LOW"")*4)) / (COUNTIF(Data!B:B, A126)"&amp;"),"""")"),"")</f>
        <v/>
      </c>
      <c r="Q126" s="31" t="str">
        <f>IFERROR(__xludf.DUMMYFUNCTION("IF(P126="""","""",Average(FIlter(('Convert Name to Number'!$F$422:$H1000),'Convert Name to Number'!$E$422:$E1000=$A126)))"),"")</f>
        <v/>
      </c>
      <c r="R126" s="36" t="str">
        <f t="shared" si="5"/>
        <v/>
      </c>
      <c r="S126" s="37" t="str">
        <f>IFERROR(__xludf.DUMMYFUNCTION("IFERROR((((COUNTIF(FILTER(Data!N:N,Data!B:B=A126),""TRAVERSE""))+(COUNTIF(FILTER(Data!N:N,Data!B:B=A126),""HIGH""))+(COUNTIF(FILTER(Data!N:N,Data!B:B=A126),""MIDDLE""))+(COUNTIF(FILTER(Data!N:N,Data!B:B=A126),""LOW"")))) / (((COUNTIF(Data!B:B, A126)))-(CO"&amp;"UNTIF(FILTER(Data!N:N,Data!B:B=A126),""NONE""))),IF(ISBLANK(A126),"""",0))"),"")</f>
        <v/>
      </c>
      <c r="T126" s="32" t="str">
        <f>IFERROR(__xludf.DUMMYFUNCTION("IFERROR((COUNTIF(FILTER(Data!N:N, Data!B:B=A126),""LOW"")) / (COUNTIF(Data!B:B, A126)),"""")"),"")</f>
        <v/>
      </c>
      <c r="U126" s="38" t="str">
        <f>IFERROR(__xludf.DUMMYFUNCTION("IFERROR((COUNTIF(FILTER(Data!N:N, Data!B:B=A126),""MIDDLE"")) / (COUNTIF(Data!B:B, A126)),"""")"),"")</f>
        <v/>
      </c>
      <c r="V126" s="38" t="str">
        <f>IFERROR(__xludf.DUMMYFUNCTION("IFERROR((COUNTIF(FILTER(Data!N:N, Data!B:B=A126),""HIGH"")) / (COUNTIF(Data!B:B, A126)),"""")"),"")</f>
        <v/>
      </c>
      <c r="W126" s="38" t="str">
        <f>IFERROR(__xludf.DUMMYFUNCTION("IFERROR((COUNTIF(FILTER(Data!N:N, Data!B:B=A126),""TRAVERSE"")) / (COUNTIF(Data!B:B, A126)),"""")"),"")</f>
        <v/>
      </c>
      <c r="X126" s="39" t="str">
        <f t="shared" si="6"/>
        <v/>
      </c>
      <c r="Y126" s="31" t="str">
        <f t="shared" si="7"/>
        <v/>
      </c>
      <c r="Z126" s="31" t="str">
        <f t="shared" si="8"/>
        <v/>
      </c>
      <c r="AA126" s="41" t="str">
        <f t="shared" si="9"/>
        <v/>
      </c>
      <c r="AB126" s="40" t="str">
        <f t="shared" si="34"/>
        <v/>
      </c>
      <c r="AC126" s="41" t="str">
        <f>IFERROR(__xludf.DUMMYFUNCTION("IF(AA126="""","""",MAX(Filter((Data!G:G+Data!K:K),Data!B:B=A126)))"),"")</f>
        <v/>
      </c>
      <c r="AD126" s="41" t="str">
        <f t="shared" si="11"/>
        <v/>
      </c>
      <c r="AE126" s="41" t="str">
        <f t="shared" si="12"/>
        <v/>
      </c>
      <c r="AF126" s="41" t="str">
        <f t="shared" si="13"/>
        <v/>
      </c>
      <c r="AG126" s="42" t="str">
        <f>IF(A126="","",(((AD126)*Picklist!$P$3)+((K126)*Picklist!$P$4)+(E126*Picklist!$P$5)+(N126*Picklist!$P$6)+(X126*Picklist!$P$7)+(R126*Picklist!$P$8)))</f>
        <v/>
      </c>
      <c r="AH126" s="43" t="str">
        <f>IF(A126="","",(((AD126)*Picklist!$P$14)+((K126)*Picklist!$P$15)+(E126*Picklist!$P$16)+(N126*Picklist!$P$17)+(X126*Picklist!$P$18)+(R126*Picklist!$P$19)))</f>
        <v/>
      </c>
      <c r="AI126" s="44" t="str">
        <f>IFERROR(__xludf.DUMMYFUNCTION("TEXTJOIN("", "",TRUE, FILTER(Data!P:P, Data!B:B=A126))"),"")</f>
        <v/>
      </c>
      <c r="AJ126" s="16" t="str">
        <f t="shared" si="14"/>
        <v/>
      </c>
      <c r="AK126" s="46" t="str">
        <f>IFERROR(__xludf.DUMMYFUNCTION("IF(A126&lt;&gt;"""",IFERROR(AVERAGE(FILTER('Defense Calculations'!BJ:CS,'Defense Calculations'!A:A=A126)),""""),"""")"),"")</f>
        <v/>
      </c>
      <c r="AM126" s="47"/>
      <c r="BC126" s="50" t="str">
        <f t="shared" si="35"/>
        <v/>
      </c>
    </row>
    <row r="127">
      <c r="A127" s="54"/>
      <c r="B127" s="30" t="str">
        <f>IFERROR(__xludf.DUMMYFUNCTION("IFERROR(ROUND(
(COUNTIF(FILTER(Data!O:O, Data!B:B=A127), ""Win"")
+ COUNTIF(FILTER(Data!O:O, Data!B:B=A127), {""Tie"",""Results""}))
/ (COUNTIF(Data!B:B, A127)),
1),"""")"),"")</f>
        <v/>
      </c>
      <c r="C127" s="31" t="str">
        <f>IFERROR((SUMIF(Data!B:B, A127, Data!H:H)
/ (COUNTIF(Data!B:B, A127)
)),"")</f>
        <v/>
      </c>
      <c r="D127" s="31" t="str">
        <f>IFERROR((SUMIF(Data!B:B, A127, Data!G:G)
/ (COUNTIF(Data!B:B, A127)
)),"")</f>
        <v/>
      </c>
      <c r="E127" s="31" t="str">
        <f t="shared" si="1"/>
        <v/>
      </c>
      <c r="F127" s="31" t="str">
        <f>IFERROR((SUMIF(Data!B:B, A127, Data!J:J)
/ (COUNTIF(Data!B:B, A127)
)),"")</f>
        <v/>
      </c>
      <c r="G127" s="32" t="str">
        <f>IF(A127="","",IFERROR((((((SUMIF(Data!B:B, A127, Data!H:H)+(SUMIF(Data!B:B, A127,Data!G:G)))/(SUMIF(Data!B:B, A127, Data!J:J)))))),0))</f>
        <v/>
      </c>
      <c r="H127" s="32" t="str">
        <f>IFERROR(__xludf.DUMMYFUNCTION("IFERROR(IF(G127="""","""",Average(FILTER(IF(Data!J:J&lt;3,((Data!G:G+Data!H:H)/Data!J:J),1),Data!B:B=A127))),"""")"),"")</f>
        <v/>
      </c>
      <c r="I127" s="31"/>
      <c r="J127" s="31"/>
      <c r="K127" s="31" t="str">
        <f t="shared" si="3"/>
        <v/>
      </c>
      <c r="L127" s="31" t="str">
        <f>IFERROR((SUMIF(Data!B:B, A127, Data!L:L)
/ (COUNTIF(Data!B:B, A127)
)),"")</f>
        <v/>
      </c>
      <c r="M127" s="31" t="str">
        <f>IFERROR((SUMIF(Data!B:B, A127, Data!K:K)
/ (COUNTIF(Data!B:B, A127)
)),"")</f>
        <v/>
      </c>
      <c r="N127" s="34" t="str">
        <f t="shared" si="33"/>
        <v/>
      </c>
      <c r="O127" s="32" t="str">
        <f>IF(A127="","",IFERROR((((((SUMIF(Data!B:B, A127, Data!H:H)+(SUMIF(Data!B:B, A127,Data!G:G)+(SUMIF(Data!B:B, A127,Data!L:L)+(SUMIF(Data!B:B, A127,Data!K:K)))))/(SUMIF(Data!B:B, A127, Data!M:M)+(SUMIF(Data!B:B, A127, Data!H:H)+(SUMIF(Data!B:B, A127,Data!G:G)+(SUMIF(Data!B:B, A127,Data!K:K)+(SUMIF(Data!B:B, A127,Data!L:L)))))))))),0))</f>
        <v/>
      </c>
      <c r="P127" s="35" t="str">
        <f>IFERROR(__xludf.DUMMYFUNCTION("IFERROR(((COUNTIF(FILTER(Data!N:N,Data!B:B=A127),""TRAVERSE"")*15)+(COUNTIF(FILTER(Data!N:N,Data!B:B=A127),""HIGH"")*10)+(COUNTIF(FILTER(Data!N:N,Data!B:B=A127),""MIDDLE"")*6)+(COUNTIF(FILTER(Data!N:N,Data!B:B=A127),""LOW"")*4)) / (COUNTIF(Data!B:B, A127)"&amp;"),"""")"),"")</f>
        <v/>
      </c>
      <c r="Q127" s="31" t="str">
        <f>IFERROR(__xludf.DUMMYFUNCTION("IF(P127="""","""",Average(FIlter(('Convert Name to Number'!$F$422:$H1000),'Convert Name to Number'!$E$422:$E1000=$A127)))"),"")</f>
        <v/>
      </c>
      <c r="R127" s="36" t="str">
        <f t="shared" si="5"/>
        <v/>
      </c>
      <c r="S127" s="37" t="str">
        <f>IFERROR(__xludf.DUMMYFUNCTION("IFERROR((((COUNTIF(FILTER(Data!N:N,Data!B:B=A127),""TRAVERSE""))+(COUNTIF(FILTER(Data!N:N,Data!B:B=A127),""HIGH""))+(COUNTIF(FILTER(Data!N:N,Data!B:B=A127),""MIDDLE""))+(COUNTIF(FILTER(Data!N:N,Data!B:B=A127),""LOW"")))) / (((COUNTIF(Data!B:B, A127)))-(CO"&amp;"UNTIF(FILTER(Data!N:N,Data!B:B=A127),""NONE""))),IF(ISBLANK(A127),"""",0))"),"")</f>
        <v/>
      </c>
      <c r="T127" s="32" t="str">
        <f>IFERROR(__xludf.DUMMYFUNCTION("IFERROR((COUNTIF(FILTER(Data!N:N, Data!B:B=A127),""LOW"")) / (COUNTIF(Data!B:B, A127)),"""")"),"")</f>
        <v/>
      </c>
      <c r="U127" s="38" t="str">
        <f>IFERROR(__xludf.DUMMYFUNCTION("IFERROR((COUNTIF(FILTER(Data!N:N, Data!B:B=A127),""MIDDLE"")) / (COUNTIF(Data!B:B, A127)),"""")"),"")</f>
        <v/>
      </c>
      <c r="V127" s="38" t="str">
        <f>IFERROR(__xludf.DUMMYFUNCTION("IFERROR((COUNTIF(FILTER(Data!N:N, Data!B:B=A127),""HIGH"")) / (COUNTIF(Data!B:B, A127)),"""")"),"")</f>
        <v/>
      </c>
      <c r="W127" s="38" t="str">
        <f>IFERROR(__xludf.DUMMYFUNCTION("IFERROR((COUNTIF(FILTER(Data!N:N, Data!B:B=A127),""TRAVERSE"")) / (COUNTIF(Data!B:B, A127)),"""")"),"")</f>
        <v/>
      </c>
      <c r="X127" s="39" t="str">
        <f t="shared" si="6"/>
        <v/>
      </c>
      <c r="Y127" s="31" t="str">
        <f t="shared" si="7"/>
        <v/>
      </c>
      <c r="Z127" s="31" t="str">
        <f t="shared" si="8"/>
        <v/>
      </c>
      <c r="AA127" s="41" t="str">
        <f t="shared" si="9"/>
        <v/>
      </c>
      <c r="AB127" s="40" t="str">
        <f t="shared" si="34"/>
        <v/>
      </c>
      <c r="AC127" s="41" t="str">
        <f>IFERROR(__xludf.DUMMYFUNCTION("IF(AA127="""","""",MAX(Filter((Data!G:G+Data!K:K),Data!B:B=A127)))"),"")</f>
        <v/>
      </c>
      <c r="AD127" s="41" t="str">
        <f t="shared" si="11"/>
        <v/>
      </c>
      <c r="AE127" s="41" t="str">
        <f t="shared" si="12"/>
        <v/>
      </c>
      <c r="AF127" s="41" t="str">
        <f t="shared" si="13"/>
        <v/>
      </c>
      <c r="AG127" s="42" t="str">
        <f>IF(A127="","",(((AD127)*Picklist!$P$3)+((K127)*Picklist!$P$4)+(E127*Picklist!$P$5)+(N127*Picklist!$P$6)+(X127*Picklist!$P$7)+(R127*Picklist!$P$8)))</f>
        <v/>
      </c>
      <c r="AH127" s="43" t="str">
        <f>IF(A127="","",(((AD127)*Picklist!$P$14)+((K127)*Picklist!$P$15)+(E127*Picklist!$P$16)+(N127*Picklist!$P$17)+(X127*Picklist!$P$18)+(R127*Picklist!$P$19)))</f>
        <v/>
      </c>
      <c r="AI127" s="44" t="str">
        <f>IFERROR(__xludf.DUMMYFUNCTION("TEXTJOIN("", "",TRUE, FILTER(Data!P:P, Data!B:B=A127))"),"")</f>
        <v/>
      </c>
      <c r="AJ127" s="16" t="str">
        <f t="shared" si="14"/>
        <v/>
      </c>
      <c r="AK127" s="46" t="str">
        <f>IFERROR(__xludf.DUMMYFUNCTION("IF(A127&lt;&gt;"""",IFERROR(AVERAGE(FILTER('Defense Calculations'!BJ:CS,'Defense Calculations'!A:A=A127)),""""),"""")"),"")</f>
        <v/>
      </c>
      <c r="AM127" s="47"/>
      <c r="BC127" s="50" t="str">
        <f t="shared" si="35"/>
        <v/>
      </c>
    </row>
    <row r="128">
      <c r="A128" s="54"/>
      <c r="B128" s="30" t="str">
        <f>IFERROR(__xludf.DUMMYFUNCTION("IFERROR(ROUND(
(COUNTIF(FILTER(Data!O:O, Data!B:B=A128), ""Win"")
+ COUNTIF(FILTER(Data!O:O, Data!B:B=A128), {""Tie"",""Results""}))
/ (COUNTIF(Data!B:B, A128)),
1),"""")"),"")</f>
        <v/>
      </c>
      <c r="C128" s="31" t="str">
        <f>IFERROR((SUMIF(Data!B:B, A128, Data!H:H)
/ (COUNTIF(Data!B:B, A128)
)),"")</f>
        <v/>
      </c>
      <c r="D128" s="31" t="str">
        <f>IFERROR((SUMIF(Data!B:B, A128, Data!G:G)
/ (COUNTIF(Data!B:B, A128)
)),"")</f>
        <v/>
      </c>
      <c r="E128" s="31" t="str">
        <f t="shared" si="1"/>
        <v/>
      </c>
      <c r="F128" s="31" t="str">
        <f>IFERROR((SUMIF(Data!B:B, A128, Data!J:J)
/ (COUNTIF(Data!B:B, A128)
)),"")</f>
        <v/>
      </c>
      <c r="G128" s="32" t="str">
        <f>IF(A128="","",IFERROR((((((SUMIF(Data!B:B, A128, Data!H:H)+(SUMIF(Data!B:B, A128,Data!G:G)))/(SUMIF(Data!B:B, A128, Data!J:J)))))),0))</f>
        <v/>
      </c>
      <c r="H128" s="32" t="str">
        <f>IFERROR(__xludf.DUMMYFUNCTION("IFERROR(IF(G128="""","""",Average(FILTER(IF(Data!J:J&lt;3,((Data!G:G+Data!H:H)/Data!J:J),1),Data!B:B=A128))),"""")"),"")</f>
        <v/>
      </c>
      <c r="I128" s="31"/>
      <c r="J128" s="31"/>
      <c r="K128" s="31" t="str">
        <f t="shared" si="3"/>
        <v/>
      </c>
      <c r="L128" s="31" t="str">
        <f>IFERROR((SUMIF(Data!B:B, A128, Data!L:L)
/ (COUNTIF(Data!B:B, A128)
)),"")</f>
        <v/>
      </c>
      <c r="M128" s="31" t="str">
        <f>IFERROR((SUMIF(Data!B:B, A128, Data!K:K)
/ (COUNTIF(Data!B:B, A128)
)),"")</f>
        <v/>
      </c>
      <c r="N128" s="34" t="str">
        <f t="shared" si="33"/>
        <v/>
      </c>
      <c r="O128" s="32" t="str">
        <f>IF(A128="","",IFERROR((((((SUMIF(Data!B:B, A128, Data!H:H)+(SUMIF(Data!B:B, A128,Data!G:G)+(SUMIF(Data!B:B, A128,Data!L:L)+(SUMIF(Data!B:B, A128,Data!K:K)))))/(SUMIF(Data!B:B, A128, Data!M:M)+(SUMIF(Data!B:B, A128, Data!H:H)+(SUMIF(Data!B:B, A128,Data!G:G)+(SUMIF(Data!B:B, A128,Data!K:K)+(SUMIF(Data!B:B, A128,Data!L:L)))))))))),0))</f>
        <v/>
      </c>
      <c r="P128" s="35" t="str">
        <f>IFERROR(__xludf.DUMMYFUNCTION("IFERROR(((COUNTIF(FILTER(Data!N:N,Data!B:B=A128),""TRAVERSE"")*15)+(COUNTIF(FILTER(Data!N:N,Data!B:B=A128),""HIGH"")*10)+(COUNTIF(FILTER(Data!N:N,Data!B:B=A128),""MIDDLE"")*6)+(COUNTIF(FILTER(Data!N:N,Data!B:B=A128),""LOW"")*4)) / (COUNTIF(Data!B:B, A128)"&amp;"),"""")"),"")</f>
        <v/>
      </c>
      <c r="Q128" s="31" t="str">
        <f>IFERROR(__xludf.DUMMYFUNCTION("IF(P128="""","""",Average(FIlter(('Convert Name to Number'!$F$422:$H1000),'Convert Name to Number'!$E$422:$E1000=$A128)))"),"")</f>
        <v/>
      </c>
      <c r="R128" s="36" t="str">
        <f t="shared" si="5"/>
        <v/>
      </c>
      <c r="S128" s="37" t="str">
        <f>IFERROR(__xludf.DUMMYFUNCTION("IFERROR((((COUNTIF(FILTER(Data!N:N,Data!B:B=A128),""TRAVERSE""))+(COUNTIF(FILTER(Data!N:N,Data!B:B=A128),""HIGH""))+(COUNTIF(FILTER(Data!N:N,Data!B:B=A128),""MIDDLE""))+(COUNTIF(FILTER(Data!N:N,Data!B:B=A128),""LOW"")))) / (((COUNTIF(Data!B:B, A128)))-(CO"&amp;"UNTIF(FILTER(Data!N:N,Data!B:B=A128),""NONE""))),IF(ISBLANK(A128),"""",0))"),"")</f>
        <v/>
      </c>
      <c r="T128" s="32" t="str">
        <f>IFERROR(__xludf.DUMMYFUNCTION("IFERROR((COUNTIF(FILTER(Data!N:N, Data!B:B=A128),""LOW"")) / (COUNTIF(Data!B:B, A128)),"""")"),"")</f>
        <v/>
      </c>
      <c r="U128" s="38" t="str">
        <f>IFERROR(__xludf.DUMMYFUNCTION("IFERROR((COUNTIF(FILTER(Data!N:N, Data!B:B=A128),""MIDDLE"")) / (COUNTIF(Data!B:B, A128)),"""")"),"")</f>
        <v/>
      </c>
      <c r="V128" s="38" t="str">
        <f>IFERROR(__xludf.DUMMYFUNCTION("IFERROR((COUNTIF(FILTER(Data!N:N, Data!B:B=A128),""HIGH"")) / (COUNTIF(Data!B:B, A128)),"""")"),"")</f>
        <v/>
      </c>
      <c r="W128" s="38" t="str">
        <f>IFERROR(__xludf.DUMMYFUNCTION("IFERROR((COUNTIF(FILTER(Data!N:N, Data!B:B=A128),""TRAVERSE"")) / (COUNTIF(Data!B:B, A128)),"""")"),"")</f>
        <v/>
      </c>
      <c r="X128" s="39" t="str">
        <f t="shared" si="6"/>
        <v/>
      </c>
      <c r="Y128" s="31" t="str">
        <f t="shared" si="7"/>
        <v/>
      </c>
      <c r="Z128" s="31" t="str">
        <f t="shared" si="8"/>
        <v/>
      </c>
      <c r="AA128" s="41" t="str">
        <f t="shared" si="9"/>
        <v/>
      </c>
      <c r="AB128" s="40" t="str">
        <f t="shared" si="34"/>
        <v/>
      </c>
      <c r="AC128" s="41" t="str">
        <f>IFERROR(__xludf.DUMMYFUNCTION("IF(AA128="""","""",MAX(Filter((Data!G:G+Data!K:K),Data!B:B=A128)))"),"")</f>
        <v/>
      </c>
      <c r="AD128" s="41" t="str">
        <f t="shared" si="11"/>
        <v/>
      </c>
      <c r="AE128" s="41" t="str">
        <f t="shared" si="12"/>
        <v/>
      </c>
      <c r="AF128" s="41" t="str">
        <f t="shared" si="13"/>
        <v/>
      </c>
      <c r="AG128" s="42" t="str">
        <f>IF(A128="","",(((AD128)*Picklist!$P$3)+((K128)*Picklist!$P$4)+(E128*Picklist!$P$5)+(N128*Picklist!$P$6)+(X128*Picklist!$P$7)+(R128*Picklist!$P$8)))</f>
        <v/>
      </c>
      <c r="AH128" s="43" t="str">
        <f>IF(A128="","",(((AD128)*Picklist!$P$14)+((K128)*Picklist!$P$15)+(E128*Picklist!$P$16)+(N128*Picklist!$P$17)+(X128*Picklist!$P$18)+(R128*Picklist!$P$19)))</f>
        <v/>
      </c>
      <c r="AI128" s="44" t="str">
        <f>IFERROR(__xludf.DUMMYFUNCTION("TEXTJOIN("", "",TRUE, FILTER(Data!P:P, Data!B:B=A128))"),"")</f>
        <v/>
      </c>
      <c r="AJ128" s="16" t="str">
        <f t="shared" si="14"/>
        <v/>
      </c>
      <c r="AK128" s="46" t="str">
        <f>IFERROR(__xludf.DUMMYFUNCTION("IF(A128&lt;&gt;"""",IFERROR(AVERAGE(FILTER('Defense Calculations'!BJ:CS,'Defense Calculations'!A:A=A128)),""""),"""")"),"")</f>
        <v/>
      </c>
      <c r="AM128" s="47"/>
      <c r="BC128" s="50" t="str">
        <f t="shared" si="35"/>
        <v/>
      </c>
    </row>
    <row r="129">
      <c r="A129" s="54"/>
      <c r="B129" s="30" t="str">
        <f>IFERROR(__xludf.DUMMYFUNCTION("IFERROR(ROUND(
(COUNTIF(FILTER(Data!O:O, Data!B:B=A129), ""Win"")
+ COUNTIF(FILTER(Data!O:O, Data!B:B=A129), {""Tie"",""Results""}))
/ (COUNTIF(Data!B:B, A129)),
1),"""")"),"")</f>
        <v/>
      </c>
      <c r="C129" s="31" t="str">
        <f>IFERROR((SUMIF(Data!B:B, A129, Data!H:H)
/ (COUNTIF(Data!B:B, A129)
)),"")</f>
        <v/>
      </c>
      <c r="D129" s="31" t="str">
        <f>IFERROR((SUMIF(Data!B:B, A129, Data!G:G)
/ (COUNTIF(Data!B:B, A129)
)),"")</f>
        <v/>
      </c>
      <c r="E129" s="31" t="str">
        <f t="shared" si="1"/>
        <v/>
      </c>
      <c r="F129" s="31" t="str">
        <f>IFERROR((SUMIF(Data!B:B, A129, Data!J:J)
/ (COUNTIF(Data!B:B, A129)
)),"")</f>
        <v/>
      </c>
      <c r="G129" s="32" t="str">
        <f>IF(A129="","",IFERROR((((((SUMIF(Data!B:B, A129, Data!H:H)+(SUMIF(Data!B:B, A129,Data!G:G)))/(SUMIF(Data!B:B, A129, Data!J:J)))))),0))</f>
        <v/>
      </c>
      <c r="H129" s="32" t="str">
        <f>IFERROR(__xludf.DUMMYFUNCTION("IFERROR(IF(G129="""","""",Average(FILTER(IF(Data!J:J&lt;3,((Data!G:G+Data!H:H)/Data!J:J),1),Data!B:B=A129))),"""")"),"")</f>
        <v/>
      </c>
      <c r="I129" s="31"/>
      <c r="J129" s="31"/>
      <c r="K129" s="31" t="str">
        <f t="shared" si="3"/>
        <v/>
      </c>
      <c r="L129" s="31" t="str">
        <f>IFERROR((SUMIF(Data!B:B, A129, Data!L:L)
/ (COUNTIF(Data!B:B, A129)
)),"")</f>
        <v/>
      </c>
      <c r="M129" s="31" t="str">
        <f>IFERROR((SUMIF(Data!B:B, A129, Data!K:K)
/ (COUNTIF(Data!B:B, A129)
)),"")</f>
        <v/>
      </c>
      <c r="N129" s="34" t="str">
        <f t="shared" si="33"/>
        <v/>
      </c>
      <c r="O129" s="32" t="str">
        <f>IF(A129="","",IFERROR((((((SUMIF(Data!B:B, A129, Data!H:H)+(SUMIF(Data!B:B, A129,Data!G:G)+(SUMIF(Data!B:B, A129,Data!L:L)+(SUMIF(Data!B:B, A129,Data!K:K)))))/(SUMIF(Data!B:B, A129, Data!M:M)+(SUMIF(Data!B:B, A129, Data!H:H)+(SUMIF(Data!B:B, A129,Data!G:G)+(SUMIF(Data!B:B, A129,Data!K:K)+(SUMIF(Data!B:B, A129,Data!L:L)))))))))),0))</f>
        <v/>
      </c>
      <c r="P129" s="35" t="str">
        <f>IFERROR(__xludf.DUMMYFUNCTION("IFERROR(((COUNTIF(FILTER(Data!N:N,Data!B:B=A129),""TRAVERSE"")*15)+(COUNTIF(FILTER(Data!N:N,Data!B:B=A129),""HIGH"")*10)+(COUNTIF(FILTER(Data!N:N,Data!B:B=A129),""MIDDLE"")*6)+(COUNTIF(FILTER(Data!N:N,Data!B:B=A129),""LOW"")*4)) / (COUNTIF(Data!B:B, A129)"&amp;"),"""")"),"")</f>
        <v/>
      </c>
      <c r="Q129" s="31" t="str">
        <f>IFERROR(__xludf.DUMMYFUNCTION("IF(P129="""","""",Average(FIlter(('Convert Name to Number'!$F$422:$H1000),'Convert Name to Number'!$E$422:$E1000=$A129)))"),"")</f>
        <v/>
      </c>
      <c r="R129" s="36" t="str">
        <f t="shared" si="5"/>
        <v/>
      </c>
      <c r="S129" s="37" t="str">
        <f>IFERROR(__xludf.DUMMYFUNCTION("IFERROR((((COUNTIF(FILTER(Data!N:N,Data!B:B=A129),""TRAVERSE""))+(COUNTIF(FILTER(Data!N:N,Data!B:B=A129),""HIGH""))+(COUNTIF(FILTER(Data!N:N,Data!B:B=A129),""MIDDLE""))+(COUNTIF(FILTER(Data!N:N,Data!B:B=A129),""LOW"")))) / (((COUNTIF(Data!B:B, A129)))-(CO"&amp;"UNTIF(FILTER(Data!N:N,Data!B:B=A129),""NONE""))),IF(ISBLANK(A129),"""",0))"),"")</f>
        <v/>
      </c>
      <c r="T129" s="32" t="str">
        <f>IFERROR(__xludf.DUMMYFUNCTION("IFERROR((COUNTIF(FILTER(Data!N:N, Data!B:B=A129),""LOW"")) / (COUNTIF(Data!B:B, A129)),"""")"),"")</f>
        <v/>
      </c>
      <c r="U129" s="38" t="str">
        <f>IFERROR(__xludf.DUMMYFUNCTION("IFERROR((COUNTIF(FILTER(Data!N:N, Data!B:B=A129),""MIDDLE"")) / (COUNTIF(Data!B:B, A129)),"""")"),"")</f>
        <v/>
      </c>
      <c r="V129" s="38" t="str">
        <f>IFERROR(__xludf.DUMMYFUNCTION("IFERROR((COUNTIF(FILTER(Data!N:N, Data!B:B=A129),""HIGH"")) / (COUNTIF(Data!B:B, A129)),"""")"),"")</f>
        <v/>
      </c>
      <c r="W129" s="38" t="str">
        <f>IFERROR(__xludf.DUMMYFUNCTION("IFERROR((COUNTIF(FILTER(Data!N:N, Data!B:B=A129),""TRAVERSE"")) / (COUNTIF(Data!B:B, A129)),"""")"),"")</f>
        <v/>
      </c>
      <c r="X129" s="39" t="str">
        <f t="shared" si="6"/>
        <v/>
      </c>
      <c r="Y129" s="31" t="str">
        <f t="shared" si="7"/>
        <v/>
      </c>
      <c r="Z129" s="31" t="str">
        <f t="shared" si="8"/>
        <v/>
      </c>
      <c r="AA129" s="41" t="str">
        <f t="shared" si="9"/>
        <v/>
      </c>
      <c r="AB129" s="40" t="str">
        <f t="shared" si="34"/>
        <v/>
      </c>
      <c r="AC129" s="41" t="str">
        <f>IFERROR(__xludf.DUMMYFUNCTION("IF(AA129="""","""",MAX(Filter((Data!G:G+Data!K:K),Data!B:B=A129)))"),"")</f>
        <v/>
      </c>
      <c r="AD129" s="41" t="str">
        <f t="shared" si="11"/>
        <v/>
      </c>
      <c r="AE129" s="41" t="str">
        <f t="shared" si="12"/>
        <v/>
      </c>
      <c r="AF129" s="41" t="str">
        <f t="shared" si="13"/>
        <v/>
      </c>
      <c r="AG129" s="42" t="str">
        <f>IF(A129="","",(((AD129)*Picklist!$P$3)+((K129)*Picklist!$P$4)+(E129*Picklist!$P$5)+(N129*Picklist!$P$6)+(X129*Picklist!$P$7)+(R129*Picklist!$P$8)))</f>
        <v/>
      </c>
      <c r="AH129" s="43" t="str">
        <f>IF(A129="","",(((AD129)*Picklist!$P$14)+((K129)*Picklist!$P$15)+(E129*Picklist!$P$16)+(N129*Picklist!$P$17)+(X129*Picklist!$P$18)+(R129*Picklist!$P$19)))</f>
        <v/>
      </c>
      <c r="AI129" s="44" t="str">
        <f>IFERROR(__xludf.DUMMYFUNCTION("TEXTJOIN("", "",TRUE, FILTER(Data!P:P, Data!B:B=A129))"),"")</f>
        <v/>
      </c>
      <c r="AJ129" s="16" t="str">
        <f t="shared" si="14"/>
        <v/>
      </c>
      <c r="AK129" s="46" t="str">
        <f>IFERROR(__xludf.DUMMYFUNCTION("IF(A129&lt;&gt;"""",IFERROR(AVERAGE(FILTER('Defense Calculations'!BJ:CS,'Defense Calculations'!A:A=A129)),""""),"""")"),"")</f>
        <v/>
      </c>
      <c r="AM129" s="47"/>
      <c r="BC129" s="50" t="str">
        <f t="shared" si="35"/>
        <v/>
      </c>
    </row>
    <row r="130">
      <c r="A130" s="54"/>
      <c r="B130" s="30" t="str">
        <f>IFERROR(__xludf.DUMMYFUNCTION("IFERROR(ROUND(
(COUNTIF(FILTER(Data!O:O, Data!B:B=A130), ""Win"")
+ COUNTIF(FILTER(Data!O:O, Data!B:B=A130), {""Tie"",""Results""}))
/ (COUNTIF(Data!B:B, A130)),
1),"""")"),"")</f>
        <v/>
      </c>
      <c r="C130" s="31" t="str">
        <f>IFERROR((SUMIF(Data!B:B, A130, Data!H:H)
/ (COUNTIF(Data!B:B, A130)
)),"")</f>
        <v/>
      </c>
      <c r="D130" s="31" t="str">
        <f>IFERROR((SUMIF(Data!B:B, A130, Data!G:G)
/ (COUNTIF(Data!B:B, A130)
)),"")</f>
        <v/>
      </c>
      <c r="E130" s="31" t="str">
        <f t="shared" si="1"/>
        <v/>
      </c>
      <c r="F130" s="31" t="str">
        <f>IFERROR((SUMIF(Data!B:B, A130, Data!J:J)
/ (COUNTIF(Data!B:B, A130)
)),"")</f>
        <v/>
      </c>
      <c r="G130" s="32" t="str">
        <f>IF(A130="","",IFERROR((((((SUMIF(Data!B:B, A130, Data!H:H)+(SUMIF(Data!B:B, A130,Data!G:G)))/(SUMIF(Data!B:B, A130, Data!J:J)))))),0))</f>
        <v/>
      </c>
      <c r="H130" s="32" t="str">
        <f>IFERROR(__xludf.DUMMYFUNCTION("IFERROR(IF(G130="""","""",Average(FILTER(IF(Data!J:J&lt;3,((Data!G:G+Data!H:H)/Data!J:J),1),Data!B:B=A130))),"""")"),"")</f>
        <v/>
      </c>
      <c r="I130" s="31"/>
      <c r="J130" s="31"/>
      <c r="K130" s="31" t="str">
        <f t="shared" si="3"/>
        <v/>
      </c>
      <c r="L130" s="31" t="str">
        <f>IFERROR((SUMIF(Data!B:B, A130, Data!L:L)
/ (COUNTIF(Data!B:B, A130)
)),"")</f>
        <v/>
      </c>
      <c r="M130" s="31" t="str">
        <f>IFERROR((SUMIF(Data!B:B, A130, Data!K:K)
/ (COUNTIF(Data!B:B, A130)
)),"")</f>
        <v/>
      </c>
      <c r="N130" s="34" t="str">
        <f t="shared" si="33"/>
        <v/>
      </c>
      <c r="O130" s="32" t="str">
        <f>IF(A130="","",IFERROR((((((SUMIF(Data!B:B, A130, Data!H:H)+(SUMIF(Data!B:B, A130,Data!G:G)+(SUMIF(Data!B:B, A130,Data!L:L)+(SUMIF(Data!B:B, A130,Data!K:K)))))/(SUMIF(Data!B:B, A130, Data!M:M)+(SUMIF(Data!B:B, A130, Data!H:H)+(SUMIF(Data!B:B, A130,Data!G:G)+(SUMIF(Data!B:B, A130,Data!K:K)+(SUMIF(Data!B:B, A130,Data!L:L)))))))))),0))</f>
        <v/>
      </c>
      <c r="P130" s="35" t="str">
        <f>IFERROR(__xludf.DUMMYFUNCTION("IFERROR(((COUNTIF(FILTER(Data!N:N,Data!B:B=A130),""TRAVERSE"")*15)+(COUNTIF(FILTER(Data!N:N,Data!B:B=A130),""HIGH"")*10)+(COUNTIF(FILTER(Data!N:N,Data!B:B=A130),""MIDDLE"")*6)+(COUNTIF(FILTER(Data!N:N,Data!B:B=A130),""LOW"")*4)) / (COUNTIF(Data!B:B, A130)"&amp;"),"""")"),"")</f>
        <v/>
      </c>
      <c r="Q130" s="31" t="str">
        <f>IFERROR(__xludf.DUMMYFUNCTION("IF(P130="""","""",Average(FIlter(('Convert Name to Number'!$F$422:$H1000),'Convert Name to Number'!$E$422:$E1000=$A130)))"),"")</f>
        <v/>
      </c>
      <c r="R130" s="36" t="str">
        <f t="shared" si="5"/>
        <v/>
      </c>
      <c r="S130" s="37" t="str">
        <f>IFERROR(__xludf.DUMMYFUNCTION("IFERROR((((COUNTIF(FILTER(Data!N:N,Data!B:B=A130),""TRAVERSE""))+(COUNTIF(FILTER(Data!N:N,Data!B:B=A130),""HIGH""))+(COUNTIF(FILTER(Data!N:N,Data!B:B=A130),""MIDDLE""))+(COUNTIF(FILTER(Data!N:N,Data!B:B=A130),""LOW"")))) / (((COUNTIF(Data!B:B, A130)))-(CO"&amp;"UNTIF(FILTER(Data!N:N,Data!B:B=A130),""NONE""))),IF(ISBLANK(A130),"""",0))"),"")</f>
        <v/>
      </c>
      <c r="T130" s="32" t="str">
        <f>IFERROR(__xludf.DUMMYFUNCTION("IFERROR((COUNTIF(FILTER(Data!N:N, Data!B:B=A130),""LOW"")) / (COUNTIF(Data!B:B, A130)),"""")"),"")</f>
        <v/>
      </c>
      <c r="U130" s="38" t="str">
        <f>IFERROR(__xludf.DUMMYFUNCTION("IFERROR((COUNTIF(FILTER(Data!N:N, Data!B:B=A130),""MIDDLE"")) / (COUNTIF(Data!B:B, A130)),"""")"),"")</f>
        <v/>
      </c>
      <c r="V130" s="38" t="str">
        <f>IFERROR(__xludf.DUMMYFUNCTION("IFERROR((COUNTIF(FILTER(Data!N:N, Data!B:B=A130),""HIGH"")) / (COUNTIF(Data!B:B, A130)),"""")"),"")</f>
        <v/>
      </c>
      <c r="W130" s="38" t="str">
        <f>IFERROR(__xludf.DUMMYFUNCTION("IFERROR((COUNTIF(FILTER(Data!N:N, Data!B:B=A130),""TRAVERSE"")) / (COUNTIF(Data!B:B, A130)),"""")"),"")</f>
        <v/>
      </c>
      <c r="X130" s="39" t="str">
        <f t="shared" si="6"/>
        <v/>
      </c>
      <c r="Y130" s="31" t="str">
        <f t="shared" si="7"/>
        <v/>
      </c>
      <c r="Z130" s="31" t="str">
        <f t="shared" si="8"/>
        <v/>
      </c>
      <c r="AA130" s="41" t="str">
        <f t="shared" si="9"/>
        <v/>
      </c>
      <c r="AB130" s="40" t="str">
        <f t="shared" si="34"/>
        <v/>
      </c>
      <c r="AC130" s="41" t="str">
        <f>IFERROR(__xludf.DUMMYFUNCTION("IF(AA130="""","""",MAX(Filter((Data!G:G+Data!K:K),Data!B:B=A130)))"),"")</f>
        <v/>
      </c>
      <c r="AD130" s="41" t="str">
        <f t="shared" si="11"/>
        <v/>
      </c>
      <c r="AE130" s="41" t="str">
        <f t="shared" si="12"/>
        <v/>
      </c>
      <c r="AF130" s="41" t="str">
        <f t="shared" si="13"/>
        <v/>
      </c>
      <c r="AG130" s="42" t="str">
        <f>IF(A130="","",(((AD130)*Picklist!$P$3)+((K130)*Picklist!$P$4)+(E130*Picklist!$P$5)+(N130*Picklist!$P$6)+(X130*Picklist!$P$7)+(R130*Picklist!$P$8)))</f>
        <v/>
      </c>
      <c r="AH130" s="43" t="str">
        <f>IF(A130="","",(((AD130)*Picklist!$P$14)+((K130)*Picklist!$P$15)+(E130*Picklist!$P$16)+(N130*Picklist!$P$17)+(X130*Picklist!$P$18)+(R130*Picklist!$P$19)))</f>
        <v/>
      </c>
      <c r="AI130" s="44" t="str">
        <f>IFERROR(__xludf.DUMMYFUNCTION("TEXTJOIN("", "",TRUE, FILTER(Data!P:P, Data!B:B=A130))"),"")</f>
        <v/>
      </c>
      <c r="AJ130" s="16" t="str">
        <f t="shared" si="14"/>
        <v/>
      </c>
      <c r="AK130" s="46" t="str">
        <f>IFERROR(__xludf.DUMMYFUNCTION("IF(A130&lt;&gt;"""",IFERROR(AVERAGE(FILTER('Defense Calculations'!BJ:CS,'Defense Calculations'!A:A=A130)),""""),"""")"),"")</f>
        <v/>
      </c>
      <c r="AM130" s="47"/>
      <c r="BC130" s="50" t="str">
        <f t="shared" si="35"/>
        <v/>
      </c>
    </row>
    <row r="131">
      <c r="A131" s="54"/>
      <c r="B131" s="30" t="str">
        <f>IFERROR(__xludf.DUMMYFUNCTION("IFERROR(ROUND(
(COUNTIF(FILTER(Data!O:O, Data!B:B=A131), ""Win"")
+ COUNTIF(FILTER(Data!O:O, Data!B:B=A131), {""Tie"",""Results""}))
/ (COUNTIF(Data!B:B, A131)),
1),"""")"),"")</f>
        <v/>
      </c>
      <c r="C131" s="31" t="str">
        <f>IFERROR((SUMIF(Data!B:B, A131, Data!H:H)
/ (COUNTIF(Data!B:B, A131)
)),"")</f>
        <v/>
      </c>
      <c r="D131" s="31" t="str">
        <f>IFERROR((SUMIF(Data!B:B, A131, Data!G:G)
/ (COUNTIF(Data!B:B, A131)
)),"")</f>
        <v/>
      </c>
      <c r="E131" s="31" t="str">
        <f t="shared" si="1"/>
        <v/>
      </c>
      <c r="F131" s="31" t="str">
        <f>IFERROR((SUMIF(Data!B:B, A131, Data!J:J)
/ (COUNTIF(Data!B:B, A131)
)),"")</f>
        <v/>
      </c>
      <c r="G131" s="32" t="str">
        <f>IF(A131="","",IFERROR((((((SUMIF(Data!B:B, A131, Data!H:H)+(SUMIF(Data!B:B, A131,Data!G:G)))/(SUMIF(Data!B:B, A131, Data!J:J)))))),0))</f>
        <v/>
      </c>
      <c r="H131" s="32" t="str">
        <f>IFERROR(__xludf.DUMMYFUNCTION("IFERROR(IF(G131="""","""",Average(FILTER(IF(Data!J:J&lt;3,((Data!G:G+Data!H:H)/Data!J:J),1),Data!B:B=A131))),"""")"),"")</f>
        <v/>
      </c>
      <c r="I131" s="31"/>
      <c r="J131" s="31"/>
      <c r="K131" s="31" t="str">
        <f t="shared" si="3"/>
        <v/>
      </c>
      <c r="L131" s="31" t="str">
        <f>IFERROR((SUMIF(Data!B:B, A131, Data!L:L)
/ (COUNTIF(Data!B:B, A131)
)),"")</f>
        <v/>
      </c>
      <c r="M131" s="31" t="str">
        <f>IFERROR((SUMIF(Data!B:B, A131, Data!K:K)
/ (COUNTIF(Data!B:B, A131)
)),"")</f>
        <v/>
      </c>
      <c r="N131" s="34" t="str">
        <f t="shared" si="33"/>
        <v/>
      </c>
      <c r="O131" s="32" t="str">
        <f>IF(A131="","",IFERROR((((((SUMIF(Data!B:B, A131, Data!H:H)+(SUMIF(Data!B:B, A131,Data!G:G)+(SUMIF(Data!B:B, A131,Data!L:L)+(SUMIF(Data!B:B, A131,Data!K:K)))))/(SUMIF(Data!B:B, A131, Data!M:M)+(SUMIF(Data!B:B, A131, Data!H:H)+(SUMIF(Data!B:B, A131,Data!G:G)+(SUMIF(Data!B:B, A131,Data!K:K)+(SUMIF(Data!B:B, A131,Data!L:L)))))))))),0))</f>
        <v/>
      </c>
      <c r="P131" s="35" t="str">
        <f>IFERROR(__xludf.DUMMYFUNCTION("IFERROR(((COUNTIF(FILTER(Data!N:N,Data!B:B=A131),""TRAVERSE"")*15)+(COUNTIF(FILTER(Data!N:N,Data!B:B=A131),""HIGH"")*10)+(COUNTIF(FILTER(Data!N:N,Data!B:B=A131),""MIDDLE"")*6)+(COUNTIF(FILTER(Data!N:N,Data!B:B=A131),""LOW"")*4)) / (COUNTIF(Data!B:B, A131)"&amp;"),"""")"),"")</f>
        <v/>
      </c>
      <c r="Q131" s="31" t="str">
        <f>IFERROR(__xludf.DUMMYFUNCTION("IF(P131="""","""",Average(FIlter(('Convert Name to Number'!$F$422:$H1000),'Convert Name to Number'!$E$422:$E1000=$A131)))"),"")</f>
        <v/>
      </c>
      <c r="R131" s="36" t="str">
        <f t="shared" si="5"/>
        <v/>
      </c>
      <c r="S131" s="37" t="str">
        <f>IFERROR(__xludf.DUMMYFUNCTION("IFERROR((((COUNTIF(FILTER(Data!N:N,Data!B:B=A131),""TRAVERSE""))+(COUNTIF(FILTER(Data!N:N,Data!B:B=A131),""HIGH""))+(COUNTIF(FILTER(Data!N:N,Data!B:B=A131),""MIDDLE""))+(COUNTIF(FILTER(Data!N:N,Data!B:B=A131),""LOW"")))) / (((COUNTIF(Data!B:B, A131)))-(CO"&amp;"UNTIF(FILTER(Data!N:N,Data!B:B=A131),""NONE""))),IF(ISBLANK(A131),"""",0))"),"")</f>
        <v/>
      </c>
      <c r="T131" s="32" t="str">
        <f>IFERROR(__xludf.DUMMYFUNCTION("IFERROR((COUNTIF(FILTER(Data!N:N, Data!B:B=A131),""LOW"")) / (COUNTIF(Data!B:B, A131)),"""")"),"")</f>
        <v/>
      </c>
      <c r="U131" s="38" t="str">
        <f>IFERROR(__xludf.DUMMYFUNCTION("IFERROR((COUNTIF(FILTER(Data!N:N, Data!B:B=A131),""MIDDLE"")) / (COUNTIF(Data!B:B, A131)),"""")"),"")</f>
        <v/>
      </c>
      <c r="V131" s="38" t="str">
        <f>IFERROR(__xludf.DUMMYFUNCTION("IFERROR((COUNTIF(FILTER(Data!N:N, Data!B:B=A131),""HIGH"")) / (COUNTIF(Data!B:B, A131)),"""")"),"")</f>
        <v/>
      </c>
      <c r="W131" s="38" t="str">
        <f>IFERROR(__xludf.DUMMYFUNCTION("IFERROR((COUNTIF(FILTER(Data!N:N, Data!B:B=A131),""TRAVERSE"")) / (COUNTIF(Data!B:B, A131)),"""")"),"")</f>
        <v/>
      </c>
      <c r="X131" s="39" t="str">
        <f t="shared" si="6"/>
        <v/>
      </c>
      <c r="Y131" s="31" t="str">
        <f t="shared" si="7"/>
        <v/>
      </c>
      <c r="Z131" s="31" t="str">
        <f t="shared" si="8"/>
        <v/>
      </c>
      <c r="AA131" s="41" t="str">
        <f t="shared" si="9"/>
        <v/>
      </c>
      <c r="AB131" s="40" t="str">
        <f t="shared" si="34"/>
        <v/>
      </c>
      <c r="AC131" s="41" t="str">
        <f>IFERROR(__xludf.DUMMYFUNCTION("IF(AA131="""","""",MAX(Filter((Data!G:G+Data!K:K),Data!B:B=A131)))"),"")</f>
        <v/>
      </c>
      <c r="AD131" s="41" t="str">
        <f t="shared" si="11"/>
        <v/>
      </c>
      <c r="AE131" s="41" t="str">
        <f t="shared" si="12"/>
        <v/>
      </c>
      <c r="AF131" s="41" t="str">
        <f t="shared" si="13"/>
        <v/>
      </c>
      <c r="AG131" s="42" t="str">
        <f>IF(A131="","",(((AD131)*Picklist!$P$3)+((K131)*Picklist!$P$4)+(E131*Picklist!$P$5)+(N131*Picklist!$P$6)+(X131*Picklist!$P$7)+(R131*Picklist!$P$8)))</f>
        <v/>
      </c>
      <c r="AH131" s="43" t="str">
        <f>IF(A131="","",(((AD131)*Picklist!$P$14)+((K131)*Picklist!$P$15)+(E131*Picklist!$P$16)+(N131*Picklist!$P$17)+(X131*Picklist!$P$18)+(R131*Picklist!$P$19)))</f>
        <v/>
      </c>
      <c r="AI131" s="44" t="str">
        <f>IFERROR(__xludf.DUMMYFUNCTION("TEXTJOIN("", "",TRUE, FILTER(Data!P:P, Data!B:B=A131))"),"")</f>
        <v/>
      </c>
      <c r="AJ131" s="16" t="str">
        <f t="shared" si="14"/>
        <v/>
      </c>
      <c r="AK131" s="46" t="str">
        <f>IFERROR(__xludf.DUMMYFUNCTION("IF(A131&lt;&gt;"""",IFERROR(AVERAGE(FILTER('Defense Calculations'!BJ:CS,'Defense Calculations'!A:A=A131)),""""),"""")"),"")</f>
        <v/>
      </c>
      <c r="AM131" s="47"/>
      <c r="BC131" s="50" t="str">
        <f t="shared" si="35"/>
        <v/>
      </c>
    </row>
    <row r="132">
      <c r="A132" s="54"/>
      <c r="B132" s="30" t="str">
        <f>IFERROR(__xludf.DUMMYFUNCTION("IFERROR(ROUND(
(COUNTIF(FILTER(Data!O:O, Data!B:B=A132), ""Win"")
+ COUNTIF(FILTER(Data!O:O, Data!B:B=A132), {""Tie"",""Results""}))
/ (COUNTIF(Data!B:B, A132)),
1),"""")"),"")</f>
        <v/>
      </c>
      <c r="C132" s="31" t="str">
        <f>IFERROR((SUMIF(Data!B:B, A132, Data!H:H)
/ (COUNTIF(Data!B:B, A132)
)),"")</f>
        <v/>
      </c>
      <c r="D132" s="31" t="str">
        <f>IFERROR((SUMIF(Data!B:B, A132, Data!G:G)
/ (COUNTIF(Data!B:B, A132)
)),"")</f>
        <v/>
      </c>
      <c r="E132" s="31" t="str">
        <f t="shared" si="1"/>
        <v/>
      </c>
      <c r="F132" s="31" t="str">
        <f>IFERROR((SUMIF(Data!B:B, A132, Data!J:J)
/ (COUNTIF(Data!B:B, A132)
)),"")</f>
        <v/>
      </c>
      <c r="G132" s="32" t="str">
        <f>IF(A132="","",IFERROR((((((SUMIF(Data!B:B, A132, Data!H:H)+(SUMIF(Data!B:B, A132,Data!G:G)))/(SUMIF(Data!B:B, A132, Data!J:J)))))),0))</f>
        <v/>
      </c>
      <c r="H132" s="32" t="str">
        <f>IFERROR(__xludf.DUMMYFUNCTION("IFERROR(IF(G132="""","""",Average(FILTER(IF(Data!J:J&lt;3,((Data!G:G+Data!H:H)/Data!J:J),1),Data!B:B=A132))),"""")"),"")</f>
        <v/>
      </c>
      <c r="I132" s="31"/>
      <c r="J132" s="31"/>
      <c r="K132" s="31" t="str">
        <f t="shared" si="3"/>
        <v/>
      </c>
      <c r="L132" s="31" t="str">
        <f>IFERROR((SUMIF(Data!B:B, A132, Data!L:L)
/ (COUNTIF(Data!B:B, A132)
)),"")</f>
        <v/>
      </c>
      <c r="M132" s="31" t="str">
        <f>IFERROR((SUMIF(Data!B:B, A132, Data!K:K)
/ (COUNTIF(Data!B:B, A132)
)),"")</f>
        <v/>
      </c>
      <c r="N132" s="34" t="str">
        <f t="shared" si="33"/>
        <v/>
      </c>
      <c r="O132" s="32" t="str">
        <f>IF(A132="","",IFERROR((((((SUMIF(Data!B:B, A132, Data!H:H)+(SUMIF(Data!B:B, A132,Data!G:G)+(SUMIF(Data!B:B, A132,Data!L:L)+(SUMIF(Data!B:B, A132,Data!K:K)))))/(SUMIF(Data!B:B, A132, Data!M:M)+(SUMIF(Data!B:B, A132, Data!H:H)+(SUMIF(Data!B:B, A132,Data!G:G)+(SUMIF(Data!B:B, A132,Data!K:K)+(SUMIF(Data!B:B, A132,Data!L:L)))))))))),0))</f>
        <v/>
      </c>
      <c r="P132" s="35" t="str">
        <f>IFERROR(__xludf.DUMMYFUNCTION("IFERROR(((COUNTIF(FILTER(Data!N:N,Data!B:B=A132),""TRAVERSE"")*15)+(COUNTIF(FILTER(Data!N:N,Data!B:B=A132),""HIGH"")*10)+(COUNTIF(FILTER(Data!N:N,Data!B:B=A132),""MIDDLE"")*6)+(COUNTIF(FILTER(Data!N:N,Data!B:B=A132),""LOW"")*4)) / (COUNTIF(Data!B:B, A132)"&amp;"),"""")"),"")</f>
        <v/>
      </c>
      <c r="Q132" s="31" t="str">
        <f>IFERROR(__xludf.DUMMYFUNCTION("IF(P132="""","""",Average(FIlter(('Convert Name to Number'!$F$422:$H1000),'Convert Name to Number'!$E$422:$E1000=$A132)))"),"")</f>
        <v/>
      </c>
      <c r="R132" s="36" t="str">
        <f t="shared" si="5"/>
        <v/>
      </c>
      <c r="S132" s="37" t="str">
        <f>IFERROR(__xludf.DUMMYFUNCTION("IFERROR((((COUNTIF(FILTER(Data!N:N,Data!B:B=A132),""TRAVERSE""))+(COUNTIF(FILTER(Data!N:N,Data!B:B=A132),""HIGH""))+(COUNTIF(FILTER(Data!N:N,Data!B:B=A132),""MIDDLE""))+(COUNTIF(FILTER(Data!N:N,Data!B:B=A132),""LOW"")))) / (((COUNTIF(Data!B:B, A132)))-(CO"&amp;"UNTIF(FILTER(Data!N:N,Data!B:B=A132),""NONE""))),IF(ISBLANK(A132),"""",0))"),"")</f>
        <v/>
      </c>
      <c r="T132" s="32" t="str">
        <f>IFERROR(__xludf.DUMMYFUNCTION("IFERROR((COUNTIF(FILTER(Data!N:N, Data!B:B=A132),""LOW"")) / (COUNTIF(Data!B:B, A132)),"""")"),"")</f>
        <v/>
      </c>
      <c r="U132" s="38" t="str">
        <f>IFERROR(__xludf.DUMMYFUNCTION("IFERROR((COUNTIF(FILTER(Data!N:N, Data!B:B=A132),""MIDDLE"")) / (COUNTIF(Data!B:B, A132)),"""")"),"")</f>
        <v/>
      </c>
      <c r="V132" s="38" t="str">
        <f>IFERROR(__xludf.DUMMYFUNCTION("IFERROR((COUNTIF(FILTER(Data!N:N, Data!B:B=A132),""HIGH"")) / (COUNTIF(Data!B:B, A132)),"""")"),"")</f>
        <v/>
      </c>
      <c r="W132" s="38" t="str">
        <f>IFERROR(__xludf.DUMMYFUNCTION("IFERROR((COUNTIF(FILTER(Data!N:N, Data!B:B=A132),""TRAVERSE"")) / (COUNTIF(Data!B:B, A132)),"""")"),"")</f>
        <v/>
      </c>
      <c r="X132" s="39" t="str">
        <f t="shared" si="6"/>
        <v/>
      </c>
      <c r="Y132" s="31" t="str">
        <f t="shared" si="7"/>
        <v/>
      </c>
      <c r="Z132" s="31" t="str">
        <f t="shared" si="8"/>
        <v/>
      </c>
      <c r="AA132" s="41" t="str">
        <f t="shared" si="9"/>
        <v/>
      </c>
      <c r="AB132" s="40" t="str">
        <f t="shared" si="34"/>
        <v/>
      </c>
      <c r="AC132" s="41" t="str">
        <f>IFERROR(__xludf.DUMMYFUNCTION("IF(AA132="""","""",MAX(Filter((Data!G:G+Data!K:K),Data!B:B=A132)))"),"")</f>
        <v/>
      </c>
      <c r="AD132" s="41" t="str">
        <f t="shared" si="11"/>
        <v/>
      </c>
      <c r="AE132" s="41" t="str">
        <f t="shared" si="12"/>
        <v/>
      </c>
      <c r="AF132" s="41" t="str">
        <f t="shared" si="13"/>
        <v/>
      </c>
      <c r="AG132" s="42" t="str">
        <f>IF(A132="","",(((AD132)*Picklist!$P$3)+((K132)*Picklist!$P$4)+(E132*Picklist!$P$5)+(N132*Picklist!$P$6)+(X132*Picklist!$P$7)+(R132*Picklist!$P$8)))</f>
        <v/>
      </c>
      <c r="AH132" s="43" t="str">
        <f>IF(A132="","",(((AD132)*Picklist!$P$14)+((K132)*Picklist!$P$15)+(E132*Picklist!$P$16)+(N132*Picklist!$P$17)+(X132*Picklist!$P$18)+(R132*Picklist!$P$19)))</f>
        <v/>
      </c>
      <c r="AI132" s="44" t="str">
        <f>IFERROR(__xludf.DUMMYFUNCTION("TEXTJOIN("", "",TRUE, FILTER(Data!P:P, Data!B:B=A132))"),"")</f>
        <v/>
      </c>
      <c r="AJ132" s="16" t="str">
        <f t="shared" si="14"/>
        <v/>
      </c>
      <c r="AK132" s="46" t="str">
        <f>IFERROR(__xludf.DUMMYFUNCTION("IF(A132&lt;&gt;"""",IFERROR(AVERAGE(FILTER('Defense Calculations'!BJ:CS,'Defense Calculations'!A:A=A132)),""""),"""")"),"")</f>
        <v/>
      </c>
      <c r="AM132" s="47"/>
      <c r="BC132" s="50" t="str">
        <f t="shared" si="35"/>
        <v/>
      </c>
    </row>
    <row r="133">
      <c r="A133" s="54"/>
      <c r="B133" s="30" t="str">
        <f>IFERROR(__xludf.DUMMYFUNCTION("IFERROR(ROUND(
(COUNTIF(FILTER(Data!O:O, Data!B:B=A133), ""Win"")
+ COUNTIF(FILTER(Data!O:O, Data!B:B=A133), {""Tie"",""Results""}))
/ (COUNTIF(Data!B:B, A133)),
1),"""")"),"")</f>
        <v/>
      </c>
      <c r="C133" s="31" t="str">
        <f>IFERROR((SUMIF(Data!B:B, A133, Data!H:H)
/ (COUNTIF(Data!B:B, A133)
)),"")</f>
        <v/>
      </c>
      <c r="D133" s="31" t="str">
        <f>IFERROR((SUMIF(Data!B:B, A133, Data!G:G)
/ (COUNTIF(Data!B:B, A133)
)),"")</f>
        <v/>
      </c>
      <c r="E133" s="31" t="str">
        <f t="shared" si="1"/>
        <v/>
      </c>
      <c r="F133" s="31" t="str">
        <f>IFERROR((SUMIF(Data!B:B, A133, Data!J:J)
/ (COUNTIF(Data!B:B, A133)
)),"")</f>
        <v/>
      </c>
      <c r="G133" s="32" t="str">
        <f>IF(A133="","",IFERROR((((((SUMIF(Data!B:B, A133, Data!H:H)+(SUMIF(Data!B:B, A133,Data!G:G)))/(SUMIF(Data!B:B, A133, Data!J:J)))))),0))</f>
        <v/>
      </c>
      <c r="H133" s="32" t="str">
        <f>IFERROR(__xludf.DUMMYFUNCTION("IFERROR(IF(G133="""","""",Average(FILTER(IF(Data!J:J&lt;3,((Data!G:G+Data!H:H)/Data!J:J),1),Data!B:B=A133))),"""")"),"")</f>
        <v/>
      </c>
      <c r="I133" s="31"/>
      <c r="J133" s="31"/>
      <c r="K133" s="31" t="str">
        <f t="shared" si="3"/>
        <v/>
      </c>
      <c r="L133" s="31" t="str">
        <f>IFERROR((SUMIF(Data!B:B, A133, Data!L:L)
/ (COUNTIF(Data!B:B, A133)
)),"")</f>
        <v/>
      </c>
      <c r="M133" s="31" t="str">
        <f>IFERROR((SUMIF(Data!B:B, A133, Data!K:K)
/ (COUNTIF(Data!B:B, A133)
)),"")</f>
        <v/>
      </c>
      <c r="N133" s="34" t="str">
        <f t="shared" si="33"/>
        <v/>
      </c>
      <c r="O133" s="32" t="str">
        <f>IF(A133="","",IFERROR((((((SUMIF(Data!B:B, A133, Data!H:H)+(SUMIF(Data!B:B, A133,Data!G:G)+(SUMIF(Data!B:B, A133,Data!L:L)+(SUMIF(Data!B:B, A133,Data!K:K)))))/(SUMIF(Data!B:B, A133, Data!M:M)+(SUMIF(Data!B:B, A133, Data!H:H)+(SUMIF(Data!B:B, A133,Data!G:G)+(SUMIF(Data!B:B, A133,Data!K:K)+(SUMIF(Data!B:B, A133,Data!L:L)))))))))),0))</f>
        <v/>
      </c>
      <c r="P133" s="35" t="str">
        <f>IFERROR(__xludf.DUMMYFUNCTION("IFERROR(((COUNTIF(FILTER(Data!N:N,Data!B:B=A133),""TRAVERSE"")*15)+(COUNTIF(FILTER(Data!N:N,Data!B:B=A133),""HIGH"")*10)+(COUNTIF(FILTER(Data!N:N,Data!B:B=A133),""MIDDLE"")*6)+(COUNTIF(FILTER(Data!N:N,Data!B:B=A133),""LOW"")*4)) / (COUNTIF(Data!B:B, A133)"&amp;"),"""")"),"")</f>
        <v/>
      </c>
      <c r="Q133" s="31" t="str">
        <f>IFERROR(__xludf.DUMMYFUNCTION("IF(P133="""","""",Average(FIlter(('Convert Name to Number'!$F$422:$H1000),'Convert Name to Number'!$E$422:$E1000=$A133)))"),"")</f>
        <v/>
      </c>
      <c r="R133" s="36" t="str">
        <f t="shared" si="5"/>
        <v/>
      </c>
      <c r="S133" s="37" t="str">
        <f>IFERROR(__xludf.DUMMYFUNCTION("IFERROR((((COUNTIF(FILTER(Data!N:N,Data!B:B=A133),""TRAVERSE""))+(COUNTIF(FILTER(Data!N:N,Data!B:B=A133),""HIGH""))+(COUNTIF(FILTER(Data!N:N,Data!B:B=A133),""MIDDLE""))+(COUNTIF(FILTER(Data!N:N,Data!B:B=A133),""LOW"")))) / (((COUNTIF(Data!B:B, A133)))-(CO"&amp;"UNTIF(FILTER(Data!N:N,Data!B:B=A133),""NONE""))),IF(ISBLANK(A133),"""",0))"),"")</f>
        <v/>
      </c>
      <c r="T133" s="32" t="str">
        <f>IFERROR(__xludf.DUMMYFUNCTION("IFERROR((COUNTIF(FILTER(Data!N:N, Data!B:B=A133),""LOW"")) / (COUNTIF(Data!B:B, A133)),"""")"),"")</f>
        <v/>
      </c>
      <c r="U133" s="38" t="str">
        <f>IFERROR(__xludf.DUMMYFUNCTION("IFERROR((COUNTIF(FILTER(Data!N:N, Data!B:B=A133),""MIDDLE"")) / (COUNTIF(Data!B:B, A133)),"""")"),"")</f>
        <v/>
      </c>
      <c r="V133" s="38" t="str">
        <f>IFERROR(__xludf.DUMMYFUNCTION("IFERROR((COUNTIF(FILTER(Data!N:N, Data!B:B=A133),""HIGH"")) / (COUNTIF(Data!B:B, A133)),"""")"),"")</f>
        <v/>
      </c>
      <c r="W133" s="38" t="str">
        <f>IFERROR(__xludf.DUMMYFUNCTION("IFERROR((COUNTIF(FILTER(Data!N:N, Data!B:B=A133),""TRAVERSE"")) / (COUNTIF(Data!B:B, A133)),"""")"),"")</f>
        <v/>
      </c>
      <c r="X133" s="39" t="str">
        <f t="shared" si="6"/>
        <v/>
      </c>
      <c r="Y133" s="31" t="str">
        <f t="shared" si="7"/>
        <v/>
      </c>
      <c r="Z133" s="31" t="str">
        <f t="shared" si="8"/>
        <v/>
      </c>
      <c r="AA133" s="41" t="str">
        <f t="shared" si="9"/>
        <v/>
      </c>
      <c r="AB133" s="40" t="str">
        <f t="shared" si="34"/>
        <v/>
      </c>
      <c r="AC133" s="41" t="str">
        <f>IFERROR(__xludf.DUMMYFUNCTION("IF(AA133="""","""",MAX(Filter((Data!G:G+Data!K:K),Data!B:B=A133)))"),"")</f>
        <v/>
      </c>
      <c r="AD133" s="41" t="str">
        <f t="shared" si="11"/>
        <v/>
      </c>
      <c r="AE133" s="41" t="str">
        <f t="shared" si="12"/>
        <v/>
      </c>
      <c r="AF133" s="41" t="str">
        <f t="shared" si="13"/>
        <v/>
      </c>
      <c r="AG133" s="42" t="str">
        <f>IF(A133="","",(((AD133)*Picklist!$P$3)+((K133)*Picklist!$P$4)+(E133*Picklist!$P$5)+(N133*Picklist!$P$6)+(X133*Picklist!$P$7)+(R133*Picklist!$P$8)))</f>
        <v/>
      </c>
      <c r="AH133" s="43" t="str">
        <f>IF(A133="","",(((AD133)*Picklist!$P$14)+((K133)*Picklist!$P$15)+(E133*Picklist!$P$16)+(N133*Picklist!$P$17)+(X133*Picklist!$P$18)+(R133*Picklist!$P$19)))</f>
        <v/>
      </c>
      <c r="AI133" s="44" t="str">
        <f>IFERROR(__xludf.DUMMYFUNCTION("TEXTJOIN("", "",TRUE, FILTER(Data!P:P, Data!B:B=A133))"),"")</f>
        <v/>
      </c>
      <c r="AJ133" s="16" t="str">
        <f t="shared" si="14"/>
        <v/>
      </c>
      <c r="AK133" s="46" t="str">
        <f>IFERROR(__xludf.DUMMYFUNCTION("IF(A133&lt;&gt;"""",IFERROR(AVERAGE(FILTER('Defense Calculations'!BJ:CS,'Defense Calculations'!A:A=A133)),""""),"""")"),"")</f>
        <v/>
      </c>
      <c r="AM133" s="47"/>
      <c r="BC133" s="50" t="str">
        <f t="shared" si="35"/>
        <v/>
      </c>
    </row>
    <row r="134">
      <c r="A134" s="54"/>
      <c r="B134" s="30" t="str">
        <f>IFERROR(__xludf.DUMMYFUNCTION("IFERROR(ROUND(
(COUNTIF(FILTER(Data!O:O, Data!B:B=A134), ""Win"")
+ COUNTIF(FILTER(Data!O:O, Data!B:B=A134), {""Tie"",""Results""}))
/ (COUNTIF(Data!B:B, A134)),
1),"""")"),"")</f>
        <v/>
      </c>
      <c r="C134" s="31" t="str">
        <f>IFERROR((SUMIF(Data!B:B, A134, Data!H:H)
/ (COUNTIF(Data!B:B, A134)
)),"")</f>
        <v/>
      </c>
      <c r="D134" s="31" t="str">
        <f>IFERROR((SUMIF(Data!B:B, A134, Data!G:G)
/ (COUNTIF(Data!B:B, A134)
)),"")</f>
        <v/>
      </c>
      <c r="E134" s="31" t="str">
        <f t="shared" si="1"/>
        <v/>
      </c>
      <c r="F134" s="31" t="str">
        <f>IFERROR((SUMIF(Data!B:B, A134, Data!J:J)
/ (COUNTIF(Data!B:B, A134)
)),"")</f>
        <v/>
      </c>
      <c r="G134" s="32" t="str">
        <f>IF(A134="","",IFERROR((((((SUMIF(Data!B:B, A134, Data!H:H)+(SUMIF(Data!B:B, A134,Data!G:G)))/(SUMIF(Data!B:B, A134, Data!J:J)))))),0))</f>
        <v/>
      </c>
      <c r="H134" s="32" t="str">
        <f>IFERROR(__xludf.DUMMYFUNCTION("IFERROR(IF(G134="""","""",Average(FILTER(IF(Data!J:J&lt;3,((Data!G:G+Data!H:H)/Data!J:J),1),Data!B:B=A134))),"""")"),"")</f>
        <v/>
      </c>
      <c r="I134" s="31"/>
      <c r="J134" s="31"/>
      <c r="K134" s="31" t="str">
        <f t="shared" si="3"/>
        <v/>
      </c>
      <c r="L134" s="31" t="str">
        <f>IFERROR((SUMIF(Data!B:B, A134, Data!L:L)
/ (COUNTIF(Data!B:B, A134)
)),"")</f>
        <v/>
      </c>
      <c r="M134" s="31" t="str">
        <f>IFERROR((SUMIF(Data!B:B, A134, Data!K:K)
/ (COUNTIF(Data!B:B, A134)
)),"")</f>
        <v/>
      </c>
      <c r="N134" s="34" t="str">
        <f t="shared" si="33"/>
        <v/>
      </c>
      <c r="O134" s="32" t="str">
        <f>IF(A134="","",IFERROR((((((SUMIF(Data!B:B, A134, Data!H:H)+(SUMIF(Data!B:B, A134,Data!G:G)+(SUMIF(Data!B:B, A134,Data!L:L)+(SUMIF(Data!B:B, A134,Data!K:K)))))/(SUMIF(Data!B:B, A134, Data!M:M)+(SUMIF(Data!B:B, A134, Data!H:H)+(SUMIF(Data!B:B, A134,Data!G:G)+(SUMIF(Data!B:B, A134,Data!K:K)+(SUMIF(Data!B:B, A134,Data!L:L)))))))))),0))</f>
        <v/>
      </c>
      <c r="P134" s="35" t="str">
        <f>IFERROR(__xludf.DUMMYFUNCTION("IFERROR(((COUNTIF(FILTER(Data!N:N,Data!B:B=A134),""TRAVERSE"")*15)+(COUNTIF(FILTER(Data!N:N,Data!B:B=A134),""HIGH"")*10)+(COUNTIF(FILTER(Data!N:N,Data!B:B=A134),""MIDDLE"")*6)+(COUNTIF(FILTER(Data!N:N,Data!B:B=A134),""LOW"")*4)) / (COUNTIF(Data!B:B, A134)"&amp;"),"""")"),"")</f>
        <v/>
      </c>
      <c r="Q134" s="31" t="str">
        <f>IFERROR(__xludf.DUMMYFUNCTION("IF(P134="""","""",Average(FIlter(('Convert Name to Number'!$F$422:$H1000),'Convert Name to Number'!$E$422:$E1000=$A134)))"),"")</f>
        <v/>
      </c>
      <c r="R134" s="36" t="str">
        <f t="shared" si="5"/>
        <v/>
      </c>
      <c r="S134" s="37" t="str">
        <f>IFERROR(__xludf.DUMMYFUNCTION("IFERROR((((COUNTIF(FILTER(Data!N:N,Data!B:B=A134),""TRAVERSE""))+(COUNTIF(FILTER(Data!N:N,Data!B:B=A134),""HIGH""))+(COUNTIF(FILTER(Data!N:N,Data!B:B=A134),""MIDDLE""))+(COUNTIF(FILTER(Data!N:N,Data!B:B=A134),""LOW"")))) / (((COUNTIF(Data!B:B, A134)))-(CO"&amp;"UNTIF(FILTER(Data!N:N,Data!B:B=A134),""NONE""))),IF(ISBLANK(A134),"""",0))"),"")</f>
        <v/>
      </c>
      <c r="T134" s="32" t="str">
        <f>IFERROR(__xludf.DUMMYFUNCTION("IFERROR((COUNTIF(FILTER(Data!N:N, Data!B:B=A134),""LOW"")) / (COUNTIF(Data!B:B, A134)),"""")"),"")</f>
        <v/>
      </c>
      <c r="U134" s="38" t="str">
        <f>IFERROR(__xludf.DUMMYFUNCTION("IFERROR((COUNTIF(FILTER(Data!N:N, Data!B:B=A134),""MIDDLE"")) / (COUNTIF(Data!B:B, A134)),"""")"),"")</f>
        <v/>
      </c>
      <c r="V134" s="38" t="str">
        <f>IFERROR(__xludf.DUMMYFUNCTION("IFERROR((COUNTIF(FILTER(Data!N:N, Data!B:B=A134),""HIGH"")) / (COUNTIF(Data!B:B, A134)),"""")"),"")</f>
        <v/>
      </c>
      <c r="W134" s="38" t="str">
        <f>IFERROR(__xludf.DUMMYFUNCTION("IFERROR((COUNTIF(FILTER(Data!N:N, Data!B:B=A134),""TRAVERSE"")) / (COUNTIF(Data!B:B, A134)),"""")"),"")</f>
        <v/>
      </c>
      <c r="X134" s="39" t="str">
        <f t="shared" si="6"/>
        <v/>
      </c>
      <c r="Y134" s="31" t="str">
        <f t="shared" si="7"/>
        <v/>
      </c>
      <c r="Z134" s="31" t="str">
        <f t="shared" si="8"/>
        <v/>
      </c>
      <c r="AA134" s="41" t="str">
        <f t="shared" si="9"/>
        <v/>
      </c>
      <c r="AB134" s="40" t="str">
        <f t="shared" si="34"/>
        <v/>
      </c>
      <c r="AC134" s="41" t="str">
        <f>IFERROR(__xludf.DUMMYFUNCTION("IF(AA134="""","""",MAX(Filter((Data!G:G+Data!K:K),Data!B:B=A134)))"),"")</f>
        <v/>
      </c>
      <c r="AD134" s="41" t="str">
        <f t="shared" si="11"/>
        <v/>
      </c>
      <c r="AE134" s="41" t="str">
        <f t="shared" si="12"/>
        <v/>
      </c>
      <c r="AF134" s="41" t="str">
        <f t="shared" si="13"/>
        <v/>
      </c>
      <c r="AG134" s="42" t="str">
        <f>IF(A134="","",(((AD134)*Picklist!$P$3)+((K134)*Picklist!$P$4)+(E134*Picklist!$P$5)+(N134*Picklist!$P$6)+(X134*Picklist!$P$7)+(R134*Picklist!$P$8)))</f>
        <v/>
      </c>
      <c r="AH134" s="43" t="str">
        <f>IF(A134="","",(((AD134)*Picklist!$P$14)+((K134)*Picklist!$P$15)+(E134*Picklist!$P$16)+(N134*Picklist!$P$17)+(X134*Picklist!$P$18)+(R134*Picklist!$P$19)))</f>
        <v/>
      </c>
      <c r="AI134" s="44" t="str">
        <f>IFERROR(__xludf.DUMMYFUNCTION("TEXTJOIN("", "",TRUE, FILTER(Data!P:P, Data!B:B=A134))"),"")</f>
        <v/>
      </c>
      <c r="AJ134" s="16" t="str">
        <f t="shared" si="14"/>
        <v/>
      </c>
      <c r="AK134" s="46" t="str">
        <f>IFERROR(__xludf.DUMMYFUNCTION("IF(A134&lt;&gt;"""",IFERROR(AVERAGE(FILTER('Defense Calculations'!BJ:CS,'Defense Calculations'!A:A=A134)),""""),"""")"),"")</f>
        <v/>
      </c>
      <c r="AM134" s="47"/>
      <c r="BC134" s="50" t="str">
        <f t="shared" si="35"/>
        <v/>
      </c>
    </row>
    <row r="135">
      <c r="A135" s="54"/>
      <c r="B135" s="30" t="str">
        <f>IFERROR(__xludf.DUMMYFUNCTION("IFERROR(ROUND(
(COUNTIF(FILTER(Data!O:O, Data!B:B=A135), ""Win"")
+ COUNTIF(FILTER(Data!O:O, Data!B:B=A135), {""Tie"",""Results""}))
/ (COUNTIF(Data!B:B, A135)),
1),"""")"),"")</f>
        <v/>
      </c>
      <c r="C135" s="31" t="str">
        <f>IFERROR((SUMIF(Data!B:B, A135, Data!H:H)
/ (COUNTIF(Data!B:B, A135)
)),"")</f>
        <v/>
      </c>
      <c r="D135" s="31" t="str">
        <f>IFERROR((SUMIF(Data!B:B, A135, Data!G:G)
/ (COUNTIF(Data!B:B, A135)
)),"")</f>
        <v/>
      </c>
      <c r="E135" s="31" t="str">
        <f t="shared" si="1"/>
        <v/>
      </c>
      <c r="F135" s="31" t="str">
        <f>IFERROR((SUMIF(Data!B:B, A135, Data!J:J)
/ (COUNTIF(Data!B:B, A135)
)),"")</f>
        <v/>
      </c>
      <c r="G135" s="32" t="str">
        <f>IF(A135="","",IFERROR((((((SUMIF(Data!B:B, A135, Data!H:H)+(SUMIF(Data!B:B, A135,Data!G:G)))/(SUMIF(Data!B:B, A135, Data!J:J)))))),0))</f>
        <v/>
      </c>
      <c r="H135" s="32" t="str">
        <f>IFERROR(__xludf.DUMMYFUNCTION("IFERROR(IF(G135="""","""",Average(FILTER(IF(Data!J:J&lt;3,((Data!G:G+Data!H:H)/Data!J:J),1),Data!B:B=A135))),"""")"),"")</f>
        <v/>
      </c>
      <c r="I135" s="31"/>
      <c r="J135" s="31"/>
      <c r="K135" s="31" t="str">
        <f t="shared" si="3"/>
        <v/>
      </c>
      <c r="L135" s="31" t="str">
        <f>IFERROR((SUMIF(Data!B:B, A135, Data!L:L)
/ (COUNTIF(Data!B:B, A135)
)),"")</f>
        <v/>
      </c>
      <c r="M135" s="31" t="str">
        <f>IFERROR((SUMIF(Data!B:B, A135, Data!K:K)
/ (COUNTIF(Data!B:B, A135)
)),"")</f>
        <v/>
      </c>
      <c r="N135" s="34" t="str">
        <f t="shared" si="33"/>
        <v/>
      </c>
      <c r="O135" s="32" t="str">
        <f>IF(A135="","",IFERROR((((((SUMIF(Data!B:B, A135, Data!H:H)+(SUMIF(Data!B:B, A135,Data!G:G)+(SUMIF(Data!B:B, A135,Data!L:L)+(SUMIF(Data!B:B, A135,Data!K:K)))))/(SUMIF(Data!B:B, A135, Data!M:M)+(SUMIF(Data!B:B, A135, Data!H:H)+(SUMIF(Data!B:B, A135,Data!G:G)+(SUMIF(Data!B:B, A135,Data!K:K)+(SUMIF(Data!B:B, A135,Data!L:L)))))))))),0))</f>
        <v/>
      </c>
      <c r="P135" s="35" t="str">
        <f>IFERROR(__xludf.DUMMYFUNCTION("IFERROR(((COUNTIF(FILTER(Data!N:N,Data!B:B=A135),""TRAVERSE"")*15)+(COUNTIF(FILTER(Data!N:N,Data!B:B=A135),""HIGH"")*10)+(COUNTIF(FILTER(Data!N:N,Data!B:B=A135),""MIDDLE"")*6)+(COUNTIF(FILTER(Data!N:N,Data!B:B=A135),""LOW"")*4)) / (COUNTIF(Data!B:B, A135)"&amp;"),"""")"),"")</f>
        <v/>
      </c>
      <c r="Q135" s="31" t="str">
        <f>IFERROR(__xludf.DUMMYFUNCTION("IF(P135="""","""",Average(FIlter(('Convert Name to Number'!$F$422:$H1000),'Convert Name to Number'!$E$422:$E1000=$A135)))"),"")</f>
        <v/>
      </c>
      <c r="R135" s="36" t="str">
        <f t="shared" si="5"/>
        <v/>
      </c>
      <c r="S135" s="37" t="str">
        <f>IFERROR(__xludf.DUMMYFUNCTION("IFERROR((((COUNTIF(FILTER(Data!N:N,Data!B:B=A135),""TRAVERSE""))+(COUNTIF(FILTER(Data!N:N,Data!B:B=A135),""HIGH""))+(COUNTIF(FILTER(Data!N:N,Data!B:B=A135),""MIDDLE""))+(COUNTIF(FILTER(Data!N:N,Data!B:B=A135),""LOW"")))) / (((COUNTIF(Data!B:B, A135)))-(CO"&amp;"UNTIF(FILTER(Data!N:N,Data!B:B=A135),""NONE""))),IF(ISBLANK(A135),"""",0))"),"")</f>
        <v/>
      </c>
      <c r="T135" s="32" t="str">
        <f>IFERROR(__xludf.DUMMYFUNCTION("IFERROR((COUNTIF(FILTER(Data!N:N, Data!B:B=A135),""LOW"")) / (COUNTIF(Data!B:B, A135)),"""")"),"")</f>
        <v/>
      </c>
      <c r="U135" s="38" t="str">
        <f>IFERROR(__xludf.DUMMYFUNCTION("IFERROR((COUNTIF(FILTER(Data!N:N, Data!B:B=A135),""MIDDLE"")) / (COUNTIF(Data!B:B, A135)),"""")"),"")</f>
        <v/>
      </c>
      <c r="V135" s="38" t="str">
        <f>IFERROR(__xludf.DUMMYFUNCTION("IFERROR((COUNTIF(FILTER(Data!N:N, Data!B:B=A135),""HIGH"")) / (COUNTIF(Data!B:B, A135)),"""")"),"")</f>
        <v/>
      </c>
      <c r="W135" s="38" t="str">
        <f>IFERROR(__xludf.DUMMYFUNCTION("IFERROR((COUNTIF(FILTER(Data!N:N, Data!B:B=A135),""TRAVERSE"")) / (COUNTIF(Data!B:B, A135)),"""")"),"")</f>
        <v/>
      </c>
      <c r="X135" s="39" t="str">
        <f t="shared" si="6"/>
        <v/>
      </c>
      <c r="Y135" s="31" t="str">
        <f t="shared" si="7"/>
        <v/>
      </c>
      <c r="Z135" s="31" t="str">
        <f t="shared" si="8"/>
        <v/>
      </c>
      <c r="AA135" s="41" t="str">
        <f t="shared" si="9"/>
        <v/>
      </c>
      <c r="AB135" s="40" t="str">
        <f t="shared" si="34"/>
        <v/>
      </c>
      <c r="AC135" s="41" t="str">
        <f>IFERROR(__xludf.DUMMYFUNCTION("IF(AA135="""","""",MAX(Filter((Data!G:G+Data!K:K),Data!B:B=A135)))"),"")</f>
        <v/>
      </c>
      <c r="AD135" s="41" t="str">
        <f t="shared" si="11"/>
        <v/>
      </c>
      <c r="AE135" s="41" t="str">
        <f t="shared" si="12"/>
        <v/>
      </c>
      <c r="AF135" s="41" t="str">
        <f t="shared" si="13"/>
        <v/>
      </c>
      <c r="AG135" s="42" t="str">
        <f>IF(A135="","",(((AD135)*Picklist!$P$3)+((K135)*Picklist!$P$4)+(E135*Picklist!$P$5)+(N135*Picklist!$P$6)+(X135*Picklist!$P$7)+(R135*Picklist!$P$8)))</f>
        <v/>
      </c>
      <c r="AH135" s="43" t="str">
        <f>IF(A135="","",(((AD135)*Picklist!$P$14)+((K135)*Picklist!$P$15)+(E135*Picklist!$P$16)+(N135*Picklist!$P$17)+(X135*Picklist!$P$18)+(R135*Picklist!$P$19)))</f>
        <v/>
      </c>
      <c r="AI135" s="44" t="str">
        <f>IFERROR(__xludf.DUMMYFUNCTION("TEXTJOIN("", "",TRUE, FILTER(Data!P:P, Data!B:B=A135))"),"")</f>
        <v/>
      </c>
      <c r="AJ135" s="16" t="str">
        <f t="shared" si="14"/>
        <v/>
      </c>
      <c r="AK135" s="46" t="str">
        <f>IFERROR(__xludf.DUMMYFUNCTION("IF(A135&lt;&gt;"""",IFERROR(AVERAGE(FILTER('Defense Calculations'!BJ:CS,'Defense Calculations'!A:A=A135)),""""),"""")"),"")</f>
        <v/>
      </c>
      <c r="AM135" s="47"/>
      <c r="BC135" s="50" t="str">
        <f t="shared" si="35"/>
        <v/>
      </c>
    </row>
    <row r="136">
      <c r="A136" s="54"/>
      <c r="B136" s="30" t="str">
        <f>IFERROR(__xludf.DUMMYFUNCTION("IFERROR(ROUND(
(COUNTIF(FILTER(Data!O:O, Data!B:B=A136), ""Win"")
+ COUNTIF(FILTER(Data!O:O, Data!B:B=A136), {""Tie"",""Results""}))
/ (COUNTIF(Data!B:B, A136)),
1),"""")"),"")</f>
        <v/>
      </c>
      <c r="C136" s="31" t="str">
        <f>IFERROR((SUMIF(Data!B:B, A136, Data!H:H)
/ (COUNTIF(Data!B:B, A136)
)),"")</f>
        <v/>
      </c>
      <c r="D136" s="31" t="str">
        <f>IFERROR((SUMIF(Data!B:B, A136, Data!G:G)
/ (COUNTIF(Data!B:B, A136)
)),"")</f>
        <v/>
      </c>
      <c r="E136" s="31" t="str">
        <f t="shared" si="1"/>
        <v/>
      </c>
      <c r="F136" s="31" t="str">
        <f>IFERROR((SUMIF(Data!B:B, A136, Data!J:J)
/ (COUNTIF(Data!B:B, A136)
)),"")</f>
        <v/>
      </c>
      <c r="G136" s="32" t="str">
        <f>IF(A136="","",IFERROR((((((SUMIF(Data!B:B, A136, Data!H:H)+(SUMIF(Data!B:B, A136,Data!G:G)))/(SUMIF(Data!B:B, A136, Data!J:J)))))),0))</f>
        <v/>
      </c>
      <c r="H136" s="32" t="str">
        <f>IFERROR(__xludf.DUMMYFUNCTION("IFERROR(IF(G136="""","""",Average(FILTER(IF(Data!J:J&lt;3,((Data!G:G+Data!H:H)/Data!J:J),1),Data!B:B=A136))),"""")"),"")</f>
        <v/>
      </c>
      <c r="I136" s="31"/>
      <c r="J136" s="31"/>
      <c r="K136" s="31" t="str">
        <f t="shared" si="3"/>
        <v/>
      </c>
      <c r="L136" s="31" t="str">
        <f>IFERROR((SUMIF(Data!B:B, A136, Data!L:L)
/ (COUNTIF(Data!B:B, A136)
)),"")</f>
        <v/>
      </c>
      <c r="M136" s="31" t="str">
        <f>IFERROR((SUMIF(Data!B:B, A136, Data!K:K)
/ (COUNTIF(Data!B:B, A136)
)),"")</f>
        <v/>
      </c>
      <c r="N136" s="34" t="str">
        <f t="shared" si="33"/>
        <v/>
      </c>
      <c r="O136" s="32" t="str">
        <f>IF(A136="","",IFERROR((((((SUMIF(Data!B:B, A136, Data!H:H)+(SUMIF(Data!B:B, A136,Data!G:G)+(SUMIF(Data!B:B, A136,Data!L:L)+(SUMIF(Data!B:B, A136,Data!K:K)))))/(SUMIF(Data!B:B, A136, Data!M:M)+(SUMIF(Data!B:B, A136, Data!H:H)+(SUMIF(Data!B:B, A136,Data!G:G)+(SUMIF(Data!B:B, A136,Data!K:K)+(SUMIF(Data!B:B, A136,Data!L:L)))))))))),0))</f>
        <v/>
      </c>
      <c r="P136" s="35" t="str">
        <f>IFERROR(__xludf.DUMMYFUNCTION("IFERROR(((COUNTIF(FILTER(Data!N:N,Data!B:B=A136),""TRAVERSE"")*15)+(COUNTIF(FILTER(Data!N:N,Data!B:B=A136),""HIGH"")*10)+(COUNTIF(FILTER(Data!N:N,Data!B:B=A136),""MIDDLE"")*6)+(COUNTIF(FILTER(Data!N:N,Data!B:B=A136),""LOW"")*4)) / (COUNTIF(Data!B:B, A136)"&amp;"),"""")"),"")</f>
        <v/>
      </c>
      <c r="Q136" s="31" t="str">
        <f>IFERROR(__xludf.DUMMYFUNCTION("IF(P136="""","""",Average(FIlter(('Convert Name to Number'!$F$422:$H1000),'Convert Name to Number'!$E$422:$E1000=$A136)))"),"")</f>
        <v/>
      </c>
      <c r="R136" s="36" t="str">
        <f t="shared" si="5"/>
        <v/>
      </c>
      <c r="S136" s="37" t="str">
        <f>IFERROR(__xludf.DUMMYFUNCTION("IFERROR((((COUNTIF(FILTER(Data!N:N,Data!B:B=A136),""TRAVERSE""))+(COUNTIF(FILTER(Data!N:N,Data!B:B=A136),""HIGH""))+(COUNTIF(FILTER(Data!N:N,Data!B:B=A136),""MIDDLE""))+(COUNTIF(FILTER(Data!N:N,Data!B:B=A136),""LOW"")))) / (((COUNTIF(Data!B:B, A136)))-(CO"&amp;"UNTIF(FILTER(Data!N:N,Data!B:B=A136),""NONE""))),IF(ISBLANK(A136),"""",0))"),"")</f>
        <v/>
      </c>
      <c r="T136" s="32" t="str">
        <f>IFERROR(__xludf.DUMMYFUNCTION("IFERROR((COUNTIF(FILTER(Data!N:N, Data!B:B=A136),""LOW"")) / (COUNTIF(Data!B:B, A136)),"""")"),"")</f>
        <v/>
      </c>
      <c r="U136" s="38" t="str">
        <f>IFERROR(__xludf.DUMMYFUNCTION("IFERROR((COUNTIF(FILTER(Data!N:N, Data!B:B=A136),""MIDDLE"")) / (COUNTIF(Data!B:B, A136)),"""")"),"")</f>
        <v/>
      </c>
      <c r="V136" s="38" t="str">
        <f>IFERROR(__xludf.DUMMYFUNCTION("IFERROR((COUNTIF(FILTER(Data!N:N, Data!B:B=A136),""HIGH"")) / (COUNTIF(Data!B:B, A136)),"""")"),"")</f>
        <v/>
      </c>
      <c r="W136" s="38" t="str">
        <f>IFERROR(__xludf.DUMMYFUNCTION("IFERROR((COUNTIF(FILTER(Data!N:N, Data!B:B=A136),""TRAVERSE"")) / (COUNTIF(Data!B:B, A136)),"""")"),"")</f>
        <v/>
      </c>
      <c r="X136" s="39" t="str">
        <f t="shared" si="6"/>
        <v/>
      </c>
      <c r="Y136" s="31" t="str">
        <f t="shared" si="7"/>
        <v/>
      </c>
      <c r="Z136" s="31" t="str">
        <f t="shared" si="8"/>
        <v/>
      </c>
      <c r="AA136" s="41" t="str">
        <f t="shared" si="9"/>
        <v/>
      </c>
      <c r="AB136" s="40" t="str">
        <f t="shared" si="34"/>
        <v/>
      </c>
      <c r="AC136" s="41" t="str">
        <f>IFERROR(__xludf.DUMMYFUNCTION("IF(AA136="""","""",MAX(Filter((Data!G:G+Data!K:K),Data!B:B=A136)))"),"")</f>
        <v/>
      </c>
      <c r="AD136" s="41" t="str">
        <f t="shared" si="11"/>
        <v/>
      </c>
      <c r="AE136" s="41" t="str">
        <f t="shared" si="12"/>
        <v/>
      </c>
      <c r="AF136" s="41" t="str">
        <f t="shared" si="13"/>
        <v/>
      </c>
      <c r="AG136" s="42" t="str">
        <f>IF(A136="","",(((AD136)*Picklist!$P$3)+((K136)*Picklist!$P$4)+(E136*Picklist!$P$5)+(N136*Picklist!$P$6)+(X136*Picklist!$P$7)+(R136*Picklist!$P$8)))</f>
        <v/>
      </c>
      <c r="AH136" s="43" t="str">
        <f>IF(A136="","",(((AD136)*Picklist!$P$14)+((K136)*Picklist!$P$15)+(E136*Picklist!$P$16)+(N136*Picklist!$P$17)+(X136*Picklist!$P$18)+(R136*Picklist!$P$19)))</f>
        <v/>
      </c>
      <c r="AI136" s="44" t="str">
        <f>IFERROR(__xludf.DUMMYFUNCTION("TEXTJOIN("", "",TRUE, FILTER(Data!P:P, Data!B:B=A136))"),"")</f>
        <v/>
      </c>
      <c r="AJ136" s="16" t="str">
        <f t="shared" si="14"/>
        <v/>
      </c>
      <c r="AK136" s="46" t="str">
        <f>IFERROR(__xludf.DUMMYFUNCTION("IF(A136&lt;&gt;"""",IFERROR(AVERAGE(FILTER('Defense Calculations'!BJ:CS,'Defense Calculations'!A:A=A136)),""""),"""")"),"")</f>
        <v/>
      </c>
      <c r="AM136" s="47"/>
      <c r="BC136" s="50"/>
    </row>
    <row r="137">
      <c r="A137" s="54"/>
      <c r="B137" s="30" t="str">
        <f>IFERROR(__xludf.DUMMYFUNCTION("IFERROR(ROUND(
(COUNTIF(FILTER(Data!O:O, Data!B:B=A137), ""Win"")
+ COUNTIF(FILTER(Data!O:O, Data!B:B=A137), {""Tie"",""Results""}))
/ (COUNTIF(Data!B:B, A137)),
1),"""")"),"")</f>
        <v/>
      </c>
      <c r="C137" s="31" t="str">
        <f>IFERROR((SUMIF(Data!B:B, A137, Data!H:H)
/ (COUNTIF(Data!B:B, A137)
)),"")</f>
        <v/>
      </c>
      <c r="D137" s="31" t="str">
        <f>IFERROR((SUMIF(Data!B:B, A137, Data!G:G)
/ (COUNTIF(Data!B:B, A137)
)),"")</f>
        <v/>
      </c>
      <c r="E137" s="31" t="str">
        <f t="shared" si="1"/>
        <v/>
      </c>
      <c r="F137" s="31" t="str">
        <f>IFERROR((SUMIF(Data!B:B, A137, Data!J:J)
/ (COUNTIF(Data!B:B, A137)
)),"")</f>
        <v/>
      </c>
      <c r="G137" s="32" t="str">
        <f>IF(A137="","",IFERROR((((((SUMIF(Data!B:B, A137, Data!H:H)+(SUMIF(Data!B:B, A137,Data!G:G)))/(SUMIF(Data!B:B, A137, Data!J:J)))))),0))</f>
        <v/>
      </c>
      <c r="H137" s="32" t="str">
        <f>IFERROR(__xludf.DUMMYFUNCTION("IFERROR(IF(G137="""","""",Average(FILTER(IF(Data!J:J&lt;3,((Data!G:G+Data!H:H)/Data!J:J),1),Data!B:B=A137))),"""")"),"")</f>
        <v/>
      </c>
      <c r="I137" s="31"/>
      <c r="J137" s="31"/>
      <c r="K137" s="31" t="str">
        <f t="shared" si="3"/>
        <v/>
      </c>
      <c r="L137" s="31" t="str">
        <f>IFERROR((SUMIF(Data!B:B, A137, Data!L:L)
/ (COUNTIF(Data!B:B, A137)
)),"")</f>
        <v/>
      </c>
      <c r="M137" s="31" t="str">
        <f>IFERROR((SUMIF(Data!B:B, A137, Data!K:K)
/ (COUNTIF(Data!B:B, A137)
)),"")</f>
        <v/>
      </c>
      <c r="N137" s="34" t="str">
        <f t="shared" si="33"/>
        <v/>
      </c>
      <c r="O137" s="32" t="str">
        <f>IF(A137="","",IFERROR((((((SUMIF(Data!B:B, A137, Data!H:H)+(SUMIF(Data!B:B, A137,Data!G:G)+(SUMIF(Data!B:B, A137,Data!L:L)+(SUMIF(Data!B:B, A137,Data!K:K)))))/(SUMIF(Data!B:B, A137, Data!M:M)+(SUMIF(Data!B:B, A137, Data!H:H)+(SUMIF(Data!B:B, A137,Data!G:G)+(SUMIF(Data!B:B, A137,Data!K:K)+(SUMIF(Data!B:B, A137,Data!L:L)))))))))),0))</f>
        <v/>
      </c>
      <c r="P137" s="35" t="str">
        <f>IFERROR(__xludf.DUMMYFUNCTION("IFERROR(((COUNTIF(FILTER(Data!N:N,Data!B:B=A137),""TRAVERSE"")*15)+(COUNTIF(FILTER(Data!N:N,Data!B:B=A137),""HIGH"")*10)+(COUNTIF(FILTER(Data!N:N,Data!B:B=A137),""MIDDLE"")*6)+(COUNTIF(FILTER(Data!N:N,Data!B:B=A137),""LOW"")*4)) / (COUNTIF(Data!B:B, A137)"&amp;"),"""")"),"")</f>
        <v/>
      </c>
      <c r="Q137" s="31" t="str">
        <f>IFERROR(__xludf.DUMMYFUNCTION("IF(P137="""","""",Average(FIlter(('Convert Name to Number'!$F$422:$H1000),'Convert Name to Number'!$E$422:$E1000=$A137)))"),"")</f>
        <v/>
      </c>
      <c r="R137" s="36" t="str">
        <f t="shared" si="5"/>
        <v/>
      </c>
      <c r="S137" s="37" t="str">
        <f>IFERROR(__xludf.DUMMYFUNCTION("IFERROR((((COUNTIF(FILTER(Data!N:N,Data!B:B=A137),""TRAVERSE""))+(COUNTIF(FILTER(Data!N:N,Data!B:B=A137),""HIGH""))+(COUNTIF(FILTER(Data!N:N,Data!B:B=A137),""MIDDLE""))+(COUNTIF(FILTER(Data!N:N,Data!B:B=A137),""LOW"")))) / (((COUNTIF(Data!B:B, A137)))-(CO"&amp;"UNTIF(FILTER(Data!N:N,Data!B:B=A137),""NONE""))),IF(ISBLANK(A137),"""",0))"),"")</f>
        <v/>
      </c>
      <c r="T137" s="32" t="str">
        <f>IFERROR(__xludf.DUMMYFUNCTION("IFERROR((COUNTIF(FILTER(Data!N:N, Data!B:B=A137),""LOW"")) / (COUNTIF(Data!B:B, A137)),"""")"),"")</f>
        <v/>
      </c>
      <c r="U137" s="38" t="str">
        <f>IFERROR(__xludf.DUMMYFUNCTION("IFERROR((COUNTIF(FILTER(Data!N:N, Data!B:B=A137),""MIDDLE"")) / (COUNTIF(Data!B:B, A137)),"""")"),"")</f>
        <v/>
      </c>
      <c r="V137" s="38" t="str">
        <f>IFERROR(__xludf.DUMMYFUNCTION("IFERROR((COUNTIF(FILTER(Data!N:N, Data!B:B=A137),""HIGH"")) / (COUNTIF(Data!B:B, A137)),"""")"),"")</f>
        <v/>
      </c>
      <c r="W137" s="38" t="str">
        <f>IFERROR(__xludf.DUMMYFUNCTION("IFERROR((COUNTIF(FILTER(Data!N:N, Data!B:B=A137),""TRAVERSE"")) / (COUNTIF(Data!B:B, A137)),"""")"),"")</f>
        <v/>
      </c>
      <c r="X137" s="39" t="str">
        <f t="shared" si="6"/>
        <v/>
      </c>
      <c r="Y137" s="31" t="str">
        <f t="shared" si="7"/>
        <v/>
      </c>
      <c r="Z137" s="31" t="str">
        <f t="shared" si="8"/>
        <v/>
      </c>
      <c r="AA137" s="41" t="str">
        <f t="shared" si="9"/>
        <v/>
      </c>
      <c r="AB137" s="40" t="str">
        <f t="shared" si="34"/>
        <v/>
      </c>
      <c r="AC137" s="41" t="str">
        <f>IFERROR(__xludf.DUMMYFUNCTION("IF(AA137="""","""",MAX(Filter((Data!G:G+Data!K:K),Data!B:B=A137)))"),"")</f>
        <v/>
      </c>
      <c r="AD137" s="41" t="str">
        <f t="shared" si="11"/>
        <v/>
      </c>
      <c r="AE137" s="41" t="str">
        <f t="shared" si="12"/>
        <v/>
      </c>
      <c r="AF137" s="41" t="str">
        <f t="shared" si="13"/>
        <v/>
      </c>
      <c r="AG137" s="42" t="str">
        <f>IF(A137="","",(((AD137)*Picklist!$P$3)+((K137)*Picklist!$P$4)+(E137*Picklist!$P$5)+(N137*Picklist!$P$6)+(X137*Picklist!$P$7)+(R137*Picklist!$P$8)))</f>
        <v/>
      </c>
      <c r="AH137" s="43" t="str">
        <f>IF(A137="","",(((AD137)*Picklist!$P$14)+((K137)*Picklist!$P$15)+(E137*Picklist!$P$16)+(N137*Picklist!$P$17)+(X137*Picklist!$P$18)+(R137*Picklist!$P$19)))</f>
        <v/>
      </c>
      <c r="AI137" s="44" t="str">
        <f>IFERROR(__xludf.DUMMYFUNCTION("TEXTJOIN("", "",TRUE, FILTER(Data!P:P, Data!B:B=A137))"),"")</f>
        <v/>
      </c>
      <c r="AJ137" s="16" t="str">
        <f t="shared" si="14"/>
        <v/>
      </c>
      <c r="AK137" s="46" t="str">
        <f>IFERROR(__xludf.DUMMYFUNCTION("IF(A137&lt;&gt;"""",IFERROR(AVERAGE(FILTER('Defense Calculations'!BJ:CS,'Defense Calculations'!A:A=A137)),""""),"""")"),"")</f>
        <v/>
      </c>
      <c r="AM137" s="47"/>
      <c r="BC137" s="50"/>
    </row>
    <row r="138">
      <c r="A138" s="54"/>
      <c r="B138" s="30" t="str">
        <f>IFERROR(__xludf.DUMMYFUNCTION("IFERROR(ROUND(
(COUNTIF(FILTER(Data!O:O, Data!B:B=A138), ""Win"")
+ COUNTIF(FILTER(Data!O:O, Data!B:B=A138), {""Tie"",""Results""}))
/ (COUNTIF(Data!B:B, A138)),
1),"""")"),"")</f>
        <v/>
      </c>
      <c r="C138" s="31" t="str">
        <f>IFERROR((SUMIF(Data!B:B, A138, Data!H:H)
/ (COUNTIF(Data!B:B, A138)
)),"")</f>
        <v/>
      </c>
      <c r="D138" s="31" t="str">
        <f>IFERROR((SUMIF(Data!B:B, A138, Data!G:G)
/ (COUNTIF(Data!B:B, A138)
)),"")</f>
        <v/>
      </c>
      <c r="E138" s="31" t="str">
        <f t="shared" si="1"/>
        <v/>
      </c>
      <c r="F138" s="31" t="str">
        <f>IFERROR((SUMIF(Data!B:B, A138, Data!J:J)
/ (COUNTIF(Data!B:B, A138)
)),"")</f>
        <v/>
      </c>
      <c r="G138" s="32" t="str">
        <f>IF(A138="","",IFERROR((((((SUMIF(Data!B:B, A138, Data!H:H)+(SUMIF(Data!B:B, A138,Data!G:G)))/(SUMIF(Data!B:B, A138, Data!J:J)))))),0))</f>
        <v/>
      </c>
      <c r="H138" s="32" t="str">
        <f>IFERROR(__xludf.DUMMYFUNCTION("IFERROR(IF(G138="""","""",Average(FILTER(IF(Data!J:J&lt;3,((Data!G:G+Data!H:H)/Data!J:J),1),Data!B:B=A138))),"""")"),"")</f>
        <v/>
      </c>
      <c r="I138" s="31"/>
      <c r="J138" s="31"/>
      <c r="K138" s="31" t="str">
        <f t="shared" si="3"/>
        <v/>
      </c>
      <c r="L138" s="31" t="str">
        <f>IFERROR((SUMIF(Data!B:B, A138, Data!L:L)
/ (COUNTIF(Data!B:B, A138)
)),"")</f>
        <v/>
      </c>
      <c r="M138" s="31" t="str">
        <f>IFERROR((SUMIF(Data!B:B, A138, Data!K:K)
/ (COUNTIF(Data!B:B, A138)
)),"")</f>
        <v/>
      </c>
      <c r="N138" s="34" t="str">
        <f t="shared" si="33"/>
        <v/>
      </c>
      <c r="O138" s="32" t="str">
        <f>IF(A138="","",IFERROR((((((SUMIF(Data!B:B, A138, Data!H:H)+(SUMIF(Data!B:B, A138,Data!G:G)+(SUMIF(Data!B:B, A138,Data!L:L)+(SUMIF(Data!B:B, A138,Data!K:K)))))/(SUMIF(Data!B:B, A138, Data!M:M)+(SUMIF(Data!B:B, A138, Data!H:H)+(SUMIF(Data!B:B, A138,Data!G:G)+(SUMIF(Data!B:B, A138,Data!K:K)+(SUMIF(Data!B:B, A138,Data!L:L)))))))))),0))</f>
        <v/>
      </c>
      <c r="P138" s="35" t="str">
        <f>IFERROR(__xludf.DUMMYFUNCTION("IFERROR(((COUNTIF(FILTER(Data!N:N,Data!B:B=A138),""TRAVERSE"")*15)+(COUNTIF(FILTER(Data!N:N,Data!B:B=A138),""HIGH"")*10)+(COUNTIF(FILTER(Data!N:N,Data!B:B=A138),""MIDDLE"")*6)+(COUNTIF(FILTER(Data!N:N,Data!B:B=A138),""LOW"")*4)) / (COUNTIF(Data!B:B, A138)"&amp;"),"""")"),"")</f>
        <v/>
      </c>
      <c r="Q138" s="31" t="str">
        <f>IFERROR(__xludf.DUMMYFUNCTION("IF(P138="""","""",Average(FIlter(('Convert Name to Number'!$F$422:$H1000),'Convert Name to Number'!$E$422:$E1000=$A138)))"),"")</f>
        <v/>
      </c>
      <c r="R138" s="36" t="str">
        <f t="shared" si="5"/>
        <v/>
      </c>
      <c r="S138" s="37" t="str">
        <f>IFERROR(__xludf.DUMMYFUNCTION("IFERROR((((COUNTIF(FILTER(Data!N:N,Data!B:B=A138),""TRAVERSE""))+(COUNTIF(FILTER(Data!N:N,Data!B:B=A138),""HIGH""))+(COUNTIF(FILTER(Data!N:N,Data!B:B=A138),""MIDDLE""))+(COUNTIF(FILTER(Data!N:N,Data!B:B=A138),""LOW"")))) / (((COUNTIF(Data!B:B, A138)))-(CO"&amp;"UNTIF(FILTER(Data!N:N,Data!B:B=A138),""NONE""))),IF(ISBLANK(A138),"""",0))"),"")</f>
        <v/>
      </c>
      <c r="T138" s="32" t="str">
        <f>IFERROR(__xludf.DUMMYFUNCTION("IFERROR((COUNTIF(FILTER(Data!N:N, Data!B:B=A138),""LOW"")) / (COUNTIF(Data!B:B, A138)),"""")"),"")</f>
        <v/>
      </c>
      <c r="U138" s="38" t="str">
        <f>IFERROR(__xludf.DUMMYFUNCTION("IFERROR((COUNTIF(FILTER(Data!N:N, Data!B:B=A138),""MIDDLE"")) / (COUNTIF(Data!B:B, A138)),"""")"),"")</f>
        <v/>
      </c>
      <c r="V138" s="38" t="str">
        <f>IFERROR(__xludf.DUMMYFUNCTION("IFERROR((COUNTIF(FILTER(Data!N:N, Data!B:B=A138),""HIGH"")) / (COUNTIF(Data!B:B, A138)),"""")"),"")</f>
        <v/>
      </c>
      <c r="W138" s="38" t="str">
        <f>IFERROR(__xludf.DUMMYFUNCTION("IFERROR((COUNTIF(FILTER(Data!N:N, Data!B:B=A138),""TRAVERSE"")) / (COUNTIF(Data!B:B, A138)),"""")"),"")</f>
        <v/>
      </c>
      <c r="X138" s="39" t="str">
        <f t="shared" si="6"/>
        <v/>
      </c>
      <c r="Y138" s="31" t="str">
        <f t="shared" si="7"/>
        <v/>
      </c>
      <c r="Z138" s="31" t="str">
        <f t="shared" si="8"/>
        <v/>
      </c>
      <c r="AA138" s="41" t="str">
        <f t="shared" si="9"/>
        <v/>
      </c>
      <c r="AB138" s="40" t="str">
        <f t="shared" si="34"/>
        <v/>
      </c>
      <c r="AC138" s="41" t="str">
        <f>IFERROR(__xludf.DUMMYFUNCTION("IF(AA138="""","""",MAX(Filter((Data!G:G+Data!K:K),Data!B:B=A138)))"),"")</f>
        <v/>
      </c>
      <c r="AD138" s="41" t="str">
        <f t="shared" si="11"/>
        <v/>
      </c>
      <c r="AE138" s="41" t="str">
        <f t="shared" si="12"/>
        <v/>
      </c>
      <c r="AF138" s="41" t="str">
        <f t="shared" si="13"/>
        <v/>
      </c>
      <c r="AG138" s="42" t="str">
        <f>IF(A138="","",(((AD138)*Picklist!$P$3)+((K138)*Picklist!$P$4)+(E138*Picklist!$P$5)+(N138*Picklist!$P$6)+(X138*Picklist!$P$7)+(R138*Picklist!$P$8)))</f>
        <v/>
      </c>
      <c r="AH138" s="43" t="str">
        <f>IF(A138="","",(((AD138)*Picklist!$P$14)+((K138)*Picklist!$P$15)+(E138*Picklist!$P$16)+(N138*Picklist!$P$17)+(X138*Picklist!$P$18)+(R138*Picklist!$P$19)))</f>
        <v/>
      </c>
      <c r="AI138" s="44" t="str">
        <f>IFERROR(__xludf.DUMMYFUNCTION("TEXTJOIN("", "",TRUE, FILTER(Data!P:P, Data!B:B=A138))"),"")</f>
        <v/>
      </c>
      <c r="AJ138" s="16" t="str">
        <f t="shared" si="14"/>
        <v/>
      </c>
      <c r="AK138" s="46" t="str">
        <f>IFERROR(__xludf.DUMMYFUNCTION("IF(A138&lt;&gt;"""",IFERROR(AVERAGE(FILTER('Defense Calculations'!BJ:CS,'Defense Calculations'!A:A=A138)),""""),"""")"),"")</f>
        <v/>
      </c>
      <c r="AM138" s="47"/>
      <c r="BC138" s="50"/>
    </row>
    <row r="139">
      <c r="A139" s="54"/>
      <c r="B139" s="30" t="str">
        <f>IFERROR(__xludf.DUMMYFUNCTION("IFERROR(ROUND(
(COUNTIF(FILTER(Data!O:O, Data!B:B=A139), ""Win"")
+ COUNTIF(FILTER(Data!O:O, Data!B:B=A139), {""Tie"",""Results""}))
/ (COUNTIF(Data!B:B, A139)),
1),"""")"),"")</f>
        <v/>
      </c>
      <c r="C139" s="31" t="str">
        <f>IFERROR((SUMIF(Data!B:B, A139, Data!H:H)
/ (COUNTIF(Data!B:B, A139)
)),"")</f>
        <v/>
      </c>
      <c r="D139" s="31" t="str">
        <f>IFERROR((SUMIF(Data!B:B, A139, Data!G:G)
/ (COUNTIF(Data!B:B, A139)
)),"")</f>
        <v/>
      </c>
      <c r="E139" s="31" t="str">
        <f t="shared" si="1"/>
        <v/>
      </c>
      <c r="F139" s="31" t="str">
        <f>IFERROR((SUMIF(Data!B:B, A139, Data!J:J)
/ (COUNTIF(Data!B:B, A139)
)),"")</f>
        <v/>
      </c>
      <c r="G139" s="32" t="str">
        <f>IF(A139="","",IFERROR((((((SUMIF(Data!B:B, A139, Data!H:H)+(SUMIF(Data!B:B, A139,Data!G:G)))/(SUMIF(Data!B:B, A139, Data!J:J)))))),0))</f>
        <v/>
      </c>
      <c r="H139" s="32" t="str">
        <f>IFERROR(__xludf.DUMMYFUNCTION("IFERROR(IF(G139="""","""",Average(FILTER(IF(Data!J:J&lt;3,((Data!G:G+Data!H:H)/Data!J:J),1),Data!B:B=A139))),"""")"),"")</f>
        <v/>
      </c>
      <c r="I139" s="31"/>
      <c r="J139" s="31"/>
      <c r="K139" s="31" t="str">
        <f t="shared" si="3"/>
        <v/>
      </c>
      <c r="L139" s="31" t="str">
        <f>IFERROR((SUMIF(Data!B:B, A139, Data!L:L)
/ (COUNTIF(Data!B:B, A139)
)),"")</f>
        <v/>
      </c>
      <c r="M139" s="31" t="str">
        <f>IFERROR((SUMIF(Data!B:B, A139, Data!K:K)
/ (COUNTIF(Data!B:B, A139)
)),"")</f>
        <v/>
      </c>
      <c r="N139" s="34" t="str">
        <f t="shared" ref="N139:N145" si="36">IF(M139="","",((M139-$AX$3)/$AX$5))</f>
        <v/>
      </c>
      <c r="O139" s="32" t="str">
        <f>IF(A139="","",IFERROR((((((SUMIF(Data!B:B, A139, Data!H:H)+(SUMIF(Data!B:B, A139,Data!G:G)+(SUMIF(Data!B:B, A139,Data!L:L)+(SUMIF(Data!B:B, A139,Data!K:K)))))/(SUMIF(Data!B:B, A139, Data!M:M)+(SUMIF(Data!B:B, A139, Data!H:H)+(SUMIF(Data!B:B, A139,Data!G:G)+(SUMIF(Data!B:B, A139,Data!K:K)+(SUMIF(Data!B:B, A139,Data!L:L)))))))))),0))</f>
        <v/>
      </c>
      <c r="P139" s="35" t="str">
        <f>IFERROR(__xludf.DUMMYFUNCTION("IFERROR(((COUNTIF(FILTER(Data!N:N,Data!B:B=A139),""TRAVERSE"")*15)+(COUNTIF(FILTER(Data!N:N,Data!B:B=A139),""HIGH"")*10)+(COUNTIF(FILTER(Data!N:N,Data!B:B=A139),""MIDDLE"")*6)+(COUNTIF(FILTER(Data!N:N,Data!B:B=A139),""LOW"")*4)) / (COUNTIF(Data!B:B, A139)"&amp;"),"""")"),"")</f>
        <v/>
      </c>
      <c r="Q139" s="31" t="str">
        <f>IFERROR(__xludf.DUMMYFUNCTION("IF(P139="""","""",Average(FIlter(('Convert Name to Number'!$F$422:$H1000),'Convert Name to Number'!$E$422:$E1000=$A139)))"),"")</f>
        <v/>
      </c>
      <c r="R139" s="36" t="str">
        <f t="shared" ref="R139:R355" si="37">IF(P139="","",(Q139-$AV$3)/$AV$5)</f>
        <v/>
      </c>
      <c r="S139" s="37" t="str">
        <f>IFERROR(__xludf.DUMMYFUNCTION("IFERROR((((COUNTIF(FILTER(Data!N:N,Data!B:B=A139),""TRAVERSE""))+(COUNTIF(FILTER(Data!N:N,Data!B:B=A139),""HIGH""))+(COUNTIF(FILTER(Data!N:N,Data!B:B=A139),""MIDDLE""))+(COUNTIF(FILTER(Data!N:N,Data!B:B=A139),""LOW"")))) / (((COUNTIF(Data!B:B, A139)))-(CO"&amp;"UNTIF(FILTER(Data!N:N,Data!B:B=A139),""NONE""))),IF(ISBLANK(A139),"""",0))"),"")</f>
        <v/>
      </c>
      <c r="T139" s="32" t="str">
        <f>IFERROR(__xludf.DUMMYFUNCTION("IFERROR((COUNTIF(FILTER(Data!N:N, Data!B:B=A139),""LOW"")) / (COUNTIF(Data!B:B, A139)),"""")"),"")</f>
        <v/>
      </c>
      <c r="U139" s="38" t="str">
        <f>IFERROR(__xludf.DUMMYFUNCTION("IFERROR((COUNTIF(FILTER(Data!N:N, Data!B:B=A139),""MIDDLE"")) / (COUNTIF(Data!B:B, A139)),"""")"),"")</f>
        <v/>
      </c>
      <c r="V139" s="38" t="str">
        <f>IFERROR(__xludf.DUMMYFUNCTION("IFERROR((COUNTIF(FILTER(Data!N:N, Data!B:B=A139),""HIGH"")) / (COUNTIF(Data!B:B, A139)),"""")"),"")</f>
        <v/>
      </c>
      <c r="W139" s="38" t="str">
        <f>IFERROR(__xludf.DUMMYFUNCTION("IFERROR((COUNTIF(FILTER(Data!N:N, Data!B:B=A139),""TRAVERSE"")) / (COUNTIF(Data!B:B, A139)),"""")"),"")</f>
        <v/>
      </c>
      <c r="X139" s="39" t="str">
        <f t="shared" ref="X139:X258" si="38">IF(W139="","",(W139-$AT$3)/$AT$5)</f>
        <v/>
      </c>
      <c r="Y139" s="31" t="str">
        <f t="shared" si="7"/>
        <v/>
      </c>
      <c r="Z139" s="31" t="str">
        <f t="shared" si="8"/>
        <v/>
      </c>
      <c r="AA139" s="41" t="str">
        <f t="shared" si="9"/>
        <v/>
      </c>
      <c r="AB139" s="40" t="str">
        <f t="shared" si="34"/>
        <v/>
      </c>
      <c r="AC139" s="41" t="str">
        <f>IFERROR(__xludf.DUMMYFUNCTION("IF(AA139="""","""",MAX(Filter((Data!G:G+Data!K:K),Data!B:B=A139)))"),"")</f>
        <v/>
      </c>
      <c r="AD139" s="41" t="str">
        <f t="shared" si="11"/>
        <v/>
      </c>
      <c r="AE139" s="41" t="str">
        <f t="shared" si="12"/>
        <v/>
      </c>
      <c r="AF139" s="41" t="str">
        <f t="shared" si="13"/>
        <v/>
      </c>
      <c r="AG139" s="42" t="str">
        <f>IF(A139="","",(((AD139)*Picklist!$P$3)+((K139)*Picklist!$P$4)+(E139*Picklist!$P$5)+(N139*Picklist!$P$6)+(X139*Picklist!$P$7)+(R139*Picklist!$P$8)))</f>
        <v/>
      </c>
      <c r="AH139" s="43" t="str">
        <f>IF(A139="","",(((AD139)*Picklist!$P$14)+((K139)*Picklist!$P$15)+(E139*Picklist!$P$16)+(N139*Picklist!$P$17)+(X139*Picklist!$P$18)+(R139*Picklist!$P$19)))</f>
        <v/>
      </c>
      <c r="AI139" s="44" t="str">
        <f>IFERROR(__xludf.DUMMYFUNCTION("TEXTJOIN("", "",TRUE, FILTER(Data!P:P, Data!B:B=A139))"),"")</f>
        <v/>
      </c>
      <c r="AJ139" s="16" t="str">
        <f t="shared" si="14"/>
        <v/>
      </c>
      <c r="AK139" s="46" t="str">
        <f>IFERROR(__xludf.DUMMYFUNCTION("IF(A139&lt;&gt;"""",IFERROR(AVERAGE(FILTER('Defense Calculations'!BJ:CS,'Defense Calculations'!A:A=A139)),""""),"""")"),"")</f>
        <v/>
      </c>
      <c r="AM139" s="47"/>
      <c r="BC139" s="50"/>
    </row>
    <row r="140">
      <c r="A140" s="54"/>
      <c r="B140" s="30" t="str">
        <f>IFERROR(__xludf.DUMMYFUNCTION("IFERROR(ROUND(
(COUNTIF(FILTER(Data!O:O, Data!B:B=A140), ""Win"")
+ COUNTIF(FILTER(Data!O:O, Data!B:B=A140), {""Tie"",""Results""}))
/ (COUNTIF(Data!B:B, A140)),
1),"""")"),"")</f>
        <v/>
      </c>
      <c r="C140" s="31" t="str">
        <f>IFERROR((SUMIF(Data!B:B, A140, Data!H:H)
/ (COUNTIF(Data!B:B, A140)
)),"")</f>
        <v/>
      </c>
      <c r="D140" s="31" t="str">
        <f>IFERROR((SUMIF(Data!B:B, A140, Data!G:G)
/ (COUNTIF(Data!B:B, A140)
)),"")</f>
        <v/>
      </c>
      <c r="E140" s="31" t="str">
        <f t="shared" si="1"/>
        <v/>
      </c>
      <c r="F140" s="31" t="str">
        <f>IFERROR((SUMIF(Data!B:B, A140, Data!J:J)
/ (COUNTIF(Data!B:B, A140)
)),"")</f>
        <v/>
      </c>
      <c r="G140" s="32" t="str">
        <f>IF(A140="","",IFERROR((((((SUMIF(Data!B:B, A140, Data!H:H)+(SUMIF(Data!B:B, A140,Data!G:G)))/(SUMIF(Data!B:B, A140, Data!J:J)))))),0))</f>
        <v/>
      </c>
      <c r="H140" s="32" t="str">
        <f>IFERROR(__xludf.DUMMYFUNCTION("IFERROR(IF(G140="""","""",Average(FILTER(IF(Data!J:J&lt;3,((Data!G:G+Data!H:H)/Data!J:J),1),Data!B:B=A140))),"""")"),"")</f>
        <v/>
      </c>
      <c r="I140" s="31"/>
      <c r="J140" s="31"/>
      <c r="K140" s="31" t="str">
        <f t="shared" si="3"/>
        <v/>
      </c>
      <c r="L140" s="31" t="str">
        <f>IFERROR((SUMIF(Data!B:B, A140, Data!L:L)
/ (COUNTIF(Data!B:B, A140)
)),"")</f>
        <v/>
      </c>
      <c r="M140" s="31" t="str">
        <f>IFERROR((SUMIF(Data!B:B, A140, Data!K:K)
/ (COUNTIF(Data!B:B, A140)
)),"")</f>
        <v/>
      </c>
      <c r="N140" s="34" t="str">
        <f t="shared" si="36"/>
        <v/>
      </c>
      <c r="O140" s="32" t="str">
        <f>IF(A140="","",IFERROR((((((SUMIF(Data!B:B, A140, Data!H:H)+(SUMIF(Data!B:B, A140,Data!G:G)+(SUMIF(Data!B:B, A140,Data!L:L)+(SUMIF(Data!B:B, A140,Data!K:K)))))/(SUMIF(Data!B:B, A140, Data!M:M)+(SUMIF(Data!B:B, A140, Data!H:H)+(SUMIF(Data!B:B, A140,Data!G:G)+(SUMIF(Data!B:B, A140,Data!K:K)+(SUMIF(Data!B:B, A140,Data!L:L)))))))))),0))</f>
        <v/>
      </c>
      <c r="P140" s="35" t="str">
        <f>IFERROR(__xludf.DUMMYFUNCTION("IFERROR(((COUNTIF(FILTER(Data!N:N,Data!B:B=A140),""TRAVERSE"")*15)+(COUNTIF(FILTER(Data!N:N,Data!B:B=A140),""HIGH"")*10)+(COUNTIF(FILTER(Data!N:N,Data!B:B=A140),""MIDDLE"")*6)+(COUNTIF(FILTER(Data!N:N,Data!B:B=A140),""LOW"")*4)) / (COUNTIF(Data!B:B, A140)"&amp;"),"""")"),"")</f>
        <v/>
      </c>
      <c r="Q140" s="31" t="str">
        <f>IFERROR(__xludf.DUMMYFUNCTION("IF(P140="""","""",Average(FIlter(('Convert Name to Number'!$F$422:$H1000),'Convert Name to Number'!$E$422:$E1000=$A140)))"),"")</f>
        <v/>
      </c>
      <c r="R140" s="36" t="str">
        <f t="shared" si="37"/>
        <v/>
      </c>
      <c r="S140" s="37" t="str">
        <f>IFERROR(__xludf.DUMMYFUNCTION("IFERROR((((COUNTIF(FILTER(Data!N:N,Data!B:B=A140),""TRAVERSE""))+(COUNTIF(FILTER(Data!N:N,Data!B:B=A140),""HIGH""))+(COUNTIF(FILTER(Data!N:N,Data!B:B=A140),""MIDDLE""))+(COUNTIF(FILTER(Data!N:N,Data!B:B=A140),""LOW"")))) / (((COUNTIF(Data!B:B, A140)))-(CO"&amp;"UNTIF(FILTER(Data!N:N,Data!B:B=A140),""NONE""))),IF(ISBLANK(A140),"""",0))"),"")</f>
        <v/>
      </c>
      <c r="T140" s="32" t="str">
        <f>IFERROR(__xludf.DUMMYFUNCTION("IFERROR((COUNTIF(FILTER(Data!N:N, Data!B:B=A140),""LOW"")) / (COUNTIF(Data!B:B, A140)),"""")"),"")</f>
        <v/>
      </c>
      <c r="U140" s="38" t="str">
        <f>IFERROR(__xludf.DUMMYFUNCTION("IFERROR((COUNTIF(FILTER(Data!N:N, Data!B:B=A140),""MIDDLE"")) / (COUNTIF(Data!B:B, A140)),"""")"),"")</f>
        <v/>
      </c>
      <c r="V140" s="38" t="str">
        <f>IFERROR(__xludf.DUMMYFUNCTION("IFERROR((COUNTIF(FILTER(Data!N:N, Data!B:B=A140),""HIGH"")) / (COUNTIF(Data!B:B, A140)),"""")"),"")</f>
        <v/>
      </c>
      <c r="W140" s="38" t="str">
        <f>IFERROR(__xludf.DUMMYFUNCTION("IFERROR((COUNTIF(FILTER(Data!N:N, Data!B:B=A140),""TRAVERSE"")) / (COUNTIF(Data!B:B, A140)),"""")"),"")</f>
        <v/>
      </c>
      <c r="X140" s="39" t="str">
        <f t="shared" si="38"/>
        <v/>
      </c>
      <c r="Y140" s="31" t="str">
        <f t="shared" si="7"/>
        <v/>
      </c>
      <c r="Z140" s="31" t="str">
        <f t="shared" si="8"/>
        <v/>
      </c>
      <c r="AA140" s="41" t="str">
        <f t="shared" si="9"/>
        <v/>
      </c>
      <c r="AB140" s="40" t="str">
        <f t="shared" si="34"/>
        <v/>
      </c>
      <c r="AC140" s="41" t="str">
        <f>IFERROR(__xludf.DUMMYFUNCTION("IF(AA140="""","""",MAX(Filter((Data!G:G+Data!K:K),Data!B:B=A140)))"),"")</f>
        <v/>
      </c>
      <c r="AD140" s="41" t="str">
        <f t="shared" si="11"/>
        <v/>
      </c>
      <c r="AE140" s="41" t="str">
        <f t="shared" si="12"/>
        <v/>
      </c>
      <c r="AF140" s="41" t="str">
        <f t="shared" si="13"/>
        <v/>
      </c>
      <c r="AG140" s="42" t="str">
        <f>IF(A140="","",(((AD140)*Picklist!$P$3)+((K140)*Picklist!$P$4)+(E140*Picklist!$P$5)+(N140*Picklist!$P$6)+(X140*Picklist!$P$7)+(R140*Picklist!$P$8)))</f>
        <v/>
      </c>
      <c r="AH140" s="43" t="str">
        <f>IF(A140="","",(((AD140)*Picklist!$P$14)+((K140)*Picklist!$P$15)+(E140*Picklist!$P$16)+(N140*Picklist!$P$17)+(X140*Picklist!$P$18)+(R140*Picklist!$P$19)))</f>
        <v/>
      </c>
      <c r="AI140" s="44" t="str">
        <f>IFERROR(__xludf.DUMMYFUNCTION("TEXTJOIN("", "",TRUE, FILTER(Data!P:P, Data!B:B=A140))"),"")</f>
        <v/>
      </c>
      <c r="AJ140" s="16" t="str">
        <f t="shared" si="14"/>
        <v/>
      </c>
      <c r="AK140" s="46" t="str">
        <f>IFERROR(__xludf.DUMMYFUNCTION("IF(A140&lt;&gt;"""",IFERROR(AVERAGE(FILTER('Defense Calculations'!BJ:CS,'Defense Calculations'!A:A=A140)),""""),"""")"),"")</f>
        <v/>
      </c>
      <c r="AM140" s="47"/>
      <c r="BC140" s="50"/>
    </row>
    <row r="141">
      <c r="A141" s="54"/>
      <c r="B141" s="30" t="str">
        <f>IFERROR(__xludf.DUMMYFUNCTION("IFERROR(ROUND(
(COUNTIF(FILTER(Data!O:O, Data!B:B=A141), ""Win"")
+ COUNTIF(FILTER(Data!O:O, Data!B:B=A141), {""Tie"",""Results""}))
/ (COUNTIF(Data!B:B, A141)),
1),"""")"),"")</f>
        <v/>
      </c>
      <c r="C141" s="31" t="str">
        <f>IFERROR((SUMIF(Data!B:B, A141, Data!H:H)
/ (COUNTIF(Data!B:B, A141)
)),"")</f>
        <v/>
      </c>
      <c r="D141" s="31" t="str">
        <f>IFERROR((SUMIF(Data!B:B, A141, Data!G:G)
/ (COUNTIF(Data!B:B, A141)
)),"")</f>
        <v/>
      </c>
      <c r="E141" s="31" t="str">
        <f t="shared" si="1"/>
        <v/>
      </c>
      <c r="F141" s="31" t="str">
        <f>IFERROR((SUMIF(Data!B:B, A141, Data!J:J)
/ (COUNTIF(Data!B:B, A141)
)),"")</f>
        <v/>
      </c>
      <c r="G141" s="32" t="str">
        <f>IF(A141="","",IFERROR((((((SUMIF(Data!B:B, A141, Data!H:H)+(SUMIF(Data!B:B, A141,Data!G:G)))/(SUMIF(Data!B:B, A141, Data!J:J)))))),0))</f>
        <v/>
      </c>
      <c r="H141" s="32" t="str">
        <f>IFERROR(__xludf.DUMMYFUNCTION("IFERROR(IF(G141="""","""",Average(FILTER(IF(Data!J:J&lt;3,((Data!G:G+Data!H:H)/Data!J:J),1),Data!B:B=A141))),"""")"),"")</f>
        <v/>
      </c>
      <c r="I141" s="31"/>
      <c r="J141" s="31"/>
      <c r="K141" s="31" t="str">
        <f t="shared" si="3"/>
        <v/>
      </c>
      <c r="L141" s="31" t="str">
        <f>IFERROR((SUMIF(Data!B:B, A141, Data!L:L)
/ (COUNTIF(Data!B:B, A141)
)),"")</f>
        <v/>
      </c>
      <c r="M141" s="31" t="str">
        <f>IFERROR((SUMIF(Data!B:B, A141, Data!K:K)
/ (COUNTIF(Data!B:B, A141)
)),"")</f>
        <v/>
      </c>
      <c r="N141" s="34" t="str">
        <f t="shared" si="36"/>
        <v/>
      </c>
      <c r="O141" s="32" t="str">
        <f>IF(A141="","",IFERROR((((((SUMIF(Data!B:B, A141, Data!H:H)+(SUMIF(Data!B:B, A141,Data!G:G)+(SUMIF(Data!B:B, A141,Data!L:L)+(SUMIF(Data!B:B, A141,Data!K:K)))))/(SUMIF(Data!B:B, A141, Data!M:M)+(SUMIF(Data!B:B, A141, Data!H:H)+(SUMIF(Data!B:B, A141,Data!G:G)+(SUMIF(Data!B:B, A141,Data!K:K)+(SUMIF(Data!B:B, A141,Data!L:L)))))))))),0))</f>
        <v/>
      </c>
      <c r="P141" s="35" t="str">
        <f>IFERROR(__xludf.DUMMYFUNCTION("IFERROR(((COUNTIF(FILTER(Data!N:N,Data!B:B=A141),""TRAVERSE"")*15)+(COUNTIF(FILTER(Data!N:N,Data!B:B=A141),""HIGH"")*10)+(COUNTIF(FILTER(Data!N:N,Data!B:B=A141),""MIDDLE"")*6)+(COUNTIF(FILTER(Data!N:N,Data!B:B=A141),""LOW"")*4)) / (COUNTIF(Data!B:B, A141)"&amp;"),"""")"),"")</f>
        <v/>
      </c>
      <c r="Q141" s="31" t="str">
        <f>IFERROR(__xludf.DUMMYFUNCTION("IF(P141="""","""",Average(FIlter(('Convert Name to Number'!$F$422:$H1000),'Convert Name to Number'!$E$422:$E1000=$A141)))"),"")</f>
        <v/>
      </c>
      <c r="R141" s="36" t="str">
        <f t="shared" si="37"/>
        <v/>
      </c>
      <c r="S141" s="37" t="str">
        <f>IFERROR(__xludf.DUMMYFUNCTION("IFERROR((((COUNTIF(FILTER(Data!N:N,Data!B:B=A141),""TRAVERSE""))+(COUNTIF(FILTER(Data!N:N,Data!B:B=A141),""HIGH""))+(COUNTIF(FILTER(Data!N:N,Data!B:B=A141),""MIDDLE""))+(COUNTIF(FILTER(Data!N:N,Data!B:B=A141),""LOW"")))) / (((COUNTIF(Data!B:B, A141)))-(CO"&amp;"UNTIF(FILTER(Data!N:N,Data!B:B=A141),""NONE""))),IF(ISBLANK(A141),"""",0))"),"")</f>
        <v/>
      </c>
      <c r="T141" s="32" t="str">
        <f>IFERROR(__xludf.DUMMYFUNCTION("IFERROR((COUNTIF(FILTER(Data!N:N, Data!B:B=A141),""LOW"")) / (COUNTIF(Data!B:B, A141)),"""")"),"")</f>
        <v/>
      </c>
      <c r="U141" s="38" t="str">
        <f>IFERROR(__xludf.DUMMYFUNCTION("IFERROR((COUNTIF(FILTER(Data!N:N, Data!B:B=A141),""MIDDLE"")) / (COUNTIF(Data!B:B, A141)),"""")"),"")</f>
        <v/>
      </c>
      <c r="V141" s="38" t="str">
        <f>IFERROR(__xludf.DUMMYFUNCTION("IFERROR((COUNTIF(FILTER(Data!N:N, Data!B:B=A141),""HIGH"")) / (COUNTIF(Data!B:B, A141)),"""")"),"")</f>
        <v/>
      </c>
      <c r="W141" s="38" t="str">
        <f>IFERROR(__xludf.DUMMYFUNCTION("IFERROR((COUNTIF(FILTER(Data!N:N, Data!B:B=A141),""TRAVERSE"")) / (COUNTIF(Data!B:B, A141)),"""")"),"")</f>
        <v/>
      </c>
      <c r="X141" s="39" t="str">
        <f t="shared" si="38"/>
        <v/>
      </c>
      <c r="Y141" s="31" t="str">
        <f t="shared" si="7"/>
        <v/>
      </c>
      <c r="Z141" s="31" t="str">
        <f t="shared" si="8"/>
        <v/>
      </c>
      <c r="AA141" s="41" t="str">
        <f t="shared" si="9"/>
        <v/>
      </c>
      <c r="AB141" s="40" t="str">
        <f t="shared" si="34"/>
        <v/>
      </c>
      <c r="AC141" s="41" t="str">
        <f>IFERROR(__xludf.DUMMYFUNCTION("IF(AA141="""","""",MAX(Filter((Data!G:G+Data!K:K),Data!B:B=A141)))"),"")</f>
        <v/>
      </c>
      <c r="AD141" s="41" t="str">
        <f t="shared" si="11"/>
        <v/>
      </c>
      <c r="AE141" s="41" t="str">
        <f t="shared" si="12"/>
        <v/>
      </c>
      <c r="AF141" s="41" t="str">
        <f t="shared" si="13"/>
        <v/>
      </c>
      <c r="AG141" s="42" t="str">
        <f>IF(A141="","",(((AD141)*Picklist!$P$3)+((K141)*Picklist!$P$4)+(E141*Picklist!$P$5)+(N141*Picklist!$P$6)+(X141*Picklist!$P$7)+(R141*Picklist!$P$8)))</f>
        <v/>
      </c>
      <c r="AH141" s="43" t="str">
        <f>IF(A141="","",(((AD141)*Picklist!$P$14)+((K141)*Picklist!$P$15)+(E141*Picklist!$P$16)+(N141*Picklist!$P$17)+(X141*Picklist!$P$18)+(R141*Picklist!$P$19)))</f>
        <v/>
      </c>
      <c r="AI141" s="44" t="str">
        <f>IFERROR(__xludf.DUMMYFUNCTION("TEXTJOIN("", "",TRUE, FILTER(Data!P:P, Data!B:B=A141))"),"")</f>
        <v/>
      </c>
      <c r="AJ141" s="16" t="str">
        <f t="shared" si="14"/>
        <v/>
      </c>
      <c r="AK141" s="46" t="str">
        <f>IFERROR(__xludf.DUMMYFUNCTION("IF(A141&lt;&gt;"""",IFERROR(AVERAGE(FILTER('Defense Calculations'!BJ:CS,'Defense Calculations'!A:A=A141)),""""),"""")"),"")</f>
        <v/>
      </c>
      <c r="AM141" s="47"/>
      <c r="BC141" s="50"/>
    </row>
    <row r="142">
      <c r="A142" s="54"/>
      <c r="B142" s="30" t="str">
        <f>IFERROR(__xludf.DUMMYFUNCTION("IFERROR(ROUND(
(COUNTIF(FILTER(Data!O:O, Data!B:B=A142), ""Win"")
+ COUNTIF(FILTER(Data!O:O, Data!B:B=A142), {""Tie"",""Results""}))
/ (COUNTIF(Data!B:B, A142)),
1),"""")"),"")</f>
        <v/>
      </c>
      <c r="C142" s="31" t="str">
        <f>IFERROR((SUMIF(Data!B:B, A142, Data!H:H)
/ (COUNTIF(Data!B:B, A142)
)),"")</f>
        <v/>
      </c>
      <c r="D142" s="31" t="str">
        <f>IFERROR((SUMIF(Data!B:B, A142, Data!G:G)
/ (COUNTIF(Data!B:B, A142)
)),"")</f>
        <v/>
      </c>
      <c r="E142" s="31" t="str">
        <f t="shared" si="1"/>
        <v/>
      </c>
      <c r="F142" s="31" t="str">
        <f>IFERROR((SUMIF(Data!B:B, A142, Data!J:J)
/ (COUNTIF(Data!B:B, A142)
)),"")</f>
        <v/>
      </c>
      <c r="G142" s="32" t="str">
        <f>IF(A142="","",IFERROR((((((SUMIF(Data!B:B, A142, Data!H:H)+(SUMIF(Data!B:B, A142,Data!G:G)))/(SUMIF(Data!B:B, A142, Data!J:J)))))),0))</f>
        <v/>
      </c>
      <c r="H142" s="32" t="str">
        <f>IFERROR(__xludf.DUMMYFUNCTION("IFERROR(IF(G142="""","""",Average(FILTER(IF(Data!J:J&lt;3,((Data!G:G+Data!H:H)/Data!J:J),1),Data!B:B=A142))),"""")"),"")</f>
        <v/>
      </c>
      <c r="I142" s="31"/>
      <c r="J142" s="31"/>
      <c r="K142" s="31" t="str">
        <f t="shared" si="3"/>
        <v/>
      </c>
      <c r="L142" s="31" t="str">
        <f>IFERROR((SUMIF(Data!B:B, A142, Data!L:L)
/ (COUNTIF(Data!B:B, A142)
)),"")</f>
        <v/>
      </c>
      <c r="M142" s="31" t="str">
        <f>IFERROR((SUMIF(Data!B:B, A142, Data!K:K)
/ (COUNTIF(Data!B:B, A142)
)),"")</f>
        <v/>
      </c>
      <c r="N142" s="34" t="str">
        <f t="shared" si="36"/>
        <v/>
      </c>
      <c r="O142" s="32" t="str">
        <f>IF(A142="","",IFERROR((((((SUMIF(Data!B:B, A142, Data!H:H)+(SUMIF(Data!B:B, A142,Data!G:G)+(SUMIF(Data!B:B, A142,Data!L:L)+(SUMIF(Data!B:B, A142,Data!K:K)))))/(SUMIF(Data!B:B, A142, Data!M:M)+(SUMIF(Data!B:B, A142, Data!H:H)+(SUMIF(Data!B:B, A142,Data!G:G)+(SUMIF(Data!B:B, A142,Data!K:K)+(SUMIF(Data!B:B, A142,Data!L:L)))))))))),0))</f>
        <v/>
      </c>
      <c r="P142" s="35" t="str">
        <f>IFERROR(__xludf.DUMMYFUNCTION("IFERROR(((COUNTIF(FILTER(Data!N:N,Data!B:B=A142),""TRAVERSE"")*15)+(COUNTIF(FILTER(Data!N:N,Data!B:B=A142),""HIGH"")*10)+(COUNTIF(FILTER(Data!N:N,Data!B:B=A142),""MIDDLE"")*6)+(COUNTIF(FILTER(Data!N:N,Data!B:B=A142),""LOW"")*4)) / (COUNTIF(Data!B:B, A142)"&amp;"),"""")"),"")</f>
        <v/>
      </c>
      <c r="Q142" s="31" t="str">
        <f>IFERROR(__xludf.DUMMYFUNCTION("IF(P142="""","""",Average(FIlter(('Convert Name to Number'!$F$422:$H1000),'Convert Name to Number'!$E$422:$E1000=$A142)))"),"")</f>
        <v/>
      </c>
      <c r="R142" s="36" t="str">
        <f t="shared" si="37"/>
        <v/>
      </c>
      <c r="S142" s="37" t="str">
        <f>IFERROR(__xludf.DUMMYFUNCTION("IFERROR((((COUNTIF(FILTER(Data!N:N,Data!B:B=A142),""TRAVERSE""))+(COUNTIF(FILTER(Data!N:N,Data!B:B=A142),""HIGH""))+(COUNTIF(FILTER(Data!N:N,Data!B:B=A142),""MIDDLE""))+(COUNTIF(FILTER(Data!N:N,Data!B:B=A142),""LOW"")))) / (((COUNTIF(Data!B:B, A142)))-(CO"&amp;"UNTIF(FILTER(Data!N:N,Data!B:B=A142),""NONE""))),IF(ISBLANK(A142),"""",0))"),"")</f>
        <v/>
      </c>
      <c r="T142" s="32" t="str">
        <f>IFERROR(__xludf.DUMMYFUNCTION("IFERROR((COUNTIF(FILTER(Data!N:N, Data!B:B=A142),""LOW"")) / (COUNTIF(Data!B:B, A142)),"""")"),"")</f>
        <v/>
      </c>
      <c r="U142" s="38" t="str">
        <f>IFERROR(__xludf.DUMMYFUNCTION("IFERROR((COUNTIF(FILTER(Data!N:N, Data!B:B=A142),""MIDDLE"")) / (COUNTIF(Data!B:B, A142)),"""")"),"")</f>
        <v/>
      </c>
      <c r="V142" s="38" t="str">
        <f>IFERROR(__xludf.DUMMYFUNCTION("IFERROR((COUNTIF(FILTER(Data!N:N, Data!B:B=A142),""HIGH"")) / (COUNTIF(Data!B:B, A142)),"""")"),"")</f>
        <v/>
      </c>
      <c r="W142" s="38" t="str">
        <f>IFERROR(__xludf.DUMMYFUNCTION("IFERROR((COUNTIF(FILTER(Data!N:N, Data!B:B=A142),""TRAVERSE"")) / (COUNTIF(Data!B:B, A142)),"""")"),"")</f>
        <v/>
      </c>
      <c r="X142" s="39" t="str">
        <f t="shared" si="38"/>
        <v/>
      </c>
      <c r="Y142" s="31" t="str">
        <f t="shared" si="7"/>
        <v/>
      </c>
      <c r="Z142" s="31" t="str">
        <f t="shared" si="8"/>
        <v/>
      </c>
      <c r="AA142" s="41" t="str">
        <f t="shared" si="9"/>
        <v/>
      </c>
      <c r="AB142" s="40" t="str">
        <f t="shared" si="34"/>
        <v/>
      </c>
      <c r="AC142" s="41" t="str">
        <f>IFERROR(__xludf.DUMMYFUNCTION("IF(AA142="""","""",MAX(Filter((Data!G:G+Data!K:K),Data!B:B=A142)))"),"")</f>
        <v/>
      </c>
      <c r="AD142" s="41" t="str">
        <f t="shared" si="11"/>
        <v/>
      </c>
      <c r="AE142" s="41" t="str">
        <f t="shared" si="12"/>
        <v/>
      </c>
      <c r="AF142" s="41" t="str">
        <f t="shared" si="13"/>
        <v/>
      </c>
      <c r="AG142" s="42" t="str">
        <f>IF(A142="","",(((AD142)*Picklist!$P$3)+((K142)*Picklist!$P$4)+(E142*Picklist!$P$5)+(N142*Picklist!$P$6)+(X142*Picklist!$P$7)+(R142*Picklist!$P$8)))</f>
        <v/>
      </c>
      <c r="AH142" s="43" t="str">
        <f>IF(A142="","",(((AD142)*Picklist!$P$14)+((K142)*Picklist!$P$15)+(E142*Picklist!$P$16)+(N142*Picklist!$P$17)+(X142*Picklist!$P$18)+(R142*Picklist!$P$19)))</f>
        <v/>
      </c>
      <c r="AI142" s="44" t="str">
        <f>IFERROR(__xludf.DUMMYFUNCTION("TEXTJOIN("", "",TRUE, FILTER(Data!P:P, Data!B:B=A142))"),"")</f>
        <v/>
      </c>
      <c r="AJ142" s="16" t="str">
        <f t="shared" si="14"/>
        <v/>
      </c>
      <c r="AK142" s="46" t="str">
        <f>IFERROR(__xludf.DUMMYFUNCTION("IF(A142&lt;&gt;"""",IFERROR(AVERAGE(FILTER('Defense Calculations'!BJ:CS,'Defense Calculations'!A:A=A142)),""""),"""")"),"")</f>
        <v/>
      </c>
      <c r="AM142" s="47"/>
      <c r="BC142" s="50"/>
    </row>
    <row r="143">
      <c r="A143" s="54"/>
      <c r="B143" s="30" t="str">
        <f>IFERROR(__xludf.DUMMYFUNCTION("IFERROR(ROUND(
(COUNTIF(FILTER(Data!O:O, Data!B:B=A143), ""Win"")
+ COUNTIF(FILTER(Data!O:O, Data!B:B=A143), {""Tie"",""Results""}))
/ (COUNTIF(Data!B:B, A143)),
1),"""")"),"")</f>
        <v/>
      </c>
      <c r="C143" s="31" t="str">
        <f>IFERROR((SUMIF(Data!B:B, A143, Data!H:H)
/ (COUNTIF(Data!B:B, A143)
)),"")</f>
        <v/>
      </c>
      <c r="D143" s="31" t="str">
        <f>IFERROR((SUMIF(Data!B:B, A143, Data!G:G)
/ (COUNTIF(Data!B:B, A143)
)),"")</f>
        <v/>
      </c>
      <c r="E143" s="31" t="str">
        <f t="shared" ref="E143:E224" si="39">IF(D143="","",(D143-$AU$3)/$AU$5)</f>
        <v/>
      </c>
      <c r="F143" s="31" t="str">
        <f>IFERROR((SUMIF(Data!B:B, A143, Data!J:J)
/ (COUNTIF(Data!B:B, A143)
)),"")</f>
        <v/>
      </c>
      <c r="G143" s="32" t="str">
        <f>IF(A143="","",IFERROR((((((SUMIF(Data!B:B, A143, Data!H:H)+(SUMIF(Data!B:B, A143,Data!G:G)))/(SUMIF(Data!B:B, A143, Data!J:J)))))),0))</f>
        <v/>
      </c>
      <c r="H143" s="32" t="str">
        <f>IFERROR(__xludf.DUMMYFUNCTION("IFERROR(IF(G143="""","""",Average(FILTER(IF(Data!J:J&lt;3,((Data!G:G+Data!H:H)/Data!J:J),1),Data!B:B=A143))),"""")"),"")</f>
        <v/>
      </c>
      <c r="I143" s="31"/>
      <c r="J143" s="31"/>
      <c r="K143" s="31" t="str">
        <f t="shared" si="3"/>
        <v/>
      </c>
      <c r="L143" s="31" t="str">
        <f>IFERROR((SUMIF(Data!B:B, A143, Data!L:L)
/ (COUNTIF(Data!B:B, A143)
)),"")</f>
        <v/>
      </c>
      <c r="M143" s="31" t="str">
        <f>IFERROR((SUMIF(Data!B:B, A143, Data!K:K)
/ (COUNTIF(Data!B:B, A143)
)),"")</f>
        <v/>
      </c>
      <c r="N143" s="34" t="str">
        <f t="shared" si="36"/>
        <v/>
      </c>
      <c r="O143" s="32" t="str">
        <f>IF(A143="","",IFERROR((((((SUMIF(Data!B:B, A143, Data!H:H)+(SUMIF(Data!B:B, A143,Data!G:G)+(SUMIF(Data!B:B, A143,Data!L:L)+(SUMIF(Data!B:B, A143,Data!K:K)))))/(SUMIF(Data!B:B, A143, Data!M:M)+(SUMIF(Data!B:B, A143, Data!H:H)+(SUMIF(Data!B:B, A143,Data!G:G)+(SUMIF(Data!B:B, A143,Data!K:K)+(SUMIF(Data!B:B, A143,Data!L:L)))))))))),0))</f>
        <v/>
      </c>
      <c r="P143" s="35" t="str">
        <f>IFERROR(__xludf.DUMMYFUNCTION("IFERROR(((COUNTIF(FILTER(Data!N:N,Data!B:B=A143),""TRAVERSE"")*15)+(COUNTIF(FILTER(Data!N:N,Data!B:B=A143),""HIGH"")*10)+(COUNTIF(FILTER(Data!N:N,Data!B:B=A143),""MIDDLE"")*6)+(COUNTIF(FILTER(Data!N:N,Data!B:B=A143),""LOW"")*4)) / (COUNTIF(Data!B:B, A143)"&amp;"),"""")"),"")</f>
        <v/>
      </c>
      <c r="Q143" s="31" t="str">
        <f>IFERROR(__xludf.DUMMYFUNCTION("IF(P143="""","""",Average(FIlter(('Convert Name to Number'!$F$422:$H1000),'Convert Name to Number'!$E$422:$E1000=$A143)))"),"")</f>
        <v/>
      </c>
      <c r="R143" s="36" t="str">
        <f t="shared" si="37"/>
        <v/>
      </c>
      <c r="S143" s="37" t="str">
        <f>IFERROR(__xludf.DUMMYFUNCTION("IFERROR((((COUNTIF(FILTER(Data!N:N,Data!B:B=A143),""TRAVERSE""))+(COUNTIF(FILTER(Data!N:N,Data!B:B=A143),""HIGH""))+(COUNTIF(FILTER(Data!N:N,Data!B:B=A143),""MIDDLE""))+(COUNTIF(FILTER(Data!N:N,Data!B:B=A143),""LOW"")))) / (((COUNTIF(Data!B:B, A143)))-(CO"&amp;"UNTIF(FILTER(Data!N:N,Data!B:B=A143),""NONE""))),IF(ISBLANK(A143),"""",0))"),"")</f>
        <v/>
      </c>
      <c r="T143" s="32" t="str">
        <f>IFERROR(__xludf.DUMMYFUNCTION("IFERROR((COUNTIF(FILTER(Data!N:N, Data!B:B=A143),""LOW"")) / (COUNTIF(Data!B:B, A143)),"""")"),"")</f>
        <v/>
      </c>
      <c r="U143" s="38" t="str">
        <f>IFERROR(__xludf.DUMMYFUNCTION("IFERROR((COUNTIF(FILTER(Data!N:N, Data!B:B=A143),""MIDDLE"")) / (COUNTIF(Data!B:B, A143)),"""")"),"")</f>
        <v/>
      </c>
      <c r="V143" s="38" t="str">
        <f>IFERROR(__xludf.DUMMYFUNCTION("IFERROR((COUNTIF(FILTER(Data!N:N, Data!B:B=A143),""HIGH"")) / (COUNTIF(Data!B:B, A143)),"""")"),"")</f>
        <v/>
      </c>
      <c r="W143" s="38" t="str">
        <f>IFERROR(__xludf.DUMMYFUNCTION("IFERROR((COUNTIF(FILTER(Data!N:N, Data!B:B=A143),""TRAVERSE"")) / (COUNTIF(Data!B:B, A143)),"""")"),"")</f>
        <v/>
      </c>
      <c r="X143" s="39" t="str">
        <f t="shared" si="38"/>
        <v/>
      </c>
      <c r="Y143" s="31" t="str">
        <f t="shared" si="7"/>
        <v/>
      </c>
      <c r="Z143" s="31" t="str">
        <f t="shared" si="8"/>
        <v/>
      </c>
      <c r="AA143" s="41" t="str">
        <f t="shared" si="9"/>
        <v/>
      </c>
      <c r="AB143" s="40" t="str">
        <f t="shared" si="34"/>
        <v/>
      </c>
      <c r="AC143" s="41" t="str">
        <f>IFERROR(__xludf.DUMMYFUNCTION("IF(AA143="""","""",MAX(Filter((Data!G:G+Data!K:K),Data!B:B=A143)))"),"")</f>
        <v/>
      </c>
      <c r="AD143" s="41" t="str">
        <f t="shared" si="11"/>
        <v/>
      </c>
      <c r="AE143" s="41" t="str">
        <f t="shared" si="12"/>
        <v/>
      </c>
      <c r="AF143" s="41" t="str">
        <f t="shared" si="13"/>
        <v/>
      </c>
      <c r="AG143" s="42" t="str">
        <f>IF(A143="","",(((AD143)*Picklist!$P$3)+((K143)*Picklist!$P$4)+(E143*Picklist!$P$5)+(N143*Picklist!$P$6)+(X143*Picklist!$P$7)+(R143*Picklist!$P$8)))</f>
        <v/>
      </c>
      <c r="AH143" s="43" t="str">
        <f>IF(A143="","",(((AD143)*Picklist!$P$14)+((K143)*Picklist!$P$15)+(E143*Picklist!$P$16)+(N143*Picklist!$P$17)+(X143*Picklist!$P$18)+(R143*Picklist!$P$19)))</f>
        <v/>
      </c>
      <c r="AI143" s="44" t="str">
        <f>IFERROR(__xludf.DUMMYFUNCTION("TEXTJOIN("", "",TRUE, FILTER(Data!P:P, Data!B:B=A143))"),"")</f>
        <v/>
      </c>
      <c r="AJ143" s="16" t="str">
        <f t="shared" si="14"/>
        <v/>
      </c>
      <c r="AK143" s="46" t="str">
        <f>IFERROR(__xludf.DUMMYFUNCTION("IF(A143&lt;&gt;"""",IFERROR(AVERAGE(FILTER('Defense Calculations'!BJ:CS,'Defense Calculations'!A:A=A143)),""""),"""")"),"")</f>
        <v/>
      </c>
      <c r="AM143" s="47"/>
      <c r="BC143" s="50"/>
    </row>
    <row r="144">
      <c r="A144" s="54"/>
      <c r="B144" s="30" t="str">
        <f>IFERROR(__xludf.DUMMYFUNCTION("IFERROR(ROUND(
(COUNTIF(FILTER(Data!O:O, Data!B:B=A144), ""Win"")
+ COUNTIF(FILTER(Data!O:O, Data!B:B=A144), {""Tie"",""Results""}))
/ (COUNTIF(Data!B:B, A144)),
1),"""")"),"")</f>
        <v/>
      </c>
      <c r="C144" s="31" t="str">
        <f>IFERROR((SUMIF(Data!B:B, A144, Data!H:H)
/ (COUNTIF(Data!B:B, A144)
)),"")</f>
        <v/>
      </c>
      <c r="D144" s="31" t="str">
        <f>IFERROR((SUMIF(Data!B:B, A144, Data!G:G)
/ (COUNTIF(Data!B:B, A144)
)),"")</f>
        <v/>
      </c>
      <c r="E144" s="31" t="str">
        <f t="shared" si="39"/>
        <v/>
      </c>
      <c r="F144" s="31" t="str">
        <f>IFERROR((SUMIF(Data!B:B, A144, Data!J:J)
/ (COUNTIF(Data!B:B, A144)
)),"")</f>
        <v/>
      </c>
      <c r="G144" s="32" t="str">
        <f>IF(A144="","",IFERROR((((((SUMIF(Data!B:B, A144, Data!H:H)+(SUMIF(Data!B:B, A144,Data!G:G)))/(SUMIF(Data!B:B, A144, Data!J:J)))))),0))</f>
        <v/>
      </c>
      <c r="H144" s="32" t="str">
        <f>IFERROR(__xludf.DUMMYFUNCTION("IFERROR(IF(G144="""","""",Average(FILTER(IF(Data!J:J&lt;3,((Data!G:G+Data!H:H)/Data!J:J),1),Data!B:B=A144))),"""")"),"")</f>
        <v/>
      </c>
      <c r="I144" s="31"/>
      <c r="J144" s="31"/>
      <c r="K144" s="31" t="str">
        <f t="shared" si="3"/>
        <v/>
      </c>
      <c r="L144" s="31" t="str">
        <f>IFERROR((SUMIF(Data!B:B, A144, Data!L:L)
/ (COUNTIF(Data!B:B, A144)
)),"")</f>
        <v/>
      </c>
      <c r="M144" s="31" t="str">
        <f>IFERROR((SUMIF(Data!B:B, A144, Data!K:K)
/ (COUNTIF(Data!B:B, A144)
)),"")</f>
        <v/>
      </c>
      <c r="N144" s="34" t="str">
        <f t="shared" si="36"/>
        <v/>
      </c>
      <c r="O144" s="32" t="str">
        <f>IF(A144="","",IFERROR((((((SUMIF(Data!B:B, A144, Data!H:H)+(SUMIF(Data!B:B, A144,Data!G:G)+(SUMIF(Data!B:B, A144,Data!L:L)+(SUMIF(Data!B:B, A144,Data!K:K)))))/(SUMIF(Data!B:B, A144, Data!M:M)+(SUMIF(Data!B:B, A144, Data!H:H)+(SUMIF(Data!B:B, A144,Data!G:G)+(SUMIF(Data!B:B, A144,Data!K:K)+(SUMIF(Data!B:B, A144,Data!L:L)))))))))),0))</f>
        <v/>
      </c>
      <c r="P144" s="35" t="str">
        <f>IFERROR(__xludf.DUMMYFUNCTION("IFERROR(((COUNTIF(FILTER(Data!N:N,Data!B:B=A144),""TRAVERSE"")*15)+(COUNTIF(FILTER(Data!N:N,Data!B:B=A144),""HIGH"")*10)+(COUNTIF(FILTER(Data!N:N,Data!B:B=A144),""MIDDLE"")*6)+(COUNTIF(FILTER(Data!N:N,Data!B:B=A144),""LOW"")*4)) / (COUNTIF(Data!B:B, A144)"&amp;"),"""")"),"")</f>
        <v/>
      </c>
      <c r="Q144" s="31" t="str">
        <f>IFERROR(__xludf.DUMMYFUNCTION("IF(P144="""","""",Average(FIlter(('Convert Name to Number'!$F$422:$H1000),'Convert Name to Number'!$E$422:$E1000=$A144)))"),"")</f>
        <v/>
      </c>
      <c r="R144" s="36" t="str">
        <f t="shared" si="37"/>
        <v/>
      </c>
      <c r="S144" s="37" t="str">
        <f>IFERROR(__xludf.DUMMYFUNCTION("IFERROR((((COUNTIF(FILTER(Data!N:N,Data!B:B=A144),""TRAVERSE""))+(COUNTIF(FILTER(Data!N:N,Data!B:B=A144),""HIGH""))+(COUNTIF(FILTER(Data!N:N,Data!B:B=A144),""MIDDLE""))+(COUNTIF(FILTER(Data!N:N,Data!B:B=A144),""LOW"")))) / (((COUNTIF(Data!B:B, A144)))-(CO"&amp;"UNTIF(FILTER(Data!N:N,Data!B:B=A144),""NONE""))),IF(ISBLANK(A144),"""",0))"),"")</f>
        <v/>
      </c>
      <c r="T144" s="32" t="str">
        <f>IFERROR(__xludf.DUMMYFUNCTION("IFERROR((COUNTIF(FILTER(Data!N:N, Data!B:B=A144),""LOW"")) / (COUNTIF(Data!B:B, A144)),"""")"),"")</f>
        <v/>
      </c>
      <c r="U144" s="38" t="str">
        <f>IFERROR(__xludf.DUMMYFUNCTION("IFERROR((COUNTIF(FILTER(Data!N:N, Data!B:B=A144),""MIDDLE"")) / (COUNTIF(Data!B:B, A144)),"""")"),"")</f>
        <v/>
      </c>
      <c r="V144" s="38" t="str">
        <f>IFERROR(__xludf.DUMMYFUNCTION("IFERROR((COUNTIF(FILTER(Data!N:N, Data!B:B=A144),""HIGH"")) / (COUNTIF(Data!B:B, A144)),"""")"),"")</f>
        <v/>
      </c>
      <c r="W144" s="38" t="str">
        <f>IFERROR(__xludf.DUMMYFUNCTION("IFERROR((COUNTIF(FILTER(Data!N:N, Data!B:B=A144),""TRAVERSE"")) / (COUNTIF(Data!B:B, A144)),"""")"),"")</f>
        <v/>
      </c>
      <c r="X144" s="39" t="str">
        <f t="shared" si="38"/>
        <v/>
      </c>
      <c r="Y144" s="31" t="str">
        <f t="shared" si="7"/>
        <v/>
      </c>
      <c r="Z144" s="31" t="str">
        <f t="shared" si="8"/>
        <v/>
      </c>
      <c r="AA144" s="41" t="str">
        <f t="shared" si="9"/>
        <v/>
      </c>
      <c r="AB144" s="40" t="str">
        <f t="shared" si="34"/>
        <v/>
      </c>
      <c r="AC144" s="41" t="str">
        <f>IFERROR(__xludf.DUMMYFUNCTION("IF(AA144="""","""",MAX(Filter((Data!G:G+Data!K:K),Data!B:B=A144)))"),"")</f>
        <v/>
      </c>
      <c r="AD144" s="41" t="str">
        <f t="shared" si="11"/>
        <v/>
      </c>
      <c r="AE144" s="41" t="str">
        <f t="shared" si="12"/>
        <v/>
      </c>
      <c r="AF144" s="41" t="str">
        <f t="shared" si="13"/>
        <v/>
      </c>
      <c r="AG144" s="42" t="str">
        <f>IF(A144="","",(((AD144)*Picklist!$P$3)+((K144)*Picklist!$P$4)+(E144*Picklist!$P$5)+(N144*Picklist!$P$6)+(X144*Picklist!$P$7)+(R144*Picklist!$P$8)))</f>
        <v/>
      </c>
      <c r="AH144" s="43" t="str">
        <f>IF(A144="","",(((AD144)*Picklist!$P$14)+((K144)*Picklist!$P$15)+(E144*Picklist!$P$16)+(N144*Picklist!$P$17)+(X144*Picklist!$P$18)+(R144*Picklist!$P$19)))</f>
        <v/>
      </c>
      <c r="AI144" s="44" t="str">
        <f>IFERROR(__xludf.DUMMYFUNCTION("TEXTJOIN("", "",TRUE, FILTER(Data!P:P, Data!B:B=A144))"),"")</f>
        <v/>
      </c>
      <c r="AJ144" s="16" t="str">
        <f t="shared" si="14"/>
        <v/>
      </c>
      <c r="AK144" s="46" t="str">
        <f>IFERROR(__xludf.DUMMYFUNCTION("IF(A144&lt;&gt;"""",IFERROR(AVERAGE(FILTER('Defense Calculations'!BJ:CS,'Defense Calculations'!A:A=A144)),""""),"""")"),"")</f>
        <v/>
      </c>
      <c r="AM144" s="47"/>
      <c r="BC144" s="50"/>
    </row>
    <row r="145">
      <c r="A145" s="54"/>
      <c r="B145" s="30" t="str">
        <f>IFERROR(__xludf.DUMMYFUNCTION("IFERROR(ROUND(
(COUNTIF(FILTER(Data!O:O, Data!B:B=A145), ""Win"")
+ COUNTIF(FILTER(Data!O:O, Data!B:B=A145), {""Tie"",""Results""}))
/ (COUNTIF(Data!B:B, A145)),
1),"""")"),"")</f>
        <v/>
      </c>
      <c r="C145" s="31" t="str">
        <f>IFERROR((SUMIF(Data!B:B, A145, Data!H:H)
/ (COUNTIF(Data!B:B, A145)
)),"")</f>
        <v/>
      </c>
      <c r="D145" s="31" t="str">
        <f>IFERROR((SUMIF(Data!B:B, A145, Data!G:G)
/ (COUNTIF(Data!B:B, A145)
)),"")</f>
        <v/>
      </c>
      <c r="E145" s="31" t="str">
        <f t="shared" si="39"/>
        <v/>
      </c>
      <c r="F145" s="31" t="str">
        <f>IFERROR((SUMIF(Data!B:B, A145, Data!J:J)
/ (COUNTIF(Data!B:B, A145)
)),"")</f>
        <v/>
      </c>
      <c r="G145" s="32" t="str">
        <f>IF(A145="","",IFERROR((((((SUMIF(Data!B:B, A145, Data!H:H)+(SUMIF(Data!B:B, A145,Data!G:G)))/(SUMIF(Data!B:B, A145, Data!J:J)))))),0))</f>
        <v/>
      </c>
      <c r="H145" s="32" t="str">
        <f>IFERROR(__xludf.DUMMYFUNCTION("IFERROR(IF(G145="""","""",Average(FILTER(IF(Data!J:J&lt;3,((Data!G:G+Data!H:H)/Data!J:J),1),Data!B:B=A145))),"""")"),"")</f>
        <v/>
      </c>
      <c r="I145" s="31"/>
      <c r="J145" s="31"/>
      <c r="K145" s="31" t="str">
        <f t="shared" si="3"/>
        <v/>
      </c>
      <c r="L145" s="31" t="str">
        <f>IFERROR((SUMIF(Data!B:B, A145, Data!L:L)
/ (COUNTIF(Data!B:B, A145)
)),"")</f>
        <v/>
      </c>
      <c r="M145" s="31" t="str">
        <f>IFERROR((SUMIF(Data!B:B, A145, Data!K:K)
/ (COUNTIF(Data!B:B, A145)
)),"")</f>
        <v/>
      </c>
      <c r="N145" s="34" t="str">
        <f t="shared" si="36"/>
        <v/>
      </c>
      <c r="O145" s="32" t="str">
        <f>IF(A145="","",IFERROR((((((SUMIF(Data!B:B, A145, Data!H:H)+(SUMIF(Data!B:B, A145,Data!G:G)+(SUMIF(Data!B:B, A145,Data!L:L)+(SUMIF(Data!B:B, A145,Data!K:K)))))/(SUMIF(Data!B:B, A145, Data!M:M)+(SUMIF(Data!B:B, A145, Data!H:H)+(SUMIF(Data!B:B, A145,Data!G:G)+(SUMIF(Data!B:B, A145,Data!K:K)+(SUMIF(Data!B:B, A145,Data!L:L)))))))))),0))</f>
        <v/>
      </c>
      <c r="P145" s="35" t="str">
        <f>IFERROR(__xludf.DUMMYFUNCTION("IFERROR(((COUNTIF(FILTER(Data!N:N,Data!B:B=A145),""TRAVERSE"")*15)+(COUNTIF(FILTER(Data!N:N,Data!B:B=A145),""HIGH"")*10)+(COUNTIF(FILTER(Data!N:N,Data!B:B=A145),""MIDDLE"")*6)+(COUNTIF(FILTER(Data!N:N,Data!B:B=A145),""LOW"")*4)) / (COUNTIF(Data!B:B, A145)"&amp;"),"""")"),"")</f>
        <v/>
      </c>
      <c r="Q145" s="31" t="str">
        <f>IFERROR(__xludf.DUMMYFUNCTION("IF(P145="""","""",Average(FIlter(('Convert Name to Number'!$F$422:$H1000),'Convert Name to Number'!$E$422:$E1000=$A145)))"),"")</f>
        <v/>
      </c>
      <c r="R145" s="36" t="str">
        <f t="shared" si="37"/>
        <v/>
      </c>
      <c r="S145" s="37" t="str">
        <f>IFERROR(__xludf.DUMMYFUNCTION("IFERROR((((COUNTIF(FILTER(Data!N:N,Data!B:B=A145),""TRAVERSE""))+(COUNTIF(FILTER(Data!N:N,Data!B:B=A145),""HIGH""))+(COUNTIF(FILTER(Data!N:N,Data!B:B=A145),""MIDDLE""))+(COUNTIF(FILTER(Data!N:N,Data!B:B=A145),""LOW"")))) / (((COUNTIF(Data!B:B, A145)))-(CO"&amp;"UNTIF(FILTER(Data!N:N,Data!B:B=A145),""NONE""))),IF(ISBLANK(A145),"""",0))"),"")</f>
        <v/>
      </c>
      <c r="T145" s="32" t="str">
        <f>IFERROR(__xludf.DUMMYFUNCTION("IFERROR((COUNTIF(FILTER(Data!N:N, Data!B:B=A145),""LOW"")) / (COUNTIF(Data!B:B, A145)),"""")"),"")</f>
        <v/>
      </c>
      <c r="U145" s="38" t="str">
        <f>IFERROR(__xludf.DUMMYFUNCTION("IFERROR((COUNTIF(FILTER(Data!N:N, Data!B:B=A145),""MIDDLE"")) / (COUNTIF(Data!B:B, A145)),"""")"),"")</f>
        <v/>
      </c>
      <c r="V145" s="38" t="str">
        <f>IFERROR(__xludf.DUMMYFUNCTION("IFERROR((COUNTIF(FILTER(Data!N:N, Data!B:B=A145),""HIGH"")) / (COUNTIF(Data!B:B, A145)),"""")"),"")</f>
        <v/>
      </c>
      <c r="W145" s="38" t="str">
        <f>IFERROR(__xludf.DUMMYFUNCTION("IFERROR((COUNTIF(FILTER(Data!N:N, Data!B:B=A145),""TRAVERSE"")) / (COUNTIF(Data!B:B, A145)),"""")"),"")</f>
        <v/>
      </c>
      <c r="X145" s="39" t="str">
        <f t="shared" si="38"/>
        <v/>
      </c>
      <c r="Y145" s="31" t="str">
        <f t="shared" si="7"/>
        <v/>
      </c>
      <c r="Z145" s="31" t="str">
        <f t="shared" si="8"/>
        <v/>
      </c>
      <c r="AA145" s="41" t="str">
        <f t="shared" si="9"/>
        <v/>
      </c>
      <c r="AB145" s="40" t="str">
        <f t="shared" si="34"/>
        <v/>
      </c>
      <c r="AC145" s="41" t="str">
        <f>IFERROR(__xludf.DUMMYFUNCTION("IF(AA145="""","""",MAX(Filter((Data!G:G+Data!K:K),Data!B:B=A145)))"),"")</f>
        <v/>
      </c>
      <c r="AD145" s="41" t="str">
        <f t="shared" si="11"/>
        <v/>
      </c>
      <c r="AE145" s="41" t="str">
        <f t="shared" si="12"/>
        <v/>
      </c>
      <c r="AF145" s="41" t="str">
        <f t="shared" si="13"/>
        <v/>
      </c>
      <c r="AG145" s="42" t="str">
        <f>IF(A145="","",(((AD145)*Picklist!$P$3)+((K145)*Picklist!$P$4)+(E145*Picklist!$P$5)+(N145*Picklist!$P$6)+(X145*Picklist!$P$7)+(R145*Picklist!$P$8)))</f>
        <v/>
      </c>
      <c r="AH145" s="43" t="str">
        <f>IF(A145="","",(((AD145)*Picklist!$P$14)+((K145)*Picklist!$P$15)+(E145*Picklist!$P$16)+(N145*Picklist!$P$17)+(X145*Picklist!$P$18)+(R145*Picklist!$P$19)))</f>
        <v/>
      </c>
      <c r="AI145" s="44" t="str">
        <f>IFERROR(__xludf.DUMMYFUNCTION("TEXTJOIN("", "",TRUE, FILTER(Data!P:P, Data!B:B=A145))"),"")</f>
        <v/>
      </c>
      <c r="AJ145" s="16" t="str">
        <f t="shared" si="14"/>
        <v/>
      </c>
      <c r="AK145" s="46" t="str">
        <f>IFERROR(__xludf.DUMMYFUNCTION("IF(A145&lt;&gt;"""",IFERROR(AVERAGE(FILTER('Defense Calculations'!BJ:CS,'Defense Calculations'!A:A=A145)),""""),"""")"),"")</f>
        <v/>
      </c>
      <c r="AM145" s="47"/>
      <c r="BC145" s="50"/>
    </row>
    <row r="146">
      <c r="A146" s="54"/>
      <c r="B146" s="55" t="str">
        <f>IFERROR(__xludf.DUMMYFUNCTION("IFERROR(ROUND(
(COUNTIF(FILTER(Data!O:O, Data!B:B=A146), ""Win"")
+ COUNTIF(FILTER(Data!O:O, Data!B:B=A146), {""Tie"",""Results""}))
/ (COUNTIF(Data!B:B, A146)),
1),"""")"),"")</f>
        <v/>
      </c>
      <c r="C146" s="45" t="str">
        <f>IFERROR((SUMIF(Data!B:B, A146, Data!H:H)
/ (COUNTIF(Data!B:B, A146)
)),"")</f>
        <v/>
      </c>
      <c r="D146" s="45" t="str">
        <f>IFERROR((SUMIF(Data!B:B, A146, Data!G:G)
/ (COUNTIF(Data!B:B, A146)
)),"")</f>
        <v/>
      </c>
      <c r="E146" s="31" t="str">
        <f t="shared" si="39"/>
        <v/>
      </c>
      <c r="F146" s="45" t="str">
        <f>IFERROR((SUMIF(Data!B:B, A146, Data!J:J)
/ (COUNTIF(Data!B:B, A146)
)),"")</f>
        <v/>
      </c>
      <c r="G146" s="56" t="str">
        <f>IF(A146="","",IFERROR((((((SUMIF(Data!B:B, A146, Data!H:H)+(SUMIF(Data!B:B, A146,Data!G:G)))/(SUMIF(Data!B:B, A146, Data!J:J)))))),0))</f>
        <v/>
      </c>
      <c r="H146" s="32" t="str">
        <f>IFERROR(__xludf.DUMMYFUNCTION("IFERROR(IF(G146="""","""",Average(FILTER(IF(Data!J:J&lt;3,((Data!G:G+Data!H:H)/Data!J:J),1),Data!B:B=A146))),""Never Attempted"")"),"")</f>
        <v/>
      </c>
      <c r="I146" s="31"/>
      <c r="J146" s="31"/>
      <c r="K146" s="31" t="str">
        <f t="shared" si="3"/>
        <v/>
      </c>
      <c r="L146" s="45" t="str">
        <f>IFERROR((SUMIF(Data!B:B, A146, Data!L:L)
/ (COUNTIF(Data!B:B, A146)
)),"")</f>
        <v/>
      </c>
      <c r="M146" s="45" t="str">
        <f>IFERROR((SUMIF(Data!B:B, A146, Data!K:K)
/ (COUNTIF(Data!B:B, A146)
)),"")</f>
        <v/>
      </c>
      <c r="N146" s="56"/>
      <c r="O146" s="56" t="str">
        <f>IF(A146="","",IFERROR((((((SUMIF(Data!B:B, A146, Data!H:H)+(SUMIF(Data!B:B, A146,Data!G:G)+(SUMIF(Data!B:B, A146,Data!L:L)+(SUMIF(Data!B:B, A146,Data!K:K)))))/(SUMIF(Data!B:B, A146, Data!M:M)+(SUMIF(Data!B:B, A146, Data!H:H)+(SUMIF(Data!B:B, A146,Data!G:G)+(SUMIF(Data!B:B, A146,Data!K:K)+(SUMIF(Data!B:B, A146,Data!L:L)))))))))),0))</f>
        <v/>
      </c>
      <c r="P146" s="57" t="str">
        <f>IFERROR(__xludf.DUMMYFUNCTION("IFERROR(((COUNTIF(FILTER(Data!N:N,Data!B:B=A146),""TRAVERSE"")*15)+(COUNTIF(FILTER(Data!N:N,Data!B:B=A146),""HIGH"")*10)+(COUNTIF(FILTER(Data!N:N,Data!B:B=A146),""MIDDLE"")*6)+(COUNTIF(FILTER(Data!N:N,Data!B:B=A146),""LOW"")*4)) / (COUNTIF(Data!B:B, A146)"&amp;"),"""")"),"")</f>
        <v/>
      </c>
      <c r="Q146" s="31" t="str">
        <f>IF(P146="","",AVERAGE('Convert Name to Number'!F566:H566))</f>
        <v/>
      </c>
      <c r="R146" s="36" t="str">
        <f t="shared" si="37"/>
        <v/>
      </c>
      <c r="S146" s="58" t="str">
        <f>IFERROR(__xludf.DUMMYFUNCTION("IFERROR((((COUNTIF(FILTER(Data!N:N,Data!B:B=A146),""TRAVERSE""))+(COUNTIF(FILTER(Data!N:N,Data!B:B=A146),""HIGH""))+(COUNTIF(FILTER(Data!N:N,Data!B:B=A146),""MIDDLE""))+(COUNTIF(FILTER(Data!N:N,Data!B:B=A146),""LOW"")))) / (((COUNTIF(Data!B:B, A146)))-(CO"&amp;"UNTIF(FILTER(Data!N:N,Data!B:B=A146),""NONE""))),IF(ISBLANK(A146),"""",0))"),"")</f>
        <v/>
      </c>
      <c r="T146" s="56" t="str">
        <f>IFERROR(__xludf.DUMMYFUNCTION("IFERROR((COUNTIF(FILTER(Data!N:N, Data!B:B=A146),""LOW"")) / (COUNTIF(Data!B:B, A146)),"""")"),"")</f>
        <v/>
      </c>
      <c r="U146" s="59" t="str">
        <f>IFERROR(__xludf.DUMMYFUNCTION("IFERROR((COUNTIF(FILTER(Data!N:N, Data!B:B=A146),""MIDDLE"")) / (COUNTIF(Data!B:B, A146)),"""")"),"")</f>
        <v/>
      </c>
      <c r="V146" s="59" t="str">
        <f>IFERROR(__xludf.DUMMYFUNCTION("IFERROR((COUNTIF(FILTER(Data!N:N, Data!B:B=A146),""HIGH"")) / (COUNTIF(Data!B:B, A146)),"""")"),"")</f>
        <v/>
      </c>
      <c r="W146" s="59" t="str">
        <f>IFERROR(__xludf.DUMMYFUNCTION("IFERROR((COUNTIF(FILTER(Data!N:N, Data!B:B=A146),""TRAVERSE"")) / (COUNTIF(Data!B:B, A146)),"""")"),"")</f>
        <v/>
      </c>
      <c r="X146" s="60" t="str">
        <f t="shared" si="38"/>
        <v/>
      </c>
      <c r="Y146" s="45" t="str">
        <f t="shared" si="7"/>
        <v/>
      </c>
      <c r="Z146" s="45" t="str">
        <f t="shared" si="8"/>
        <v/>
      </c>
      <c r="AA146" s="16" t="str">
        <f t="shared" si="9"/>
        <v/>
      </c>
      <c r="AB146" s="40" t="str">
        <f t="shared" si="34"/>
        <v/>
      </c>
      <c r="AC146" s="16" t="str">
        <f>IFERROR(__xludf.DUMMYFUNCTION("IF(AA146="""","""",MAX(Filter((Data!G:G+Data!K:K),Data!B:B=A146)))"),"")</f>
        <v/>
      </c>
      <c r="AD146" s="41" t="str">
        <f t="shared" si="11"/>
        <v/>
      </c>
      <c r="AE146" s="16" t="str">
        <f t="shared" si="12"/>
        <v/>
      </c>
      <c r="AF146" s="16" t="str">
        <f t="shared" si="13"/>
        <v/>
      </c>
      <c r="AG146" s="42" t="str">
        <f>IF(A146="","",(((AD146)*Picklist!$P$3)+((K146)*Picklist!$P$4)+(E146*Picklist!$P$5)+(N146*Picklist!$P$6)+(X146*Picklist!$P$7)+(R146*Picklist!$P$8)))</f>
        <v/>
      </c>
      <c r="AH146" s="43" t="str">
        <f>IF(A146="","",(((AD146)*Picklist!$P$14)+((K146)*Picklist!$P$15)+(E146*Picklist!$P$16)+(N146*Picklist!$P$17)+(X146*Picklist!$P$18)+(R146*Picklist!$P$19)))</f>
        <v/>
      </c>
      <c r="AI146" s="44" t="str">
        <f>IFERROR(__xludf.DUMMYFUNCTION("TEXTJOIN("", "",TRUE, FILTER(Data!P:P, Data!B:B=A146))"),"")</f>
        <v/>
      </c>
      <c r="AJ146" s="16" t="str">
        <f t="shared" si="14"/>
        <v/>
      </c>
      <c r="AK146" s="46" t="str">
        <f>IFERROR(__xludf.DUMMYFUNCTION("IF(A146&lt;&gt;"""",IFERROR(AVERAGE(FILTER('Defense Calculations'!BJ:CS,'Defense Calculations'!A:A=A146)),""""),"""")"),"")</f>
        <v/>
      </c>
      <c r="AM146" s="47"/>
      <c r="BC146" s="50"/>
    </row>
    <row r="147">
      <c r="A147" s="54"/>
      <c r="B147" s="55" t="str">
        <f>IFERROR(__xludf.DUMMYFUNCTION("IFERROR(ROUND(
(COUNTIF(FILTER(Data!O:O, Data!B:B=A147), ""Win"")
+ COUNTIF(FILTER(Data!O:O, Data!B:B=A147), {""Tie"",""Results""}))
/ (COUNTIF(Data!B:B, A147)),
1),"""")"),"")</f>
        <v/>
      </c>
      <c r="C147" s="45" t="str">
        <f>IFERROR((SUMIF(Data!B:B, A147, Data!H:H)
/ (COUNTIF(Data!B:B, A147)
)),"")</f>
        <v/>
      </c>
      <c r="D147" s="45" t="str">
        <f>IFERROR((SUMIF(Data!B:B, A147, Data!G:G)
/ (COUNTIF(Data!B:B, A147)
)),"")</f>
        <v/>
      </c>
      <c r="E147" s="31" t="str">
        <f t="shared" si="39"/>
        <v/>
      </c>
      <c r="F147" s="45" t="str">
        <f>IFERROR((SUMIF(Data!B:B, A147, Data!J:J)
/ (COUNTIF(Data!B:B, A147)
)),"")</f>
        <v/>
      </c>
      <c r="G147" s="56" t="str">
        <f>IF(A147="","",IFERROR((((((SUMIF(Data!B:B, A147, Data!H:H)+(SUMIF(Data!B:B, A147,Data!G:G)))/(SUMIF(Data!B:B, A147, Data!J:J)))))),0))</f>
        <v/>
      </c>
      <c r="H147" s="32" t="str">
        <f>IFERROR(__xludf.DUMMYFUNCTION("IFERROR(IF(G147="""","""",Average(FILTER(IF(Data!J:J&lt;3,((Data!G:G+Data!H:H)/Data!J:J),1),Data!B:B=A147))),""Never Attempted"")"),"")</f>
        <v/>
      </c>
      <c r="I147" s="31"/>
      <c r="J147" s="31"/>
      <c r="K147" s="31" t="str">
        <f t="shared" si="3"/>
        <v/>
      </c>
      <c r="L147" s="45" t="str">
        <f>IFERROR((SUMIF(Data!B:B, A147, Data!L:L)
/ (COUNTIF(Data!B:B, A147)
)),"")</f>
        <v/>
      </c>
      <c r="M147" s="45" t="str">
        <f>IFERROR((SUMIF(Data!B:B, A147, Data!K:K)
/ (COUNTIF(Data!B:B, A147)
)),"")</f>
        <v/>
      </c>
      <c r="N147" s="56"/>
      <c r="O147" s="56" t="str">
        <f>IF(A147="","",IFERROR((((((SUMIF(Data!B:B, A147, Data!H:H)+(SUMIF(Data!B:B, A147,Data!G:G)+(SUMIF(Data!B:B, A147,Data!L:L)+(SUMIF(Data!B:B, A147,Data!K:K)))))/(SUMIF(Data!B:B, A147, Data!M:M)+(SUMIF(Data!B:B, A147, Data!H:H)+(SUMIF(Data!B:B, A147,Data!G:G)+(SUMIF(Data!B:B, A147,Data!K:K)+(SUMIF(Data!B:B, A147,Data!L:L)))))))))),0))</f>
        <v/>
      </c>
      <c r="P147" s="57" t="str">
        <f>IFERROR(__xludf.DUMMYFUNCTION("IFERROR(((COUNTIF(FILTER(Data!N:N,Data!B:B=A147),""TRAVERSE"")*15)+(COUNTIF(FILTER(Data!N:N,Data!B:B=A147),""HIGH"")*10)+(COUNTIF(FILTER(Data!N:N,Data!B:B=A147),""MIDDLE"")*6)+(COUNTIF(FILTER(Data!N:N,Data!B:B=A147),""LOW"")*4)) / (COUNTIF(Data!B:B, A147)"&amp;"),"""")"),"")</f>
        <v/>
      </c>
      <c r="Q147" s="31" t="str">
        <f>IF(P147="","",AVERAGE('Convert Name to Number'!F567:H567))</f>
        <v/>
      </c>
      <c r="R147" s="36" t="str">
        <f t="shared" si="37"/>
        <v/>
      </c>
      <c r="S147" s="58" t="str">
        <f>IFERROR(__xludf.DUMMYFUNCTION("IFERROR((((COUNTIF(FILTER(Data!N:N,Data!B:B=A147),""TRAVERSE""))+(COUNTIF(FILTER(Data!N:N,Data!B:B=A147),""HIGH""))+(COUNTIF(FILTER(Data!N:N,Data!B:B=A147),""MIDDLE""))+(COUNTIF(FILTER(Data!N:N,Data!B:B=A147),""LOW"")))) / (((COUNTIF(Data!B:B, A147)))-(CO"&amp;"UNTIF(FILTER(Data!N:N,Data!B:B=A147),""NONE""))),IF(ISBLANK(A147),"""",0))"),"")</f>
        <v/>
      </c>
      <c r="T147" s="56" t="str">
        <f>IFERROR(__xludf.DUMMYFUNCTION("IFERROR((COUNTIF(FILTER(Data!N:N, Data!B:B=A147),""LOW"")) / (COUNTIF(Data!B:B, A147)),"""")"),"")</f>
        <v/>
      </c>
      <c r="U147" s="59" t="str">
        <f>IFERROR(__xludf.DUMMYFUNCTION("IFERROR((COUNTIF(FILTER(Data!N:N, Data!B:B=A147),""MIDDLE"")) / (COUNTIF(Data!B:B, A147)),"""")"),"")</f>
        <v/>
      </c>
      <c r="V147" s="59" t="str">
        <f>IFERROR(__xludf.DUMMYFUNCTION("IFERROR((COUNTIF(FILTER(Data!N:N, Data!B:B=A147),""HIGH"")) / (COUNTIF(Data!B:B, A147)),"""")"),"")</f>
        <v/>
      </c>
      <c r="W147" s="59" t="str">
        <f>IFERROR(__xludf.DUMMYFUNCTION("IFERROR((COUNTIF(FILTER(Data!N:N, Data!B:B=A147),""TRAVERSE"")) / (COUNTIF(Data!B:B, A147)),"""")"),"")</f>
        <v/>
      </c>
      <c r="X147" s="60" t="str">
        <f t="shared" si="38"/>
        <v/>
      </c>
      <c r="Y147" s="45" t="str">
        <f t="shared" si="7"/>
        <v/>
      </c>
      <c r="Z147" s="45" t="str">
        <f t="shared" si="8"/>
        <v/>
      </c>
      <c r="AA147" s="16" t="str">
        <f t="shared" si="9"/>
        <v/>
      </c>
      <c r="AB147" s="40" t="str">
        <f t="shared" si="34"/>
        <v/>
      </c>
      <c r="AC147" s="16" t="str">
        <f>IFERROR(__xludf.DUMMYFUNCTION("IF(AA147="""","""",MAX(Filter((Data!G:G+Data!K:K),Data!B:B=A147)))"),"")</f>
        <v/>
      </c>
      <c r="AD147" s="41" t="str">
        <f t="shared" si="11"/>
        <v/>
      </c>
      <c r="AE147" s="16" t="str">
        <f t="shared" si="12"/>
        <v/>
      </c>
      <c r="AF147" s="16" t="str">
        <f t="shared" si="13"/>
        <v/>
      </c>
      <c r="AG147" s="42" t="str">
        <f>IF(A147="","",(((AD147)*Picklist!$P$3)+((K147)*Picklist!$P$4)+(E147*Picklist!$P$5)+(N147*Picklist!$P$6)+(X147*Picklist!$P$7)+(R147*Picklist!$P$8)))</f>
        <v/>
      </c>
      <c r="AH147" s="43" t="str">
        <f>IF(A147="","",(((AD147)*Picklist!$P$14)+((K147)*Picklist!$P$15)+(E147*Picklist!$P$16)+(N147*Picklist!$P$17)+(X147*Picklist!$P$18)+(R147*Picklist!$P$19)))</f>
        <v/>
      </c>
      <c r="AI147" s="44" t="str">
        <f>IFERROR(__xludf.DUMMYFUNCTION("TEXTJOIN("", "",TRUE, FILTER(Data!P:P, Data!B:B=A147))"),"")</f>
        <v/>
      </c>
      <c r="AJ147" s="16" t="str">
        <f t="shared" si="14"/>
        <v/>
      </c>
      <c r="AK147" s="46" t="str">
        <f>IFERROR(__xludf.DUMMYFUNCTION("IF(A147&lt;&gt;"""",IFERROR(AVERAGE(FILTER('Defense Calculations'!BJ:CS,'Defense Calculations'!A:A=A147)),""""),"""")"),"")</f>
        <v/>
      </c>
      <c r="AM147" s="47"/>
      <c r="BC147" s="50"/>
    </row>
    <row r="148">
      <c r="A148" s="54"/>
      <c r="B148" s="55" t="str">
        <f>IFERROR(__xludf.DUMMYFUNCTION("IFERROR(ROUND(
(COUNTIF(FILTER(Data!O:O, Data!B:B=A148), ""Win"")
+ COUNTIF(FILTER(Data!O:O, Data!B:B=A148), {""Tie"",""Results""}))
/ (COUNTIF(Data!B:B, A148)),
1),"""")"),"")</f>
        <v/>
      </c>
      <c r="C148" s="45" t="str">
        <f>IFERROR((SUMIF(Data!B:B, A148, Data!H:H)
/ (COUNTIF(Data!B:B, A148)
)),"")</f>
        <v/>
      </c>
      <c r="D148" s="45" t="str">
        <f>IFERROR((SUMIF(Data!B:B, A148, Data!G:G)
/ (COUNTIF(Data!B:B, A148)
)),"")</f>
        <v/>
      </c>
      <c r="E148" s="31" t="str">
        <f t="shared" si="39"/>
        <v/>
      </c>
      <c r="F148" s="45" t="str">
        <f>IFERROR((SUMIF(Data!B:B, A148, Data!J:J)
/ (COUNTIF(Data!B:B, A148)
)),"")</f>
        <v/>
      </c>
      <c r="G148" s="56" t="str">
        <f>IF(A148="","",IFERROR((((((SUMIF(Data!B:B, A148, Data!H:H)+(SUMIF(Data!B:B, A148,Data!G:G)))/(SUMIF(Data!B:B, A148, Data!J:J)))))),0))</f>
        <v/>
      </c>
      <c r="H148" s="32" t="str">
        <f>IFERROR(__xludf.DUMMYFUNCTION("IFERROR(IF(G148="""","""",Average(FILTER(IF(Data!J:J&lt;3,((Data!G:G+Data!H:H)/Data!J:J),1),Data!B:B=A148))),""Never Attempted"")"),"")</f>
        <v/>
      </c>
      <c r="I148" s="31"/>
      <c r="J148" s="31"/>
      <c r="K148" s="31" t="str">
        <f t="shared" ref="K148:K194" si="40">IF(L148="","",(IF(H148="","",(H148-$AS$3)/$AS$5)))</f>
        <v/>
      </c>
      <c r="L148" s="45" t="str">
        <f>IFERROR((SUMIF(Data!B:B, A148, Data!L:L)
/ (COUNTIF(Data!B:B, A148)
)),"")</f>
        <v/>
      </c>
      <c r="M148" s="45" t="str">
        <f>IFERROR((SUMIF(Data!B:B, A148, Data!K:K)
/ (COUNTIF(Data!B:B, A148)
)),"")</f>
        <v/>
      </c>
      <c r="N148" s="56"/>
      <c r="O148" s="56" t="str">
        <f>IF(A148="","",IFERROR((((((SUMIF(Data!B:B, A148, Data!H:H)+(SUMIF(Data!B:B, A148,Data!G:G)+(SUMIF(Data!B:B, A148,Data!L:L)+(SUMIF(Data!B:B, A148,Data!K:K)))))/(SUMIF(Data!B:B, A148, Data!M:M)+(SUMIF(Data!B:B, A148, Data!H:H)+(SUMIF(Data!B:B, A148,Data!G:G)+(SUMIF(Data!B:B, A148,Data!K:K)+(SUMIF(Data!B:B, A148,Data!L:L)))))))))),0))</f>
        <v/>
      </c>
      <c r="P148" s="57" t="str">
        <f>IFERROR(__xludf.DUMMYFUNCTION("IFERROR(((COUNTIF(FILTER(Data!N:N,Data!B:B=A148),""TRAVERSE"")*15)+(COUNTIF(FILTER(Data!N:N,Data!B:B=A148),""HIGH"")*10)+(COUNTIF(FILTER(Data!N:N,Data!B:B=A148),""MIDDLE"")*6)+(COUNTIF(FILTER(Data!N:N,Data!B:B=A148),""LOW"")*4)) / (COUNTIF(Data!B:B, A148)"&amp;"),"""")"),"")</f>
        <v/>
      </c>
      <c r="Q148" s="31" t="str">
        <f>IF(P148="","",AVERAGE('Convert Name to Number'!F568:H568))</f>
        <v/>
      </c>
      <c r="R148" s="36" t="str">
        <f t="shared" si="37"/>
        <v/>
      </c>
      <c r="S148" s="58" t="str">
        <f>IFERROR(__xludf.DUMMYFUNCTION("IFERROR((((COUNTIF(FILTER(Data!N:N,Data!B:B=A148),""TRAVERSE""))+(COUNTIF(FILTER(Data!N:N,Data!B:B=A148),""HIGH""))+(COUNTIF(FILTER(Data!N:N,Data!B:B=A148),""MIDDLE""))+(COUNTIF(FILTER(Data!N:N,Data!B:B=A148),""LOW"")))) / (((COUNTIF(Data!B:B, A148)))-(CO"&amp;"UNTIF(FILTER(Data!N:N,Data!B:B=A148),""NONE""))),IF(ISBLANK(A148),"""",0))"),"")</f>
        <v/>
      </c>
      <c r="T148" s="56" t="str">
        <f>IFERROR(__xludf.DUMMYFUNCTION("IFERROR((COUNTIF(FILTER(Data!N:N, Data!B:B=A148),""LOW"")) / (COUNTIF(Data!B:B, A148)),"""")"),"")</f>
        <v/>
      </c>
      <c r="U148" s="59" t="str">
        <f>IFERROR(__xludf.DUMMYFUNCTION("IFERROR((COUNTIF(FILTER(Data!N:N, Data!B:B=A148),""MIDDLE"")) / (COUNTIF(Data!B:B, A148)),"""")"),"")</f>
        <v/>
      </c>
      <c r="V148" s="59" t="str">
        <f>IFERROR(__xludf.DUMMYFUNCTION("IFERROR((COUNTIF(FILTER(Data!N:N, Data!B:B=A148),""HIGH"")) / (COUNTIF(Data!B:B, A148)),"""")"),"")</f>
        <v/>
      </c>
      <c r="W148" s="59" t="str">
        <f>IFERROR(__xludf.DUMMYFUNCTION("IFERROR((COUNTIF(FILTER(Data!N:N, Data!B:B=A148),""TRAVERSE"")) / (COUNTIF(Data!B:B, A148)),"""")"),"")</f>
        <v/>
      </c>
      <c r="X148" s="60" t="str">
        <f t="shared" si="38"/>
        <v/>
      </c>
      <c r="Y148" s="45" t="str">
        <f t="shared" si="7"/>
        <v/>
      </c>
      <c r="Z148" s="45" t="str">
        <f t="shared" si="8"/>
        <v/>
      </c>
      <c r="AA148" s="16" t="str">
        <f t="shared" si="9"/>
        <v/>
      </c>
      <c r="AB148" s="40" t="str">
        <f t="shared" si="34"/>
        <v/>
      </c>
      <c r="AC148" s="16" t="str">
        <f>IFERROR(__xludf.DUMMYFUNCTION("IF(AA148="""","""",MAX(Filter((Data!G:G+Data!K:K),Data!B:B=A148)))"),"")</f>
        <v/>
      </c>
      <c r="AD148" s="16"/>
      <c r="AE148" s="16" t="str">
        <f t="shared" si="12"/>
        <v/>
      </c>
      <c r="AF148" s="16" t="str">
        <f t="shared" si="13"/>
        <v/>
      </c>
      <c r="AG148" s="42" t="str">
        <f>IF(A148="","",(((AD148)*Picklist!$P$3)+((K148)*Picklist!$P$4)+(E148*Picklist!$P$5)+(N148*Picklist!$P$6)+(X148*Picklist!$P$7)+(R148*Picklist!$P$8)))</f>
        <v/>
      </c>
      <c r="AH148" s="43" t="str">
        <f>IF(A148="","",(((AD148)*Picklist!$P$14)+((K148)*Picklist!$P$15)+(E148*Picklist!$P$16)+(N148*Picklist!$P$17)+(X148*Picklist!$P$18)+(R148*Picklist!$P$19)))</f>
        <v/>
      </c>
      <c r="AI148" s="44" t="str">
        <f>IFERROR(__xludf.DUMMYFUNCTION("TEXTJOIN("", "",TRUE, FILTER(Data!P:P, Data!B:B=A148))"),"")</f>
        <v/>
      </c>
      <c r="AJ148" s="16" t="str">
        <f t="shared" si="14"/>
        <v/>
      </c>
      <c r="AK148" s="46" t="str">
        <f>IFERROR(__xludf.DUMMYFUNCTION("IF(A148&lt;&gt;"""",IFERROR(AVERAGE(FILTER('Defense Calculations'!BJ:CS,'Defense Calculations'!A:A=A148)),""""),"""")"),"")</f>
        <v/>
      </c>
      <c r="AM148" s="47"/>
      <c r="BC148" s="50"/>
    </row>
    <row r="149">
      <c r="A149" s="54"/>
      <c r="B149" s="55" t="str">
        <f>IFERROR(__xludf.DUMMYFUNCTION("IFERROR(ROUND(
(COUNTIF(FILTER(Data!O:O, Data!B:B=A149), ""Win"")
+ COUNTIF(FILTER(Data!O:O, Data!B:B=A149), {""Tie"",""Results""}))
/ (COUNTIF(Data!B:B, A149)),
1),"""")"),"")</f>
        <v/>
      </c>
      <c r="C149" s="45" t="str">
        <f>IFERROR((SUMIF(Data!B:B, A149, Data!H:H)
/ (COUNTIF(Data!B:B, A149)
)),"")</f>
        <v/>
      </c>
      <c r="D149" s="45" t="str">
        <f>IFERROR((SUMIF(Data!B:B, A149, Data!G:G)
/ (COUNTIF(Data!B:B, A149)
)),"")</f>
        <v/>
      </c>
      <c r="E149" s="31" t="str">
        <f t="shared" si="39"/>
        <v/>
      </c>
      <c r="F149" s="45" t="str">
        <f>IFERROR((SUMIF(Data!B:B, A149, Data!J:J)
/ (COUNTIF(Data!B:B, A149)
)),"")</f>
        <v/>
      </c>
      <c r="G149" s="56" t="str">
        <f>IF(A149="","",IFERROR((((((SUMIF(Data!B:B, A149, Data!H:H)+(SUMIF(Data!B:B, A149,Data!G:G)))/(SUMIF(Data!B:B, A149, Data!J:J)))))),0))</f>
        <v/>
      </c>
      <c r="H149" s="32" t="str">
        <f>IFERROR(__xludf.DUMMYFUNCTION("IFERROR(IF(G149="""","""",Average(FILTER(IF(Data!J:J&lt;3,((Data!G:G+Data!H:H)/Data!J:J),1),Data!B:B=A149))),""Never Attempted"")"),"")</f>
        <v/>
      </c>
      <c r="I149" s="31"/>
      <c r="J149" s="31"/>
      <c r="K149" s="31" t="str">
        <f t="shared" si="40"/>
        <v/>
      </c>
      <c r="L149" s="45" t="str">
        <f>IFERROR((SUMIF(Data!B:B, A149, Data!L:L)
/ (COUNTIF(Data!B:B, A149)
)),"")</f>
        <v/>
      </c>
      <c r="M149" s="45" t="str">
        <f>IFERROR((SUMIF(Data!B:B, A149, Data!K:K)
/ (COUNTIF(Data!B:B, A149)
)),"")</f>
        <v/>
      </c>
      <c r="N149" s="56"/>
      <c r="O149" s="56" t="str">
        <f>IF(A149="","",IFERROR((((((SUMIF(Data!B:B, A149, Data!H:H)+(SUMIF(Data!B:B, A149,Data!G:G)+(SUMIF(Data!B:B, A149,Data!L:L)+(SUMIF(Data!B:B, A149,Data!K:K)))))/(SUMIF(Data!B:B, A149, Data!M:M)+(SUMIF(Data!B:B, A149, Data!H:H)+(SUMIF(Data!B:B, A149,Data!G:G)+(SUMIF(Data!B:B, A149,Data!K:K)+(SUMIF(Data!B:B, A149,Data!L:L)))))))))),0))</f>
        <v/>
      </c>
      <c r="P149" s="57" t="str">
        <f>IFERROR(__xludf.DUMMYFUNCTION("IFERROR(((COUNTIF(FILTER(Data!N:N,Data!B:B=A149),""TRAVERSE"")*15)+(COUNTIF(FILTER(Data!N:N,Data!B:B=A149),""HIGH"")*10)+(COUNTIF(FILTER(Data!N:N,Data!B:B=A149),""MIDDLE"")*6)+(COUNTIF(FILTER(Data!N:N,Data!B:B=A149),""LOW"")*4)) / (COUNTIF(Data!B:B, A149)"&amp;"),"""")"),"")</f>
        <v/>
      </c>
      <c r="Q149" s="31" t="str">
        <f>IF(P149="","",AVERAGE('Convert Name to Number'!F569:H569))</f>
        <v/>
      </c>
      <c r="R149" s="36" t="str">
        <f t="shared" si="37"/>
        <v/>
      </c>
      <c r="S149" s="58" t="str">
        <f>IFERROR(__xludf.DUMMYFUNCTION("IFERROR((((COUNTIF(FILTER(Data!N:N,Data!B:B=A149),""TRAVERSE""))+(COUNTIF(FILTER(Data!N:N,Data!B:B=A149),""HIGH""))+(COUNTIF(FILTER(Data!N:N,Data!B:B=A149),""MIDDLE""))+(COUNTIF(FILTER(Data!N:N,Data!B:B=A149),""LOW"")))) / (((COUNTIF(Data!B:B, A149)))-(CO"&amp;"UNTIF(FILTER(Data!N:N,Data!B:B=A149),""NONE""))),IF(ISBLANK(A149),"""",0))"),"")</f>
        <v/>
      </c>
      <c r="T149" s="56" t="str">
        <f>IFERROR(__xludf.DUMMYFUNCTION("IFERROR((COUNTIF(FILTER(Data!N:N, Data!B:B=A149),""LOW"")) / (COUNTIF(Data!B:B, A149)),"""")"),"")</f>
        <v/>
      </c>
      <c r="U149" s="59" t="str">
        <f>IFERROR(__xludf.DUMMYFUNCTION("IFERROR((COUNTIF(FILTER(Data!N:N, Data!B:B=A149),""MIDDLE"")) / (COUNTIF(Data!B:B, A149)),"""")"),"")</f>
        <v/>
      </c>
      <c r="V149" s="59" t="str">
        <f>IFERROR(__xludf.DUMMYFUNCTION("IFERROR((COUNTIF(FILTER(Data!N:N, Data!B:B=A149),""HIGH"")) / (COUNTIF(Data!B:B, A149)),"""")"),"")</f>
        <v/>
      </c>
      <c r="W149" s="59" t="str">
        <f>IFERROR(__xludf.DUMMYFUNCTION("IFERROR((COUNTIF(FILTER(Data!N:N, Data!B:B=A149),""TRAVERSE"")) / (COUNTIF(Data!B:B, A149)),"""")"),"")</f>
        <v/>
      </c>
      <c r="X149" s="60" t="str">
        <f t="shared" si="38"/>
        <v/>
      </c>
      <c r="Y149" s="45" t="str">
        <f t="shared" si="7"/>
        <v/>
      </c>
      <c r="Z149" s="45" t="str">
        <f t="shared" si="8"/>
        <v/>
      </c>
      <c r="AA149" s="16" t="str">
        <f t="shared" si="9"/>
        <v/>
      </c>
      <c r="AB149" s="40" t="str">
        <f t="shared" si="34"/>
        <v/>
      </c>
      <c r="AC149" s="16" t="str">
        <f>IFERROR(__xludf.DUMMYFUNCTION("IF(AA149="""","""",MAX(Filter((Data!G:G+Data!K:K),Data!B:B=A149)))"),"")</f>
        <v/>
      </c>
      <c r="AD149" s="16"/>
      <c r="AE149" s="16" t="str">
        <f t="shared" si="12"/>
        <v/>
      </c>
      <c r="AF149" s="16" t="str">
        <f t="shared" si="13"/>
        <v/>
      </c>
      <c r="AG149" s="42" t="str">
        <f>IF(A149="","",(((AD149)*Picklist!$P$3)+((K149)*Picklist!$P$4)+(E149*Picklist!$P$5)+(N149*Picklist!$P$6)+(X149*Picklist!$P$7)+(R149*Picklist!$P$8)))</f>
        <v/>
      </c>
      <c r="AH149" s="43" t="str">
        <f>IF(A149="","",(((AD149)*Picklist!$P$14)+((K149)*Picklist!$P$15)+(E149*Picklist!$P$16)+(N149*Picklist!$P$17)+(X149*Picklist!$P$18)+(R149*Picklist!$P$19)))</f>
        <v/>
      </c>
      <c r="AI149" s="44" t="str">
        <f>IFERROR(__xludf.DUMMYFUNCTION("TEXTJOIN("", "",TRUE, FILTER(Data!P:P, Data!B:B=A149))"),"")</f>
        <v/>
      </c>
      <c r="AJ149" s="16" t="str">
        <f t="shared" si="14"/>
        <v/>
      </c>
      <c r="AK149" s="46" t="str">
        <f>IFERROR(__xludf.DUMMYFUNCTION("IF(A149&lt;&gt;"""",IFERROR(AVERAGE(FILTER('Defense Calculations'!BJ:CS,'Defense Calculations'!A:A=A149)),""""),"""")"),"")</f>
        <v/>
      </c>
      <c r="AM149" s="47"/>
      <c r="BC149" s="50"/>
    </row>
    <row r="150">
      <c r="A150" s="54"/>
      <c r="B150" s="55" t="str">
        <f>IFERROR(__xludf.DUMMYFUNCTION("IFERROR(ROUND(
(COUNTIF(FILTER(Data!O:O, Data!B:B=A150), ""Win"")
+ COUNTIF(FILTER(Data!O:O, Data!B:B=A150), {""Tie"",""Results""}))
/ (COUNTIF(Data!B:B, A150)),
1),"""")"),"")</f>
        <v/>
      </c>
      <c r="C150" s="45" t="str">
        <f>IFERROR((SUMIF(Data!B:B, A150, Data!H:H)
/ (COUNTIF(Data!B:B, A150)
)),"")</f>
        <v/>
      </c>
      <c r="D150" s="45" t="str">
        <f>IFERROR((SUMIF(Data!B:B, A150, Data!G:G)
/ (COUNTIF(Data!B:B, A150)
)),"")</f>
        <v/>
      </c>
      <c r="E150" s="31" t="str">
        <f t="shared" si="39"/>
        <v/>
      </c>
      <c r="F150" s="45" t="str">
        <f>IFERROR((SUMIF(Data!B:B, A150, Data!J:J)
/ (COUNTIF(Data!B:B, A150)
)),"")</f>
        <v/>
      </c>
      <c r="G150" s="56" t="str">
        <f>IF(A150="","",IFERROR((((((SUMIF(Data!B:B, A150, Data!H:H)+(SUMIF(Data!B:B, A150,Data!G:G)))/(SUMIF(Data!B:B, A150, Data!J:J)))))),0))</f>
        <v/>
      </c>
      <c r="H150" s="32" t="str">
        <f>IFERROR(__xludf.DUMMYFUNCTION("IFERROR(IF(G150="""","""",Average(FILTER(IF(Data!J:J&lt;3,((Data!G:G+Data!H:H)/Data!J:J),1),Data!B:B=A150))),""Never Attempted"")"),"")</f>
        <v/>
      </c>
      <c r="I150" s="31"/>
      <c r="J150" s="31"/>
      <c r="K150" s="31" t="str">
        <f t="shared" si="40"/>
        <v/>
      </c>
      <c r="L150" s="45" t="str">
        <f>IFERROR((SUMIF(Data!B:B, A150, Data!L:L)
/ (COUNTIF(Data!B:B, A150)
)),"")</f>
        <v/>
      </c>
      <c r="M150" s="45" t="str">
        <f>IFERROR((SUMIF(Data!B:B, A150, Data!K:K)
/ (COUNTIF(Data!B:B, A150)
)),"")</f>
        <v/>
      </c>
      <c r="N150" s="56"/>
      <c r="O150" s="56" t="str">
        <f>IF(A150="","",IFERROR((((((SUMIF(Data!B:B, A150, Data!H:H)+(SUMIF(Data!B:B, A150,Data!G:G)+(SUMIF(Data!B:B, A150,Data!L:L)+(SUMIF(Data!B:B, A150,Data!K:K)))))/(SUMIF(Data!B:B, A150, Data!M:M)+(SUMIF(Data!B:B, A150, Data!H:H)+(SUMIF(Data!B:B, A150,Data!G:G)+(SUMIF(Data!B:B, A150,Data!K:K)+(SUMIF(Data!B:B, A150,Data!L:L)))))))))),0))</f>
        <v/>
      </c>
      <c r="P150" s="57" t="str">
        <f>IFERROR(__xludf.DUMMYFUNCTION("IFERROR(((COUNTIF(FILTER(Data!N:N,Data!B:B=A150),""TRAVERSE"")*15)+(COUNTIF(FILTER(Data!N:N,Data!B:B=A150),""HIGH"")*10)+(COUNTIF(FILTER(Data!N:N,Data!B:B=A150),""MIDDLE"")*6)+(COUNTIF(FILTER(Data!N:N,Data!B:B=A150),""LOW"")*4)) / (COUNTIF(Data!B:B, A150)"&amp;"),"""")"),"")</f>
        <v/>
      </c>
      <c r="Q150" s="31" t="str">
        <f>IF(P150="","",AVERAGE('Convert Name to Number'!F570:H570))</f>
        <v/>
      </c>
      <c r="R150" s="36" t="str">
        <f t="shared" si="37"/>
        <v/>
      </c>
      <c r="S150" s="58" t="str">
        <f>IFERROR(__xludf.DUMMYFUNCTION("IFERROR((((COUNTIF(FILTER(Data!N:N,Data!B:B=A150),""TRAVERSE""))+(COUNTIF(FILTER(Data!N:N,Data!B:B=A150),""HIGH""))+(COUNTIF(FILTER(Data!N:N,Data!B:B=A150),""MIDDLE""))+(COUNTIF(FILTER(Data!N:N,Data!B:B=A150),""LOW"")))) / (((COUNTIF(Data!B:B, A150)))-(CO"&amp;"UNTIF(FILTER(Data!N:N,Data!B:B=A150),""NONE""))),IF(ISBLANK(A150),"""",0))"),"")</f>
        <v/>
      </c>
      <c r="T150" s="56" t="str">
        <f>IFERROR(__xludf.DUMMYFUNCTION("IFERROR((COUNTIF(FILTER(Data!N:N, Data!B:B=A150),""LOW"")) / (COUNTIF(Data!B:B, A150)),"""")"),"")</f>
        <v/>
      </c>
      <c r="U150" s="59" t="str">
        <f>IFERROR(__xludf.DUMMYFUNCTION("IFERROR((COUNTIF(FILTER(Data!N:N, Data!B:B=A150),""MIDDLE"")) / (COUNTIF(Data!B:B, A150)),"""")"),"")</f>
        <v/>
      </c>
      <c r="V150" s="59" t="str">
        <f>IFERROR(__xludf.DUMMYFUNCTION("IFERROR((COUNTIF(FILTER(Data!N:N, Data!B:B=A150),""HIGH"")) / (COUNTIF(Data!B:B, A150)),"""")"),"")</f>
        <v/>
      </c>
      <c r="W150" s="59" t="str">
        <f>IFERROR(__xludf.DUMMYFUNCTION("IFERROR((COUNTIF(FILTER(Data!N:N, Data!B:B=A150),""TRAVERSE"")) / (COUNTIF(Data!B:B, A150)),"""")"),"")</f>
        <v/>
      </c>
      <c r="X150" s="60" t="str">
        <f t="shared" si="38"/>
        <v/>
      </c>
      <c r="Y150" s="45" t="str">
        <f t="shared" si="7"/>
        <v/>
      </c>
      <c r="Z150" s="45" t="str">
        <f t="shared" si="8"/>
        <v/>
      </c>
      <c r="AA150" s="16" t="str">
        <f t="shared" si="9"/>
        <v/>
      </c>
      <c r="AB150" s="40" t="str">
        <f t="shared" si="34"/>
        <v/>
      </c>
      <c r="AC150" s="16" t="str">
        <f>IFERROR(__xludf.DUMMYFUNCTION("IF(AA150="""","""",MAX(Filter((Data!G:G+Data!K:K),Data!B:B=A150)))"),"")</f>
        <v/>
      </c>
      <c r="AD150" s="16"/>
      <c r="AE150" s="16" t="str">
        <f t="shared" si="12"/>
        <v/>
      </c>
      <c r="AF150" s="16" t="str">
        <f t="shared" si="13"/>
        <v/>
      </c>
      <c r="AG150" s="42" t="str">
        <f>IF(A150="","",(((AD150)*Picklist!$P$3)+((K150)*Picklist!$P$4)+(E150*Picklist!$P$5)+(N150*Picklist!$P$6)+(X150*Picklist!$P$7)+(R150*Picklist!$P$8)))</f>
        <v/>
      </c>
      <c r="AH150" s="43" t="str">
        <f>IF(A150="","",(((AD150)*Picklist!$P$14)+((K150)*Picklist!$P$15)+(E150*Picklist!$P$16)+(N150*Picklist!$P$17)+(X150*Picklist!$P$18)+(R150*Picklist!$P$19)))</f>
        <v/>
      </c>
      <c r="AI150" s="44" t="str">
        <f>IFERROR(__xludf.DUMMYFUNCTION("TEXTJOIN("", "",TRUE, FILTER(Data!P:P, Data!B:B=A150))"),"")</f>
        <v/>
      </c>
      <c r="AJ150" s="16" t="str">
        <f t="shared" si="14"/>
        <v/>
      </c>
      <c r="AK150" s="46" t="str">
        <f>IFERROR(__xludf.DUMMYFUNCTION("IF(A150&lt;&gt;"""",IFERROR(AVERAGE(FILTER('Defense Calculations'!BJ:CS,'Defense Calculations'!A:A=A150)),""""),"""")"),"")</f>
        <v/>
      </c>
      <c r="AM150" s="47"/>
      <c r="BC150" s="50"/>
    </row>
    <row r="151">
      <c r="A151" s="54"/>
      <c r="B151" s="55" t="str">
        <f>IFERROR(__xludf.DUMMYFUNCTION("IFERROR(ROUND(
(COUNTIF(FILTER(Data!O:O, Data!B:B=A151), ""Win"")
+ COUNTIF(FILTER(Data!O:O, Data!B:B=A151), {""Tie"",""Results""}))
/ (COUNTIF(Data!B:B, A151)),
1),"""")"),"")</f>
        <v/>
      </c>
      <c r="C151" s="45" t="str">
        <f>IFERROR((SUMIF(Data!B:B, A151, Data!H:H)
/ (COUNTIF(Data!B:B, A151)
)),"")</f>
        <v/>
      </c>
      <c r="D151" s="45" t="str">
        <f>IFERROR((SUMIF(Data!B:B, A151, Data!G:G)
/ (COUNTIF(Data!B:B, A151)
)),"")</f>
        <v/>
      </c>
      <c r="E151" s="31" t="str">
        <f t="shared" si="39"/>
        <v/>
      </c>
      <c r="F151" s="45" t="str">
        <f>IFERROR((SUMIF(Data!B:B, A151, Data!J:J)
/ (COUNTIF(Data!B:B, A151)
)),"")</f>
        <v/>
      </c>
      <c r="G151" s="56" t="str">
        <f>IF(A151="","",IFERROR((((((SUMIF(Data!B:B, A151, Data!H:H)+(SUMIF(Data!B:B, A151,Data!G:G)))/(SUMIF(Data!B:B, A151, Data!J:J)))))),0))</f>
        <v/>
      </c>
      <c r="H151" s="32" t="str">
        <f>IFERROR(__xludf.DUMMYFUNCTION("IFERROR(IF(G151="""","""",Average(FILTER(IF(Data!J:J&lt;3,((Data!G:G+Data!H:H)/Data!J:J),1),Data!B:B=A151))),""Never Attempted"")"),"")</f>
        <v/>
      </c>
      <c r="I151" s="31"/>
      <c r="J151" s="31"/>
      <c r="K151" s="31" t="str">
        <f t="shared" si="40"/>
        <v/>
      </c>
      <c r="L151" s="45" t="str">
        <f>IFERROR((SUMIF(Data!B:B, A151, Data!L:L)
/ (COUNTIF(Data!B:B, A151)
)),"")</f>
        <v/>
      </c>
      <c r="M151" s="45" t="str">
        <f>IFERROR((SUMIF(Data!B:B, A151, Data!K:K)
/ (COUNTIF(Data!B:B, A151)
)),"")</f>
        <v/>
      </c>
      <c r="N151" s="56"/>
      <c r="O151" s="56" t="str">
        <f>IF(A151="","",IFERROR((((((SUMIF(Data!B:B, A151, Data!H:H)+(SUMIF(Data!B:B, A151,Data!G:G)+(SUMIF(Data!B:B, A151,Data!L:L)+(SUMIF(Data!B:B, A151,Data!K:K)))))/(SUMIF(Data!B:B, A151, Data!M:M)+(SUMIF(Data!B:B, A151, Data!H:H)+(SUMIF(Data!B:B, A151,Data!G:G)+(SUMIF(Data!B:B, A151,Data!K:K)+(SUMIF(Data!B:B, A151,Data!L:L)))))))))),0))</f>
        <v/>
      </c>
      <c r="P151" s="57" t="str">
        <f>IFERROR(__xludf.DUMMYFUNCTION("IFERROR(((COUNTIF(FILTER(Data!N:N,Data!B:B=A151),""TRAVERSE"")*15)+(COUNTIF(FILTER(Data!N:N,Data!B:B=A151),""HIGH"")*10)+(COUNTIF(FILTER(Data!N:N,Data!B:B=A151),""MIDDLE"")*6)+(COUNTIF(FILTER(Data!N:N,Data!B:B=A151),""LOW"")*4)) / (COUNTIF(Data!B:B, A151)"&amp;"),"""")"),"")</f>
        <v/>
      </c>
      <c r="Q151" s="31" t="str">
        <f>IF(P151="","",AVERAGE('Convert Name to Number'!F571:H571))</f>
        <v/>
      </c>
      <c r="R151" s="36" t="str">
        <f t="shared" si="37"/>
        <v/>
      </c>
      <c r="S151" s="58" t="str">
        <f>IFERROR(__xludf.DUMMYFUNCTION("IFERROR((((COUNTIF(FILTER(Data!N:N,Data!B:B=A151),""TRAVERSE""))+(COUNTIF(FILTER(Data!N:N,Data!B:B=A151),""HIGH""))+(COUNTIF(FILTER(Data!N:N,Data!B:B=A151),""MIDDLE""))+(COUNTIF(FILTER(Data!N:N,Data!B:B=A151),""LOW"")))) / (((COUNTIF(Data!B:B, A151)))-(CO"&amp;"UNTIF(FILTER(Data!N:N,Data!B:B=A151),""NONE""))),IF(ISBLANK(A151),"""",0))"),"")</f>
        <v/>
      </c>
      <c r="T151" s="56" t="str">
        <f>IFERROR(__xludf.DUMMYFUNCTION("IFERROR((COUNTIF(FILTER(Data!N:N, Data!B:B=A151),""LOW"")) / (COUNTIF(Data!B:B, A151)),"""")"),"")</f>
        <v/>
      </c>
      <c r="U151" s="59" t="str">
        <f>IFERROR(__xludf.DUMMYFUNCTION("IFERROR((COUNTIF(FILTER(Data!N:N, Data!B:B=A151),""MIDDLE"")) / (COUNTIF(Data!B:B, A151)),"""")"),"")</f>
        <v/>
      </c>
      <c r="V151" s="59" t="str">
        <f>IFERROR(__xludf.DUMMYFUNCTION("IFERROR((COUNTIF(FILTER(Data!N:N, Data!B:B=A151),""HIGH"")) / (COUNTIF(Data!B:B, A151)),"""")"),"")</f>
        <v/>
      </c>
      <c r="W151" s="59" t="str">
        <f>IFERROR(__xludf.DUMMYFUNCTION("IFERROR((COUNTIF(FILTER(Data!N:N, Data!B:B=A151),""TRAVERSE"")) / (COUNTIF(Data!B:B, A151)),"""")"),"")</f>
        <v/>
      </c>
      <c r="X151" s="60" t="str">
        <f t="shared" si="38"/>
        <v/>
      </c>
      <c r="Y151" s="45" t="str">
        <f t="shared" si="7"/>
        <v/>
      </c>
      <c r="Z151" s="45" t="str">
        <f t="shared" si="8"/>
        <v/>
      </c>
      <c r="AA151" s="16" t="str">
        <f t="shared" si="9"/>
        <v/>
      </c>
      <c r="AB151" s="40" t="str">
        <f t="shared" si="34"/>
        <v/>
      </c>
      <c r="AC151" s="16" t="str">
        <f>IFERROR(__xludf.DUMMYFUNCTION("IF(AA151="""","""",MAX(Filter((Data!G:G+Data!K:K),Data!B:B=A151)))"),"")</f>
        <v/>
      </c>
      <c r="AD151" s="16"/>
      <c r="AE151" s="16" t="str">
        <f t="shared" si="12"/>
        <v/>
      </c>
      <c r="AF151" s="16" t="str">
        <f t="shared" si="13"/>
        <v/>
      </c>
      <c r="AG151" s="42" t="str">
        <f>IF(A151="","",(((AD151)*Picklist!$P$3)+((K151)*Picklist!$P$4)+(E151*Picklist!$P$5)+(N151*Picklist!$P$6)+(X151*Picklist!$P$7)+(R151*Picklist!$P$8)))</f>
        <v/>
      </c>
      <c r="AH151" s="43" t="str">
        <f>IF(A151="","",(((AD151)*Picklist!$P$14)+((K151)*Picklist!$P$15)+(E151*Picklist!$P$16)+(N151*Picklist!$P$17)+(X151*Picklist!$P$18)+(R151*Picklist!$P$19)))</f>
        <v/>
      </c>
      <c r="AI151" s="44" t="str">
        <f>IFERROR(__xludf.DUMMYFUNCTION("TEXTJOIN("", "",TRUE, FILTER(Data!P:P, Data!B:B=A151))"),"")</f>
        <v/>
      </c>
      <c r="AJ151" s="16" t="str">
        <f t="shared" si="14"/>
        <v/>
      </c>
      <c r="AK151" s="46" t="str">
        <f>IFERROR(__xludf.DUMMYFUNCTION("IF(A151&lt;&gt;"""",IFERROR(AVERAGE(FILTER('Defense Calculations'!BJ:CS,'Defense Calculations'!A:A=A151)),""""),"""")"),"")</f>
        <v/>
      </c>
      <c r="AM151" s="47"/>
      <c r="BC151" s="50"/>
    </row>
    <row r="152">
      <c r="A152" s="54"/>
      <c r="B152" s="55" t="str">
        <f>IFERROR(__xludf.DUMMYFUNCTION("IFERROR(ROUND(
(COUNTIF(FILTER(Data!O:O, Data!B:B=A152), ""Win"")
+ COUNTIF(FILTER(Data!O:O, Data!B:B=A152), {""Tie"",""Results""}))
/ (COUNTIF(Data!B:B, A152)),
1),"""")"),"")</f>
        <v/>
      </c>
      <c r="C152" s="45" t="str">
        <f>IFERROR((SUMIF(Data!B:B, A152, Data!H:H)
/ (COUNTIF(Data!B:B, A152)
)),"")</f>
        <v/>
      </c>
      <c r="D152" s="45" t="str">
        <f>IFERROR((SUMIF(Data!B:B, A152, Data!G:G)
/ (COUNTIF(Data!B:B, A152)
)),"")</f>
        <v/>
      </c>
      <c r="E152" s="31" t="str">
        <f t="shared" si="39"/>
        <v/>
      </c>
      <c r="F152" s="45" t="str">
        <f>IFERROR((SUMIF(Data!B:B, A152, Data!J:J)
/ (COUNTIF(Data!B:B, A152)
)),"")</f>
        <v/>
      </c>
      <c r="G152" s="56" t="str">
        <f>IF(A152="","",IFERROR((((((SUMIF(Data!B:B, A152, Data!H:H)+(SUMIF(Data!B:B, A152,Data!G:G)))/(SUMIF(Data!B:B, A152, Data!J:J)))))),0))</f>
        <v/>
      </c>
      <c r="H152" s="32" t="str">
        <f>IFERROR(__xludf.DUMMYFUNCTION("IFERROR(IF(G152="""","""",Average(FILTER(IF(Data!J:J&lt;3,((Data!G:G+Data!H:H)/Data!J:J),1),Data!B:B=A152))),""Never Attempted"")"),"")</f>
        <v/>
      </c>
      <c r="I152" s="31"/>
      <c r="J152" s="31"/>
      <c r="K152" s="31" t="str">
        <f t="shared" si="40"/>
        <v/>
      </c>
      <c r="L152" s="45" t="str">
        <f>IFERROR((SUMIF(Data!B:B, A152, Data!L:L)
/ (COUNTIF(Data!B:B, A152)
)),"")</f>
        <v/>
      </c>
      <c r="M152" s="45" t="str">
        <f>IFERROR((SUMIF(Data!B:B, A152, Data!K:K)
/ (COUNTIF(Data!B:B, A152)
)),"")</f>
        <v/>
      </c>
      <c r="N152" s="56"/>
      <c r="O152" s="56" t="str">
        <f>IF(A152="","",IFERROR((((((SUMIF(Data!B:B, A152, Data!H:H)+(SUMIF(Data!B:B, A152,Data!G:G)+(SUMIF(Data!B:B, A152,Data!L:L)+(SUMIF(Data!B:B, A152,Data!K:K)))))/(SUMIF(Data!B:B, A152, Data!M:M)+(SUMIF(Data!B:B, A152, Data!H:H)+(SUMIF(Data!B:B, A152,Data!G:G)+(SUMIF(Data!B:B, A152,Data!K:K)+(SUMIF(Data!B:B, A152,Data!L:L)))))))))),0))</f>
        <v/>
      </c>
      <c r="P152" s="57" t="str">
        <f>IFERROR(__xludf.DUMMYFUNCTION("IFERROR(((COUNTIF(FILTER(Data!N:N,Data!B:B=A152),""TRAVERSE"")*15)+(COUNTIF(FILTER(Data!N:N,Data!B:B=A152),""HIGH"")*10)+(COUNTIF(FILTER(Data!N:N,Data!B:B=A152),""MIDDLE"")*6)+(COUNTIF(FILTER(Data!N:N,Data!B:B=A152),""LOW"")*4)) / (COUNTIF(Data!B:B, A152)"&amp;"),"""")"),"")</f>
        <v/>
      </c>
      <c r="Q152" s="31" t="str">
        <f>IF(P152="","",AVERAGE('Convert Name to Number'!F572:H572))</f>
        <v/>
      </c>
      <c r="R152" s="36" t="str">
        <f t="shared" si="37"/>
        <v/>
      </c>
      <c r="S152" s="58" t="str">
        <f>IFERROR(__xludf.DUMMYFUNCTION("IFERROR((((COUNTIF(FILTER(Data!N:N,Data!B:B=A152),""TRAVERSE""))+(COUNTIF(FILTER(Data!N:N,Data!B:B=A152),""HIGH""))+(COUNTIF(FILTER(Data!N:N,Data!B:B=A152),""MIDDLE""))+(COUNTIF(FILTER(Data!N:N,Data!B:B=A152),""LOW"")))) / (((COUNTIF(Data!B:B, A152)))-(CO"&amp;"UNTIF(FILTER(Data!N:N,Data!B:B=A152),""NONE""))),IF(ISBLANK(A152),"""",0))"),"")</f>
        <v/>
      </c>
      <c r="T152" s="56" t="str">
        <f>IFERROR(__xludf.DUMMYFUNCTION("IFERROR((COUNTIF(FILTER(Data!N:N, Data!B:B=A152),""LOW"")) / (COUNTIF(Data!B:B, A152)),"""")"),"")</f>
        <v/>
      </c>
      <c r="U152" s="59" t="str">
        <f>IFERROR(__xludf.DUMMYFUNCTION("IFERROR((COUNTIF(FILTER(Data!N:N, Data!B:B=A152),""MIDDLE"")) / (COUNTIF(Data!B:B, A152)),"""")"),"")</f>
        <v/>
      </c>
      <c r="V152" s="59" t="str">
        <f>IFERROR(__xludf.DUMMYFUNCTION("IFERROR((COUNTIF(FILTER(Data!N:N, Data!B:B=A152),""HIGH"")) / (COUNTIF(Data!B:B, A152)),"""")"),"")</f>
        <v/>
      </c>
      <c r="W152" s="59" t="str">
        <f>IFERROR(__xludf.DUMMYFUNCTION("IFERROR((COUNTIF(FILTER(Data!N:N, Data!B:B=A152),""TRAVERSE"")) / (COUNTIF(Data!B:B, A152)),"""")"),"")</f>
        <v/>
      </c>
      <c r="X152" s="60" t="str">
        <f t="shared" si="38"/>
        <v/>
      </c>
      <c r="Y152" s="45" t="str">
        <f t="shared" si="7"/>
        <v/>
      </c>
      <c r="Z152" s="45" t="str">
        <f t="shared" si="8"/>
        <v/>
      </c>
      <c r="AA152" s="16" t="str">
        <f t="shared" si="9"/>
        <v/>
      </c>
      <c r="AB152" s="40" t="str">
        <f t="shared" si="34"/>
        <v/>
      </c>
      <c r="AC152" s="16" t="str">
        <f>IFERROR(__xludf.DUMMYFUNCTION("IF(AA152="""","""",MAX(Filter((Data!G:G+Data!K:K),Data!B:B=A152)))"),"")</f>
        <v/>
      </c>
      <c r="AD152" s="16"/>
      <c r="AE152" s="16" t="str">
        <f t="shared" si="12"/>
        <v/>
      </c>
      <c r="AF152" s="16" t="str">
        <f t="shared" si="13"/>
        <v/>
      </c>
      <c r="AG152" s="42" t="str">
        <f>IF(A152="","",(((AD152)*Picklist!$P$3)+((K152)*Picklist!$P$4)+(E152*Picklist!$P$5)+(N152*Picklist!$P$6)+(X152*Picklist!$P$7)+(R152*Picklist!$P$8)))</f>
        <v/>
      </c>
      <c r="AH152" s="43" t="str">
        <f>IF(A152="","",(((AD152)*Picklist!$P$14)+((K152)*Picklist!$P$15)+(E152*Picklist!$P$16)+(N152*Picklist!$P$17)+(X152*Picklist!$P$18)+(R152*Picklist!$P$19)))</f>
        <v/>
      </c>
      <c r="AI152" s="44" t="str">
        <f>IFERROR(__xludf.DUMMYFUNCTION("TEXTJOIN("", "",TRUE, FILTER(Data!P:P, Data!B:B=A152))"),"")</f>
        <v/>
      </c>
      <c r="AJ152" s="16" t="str">
        <f t="shared" si="14"/>
        <v/>
      </c>
      <c r="AK152" s="46" t="str">
        <f>IFERROR(__xludf.DUMMYFUNCTION("IF(A152&lt;&gt;"""",IFERROR(AVERAGE(FILTER('Defense Calculations'!BJ:CS,'Defense Calculations'!A:A=A152)),""""),"""")"),"")</f>
        <v/>
      </c>
      <c r="AM152" s="47"/>
      <c r="BC152" s="50"/>
    </row>
    <row r="153">
      <c r="A153" s="54"/>
      <c r="B153" s="55" t="str">
        <f>IFERROR(__xludf.DUMMYFUNCTION("IFERROR(ROUND(
(COUNTIF(FILTER(Data!O:O, Data!B:B=A153), ""Win"")
+ COUNTIF(FILTER(Data!O:O, Data!B:B=A153), {""Tie"",""Results""}))
/ (COUNTIF(Data!B:B, A153)),
1),"""")"),"")</f>
        <v/>
      </c>
      <c r="C153" s="45" t="str">
        <f>IFERROR((SUMIF(Data!B:B, A153, Data!H:H)
/ (COUNTIF(Data!B:B, A153)
)),"")</f>
        <v/>
      </c>
      <c r="D153" s="45" t="str">
        <f>IFERROR((SUMIF(Data!B:B, A153, Data!G:G)
/ (COUNTIF(Data!B:B, A153)
)),"")</f>
        <v/>
      </c>
      <c r="E153" s="31" t="str">
        <f t="shared" si="39"/>
        <v/>
      </c>
      <c r="F153" s="45" t="str">
        <f>IFERROR((SUMIF(Data!B:B, A153, Data!J:J)
/ (COUNTIF(Data!B:B, A153)
)),"")</f>
        <v/>
      </c>
      <c r="G153" s="56" t="str">
        <f>IF(A153="","",IFERROR((((((SUMIF(Data!B:B, A153, Data!H:H)+(SUMIF(Data!B:B, A153,Data!G:G)))/(SUMIF(Data!B:B, A153, Data!J:J)))))),0))</f>
        <v/>
      </c>
      <c r="H153" s="32" t="str">
        <f>IFERROR(__xludf.DUMMYFUNCTION("IFERROR(IF(G153="""","""",Average(FILTER(IF(Data!J:J&lt;3,((Data!G:G+Data!H:H)/Data!J:J),1),Data!B:B=A153))),""Never Attempted"")"),"")</f>
        <v/>
      </c>
      <c r="I153" s="31"/>
      <c r="J153" s="31"/>
      <c r="K153" s="31" t="str">
        <f t="shared" si="40"/>
        <v/>
      </c>
      <c r="L153" s="45" t="str">
        <f>IFERROR((SUMIF(Data!B:B, A153, Data!L:L)
/ (COUNTIF(Data!B:B, A153)
)),"")</f>
        <v/>
      </c>
      <c r="M153" s="45" t="str">
        <f>IFERROR((SUMIF(Data!B:B, A153, Data!K:K)
/ (COUNTIF(Data!B:B, A153)
)),"")</f>
        <v/>
      </c>
      <c r="N153" s="56"/>
      <c r="O153" s="56" t="str">
        <f>IF(A153="","",IFERROR((((((SUMIF(Data!B:B, A153, Data!H:H)+(SUMIF(Data!B:B, A153,Data!G:G)+(SUMIF(Data!B:B, A153,Data!L:L)+(SUMIF(Data!B:B, A153,Data!K:K)))))/(SUMIF(Data!B:B, A153, Data!M:M)+(SUMIF(Data!B:B, A153, Data!H:H)+(SUMIF(Data!B:B, A153,Data!G:G)+(SUMIF(Data!B:B, A153,Data!K:K)+(SUMIF(Data!B:B, A153,Data!L:L)))))))))),0))</f>
        <v/>
      </c>
      <c r="P153" s="57" t="str">
        <f>IFERROR(__xludf.DUMMYFUNCTION("IFERROR(((COUNTIF(FILTER(Data!N:N,Data!B:B=A153),""TRAVERSE"")*15)+(COUNTIF(FILTER(Data!N:N,Data!B:B=A153),""HIGH"")*10)+(COUNTIF(FILTER(Data!N:N,Data!B:B=A153),""MIDDLE"")*6)+(COUNTIF(FILTER(Data!N:N,Data!B:B=A153),""LOW"")*4)) / (COUNTIF(Data!B:B, A153)"&amp;"),"""")"),"")</f>
        <v/>
      </c>
      <c r="Q153" s="31" t="str">
        <f>IF(P153="","",AVERAGE('Convert Name to Number'!F573:H573))</f>
        <v/>
      </c>
      <c r="R153" s="36" t="str">
        <f t="shared" si="37"/>
        <v/>
      </c>
      <c r="S153" s="58" t="str">
        <f>IFERROR(__xludf.DUMMYFUNCTION("IFERROR((((COUNTIF(FILTER(Data!N:N,Data!B:B=A153),""TRAVERSE""))+(COUNTIF(FILTER(Data!N:N,Data!B:B=A153),""HIGH""))+(COUNTIF(FILTER(Data!N:N,Data!B:B=A153),""MIDDLE""))+(COUNTIF(FILTER(Data!N:N,Data!B:B=A153),""LOW"")))) / (((COUNTIF(Data!B:B, A153)))-(CO"&amp;"UNTIF(FILTER(Data!N:N,Data!B:B=A153),""NONE""))),IF(ISBLANK(A153),"""",0))"),"")</f>
        <v/>
      </c>
      <c r="T153" s="56" t="str">
        <f>IFERROR(__xludf.DUMMYFUNCTION("IFERROR((COUNTIF(FILTER(Data!N:N, Data!B:B=A153),""LOW"")) / (COUNTIF(Data!B:B, A153)),"""")"),"")</f>
        <v/>
      </c>
      <c r="U153" s="59" t="str">
        <f>IFERROR(__xludf.DUMMYFUNCTION("IFERROR((COUNTIF(FILTER(Data!N:N, Data!B:B=A153),""MIDDLE"")) / (COUNTIF(Data!B:B, A153)),"""")"),"")</f>
        <v/>
      </c>
      <c r="V153" s="59" t="str">
        <f>IFERROR(__xludf.DUMMYFUNCTION("IFERROR((COUNTIF(FILTER(Data!N:N, Data!B:B=A153),""HIGH"")) / (COUNTIF(Data!B:B, A153)),"""")"),"")</f>
        <v/>
      </c>
      <c r="W153" s="59" t="str">
        <f>IFERROR(__xludf.DUMMYFUNCTION("IFERROR((COUNTIF(FILTER(Data!N:N, Data!B:B=A153),""TRAVERSE"")) / (COUNTIF(Data!B:B, A153)),"""")"),"")</f>
        <v/>
      </c>
      <c r="X153" s="60" t="str">
        <f t="shared" si="38"/>
        <v/>
      </c>
      <c r="Y153" s="45" t="str">
        <f t="shared" si="7"/>
        <v/>
      </c>
      <c r="Z153" s="45" t="str">
        <f t="shared" si="8"/>
        <v/>
      </c>
      <c r="AA153" s="16" t="str">
        <f t="shared" si="9"/>
        <v/>
      </c>
      <c r="AB153" s="40" t="str">
        <f t="shared" si="34"/>
        <v/>
      </c>
      <c r="AC153" s="16" t="str">
        <f>IFERROR(__xludf.DUMMYFUNCTION("IF(AA153="""","""",MAX(Filter((Data!G:G+Data!K:K),Data!B:B=A153)))"),"")</f>
        <v/>
      </c>
      <c r="AD153" s="16"/>
      <c r="AE153" s="16" t="str">
        <f t="shared" si="12"/>
        <v/>
      </c>
      <c r="AF153" s="16" t="str">
        <f t="shared" si="13"/>
        <v/>
      </c>
      <c r="AG153" s="42" t="str">
        <f>IF(A153="","",(((AD153)*Picklist!$P$3)+((K153)*Picklist!$P$4)+(E153*Picklist!$P$5)+(N153*Picklist!$P$6)+(X153*Picklist!$P$7)+(R153*Picklist!$P$8)))</f>
        <v/>
      </c>
      <c r="AH153" s="43" t="str">
        <f>IF(A153="","",(((AD153)*Picklist!$P$14)+((K153)*Picklist!$P$15)+(E153*Picklist!$P$16)+(N153*Picklist!$P$17)+(X153*Picklist!$P$18)+(R153*Picklist!$P$19)))</f>
        <v/>
      </c>
      <c r="AI153" s="44" t="str">
        <f>IFERROR(__xludf.DUMMYFUNCTION("TEXTJOIN("", "",TRUE, FILTER(Data!P:P, Data!B:B=A153))"),"")</f>
        <v/>
      </c>
      <c r="AJ153" s="16" t="str">
        <f t="shared" si="14"/>
        <v/>
      </c>
      <c r="AK153" s="46" t="str">
        <f>IFERROR(__xludf.DUMMYFUNCTION("IF(A153&lt;&gt;"""",IFERROR(AVERAGE(FILTER('Defense Calculations'!BJ:CS,'Defense Calculations'!A:A=A153)),""""),"""")"),"")</f>
        <v/>
      </c>
      <c r="AM153" s="47"/>
      <c r="BC153" s="50"/>
    </row>
    <row r="154">
      <c r="A154" s="54"/>
      <c r="B154" s="55" t="str">
        <f>IFERROR(__xludf.DUMMYFUNCTION("IFERROR(ROUND(
(COUNTIF(FILTER(Data!O:O, Data!B:B=A154), ""Win"")
+ COUNTIF(FILTER(Data!O:O, Data!B:B=A154), {""Tie"",""Results""}))
/ (COUNTIF(Data!B:B, A154)),
1),"""")"),"")</f>
        <v/>
      </c>
      <c r="C154" s="45" t="str">
        <f>IFERROR((SUMIF(Data!B:B, A154, Data!H:H)
/ (COUNTIF(Data!B:B, A154)
)),"")</f>
        <v/>
      </c>
      <c r="D154" s="45" t="str">
        <f>IFERROR((SUMIF(Data!B:B, A154, Data!G:G)
/ (COUNTIF(Data!B:B, A154)
)),"")</f>
        <v/>
      </c>
      <c r="E154" s="31" t="str">
        <f t="shared" si="39"/>
        <v/>
      </c>
      <c r="F154" s="45" t="str">
        <f>IFERROR((SUMIF(Data!B:B, A154, Data!J:J)
/ (COUNTIF(Data!B:B, A154)
)),"")</f>
        <v/>
      </c>
      <c r="G154" s="56" t="str">
        <f>IF(A154="","",IFERROR((((((SUMIF(Data!B:B, A154, Data!H:H)+(SUMIF(Data!B:B, A154,Data!G:G)))/(SUMIF(Data!B:B, A154, Data!J:J)))))),0))</f>
        <v/>
      </c>
      <c r="H154" s="32" t="str">
        <f>IFERROR(__xludf.DUMMYFUNCTION("IFERROR(IF(G154="""","""",Average(FILTER(IF(Data!J:J&lt;3,((Data!G:G+Data!H:H)/Data!J:J),1),Data!B:B=A154))),""Never Attempted"")"),"")</f>
        <v/>
      </c>
      <c r="I154" s="31"/>
      <c r="J154" s="31"/>
      <c r="K154" s="31" t="str">
        <f t="shared" si="40"/>
        <v/>
      </c>
      <c r="L154" s="45" t="str">
        <f>IFERROR((SUMIF(Data!B:B, A154, Data!L:L)
/ (COUNTIF(Data!B:B, A154)
)),"")</f>
        <v/>
      </c>
      <c r="M154" s="45" t="str">
        <f>IFERROR((SUMIF(Data!B:B, A154, Data!K:K)
/ (COUNTIF(Data!B:B, A154)
)),"")</f>
        <v/>
      </c>
      <c r="N154" s="56"/>
      <c r="O154" s="56" t="str">
        <f>IF(A154="","",IFERROR((((((SUMIF(Data!B:B, A154, Data!H:H)+(SUMIF(Data!B:B, A154,Data!G:G)+(SUMIF(Data!B:B, A154,Data!L:L)+(SUMIF(Data!B:B, A154,Data!K:K)))))/(SUMIF(Data!B:B, A154, Data!M:M)+(SUMIF(Data!B:B, A154, Data!H:H)+(SUMIF(Data!B:B, A154,Data!G:G)+(SUMIF(Data!B:B, A154,Data!K:K)+(SUMIF(Data!B:B, A154,Data!L:L)))))))))),0))</f>
        <v/>
      </c>
      <c r="P154" s="57" t="str">
        <f>IFERROR(__xludf.DUMMYFUNCTION("IFERROR(((COUNTIF(FILTER(Data!N:N,Data!B:B=A154),""TRAVERSE"")*15)+(COUNTIF(FILTER(Data!N:N,Data!B:B=A154),""HIGH"")*10)+(COUNTIF(FILTER(Data!N:N,Data!B:B=A154),""MIDDLE"")*6)+(COUNTIF(FILTER(Data!N:N,Data!B:B=A154),""LOW"")*4)) / (COUNTIF(Data!B:B, A154)"&amp;"),"""")"),"")</f>
        <v/>
      </c>
      <c r="Q154" s="31" t="str">
        <f>IF(P154="","",AVERAGE('Convert Name to Number'!F574:H574))</f>
        <v/>
      </c>
      <c r="R154" s="36" t="str">
        <f t="shared" si="37"/>
        <v/>
      </c>
      <c r="S154" s="58" t="str">
        <f>IFERROR(__xludf.DUMMYFUNCTION("IFERROR((((COUNTIF(FILTER(Data!N:N,Data!B:B=A154),""TRAVERSE""))+(COUNTIF(FILTER(Data!N:N,Data!B:B=A154),""HIGH""))+(COUNTIF(FILTER(Data!N:N,Data!B:B=A154),""MIDDLE""))+(COUNTIF(FILTER(Data!N:N,Data!B:B=A154),""LOW"")))) / (((COUNTIF(Data!B:B, A154)))-(CO"&amp;"UNTIF(FILTER(Data!N:N,Data!B:B=A154),""NONE""))),IF(ISBLANK(A154),"""",0))"),"")</f>
        <v/>
      </c>
      <c r="T154" s="56" t="str">
        <f>IFERROR(__xludf.DUMMYFUNCTION("IFERROR((COUNTIF(FILTER(Data!N:N, Data!B:B=A154),""LOW"")) / (COUNTIF(Data!B:B, A154)),"""")"),"")</f>
        <v/>
      </c>
      <c r="U154" s="59" t="str">
        <f>IFERROR(__xludf.DUMMYFUNCTION("IFERROR((COUNTIF(FILTER(Data!N:N, Data!B:B=A154),""MIDDLE"")) / (COUNTIF(Data!B:B, A154)),"""")"),"")</f>
        <v/>
      </c>
      <c r="V154" s="59" t="str">
        <f>IFERROR(__xludf.DUMMYFUNCTION("IFERROR((COUNTIF(FILTER(Data!N:N, Data!B:B=A154),""HIGH"")) / (COUNTIF(Data!B:B, A154)),"""")"),"")</f>
        <v/>
      </c>
      <c r="W154" s="59" t="str">
        <f>IFERROR(__xludf.DUMMYFUNCTION("IFERROR((COUNTIF(FILTER(Data!N:N, Data!B:B=A154),""TRAVERSE"")) / (COUNTIF(Data!B:B, A154)),"""")"),"")</f>
        <v/>
      </c>
      <c r="X154" s="60" t="str">
        <f t="shared" si="38"/>
        <v/>
      </c>
      <c r="Y154" s="45" t="str">
        <f t="shared" si="7"/>
        <v/>
      </c>
      <c r="Z154" s="45" t="str">
        <f t="shared" si="8"/>
        <v/>
      </c>
      <c r="AA154" s="16" t="str">
        <f t="shared" si="9"/>
        <v/>
      </c>
      <c r="AB154" s="40" t="str">
        <f t="shared" si="34"/>
        <v/>
      </c>
      <c r="AC154" s="16" t="str">
        <f>IFERROR(__xludf.DUMMYFUNCTION("IF(AA154="""","""",MAX(Filter((Data!G:G+Data!K:K),Data!B:B=A154)))"),"")</f>
        <v/>
      </c>
      <c r="AD154" s="16"/>
      <c r="AE154" s="16" t="str">
        <f t="shared" si="12"/>
        <v/>
      </c>
      <c r="AF154" s="16" t="str">
        <f t="shared" si="13"/>
        <v/>
      </c>
      <c r="AG154" s="42" t="str">
        <f>IF(A154="","",(((AD154)*Picklist!$P$3)+((K154)*Picklist!$P$4)+(E154*Picklist!$P$5)+(N154*Picklist!$P$6)+(X154*Picklist!$P$7)+(R154*Picklist!$P$8)))</f>
        <v/>
      </c>
      <c r="AH154" s="43" t="str">
        <f>IF(A154="","",(((AD154)*Picklist!$P$14)+((K154)*Picklist!$P$15)+(E154*Picklist!$P$16)+(N154*Picklist!$P$17)+(X154*Picklist!$P$18)+(R154*Picklist!$P$19)))</f>
        <v/>
      </c>
      <c r="AI154" s="44" t="str">
        <f>IFERROR(__xludf.DUMMYFUNCTION("TEXTJOIN("", "",TRUE, FILTER(Data!P:P, Data!B:B=A154))"),"")</f>
        <v/>
      </c>
      <c r="AJ154" s="16" t="str">
        <f t="shared" si="14"/>
        <v/>
      </c>
      <c r="AK154" s="46" t="str">
        <f>IFERROR(__xludf.DUMMYFUNCTION("IF(A154&lt;&gt;"""",IFERROR(AVERAGE(FILTER('Defense Calculations'!BJ:CS,'Defense Calculations'!A:A=A154)),""""),"""")"),"")</f>
        <v/>
      </c>
      <c r="AM154" s="47"/>
      <c r="BC154" s="50"/>
    </row>
    <row r="155">
      <c r="A155" s="54"/>
      <c r="B155" s="55" t="str">
        <f>IFERROR(__xludf.DUMMYFUNCTION("IFERROR(ROUND(
(COUNTIF(FILTER(Data!O:O, Data!B:B=A155), ""Win"")
+ COUNTIF(FILTER(Data!O:O, Data!B:B=A155), {""Tie"",""Results""}))
/ (COUNTIF(Data!B:B, A155)),
1),"""")"),"")</f>
        <v/>
      </c>
      <c r="C155" s="45" t="str">
        <f>IFERROR((SUMIF(Data!B:B, A155, Data!H:H)
/ (COUNTIF(Data!B:B, A155)
)),"")</f>
        <v/>
      </c>
      <c r="D155" s="45" t="str">
        <f>IFERROR((SUMIF(Data!B:B, A155, Data!G:G)
/ (COUNTIF(Data!B:B, A155)
)),"")</f>
        <v/>
      </c>
      <c r="E155" s="31" t="str">
        <f t="shared" si="39"/>
        <v/>
      </c>
      <c r="F155" s="45" t="str">
        <f>IFERROR((SUMIF(Data!B:B, A155, Data!J:J)
/ (COUNTIF(Data!B:B, A155)
)),"")</f>
        <v/>
      </c>
      <c r="G155" s="56" t="str">
        <f>IF(A155="","",IFERROR((((((SUMIF(Data!B:B, A155, Data!H:H)+(SUMIF(Data!B:B, A155,Data!G:G)))/(SUMIF(Data!B:B, A155, Data!J:J)))))),0))</f>
        <v/>
      </c>
      <c r="H155" s="32" t="str">
        <f>IFERROR(__xludf.DUMMYFUNCTION("IFERROR(IF(G155="""","""",Average(FILTER(IF(Data!J:J&lt;3,((Data!G:G+Data!H:H)/Data!J:J),1),Data!B:B=A155))),""Never Attempted"")"),"")</f>
        <v/>
      </c>
      <c r="I155" s="31"/>
      <c r="J155" s="31"/>
      <c r="K155" s="31" t="str">
        <f t="shared" si="40"/>
        <v/>
      </c>
      <c r="L155" s="45" t="str">
        <f>IFERROR((SUMIF(Data!B:B, A155, Data!L:L)
/ (COUNTIF(Data!B:B, A155)
)),"")</f>
        <v/>
      </c>
      <c r="M155" s="45" t="str">
        <f>IFERROR((SUMIF(Data!B:B, A155, Data!K:K)
/ (COUNTIF(Data!B:B, A155)
)),"")</f>
        <v/>
      </c>
      <c r="N155" s="56"/>
      <c r="O155" s="56" t="str">
        <f>IF(A155="","",IFERROR((((((SUMIF(Data!B:B, A155, Data!H:H)+(SUMIF(Data!B:B, A155,Data!G:G)+(SUMIF(Data!B:B, A155,Data!L:L)+(SUMIF(Data!B:B, A155,Data!K:K)))))/(SUMIF(Data!B:B, A155, Data!M:M)+(SUMIF(Data!B:B, A155, Data!H:H)+(SUMIF(Data!B:B, A155,Data!G:G)+(SUMIF(Data!B:B, A155,Data!K:K)+(SUMIF(Data!B:B, A155,Data!L:L)))))))))),0))</f>
        <v/>
      </c>
      <c r="P155" s="57" t="str">
        <f>IFERROR(__xludf.DUMMYFUNCTION("IFERROR(((COUNTIF(FILTER(Data!N:N,Data!B:B=A155),""TRAVERSE"")*15)+(COUNTIF(FILTER(Data!N:N,Data!B:B=A155),""HIGH"")*10)+(COUNTIF(FILTER(Data!N:N,Data!B:B=A155),""MIDDLE"")*6)+(COUNTIF(FILTER(Data!N:N,Data!B:B=A155),""LOW"")*4)) / (COUNTIF(Data!B:B, A155)"&amp;"),"""")"),"")</f>
        <v/>
      </c>
      <c r="Q155" s="31" t="str">
        <f>IF(P155="","",AVERAGE('Convert Name to Number'!F575:H575))</f>
        <v/>
      </c>
      <c r="R155" s="36" t="str">
        <f t="shared" si="37"/>
        <v/>
      </c>
      <c r="S155" s="58" t="str">
        <f>IFERROR(__xludf.DUMMYFUNCTION("IFERROR((((COUNTIF(FILTER(Data!N:N,Data!B:B=A155),""TRAVERSE""))+(COUNTIF(FILTER(Data!N:N,Data!B:B=A155),""HIGH""))+(COUNTIF(FILTER(Data!N:N,Data!B:B=A155),""MIDDLE""))+(COUNTIF(FILTER(Data!N:N,Data!B:B=A155),""LOW"")))) / (((COUNTIF(Data!B:B, A155)))-(CO"&amp;"UNTIF(FILTER(Data!N:N,Data!B:B=A155),""NONE""))),IF(ISBLANK(A155),"""",0))"),"")</f>
        <v/>
      </c>
      <c r="T155" s="56" t="str">
        <f>IFERROR(__xludf.DUMMYFUNCTION("IFERROR((COUNTIF(FILTER(Data!N:N, Data!B:B=A155),""LOW"")) / (COUNTIF(Data!B:B, A155)),"""")"),"")</f>
        <v/>
      </c>
      <c r="U155" s="59" t="str">
        <f>IFERROR(__xludf.DUMMYFUNCTION("IFERROR((COUNTIF(FILTER(Data!N:N, Data!B:B=A155),""MIDDLE"")) / (COUNTIF(Data!B:B, A155)),"""")"),"")</f>
        <v/>
      </c>
      <c r="V155" s="59" t="str">
        <f>IFERROR(__xludf.DUMMYFUNCTION("IFERROR((COUNTIF(FILTER(Data!N:N, Data!B:B=A155),""HIGH"")) / (COUNTIF(Data!B:B, A155)),"""")"),"")</f>
        <v/>
      </c>
      <c r="W155" s="59" t="str">
        <f>IFERROR(__xludf.DUMMYFUNCTION("IFERROR((COUNTIF(FILTER(Data!N:N, Data!B:B=A155),""TRAVERSE"")) / (COUNTIF(Data!B:B, A155)),"""")"),"")</f>
        <v/>
      </c>
      <c r="X155" s="60" t="str">
        <f t="shared" si="38"/>
        <v/>
      </c>
      <c r="Y155" s="45" t="str">
        <f t="shared" si="7"/>
        <v/>
      </c>
      <c r="Z155" s="45" t="str">
        <f t="shared" si="8"/>
        <v/>
      </c>
      <c r="AA155" s="16" t="str">
        <f t="shared" si="9"/>
        <v/>
      </c>
      <c r="AB155" s="16"/>
      <c r="AC155" s="16" t="str">
        <f>IFERROR(__xludf.DUMMYFUNCTION("IF(AA155="""","""",MAX(Filter((Data!G:G+Data!K:K),Data!B:B=A155)))"),"")</f>
        <v/>
      </c>
      <c r="AD155" s="16"/>
      <c r="AE155" s="16" t="str">
        <f t="shared" si="12"/>
        <v/>
      </c>
      <c r="AF155" s="16" t="str">
        <f t="shared" si="13"/>
        <v/>
      </c>
      <c r="AG155" s="42" t="str">
        <f>IF(A155="","",(((AD155)*Picklist!$P$3)+((K155)*Picklist!$P$4)+(E155*Picklist!$P$5)+(N155*Picklist!$P$6)+(X155*Picklist!$P$7)+(R155*Picklist!$P$8)))</f>
        <v/>
      </c>
      <c r="AH155" s="43" t="str">
        <f>IF(A155="","",(((AD155)*Picklist!$P$14)+((K155)*Picklist!$P$15)+(E155*Picklist!$P$16)+(N155*Picklist!$P$17)+(X155*Picklist!$P$18)+(R155*Picklist!$P$19)))</f>
        <v/>
      </c>
      <c r="AI155" s="44" t="str">
        <f>IFERROR(__xludf.DUMMYFUNCTION("TEXTJOIN("", "",TRUE, FILTER(Data!P:P, Data!B:B=A155))"),"")</f>
        <v/>
      </c>
      <c r="AJ155" s="16" t="str">
        <f t="shared" si="14"/>
        <v/>
      </c>
      <c r="AK155" s="46" t="str">
        <f>IFERROR(__xludf.DUMMYFUNCTION("IF(A155&lt;&gt;"""",IFERROR(AVERAGE(FILTER('Defense Calculations'!BJ:CS,'Defense Calculations'!A:A=A155)),""""),"""")"),"")</f>
        <v/>
      </c>
      <c r="AM155" s="47"/>
      <c r="BC155" s="50"/>
    </row>
    <row r="156">
      <c r="A156" s="54"/>
      <c r="B156" s="55" t="str">
        <f>IFERROR(__xludf.DUMMYFUNCTION("IFERROR(ROUND(
(COUNTIF(FILTER(Data!O:O, Data!B:B=A156), ""Win"")
+ COUNTIF(FILTER(Data!O:O, Data!B:B=A156), {""Tie"",""Results""}))
/ (COUNTIF(Data!B:B, A156)),
1),"""")"),"")</f>
        <v/>
      </c>
      <c r="C156" s="45" t="str">
        <f>IFERROR((SUMIF(Data!B:B, A156, Data!H:H)
/ (COUNTIF(Data!B:B, A156)
)),"")</f>
        <v/>
      </c>
      <c r="D156" s="45" t="str">
        <f>IFERROR((SUMIF(Data!B:B, A156, Data!G:G)
/ (COUNTIF(Data!B:B, A156)
)),"")</f>
        <v/>
      </c>
      <c r="E156" s="31" t="str">
        <f t="shared" si="39"/>
        <v/>
      </c>
      <c r="F156" s="45" t="str">
        <f>IFERROR((SUMIF(Data!B:B, A156, Data!J:J)
/ (COUNTIF(Data!B:B, A156)
)),"")</f>
        <v/>
      </c>
      <c r="G156" s="56" t="str">
        <f>IF(A156="","",IFERROR((((((SUMIF(Data!B:B, A156, Data!H:H)+(SUMIF(Data!B:B, A156,Data!G:G)))/(SUMIF(Data!B:B, A156, Data!J:J)))))),0))</f>
        <v/>
      </c>
      <c r="H156" s="32" t="str">
        <f>IFERROR(__xludf.DUMMYFUNCTION("IFERROR(IF(G156="""","""",Average(FILTER(IF(Data!J:J&lt;3,((Data!G:G+Data!H:H)/Data!J:J),1),Data!B:B=A156))),""Never Attempted"")"),"")</f>
        <v/>
      </c>
      <c r="I156" s="31"/>
      <c r="J156" s="31"/>
      <c r="K156" s="31" t="str">
        <f t="shared" si="40"/>
        <v/>
      </c>
      <c r="L156" s="45" t="str">
        <f>IFERROR((SUMIF(Data!B:B, A156, Data!L:L)
/ (COUNTIF(Data!B:B, A156)
)),"")</f>
        <v/>
      </c>
      <c r="M156" s="45" t="str">
        <f>IFERROR((SUMIF(Data!B:B, A156, Data!K:K)
/ (COUNTIF(Data!B:B, A156)
)),"")</f>
        <v/>
      </c>
      <c r="N156" s="56"/>
      <c r="O156" s="56" t="str">
        <f>IF(A156="","",IFERROR((((((SUMIF(Data!B:B, A156, Data!H:H)+(SUMIF(Data!B:B, A156,Data!G:G)+(SUMIF(Data!B:B, A156,Data!L:L)+(SUMIF(Data!B:B, A156,Data!K:K)))))/(SUMIF(Data!B:B, A156, Data!M:M)+(SUMIF(Data!B:B, A156, Data!H:H)+(SUMIF(Data!B:B, A156,Data!G:G)+(SUMIF(Data!B:B, A156,Data!K:K)+(SUMIF(Data!B:B, A156,Data!L:L)))))))))),0))</f>
        <v/>
      </c>
      <c r="P156" s="57" t="str">
        <f>IFERROR(__xludf.DUMMYFUNCTION("IFERROR(((COUNTIF(FILTER(Data!N:N,Data!B:B=A156),""TRAVERSE"")*15)+(COUNTIF(FILTER(Data!N:N,Data!B:B=A156),""HIGH"")*10)+(COUNTIF(FILTER(Data!N:N,Data!B:B=A156),""MIDDLE"")*6)+(COUNTIF(FILTER(Data!N:N,Data!B:B=A156),""LOW"")*4)) / (COUNTIF(Data!B:B, A156)"&amp;"),"""")"),"")</f>
        <v/>
      </c>
      <c r="Q156" s="31" t="str">
        <f>IF(P156="","",AVERAGE('Convert Name to Number'!F576:H576))</f>
        <v/>
      </c>
      <c r="R156" s="36" t="str">
        <f t="shared" si="37"/>
        <v/>
      </c>
      <c r="S156" s="58" t="str">
        <f>IFERROR(__xludf.DUMMYFUNCTION("IFERROR((((COUNTIF(FILTER(Data!N:N,Data!B:B=A156),""TRAVERSE""))+(COUNTIF(FILTER(Data!N:N,Data!B:B=A156),""HIGH""))+(COUNTIF(FILTER(Data!N:N,Data!B:B=A156),""MIDDLE""))+(COUNTIF(FILTER(Data!N:N,Data!B:B=A156),""LOW"")))) / (((COUNTIF(Data!B:B, A156)))-(CO"&amp;"UNTIF(FILTER(Data!N:N,Data!B:B=A156),""NONE""))),IF(ISBLANK(A156),"""",0))"),"")</f>
        <v/>
      </c>
      <c r="T156" s="56" t="str">
        <f>IFERROR(__xludf.DUMMYFUNCTION("IFERROR((COUNTIF(FILTER(Data!N:N, Data!B:B=A156),""LOW"")) / (COUNTIF(Data!B:B, A156)),"""")"),"")</f>
        <v/>
      </c>
      <c r="U156" s="59" t="str">
        <f>IFERROR(__xludf.DUMMYFUNCTION("IFERROR((COUNTIF(FILTER(Data!N:N, Data!B:B=A156),""MIDDLE"")) / (COUNTIF(Data!B:B, A156)),"""")"),"")</f>
        <v/>
      </c>
      <c r="V156" s="59" t="str">
        <f>IFERROR(__xludf.DUMMYFUNCTION("IFERROR((COUNTIF(FILTER(Data!N:N, Data!B:B=A156),""HIGH"")) / (COUNTIF(Data!B:B, A156)),"""")"),"")</f>
        <v/>
      </c>
      <c r="W156" s="59" t="str">
        <f>IFERROR(__xludf.DUMMYFUNCTION("IFERROR((COUNTIF(FILTER(Data!N:N, Data!B:B=A156),""TRAVERSE"")) / (COUNTIF(Data!B:B, A156)),"""")"),"")</f>
        <v/>
      </c>
      <c r="X156" s="60" t="str">
        <f t="shared" si="38"/>
        <v/>
      </c>
      <c r="Y156" s="45" t="str">
        <f t="shared" si="7"/>
        <v/>
      </c>
      <c r="Z156" s="45" t="str">
        <f t="shared" si="8"/>
        <v/>
      </c>
      <c r="AA156" s="16" t="str">
        <f t="shared" si="9"/>
        <v/>
      </c>
      <c r="AB156" s="16"/>
      <c r="AC156" s="16" t="str">
        <f>IFERROR(__xludf.DUMMYFUNCTION("IF(AA156="""","""",MAX(Filter((Data!G:G+Data!K:K),Data!B:B=A156)))"),"")</f>
        <v/>
      </c>
      <c r="AD156" s="16"/>
      <c r="AE156" s="16" t="str">
        <f t="shared" si="12"/>
        <v/>
      </c>
      <c r="AF156" s="16" t="str">
        <f t="shared" si="13"/>
        <v/>
      </c>
      <c r="AG156" s="42" t="str">
        <f>IF(A156="","",(((AD156)*Picklist!$P$3)+((K156)*Picklist!$P$4)+(E156*Picklist!$P$5)+(N156*Picklist!$P$6)+(X156*Picklist!$P$7)+(R156*Picklist!$P$8)))</f>
        <v/>
      </c>
      <c r="AH156" s="43" t="str">
        <f>IF(A156="","",(((AD156)*Picklist!$P$14)+((K156)*Picklist!$P$15)+(E156*Picklist!$P$16)+(N156*Picklist!$P$17)+(X156*Picklist!$P$18)+(R156*Picklist!$P$19)))</f>
        <v/>
      </c>
      <c r="AI156" s="44" t="str">
        <f>IFERROR(__xludf.DUMMYFUNCTION("TEXTJOIN("", "",TRUE, FILTER(Data!P:P, Data!B:B=A156))"),"")</f>
        <v/>
      </c>
      <c r="AJ156" s="16" t="str">
        <f t="shared" si="14"/>
        <v/>
      </c>
      <c r="AK156" s="46" t="str">
        <f>IFERROR(__xludf.DUMMYFUNCTION("IF(A156&lt;&gt;"""",IFERROR(AVERAGE(FILTER('Defense Calculations'!BJ:CS,'Defense Calculations'!A:A=A156)),""""),"""")"),"")</f>
        <v/>
      </c>
      <c r="AM156" s="47"/>
      <c r="BC156" s="50"/>
    </row>
    <row r="157">
      <c r="A157" s="54"/>
      <c r="B157" s="55" t="str">
        <f>IFERROR(__xludf.DUMMYFUNCTION("IFERROR(ROUND(
(COUNTIF(FILTER(Data!O:O, Data!B:B=A157), ""Win"")
+ COUNTIF(FILTER(Data!O:O, Data!B:B=A157), {""Tie"",""Results""}))
/ (COUNTIF(Data!B:B, A157)),
1),"""")"),"")</f>
        <v/>
      </c>
      <c r="C157" s="45" t="str">
        <f>IFERROR((SUMIF(Data!B:B, A157, Data!H:H)
/ (COUNTIF(Data!B:B, A157)
)),"")</f>
        <v/>
      </c>
      <c r="D157" s="45" t="str">
        <f>IFERROR((SUMIF(Data!B:B, A157, Data!G:G)
/ (COUNTIF(Data!B:B, A157)
)),"")</f>
        <v/>
      </c>
      <c r="E157" s="31" t="str">
        <f t="shared" si="39"/>
        <v/>
      </c>
      <c r="F157" s="45" t="str">
        <f>IFERROR((SUMIF(Data!B:B, A157, Data!J:J)
/ (COUNTIF(Data!B:B, A157)
)),"")</f>
        <v/>
      </c>
      <c r="G157" s="56" t="str">
        <f>IF(A157="","",IFERROR((((((SUMIF(Data!B:B, A157, Data!H:H)+(SUMIF(Data!B:B, A157,Data!G:G)))/(SUMIF(Data!B:B, A157, Data!J:J)))))),0))</f>
        <v/>
      </c>
      <c r="H157" s="32" t="str">
        <f>IFERROR(__xludf.DUMMYFUNCTION("IFERROR(IF(G157="""","""",Average(FILTER(IF(Data!J:J&lt;3,((Data!G:G+Data!H:H)/Data!J:J),1),Data!B:B=A157))),""Never Attempted"")"),"")</f>
        <v/>
      </c>
      <c r="I157" s="31"/>
      <c r="J157" s="31"/>
      <c r="K157" s="31" t="str">
        <f t="shared" si="40"/>
        <v/>
      </c>
      <c r="L157" s="45" t="str">
        <f>IFERROR((SUMIF(Data!B:B, A157, Data!L:L)
/ (COUNTIF(Data!B:B, A157)
)),"")</f>
        <v/>
      </c>
      <c r="M157" s="45" t="str">
        <f>IFERROR((SUMIF(Data!B:B, A157, Data!K:K)
/ (COUNTIF(Data!B:B, A157)
)),"")</f>
        <v/>
      </c>
      <c r="N157" s="56"/>
      <c r="O157" s="56" t="str">
        <f>IF(A157="","",IFERROR((((((SUMIF(Data!B:B, A157, Data!H:H)+(SUMIF(Data!B:B, A157,Data!G:G)+(SUMIF(Data!B:B, A157,Data!L:L)+(SUMIF(Data!B:B, A157,Data!K:K)))))/(SUMIF(Data!B:B, A157, Data!M:M)+(SUMIF(Data!B:B, A157, Data!H:H)+(SUMIF(Data!B:B, A157,Data!G:G)+(SUMIF(Data!B:B, A157,Data!K:K)+(SUMIF(Data!B:B, A157,Data!L:L)))))))))),0))</f>
        <v/>
      </c>
      <c r="P157" s="57" t="str">
        <f>IFERROR(__xludf.DUMMYFUNCTION("IFERROR(((COUNTIF(FILTER(Data!N:N,Data!B:B=A157),""TRAVERSE"")*15)+(COUNTIF(FILTER(Data!N:N,Data!B:B=A157),""HIGH"")*10)+(COUNTIF(FILTER(Data!N:N,Data!B:B=A157),""MIDDLE"")*6)+(COUNTIF(FILTER(Data!N:N,Data!B:B=A157),""LOW"")*4)) / (COUNTIF(Data!B:B, A157)"&amp;"),"""")"),"")</f>
        <v/>
      </c>
      <c r="Q157" s="31" t="str">
        <f>IF(P157="","",AVERAGE('Convert Name to Number'!F577:H577))</f>
        <v/>
      </c>
      <c r="R157" s="36" t="str">
        <f t="shared" si="37"/>
        <v/>
      </c>
      <c r="S157" s="58" t="str">
        <f>IFERROR(__xludf.DUMMYFUNCTION("IFERROR((((COUNTIF(FILTER(Data!N:N,Data!B:B=A157),""TRAVERSE""))+(COUNTIF(FILTER(Data!N:N,Data!B:B=A157),""HIGH""))+(COUNTIF(FILTER(Data!N:N,Data!B:B=A157),""MIDDLE""))+(COUNTIF(FILTER(Data!N:N,Data!B:B=A157),""LOW"")))) / (((COUNTIF(Data!B:B, A157)))-(CO"&amp;"UNTIF(FILTER(Data!N:N,Data!B:B=A157),""NONE""))),IF(ISBLANK(A157),"""",0))"),"")</f>
        <v/>
      </c>
      <c r="T157" s="56" t="str">
        <f>IFERROR(__xludf.DUMMYFUNCTION("IFERROR((COUNTIF(FILTER(Data!N:N, Data!B:B=A157),""LOW"")) / (COUNTIF(Data!B:B, A157)),"""")"),"")</f>
        <v/>
      </c>
      <c r="U157" s="59" t="str">
        <f>IFERROR(__xludf.DUMMYFUNCTION("IFERROR((COUNTIF(FILTER(Data!N:N, Data!B:B=A157),""MIDDLE"")) / (COUNTIF(Data!B:B, A157)),"""")"),"")</f>
        <v/>
      </c>
      <c r="V157" s="59" t="str">
        <f>IFERROR(__xludf.DUMMYFUNCTION("IFERROR((COUNTIF(FILTER(Data!N:N, Data!B:B=A157),""HIGH"")) / (COUNTIF(Data!B:B, A157)),"""")"),"")</f>
        <v/>
      </c>
      <c r="W157" s="59" t="str">
        <f>IFERROR(__xludf.DUMMYFUNCTION("IFERROR((COUNTIF(FILTER(Data!N:N, Data!B:B=A157),""TRAVERSE"")) / (COUNTIF(Data!B:B, A157)),"""")"),"")</f>
        <v/>
      </c>
      <c r="X157" s="60" t="str">
        <f t="shared" si="38"/>
        <v/>
      </c>
      <c r="Y157" s="45" t="str">
        <f t="shared" si="7"/>
        <v/>
      </c>
      <c r="Z157" s="45" t="str">
        <f t="shared" si="8"/>
        <v/>
      </c>
      <c r="AA157" s="16" t="str">
        <f t="shared" si="9"/>
        <v/>
      </c>
      <c r="AB157" s="16"/>
      <c r="AC157" s="16" t="str">
        <f>IFERROR(__xludf.DUMMYFUNCTION("IF(AA157="""","""",MAX(Filter((Data!G:G+Data!K:K),Data!B:B=A157)))"),"")</f>
        <v/>
      </c>
      <c r="AD157" s="16"/>
      <c r="AE157" s="16" t="str">
        <f t="shared" si="12"/>
        <v/>
      </c>
      <c r="AF157" s="16" t="str">
        <f t="shared" si="13"/>
        <v/>
      </c>
      <c r="AG157" s="42" t="str">
        <f>IF(A157="","",(((AD157)*Picklist!$P$3)+((K157)*Picklist!$P$4)+(E157*Picklist!$P$5)+(N157*Picklist!$P$6)+(X157*Picklist!$P$7)+(R157*Picklist!$P$8)))</f>
        <v/>
      </c>
      <c r="AH157" s="43" t="str">
        <f>IF(A157="","",(((AD157)*Picklist!$P$14)+((K157)*Picklist!$P$15)+(E157*Picklist!$P$16)+(N157*Picklist!$P$17)+(X157*Picklist!$P$18)+(R157*Picklist!$P$19)))</f>
        <v/>
      </c>
      <c r="AI157" s="44" t="str">
        <f>IFERROR(__xludf.DUMMYFUNCTION("TEXTJOIN("", "",TRUE, FILTER(Data!P:P, Data!B:B=A157))"),"")</f>
        <v/>
      </c>
      <c r="AJ157" s="16" t="str">
        <f t="shared" si="14"/>
        <v/>
      </c>
      <c r="AK157" s="46" t="str">
        <f>IFERROR(__xludf.DUMMYFUNCTION("IF(A157&lt;&gt;"""",IFERROR(AVERAGE(FILTER('Defense Calculations'!BJ:CS,'Defense Calculations'!A:A=A157)),""""),"""")"),"")</f>
        <v/>
      </c>
      <c r="AM157" s="47"/>
      <c r="BC157" s="50"/>
    </row>
    <row r="158">
      <c r="A158" s="54"/>
      <c r="B158" s="55" t="str">
        <f>IFERROR(__xludf.DUMMYFUNCTION("IFERROR(ROUND(
(COUNTIF(FILTER(Data!O:O, Data!B:B=A158), ""Win"")
+ COUNTIF(FILTER(Data!O:O, Data!B:B=A158), {""Tie"",""Results""}))
/ (COUNTIF(Data!B:B, A158)),
1),"""")"),"")</f>
        <v/>
      </c>
      <c r="C158" s="45" t="str">
        <f>IFERROR((SUMIF(Data!B:B, A158, Data!H:H)
/ (COUNTIF(Data!B:B, A158)
)),"")</f>
        <v/>
      </c>
      <c r="D158" s="45" t="str">
        <f>IFERROR((SUMIF(Data!B:B, A158, Data!G:G)
/ (COUNTIF(Data!B:B, A158)
)),"")</f>
        <v/>
      </c>
      <c r="E158" s="31" t="str">
        <f t="shared" si="39"/>
        <v/>
      </c>
      <c r="F158" s="45" t="str">
        <f>IFERROR((SUMIF(Data!B:B, A158, Data!J:J)
/ (COUNTIF(Data!B:B, A158)
)),"")</f>
        <v/>
      </c>
      <c r="G158" s="56" t="str">
        <f>IF(A158="","",IFERROR((((((SUMIF(Data!B:B, A158, Data!H:H)+(SUMIF(Data!B:B, A158,Data!G:G)))/(SUMIF(Data!B:B, A158, Data!J:J)))))),0))</f>
        <v/>
      </c>
      <c r="H158" s="32" t="str">
        <f>IFERROR(__xludf.DUMMYFUNCTION("IFERROR(IF(G158="""","""",Average(FILTER(IF(Data!J:J&lt;3,((Data!G:G+Data!H:H)/Data!J:J),1),Data!B:B=A158))),""Never Attempted"")"),"")</f>
        <v/>
      </c>
      <c r="I158" s="31"/>
      <c r="J158" s="31"/>
      <c r="K158" s="31" t="str">
        <f t="shared" si="40"/>
        <v/>
      </c>
      <c r="L158" s="45" t="str">
        <f>IFERROR((SUMIF(Data!B:B, A158, Data!L:L)
/ (COUNTIF(Data!B:B, A158)
)),"")</f>
        <v/>
      </c>
      <c r="M158" s="45" t="str">
        <f>IFERROR((SUMIF(Data!B:B, A158, Data!K:K)
/ (COUNTIF(Data!B:B, A158)
)),"")</f>
        <v/>
      </c>
      <c r="N158" s="56"/>
      <c r="O158" s="56" t="str">
        <f>IF(A158="","",IFERROR((((((SUMIF(Data!B:B, A158, Data!H:H)+(SUMIF(Data!B:B, A158,Data!G:G)+(SUMIF(Data!B:B, A158,Data!L:L)+(SUMIF(Data!B:B, A158,Data!K:K)))))/(SUMIF(Data!B:B, A158, Data!M:M)+(SUMIF(Data!B:B, A158, Data!H:H)+(SUMIF(Data!B:B, A158,Data!G:G)+(SUMIF(Data!B:B, A158,Data!K:K)+(SUMIF(Data!B:B, A158,Data!L:L)))))))))),0))</f>
        <v/>
      </c>
      <c r="P158" s="57" t="str">
        <f>IFERROR(__xludf.DUMMYFUNCTION("IFERROR(((COUNTIF(FILTER(Data!N:N,Data!B:B=A158),""TRAVERSE"")*15)+(COUNTIF(FILTER(Data!N:N,Data!B:B=A158),""HIGH"")*10)+(COUNTIF(FILTER(Data!N:N,Data!B:B=A158),""MIDDLE"")*6)+(COUNTIF(FILTER(Data!N:N,Data!B:B=A158),""LOW"")*4)) / (COUNTIF(Data!B:B, A158)"&amp;"),"""")"),"")</f>
        <v/>
      </c>
      <c r="Q158" s="31" t="str">
        <f>IF(P158="","",AVERAGE('Convert Name to Number'!F578:H578))</f>
        <v/>
      </c>
      <c r="R158" s="36" t="str">
        <f t="shared" si="37"/>
        <v/>
      </c>
      <c r="S158" s="58" t="str">
        <f>IFERROR(__xludf.DUMMYFUNCTION("IFERROR((((COUNTIF(FILTER(Data!N:N,Data!B:B=A158),""TRAVERSE""))+(COUNTIF(FILTER(Data!N:N,Data!B:B=A158),""HIGH""))+(COUNTIF(FILTER(Data!N:N,Data!B:B=A158),""MIDDLE""))+(COUNTIF(FILTER(Data!N:N,Data!B:B=A158),""LOW"")))) / (((COUNTIF(Data!B:B, A158)))-(CO"&amp;"UNTIF(FILTER(Data!N:N,Data!B:B=A158),""NONE""))),IF(ISBLANK(A158),"""",0))"),"")</f>
        <v/>
      </c>
      <c r="T158" s="56" t="str">
        <f>IFERROR(__xludf.DUMMYFUNCTION("IFERROR((COUNTIF(FILTER(Data!N:N, Data!B:B=A158),""LOW"")) / (COUNTIF(Data!B:B, A158)),"""")"),"")</f>
        <v/>
      </c>
      <c r="U158" s="59" t="str">
        <f>IFERROR(__xludf.DUMMYFUNCTION("IFERROR((COUNTIF(FILTER(Data!N:N, Data!B:B=A158),""MIDDLE"")) / (COUNTIF(Data!B:B, A158)),"""")"),"")</f>
        <v/>
      </c>
      <c r="V158" s="59" t="str">
        <f>IFERROR(__xludf.DUMMYFUNCTION("IFERROR((COUNTIF(FILTER(Data!N:N, Data!B:B=A158),""HIGH"")) / (COUNTIF(Data!B:B, A158)),"""")"),"")</f>
        <v/>
      </c>
      <c r="W158" s="59" t="str">
        <f>IFERROR(__xludf.DUMMYFUNCTION("IFERROR((COUNTIF(FILTER(Data!N:N, Data!B:B=A158),""TRAVERSE"")) / (COUNTIF(Data!B:B, A158)),"""")"),"")</f>
        <v/>
      </c>
      <c r="X158" s="60" t="str">
        <f t="shared" si="38"/>
        <v/>
      </c>
      <c r="Y158" s="45" t="str">
        <f t="shared" si="7"/>
        <v/>
      </c>
      <c r="Z158" s="45" t="str">
        <f t="shared" si="8"/>
        <v/>
      </c>
      <c r="AA158" s="16" t="str">
        <f t="shared" si="9"/>
        <v/>
      </c>
      <c r="AB158" s="16"/>
      <c r="AC158" s="16" t="str">
        <f>IFERROR(__xludf.DUMMYFUNCTION("IF(AA158="""","""",MAX(Filter((Data!G:G+Data!K:K),Data!B:B=A158)))"),"")</f>
        <v/>
      </c>
      <c r="AD158" s="16"/>
      <c r="AE158" s="16" t="str">
        <f t="shared" si="12"/>
        <v/>
      </c>
      <c r="AF158" s="16" t="str">
        <f t="shared" si="13"/>
        <v/>
      </c>
      <c r="AG158" s="42" t="str">
        <f>IF(A158="","",(((AD158)*Picklist!$P$3)+((K158)*Picklist!$P$4)+(E158*Picklist!$P$5)+(N158*Picklist!$P$6)+(X158*Picklist!$P$7)+(R158*Picklist!$P$8)))</f>
        <v/>
      </c>
      <c r="AH158" s="43" t="str">
        <f>IF(A158="","",(((AD158)*Picklist!$P$14)+((K158)*Picklist!$P$15)+(E158*Picklist!$P$16)+(N158*Picklist!$P$17)+(X158*Picklist!$P$18)+(R158*Picklist!$P$19)))</f>
        <v/>
      </c>
      <c r="AI158" s="44" t="str">
        <f>IFERROR(__xludf.DUMMYFUNCTION("TEXTJOIN("", "",TRUE, FILTER(Data!P:P, Data!B:B=A158))"),"")</f>
        <v/>
      </c>
      <c r="AJ158" s="16" t="str">
        <f t="shared" si="14"/>
        <v/>
      </c>
      <c r="AK158" s="46" t="str">
        <f>IFERROR(__xludf.DUMMYFUNCTION("IF(A158&lt;&gt;"""",IFERROR(AVERAGE(FILTER('Defense Calculations'!BJ:CS,'Defense Calculations'!A:A=A158)),""""),"""")"),"")</f>
        <v/>
      </c>
      <c r="AM158" s="47"/>
      <c r="BC158" s="50"/>
    </row>
    <row r="159">
      <c r="A159" s="54"/>
      <c r="B159" s="55" t="str">
        <f>IFERROR(__xludf.DUMMYFUNCTION("IFERROR(ROUND(
(COUNTIF(FILTER(Data!O:O, Data!B:B=A159), ""Win"")
+ COUNTIF(FILTER(Data!O:O, Data!B:B=A159), {""Tie"",""Results""}))
/ (COUNTIF(Data!B:B, A159)),
1),"""")"),"")</f>
        <v/>
      </c>
      <c r="C159" s="45" t="str">
        <f>IFERROR((SUMIF(Data!B:B, A159, Data!H:H)
/ (COUNTIF(Data!B:B, A159)
)),"")</f>
        <v/>
      </c>
      <c r="D159" s="45" t="str">
        <f>IFERROR((SUMIF(Data!B:B, A159, Data!G:G)
/ (COUNTIF(Data!B:B, A159)
)),"")</f>
        <v/>
      </c>
      <c r="E159" s="31" t="str">
        <f t="shared" si="39"/>
        <v/>
      </c>
      <c r="F159" s="45" t="str">
        <f>IFERROR((SUMIF(Data!B:B, A159, Data!J:J)
/ (COUNTIF(Data!B:B, A159)
)),"")</f>
        <v/>
      </c>
      <c r="G159" s="56" t="str">
        <f>IF(A159="","",IFERROR((((((SUMIF(Data!B:B, A159, Data!H:H)+(SUMIF(Data!B:B, A159,Data!G:G)))/(SUMIF(Data!B:B, A159, Data!J:J)))))),0))</f>
        <v/>
      </c>
      <c r="H159" s="32" t="str">
        <f>IFERROR(__xludf.DUMMYFUNCTION("IFERROR(IF(G159="""","""",Average(FILTER(IF(Data!J:J&lt;3,((Data!G:G+Data!H:H)/Data!J:J),1),Data!B:B=A159))),""Never Attempted"")"),"")</f>
        <v/>
      </c>
      <c r="I159" s="31"/>
      <c r="J159" s="31"/>
      <c r="K159" s="31" t="str">
        <f t="shared" si="40"/>
        <v/>
      </c>
      <c r="L159" s="45" t="str">
        <f>IFERROR((SUMIF(Data!B:B, A159, Data!L:L)
/ (COUNTIF(Data!B:B, A159)
)),"")</f>
        <v/>
      </c>
      <c r="M159" s="45" t="str">
        <f>IFERROR((SUMIF(Data!B:B, A159, Data!K:K)
/ (COUNTIF(Data!B:B, A159)
)),"")</f>
        <v/>
      </c>
      <c r="N159" s="56"/>
      <c r="O159" s="56" t="str">
        <f>IF(A159="","",IFERROR((((((SUMIF(Data!B:B, A159, Data!H:H)+(SUMIF(Data!B:B, A159,Data!G:G)+(SUMIF(Data!B:B, A159,Data!L:L)+(SUMIF(Data!B:B, A159,Data!K:K)))))/(SUMIF(Data!B:B, A159, Data!M:M)+(SUMIF(Data!B:B, A159, Data!H:H)+(SUMIF(Data!B:B, A159,Data!G:G)+(SUMIF(Data!B:B, A159,Data!K:K)+(SUMIF(Data!B:B, A159,Data!L:L)))))))))),0))</f>
        <v/>
      </c>
      <c r="P159" s="57" t="str">
        <f>IFERROR(__xludf.DUMMYFUNCTION("IFERROR(((COUNTIF(FILTER(Data!N:N,Data!B:B=A159),""TRAVERSE"")*15)+(COUNTIF(FILTER(Data!N:N,Data!B:B=A159),""HIGH"")*10)+(COUNTIF(FILTER(Data!N:N,Data!B:B=A159),""MIDDLE"")*6)+(COUNTIF(FILTER(Data!N:N,Data!B:B=A159),""LOW"")*4)) / (COUNTIF(Data!B:B, A159)"&amp;"),"""")"),"")</f>
        <v/>
      </c>
      <c r="Q159" s="31" t="str">
        <f>IF(P159="","",AVERAGE('Convert Name to Number'!F579:H579))</f>
        <v/>
      </c>
      <c r="R159" s="36" t="str">
        <f t="shared" si="37"/>
        <v/>
      </c>
      <c r="S159" s="58" t="str">
        <f>IFERROR(__xludf.DUMMYFUNCTION("IFERROR((((COUNTIF(FILTER(Data!N:N,Data!B:B=A159),""TRAVERSE""))+(COUNTIF(FILTER(Data!N:N,Data!B:B=A159),""HIGH""))+(COUNTIF(FILTER(Data!N:N,Data!B:B=A159),""MIDDLE""))+(COUNTIF(FILTER(Data!N:N,Data!B:B=A159),""LOW"")))) / (((COUNTIF(Data!B:B, A159)))-(CO"&amp;"UNTIF(FILTER(Data!N:N,Data!B:B=A159),""NONE""))),IF(ISBLANK(A159),"""",0))"),"")</f>
        <v/>
      </c>
      <c r="T159" s="56" t="str">
        <f>IFERROR(__xludf.DUMMYFUNCTION("IFERROR((COUNTIF(FILTER(Data!N:N, Data!B:B=A159),""LOW"")) / (COUNTIF(Data!B:B, A159)),"""")"),"")</f>
        <v/>
      </c>
      <c r="U159" s="59" t="str">
        <f>IFERROR(__xludf.DUMMYFUNCTION("IFERROR((COUNTIF(FILTER(Data!N:N, Data!B:B=A159),""MIDDLE"")) / (COUNTIF(Data!B:B, A159)),"""")"),"")</f>
        <v/>
      </c>
      <c r="V159" s="59" t="str">
        <f>IFERROR(__xludf.DUMMYFUNCTION("IFERROR((COUNTIF(FILTER(Data!N:N, Data!B:B=A159),""HIGH"")) / (COUNTIF(Data!B:B, A159)),"""")"),"")</f>
        <v/>
      </c>
      <c r="W159" s="59" t="str">
        <f>IFERROR(__xludf.DUMMYFUNCTION("IFERROR((COUNTIF(FILTER(Data!N:N, Data!B:B=A159),""TRAVERSE"")) / (COUNTIF(Data!B:B, A159)),"""")"),"")</f>
        <v/>
      </c>
      <c r="X159" s="60" t="str">
        <f t="shared" si="38"/>
        <v/>
      </c>
      <c r="Y159" s="45" t="str">
        <f t="shared" si="7"/>
        <v/>
      </c>
      <c r="Z159" s="45" t="str">
        <f t="shared" si="8"/>
        <v/>
      </c>
      <c r="AA159" s="16" t="str">
        <f t="shared" si="9"/>
        <v/>
      </c>
      <c r="AB159" s="16"/>
      <c r="AC159" s="16" t="str">
        <f>IFERROR(__xludf.DUMMYFUNCTION("IF(AA159="""","""",MAX(Filter((Data!G:G+Data!K:K),Data!B:B=A159)))"),"")</f>
        <v/>
      </c>
      <c r="AD159" s="16"/>
      <c r="AE159" s="16" t="str">
        <f t="shared" si="12"/>
        <v/>
      </c>
      <c r="AF159" s="16" t="str">
        <f t="shared" si="13"/>
        <v/>
      </c>
      <c r="AG159" s="42" t="str">
        <f>IF(A159="","",(((AD159)*Picklist!$P$3)+((K159)*Picklist!$P$4)+(E159*Picklist!$P$5)+(N159*Picklist!$P$6)+(X159*Picklist!$P$7)+(R159*Picklist!$P$8)))</f>
        <v/>
      </c>
      <c r="AH159" s="43" t="str">
        <f>IF(A159="","",(((AD159)*Picklist!$P$14)+((K159)*Picklist!$P$15)+(E159*Picklist!$P$16)+(N159*Picklist!$P$17)+(X159*Picklist!$P$18)+(R159*Picklist!$P$19)))</f>
        <v/>
      </c>
      <c r="AI159" s="44" t="str">
        <f>IFERROR(__xludf.DUMMYFUNCTION("TEXTJOIN("", "",TRUE, FILTER(Data!P:P, Data!B:B=A159))"),"")</f>
        <v/>
      </c>
      <c r="AJ159" s="16" t="str">
        <f t="shared" si="14"/>
        <v/>
      </c>
      <c r="AK159" s="46" t="str">
        <f>IFERROR(__xludf.DUMMYFUNCTION("IF(A159&lt;&gt;"""",IFERROR(AVERAGE(FILTER('Defense Calculations'!BJ:CS,'Defense Calculations'!A:A=A159)),""""),"""")"),"")</f>
        <v/>
      </c>
      <c r="AM159" s="47"/>
      <c r="BC159" s="50"/>
    </row>
    <row r="160">
      <c r="A160" s="54"/>
      <c r="B160" s="55" t="str">
        <f>IFERROR(__xludf.DUMMYFUNCTION("IFERROR(ROUND(
(COUNTIF(FILTER(Data!O:O, Data!B:B=A160), ""Win"")
+ COUNTIF(FILTER(Data!O:O, Data!B:B=A160), {""Tie"",""Results""}))
/ (COUNTIF(Data!B:B, A160)),
1),"""")"),"")</f>
        <v/>
      </c>
      <c r="C160" s="45" t="str">
        <f>IFERROR((SUMIF(Data!B:B, A160, Data!H:H)
/ (COUNTIF(Data!B:B, A160)
)),"")</f>
        <v/>
      </c>
      <c r="D160" s="45" t="str">
        <f>IFERROR((SUMIF(Data!B:B, A160, Data!G:G)
/ (COUNTIF(Data!B:B, A160)
)),"")</f>
        <v/>
      </c>
      <c r="E160" s="31" t="str">
        <f t="shared" si="39"/>
        <v/>
      </c>
      <c r="F160" s="45" t="str">
        <f>IFERROR((SUMIF(Data!B:B, A160, Data!J:J)
/ (COUNTIF(Data!B:B, A160)
)),"")</f>
        <v/>
      </c>
      <c r="G160" s="56" t="str">
        <f>IF(A160="","",IFERROR((((((SUMIF(Data!B:B, A160, Data!H:H)+(SUMIF(Data!B:B, A160,Data!G:G)))/(SUMIF(Data!B:B, A160, Data!J:J)))))),0))</f>
        <v/>
      </c>
      <c r="H160" s="32" t="str">
        <f>IFERROR(__xludf.DUMMYFUNCTION("IFERROR(IF(G160="""","""",Average(FILTER(IF(Data!J:J&lt;3,((Data!G:G+Data!H:H)/Data!J:J),1),Data!B:B=A160))),""Never Attempted"")"),"")</f>
        <v/>
      </c>
      <c r="I160" s="31"/>
      <c r="J160" s="31"/>
      <c r="K160" s="31" t="str">
        <f t="shared" si="40"/>
        <v/>
      </c>
      <c r="L160" s="45" t="str">
        <f>IFERROR((SUMIF(Data!B:B, A160, Data!L:L)
/ (COUNTIF(Data!B:B, A160)
)),"")</f>
        <v/>
      </c>
      <c r="M160" s="45" t="str">
        <f>IFERROR((SUMIF(Data!B:B, A160, Data!K:K)
/ (COUNTIF(Data!B:B, A160)
)),"")</f>
        <v/>
      </c>
      <c r="N160" s="56"/>
      <c r="O160" s="56" t="str">
        <f>IF(A160="","",IFERROR((((((SUMIF(Data!B:B, A160, Data!H:H)+(SUMIF(Data!B:B, A160,Data!G:G)+(SUMIF(Data!B:B, A160,Data!L:L)+(SUMIF(Data!B:B, A160,Data!K:K)))))/(SUMIF(Data!B:B, A160, Data!M:M)+(SUMIF(Data!B:B, A160, Data!H:H)+(SUMIF(Data!B:B, A160,Data!G:G)+(SUMIF(Data!B:B, A160,Data!K:K)+(SUMIF(Data!B:B, A160,Data!L:L)))))))))),0))</f>
        <v/>
      </c>
      <c r="P160" s="57" t="str">
        <f>IFERROR(__xludf.DUMMYFUNCTION("IFERROR(((COUNTIF(FILTER(Data!N:N,Data!B:B=A160),""TRAVERSE"")*15)+(COUNTIF(FILTER(Data!N:N,Data!B:B=A160),""HIGH"")*10)+(COUNTIF(FILTER(Data!N:N,Data!B:B=A160),""MIDDLE"")*6)+(COUNTIF(FILTER(Data!N:N,Data!B:B=A160),""LOW"")*4)) / (COUNTIF(Data!B:B, A160)"&amp;"),"""")"),"")</f>
        <v/>
      </c>
      <c r="Q160" s="31" t="str">
        <f>IF(P160="","",AVERAGE('Convert Name to Number'!F580:H580))</f>
        <v/>
      </c>
      <c r="R160" s="36" t="str">
        <f t="shared" si="37"/>
        <v/>
      </c>
      <c r="S160" s="58" t="str">
        <f>IFERROR(__xludf.DUMMYFUNCTION("IFERROR((((COUNTIF(FILTER(Data!N:N,Data!B:B=A160),""TRAVERSE""))+(COUNTIF(FILTER(Data!N:N,Data!B:B=A160),""HIGH""))+(COUNTIF(FILTER(Data!N:N,Data!B:B=A160),""MIDDLE""))+(COUNTIF(FILTER(Data!N:N,Data!B:B=A160),""LOW"")))) / (((COUNTIF(Data!B:B, A160)))-(CO"&amp;"UNTIF(FILTER(Data!N:N,Data!B:B=A160),""NONE""))),IF(ISBLANK(A160),"""",0))"),"")</f>
        <v/>
      </c>
      <c r="T160" s="56" t="str">
        <f>IFERROR(__xludf.DUMMYFUNCTION("IFERROR((COUNTIF(FILTER(Data!N:N, Data!B:B=A160),""LOW"")) / (COUNTIF(Data!B:B, A160)),"""")"),"")</f>
        <v/>
      </c>
      <c r="U160" s="59" t="str">
        <f>IFERROR(__xludf.DUMMYFUNCTION("IFERROR((COUNTIF(FILTER(Data!N:N, Data!B:B=A160),""MIDDLE"")) / (COUNTIF(Data!B:B, A160)),"""")"),"")</f>
        <v/>
      </c>
      <c r="V160" s="59" t="str">
        <f>IFERROR(__xludf.DUMMYFUNCTION("IFERROR((COUNTIF(FILTER(Data!N:N, Data!B:B=A160),""HIGH"")) / (COUNTIF(Data!B:B, A160)),"""")"),"")</f>
        <v/>
      </c>
      <c r="W160" s="59" t="str">
        <f>IFERROR(__xludf.DUMMYFUNCTION("IFERROR((COUNTIF(FILTER(Data!N:N, Data!B:B=A160),""TRAVERSE"")) / (COUNTIF(Data!B:B, A160)),"""")"),"")</f>
        <v/>
      </c>
      <c r="X160" s="60" t="str">
        <f t="shared" si="38"/>
        <v/>
      </c>
      <c r="Y160" s="45" t="str">
        <f t="shared" si="7"/>
        <v/>
      </c>
      <c r="Z160" s="45" t="str">
        <f t="shared" si="8"/>
        <v/>
      </c>
      <c r="AA160" s="16" t="str">
        <f t="shared" si="9"/>
        <v/>
      </c>
      <c r="AB160" s="16"/>
      <c r="AC160" s="16" t="str">
        <f>IFERROR(__xludf.DUMMYFUNCTION("IF(AA160="""","""",MAX(Filter((Data!G:G+Data!K:K),Data!B:B=A160)))"),"")</f>
        <v/>
      </c>
      <c r="AD160" s="16"/>
      <c r="AE160" s="16" t="str">
        <f t="shared" si="12"/>
        <v/>
      </c>
      <c r="AF160" s="16" t="str">
        <f t="shared" si="13"/>
        <v/>
      </c>
      <c r="AG160" s="42" t="str">
        <f>IF(A160="","",(((AD160)*Picklist!$P$3)+((K160)*Picklist!$P$4)+(E160*Picklist!$P$5)+(N160*Picklist!$P$6)+(X160*Picklist!$P$7)+(R160*Picklist!$P$8)))</f>
        <v/>
      </c>
      <c r="AH160" s="43" t="str">
        <f>IF(A160="","",(((AD160)*Picklist!$P$14)+((K160)*Picklist!$P$15)+(E160*Picklist!$P$16)+(N160*Picklist!$P$17)+(X160*Picklist!$P$18)+(R160*Picklist!$P$19)))</f>
        <v/>
      </c>
      <c r="AI160" s="44" t="str">
        <f>IFERROR(__xludf.DUMMYFUNCTION("TEXTJOIN("", "",TRUE, FILTER(Data!P:P, Data!B:B=A160))"),"")</f>
        <v/>
      </c>
      <c r="AJ160" s="16" t="str">
        <f t="shared" si="14"/>
        <v/>
      </c>
      <c r="AK160" s="46" t="str">
        <f>IFERROR(__xludf.DUMMYFUNCTION("IF(A160&lt;&gt;"""",IFERROR(AVERAGE(FILTER('Defense Calculations'!BJ:CS,'Defense Calculations'!A:A=A160)),""""),"""")"),"")</f>
        <v/>
      </c>
      <c r="AM160" s="47"/>
      <c r="BC160" s="50"/>
    </row>
    <row r="161">
      <c r="A161" s="54"/>
      <c r="B161" s="55" t="str">
        <f>IFERROR(__xludf.DUMMYFUNCTION("IFERROR(ROUND(
(COUNTIF(FILTER(Data!O:O, Data!B:B=A161), ""Win"")
+ COUNTIF(FILTER(Data!O:O, Data!B:B=A161), {""Tie"",""Results""}))
/ (COUNTIF(Data!B:B, A161)),
1),"""")"),"")</f>
        <v/>
      </c>
      <c r="C161" s="45" t="str">
        <f>IFERROR((SUMIF(Data!B:B, A161, Data!H:H)
/ (COUNTIF(Data!B:B, A161)
)),"")</f>
        <v/>
      </c>
      <c r="D161" s="45" t="str">
        <f>IFERROR((SUMIF(Data!B:B, A161, Data!G:G)
/ (COUNTIF(Data!B:B, A161)
)),"")</f>
        <v/>
      </c>
      <c r="E161" s="31" t="str">
        <f t="shared" si="39"/>
        <v/>
      </c>
      <c r="F161" s="45" t="str">
        <f>IFERROR((SUMIF(Data!B:B, A161, Data!J:J)
/ (COUNTIF(Data!B:B, A161)
)),"")</f>
        <v/>
      </c>
      <c r="G161" s="56" t="str">
        <f>IF(A161="","",IFERROR((((((SUMIF(Data!B:B, A161, Data!H:H)+(SUMIF(Data!B:B, A161,Data!G:G)))/(SUMIF(Data!B:B, A161, Data!J:J)))))),0))</f>
        <v/>
      </c>
      <c r="H161" s="32" t="str">
        <f>IFERROR(__xludf.DUMMYFUNCTION("IFERROR(IF(G161="""","""",Average(FILTER(IF(Data!J:J&lt;3,((Data!G:G+Data!H:H)/Data!J:J),1),Data!B:B=A161))),""Never Attempted"")"),"")</f>
        <v/>
      </c>
      <c r="I161" s="31"/>
      <c r="J161" s="31"/>
      <c r="K161" s="31" t="str">
        <f t="shared" si="40"/>
        <v/>
      </c>
      <c r="L161" s="45" t="str">
        <f>IFERROR((SUMIF(Data!B:B, A161, Data!L:L)
/ (COUNTIF(Data!B:B, A161)
)),"")</f>
        <v/>
      </c>
      <c r="M161" s="45" t="str">
        <f>IFERROR((SUMIF(Data!B:B, A161, Data!K:K)
/ (COUNTIF(Data!B:B, A161)
)),"")</f>
        <v/>
      </c>
      <c r="N161" s="56"/>
      <c r="O161" s="56" t="str">
        <f>IF(A161="","",IFERROR((((((SUMIF(Data!B:B, A161, Data!H:H)+(SUMIF(Data!B:B, A161,Data!G:G)+(SUMIF(Data!B:B, A161,Data!L:L)+(SUMIF(Data!B:B, A161,Data!K:K)))))/(SUMIF(Data!B:B, A161, Data!M:M)+(SUMIF(Data!B:B, A161, Data!H:H)+(SUMIF(Data!B:B, A161,Data!G:G)+(SUMIF(Data!B:B, A161,Data!K:K)+(SUMIF(Data!B:B, A161,Data!L:L)))))))))),0))</f>
        <v/>
      </c>
      <c r="P161" s="57" t="str">
        <f>IFERROR(__xludf.DUMMYFUNCTION("IFERROR(((COUNTIF(FILTER(Data!N:N,Data!B:B=A161),""TRAVERSE"")*15)+(COUNTIF(FILTER(Data!N:N,Data!B:B=A161),""HIGH"")*10)+(COUNTIF(FILTER(Data!N:N,Data!B:B=A161),""MIDDLE"")*6)+(COUNTIF(FILTER(Data!N:N,Data!B:B=A161),""LOW"")*4)) / (COUNTIF(Data!B:B, A161)"&amp;"),"""")"),"")</f>
        <v/>
      </c>
      <c r="Q161" s="31" t="str">
        <f>IF(P161="","",AVERAGE('Convert Name to Number'!F581:H581))</f>
        <v/>
      </c>
      <c r="R161" s="36" t="str">
        <f t="shared" si="37"/>
        <v/>
      </c>
      <c r="S161" s="58" t="str">
        <f>IFERROR(__xludf.DUMMYFUNCTION("IFERROR((((COUNTIF(FILTER(Data!N:N,Data!B:B=A161),""TRAVERSE""))+(COUNTIF(FILTER(Data!N:N,Data!B:B=A161),""HIGH""))+(COUNTIF(FILTER(Data!N:N,Data!B:B=A161),""MIDDLE""))+(COUNTIF(FILTER(Data!N:N,Data!B:B=A161),""LOW"")))) / (((COUNTIF(Data!B:B, A161)))-(CO"&amp;"UNTIF(FILTER(Data!N:N,Data!B:B=A161),""NONE""))),IF(ISBLANK(A161),"""",0))"),"")</f>
        <v/>
      </c>
      <c r="T161" s="56" t="str">
        <f>IFERROR(__xludf.DUMMYFUNCTION("IFERROR((COUNTIF(FILTER(Data!N:N, Data!B:B=A161),""LOW"")) / (COUNTIF(Data!B:B, A161)),"""")"),"")</f>
        <v/>
      </c>
      <c r="U161" s="59" t="str">
        <f>IFERROR(__xludf.DUMMYFUNCTION("IFERROR((COUNTIF(FILTER(Data!N:N, Data!B:B=A161),""MIDDLE"")) / (COUNTIF(Data!B:B, A161)),"""")"),"")</f>
        <v/>
      </c>
      <c r="V161" s="59" t="str">
        <f>IFERROR(__xludf.DUMMYFUNCTION("IFERROR((COUNTIF(FILTER(Data!N:N, Data!B:B=A161),""HIGH"")) / (COUNTIF(Data!B:B, A161)),"""")"),"")</f>
        <v/>
      </c>
      <c r="W161" s="59" t="str">
        <f>IFERROR(__xludf.DUMMYFUNCTION("IFERROR((COUNTIF(FILTER(Data!N:N, Data!B:B=A161),""TRAVERSE"")) / (COUNTIF(Data!B:B, A161)),"""")"),"")</f>
        <v/>
      </c>
      <c r="X161" s="60" t="str">
        <f t="shared" si="38"/>
        <v/>
      </c>
      <c r="Y161" s="45" t="str">
        <f t="shared" si="7"/>
        <v/>
      </c>
      <c r="Z161" s="45" t="str">
        <f t="shared" si="8"/>
        <v/>
      </c>
      <c r="AA161" s="16" t="str">
        <f t="shared" si="9"/>
        <v/>
      </c>
      <c r="AB161" s="16"/>
      <c r="AC161" s="16" t="str">
        <f>IFERROR(__xludf.DUMMYFUNCTION("IF(AA161="""","""",MAX(Filter((Data!G:G+Data!K:K),Data!B:B=A161)))"),"")</f>
        <v/>
      </c>
      <c r="AD161" s="16"/>
      <c r="AE161" s="16" t="str">
        <f t="shared" si="12"/>
        <v/>
      </c>
      <c r="AF161" s="16" t="str">
        <f t="shared" si="13"/>
        <v/>
      </c>
      <c r="AG161" s="42" t="str">
        <f>IF(A161="","",(((AD161)*Picklist!$P$3)+((K161)*Picklist!$P$4)+(E161*Picklist!$P$5)+(N161*Picklist!$P$6)+(X161*Picklist!$P$7)+(R161*Picklist!$P$8)))</f>
        <v/>
      </c>
      <c r="AH161" s="43" t="str">
        <f>IF(A161="","",(((AD161)*Picklist!$P$14)+((K161)*Picklist!$P$15)+(E161*Picklist!$P$16)+(N161*Picklist!$P$17)+(X161*Picklist!$P$18)+(R161*Picklist!$P$19)))</f>
        <v/>
      </c>
      <c r="AI161" s="44" t="str">
        <f>IFERROR(__xludf.DUMMYFUNCTION("TEXTJOIN("", "",TRUE, FILTER(Data!P:P, Data!B:B=A161))"),"")</f>
        <v/>
      </c>
      <c r="AJ161" s="16" t="str">
        <f t="shared" si="14"/>
        <v/>
      </c>
      <c r="AK161" s="46" t="str">
        <f>IFERROR(__xludf.DUMMYFUNCTION("IF(A161&lt;&gt;"""",IFERROR(AVERAGE(FILTER('Defense Calculations'!BJ:CS,'Defense Calculations'!A:A=A161)),""""),"""")"),"")</f>
        <v/>
      </c>
      <c r="AM161" s="47"/>
      <c r="BC161" s="50"/>
    </row>
    <row r="162">
      <c r="A162" s="54"/>
      <c r="B162" s="55" t="str">
        <f>IFERROR(__xludf.DUMMYFUNCTION("IFERROR(ROUND(
(COUNTIF(FILTER(Data!O:O, Data!B:B=A162), ""Win"")
+ COUNTIF(FILTER(Data!O:O, Data!B:B=A162), {""Tie"",""Results""}))
/ (COUNTIF(Data!B:B, A162)),
1),"""")"),"")</f>
        <v/>
      </c>
      <c r="C162" s="45" t="str">
        <f>IFERROR((SUMIF(Data!B:B, A162, Data!H:H)
/ (COUNTIF(Data!B:B, A162)
)),"")</f>
        <v/>
      </c>
      <c r="D162" s="45" t="str">
        <f>IFERROR((SUMIF(Data!B:B, A162, Data!G:G)
/ (COUNTIF(Data!B:B, A162)
)),"")</f>
        <v/>
      </c>
      <c r="E162" s="31" t="str">
        <f t="shared" si="39"/>
        <v/>
      </c>
      <c r="F162" s="45" t="str">
        <f>IFERROR((SUMIF(Data!B:B, A162, Data!J:J)
/ (COUNTIF(Data!B:B, A162)
)),"")</f>
        <v/>
      </c>
      <c r="G162" s="56" t="str">
        <f>IF(A162="","",IFERROR((((((SUMIF(Data!B:B, A162, Data!H:H)+(SUMIF(Data!B:B, A162,Data!G:G)))/(SUMIF(Data!B:B, A162, Data!J:J)))))),0))</f>
        <v/>
      </c>
      <c r="H162" s="32" t="str">
        <f>IFERROR(__xludf.DUMMYFUNCTION("IFERROR(IF(G162="""","""",Average(FILTER(IF(Data!J:J&lt;3,((Data!G:G+Data!H:H)/Data!J:J),1),Data!B:B=A162))),""Never Attempted"")"),"")</f>
        <v/>
      </c>
      <c r="I162" s="31"/>
      <c r="J162" s="31"/>
      <c r="K162" s="31" t="str">
        <f t="shared" si="40"/>
        <v/>
      </c>
      <c r="L162" s="45" t="str">
        <f>IFERROR((SUMIF(Data!B:B, A162, Data!L:L)
/ (COUNTIF(Data!B:B, A162)
)),"")</f>
        <v/>
      </c>
      <c r="M162" s="45" t="str">
        <f>IFERROR((SUMIF(Data!B:B, A162, Data!K:K)
/ (COUNTIF(Data!B:B, A162)
)),"")</f>
        <v/>
      </c>
      <c r="N162" s="56"/>
      <c r="O162" s="56" t="str">
        <f>IF(A162="","",IFERROR((((((SUMIF(Data!B:B, A162, Data!H:H)+(SUMIF(Data!B:B, A162,Data!G:G)+(SUMIF(Data!B:B, A162,Data!L:L)+(SUMIF(Data!B:B, A162,Data!K:K)))))/(SUMIF(Data!B:B, A162, Data!M:M)+(SUMIF(Data!B:B, A162, Data!H:H)+(SUMIF(Data!B:B, A162,Data!G:G)+(SUMIF(Data!B:B, A162,Data!K:K)+(SUMIF(Data!B:B, A162,Data!L:L)))))))))),0))</f>
        <v/>
      </c>
      <c r="P162" s="57" t="str">
        <f>IFERROR(__xludf.DUMMYFUNCTION("IFERROR(((COUNTIF(FILTER(Data!N:N,Data!B:B=A162),""TRAVERSE"")*15)+(COUNTIF(FILTER(Data!N:N,Data!B:B=A162),""HIGH"")*10)+(COUNTIF(FILTER(Data!N:N,Data!B:B=A162),""MIDDLE"")*6)+(COUNTIF(FILTER(Data!N:N,Data!B:B=A162),""LOW"")*4)) / (COUNTIF(Data!B:B, A162)"&amp;"),"""")"),"")</f>
        <v/>
      </c>
      <c r="Q162" s="31" t="str">
        <f>IF(P162="","",AVERAGE('Convert Name to Number'!F582:H582))</f>
        <v/>
      </c>
      <c r="R162" s="36" t="str">
        <f t="shared" si="37"/>
        <v/>
      </c>
      <c r="S162" s="58" t="str">
        <f>IFERROR(__xludf.DUMMYFUNCTION("IFERROR((((COUNTIF(FILTER(Data!N:N,Data!B:B=A162),""TRAVERSE""))+(COUNTIF(FILTER(Data!N:N,Data!B:B=A162),""HIGH""))+(COUNTIF(FILTER(Data!N:N,Data!B:B=A162),""MIDDLE""))+(COUNTIF(FILTER(Data!N:N,Data!B:B=A162),""LOW"")))) / (((COUNTIF(Data!B:B, A162)))-(CO"&amp;"UNTIF(FILTER(Data!N:N,Data!B:B=A162),""NONE""))),IF(ISBLANK(A162),"""",0))"),"")</f>
        <v/>
      </c>
      <c r="T162" s="56" t="str">
        <f>IFERROR(__xludf.DUMMYFUNCTION("IFERROR((COUNTIF(FILTER(Data!N:N, Data!B:B=A162),""LOW"")) / (COUNTIF(Data!B:B, A162)),"""")"),"")</f>
        <v/>
      </c>
      <c r="U162" s="59" t="str">
        <f>IFERROR(__xludf.DUMMYFUNCTION("IFERROR((COUNTIF(FILTER(Data!N:N, Data!B:B=A162),""MIDDLE"")) / (COUNTIF(Data!B:B, A162)),"""")"),"")</f>
        <v/>
      </c>
      <c r="V162" s="59" t="str">
        <f>IFERROR(__xludf.DUMMYFUNCTION("IFERROR((COUNTIF(FILTER(Data!N:N, Data!B:B=A162),""HIGH"")) / (COUNTIF(Data!B:B, A162)),"""")"),"")</f>
        <v/>
      </c>
      <c r="W162" s="59" t="str">
        <f>IFERROR(__xludf.DUMMYFUNCTION("IFERROR((COUNTIF(FILTER(Data!N:N, Data!B:B=A162),""TRAVERSE"")) / (COUNTIF(Data!B:B, A162)),"""")"),"")</f>
        <v/>
      </c>
      <c r="X162" s="60" t="str">
        <f t="shared" si="38"/>
        <v/>
      </c>
      <c r="Y162" s="45" t="str">
        <f t="shared" si="7"/>
        <v/>
      </c>
      <c r="Z162" s="45" t="str">
        <f t="shared" si="8"/>
        <v/>
      </c>
      <c r="AA162" s="16" t="str">
        <f t="shared" si="9"/>
        <v/>
      </c>
      <c r="AB162" s="16"/>
      <c r="AC162" s="16" t="str">
        <f>IFERROR(__xludf.DUMMYFUNCTION("IF(AA162="""","""",MAX(Filter((Data!G:G+Data!K:K),Data!B:B=A162)))"),"")</f>
        <v/>
      </c>
      <c r="AD162" s="16"/>
      <c r="AE162" s="16" t="str">
        <f t="shared" si="12"/>
        <v/>
      </c>
      <c r="AF162" s="16" t="str">
        <f t="shared" si="13"/>
        <v/>
      </c>
      <c r="AG162" s="44"/>
      <c r="AH162" s="44"/>
      <c r="AI162" s="44" t="str">
        <f>IFERROR(__xludf.DUMMYFUNCTION("TEXTJOIN("", "",TRUE, FILTER(Data!P:P, Data!B:B=A162))"),"")</f>
        <v/>
      </c>
      <c r="AJ162" s="16" t="str">
        <f t="shared" si="14"/>
        <v/>
      </c>
      <c r="AK162" s="46" t="str">
        <f>IFERROR(__xludf.DUMMYFUNCTION("IF(A162&lt;&gt;"""",IFERROR(AVERAGE(FILTER('Defense Calculations'!BJ:CS,'Defense Calculations'!A:A=A162)),""""),"""")"),"")</f>
        <v/>
      </c>
      <c r="AM162" s="47"/>
      <c r="BC162" s="50"/>
    </row>
    <row r="163">
      <c r="A163" s="54"/>
      <c r="B163" s="55" t="str">
        <f>IFERROR(__xludf.DUMMYFUNCTION("IFERROR(ROUND(
(COUNTIF(FILTER(Data!O:O, Data!B:B=A163), ""Win"")
+ COUNTIF(FILTER(Data!O:O, Data!B:B=A163), {""Tie"",""Results""}))
/ (COUNTIF(Data!B:B, A163)),
1),"""")"),"")</f>
        <v/>
      </c>
      <c r="C163" s="45" t="str">
        <f>IFERROR((SUMIF(Data!B:B, A163, Data!H:H)
/ (COUNTIF(Data!B:B, A163)
)),"")</f>
        <v/>
      </c>
      <c r="D163" s="45" t="str">
        <f>IFERROR((SUMIF(Data!B:B, A163, Data!G:G)
/ (COUNTIF(Data!B:B, A163)
)),"")</f>
        <v/>
      </c>
      <c r="E163" s="31" t="str">
        <f t="shared" si="39"/>
        <v/>
      </c>
      <c r="F163" s="45" t="str">
        <f>IFERROR((SUMIF(Data!B:B, A163, Data!J:J)
/ (COUNTIF(Data!B:B, A163)
)),"")</f>
        <v/>
      </c>
      <c r="G163" s="56" t="str">
        <f>IF(A163="","",IFERROR((((((SUMIF(Data!B:B, A163, Data!H:H)+(SUMIF(Data!B:B, A163,Data!G:G)))/(SUMIF(Data!B:B, A163, Data!J:J)))))),0))</f>
        <v/>
      </c>
      <c r="H163" s="32" t="str">
        <f>IFERROR(__xludf.DUMMYFUNCTION("IFERROR(IF(G163="""","""",Average(FILTER(IF(Data!J:J&lt;3,((Data!G:G+Data!H:H)/Data!J:J),1),Data!B:B=A163))),""Never Attempted"")"),"")</f>
        <v/>
      </c>
      <c r="I163" s="31"/>
      <c r="J163" s="31"/>
      <c r="K163" s="31" t="str">
        <f t="shared" si="40"/>
        <v/>
      </c>
      <c r="L163" s="45" t="str">
        <f>IFERROR((SUMIF(Data!B:B, A163, Data!L:L)
/ (COUNTIF(Data!B:B, A163)
)),"")</f>
        <v/>
      </c>
      <c r="M163" s="45" t="str">
        <f>IFERROR((SUMIF(Data!B:B, A163, Data!K:K)
/ (COUNTIF(Data!B:B, A163)
)),"")</f>
        <v/>
      </c>
      <c r="N163" s="56"/>
      <c r="O163" s="56" t="str">
        <f>IF(A163="","",IFERROR((((((SUMIF(Data!B:B, A163, Data!H:H)+(SUMIF(Data!B:B, A163,Data!G:G)+(SUMIF(Data!B:B, A163,Data!L:L)+(SUMIF(Data!B:B, A163,Data!K:K)))))/(SUMIF(Data!B:B, A163, Data!M:M)+(SUMIF(Data!B:B, A163, Data!H:H)+(SUMIF(Data!B:B, A163,Data!G:G)+(SUMIF(Data!B:B, A163,Data!K:K)+(SUMIF(Data!B:B, A163,Data!L:L)))))))))),0))</f>
        <v/>
      </c>
      <c r="P163" s="57" t="str">
        <f>IFERROR(__xludf.DUMMYFUNCTION("IFERROR(((COUNTIF(FILTER(Data!N:N,Data!B:B=A163),""TRAVERSE"")*15)+(COUNTIF(FILTER(Data!N:N,Data!B:B=A163),""HIGH"")*10)+(COUNTIF(FILTER(Data!N:N,Data!B:B=A163),""MIDDLE"")*6)+(COUNTIF(FILTER(Data!N:N,Data!B:B=A163),""LOW"")*4)) / (COUNTIF(Data!B:B, A163)"&amp;"),"""")"),"")</f>
        <v/>
      </c>
      <c r="Q163" s="31" t="str">
        <f>IF(P163="","",AVERAGE('Convert Name to Number'!F583:H583))</f>
        <v/>
      </c>
      <c r="R163" s="36" t="str">
        <f t="shared" si="37"/>
        <v/>
      </c>
      <c r="S163" s="58" t="str">
        <f>IFERROR(__xludf.DUMMYFUNCTION("IFERROR((((COUNTIF(FILTER(Data!N:N,Data!B:B=A163),""TRAVERSE""))+(COUNTIF(FILTER(Data!N:N,Data!B:B=A163),""HIGH""))+(COUNTIF(FILTER(Data!N:N,Data!B:B=A163),""MIDDLE""))+(COUNTIF(FILTER(Data!N:N,Data!B:B=A163),""LOW"")))) / (((COUNTIF(Data!B:B, A163)))-(CO"&amp;"UNTIF(FILTER(Data!N:N,Data!B:B=A163),""NONE""))),IF(ISBLANK(A163),"""",0))"),"")</f>
        <v/>
      </c>
      <c r="T163" s="56" t="str">
        <f>IFERROR(__xludf.DUMMYFUNCTION("IFERROR((COUNTIF(FILTER(Data!N:N, Data!B:B=A163),""LOW"")) / (COUNTIF(Data!B:B, A163)),"""")"),"")</f>
        <v/>
      </c>
      <c r="U163" s="59" t="str">
        <f>IFERROR(__xludf.DUMMYFUNCTION("IFERROR((COUNTIF(FILTER(Data!N:N, Data!B:B=A163),""MIDDLE"")) / (COUNTIF(Data!B:B, A163)),"""")"),"")</f>
        <v/>
      </c>
      <c r="V163" s="59" t="str">
        <f>IFERROR(__xludf.DUMMYFUNCTION("IFERROR((COUNTIF(FILTER(Data!N:N, Data!B:B=A163),""HIGH"")) / (COUNTIF(Data!B:B, A163)),"""")"),"")</f>
        <v/>
      </c>
      <c r="W163" s="59" t="str">
        <f>IFERROR(__xludf.DUMMYFUNCTION("IFERROR((COUNTIF(FILTER(Data!N:N, Data!B:B=A163),""TRAVERSE"")) / (COUNTIF(Data!B:B, A163)),"""")"),"")</f>
        <v/>
      </c>
      <c r="X163" s="60" t="str">
        <f t="shared" si="38"/>
        <v/>
      </c>
      <c r="Y163" s="45" t="str">
        <f t="shared" si="7"/>
        <v/>
      </c>
      <c r="Z163" s="45" t="str">
        <f t="shared" si="8"/>
        <v/>
      </c>
      <c r="AA163" s="16" t="str">
        <f t="shared" si="9"/>
        <v/>
      </c>
      <c r="AB163" s="16"/>
      <c r="AC163" s="16" t="str">
        <f>IFERROR(__xludf.DUMMYFUNCTION("IF(AA163="""","""",MAX(Filter((Data!G:G+Data!K:K),Data!B:B=A163)))"),"")</f>
        <v/>
      </c>
      <c r="AD163" s="16"/>
      <c r="AE163" s="16" t="str">
        <f t="shared" si="12"/>
        <v/>
      </c>
      <c r="AF163" s="16" t="str">
        <f t="shared" si="13"/>
        <v/>
      </c>
      <c r="AG163" s="44"/>
      <c r="AH163" s="44"/>
      <c r="AI163" s="44" t="str">
        <f>IFERROR(__xludf.DUMMYFUNCTION("TEXTJOIN("", "",TRUE, FILTER(Data!P:P, Data!B:B=A163))"),"")</f>
        <v/>
      </c>
      <c r="AJ163" s="16" t="str">
        <f t="shared" si="14"/>
        <v/>
      </c>
      <c r="AK163" s="46" t="str">
        <f>IFERROR(__xludf.DUMMYFUNCTION("IF(A163&lt;&gt;"""",IFERROR(AVERAGE(FILTER('Defense Calculations'!BJ:CS,'Defense Calculations'!A:A=A163)),""""),"""")"),"")</f>
        <v/>
      </c>
      <c r="AM163" s="47"/>
      <c r="BC163" s="50"/>
    </row>
    <row r="164">
      <c r="A164" s="54"/>
      <c r="B164" s="55" t="str">
        <f>IFERROR(__xludf.DUMMYFUNCTION("IFERROR(ROUND(
(COUNTIF(FILTER(Data!O:O, Data!B:B=A164), ""Win"")
+ COUNTIF(FILTER(Data!O:O, Data!B:B=A164), {""Tie"",""Results""}))
/ (COUNTIF(Data!B:B, A164)),
1),"""")"),"")</f>
        <v/>
      </c>
      <c r="C164" s="45" t="str">
        <f>IFERROR((SUMIF(Data!B:B, A164, Data!H:H)
/ (COUNTIF(Data!B:B, A164)
)),"")</f>
        <v/>
      </c>
      <c r="D164" s="45" t="str">
        <f>IFERROR((SUMIF(Data!B:B, A164, Data!G:G)
/ (COUNTIF(Data!B:B, A164)
)),"")</f>
        <v/>
      </c>
      <c r="E164" s="31" t="str">
        <f t="shared" si="39"/>
        <v/>
      </c>
      <c r="F164" s="45" t="str">
        <f>IFERROR((SUMIF(Data!B:B, A164, Data!J:J)
/ (COUNTIF(Data!B:B, A164)
)),"")</f>
        <v/>
      </c>
      <c r="G164" s="56" t="str">
        <f>IF(A164="","",IFERROR((((((SUMIF(Data!B:B, A164, Data!H:H)+(SUMIF(Data!B:B, A164,Data!G:G)))/(SUMIF(Data!B:B, A164, Data!J:J)))))),0))</f>
        <v/>
      </c>
      <c r="H164" s="32" t="str">
        <f>IFERROR(__xludf.DUMMYFUNCTION("IFERROR(IF(G164="""","""",Average(FILTER(IF(Data!J:J&lt;3,((Data!G:G+Data!H:H)/Data!J:J),1),Data!B:B=A164))),""Never Attempted"")"),"")</f>
        <v/>
      </c>
      <c r="I164" s="31"/>
      <c r="J164" s="31"/>
      <c r="K164" s="31" t="str">
        <f t="shared" si="40"/>
        <v/>
      </c>
      <c r="L164" s="45" t="str">
        <f>IFERROR((SUMIF(Data!B:B, A164, Data!L:L)
/ (COUNTIF(Data!B:B, A164)
)),"")</f>
        <v/>
      </c>
      <c r="M164" s="45" t="str">
        <f>IFERROR((SUMIF(Data!B:B, A164, Data!K:K)
/ (COUNTIF(Data!B:B, A164)
)),"")</f>
        <v/>
      </c>
      <c r="N164" s="56"/>
      <c r="O164" s="56" t="str">
        <f>IF(A164="","",IFERROR((((((SUMIF(Data!B:B, A164, Data!H:H)+(SUMIF(Data!B:B, A164,Data!G:G)+(SUMIF(Data!B:B, A164,Data!L:L)+(SUMIF(Data!B:B, A164,Data!K:K)))))/(SUMIF(Data!B:B, A164, Data!M:M)+(SUMIF(Data!B:B, A164, Data!H:H)+(SUMIF(Data!B:B, A164,Data!G:G)+(SUMIF(Data!B:B, A164,Data!K:K)+(SUMIF(Data!B:B, A164,Data!L:L)))))))))),0))</f>
        <v/>
      </c>
      <c r="P164" s="57" t="str">
        <f>IFERROR(__xludf.DUMMYFUNCTION("IFERROR(((COUNTIF(FILTER(Data!N:N,Data!B:B=A164),""TRAVERSE"")*15)+(COUNTIF(FILTER(Data!N:N,Data!B:B=A164),""HIGH"")*10)+(COUNTIF(FILTER(Data!N:N,Data!B:B=A164),""MIDDLE"")*6)+(COUNTIF(FILTER(Data!N:N,Data!B:B=A164),""LOW"")*4)) / (COUNTIF(Data!B:B, A164)"&amp;"),"""")"),"")</f>
        <v/>
      </c>
      <c r="Q164" s="31" t="str">
        <f>IF(P164="","",AVERAGE('Convert Name to Number'!F584:H584))</f>
        <v/>
      </c>
      <c r="R164" s="36" t="str">
        <f t="shared" si="37"/>
        <v/>
      </c>
      <c r="S164" s="58" t="str">
        <f>IFERROR(__xludf.DUMMYFUNCTION("IFERROR((((COUNTIF(FILTER(Data!N:N,Data!B:B=A164),""TRAVERSE""))+(COUNTIF(FILTER(Data!N:N,Data!B:B=A164),""HIGH""))+(COUNTIF(FILTER(Data!N:N,Data!B:B=A164),""MIDDLE""))+(COUNTIF(FILTER(Data!N:N,Data!B:B=A164),""LOW"")))) / (((COUNTIF(Data!B:B, A164)))-(CO"&amp;"UNTIF(FILTER(Data!N:N,Data!B:B=A164),""NONE""))),IF(ISBLANK(A164),"""",0))"),"")</f>
        <v/>
      </c>
      <c r="T164" s="56" t="str">
        <f>IFERROR(__xludf.DUMMYFUNCTION("IFERROR((COUNTIF(FILTER(Data!N:N, Data!B:B=A164),""LOW"")) / (COUNTIF(Data!B:B, A164)),"""")"),"")</f>
        <v/>
      </c>
      <c r="U164" s="59" t="str">
        <f>IFERROR(__xludf.DUMMYFUNCTION("IFERROR((COUNTIF(FILTER(Data!N:N, Data!B:B=A164),""MIDDLE"")) / (COUNTIF(Data!B:B, A164)),"""")"),"")</f>
        <v/>
      </c>
      <c r="V164" s="59" t="str">
        <f>IFERROR(__xludf.DUMMYFUNCTION("IFERROR((COUNTIF(FILTER(Data!N:N, Data!B:B=A164),""HIGH"")) / (COUNTIF(Data!B:B, A164)),"""")"),"")</f>
        <v/>
      </c>
      <c r="W164" s="59" t="str">
        <f>IFERROR(__xludf.DUMMYFUNCTION("IFERROR((COUNTIF(FILTER(Data!N:N, Data!B:B=A164),""TRAVERSE"")) / (COUNTIF(Data!B:B, A164)),"""")"),"")</f>
        <v/>
      </c>
      <c r="X164" s="60" t="str">
        <f t="shared" si="38"/>
        <v/>
      </c>
      <c r="Y164" s="45" t="str">
        <f t="shared" si="7"/>
        <v/>
      </c>
      <c r="Z164" s="45" t="str">
        <f t="shared" si="8"/>
        <v/>
      </c>
      <c r="AA164" s="16" t="str">
        <f t="shared" si="9"/>
        <v/>
      </c>
      <c r="AB164" s="16"/>
      <c r="AC164" s="16" t="str">
        <f>IFERROR(__xludf.DUMMYFUNCTION("IF(AA164="""","""",MAX(Filter((Data!G:G+Data!K:K),Data!B:B=A164)))"),"")</f>
        <v/>
      </c>
      <c r="AD164" s="16"/>
      <c r="AE164" s="16" t="str">
        <f t="shared" si="12"/>
        <v/>
      </c>
      <c r="AF164" s="16" t="str">
        <f t="shared" si="13"/>
        <v/>
      </c>
      <c r="AG164" s="44"/>
      <c r="AH164" s="44"/>
      <c r="AI164" s="44" t="str">
        <f>IFERROR(__xludf.DUMMYFUNCTION("TEXTJOIN("", "",TRUE, FILTER(Data!P:P, Data!B:B=A164))"),"")</f>
        <v/>
      </c>
      <c r="AJ164" s="16" t="str">
        <f t="shared" si="14"/>
        <v/>
      </c>
      <c r="AK164" s="46" t="str">
        <f>IFERROR(__xludf.DUMMYFUNCTION("IF(A164&lt;&gt;"""",IFERROR(AVERAGE(FILTER('Defense Calculations'!BJ:CS,'Defense Calculations'!A:A=A164)),""""),"""")"),"")</f>
        <v/>
      </c>
      <c r="AM164" s="47"/>
      <c r="BC164" s="50"/>
    </row>
    <row r="165">
      <c r="A165" s="54"/>
      <c r="B165" s="55" t="str">
        <f>IFERROR(__xludf.DUMMYFUNCTION("IFERROR(ROUND(
(COUNTIF(FILTER(Data!O:O, Data!B:B=A165), ""Win"")
+ COUNTIF(FILTER(Data!O:O, Data!B:B=A165), {""Tie"",""Results""}))
/ (COUNTIF(Data!B:B, A165)),
1),"""")"),"")</f>
        <v/>
      </c>
      <c r="C165" s="45" t="str">
        <f>IFERROR((SUMIF(Data!B:B, A165, Data!H:H)
/ (COUNTIF(Data!B:B, A165)
)),"")</f>
        <v/>
      </c>
      <c r="D165" s="45" t="str">
        <f>IFERROR((SUMIF(Data!B:B, A165, Data!G:G)
/ (COUNTIF(Data!B:B, A165)
)),"")</f>
        <v/>
      </c>
      <c r="E165" s="31" t="str">
        <f t="shared" si="39"/>
        <v/>
      </c>
      <c r="F165" s="45" t="str">
        <f>IFERROR((SUMIF(Data!B:B, A165, Data!J:J)
/ (COUNTIF(Data!B:B, A165)
)),"")</f>
        <v/>
      </c>
      <c r="G165" s="56" t="str">
        <f>IF(A165="","",IFERROR((((((SUMIF(Data!B:B, A165, Data!H:H)+(SUMIF(Data!B:B, A165,Data!G:G)))/(SUMIF(Data!B:B, A165, Data!J:J)))))),0))</f>
        <v/>
      </c>
      <c r="H165" s="32" t="str">
        <f>IFERROR(__xludf.DUMMYFUNCTION("IFERROR(IF(G165="""","""",Average(FILTER(IF(Data!J:J&lt;3,((Data!G:G+Data!H:H)/Data!J:J),1),Data!B:B=A165))),""Never Attempted"")"),"")</f>
        <v/>
      </c>
      <c r="I165" s="31"/>
      <c r="J165" s="31"/>
      <c r="K165" s="31" t="str">
        <f t="shared" si="40"/>
        <v/>
      </c>
      <c r="L165" s="45" t="str">
        <f>IFERROR((SUMIF(Data!B:B, A165, Data!L:L)
/ (COUNTIF(Data!B:B, A165)
)),"")</f>
        <v/>
      </c>
      <c r="M165" s="45" t="str">
        <f>IFERROR((SUMIF(Data!B:B, A165, Data!K:K)
/ (COUNTIF(Data!B:B, A165)
)),"")</f>
        <v/>
      </c>
      <c r="N165" s="56"/>
      <c r="O165" s="56" t="str">
        <f>IF(A165="","",IFERROR((((((SUMIF(Data!B:B, A165, Data!H:H)+(SUMIF(Data!B:B, A165,Data!G:G)+(SUMIF(Data!B:B, A165,Data!L:L)+(SUMIF(Data!B:B, A165,Data!K:K)))))/(SUMIF(Data!B:B, A165, Data!M:M)+(SUMIF(Data!B:B, A165, Data!H:H)+(SUMIF(Data!B:B, A165,Data!G:G)+(SUMIF(Data!B:B, A165,Data!K:K)+(SUMIF(Data!B:B, A165,Data!L:L)))))))))),0))</f>
        <v/>
      </c>
      <c r="P165" s="57" t="str">
        <f>IFERROR(__xludf.DUMMYFUNCTION("IFERROR(((COUNTIF(FILTER(Data!N:N,Data!B:B=A165),""TRAVERSE"")*15)+(COUNTIF(FILTER(Data!N:N,Data!B:B=A165),""HIGH"")*10)+(COUNTIF(FILTER(Data!N:N,Data!B:B=A165),""MIDDLE"")*6)+(COUNTIF(FILTER(Data!N:N,Data!B:B=A165),""LOW"")*4)) / (COUNTIF(Data!B:B, A165)"&amp;"),"""")"),"")</f>
        <v/>
      </c>
      <c r="Q165" s="31" t="str">
        <f>IF(P165="","",AVERAGE('Convert Name to Number'!F585:H585))</f>
        <v/>
      </c>
      <c r="R165" s="36" t="str">
        <f t="shared" si="37"/>
        <v/>
      </c>
      <c r="S165" s="58" t="str">
        <f>IFERROR(__xludf.DUMMYFUNCTION("IFERROR((((COUNTIF(FILTER(Data!N:N,Data!B:B=A165),""TRAVERSE""))+(COUNTIF(FILTER(Data!N:N,Data!B:B=A165),""HIGH""))+(COUNTIF(FILTER(Data!N:N,Data!B:B=A165),""MIDDLE""))+(COUNTIF(FILTER(Data!N:N,Data!B:B=A165),""LOW"")))) / (((COUNTIF(Data!B:B, A165)))-(CO"&amp;"UNTIF(FILTER(Data!N:N,Data!B:B=A165),""NONE""))),IF(ISBLANK(A165),"""",0))"),"")</f>
        <v/>
      </c>
      <c r="T165" s="56" t="str">
        <f>IFERROR(__xludf.DUMMYFUNCTION("IFERROR((COUNTIF(FILTER(Data!N:N, Data!B:B=A165),""LOW"")) / (COUNTIF(Data!B:B, A165)),"""")"),"")</f>
        <v/>
      </c>
      <c r="U165" s="59" t="str">
        <f>IFERROR(__xludf.DUMMYFUNCTION("IFERROR((COUNTIF(FILTER(Data!N:N, Data!B:B=A165),""MIDDLE"")) / (COUNTIF(Data!B:B, A165)),"""")"),"")</f>
        <v/>
      </c>
      <c r="V165" s="59" t="str">
        <f>IFERROR(__xludf.DUMMYFUNCTION("IFERROR((COUNTIF(FILTER(Data!N:N, Data!B:B=A165),""HIGH"")) / (COUNTIF(Data!B:B, A165)),"""")"),"")</f>
        <v/>
      </c>
      <c r="W165" s="59" t="str">
        <f>IFERROR(__xludf.DUMMYFUNCTION("IFERROR((COUNTIF(FILTER(Data!N:N, Data!B:B=A165),""TRAVERSE"")) / (COUNTIF(Data!B:B, A165)),"""")"),"")</f>
        <v/>
      </c>
      <c r="X165" s="60" t="str">
        <f t="shared" si="38"/>
        <v/>
      </c>
      <c r="Y165" s="45" t="str">
        <f t="shared" si="7"/>
        <v/>
      </c>
      <c r="Z165" s="45" t="str">
        <f t="shared" si="8"/>
        <v/>
      </c>
      <c r="AA165" s="16" t="str">
        <f t="shared" si="9"/>
        <v/>
      </c>
      <c r="AB165" s="16"/>
      <c r="AC165" s="16" t="str">
        <f>IFERROR(__xludf.DUMMYFUNCTION("IF(AA165="""","""",MAX(Filter((Data!G:G+Data!K:K),Data!B:B=A165)))"),"")</f>
        <v/>
      </c>
      <c r="AD165" s="16"/>
      <c r="AE165" s="16" t="str">
        <f t="shared" si="12"/>
        <v/>
      </c>
      <c r="AF165" s="16" t="str">
        <f t="shared" si="13"/>
        <v/>
      </c>
      <c r="AG165" s="44"/>
      <c r="AH165" s="44"/>
      <c r="AI165" s="44" t="str">
        <f>IFERROR(__xludf.DUMMYFUNCTION("TEXTJOIN("", "",TRUE, FILTER(Data!P:P, Data!B:B=A165))"),"")</f>
        <v/>
      </c>
      <c r="AJ165" s="16" t="str">
        <f t="shared" si="14"/>
        <v/>
      </c>
      <c r="AK165" s="46" t="str">
        <f>IFERROR(__xludf.DUMMYFUNCTION("IF(A165&lt;&gt;"""",IFERROR(AVERAGE(FILTER('Defense Calculations'!BJ:CS,'Defense Calculations'!A:A=A165)),""""),"""")"),"")</f>
        <v/>
      </c>
      <c r="AM165" s="47"/>
      <c r="BC165" s="50"/>
    </row>
    <row r="166">
      <c r="A166" s="54"/>
      <c r="B166" s="55" t="str">
        <f>IFERROR(__xludf.DUMMYFUNCTION("IFERROR(ROUND(
(COUNTIF(FILTER(Data!O:O, Data!B:B=A166), ""Win"")
+ COUNTIF(FILTER(Data!O:O, Data!B:B=A166), {""Tie"",""Results""}))
/ (COUNTIF(Data!B:B, A166)),
1),"""")"),"")</f>
        <v/>
      </c>
      <c r="C166" s="45" t="str">
        <f>IFERROR((SUMIF(Data!B:B, A166, Data!H:H)
/ (COUNTIF(Data!B:B, A166)
)),"")</f>
        <v/>
      </c>
      <c r="D166" s="45" t="str">
        <f>IFERROR((SUMIF(Data!B:B, A166, Data!G:G)
/ (COUNTIF(Data!B:B, A166)
)),"")</f>
        <v/>
      </c>
      <c r="E166" s="31" t="str">
        <f t="shared" si="39"/>
        <v/>
      </c>
      <c r="F166" s="45" t="str">
        <f>IFERROR((SUMIF(Data!B:B, A166, Data!J:J)
/ (COUNTIF(Data!B:B, A166)
)),"")</f>
        <v/>
      </c>
      <c r="G166" s="56" t="str">
        <f>IF(A166="","",IFERROR((((((SUMIF(Data!B:B, A166, Data!H:H)+(SUMIF(Data!B:B, A166,Data!G:G)))/(SUMIF(Data!B:B, A166, Data!J:J)))))),0))</f>
        <v/>
      </c>
      <c r="H166" s="32" t="str">
        <f>IFERROR(__xludf.DUMMYFUNCTION("IFERROR(IF(G166="""","""",Average(FILTER(IF(Data!J:J&lt;3,((Data!G:G+Data!H:H)/Data!J:J),1),Data!B:B=A166))),""Never Attempted"")"),"")</f>
        <v/>
      </c>
      <c r="I166" s="31"/>
      <c r="J166" s="31"/>
      <c r="K166" s="31" t="str">
        <f t="shared" si="40"/>
        <v/>
      </c>
      <c r="L166" s="45" t="str">
        <f>IFERROR((SUMIF(Data!B:B, A166, Data!L:L)
/ (COUNTIF(Data!B:B, A166)
)),"")</f>
        <v/>
      </c>
      <c r="M166" s="45" t="str">
        <f>IFERROR((SUMIF(Data!B:B, A166, Data!K:K)
/ (COUNTIF(Data!B:B, A166)
)),"")</f>
        <v/>
      </c>
      <c r="N166" s="56"/>
      <c r="O166" s="56" t="str">
        <f>IF(A166="","",IFERROR((((((SUMIF(Data!B:B, A166, Data!H:H)+(SUMIF(Data!B:B, A166,Data!G:G)+(SUMIF(Data!B:B, A166,Data!L:L)+(SUMIF(Data!B:B, A166,Data!K:K)))))/(SUMIF(Data!B:B, A166, Data!M:M)+(SUMIF(Data!B:B, A166, Data!H:H)+(SUMIF(Data!B:B, A166,Data!G:G)+(SUMIF(Data!B:B, A166,Data!K:K)+(SUMIF(Data!B:B, A166,Data!L:L)))))))))),0))</f>
        <v/>
      </c>
      <c r="P166" s="57" t="str">
        <f>IFERROR(__xludf.DUMMYFUNCTION("IFERROR(((COUNTIF(FILTER(Data!N:N,Data!B:B=A166),""TRAVERSE"")*15)+(COUNTIF(FILTER(Data!N:N,Data!B:B=A166),""HIGH"")*10)+(COUNTIF(FILTER(Data!N:N,Data!B:B=A166),""MIDDLE"")*6)+(COUNTIF(FILTER(Data!N:N,Data!B:B=A166),""LOW"")*4)) / (COUNTIF(Data!B:B, A166)"&amp;"),"""")"),"")</f>
        <v/>
      </c>
      <c r="Q166" s="31" t="str">
        <f>IF(P166="","",AVERAGE('Convert Name to Number'!F586:H586))</f>
        <v/>
      </c>
      <c r="R166" s="36" t="str">
        <f t="shared" si="37"/>
        <v/>
      </c>
      <c r="S166" s="58" t="str">
        <f>IFERROR(__xludf.DUMMYFUNCTION("IFERROR((((COUNTIF(FILTER(Data!N:N,Data!B:B=A166),""TRAVERSE""))+(COUNTIF(FILTER(Data!N:N,Data!B:B=A166),""HIGH""))+(COUNTIF(FILTER(Data!N:N,Data!B:B=A166),""MIDDLE""))+(COUNTIF(FILTER(Data!N:N,Data!B:B=A166),""LOW"")))) / (((COUNTIF(Data!B:B, A166)))-(CO"&amp;"UNTIF(FILTER(Data!N:N,Data!B:B=A166),""NONE""))),IF(ISBLANK(A166),"""",0))"),"")</f>
        <v/>
      </c>
      <c r="T166" s="56" t="str">
        <f>IFERROR(__xludf.DUMMYFUNCTION("IFERROR((COUNTIF(FILTER(Data!N:N, Data!B:B=A166),""LOW"")) / (COUNTIF(Data!B:B, A166)),"""")"),"")</f>
        <v/>
      </c>
      <c r="U166" s="59" t="str">
        <f>IFERROR(__xludf.DUMMYFUNCTION("IFERROR((COUNTIF(FILTER(Data!N:N, Data!B:B=A166),""MIDDLE"")) / (COUNTIF(Data!B:B, A166)),"""")"),"")</f>
        <v/>
      </c>
      <c r="V166" s="59" t="str">
        <f>IFERROR(__xludf.DUMMYFUNCTION("IFERROR((COUNTIF(FILTER(Data!N:N, Data!B:B=A166),""HIGH"")) / (COUNTIF(Data!B:B, A166)),"""")"),"")</f>
        <v/>
      </c>
      <c r="W166" s="59" t="str">
        <f>IFERROR(__xludf.DUMMYFUNCTION("IFERROR((COUNTIF(FILTER(Data!N:N, Data!B:B=A166),""TRAVERSE"")) / (COUNTIF(Data!B:B, A166)),"""")"),"")</f>
        <v/>
      </c>
      <c r="X166" s="60" t="str">
        <f t="shared" si="38"/>
        <v/>
      </c>
      <c r="Y166" s="45" t="str">
        <f t="shared" si="7"/>
        <v/>
      </c>
      <c r="Z166" s="45" t="str">
        <f t="shared" si="8"/>
        <v/>
      </c>
      <c r="AA166" s="16" t="str">
        <f t="shared" si="9"/>
        <v/>
      </c>
      <c r="AB166" s="16"/>
      <c r="AC166" s="16" t="str">
        <f>IFERROR(__xludf.DUMMYFUNCTION("IF(AA166="""","""",MAX(Filter((Data!G:G+Data!K:K),Data!B:B=A166)))"),"")</f>
        <v/>
      </c>
      <c r="AD166" s="16"/>
      <c r="AE166" s="16" t="str">
        <f t="shared" si="12"/>
        <v/>
      </c>
      <c r="AF166" s="16" t="str">
        <f t="shared" si="13"/>
        <v/>
      </c>
      <c r="AG166" s="44"/>
      <c r="AH166" s="44"/>
      <c r="AI166" s="44" t="str">
        <f>IFERROR(__xludf.DUMMYFUNCTION("TEXTJOIN("", "",TRUE, FILTER(Data!P:P, Data!B:B=A166))"),"")</f>
        <v/>
      </c>
      <c r="AJ166" s="16" t="str">
        <f t="shared" si="14"/>
        <v/>
      </c>
      <c r="AK166" s="46" t="str">
        <f>IFERROR(__xludf.DUMMYFUNCTION("IF(A166&lt;&gt;"""",IFERROR(AVERAGE(FILTER('Defense Calculations'!BJ:CS,'Defense Calculations'!A:A=A166)),""""),"""")"),"")</f>
        <v/>
      </c>
      <c r="AM166" s="47"/>
      <c r="BC166" s="50"/>
    </row>
    <row r="167">
      <c r="A167" s="54"/>
      <c r="B167" s="55" t="str">
        <f>IFERROR(__xludf.DUMMYFUNCTION("IFERROR(ROUND(
(COUNTIF(FILTER(Data!O:O, Data!B:B=A167), ""Win"")
+ COUNTIF(FILTER(Data!O:O, Data!B:B=A167), {""Tie"",""Results""}))
/ (COUNTIF(Data!B:B, A167)),
1),"""")"),"")</f>
        <v/>
      </c>
      <c r="C167" s="45" t="str">
        <f>IFERROR((SUMIF(Data!B:B, A167, Data!H:H)
/ (COUNTIF(Data!B:B, A167)
)),"")</f>
        <v/>
      </c>
      <c r="D167" s="45" t="str">
        <f>IFERROR((SUMIF(Data!B:B, A167, Data!G:G)
/ (COUNTIF(Data!B:B, A167)
)),"")</f>
        <v/>
      </c>
      <c r="E167" s="31" t="str">
        <f t="shared" si="39"/>
        <v/>
      </c>
      <c r="F167" s="45" t="str">
        <f>IFERROR((SUMIF(Data!B:B, A167, Data!J:J)
/ (COUNTIF(Data!B:B, A167)
)),"")</f>
        <v/>
      </c>
      <c r="G167" s="56" t="str">
        <f>IF(A167="","",IFERROR((((((SUMIF(Data!B:B, A167, Data!H:H)+(SUMIF(Data!B:B, A167,Data!G:G)))/(SUMIF(Data!B:B, A167, Data!J:J)))))),0))</f>
        <v/>
      </c>
      <c r="H167" s="32" t="str">
        <f>IFERROR(__xludf.DUMMYFUNCTION("IFERROR(IF(G167="""","""",Average(FILTER(IF(Data!J:J&lt;3,((Data!G:G+Data!H:H)/Data!J:J),1),Data!B:B=A167))),""Never Attempted"")"),"")</f>
        <v/>
      </c>
      <c r="I167" s="31"/>
      <c r="J167" s="31"/>
      <c r="K167" s="31" t="str">
        <f t="shared" si="40"/>
        <v/>
      </c>
      <c r="L167" s="45" t="str">
        <f>IFERROR((SUMIF(Data!B:B, A167, Data!L:L)
/ (COUNTIF(Data!B:B, A167)
)),"")</f>
        <v/>
      </c>
      <c r="M167" s="45" t="str">
        <f>IFERROR((SUMIF(Data!B:B, A167, Data!K:K)
/ (COUNTIF(Data!B:B, A167)
)),"")</f>
        <v/>
      </c>
      <c r="N167" s="56"/>
      <c r="O167" s="56" t="str">
        <f>IF(A167="","",IFERROR((((((SUMIF(Data!B:B, A167, Data!H:H)+(SUMIF(Data!B:B, A167,Data!G:G)+(SUMIF(Data!B:B, A167,Data!L:L)+(SUMIF(Data!B:B, A167,Data!K:K)))))/(SUMIF(Data!B:B, A167, Data!M:M)+(SUMIF(Data!B:B, A167, Data!H:H)+(SUMIF(Data!B:B, A167,Data!G:G)+(SUMIF(Data!B:B, A167,Data!K:K)+(SUMIF(Data!B:B, A167,Data!L:L)))))))))),0))</f>
        <v/>
      </c>
      <c r="P167" s="57" t="str">
        <f>IFERROR(__xludf.DUMMYFUNCTION("IFERROR(((COUNTIF(FILTER(Data!N:N,Data!B:B=A167),""TRAVERSE"")*15)+(COUNTIF(FILTER(Data!N:N,Data!B:B=A167),""HIGH"")*10)+(COUNTIF(FILTER(Data!N:N,Data!B:B=A167),""MIDDLE"")*6)+(COUNTIF(FILTER(Data!N:N,Data!B:B=A167),""LOW"")*4)) / (COUNTIF(Data!B:B, A167)"&amp;"),"""")"),"")</f>
        <v/>
      </c>
      <c r="Q167" s="31" t="str">
        <f>IF(P167="","",AVERAGE('Convert Name to Number'!F587:H587))</f>
        <v/>
      </c>
      <c r="R167" s="36" t="str">
        <f t="shared" si="37"/>
        <v/>
      </c>
      <c r="S167" s="58" t="str">
        <f>IFERROR(__xludf.DUMMYFUNCTION("IFERROR((((COUNTIF(FILTER(Data!N:N,Data!B:B=A167),""TRAVERSE""))+(COUNTIF(FILTER(Data!N:N,Data!B:B=A167),""HIGH""))+(COUNTIF(FILTER(Data!N:N,Data!B:B=A167),""MIDDLE""))+(COUNTIF(FILTER(Data!N:N,Data!B:B=A167),""LOW"")))) / (((COUNTIF(Data!B:B, A167)))-(CO"&amp;"UNTIF(FILTER(Data!N:N,Data!B:B=A167),""NONE""))),IF(ISBLANK(A167),"""",0))"),"")</f>
        <v/>
      </c>
      <c r="T167" s="56" t="str">
        <f>IFERROR(__xludf.DUMMYFUNCTION("IFERROR((COUNTIF(FILTER(Data!N:N, Data!B:B=A167),""LOW"")) / (COUNTIF(Data!B:B, A167)),"""")"),"")</f>
        <v/>
      </c>
      <c r="U167" s="59" t="str">
        <f>IFERROR(__xludf.DUMMYFUNCTION("IFERROR((COUNTIF(FILTER(Data!N:N, Data!B:B=A167),""MIDDLE"")) / (COUNTIF(Data!B:B, A167)),"""")"),"")</f>
        <v/>
      </c>
      <c r="V167" s="59" t="str">
        <f>IFERROR(__xludf.DUMMYFUNCTION("IFERROR((COUNTIF(FILTER(Data!N:N, Data!B:B=A167),""HIGH"")) / (COUNTIF(Data!B:B, A167)),"""")"),"")</f>
        <v/>
      </c>
      <c r="W167" s="59" t="str">
        <f>IFERROR(__xludf.DUMMYFUNCTION("IFERROR((COUNTIF(FILTER(Data!N:N, Data!B:B=A167),""TRAVERSE"")) / (COUNTIF(Data!B:B, A167)),"""")"),"")</f>
        <v/>
      </c>
      <c r="X167" s="60" t="str">
        <f t="shared" si="38"/>
        <v/>
      </c>
      <c r="Y167" s="45" t="str">
        <f t="shared" si="7"/>
        <v/>
      </c>
      <c r="Z167" s="45" t="str">
        <f t="shared" si="8"/>
        <v/>
      </c>
      <c r="AA167" s="16" t="str">
        <f t="shared" si="9"/>
        <v/>
      </c>
      <c r="AB167" s="16"/>
      <c r="AC167" s="16" t="str">
        <f>IFERROR(__xludf.DUMMYFUNCTION("IF(AA167="""","""",MAX(Filter((Data!G:G+Data!K:K),Data!B:B=A167)))"),"")</f>
        <v/>
      </c>
      <c r="AD167" s="16"/>
      <c r="AE167" s="16" t="str">
        <f t="shared" si="12"/>
        <v/>
      </c>
      <c r="AF167" s="16" t="str">
        <f t="shared" si="13"/>
        <v/>
      </c>
      <c r="AG167" s="44"/>
      <c r="AH167" s="44"/>
      <c r="AI167" s="44" t="str">
        <f>IFERROR(__xludf.DUMMYFUNCTION("TEXTJOIN("", "",TRUE, FILTER(Data!P:P, Data!B:B=A167))"),"")</f>
        <v/>
      </c>
      <c r="AJ167" s="16" t="str">
        <f t="shared" si="14"/>
        <v/>
      </c>
      <c r="AK167" s="46" t="str">
        <f>IFERROR(__xludf.DUMMYFUNCTION("IF(A167&lt;&gt;"""",IFERROR(AVERAGE(FILTER('Defense Calculations'!BJ:CS,'Defense Calculations'!A:A=A167)),""""),"""")"),"")</f>
        <v/>
      </c>
      <c r="AM167" s="47"/>
      <c r="BC167" s="50"/>
    </row>
    <row r="168">
      <c r="A168" s="54"/>
      <c r="B168" s="55" t="str">
        <f>IFERROR(__xludf.DUMMYFUNCTION("IFERROR(ROUND(
(COUNTIF(FILTER(Data!O:O, Data!B:B=A168), ""Win"")
+ COUNTIF(FILTER(Data!O:O, Data!B:B=A168), {""Tie"",""Results""}))
/ (COUNTIF(Data!B:B, A168)),
1),"""")"),"")</f>
        <v/>
      </c>
      <c r="C168" s="45" t="str">
        <f>IFERROR((SUMIF(Data!B:B, A168, Data!H:H)
/ (COUNTIF(Data!B:B, A168)
)),"")</f>
        <v/>
      </c>
      <c r="D168" s="45" t="str">
        <f>IFERROR((SUMIF(Data!B:B, A168, Data!G:G)
/ (COUNTIF(Data!B:B, A168)
)),"")</f>
        <v/>
      </c>
      <c r="E168" s="31" t="str">
        <f t="shared" si="39"/>
        <v/>
      </c>
      <c r="F168" s="45" t="str">
        <f>IFERROR((SUMIF(Data!B:B, A168, Data!J:J)
/ (COUNTIF(Data!B:B, A168)
)),"")</f>
        <v/>
      </c>
      <c r="G168" s="56" t="str">
        <f>IF(A168="","",IFERROR((((((SUMIF(Data!B:B, A168, Data!H:H)+(SUMIF(Data!B:B, A168,Data!G:G)))/(SUMIF(Data!B:B, A168, Data!J:J)))))),0))</f>
        <v/>
      </c>
      <c r="H168" s="32" t="str">
        <f>IFERROR(__xludf.DUMMYFUNCTION("IFERROR(IF(G168="""","""",Average(FILTER(IF(Data!J:J&lt;3,((Data!G:G+Data!H:H)/Data!J:J),1),Data!B:B=A168))),""Never Attempted"")"),"")</f>
        <v/>
      </c>
      <c r="I168" s="31"/>
      <c r="J168" s="31"/>
      <c r="K168" s="31" t="str">
        <f t="shared" si="40"/>
        <v/>
      </c>
      <c r="L168" s="45" t="str">
        <f>IFERROR((SUMIF(Data!B:B, A168, Data!L:L)
/ (COUNTIF(Data!B:B, A168)
)),"")</f>
        <v/>
      </c>
      <c r="M168" s="45" t="str">
        <f>IFERROR((SUMIF(Data!B:B, A168, Data!K:K)
/ (COUNTIF(Data!B:B, A168)
)),"")</f>
        <v/>
      </c>
      <c r="N168" s="56"/>
      <c r="O168" s="56" t="str">
        <f>IF(A168="","",IFERROR((((((SUMIF(Data!B:B, A168, Data!H:H)+(SUMIF(Data!B:B, A168,Data!G:G)+(SUMIF(Data!B:B, A168,Data!L:L)+(SUMIF(Data!B:B, A168,Data!K:K)))))/(SUMIF(Data!B:B, A168, Data!M:M)+(SUMIF(Data!B:B, A168, Data!H:H)+(SUMIF(Data!B:B, A168,Data!G:G)+(SUMIF(Data!B:B, A168,Data!K:K)+(SUMIF(Data!B:B, A168,Data!L:L)))))))))),0))</f>
        <v/>
      </c>
      <c r="P168" s="57" t="str">
        <f>IFERROR(__xludf.DUMMYFUNCTION("IFERROR(((COUNTIF(FILTER(Data!N:N,Data!B:B=A168),""TRAVERSE"")*15)+(COUNTIF(FILTER(Data!N:N,Data!B:B=A168),""HIGH"")*10)+(COUNTIF(FILTER(Data!N:N,Data!B:B=A168),""MIDDLE"")*6)+(COUNTIF(FILTER(Data!N:N,Data!B:B=A168),""LOW"")*4)) / (COUNTIF(Data!B:B, A168)"&amp;"),"""")"),"")</f>
        <v/>
      </c>
      <c r="Q168" s="31" t="str">
        <f>IF(P168="","",AVERAGE('Convert Name to Number'!F588:H588))</f>
        <v/>
      </c>
      <c r="R168" s="36" t="str">
        <f t="shared" si="37"/>
        <v/>
      </c>
      <c r="S168" s="58" t="str">
        <f>IFERROR(__xludf.DUMMYFUNCTION("IFERROR((((COUNTIF(FILTER(Data!N:N,Data!B:B=A168),""TRAVERSE""))+(COUNTIF(FILTER(Data!N:N,Data!B:B=A168),""HIGH""))+(COUNTIF(FILTER(Data!N:N,Data!B:B=A168),""MIDDLE""))+(COUNTIF(FILTER(Data!N:N,Data!B:B=A168),""LOW"")))) / (((COUNTIF(Data!B:B, A168)))-(CO"&amp;"UNTIF(FILTER(Data!N:N,Data!B:B=A168),""NONE""))),IF(ISBLANK(A168),"""",0))"),"")</f>
        <v/>
      </c>
      <c r="T168" s="56" t="str">
        <f>IFERROR(__xludf.DUMMYFUNCTION("IFERROR((COUNTIF(FILTER(Data!N:N, Data!B:B=A168),""LOW"")) / (COUNTIF(Data!B:B, A168)),"""")"),"")</f>
        <v/>
      </c>
      <c r="U168" s="59" t="str">
        <f>IFERROR(__xludf.DUMMYFUNCTION("IFERROR((COUNTIF(FILTER(Data!N:N, Data!B:B=A168),""MIDDLE"")) / (COUNTIF(Data!B:B, A168)),"""")"),"")</f>
        <v/>
      </c>
      <c r="V168" s="59" t="str">
        <f>IFERROR(__xludf.DUMMYFUNCTION("IFERROR((COUNTIF(FILTER(Data!N:N, Data!B:B=A168),""HIGH"")) / (COUNTIF(Data!B:B, A168)),"""")"),"")</f>
        <v/>
      </c>
      <c r="W168" s="59" t="str">
        <f>IFERROR(__xludf.DUMMYFUNCTION("IFERROR((COUNTIF(FILTER(Data!N:N, Data!B:B=A168),""TRAVERSE"")) / (COUNTIF(Data!B:B, A168)),"""")"),"")</f>
        <v/>
      </c>
      <c r="X168" s="60" t="str">
        <f t="shared" si="38"/>
        <v/>
      </c>
      <c r="Y168" s="45" t="str">
        <f t="shared" si="7"/>
        <v/>
      </c>
      <c r="Z168" s="45" t="str">
        <f t="shared" si="8"/>
        <v/>
      </c>
      <c r="AA168" s="16" t="str">
        <f t="shared" si="9"/>
        <v/>
      </c>
      <c r="AB168" s="16"/>
      <c r="AC168" s="16" t="str">
        <f>IFERROR(__xludf.DUMMYFUNCTION("IF(AA168="""","""",MAX(Filter((Data!G:G+Data!K:K),Data!B:B=A168)))"),"")</f>
        <v/>
      </c>
      <c r="AD168" s="16"/>
      <c r="AE168" s="16" t="str">
        <f t="shared" si="12"/>
        <v/>
      </c>
      <c r="AF168" s="16" t="str">
        <f t="shared" si="13"/>
        <v/>
      </c>
      <c r="AG168" s="44"/>
      <c r="AH168" s="44"/>
      <c r="AI168" s="44" t="str">
        <f>IFERROR(__xludf.DUMMYFUNCTION("TEXTJOIN("", "",TRUE, FILTER(Data!P:P, Data!B:B=A168))"),"")</f>
        <v/>
      </c>
      <c r="AJ168" s="16" t="str">
        <f t="shared" si="14"/>
        <v/>
      </c>
      <c r="AK168" s="46" t="str">
        <f>IFERROR(__xludf.DUMMYFUNCTION("IF(A168&lt;&gt;"""",IFERROR(AVERAGE(FILTER('Defense Calculations'!BJ:CS,'Defense Calculations'!A:A=A168)),""""),"""")"),"")</f>
        <v/>
      </c>
      <c r="AM168" s="47"/>
      <c r="BC168" s="50"/>
    </row>
    <row r="169">
      <c r="A169" s="54"/>
      <c r="B169" s="55" t="str">
        <f>IFERROR(__xludf.DUMMYFUNCTION("IFERROR(ROUND(
(COUNTIF(FILTER(Data!O:O, Data!B:B=A169), ""Win"")
+ COUNTIF(FILTER(Data!O:O, Data!B:B=A169), {""Tie"",""Results""}))
/ (COUNTIF(Data!B:B, A169)),
1),"""")"),"")</f>
        <v/>
      </c>
      <c r="C169" s="45" t="str">
        <f>IFERROR((SUMIF(Data!B:B, A169, Data!H:H)
/ (COUNTIF(Data!B:B, A169)
)),"")</f>
        <v/>
      </c>
      <c r="D169" s="45" t="str">
        <f>IFERROR((SUMIF(Data!B:B, A169, Data!G:G)
/ (COUNTIF(Data!B:B, A169)
)),"")</f>
        <v/>
      </c>
      <c r="E169" s="31" t="str">
        <f t="shared" si="39"/>
        <v/>
      </c>
      <c r="F169" s="45" t="str">
        <f>IFERROR((SUMIF(Data!B:B, A169, Data!J:J)
/ (COUNTIF(Data!B:B, A169)
)),"")</f>
        <v/>
      </c>
      <c r="G169" s="56" t="str">
        <f>IF(A169="","",IFERROR((((((SUMIF(Data!B:B, A169, Data!H:H)+(SUMIF(Data!B:B, A169,Data!G:G)))/(SUMIF(Data!B:B, A169, Data!J:J)))))),0))</f>
        <v/>
      </c>
      <c r="H169" s="32" t="str">
        <f>IFERROR(__xludf.DUMMYFUNCTION("IFERROR(IF(G169="""","""",Average(FILTER(IF(Data!J:J&lt;3,((Data!G:G+Data!H:H)/Data!J:J),1),Data!B:B=A169))),""Never Attempted"")"),"")</f>
        <v/>
      </c>
      <c r="I169" s="31"/>
      <c r="J169" s="31"/>
      <c r="K169" s="31" t="str">
        <f t="shared" si="40"/>
        <v/>
      </c>
      <c r="L169" s="45" t="str">
        <f>IFERROR((SUMIF(Data!B:B, A169, Data!L:L)
/ (COUNTIF(Data!B:B, A169)
)),"")</f>
        <v/>
      </c>
      <c r="M169" s="45" t="str">
        <f>IFERROR((SUMIF(Data!B:B, A169, Data!K:K)
/ (COUNTIF(Data!B:B, A169)
)),"")</f>
        <v/>
      </c>
      <c r="N169" s="56"/>
      <c r="O169" s="56" t="str">
        <f>IF(A169="","",IFERROR((((((SUMIF(Data!B:B, A169, Data!H:H)+(SUMIF(Data!B:B, A169,Data!G:G)+(SUMIF(Data!B:B, A169,Data!L:L)+(SUMIF(Data!B:B, A169,Data!K:K)))))/(SUMIF(Data!B:B, A169, Data!M:M)+(SUMIF(Data!B:B, A169, Data!H:H)+(SUMIF(Data!B:B, A169,Data!G:G)+(SUMIF(Data!B:B, A169,Data!K:K)+(SUMIF(Data!B:B, A169,Data!L:L)))))))))),0))</f>
        <v/>
      </c>
      <c r="P169" s="57" t="str">
        <f>IFERROR(__xludf.DUMMYFUNCTION("IFERROR(((COUNTIF(FILTER(Data!N:N,Data!B:B=A169),""TRAVERSE"")*15)+(COUNTIF(FILTER(Data!N:N,Data!B:B=A169),""HIGH"")*10)+(COUNTIF(FILTER(Data!N:N,Data!B:B=A169),""MIDDLE"")*6)+(COUNTIF(FILTER(Data!N:N,Data!B:B=A169),""LOW"")*4)) / (COUNTIF(Data!B:B, A169)"&amp;"),"""")"),"")</f>
        <v/>
      </c>
      <c r="Q169" s="31" t="str">
        <f>IF(P169="","",AVERAGE('Convert Name to Number'!F589:H589))</f>
        <v/>
      </c>
      <c r="R169" s="36" t="str">
        <f t="shared" si="37"/>
        <v/>
      </c>
      <c r="S169" s="58" t="str">
        <f>IFERROR(__xludf.DUMMYFUNCTION("IFERROR((((COUNTIF(FILTER(Data!N:N,Data!B:B=A169),""TRAVERSE""))+(COUNTIF(FILTER(Data!N:N,Data!B:B=A169),""HIGH""))+(COUNTIF(FILTER(Data!N:N,Data!B:B=A169),""MIDDLE""))+(COUNTIF(FILTER(Data!N:N,Data!B:B=A169),""LOW"")))) / (((COUNTIF(Data!B:B, A169)))-(CO"&amp;"UNTIF(FILTER(Data!N:N,Data!B:B=A169),""NONE""))),IF(ISBLANK(A169),"""",0))"),"")</f>
        <v/>
      </c>
      <c r="T169" s="56" t="str">
        <f>IFERROR(__xludf.DUMMYFUNCTION("IFERROR((COUNTIF(FILTER(Data!N:N, Data!B:B=A169),""LOW"")) / (COUNTIF(Data!B:B, A169)),"""")"),"")</f>
        <v/>
      </c>
      <c r="U169" s="59" t="str">
        <f>IFERROR(__xludf.DUMMYFUNCTION("IFERROR((COUNTIF(FILTER(Data!N:N, Data!B:B=A169),""MIDDLE"")) / (COUNTIF(Data!B:B, A169)),"""")"),"")</f>
        <v/>
      </c>
      <c r="V169" s="59" t="str">
        <f>IFERROR(__xludf.DUMMYFUNCTION("IFERROR((COUNTIF(FILTER(Data!N:N, Data!B:B=A169),""HIGH"")) / (COUNTIF(Data!B:B, A169)),"""")"),"")</f>
        <v/>
      </c>
      <c r="W169" s="59" t="str">
        <f>IFERROR(__xludf.DUMMYFUNCTION("IFERROR((COUNTIF(FILTER(Data!N:N, Data!B:B=A169),""TRAVERSE"")) / (COUNTIF(Data!B:B, A169)),"""")"),"")</f>
        <v/>
      </c>
      <c r="X169" s="60" t="str">
        <f t="shared" si="38"/>
        <v/>
      </c>
      <c r="Y169" s="45" t="str">
        <f t="shared" si="7"/>
        <v/>
      </c>
      <c r="Z169" s="45" t="str">
        <f t="shared" si="8"/>
        <v/>
      </c>
      <c r="AA169" s="16" t="str">
        <f t="shared" si="9"/>
        <v/>
      </c>
      <c r="AB169" s="16"/>
      <c r="AC169" s="16" t="str">
        <f>IFERROR(__xludf.DUMMYFUNCTION("IF(AA169="""","""",MAX(Filter((Data!G:G+Data!K:K),Data!B:B=A169)))"),"")</f>
        <v/>
      </c>
      <c r="AD169" s="16"/>
      <c r="AE169" s="16" t="str">
        <f t="shared" si="12"/>
        <v/>
      </c>
      <c r="AF169" s="16" t="str">
        <f t="shared" si="13"/>
        <v/>
      </c>
      <c r="AG169" s="44"/>
      <c r="AH169" s="44"/>
      <c r="AI169" s="44" t="str">
        <f>IFERROR(__xludf.DUMMYFUNCTION("TEXTJOIN("", "",TRUE, FILTER(Data!P:P, Data!B:B=A169))"),"")</f>
        <v/>
      </c>
      <c r="AJ169" s="16" t="str">
        <f t="shared" si="14"/>
        <v/>
      </c>
      <c r="AK169" s="46" t="str">
        <f>IFERROR(__xludf.DUMMYFUNCTION("IF(A169&lt;&gt;"""",IFERROR(AVERAGE(FILTER('Defense Calculations'!BJ:CS,'Defense Calculations'!A:A=A169)),""""),"""")"),"")</f>
        <v/>
      </c>
      <c r="AM169" s="47"/>
      <c r="BC169" s="50"/>
    </row>
    <row r="170">
      <c r="A170" s="54"/>
      <c r="B170" s="55" t="str">
        <f>IFERROR(__xludf.DUMMYFUNCTION("IFERROR(ROUND(
(COUNTIF(FILTER(Data!O:O, Data!B:B=A170), ""Win"")
+ COUNTIF(FILTER(Data!O:O, Data!B:B=A170), {""Tie"",""Results""}))
/ (COUNTIF(Data!B:B, A170)),
1),"""")"),"")</f>
        <v/>
      </c>
      <c r="C170" s="45" t="str">
        <f>IFERROR((SUMIF(Data!B:B, A170, Data!H:H)
/ (COUNTIF(Data!B:B, A170)
)),"")</f>
        <v/>
      </c>
      <c r="D170" s="45" t="str">
        <f>IFERROR((SUMIF(Data!B:B, A170, Data!G:G)
/ (COUNTIF(Data!B:B, A170)
)),"")</f>
        <v/>
      </c>
      <c r="E170" s="31" t="str">
        <f t="shared" si="39"/>
        <v/>
      </c>
      <c r="F170" s="45" t="str">
        <f>IFERROR((SUMIF(Data!B:B, A170, Data!J:J)
/ (COUNTIF(Data!B:B, A170)
)),"")</f>
        <v/>
      </c>
      <c r="G170" s="56" t="str">
        <f>IF(A170="","",IFERROR((((((SUMIF(Data!B:B, A170, Data!H:H)+(SUMIF(Data!B:B, A170,Data!G:G)))/(SUMIF(Data!B:B, A170, Data!J:J)))))),0))</f>
        <v/>
      </c>
      <c r="H170" s="32" t="str">
        <f>IFERROR(__xludf.DUMMYFUNCTION("IFERROR(IF(G170="""","""",Average(FILTER(IF(Data!J:J&lt;3,((Data!G:G+Data!H:H)/Data!J:J),1),Data!B:B=A170))),""Never Attempted"")"),"")</f>
        <v/>
      </c>
      <c r="I170" s="31"/>
      <c r="J170" s="31"/>
      <c r="K170" s="31" t="str">
        <f t="shared" si="40"/>
        <v/>
      </c>
      <c r="L170" s="45" t="str">
        <f>IFERROR((SUMIF(Data!B:B, A170, Data!L:L)
/ (COUNTIF(Data!B:B, A170)
)),"")</f>
        <v/>
      </c>
      <c r="M170" s="45" t="str">
        <f>IFERROR((SUMIF(Data!B:B, A170, Data!K:K)
/ (COUNTIF(Data!B:B, A170)
)),"")</f>
        <v/>
      </c>
      <c r="N170" s="56"/>
      <c r="O170" s="56" t="str">
        <f>IF(A170="","",IFERROR((((((SUMIF(Data!B:B, A170, Data!H:H)+(SUMIF(Data!B:B, A170,Data!G:G)+(SUMIF(Data!B:B, A170,Data!L:L)+(SUMIF(Data!B:B, A170,Data!K:K)))))/(SUMIF(Data!B:B, A170, Data!M:M)+(SUMIF(Data!B:B, A170, Data!H:H)+(SUMIF(Data!B:B, A170,Data!G:G)+(SUMIF(Data!B:B, A170,Data!K:K)+(SUMIF(Data!B:B, A170,Data!L:L)))))))))),0))</f>
        <v/>
      </c>
      <c r="P170" s="57" t="str">
        <f>IFERROR(__xludf.DUMMYFUNCTION("IFERROR(((COUNTIF(FILTER(Data!N:N,Data!B:B=A170),""TRAVERSE"")*15)+(COUNTIF(FILTER(Data!N:N,Data!B:B=A170),""HIGH"")*10)+(COUNTIF(FILTER(Data!N:N,Data!B:B=A170),""MIDDLE"")*6)+(COUNTIF(FILTER(Data!N:N,Data!B:B=A170),""LOW"")*4)) / (COUNTIF(Data!B:B, A170)"&amp;"),"""")"),"")</f>
        <v/>
      </c>
      <c r="Q170" s="31" t="str">
        <f>IF(P170="","",AVERAGE('Convert Name to Number'!F590:H590))</f>
        <v/>
      </c>
      <c r="R170" s="36" t="str">
        <f t="shared" si="37"/>
        <v/>
      </c>
      <c r="S170" s="58" t="str">
        <f>IFERROR(__xludf.DUMMYFUNCTION("IFERROR((((COUNTIF(FILTER(Data!N:N,Data!B:B=A170),""TRAVERSE""))+(COUNTIF(FILTER(Data!N:N,Data!B:B=A170),""HIGH""))+(COUNTIF(FILTER(Data!N:N,Data!B:B=A170),""MIDDLE""))+(COUNTIF(FILTER(Data!N:N,Data!B:B=A170),""LOW"")))) / (((COUNTIF(Data!B:B, A170)))-(CO"&amp;"UNTIF(FILTER(Data!N:N,Data!B:B=A170),""NONE""))),IF(ISBLANK(A170),"""",0))"),"")</f>
        <v/>
      </c>
      <c r="T170" s="56" t="str">
        <f>IFERROR(__xludf.DUMMYFUNCTION("IFERROR((COUNTIF(FILTER(Data!N:N, Data!B:B=A170),""LOW"")) / (COUNTIF(Data!B:B, A170)),"""")"),"")</f>
        <v/>
      </c>
      <c r="U170" s="59" t="str">
        <f>IFERROR(__xludf.DUMMYFUNCTION("IFERROR((COUNTIF(FILTER(Data!N:N, Data!B:B=A170),""MIDDLE"")) / (COUNTIF(Data!B:B, A170)),"""")"),"")</f>
        <v/>
      </c>
      <c r="V170" s="59" t="str">
        <f>IFERROR(__xludf.DUMMYFUNCTION("IFERROR((COUNTIF(FILTER(Data!N:N, Data!B:B=A170),""HIGH"")) / (COUNTIF(Data!B:B, A170)),"""")"),"")</f>
        <v/>
      </c>
      <c r="W170" s="59" t="str">
        <f>IFERROR(__xludf.DUMMYFUNCTION("IFERROR((COUNTIF(FILTER(Data!N:N, Data!B:B=A170),""TRAVERSE"")) / (COUNTIF(Data!B:B, A170)),"""")"),"")</f>
        <v/>
      </c>
      <c r="X170" s="60" t="str">
        <f t="shared" si="38"/>
        <v/>
      </c>
      <c r="Y170" s="45" t="str">
        <f t="shared" si="7"/>
        <v/>
      </c>
      <c r="Z170" s="45" t="str">
        <f t="shared" si="8"/>
        <v/>
      </c>
      <c r="AA170" s="16" t="str">
        <f t="shared" si="9"/>
        <v/>
      </c>
      <c r="AB170" s="16"/>
      <c r="AC170" s="16" t="str">
        <f>IFERROR(__xludf.DUMMYFUNCTION("IF(AA170="""","""",MAX(Filter((Data!G:G+Data!K:K),Data!B:B=A170)))"),"")</f>
        <v/>
      </c>
      <c r="AD170" s="16"/>
      <c r="AE170" s="16" t="str">
        <f t="shared" si="12"/>
        <v/>
      </c>
      <c r="AF170" s="16" t="str">
        <f t="shared" si="13"/>
        <v/>
      </c>
      <c r="AG170" s="44"/>
      <c r="AH170" s="44"/>
      <c r="AI170" s="44" t="str">
        <f>IFERROR(__xludf.DUMMYFUNCTION("TEXTJOIN("", "",TRUE, FILTER(Data!P:P, Data!B:B=A170))"),"")</f>
        <v/>
      </c>
      <c r="AJ170" s="16" t="str">
        <f t="shared" si="14"/>
        <v/>
      </c>
      <c r="AK170" s="46" t="str">
        <f>IFERROR(__xludf.DUMMYFUNCTION("IF(A170&lt;&gt;"""",IFERROR(AVERAGE(FILTER('Defense Calculations'!BJ:CS,'Defense Calculations'!A:A=A170)),""""),"""")"),"")</f>
        <v/>
      </c>
      <c r="AM170" s="47"/>
      <c r="BC170" s="50"/>
    </row>
    <row r="171">
      <c r="A171" s="54"/>
      <c r="B171" s="55" t="str">
        <f>IFERROR(__xludf.DUMMYFUNCTION("IFERROR(ROUND(
(COUNTIF(FILTER(Data!O:O, Data!B:B=A171), ""Win"")
+ COUNTIF(FILTER(Data!O:O, Data!B:B=A171), {""Tie"",""Results""}))
/ (COUNTIF(Data!B:B, A171)),
1),"""")"),"")</f>
        <v/>
      </c>
      <c r="C171" s="45" t="str">
        <f>IFERROR((SUMIF(Data!B:B, A171, Data!H:H)
/ (COUNTIF(Data!B:B, A171)
)),"")</f>
        <v/>
      </c>
      <c r="D171" s="45" t="str">
        <f>IFERROR((SUMIF(Data!B:B, A171, Data!G:G)
/ (COUNTIF(Data!B:B, A171)
)),"")</f>
        <v/>
      </c>
      <c r="E171" s="31" t="str">
        <f t="shared" si="39"/>
        <v/>
      </c>
      <c r="F171" s="45" t="str">
        <f>IFERROR((SUMIF(Data!B:B, A171, Data!J:J)
/ (COUNTIF(Data!B:B, A171)
)),"")</f>
        <v/>
      </c>
      <c r="G171" s="56" t="str">
        <f>IF(A171="","",IFERROR((((((SUMIF(Data!B:B, A171, Data!H:H)+(SUMIF(Data!B:B, A171,Data!G:G)))/(SUMIF(Data!B:B, A171, Data!J:J)))))),0))</f>
        <v/>
      </c>
      <c r="H171" s="32" t="str">
        <f>IFERROR(__xludf.DUMMYFUNCTION("IFERROR(IF(G171="""","""",Average(FILTER(IF(Data!J:J&lt;3,((Data!G:G+Data!H:H)/Data!J:J),1),Data!B:B=A171))),""Never Attempted"")"),"")</f>
        <v/>
      </c>
      <c r="I171" s="31"/>
      <c r="J171" s="31"/>
      <c r="K171" s="31" t="str">
        <f t="shared" si="40"/>
        <v/>
      </c>
      <c r="L171" s="45" t="str">
        <f>IFERROR((SUMIF(Data!B:B, A171, Data!L:L)
/ (COUNTIF(Data!B:B, A171)
)),"")</f>
        <v/>
      </c>
      <c r="M171" s="45" t="str">
        <f>IFERROR((SUMIF(Data!B:B, A171, Data!K:K)
/ (COUNTIF(Data!B:B, A171)
)),"")</f>
        <v/>
      </c>
      <c r="N171" s="56"/>
      <c r="O171" s="56" t="str">
        <f>IF(A171="","",IFERROR((((((SUMIF(Data!B:B, A171, Data!H:H)+(SUMIF(Data!B:B, A171,Data!G:G)+(SUMIF(Data!B:B, A171,Data!L:L)+(SUMIF(Data!B:B, A171,Data!K:K)))))/(SUMIF(Data!B:B, A171, Data!M:M)+(SUMIF(Data!B:B, A171, Data!H:H)+(SUMIF(Data!B:B, A171,Data!G:G)+(SUMIF(Data!B:B, A171,Data!K:K)+(SUMIF(Data!B:B, A171,Data!L:L)))))))))),0))</f>
        <v/>
      </c>
      <c r="P171" s="57" t="str">
        <f>IFERROR(__xludf.DUMMYFUNCTION("IFERROR(((COUNTIF(FILTER(Data!N:N,Data!B:B=A171),""TRAVERSE"")*15)+(COUNTIF(FILTER(Data!N:N,Data!B:B=A171),""HIGH"")*10)+(COUNTIF(FILTER(Data!N:N,Data!B:B=A171),""MIDDLE"")*6)+(COUNTIF(FILTER(Data!N:N,Data!B:B=A171),""LOW"")*4)) / (COUNTIF(Data!B:B, A171)"&amp;"),"""")"),"")</f>
        <v/>
      </c>
      <c r="Q171" s="31" t="str">
        <f>IF(P171="","",AVERAGE('Convert Name to Number'!F591:H591))</f>
        <v/>
      </c>
      <c r="R171" s="36" t="str">
        <f t="shared" si="37"/>
        <v/>
      </c>
      <c r="S171" s="58" t="str">
        <f>IFERROR(__xludf.DUMMYFUNCTION("IFERROR((((COUNTIF(FILTER(Data!N:N,Data!B:B=A171),""TRAVERSE""))+(COUNTIF(FILTER(Data!N:N,Data!B:B=A171),""HIGH""))+(COUNTIF(FILTER(Data!N:N,Data!B:B=A171),""MIDDLE""))+(COUNTIF(FILTER(Data!N:N,Data!B:B=A171),""LOW"")))) / (((COUNTIF(Data!B:B, A171)))-(CO"&amp;"UNTIF(FILTER(Data!N:N,Data!B:B=A171),""NONE""))),IF(ISBLANK(A171),"""",0))"),"")</f>
        <v/>
      </c>
      <c r="T171" s="56" t="str">
        <f>IFERROR(__xludf.DUMMYFUNCTION("IFERROR((COUNTIF(FILTER(Data!N:N, Data!B:B=A171),""LOW"")) / (COUNTIF(Data!B:B, A171)),"""")"),"")</f>
        <v/>
      </c>
      <c r="U171" s="59" t="str">
        <f>IFERROR(__xludf.DUMMYFUNCTION("IFERROR((COUNTIF(FILTER(Data!N:N, Data!B:B=A171),""MIDDLE"")) / (COUNTIF(Data!B:B, A171)),"""")"),"")</f>
        <v/>
      </c>
      <c r="V171" s="59" t="str">
        <f>IFERROR(__xludf.DUMMYFUNCTION("IFERROR((COUNTIF(FILTER(Data!N:N, Data!B:B=A171),""HIGH"")) / (COUNTIF(Data!B:B, A171)),"""")"),"")</f>
        <v/>
      </c>
      <c r="W171" s="59" t="str">
        <f>IFERROR(__xludf.DUMMYFUNCTION("IFERROR((COUNTIF(FILTER(Data!N:N, Data!B:B=A171),""TRAVERSE"")) / (COUNTIF(Data!B:B, A171)),"""")"),"")</f>
        <v/>
      </c>
      <c r="X171" s="60" t="str">
        <f t="shared" si="38"/>
        <v/>
      </c>
      <c r="Y171" s="45" t="str">
        <f t="shared" si="7"/>
        <v/>
      </c>
      <c r="Z171" s="45" t="str">
        <f t="shared" si="8"/>
        <v/>
      </c>
      <c r="AA171" s="16" t="str">
        <f t="shared" si="9"/>
        <v/>
      </c>
      <c r="AB171" s="16"/>
      <c r="AC171" s="16" t="str">
        <f>IFERROR(__xludf.DUMMYFUNCTION("IF(AA171="""","""",MAX(Filter((Data!G:G+Data!K:K),Data!B:B=A171)))"),"")</f>
        <v/>
      </c>
      <c r="AD171" s="16"/>
      <c r="AE171" s="16" t="str">
        <f t="shared" si="12"/>
        <v/>
      </c>
      <c r="AF171" s="16" t="str">
        <f t="shared" si="13"/>
        <v/>
      </c>
      <c r="AG171" s="44"/>
      <c r="AH171" s="44"/>
      <c r="AI171" s="44" t="str">
        <f>IFERROR(__xludf.DUMMYFUNCTION("TEXTJOIN("", "",TRUE, FILTER(Data!P:P, Data!B:B=A171))"),"")</f>
        <v/>
      </c>
      <c r="AJ171" s="16" t="str">
        <f t="shared" si="14"/>
        <v/>
      </c>
      <c r="AK171" s="46" t="str">
        <f>IFERROR(__xludf.DUMMYFUNCTION("IF(A171&lt;&gt;"""",IFERROR(AVERAGE(FILTER('Defense Calculations'!BJ:CS,'Defense Calculations'!A:A=A171)),""""),"""")"),"")</f>
        <v/>
      </c>
      <c r="AM171" s="47"/>
      <c r="BC171" s="50"/>
    </row>
    <row r="172">
      <c r="A172" s="54"/>
      <c r="B172" s="55" t="str">
        <f>IFERROR(__xludf.DUMMYFUNCTION("IFERROR(ROUND(
(COUNTIF(FILTER(Data!O:O, Data!B:B=A172), ""Win"")
+ COUNTIF(FILTER(Data!O:O, Data!B:B=A172), {""Tie"",""Results""}))
/ (COUNTIF(Data!B:B, A172)),
1),"""")"),"")</f>
        <v/>
      </c>
      <c r="C172" s="45" t="str">
        <f>IFERROR((SUMIF(Data!B:B, A172, Data!H:H)
/ (COUNTIF(Data!B:B, A172)
)),"")</f>
        <v/>
      </c>
      <c r="D172" s="45" t="str">
        <f>IFERROR((SUMIF(Data!B:B, A172, Data!G:G)
/ (COUNTIF(Data!B:B, A172)
)),"")</f>
        <v/>
      </c>
      <c r="E172" s="31" t="str">
        <f t="shared" si="39"/>
        <v/>
      </c>
      <c r="F172" s="45" t="str">
        <f>IFERROR((SUMIF(Data!B:B, A172, Data!J:J)
/ (COUNTIF(Data!B:B, A172)
)),"")</f>
        <v/>
      </c>
      <c r="G172" s="56" t="str">
        <f>IF(A172="","",IFERROR((((((SUMIF(Data!B:B, A172, Data!H:H)+(SUMIF(Data!B:B, A172,Data!G:G)))/(SUMIF(Data!B:B, A172, Data!J:J)))))),0))</f>
        <v/>
      </c>
      <c r="H172" s="32" t="str">
        <f>IFERROR(__xludf.DUMMYFUNCTION("IFERROR(IF(G172="""","""",Average(FILTER(IF(Data!J:J&lt;3,((Data!G:G+Data!H:H)/Data!J:J),1),Data!B:B=A172))),""Never Attempted"")"),"")</f>
        <v/>
      </c>
      <c r="I172" s="31"/>
      <c r="J172" s="31"/>
      <c r="K172" s="31" t="str">
        <f t="shared" si="40"/>
        <v/>
      </c>
      <c r="L172" s="45" t="str">
        <f>IFERROR((SUMIF(Data!B:B, A172, Data!L:L)
/ (COUNTIF(Data!B:B, A172)
)),"")</f>
        <v/>
      </c>
      <c r="M172" s="45" t="str">
        <f>IFERROR((SUMIF(Data!B:B, A172, Data!K:K)
/ (COUNTIF(Data!B:B, A172)
)),"")</f>
        <v/>
      </c>
      <c r="N172" s="56"/>
      <c r="O172" s="56" t="str">
        <f>IF(A172="","",IFERROR((((((SUMIF(Data!B:B, A172, Data!H:H)+(SUMIF(Data!B:B, A172,Data!G:G)+(SUMIF(Data!B:B, A172,Data!L:L)+(SUMIF(Data!B:B, A172,Data!K:K)))))/(SUMIF(Data!B:B, A172, Data!M:M)+(SUMIF(Data!B:B, A172, Data!H:H)+(SUMIF(Data!B:B, A172,Data!G:G)+(SUMIF(Data!B:B, A172,Data!K:K)+(SUMIF(Data!B:B, A172,Data!L:L)))))))))),0))</f>
        <v/>
      </c>
      <c r="P172" s="57" t="str">
        <f>IFERROR(__xludf.DUMMYFUNCTION("IFERROR(((COUNTIF(FILTER(Data!N:N,Data!B:B=A172),""TRAVERSE"")*15)+(COUNTIF(FILTER(Data!N:N,Data!B:B=A172),""HIGH"")*10)+(COUNTIF(FILTER(Data!N:N,Data!B:B=A172),""MIDDLE"")*6)+(COUNTIF(FILTER(Data!N:N,Data!B:B=A172),""LOW"")*4)) / (COUNTIF(Data!B:B, A172)"&amp;"),"""")"),"")</f>
        <v/>
      </c>
      <c r="Q172" s="31" t="str">
        <f>IF(P172="","",AVERAGE('Convert Name to Number'!F592:H592))</f>
        <v/>
      </c>
      <c r="R172" s="36" t="str">
        <f t="shared" si="37"/>
        <v/>
      </c>
      <c r="S172" s="58" t="str">
        <f>IFERROR(__xludf.DUMMYFUNCTION("IFERROR((((COUNTIF(FILTER(Data!N:N,Data!B:B=A172),""TRAVERSE""))+(COUNTIF(FILTER(Data!N:N,Data!B:B=A172),""HIGH""))+(COUNTIF(FILTER(Data!N:N,Data!B:B=A172),""MIDDLE""))+(COUNTIF(FILTER(Data!N:N,Data!B:B=A172),""LOW"")))) / (((COUNTIF(Data!B:B, A172)))-(CO"&amp;"UNTIF(FILTER(Data!N:N,Data!B:B=A172),""NONE""))),IF(ISBLANK(A172),"""",0))"),"")</f>
        <v/>
      </c>
      <c r="T172" s="56" t="str">
        <f>IFERROR(__xludf.DUMMYFUNCTION("IFERROR((COUNTIF(FILTER(Data!N:N, Data!B:B=A172),""LOW"")) / (COUNTIF(Data!B:B, A172)),"""")"),"")</f>
        <v/>
      </c>
      <c r="U172" s="59" t="str">
        <f>IFERROR(__xludf.DUMMYFUNCTION("IFERROR((COUNTIF(FILTER(Data!N:N, Data!B:B=A172),""MIDDLE"")) / (COUNTIF(Data!B:B, A172)),"""")"),"")</f>
        <v/>
      </c>
      <c r="V172" s="59" t="str">
        <f>IFERROR(__xludf.DUMMYFUNCTION("IFERROR((COUNTIF(FILTER(Data!N:N, Data!B:B=A172),""HIGH"")) / (COUNTIF(Data!B:B, A172)),"""")"),"")</f>
        <v/>
      </c>
      <c r="W172" s="59" t="str">
        <f>IFERROR(__xludf.DUMMYFUNCTION("IFERROR((COUNTIF(FILTER(Data!N:N, Data!B:B=A172),""TRAVERSE"")) / (COUNTIF(Data!B:B, A172)),"""")"),"")</f>
        <v/>
      </c>
      <c r="X172" s="60" t="str">
        <f t="shared" si="38"/>
        <v/>
      </c>
      <c r="Y172" s="45" t="str">
        <f t="shared" si="7"/>
        <v/>
      </c>
      <c r="Z172" s="45" t="str">
        <f t="shared" si="8"/>
        <v/>
      </c>
      <c r="AA172" s="16" t="str">
        <f t="shared" si="9"/>
        <v/>
      </c>
      <c r="AB172" s="16"/>
      <c r="AC172" s="16" t="str">
        <f>IFERROR(__xludf.DUMMYFUNCTION("IF(AA172="""","""",MAX(Filter((Data!G:G+Data!K:K),Data!B:B=A172)))"),"")</f>
        <v/>
      </c>
      <c r="AD172" s="16"/>
      <c r="AE172" s="16" t="str">
        <f t="shared" si="12"/>
        <v/>
      </c>
      <c r="AF172" s="16" t="str">
        <f t="shared" si="13"/>
        <v/>
      </c>
      <c r="AG172" s="44"/>
      <c r="AH172" s="44"/>
      <c r="AI172" s="44" t="str">
        <f>IFERROR(__xludf.DUMMYFUNCTION("TEXTJOIN("", "",TRUE, FILTER(Data!P:P, Data!B:B=A172))"),"")</f>
        <v/>
      </c>
      <c r="AJ172" s="16" t="str">
        <f t="shared" si="14"/>
        <v/>
      </c>
      <c r="AK172" s="46" t="str">
        <f>IFERROR(__xludf.DUMMYFUNCTION("IF(A172&lt;&gt;"""",IFERROR(AVERAGE(FILTER('Defense Calculations'!BJ:CS,'Defense Calculations'!A:A=A172)),""""),"""")"),"")</f>
        <v/>
      </c>
      <c r="AM172" s="47"/>
      <c r="BC172" s="50"/>
    </row>
    <row r="173">
      <c r="A173" s="54"/>
      <c r="B173" s="55" t="str">
        <f>IFERROR(__xludf.DUMMYFUNCTION("IFERROR(ROUND(
(COUNTIF(FILTER(Data!O:O, Data!B:B=A173), ""Win"")
+ COUNTIF(FILTER(Data!O:O, Data!B:B=A173), {""Tie"",""Results""}))
/ (COUNTIF(Data!B:B, A173)),
1),"""")"),"")</f>
        <v/>
      </c>
      <c r="C173" s="45" t="str">
        <f>IFERROR((SUMIF(Data!B:B, A173, Data!H:H)
/ (COUNTIF(Data!B:B, A173)
)),"")</f>
        <v/>
      </c>
      <c r="D173" s="45" t="str">
        <f>IFERROR((SUMIF(Data!B:B, A173, Data!G:G)
/ (COUNTIF(Data!B:B, A173)
)),"")</f>
        <v/>
      </c>
      <c r="E173" s="31" t="str">
        <f t="shared" si="39"/>
        <v/>
      </c>
      <c r="F173" s="45" t="str">
        <f>IFERROR((SUMIF(Data!B:B, A173, Data!J:J)
/ (COUNTIF(Data!B:B, A173)
)),"")</f>
        <v/>
      </c>
      <c r="G173" s="56" t="str">
        <f>IF(A173="","",IFERROR((((((SUMIF(Data!B:B, A173, Data!H:H)+(SUMIF(Data!B:B, A173,Data!G:G)))/(SUMIF(Data!B:B, A173, Data!J:J)))))),0))</f>
        <v/>
      </c>
      <c r="H173" s="32" t="str">
        <f>IFERROR(__xludf.DUMMYFUNCTION("IFERROR(IF(G173="""","""",Average(FILTER(IF(Data!J:J&lt;3,((Data!G:G+Data!H:H)/Data!J:J),1),Data!B:B=A173))),""Never Attempted"")"),"")</f>
        <v/>
      </c>
      <c r="I173" s="31"/>
      <c r="J173" s="31"/>
      <c r="K173" s="31" t="str">
        <f t="shared" si="40"/>
        <v/>
      </c>
      <c r="L173" s="45" t="str">
        <f>IFERROR((SUMIF(Data!B:B, A173, Data!L:L)
/ (COUNTIF(Data!B:B, A173)
)),"")</f>
        <v/>
      </c>
      <c r="M173" s="45" t="str">
        <f>IFERROR((SUMIF(Data!B:B, A173, Data!K:K)
/ (COUNTIF(Data!B:B, A173)
)),"")</f>
        <v/>
      </c>
      <c r="N173" s="56"/>
      <c r="O173" s="56" t="str">
        <f>IF(A173="","",IFERROR((((((SUMIF(Data!B:B, A173, Data!H:H)+(SUMIF(Data!B:B, A173,Data!G:G)+(SUMIF(Data!B:B, A173,Data!L:L)+(SUMIF(Data!B:B, A173,Data!K:K)))))/(SUMIF(Data!B:B, A173, Data!M:M)+(SUMIF(Data!B:B, A173, Data!H:H)+(SUMIF(Data!B:B, A173,Data!G:G)+(SUMIF(Data!B:B, A173,Data!K:K)+(SUMIF(Data!B:B, A173,Data!L:L)))))))))),0))</f>
        <v/>
      </c>
      <c r="P173" s="57" t="str">
        <f>IFERROR(__xludf.DUMMYFUNCTION("IFERROR(((COUNTIF(FILTER(Data!N:N,Data!B:B=A173),""TRAVERSE"")*15)+(COUNTIF(FILTER(Data!N:N,Data!B:B=A173),""HIGH"")*10)+(COUNTIF(FILTER(Data!N:N,Data!B:B=A173),""MIDDLE"")*6)+(COUNTIF(FILTER(Data!N:N,Data!B:B=A173),""LOW"")*4)) / (COUNTIF(Data!B:B, A173)"&amp;"),"""")"),"")</f>
        <v/>
      </c>
      <c r="Q173" s="31" t="str">
        <f>IF(P173="","",AVERAGE('Convert Name to Number'!F593:H593))</f>
        <v/>
      </c>
      <c r="R173" s="36" t="str">
        <f t="shared" si="37"/>
        <v/>
      </c>
      <c r="S173" s="58" t="str">
        <f>IFERROR(__xludf.DUMMYFUNCTION("IFERROR((((COUNTIF(FILTER(Data!N:N,Data!B:B=A173),""TRAVERSE""))+(COUNTIF(FILTER(Data!N:N,Data!B:B=A173),""HIGH""))+(COUNTIF(FILTER(Data!N:N,Data!B:B=A173),""MIDDLE""))+(COUNTIF(FILTER(Data!N:N,Data!B:B=A173),""LOW"")))) / (((COUNTIF(Data!B:B, A173)))-(CO"&amp;"UNTIF(FILTER(Data!N:N,Data!B:B=A173),""NONE""))),IF(ISBLANK(A173),"""",0))"),"")</f>
        <v/>
      </c>
      <c r="T173" s="56" t="str">
        <f>IFERROR(__xludf.DUMMYFUNCTION("IFERROR((COUNTIF(FILTER(Data!N:N, Data!B:B=A173),""LOW"")) / (COUNTIF(Data!B:B, A173)),"""")"),"")</f>
        <v/>
      </c>
      <c r="U173" s="59" t="str">
        <f>IFERROR(__xludf.DUMMYFUNCTION("IFERROR((COUNTIF(FILTER(Data!N:N, Data!B:B=A173),""MIDDLE"")) / (COUNTIF(Data!B:B, A173)),"""")"),"")</f>
        <v/>
      </c>
      <c r="V173" s="59" t="str">
        <f>IFERROR(__xludf.DUMMYFUNCTION("IFERROR((COUNTIF(FILTER(Data!N:N, Data!B:B=A173),""HIGH"")) / (COUNTIF(Data!B:B, A173)),"""")"),"")</f>
        <v/>
      </c>
      <c r="W173" s="59" t="str">
        <f>IFERROR(__xludf.DUMMYFUNCTION("IFERROR((COUNTIF(FILTER(Data!N:N, Data!B:B=A173),""TRAVERSE"")) / (COUNTIF(Data!B:B, A173)),"""")"),"")</f>
        <v/>
      </c>
      <c r="X173" s="60" t="str">
        <f t="shared" si="38"/>
        <v/>
      </c>
      <c r="Y173" s="45" t="str">
        <f t="shared" si="7"/>
        <v/>
      </c>
      <c r="Z173" s="45" t="str">
        <f t="shared" si="8"/>
        <v/>
      </c>
      <c r="AA173" s="16" t="str">
        <f t="shared" si="9"/>
        <v/>
      </c>
      <c r="AB173" s="16"/>
      <c r="AC173" s="16" t="str">
        <f>IFERROR(__xludf.DUMMYFUNCTION("IF(AA173="""","""",MAX(Filter((Data!G:G+Data!K:K),Data!B:B=A173)))"),"")</f>
        <v/>
      </c>
      <c r="AD173" s="16"/>
      <c r="AE173" s="16" t="str">
        <f t="shared" si="12"/>
        <v/>
      </c>
      <c r="AF173" s="16" t="str">
        <f t="shared" si="13"/>
        <v/>
      </c>
      <c r="AG173" s="44"/>
      <c r="AH173" s="44"/>
      <c r="AI173" s="44" t="str">
        <f>IFERROR(__xludf.DUMMYFUNCTION("TEXTJOIN("", "",TRUE, FILTER(Data!P:P, Data!B:B=A173))"),"")</f>
        <v/>
      </c>
      <c r="AJ173" s="16" t="str">
        <f t="shared" si="14"/>
        <v/>
      </c>
      <c r="AK173" s="46" t="str">
        <f>IFERROR(__xludf.DUMMYFUNCTION("IF(A173&lt;&gt;"""",IFERROR(AVERAGE(FILTER('Defense Calculations'!BJ:CS,'Defense Calculations'!A:A=A173)),""""),"""")"),"")</f>
        <v/>
      </c>
      <c r="AM173" s="47"/>
      <c r="BC173" s="50"/>
    </row>
    <row r="174">
      <c r="A174" s="54"/>
      <c r="B174" s="55" t="str">
        <f>IFERROR(__xludf.DUMMYFUNCTION("IFERROR(ROUND(
(COUNTIF(FILTER(Data!O:O, Data!B:B=A174), ""Win"")
+ COUNTIF(FILTER(Data!O:O, Data!B:B=A174), {""Tie"",""Results""}))
/ (COUNTIF(Data!B:B, A174)),
1),"""")"),"")</f>
        <v/>
      </c>
      <c r="C174" s="45" t="str">
        <f>IFERROR((SUMIF(Data!B:B, A174, Data!H:H)
/ (COUNTIF(Data!B:B, A174)
)),"")</f>
        <v/>
      </c>
      <c r="D174" s="45" t="str">
        <f>IFERROR((SUMIF(Data!B:B, A174, Data!G:G)
/ (COUNTIF(Data!B:B, A174)
)),"")</f>
        <v/>
      </c>
      <c r="E174" s="31" t="str">
        <f t="shared" si="39"/>
        <v/>
      </c>
      <c r="F174" s="45" t="str">
        <f>IFERROR((SUMIF(Data!B:B, A174, Data!J:J)
/ (COUNTIF(Data!B:B, A174)
)),"")</f>
        <v/>
      </c>
      <c r="G174" s="56" t="str">
        <f>IF(A174="","",IFERROR((((((SUMIF(Data!B:B, A174, Data!H:H)+(SUMIF(Data!B:B, A174,Data!G:G)))/(SUMIF(Data!B:B, A174, Data!J:J)))))),0))</f>
        <v/>
      </c>
      <c r="H174" s="32" t="str">
        <f>IFERROR(__xludf.DUMMYFUNCTION("IFERROR(IF(G174="""","""",Average(FILTER(IF(Data!J:J&lt;3,((Data!G:G+Data!H:H)/Data!J:J),1),Data!B:B=A174))),""Never Attempted"")"),"")</f>
        <v/>
      </c>
      <c r="I174" s="31"/>
      <c r="J174" s="31"/>
      <c r="K174" s="31" t="str">
        <f t="shared" si="40"/>
        <v/>
      </c>
      <c r="L174" s="45" t="str">
        <f>IFERROR((SUMIF(Data!B:B, A174, Data!L:L)
/ (COUNTIF(Data!B:B, A174)
)),"")</f>
        <v/>
      </c>
      <c r="M174" s="45" t="str">
        <f>IFERROR((SUMIF(Data!B:B, A174, Data!K:K)
/ (COUNTIF(Data!B:B, A174)
)),"")</f>
        <v/>
      </c>
      <c r="N174" s="56"/>
      <c r="O174" s="56" t="str">
        <f>IF(A174="","",IFERROR((((((SUMIF(Data!B:B, A174, Data!H:H)+(SUMIF(Data!B:B, A174,Data!G:G)+(SUMIF(Data!B:B, A174,Data!L:L)+(SUMIF(Data!B:B, A174,Data!K:K)))))/(SUMIF(Data!B:B, A174, Data!M:M)+(SUMIF(Data!B:B, A174, Data!H:H)+(SUMIF(Data!B:B, A174,Data!G:G)+(SUMIF(Data!B:B, A174,Data!K:K)+(SUMIF(Data!B:B, A174,Data!L:L)))))))))),0))</f>
        <v/>
      </c>
      <c r="P174" s="57" t="str">
        <f>IFERROR(__xludf.DUMMYFUNCTION("IFERROR(((COUNTIF(FILTER(Data!N:N,Data!B:B=A174),""TRAVERSE"")*15)+(COUNTIF(FILTER(Data!N:N,Data!B:B=A174),""HIGH"")*10)+(COUNTIF(FILTER(Data!N:N,Data!B:B=A174),""MIDDLE"")*6)+(COUNTIF(FILTER(Data!N:N,Data!B:B=A174),""LOW"")*4)) / (COUNTIF(Data!B:B, A174)"&amp;"),"""")"),"")</f>
        <v/>
      </c>
      <c r="Q174" s="31" t="str">
        <f>IF(P174="","",AVERAGE('Convert Name to Number'!F594:H594))</f>
        <v/>
      </c>
      <c r="R174" s="36" t="str">
        <f t="shared" si="37"/>
        <v/>
      </c>
      <c r="S174" s="58" t="str">
        <f>IFERROR(__xludf.DUMMYFUNCTION("IFERROR((((COUNTIF(FILTER(Data!N:N,Data!B:B=A174),""TRAVERSE""))+(COUNTIF(FILTER(Data!N:N,Data!B:B=A174),""HIGH""))+(COUNTIF(FILTER(Data!N:N,Data!B:B=A174),""MIDDLE""))+(COUNTIF(FILTER(Data!N:N,Data!B:B=A174),""LOW"")))) / (((COUNTIF(Data!B:B, A174)))-(CO"&amp;"UNTIF(FILTER(Data!N:N,Data!B:B=A174),""NONE""))),IF(ISBLANK(A174),"""",0))"),"")</f>
        <v/>
      </c>
      <c r="T174" s="56" t="str">
        <f>IFERROR(__xludf.DUMMYFUNCTION("IFERROR((COUNTIF(FILTER(Data!N:N, Data!B:B=A174),""LOW"")) / (COUNTIF(Data!B:B, A174)),"""")"),"")</f>
        <v/>
      </c>
      <c r="U174" s="59" t="str">
        <f>IFERROR(__xludf.DUMMYFUNCTION("IFERROR((COUNTIF(FILTER(Data!N:N, Data!B:B=A174),""MIDDLE"")) / (COUNTIF(Data!B:B, A174)),"""")"),"")</f>
        <v/>
      </c>
      <c r="V174" s="59" t="str">
        <f>IFERROR(__xludf.DUMMYFUNCTION("IFERROR((COUNTIF(FILTER(Data!N:N, Data!B:B=A174),""HIGH"")) / (COUNTIF(Data!B:B, A174)),"""")"),"")</f>
        <v/>
      </c>
      <c r="W174" s="59" t="str">
        <f>IFERROR(__xludf.DUMMYFUNCTION("IFERROR((COUNTIF(FILTER(Data!N:N, Data!B:B=A174),""TRAVERSE"")) / (COUNTIF(Data!B:B, A174)),"""")"),"")</f>
        <v/>
      </c>
      <c r="X174" s="60" t="str">
        <f t="shared" si="38"/>
        <v/>
      </c>
      <c r="Y174" s="45" t="str">
        <f t="shared" si="7"/>
        <v/>
      </c>
      <c r="Z174" s="45" t="str">
        <f t="shared" si="8"/>
        <v/>
      </c>
      <c r="AA174" s="16" t="str">
        <f t="shared" si="9"/>
        <v/>
      </c>
      <c r="AB174" s="16"/>
      <c r="AC174" s="16" t="str">
        <f>IFERROR(__xludf.DUMMYFUNCTION("IF(AA174="""","""",MAX(Filter((Data!G:G+Data!K:K),Data!B:B=A174)))"),"")</f>
        <v/>
      </c>
      <c r="AD174" s="16"/>
      <c r="AE174" s="16" t="str">
        <f t="shared" si="12"/>
        <v/>
      </c>
      <c r="AF174" s="16" t="str">
        <f t="shared" si="13"/>
        <v/>
      </c>
      <c r="AG174" s="44"/>
      <c r="AH174" s="44"/>
      <c r="AI174" s="44" t="str">
        <f>IFERROR(__xludf.DUMMYFUNCTION("TEXTJOIN("", "",TRUE, FILTER(Data!P:P, Data!B:B=A174))"),"")</f>
        <v/>
      </c>
      <c r="AJ174" s="16" t="str">
        <f t="shared" si="14"/>
        <v/>
      </c>
      <c r="AK174" s="46" t="str">
        <f>IFERROR(__xludf.DUMMYFUNCTION("IF(A174&lt;&gt;"""",IFERROR(AVERAGE(FILTER('Defense Calculations'!BJ:CS,'Defense Calculations'!A:A=A174)),""""),"""")"),"")</f>
        <v/>
      </c>
      <c r="AM174" s="47"/>
      <c r="BC174" s="50"/>
    </row>
    <row r="175">
      <c r="A175" s="54"/>
      <c r="B175" s="55" t="str">
        <f>IFERROR(__xludf.DUMMYFUNCTION("IFERROR(ROUND(
(COUNTIF(FILTER(Data!O:O, Data!B:B=A175), ""Win"")
+ COUNTIF(FILTER(Data!O:O, Data!B:B=A175), {""Tie"",""Results""}))
/ (COUNTIF(Data!B:B, A175)),
1),"""")"),"")</f>
        <v/>
      </c>
      <c r="C175" s="45" t="str">
        <f>IFERROR((SUMIF(Data!B:B, A175, Data!H:H)
/ (COUNTIF(Data!B:B, A175)
)),"")</f>
        <v/>
      </c>
      <c r="D175" s="45" t="str">
        <f>IFERROR((SUMIF(Data!B:B, A175, Data!G:G)
/ (COUNTIF(Data!B:B, A175)
)),"")</f>
        <v/>
      </c>
      <c r="E175" s="31" t="str">
        <f t="shared" si="39"/>
        <v/>
      </c>
      <c r="F175" s="45" t="str">
        <f>IFERROR((SUMIF(Data!B:B, A175, Data!J:J)
/ (COUNTIF(Data!B:B, A175)
)),"")</f>
        <v/>
      </c>
      <c r="G175" s="56" t="str">
        <f>IF(A175="","",IFERROR((((((SUMIF(Data!B:B, A175, Data!H:H)+(SUMIF(Data!B:B, A175,Data!G:G)))/(SUMIF(Data!B:B, A175, Data!J:J)))))),0))</f>
        <v/>
      </c>
      <c r="H175" s="32" t="str">
        <f>IFERROR(__xludf.DUMMYFUNCTION("IFERROR(IF(G175="""","""",Average(FILTER(IF(Data!J:J&lt;3,((Data!G:G+Data!H:H)/Data!J:J),1),Data!B:B=A175))),""Never Attempted"")"),"")</f>
        <v/>
      </c>
      <c r="I175" s="31"/>
      <c r="J175" s="31"/>
      <c r="K175" s="31" t="str">
        <f t="shared" si="40"/>
        <v/>
      </c>
      <c r="L175" s="45" t="str">
        <f>IFERROR((SUMIF(Data!B:B, A175, Data!L:L)
/ (COUNTIF(Data!B:B, A175)
)),"")</f>
        <v/>
      </c>
      <c r="M175" s="45" t="str">
        <f>IFERROR((SUMIF(Data!B:B, A175, Data!K:K)
/ (COUNTIF(Data!B:B, A175)
)),"")</f>
        <v/>
      </c>
      <c r="N175" s="56"/>
      <c r="O175" s="56" t="str">
        <f>IF(A175="","",IFERROR((((((SUMIF(Data!B:B, A175, Data!H:H)+(SUMIF(Data!B:B, A175,Data!G:G)+(SUMIF(Data!B:B, A175,Data!L:L)+(SUMIF(Data!B:B, A175,Data!K:K)))))/(SUMIF(Data!B:B, A175, Data!M:M)+(SUMIF(Data!B:B, A175, Data!H:H)+(SUMIF(Data!B:B, A175,Data!G:G)+(SUMIF(Data!B:B, A175,Data!K:K)+(SUMIF(Data!B:B, A175,Data!L:L)))))))))),0))</f>
        <v/>
      </c>
      <c r="P175" s="57" t="str">
        <f>IFERROR(__xludf.DUMMYFUNCTION("IFERROR(((COUNTIF(FILTER(Data!N:N,Data!B:B=A175),""TRAVERSE"")*15)+(COUNTIF(FILTER(Data!N:N,Data!B:B=A175),""HIGH"")*10)+(COUNTIF(FILTER(Data!N:N,Data!B:B=A175),""MIDDLE"")*6)+(COUNTIF(FILTER(Data!N:N,Data!B:B=A175),""LOW"")*4)) / (COUNTIF(Data!B:B, A175)"&amp;"),"""")"),"")</f>
        <v/>
      </c>
      <c r="Q175" s="31" t="str">
        <f>IF(P175="","",AVERAGE('Convert Name to Number'!F595:H595))</f>
        <v/>
      </c>
      <c r="R175" s="36" t="str">
        <f t="shared" si="37"/>
        <v/>
      </c>
      <c r="S175" s="58" t="str">
        <f>IFERROR(__xludf.DUMMYFUNCTION("IFERROR((((COUNTIF(FILTER(Data!N:N,Data!B:B=A175),""TRAVERSE""))+(COUNTIF(FILTER(Data!N:N,Data!B:B=A175),""HIGH""))+(COUNTIF(FILTER(Data!N:N,Data!B:B=A175),""MIDDLE""))+(COUNTIF(FILTER(Data!N:N,Data!B:B=A175),""LOW"")))) / (((COUNTIF(Data!B:B, A175)))-(CO"&amp;"UNTIF(FILTER(Data!N:N,Data!B:B=A175),""NONE""))),IF(ISBLANK(A175),"""",0))"),"")</f>
        <v/>
      </c>
      <c r="T175" s="56" t="str">
        <f>IFERROR(__xludf.DUMMYFUNCTION("IFERROR((COUNTIF(FILTER(Data!N:N, Data!B:B=A175),""LOW"")) / (COUNTIF(Data!B:B, A175)),"""")"),"")</f>
        <v/>
      </c>
      <c r="U175" s="59" t="str">
        <f>IFERROR(__xludf.DUMMYFUNCTION("IFERROR((COUNTIF(FILTER(Data!N:N, Data!B:B=A175),""MIDDLE"")) / (COUNTIF(Data!B:B, A175)),"""")"),"")</f>
        <v/>
      </c>
      <c r="V175" s="59" t="str">
        <f>IFERROR(__xludf.DUMMYFUNCTION("IFERROR((COUNTIF(FILTER(Data!N:N, Data!B:B=A175),""HIGH"")) / (COUNTIF(Data!B:B, A175)),"""")"),"")</f>
        <v/>
      </c>
      <c r="W175" s="59" t="str">
        <f>IFERROR(__xludf.DUMMYFUNCTION("IFERROR((COUNTIF(FILTER(Data!N:N, Data!B:B=A175),""TRAVERSE"")) / (COUNTIF(Data!B:B, A175)),"""")"),"")</f>
        <v/>
      </c>
      <c r="X175" s="60" t="str">
        <f t="shared" si="38"/>
        <v/>
      </c>
      <c r="Y175" s="45" t="str">
        <f t="shared" si="7"/>
        <v/>
      </c>
      <c r="Z175" s="45" t="str">
        <f t="shared" si="8"/>
        <v/>
      </c>
      <c r="AA175" s="16" t="str">
        <f t="shared" si="9"/>
        <v/>
      </c>
      <c r="AB175" s="16"/>
      <c r="AC175" s="16" t="str">
        <f>IFERROR(__xludf.DUMMYFUNCTION("IF(AA175="""","""",MAX(Filter((Data!G:G+Data!K:K),Data!B:B=A175)))"),"")</f>
        <v/>
      </c>
      <c r="AD175" s="16"/>
      <c r="AE175" s="16" t="str">
        <f t="shared" si="12"/>
        <v/>
      </c>
      <c r="AF175" s="16" t="str">
        <f t="shared" si="13"/>
        <v/>
      </c>
      <c r="AG175" s="44"/>
      <c r="AH175" s="44"/>
      <c r="AI175" s="44" t="str">
        <f>IFERROR(__xludf.DUMMYFUNCTION("TEXTJOIN("", "",TRUE, FILTER(Data!P:P, Data!B:B=A175))"),"")</f>
        <v/>
      </c>
      <c r="AJ175" s="16" t="str">
        <f t="shared" si="14"/>
        <v/>
      </c>
      <c r="AK175" s="46" t="str">
        <f>IFERROR(__xludf.DUMMYFUNCTION("IF(A175&lt;&gt;"""",IFERROR(AVERAGE(FILTER('Defense Calculations'!BJ:CS,'Defense Calculations'!A:A=A175)),""""),"""")"),"")</f>
        <v/>
      </c>
      <c r="AM175" s="47"/>
      <c r="BC175" s="50"/>
    </row>
    <row r="176">
      <c r="A176" s="54"/>
      <c r="B176" s="55" t="str">
        <f>IFERROR(__xludf.DUMMYFUNCTION("IFERROR(ROUND(
(COUNTIF(FILTER(Data!O:O, Data!B:B=A176), ""Win"")
+ COUNTIF(FILTER(Data!O:O, Data!B:B=A176), {""Tie"",""Results""}))
/ (COUNTIF(Data!B:B, A176)),
1),"""")"),"")</f>
        <v/>
      </c>
      <c r="C176" s="45" t="str">
        <f>IFERROR((SUMIF(Data!B:B, A176, Data!H:H)
/ (COUNTIF(Data!B:B, A176)
)),"")</f>
        <v/>
      </c>
      <c r="D176" s="45" t="str">
        <f>IFERROR((SUMIF(Data!B:B, A176, Data!G:G)
/ (COUNTIF(Data!B:B, A176)
)),"")</f>
        <v/>
      </c>
      <c r="E176" s="31" t="str">
        <f t="shared" si="39"/>
        <v/>
      </c>
      <c r="F176" s="45" t="str">
        <f>IFERROR((SUMIF(Data!B:B, A176, Data!J:J)
/ (COUNTIF(Data!B:B, A176)
)),"")</f>
        <v/>
      </c>
      <c r="G176" s="56" t="str">
        <f>IF(A176="","",IFERROR((((((SUMIF(Data!B:B, A176, Data!H:H)+(SUMIF(Data!B:B, A176,Data!G:G)))/(SUMIF(Data!B:B, A176, Data!J:J)))))),0))</f>
        <v/>
      </c>
      <c r="H176" s="32" t="str">
        <f>IFERROR(__xludf.DUMMYFUNCTION("IFERROR(IF(G176="""","""",Average(FILTER(IF(Data!J:J&lt;3,((Data!G:G+Data!H:H)/Data!J:J),1),Data!B:B=A176))),""Never Attempted"")"),"")</f>
        <v/>
      </c>
      <c r="I176" s="31"/>
      <c r="J176" s="31"/>
      <c r="K176" s="31" t="str">
        <f t="shared" si="40"/>
        <v/>
      </c>
      <c r="L176" s="45" t="str">
        <f>IFERROR((SUMIF(Data!B:B, A176, Data!L:L)
/ (COUNTIF(Data!B:B, A176)
)),"")</f>
        <v/>
      </c>
      <c r="M176" s="45" t="str">
        <f>IFERROR((SUMIF(Data!B:B, A176, Data!K:K)
/ (COUNTIF(Data!B:B, A176)
)),"")</f>
        <v/>
      </c>
      <c r="N176" s="56"/>
      <c r="O176" s="56" t="str">
        <f>IF(A176="","",IFERROR((((((SUMIF(Data!B:B, A176, Data!H:H)+(SUMIF(Data!B:B, A176,Data!G:G)+(SUMIF(Data!B:B, A176,Data!L:L)+(SUMIF(Data!B:B, A176,Data!K:K)))))/(SUMIF(Data!B:B, A176, Data!M:M)+(SUMIF(Data!B:B, A176, Data!H:H)+(SUMIF(Data!B:B, A176,Data!G:G)+(SUMIF(Data!B:B, A176,Data!K:K)+(SUMIF(Data!B:B, A176,Data!L:L)))))))))),0))</f>
        <v/>
      </c>
      <c r="P176" s="57" t="str">
        <f>IFERROR(__xludf.DUMMYFUNCTION("IFERROR(((COUNTIF(FILTER(Data!N:N,Data!B:B=A176),""TRAVERSE"")*15)+(COUNTIF(FILTER(Data!N:N,Data!B:B=A176),""HIGH"")*10)+(COUNTIF(FILTER(Data!N:N,Data!B:B=A176),""MIDDLE"")*6)+(COUNTIF(FILTER(Data!N:N,Data!B:B=A176),""LOW"")*4)) / (COUNTIF(Data!B:B, A176)"&amp;"),"""")"),"")</f>
        <v/>
      </c>
      <c r="Q176" s="31" t="str">
        <f>IF(P176="","",AVERAGE('Convert Name to Number'!F596:H596))</f>
        <v/>
      </c>
      <c r="R176" s="36" t="str">
        <f t="shared" si="37"/>
        <v/>
      </c>
      <c r="S176" s="58" t="str">
        <f>IFERROR(__xludf.DUMMYFUNCTION("IFERROR((((COUNTIF(FILTER(Data!N:N,Data!B:B=A176),""TRAVERSE""))+(COUNTIF(FILTER(Data!N:N,Data!B:B=A176),""HIGH""))+(COUNTIF(FILTER(Data!N:N,Data!B:B=A176),""MIDDLE""))+(COUNTIF(FILTER(Data!N:N,Data!B:B=A176),""LOW"")))) / (((COUNTIF(Data!B:B, A176)))-(CO"&amp;"UNTIF(FILTER(Data!N:N,Data!B:B=A176),""NONE""))),IF(ISBLANK(A176),"""",0))"),"")</f>
        <v/>
      </c>
      <c r="T176" s="56" t="str">
        <f>IFERROR(__xludf.DUMMYFUNCTION("IFERROR((COUNTIF(FILTER(Data!N:N, Data!B:B=A176),""LOW"")) / (COUNTIF(Data!B:B, A176)),"""")"),"")</f>
        <v/>
      </c>
      <c r="U176" s="59" t="str">
        <f>IFERROR(__xludf.DUMMYFUNCTION("IFERROR((COUNTIF(FILTER(Data!N:N, Data!B:B=A176),""MIDDLE"")) / (COUNTIF(Data!B:B, A176)),"""")"),"")</f>
        <v/>
      </c>
      <c r="V176" s="59" t="str">
        <f>IFERROR(__xludf.DUMMYFUNCTION("IFERROR((COUNTIF(FILTER(Data!N:N, Data!B:B=A176),""HIGH"")) / (COUNTIF(Data!B:B, A176)),"""")"),"")</f>
        <v/>
      </c>
      <c r="W176" s="59" t="str">
        <f>IFERROR(__xludf.DUMMYFUNCTION("IFERROR((COUNTIF(FILTER(Data!N:N, Data!B:B=A176),""TRAVERSE"")) / (COUNTIF(Data!B:B, A176)),"""")"),"")</f>
        <v/>
      </c>
      <c r="X176" s="60" t="str">
        <f t="shared" si="38"/>
        <v/>
      </c>
      <c r="Y176" s="45" t="str">
        <f t="shared" si="7"/>
        <v/>
      </c>
      <c r="Z176" s="45" t="str">
        <f t="shared" si="8"/>
        <v/>
      </c>
      <c r="AA176" s="16" t="str">
        <f t="shared" si="9"/>
        <v/>
      </c>
      <c r="AB176" s="16"/>
      <c r="AC176" s="16" t="str">
        <f>IFERROR(__xludf.DUMMYFUNCTION("IF(AA176="""","""",MAX(Filter((Data!G:G+Data!K:K),Data!B:B=A176)))"),"")</f>
        <v/>
      </c>
      <c r="AD176" s="16"/>
      <c r="AE176" s="16" t="str">
        <f t="shared" si="12"/>
        <v/>
      </c>
      <c r="AF176" s="16" t="str">
        <f t="shared" si="13"/>
        <v/>
      </c>
      <c r="AG176" s="44"/>
      <c r="AH176" s="44"/>
      <c r="AI176" s="44" t="str">
        <f>IFERROR(__xludf.DUMMYFUNCTION("TEXTJOIN("", "",TRUE, FILTER(Data!P:P, Data!B:B=A176))"),"")</f>
        <v/>
      </c>
      <c r="AJ176" s="16" t="str">
        <f t="shared" si="14"/>
        <v/>
      </c>
      <c r="AK176" s="46" t="str">
        <f>IFERROR(__xludf.DUMMYFUNCTION("IF(A176&lt;&gt;"""",IFERROR(AVERAGE(FILTER('Defense Calculations'!BJ:CS,'Defense Calculations'!A:A=A176)),""""),"""")"),"")</f>
        <v/>
      </c>
      <c r="AM176" s="47"/>
      <c r="BC176" s="50"/>
    </row>
    <row r="177">
      <c r="A177" s="54"/>
      <c r="B177" s="55" t="str">
        <f>IFERROR(__xludf.DUMMYFUNCTION("IFERROR(ROUND(
(COUNTIF(FILTER(Data!O:O, Data!B:B=A177), ""Win"")
+ COUNTIF(FILTER(Data!O:O, Data!B:B=A177), {""Tie"",""Results""}))
/ (COUNTIF(Data!B:B, A177)),
1),"""")"),"")</f>
        <v/>
      </c>
      <c r="C177" s="45" t="str">
        <f>IFERROR((SUMIF(Data!B:B, A177, Data!H:H)
/ (COUNTIF(Data!B:B, A177)
)),"")</f>
        <v/>
      </c>
      <c r="D177" s="45" t="str">
        <f>IFERROR((SUMIF(Data!B:B, A177, Data!G:G)
/ (COUNTIF(Data!B:B, A177)
)),"")</f>
        <v/>
      </c>
      <c r="E177" s="31" t="str">
        <f t="shared" si="39"/>
        <v/>
      </c>
      <c r="F177" s="45" t="str">
        <f>IFERROR((SUMIF(Data!B:B, A177, Data!J:J)
/ (COUNTIF(Data!B:B, A177)
)),"")</f>
        <v/>
      </c>
      <c r="G177" s="56" t="str">
        <f>IF(A177="","",IFERROR((((((SUMIF(Data!B:B, A177, Data!H:H)+(SUMIF(Data!B:B, A177,Data!G:G)))/(SUMIF(Data!B:B, A177, Data!J:J)))))),0))</f>
        <v/>
      </c>
      <c r="H177" s="32" t="str">
        <f>IFERROR(__xludf.DUMMYFUNCTION("IFERROR(IF(G177="""","""",Average(FILTER(IF(Data!J:J&lt;3,((Data!G:G+Data!H:H)/Data!J:J),1),Data!B:B=A177))),""Never Attempted"")"),"")</f>
        <v/>
      </c>
      <c r="I177" s="31"/>
      <c r="J177" s="31"/>
      <c r="K177" s="31" t="str">
        <f t="shared" si="40"/>
        <v/>
      </c>
      <c r="L177" s="45" t="str">
        <f>IFERROR((SUMIF(Data!B:B, A177, Data!L:L)
/ (COUNTIF(Data!B:B, A177)
)),"")</f>
        <v/>
      </c>
      <c r="M177" s="45" t="str">
        <f>IFERROR((SUMIF(Data!B:B, A177, Data!K:K)
/ (COUNTIF(Data!B:B, A177)
)),"")</f>
        <v/>
      </c>
      <c r="N177" s="56"/>
      <c r="O177" s="56" t="str">
        <f>IF(A177="","",IFERROR((((((SUMIF(Data!B:B, A177, Data!H:H)+(SUMIF(Data!B:B, A177,Data!G:G)+(SUMIF(Data!B:B, A177,Data!L:L)+(SUMIF(Data!B:B, A177,Data!K:K)))))/(SUMIF(Data!B:B, A177, Data!M:M)+(SUMIF(Data!B:B, A177, Data!H:H)+(SUMIF(Data!B:B, A177,Data!G:G)+(SUMIF(Data!B:B, A177,Data!K:K)+(SUMIF(Data!B:B, A177,Data!L:L)))))))))),0))</f>
        <v/>
      </c>
      <c r="P177" s="57" t="str">
        <f>IFERROR(__xludf.DUMMYFUNCTION("IFERROR(((COUNTIF(FILTER(Data!N:N,Data!B:B=A177),""TRAVERSE"")*15)+(COUNTIF(FILTER(Data!N:N,Data!B:B=A177),""HIGH"")*10)+(COUNTIF(FILTER(Data!N:N,Data!B:B=A177),""MIDDLE"")*6)+(COUNTIF(FILTER(Data!N:N,Data!B:B=A177),""LOW"")*4)) / (COUNTIF(Data!B:B, A177)"&amp;"),"""")"),"")</f>
        <v/>
      </c>
      <c r="Q177" s="31" t="str">
        <f>IF(P177="","",AVERAGE('Convert Name to Number'!F597:H597))</f>
        <v/>
      </c>
      <c r="R177" s="36" t="str">
        <f t="shared" si="37"/>
        <v/>
      </c>
      <c r="S177" s="58" t="str">
        <f>IFERROR(__xludf.DUMMYFUNCTION("IFERROR((((COUNTIF(FILTER(Data!N:N,Data!B:B=A177),""TRAVERSE""))+(COUNTIF(FILTER(Data!N:N,Data!B:B=A177),""HIGH""))+(COUNTIF(FILTER(Data!N:N,Data!B:B=A177),""MIDDLE""))+(COUNTIF(FILTER(Data!N:N,Data!B:B=A177),""LOW"")))) / (((COUNTIF(Data!B:B, A177)))-(CO"&amp;"UNTIF(FILTER(Data!N:N,Data!B:B=A177),""NONE""))),IF(ISBLANK(A177),"""",0))"),"")</f>
        <v/>
      </c>
      <c r="T177" s="56" t="str">
        <f>IFERROR(__xludf.DUMMYFUNCTION("IFERROR((COUNTIF(FILTER(Data!N:N, Data!B:B=A177),""LOW"")) / (COUNTIF(Data!B:B, A177)),"""")"),"")</f>
        <v/>
      </c>
      <c r="U177" s="59" t="str">
        <f>IFERROR(__xludf.DUMMYFUNCTION("IFERROR((COUNTIF(FILTER(Data!N:N, Data!B:B=A177),""MIDDLE"")) / (COUNTIF(Data!B:B, A177)),"""")"),"")</f>
        <v/>
      </c>
      <c r="V177" s="59" t="str">
        <f>IFERROR(__xludf.DUMMYFUNCTION("IFERROR((COUNTIF(FILTER(Data!N:N, Data!B:B=A177),""HIGH"")) / (COUNTIF(Data!B:B, A177)),"""")"),"")</f>
        <v/>
      </c>
      <c r="W177" s="59" t="str">
        <f>IFERROR(__xludf.DUMMYFUNCTION("IFERROR((COUNTIF(FILTER(Data!N:N, Data!B:B=A177),""TRAVERSE"")) / (COUNTIF(Data!B:B, A177)),"""")"),"")</f>
        <v/>
      </c>
      <c r="X177" s="60" t="str">
        <f t="shared" si="38"/>
        <v/>
      </c>
      <c r="Y177" s="45" t="str">
        <f t="shared" si="7"/>
        <v/>
      </c>
      <c r="Z177" s="45" t="str">
        <f t="shared" si="8"/>
        <v/>
      </c>
      <c r="AA177" s="16" t="str">
        <f t="shared" si="9"/>
        <v/>
      </c>
      <c r="AB177" s="16"/>
      <c r="AC177" s="16" t="str">
        <f>IFERROR(__xludf.DUMMYFUNCTION("IF(AA177="""","""",MAX(Filter((Data!G:G+Data!K:K),Data!B:B=A177)))"),"")</f>
        <v/>
      </c>
      <c r="AD177" s="16"/>
      <c r="AE177" s="16" t="str">
        <f t="shared" si="12"/>
        <v/>
      </c>
      <c r="AF177" s="16" t="str">
        <f t="shared" si="13"/>
        <v/>
      </c>
      <c r="AG177" s="44"/>
      <c r="AH177" s="44"/>
      <c r="AI177" s="44" t="str">
        <f>IFERROR(__xludf.DUMMYFUNCTION("TEXTJOIN("", "",TRUE, FILTER(Data!P:P, Data!B:B=A177))"),"")</f>
        <v/>
      </c>
      <c r="AJ177" s="16" t="str">
        <f t="shared" si="14"/>
        <v/>
      </c>
      <c r="AK177" s="46" t="str">
        <f>IFERROR(__xludf.DUMMYFUNCTION("IF(A177&lt;&gt;"""",IFERROR(AVERAGE(FILTER('Defense Calculations'!BJ:CS,'Defense Calculations'!A:A=A177)),""""),"""")"),"")</f>
        <v/>
      </c>
      <c r="AM177" s="47"/>
      <c r="BC177" s="50"/>
    </row>
    <row r="178">
      <c r="A178" s="54"/>
      <c r="B178" s="55" t="str">
        <f>IFERROR(__xludf.DUMMYFUNCTION("IFERROR(ROUND(
(COUNTIF(FILTER(Data!O:O, Data!B:B=A178), ""Win"")
+ COUNTIF(FILTER(Data!O:O, Data!B:B=A178), {""Tie"",""Results""}))
/ (COUNTIF(Data!B:B, A178)),
1),"""")"),"")</f>
        <v/>
      </c>
      <c r="C178" s="45" t="str">
        <f>IFERROR((SUMIF(Data!B:B, A178, Data!H:H)
/ (COUNTIF(Data!B:B, A178)
)),"")</f>
        <v/>
      </c>
      <c r="D178" s="45" t="str">
        <f>IFERROR((SUMIF(Data!B:B, A178, Data!G:G)
/ (COUNTIF(Data!B:B, A178)
)),"")</f>
        <v/>
      </c>
      <c r="E178" s="31" t="str">
        <f t="shared" si="39"/>
        <v/>
      </c>
      <c r="F178" s="45" t="str">
        <f>IFERROR((SUMIF(Data!B:B, A178, Data!J:J)
/ (COUNTIF(Data!B:B, A178)
)),"")</f>
        <v/>
      </c>
      <c r="G178" s="56" t="str">
        <f>IF(A178="","",IFERROR((((((SUMIF(Data!B:B, A178, Data!H:H)+(SUMIF(Data!B:B, A178,Data!G:G)))/(SUMIF(Data!B:B, A178, Data!J:J)))))),0))</f>
        <v/>
      </c>
      <c r="H178" s="32" t="str">
        <f>IFERROR(__xludf.DUMMYFUNCTION("IFERROR(IF(G178="""","""",Average(FILTER(IF(Data!J:J&lt;3,((Data!G:G+Data!H:H)/Data!J:J),1),Data!B:B=A178))),""Never Attempted"")"),"")</f>
        <v/>
      </c>
      <c r="I178" s="31"/>
      <c r="J178" s="31"/>
      <c r="K178" s="31" t="str">
        <f t="shared" si="40"/>
        <v/>
      </c>
      <c r="L178" s="45" t="str">
        <f>IFERROR((SUMIF(Data!B:B, A178, Data!L:L)
/ (COUNTIF(Data!B:B, A178)
)),"")</f>
        <v/>
      </c>
      <c r="M178" s="45" t="str">
        <f>IFERROR((SUMIF(Data!B:B, A178, Data!K:K)
/ (COUNTIF(Data!B:B, A178)
)),"")</f>
        <v/>
      </c>
      <c r="N178" s="56"/>
      <c r="O178" s="56" t="str">
        <f>IF(A178="","",IFERROR((((((SUMIF(Data!B:B, A178, Data!H:H)+(SUMIF(Data!B:B, A178,Data!G:G)+(SUMIF(Data!B:B, A178,Data!L:L)+(SUMIF(Data!B:B, A178,Data!K:K)))))/(SUMIF(Data!B:B, A178, Data!M:M)+(SUMIF(Data!B:B, A178, Data!H:H)+(SUMIF(Data!B:B, A178,Data!G:G)+(SUMIF(Data!B:B, A178,Data!K:K)+(SUMIF(Data!B:B, A178,Data!L:L)))))))))),0))</f>
        <v/>
      </c>
      <c r="P178" s="57" t="str">
        <f>IFERROR(__xludf.DUMMYFUNCTION("IFERROR(((COUNTIF(FILTER(Data!N:N,Data!B:B=A178),""TRAVERSE"")*15)+(COUNTIF(FILTER(Data!N:N,Data!B:B=A178),""HIGH"")*10)+(COUNTIF(FILTER(Data!N:N,Data!B:B=A178),""MIDDLE"")*6)+(COUNTIF(FILTER(Data!N:N,Data!B:B=A178),""LOW"")*4)) / (COUNTIF(Data!B:B, A178)"&amp;"),"""")"),"")</f>
        <v/>
      </c>
      <c r="Q178" s="31" t="str">
        <f>IF(P178="","",AVERAGE('Convert Name to Number'!F598:H598))</f>
        <v/>
      </c>
      <c r="R178" s="36" t="str">
        <f t="shared" si="37"/>
        <v/>
      </c>
      <c r="S178" s="58" t="str">
        <f>IFERROR(__xludf.DUMMYFUNCTION("IFERROR((((COUNTIF(FILTER(Data!N:N,Data!B:B=A178),""TRAVERSE""))+(COUNTIF(FILTER(Data!N:N,Data!B:B=A178),""HIGH""))+(COUNTIF(FILTER(Data!N:N,Data!B:B=A178),""MIDDLE""))+(COUNTIF(FILTER(Data!N:N,Data!B:B=A178),""LOW"")))) / (((COUNTIF(Data!B:B, A178)))-(CO"&amp;"UNTIF(FILTER(Data!N:N,Data!B:B=A178),""NONE""))),IF(ISBLANK(A178),"""",0))"),"")</f>
        <v/>
      </c>
      <c r="T178" s="56" t="str">
        <f>IFERROR(__xludf.DUMMYFUNCTION("IFERROR((COUNTIF(FILTER(Data!N:N, Data!B:B=A178),""LOW"")) / (COUNTIF(Data!B:B, A178)),"""")"),"")</f>
        <v/>
      </c>
      <c r="U178" s="59" t="str">
        <f>IFERROR(__xludf.DUMMYFUNCTION("IFERROR((COUNTIF(FILTER(Data!N:N, Data!B:B=A178),""MIDDLE"")) / (COUNTIF(Data!B:B, A178)),"""")"),"")</f>
        <v/>
      </c>
      <c r="V178" s="59" t="str">
        <f>IFERROR(__xludf.DUMMYFUNCTION("IFERROR((COUNTIF(FILTER(Data!N:N, Data!B:B=A178),""HIGH"")) / (COUNTIF(Data!B:B, A178)),"""")"),"")</f>
        <v/>
      </c>
      <c r="W178" s="59" t="str">
        <f>IFERROR(__xludf.DUMMYFUNCTION("IFERROR((COUNTIF(FILTER(Data!N:N, Data!B:B=A178),""TRAVERSE"")) / (COUNTIF(Data!B:B, A178)),"""")"),"")</f>
        <v/>
      </c>
      <c r="X178" s="60" t="str">
        <f t="shared" si="38"/>
        <v/>
      </c>
      <c r="Y178" s="45" t="str">
        <f t="shared" si="7"/>
        <v/>
      </c>
      <c r="Z178" s="45" t="str">
        <f t="shared" si="8"/>
        <v/>
      </c>
      <c r="AA178" s="16" t="str">
        <f t="shared" si="9"/>
        <v/>
      </c>
      <c r="AB178" s="16"/>
      <c r="AC178" s="16" t="str">
        <f>IFERROR(__xludf.DUMMYFUNCTION("IF(AA178="""","""",MAX(Filter((Data!G:G+Data!K:K),Data!B:B=A178)))"),"")</f>
        <v/>
      </c>
      <c r="AD178" s="16"/>
      <c r="AE178" s="16" t="str">
        <f t="shared" si="12"/>
        <v/>
      </c>
      <c r="AF178" s="16" t="str">
        <f t="shared" si="13"/>
        <v/>
      </c>
      <c r="AG178" s="44"/>
      <c r="AH178" s="44"/>
      <c r="AI178" s="44" t="str">
        <f>IFERROR(__xludf.DUMMYFUNCTION("TEXTJOIN("", "",TRUE, FILTER(Data!P:P, Data!B:B=A178))"),"")</f>
        <v/>
      </c>
      <c r="AJ178" s="16" t="str">
        <f t="shared" si="14"/>
        <v/>
      </c>
      <c r="AK178" s="46" t="str">
        <f>IFERROR(__xludf.DUMMYFUNCTION("IF(A178&lt;&gt;"""",IFERROR(AVERAGE(FILTER('Defense Calculations'!BJ:CS,'Defense Calculations'!A:A=A178)),""""),"""")"),"")</f>
        <v/>
      </c>
      <c r="AM178" s="47"/>
      <c r="BC178" s="50"/>
    </row>
    <row r="179">
      <c r="A179" s="54"/>
      <c r="B179" s="55" t="str">
        <f>IFERROR(__xludf.DUMMYFUNCTION("IFERROR(ROUND(
(COUNTIF(FILTER(Data!O:O, Data!B:B=A179), ""Win"")
+ COUNTIF(FILTER(Data!O:O, Data!B:B=A179), {""Tie"",""Results""}))
/ (COUNTIF(Data!B:B, A179)),
1),"""")"),"")</f>
        <v/>
      </c>
      <c r="C179" s="45" t="str">
        <f>IFERROR((SUMIF(Data!B:B, A179, Data!H:H)
/ (COUNTIF(Data!B:B, A179)
)),"")</f>
        <v/>
      </c>
      <c r="D179" s="45" t="str">
        <f>IFERROR((SUMIF(Data!B:B, A179, Data!G:G)
/ (COUNTIF(Data!B:B, A179)
)),"")</f>
        <v/>
      </c>
      <c r="E179" s="31" t="str">
        <f t="shared" si="39"/>
        <v/>
      </c>
      <c r="F179" s="45" t="str">
        <f>IFERROR((SUMIF(Data!B:B, A179, Data!J:J)
/ (COUNTIF(Data!B:B, A179)
)),"")</f>
        <v/>
      </c>
      <c r="G179" s="56" t="str">
        <f>IF(A179="","",IFERROR((((((SUMIF(Data!B:B, A179, Data!H:H)+(SUMIF(Data!B:B, A179,Data!G:G)))/(SUMIF(Data!B:B, A179, Data!J:J)))))),0))</f>
        <v/>
      </c>
      <c r="H179" s="32" t="str">
        <f>IFERROR(__xludf.DUMMYFUNCTION("IFERROR(IF(G179="""","""",Average(FILTER(IF(Data!J:J&lt;3,((Data!G:G+Data!H:H)/Data!J:J),1),Data!B:B=A179))),""Never Attempted"")"),"")</f>
        <v/>
      </c>
      <c r="I179" s="31"/>
      <c r="J179" s="31"/>
      <c r="K179" s="31" t="str">
        <f t="shared" si="40"/>
        <v/>
      </c>
      <c r="L179" s="45" t="str">
        <f>IFERROR((SUMIF(Data!B:B, A179, Data!L:L)
/ (COUNTIF(Data!B:B, A179)
)),"")</f>
        <v/>
      </c>
      <c r="M179" s="45" t="str">
        <f>IFERROR((SUMIF(Data!B:B, A179, Data!K:K)
/ (COUNTIF(Data!B:B, A179)
)),"")</f>
        <v/>
      </c>
      <c r="N179" s="56"/>
      <c r="O179" s="56" t="str">
        <f>IF(A179="","",IFERROR((((((SUMIF(Data!B:B, A179, Data!H:H)+(SUMIF(Data!B:B, A179,Data!G:G)+(SUMIF(Data!B:B, A179,Data!L:L)+(SUMIF(Data!B:B, A179,Data!K:K)))))/(SUMIF(Data!B:B, A179, Data!M:M)+(SUMIF(Data!B:B, A179, Data!H:H)+(SUMIF(Data!B:B, A179,Data!G:G)+(SUMIF(Data!B:B, A179,Data!K:K)+(SUMIF(Data!B:B, A179,Data!L:L)))))))))),0))</f>
        <v/>
      </c>
      <c r="P179" s="57" t="str">
        <f>IFERROR(__xludf.DUMMYFUNCTION("IFERROR(((COUNTIF(FILTER(Data!N:N,Data!B:B=A179),""TRAVERSE"")*15)+(COUNTIF(FILTER(Data!N:N,Data!B:B=A179),""HIGH"")*10)+(COUNTIF(FILTER(Data!N:N,Data!B:B=A179),""MIDDLE"")*6)+(COUNTIF(FILTER(Data!N:N,Data!B:B=A179),""LOW"")*4)) / (COUNTIF(Data!B:B, A179)"&amp;"),"""")"),"")</f>
        <v/>
      </c>
      <c r="Q179" s="31" t="str">
        <f>IF(P179="","",AVERAGE('Convert Name to Number'!F599:H599))</f>
        <v/>
      </c>
      <c r="R179" s="36" t="str">
        <f t="shared" si="37"/>
        <v/>
      </c>
      <c r="S179" s="58" t="str">
        <f>IFERROR(__xludf.DUMMYFUNCTION("IFERROR((((COUNTIF(FILTER(Data!N:N,Data!B:B=A179),""TRAVERSE""))+(COUNTIF(FILTER(Data!N:N,Data!B:B=A179),""HIGH""))+(COUNTIF(FILTER(Data!N:N,Data!B:B=A179),""MIDDLE""))+(COUNTIF(FILTER(Data!N:N,Data!B:B=A179),""LOW"")))) / (((COUNTIF(Data!B:B, A179)))-(CO"&amp;"UNTIF(FILTER(Data!N:N,Data!B:B=A179),""NONE""))),IF(ISBLANK(A179),"""",0))"),"")</f>
        <v/>
      </c>
      <c r="T179" s="56" t="str">
        <f>IFERROR(__xludf.DUMMYFUNCTION("IFERROR((COUNTIF(FILTER(Data!N:N, Data!B:B=A179),""LOW"")) / (COUNTIF(Data!B:B, A179)),"""")"),"")</f>
        <v/>
      </c>
      <c r="U179" s="59" t="str">
        <f>IFERROR(__xludf.DUMMYFUNCTION("IFERROR((COUNTIF(FILTER(Data!N:N, Data!B:B=A179),""MIDDLE"")) / (COUNTIF(Data!B:B, A179)),"""")"),"")</f>
        <v/>
      </c>
      <c r="V179" s="59" t="str">
        <f>IFERROR(__xludf.DUMMYFUNCTION("IFERROR((COUNTIF(FILTER(Data!N:N, Data!B:B=A179),""HIGH"")) / (COUNTIF(Data!B:B, A179)),"""")"),"")</f>
        <v/>
      </c>
      <c r="W179" s="59" t="str">
        <f>IFERROR(__xludf.DUMMYFUNCTION("IFERROR((COUNTIF(FILTER(Data!N:N, Data!B:B=A179),""TRAVERSE"")) / (COUNTIF(Data!B:B, A179)),"""")"),"")</f>
        <v/>
      </c>
      <c r="X179" s="60" t="str">
        <f t="shared" si="38"/>
        <v/>
      </c>
      <c r="Y179" s="45" t="str">
        <f t="shared" si="7"/>
        <v/>
      </c>
      <c r="Z179" s="45" t="str">
        <f t="shared" si="8"/>
        <v/>
      </c>
      <c r="AA179" s="16" t="str">
        <f t="shared" si="9"/>
        <v/>
      </c>
      <c r="AB179" s="16"/>
      <c r="AC179" s="16" t="str">
        <f>IFERROR(__xludf.DUMMYFUNCTION("IF(AA179="""","""",MAX(Filter((Data!G:G+Data!K:K),Data!B:B=A179)))"),"")</f>
        <v/>
      </c>
      <c r="AD179" s="16"/>
      <c r="AE179" s="16" t="str">
        <f t="shared" si="12"/>
        <v/>
      </c>
      <c r="AF179" s="16" t="str">
        <f t="shared" si="13"/>
        <v/>
      </c>
      <c r="AG179" s="44"/>
      <c r="AH179" s="44"/>
      <c r="AI179" s="44" t="str">
        <f>IFERROR(__xludf.DUMMYFUNCTION("TEXTJOIN("", "",TRUE, FILTER(Data!P:P, Data!B:B=A179))"),"")</f>
        <v/>
      </c>
      <c r="AM179" s="61"/>
      <c r="BC179" s="50"/>
    </row>
    <row r="180">
      <c r="A180" s="54"/>
      <c r="B180" s="55" t="str">
        <f>IFERROR(__xludf.DUMMYFUNCTION("IFERROR(ROUND(
(COUNTIF(FILTER(Data!O:O, Data!B:B=A180), ""Win"")
+ COUNTIF(FILTER(Data!O:O, Data!B:B=A180), {""Tie"",""Results""}))
/ (COUNTIF(Data!B:B, A180)),
1),"""")"),"")</f>
        <v/>
      </c>
      <c r="C180" s="45" t="str">
        <f>IFERROR((SUMIF(Data!B:B, A180, Data!H:H)
/ (COUNTIF(Data!B:B, A180)
)),"")</f>
        <v/>
      </c>
      <c r="D180" s="45" t="str">
        <f>IFERROR((SUMIF(Data!B:B, A180, Data!G:G)
/ (COUNTIF(Data!B:B, A180)
)),"")</f>
        <v/>
      </c>
      <c r="E180" s="31" t="str">
        <f t="shared" si="39"/>
        <v/>
      </c>
      <c r="F180" s="45" t="str">
        <f>IFERROR((SUMIF(Data!B:B, A180, Data!J:J)
/ (COUNTIF(Data!B:B, A180)
)),"")</f>
        <v/>
      </c>
      <c r="G180" s="56" t="str">
        <f>IF(A180="","",IFERROR((((((SUMIF(Data!B:B, A180, Data!H:H)+(SUMIF(Data!B:B, A180,Data!G:G)))/(SUMIF(Data!B:B, A180, Data!J:J)))))),0))</f>
        <v/>
      </c>
      <c r="H180" s="32" t="str">
        <f>IFERROR(__xludf.DUMMYFUNCTION("IFERROR(IF(G180="""","""",Average(FILTER(IF(Data!J:J&lt;3,((Data!G:G+Data!H:H)/Data!J:J),1),Data!B:B=A180))),""Never Attempted"")"),"")</f>
        <v/>
      </c>
      <c r="I180" s="31"/>
      <c r="J180" s="31"/>
      <c r="K180" s="31" t="str">
        <f t="shared" si="40"/>
        <v/>
      </c>
      <c r="L180" s="45" t="str">
        <f>IFERROR((SUMIF(Data!B:B, A180, Data!L:L)
/ (COUNTIF(Data!B:B, A180)
)),"")</f>
        <v/>
      </c>
      <c r="M180" s="45" t="str">
        <f>IFERROR((SUMIF(Data!B:B, A180, Data!K:K)
/ (COUNTIF(Data!B:B, A180)
)),"")</f>
        <v/>
      </c>
      <c r="N180" s="56"/>
      <c r="O180" s="56" t="str">
        <f>IF(A180="","",IFERROR((((((SUMIF(Data!B:B, A180, Data!H:H)+(SUMIF(Data!B:B, A180,Data!G:G)+(SUMIF(Data!B:B, A180,Data!L:L)+(SUMIF(Data!B:B, A180,Data!K:K)))))/(SUMIF(Data!B:B, A180, Data!M:M)+(SUMIF(Data!B:B, A180, Data!H:H)+(SUMIF(Data!B:B, A180,Data!G:G)+(SUMIF(Data!B:B, A180,Data!K:K)+(SUMIF(Data!B:B, A180,Data!L:L)))))))))),0))</f>
        <v/>
      </c>
      <c r="P180" s="57" t="str">
        <f>IFERROR(__xludf.DUMMYFUNCTION("IFERROR(((COUNTIF(FILTER(Data!N:N,Data!B:B=A180),""TRAVERSE"")*15)+(COUNTIF(FILTER(Data!N:N,Data!B:B=A180),""HIGH"")*10)+(COUNTIF(FILTER(Data!N:N,Data!B:B=A180),""MIDDLE"")*6)+(COUNTIF(FILTER(Data!N:N,Data!B:B=A180),""LOW"")*4)) / (COUNTIF(Data!B:B, A180)"&amp;"),"""")"),"")</f>
        <v/>
      </c>
      <c r="Q180" s="31" t="str">
        <f>IF(P180="","",AVERAGE('Convert Name to Number'!F600:H600))</f>
        <v/>
      </c>
      <c r="R180" s="36" t="str">
        <f t="shared" si="37"/>
        <v/>
      </c>
      <c r="S180" s="58" t="str">
        <f>IFERROR(__xludf.DUMMYFUNCTION("IFERROR((((COUNTIF(FILTER(Data!N:N,Data!B:B=A180),""TRAVERSE""))+(COUNTIF(FILTER(Data!N:N,Data!B:B=A180),""HIGH""))+(COUNTIF(FILTER(Data!N:N,Data!B:B=A180),""MIDDLE""))+(COUNTIF(FILTER(Data!N:N,Data!B:B=A180),""LOW"")))) / (((COUNTIF(Data!B:B, A180)))-(CO"&amp;"UNTIF(FILTER(Data!N:N,Data!B:B=A180),""NONE""))),IF(ISBLANK(A180),"""",0))"),"")</f>
        <v/>
      </c>
      <c r="T180" s="56" t="str">
        <f>IFERROR(__xludf.DUMMYFUNCTION("IFERROR((COUNTIF(FILTER(Data!N:N, Data!B:B=A180),""LOW"")) / (COUNTIF(Data!B:B, A180)),"""")"),"")</f>
        <v/>
      </c>
      <c r="U180" s="59" t="str">
        <f>IFERROR(__xludf.DUMMYFUNCTION("IFERROR((COUNTIF(FILTER(Data!N:N, Data!B:B=A180),""MIDDLE"")) / (COUNTIF(Data!B:B, A180)),"""")"),"")</f>
        <v/>
      </c>
      <c r="V180" s="59" t="str">
        <f>IFERROR(__xludf.DUMMYFUNCTION("IFERROR((COUNTIF(FILTER(Data!N:N, Data!B:B=A180),""HIGH"")) / (COUNTIF(Data!B:B, A180)),"""")"),"")</f>
        <v/>
      </c>
      <c r="W180" s="59" t="str">
        <f>IFERROR(__xludf.DUMMYFUNCTION("IFERROR((COUNTIF(FILTER(Data!N:N, Data!B:B=A180),""TRAVERSE"")) / (COUNTIF(Data!B:B, A180)),"""")"),"")</f>
        <v/>
      </c>
      <c r="X180" s="60" t="str">
        <f t="shared" si="38"/>
        <v/>
      </c>
      <c r="Y180" s="45" t="str">
        <f t="shared" si="7"/>
        <v/>
      </c>
      <c r="Z180" s="45" t="str">
        <f t="shared" si="8"/>
        <v/>
      </c>
      <c r="AA180" s="16" t="str">
        <f t="shared" si="9"/>
        <v/>
      </c>
      <c r="AB180" s="16"/>
      <c r="AC180" s="16" t="str">
        <f>IFERROR(__xludf.DUMMYFUNCTION("IF(AA180="""","""",MAX(Filter((Data!G:G+Data!K:K),Data!B:B=A180)))"),"")</f>
        <v/>
      </c>
      <c r="AD180" s="16"/>
      <c r="AE180" s="16" t="str">
        <f t="shared" si="12"/>
        <v/>
      </c>
      <c r="AF180" s="16" t="str">
        <f t="shared" si="13"/>
        <v/>
      </c>
      <c r="AG180" s="44"/>
      <c r="AH180" s="44"/>
      <c r="AI180" s="44" t="str">
        <f>IFERROR(__xludf.DUMMYFUNCTION("TEXTJOIN("", "",TRUE, FILTER(Data!P:P, Data!B:B=A180))"),"")</f>
        <v/>
      </c>
      <c r="AM180" s="61"/>
      <c r="BC180" s="50"/>
    </row>
    <row r="181">
      <c r="A181" s="54"/>
      <c r="B181" s="55" t="str">
        <f>IFERROR(__xludf.DUMMYFUNCTION("IFERROR(ROUND(
(COUNTIF(FILTER(Data!O:O, Data!B:B=A181), ""Win"")
+ COUNTIF(FILTER(Data!O:O, Data!B:B=A181), {""Tie"",""Results""}))
/ (COUNTIF(Data!B:B, A181)),
1),"""")"),"")</f>
        <v/>
      </c>
      <c r="C181" s="45" t="str">
        <f>IFERROR((SUMIF(Data!B:B, A181, Data!H:H)
/ (COUNTIF(Data!B:B, A181)
)),"")</f>
        <v/>
      </c>
      <c r="D181" s="45" t="str">
        <f>IFERROR((SUMIF(Data!B:B, A181, Data!G:G)
/ (COUNTIF(Data!B:B, A181)
)),"")</f>
        <v/>
      </c>
      <c r="E181" s="31" t="str">
        <f t="shared" si="39"/>
        <v/>
      </c>
      <c r="F181" s="45" t="str">
        <f>IFERROR((SUMIF(Data!B:B, A181, Data!J:J)
/ (COUNTIF(Data!B:B, A181)
)),"")</f>
        <v/>
      </c>
      <c r="G181" s="56" t="str">
        <f>IF(A181="","",IFERROR((((((SUMIF(Data!B:B, A181, Data!H:H)+(SUMIF(Data!B:B, A181,Data!G:G)))/(SUMIF(Data!B:B, A181, Data!J:J)))))),0))</f>
        <v/>
      </c>
      <c r="H181" s="32" t="str">
        <f>IFERROR(__xludf.DUMMYFUNCTION("IFERROR(IF(G181="""","""",Average(FILTER(IF(Data!J:J&lt;3,((Data!G:G+Data!H:H)/Data!J:J),1),Data!B:B=A181))),""Never Attempted"")"),"")</f>
        <v/>
      </c>
      <c r="I181" s="31"/>
      <c r="J181" s="31"/>
      <c r="K181" s="31" t="str">
        <f t="shared" si="40"/>
        <v/>
      </c>
      <c r="L181" s="45" t="str">
        <f>IFERROR((SUMIF(Data!B:B, A181, Data!L:L)
/ (COUNTIF(Data!B:B, A181)
)),"")</f>
        <v/>
      </c>
      <c r="M181" s="45" t="str">
        <f>IFERROR((SUMIF(Data!B:B, A181, Data!K:K)
/ (COUNTIF(Data!B:B, A181)
)),"")</f>
        <v/>
      </c>
      <c r="N181" s="56"/>
      <c r="O181" s="56" t="str">
        <f>IF(A181="","",IFERROR((((((SUMIF(Data!B:B, A181, Data!H:H)+(SUMIF(Data!B:B, A181,Data!G:G)+(SUMIF(Data!B:B, A181,Data!L:L)+(SUMIF(Data!B:B, A181,Data!K:K)))))/(SUMIF(Data!B:B, A181, Data!M:M)+(SUMIF(Data!B:B, A181, Data!H:H)+(SUMIF(Data!B:B, A181,Data!G:G)+(SUMIF(Data!B:B, A181,Data!K:K)+(SUMIF(Data!B:B, A181,Data!L:L)))))))))),0))</f>
        <v/>
      </c>
      <c r="P181" s="57" t="str">
        <f>IFERROR(__xludf.DUMMYFUNCTION("IFERROR(((COUNTIF(FILTER(Data!N:N,Data!B:B=A181),""TRAVERSE"")*15)+(COUNTIF(FILTER(Data!N:N,Data!B:B=A181),""HIGH"")*10)+(COUNTIF(FILTER(Data!N:N,Data!B:B=A181),""MIDDLE"")*6)+(COUNTIF(FILTER(Data!N:N,Data!B:B=A181),""LOW"")*4)) / (COUNTIF(Data!B:B, A181)"&amp;"),"""")"),"")</f>
        <v/>
      </c>
      <c r="Q181" s="31" t="str">
        <f>IF(P181="","",AVERAGE('Convert Name to Number'!F601:H601))</f>
        <v/>
      </c>
      <c r="R181" s="36" t="str">
        <f t="shared" si="37"/>
        <v/>
      </c>
      <c r="S181" s="58" t="str">
        <f>IFERROR(__xludf.DUMMYFUNCTION("IFERROR((((COUNTIF(FILTER(Data!N:N,Data!B:B=A181),""TRAVERSE""))+(COUNTIF(FILTER(Data!N:N,Data!B:B=A181),""HIGH""))+(COUNTIF(FILTER(Data!N:N,Data!B:B=A181),""MIDDLE""))+(COUNTIF(FILTER(Data!N:N,Data!B:B=A181),""LOW"")))) / (((COUNTIF(Data!B:B, A181)))-(CO"&amp;"UNTIF(FILTER(Data!N:N,Data!B:B=A181),""NONE""))),IF(ISBLANK(A181),"""",0))"),"")</f>
        <v/>
      </c>
      <c r="T181" s="56" t="str">
        <f>IFERROR(__xludf.DUMMYFUNCTION("IFERROR((COUNTIF(FILTER(Data!N:N, Data!B:B=A181),""LOW"")) / (COUNTIF(Data!B:B, A181)),"""")"),"")</f>
        <v/>
      </c>
      <c r="U181" s="59" t="str">
        <f>IFERROR(__xludf.DUMMYFUNCTION("IFERROR((COUNTIF(FILTER(Data!N:N, Data!B:B=A181),""MIDDLE"")) / (COUNTIF(Data!B:B, A181)),"""")"),"")</f>
        <v/>
      </c>
      <c r="V181" s="59" t="str">
        <f>IFERROR(__xludf.DUMMYFUNCTION("IFERROR((COUNTIF(FILTER(Data!N:N, Data!B:B=A181),""HIGH"")) / (COUNTIF(Data!B:B, A181)),"""")"),"")</f>
        <v/>
      </c>
      <c r="W181" s="59" t="str">
        <f>IFERROR(__xludf.DUMMYFUNCTION("IFERROR((COUNTIF(FILTER(Data!N:N, Data!B:B=A181),""TRAVERSE"")) / (COUNTIF(Data!B:B, A181)),"""")"),"")</f>
        <v/>
      </c>
      <c r="X181" s="60" t="str">
        <f t="shared" si="38"/>
        <v/>
      </c>
      <c r="Y181" s="45" t="str">
        <f t="shared" si="7"/>
        <v/>
      </c>
      <c r="Z181" s="45" t="str">
        <f t="shared" si="8"/>
        <v/>
      </c>
      <c r="AA181" s="16" t="str">
        <f t="shared" si="9"/>
        <v/>
      </c>
      <c r="AB181" s="16"/>
      <c r="AC181" s="16" t="str">
        <f>IFERROR(__xludf.DUMMYFUNCTION("IF(AA181="""","""",MAX(Filter((Data!G:G+Data!K:K),Data!B:B=A181)))"),"")</f>
        <v/>
      </c>
      <c r="AD181" s="16"/>
      <c r="AE181" s="16" t="str">
        <f t="shared" si="12"/>
        <v/>
      </c>
      <c r="AF181" s="16" t="str">
        <f t="shared" si="13"/>
        <v/>
      </c>
      <c r="AG181" s="44"/>
      <c r="AH181" s="44"/>
      <c r="AI181" s="44" t="str">
        <f>IFERROR(__xludf.DUMMYFUNCTION("TEXTJOIN("", "",TRUE, FILTER(Data!P:P, Data!B:B=A181))"),"")</f>
        <v/>
      </c>
      <c r="AM181" s="61"/>
      <c r="BC181" s="50"/>
    </row>
    <row r="182">
      <c r="A182" s="54"/>
      <c r="B182" s="55" t="str">
        <f>IFERROR(__xludf.DUMMYFUNCTION("IFERROR(ROUND(
(COUNTIF(FILTER(Data!O:O, Data!B:B=A182), ""Win"")
+ COUNTIF(FILTER(Data!O:O, Data!B:B=A182), {""Tie"",""Results""}))
/ (COUNTIF(Data!B:B, A182)),
1),"""")"),"")</f>
        <v/>
      </c>
      <c r="C182" s="45" t="str">
        <f>IFERROR((SUMIF(Data!B:B, A182, Data!H:H)
/ (COUNTIF(Data!B:B, A182)
)),"")</f>
        <v/>
      </c>
      <c r="D182" s="45" t="str">
        <f>IFERROR((SUMIF(Data!B:B, A182, Data!G:G)
/ (COUNTIF(Data!B:B, A182)
)),"")</f>
        <v/>
      </c>
      <c r="E182" s="31" t="str">
        <f t="shared" si="39"/>
        <v/>
      </c>
      <c r="F182" s="45" t="str">
        <f>IFERROR((SUMIF(Data!B:B, A182, Data!J:J)
/ (COUNTIF(Data!B:B, A182)
)),"")</f>
        <v/>
      </c>
      <c r="G182" s="56" t="str">
        <f>IF(A182="","",IFERROR((((((SUMIF(Data!B:B, A182, Data!H:H)+(SUMIF(Data!B:B, A182,Data!G:G)))/(SUMIF(Data!B:B, A182, Data!J:J)))))),0))</f>
        <v/>
      </c>
      <c r="H182" s="32" t="str">
        <f>IFERROR(__xludf.DUMMYFUNCTION("IFERROR(IF(G182="""","""",Average(FILTER(IF(Data!J:J&lt;3,((Data!G:G+Data!H:H)/Data!J:J),1),Data!B:B=A182))),""Never Attempted"")"),"")</f>
        <v/>
      </c>
      <c r="I182" s="31"/>
      <c r="J182" s="31"/>
      <c r="K182" s="31" t="str">
        <f t="shared" si="40"/>
        <v/>
      </c>
      <c r="L182" s="45" t="str">
        <f>IFERROR((SUMIF(Data!B:B, A182, Data!L:L)
/ (COUNTIF(Data!B:B, A182)
)),"")</f>
        <v/>
      </c>
      <c r="M182" s="45" t="str">
        <f>IFERROR((SUMIF(Data!B:B, A182, Data!K:K)
/ (COUNTIF(Data!B:B, A182)
)),"")</f>
        <v/>
      </c>
      <c r="N182" s="56"/>
      <c r="O182" s="56" t="str">
        <f>IF(A182="","",IFERROR((((((SUMIF(Data!B:B, A182, Data!H:H)+(SUMIF(Data!B:B, A182,Data!G:G)+(SUMIF(Data!B:B, A182,Data!L:L)+(SUMIF(Data!B:B, A182,Data!K:K)))))/(SUMIF(Data!B:B, A182, Data!M:M)+(SUMIF(Data!B:B, A182, Data!H:H)+(SUMIF(Data!B:B, A182,Data!G:G)+(SUMIF(Data!B:B, A182,Data!K:K)+(SUMIF(Data!B:B, A182,Data!L:L)))))))))),0))</f>
        <v/>
      </c>
      <c r="P182" s="57" t="str">
        <f>IFERROR(__xludf.DUMMYFUNCTION("IFERROR(((COUNTIF(FILTER(Data!N:N,Data!B:B=A182),""TRAVERSE"")*15)+(COUNTIF(FILTER(Data!N:N,Data!B:B=A182),""HIGH"")*10)+(COUNTIF(FILTER(Data!N:N,Data!B:B=A182),""MIDDLE"")*6)+(COUNTIF(FILTER(Data!N:N,Data!B:B=A182),""LOW"")*4)) / (COUNTIF(Data!B:B, A182)"&amp;"),"""")"),"")</f>
        <v/>
      </c>
      <c r="Q182" s="31" t="str">
        <f>IF(P182="","",AVERAGE('Convert Name to Number'!F602:H602))</f>
        <v/>
      </c>
      <c r="R182" s="36" t="str">
        <f t="shared" si="37"/>
        <v/>
      </c>
      <c r="S182" s="58" t="str">
        <f>IFERROR(__xludf.DUMMYFUNCTION("IFERROR((((COUNTIF(FILTER(Data!N:N,Data!B:B=A182),""TRAVERSE""))+(COUNTIF(FILTER(Data!N:N,Data!B:B=A182),""HIGH""))+(COUNTIF(FILTER(Data!N:N,Data!B:B=A182),""MIDDLE""))+(COUNTIF(FILTER(Data!N:N,Data!B:B=A182),""LOW"")))) / (((COUNTIF(Data!B:B, A182)))-(CO"&amp;"UNTIF(FILTER(Data!N:N,Data!B:B=A182),""NONE""))),IF(ISBLANK(A182),"""",0))"),"")</f>
        <v/>
      </c>
      <c r="T182" s="56" t="str">
        <f>IFERROR(__xludf.DUMMYFUNCTION("IFERROR((COUNTIF(FILTER(Data!N:N, Data!B:B=A182),""LOW"")) / (COUNTIF(Data!B:B, A182)),"""")"),"")</f>
        <v/>
      </c>
      <c r="U182" s="59" t="str">
        <f>IFERROR(__xludf.DUMMYFUNCTION("IFERROR((COUNTIF(FILTER(Data!N:N, Data!B:B=A182),""MIDDLE"")) / (COUNTIF(Data!B:B, A182)),"""")"),"")</f>
        <v/>
      </c>
      <c r="V182" s="59" t="str">
        <f>IFERROR(__xludf.DUMMYFUNCTION("IFERROR((COUNTIF(FILTER(Data!N:N, Data!B:B=A182),""HIGH"")) / (COUNTIF(Data!B:B, A182)),"""")"),"")</f>
        <v/>
      </c>
      <c r="W182" s="59" t="str">
        <f>IFERROR(__xludf.DUMMYFUNCTION("IFERROR((COUNTIF(FILTER(Data!N:N, Data!B:B=A182),""TRAVERSE"")) / (COUNTIF(Data!B:B, A182)),"""")"),"")</f>
        <v/>
      </c>
      <c r="X182" s="60" t="str">
        <f t="shared" si="38"/>
        <v/>
      </c>
      <c r="Y182" s="45" t="str">
        <f t="shared" si="7"/>
        <v/>
      </c>
      <c r="Z182" s="45" t="str">
        <f t="shared" si="8"/>
        <v/>
      </c>
      <c r="AA182" s="16" t="str">
        <f t="shared" si="9"/>
        <v/>
      </c>
      <c r="AB182" s="16"/>
      <c r="AC182" s="16" t="str">
        <f>IFERROR(__xludf.DUMMYFUNCTION("IF(AA182="""","""",MAX(Filter((Data!G:G+Data!K:K),Data!B:B=A182)))"),"")</f>
        <v/>
      </c>
      <c r="AD182" s="16"/>
      <c r="AE182" s="16" t="str">
        <f t="shared" si="12"/>
        <v/>
      </c>
      <c r="AF182" s="16" t="str">
        <f t="shared" si="13"/>
        <v/>
      </c>
      <c r="AG182" s="44"/>
      <c r="AH182" s="44"/>
      <c r="AI182" s="44" t="str">
        <f>IFERROR(__xludf.DUMMYFUNCTION("TEXTJOIN("", "",TRUE, FILTER(Data!P:P, Data!B:B=A182))"),"")</f>
        <v/>
      </c>
      <c r="AM182" s="61"/>
      <c r="BC182" s="50"/>
    </row>
    <row r="183">
      <c r="A183" s="54"/>
      <c r="B183" s="55" t="str">
        <f>IFERROR(__xludf.DUMMYFUNCTION("IFERROR(ROUND(
(COUNTIF(FILTER(Data!O:O, Data!B:B=A183), ""Win"")
+ COUNTIF(FILTER(Data!O:O, Data!B:B=A183), {""Tie"",""Results""}))
/ (COUNTIF(Data!B:B, A183)),
1),"""")"),"")</f>
        <v/>
      </c>
      <c r="C183" s="45" t="str">
        <f>IFERROR((SUMIF(Data!B:B, A183, Data!H:H)
/ (COUNTIF(Data!B:B, A183)
)),"")</f>
        <v/>
      </c>
      <c r="D183" s="45" t="str">
        <f>IFERROR((SUMIF(Data!B:B, A183, Data!G:G)
/ (COUNTIF(Data!B:B, A183)
)),"")</f>
        <v/>
      </c>
      <c r="E183" s="31" t="str">
        <f t="shared" si="39"/>
        <v/>
      </c>
      <c r="F183" s="45" t="str">
        <f>IFERROR((SUMIF(Data!B:B, A183, Data!J:J)
/ (COUNTIF(Data!B:B, A183)
)),"")</f>
        <v/>
      </c>
      <c r="G183" s="56" t="str">
        <f>IF(A183="","",IFERROR((((((SUMIF(Data!B:B, A183, Data!H:H)+(SUMIF(Data!B:B, A183,Data!G:G)))/(SUMIF(Data!B:B, A183, Data!J:J)))))),0))</f>
        <v/>
      </c>
      <c r="H183" s="32" t="str">
        <f>IFERROR(__xludf.DUMMYFUNCTION("IFERROR(IF(G183="""","""",Average(FILTER(IF(Data!J:J&lt;3,((Data!G:G+Data!H:H)/Data!J:J),1),Data!B:B=A183))),""Never Attempted"")"),"")</f>
        <v/>
      </c>
      <c r="I183" s="31"/>
      <c r="J183" s="31"/>
      <c r="K183" s="31" t="str">
        <f t="shared" si="40"/>
        <v/>
      </c>
      <c r="L183" s="45" t="str">
        <f>IFERROR((SUMIF(Data!B:B, A183, Data!L:L)
/ (COUNTIF(Data!B:B, A183)
)),"")</f>
        <v/>
      </c>
      <c r="M183" s="45" t="str">
        <f>IFERROR((SUMIF(Data!B:B, A183, Data!K:K)
/ (COUNTIF(Data!B:B, A183)
)),"")</f>
        <v/>
      </c>
      <c r="N183" s="56"/>
      <c r="O183" s="56" t="str">
        <f>IF(A183="","",IFERROR((((((SUMIF(Data!B:B, A183, Data!H:H)+(SUMIF(Data!B:B, A183,Data!G:G)+(SUMIF(Data!B:B, A183,Data!L:L)+(SUMIF(Data!B:B, A183,Data!K:K)))))/(SUMIF(Data!B:B, A183, Data!M:M)+(SUMIF(Data!B:B, A183, Data!H:H)+(SUMIF(Data!B:B, A183,Data!G:G)+(SUMIF(Data!B:B, A183,Data!K:K)+(SUMIF(Data!B:B, A183,Data!L:L)))))))))),0))</f>
        <v/>
      </c>
      <c r="P183" s="57" t="str">
        <f>IFERROR(__xludf.DUMMYFUNCTION("IFERROR(((COUNTIF(FILTER(Data!N:N,Data!B:B=A183),""TRAVERSE"")*15)+(COUNTIF(FILTER(Data!N:N,Data!B:B=A183),""HIGH"")*10)+(COUNTIF(FILTER(Data!N:N,Data!B:B=A183),""MIDDLE"")*6)+(COUNTIF(FILTER(Data!N:N,Data!B:B=A183),""LOW"")*4)) / (COUNTIF(Data!B:B, A183)"&amp;"),"""")"),"")</f>
        <v/>
      </c>
      <c r="Q183" s="31" t="str">
        <f>IF(P183="","",AVERAGE('Convert Name to Number'!F603:H603))</f>
        <v/>
      </c>
      <c r="R183" s="36" t="str">
        <f t="shared" si="37"/>
        <v/>
      </c>
      <c r="S183" s="58" t="str">
        <f>IFERROR(__xludf.DUMMYFUNCTION("IFERROR((((COUNTIF(FILTER(Data!N:N,Data!B:B=A183),""TRAVERSE""))+(COUNTIF(FILTER(Data!N:N,Data!B:B=A183),""HIGH""))+(COUNTIF(FILTER(Data!N:N,Data!B:B=A183),""MIDDLE""))+(COUNTIF(FILTER(Data!N:N,Data!B:B=A183),""LOW"")))) / (((COUNTIF(Data!B:B, A183)))-(CO"&amp;"UNTIF(FILTER(Data!N:N,Data!B:B=A183),""NONE""))),IF(ISBLANK(A183),"""",0))"),"")</f>
        <v/>
      </c>
      <c r="T183" s="56" t="str">
        <f>IFERROR(__xludf.DUMMYFUNCTION("IFERROR((COUNTIF(FILTER(Data!N:N, Data!B:B=A183),""LOW"")) / (COUNTIF(Data!B:B, A183)),"""")"),"")</f>
        <v/>
      </c>
      <c r="U183" s="59" t="str">
        <f>IFERROR(__xludf.DUMMYFUNCTION("IFERROR((COUNTIF(FILTER(Data!N:N, Data!B:B=A183),""MIDDLE"")) / (COUNTIF(Data!B:B, A183)),"""")"),"")</f>
        <v/>
      </c>
      <c r="V183" s="59" t="str">
        <f>IFERROR(__xludf.DUMMYFUNCTION("IFERROR((COUNTIF(FILTER(Data!N:N, Data!B:B=A183),""HIGH"")) / (COUNTIF(Data!B:B, A183)),"""")"),"")</f>
        <v/>
      </c>
      <c r="W183" s="59" t="str">
        <f>IFERROR(__xludf.DUMMYFUNCTION("IFERROR((COUNTIF(FILTER(Data!N:N, Data!B:B=A183),""TRAVERSE"")) / (COUNTIF(Data!B:B, A183)),"""")"),"")</f>
        <v/>
      </c>
      <c r="X183" s="60" t="str">
        <f t="shared" si="38"/>
        <v/>
      </c>
      <c r="Y183" s="45" t="str">
        <f t="shared" si="7"/>
        <v/>
      </c>
      <c r="Z183" s="45" t="str">
        <f t="shared" si="8"/>
        <v/>
      </c>
      <c r="AA183" s="16" t="str">
        <f t="shared" si="9"/>
        <v/>
      </c>
      <c r="AB183" s="16"/>
      <c r="AC183" s="16" t="str">
        <f>IFERROR(__xludf.DUMMYFUNCTION("IF(AA183="""","""",MAX(Filter((Data!G:G+Data!K:K),Data!B:B=A183)))"),"")</f>
        <v/>
      </c>
      <c r="AD183" s="16"/>
      <c r="AE183" s="16" t="str">
        <f t="shared" si="12"/>
        <v/>
      </c>
      <c r="AF183" s="16" t="str">
        <f t="shared" si="13"/>
        <v/>
      </c>
      <c r="AG183" s="44"/>
      <c r="AH183" s="44"/>
      <c r="AI183" s="44" t="str">
        <f>IFERROR(__xludf.DUMMYFUNCTION("TEXTJOIN("", "",TRUE, FILTER(Data!P:P, Data!B:B=A183))"),"")</f>
        <v/>
      </c>
      <c r="AM183" s="61"/>
      <c r="BC183" s="50"/>
    </row>
    <row r="184">
      <c r="A184" s="54"/>
      <c r="B184" s="55" t="str">
        <f>IFERROR(__xludf.DUMMYFUNCTION("IFERROR(ROUND(
(COUNTIF(FILTER(Data!O:O, Data!B:B=A184), ""Win"")
+ COUNTIF(FILTER(Data!O:O, Data!B:B=A184), {""Tie"",""Results""}))
/ (COUNTIF(Data!B:B, A184)),
1),"""")"),"")</f>
        <v/>
      </c>
      <c r="C184" s="45" t="str">
        <f>IFERROR((SUMIF(Data!B:B, A184, Data!H:H)
/ (COUNTIF(Data!B:B, A184)
)),"")</f>
        <v/>
      </c>
      <c r="D184" s="45" t="str">
        <f>IFERROR((SUMIF(Data!B:B, A184, Data!G:G)
/ (COUNTIF(Data!B:B, A184)
)),"")</f>
        <v/>
      </c>
      <c r="E184" s="31" t="str">
        <f t="shared" si="39"/>
        <v/>
      </c>
      <c r="F184" s="45" t="str">
        <f>IFERROR((SUMIF(Data!B:B, A184, Data!J:J)
/ (COUNTIF(Data!B:B, A184)
)),"")</f>
        <v/>
      </c>
      <c r="G184" s="56" t="str">
        <f>IF(A184="","",IFERROR((((((SUMIF(Data!B:B, A184, Data!H:H)+(SUMIF(Data!B:B, A184,Data!G:G)))/(SUMIF(Data!B:B, A184, Data!J:J)))))),0))</f>
        <v/>
      </c>
      <c r="H184" s="32" t="str">
        <f>IFERROR(__xludf.DUMMYFUNCTION("IFERROR(IF(G184="""","""",Average(FILTER(IF(Data!J:J&lt;3,((Data!G:G+Data!H:H)/Data!J:J),1),Data!B:B=A184))),""Never Attempted"")"),"")</f>
        <v/>
      </c>
      <c r="I184" s="31"/>
      <c r="J184" s="31"/>
      <c r="K184" s="31" t="str">
        <f t="shared" si="40"/>
        <v/>
      </c>
      <c r="L184" s="45" t="str">
        <f>IFERROR((SUMIF(Data!B:B, A184, Data!L:L)
/ (COUNTIF(Data!B:B, A184)
)),"")</f>
        <v/>
      </c>
      <c r="M184" s="45" t="str">
        <f>IFERROR((SUMIF(Data!B:B, A184, Data!K:K)
/ (COUNTIF(Data!B:B, A184)
)),"")</f>
        <v/>
      </c>
      <c r="N184" s="56"/>
      <c r="O184" s="56" t="str">
        <f>IF(A184="","",IFERROR((((((SUMIF(Data!B:B, A184, Data!H:H)+(SUMIF(Data!B:B, A184,Data!G:G)+(SUMIF(Data!B:B, A184,Data!L:L)+(SUMIF(Data!B:B, A184,Data!K:K)))))/(SUMIF(Data!B:B, A184, Data!M:M)+(SUMIF(Data!B:B, A184, Data!H:H)+(SUMIF(Data!B:B, A184,Data!G:G)+(SUMIF(Data!B:B, A184,Data!K:K)+(SUMIF(Data!B:B, A184,Data!L:L)))))))))),0))</f>
        <v/>
      </c>
      <c r="P184" s="57" t="str">
        <f>IFERROR(__xludf.DUMMYFUNCTION("IFERROR(((COUNTIF(FILTER(Data!N:N,Data!B:B=A184),""TRAVERSE"")*15)+(COUNTIF(FILTER(Data!N:N,Data!B:B=A184),""HIGH"")*10)+(COUNTIF(FILTER(Data!N:N,Data!B:B=A184),""MIDDLE"")*6)+(COUNTIF(FILTER(Data!N:N,Data!B:B=A184),""LOW"")*4)) / (COUNTIF(Data!B:B, A184)"&amp;"),"""")"),"")</f>
        <v/>
      </c>
      <c r="Q184" s="31" t="str">
        <f>IF(P184="","",AVERAGE('Convert Name to Number'!F604:H604))</f>
        <v/>
      </c>
      <c r="R184" s="36" t="str">
        <f t="shared" si="37"/>
        <v/>
      </c>
      <c r="S184" s="58" t="str">
        <f>IFERROR(__xludf.DUMMYFUNCTION("IFERROR((((COUNTIF(FILTER(Data!N:N,Data!B:B=A184),""TRAVERSE""))+(COUNTIF(FILTER(Data!N:N,Data!B:B=A184),""HIGH""))+(COUNTIF(FILTER(Data!N:N,Data!B:B=A184),""MIDDLE""))+(COUNTIF(FILTER(Data!N:N,Data!B:B=A184),""LOW"")))) / (((COUNTIF(Data!B:B, A184)))-(CO"&amp;"UNTIF(FILTER(Data!N:N,Data!B:B=A184),""NONE""))),IF(ISBLANK(A184),"""",0))"),"")</f>
        <v/>
      </c>
      <c r="T184" s="56" t="str">
        <f>IFERROR(__xludf.DUMMYFUNCTION("IFERROR((COUNTIF(FILTER(Data!N:N, Data!B:B=A184),""LOW"")) / (COUNTIF(Data!B:B, A184)),"""")"),"")</f>
        <v/>
      </c>
      <c r="U184" s="59" t="str">
        <f>IFERROR(__xludf.DUMMYFUNCTION("IFERROR((COUNTIF(FILTER(Data!N:N, Data!B:B=A184),""MIDDLE"")) / (COUNTIF(Data!B:B, A184)),"""")"),"")</f>
        <v/>
      </c>
      <c r="V184" s="59" t="str">
        <f>IFERROR(__xludf.DUMMYFUNCTION("IFERROR((COUNTIF(FILTER(Data!N:N, Data!B:B=A184),""HIGH"")) / (COUNTIF(Data!B:B, A184)),"""")"),"")</f>
        <v/>
      </c>
      <c r="W184" s="59" t="str">
        <f>IFERROR(__xludf.DUMMYFUNCTION("IFERROR((COUNTIF(FILTER(Data!N:N, Data!B:B=A184),""TRAVERSE"")) / (COUNTIF(Data!B:B, A184)),"""")"),"")</f>
        <v/>
      </c>
      <c r="X184" s="60" t="str">
        <f t="shared" si="38"/>
        <v/>
      </c>
      <c r="Y184" s="45" t="str">
        <f t="shared" si="7"/>
        <v/>
      </c>
      <c r="Z184" s="45" t="str">
        <f t="shared" si="8"/>
        <v/>
      </c>
      <c r="AA184" s="16" t="str">
        <f t="shared" si="9"/>
        <v/>
      </c>
      <c r="AB184" s="16"/>
      <c r="AC184" s="16" t="str">
        <f>IFERROR(__xludf.DUMMYFUNCTION("IF(AA184="""","""",MAX(Filter((Data!G:G+Data!K:K),Data!B:B=A184)))"),"")</f>
        <v/>
      </c>
      <c r="AD184" s="16"/>
      <c r="AE184" s="16" t="str">
        <f t="shared" si="12"/>
        <v/>
      </c>
      <c r="AF184" s="16" t="str">
        <f t="shared" si="13"/>
        <v/>
      </c>
      <c r="AG184" s="44"/>
      <c r="AH184" s="44"/>
      <c r="AI184" s="44" t="str">
        <f>IFERROR(__xludf.DUMMYFUNCTION("TEXTJOIN("", "",TRUE, FILTER(Data!P:P, Data!B:B=A184))"),"")</f>
        <v/>
      </c>
      <c r="AM184" s="61"/>
      <c r="BC184" s="50"/>
    </row>
    <row r="185">
      <c r="A185" s="54"/>
      <c r="B185" s="55" t="str">
        <f>IFERROR(__xludf.DUMMYFUNCTION("IFERROR(ROUND(
(COUNTIF(FILTER(Data!O:O, Data!B:B=A185), ""Win"")
+ COUNTIF(FILTER(Data!O:O, Data!B:B=A185), {""Tie"",""Results""}))
/ (COUNTIF(Data!B:B, A185)),
1),"""")"),"")</f>
        <v/>
      </c>
      <c r="C185" s="45" t="str">
        <f>IFERROR((SUMIF(Data!B:B, A185, Data!H:H)
/ (COUNTIF(Data!B:B, A185)
)),"")</f>
        <v/>
      </c>
      <c r="D185" s="45" t="str">
        <f>IFERROR((SUMIF(Data!B:B, A185, Data!G:G)
/ (COUNTIF(Data!B:B, A185)
)),"")</f>
        <v/>
      </c>
      <c r="E185" s="31" t="str">
        <f t="shared" si="39"/>
        <v/>
      </c>
      <c r="F185" s="45" t="str">
        <f>IFERROR((SUMIF(Data!B:B, A185, Data!J:J)
/ (COUNTIF(Data!B:B, A185)
)),"")</f>
        <v/>
      </c>
      <c r="G185" s="56" t="str">
        <f>IF(A185="","",IFERROR((((((SUMIF(Data!B:B, A185, Data!H:H)+(SUMIF(Data!B:B, A185,Data!G:G)))/(SUMIF(Data!B:B, A185, Data!J:J)))))),0))</f>
        <v/>
      </c>
      <c r="H185" s="32" t="str">
        <f>IFERROR(__xludf.DUMMYFUNCTION("IFERROR(IF(G185="""","""",Average(FILTER(IF(Data!J:J&lt;3,((Data!G:G+Data!H:H)/Data!J:J),1),Data!B:B=A185))),""Never Attempted"")"),"")</f>
        <v/>
      </c>
      <c r="I185" s="31"/>
      <c r="J185" s="31"/>
      <c r="K185" s="31" t="str">
        <f t="shared" si="40"/>
        <v/>
      </c>
      <c r="L185" s="45" t="str">
        <f>IFERROR((SUMIF(Data!B:B, A185, Data!L:L)
/ (COUNTIF(Data!B:B, A185)
)),"")</f>
        <v/>
      </c>
      <c r="M185" s="45" t="str">
        <f>IFERROR((SUMIF(Data!B:B, A185, Data!K:K)
/ (COUNTIF(Data!B:B, A185)
)),"")</f>
        <v/>
      </c>
      <c r="N185" s="56"/>
      <c r="O185" s="56" t="str">
        <f>IF(A185="","",IFERROR((((((SUMIF(Data!B:B, A185, Data!H:H)+(SUMIF(Data!B:B, A185,Data!G:G)+(SUMIF(Data!B:B, A185,Data!L:L)+(SUMIF(Data!B:B, A185,Data!K:K)))))/(SUMIF(Data!B:B, A185, Data!M:M)+(SUMIF(Data!B:B, A185, Data!H:H)+(SUMIF(Data!B:B, A185,Data!G:G)+(SUMIF(Data!B:B, A185,Data!K:K)+(SUMIF(Data!B:B, A185,Data!L:L)))))))))),0))</f>
        <v/>
      </c>
      <c r="P185" s="57" t="str">
        <f>IFERROR(__xludf.DUMMYFUNCTION("IFERROR(((COUNTIF(FILTER(Data!N:N,Data!B:B=A185),""TRAVERSE"")*15)+(COUNTIF(FILTER(Data!N:N,Data!B:B=A185),""HIGH"")*10)+(COUNTIF(FILTER(Data!N:N,Data!B:B=A185),""MIDDLE"")*6)+(COUNTIF(FILTER(Data!N:N,Data!B:B=A185),""LOW"")*4)) / (COUNTIF(Data!B:B, A185)"&amp;"),"""")"),"")</f>
        <v/>
      </c>
      <c r="Q185" s="31" t="str">
        <f>IF(P185="","",AVERAGE('Convert Name to Number'!F605:H605))</f>
        <v/>
      </c>
      <c r="R185" s="36" t="str">
        <f t="shared" si="37"/>
        <v/>
      </c>
      <c r="S185" s="58" t="str">
        <f>IFERROR(__xludf.DUMMYFUNCTION("IFERROR((((COUNTIF(FILTER(Data!N:N,Data!B:B=A185),""TRAVERSE""))+(COUNTIF(FILTER(Data!N:N,Data!B:B=A185),""HIGH""))+(COUNTIF(FILTER(Data!N:N,Data!B:B=A185),""MIDDLE""))+(COUNTIF(FILTER(Data!N:N,Data!B:B=A185),""LOW"")))) / (((COUNTIF(Data!B:B, A185)))-(CO"&amp;"UNTIF(FILTER(Data!N:N,Data!B:B=A185),""NONE""))),IF(ISBLANK(A185),"""",0))"),"")</f>
        <v/>
      </c>
      <c r="T185" s="56" t="str">
        <f>IFERROR(__xludf.DUMMYFUNCTION("IFERROR((COUNTIF(FILTER(Data!N:N, Data!B:B=A185),""LOW"")) / (COUNTIF(Data!B:B, A185)),"""")"),"")</f>
        <v/>
      </c>
      <c r="U185" s="59" t="str">
        <f>IFERROR(__xludf.DUMMYFUNCTION("IFERROR((COUNTIF(FILTER(Data!N:N, Data!B:B=A185),""MIDDLE"")) / (COUNTIF(Data!B:B, A185)),"""")"),"")</f>
        <v/>
      </c>
      <c r="V185" s="59" t="str">
        <f>IFERROR(__xludf.DUMMYFUNCTION("IFERROR((COUNTIF(FILTER(Data!N:N, Data!B:B=A185),""HIGH"")) / (COUNTIF(Data!B:B, A185)),"""")"),"")</f>
        <v/>
      </c>
      <c r="W185" s="59" t="str">
        <f>IFERROR(__xludf.DUMMYFUNCTION("IFERROR((COUNTIF(FILTER(Data!N:N, Data!B:B=A185),""TRAVERSE"")) / (COUNTIF(Data!B:B, A185)),"""")"),"")</f>
        <v/>
      </c>
      <c r="X185" s="60" t="str">
        <f t="shared" si="38"/>
        <v/>
      </c>
      <c r="Y185" s="45" t="str">
        <f t="shared" si="7"/>
        <v/>
      </c>
      <c r="Z185" s="45" t="str">
        <f t="shared" si="8"/>
        <v/>
      </c>
      <c r="AA185" s="16" t="str">
        <f t="shared" si="9"/>
        <v/>
      </c>
      <c r="AB185" s="16"/>
      <c r="AC185" s="16" t="str">
        <f>IFERROR(__xludf.DUMMYFUNCTION("IF(AA185="""","""",MAX(Filter((Data!G:G+Data!K:K),Data!B:B=A185)))"),"")</f>
        <v/>
      </c>
      <c r="AD185" s="16"/>
      <c r="AE185" s="16" t="str">
        <f t="shared" si="12"/>
        <v/>
      </c>
      <c r="AF185" s="16" t="str">
        <f t="shared" si="13"/>
        <v/>
      </c>
      <c r="AG185" s="44"/>
      <c r="AH185" s="44"/>
      <c r="AI185" s="44" t="str">
        <f>IFERROR(__xludf.DUMMYFUNCTION("TEXTJOIN("", "",TRUE, FILTER(Data!P:P, Data!B:B=A185))"),"")</f>
        <v/>
      </c>
      <c r="AM185" s="61"/>
      <c r="BC185" s="50"/>
    </row>
    <row r="186">
      <c r="A186" s="54"/>
      <c r="B186" s="55" t="str">
        <f>IFERROR(__xludf.DUMMYFUNCTION("IFERROR(ROUND(
(COUNTIF(FILTER(Data!O:O, Data!B:B=A186), ""Win"")
+ COUNTIF(FILTER(Data!O:O, Data!B:B=A186), {""Tie"",""Results""}))
/ (COUNTIF(Data!B:B, A186)),
1),"""")"),"")</f>
        <v/>
      </c>
      <c r="C186" s="45" t="str">
        <f>IFERROR((SUMIF(Data!B:B, A186, Data!H:H)
/ (COUNTIF(Data!B:B, A186)
)),"")</f>
        <v/>
      </c>
      <c r="D186" s="45" t="str">
        <f>IFERROR((SUMIF(Data!B:B, A186, Data!G:G)
/ (COUNTIF(Data!B:B, A186)
)),"")</f>
        <v/>
      </c>
      <c r="E186" s="31" t="str">
        <f t="shared" si="39"/>
        <v/>
      </c>
      <c r="F186" s="45" t="str">
        <f>IFERROR((SUMIF(Data!B:B, A186, Data!J:J)
/ (COUNTIF(Data!B:B, A186)
)),"")</f>
        <v/>
      </c>
      <c r="G186" s="56" t="str">
        <f>IF(A186="","",IFERROR((((((SUMIF(Data!B:B, A186, Data!H:H)+(SUMIF(Data!B:B, A186,Data!G:G)))/(SUMIF(Data!B:B, A186, Data!J:J)))))),0))</f>
        <v/>
      </c>
      <c r="H186" s="32" t="str">
        <f>IFERROR(__xludf.DUMMYFUNCTION("IFERROR(IF(G186="""","""",Average(FILTER(IF(Data!J:J&lt;3,((Data!G:G+Data!H:H)/Data!J:J),1),Data!B:B=A186))),""Never Attempted"")"),"")</f>
        <v/>
      </c>
      <c r="I186" s="31"/>
      <c r="J186" s="31"/>
      <c r="K186" s="31" t="str">
        <f t="shared" si="40"/>
        <v/>
      </c>
      <c r="L186" s="45" t="str">
        <f>IFERROR((SUMIF(Data!B:B, A186, Data!L:L)
/ (COUNTIF(Data!B:B, A186)
)),"")</f>
        <v/>
      </c>
      <c r="M186" s="45" t="str">
        <f>IFERROR((SUMIF(Data!B:B, A186, Data!K:K)
/ (COUNTIF(Data!B:B, A186)
)),"")</f>
        <v/>
      </c>
      <c r="N186" s="56"/>
      <c r="O186" s="56" t="str">
        <f>IF(A186="","",IFERROR((((((SUMIF(Data!B:B, A186, Data!H:H)+(SUMIF(Data!B:B, A186,Data!G:G)+(SUMIF(Data!B:B, A186,Data!L:L)+(SUMIF(Data!B:B, A186,Data!K:K)))))/(SUMIF(Data!B:B, A186, Data!M:M)+(SUMIF(Data!B:B, A186, Data!H:H)+(SUMIF(Data!B:B, A186,Data!G:G)+(SUMIF(Data!B:B, A186,Data!K:K)+(SUMIF(Data!B:B, A186,Data!L:L)))))))))),0))</f>
        <v/>
      </c>
      <c r="P186" s="57" t="str">
        <f>IFERROR(__xludf.DUMMYFUNCTION("IFERROR(((COUNTIF(FILTER(Data!N:N,Data!B:B=A186),""TRAVERSE"")*15)+(COUNTIF(FILTER(Data!N:N,Data!B:B=A186),""HIGH"")*10)+(COUNTIF(FILTER(Data!N:N,Data!B:B=A186),""MIDDLE"")*6)+(COUNTIF(FILTER(Data!N:N,Data!B:B=A186),""LOW"")*4)) / (COUNTIF(Data!B:B, A186)"&amp;"),"""")"),"")</f>
        <v/>
      </c>
      <c r="Q186" s="31" t="str">
        <f>IF(P186="","",AVERAGE('Convert Name to Number'!F606:H606))</f>
        <v/>
      </c>
      <c r="R186" s="36" t="str">
        <f t="shared" si="37"/>
        <v/>
      </c>
      <c r="S186" s="58" t="str">
        <f>IFERROR(__xludf.DUMMYFUNCTION("IFERROR((((COUNTIF(FILTER(Data!N:N,Data!B:B=A186),""TRAVERSE""))+(COUNTIF(FILTER(Data!N:N,Data!B:B=A186),""HIGH""))+(COUNTIF(FILTER(Data!N:N,Data!B:B=A186),""MIDDLE""))+(COUNTIF(FILTER(Data!N:N,Data!B:B=A186),""LOW"")))) / (((COUNTIF(Data!B:B, A186)))-(CO"&amp;"UNTIF(FILTER(Data!N:N,Data!B:B=A186),""NONE""))),IF(ISBLANK(A186),"""",0))"),"")</f>
        <v/>
      </c>
      <c r="T186" s="56" t="str">
        <f>IFERROR(__xludf.DUMMYFUNCTION("IFERROR((COUNTIF(FILTER(Data!N:N, Data!B:B=A186),""LOW"")) / (COUNTIF(Data!B:B, A186)),"""")"),"")</f>
        <v/>
      </c>
      <c r="U186" s="59" t="str">
        <f>IFERROR(__xludf.DUMMYFUNCTION("IFERROR((COUNTIF(FILTER(Data!N:N, Data!B:B=A186),""MIDDLE"")) / (COUNTIF(Data!B:B, A186)),"""")"),"")</f>
        <v/>
      </c>
      <c r="V186" s="59" t="str">
        <f>IFERROR(__xludf.DUMMYFUNCTION("IFERROR((COUNTIF(FILTER(Data!N:N, Data!B:B=A186),""HIGH"")) / (COUNTIF(Data!B:B, A186)),"""")"),"")</f>
        <v/>
      </c>
      <c r="W186" s="59" t="str">
        <f>IFERROR(__xludf.DUMMYFUNCTION("IFERROR((COUNTIF(FILTER(Data!N:N, Data!B:B=A186),""TRAVERSE"")) / (COUNTIF(Data!B:B, A186)),"""")"),"")</f>
        <v/>
      </c>
      <c r="X186" s="60" t="str">
        <f t="shared" si="38"/>
        <v/>
      </c>
      <c r="Y186" s="45" t="str">
        <f t="shared" si="7"/>
        <v/>
      </c>
      <c r="Z186" s="45" t="str">
        <f t="shared" si="8"/>
        <v/>
      </c>
      <c r="AA186" s="16" t="str">
        <f t="shared" si="9"/>
        <v/>
      </c>
      <c r="AB186" s="16"/>
      <c r="AC186" s="16" t="str">
        <f>IFERROR(__xludf.DUMMYFUNCTION("IF(AA186="""","""",MAX(Filter((Data!G:G+Data!K:K),Data!B:B=A186)))"),"")</f>
        <v/>
      </c>
      <c r="AD186" s="16"/>
      <c r="AE186" s="16" t="str">
        <f t="shared" si="12"/>
        <v/>
      </c>
      <c r="AF186" s="16" t="str">
        <f t="shared" si="13"/>
        <v/>
      </c>
      <c r="AG186" s="44"/>
      <c r="AH186" s="44"/>
      <c r="AI186" s="44" t="str">
        <f>IFERROR(__xludf.DUMMYFUNCTION("TEXTJOIN("", "",TRUE, FILTER(Data!P:P, Data!B:B=A186))"),"")</f>
        <v/>
      </c>
      <c r="AM186" s="61"/>
      <c r="BC186" s="50"/>
    </row>
    <row r="187">
      <c r="A187" s="54"/>
      <c r="B187" s="55" t="str">
        <f>IFERROR(__xludf.DUMMYFUNCTION("IFERROR(ROUND(
(COUNTIF(FILTER(Data!O:O, Data!B:B=A187), ""Win"")
+ COUNTIF(FILTER(Data!O:O, Data!B:B=A187), {""Tie"",""Results""}))
/ (COUNTIF(Data!B:B, A187)),
1),"""")"),"")</f>
        <v/>
      </c>
      <c r="C187" s="45" t="str">
        <f>IFERROR((SUMIF(Data!B:B, A187, Data!H:H)
/ (COUNTIF(Data!B:B, A187)
)),"")</f>
        <v/>
      </c>
      <c r="D187" s="45" t="str">
        <f>IFERROR((SUMIF(Data!B:B, A187, Data!G:G)
/ (COUNTIF(Data!B:B, A187)
)),"")</f>
        <v/>
      </c>
      <c r="E187" s="31" t="str">
        <f t="shared" si="39"/>
        <v/>
      </c>
      <c r="F187" s="45" t="str">
        <f>IFERROR((SUMIF(Data!B:B, A187, Data!J:J)
/ (COUNTIF(Data!B:B, A187)
)),"")</f>
        <v/>
      </c>
      <c r="G187" s="56" t="str">
        <f>IF(A187="","",IFERROR((((((SUMIF(Data!B:B, A187, Data!H:H)+(SUMIF(Data!B:B, A187,Data!G:G)))/(SUMIF(Data!B:B, A187, Data!J:J)))))),0))</f>
        <v/>
      </c>
      <c r="H187" s="32" t="str">
        <f>IFERROR(__xludf.DUMMYFUNCTION("IFERROR(IF(G187="""","""",Average(FILTER(IF(Data!J:J&lt;3,((Data!G:G+Data!H:H)/Data!J:J),1),Data!B:B=A187))),""Never Attempted"")"),"")</f>
        <v/>
      </c>
      <c r="I187" s="31"/>
      <c r="J187" s="31"/>
      <c r="K187" s="31" t="str">
        <f t="shared" si="40"/>
        <v/>
      </c>
      <c r="L187" s="45" t="str">
        <f>IFERROR((SUMIF(Data!B:B, A187, Data!L:L)
/ (COUNTIF(Data!B:B, A187)
)),"")</f>
        <v/>
      </c>
      <c r="M187" s="45" t="str">
        <f>IFERROR((SUMIF(Data!B:B, A187, Data!K:K)
/ (COUNTIF(Data!B:B, A187)
)),"")</f>
        <v/>
      </c>
      <c r="N187" s="56"/>
      <c r="O187" s="56" t="str">
        <f>IF(A187="","",IFERROR((((((SUMIF(Data!B:B, A187, Data!H:H)+(SUMIF(Data!B:B, A187,Data!G:G)+(SUMIF(Data!B:B, A187,Data!L:L)+(SUMIF(Data!B:B, A187,Data!K:K)))))/(SUMIF(Data!B:B, A187, Data!M:M)+(SUMIF(Data!B:B, A187, Data!H:H)+(SUMIF(Data!B:B, A187,Data!G:G)+(SUMIF(Data!B:B, A187,Data!K:K)+(SUMIF(Data!B:B, A187,Data!L:L)))))))))),0))</f>
        <v/>
      </c>
      <c r="P187" s="57" t="str">
        <f>IFERROR(__xludf.DUMMYFUNCTION("IFERROR(((COUNTIF(FILTER(Data!N:N,Data!B:B=A187),""TRAVERSE"")*15)+(COUNTIF(FILTER(Data!N:N,Data!B:B=A187),""HIGH"")*10)+(COUNTIF(FILTER(Data!N:N,Data!B:B=A187),""MIDDLE"")*6)+(COUNTIF(FILTER(Data!N:N,Data!B:B=A187),""LOW"")*4)) / (COUNTIF(Data!B:B, A187)"&amp;"),"""")"),"")</f>
        <v/>
      </c>
      <c r="Q187" s="31" t="str">
        <f>IF(P187="","",AVERAGE('Convert Name to Number'!F607:H607))</f>
        <v/>
      </c>
      <c r="R187" s="36" t="str">
        <f t="shared" si="37"/>
        <v/>
      </c>
      <c r="S187" s="58" t="str">
        <f>IFERROR(__xludf.DUMMYFUNCTION("IFERROR((((COUNTIF(FILTER(Data!N:N,Data!B:B=A187),""TRAVERSE""))+(COUNTIF(FILTER(Data!N:N,Data!B:B=A187),""HIGH""))+(COUNTIF(FILTER(Data!N:N,Data!B:B=A187),""MIDDLE""))+(COUNTIF(FILTER(Data!N:N,Data!B:B=A187),""LOW"")))) / (((COUNTIF(Data!B:B, A187)))-(CO"&amp;"UNTIF(FILTER(Data!N:N,Data!B:B=A187),""NONE""))),IF(ISBLANK(A187),"""",0))"),"")</f>
        <v/>
      </c>
      <c r="T187" s="56" t="str">
        <f>IFERROR(__xludf.DUMMYFUNCTION("IFERROR((COUNTIF(FILTER(Data!N:N, Data!B:B=A187),""LOW"")) / (COUNTIF(Data!B:B, A187)),"""")"),"")</f>
        <v/>
      </c>
      <c r="U187" s="59" t="str">
        <f>IFERROR(__xludf.DUMMYFUNCTION("IFERROR((COUNTIF(FILTER(Data!N:N, Data!B:B=A187),""MIDDLE"")) / (COUNTIF(Data!B:B, A187)),"""")"),"")</f>
        <v/>
      </c>
      <c r="V187" s="59" t="str">
        <f>IFERROR(__xludf.DUMMYFUNCTION("IFERROR((COUNTIF(FILTER(Data!N:N, Data!B:B=A187),""HIGH"")) / (COUNTIF(Data!B:B, A187)),"""")"),"")</f>
        <v/>
      </c>
      <c r="W187" s="59" t="str">
        <f>IFERROR(__xludf.DUMMYFUNCTION("IFERROR((COUNTIF(FILTER(Data!N:N, Data!B:B=A187),""TRAVERSE"")) / (COUNTIF(Data!B:B, A187)),"""")"),"")</f>
        <v/>
      </c>
      <c r="X187" s="60" t="str">
        <f t="shared" si="38"/>
        <v/>
      </c>
      <c r="Y187" s="45" t="str">
        <f t="shared" si="7"/>
        <v/>
      </c>
      <c r="Z187" s="45" t="str">
        <f t="shared" si="8"/>
        <v/>
      </c>
      <c r="AA187" s="16" t="str">
        <f t="shared" si="9"/>
        <v/>
      </c>
      <c r="AB187" s="16"/>
      <c r="AC187" s="16" t="str">
        <f>IFERROR(__xludf.DUMMYFUNCTION("IF(AA187="""","""",MAX(Filter((Data!G:G+Data!K:K),Data!B:B=A187)))"),"")</f>
        <v/>
      </c>
      <c r="AD187" s="16"/>
      <c r="AE187" s="16" t="str">
        <f t="shared" si="12"/>
        <v/>
      </c>
      <c r="AF187" s="16" t="str">
        <f t="shared" si="13"/>
        <v/>
      </c>
      <c r="AG187" s="44"/>
      <c r="AH187" s="44"/>
      <c r="AI187" s="44" t="str">
        <f>IFERROR(__xludf.DUMMYFUNCTION("TEXTJOIN("", "",TRUE, FILTER(Data!P:P, Data!B:B=A187))"),"")</f>
        <v/>
      </c>
      <c r="AM187" s="61"/>
      <c r="BC187" s="50"/>
    </row>
    <row r="188">
      <c r="A188" s="54"/>
      <c r="B188" s="55" t="str">
        <f>IFERROR(__xludf.DUMMYFUNCTION("IFERROR(ROUND(
(COUNTIF(FILTER(Data!O:O, Data!B:B=A188), ""Win"")
+ COUNTIF(FILTER(Data!O:O, Data!B:B=A188), {""Tie"",""Results""}))
/ (COUNTIF(Data!B:B, A188)),
1),"""")"),"")</f>
        <v/>
      </c>
      <c r="C188" s="45" t="str">
        <f>IFERROR((SUMIF(Data!B:B, A188, Data!H:H)
/ (COUNTIF(Data!B:B, A188)
)),"")</f>
        <v/>
      </c>
      <c r="D188" s="45" t="str">
        <f>IFERROR((SUMIF(Data!B:B, A188, Data!G:G)
/ (COUNTIF(Data!B:B, A188)
)),"")</f>
        <v/>
      </c>
      <c r="E188" s="31" t="str">
        <f t="shared" si="39"/>
        <v/>
      </c>
      <c r="F188" s="45" t="str">
        <f>IFERROR((SUMIF(Data!B:B, A188, Data!J:J)
/ (COUNTIF(Data!B:B, A188)
)),"")</f>
        <v/>
      </c>
      <c r="G188" s="56" t="str">
        <f>IF(A188="","",IFERROR((((((SUMIF(Data!B:B, A188, Data!H:H)+(SUMIF(Data!B:B, A188,Data!G:G)))/(SUMIF(Data!B:B, A188, Data!J:J)))))),0))</f>
        <v/>
      </c>
      <c r="H188" s="32" t="str">
        <f>IFERROR(__xludf.DUMMYFUNCTION("IFERROR(IF(G188="""","""",Average(FILTER(IF(Data!J:J&lt;3,((Data!G:G+Data!H:H)/Data!J:J),1),Data!B:B=A188))),""Never Attempted"")"),"")</f>
        <v/>
      </c>
      <c r="I188" s="31"/>
      <c r="J188" s="31"/>
      <c r="K188" s="31" t="str">
        <f t="shared" si="40"/>
        <v/>
      </c>
      <c r="L188" s="45" t="str">
        <f>IFERROR((SUMIF(Data!B:B, A188, Data!L:L)
/ (COUNTIF(Data!B:B, A188)
)),"")</f>
        <v/>
      </c>
      <c r="M188" s="45" t="str">
        <f>IFERROR((SUMIF(Data!B:B, A188, Data!K:K)
/ (COUNTIF(Data!B:B, A188)
)),"")</f>
        <v/>
      </c>
      <c r="N188" s="56"/>
      <c r="O188" s="56" t="str">
        <f>IF(A188="","",IFERROR((((((SUMIF(Data!B:B, A188, Data!H:H)+(SUMIF(Data!B:B, A188,Data!G:G)+(SUMIF(Data!B:B, A188,Data!L:L)+(SUMIF(Data!B:B, A188,Data!K:K)))))/(SUMIF(Data!B:B, A188, Data!M:M)+(SUMIF(Data!B:B, A188, Data!H:H)+(SUMIF(Data!B:B, A188,Data!G:G)+(SUMIF(Data!B:B, A188,Data!K:K)+(SUMIF(Data!B:B, A188,Data!L:L)))))))))),0))</f>
        <v/>
      </c>
      <c r="P188" s="57" t="str">
        <f>IFERROR(__xludf.DUMMYFUNCTION("IFERROR(((COUNTIF(FILTER(Data!N:N,Data!B:B=A188),""TRAVERSE"")*15)+(COUNTIF(FILTER(Data!N:N,Data!B:B=A188),""HIGH"")*10)+(COUNTIF(FILTER(Data!N:N,Data!B:B=A188),""MIDDLE"")*6)+(COUNTIF(FILTER(Data!N:N,Data!B:B=A188),""LOW"")*4)) / (COUNTIF(Data!B:B, A188)"&amp;"),"""")"),"")</f>
        <v/>
      </c>
      <c r="Q188" s="31" t="str">
        <f>IF(P188="","",AVERAGE('Convert Name to Number'!F608:H608))</f>
        <v/>
      </c>
      <c r="R188" s="36" t="str">
        <f t="shared" si="37"/>
        <v/>
      </c>
      <c r="S188" s="58" t="str">
        <f>IFERROR(__xludf.DUMMYFUNCTION("IFERROR((((COUNTIF(FILTER(Data!N:N,Data!B:B=A188),""TRAVERSE""))+(COUNTIF(FILTER(Data!N:N,Data!B:B=A188),""HIGH""))+(COUNTIF(FILTER(Data!N:N,Data!B:B=A188),""MIDDLE""))+(COUNTIF(FILTER(Data!N:N,Data!B:B=A188),""LOW"")))) / (((COUNTIF(Data!B:B, A188)))-(CO"&amp;"UNTIF(FILTER(Data!N:N,Data!B:B=A188),""NONE""))),IF(ISBLANK(A188),"""",0))"),"")</f>
        <v/>
      </c>
      <c r="T188" s="56" t="str">
        <f>IFERROR(__xludf.DUMMYFUNCTION("IFERROR((COUNTIF(FILTER(Data!N:N, Data!B:B=A188),""LOW"")) / (COUNTIF(Data!B:B, A188)),"""")"),"")</f>
        <v/>
      </c>
      <c r="U188" s="59" t="str">
        <f>IFERROR(__xludf.DUMMYFUNCTION("IFERROR((COUNTIF(FILTER(Data!N:N, Data!B:B=A188),""MIDDLE"")) / (COUNTIF(Data!B:B, A188)),"""")"),"")</f>
        <v/>
      </c>
      <c r="V188" s="59" t="str">
        <f>IFERROR(__xludf.DUMMYFUNCTION("IFERROR((COUNTIF(FILTER(Data!N:N, Data!B:B=A188),""HIGH"")) / (COUNTIF(Data!B:B, A188)),"""")"),"")</f>
        <v/>
      </c>
      <c r="W188" s="59" t="str">
        <f>IFERROR(__xludf.DUMMYFUNCTION("IFERROR((COUNTIF(FILTER(Data!N:N, Data!B:B=A188),""TRAVERSE"")) / (COUNTIF(Data!B:B, A188)),"""")"),"")</f>
        <v/>
      </c>
      <c r="X188" s="60" t="str">
        <f t="shared" si="38"/>
        <v/>
      </c>
      <c r="Y188" s="45" t="str">
        <f t="shared" si="7"/>
        <v/>
      </c>
      <c r="Z188" s="45" t="str">
        <f t="shared" si="8"/>
        <v/>
      </c>
      <c r="AA188" s="16" t="str">
        <f t="shared" si="9"/>
        <v/>
      </c>
      <c r="AB188" s="16"/>
      <c r="AC188" s="16" t="str">
        <f>IFERROR(__xludf.DUMMYFUNCTION("IF(AA188="""","""",MAX(Filter((Data!G:G+Data!K:K),Data!B:B=A188)))"),"")</f>
        <v/>
      </c>
      <c r="AD188" s="16"/>
      <c r="AE188" s="16" t="str">
        <f t="shared" si="12"/>
        <v/>
      </c>
      <c r="AF188" s="16" t="str">
        <f t="shared" si="13"/>
        <v/>
      </c>
      <c r="AG188" s="44"/>
      <c r="AH188" s="44"/>
      <c r="AI188" s="44" t="str">
        <f>IFERROR(__xludf.DUMMYFUNCTION("TEXTJOIN("", "",TRUE, FILTER(Data!P:P, Data!B:B=A188))"),"")</f>
        <v/>
      </c>
      <c r="AM188" s="61"/>
      <c r="BC188" s="50"/>
    </row>
    <row r="189">
      <c r="A189" s="54"/>
      <c r="B189" s="55" t="str">
        <f>IFERROR(__xludf.DUMMYFUNCTION("IFERROR(ROUND(
(COUNTIF(FILTER(Data!O:O, Data!B:B=A189), ""Win"")
+ COUNTIF(FILTER(Data!O:O, Data!B:B=A189), {""Tie"",""Results""}))
/ (COUNTIF(Data!B:B, A189)),
1),"""")"),"")</f>
        <v/>
      </c>
      <c r="C189" s="45" t="str">
        <f>IFERROR((SUMIF(Data!B:B, A189, Data!H:H)
/ (COUNTIF(Data!B:B, A189)
)),"")</f>
        <v/>
      </c>
      <c r="D189" s="45" t="str">
        <f>IFERROR((SUMIF(Data!B:B, A189, Data!G:G)
/ (COUNTIF(Data!B:B, A189)
)),"")</f>
        <v/>
      </c>
      <c r="E189" s="31" t="str">
        <f t="shared" si="39"/>
        <v/>
      </c>
      <c r="F189" s="45" t="str">
        <f>IFERROR((SUMIF(Data!B:B, A189, Data!J:J)
/ (COUNTIF(Data!B:B, A189)
)),"")</f>
        <v/>
      </c>
      <c r="G189" s="56" t="str">
        <f>IF(A189="","",IFERROR((((((SUMIF(Data!B:B, A189, Data!H:H)+(SUMIF(Data!B:B, A189,Data!G:G)))/(SUMIF(Data!B:B, A189, Data!J:J)))))),0))</f>
        <v/>
      </c>
      <c r="H189" s="32" t="str">
        <f>IFERROR(__xludf.DUMMYFUNCTION("IFERROR(IF(G189="""","""",Average(FILTER(IF(Data!J:J&lt;3,((Data!G:G+Data!H:H)/Data!J:J),1),Data!B:B=A189))),""Never Attempted"")"),"")</f>
        <v/>
      </c>
      <c r="I189" s="31"/>
      <c r="J189" s="31"/>
      <c r="K189" s="31" t="str">
        <f t="shared" si="40"/>
        <v/>
      </c>
      <c r="L189" s="45" t="str">
        <f>IFERROR((SUMIF(Data!B:B, A189, Data!L:L)
/ (COUNTIF(Data!B:B, A189)
)),"")</f>
        <v/>
      </c>
      <c r="M189" s="45" t="str">
        <f>IFERROR((SUMIF(Data!B:B, A189, Data!K:K)
/ (COUNTIF(Data!B:B, A189)
)),"")</f>
        <v/>
      </c>
      <c r="N189" s="56"/>
      <c r="O189" s="56" t="str">
        <f>IF(A189="","",IFERROR((((((SUMIF(Data!B:B, A189, Data!H:H)+(SUMIF(Data!B:B, A189,Data!G:G)+(SUMIF(Data!B:B, A189,Data!L:L)+(SUMIF(Data!B:B, A189,Data!K:K)))))/(SUMIF(Data!B:B, A189, Data!M:M)+(SUMIF(Data!B:B, A189, Data!H:H)+(SUMIF(Data!B:B, A189,Data!G:G)+(SUMIF(Data!B:B, A189,Data!K:K)+(SUMIF(Data!B:B, A189,Data!L:L)))))))))),0))</f>
        <v/>
      </c>
      <c r="P189" s="57" t="str">
        <f>IFERROR(__xludf.DUMMYFUNCTION("IFERROR(((COUNTIF(FILTER(Data!N:N,Data!B:B=A189),""TRAVERSE"")*15)+(COUNTIF(FILTER(Data!N:N,Data!B:B=A189),""HIGH"")*10)+(COUNTIF(FILTER(Data!N:N,Data!B:B=A189),""MIDDLE"")*6)+(COUNTIF(FILTER(Data!N:N,Data!B:B=A189),""LOW"")*4)) / (COUNTIF(Data!B:B, A189)"&amp;"),"""")"),"")</f>
        <v/>
      </c>
      <c r="Q189" s="31" t="str">
        <f>IF(P189="","",AVERAGE('Convert Name to Number'!F609:H609))</f>
        <v/>
      </c>
      <c r="R189" s="36" t="str">
        <f t="shared" si="37"/>
        <v/>
      </c>
      <c r="S189" s="58" t="str">
        <f>IFERROR(__xludf.DUMMYFUNCTION("IFERROR((((COUNTIF(FILTER(Data!N:N,Data!B:B=A189),""TRAVERSE""))+(COUNTIF(FILTER(Data!N:N,Data!B:B=A189),""HIGH""))+(COUNTIF(FILTER(Data!N:N,Data!B:B=A189),""MIDDLE""))+(COUNTIF(FILTER(Data!N:N,Data!B:B=A189),""LOW"")))) / (((COUNTIF(Data!B:B, A189)))-(CO"&amp;"UNTIF(FILTER(Data!N:N,Data!B:B=A189),""NONE""))),IF(ISBLANK(A189),"""",0))"),"")</f>
        <v/>
      </c>
      <c r="T189" s="56" t="str">
        <f>IFERROR(__xludf.DUMMYFUNCTION("IFERROR((COUNTIF(FILTER(Data!N:N, Data!B:B=A189),""LOW"")) / (COUNTIF(Data!B:B, A189)),"""")"),"")</f>
        <v/>
      </c>
      <c r="U189" s="59" t="str">
        <f>IFERROR(__xludf.DUMMYFUNCTION("IFERROR((COUNTIF(FILTER(Data!N:N, Data!B:B=A189),""MIDDLE"")) / (COUNTIF(Data!B:B, A189)),"""")"),"")</f>
        <v/>
      </c>
      <c r="V189" s="59" t="str">
        <f>IFERROR(__xludf.DUMMYFUNCTION("IFERROR((COUNTIF(FILTER(Data!N:N, Data!B:B=A189),""HIGH"")) / (COUNTIF(Data!B:B, A189)),"""")"),"")</f>
        <v/>
      </c>
      <c r="W189" s="59" t="str">
        <f>IFERROR(__xludf.DUMMYFUNCTION("IFERROR((COUNTIF(FILTER(Data!N:N, Data!B:B=A189),""TRAVERSE"")) / (COUNTIF(Data!B:B, A189)),"""")"),"")</f>
        <v/>
      </c>
      <c r="X189" s="60" t="str">
        <f t="shared" si="38"/>
        <v/>
      </c>
      <c r="Y189" s="45" t="str">
        <f t="shared" si="7"/>
        <v/>
      </c>
      <c r="Z189" s="45" t="str">
        <f t="shared" si="8"/>
        <v/>
      </c>
      <c r="AA189" s="16" t="str">
        <f t="shared" si="9"/>
        <v/>
      </c>
      <c r="AB189" s="16"/>
      <c r="AC189" s="16" t="str">
        <f>IFERROR(__xludf.DUMMYFUNCTION("IF(AA189="""","""",MAX(Filter((Data!G:G+Data!K:K),Data!B:B=A189)))"),"")</f>
        <v/>
      </c>
      <c r="AD189" s="16"/>
      <c r="AE189" s="16" t="str">
        <f t="shared" si="12"/>
        <v/>
      </c>
      <c r="AF189" s="16" t="str">
        <f t="shared" si="13"/>
        <v/>
      </c>
      <c r="AG189" s="44"/>
      <c r="AH189" s="44"/>
      <c r="AI189" s="44" t="str">
        <f>IFERROR(__xludf.DUMMYFUNCTION("TEXTJOIN("", "",TRUE, FILTER(Data!P:P, Data!B:B=A189))"),"")</f>
        <v/>
      </c>
      <c r="AM189" s="61"/>
      <c r="BC189" s="50"/>
    </row>
    <row r="190">
      <c r="A190" s="54"/>
      <c r="B190" s="55" t="str">
        <f>IFERROR(__xludf.DUMMYFUNCTION("IFERROR(ROUND(
(COUNTIF(FILTER(Data!O:O, Data!B:B=A190), ""Win"")
+ COUNTIF(FILTER(Data!O:O, Data!B:B=A190), {""Tie"",""Results""}))
/ (COUNTIF(Data!B:B, A190)),
1),"""")"),"")</f>
        <v/>
      </c>
      <c r="C190" s="45" t="str">
        <f>IFERROR((SUMIF(Data!B:B, A190, Data!H:H)
/ (COUNTIF(Data!B:B, A190)
)),"")</f>
        <v/>
      </c>
      <c r="D190" s="45" t="str">
        <f>IFERROR((SUMIF(Data!B:B, A190, Data!G:G)
/ (COUNTIF(Data!B:B, A190)
)),"")</f>
        <v/>
      </c>
      <c r="E190" s="31" t="str">
        <f t="shared" si="39"/>
        <v/>
      </c>
      <c r="F190" s="45" t="str">
        <f>IFERROR((SUMIF(Data!B:B, A190, Data!J:J)
/ (COUNTIF(Data!B:B, A190)
)),"")</f>
        <v/>
      </c>
      <c r="G190" s="56" t="str">
        <f>IF(A190="","",IFERROR((((((SUMIF(Data!B:B, A190, Data!H:H)+(SUMIF(Data!B:B, A190,Data!G:G)))/(SUMIF(Data!B:B, A190, Data!J:J)))))),0))</f>
        <v/>
      </c>
      <c r="H190" s="32" t="str">
        <f>IFERROR(__xludf.DUMMYFUNCTION("IFERROR(IF(G190="""","""",Average(FILTER(IF(Data!J:J&lt;3,((Data!G:G+Data!H:H)/Data!J:J),1),Data!B:B=A190))),""Never Attempted"")"),"")</f>
        <v/>
      </c>
      <c r="I190" s="31"/>
      <c r="J190" s="31"/>
      <c r="K190" s="31" t="str">
        <f t="shared" si="40"/>
        <v/>
      </c>
      <c r="L190" s="45" t="str">
        <f>IFERROR((SUMIF(Data!B:B, A190, Data!L:L)
/ (COUNTIF(Data!B:B, A190)
)),"")</f>
        <v/>
      </c>
      <c r="M190" s="45" t="str">
        <f>IFERROR((SUMIF(Data!B:B, A190, Data!K:K)
/ (COUNTIF(Data!B:B, A190)
)),"")</f>
        <v/>
      </c>
      <c r="N190" s="56"/>
      <c r="O190" s="56" t="str">
        <f>IF(A190="","",IFERROR((((((SUMIF(Data!B:B, A190, Data!H:H)+(SUMIF(Data!B:B, A190,Data!G:G)+(SUMIF(Data!B:B, A190,Data!L:L)+(SUMIF(Data!B:B, A190,Data!K:K)))))/(SUMIF(Data!B:B, A190, Data!M:M)+(SUMIF(Data!B:B, A190, Data!H:H)+(SUMIF(Data!B:B, A190,Data!G:G)+(SUMIF(Data!B:B, A190,Data!K:K)+(SUMIF(Data!B:B, A190,Data!L:L)))))))))),0))</f>
        <v/>
      </c>
      <c r="P190" s="57" t="str">
        <f>IFERROR(__xludf.DUMMYFUNCTION("IFERROR(((COUNTIF(FILTER(Data!N:N,Data!B:B=A190),""TRAVERSE"")*15)+(COUNTIF(FILTER(Data!N:N,Data!B:B=A190),""HIGH"")*10)+(COUNTIF(FILTER(Data!N:N,Data!B:B=A190),""MIDDLE"")*6)+(COUNTIF(FILTER(Data!N:N,Data!B:B=A190),""LOW"")*4)) / (COUNTIF(Data!B:B, A190)"&amp;"),"""")"),"")</f>
        <v/>
      </c>
      <c r="Q190" s="31" t="str">
        <f>IF(P190="","",AVERAGE('Convert Name to Number'!F610:H610))</f>
        <v/>
      </c>
      <c r="R190" s="36" t="str">
        <f t="shared" si="37"/>
        <v/>
      </c>
      <c r="S190" s="58" t="str">
        <f>IFERROR(__xludf.DUMMYFUNCTION("IFERROR((((COUNTIF(FILTER(Data!N:N,Data!B:B=A190),""TRAVERSE""))+(COUNTIF(FILTER(Data!N:N,Data!B:B=A190),""HIGH""))+(COUNTIF(FILTER(Data!N:N,Data!B:B=A190),""MIDDLE""))+(COUNTIF(FILTER(Data!N:N,Data!B:B=A190),""LOW"")))) / (((COUNTIF(Data!B:B, A190)))-(CO"&amp;"UNTIF(FILTER(Data!N:N,Data!B:B=A190),""NONE""))),IF(ISBLANK(A190),"""",0))"),"")</f>
        <v/>
      </c>
      <c r="T190" s="56" t="str">
        <f>IFERROR(__xludf.DUMMYFUNCTION("IFERROR((COUNTIF(FILTER(Data!N:N, Data!B:B=A190),""LOW"")) / (COUNTIF(Data!B:B, A190)),"""")"),"")</f>
        <v/>
      </c>
      <c r="U190" s="59" t="str">
        <f>IFERROR(__xludf.DUMMYFUNCTION("IFERROR((COUNTIF(FILTER(Data!N:N, Data!B:B=A190),""MIDDLE"")) / (COUNTIF(Data!B:B, A190)),"""")"),"")</f>
        <v/>
      </c>
      <c r="V190" s="59" t="str">
        <f>IFERROR(__xludf.DUMMYFUNCTION("IFERROR((COUNTIF(FILTER(Data!N:N, Data!B:B=A190),""HIGH"")) / (COUNTIF(Data!B:B, A190)),"""")"),"")</f>
        <v/>
      </c>
      <c r="W190" s="59" t="str">
        <f>IFERROR(__xludf.DUMMYFUNCTION("IFERROR((COUNTIF(FILTER(Data!N:N, Data!B:B=A190),""TRAVERSE"")) / (COUNTIF(Data!B:B, A190)),"""")"),"")</f>
        <v/>
      </c>
      <c r="X190" s="60" t="str">
        <f t="shared" si="38"/>
        <v/>
      </c>
      <c r="Y190" s="45" t="str">
        <f t="shared" si="7"/>
        <v/>
      </c>
      <c r="Z190" s="45" t="str">
        <f t="shared" si="8"/>
        <v/>
      </c>
      <c r="AA190" s="16" t="str">
        <f t="shared" si="9"/>
        <v/>
      </c>
      <c r="AB190" s="16"/>
      <c r="AC190" s="16" t="str">
        <f>IFERROR(__xludf.DUMMYFUNCTION("IF(AA190="""","""",MAX(Filter((Data!G:G+Data!K:K),Data!B:B=A190)))"),"")</f>
        <v/>
      </c>
      <c r="AD190" s="16"/>
      <c r="AE190" s="16" t="str">
        <f t="shared" si="12"/>
        <v/>
      </c>
      <c r="AF190" s="16" t="str">
        <f t="shared" si="13"/>
        <v/>
      </c>
      <c r="AG190" s="44"/>
      <c r="AH190" s="44"/>
      <c r="AI190" s="44" t="str">
        <f>IFERROR(__xludf.DUMMYFUNCTION("TEXTJOIN("", "",TRUE, FILTER(Data!P:P, Data!B:B=A190))"),"")</f>
        <v/>
      </c>
      <c r="AM190" s="61"/>
      <c r="BC190" s="50"/>
    </row>
    <row r="191">
      <c r="A191" s="54"/>
      <c r="B191" s="55" t="str">
        <f>IFERROR(__xludf.DUMMYFUNCTION("IFERROR(ROUND(
(COUNTIF(FILTER(Data!O:O, Data!B:B=A191), ""Win"")
+ COUNTIF(FILTER(Data!O:O, Data!B:B=A191), {""Tie"",""Results""}))
/ (COUNTIF(Data!B:B, A191)),
1),"""")"),"")</f>
        <v/>
      </c>
      <c r="C191" s="45" t="str">
        <f>IFERROR((SUMIF(Data!B:B, A191, Data!H:H)
/ (COUNTIF(Data!B:B, A191)
)),"")</f>
        <v/>
      </c>
      <c r="D191" s="45" t="str">
        <f>IFERROR((SUMIF(Data!B:B, A191, Data!G:G)
/ (COUNTIF(Data!B:B, A191)
)),"")</f>
        <v/>
      </c>
      <c r="E191" s="31" t="str">
        <f t="shared" si="39"/>
        <v/>
      </c>
      <c r="F191" s="45" t="str">
        <f>IFERROR((SUMIF(Data!B:B, A191, Data!J:J)
/ (COUNTIF(Data!B:B, A191)
)),"")</f>
        <v/>
      </c>
      <c r="G191" s="56" t="str">
        <f>IF(A191="","",IFERROR((((((SUMIF(Data!B:B, A191, Data!H:H)+(SUMIF(Data!B:B, A191,Data!G:G)))/(SUMIF(Data!B:B, A191, Data!J:J)))))),0))</f>
        <v/>
      </c>
      <c r="H191" s="32" t="str">
        <f>IFERROR(__xludf.DUMMYFUNCTION("IFERROR(IF(G191="""","""",Average(FILTER(IF(Data!J:J&lt;3,((Data!G:G+Data!H:H)/Data!J:J),1),Data!B:B=A191))),""Never Attempted"")"),"")</f>
        <v/>
      </c>
      <c r="I191" s="31"/>
      <c r="J191" s="31"/>
      <c r="K191" s="31" t="str">
        <f t="shared" si="40"/>
        <v/>
      </c>
      <c r="L191" s="45" t="str">
        <f>IFERROR((SUMIF(Data!B:B, A191, Data!L:L)
/ (COUNTIF(Data!B:B, A191)
)),"")</f>
        <v/>
      </c>
      <c r="M191" s="45" t="str">
        <f>IFERROR((SUMIF(Data!B:B, A191, Data!K:K)
/ (COUNTIF(Data!B:B, A191)
)),"")</f>
        <v/>
      </c>
      <c r="N191" s="56"/>
      <c r="O191" s="56" t="str">
        <f>IF(A191="","",IFERROR((((((SUMIF(Data!B:B, A191, Data!H:H)+(SUMIF(Data!B:B, A191,Data!G:G)+(SUMIF(Data!B:B, A191,Data!L:L)+(SUMIF(Data!B:B, A191,Data!K:K)))))/(SUMIF(Data!B:B, A191, Data!M:M)+(SUMIF(Data!B:B, A191, Data!H:H)+(SUMIF(Data!B:B, A191,Data!G:G)+(SUMIF(Data!B:B, A191,Data!K:K)+(SUMIF(Data!B:B, A191,Data!L:L)))))))))),0))</f>
        <v/>
      </c>
      <c r="P191" s="57" t="str">
        <f>IFERROR(__xludf.DUMMYFUNCTION("IFERROR(((COUNTIF(FILTER(Data!N:N,Data!B:B=A191),""TRAVERSE"")*15)+(COUNTIF(FILTER(Data!N:N,Data!B:B=A191),""HIGH"")*10)+(COUNTIF(FILTER(Data!N:N,Data!B:B=A191),""MIDDLE"")*6)+(COUNTIF(FILTER(Data!N:N,Data!B:B=A191),""LOW"")*4)) / (COUNTIF(Data!B:B, A191)"&amp;"),"""")"),"")</f>
        <v/>
      </c>
      <c r="Q191" s="31" t="str">
        <f>IF(P191="","",AVERAGE('Convert Name to Number'!F611:H611))</f>
        <v/>
      </c>
      <c r="R191" s="36" t="str">
        <f t="shared" si="37"/>
        <v/>
      </c>
      <c r="S191" s="58" t="str">
        <f>IFERROR(__xludf.DUMMYFUNCTION("IFERROR((((COUNTIF(FILTER(Data!N:N,Data!B:B=A191),""TRAVERSE""))+(COUNTIF(FILTER(Data!N:N,Data!B:B=A191),""HIGH""))+(COUNTIF(FILTER(Data!N:N,Data!B:B=A191),""MIDDLE""))+(COUNTIF(FILTER(Data!N:N,Data!B:B=A191),""LOW"")))) / (((COUNTIF(Data!B:B, A191)))-(CO"&amp;"UNTIF(FILTER(Data!N:N,Data!B:B=A191),""NONE""))),IF(ISBLANK(A191),"""",0))"),"")</f>
        <v/>
      </c>
      <c r="T191" s="56" t="str">
        <f>IFERROR(__xludf.DUMMYFUNCTION("IFERROR((COUNTIF(FILTER(Data!N:N, Data!B:B=A191),""LOW"")) / (COUNTIF(Data!B:B, A191)),"""")"),"")</f>
        <v/>
      </c>
      <c r="U191" s="59" t="str">
        <f>IFERROR(__xludf.DUMMYFUNCTION("IFERROR((COUNTIF(FILTER(Data!N:N, Data!B:B=A191),""MIDDLE"")) / (COUNTIF(Data!B:B, A191)),"""")"),"")</f>
        <v/>
      </c>
      <c r="V191" s="59" t="str">
        <f>IFERROR(__xludf.DUMMYFUNCTION("IFERROR((COUNTIF(FILTER(Data!N:N, Data!B:B=A191),""HIGH"")) / (COUNTIF(Data!B:B, A191)),"""")"),"")</f>
        <v/>
      </c>
      <c r="W191" s="59" t="str">
        <f>IFERROR(__xludf.DUMMYFUNCTION("IFERROR((COUNTIF(FILTER(Data!N:N, Data!B:B=A191),""TRAVERSE"")) / (COUNTIF(Data!B:B, A191)),"""")"),"")</f>
        <v/>
      </c>
      <c r="X191" s="60" t="str">
        <f t="shared" si="38"/>
        <v/>
      </c>
      <c r="Y191" s="45" t="str">
        <f t="shared" si="7"/>
        <v/>
      </c>
      <c r="Z191" s="45" t="str">
        <f t="shared" si="8"/>
        <v/>
      </c>
      <c r="AA191" s="16" t="str">
        <f t="shared" si="9"/>
        <v/>
      </c>
      <c r="AB191" s="16"/>
      <c r="AC191" s="16" t="str">
        <f>IFERROR(__xludf.DUMMYFUNCTION("IF(AA191="""","""",MAX(Filter((Data!G:G+Data!K:K),Data!B:B=A191)))"),"")</f>
        <v/>
      </c>
      <c r="AD191" s="16"/>
      <c r="AE191" s="16" t="str">
        <f t="shared" si="12"/>
        <v/>
      </c>
      <c r="AF191" s="16" t="str">
        <f t="shared" si="13"/>
        <v/>
      </c>
      <c r="AG191" s="44"/>
      <c r="AH191" s="44"/>
      <c r="AI191" s="44" t="str">
        <f>IFERROR(__xludf.DUMMYFUNCTION("TEXTJOIN("", "",TRUE, FILTER(Data!P:P, Data!B:B=A191))"),"")</f>
        <v/>
      </c>
      <c r="AM191" s="61"/>
      <c r="BC191" s="50"/>
    </row>
    <row r="192">
      <c r="A192" s="54"/>
      <c r="B192" s="55" t="str">
        <f>IFERROR(__xludf.DUMMYFUNCTION("IFERROR(ROUND(
(COUNTIF(FILTER(Data!O:O, Data!B:B=A192), ""Win"")
+ COUNTIF(FILTER(Data!O:O, Data!B:B=A192), {""Tie"",""Results""}))
/ (COUNTIF(Data!B:B, A192)),
1),"""")"),"")</f>
        <v/>
      </c>
      <c r="C192" s="45" t="str">
        <f>IFERROR((SUMIF(Data!B:B, A192, Data!H:H)
/ (COUNTIF(Data!B:B, A192)
)),"")</f>
        <v/>
      </c>
      <c r="D192" s="45" t="str">
        <f>IFERROR((SUMIF(Data!B:B, A192, Data!G:G)
/ (COUNTIF(Data!B:B, A192)
)),"")</f>
        <v/>
      </c>
      <c r="E192" s="31" t="str">
        <f t="shared" si="39"/>
        <v/>
      </c>
      <c r="F192" s="45" t="str">
        <f>IFERROR((SUMIF(Data!B:B, A192, Data!J:J)
/ (COUNTIF(Data!B:B, A192)
)),"")</f>
        <v/>
      </c>
      <c r="G192" s="56" t="str">
        <f>IF(A192="","",IFERROR((((((SUMIF(Data!B:B, A192, Data!H:H)+(SUMIF(Data!B:B, A192,Data!G:G)))/(SUMIF(Data!B:B, A192, Data!J:J)))))),0))</f>
        <v/>
      </c>
      <c r="H192" s="32" t="str">
        <f>IFERROR(__xludf.DUMMYFUNCTION("IFERROR(IF(G192="""","""",Average(FILTER(IF(Data!J:J&lt;3,((Data!G:G+Data!H:H)/Data!J:J),1),Data!B:B=A192))),""Never Attempted"")"),"")</f>
        <v/>
      </c>
      <c r="I192" s="31"/>
      <c r="J192" s="31"/>
      <c r="K192" s="31" t="str">
        <f t="shared" si="40"/>
        <v/>
      </c>
      <c r="L192" s="45" t="str">
        <f>IFERROR((SUMIF(Data!B:B, A192, Data!L:L)
/ (COUNTIF(Data!B:B, A192)
)),"")</f>
        <v/>
      </c>
      <c r="M192" s="45" t="str">
        <f>IFERROR((SUMIF(Data!B:B, A192, Data!K:K)
/ (COUNTIF(Data!B:B, A192)
)),"")</f>
        <v/>
      </c>
      <c r="N192" s="56"/>
      <c r="O192" s="56" t="str">
        <f>IF(A192="","",IFERROR((((((SUMIF(Data!B:B, A192, Data!H:H)+(SUMIF(Data!B:B, A192,Data!G:G)+(SUMIF(Data!B:B, A192,Data!L:L)+(SUMIF(Data!B:B, A192,Data!K:K)))))/(SUMIF(Data!B:B, A192, Data!M:M)+(SUMIF(Data!B:B, A192, Data!H:H)+(SUMIF(Data!B:B, A192,Data!G:G)+(SUMIF(Data!B:B, A192,Data!K:K)+(SUMIF(Data!B:B, A192,Data!L:L)))))))))),0))</f>
        <v/>
      </c>
      <c r="P192" s="57" t="str">
        <f>IFERROR(__xludf.DUMMYFUNCTION("IFERROR(((COUNTIF(FILTER(Data!N:N,Data!B:B=A192),""TRAVERSE"")*15)+(COUNTIF(FILTER(Data!N:N,Data!B:B=A192),""HIGH"")*10)+(COUNTIF(FILTER(Data!N:N,Data!B:B=A192),""MIDDLE"")*6)+(COUNTIF(FILTER(Data!N:N,Data!B:B=A192),""LOW"")*4)) / (COUNTIF(Data!B:B, A192)"&amp;"),"""")"),"")</f>
        <v/>
      </c>
      <c r="Q192" s="31" t="str">
        <f>IF(P192="","",AVERAGE('Convert Name to Number'!F612:H612))</f>
        <v/>
      </c>
      <c r="R192" s="36" t="str">
        <f t="shared" si="37"/>
        <v/>
      </c>
      <c r="S192" s="58" t="str">
        <f>IFERROR(__xludf.DUMMYFUNCTION("IFERROR((((COUNTIF(FILTER(Data!N:N,Data!B:B=A192),""TRAVERSE""))+(COUNTIF(FILTER(Data!N:N,Data!B:B=A192),""HIGH""))+(COUNTIF(FILTER(Data!N:N,Data!B:B=A192),""MIDDLE""))+(COUNTIF(FILTER(Data!N:N,Data!B:B=A192),""LOW"")))) / (((COUNTIF(Data!B:B, A192)))-(CO"&amp;"UNTIF(FILTER(Data!N:N,Data!B:B=A192),""NONE""))),IF(ISBLANK(A192),"""",0))"),"")</f>
        <v/>
      </c>
      <c r="T192" s="56" t="str">
        <f>IFERROR(__xludf.DUMMYFUNCTION("IFERROR((COUNTIF(FILTER(Data!N:N, Data!B:B=A192),""LOW"")) / (COUNTIF(Data!B:B, A192)),"""")"),"")</f>
        <v/>
      </c>
      <c r="U192" s="59" t="str">
        <f>IFERROR(__xludf.DUMMYFUNCTION("IFERROR((COUNTIF(FILTER(Data!N:N, Data!B:B=A192),""MIDDLE"")) / (COUNTIF(Data!B:B, A192)),"""")"),"")</f>
        <v/>
      </c>
      <c r="V192" s="59" t="str">
        <f>IFERROR(__xludf.DUMMYFUNCTION("IFERROR((COUNTIF(FILTER(Data!N:N, Data!B:B=A192),""HIGH"")) / (COUNTIF(Data!B:B, A192)),"""")"),"")</f>
        <v/>
      </c>
      <c r="W192" s="59" t="str">
        <f>IFERROR(__xludf.DUMMYFUNCTION("IFERROR((COUNTIF(FILTER(Data!N:N, Data!B:B=A192),""TRAVERSE"")) / (COUNTIF(Data!B:B, A192)),"""")"),"")</f>
        <v/>
      </c>
      <c r="X192" s="60" t="str">
        <f t="shared" si="38"/>
        <v/>
      </c>
      <c r="Y192" s="45" t="str">
        <f t="shared" si="7"/>
        <v/>
      </c>
      <c r="Z192" s="45" t="str">
        <f t="shared" si="8"/>
        <v/>
      </c>
      <c r="AA192" s="16" t="str">
        <f t="shared" si="9"/>
        <v/>
      </c>
      <c r="AB192" s="16"/>
      <c r="AC192" s="16" t="str">
        <f>IFERROR(__xludf.DUMMYFUNCTION("IF(AA192="""","""",MAX(Filter((Data!G:G+Data!K:K),Data!B:B=A192)))"),"")</f>
        <v/>
      </c>
      <c r="AD192" s="16"/>
      <c r="AE192" s="16" t="str">
        <f t="shared" si="12"/>
        <v/>
      </c>
      <c r="AF192" s="16" t="str">
        <f t="shared" si="13"/>
        <v/>
      </c>
      <c r="AG192" s="44"/>
      <c r="AH192" s="44"/>
      <c r="AI192" s="44" t="str">
        <f>IFERROR(__xludf.DUMMYFUNCTION("TEXTJOIN("", "",TRUE, FILTER(Data!P:P, Data!B:B=A192))"),"")</f>
        <v/>
      </c>
      <c r="AM192" s="61"/>
      <c r="BC192" s="50"/>
    </row>
    <row r="193">
      <c r="A193" s="54"/>
      <c r="B193" s="55" t="str">
        <f>IFERROR(__xludf.DUMMYFUNCTION("IFERROR(ROUND(
(COUNTIF(FILTER(Data!O:O, Data!B:B=A193), ""Win"")
+ COUNTIF(FILTER(Data!O:O, Data!B:B=A193), {""Tie"",""Results""}))
/ (COUNTIF(Data!B:B, A193)),
1),"""")"),"")</f>
        <v/>
      </c>
      <c r="C193" s="45" t="str">
        <f>IFERROR((SUMIF(Data!B:B, A193, Data!H:H)
/ (COUNTIF(Data!B:B, A193)
)),"")</f>
        <v/>
      </c>
      <c r="D193" s="45" t="str">
        <f>IFERROR((SUMIF(Data!B:B, A193, Data!G:G)
/ (COUNTIF(Data!B:B, A193)
)),"")</f>
        <v/>
      </c>
      <c r="E193" s="31" t="str">
        <f t="shared" si="39"/>
        <v/>
      </c>
      <c r="F193" s="45" t="str">
        <f>IFERROR((SUMIF(Data!B:B, A193, Data!J:J)
/ (COUNTIF(Data!B:B, A193)
)),"")</f>
        <v/>
      </c>
      <c r="G193" s="56" t="str">
        <f>IF(A193="","",IFERROR((((((SUMIF(Data!B:B, A193, Data!H:H)+(SUMIF(Data!B:B, A193,Data!G:G)))/(SUMIF(Data!B:B, A193, Data!J:J)))))),0))</f>
        <v/>
      </c>
      <c r="H193" s="32" t="str">
        <f>IFERROR(__xludf.DUMMYFUNCTION("IFERROR(IF(G193="""","""",Average(FILTER(IF(Data!J:J&lt;3,((Data!G:G+Data!H:H)/Data!J:J),1),Data!B:B=A193))),""Never Attempted"")"),"")</f>
        <v/>
      </c>
      <c r="I193" s="31"/>
      <c r="J193" s="31"/>
      <c r="K193" s="31" t="str">
        <f t="shared" si="40"/>
        <v/>
      </c>
      <c r="L193" s="45" t="str">
        <f>IFERROR((SUMIF(Data!B:B, A193, Data!L:L)
/ (COUNTIF(Data!B:B, A193)
)),"")</f>
        <v/>
      </c>
      <c r="M193" s="45" t="str">
        <f>IFERROR((SUMIF(Data!B:B, A193, Data!K:K)
/ (COUNTIF(Data!B:B, A193)
)),"")</f>
        <v/>
      </c>
      <c r="N193" s="56"/>
      <c r="O193" s="56" t="str">
        <f>IF(A193="","",IFERROR((((((SUMIF(Data!B:B, A193, Data!H:H)+(SUMIF(Data!B:B, A193,Data!G:G)+(SUMIF(Data!B:B, A193,Data!L:L)+(SUMIF(Data!B:B, A193,Data!K:K)))))/(SUMIF(Data!B:B, A193, Data!M:M)+(SUMIF(Data!B:B, A193, Data!H:H)+(SUMIF(Data!B:B, A193,Data!G:G)+(SUMIF(Data!B:B, A193,Data!K:K)+(SUMIF(Data!B:B, A193,Data!L:L)))))))))),0))</f>
        <v/>
      </c>
      <c r="P193" s="57" t="str">
        <f>IFERROR(__xludf.DUMMYFUNCTION("IFERROR(((COUNTIF(FILTER(Data!N:N,Data!B:B=A193),""TRAVERSE"")*15)+(COUNTIF(FILTER(Data!N:N,Data!B:B=A193),""HIGH"")*10)+(COUNTIF(FILTER(Data!N:N,Data!B:B=A193),""MIDDLE"")*6)+(COUNTIF(FILTER(Data!N:N,Data!B:B=A193),""LOW"")*4)) / (COUNTIF(Data!B:B, A193)"&amp;"),"""")"),"")</f>
        <v/>
      </c>
      <c r="Q193" s="31" t="str">
        <f>IF(P193="","",AVERAGE('Convert Name to Number'!F613:H613))</f>
        <v/>
      </c>
      <c r="R193" s="36" t="str">
        <f t="shared" si="37"/>
        <v/>
      </c>
      <c r="S193" s="58" t="str">
        <f>IFERROR(__xludf.DUMMYFUNCTION("IFERROR((((COUNTIF(FILTER(Data!N:N,Data!B:B=A193),""TRAVERSE""))+(COUNTIF(FILTER(Data!N:N,Data!B:B=A193),""HIGH""))+(COUNTIF(FILTER(Data!N:N,Data!B:B=A193),""MIDDLE""))+(COUNTIF(FILTER(Data!N:N,Data!B:B=A193),""LOW"")))) / (((COUNTIF(Data!B:B, A193)))-(CO"&amp;"UNTIF(FILTER(Data!N:N,Data!B:B=A193),""NONE""))),IF(ISBLANK(A193),"""",0))"),"")</f>
        <v/>
      </c>
      <c r="T193" s="56" t="str">
        <f>IFERROR(__xludf.DUMMYFUNCTION("IFERROR((COUNTIF(FILTER(Data!N:N, Data!B:B=A193),""LOW"")) / (COUNTIF(Data!B:B, A193)),"""")"),"")</f>
        <v/>
      </c>
      <c r="U193" s="59" t="str">
        <f>IFERROR(__xludf.DUMMYFUNCTION("IFERROR((COUNTIF(FILTER(Data!N:N, Data!B:B=A193),""MIDDLE"")) / (COUNTIF(Data!B:B, A193)),"""")"),"")</f>
        <v/>
      </c>
      <c r="V193" s="59" t="str">
        <f>IFERROR(__xludf.DUMMYFUNCTION("IFERROR((COUNTIF(FILTER(Data!N:N, Data!B:B=A193),""HIGH"")) / (COUNTIF(Data!B:B, A193)),"""")"),"")</f>
        <v/>
      </c>
      <c r="W193" s="59" t="str">
        <f>IFERROR(__xludf.DUMMYFUNCTION("IFERROR((COUNTIF(FILTER(Data!N:N, Data!B:B=A193),""TRAVERSE"")) / (COUNTIF(Data!B:B, A193)),"""")"),"")</f>
        <v/>
      </c>
      <c r="X193" s="60" t="str">
        <f t="shared" si="38"/>
        <v/>
      </c>
      <c r="Y193" s="45" t="str">
        <f t="shared" si="7"/>
        <v/>
      </c>
      <c r="Z193" s="45" t="str">
        <f t="shared" si="8"/>
        <v/>
      </c>
      <c r="AA193" s="16" t="str">
        <f t="shared" si="9"/>
        <v/>
      </c>
      <c r="AB193" s="16"/>
      <c r="AC193" s="16" t="str">
        <f>IFERROR(__xludf.DUMMYFUNCTION("IF(AA193="""","""",MAX(Filter((Data!G:G+Data!K:K),Data!B:B=A193)))"),"")</f>
        <v/>
      </c>
      <c r="AD193" s="16"/>
      <c r="AE193" s="16" t="str">
        <f t="shared" si="12"/>
        <v/>
      </c>
      <c r="AF193" s="16" t="str">
        <f t="shared" si="13"/>
        <v/>
      </c>
      <c r="AG193" s="44"/>
      <c r="AH193" s="44"/>
      <c r="AI193" s="44" t="str">
        <f>IFERROR(__xludf.DUMMYFUNCTION("TEXTJOIN("", "",TRUE, FILTER(Data!P:P, Data!B:B=A193))"),"")</f>
        <v/>
      </c>
      <c r="AM193" s="61"/>
      <c r="BC193" s="50"/>
    </row>
    <row r="194">
      <c r="A194" s="54"/>
      <c r="B194" s="55" t="str">
        <f>IFERROR(__xludf.DUMMYFUNCTION("IFERROR(ROUND(
(COUNTIF(FILTER(Data!O:O, Data!B:B=A194), ""Win"")
+ COUNTIF(FILTER(Data!O:O, Data!B:B=A194), {""Tie"",""Results""}))
/ (COUNTIF(Data!B:B, A194)),
1),"""")"),"")</f>
        <v/>
      </c>
      <c r="C194" s="45" t="str">
        <f>IFERROR((SUMIF(Data!B:B, A194, Data!H:H)
/ (COUNTIF(Data!B:B, A194)
)),"")</f>
        <v/>
      </c>
      <c r="D194" s="45" t="str">
        <f>IFERROR((SUMIF(Data!B:B, A194, Data!G:G)
/ (COUNTIF(Data!B:B, A194)
)),"")</f>
        <v/>
      </c>
      <c r="E194" s="31" t="str">
        <f t="shared" si="39"/>
        <v/>
      </c>
      <c r="F194" s="45" t="str">
        <f>IFERROR((SUMIF(Data!B:B, A194, Data!J:J)
/ (COUNTIF(Data!B:B, A194)
)),"")</f>
        <v/>
      </c>
      <c r="G194" s="56" t="str">
        <f>IF(A194="","",IFERROR((((((SUMIF(Data!B:B, A194, Data!H:H)+(SUMIF(Data!B:B, A194,Data!G:G)))/(SUMIF(Data!B:B, A194, Data!J:J)))))),0))</f>
        <v/>
      </c>
      <c r="H194" s="32" t="str">
        <f>IFERROR(__xludf.DUMMYFUNCTION("IFERROR(IF(G194="""","""",Average(FILTER(IF(Data!J:J&lt;3,((Data!G:G+Data!H:H)/Data!J:J),1),Data!B:B=A194))),""Never Attempted"")"),"")</f>
        <v/>
      </c>
      <c r="I194" s="31"/>
      <c r="J194" s="31"/>
      <c r="K194" s="31" t="str">
        <f t="shared" si="40"/>
        <v/>
      </c>
      <c r="L194" s="45" t="str">
        <f>IFERROR((SUMIF(Data!B:B, A194, Data!L:L)
/ (COUNTIF(Data!B:B, A194)
)),"")</f>
        <v/>
      </c>
      <c r="M194" s="45" t="str">
        <f>IFERROR((SUMIF(Data!B:B, A194, Data!K:K)
/ (COUNTIF(Data!B:B, A194)
)),"")</f>
        <v/>
      </c>
      <c r="N194" s="56"/>
      <c r="O194" s="56" t="str">
        <f>IF(A194="","",IFERROR((((((SUMIF(Data!B:B, A194, Data!H:H)+(SUMIF(Data!B:B, A194,Data!G:G)+(SUMIF(Data!B:B, A194,Data!L:L)+(SUMIF(Data!B:B, A194,Data!K:K)))))/(SUMIF(Data!B:B, A194, Data!M:M)+(SUMIF(Data!B:B, A194, Data!H:H)+(SUMIF(Data!B:B, A194,Data!G:G)+(SUMIF(Data!B:B, A194,Data!K:K)+(SUMIF(Data!B:B, A194,Data!L:L)))))))))),0))</f>
        <v/>
      </c>
      <c r="P194" s="57" t="str">
        <f>IFERROR(__xludf.DUMMYFUNCTION("IFERROR(((COUNTIF(FILTER(Data!N:N,Data!B:B=A194),""TRAVERSE"")*15)+(COUNTIF(FILTER(Data!N:N,Data!B:B=A194),""HIGH"")*10)+(COUNTIF(FILTER(Data!N:N,Data!B:B=A194),""MIDDLE"")*6)+(COUNTIF(FILTER(Data!N:N,Data!B:B=A194),""LOW"")*4)) / (COUNTIF(Data!B:B, A194)"&amp;"),"""")"),"")</f>
        <v/>
      </c>
      <c r="Q194" s="31" t="str">
        <f>IF(P194="","",AVERAGE('Convert Name to Number'!F614:H614))</f>
        <v/>
      </c>
      <c r="R194" s="36" t="str">
        <f t="shared" si="37"/>
        <v/>
      </c>
      <c r="S194" s="58" t="str">
        <f>IFERROR(__xludf.DUMMYFUNCTION("IFERROR((((COUNTIF(FILTER(Data!N:N,Data!B:B=A194),""TRAVERSE""))+(COUNTIF(FILTER(Data!N:N,Data!B:B=A194),""HIGH""))+(COUNTIF(FILTER(Data!N:N,Data!B:B=A194),""MIDDLE""))+(COUNTIF(FILTER(Data!N:N,Data!B:B=A194),""LOW"")))) / (((COUNTIF(Data!B:B, A194)))-(CO"&amp;"UNTIF(FILTER(Data!N:N,Data!B:B=A194),""NONE""))),IF(ISBLANK(A194),"""",0))"),"")</f>
        <v/>
      </c>
      <c r="T194" s="56" t="str">
        <f>IFERROR(__xludf.DUMMYFUNCTION("IFERROR((COUNTIF(FILTER(Data!N:N, Data!B:B=A194),""LOW"")) / (COUNTIF(Data!B:B, A194)),"""")"),"")</f>
        <v/>
      </c>
      <c r="U194" s="59" t="str">
        <f>IFERROR(__xludf.DUMMYFUNCTION("IFERROR((COUNTIF(FILTER(Data!N:N, Data!B:B=A194),""MIDDLE"")) / (COUNTIF(Data!B:B, A194)),"""")"),"")</f>
        <v/>
      </c>
      <c r="V194" s="59" t="str">
        <f>IFERROR(__xludf.DUMMYFUNCTION("IFERROR((COUNTIF(FILTER(Data!N:N, Data!B:B=A194),""HIGH"")) / (COUNTIF(Data!B:B, A194)),"""")"),"")</f>
        <v/>
      </c>
      <c r="W194" s="59" t="str">
        <f>IFERROR(__xludf.DUMMYFUNCTION("IFERROR((COUNTIF(FILTER(Data!N:N, Data!B:B=A194),""TRAVERSE"")) / (COUNTIF(Data!B:B, A194)),"""")"),"")</f>
        <v/>
      </c>
      <c r="X194" s="60" t="str">
        <f t="shared" si="38"/>
        <v/>
      </c>
      <c r="Y194" s="45" t="str">
        <f t="shared" si="7"/>
        <v/>
      </c>
      <c r="Z194" s="45" t="str">
        <f t="shared" si="8"/>
        <v/>
      </c>
      <c r="AA194" s="16" t="str">
        <f t="shared" si="9"/>
        <v/>
      </c>
      <c r="AB194" s="16"/>
      <c r="AC194" s="16" t="str">
        <f>IFERROR(__xludf.DUMMYFUNCTION("IF(AA194="""","""",MAX(Filter((Data!G:G+Data!K:K),Data!B:B=A194)))"),"")</f>
        <v/>
      </c>
      <c r="AD194" s="16"/>
      <c r="AE194" s="16" t="str">
        <f t="shared" si="12"/>
        <v/>
      </c>
      <c r="AF194" s="16" t="str">
        <f t="shared" si="13"/>
        <v/>
      </c>
      <c r="AG194" s="44"/>
      <c r="AH194" s="44"/>
      <c r="AI194" s="44" t="str">
        <f>IFERROR(__xludf.DUMMYFUNCTION("TEXTJOIN("", "",TRUE, FILTER(Data!P:P, Data!B:B=A194))"),"")</f>
        <v/>
      </c>
      <c r="AM194" s="61"/>
      <c r="BC194" s="50"/>
    </row>
    <row r="195">
      <c r="A195" s="54"/>
      <c r="B195" s="55" t="str">
        <f>IFERROR(__xludf.DUMMYFUNCTION("IFERROR(ROUND(
(COUNTIF(FILTER(Data!O:O, Data!B:B=A195), ""Win"")
+ COUNTIF(FILTER(Data!O:O, Data!B:B=A195), {""Tie"",""Results""}))
/ (COUNTIF(Data!B:B, A195)),
1),"""")"),"")</f>
        <v/>
      </c>
      <c r="C195" s="45" t="str">
        <f>IFERROR((SUMIF(Data!B:B, A195, Data!H:H)
/ (COUNTIF(Data!B:B, A195)
)),"")</f>
        <v/>
      </c>
      <c r="D195" s="45" t="str">
        <f>IFERROR((SUMIF(Data!B:B, A195, Data!G:G)
/ (COUNTIF(Data!B:B, A195)
)),"")</f>
        <v/>
      </c>
      <c r="E195" s="31" t="str">
        <f t="shared" si="39"/>
        <v/>
      </c>
      <c r="F195" s="45" t="str">
        <f>IFERROR((SUMIF(Data!B:B, A195, Data!J:J)
/ (COUNTIF(Data!B:B, A195)
)),"")</f>
        <v/>
      </c>
      <c r="G195" s="56" t="str">
        <f>IF(A195="","",IFERROR((((((SUMIF(Data!B:B, A195, Data!H:H)+(SUMIF(Data!B:B, A195,Data!G:G)))/(SUMIF(Data!B:B, A195, Data!J:J)))))),0))</f>
        <v/>
      </c>
      <c r="H195" s="32" t="str">
        <f>IFERROR(__xludf.DUMMYFUNCTION("IFERROR(IF(G195="""","""",Average(FILTER(IF(Data!J:J&lt;3,((Data!G:G+Data!H:H)/Data!J:J),1),Data!B:B=A195))),""Never Attempted"")"),"")</f>
        <v/>
      </c>
      <c r="I195" s="45"/>
      <c r="J195" s="45"/>
      <c r="K195" s="45"/>
      <c r="L195" s="45" t="str">
        <f>IFERROR((SUMIF(Data!B:B, A195, Data!L:L)
/ (COUNTIF(Data!B:B, A195)
)),"")</f>
        <v/>
      </c>
      <c r="M195" s="45" t="str">
        <f>IFERROR((SUMIF(Data!B:B, A195, Data!K:K)
/ (COUNTIF(Data!B:B, A195)
)),"")</f>
        <v/>
      </c>
      <c r="N195" s="56"/>
      <c r="O195" s="56" t="str">
        <f>IF(A195="","",IFERROR((((((SUMIF(Data!B:B, A195, Data!H:H)+(SUMIF(Data!B:B, A195,Data!G:G)+(SUMIF(Data!B:B, A195,Data!L:L)+(SUMIF(Data!B:B, A195,Data!K:K)))))/(SUMIF(Data!B:B, A195, Data!M:M)+(SUMIF(Data!B:B, A195, Data!H:H)+(SUMIF(Data!B:B, A195,Data!G:G)+(SUMIF(Data!B:B, A195,Data!K:K)+(SUMIF(Data!B:B, A195,Data!L:L)))))))))),0))</f>
        <v/>
      </c>
      <c r="P195" s="57" t="str">
        <f>IFERROR(__xludf.DUMMYFUNCTION("IFERROR(((COUNTIF(FILTER(Data!N:N,Data!B:B=A195),""TRAVERSE"")*15)+(COUNTIF(FILTER(Data!N:N,Data!B:B=A195),""HIGH"")*10)+(COUNTIF(FILTER(Data!N:N,Data!B:B=A195),""MIDDLE"")*6)+(COUNTIF(FILTER(Data!N:N,Data!B:B=A195),""LOW"")*4)) / (COUNTIF(Data!B:B, A195)"&amp;"),"""")"),"")</f>
        <v/>
      </c>
      <c r="Q195" s="31" t="str">
        <f>IF(P195="","",AVERAGE('Convert Name to Number'!F615:H615))</f>
        <v/>
      </c>
      <c r="R195" s="36" t="str">
        <f t="shared" si="37"/>
        <v/>
      </c>
      <c r="S195" s="58" t="str">
        <f>IFERROR(__xludf.DUMMYFUNCTION("IFERROR((((COUNTIF(FILTER(Data!N:N,Data!B:B=A195),""TRAVERSE""))+(COUNTIF(FILTER(Data!N:N,Data!B:B=A195),""HIGH""))+(COUNTIF(FILTER(Data!N:N,Data!B:B=A195),""MIDDLE""))+(COUNTIF(FILTER(Data!N:N,Data!B:B=A195),""LOW"")))) / (((COUNTIF(Data!B:B, A195)))-(CO"&amp;"UNTIF(FILTER(Data!N:N,Data!B:B=A195),""NONE""))),IF(ISBLANK(A195),"""",0))"),"")</f>
        <v/>
      </c>
      <c r="T195" s="56" t="str">
        <f>IFERROR(__xludf.DUMMYFUNCTION("IFERROR((COUNTIF(FILTER(Data!N:N, Data!B:B=A195),""LOW"")) / (COUNTIF(Data!B:B, A195)),"""")"),"")</f>
        <v/>
      </c>
      <c r="U195" s="59" t="str">
        <f>IFERROR(__xludf.DUMMYFUNCTION("IFERROR((COUNTIF(FILTER(Data!N:N, Data!B:B=A195),""MIDDLE"")) / (COUNTIF(Data!B:B, A195)),"""")"),"")</f>
        <v/>
      </c>
      <c r="V195" s="59" t="str">
        <f>IFERROR(__xludf.DUMMYFUNCTION("IFERROR((COUNTIF(FILTER(Data!N:N, Data!B:B=A195),""HIGH"")) / (COUNTIF(Data!B:B, A195)),"""")"),"")</f>
        <v/>
      </c>
      <c r="W195" s="59" t="str">
        <f>IFERROR(__xludf.DUMMYFUNCTION("IFERROR((COUNTIF(FILTER(Data!N:N, Data!B:B=A195),""TRAVERSE"")) / (COUNTIF(Data!B:B, A195)),"""")"),"")</f>
        <v/>
      </c>
      <c r="X195" s="60" t="str">
        <f t="shared" si="38"/>
        <v/>
      </c>
      <c r="Y195" s="45" t="str">
        <f t="shared" si="7"/>
        <v/>
      </c>
      <c r="Z195" s="45" t="str">
        <f t="shared" si="8"/>
        <v/>
      </c>
      <c r="AA195" s="16" t="str">
        <f t="shared" si="9"/>
        <v/>
      </c>
      <c r="AB195" s="16"/>
      <c r="AC195" s="16" t="str">
        <f>IFERROR(__xludf.DUMMYFUNCTION("IF(AA195="""","""",MAX(Filter((Data!G:G+Data!K:K),Data!B:B=A195)))"),"")</f>
        <v/>
      </c>
      <c r="AD195" s="16"/>
      <c r="AE195" s="16" t="str">
        <f t="shared" si="12"/>
        <v/>
      </c>
      <c r="AF195" s="16" t="str">
        <f t="shared" si="13"/>
        <v/>
      </c>
      <c r="AG195" s="44"/>
      <c r="AH195" s="44"/>
      <c r="AI195" s="44" t="str">
        <f>IFERROR(__xludf.DUMMYFUNCTION("TEXTJOIN("", "",TRUE, FILTER(Data!P:P, Data!B:B=A195))"),"")</f>
        <v/>
      </c>
      <c r="AM195" s="61"/>
      <c r="BC195" s="50"/>
    </row>
    <row r="196">
      <c r="A196" s="54"/>
      <c r="B196" s="55" t="str">
        <f>IFERROR(__xludf.DUMMYFUNCTION("IFERROR(ROUND(
(COUNTIF(FILTER(Data!O:O, Data!B:B=A196), ""Win"")
+ COUNTIF(FILTER(Data!O:O, Data!B:B=A196), {""Tie"",""Results""}))
/ (COUNTIF(Data!B:B, A196)),
1),"""")"),"")</f>
        <v/>
      </c>
      <c r="C196" s="45" t="str">
        <f>IFERROR((SUMIF(Data!B:B, A196, Data!H:H)
/ (COUNTIF(Data!B:B, A196)
)),"")</f>
        <v/>
      </c>
      <c r="D196" s="45" t="str">
        <f>IFERROR((SUMIF(Data!B:B, A196, Data!G:G)
/ (COUNTIF(Data!B:B, A196)
)),"")</f>
        <v/>
      </c>
      <c r="E196" s="31" t="str">
        <f t="shared" si="39"/>
        <v/>
      </c>
      <c r="F196" s="45" t="str">
        <f>IFERROR((SUMIF(Data!B:B, A196, Data!J:J)
/ (COUNTIF(Data!B:B, A196)
)),"")</f>
        <v/>
      </c>
      <c r="G196" s="56" t="str">
        <f>IF(A196="","",IFERROR((((((SUMIF(Data!B:B, A196, Data!H:H)+(SUMIF(Data!B:B, A196,Data!G:G)))/(SUMIF(Data!B:B, A196, Data!J:J)))))),0))</f>
        <v/>
      </c>
      <c r="H196" s="32" t="str">
        <f>IFERROR(__xludf.DUMMYFUNCTION("IFERROR(IF(G196="""","""",Average(FILTER(IF(Data!J:J&lt;3,((Data!G:G+Data!H:H)/Data!J:J),1),Data!B:B=A196))),""Never Attempted"")"),"")</f>
        <v/>
      </c>
      <c r="I196" s="45"/>
      <c r="J196" s="45"/>
      <c r="K196" s="45"/>
      <c r="L196" s="45" t="str">
        <f>IFERROR((SUMIF(Data!B:B, A196, Data!L:L)
/ (COUNTIF(Data!B:B, A196)
)),"")</f>
        <v/>
      </c>
      <c r="M196" s="45" t="str">
        <f>IFERROR((SUMIF(Data!B:B, A196, Data!K:K)
/ (COUNTIF(Data!B:B, A196)
)),"")</f>
        <v/>
      </c>
      <c r="N196" s="56"/>
      <c r="O196" s="56" t="str">
        <f>IF(A196="","",IFERROR((((((SUMIF(Data!B:B, A196, Data!H:H)+(SUMIF(Data!B:B, A196,Data!G:G)+(SUMIF(Data!B:B, A196,Data!L:L)+(SUMIF(Data!B:B, A196,Data!K:K)))))/(SUMIF(Data!B:B, A196, Data!M:M)+(SUMIF(Data!B:B, A196, Data!H:H)+(SUMIF(Data!B:B, A196,Data!G:G)+(SUMIF(Data!B:B, A196,Data!K:K)+(SUMIF(Data!B:B, A196,Data!L:L)))))))))),0))</f>
        <v/>
      </c>
      <c r="P196" s="57" t="str">
        <f>IFERROR(__xludf.DUMMYFUNCTION("IFERROR(((COUNTIF(FILTER(Data!N:N,Data!B:B=A196),""TRAVERSE"")*15)+(COUNTIF(FILTER(Data!N:N,Data!B:B=A196),""HIGH"")*10)+(COUNTIF(FILTER(Data!N:N,Data!B:B=A196),""MIDDLE"")*6)+(COUNTIF(FILTER(Data!N:N,Data!B:B=A196),""LOW"")*4)) / (COUNTIF(Data!B:B, A196)"&amp;"),"""")"),"")</f>
        <v/>
      </c>
      <c r="Q196" s="31" t="str">
        <f>IF(P196="","",AVERAGE('Convert Name to Number'!F616:H616))</f>
        <v/>
      </c>
      <c r="R196" s="36" t="str">
        <f t="shared" si="37"/>
        <v/>
      </c>
      <c r="S196" s="58" t="str">
        <f>IFERROR(__xludf.DUMMYFUNCTION("IFERROR((((COUNTIF(FILTER(Data!N:N,Data!B:B=A196),""TRAVERSE""))+(COUNTIF(FILTER(Data!N:N,Data!B:B=A196),""HIGH""))+(COUNTIF(FILTER(Data!N:N,Data!B:B=A196),""MIDDLE""))+(COUNTIF(FILTER(Data!N:N,Data!B:B=A196),""LOW"")))) / (((COUNTIF(Data!B:B, A196)))-(CO"&amp;"UNTIF(FILTER(Data!N:N,Data!B:B=A196),""NONE""))),IF(ISBLANK(A196),"""",0))"),"")</f>
        <v/>
      </c>
      <c r="T196" s="56" t="str">
        <f>IFERROR(__xludf.DUMMYFUNCTION("IFERROR((COUNTIF(FILTER(Data!N:N, Data!B:B=A196),""LOW"")) / (COUNTIF(Data!B:B, A196)),"""")"),"")</f>
        <v/>
      </c>
      <c r="U196" s="59" t="str">
        <f>IFERROR(__xludf.DUMMYFUNCTION("IFERROR((COUNTIF(FILTER(Data!N:N, Data!B:B=A196),""MIDDLE"")) / (COUNTIF(Data!B:B, A196)),"""")"),"")</f>
        <v/>
      </c>
      <c r="V196" s="59" t="str">
        <f>IFERROR(__xludf.DUMMYFUNCTION("IFERROR((COUNTIF(FILTER(Data!N:N, Data!B:B=A196),""HIGH"")) / (COUNTIF(Data!B:B, A196)),"""")"),"")</f>
        <v/>
      </c>
      <c r="W196" s="59" t="str">
        <f>IFERROR(__xludf.DUMMYFUNCTION("IFERROR((COUNTIF(FILTER(Data!N:N, Data!B:B=A196),""TRAVERSE"")) / (COUNTIF(Data!B:B, A196)),"""")"),"")</f>
        <v/>
      </c>
      <c r="X196" s="60" t="str">
        <f t="shared" si="38"/>
        <v/>
      </c>
      <c r="Y196" s="45" t="str">
        <f t="shared" si="7"/>
        <v/>
      </c>
      <c r="Z196" s="45" t="str">
        <f t="shared" si="8"/>
        <v/>
      </c>
      <c r="AA196" s="16" t="str">
        <f t="shared" si="9"/>
        <v/>
      </c>
      <c r="AB196" s="16"/>
      <c r="AC196" s="16" t="str">
        <f>IFERROR(__xludf.DUMMYFUNCTION("IF(AA196="""","""",MAX(Filter((Data!G:G+Data!K:K),Data!B:B=A196)))"),"")</f>
        <v/>
      </c>
      <c r="AD196" s="16"/>
      <c r="AE196" s="16" t="str">
        <f t="shared" si="12"/>
        <v/>
      </c>
      <c r="AF196" s="16" t="str">
        <f t="shared" si="13"/>
        <v/>
      </c>
      <c r="AG196" s="44"/>
      <c r="AH196" s="44"/>
      <c r="AI196" s="44" t="str">
        <f>IFERROR(__xludf.DUMMYFUNCTION("TEXTJOIN("", "",TRUE, FILTER(Data!P:P, Data!B:B=A196))"),"")</f>
        <v/>
      </c>
      <c r="AM196" s="61"/>
      <c r="BC196" s="50"/>
    </row>
    <row r="197">
      <c r="A197" s="54"/>
      <c r="B197" s="55" t="str">
        <f>IFERROR(__xludf.DUMMYFUNCTION("IFERROR(ROUND(
(COUNTIF(FILTER(Data!O:O, Data!B:B=A197), ""Win"")
+ COUNTIF(FILTER(Data!O:O, Data!B:B=A197), {""Tie"",""Results""}))
/ (COUNTIF(Data!B:B, A197)),
1),"""")"),"")</f>
        <v/>
      </c>
      <c r="C197" s="45" t="str">
        <f>IFERROR((SUMIF(Data!B:B, A197, Data!H:H)
/ (COUNTIF(Data!B:B, A197)
)),"")</f>
        <v/>
      </c>
      <c r="D197" s="45" t="str">
        <f>IFERROR((SUMIF(Data!B:B, A197, Data!G:G)
/ (COUNTIF(Data!B:B, A197)
)),"")</f>
        <v/>
      </c>
      <c r="E197" s="31" t="str">
        <f t="shared" si="39"/>
        <v/>
      </c>
      <c r="F197" s="45" t="str">
        <f>IFERROR((SUMIF(Data!B:B, A197, Data!J:J)
/ (COUNTIF(Data!B:B, A197)
)),"")</f>
        <v/>
      </c>
      <c r="G197" s="56" t="str">
        <f>IF(A197="","",IFERROR((((((SUMIF(Data!B:B, A197, Data!H:H)+(SUMIF(Data!B:B, A197,Data!G:G)))/(SUMIF(Data!B:B, A197, Data!J:J)))))),0))</f>
        <v/>
      </c>
      <c r="H197" s="32" t="str">
        <f>IFERROR(__xludf.DUMMYFUNCTION("IFERROR(IF(G197="""","""",Average(FILTER(IF(Data!J:J&lt;3,((Data!G:G+Data!H:H)/Data!J:J),1),Data!B:B=A197))),""Never Attempted"")"),"")</f>
        <v/>
      </c>
      <c r="I197" s="45"/>
      <c r="J197" s="45"/>
      <c r="K197" s="45"/>
      <c r="L197" s="45" t="str">
        <f>IFERROR((SUMIF(Data!B:B, A197, Data!L:L)
/ (COUNTIF(Data!B:B, A197)
)),"")</f>
        <v/>
      </c>
      <c r="M197" s="45" t="str">
        <f>IFERROR((SUMIF(Data!B:B, A197, Data!K:K)
/ (COUNTIF(Data!B:B, A197)
)),"")</f>
        <v/>
      </c>
      <c r="N197" s="56"/>
      <c r="O197" s="56" t="str">
        <f>IF(A197="","",IFERROR((((((SUMIF(Data!B:B, A197, Data!H:H)+(SUMIF(Data!B:B, A197,Data!G:G)+(SUMIF(Data!B:B, A197,Data!L:L)+(SUMIF(Data!B:B, A197,Data!K:K)))))/(SUMIF(Data!B:B, A197, Data!M:M)+(SUMIF(Data!B:B, A197, Data!H:H)+(SUMIF(Data!B:B, A197,Data!G:G)+(SUMIF(Data!B:B, A197,Data!K:K)+(SUMIF(Data!B:B, A197,Data!L:L)))))))))),0))</f>
        <v/>
      </c>
      <c r="P197" s="57" t="str">
        <f>IFERROR(__xludf.DUMMYFUNCTION("IFERROR(((COUNTIF(FILTER(Data!N:N,Data!B:B=A197),""TRAVERSE"")*15)+(COUNTIF(FILTER(Data!N:N,Data!B:B=A197),""HIGH"")*10)+(COUNTIF(FILTER(Data!N:N,Data!B:B=A197),""MIDDLE"")*6)+(COUNTIF(FILTER(Data!N:N,Data!B:B=A197),""LOW"")*4)) / (COUNTIF(Data!B:B, A197)"&amp;"),"""")"),"")</f>
        <v/>
      </c>
      <c r="Q197" s="31" t="str">
        <f>IF(P197="","",AVERAGE('Convert Name to Number'!F617:H617))</f>
        <v/>
      </c>
      <c r="R197" s="36" t="str">
        <f t="shared" si="37"/>
        <v/>
      </c>
      <c r="S197" s="58" t="str">
        <f>IFERROR(__xludf.DUMMYFUNCTION("IFERROR((((COUNTIF(FILTER(Data!N:N,Data!B:B=A197),""TRAVERSE""))+(COUNTIF(FILTER(Data!N:N,Data!B:B=A197),""HIGH""))+(COUNTIF(FILTER(Data!N:N,Data!B:B=A197),""MIDDLE""))+(COUNTIF(FILTER(Data!N:N,Data!B:B=A197),""LOW"")))) / (((COUNTIF(Data!B:B, A197)))-(CO"&amp;"UNTIF(FILTER(Data!N:N,Data!B:B=A197),""NONE""))),IF(ISBLANK(A197),"""",0))"),"")</f>
        <v/>
      </c>
      <c r="T197" s="56" t="str">
        <f>IFERROR(__xludf.DUMMYFUNCTION("IFERROR((COUNTIF(FILTER(Data!N:N, Data!B:B=A197),""LOW"")) / (COUNTIF(Data!B:B, A197)),"""")"),"")</f>
        <v/>
      </c>
      <c r="U197" s="59" t="str">
        <f>IFERROR(__xludf.DUMMYFUNCTION("IFERROR((COUNTIF(FILTER(Data!N:N, Data!B:B=A197),""MIDDLE"")) / (COUNTIF(Data!B:B, A197)),"""")"),"")</f>
        <v/>
      </c>
      <c r="V197" s="59" t="str">
        <f>IFERROR(__xludf.DUMMYFUNCTION("IFERROR((COUNTIF(FILTER(Data!N:N, Data!B:B=A197),""HIGH"")) / (COUNTIF(Data!B:B, A197)),"""")"),"")</f>
        <v/>
      </c>
      <c r="W197" s="59" t="str">
        <f>IFERROR(__xludf.DUMMYFUNCTION("IFERROR((COUNTIF(FILTER(Data!N:N, Data!B:B=A197),""TRAVERSE"")) / (COUNTIF(Data!B:B, A197)),"""")"),"")</f>
        <v/>
      </c>
      <c r="X197" s="60" t="str">
        <f t="shared" si="38"/>
        <v/>
      </c>
      <c r="Y197" s="45" t="str">
        <f t="shared" si="7"/>
        <v/>
      </c>
      <c r="Z197" s="45" t="str">
        <f t="shared" si="8"/>
        <v/>
      </c>
      <c r="AA197" s="16" t="str">
        <f t="shared" si="9"/>
        <v/>
      </c>
      <c r="AB197" s="16"/>
      <c r="AC197" s="16" t="str">
        <f>IFERROR(__xludf.DUMMYFUNCTION("IF(AA197="""","""",MAX(Filter((Data!G:G+Data!K:K),Data!B:B=A197)))"),"")</f>
        <v/>
      </c>
      <c r="AD197" s="16"/>
      <c r="AE197" s="16" t="str">
        <f t="shared" si="12"/>
        <v/>
      </c>
      <c r="AF197" s="16" t="str">
        <f t="shared" si="13"/>
        <v/>
      </c>
      <c r="AG197" s="44"/>
      <c r="AH197" s="44"/>
      <c r="AI197" s="44" t="str">
        <f>IFERROR(__xludf.DUMMYFUNCTION("TEXTJOIN("", "",TRUE, FILTER(Data!P:P, Data!B:B=A197))"),"")</f>
        <v/>
      </c>
      <c r="AM197" s="61"/>
      <c r="BC197" s="50"/>
    </row>
    <row r="198">
      <c r="A198" s="54"/>
      <c r="B198" s="55" t="str">
        <f>IFERROR(__xludf.DUMMYFUNCTION("IFERROR(ROUND(
(COUNTIF(FILTER(Data!O:O, Data!B:B=A198), ""Win"")
+ COUNTIF(FILTER(Data!O:O, Data!B:B=A198), {""Tie"",""Results""}))
/ (COUNTIF(Data!B:B, A198)),
1),"""")"),"")</f>
        <v/>
      </c>
      <c r="C198" s="45" t="str">
        <f>IFERROR((SUMIF(Data!B:B, A198, Data!H:H)
/ (COUNTIF(Data!B:B, A198)
)),"")</f>
        <v/>
      </c>
      <c r="D198" s="45" t="str">
        <f>IFERROR((SUMIF(Data!B:B, A198, Data!G:G)
/ (COUNTIF(Data!B:B, A198)
)),"")</f>
        <v/>
      </c>
      <c r="E198" s="31" t="str">
        <f t="shared" si="39"/>
        <v/>
      </c>
      <c r="F198" s="45" t="str">
        <f>IFERROR((SUMIF(Data!B:B, A198, Data!J:J)
/ (COUNTIF(Data!B:B, A198)
)),"")</f>
        <v/>
      </c>
      <c r="G198" s="56" t="str">
        <f>IF(A198="","",IFERROR((((((SUMIF(Data!B:B, A198, Data!H:H)+(SUMIF(Data!B:B, A198,Data!G:G)))/(SUMIF(Data!B:B, A198, Data!J:J)))))),0))</f>
        <v/>
      </c>
      <c r="H198" s="32" t="str">
        <f>IFERROR(__xludf.DUMMYFUNCTION("IFERROR(IF(G198="""","""",Average(FILTER(IF(Data!J:J&lt;3,((Data!G:G+Data!H:H)/Data!J:J),1),Data!B:B=A198))),""Never Attempted"")"),"")</f>
        <v/>
      </c>
      <c r="I198" s="45"/>
      <c r="J198" s="45"/>
      <c r="K198" s="45"/>
      <c r="L198" s="45" t="str">
        <f>IFERROR((SUMIF(Data!B:B, A198, Data!L:L)
/ (COUNTIF(Data!B:B, A198)
)),"")</f>
        <v/>
      </c>
      <c r="M198" s="45" t="str">
        <f>IFERROR((SUMIF(Data!B:B, A198, Data!K:K)
/ (COUNTIF(Data!B:B, A198)
)),"")</f>
        <v/>
      </c>
      <c r="N198" s="56"/>
      <c r="O198" s="56" t="str">
        <f>IF(A198="","",IFERROR((((((SUMIF(Data!B:B, A198, Data!H:H)+(SUMIF(Data!B:B, A198,Data!G:G)+(SUMIF(Data!B:B, A198,Data!L:L)+(SUMIF(Data!B:B, A198,Data!K:K)))))/(SUMIF(Data!B:B, A198, Data!M:M)+(SUMIF(Data!B:B, A198, Data!H:H)+(SUMIF(Data!B:B, A198,Data!G:G)+(SUMIF(Data!B:B, A198,Data!K:K)+(SUMIF(Data!B:B, A198,Data!L:L)))))))))),0))</f>
        <v/>
      </c>
      <c r="P198" s="57" t="str">
        <f>IFERROR(__xludf.DUMMYFUNCTION("IFERROR(((COUNTIF(FILTER(Data!N:N,Data!B:B=A198),""TRAVERSE"")*15)+(COUNTIF(FILTER(Data!N:N,Data!B:B=A198),""HIGH"")*10)+(COUNTIF(FILTER(Data!N:N,Data!B:B=A198),""MIDDLE"")*6)+(COUNTIF(FILTER(Data!N:N,Data!B:B=A198),""LOW"")*4)) / (COUNTIF(Data!B:B, A198)"&amp;"),"""")"),"")</f>
        <v/>
      </c>
      <c r="Q198" s="31" t="str">
        <f>IF(P198="","",AVERAGE('Convert Name to Number'!F618:H618))</f>
        <v/>
      </c>
      <c r="R198" s="36" t="str">
        <f t="shared" si="37"/>
        <v/>
      </c>
      <c r="S198" s="58" t="str">
        <f>IFERROR(__xludf.DUMMYFUNCTION("IFERROR((((COUNTIF(FILTER(Data!N:N,Data!B:B=A198),""TRAVERSE""))+(COUNTIF(FILTER(Data!N:N,Data!B:B=A198),""HIGH""))+(COUNTIF(FILTER(Data!N:N,Data!B:B=A198),""MIDDLE""))+(COUNTIF(FILTER(Data!N:N,Data!B:B=A198),""LOW"")))) / (((COUNTIF(Data!B:B, A198)))-(CO"&amp;"UNTIF(FILTER(Data!N:N,Data!B:B=A198),""NONE""))),IF(ISBLANK(A198),"""",0))"),"")</f>
        <v/>
      </c>
      <c r="T198" s="56" t="str">
        <f>IFERROR(__xludf.DUMMYFUNCTION("IFERROR((COUNTIF(FILTER(Data!N:N, Data!B:B=A198),""LOW"")) / (COUNTIF(Data!B:B, A198)),"""")"),"")</f>
        <v/>
      </c>
      <c r="U198" s="59" t="str">
        <f>IFERROR(__xludf.DUMMYFUNCTION("IFERROR((COUNTIF(FILTER(Data!N:N, Data!B:B=A198),""MIDDLE"")) / (COUNTIF(Data!B:B, A198)),"""")"),"")</f>
        <v/>
      </c>
      <c r="V198" s="59" t="str">
        <f>IFERROR(__xludf.DUMMYFUNCTION("IFERROR((COUNTIF(FILTER(Data!N:N, Data!B:B=A198),""HIGH"")) / (COUNTIF(Data!B:B, A198)),"""")"),"")</f>
        <v/>
      </c>
      <c r="W198" s="59" t="str">
        <f>IFERROR(__xludf.DUMMYFUNCTION("IFERROR((COUNTIF(FILTER(Data!N:N, Data!B:B=A198),""TRAVERSE"")) / (COUNTIF(Data!B:B, A198)),"""")"),"")</f>
        <v/>
      </c>
      <c r="X198" s="60" t="str">
        <f t="shared" si="38"/>
        <v/>
      </c>
      <c r="Y198" s="45" t="str">
        <f t="shared" si="7"/>
        <v/>
      </c>
      <c r="Z198" s="45" t="str">
        <f t="shared" si="8"/>
        <v/>
      </c>
      <c r="AA198" s="16" t="str">
        <f t="shared" si="9"/>
        <v/>
      </c>
      <c r="AB198" s="16"/>
      <c r="AC198" s="16" t="str">
        <f>IFERROR(__xludf.DUMMYFUNCTION("IF(AA198="""","""",MAX(Filter((Data!G:G+Data!K:K),Data!B:B=A198)))"),"")</f>
        <v/>
      </c>
      <c r="AD198" s="16"/>
      <c r="AE198" s="16" t="str">
        <f t="shared" si="12"/>
        <v/>
      </c>
      <c r="AF198" s="16" t="str">
        <f t="shared" si="13"/>
        <v/>
      </c>
      <c r="AG198" s="44"/>
      <c r="AH198" s="44"/>
      <c r="AI198" s="44" t="str">
        <f>IFERROR(__xludf.DUMMYFUNCTION("TEXTJOIN("", "",TRUE, FILTER(Data!P:P, Data!B:B=A198))"),"")</f>
        <v/>
      </c>
      <c r="AM198" s="61"/>
      <c r="BC198" s="50"/>
    </row>
    <row r="199">
      <c r="A199" s="54"/>
      <c r="B199" s="55" t="str">
        <f>IFERROR(__xludf.DUMMYFUNCTION("IFERROR(ROUND(
(COUNTIF(FILTER(Data!O:O, Data!B:B=A199), ""Win"")
+ COUNTIF(FILTER(Data!O:O, Data!B:B=A199), {""Tie"",""Results""}))
/ (COUNTIF(Data!B:B, A199)),
1),"""")"),"")</f>
        <v/>
      </c>
      <c r="C199" s="45" t="str">
        <f>IFERROR((SUMIF(Data!B:B, A199, Data!H:H)
/ (COUNTIF(Data!B:B, A199)
)),"")</f>
        <v/>
      </c>
      <c r="D199" s="45" t="str">
        <f>IFERROR((SUMIF(Data!B:B, A199, Data!G:G)
/ (COUNTIF(Data!B:B, A199)
)),"")</f>
        <v/>
      </c>
      <c r="E199" s="31" t="str">
        <f t="shared" si="39"/>
        <v/>
      </c>
      <c r="F199" s="45" t="str">
        <f>IFERROR((SUMIF(Data!B:B, A199, Data!J:J)
/ (COUNTIF(Data!B:B, A199)
)),"")</f>
        <v/>
      </c>
      <c r="G199" s="56" t="str">
        <f>IF(A199="","",IFERROR((((((SUMIF(Data!B:B, A199, Data!H:H)+(SUMIF(Data!B:B, A199,Data!G:G)))/(SUMIF(Data!B:B, A199, Data!J:J)))))),0))</f>
        <v/>
      </c>
      <c r="H199" s="32" t="str">
        <f>IFERROR(__xludf.DUMMYFUNCTION("IFERROR(IF(G199="""","""",Average(FILTER(IF(Data!J:J&lt;3,((Data!G:G+Data!H:H)/Data!J:J),1),Data!B:B=A199))),""Never Attempted"")"),"")</f>
        <v/>
      </c>
      <c r="I199" s="45"/>
      <c r="J199" s="45"/>
      <c r="K199" s="45"/>
      <c r="L199" s="45" t="str">
        <f>IFERROR((SUMIF(Data!B:B, A199, Data!L:L)
/ (COUNTIF(Data!B:B, A199)
)),"")</f>
        <v/>
      </c>
      <c r="M199" s="45" t="str">
        <f>IFERROR((SUMIF(Data!B:B, A199, Data!K:K)
/ (COUNTIF(Data!B:B, A199)
)),"")</f>
        <v/>
      </c>
      <c r="N199" s="56"/>
      <c r="O199" s="56" t="str">
        <f>IF(A199="","",IFERROR((((((SUMIF(Data!B:B, A199, Data!H:H)+(SUMIF(Data!B:B, A199,Data!G:G)+(SUMIF(Data!B:B, A199,Data!L:L)+(SUMIF(Data!B:B, A199,Data!K:K)))))/(SUMIF(Data!B:B, A199, Data!M:M)+(SUMIF(Data!B:B, A199, Data!H:H)+(SUMIF(Data!B:B, A199,Data!G:G)+(SUMIF(Data!B:B, A199,Data!K:K)+(SUMIF(Data!B:B, A199,Data!L:L)))))))))),0))</f>
        <v/>
      </c>
      <c r="P199" s="57" t="str">
        <f>IFERROR(__xludf.DUMMYFUNCTION("IFERROR(((COUNTIF(FILTER(Data!N:N,Data!B:B=A199),""TRAVERSE"")*15)+(COUNTIF(FILTER(Data!N:N,Data!B:B=A199),""HIGH"")*10)+(COUNTIF(FILTER(Data!N:N,Data!B:B=A199),""MIDDLE"")*6)+(COUNTIF(FILTER(Data!N:N,Data!B:B=A199),""LOW"")*4)) / (COUNTIF(Data!B:B, A199)"&amp;"),"""")"),"")</f>
        <v/>
      </c>
      <c r="Q199" s="31" t="str">
        <f>IF(P199="","",AVERAGE('Convert Name to Number'!F619:H619))</f>
        <v/>
      </c>
      <c r="R199" s="36" t="str">
        <f t="shared" si="37"/>
        <v/>
      </c>
      <c r="S199" s="58" t="str">
        <f>IFERROR(__xludf.DUMMYFUNCTION("IFERROR((((COUNTIF(FILTER(Data!N:N,Data!B:B=A199),""TRAVERSE""))+(COUNTIF(FILTER(Data!N:N,Data!B:B=A199),""HIGH""))+(COUNTIF(FILTER(Data!N:N,Data!B:B=A199),""MIDDLE""))+(COUNTIF(FILTER(Data!N:N,Data!B:B=A199),""LOW"")))) / (((COUNTIF(Data!B:B, A199)))-(CO"&amp;"UNTIF(FILTER(Data!N:N,Data!B:B=A199),""NONE""))),IF(ISBLANK(A199),"""",0))"),"")</f>
        <v/>
      </c>
      <c r="T199" s="56" t="str">
        <f>IFERROR(__xludf.DUMMYFUNCTION("IFERROR((COUNTIF(FILTER(Data!N:N, Data!B:B=A199),""LOW"")) / (COUNTIF(Data!B:B, A199)),"""")"),"")</f>
        <v/>
      </c>
      <c r="U199" s="59" t="str">
        <f>IFERROR(__xludf.DUMMYFUNCTION("IFERROR((COUNTIF(FILTER(Data!N:N, Data!B:B=A199),""MIDDLE"")) / (COUNTIF(Data!B:B, A199)),"""")"),"")</f>
        <v/>
      </c>
      <c r="V199" s="59" t="str">
        <f>IFERROR(__xludf.DUMMYFUNCTION("IFERROR((COUNTIF(FILTER(Data!N:N, Data!B:B=A199),""HIGH"")) / (COUNTIF(Data!B:B, A199)),"""")"),"")</f>
        <v/>
      </c>
      <c r="W199" s="59" t="str">
        <f>IFERROR(__xludf.DUMMYFUNCTION("IFERROR((COUNTIF(FILTER(Data!N:N, Data!B:B=A199),""TRAVERSE"")) / (COUNTIF(Data!B:B, A199)),"""")"),"")</f>
        <v/>
      </c>
      <c r="X199" s="60" t="str">
        <f t="shared" si="38"/>
        <v/>
      </c>
      <c r="Y199" s="45" t="str">
        <f t="shared" si="7"/>
        <v/>
      </c>
      <c r="Z199" s="45" t="str">
        <f t="shared" si="8"/>
        <v/>
      </c>
      <c r="AA199" s="16" t="str">
        <f t="shared" si="9"/>
        <v/>
      </c>
      <c r="AB199" s="16"/>
      <c r="AC199" s="16" t="str">
        <f>IFERROR(__xludf.DUMMYFUNCTION("IF(AA199="""","""",MAX(Filter((Data!G:G+Data!K:K),Data!B:B=A199)))"),"")</f>
        <v/>
      </c>
      <c r="AD199" s="16"/>
      <c r="AE199" s="16" t="str">
        <f t="shared" si="12"/>
        <v/>
      </c>
      <c r="AF199" s="16" t="str">
        <f t="shared" si="13"/>
        <v/>
      </c>
      <c r="AG199" s="44"/>
      <c r="AH199" s="44"/>
      <c r="AI199" s="44" t="str">
        <f>IFERROR(__xludf.DUMMYFUNCTION("TEXTJOIN("", "",TRUE, FILTER(Data!P:P, Data!B:B=A199))"),"")</f>
        <v/>
      </c>
      <c r="AM199" s="61"/>
      <c r="BC199" s="50"/>
    </row>
    <row r="200">
      <c r="A200" s="54"/>
      <c r="B200" s="55" t="str">
        <f>IFERROR(__xludf.DUMMYFUNCTION("IFERROR(ROUND(
(COUNTIF(FILTER(Data!O:O, Data!B:B=A200), ""Win"")
+ COUNTIF(FILTER(Data!O:O, Data!B:B=A200), {""Tie"",""Results""}))
/ (COUNTIF(Data!B:B, A200)),
1),"""")"),"")</f>
        <v/>
      </c>
      <c r="C200" s="45" t="str">
        <f>IFERROR((SUMIF(Data!B:B, A200, Data!H:H)
/ (COUNTIF(Data!B:B, A200)
)),"")</f>
        <v/>
      </c>
      <c r="D200" s="45" t="str">
        <f>IFERROR((SUMIF(Data!B:B, A200, Data!G:G)
/ (COUNTIF(Data!B:B, A200)
)),"")</f>
        <v/>
      </c>
      <c r="E200" s="31" t="str">
        <f t="shared" si="39"/>
        <v/>
      </c>
      <c r="F200" s="45" t="str">
        <f>IFERROR((SUMIF(Data!B:B, A200, Data!J:J)
/ (COUNTIF(Data!B:B, A200)
)),"")</f>
        <v/>
      </c>
      <c r="G200" s="56" t="str">
        <f>IF(A200="","",IFERROR((((((SUMIF(Data!B:B, A200, Data!H:H)+(SUMIF(Data!B:B, A200,Data!G:G)))/(SUMIF(Data!B:B, A200, Data!J:J)))))),0))</f>
        <v/>
      </c>
      <c r="H200" s="32" t="str">
        <f>IFERROR(__xludf.DUMMYFUNCTION("IFERROR(IF(G200="""","""",Average(FILTER(IF(Data!J:J&lt;3,((Data!G:G+Data!H:H)/Data!J:J),1),Data!B:B=A200))),""Never Attempted"")"),"")</f>
        <v/>
      </c>
      <c r="I200" s="45"/>
      <c r="J200" s="45"/>
      <c r="K200" s="45"/>
      <c r="L200" s="45" t="str">
        <f>IFERROR((SUMIF(Data!B:B, A200, Data!L:L)
/ (COUNTIF(Data!B:B, A200)
)),"")</f>
        <v/>
      </c>
      <c r="M200" s="45" t="str">
        <f>IFERROR((SUMIF(Data!B:B, A200, Data!K:K)
/ (COUNTIF(Data!B:B, A200)
)),"")</f>
        <v/>
      </c>
      <c r="N200" s="56"/>
      <c r="O200" s="56" t="str">
        <f>IF(A200="","",IFERROR((((((SUMIF(Data!B:B, A200, Data!H:H)+(SUMIF(Data!B:B, A200,Data!G:G)+(SUMIF(Data!B:B, A200,Data!L:L)+(SUMIF(Data!B:B, A200,Data!K:K)))))/(SUMIF(Data!B:B, A200, Data!M:M)+(SUMIF(Data!B:B, A200, Data!H:H)+(SUMIF(Data!B:B, A200,Data!G:G)+(SUMIF(Data!B:B, A200,Data!K:K)+(SUMIF(Data!B:B, A200,Data!L:L)))))))))),0))</f>
        <v/>
      </c>
      <c r="P200" s="57" t="str">
        <f>IFERROR(__xludf.DUMMYFUNCTION("IFERROR(((COUNTIF(FILTER(Data!N:N,Data!B:B=A200),""TRAVERSE"")*15)+(COUNTIF(FILTER(Data!N:N,Data!B:B=A200),""HIGH"")*10)+(COUNTIF(FILTER(Data!N:N,Data!B:B=A200),""MIDDLE"")*6)+(COUNTIF(FILTER(Data!N:N,Data!B:B=A200),""LOW"")*4)) / (COUNTIF(Data!B:B, A200)"&amp;"),"""")"),"")</f>
        <v/>
      </c>
      <c r="Q200" s="31" t="str">
        <f>IF(P200="","",AVERAGE('Convert Name to Number'!F620:H620))</f>
        <v/>
      </c>
      <c r="R200" s="36" t="str">
        <f t="shared" si="37"/>
        <v/>
      </c>
      <c r="S200" s="58" t="str">
        <f>IFERROR(__xludf.DUMMYFUNCTION("IFERROR((((COUNTIF(FILTER(Data!N:N,Data!B:B=A200),""TRAVERSE""))+(COUNTIF(FILTER(Data!N:N,Data!B:B=A200),""HIGH""))+(COUNTIF(FILTER(Data!N:N,Data!B:B=A200),""MIDDLE""))+(COUNTIF(FILTER(Data!N:N,Data!B:B=A200),""LOW"")))) / (((COUNTIF(Data!B:B, A200)))-(CO"&amp;"UNTIF(FILTER(Data!N:N,Data!B:B=A200),""NONE""))),IF(ISBLANK(A200),"""",0))"),"")</f>
        <v/>
      </c>
      <c r="T200" s="56" t="str">
        <f>IFERROR(__xludf.DUMMYFUNCTION("IFERROR((COUNTIF(FILTER(Data!N:N, Data!B:B=A200),""LOW"")) / (COUNTIF(Data!B:B, A200)),"""")"),"")</f>
        <v/>
      </c>
      <c r="U200" s="59" t="str">
        <f>IFERROR(__xludf.DUMMYFUNCTION("IFERROR((COUNTIF(FILTER(Data!N:N, Data!B:B=A200),""MIDDLE"")) / (COUNTIF(Data!B:B, A200)),"""")"),"")</f>
        <v/>
      </c>
      <c r="V200" s="59" t="str">
        <f>IFERROR(__xludf.DUMMYFUNCTION("IFERROR((COUNTIF(FILTER(Data!N:N, Data!B:B=A200),""HIGH"")) / (COUNTIF(Data!B:B, A200)),"""")"),"")</f>
        <v/>
      </c>
      <c r="W200" s="59" t="str">
        <f>IFERROR(__xludf.DUMMYFUNCTION("IFERROR((COUNTIF(FILTER(Data!N:N, Data!B:B=A200),""TRAVERSE"")) / (COUNTIF(Data!B:B, A200)),"""")"),"")</f>
        <v/>
      </c>
      <c r="X200" s="60" t="str">
        <f t="shared" si="38"/>
        <v/>
      </c>
      <c r="Y200" s="45" t="str">
        <f t="shared" si="7"/>
        <v/>
      </c>
      <c r="Z200" s="45" t="str">
        <f t="shared" si="8"/>
        <v/>
      </c>
      <c r="AA200" s="16" t="str">
        <f t="shared" si="9"/>
        <v/>
      </c>
      <c r="AB200" s="16"/>
      <c r="AC200" s="16" t="str">
        <f>IFERROR(__xludf.DUMMYFUNCTION("IF(AA200="""","""",MAX(Filter((Data!G:G+Data!K:K),Data!B:B=A200)))"),"")</f>
        <v/>
      </c>
      <c r="AD200" s="16"/>
      <c r="AE200" s="16" t="str">
        <f t="shared" si="12"/>
        <v/>
      </c>
      <c r="AF200" s="16" t="str">
        <f t="shared" si="13"/>
        <v/>
      </c>
      <c r="AG200" s="44"/>
      <c r="AH200" s="44"/>
      <c r="AI200" s="44" t="str">
        <f>IFERROR(__xludf.DUMMYFUNCTION("TEXTJOIN("", "",TRUE, FILTER(Data!P:P, Data!B:B=A200))"),"")</f>
        <v/>
      </c>
      <c r="AM200" s="61"/>
      <c r="BC200" s="50"/>
    </row>
    <row r="201">
      <c r="A201" s="54"/>
      <c r="B201" s="55" t="str">
        <f>IFERROR(__xludf.DUMMYFUNCTION("IFERROR(ROUND(
(COUNTIF(FILTER(Data!O:O, Data!B:B=A201), ""Win"")
+ COUNTIF(FILTER(Data!O:O, Data!B:B=A201), {""Tie"",""Results""}))
/ (COUNTIF(Data!B:B, A201)),
1),"""")"),"")</f>
        <v/>
      </c>
      <c r="C201" s="45" t="str">
        <f>IFERROR((SUMIF(Data!B:B, A201, Data!H:H)
/ (COUNTIF(Data!B:B, A201)
)),"")</f>
        <v/>
      </c>
      <c r="D201" s="45" t="str">
        <f>IFERROR((SUMIF(Data!B:B, A201, Data!G:G)
/ (COUNTIF(Data!B:B, A201)
)),"")</f>
        <v/>
      </c>
      <c r="E201" s="31" t="str">
        <f t="shared" si="39"/>
        <v/>
      </c>
      <c r="F201" s="45" t="str">
        <f>IFERROR((SUMIF(Data!B:B, A201, Data!J:J)
/ (COUNTIF(Data!B:B, A201)
)),"")</f>
        <v/>
      </c>
      <c r="G201" s="56" t="str">
        <f>IF(A201="","",IFERROR((((((SUMIF(Data!B:B, A201, Data!H:H)+(SUMIF(Data!B:B, A201,Data!G:G)))/(SUMIF(Data!B:B, A201, Data!J:J)))))),0))</f>
        <v/>
      </c>
      <c r="H201" s="32" t="str">
        <f>IFERROR(__xludf.DUMMYFUNCTION("IFERROR(IF(G201="""","""",Average(FILTER(IF(Data!J:J&lt;3,((Data!G:G+Data!H:H)/Data!J:J),1),Data!B:B=A201))),""Never Attempted"")"),"")</f>
        <v/>
      </c>
      <c r="I201" s="45"/>
      <c r="J201" s="45"/>
      <c r="K201" s="45"/>
      <c r="L201" s="45" t="str">
        <f>IFERROR((SUMIF(Data!B:B, A201, Data!L:L)
/ (COUNTIF(Data!B:B, A201)
)),"")</f>
        <v/>
      </c>
      <c r="M201" s="45" t="str">
        <f>IFERROR((SUMIF(Data!B:B, A201, Data!K:K)
/ (COUNTIF(Data!B:B, A201)
)),"")</f>
        <v/>
      </c>
      <c r="N201" s="56"/>
      <c r="O201" s="56" t="str">
        <f>IF(A201="","",IFERROR((((((SUMIF(Data!B:B, A201, Data!H:H)+(SUMIF(Data!B:B, A201,Data!G:G)+(SUMIF(Data!B:B, A201,Data!L:L)+(SUMIF(Data!B:B, A201,Data!K:K)))))/(SUMIF(Data!B:B, A201, Data!M:M)+(SUMIF(Data!B:B, A201, Data!H:H)+(SUMIF(Data!B:B, A201,Data!G:G)+(SUMIF(Data!B:B, A201,Data!K:K)+(SUMIF(Data!B:B, A201,Data!L:L)))))))))),0))</f>
        <v/>
      </c>
      <c r="P201" s="57" t="str">
        <f>IFERROR(__xludf.DUMMYFUNCTION("IFERROR(((COUNTIF(FILTER(Data!N:N,Data!B:B=A201),""TRAVERSE"")*15)+(COUNTIF(FILTER(Data!N:N,Data!B:B=A201),""HIGH"")*10)+(COUNTIF(FILTER(Data!N:N,Data!B:B=A201),""MIDDLE"")*6)+(COUNTIF(FILTER(Data!N:N,Data!B:B=A201),""LOW"")*4)) / (COUNTIF(Data!B:B, A201)"&amp;"),"""")"),"")</f>
        <v/>
      </c>
      <c r="Q201" s="31" t="str">
        <f>IF(P201="","",AVERAGE('Convert Name to Number'!F621:H621))</f>
        <v/>
      </c>
      <c r="R201" s="36" t="str">
        <f t="shared" si="37"/>
        <v/>
      </c>
      <c r="S201" s="58" t="str">
        <f>IFERROR(__xludf.DUMMYFUNCTION("IFERROR((((COUNTIF(FILTER(Data!N:N,Data!B:B=A201),""TRAVERSE""))+(COUNTIF(FILTER(Data!N:N,Data!B:B=A201),""HIGH""))+(COUNTIF(FILTER(Data!N:N,Data!B:B=A201),""MIDDLE""))+(COUNTIF(FILTER(Data!N:N,Data!B:B=A201),""LOW"")))) / (((COUNTIF(Data!B:B, A201)))-(CO"&amp;"UNTIF(FILTER(Data!N:N,Data!B:B=A201),""NONE""))),IF(ISBLANK(A201),"""",0))"),"")</f>
        <v/>
      </c>
      <c r="T201" s="56" t="str">
        <f>IFERROR(__xludf.DUMMYFUNCTION("IFERROR((COUNTIF(FILTER(Data!N:N, Data!B:B=A201),""LOW"")) / (COUNTIF(Data!B:B, A201)),"""")"),"")</f>
        <v/>
      </c>
      <c r="U201" s="59" t="str">
        <f>IFERROR(__xludf.DUMMYFUNCTION("IFERROR((COUNTIF(FILTER(Data!N:N, Data!B:B=A201),""MIDDLE"")) / (COUNTIF(Data!B:B, A201)),"""")"),"")</f>
        <v/>
      </c>
      <c r="V201" s="59" t="str">
        <f>IFERROR(__xludf.DUMMYFUNCTION("IFERROR((COUNTIF(FILTER(Data!N:N, Data!B:B=A201),""HIGH"")) / (COUNTIF(Data!B:B, A201)),"""")"),"")</f>
        <v/>
      </c>
      <c r="W201" s="59" t="str">
        <f>IFERROR(__xludf.DUMMYFUNCTION("IFERROR((COUNTIF(FILTER(Data!N:N, Data!B:B=A201),""TRAVERSE"")) / (COUNTIF(Data!B:B, A201)),"""")"),"")</f>
        <v/>
      </c>
      <c r="X201" s="60" t="str">
        <f t="shared" si="38"/>
        <v/>
      </c>
      <c r="Y201" s="45" t="str">
        <f t="shared" si="7"/>
        <v/>
      </c>
      <c r="Z201" s="45" t="str">
        <f t="shared" si="8"/>
        <v/>
      </c>
      <c r="AA201" s="16" t="str">
        <f t="shared" si="9"/>
        <v/>
      </c>
      <c r="AB201" s="16"/>
      <c r="AC201" s="16" t="str">
        <f>IFERROR(__xludf.DUMMYFUNCTION("IF(AA201="""","""",MAX(Filter((Data!G:G+Data!K:K),Data!B:B=A201)))"),"")</f>
        <v/>
      </c>
      <c r="AD201" s="16"/>
      <c r="AE201" s="16" t="str">
        <f t="shared" si="12"/>
        <v/>
      </c>
      <c r="AF201" s="16" t="str">
        <f t="shared" si="13"/>
        <v/>
      </c>
      <c r="AG201" s="44"/>
      <c r="AH201" s="44"/>
      <c r="AI201" s="44" t="str">
        <f>IFERROR(__xludf.DUMMYFUNCTION("TEXTJOIN("", "",TRUE, FILTER(Data!P:P, Data!B:B=A201))"),"")</f>
        <v/>
      </c>
      <c r="AM201" s="61"/>
      <c r="BC201" s="50"/>
    </row>
    <row r="202">
      <c r="A202" s="54"/>
      <c r="B202" s="55" t="str">
        <f>IFERROR(__xludf.DUMMYFUNCTION("IFERROR(ROUND(
(COUNTIF(FILTER(Data!O:O, Data!B:B=A202), ""Win"")
+ COUNTIF(FILTER(Data!O:O, Data!B:B=A202), {""Tie"",""Results""}))
/ (COUNTIF(Data!B:B, A202)),
1),"""")"),"")</f>
        <v/>
      </c>
      <c r="C202" s="45" t="str">
        <f>IFERROR((SUMIF(Data!B:B, A202, Data!H:H)
/ (COUNTIF(Data!B:B, A202)
)),"")</f>
        <v/>
      </c>
      <c r="D202" s="45" t="str">
        <f>IFERROR((SUMIF(Data!B:B, A202, Data!G:G)
/ (COUNTIF(Data!B:B, A202)
)),"")</f>
        <v/>
      </c>
      <c r="E202" s="31" t="str">
        <f t="shared" si="39"/>
        <v/>
      </c>
      <c r="F202" s="45" t="str">
        <f>IFERROR((SUMIF(Data!B:B, A202, Data!J:J)
/ (COUNTIF(Data!B:B, A202)
)),"")</f>
        <v/>
      </c>
      <c r="G202" s="56" t="str">
        <f>IF(A202="","",IFERROR((((((SUMIF(Data!B:B, A202, Data!H:H)+(SUMIF(Data!B:B, A202,Data!G:G)))/(SUMIF(Data!B:B, A202, Data!J:J)))))),0))</f>
        <v/>
      </c>
      <c r="H202" s="32" t="str">
        <f>IFERROR(__xludf.DUMMYFUNCTION("IFERROR(IF(G202="""","""",Average(FILTER(IF(Data!J:J&lt;3,((Data!G:G+Data!H:H)/Data!J:J),1),Data!B:B=A202))),""Never Attempted"")"),"")</f>
        <v/>
      </c>
      <c r="I202" s="45"/>
      <c r="J202" s="45"/>
      <c r="K202" s="45"/>
      <c r="L202" s="45" t="str">
        <f>IFERROR((SUMIF(Data!B:B, A202, Data!L:L)
/ (COUNTIF(Data!B:B, A202)
)),"")</f>
        <v/>
      </c>
      <c r="M202" s="45" t="str">
        <f>IFERROR((SUMIF(Data!B:B, A202, Data!K:K)
/ (COUNTIF(Data!B:B, A202)
)),"")</f>
        <v/>
      </c>
      <c r="N202" s="56"/>
      <c r="O202" s="56" t="str">
        <f>IF(A202="","",IFERROR((((((SUMIF(Data!B:B, A202, Data!H:H)+(SUMIF(Data!B:B, A202,Data!G:G)+(SUMIF(Data!B:B, A202,Data!L:L)+(SUMIF(Data!B:B, A202,Data!K:K)))))/(SUMIF(Data!B:B, A202, Data!M:M)+(SUMIF(Data!B:B, A202, Data!H:H)+(SUMIF(Data!B:B, A202,Data!G:G)+(SUMIF(Data!B:B, A202,Data!K:K)+(SUMIF(Data!B:B, A202,Data!L:L)))))))))),0))</f>
        <v/>
      </c>
      <c r="P202" s="57" t="str">
        <f>IFERROR(__xludf.DUMMYFUNCTION("IFERROR(((COUNTIF(FILTER(Data!N:N,Data!B:B=A202),""TRAVERSE"")*15)+(COUNTIF(FILTER(Data!N:N,Data!B:B=A202),""HIGH"")*10)+(COUNTIF(FILTER(Data!N:N,Data!B:B=A202),""MIDDLE"")*6)+(COUNTIF(FILTER(Data!N:N,Data!B:B=A202),""LOW"")*4)) / (COUNTIF(Data!B:B, A202)"&amp;"),"""")"),"")</f>
        <v/>
      </c>
      <c r="Q202" s="31" t="str">
        <f>IF(P202="","",AVERAGE('Convert Name to Number'!F622:H622))</f>
        <v/>
      </c>
      <c r="R202" s="36" t="str">
        <f t="shared" si="37"/>
        <v/>
      </c>
      <c r="S202" s="58" t="str">
        <f>IFERROR(__xludf.DUMMYFUNCTION("IFERROR((((COUNTIF(FILTER(Data!N:N,Data!B:B=A202),""TRAVERSE""))+(COUNTIF(FILTER(Data!N:N,Data!B:B=A202),""HIGH""))+(COUNTIF(FILTER(Data!N:N,Data!B:B=A202),""MIDDLE""))+(COUNTIF(FILTER(Data!N:N,Data!B:B=A202),""LOW"")))) / (((COUNTIF(Data!B:B, A202)))-(CO"&amp;"UNTIF(FILTER(Data!N:N,Data!B:B=A202),""NONE""))),IF(ISBLANK(A202),"""",0))"),"")</f>
        <v/>
      </c>
      <c r="T202" s="56" t="str">
        <f>IFERROR(__xludf.DUMMYFUNCTION("IFERROR((COUNTIF(FILTER(Data!N:N, Data!B:B=A202),""LOW"")) / (COUNTIF(Data!B:B, A202)),"""")"),"")</f>
        <v/>
      </c>
      <c r="U202" s="59" t="str">
        <f>IFERROR(__xludf.DUMMYFUNCTION("IFERROR((COUNTIF(FILTER(Data!N:N, Data!B:B=A202),""MIDDLE"")) / (COUNTIF(Data!B:B, A202)),"""")"),"")</f>
        <v/>
      </c>
      <c r="V202" s="59" t="str">
        <f>IFERROR(__xludf.DUMMYFUNCTION("IFERROR((COUNTIF(FILTER(Data!N:N, Data!B:B=A202),""HIGH"")) / (COUNTIF(Data!B:B, A202)),"""")"),"")</f>
        <v/>
      </c>
      <c r="W202" s="59" t="str">
        <f>IFERROR(__xludf.DUMMYFUNCTION("IFERROR((COUNTIF(FILTER(Data!N:N, Data!B:B=A202),""TRAVERSE"")) / (COUNTIF(Data!B:B, A202)),"""")"),"")</f>
        <v/>
      </c>
      <c r="X202" s="60" t="str">
        <f t="shared" si="38"/>
        <v/>
      </c>
      <c r="Y202" s="45" t="str">
        <f t="shared" si="7"/>
        <v/>
      </c>
      <c r="Z202" s="45" t="str">
        <f t="shared" si="8"/>
        <v/>
      </c>
      <c r="AA202" s="16" t="str">
        <f t="shared" si="9"/>
        <v/>
      </c>
      <c r="AB202" s="16"/>
      <c r="AC202" s="16" t="str">
        <f>IFERROR(__xludf.DUMMYFUNCTION("IF(AA202="""","""",MAX(Filter((Data!G:G+Data!K:K),Data!B:B=A202)))"),"")</f>
        <v/>
      </c>
      <c r="AD202" s="16"/>
      <c r="AE202" s="16" t="str">
        <f t="shared" si="12"/>
        <v/>
      </c>
      <c r="AF202" s="16" t="str">
        <f t="shared" si="13"/>
        <v/>
      </c>
      <c r="AG202" s="44"/>
      <c r="AH202" s="44"/>
      <c r="AI202" s="44" t="str">
        <f>IFERROR(__xludf.DUMMYFUNCTION("TEXTJOIN("", "",TRUE, FILTER(Data!P:P, Data!B:B=A202))"),"")</f>
        <v/>
      </c>
      <c r="AM202" s="61"/>
      <c r="BC202" s="50"/>
    </row>
    <row r="203">
      <c r="A203" s="54"/>
      <c r="B203" s="55" t="str">
        <f>IFERROR(__xludf.DUMMYFUNCTION("IFERROR(ROUND(
(COUNTIF(FILTER(Data!O:O, Data!B:B=A203), ""Win"")
+ COUNTIF(FILTER(Data!O:O, Data!B:B=A203), {""Tie"",""Results""}))
/ (COUNTIF(Data!B:B, A203)),
1),"""")"),"")</f>
        <v/>
      </c>
      <c r="C203" s="45" t="str">
        <f>IFERROR((SUMIF(Data!B:B, A203, Data!H:H)
/ (COUNTIF(Data!B:B, A203)
)),"")</f>
        <v/>
      </c>
      <c r="D203" s="45" t="str">
        <f>IFERROR((SUMIF(Data!B:B, A203, Data!G:G)
/ (COUNTIF(Data!B:B, A203)
)),"")</f>
        <v/>
      </c>
      <c r="E203" s="31" t="str">
        <f t="shared" si="39"/>
        <v/>
      </c>
      <c r="F203" s="45" t="str">
        <f>IFERROR((SUMIF(Data!B:B, A203, Data!J:J)
/ (COUNTIF(Data!B:B, A203)
)),"")</f>
        <v/>
      </c>
      <c r="G203" s="56" t="str">
        <f>IF(A203="","",IFERROR((((((SUMIF(Data!B:B, A203, Data!H:H)+(SUMIF(Data!B:B, A203,Data!G:G)))/(SUMIF(Data!B:B, A203, Data!J:J)))))),0))</f>
        <v/>
      </c>
      <c r="H203" s="32" t="str">
        <f>IFERROR(__xludf.DUMMYFUNCTION("IFERROR(IF(G203="""","""",Average(FILTER(IF(Data!J:J&lt;3,((Data!G:G+Data!H:H)/Data!J:J),1),Data!B:B=A203))),""Never Attempted"")"),"")</f>
        <v/>
      </c>
      <c r="I203" s="45"/>
      <c r="J203" s="45"/>
      <c r="K203" s="45"/>
      <c r="L203" s="45" t="str">
        <f>IFERROR((SUMIF(Data!B:B, A203, Data!L:L)
/ (COUNTIF(Data!B:B, A203)
)),"")</f>
        <v/>
      </c>
      <c r="M203" s="45" t="str">
        <f>IFERROR((SUMIF(Data!B:B, A203, Data!K:K)
/ (COUNTIF(Data!B:B, A203)
)),"")</f>
        <v/>
      </c>
      <c r="N203" s="56"/>
      <c r="O203" s="56" t="str">
        <f>IF(A203="","",IFERROR((((((SUMIF(Data!B:B, A203, Data!H:H)+(SUMIF(Data!B:B, A203,Data!G:G)+(SUMIF(Data!B:B, A203,Data!L:L)+(SUMIF(Data!B:B, A203,Data!K:K)))))/(SUMIF(Data!B:B, A203, Data!M:M)+(SUMIF(Data!B:B, A203, Data!H:H)+(SUMIF(Data!B:B, A203,Data!G:G)+(SUMIF(Data!B:B, A203,Data!K:K)+(SUMIF(Data!B:B, A203,Data!L:L)))))))))),0))</f>
        <v/>
      </c>
      <c r="P203" s="57" t="str">
        <f>IFERROR(__xludf.DUMMYFUNCTION("IFERROR(((COUNTIF(FILTER(Data!N:N,Data!B:B=A203),""TRAVERSE"")*15)+(COUNTIF(FILTER(Data!N:N,Data!B:B=A203),""HIGH"")*10)+(COUNTIF(FILTER(Data!N:N,Data!B:B=A203),""MIDDLE"")*6)+(COUNTIF(FILTER(Data!N:N,Data!B:B=A203),""LOW"")*4)) / (COUNTIF(Data!B:B, A203)"&amp;"),"""")"),"")</f>
        <v/>
      </c>
      <c r="Q203" s="31" t="str">
        <f>IF(P203="","",AVERAGE('Convert Name to Number'!F623:H623))</f>
        <v/>
      </c>
      <c r="R203" s="36" t="str">
        <f t="shared" si="37"/>
        <v/>
      </c>
      <c r="S203" s="58" t="str">
        <f>IFERROR(__xludf.DUMMYFUNCTION("IFERROR((((COUNTIF(FILTER(Data!N:N,Data!B:B=A203),""TRAVERSE""))+(COUNTIF(FILTER(Data!N:N,Data!B:B=A203),""HIGH""))+(COUNTIF(FILTER(Data!N:N,Data!B:B=A203),""MIDDLE""))+(COUNTIF(FILTER(Data!N:N,Data!B:B=A203),""LOW"")))) / (((COUNTIF(Data!B:B, A203)))-(CO"&amp;"UNTIF(FILTER(Data!N:N,Data!B:B=A203),""NONE""))),IF(ISBLANK(A203),"""",0))"),"")</f>
        <v/>
      </c>
      <c r="T203" s="56" t="str">
        <f>IFERROR(__xludf.DUMMYFUNCTION("IFERROR((COUNTIF(FILTER(Data!N:N, Data!B:B=A203),""LOW"")) / (COUNTIF(Data!B:B, A203)),"""")"),"")</f>
        <v/>
      </c>
      <c r="U203" s="59" t="str">
        <f>IFERROR(__xludf.DUMMYFUNCTION("IFERROR((COUNTIF(FILTER(Data!N:N, Data!B:B=A203),""MIDDLE"")) / (COUNTIF(Data!B:B, A203)),"""")"),"")</f>
        <v/>
      </c>
      <c r="V203" s="59" t="str">
        <f>IFERROR(__xludf.DUMMYFUNCTION("IFERROR((COUNTIF(FILTER(Data!N:N, Data!B:B=A203),""HIGH"")) / (COUNTIF(Data!B:B, A203)),"""")"),"")</f>
        <v/>
      </c>
      <c r="W203" s="59" t="str">
        <f>IFERROR(__xludf.DUMMYFUNCTION("IFERROR((COUNTIF(FILTER(Data!N:N, Data!B:B=A203),""TRAVERSE"")) / (COUNTIF(Data!B:B, A203)),"""")"),"")</f>
        <v/>
      </c>
      <c r="X203" s="60" t="str">
        <f t="shared" si="38"/>
        <v/>
      </c>
      <c r="Y203" s="45" t="str">
        <f t="shared" si="7"/>
        <v/>
      </c>
      <c r="Z203" s="45" t="str">
        <f t="shared" si="8"/>
        <v/>
      </c>
      <c r="AA203" s="16" t="str">
        <f t="shared" si="9"/>
        <v/>
      </c>
      <c r="AB203" s="16"/>
      <c r="AC203" s="16" t="str">
        <f>IFERROR(__xludf.DUMMYFUNCTION("IF(AA203="""","""",MAX(Filter((Data!G:G+Data!K:K),Data!B:B=A203)))"),"")</f>
        <v/>
      </c>
      <c r="AD203" s="16"/>
      <c r="AE203" s="16" t="str">
        <f t="shared" si="12"/>
        <v/>
      </c>
      <c r="AF203" s="16" t="str">
        <f t="shared" si="13"/>
        <v/>
      </c>
      <c r="AG203" s="44"/>
      <c r="AH203" s="44"/>
      <c r="AI203" s="44" t="str">
        <f>IFERROR(__xludf.DUMMYFUNCTION("TEXTJOIN("", "",TRUE, FILTER(Data!P:P, Data!B:B=A203))"),"")</f>
        <v/>
      </c>
      <c r="AM203" s="61"/>
      <c r="BC203" s="50"/>
    </row>
    <row r="204">
      <c r="A204" s="54"/>
      <c r="B204" s="55" t="str">
        <f>IFERROR(__xludf.DUMMYFUNCTION("IFERROR(ROUND(
(COUNTIF(FILTER(Data!O:O, Data!B:B=A204), ""Win"")
+ COUNTIF(FILTER(Data!O:O, Data!B:B=A204), {""Tie"",""Results""}))
/ (COUNTIF(Data!B:B, A204)),
1),"""")"),"")</f>
        <v/>
      </c>
      <c r="C204" s="45" t="str">
        <f>IFERROR((SUMIF(Data!B:B, A204, Data!H:H)
/ (COUNTIF(Data!B:B, A204)
)),"")</f>
        <v/>
      </c>
      <c r="D204" s="45" t="str">
        <f>IFERROR((SUMIF(Data!B:B, A204, Data!G:G)
/ (COUNTIF(Data!B:B, A204)
)),"")</f>
        <v/>
      </c>
      <c r="E204" s="31" t="str">
        <f t="shared" si="39"/>
        <v/>
      </c>
      <c r="F204" s="45" t="str">
        <f>IFERROR((SUMIF(Data!B:B, A204, Data!J:J)
/ (COUNTIF(Data!B:B, A204)
)),"")</f>
        <v/>
      </c>
      <c r="G204" s="56" t="str">
        <f>IF(A204="","",IFERROR((((((SUMIF(Data!B:B, A204, Data!H:H)+(SUMIF(Data!B:B, A204,Data!G:G)))/(SUMIF(Data!B:B, A204, Data!J:J)))))),0))</f>
        <v/>
      </c>
      <c r="H204" s="32" t="str">
        <f>IFERROR(__xludf.DUMMYFUNCTION("IFERROR(IF(G204="""","""",Average(FILTER(IF(Data!J:J&lt;3,((Data!G:G+Data!H:H)/Data!J:J),1),Data!B:B=A204))),""Never Attempted"")"),"")</f>
        <v/>
      </c>
      <c r="I204" s="45"/>
      <c r="J204" s="45"/>
      <c r="K204" s="45"/>
      <c r="L204" s="45" t="str">
        <f>IFERROR((SUMIF(Data!B:B, A204, Data!L:L)
/ (COUNTIF(Data!B:B, A204)
)),"")</f>
        <v/>
      </c>
      <c r="M204" s="45" t="str">
        <f>IFERROR((SUMIF(Data!B:B, A204, Data!K:K)
/ (COUNTIF(Data!B:B, A204)
)),"")</f>
        <v/>
      </c>
      <c r="N204" s="56"/>
      <c r="O204" s="56" t="str">
        <f>IF(A204="","",IFERROR((((((SUMIF(Data!B:B, A204, Data!H:H)+(SUMIF(Data!B:B, A204,Data!G:G)+(SUMIF(Data!B:B, A204,Data!L:L)+(SUMIF(Data!B:B, A204,Data!K:K)))))/(SUMIF(Data!B:B, A204, Data!M:M)+(SUMIF(Data!B:B, A204, Data!H:H)+(SUMIF(Data!B:B, A204,Data!G:G)+(SUMIF(Data!B:B, A204,Data!K:K)+(SUMIF(Data!B:B, A204,Data!L:L)))))))))),0))</f>
        <v/>
      </c>
      <c r="P204" s="57" t="str">
        <f>IFERROR(__xludf.DUMMYFUNCTION("IFERROR(((COUNTIF(FILTER(Data!N:N,Data!B:B=A204),""TRAVERSE"")*15)+(COUNTIF(FILTER(Data!N:N,Data!B:B=A204),""HIGH"")*10)+(COUNTIF(FILTER(Data!N:N,Data!B:B=A204),""MIDDLE"")*6)+(COUNTIF(FILTER(Data!N:N,Data!B:B=A204),""LOW"")*4)) / (COUNTIF(Data!B:B, A204)"&amp;"),"""")"),"")</f>
        <v/>
      </c>
      <c r="Q204" s="31" t="str">
        <f>IF(P204="","",AVERAGE('Convert Name to Number'!F624:H624))</f>
        <v/>
      </c>
      <c r="R204" s="36" t="str">
        <f t="shared" si="37"/>
        <v/>
      </c>
      <c r="S204" s="58" t="str">
        <f>IFERROR(__xludf.DUMMYFUNCTION("IFERROR((((COUNTIF(FILTER(Data!N:N,Data!B:B=A204),""TRAVERSE""))+(COUNTIF(FILTER(Data!N:N,Data!B:B=A204),""HIGH""))+(COUNTIF(FILTER(Data!N:N,Data!B:B=A204),""MIDDLE""))+(COUNTIF(FILTER(Data!N:N,Data!B:B=A204),""LOW"")))) / (((COUNTIF(Data!B:B, A204)))-(CO"&amp;"UNTIF(FILTER(Data!N:N,Data!B:B=A204),""NONE""))),IF(ISBLANK(A204),"""",0))"),"")</f>
        <v/>
      </c>
      <c r="T204" s="56" t="str">
        <f>IFERROR(__xludf.DUMMYFUNCTION("IFERROR((COUNTIF(FILTER(Data!N:N, Data!B:B=A204),""LOW"")) / (COUNTIF(Data!B:B, A204)),"""")"),"")</f>
        <v/>
      </c>
      <c r="U204" s="59" t="str">
        <f>IFERROR(__xludf.DUMMYFUNCTION("IFERROR((COUNTIF(FILTER(Data!N:N, Data!B:B=A204),""MIDDLE"")) / (COUNTIF(Data!B:B, A204)),"""")"),"")</f>
        <v/>
      </c>
      <c r="V204" s="59" t="str">
        <f>IFERROR(__xludf.DUMMYFUNCTION("IFERROR((COUNTIF(FILTER(Data!N:N, Data!B:B=A204),""HIGH"")) / (COUNTIF(Data!B:B, A204)),"""")"),"")</f>
        <v/>
      </c>
      <c r="W204" s="59" t="str">
        <f>IFERROR(__xludf.DUMMYFUNCTION("IFERROR((COUNTIF(FILTER(Data!N:N, Data!B:B=A204),""TRAVERSE"")) / (COUNTIF(Data!B:B, A204)),"""")"),"")</f>
        <v/>
      </c>
      <c r="X204" s="60" t="str">
        <f t="shared" si="38"/>
        <v/>
      </c>
      <c r="Y204" s="45" t="str">
        <f t="shared" si="7"/>
        <v/>
      </c>
      <c r="Z204" s="45" t="str">
        <f t="shared" si="8"/>
        <v/>
      </c>
      <c r="AA204" s="16" t="str">
        <f t="shared" si="9"/>
        <v/>
      </c>
      <c r="AB204" s="16"/>
      <c r="AC204" s="16" t="str">
        <f>IFERROR(__xludf.DUMMYFUNCTION("IF(AA204="""","""",MAX(Filter((Data!G:G+Data!K:K),Data!B:B=A204)))"),"")</f>
        <v/>
      </c>
      <c r="AD204" s="16"/>
      <c r="AE204" s="16" t="str">
        <f t="shared" si="12"/>
        <v/>
      </c>
      <c r="AF204" s="16" t="str">
        <f t="shared" si="13"/>
        <v/>
      </c>
      <c r="AG204" s="44"/>
      <c r="AH204" s="44"/>
      <c r="AI204" s="44" t="str">
        <f>IFERROR(__xludf.DUMMYFUNCTION("TEXTJOIN("", "",TRUE, FILTER(Data!P:P, Data!B:B=A204))"),"")</f>
        <v/>
      </c>
      <c r="AM204" s="61"/>
      <c r="BC204" s="50"/>
    </row>
    <row r="205">
      <c r="A205" s="54"/>
      <c r="B205" s="55" t="str">
        <f>IFERROR(__xludf.DUMMYFUNCTION("IFERROR(ROUND(
(COUNTIF(FILTER(Data!O:O, Data!B:B=A205), ""Win"")
+ COUNTIF(FILTER(Data!O:O, Data!B:B=A205), {""Tie"",""Results""}))
/ (COUNTIF(Data!B:B, A205)),
1),"""")"),"")</f>
        <v/>
      </c>
      <c r="C205" s="45" t="str">
        <f>IFERROR((SUMIF(Data!B:B, A205, Data!H:H)
/ (COUNTIF(Data!B:B, A205)
)),"")</f>
        <v/>
      </c>
      <c r="D205" s="45" t="str">
        <f>IFERROR((SUMIF(Data!B:B, A205, Data!G:G)
/ (COUNTIF(Data!B:B, A205)
)),"")</f>
        <v/>
      </c>
      <c r="E205" s="31" t="str">
        <f t="shared" si="39"/>
        <v/>
      </c>
      <c r="F205" s="45" t="str">
        <f>IFERROR((SUMIF(Data!B:B, A205, Data!J:J)
/ (COUNTIF(Data!B:B, A205)
)),"")</f>
        <v/>
      </c>
      <c r="G205" s="56" t="str">
        <f>IF(A205="","",IFERROR((((((SUMIF(Data!B:B, A205, Data!H:H)+(SUMIF(Data!B:B, A205,Data!G:G)))/(SUMIF(Data!B:B, A205, Data!J:J)))))),0))</f>
        <v/>
      </c>
      <c r="H205" s="32" t="str">
        <f>IFERROR(__xludf.DUMMYFUNCTION("IFERROR(IF(G205="""","""",Average(FILTER(IF(Data!J:J&lt;3,((Data!G:G+Data!H:H)/Data!J:J),1),Data!B:B=A205))),""Never Attempted"")"),"")</f>
        <v/>
      </c>
      <c r="I205" s="45"/>
      <c r="J205" s="45"/>
      <c r="K205" s="45"/>
      <c r="L205" s="45" t="str">
        <f>IFERROR((SUMIF(Data!B:B, A205, Data!L:L)
/ (COUNTIF(Data!B:B, A205)
)),"")</f>
        <v/>
      </c>
      <c r="M205" s="45" t="str">
        <f>IFERROR((SUMIF(Data!B:B, A205, Data!K:K)
/ (COUNTIF(Data!B:B, A205)
)),"")</f>
        <v/>
      </c>
      <c r="N205" s="56"/>
      <c r="O205" s="56" t="str">
        <f>IF(A205="","",IFERROR((((((SUMIF(Data!B:B, A205, Data!H:H)+(SUMIF(Data!B:B, A205,Data!G:G)+(SUMIF(Data!B:B, A205,Data!L:L)+(SUMIF(Data!B:B, A205,Data!K:K)))))/(SUMIF(Data!B:B, A205, Data!M:M)+(SUMIF(Data!B:B, A205, Data!H:H)+(SUMIF(Data!B:B, A205,Data!G:G)+(SUMIF(Data!B:B, A205,Data!K:K)+(SUMIF(Data!B:B, A205,Data!L:L)))))))))),0))</f>
        <v/>
      </c>
      <c r="P205" s="57" t="str">
        <f>IFERROR(__xludf.DUMMYFUNCTION("IFERROR(((COUNTIF(FILTER(Data!N:N,Data!B:B=A205),""TRAVERSE"")*15)+(COUNTIF(FILTER(Data!N:N,Data!B:B=A205),""HIGH"")*10)+(COUNTIF(FILTER(Data!N:N,Data!B:B=A205),""MIDDLE"")*6)+(COUNTIF(FILTER(Data!N:N,Data!B:B=A205),""LOW"")*4)) / (COUNTIF(Data!B:B, A205)"&amp;"),"""")"),"")</f>
        <v/>
      </c>
      <c r="Q205" s="31" t="str">
        <f>IF(P205="","",AVERAGE('Convert Name to Number'!F625:H625))</f>
        <v/>
      </c>
      <c r="R205" s="36" t="str">
        <f t="shared" si="37"/>
        <v/>
      </c>
      <c r="S205" s="58" t="str">
        <f>IFERROR(__xludf.DUMMYFUNCTION("IFERROR((((COUNTIF(FILTER(Data!N:N,Data!B:B=A205),""TRAVERSE""))+(COUNTIF(FILTER(Data!N:N,Data!B:B=A205),""HIGH""))+(COUNTIF(FILTER(Data!N:N,Data!B:B=A205),""MIDDLE""))+(COUNTIF(FILTER(Data!N:N,Data!B:B=A205),""LOW"")))) / (((COUNTIF(Data!B:B, A205)))-(CO"&amp;"UNTIF(FILTER(Data!N:N,Data!B:B=A205),""NONE""))),IF(ISBLANK(A205),"""",0))"),"")</f>
        <v/>
      </c>
      <c r="T205" s="56" t="str">
        <f>IFERROR(__xludf.DUMMYFUNCTION("IFERROR((COUNTIF(FILTER(Data!N:N, Data!B:B=A205),""LOW"")) / (COUNTIF(Data!B:B, A205)),"""")"),"")</f>
        <v/>
      </c>
      <c r="U205" s="59" t="str">
        <f>IFERROR(__xludf.DUMMYFUNCTION("IFERROR((COUNTIF(FILTER(Data!N:N, Data!B:B=A205),""MIDDLE"")) / (COUNTIF(Data!B:B, A205)),"""")"),"")</f>
        <v/>
      </c>
      <c r="V205" s="59" t="str">
        <f>IFERROR(__xludf.DUMMYFUNCTION("IFERROR((COUNTIF(FILTER(Data!N:N, Data!B:B=A205),""HIGH"")) / (COUNTIF(Data!B:B, A205)),"""")"),"")</f>
        <v/>
      </c>
      <c r="W205" s="59" t="str">
        <f>IFERROR(__xludf.DUMMYFUNCTION("IFERROR((COUNTIF(FILTER(Data!N:N, Data!B:B=A205),""TRAVERSE"")) / (COUNTIF(Data!B:B, A205)),"""")"),"")</f>
        <v/>
      </c>
      <c r="X205" s="60" t="str">
        <f t="shared" si="38"/>
        <v/>
      </c>
      <c r="Y205" s="45" t="str">
        <f t="shared" si="7"/>
        <v/>
      </c>
      <c r="Z205" s="45" t="str">
        <f t="shared" si="8"/>
        <v/>
      </c>
      <c r="AA205" s="16" t="str">
        <f t="shared" si="9"/>
        <v/>
      </c>
      <c r="AB205" s="16"/>
      <c r="AC205" s="16" t="str">
        <f>IFERROR(__xludf.DUMMYFUNCTION("IF(AA205="""","""",MAX(Filter((Data!G:G+Data!K:K),Data!B:B=A205)))"),"")</f>
        <v/>
      </c>
      <c r="AD205" s="16"/>
      <c r="AE205" s="16" t="str">
        <f t="shared" si="12"/>
        <v/>
      </c>
      <c r="AF205" s="16" t="str">
        <f t="shared" si="13"/>
        <v/>
      </c>
      <c r="AG205" s="44"/>
      <c r="AH205" s="44"/>
      <c r="AI205" s="44" t="str">
        <f>IFERROR(__xludf.DUMMYFUNCTION("TEXTJOIN("", "",TRUE, FILTER(Data!P:P, Data!B:B=A205))"),"")</f>
        <v/>
      </c>
      <c r="AM205" s="61"/>
      <c r="BC205" s="50"/>
    </row>
    <row r="206">
      <c r="A206" s="54"/>
      <c r="B206" s="55" t="str">
        <f>IFERROR(__xludf.DUMMYFUNCTION("IFERROR(ROUND(
(COUNTIF(FILTER(Data!O:O, Data!B:B=A206), ""Win"")
+ COUNTIF(FILTER(Data!O:O, Data!B:B=A206), {""Tie"",""Results""}))
/ (COUNTIF(Data!B:B, A206)),
1),"""")"),"")</f>
        <v/>
      </c>
      <c r="C206" s="45" t="str">
        <f>IFERROR((SUMIF(Data!B:B, A206, Data!H:H)
/ (COUNTIF(Data!B:B, A206)
)),"")</f>
        <v/>
      </c>
      <c r="D206" s="45" t="str">
        <f>IFERROR((SUMIF(Data!B:B, A206, Data!G:G)
/ (COUNTIF(Data!B:B, A206)
)),"")</f>
        <v/>
      </c>
      <c r="E206" s="31" t="str">
        <f t="shared" si="39"/>
        <v/>
      </c>
      <c r="F206" s="45" t="str">
        <f>IFERROR((SUMIF(Data!B:B, A206, Data!J:J)
/ (COUNTIF(Data!B:B, A206)
)),"")</f>
        <v/>
      </c>
      <c r="G206" s="56" t="str">
        <f>IF(A206="","",IFERROR((((((SUMIF(Data!B:B, A206, Data!H:H)+(SUMIF(Data!B:B, A206,Data!G:G)))/(SUMIF(Data!B:B, A206, Data!J:J)))))),0))</f>
        <v/>
      </c>
      <c r="H206" s="32" t="str">
        <f>IFERROR(__xludf.DUMMYFUNCTION("IFERROR(IF(G206="""","""",Average(FILTER(IF(Data!J:J&lt;3,((Data!G:G+Data!H:H)/Data!J:J),1),Data!B:B=A206))),""Never Attempted"")"),"")</f>
        <v/>
      </c>
      <c r="I206" s="45"/>
      <c r="J206" s="45"/>
      <c r="K206" s="45"/>
      <c r="L206" s="45" t="str">
        <f>IFERROR((SUMIF(Data!B:B, A206, Data!L:L)
/ (COUNTIF(Data!B:B, A206)
)),"")</f>
        <v/>
      </c>
      <c r="M206" s="45" t="str">
        <f>IFERROR((SUMIF(Data!B:B, A206, Data!K:K)
/ (COUNTIF(Data!B:B, A206)
)),"")</f>
        <v/>
      </c>
      <c r="N206" s="56"/>
      <c r="O206" s="56" t="str">
        <f>IF(A206="","",IFERROR((((((SUMIF(Data!B:B, A206, Data!H:H)+(SUMIF(Data!B:B, A206,Data!G:G)+(SUMIF(Data!B:B, A206,Data!L:L)+(SUMIF(Data!B:B, A206,Data!K:K)))))/(SUMIF(Data!B:B, A206, Data!M:M)+(SUMIF(Data!B:B, A206, Data!H:H)+(SUMIF(Data!B:B, A206,Data!G:G)+(SUMIF(Data!B:B, A206,Data!K:K)+(SUMIF(Data!B:B, A206,Data!L:L)))))))))),0))</f>
        <v/>
      </c>
      <c r="P206" s="57" t="str">
        <f>IFERROR(__xludf.DUMMYFUNCTION("IFERROR(((COUNTIF(FILTER(Data!N:N,Data!B:B=A206),""TRAVERSE"")*15)+(COUNTIF(FILTER(Data!N:N,Data!B:B=A206),""HIGH"")*10)+(COUNTIF(FILTER(Data!N:N,Data!B:B=A206),""MIDDLE"")*6)+(COUNTIF(FILTER(Data!N:N,Data!B:B=A206),""LOW"")*4)) / (COUNTIF(Data!B:B, A206)"&amp;"),"""")"),"")</f>
        <v/>
      </c>
      <c r="Q206" s="31" t="str">
        <f>IF(P206="","",AVERAGE('Convert Name to Number'!F626:H626))</f>
        <v/>
      </c>
      <c r="R206" s="36" t="str">
        <f t="shared" si="37"/>
        <v/>
      </c>
      <c r="S206" s="58" t="str">
        <f>IFERROR(__xludf.DUMMYFUNCTION("IFERROR((((COUNTIF(FILTER(Data!N:N,Data!B:B=A206),""TRAVERSE""))+(COUNTIF(FILTER(Data!N:N,Data!B:B=A206),""HIGH""))+(COUNTIF(FILTER(Data!N:N,Data!B:B=A206),""MIDDLE""))+(COUNTIF(FILTER(Data!N:N,Data!B:B=A206),""LOW"")))) / (((COUNTIF(Data!B:B, A206)))-(CO"&amp;"UNTIF(FILTER(Data!N:N,Data!B:B=A206),""NONE""))),IF(ISBLANK(A206),"""",0))"),"")</f>
        <v/>
      </c>
      <c r="T206" s="56" t="str">
        <f>IFERROR(__xludf.DUMMYFUNCTION("IFERROR((COUNTIF(FILTER(Data!N:N, Data!B:B=A206),""LOW"")) / (COUNTIF(Data!B:B, A206)),"""")"),"")</f>
        <v/>
      </c>
      <c r="U206" s="59" t="str">
        <f>IFERROR(__xludf.DUMMYFUNCTION("IFERROR((COUNTIF(FILTER(Data!N:N, Data!B:B=A206),""MIDDLE"")) / (COUNTIF(Data!B:B, A206)),"""")"),"")</f>
        <v/>
      </c>
      <c r="V206" s="59" t="str">
        <f>IFERROR(__xludf.DUMMYFUNCTION("IFERROR((COUNTIF(FILTER(Data!N:N, Data!B:B=A206),""HIGH"")) / (COUNTIF(Data!B:B, A206)),"""")"),"")</f>
        <v/>
      </c>
      <c r="W206" s="59" t="str">
        <f>IFERROR(__xludf.DUMMYFUNCTION("IFERROR((COUNTIF(FILTER(Data!N:N, Data!B:B=A206),""TRAVERSE"")) / (COUNTIF(Data!B:B, A206)),"""")"),"")</f>
        <v/>
      </c>
      <c r="X206" s="60" t="str">
        <f t="shared" si="38"/>
        <v/>
      </c>
      <c r="Y206" s="45" t="str">
        <f t="shared" si="7"/>
        <v/>
      </c>
      <c r="Z206" s="45" t="str">
        <f t="shared" si="8"/>
        <v/>
      </c>
      <c r="AA206" s="16" t="str">
        <f t="shared" si="9"/>
        <v/>
      </c>
      <c r="AB206" s="16"/>
      <c r="AC206" s="16" t="str">
        <f>IFERROR(__xludf.DUMMYFUNCTION("IF(AA206="""","""",MAX(Filter((Data!G:G+Data!K:K),Data!B:B=A206)))"),"")</f>
        <v/>
      </c>
      <c r="AD206" s="16"/>
      <c r="AE206" s="16" t="str">
        <f t="shared" si="12"/>
        <v/>
      </c>
      <c r="AF206" s="16" t="str">
        <f t="shared" si="13"/>
        <v/>
      </c>
      <c r="AG206" s="44"/>
      <c r="AH206" s="44"/>
      <c r="AI206" s="44" t="str">
        <f>IFERROR(__xludf.DUMMYFUNCTION("TEXTJOIN("", "",TRUE, FILTER(Data!P:P, Data!B:B=A206))"),"")</f>
        <v/>
      </c>
      <c r="AM206" s="61"/>
      <c r="BC206" s="50"/>
    </row>
    <row r="207">
      <c r="A207" s="54"/>
      <c r="B207" s="55" t="str">
        <f>IFERROR(__xludf.DUMMYFUNCTION("IFERROR(ROUND(
(COUNTIF(FILTER(Data!O:O, Data!B:B=A207), ""Win"")
+ COUNTIF(FILTER(Data!O:O, Data!B:B=A207), {""Tie"",""Results""}))
/ (COUNTIF(Data!B:B, A207)),
1),"""")"),"")</f>
        <v/>
      </c>
      <c r="C207" s="45" t="str">
        <f>IFERROR((SUMIF(Data!B:B, A207, Data!H:H)
/ (COUNTIF(Data!B:B, A207)
)),"")</f>
        <v/>
      </c>
      <c r="D207" s="45" t="str">
        <f>IFERROR((SUMIF(Data!B:B, A207, Data!G:G)
/ (COUNTIF(Data!B:B, A207)
)),"")</f>
        <v/>
      </c>
      <c r="E207" s="31" t="str">
        <f t="shared" si="39"/>
        <v/>
      </c>
      <c r="F207" s="45" t="str">
        <f>IFERROR((SUMIF(Data!B:B, A207, Data!J:J)
/ (COUNTIF(Data!B:B, A207)
)),"")</f>
        <v/>
      </c>
      <c r="G207" s="56" t="str">
        <f>IF(A207="","",IFERROR((((((SUMIF(Data!B:B, A207, Data!H:H)+(SUMIF(Data!B:B, A207,Data!G:G)))/(SUMIF(Data!B:B, A207, Data!J:J)))))),0))</f>
        <v/>
      </c>
      <c r="H207" s="32" t="str">
        <f>IFERROR(__xludf.DUMMYFUNCTION("IFERROR(IF(G207="""","""",Average(FILTER(IF(Data!J:J&lt;3,((Data!G:G+Data!H:H)/Data!J:J),1),Data!B:B=A207))),""Never Attempted"")"),"")</f>
        <v/>
      </c>
      <c r="I207" s="45"/>
      <c r="J207" s="45"/>
      <c r="K207" s="45"/>
      <c r="L207" s="45" t="str">
        <f>IFERROR((SUMIF(Data!B:B, A207, Data!L:L)
/ (COUNTIF(Data!B:B, A207)
)),"")</f>
        <v/>
      </c>
      <c r="M207" s="45" t="str">
        <f>IFERROR((SUMIF(Data!B:B, A207, Data!K:K)
/ (COUNTIF(Data!B:B, A207)
)),"")</f>
        <v/>
      </c>
      <c r="N207" s="56"/>
      <c r="O207" s="56" t="str">
        <f>IF(A207="","",IFERROR((((((SUMIF(Data!B:B, A207, Data!H:H)+(SUMIF(Data!B:B, A207,Data!G:G)+(SUMIF(Data!B:B, A207,Data!L:L)+(SUMIF(Data!B:B, A207,Data!K:K)))))/(SUMIF(Data!B:B, A207, Data!M:M)+(SUMIF(Data!B:B, A207, Data!H:H)+(SUMIF(Data!B:B, A207,Data!G:G)+(SUMIF(Data!B:B, A207,Data!K:K)+(SUMIF(Data!B:B, A207,Data!L:L)))))))))),0))</f>
        <v/>
      </c>
      <c r="P207" s="57" t="str">
        <f>IFERROR(__xludf.DUMMYFUNCTION("IFERROR(((COUNTIF(FILTER(Data!N:N,Data!B:B=A207),""TRAVERSE"")*15)+(COUNTIF(FILTER(Data!N:N,Data!B:B=A207),""HIGH"")*10)+(COUNTIF(FILTER(Data!N:N,Data!B:B=A207),""MIDDLE"")*6)+(COUNTIF(FILTER(Data!N:N,Data!B:B=A207),""LOW"")*4)) / (COUNTIF(Data!B:B, A207)"&amp;"),"""")"),"")</f>
        <v/>
      </c>
      <c r="Q207" s="31" t="str">
        <f>IF(P207="","",AVERAGE('Convert Name to Number'!F627:H627))</f>
        <v/>
      </c>
      <c r="R207" s="36" t="str">
        <f t="shared" si="37"/>
        <v/>
      </c>
      <c r="S207" s="58" t="str">
        <f>IFERROR(__xludf.DUMMYFUNCTION("IFERROR((((COUNTIF(FILTER(Data!N:N,Data!B:B=A207),""TRAVERSE""))+(COUNTIF(FILTER(Data!N:N,Data!B:B=A207),""HIGH""))+(COUNTIF(FILTER(Data!N:N,Data!B:B=A207),""MIDDLE""))+(COUNTIF(FILTER(Data!N:N,Data!B:B=A207),""LOW"")))) / (((COUNTIF(Data!B:B, A207)))-(CO"&amp;"UNTIF(FILTER(Data!N:N,Data!B:B=A207),""NONE""))),IF(ISBLANK(A207),"""",0))"),"")</f>
        <v/>
      </c>
      <c r="T207" s="56" t="str">
        <f>IFERROR(__xludf.DUMMYFUNCTION("IFERROR((COUNTIF(FILTER(Data!N:N, Data!B:B=A207),""LOW"")) / (COUNTIF(Data!B:B, A207)),"""")"),"")</f>
        <v/>
      </c>
      <c r="U207" s="59" t="str">
        <f>IFERROR(__xludf.DUMMYFUNCTION("IFERROR((COUNTIF(FILTER(Data!N:N, Data!B:B=A207),""MIDDLE"")) / (COUNTIF(Data!B:B, A207)),"""")"),"")</f>
        <v/>
      </c>
      <c r="V207" s="59" t="str">
        <f>IFERROR(__xludf.DUMMYFUNCTION("IFERROR((COUNTIF(FILTER(Data!N:N, Data!B:B=A207),""HIGH"")) / (COUNTIF(Data!B:B, A207)),"""")"),"")</f>
        <v/>
      </c>
      <c r="W207" s="59" t="str">
        <f>IFERROR(__xludf.DUMMYFUNCTION("IFERROR((COUNTIF(FILTER(Data!N:N, Data!B:B=A207),""TRAVERSE"")) / (COUNTIF(Data!B:B, A207)),"""")"),"")</f>
        <v/>
      </c>
      <c r="X207" s="60" t="str">
        <f t="shared" si="38"/>
        <v/>
      </c>
      <c r="Y207" s="45" t="str">
        <f t="shared" si="7"/>
        <v/>
      </c>
      <c r="Z207" s="45" t="str">
        <f t="shared" si="8"/>
        <v/>
      </c>
      <c r="AA207" s="16" t="str">
        <f t="shared" si="9"/>
        <v/>
      </c>
      <c r="AB207" s="16"/>
      <c r="AC207" s="16" t="str">
        <f>IFERROR(__xludf.DUMMYFUNCTION("IF(AA207="""","""",MAX(Filter((Data!G:G+Data!K:K),Data!B:B=A207)))"),"")</f>
        <v/>
      </c>
      <c r="AD207" s="16"/>
      <c r="AE207" s="16" t="str">
        <f t="shared" si="12"/>
        <v/>
      </c>
      <c r="AF207" s="16" t="str">
        <f t="shared" si="13"/>
        <v/>
      </c>
      <c r="AG207" s="44"/>
      <c r="AH207" s="44"/>
      <c r="AI207" s="44" t="str">
        <f>IFERROR(__xludf.DUMMYFUNCTION("TEXTJOIN("", "",TRUE, FILTER(Data!P:P, Data!B:B=A207))"),"")</f>
        <v/>
      </c>
      <c r="AM207" s="61"/>
      <c r="BC207" s="50"/>
    </row>
    <row r="208">
      <c r="A208" s="54"/>
      <c r="B208" s="55" t="str">
        <f>IFERROR(__xludf.DUMMYFUNCTION("IFERROR(ROUND(
(COUNTIF(FILTER(Data!O:O, Data!B:B=A208), ""Win"")
+ COUNTIF(FILTER(Data!O:O, Data!B:B=A208), {""Tie"",""Results""}))
/ (COUNTIF(Data!B:B, A208)),
1),"""")"),"")</f>
        <v/>
      </c>
      <c r="C208" s="45" t="str">
        <f>IFERROR((SUMIF(Data!B:B, A208, Data!H:H)
/ (COUNTIF(Data!B:B, A208)
)),"")</f>
        <v/>
      </c>
      <c r="D208" s="45" t="str">
        <f>IFERROR((SUMIF(Data!B:B, A208, Data!G:G)
/ (COUNTIF(Data!B:B, A208)
)),"")</f>
        <v/>
      </c>
      <c r="E208" s="31" t="str">
        <f t="shared" si="39"/>
        <v/>
      </c>
      <c r="F208" s="45" t="str">
        <f>IFERROR((SUMIF(Data!B:B, A208, Data!J:J)
/ (COUNTIF(Data!B:B, A208)
)),"")</f>
        <v/>
      </c>
      <c r="G208" s="56" t="str">
        <f>IF(A208="","",IFERROR((((((SUMIF(Data!B:B, A208, Data!H:H)+(SUMIF(Data!B:B, A208,Data!G:G)))/(SUMIF(Data!B:B, A208, Data!J:J)))))),0))</f>
        <v/>
      </c>
      <c r="H208" s="45"/>
      <c r="I208" s="45"/>
      <c r="J208" s="45"/>
      <c r="K208" s="45"/>
      <c r="L208" s="45" t="str">
        <f>IFERROR((SUMIF(Data!B:B, A208, Data!L:L)
/ (COUNTIF(Data!B:B, A208)
)),"")</f>
        <v/>
      </c>
      <c r="M208" s="45" t="str">
        <f>IFERROR((SUMIF(Data!B:B, A208, Data!K:K)
/ (COUNTIF(Data!B:B, A208)
)),"")</f>
        <v/>
      </c>
      <c r="N208" s="56"/>
      <c r="O208" s="56" t="str">
        <f>IF(A208="","",IFERROR((((((SUMIF(Data!B:B, A208, Data!H:H)+(SUMIF(Data!B:B, A208,Data!G:G)+(SUMIF(Data!B:B, A208,Data!L:L)+(SUMIF(Data!B:B, A208,Data!K:K)))))/(SUMIF(Data!B:B, A208, Data!M:M)+(SUMIF(Data!B:B, A208, Data!H:H)+(SUMIF(Data!B:B, A208,Data!G:G)+(SUMIF(Data!B:B, A208,Data!K:K)+(SUMIF(Data!B:B, A208,Data!L:L)))))))))),0))</f>
        <v/>
      </c>
      <c r="P208" s="57" t="str">
        <f>IFERROR(__xludf.DUMMYFUNCTION("IFERROR(((COUNTIF(FILTER(Data!N:N,Data!B:B=A208),""TRAVERSE"")*15)+(COUNTIF(FILTER(Data!N:N,Data!B:B=A208),""HIGH"")*10)+(COUNTIF(FILTER(Data!N:N,Data!B:B=A208),""MIDDLE"")*6)+(COUNTIF(FILTER(Data!N:N,Data!B:B=A208),""LOW"")*4)) / (COUNTIF(Data!B:B, A208)"&amp;"),"""")"),"")</f>
        <v/>
      </c>
      <c r="Q208" s="31" t="str">
        <f>IF(P208="","",AVERAGE('Convert Name to Number'!F628:H628))</f>
        <v/>
      </c>
      <c r="R208" s="36" t="str">
        <f t="shared" si="37"/>
        <v/>
      </c>
      <c r="S208" s="58" t="str">
        <f>IFERROR(__xludf.DUMMYFUNCTION("IFERROR((((COUNTIF(FILTER(Data!N:N,Data!B:B=A208),""TRAVERSE""))+(COUNTIF(FILTER(Data!N:N,Data!B:B=A208),""HIGH""))+(COUNTIF(FILTER(Data!N:N,Data!B:B=A208),""MIDDLE""))+(COUNTIF(FILTER(Data!N:N,Data!B:B=A208),""LOW"")))) / (((COUNTIF(Data!B:B, A208)))-(CO"&amp;"UNTIF(FILTER(Data!N:N,Data!B:B=A208),""NONE""))),IF(ISBLANK(A208),"""",0))"),"")</f>
        <v/>
      </c>
      <c r="T208" s="56" t="str">
        <f>IFERROR(__xludf.DUMMYFUNCTION("IFERROR((COUNTIF(FILTER(Data!N:N, Data!B:B=A208),""LOW"")) / (COUNTIF(Data!B:B, A208)),"""")"),"")</f>
        <v/>
      </c>
      <c r="U208" s="59" t="str">
        <f>IFERROR(__xludf.DUMMYFUNCTION("IFERROR((COUNTIF(FILTER(Data!N:N, Data!B:B=A208),""MIDDLE"")) / (COUNTIF(Data!B:B, A208)),"""")"),"")</f>
        <v/>
      </c>
      <c r="V208" s="59" t="str">
        <f>IFERROR(__xludf.DUMMYFUNCTION("IFERROR((COUNTIF(FILTER(Data!N:N, Data!B:B=A208),""HIGH"")) / (COUNTIF(Data!B:B, A208)),"""")"),"")</f>
        <v/>
      </c>
      <c r="W208" s="59" t="str">
        <f>IFERROR(__xludf.DUMMYFUNCTION("IFERROR((COUNTIF(FILTER(Data!N:N, Data!B:B=A208),""TRAVERSE"")) / (COUNTIF(Data!B:B, A208)),"""")"),"")</f>
        <v/>
      </c>
      <c r="X208" s="60" t="str">
        <f t="shared" si="38"/>
        <v/>
      </c>
      <c r="Y208" s="45" t="str">
        <f t="shared" si="7"/>
        <v/>
      </c>
      <c r="Z208" s="45" t="str">
        <f t="shared" si="8"/>
        <v/>
      </c>
      <c r="AA208" s="16" t="str">
        <f t="shared" si="9"/>
        <v/>
      </c>
      <c r="AB208" s="16"/>
      <c r="AC208" s="16" t="str">
        <f>IFERROR(__xludf.DUMMYFUNCTION("IF(AA208="""","""",MAX(Filter((Data!G:G+Data!K:K),Data!B:B=A208)))"),"")</f>
        <v/>
      </c>
      <c r="AD208" s="16"/>
      <c r="AE208" s="16" t="str">
        <f t="shared" si="12"/>
        <v/>
      </c>
      <c r="AF208" s="16" t="str">
        <f t="shared" si="13"/>
        <v/>
      </c>
      <c r="AG208" s="44"/>
      <c r="AH208" s="44"/>
      <c r="AI208" s="44" t="str">
        <f>IFERROR(__xludf.DUMMYFUNCTION("TEXTJOIN("", "",TRUE, FILTER(Data!P:P, Data!B:B=A208))"),"")</f>
        <v/>
      </c>
      <c r="AM208" s="61"/>
      <c r="BC208" s="50"/>
    </row>
    <row r="209">
      <c r="A209" s="54"/>
      <c r="B209" s="55" t="str">
        <f>IFERROR(__xludf.DUMMYFUNCTION("IFERROR(ROUND(
(COUNTIF(FILTER(Data!O:O, Data!B:B=A209), ""Win"")
+ COUNTIF(FILTER(Data!O:O, Data!B:B=A209), {""Tie"",""Results""}))
/ (COUNTIF(Data!B:B, A209)),
1),"""")"),"")</f>
        <v/>
      </c>
      <c r="C209" s="45" t="str">
        <f>IFERROR((SUMIF(Data!B:B, A209, Data!H:H)
/ (COUNTIF(Data!B:B, A209)
)),"")</f>
        <v/>
      </c>
      <c r="D209" s="45" t="str">
        <f>IFERROR((SUMIF(Data!B:B, A209, Data!G:G)
/ (COUNTIF(Data!B:B, A209)
)),"")</f>
        <v/>
      </c>
      <c r="E209" s="31" t="str">
        <f t="shared" si="39"/>
        <v/>
      </c>
      <c r="F209" s="45" t="str">
        <f>IFERROR((SUMIF(Data!B:B, A209, Data!J:J)
/ (COUNTIF(Data!B:B, A209)
)),"")</f>
        <v/>
      </c>
      <c r="G209" s="56" t="str">
        <f>IF(A209="","",IFERROR((((((SUMIF(Data!B:B, A209, Data!H:H)+(SUMIF(Data!B:B, A209,Data!G:G)))/(SUMIF(Data!B:B, A209, Data!J:J)))))),0))</f>
        <v/>
      </c>
      <c r="H209" s="45"/>
      <c r="I209" s="45"/>
      <c r="J209" s="45"/>
      <c r="K209" s="45"/>
      <c r="L209" s="45" t="str">
        <f>IFERROR((SUMIF(Data!B:B, A209, Data!L:L)
/ (COUNTIF(Data!B:B, A209)
)),"")</f>
        <v/>
      </c>
      <c r="M209" s="45" t="str">
        <f>IFERROR((SUMIF(Data!B:B, A209, Data!K:K)
/ (COUNTIF(Data!B:B, A209)
)),"")</f>
        <v/>
      </c>
      <c r="N209" s="56"/>
      <c r="O209" s="56" t="str">
        <f>IF(A209="","",IFERROR((((((SUMIF(Data!B:B, A209, Data!H:H)+(SUMIF(Data!B:B, A209,Data!G:G)+(SUMIF(Data!B:B, A209,Data!L:L)+(SUMIF(Data!B:B, A209,Data!K:K)))))/(SUMIF(Data!B:B, A209, Data!M:M)+(SUMIF(Data!B:B, A209, Data!H:H)+(SUMIF(Data!B:B, A209,Data!G:G)+(SUMIF(Data!B:B, A209,Data!K:K)+(SUMIF(Data!B:B, A209,Data!L:L)))))))))),0))</f>
        <v/>
      </c>
      <c r="P209" s="57" t="str">
        <f>IFERROR(__xludf.DUMMYFUNCTION("IFERROR(((COUNTIF(FILTER(Data!N:N,Data!B:B=A209),""TRAVERSE"")*15)+(COUNTIF(FILTER(Data!N:N,Data!B:B=A209),""HIGH"")*10)+(COUNTIF(FILTER(Data!N:N,Data!B:B=A209),""MIDDLE"")*6)+(COUNTIF(FILTER(Data!N:N,Data!B:B=A209),""LOW"")*4)) / (COUNTIF(Data!B:B, A209)"&amp;"),"""")"),"")</f>
        <v/>
      </c>
      <c r="Q209" s="31" t="str">
        <f>IF(P209="","",AVERAGE('Convert Name to Number'!F629:H629))</f>
        <v/>
      </c>
      <c r="R209" s="36" t="str">
        <f t="shared" si="37"/>
        <v/>
      </c>
      <c r="S209" s="58" t="str">
        <f>IFERROR(__xludf.DUMMYFUNCTION("IFERROR((((COUNTIF(FILTER(Data!N:N,Data!B:B=A209),""TRAVERSE""))+(COUNTIF(FILTER(Data!N:N,Data!B:B=A209),""HIGH""))+(COUNTIF(FILTER(Data!N:N,Data!B:B=A209),""MIDDLE""))+(COUNTIF(FILTER(Data!N:N,Data!B:B=A209),""LOW"")))) / (((COUNTIF(Data!B:B, A209)))-(CO"&amp;"UNTIF(FILTER(Data!N:N,Data!B:B=A209),""NONE""))),IF(ISBLANK(A209),"""",0))"),"")</f>
        <v/>
      </c>
      <c r="T209" s="56" t="str">
        <f>IFERROR(__xludf.DUMMYFUNCTION("IFERROR((COUNTIF(FILTER(Data!N:N, Data!B:B=A209),""LOW"")) / (COUNTIF(Data!B:B, A209)),"""")"),"")</f>
        <v/>
      </c>
      <c r="U209" s="59" t="str">
        <f>IFERROR(__xludf.DUMMYFUNCTION("IFERROR((COUNTIF(FILTER(Data!N:N, Data!B:B=A209),""MIDDLE"")) / (COUNTIF(Data!B:B, A209)),"""")"),"")</f>
        <v/>
      </c>
      <c r="V209" s="59" t="str">
        <f>IFERROR(__xludf.DUMMYFUNCTION("IFERROR((COUNTIF(FILTER(Data!N:N, Data!B:B=A209),""HIGH"")) / (COUNTIF(Data!B:B, A209)),"""")"),"")</f>
        <v/>
      </c>
      <c r="W209" s="59" t="str">
        <f>IFERROR(__xludf.DUMMYFUNCTION("IFERROR((COUNTIF(FILTER(Data!N:N, Data!B:B=A209),""TRAVERSE"")) / (COUNTIF(Data!B:B, A209)),"""")"),"")</f>
        <v/>
      </c>
      <c r="X209" s="60" t="str">
        <f t="shared" si="38"/>
        <v/>
      </c>
      <c r="Y209" s="45" t="str">
        <f t="shared" si="7"/>
        <v/>
      </c>
      <c r="Z209" s="45" t="str">
        <f t="shared" si="8"/>
        <v/>
      </c>
      <c r="AA209" s="16" t="str">
        <f t="shared" si="9"/>
        <v/>
      </c>
      <c r="AB209" s="16"/>
      <c r="AC209" s="16" t="str">
        <f>IFERROR(__xludf.DUMMYFUNCTION("IF(AA209="""","""",MAX(Filter((Data!G:G+Data!K:K),Data!B:B=A209)))"),"")</f>
        <v/>
      </c>
      <c r="AD209" s="16"/>
      <c r="AE209" s="16" t="str">
        <f t="shared" si="12"/>
        <v/>
      </c>
      <c r="AF209" s="16" t="str">
        <f t="shared" si="13"/>
        <v/>
      </c>
      <c r="AG209" s="44"/>
      <c r="AH209" s="44"/>
      <c r="AI209" s="44" t="str">
        <f>IFERROR(__xludf.DUMMYFUNCTION("TEXTJOIN("", "",TRUE, FILTER(Data!P:P, Data!B:B=A209))"),"")</f>
        <v/>
      </c>
      <c r="AM209" s="61"/>
      <c r="BC209" s="50"/>
    </row>
    <row r="210">
      <c r="A210" s="54"/>
      <c r="B210" s="55" t="str">
        <f>IFERROR(__xludf.DUMMYFUNCTION("IFERROR(ROUND(
(COUNTIF(FILTER(Data!O:O, Data!B:B=A210), ""Win"")
+ COUNTIF(FILTER(Data!O:O, Data!B:B=A210), {""Tie"",""Results""}))
/ (COUNTIF(Data!B:B, A210)),
1),"""")"),"")</f>
        <v/>
      </c>
      <c r="C210" s="45" t="str">
        <f>IFERROR((SUMIF(Data!B:B, A210, Data!H:H)
/ (COUNTIF(Data!B:B, A210)
)),"")</f>
        <v/>
      </c>
      <c r="D210" s="45" t="str">
        <f>IFERROR((SUMIF(Data!B:B, A210, Data!G:G)
/ (COUNTIF(Data!B:B, A210)
)),"")</f>
        <v/>
      </c>
      <c r="E210" s="31" t="str">
        <f t="shared" si="39"/>
        <v/>
      </c>
      <c r="F210" s="45" t="str">
        <f>IFERROR((SUMIF(Data!B:B, A210, Data!J:J)
/ (COUNTIF(Data!B:B, A210)
)),"")</f>
        <v/>
      </c>
      <c r="G210" s="56" t="str">
        <f>IF(A210="","",IFERROR((((((SUMIF(Data!B:B, A210, Data!H:H)+(SUMIF(Data!B:B, A210,Data!G:G)))/(SUMIF(Data!B:B, A210, Data!J:J)))))),0))</f>
        <v/>
      </c>
      <c r="H210" s="45"/>
      <c r="I210" s="45"/>
      <c r="J210" s="45"/>
      <c r="K210" s="45"/>
      <c r="L210" s="45" t="str">
        <f>IFERROR((SUMIF(Data!B:B, A210, Data!L:L)
/ (COUNTIF(Data!B:B, A210)
)),"")</f>
        <v/>
      </c>
      <c r="M210" s="45" t="str">
        <f>IFERROR((SUMIF(Data!B:B, A210, Data!K:K)
/ (COUNTIF(Data!B:B, A210)
)),"")</f>
        <v/>
      </c>
      <c r="N210" s="56"/>
      <c r="O210" s="56" t="str">
        <f>IF(A210="","",IFERROR((((((SUMIF(Data!B:B, A210, Data!H:H)+(SUMIF(Data!B:B, A210,Data!G:G)+(SUMIF(Data!B:B, A210,Data!L:L)+(SUMIF(Data!B:B, A210,Data!K:K)))))/(SUMIF(Data!B:B, A210, Data!M:M)+(SUMIF(Data!B:B, A210, Data!H:H)+(SUMIF(Data!B:B, A210,Data!G:G)+(SUMIF(Data!B:B, A210,Data!K:K)+(SUMIF(Data!B:B, A210,Data!L:L)))))))))),0))</f>
        <v/>
      </c>
      <c r="P210" s="57" t="str">
        <f>IFERROR(__xludf.DUMMYFUNCTION("IFERROR(((COUNTIF(FILTER(Data!N:N,Data!B:B=A210),""TRAVERSE"")*15)+(COUNTIF(FILTER(Data!N:N,Data!B:B=A210),""HIGH"")*10)+(COUNTIF(FILTER(Data!N:N,Data!B:B=A210),""MIDDLE"")*6)+(COUNTIF(FILTER(Data!N:N,Data!B:B=A210),""LOW"")*4)) / (COUNTIF(Data!B:B, A210)"&amp;"),"""")"),"")</f>
        <v/>
      </c>
      <c r="Q210" s="31" t="str">
        <f>IF(P210="","",AVERAGE('Convert Name to Number'!F630:H630))</f>
        <v/>
      </c>
      <c r="R210" s="36" t="str">
        <f t="shared" si="37"/>
        <v/>
      </c>
      <c r="S210" s="58" t="str">
        <f>IFERROR(__xludf.DUMMYFUNCTION("IFERROR((((COUNTIF(FILTER(Data!N:N,Data!B:B=A210),""TRAVERSE""))+(COUNTIF(FILTER(Data!N:N,Data!B:B=A210),""HIGH""))+(COUNTIF(FILTER(Data!N:N,Data!B:B=A210),""MIDDLE""))+(COUNTIF(FILTER(Data!N:N,Data!B:B=A210),""LOW"")))) / (((COUNTIF(Data!B:B, A210)))-(CO"&amp;"UNTIF(FILTER(Data!N:N,Data!B:B=A210),""NONE""))),IF(ISBLANK(A210),"""",0))"),"")</f>
        <v/>
      </c>
      <c r="T210" s="56" t="str">
        <f>IFERROR(__xludf.DUMMYFUNCTION("IFERROR((COUNTIF(FILTER(Data!N:N, Data!B:B=A210),""LOW"")) / (COUNTIF(Data!B:B, A210)),"""")"),"")</f>
        <v/>
      </c>
      <c r="U210" s="59" t="str">
        <f>IFERROR(__xludf.DUMMYFUNCTION("IFERROR((COUNTIF(FILTER(Data!N:N, Data!B:B=A210),""MIDDLE"")) / (COUNTIF(Data!B:B, A210)),"""")"),"")</f>
        <v/>
      </c>
      <c r="V210" s="59" t="str">
        <f>IFERROR(__xludf.DUMMYFUNCTION("IFERROR((COUNTIF(FILTER(Data!N:N, Data!B:B=A210),""HIGH"")) / (COUNTIF(Data!B:B, A210)),"""")"),"")</f>
        <v/>
      </c>
      <c r="W210" s="59" t="str">
        <f>IFERROR(__xludf.DUMMYFUNCTION("IFERROR((COUNTIF(FILTER(Data!N:N, Data!B:B=A210),""TRAVERSE"")) / (COUNTIF(Data!B:B, A210)),"""")"),"")</f>
        <v/>
      </c>
      <c r="X210" s="60" t="str">
        <f t="shared" si="38"/>
        <v/>
      </c>
      <c r="Y210" s="45" t="str">
        <f t="shared" si="7"/>
        <v/>
      </c>
      <c r="Z210" s="45" t="str">
        <f t="shared" si="8"/>
        <v/>
      </c>
      <c r="AA210" s="16" t="str">
        <f t="shared" si="9"/>
        <v/>
      </c>
      <c r="AB210" s="16"/>
      <c r="AC210" s="16" t="str">
        <f>IFERROR(__xludf.DUMMYFUNCTION("IF(AA210="""","""",MAX(Filter((Data!G:G+Data!K:K),Data!B:B=A210)))"),"")</f>
        <v/>
      </c>
      <c r="AD210" s="16"/>
      <c r="AE210" s="16" t="str">
        <f t="shared" si="12"/>
        <v/>
      </c>
      <c r="AF210" s="16" t="str">
        <f t="shared" si="13"/>
        <v/>
      </c>
      <c r="AG210" s="44"/>
      <c r="AH210" s="44"/>
      <c r="AI210" s="44" t="str">
        <f>IFERROR(__xludf.DUMMYFUNCTION("TEXTJOIN("", "",TRUE, FILTER(Data!P:P, Data!B:B=A210))"),"")</f>
        <v/>
      </c>
      <c r="AM210" s="61"/>
      <c r="BC210" s="50"/>
    </row>
    <row r="211">
      <c r="A211" s="54"/>
      <c r="B211" s="55" t="str">
        <f>IFERROR(__xludf.DUMMYFUNCTION("IFERROR(ROUND(
(COUNTIF(FILTER(Data!O:O, Data!B:B=A211), ""Win"")
+ COUNTIF(FILTER(Data!O:O, Data!B:B=A211), {""Tie"",""Results""}))
/ (COUNTIF(Data!B:B, A211)),
1),"""")"),"")</f>
        <v/>
      </c>
      <c r="C211" s="45" t="str">
        <f>IFERROR((SUMIF(Data!B:B, A211, Data!H:H)
/ (COUNTIF(Data!B:B, A211)
)),"")</f>
        <v/>
      </c>
      <c r="D211" s="45" t="str">
        <f>IFERROR((SUMIF(Data!B:B, A211, Data!G:G)
/ (COUNTIF(Data!B:B, A211)
)),"")</f>
        <v/>
      </c>
      <c r="E211" s="31" t="str">
        <f t="shared" si="39"/>
        <v/>
      </c>
      <c r="F211" s="45" t="str">
        <f>IFERROR((SUMIF(Data!B:B, A211, Data!J:J)
/ (COUNTIF(Data!B:B, A211)
)),"")</f>
        <v/>
      </c>
      <c r="G211" s="56" t="str">
        <f>IF(A211="","",IFERROR((((((SUMIF(Data!B:B, A211, Data!H:H)+(SUMIF(Data!B:B, A211,Data!G:G)))/(SUMIF(Data!B:B, A211, Data!J:J)))))),0))</f>
        <v/>
      </c>
      <c r="H211" s="45"/>
      <c r="I211" s="45"/>
      <c r="J211" s="45"/>
      <c r="K211" s="45"/>
      <c r="L211" s="45" t="str">
        <f>IFERROR((SUMIF(Data!B:B, A211, Data!L:L)
/ (COUNTIF(Data!B:B, A211)
)),"")</f>
        <v/>
      </c>
      <c r="M211" s="45" t="str">
        <f>IFERROR((SUMIF(Data!B:B, A211, Data!K:K)
/ (COUNTIF(Data!B:B, A211)
)),"")</f>
        <v/>
      </c>
      <c r="N211" s="56"/>
      <c r="O211" s="56" t="str">
        <f>IF(A211="","",IFERROR((((((SUMIF(Data!B:B, A211, Data!H:H)+(SUMIF(Data!B:B, A211,Data!G:G)+(SUMIF(Data!B:B, A211,Data!L:L)+(SUMIF(Data!B:B, A211,Data!K:K)))))/(SUMIF(Data!B:B, A211, Data!M:M)+(SUMIF(Data!B:B, A211, Data!H:H)+(SUMIF(Data!B:B, A211,Data!G:G)+(SUMIF(Data!B:B, A211,Data!K:K)+(SUMIF(Data!B:B, A211,Data!L:L)))))))))),0))</f>
        <v/>
      </c>
      <c r="P211" s="57" t="str">
        <f>IFERROR(__xludf.DUMMYFUNCTION("IFERROR(((COUNTIF(FILTER(Data!N:N,Data!B:B=A211),""TRAVERSE"")*15)+(COUNTIF(FILTER(Data!N:N,Data!B:B=A211),""HIGH"")*10)+(COUNTIF(FILTER(Data!N:N,Data!B:B=A211),""MIDDLE"")*6)+(COUNTIF(FILTER(Data!N:N,Data!B:B=A211),""LOW"")*4)) / (COUNTIF(Data!B:B, A211)"&amp;"),"""")"),"")</f>
        <v/>
      </c>
      <c r="Q211" s="31" t="str">
        <f>IF(P211="","",AVERAGE('Convert Name to Number'!F631:H631))</f>
        <v/>
      </c>
      <c r="R211" s="36" t="str">
        <f t="shared" si="37"/>
        <v/>
      </c>
      <c r="S211" s="58" t="str">
        <f>IFERROR(__xludf.DUMMYFUNCTION("IFERROR((((COUNTIF(FILTER(Data!N:N,Data!B:B=A211),""TRAVERSE""))+(COUNTIF(FILTER(Data!N:N,Data!B:B=A211),""HIGH""))+(COUNTIF(FILTER(Data!N:N,Data!B:B=A211),""MIDDLE""))+(COUNTIF(FILTER(Data!N:N,Data!B:B=A211),""LOW"")))) / (((COUNTIF(Data!B:B, A211)))-(CO"&amp;"UNTIF(FILTER(Data!N:N,Data!B:B=A211),""NONE""))),IF(ISBLANK(A211),"""",0))"),"")</f>
        <v/>
      </c>
      <c r="T211" s="56" t="str">
        <f>IFERROR(__xludf.DUMMYFUNCTION("IFERROR((COUNTIF(FILTER(Data!N:N, Data!B:B=A211),""LOW"")) / (COUNTIF(Data!B:B, A211)),"""")"),"")</f>
        <v/>
      </c>
      <c r="U211" s="59" t="str">
        <f>IFERROR(__xludf.DUMMYFUNCTION("IFERROR((COUNTIF(FILTER(Data!N:N, Data!B:B=A211),""MIDDLE"")) / (COUNTIF(Data!B:B, A211)),"""")"),"")</f>
        <v/>
      </c>
      <c r="V211" s="59" t="str">
        <f>IFERROR(__xludf.DUMMYFUNCTION("IFERROR((COUNTIF(FILTER(Data!N:N, Data!B:B=A211),""HIGH"")) / (COUNTIF(Data!B:B, A211)),"""")"),"")</f>
        <v/>
      </c>
      <c r="W211" s="59" t="str">
        <f>IFERROR(__xludf.DUMMYFUNCTION("IFERROR((COUNTIF(FILTER(Data!N:N, Data!B:B=A211),""TRAVERSE"")) / (COUNTIF(Data!B:B, A211)),"""")"),"")</f>
        <v/>
      </c>
      <c r="X211" s="60" t="str">
        <f t="shared" si="38"/>
        <v/>
      </c>
      <c r="Y211" s="45" t="str">
        <f t="shared" si="7"/>
        <v/>
      </c>
      <c r="Z211" s="45" t="str">
        <f t="shared" si="8"/>
        <v/>
      </c>
      <c r="AA211" s="16" t="str">
        <f t="shared" si="9"/>
        <v/>
      </c>
      <c r="AB211" s="16"/>
      <c r="AC211" s="16" t="str">
        <f>IFERROR(__xludf.DUMMYFUNCTION("IF(AA211="""","""",MAX(Filter((Data!G:G+Data!K:K),Data!B:B=A211)))"),"")</f>
        <v/>
      </c>
      <c r="AD211" s="16"/>
      <c r="AE211" s="16" t="str">
        <f t="shared" si="12"/>
        <v/>
      </c>
      <c r="AF211" s="16" t="str">
        <f t="shared" si="13"/>
        <v/>
      </c>
      <c r="AG211" s="44"/>
      <c r="AH211" s="44"/>
      <c r="AI211" s="44" t="str">
        <f>IFERROR(__xludf.DUMMYFUNCTION("TEXTJOIN("", "",TRUE, FILTER(Data!P:P, Data!B:B=A211))"),"")</f>
        <v/>
      </c>
      <c r="AM211" s="61"/>
      <c r="BC211" s="50"/>
    </row>
    <row r="212">
      <c r="A212" s="54"/>
      <c r="B212" s="55" t="str">
        <f>IFERROR(__xludf.DUMMYFUNCTION("IFERROR(ROUND(
(COUNTIF(FILTER(Data!O:O, Data!B:B=A212), ""Win"")
+ COUNTIF(FILTER(Data!O:O, Data!B:B=A212), {""Tie"",""Results""}))
/ (COUNTIF(Data!B:B, A212)),
1),"""")"),"")</f>
        <v/>
      </c>
      <c r="C212" s="45" t="str">
        <f>IFERROR((SUMIF(Data!B:B, A212, Data!H:H)
/ (COUNTIF(Data!B:B, A212)
)),"")</f>
        <v/>
      </c>
      <c r="D212" s="45" t="str">
        <f>IFERROR((SUMIF(Data!B:B, A212, Data!G:G)
/ (COUNTIF(Data!B:B, A212)
)),"")</f>
        <v/>
      </c>
      <c r="E212" s="31" t="str">
        <f t="shared" si="39"/>
        <v/>
      </c>
      <c r="F212" s="45" t="str">
        <f>IFERROR((SUMIF(Data!B:B, A212, Data!J:J)
/ (COUNTIF(Data!B:B, A212)
)),"")</f>
        <v/>
      </c>
      <c r="G212" s="56" t="str">
        <f>IF(A212="","",IFERROR((((((SUMIF(Data!B:B, A212, Data!H:H)+(SUMIF(Data!B:B, A212,Data!G:G)))/(SUMIF(Data!B:B, A212, Data!J:J)))))),0))</f>
        <v/>
      </c>
      <c r="H212" s="45"/>
      <c r="I212" s="45"/>
      <c r="J212" s="45"/>
      <c r="K212" s="45"/>
      <c r="L212" s="45" t="str">
        <f>IFERROR((SUMIF(Data!B:B, A212, Data!L:L)
/ (COUNTIF(Data!B:B, A212)
)),"")</f>
        <v/>
      </c>
      <c r="M212" s="45" t="str">
        <f>IFERROR((SUMIF(Data!B:B, A212, Data!K:K)
/ (COUNTIF(Data!B:B, A212)
)),"")</f>
        <v/>
      </c>
      <c r="N212" s="56"/>
      <c r="O212" s="56" t="str">
        <f>IF(A212="","",IFERROR((((((SUMIF(Data!B:B, A212, Data!H:H)+(SUMIF(Data!B:B, A212,Data!G:G)+(SUMIF(Data!B:B, A212,Data!L:L)+(SUMIF(Data!B:B, A212,Data!K:K)))))/(SUMIF(Data!B:B, A212, Data!M:M)+(SUMIF(Data!B:B, A212, Data!H:H)+(SUMIF(Data!B:B, A212,Data!G:G)+(SUMIF(Data!B:B, A212,Data!K:K)+(SUMIF(Data!B:B, A212,Data!L:L)))))))))),0))</f>
        <v/>
      </c>
      <c r="P212" s="57" t="str">
        <f>IFERROR(__xludf.DUMMYFUNCTION("IFERROR(((COUNTIF(FILTER(Data!N:N,Data!B:B=A212),""TRAVERSE"")*15)+(COUNTIF(FILTER(Data!N:N,Data!B:B=A212),""HIGH"")*10)+(COUNTIF(FILTER(Data!N:N,Data!B:B=A212),""MIDDLE"")*6)+(COUNTIF(FILTER(Data!N:N,Data!B:B=A212),""LOW"")*4)) / (COUNTIF(Data!B:B, A212)"&amp;"),"""")"),"")</f>
        <v/>
      </c>
      <c r="Q212" s="31" t="str">
        <f>IF(P212="","",AVERAGE('Convert Name to Number'!F632:H632))</f>
        <v/>
      </c>
      <c r="R212" s="36" t="str">
        <f t="shared" si="37"/>
        <v/>
      </c>
      <c r="S212" s="58" t="str">
        <f>IFERROR(__xludf.DUMMYFUNCTION("IFERROR((((COUNTIF(FILTER(Data!N:N,Data!B:B=A212),""TRAVERSE""))+(COUNTIF(FILTER(Data!N:N,Data!B:B=A212),""HIGH""))+(COUNTIF(FILTER(Data!N:N,Data!B:B=A212),""MIDDLE""))+(COUNTIF(FILTER(Data!N:N,Data!B:B=A212),""LOW"")))) / (((COUNTIF(Data!B:B, A212)))-(CO"&amp;"UNTIF(FILTER(Data!N:N,Data!B:B=A212),""NONE""))),IF(ISBLANK(A212),"""",0))"),"")</f>
        <v/>
      </c>
      <c r="T212" s="56" t="str">
        <f>IFERROR(__xludf.DUMMYFUNCTION("IFERROR((COUNTIF(FILTER(Data!N:N, Data!B:B=A212),""LOW"")) / (COUNTIF(Data!B:B, A212)),"""")"),"")</f>
        <v/>
      </c>
      <c r="U212" s="59" t="str">
        <f>IFERROR(__xludf.DUMMYFUNCTION("IFERROR((COUNTIF(FILTER(Data!N:N, Data!B:B=A212),""MIDDLE"")) / (COUNTIF(Data!B:B, A212)),"""")"),"")</f>
        <v/>
      </c>
      <c r="V212" s="59" t="str">
        <f>IFERROR(__xludf.DUMMYFUNCTION("IFERROR((COUNTIF(FILTER(Data!N:N, Data!B:B=A212),""HIGH"")) / (COUNTIF(Data!B:B, A212)),"""")"),"")</f>
        <v/>
      </c>
      <c r="W212" s="59" t="str">
        <f>IFERROR(__xludf.DUMMYFUNCTION("IFERROR((COUNTIF(FILTER(Data!N:N, Data!B:B=A212),""TRAVERSE"")) / (COUNTIF(Data!B:B, A212)),"""")"),"")</f>
        <v/>
      </c>
      <c r="X212" s="60" t="str">
        <f t="shared" si="38"/>
        <v/>
      </c>
      <c r="Y212" s="45" t="str">
        <f t="shared" si="7"/>
        <v/>
      </c>
      <c r="Z212" s="45" t="str">
        <f t="shared" si="8"/>
        <v/>
      </c>
      <c r="AA212" s="16" t="str">
        <f t="shared" si="9"/>
        <v/>
      </c>
      <c r="AB212" s="16"/>
      <c r="AC212" s="16" t="str">
        <f>IFERROR(__xludf.DUMMYFUNCTION("IF(AA212="""","""",MAX(Filter((Data!G:G+Data!K:K),Data!B:B=A212)))"),"")</f>
        <v/>
      </c>
      <c r="AD212" s="16"/>
      <c r="AE212" s="16" t="str">
        <f t="shared" si="12"/>
        <v/>
      </c>
      <c r="AF212" s="16" t="str">
        <f t="shared" si="13"/>
        <v/>
      </c>
      <c r="AG212" s="44"/>
      <c r="AH212" s="44"/>
      <c r="AI212" s="44" t="str">
        <f>IFERROR(__xludf.DUMMYFUNCTION("TEXTJOIN("", "",TRUE, FILTER(Data!P:P, Data!B:B=A212))"),"")</f>
        <v/>
      </c>
      <c r="AM212" s="61"/>
      <c r="BC212" s="50"/>
    </row>
    <row r="213">
      <c r="A213" s="54"/>
      <c r="B213" s="55" t="str">
        <f>IFERROR(__xludf.DUMMYFUNCTION("IFERROR(ROUND(
(COUNTIF(FILTER(Data!O:O, Data!B:B=A213), ""Win"")
+ COUNTIF(FILTER(Data!O:O, Data!B:B=A213), {""Tie"",""Results""}))
/ (COUNTIF(Data!B:B, A213)),
1),"""")"),"")</f>
        <v/>
      </c>
      <c r="C213" s="45" t="str">
        <f>IFERROR((SUMIF(Data!B:B, A213, Data!H:H)
/ (COUNTIF(Data!B:B, A213)
)),"")</f>
        <v/>
      </c>
      <c r="D213" s="45" t="str">
        <f>IFERROR((SUMIF(Data!B:B, A213, Data!G:G)
/ (COUNTIF(Data!B:B, A213)
)),"")</f>
        <v/>
      </c>
      <c r="E213" s="31" t="str">
        <f t="shared" si="39"/>
        <v/>
      </c>
      <c r="F213" s="45" t="str">
        <f>IFERROR((SUMIF(Data!B:B, A213, Data!J:J)
/ (COUNTIF(Data!B:B, A213)
)),"")</f>
        <v/>
      </c>
      <c r="G213" s="56" t="str">
        <f>IF(A213="","",IFERROR((((((SUMIF(Data!B:B, A213, Data!H:H)+(SUMIF(Data!B:B, A213,Data!G:G)))/(SUMIF(Data!B:B, A213, Data!J:J)))))),0))</f>
        <v/>
      </c>
      <c r="H213" s="45"/>
      <c r="I213" s="45"/>
      <c r="J213" s="45"/>
      <c r="K213" s="45"/>
      <c r="L213" s="45" t="str">
        <f>IFERROR((SUMIF(Data!B:B, A213, Data!L:L)
/ (COUNTIF(Data!B:B, A213)
)),"")</f>
        <v/>
      </c>
      <c r="M213" s="45" t="str">
        <f>IFERROR((SUMIF(Data!B:B, A213, Data!K:K)
/ (COUNTIF(Data!B:B, A213)
)),"")</f>
        <v/>
      </c>
      <c r="N213" s="56"/>
      <c r="O213" s="56" t="str">
        <f>IF(A213="","",IFERROR((((((SUMIF(Data!B:B, A213, Data!H:H)+(SUMIF(Data!B:B, A213,Data!G:G)+(SUMIF(Data!B:B, A213,Data!L:L)+(SUMIF(Data!B:B, A213,Data!K:K)))))/(SUMIF(Data!B:B, A213, Data!M:M)+(SUMIF(Data!B:B, A213, Data!H:H)+(SUMIF(Data!B:B, A213,Data!G:G)+(SUMIF(Data!B:B, A213,Data!K:K)+(SUMIF(Data!B:B, A213,Data!L:L)))))))))),0))</f>
        <v/>
      </c>
      <c r="P213" s="57" t="str">
        <f>IFERROR(__xludf.DUMMYFUNCTION("IFERROR(((COUNTIF(FILTER(Data!N:N,Data!B:B=A213),""TRAVERSE"")*15)+(COUNTIF(FILTER(Data!N:N,Data!B:B=A213),""HIGH"")*10)+(COUNTIF(FILTER(Data!N:N,Data!B:B=A213),""MIDDLE"")*6)+(COUNTIF(FILTER(Data!N:N,Data!B:B=A213),""LOW"")*4)) / (COUNTIF(Data!B:B, A213)"&amp;"),"""")"),"")</f>
        <v/>
      </c>
      <c r="Q213" s="31" t="str">
        <f>IF(P213="","",AVERAGE('Convert Name to Number'!F633:H633))</f>
        <v/>
      </c>
      <c r="R213" s="36" t="str">
        <f t="shared" si="37"/>
        <v/>
      </c>
      <c r="S213" s="58" t="str">
        <f>IFERROR(__xludf.DUMMYFUNCTION("IFERROR((((COUNTIF(FILTER(Data!N:N,Data!B:B=A213),""TRAVERSE""))+(COUNTIF(FILTER(Data!N:N,Data!B:B=A213),""HIGH""))+(COUNTIF(FILTER(Data!N:N,Data!B:B=A213),""MIDDLE""))+(COUNTIF(FILTER(Data!N:N,Data!B:B=A213),""LOW"")))) / (((COUNTIF(Data!B:B, A213)))-(CO"&amp;"UNTIF(FILTER(Data!N:N,Data!B:B=A213),""NONE""))),IF(ISBLANK(A213),"""",0))"),"")</f>
        <v/>
      </c>
      <c r="T213" s="56" t="str">
        <f>IFERROR(__xludf.DUMMYFUNCTION("IFERROR((COUNTIF(FILTER(Data!N:N, Data!B:B=A213),""LOW"")) / (COUNTIF(Data!B:B, A213)),"""")"),"")</f>
        <v/>
      </c>
      <c r="U213" s="59" t="str">
        <f>IFERROR(__xludf.DUMMYFUNCTION("IFERROR((COUNTIF(FILTER(Data!N:N, Data!B:B=A213),""MIDDLE"")) / (COUNTIF(Data!B:B, A213)),"""")"),"")</f>
        <v/>
      </c>
      <c r="V213" s="59" t="str">
        <f>IFERROR(__xludf.DUMMYFUNCTION("IFERROR((COUNTIF(FILTER(Data!N:N, Data!B:B=A213),""HIGH"")) / (COUNTIF(Data!B:B, A213)),"""")"),"")</f>
        <v/>
      </c>
      <c r="W213" s="59" t="str">
        <f>IFERROR(__xludf.DUMMYFUNCTION("IFERROR((COUNTIF(FILTER(Data!N:N, Data!B:B=A213),""TRAVERSE"")) / (COUNTIF(Data!B:B, A213)),"""")"),"")</f>
        <v/>
      </c>
      <c r="X213" s="60" t="str">
        <f t="shared" si="38"/>
        <v/>
      </c>
      <c r="Y213" s="45" t="str">
        <f t="shared" si="7"/>
        <v/>
      </c>
      <c r="Z213" s="45" t="str">
        <f t="shared" si="8"/>
        <v/>
      </c>
      <c r="AA213" s="16" t="str">
        <f t="shared" si="9"/>
        <v/>
      </c>
      <c r="AB213" s="16"/>
      <c r="AC213" s="16" t="str">
        <f>IFERROR(__xludf.DUMMYFUNCTION("IF(AA213="""","""",MAX(Filter((Data!G:G+Data!K:K),Data!B:B=A213)))"),"")</f>
        <v/>
      </c>
      <c r="AD213" s="16"/>
      <c r="AE213" s="16" t="str">
        <f t="shared" si="12"/>
        <v/>
      </c>
      <c r="AF213" s="16" t="str">
        <f t="shared" si="13"/>
        <v/>
      </c>
      <c r="AG213" s="44"/>
      <c r="AH213" s="44"/>
      <c r="AI213" s="44" t="str">
        <f>IFERROR(__xludf.DUMMYFUNCTION("TEXTJOIN("", "",TRUE, FILTER(Data!P:P, Data!B:B=A213))"),"")</f>
        <v/>
      </c>
      <c r="AM213" s="61"/>
      <c r="BC213" s="50"/>
    </row>
    <row r="214">
      <c r="A214" s="54"/>
      <c r="B214" s="55" t="str">
        <f>IFERROR(__xludf.DUMMYFUNCTION("IFERROR(ROUND(
(COUNTIF(FILTER(Data!O:O, Data!B:B=A214), ""Win"")
+ COUNTIF(FILTER(Data!O:O, Data!B:B=A214), {""Tie"",""Results""}))
/ (COUNTIF(Data!B:B, A214)),
1),"""")"),"")</f>
        <v/>
      </c>
      <c r="C214" s="45" t="str">
        <f>IFERROR((SUMIF(Data!B:B, A214, Data!H:H)
/ (COUNTIF(Data!B:B, A214)
)),"")</f>
        <v/>
      </c>
      <c r="D214" s="45" t="str">
        <f>IFERROR((SUMIF(Data!B:B, A214, Data!G:G)
/ (COUNTIF(Data!B:B, A214)
)),"")</f>
        <v/>
      </c>
      <c r="E214" s="31" t="str">
        <f t="shared" si="39"/>
        <v/>
      </c>
      <c r="F214" s="45" t="str">
        <f>IFERROR((SUMIF(Data!B:B, A214, Data!J:J)
/ (COUNTIF(Data!B:B, A214)
)),"")</f>
        <v/>
      </c>
      <c r="G214" s="56" t="str">
        <f>IF(A214="","",IFERROR((((((SUMIF(Data!B:B, A214, Data!H:H)+(SUMIF(Data!B:B, A214,Data!G:G)))/(SUMIF(Data!B:B, A214, Data!J:J)))))),0))</f>
        <v/>
      </c>
      <c r="H214" s="45"/>
      <c r="I214" s="45"/>
      <c r="J214" s="45"/>
      <c r="K214" s="45"/>
      <c r="L214" s="45" t="str">
        <f>IFERROR((SUMIF(Data!B:B, A214, Data!L:L)
/ (COUNTIF(Data!B:B, A214)
)),"")</f>
        <v/>
      </c>
      <c r="M214" s="45" t="str">
        <f>IFERROR((SUMIF(Data!B:B, A214, Data!K:K)
/ (COUNTIF(Data!B:B, A214)
)),"")</f>
        <v/>
      </c>
      <c r="N214" s="56"/>
      <c r="O214" s="56" t="str">
        <f>IF(A214="","",IFERROR((((((SUMIF(Data!B:B, A214, Data!H:H)+(SUMIF(Data!B:B, A214,Data!G:G)+(SUMIF(Data!B:B, A214,Data!L:L)+(SUMIF(Data!B:B, A214,Data!K:K)))))/(SUMIF(Data!B:B, A214, Data!M:M)+(SUMIF(Data!B:B, A214, Data!H:H)+(SUMIF(Data!B:B, A214,Data!G:G)+(SUMIF(Data!B:B, A214,Data!K:K)+(SUMIF(Data!B:B, A214,Data!L:L)))))))))),0))</f>
        <v/>
      </c>
      <c r="P214" s="57" t="str">
        <f>IFERROR(__xludf.DUMMYFUNCTION("IFERROR(((COUNTIF(FILTER(Data!N:N,Data!B:B=A214),""TRAVERSE"")*15)+(COUNTIF(FILTER(Data!N:N,Data!B:B=A214),""HIGH"")*10)+(COUNTIF(FILTER(Data!N:N,Data!B:B=A214),""MIDDLE"")*6)+(COUNTIF(FILTER(Data!N:N,Data!B:B=A214),""LOW"")*4)) / (COUNTIF(Data!B:B, A214)"&amp;"),"""")"),"")</f>
        <v/>
      </c>
      <c r="Q214" s="31" t="str">
        <f>IF(P214="","",AVERAGE('Convert Name to Number'!F634:H634))</f>
        <v/>
      </c>
      <c r="R214" s="36" t="str">
        <f t="shared" si="37"/>
        <v/>
      </c>
      <c r="S214" s="58" t="str">
        <f>IFERROR(__xludf.DUMMYFUNCTION("IFERROR((((COUNTIF(FILTER(Data!N:N,Data!B:B=A214),""TRAVERSE""))+(COUNTIF(FILTER(Data!N:N,Data!B:B=A214),""HIGH""))+(COUNTIF(FILTER(Data!N:N,Data!B:B=A214),""MIDDLE""))+(COUNTIF(FILTER(Data!N:N,Data!B:B=A214),""LOW"")))) / (((COUNTIF(Data!B:B, A214)))-(CO"&amp;"UNTIF(FILTER(Data!N:N,Data!B:B=A214),""NONE""))),IF(ISBLANK(A214),"""",0))"),"")</f>
        <v/>
      </c>
      <c r="T214" s="56" t="str">
        <f>IFERROR(__xludf.DUMMYFUNCTION("IFERROR((COUNTIF(FILTER(Data!N:N, Data!B:B=A214),""LOW"")) / (COUNTIF(Data!B:B, A214)),"""")"),"")</f>
        <v/>
      </c>
      <c r="U214" s="59" t="str">
        <f>IFERROR(__xludf.DUMMYFUNCTION("IFERROR((COUNTIF(FILTER(Data!N:N, Data!B:B=A214),""MIDDLE"")) / (COUNTIF(Data!B:B, A214)),"""")"),"")</f>
        <v/>
      </c>
      <c r="V214" s="59" t="str">
        <f>IFERROR(__xludf.DUMMYFUNCTION("IFERROR((COUNTIF(FILTER(Data!N:N, Data!B:B=A214),""HIGH"")) / (COUNTIF(Data!B:B, A214)),"""")"),"")</f>
        <v/>
      </c>
      <c r="W214" s="59" t="str">
        <f>IFERROR(__xludf.DUMMYFUNCTION("IFERROR((COUNTIF(FILTER(Data!N:N, Data!B:B=A214),""TRAVERSE"")) / (COUNTIF(Data!B:B, A214)),"""")"),"")</f>
        <v/>
      </c>
      <c r="X214" s="60" t="str">
        <f t="shared" si="38"/>
        <v/>
      </c>
      <c r="Y214" s="45" t="str">
        <f t="shared" si="7"/>
        <v/>
      </c>
      <c r="Z214" s="45" t="str">
        <f t="shared" si="8"/>
        <v/>
      </c>
      <c r="AA214" s="16" t="str">
        <f t="shared" si="9"/>
        <v/>
      </c>
      <c r="AB214" s="16"/>
      <c r="AC214" s="16" t="str">
        <f>IFERROR(__xludf.DUMMYFUNCTION("IF(AA214="""","""",MAX(Filter((Data!G:G+Data!K:K),Data!B:B=A214)))"),"")</f>
        <v/>
      </c>
      <c r="AD214" s="16"/>
      <c r="AE214" s="16" t="str">
        <f t="shared" si="12"/>
        <v/>
      </c>
      <c r="AF214" s="16" t="str">
        <f t="shared" si="13"/>
        <v/>
      </c>
      <c r="AG214" s="44"/>
      <c r="AH214" s="44"/>
      <c r="AI214" s="44" t="str">
        <f>IFERROR(__xludf.DUMMYFUNCTION("TEXTJOIN("", "",TRUE, FILTER(Data!P:P, Data!B:B=A214))"),"")</f>
        <v/>
      </c>
      <c r="AM214" s="61"/>
      <c r="BC214" s="50"/>
    </row>
    <row r="215">
      <c r="A215" s="54"/>
      <c r="B215" s="55" t="str">
        <f>IFERROR(__xludf.DUMMYFUNCTION("IFERROR(ROUND(
(COUNTIF(FILTER(Data!O:O, Data!B:B=A215), ""Win"")
+ COUNTIF(FILTER(Data!O:O, Data!B:B=A215), {""Tie"",""Results""}))
/ (COUNTIF(Data!B:B, A215)),
1),"""")"),"")</f>
        <v/>
      </c>
      <c r="C215" s="45" t="str">
        <f>IFERROR((SUMIF(Data!B:B, A215, Data!H:H)
/ (COUNTIF(Data!B:B, A215)
)),"")</f>
        <v/>
      </c>
      <c r="D215" s="45" t="str">
        <f>IFERROR((SUMIF(Data!B:B, A215, Data!G:G)
/ (COUNTIF(Data!B:B, A215)
)),"")</f>
        <v/>
      </c>
      <c r="E215" s="31" t="str">
        <f t="shared" si="39"/>
        <v/>
      </c>
      <c r="F215" s="45" t="str">
        <f>IFERROR((SUMIF(Data!B:B, A215, Data!J:J)
/ (COUNTIF(Data!B:B, A215)
)),"")</f>
        <v/>
      </c>
      <c r="G215" s="56" t="str">
        <f>IF(A215="","",IFERROR((((((SUMIF(Data!B:B, A215, Data!H:H)+(SUMIF(Data!B:B, A215,Data!G:G)))/(SUMIF(Data!B:B, A215, Data!J:J)))))),0))</f>
        <v/>
      </c>
      <c r="H215" s="45"/>
      <c r="I215" s="45"/>
      <c r="J215" s="45"/>
      <c r="K215" s="45"/>
      <c r="L215" s="45" t="str">
        <f>IFERROR((SUMIF(Data!B:B, A215, Data!L:L)
/ (COUNTIF(Data!B:B, A215)
)),"")</f>
        <v/>
      </c>
      <c r="M215" s="45" t="str">
        <f>IFERROR((SUMIF(Data!B:B, A215, Data!K:K)
/ (COUNTIF(Data!B:B, A215)
)),"")</f>
        <v/>
      </c>
      <c r="N215" s="56"/>
      <c r="O215" s="56" t="str">
        <f>IF(A215="","",IFERROR((((((SUMIF(Data!B:B, A215, Data!H:H)+(SUMIF(Data!B:B, A215,Data!G:G)+(SUMIF(Data!B:B, A215,Data!L:L)+(SUMIF(Data!B:B, A215,Data!K:K)))))/(SUMIF(Data!B:B, A215, Data!M:M)+(SUMIF(Data!B:B, A215, Data!H:H)+(SUMIF(Data!B:B, A215,Data!G:G)+(SUMIF(Data!B:B, A215,Data!K:K)+(SUMIF(Data!B:B, A215,Data!L:L)))))))))),0))</f>
        <v/>
      </c>
      <c r="P215" s="57" t="str">
        <f>IFERROR(__xludf.DUMMYFUNCTION("IFERROR(((COUNTIF(FILTER(Data!N:N,Data!B:B=A215),""TRAVERSE"")*15)+(COUNTIF(FILTER(Data!N:N,Data!B:B=A215),""HIGH"")*10)+(COUNTIF(FILTER(Data!N:N,Data!B:B=A215),""MIDDLE"")*6)+(COUNTIF(FILTER(Data!N:N,Data!B:B=A215),""LOW"")*4)) / (COUNTIF(Data!B:B, A215)"&amp;"),"""")"),"")</f>
        <v/>
      </c>
      <c r="Q215" s="31" t="str">
        <f>IF(P215="","",AVERAGE('Convert Name to Number'!F635:H635))</f>
        <v/>
      </c>
      <c r="R215" s="36" t="str">
        <f t="shared" si="37"/>
        <v/>
      </c>
      <c r="S215" s="58" t="str">
        <f>IFERROR(__xludf.DUMMYFUNCTION("IFERROR((((COUNTIF(FILTER(Data!N:N,Data!B:B=A215),""TRAVERSE""))+(COUNTIF(FILTER(Data!N:N,Data!B:B=A215),""HIGH""))+(COUNTIF(FILTER(Data!N:N,Data!B:B=A215),""MIDDLE""))+(COUNTIF(FILTER(Data!N:N,Data!B:B=A215),""LOW"")))) / (((COUNTIF(Data!B:B, A215)))-(CO"&amp;"UNTIF(FILTER(Data!N:N,Data!B:B=A215),""NONE""))),IF(ISBLANK(A215),"""",0))"),"")</f>
        <v/>
      </c>
      <c r="T215" s="56" t="str">
        <f>IFERROR(__xludf.DUMMYFUNCTION("IFERROR((COUNTIF(FILTER(Data!N:N, Data!B:B=A215),""LOW"")) / (COUNTIF(Data!B:B, A215)),"""")"),"")</f>
        <v/>
      </c>
      <c r="U215" s="59" t="str">
        <f>IFERROR(__xludf.DUMMYFUNCTION("IFERROR((COUNTIF(FILTER(Data!N:N, Data!B:B=A215),""MIDDLE"")) / (COUNTIF(Data!B:B, A215)),"""")"),"")</f>
        <v/>
      </c>
      <c r="V215" s="59" t="str">
        <f>IFERROR(__xludf.DUMMYFUNCTION("IFERROR((COUNTIF(FILTER(Data!N:N, Data!B:B=A215),""HIGH"")) / (COUNTIF(Data!B:B, A215)),"""")"),"")</f>
        <v/>
      </c>
      <c r="W215" s="59" t="str">
        <f>IFERROR(__xludf.DUMMYFUNCTION("IFERROR((COUNTIF(FILTER(Data!N:N, Data!B:B=A215),""TRAVERSE"")) / (COUNTIF(Data!B:B, A215)),"""")"),"")</f>
        <v/>
      </c>
      <c r="X215" s="60" t="str">
        <f t="shared" si="38"/>
        <v/>
      </c>
      <c r="Y215" s="45" t="str">
        <f t="shared" si="7"/>
        <v/>
      </c>
      <c r="Z215" s="45" t="str">
        <f t="shared" si="8"/>
        <v/>
      </c>
      <c r="AA215" s="16" t="str">
        <f t="shared" si="9"/>
        <v/>
      </c>
      <c r="AB215" s="16"/>
      <c r="AC215" s="16" t="str">
        <f>IFERROR(__xludf.DUMMYFUNCTION("IF(AA215="""","""",MAX(Filter((Data!G:G+Data!K:K),Data!B:B=A215)))"),"")</f>
        <v/>
      </c>
      <c r="AD215" s="16"/>
      <c r="AE215" s="16" t="str">
        <f t="shared" si="12"/>
        <v/>
      </c>
      <c r="AF215" s="16" t="str">
        <f t="shared" si="13"/>
        <v/>
      </c>
      <c r="AG215" s="44"/>
      <c r="AH215" s="44"/>
      <c r="AI215" s="44" t="str">
        <f>IFERROR(__xludf.DUMMYFUNCTION("TEXTJOIN("", "",TRUE, FILTER(Data!P:P, Data!B:B=A215))"),"")</f>
        <v/>
      </c>
      <c r="AM215" s="61"/>
      <c r="BC215" s="50"/>
    </row>
    <row r="216">
      <c r="A216" s="54"/>
      <c r="B216" s="55" t="str">
        <f>IFERROR(__xludf.DUMMYFUNCTION("IFERROR(ROUND(
(COUNTIF(FILTER(Data!O:O, Data!B:B=A216), ""Win"")
+ COUNTIF(FILTER(Data!O:O, Data!B:B=A216), {""Tie"",""Results""}))
/ (COUNTIF(Data!B:B, A216)),
1),"""")"),"")</f>
        <v/>
      </c>
      <c r="C216" s="45" t="str">
        <f>IFERROR((SUMIF(Data!B:B, A216, Data!H:H)
/ (COUNTIF(Data!B:B, A216)
)),"")</f>
        <v/>
      </c>
      <c r="D216" s="45" t="str">
        <f>IFERROR((SUMIF(Data!B:B, A216, Data!G:G)
/ (COUNTIF(Data!B:B, A216)
)),"")</f>
        <v/>
      </c>
      <c r="E216" s="31" t="str">
        <f t="shared" si="39"/>
        <v/>
      </c>
      <c r="F216" s="45" t="str">
        <f>IFERROR((SUMIF(Data!B:B, A216, Data!J:J)
/ (COUNTIF(Data!B:B, A216)
)),"")</f>
        <v/>
      </c>
      <c r="G216" s="56" t="str">
        <f>IF(A216="","",IFERROR((((((SUMIF(Data!B:B, A216, Data!H:H)+(SUMIF(Data!B:B, A216,Data!G:G)))/(SUMIF(Data!B:B, A216, Data!J:J)))))),0))</f>
        <v/>
      </c>
      <c r="H216" s="45"/>
      <c r="I216" s="45"/>
      <c r="J216" s="45"/>
      <c r="K216" s="45"/>
      <c r="L216" s="45" t="str">
        <f>IFERROR((SUMIF(Data!B:B, A216, Data!L:L)
/ (COUNTIF(Data!B:B, A216)
)),"")</f>
        <v/>
      </c>
      <c r="M216" s="45" t="str">
        <f>IFERROR((SUMIF(Data!B:B, A216, Data!K:K)
/ (COUNTIF(Data!B:B, A216)
)),"")</f>
        <v/>
      </c>
      <c r="N216" s="56"/>
      <c r="O216" s="56" t="str">
        <f>IF(A216="","",IFERROR((((((SUMIF(Data!B:B, A216, Data!H:H)+(SUMIF(Data!B:B, A216,Data!G:G)+(SUMIF(Data!B:B, A216,Data!L:L)+(SUMIF(Data!B:B, A216,Data!K:K)))))/(SUMIF(Data!B:B, A216, Data!M:M)+(SUMIF(Data!B:B, A216, Data!H:H)+(SUMIF(Data!B:B, A216,Data!G:G)+(SUMIF(Data!B:B, A216,Data!K:K)+(SUMIF(Data!B:B, A216,Data!L:L)))))))))),0))</f>
        <v/>
      </c>
      <c r="P216" s="57" t="str">
        <f>IFERROR(__xludf.DUMMYFUNCTION("IFERROR(((COUNTIF(FILTER(Data!N:N,Data!B:B=A216),""TRAVERSE"")*15)+(COUNTIF(FILTER(Data!N:N,Data!B:B=A216),""HIGH"")*10)+(COUNTIF(FILTER(Data!N:N,Data!B:B=A216),""MIDDLE"")*6)+(COUNTIF(FILTER(Data!N:N,Data!B:B=A216),""LOW"")*4)) / (COUNTIF(Data!B:B, A216)"&amp;"),"""")"),"")</f>
        <v/>
      </c>
      <c r="Q216" s="31" t="str">
        <f>IF(P216="","",AVERAGE('Convert Name to Number'!F636:H636))</f>
        <v/>
      </c>
      <c r="R216" s="36" t="str">
        <f t="shared" si="37"/>
        <v/>
      </c>
      <c r="S216" s="58" t="str">
        <f>IFERROR(__xludf.DUMMYFUNCTION("IFERROR((((COUNTIF(FILTER(Data!N:N,Data!B:B=A216),""TRAVERSE""))+(COUNTIF(FILTER(Data!N:N,Data!B:B=A216),""HIGH""))+(COUNTIF(FILTER(Data!N:N,Data!B:B=A216),""MIDDLE""))+(COUNTIF(FILTER(Data!N:N,Data!B:B=A216),""LOW"")))) / (((COUNTIF(Data!B:B, A216)))-(CO"&amp;"UNTIF(FILTER(Data!N:N,Data!B:B=A216),""NONE""))),IF(ISBLANK(A216),"""",0))"),"")</f>
        <v/>
      </c>
      <c r="T216" s="56" t="str">
        <f>IFERROR(__xludf.DUMMYFUNCTION("IFERROR((COUNTIF(FILTER(Data!N:N, Data!B:B=A216),""LOW"")) / (COUNTIF(Data!B:B, A216)),"""")"),"")</f>
        <v/>
      </c>
      <c r="U216" s="59" t="str">
        <f>IFERROR(__xludf.DUMMYFUNCTION("IFERROR((COUNTIF(FILTER(Data!N:N, Data!B:B=A216),""MIDDLE"")) / (COUNTIF(Data!B:B, A216)),"""")"),"")</f>
        <v/>
      </c>
      <c r="V216" s="59" t="str">
        <f>IFERROR(__xludf.DUMMYFUNCTION("IFERROR((COUNTIF(FILTER(Data!N:N, Data!B:B=A216),""HIGH"")) / (COUNTIF(Data!B:B, A216)),"""")"),"")</f>
        <v/>
      </c>
      <c r="W216" s="59" t="str">
        <f>IFERROR(__xludf.DUMMYFUNCTION("IFERROR((COUNTIF(FILTER(Data!N:N, Data!B:B=A216),""TRAVERSE"")) / (COUNTIF(Data!B:B, A216)),"""")"),"")</f>
        <v/>
      </c>
      <c r="X216" s="60" t="str">
        <f t="shared" si="38"/>
        <v/>
      </c>
      <c r="Y216" s="45" t="str">
        <f t="shared" si="7"/>
        <v/>
      </c>
      <c r="Z216" s="45" t="str">
        <f t="shared" si="8"/>
        <v/>
      </c>
      <c r="AA216" s="16" t="str">
        <f t="shared" si="9"/>
        <v/>
      </c>
      <c r="AB216" s="16"/>
      <c r="AC216" s="16" t="str">
        <f>IFERROR(__xludf.DUMMYFUNCTION("IF(AA216="""","""",MAX(Filter((Data!G:G+Data!K:K),Data!B:B=A216)))"),"")</f>
        <v/>
      </c>
      <c r="AD216" s="16"/>
      <c r="AE216" s="16" t="str">
        <f t="shared" si="12"/>
        <v/>
      </c>
      <c r="AF216" s="16" t="str">
        <f t="shared" si="13"/>
        <v/>
      </c>
      <c r="AG216" s="44"/>
      <c r="AH216" s="44"/>
      <c r="AI216" s="44" t="str">
        <f>IFERROR(__xludf.DUMMYFUNCTION("TEXTJOIN("", "",TRUE, FILTER(Data!P:P, Data!B:B=A216))"),"")</f>
        <v/>
      </c>
      <c r="AM216" s="61"/>
      <c r="BC216" s="50"/>
    </row>
    <row r="217">
      <c r="A217" s="54"/>
      <c r="B217" s="55" t="str">
        <f>IFERROR(__xludf.DUMMYFUNCTION("IFERROR(ROUND(
(COUNTIF(FILTER(Data!O:O, Data!B:B=A217), ""Win"")
+ COUNTIF(FILTER(Data!O:O, Data!B:B=A217), {""Tie"",""Results""}))
/ (COUNTIF(Data!B:B, A217)),
1),"""")"),"")</f>
        <v/>
      </c>
      <c r="C217" s="45" t="str">
        <f>IFERROR((SUMIF(Data!B:B, A217, Data!H:H)
/ (COUNTIF(Data!B:B, A217)
)),"")</f>
        <v/>
      </c>
      <c r="D217" s="45" t="str">
        <f>IFERROR((SUMIF(Data!B:B, A217, Data!G:G)
/ (COUNTIF(Data!B:B, A217)
)),"")</f>
        <v/>
      </c>
      <c r="E217" s="31" t="str">
        <f t="shared" si="39"/>
        <v/>
      </c>
      <c r="F217" s="45" t="str">
        <f>IFERROR((SUMIF(Data!B:B, A217, Data!J:J)
/ (COUNTIF(Data!B:B, A217)
)),"")</f>
        <v/>
      </c>
      <c r="G217" s="56" t="str">
        <f>IF(A217="","",IFERROR((((((SUMIF(Data!B:B, A217, Data!H:H)+(SUMIF(Data!B:B, A217,Data!G:G)))/(SUMIF(Data!B:B, A217, Data!J:J)))))),0))</f>
        <v/>
      </c>
      <c r="H217" s="45"/>
      <c r="I217" s="45"/>
      <c r="J217" s="45"/>
      <c r="K217" s="45"/>
      <c r="L217" s="45" t="str">
        <f>IFERROR((SUMIF(Data!B:B, A217, Data!L:L)
/ (COUNTIF(Data!B:B, A217)
)),"")</f>
        <v/>
      </c>
      <c r="M217" s="45" t="str">
        <f>IFERROR((SUMIF(Data!B:B, A217, Data!K:K)
/ (COUNTIF(Data!B:B, A217)
)),"")</f>
        <v/>
      </c>
      <c r="N217" s="56"/>
      <c r="O217" s="56" t="str">
        <f>IF(A217="","",IFERROR((((((SUMIF(Data!B:B, A217, Data!H:H)+(SUMIF(Data!B:B, A217,Data!G:G)+(SUMIF(Data!B:B, A217,Data!L:L)+(SUMIF(Data!B:B, A217,Data!K:K)))))/(SUMIF(Data!B:B, A217, Data!M:M)+(SUMIF(Data!B:B, A217, Data!H:H)+(SUMIF(Data!B:B, A217,Data!G:G)+(SUMIF(Data!B:B, A217,Data!K:K)+(SUMIF(Data!B:B, A217,Data!L:L)))))))))),0))</f>
        <v/>
      </c>
      <c r="P217" s="57" t="str">
        <f>IFERROR(__xludf.DUMMYFUNCTION("IFERROR(((COUNTIF(FILTER(Data!N:N,Data!B:B=A217),""TRAVERSE"")*15)+(COUNTIF(FILTER(Data!N:N,Data!B:B=A217),""HIGH"")*10)+(COUNTIF(FILTER(Data!N:N,Data!B:B=A217),""MIDDLE"")*6)+(COUNTIF(FILTER(Data!N:N,Data!B:B=A217),""LOW"")*4)) / (COUNTIF(Data!B:B, A217)"&amp;"),"""")"),"")</f>
        <v/>
      </c>
      <c r="Q217" s="31" t="str">
        <f>IF(P217="","",AVERAGE('Convert Name to Number'!F637:H637))</f>
        <v/>
      </c>
      <c r="R217" s="36" t="str">
        <f t="shared" si="37"/>
        <v/>
      </c>
      <c r="S217" s="58" t="str">
        <f>IFERROR(__xludf.DUMMYFUNCTION("IFERROR((((COUNTIF(FILTER(Data!N:N,Data!B:B=A217),""TRAVERSE""))+(COUNTIF(FILTER(Data!N:N,Data!B:B=A217),""HIGH""))+(COUNTIF(FILTER(Data!N:N,Data!B:B=A217),""MIDDLE""))+(COUNTIF(FILTER(Data!N:N,Data!B:B=A217),""LOW"")))) / (((COUNTIF(Data!B:B, A217)))-(CO"&amp;"UNTIF(FILTER(Data!N:N,Data!B:B=A217),""NONE""))),IF(ISBLANK(A217),"""",0))"),"")</f>
        <v/>
      </c>
      <c r="T217" s="56" t="str">
        <f>IFERROR(__xludf.DUMMYFUNCTION("IFERROR((COUNTIF(FILTER(Data!N:N, Data!B:B=A217),""LOW"")) / (COUNTIF(Data!B:B, A217)),"""")"),"")</f>
        <v/>
      </c>
      <c r="U217" s="59" t="str">
        <f>IFERROR(__xludf.DUMMYFUNCTION("IFERROR((COUNTIF(FILTER(Data!N:N, Data!B:B=A217),""MIDDLE"")) / (COUNTIF(Data!B:B, A217)),"""")"),"")</f>
        <v/>
      </c>
      <c r="V217" s="59" t="str">
        <f>IFERROR(__xludf.DUMMYFUNCTION("IFERROR((COUNTIF(FILTER(Data!N:N, Data!B:B=A217),""HIGH"")) / (COUNTIF(Data!B:B, A217)),"""")"),"")</f>
        <v/>
      </c>
      <c r="W217" s="59" t="str">
        <f>IFERROR(__xludf.DUMMYFUNCTION("IFERROR((COUNTIF(FILTER(Data!N:N, Data!B:B=A217),""TRAVERSE"")) / (COUNTIF(Data!B:B, A217)),"""")"),"")</f>
        <v/>
      </c>
      <c r="X217" s="60" t="str">
        <f t="shared" si="38"/>
        <v/>
      </c>
      <c r="Y217" s="45" t="str">
        <f t="shared" si="7"/>
        <v/>
      </c>
      <c r="Z217" s="45" t="str">
        <f t="shared" si="8"/>
        <v/>
      </c>
      <c r="AA217" s="16" t="str">
        <f t="shared" si="9"/>
        <v/>
      </c>
      <c r="AB217" s="16"/>
      <c r="AC217" s="16" t="str">
        <f>IFERROR(__xludf.DUMMYFUNCTION("IF(AA217="""","""",MAX(Filter((Data!G:G+Data!K:K),Data!B:B=A217)))"),"")</f>
        <v/>
      </c>
      <c r="AD217" s="16"/>
      <c r="AE217" s="16" t="str">
        <f t="shared" si="12"/>
        <v/>
      </c>
      <c r="AF217" s="16" t="str">
        <f t="shared" si="13"/>
        <v/>
      </c>
      <c r="AG217" s="44"/>
      <c r="AH217" s="44"/>
      <c r="AI217" s="44" t="str">
        <f>IFERROR(__xludf.DUMMYFUNCTION("TEXTJOIN("", "",TRUE, FILTER(Data!P:P, Data!B:B=A217))"),"")</f>
        <v/>
      </c>
      <c r="AM217" s="61"/>
      <c r="BC217" s="50"/>
    </row>
    <row r="218">
      <c r="A218" s="54"/>
      <c r="B218" s="55" t="str">
        <f>IFERROR(__xludf.DUMMYFUNCTION("IFERROR(ROUND(
(COUNTIF(FILTER(Data!O:O, Data!B:B=A218), ""Win"")
+ COUNTIF(FILTER(Data!O:O, Data!B:B=A218), {""Tie"",""Results""}))
/ (COUNTIF(Data!B:B, A218)),
1),"""")"),"")</f>
        <v/>
      </c>
      <c r="C218" s="45" t="str">
        <f>IFERROR((SUMIF(Data!B:B, A218, Data!H:H)
/ (COUNTIF(Data!B:B, A218)
)),"")</f>
        <v/>
      </c>
      <c r="D218" s="45" t="str">
        <f>IFERROR((SUMIF(Data!B:B, A218, Data!G:G)
/ (COUNTIF(Data!B:B, A218)
)),"")</f>
        <v/>
      </c>
      <c r="E218" s="31" t="str">
        <f t="shared" si="39"/>
        <v/>
      </c>
      <c r="F218" s="45" t="str">
        <f>IFERROR((SUMIF(Data!B:B, A218, Data!J:J)
/ (COUNTIF(Data!B:B, A218)
)),"")</f>
        <v/>
      </c>
      <c r="G218" s="56" t="str">
        <f>IF(A218="","",IFERROR((((((SUMIF(Data!B:B, A218, Data!H:H)+(SUMIF(Data!B:B, A218,Data!G:G)))/(SUMIF(Data!B:B, A218, Data!J:J)))))),0))</f>
        <v/>
      </c>
      <c r="H218" s="45"/>
      <c r="I218" s="45"/>
      <c r="J218" s="45"/>
      <c r="K218" s="45"/>
      <c r="L218" s="45" t="str">
        <f>IFERROR((SUMIF(Data!B:B, A218, Data!L:L)
/ (COUNTIF(Data!B:B, A218)
)),"")</f>
        <v/>
      </c>
      <c r="M218" s="45" t="str">
        <f>IFERROR((SUMIF(Data!B:B, A218, Data!K:K)
/ (COUNTIF(Data!B:B, A218)
)),"")</f>
        <v/>
      </c>
      <c r="N218" s="56"/>
      <c r="O218" s="56" t="str">
        <f>IF(A218="","",IFERROR((((((SUMIF(Data!B:B, A218, Data!H:H)+(SUMIF(Data!B:B, A218,Data!G:G)+(SUMIF(Data!B:B, A218,Data!L:L)+(SUMIF(Data!B:B, A218,Data!K:K)))))/(SUMIF(Data!B:B, A218, Data!M:M)+(SUMIF(Data!B:B, A218, Data!H:H)+(SUMIF(Data!B:B, A218,Data!G:G)+(SUMIF(Data!B:B, A218,Data!K:K)+(SUMIF(Data!B:B, A218,Data!L:L)))))))))),0))</f>
        <v/>
      </c>
      <c r="P218" s="57" t="str">
        <f>IFERROR(__xludf.DUMMYFUNCTION("IFERROR(((COUNTIF(FILTER(Data!N:N,Data!B:B=A218),""TRAVERSE"")*15)+(COUNTIF(FILTER(Data!N:N,Data!B:B=A218),""HIGH"")*10)+(COUNTIF(FILTER(Data!N:N,Data!B:B=A218),""MIDDLE"")*6)+(COUNTIF(FILTER(Data!N:N,Data!B:B=A218),""LOW"")*4)) / (COUNTIF(Data!B:B, A218)"&amp;"),"""")"),"")</f>
        <v/>
      </c>
      <c r="Q218" s="31" t="str">
        <f>IF(P218="","",AVERAGE('Convert Name to Number'!F638:H638))</f>
        <v/>
      </c>
      <c r="R218" s="36" t="str">
        <f t="shared" si="37"/>
        <v/>
      </c>
      <c r="S218" s="58" t="str">
        <f>IFERROR(__xludf.DUMMYFUNCTION("IFERROR((((COUNTIF(FILTER(Data!N:N,Data!B:B=A218),""TRAVERSE""))+(COUNTIF(FILTER(Data!N:N,Data!B:B=A218),""HIGH""))+(COUNTIF(FILTER(Data!N:N,Data!B:B=A218),""MIDDLE""))+(COUNTIF(FILTER(Data!N:N,Data!B:B=A218),""LOW"")))) / (((COUNTIF(Data!B:B, A218)))-(CO"&amp;"UNTIF(FILTER(Data!N:N,Data!B:B=A218),""NONE""))),IF(ISBLANK(A218),"""",0))"),"")</f>
        <v/>
      </c>
      <c r="T218" s="56" t="str">
        <f>IFERROR(__xludf.DUMMYFUNCTION("IFERROR((COUNTIF(FILTER(Data!N:N, Data!B:B=A218),""LOW"")) / (COUNTIF(Data!B:B, A218)),"""")"),"")</f>
        <v/>
      </c>
      <c r="U218" s="59" t="str">
        <f>IFERROR(__xludf.DUMMYFUNCTION("IFERROR((COUNTIF(FILTER(Data!N:N, Data!B:B=A218),""MIDDLE"")) / (COUNTIF(Data!B:B, A218)),"""")"),"")</f>
        <v/>
      </c>
      <c r="V218" s="59" t="str">
        <f>IFERROR(__xludf.DUMMYFUNCTION("IFERROR((COUNTIF(FILTER(Data!N:N, Data!B:B=A218),""HIGH"")) / (COUNTIF(Data!B:B, A218)),"""")"),"")</f>
        <v/>
      </c>
      <c r="W218" s="59" t="str">
        <f>IFERROR(__xludf.DUMMYFUNCTION("IFERROR((COUNTIF(FILTER(Data!N:N, Data!B:B=A218),""TRAVERSE"")) / (COUNTIF(Data!B:B, A218)),"""")"),"")</f>
        <v/>
      </c>
      <c r="X218" s="60" t="str">
        <f t="shared" si="38"/>
        <v/>
      </c>
      <c r="Y218" s="45" t="str">
        <f t="shared" si="7"/>
        <v/>
      </c>
      <c r="Z218" s="45" t="str">
        <f t="shared" si="8"/>
        <v/>
      </c>
      <c r="AA218" s="16" t="str">
        <f t="shared" si="9"/>
        <v/>
      </c>
      <c r="AB218" s="16"/>
      <c r="AC218" s="16" t="str">
        <f>IFERROR(__xludf.DUMMYFUNCTION("IF(AA218="""","""",MAX(Filter((Data!G:G+Data!K:K),Data!B:B=A218)))"),"")</f>
        <v/>
      </c>
      <c r="AD218" s="16"/>
      <c r="AE218" s="16" t="str">
        <f t="shared" si="12"/>
        <v/>
      </c>
      <c r="AF218" s="16" t="str">
        <f t="shared" si="13"/>
        <v/>
      </c>
      <c r="AG218" s="44"/>
      <c r="AH218" s="44"/>
      <c r="AI218" s="44" t="str">
        <f>IFERROR(__xludf.DUMMYFUNCTION("TEXTJOIN("", "",TRUE, FILTER(Data!P:P, Data!B:B=A218))"),"")</f>
        <v/>
      </c>
      <c r="AM218" s="61"/>
      <c r="BC218" s="50"/>
    </row>
    <row r="219">
      <c r="A219" s="54"/>
      <c r="B219" s="55" t="str">
        <f>IFERROR(__xludf.DUMMYFUNCTION("IFERROR(ROUND(
(COUNTIF(FILTER(Data!O:O, Data!B:B=A219), ""Win"")
+ COUNTIF(FILTER(Data!O:O, Data!B:B=A219), {""Tie"",""Results""}))
/ (COUNTIF(Data!B:B, A219)),
1),"""")"),"")</f>
        <v/>
      </c>
      <c r="C219" s="45" t="str">
        <f>IFERROR((SUMIF(Data!B:B, A219, Data!H:H)
/ (COUNTIF(Data!B:B, A219)
)),"")</f>
        <v/>
      </c>
      <c r="D219" s="45" t="str">
        <f>IFERROR((SUMIF(Data!B:B, A219, Data!G:G)
/ (COUNTIF(Data!B:B, A219)
)),"")</f>
        <v/>
      </c>
      <c r="E219" s="31" t="str">
        <f t="shared" si="39"/>
        <v/>
      </c>
      <c r="F219" s="45" t="str">
        <f>IFERROR((SUMIF(Data!B:B, A219, Data!J:J)
/ (COUNTIF(Data!B:B, A219)
)),"")</f>
        <v/>
      </c>
      <c r="G219" s="56" t="str">
        <f>IF(A219="","",IFERROR((((((SUMIF(Data!B:B, A219, Data!H:H)+(SUMIF(Data!B:B, A219,Data!G:G)))/(SUMIF(Data!B:B, A219, Data!J:J)))))),0))</f>
        <v/>
      </c>
      <c r="H219" s="45"/>
      <c r="I219" s="45"/>
      <c r="J219" s="45"/>
      <c r="K219" s="45"/>
      <c r="L219" s="45" t="str">
        <f>IFERROR((SUMIF(Data!B:B, A219, Data!L:L)
/ (COUNTIF(Data!B:B, A219)
)),"")</f>
        <v/>
      </c>
      <c r="M219" s="45" t="str">
        <f>IFERROR((SUMIF(Data!B:B, A219, Data!K:K)
/ (COUNTIF(Data!B:B, A219)
)),"")</f>
        <v/>
      </c>
      <c r="N219" s="56"/>
      <c r="O219" s="56" t="str">
        <f>IF(A219="","",IFERROR((((((SUMIF(Data!B:B, A219, Data!H:H)+(SUMIF(Data!B:B, A219,Data!G:G)+(SUMIF(Data!B:B, A219,Data!L:L)+(SUMIF(Data!B:B, A219,Data!K:K)))))/(SUMIF(Data!B:B, A219, Data!M:M)+(SUMIF(Data!B:B, A219, Data!H:H)+(SUMIF(Data!B:B, A219,Data!G:G)+(SUMIF(Data!B:B, A219,Data!K:K)+(SUMIF(Data!B:B, A219,Data!L:L)))))))))),0))</f>
        <v/>
      </c>
      <c r="P219" s="57" t="str">
        <f>IFERROR(__xludf.DUMMYFUNCTION("IFERROR(((COUNTIF(FILTER(Data!N:N,Data!B:B=A219),""TRAVERSE"")*15)+(COUNTIF(FILTER(Data!N:N,Data!B:B=A219),""HIGH"")*10)+(COUNTIF(FILTER(Data!N:N,Data!B:B=A219),""MIDDLE"")*6)+(COUNTIF(FILTER(Data!N:N,Data!B:B=A219),""LOW"")*4)) / (COUNTIF(Data!B:B, A219)"&amp;"),"""")"),"")</f>
        <v/>
      </c>
      <c r="Q219" s="31" t="str">
        <f>IF(P219="","",AVERAGE('Convert Name to Number'!F639:H639))</f>
        <v/>
      </c>
      <c r="R219" s="36" t="str">
        <f t="shared" si="37"/>
        <v/>
      </c>
      <c r="S219" s="58" t="str">
        <f>IFERROR(__xludf.DUMMYFUNCTION("IFERROR((((COUNTIF(FILTER(Data!N:N,Data!B:B=A219),""TRAVERSE""))+(COUNTIF(FILTER(Data!N:N,Data!B:B=A219),""HIGH""))+(COUNTIF(FILTER(Data!N:N,Data!B:B=A219),""MIDDLE""))+(COUNTIF(FILTER(Data!N:N,Data!B:B=A219),""LOW"")))) / (((COUNTIF(Data!B:B, A219)))-(CO"&amp;"UNTIF(FILTER(Data!N:N,Data!B:B=A219),""NONE""))),IF(ISBLANK(A219),"""",0))"),"")</f>
        <v/>
      </c>
      <c r="T219" s="56" t="str">
        <f>IFERROR(__xludf.DUMMYFUNCTION("IFERROR((COUNTIF(FILTER(Data!N:N, Data!B:B=A219),""LOW"")) / (COUNTIF(Data!B:B, A219)),"""")"),"")</f>
        <v/>
      </c>
      <c r="U219" s="59" t="str">
        <f>IFERROR(__xludf.DUMMYFUNCTION("IFERROR((COUNTIF(FILTER(Data!N:N, Data!B:B=A219),""MIDDLE"")) / (COUNTIF(Data!B:B, A219)),"""")"),"")</f>
        <v/>
      </c>
      <c r="V219" s="59" t="str">
        <f>IFERROR(__xludf.DUMMYFUNCTION("IFERROR((COUNTIF(FILTER(Data!N:N, Data!B:B=A219),""HIGH"")) / (COUNTIF(Data!B:B, A219)),"""")"),"")</f>
        <v/>
      </c>
      <c r="W219" s="59" t="str">
        <f>IFERROR(__xludf.DUMMYFUNCTION("IFERROR((COUNTIF(FILTER(Data!N:N, Data!B:B=A219),""TRAVERSE"")) / (COUNTIF(Data!B:B, A219)),"""")"),"")</f>
        <v/>
      </c>
      <c r="X219" s="60" t="str">
        <f t="shared" si="38"/>
        <v/>
      </c>
      <c r="Y219" s="45" t="str">
        <f t="shared" si="7"/>
        <v/>
      </c>
      <c r="Z219" s="45" t="str">
        <f t="shared" si="8"/>
        <v/>
      </c>
      <c r="AA219" s="16" t="str">
        <f t="shared" si="9"/>
        <v/>
      </c>
      <c r="AB219" s="16"/>
      <c r="AC219" s="16" t="str">
        <f>IFERROR(__xludf.DUMMYFUNCTION("IF(AA219="""","""",MAX(Filter((Data!G:G+Data!K:K),Data!B:B=A219)))"),"")</f>
        <v/>
      </c>
      <c r="AD219" s="16"/>
      <c r="AE219" s="16" t="str">
        <f t="shared" si="12"/>
        <v/>
      </c>
      <c r="AF219" s="16" t="str">
        <f t="shared" si="13"/>
        <v/>
      </c>
      <c r="AG219" s="44"/>
      <c r="AH219" s="44"/>
      <c r="AI219" s="44" t="str">
        <f>IFERROR(__xludf.DUMMYFUNCTION("TEXTJOIN("", "",TRUE, FILTER(Data!P:P, Data!B:B=A219))"),"")</f>
        <v/>
      </c>
      <c r="AM219" s="61"/>
      <c r="BC219" s="50"/>
    </row>
    <row r="220">
      <c r="A220" s="54"/>
      <c r="B220" s="55" t="str">
        <f>IFERROR(__xludf.DUMMYFUNCTION("IFERROR(ROUND(
(COUNTIF(FILTER(Data!O:O, Data!B:B=A220), ""Win"")
+ COUNTIF(FILTER(Data!O:O, Data!B:B=A220), {""Tie"",""Results""}))
/ (COUNTIF(Data!B:B, A220)),
1),"""")"),"")</f>
        <v/>
      </c>
      <c r="C220" s="45" t="str">
        <f>IFERROR((SUMIF(Data!B:B, A220, Data!H:H)
/ (COUNTIF(Data!B:B, A220)
)),"")</f>
        <v/>
      </c>
      <c r="D220" s="45" t="str">
        <f>IFERROR((SUMIF(Data!B:B, A220, Data!G:G)
/ (COUNTIF(Data!B:B, A220)
)),"")</f>
        <v/>
      </c>
      <c r="E220" s="31" t="str">
        <f t="shared" si="39"/>
        <v/>
      </c>
      <c r="F220" s="45" t="str">
        <f>IFERROR((SUMIF(Data!B:B, A220, Data!J:J)
/ (COUNTIF(Data!B:B, A220)
)),"")</f>
        <v/>
      </c>
      <c r="G220" s="56" t="str">
        <f>IF(A220="","",IFERROR((((((SUMIF(Data!B:B, A220, Data!H:H)+(SUMIF(Data!B:B, A220,Data!G:G)))/(SUMIF(Data!B:B, A220, Data!J:J)))))),0))</f>
        <v/>
      </c>
      <c r="H220" s="45"/>
      <c r="I220" s="45"/>
      <c r="J220" s="45"/>
      <c r="K220" s="45"/>
      <c r="L220" s="45" t="str">
        <f>IFERROR((SUMIF(Data!B:B, A220, Data!L:L)
/ (COUNTIF(Data!B:B, A220)
)),"")</f>
        <v/>
      </c>
      <c r="M220" s="45" t="str">
        <f>IFERROR((SUMIF(Data!B:B, A220, Data!K:K)
/ (COUNTIF(Data!B:B, A220)
)),"")</f>
        <v/>
      </c>
      <c r="N220" s="56"/>
      <c r="O220" s="56" t="str">
        <f>IF(A220="","",IFERROR((((((SUMIF(Data!B:B, A220, Data!H:H)+(SUMIF(Data!B:B, A220,Data!G:G)+(SUMIF(Data!B:B, A220,Data!L:L)+(SUMIF(Data!B:B, A220,Data!K:K)))))/(SUMIF(Data!B:B, A220, Data!M:M)+(SUMIF(Data!B:B, A220, Data!H:H)+(SUMIF(Data!B:B, A220,Data!G:G)+(SUMIF(Data!B:B, A220,Data!K:K)+(SUMIF(Data!B:B, A220,Data!L:L)))))))))),0))</f>
        <v/>
      </c>
      <c r="P220" s="57" t="str">
        <f>IFERROR(__xludf.DUMMYFUNCTION("IFERROR(((COUNTIF(FILTER(Data!N:N,Data!B:B=A220),""TRAVERSE"")*15)+(COUNTIF(FILTER(Data!N:N,Data!B:B=A220),""HIGH"")*10)+(COUNTIF(FILTER(Data!N:N,Data!B:B=A220),""MIDDLE"")*6)+(COUNTIF(FILTER(Data!N:N,Data!B:B=A220),""LOW"")*4)) / (COUNTIF(Data!B:B, A220)"&amp;"),"""")"),"")</f>
        <v/>
      </c>
      <c r="Q220" s="31" t="str">
        <f>IF(P220="","",AVERAGE('Convert Name to Number'!F640:H640))</f>
        <v/>
      </c>
      <c r="R220" s="36" t="str">
        <f t="shared" si="37"/>
        <v/>
      </c>
      <c r="S220" s="58" t="str">
        <f>IFERROR(__xludf.DUMMYFUNCTION("IFERROR((((COUNTIF(FILTER(Data!N:N,Data!B:B=A220),""TRAVERSE""))+(COUNTIF(FILTER(Data!N:N,Data!B:B=A220),""HIGH""))+(COUNTIF(FILTER(Data!N:N,Data!B:B=A220),""MIDDLE""))+(COUNTIF(FILTER(Data!N:N,Data!B:B=A220),""LOW"")))) / (((COUNTIF(Data!B:B, A220)))-(CO"&amp;"UNTIF(FILTER(Data!N:N,Data!B:B=A220),""NONE""))),IF(ISBLANK(A220),"""",0))"),"")</f>
        <v/>
      </c>
      <c r="T220" s="56" t="str">
        <f>IFERROR(__xludf.DUMMYFUNCTION("IFERROR((COUNTIF(FILTER(Data!N:N, Data!B:B=A220),""LOW"")) / (COUNTIF(Data!B:B, A220)),"""")"),"")</f>
        <v/>
      </c>
      <c r="U220" s="59" t="str">
        <f>IFERROR(__xludf.DUMMYFUNCTION("IFERROR((COUNTIF(FILTER(Data!N:N, Data!B:B=A220),""MIDDLE"")) / (COUNTIF(Data!B:B, A220)),"""")"),"")</f>
        <v/>
      </c>
      <c r="V220" s="59" t="str">
        <f>IFERROR(__xludf.DUMMYFUNCTION("IFERROR((COUNTIF(FILTER(Data!N:N, Data!B:B=A220),""HIGH"")) / (COUNTIF(Data!B:B, A220)),"""")"),"")</f>
        <v/>
      </c>
      <c r="W220" s="59" t="str">
        <f>IFERROR(__xludf.DUMMYFUNCTION("IFERROR((COUNTIF(FILTER(Data!N:N, Data!B:B=A220),""TRAVERSE"")) / (COUNTIF(Data!B:B, A220)),"""")"),"")</f>
        <v/>
      </c>
      <c r="X220" s="60" t="str">
        <f t="shared" si="38"/>
        <v/>
      </c>
      <c r="Y220" s="45" t="str">
        <f t="shared" si="7"/>
        <v/>
      </c>
      <c r="Z220" s="45" t="str">
        <f t="shared" si="8"/>
        <v/>
      </c>
      <c r="AA220" s="16" t="str">
        <f t="shared" si="9"/>
        <v/>
      </c>
      <c r="AB220" s="16"/>
      <c r="AC220" s="16" t="str">
        <f>IFERROR(__xludf.DUMMYFUNCTION("IF(AA220="""","""",MAX(Filter((Data!G:G+Data!K:K),Data!B:B=A220)))"),"")</f>
        <v/>
      </c>
      <c r="AD220" s="16"/>
      <c r="AE220" s="16" t="str">
        <f t="shared" si="12"/>
        <v/>
      </c>
      <c r="AF220" s="16" t="str">
        <f t="shared" si="13"/>
        <v/>
      </c>
      <c r="AG220" s="44"/>
      <c r="AH220" s="44"/>
      <c r="AI220" s="44" t="str">
        <f>IFERROR(__xludf.DUMMYFUNCTION("TEXTJOIN("", "",TRUE, FILTER(Data!P:P, Data!B:B=A220))"),"")</f>
        <v/>
      </c>
      <c r="AM220" s="61"/>
      <c r="BC220" s="50"/>
    </row>
    <row r="221">
      <c r="A221" s="54"/>
      <c r="B221" s="55" t="str">
        <f>IFERROR(__xludf.DUMMYFUNCTION("IFERROR(ROUND(
(COUNTIF(FILTER(Data!O:O, Data!B:B=A221), ""Win"")
+ COUNTIF(FILTER(Data!O:O, Data!B:B=A221), {""Tie"",""Results""}))
/ (COUNTIF(Data!B:B, A221)),
1),"""")"),"")</f>
        <v/>
      </c>
      <c r="C221" s="45" t="str">
        <f>IFERROR((SUMIF(Data!B:B, A221, Data!H:H)
/ (COUNTIF(Data!B:B, A221)
)),"")</f>
        <v/>
      </c>
      <c r="D221" s="45" t="str">
        <f>IFERROR((SUMIF(Data!B:B, A221, Data!G:G)
/ (COUNTIF(Data!B:B, A221)
)),"")</f>
        <v/>
      </c>
      <c r="E221" s="31" t="str">
        <f t="shared" si="39"/>
        <v/>
      </c>
      <c r="F221" s="45" t="str">
        <f>IFERROR((SUMIF(Data!B:B, A221, Data!J:J)
/ (COUNTIF(Data!B:B, A221)
)),"")</f>
        <v/>
      </c>
      <c r="G221" s="56" t="str">
        <f>IF(A221="","",IFERROR((((((SUMIF(Data!B:B, A221, Data!H:H)+(SUMIF(Data!B:B, A221,Data!G:G)))/(SUMIF(Data!B:B, A221, Data!J:J)))))),0))</f>
        <v/>
      </c>
      <c r="H221" s="45"/>
      <c r="I221" s="45"/>
      <c r="J221" s="45"/>
      <c r="K221" s="45"/>
      <c r="L221" s="45" t="str">
        <f>IFERROR((SUMIF(Data!B:B, A221, Data!L:L)
/ (COUNTIF(Data!B:B, A221)
)),"")</f>
        <v/>
      </c>
      <c r="M221" s="45" t="str">
        <f>IFERROR((SUMIF(Data!B:B, A221, Data!K:K)
/ (COUNTIF(Data!B:B, A221)
)),"")</f>
        <v/>
      </c>
      <c r="N221" s="56"/>
      <c r="O221" s="56" t="str">
        <f>IF(A221="","",IFERROR((((((SUMIF(Data!B:B, A221, Data!H:H)+(SUMIF(Data!B:B, A221,Data!G:G)+(SUMIF(Data!B:B, A221,Data!L:L)+(SUMIF(Data!B:B, A221,Data!K:K)))))/(SUMIF(Data!B:B, A221, Data!M:M)+(SUMIF(Data!B:B, A221, Data!H:H)+(SUMIF(Data!B:B, A221,Data!G:G)+(SUMIF(Data!B:B, A221,Data!K:K)+(SUMIF(Data!B:B, A221,Data!L:L)))))))))),0))</f>
        <v/>
      </c>
      <c r="P221" s="57" t="str">
        <f>IFERROR(__xludf.DUMMYFUNCTION("IFERROR(((COUNTIF(FILTER(Data!N:N,Data!B:B=A221),""TRAVERSE"")*15)+(COUNTIF(FILTER(Data!N:N,Data!B:B=A221),""HIGH"")*10)+(COUNTIF(FILTER(Data!N:N,Data!B:B=A221),""MIDDLE"")*6)+(COUNTIF(FILTER(Data!N:N,Data!B:B=A221),""LOW"")*4)) / (COUNTIF(Data!B:B, A221)"&amp;"),"""")"),"")</f>
        <v/>
      </c>
      <c r="Q221" s="31" t="str">
        <f>IF(P221="","",AVERAGE('Convert Name to Number'!F641:H641))</f>
        <v/>
      </c>
      <c r="R221" s="36" t="str">
        <f t="shared" si="37"/>
        <v/>
      </c>
      <c r="S221" s="58" t="str">
        <f>IFERROR(__xludf.DUMMYFUNCTION("IFERROR((((COUNTIF(FILTER(Data!N:N,Data!B:B=A221),""TRAVERSE""))+(COUNTIF(FILTER(Data!N:N,Data!B:B=A221),""HIGH""))+(COUNTIF(FILTER(Data!N:N,Data!B:B=A221),""MIDDLE""))+(COUNTIF(FILTER(Data!N:N,Data!B:B=A221),""LOW"")))) / (((COUNTIF(Data!B:B, A221)))-(CO"&amp;"UNTIF(FILTER(Data!N:N,Data!B:B=A221),""NONE""))),IF(ISBLANK(A221),"""",0))"),"")</f>
        <v/>
      </c>
      <c r="T221" s="56" t="str">
        <f>IFERROR(__xludf.DUMMYFUNCTION("IFERROR((COUNTIF(FILTER(Data!N:N, Data!B:B=A221),""LOW"")) / (COUNTIF(Data!B:B, A221)),"""")"),"")</f>
        <v/>
      </c>
      <c r="U221" s="59" t="str">
        <f>IFERROR(__xludf.DUMMYFUNCTION("IFERROR((COUNTIF(FILTER(Data!N:N, Data!B:B=A221),""MIDDLE"")) / (COUNTIF(Data!B:B, A221)),"""")"),"")</f>
        <v/>
      </c>
      <c r="V221" s="59" t="str">
        <f>IFERROR(__xludf.DUMMYFUNCTION("IFERROR((COUNTIF(FILTER(Data!N:N, Data!B:B=A221),""HIGH"")) / (COUNTIF(Data!B:B, A221)),"""")"),"")</f>
        <v/>
      </c>
      <c r="W221" s="59" t="str">
        <f>IFERROR(__xludf.DUMMYFUNCTION("IFERROR((COUNTIF(FILTER(Data!N:N, Data!B:B=A221),""TRAVERSE"")) / (COUNTIF(Data!B:B, A221)),"""")"),"")</f>
        <v/>
      </c>
      <c r="X221" s="60" t="str">
        <f t="shared" si="38"/>
        <v/>
      </c>
      <c r="Y221" s="45" t="str">
        <f t="shared" si="7"/>
        <v/>
      </c>
      <c r="Z221" s="45" t="str">
        <f t="shared" si="8"/>
        <v/>
      </c>
      <c r="AA221" s="16" t="str">
        <f t="shared" si="9"/>
        <v/>
      </c>
      <c r="AB221" s="16"/>
      <c r="AC221" s="16" t="str">
        <f>IFERROR(__xludf.DUMMYFUNCTION("IF(AA221="""","""",MAX(Filter((Data!G:G+Data!K:K),Data!B:B=A221)))"),"")</f>
        <v/>
      </c>
      <c r="AD221" s="16"/>
      <c r="AE221" s="16" t="str">
        <f t="shared" si="12"/>
        <v/>
      </c>
      <c r="AF221" s="16" t="str">
        <f t="shared" si="13"/>
        <v/>
      </c>
      <c r="AG221" s="44"/>
      <c r="AH221" s="44"/>
      <c r="AI221" s="44" t="str">
        <f>IFERROR(__xludf.DUMMYFUNCTION("TEXTJOIN("", "",TRUE, FILTER(Data!P:P, Data!B:B=A221))"),"")</f>
        <v/>
      </c>
      <c r="AM221" s="61"/>
      <c r="BC221" s="50"/>
    </row>
    <row r="222">
      <c r="A222" s="54"/>
      <c r="B222" s="55" t="str">
        <f>IFERROR(__xludf.DUMMYFUNCTION("IFERROR(ROUND(
(COUNTIF(FILTER(Data!O:O, Data!B:B=A222), ""Win"")
+ COUNTIF(FILTER(Data!O:O, Data!B:B=A222), {""Tie"",""Results""}))
/ (COUNTIF(Data!B:B, A222)),
1),"""")"),"")</f>
        <v/>
      </c>
      <c r="C222" s="45" t="str">
        <f>IFERROR((SUMIF(Data!B:B, A222, Data!H:H)
/ (COUNTIF(Data!B:B, A222)
)),"")</f>
        <v/>
      </c>
      <c r="D222" s="45" t="str">
        <f>IFERROR((SUMIF(Data!B:B, A222, Data!G:G)
/ (COUNTIF(Data!B:B, A222)
)),"")</f>
        <v/>
      </c>
      <c r="E222" s="31" t="str">
        <f t="shared" si="39"/>
        <v/>
      </c>
      <c r="F222" s="45" t="str">
        <f>IFERROR((SUMIF(Data!B:B, A222, Data!J:J)
/ (COUNTIF(Data!B:B, A222)
)),"")</f>
        <v/>
      </c>
      <c r="G222" s="56" t="str">
        <f>IF(A222="","",IFERROR((((((SUMIF(Data!B:B, A222, Data!H:H)+(SUMIF(Data!B:B, A222,Data!G:G)))/(SUMIF(Data!B:B, A222, Data!J:J)))))),0))</f>
        <v/>
      </c>
      <c r="H222" s="45"/>
      <c r="I222" s="45"/>
      <c r="J222" s="45"/>
      <c r="K222" s="45"/>
      <c r="L222" s="45" t="str">
        <f>IFERROR((SUMIF(Data!B:B, A222, Data!L:L)
/ (COUNTIF(Data!B:B, A222)
)),"")</f>
        <v/>
      </c>
      <c r="M222" s="45" t="str">
        <f>IFERROR((SUMIF(Data!B:B, A222, Data!K:K)
/ (COUNTIF(Data!B:B, A222)
)),"")</f>
        <v/>
      </c>
      <c r="N222" s="56"/>
      <c r="O222" s="56" t="str">
        <f>IF(A222="","",IFERROR((((((SUMIF(Data!B:B, A222, Data!H:H)+(SUMIF(Data!B:B, A222,Data!G:G)+(SUMIF(Data!B:B, A222,Data!L:L)+(SUMIF(Data!B:B, A222,Data!K:K)))))/(SUMIF(Data!B:B, A222, Data!M:M)+(SUMIF(Data!B:B, A222, Data!H:H)+(SUMIF(Data!B:B, A222,Data!G:G)+(SUMIF(Data!B:B, A222,Data!K:K)+(SUMIF(Data!B:B, A222,Data!L:L)))))))))),0))</f>
        <v/>
      </c>
      <c r="P222" s="57" t="str">
        <f>IFERROR(__xludf.DUMMYFUNCTION("IFERROR(((COUNTIF(FILTER(Data!N:N,Data!B:B=A222),""TRAVERSE"")*15)+(COUNTIF(FILTER(Data!N:N,Data!B:B=A222),""HIGH"")*10)+(COUNTIF(FILTER(Data!N:N,Data!B:B=A222),""MIDDLE"")*6)+(COUNTIF(FILTER(Data!N:N,Data!B:B=A222),""LOW"")*4)) / (COUNTIF(Data!B:B, A222)"&amp;"),"""")"),"")</f>
        <v/>
      </c>
      <c r="Q222" s="31" t="str">
        <f>IF(P222="","",AVERAGE('Convert Name to Number'!F642:H642))</f>
        <v/>
      </c>
      <c r="R222" s="36" t="str">
        <f t="shared" si="37"/>
        <v/>
      </c>
      <c r="S222" s="58" t="str">
        <f>IFERROR(__xludf.DUMMYFUNCTION("IFERROR((((COUNTIF(FILTER(Data!N:N,Data!B:B=A222),""TRAVERSE""))+(COUNTIF(FILTER(Data!N:N,Data!B:B=A222),""HIGH""))+(COUNTIF(FILTER(Data!N:N,Data!B:B=A222),""MIDDLE""))+(COUNTIF(FILTER(Data!N:N,Data!B:B=A222),""LOW"")))) / (((COUNTIF(Data!B:B, A222)))-(CO"&amp;"UNTIF(FILTER(Data!N:N,Data!B:B=A222),""NONE""))),IF(ISBLANK(A222),"""",0))"),"")</f>
        <v/>
      </c>
      <c r="T222" s="56" t="str">
        <f>IFERROR(__xludf.DUMMYFUNCTION("IFERROR((COUNTIF(FILTER(Data!N:N, Data!B:B=A222),""LOW"")) / (COUNTIF(Data!B:B, A222)),"""")"),"")</f>
        <v/>
      </c>
      <c r="U222" s="59" t="str">
        <f>IFERROR(__xludf.DUMMYFUNCTION("IFERROR((COUNTIF(FILTER(Data!N:N, Data!B:B=A222),""MIDDLE"")) / (COUNTIF(Data!B:B, A222)),"""")"),"")</f>
        <v/>
      </c>
      <c r="V222" s="59" t="str">
        <f>IFERROR(__xludf.DUMMYFUNCTION("IFERROR((COUNTIF(FILTER(Data!N:N, Data!B:B=A222),""HIGH"")) / (COUNTIF(Data!B:B, A222)),"""")"),"")</f>
        <v/>
      </c>
      <c r="W222" s="59" t="str">
        <f>IFERROR(__xludf.DUMMYFUNCTION("IFERROR((COUNTIF(FILTER(Data!N:N, Data!B:B=A222),""TRAVERSE"")) / (COUNTIF(Data!B:B, A222)),"""")"),"")</f>
        <v/>
      </c>
      <c r="X222" s="60" t="str">
        <f t="shared" si="38"/>
        <v/>
      </c>
      <c r="Y222" s="45" t="str">
        <f t="shared" si="7"/>
        <v/>
      </c>
      <c r="Z222" s="45" t="str">
        <f t="shared" si="8"/>
        <v/>
      </c>
      <c r="AA222" s="16" t="str">
        <f t="shared" si="9"/>
        <v/>
      </c>
      <c r="AB222" s="16"/>
      <c r="AC222" s="16" t="str">
        <f>IFERROR(__xludf.DUMMYFUNCTION("IF(AA222="""","""",MAX(Filter((Data!G:G+Data!K:K),Data!B:B=A222)))"),"")</f>
        <v/>
      </c>
      <c r="AD222" s="16"/>
      <c r="AE222" s="16" t="str">
        <f t="shared" si="12"/>
        <v/>
      </c>
      <c r="AF222" s="16" t="str">
        <f t="shared" si="13"/>
        <v/>
      </c>
      <c r="AG222" s="44"/>
      <c r="AH222" s="44"/>
      <c r="AI222" s="44" t="str">
        <f>IFERROR(__xludf.DUMMYFUNCTION("TEXTJOIN("", "",TRUE, FILTER(Data!P:P, Data!B:B=A222))"),"")</f>
        <v/>
      </c>
      <c r="AM222" s="61"/>
      <c r="BC222" s="50"/>
    </row>
    <row r="223">
      <c r="A223" s="54"/>
      <c r="B223" s="55" t="str">
        <f>IFERROR(__xludf.DUMMYFUNCTION("IFERROR(ROUND(
(COUNTIF(FILTER(Data!O:O, Data!B:B=A223), ""Win"")
+ COUNTIF(FILTER(Data!O:O, Data!B:B=A223), {""Tie"",""Results""}))
/ (COUNTIF(Data!B:B, A223)),
1),"""")"),"")</f>
        <v/>
      </c>
      <c r="C223" s="45" t="str">
        <f>IFERROR((SUMIF(Data!B:B, A223, Data!H:H)
/ (COUNTIF(Data!B:B, A223)
)),"")</f>
        <v/>
      </c>
      <c r="D223" s="45" t="str">
        <f>IFERROR((SUMIF(Data!B:B, A223, Data!G:G)
/ (COUNTIF(Data!B:B, A223)
)),"")</f>
        <v/>
      </c>
      <c r="E223" s="31" t="str">
        <f t="shared" si="39"/>
        <v/>
      </c>
      <c r="F223" s="45" t="str">
        <f>IFERROR((SUMIF(Data!B:B, A223, Data!J:J)
/ (COUNTIF(Data!B:B, A223)
)),"")</f>
        <v/>
      </c>
      <c r="G223" s="56" t="str">
        <f>IF(A223="","",IFERROR((((((SUMIF(Data!B:B, A223, Data!H:H)+(SUMIF(Data!B:B, A223,Data!G:G)))/(SUMIF(Data!B:B, A223, Data!J:J)))))),0))</f>
        <v/>
      </c>
      <c r="H223" s="45"/>
      <c r="I223" s="45"/>
      <c r="J223" s="45"/>
      <c r="K223" s="45"/>
      <c r="L223" s="45" t="str">
        <f>IFERROR((SUMIF(Data!B:B, A223, Data!L:L)
/ (COUNTIF(Data!B:B, A223)
)),"")</f>
        <v/>
      </c>
      <c r="M223" s="45" t="str">
        <f>IFERROR((SUMIF(Data!B:B, A223, Data!K:K)
/ (COUNTIF(Data!B:B, A223)
)),"")</f>
        <v/>
      </c>
      <c r="N223" s="56"/>
      <c r="O223" s="56" t="str">
        <f>IF(A223="","",IFERROR((((((SUMIF(Data!B:B, A223, Data!H:H)+(SUMIF(Data!B:B, A223,Data!G:G)+(SUMIF(Data!B:B, A223,Data!L:L)+(SUMIF(Data!B:B, A223,Data!K:K)))))/(SUMIF(Data!B:B, A223, Data!M:M)+(SUMIF(Data!B:B, A223, Data!H:H)+(SUMIF(Data!B:B, A223,Data!G:G)+(SUMIF(Data!B:B, A223,Data!K:K)+(SUMIF(Data!B:B, A223,Data!L:L)))))))))),0))</f>
        <v/>
      </c>
      <c r="P223" s="57" t="str">
        <f>IFERROR(__xludf.DUMMYFUNCTION("IFERROR(((COUNTIF(FILTER(Data!N:N,Data!B:B=A223),""TRAVERSE"")*15)+(COUNTIF(FILTER(Data!N:N,Data!B:B=A223),""HIGH"")*10)+(COUNTIF(FILTER(Data!N:N,Data!B:B=A223),""MIDDLE"")*6)+(COUNTIF(FILTER(Data!N:N,Data!B:B=A223),""LOW"")*4)) / (COUNTIF(Data!B:B, A223)"&amp;"),"""")"),"")</f>
        <v/>
      </c>
      <c r="Q223" s="31" t="str">
        <f>IF(P223="","",AVERAGE('Convert Name to Number'!F643:H643))</f>
        <v/>
      </c>
      <c r="R223" s="36" t="str">
        <f t="shared" si="37"/>
        <v/>
      </c>
      <c r="S223" s="58" t="str">
        <f>IFERROR(__xludf.DUMMYFUNCTION("IFERROR((((COUNTIF(FILTER(Data!N:N,Data!B:B=A223),""TRAVERSE""))+(COUNTIF(FILTER(Data!N:N,Data!B:B=A223),""HIGH""))+(COUNTIF(FILTER(Data!N:N,Data!B:B=A223),""MIDDLE""))+(COUNTIF(FILTER(Data!N:N,Data!B:B=A223),""LOW"")))) / (((COUNTIF(Data!B:B, A223)))-(CO"&amp;"UNTIF(FILTER(Data!N:N,Data!B:B=A223),""NONE""))),IF(ISBLANK(A223),"""",0))"),"")</f>
        <v/>
      </c>
      <c r="T223" s="56" t="str">
        <f>IFERROR(__xludf.DUMMYFUNCTION("IFERROR((COUNTIF(FILTER(Data!N:N, Data!B:B=A223),""LOW"")) / (COUNTIF(Data!B:B, A223)),"""")"),"")</f>
        <v/>
      </c>
      <c r="U223" s="59" t="str">
        <f>IFERROR(__xludf.DUMMYFUNCTION("IFERROR((COUNTIF(FILTER(Data!N:N, Data!B:B=A223),""MIDDLE"")) / (COUNTIF(Data!B:B, A223)),"""")"),"")</f>
        <v/>
      </c>
      <c r="V223" s="59" t="str">
        <f>IFERROR(__xludf.DUMMYFUNCTION("IFERROR((COUNTIF(FILTER(Data!N:N, Data!B:B=A223),""HIGH"")) / (COUNTIF(Data!B:B, A223)),"""")"),"")</f>
        <v/>
      </c>
      <c r="W223" s="59" t="str">
        <f>IFERROR(__xludf.DUMMYFUNCTION("IFERROR((COUNTIF(FILTER(Data!N:N, Data!B:B=A223),""TRAVERSE"")) / (COUNTIF(Data!B:B, A223)),"""")"),"")</f>
        <v/>
      </c>
      <c r="X223" s="60" t="str">
        <f t="shared" si="38"/>
        <v/>
      </c>
      <c r="Y223" s="45" t="str">
        <f t="shared" si="7"/>
        <v/>
      </c>
      <c r="Z223" s="45" t="str">
        <f t="shared" si="8"/>
        <v/>
      </c>
      <c r="AA223" s="16" t="str">
        <f t="shared" si="9"/>
        <v/>
      </c>
      <c r="AB223" s="16"/>
      <c r="AC223" s="16" t="str">
        <f>IFERROR(__xludf.DUMMYFUNCTION("IF(AA223="""","""",MAX(Filter((Data!G:G+Data!K:K),Data!B:B=A223)))"),"")</f>
        <v/>
      </c>
      <c r="AD223" s="16"/>
      <c r="AE223" s="16" t="str">
        <f t="shared" si="12"/>
        <v/>
      </c>
      <c r="AF223" s="16" t="str">
        <f t="shared" si="13"/>
        <v/>
      </c>
      <c r="AG223" s="44"/>
      <c r="AH223" s="44"/>
      <c r="AI223" s="44" t="str">
        <f>IFERROR(__xludf.DUMMYFUNCTION("TEXTJOIN("", "",TRUE, FILTER(Data!P:P, Data!B:B=A223))"),"")</f>
        <v/>
      </c>
      <c r="AM223" s="61"/>
      <c r="BC223" s="50"/>
    </row>
    <row r="224">
      <c r="A224" s="54"/>
      <c r="B224" s="55" t="str">
        <f>IFERROR(__xludf.DUMMYFUNCTION("IFERROR(ROUND(
(COUNTIF(FILTER(Data!O:O, Data!B:B=A224), ""Win"")
+ COUNTIF(FILTER(Data!O:O, Data!B:B=A224), {""Tie"",""Results""}))
/ (COUNTIF(Data!B:B, A224)),
1),"""")"),"")</f>
        <v/>
      </c>
      <c r="C224" s="45" t="str">
        <f>IFERROR((SUMIF(Data!B:B, A224, Data!H:H)
/ (COUNTIF(Data!B:B, A224)
)),"")</f>
        <v/>
      </c>
      <c r="D224" s="45" t="str">
        <f>IFERROR((SUMIF(Data!B:B, A224, Data!G:G)
/ (COUNTIF(Data!B:B, A224)
)),"")</f>
        <v/>
      </c>
      <c r="E224" s="31" t="str">
        <f t="shared" si="39"/>
        <v/>
      </c>
      <c r="F224" s="45" t="str">
        <f>IFERROR((SUMIF(Data!B:B, A224, Data!J:J)
/ (COUNTIF(Data!B:B, A224)
)),"")</f>
        <v/>
      </c>
      <c r="G224" s="56" t="str">
        <f>IF(A224="","",IFERROR((((((SUMIF(Data!B:B, A224, Data!H:H)+(SUMIF(Data!B:B, A224,Data!G:G)))/(SUMIF(Data!B:B, A224, Data!J:J)))))),0))</f>
        <v/>
      </c>
      <c r="H224" s="45"/>
      <c r="I224" s="45"/>
      <c r="J224" s="45"/>
      <c r="K224" s="45"/>
      <c r="L224" s="45" t="str">
        <f>IFERROR((SUMIF(Data!B:B, A224, Data!L:L)
/ (COUNTIF(Data!B:B, A224)
)),"")</f>
        <v/>
      </c>
      <c r="M224" s="45" t="str">
        <f>IFERROR((SUMIF(Data!B:B, A224, Data!K:K)
/ (COUNTIF(Data!B:B, A224)
)),"")</f>
        <v/>
      </c>
      <c r="N224" s="56"/>
      <c r="O224" s="56" t="str">
        <f>IF(A224="","",IFERROR((((((SUMIF(Data!B:B, A224, Data!H:H)+(SUMIF(Data!B:B, A224,Data!G:G)+(SUMIF(Data!B:B, A224,Data!L:L)+(SUMIF(Data!B:B, A224,Data!K:K)))))/(SUMIF(Data!B:B, A224, Data!M:M)+(SUMIF(Data!B:B, A224, Data!H:H)+(SUMIF(Data!B:B, A224,Data!G:G)+(SUMIF(Data!B:B, A224,Data!K:K)+(SUMIF(Data!B:B, A224,Data!L:L)))))))))),0))</f>
        <v/>
      </c>
      <c r="P224" s="57" t="str">
        <f>IFERROR(__xludf.DUMMYFUNCTION("IFERROR(((COUNTIF(FILTER(Data!N:N,Data!B:B=A224),""TRAVERSE"")*15)+(COUNTIF(FILTER(Data!N:N,Data!B:B=A224),""HIGH"")*10)+(COUNTIF(FILTER(Data!N:N,Data!B:B=A224),""MIDDLE"")*6)+(COUNTIF(FILTER(Data!N:N,Data!B:B=A224),""LOW"")*4)) / (COUNTIF(Data!B:B, A224)"&amp;"),"""")"),"")</f>
        <v/>
      </c>
      <c r="Q224" s="31" t="str">
        <f>IF(P224="","",AVERAGE('Convert Name to Number'!F644:H644))</f>
        <v/>
      </c>
      <c r="R224" s="36" t="str">
        <f t="shared" si="37"/>
        <v/>
      </c>
      <c r="S224" s="58" t="str">
        <f>IFERROR(__xludf.DUMMYFUNCTION("IFERROR((((COUNTIF(FILTER(Data!N:N,Data!B:B=A224),""TRAVERSE""))+(COUNTIF(FILTER(Data!N:N,Data!B:B=A224),""HIGH""))+(COUNTIF(FILTER(Data!N:N,Data!B:B=A224),""MIDDLE""))+(COUNTIF(FILTER(Data!N:N,Data!B:B=A224),""LOW"")))) / (((COUNTIF(Data!B:B, A224)))-(CO"&amp;"UNTIF(FILTER(Data!N:N,Data!B:B=A224),""NONE""))),IF(ISBLANK(A224),"""",0))"),"")</f>
        <v/>
      </c>
      <c r="T224" s="56" t="str">
        <f>IFERROR(__xludf.DUMMYFUNCTION("IFERROR((COUNTIF(FILTER(Data!N:N, Data!B:B=A224),""LOW"")) / (COUNTIF(Data!B:B, A224)),"""")"),"")</f>
        <v/>
      </c>
      <c r="U224" s="59" t="str">
        <f>IFERROR(__xludf.DUMMYFUNCTION("IFERROR((COUNTIF(FILTER(Data!N:N, Data!B:B=A224),""MIDDLE"")) / (COUNTIF(Data!B:B, A224)),"""")"),"")</f>
        <v/>
      </c>
      <c r="V224" s="59" t="str">
        <f>IFERROR(__xludf.DUMMYFUNCTION("IFERROR((COUNTIF(FILTER(Data!N:N, Data!B:B=A224),""HIGH"")) / (COUNTIF(Data!B:B, A224)),"""")"),"")</f>
        <v/>
      </c>
      <c r="W224" s="59" t="str">
        <f>IFERROR(__xludf.DUMMYFUNCTION("IFERROR((COUNTIF(FILTER(Data!N:N, Data!B:B=A224),""TRAVERSE"")) / (COUNTIF(Data!B:B, A224)),"""")"),"")</f>
        <v/>
      </c>
      <c r="X224" s="60" t="str">
        <f t="shared" si="38"/>
        <v/>
      </c>
      <c r="Y224" s="45" t="str">
        <f t="shared" si="7"/>
        <v/>
      </c>
      <c r="Z224" s="45" t="str">
        <f t="shared" si="8"/>
        <v/>
      </c>
      <c r="AA224" s="16" t="str">
        <f t="shared" si="9"/>
        <v/>
      </c>
      <c r="AB224" s="16"/>
      <c r="AC224" s="16" t="str">
        <f>IFERROR(__xludf.DUMMYFUNCTION("IF(AA224="""","""",MAX(Filter((Data!G:G+Data!K:K),Data!B:B=A224)))"),"")</f>
        <v/>
      </c>
      <c r="AD224" s="16"/>
      <c r="AE224" s="16" t="str">
        <f t="shared" si="12"/>
        <v/>
      </c>
      <c r="AF224" s="16" t="str">
        <f t="shared" si="13"/>
        <v/>
      </c>
      <c r="AG224" s="44"/>
      <c r="AH224" s="44"/>
      <c r="AI224" s="44" t="str">
        <f>IFERROR(__xludf.DUMMYFUNCTION("TEXTJOIN("", "",TRUE, FILTER(Data!P:P, Data!B:B=A224))"),"")</f>
        <v/>
      </c>
      <c r="AM224" s="61"/>
      <c r="BC224" s="50"/>
    </row>
    <row r="225">
      <c r="A225" s="54"/>
      <c r="B225" s="55" t="str">
        <f>IFERROR(__xludf.DUMMYFUNCTION("IFERROR(ROUND(
(COUNTIF(FILTER(Data!O:O, Data!B:B=A225), ""Win"")
+ COUNTIF(FILTER(Data!O:O, Data!B:B=A225), {""Tie"",""Results""}))
/ (COUNTIF(Data!B:B, A225)),
1),"""")"),"")</f>
        <v/>
      </c>
      <c r="C225" s="45" t="str">
        <f>IFERROR((SUMIF(Data!B:B, A225, Data!H:H)
/ (COUNTIF(Data!B:B, A225)
)),"")</f>
        <v/>
      </c>
      <c r="D225" s="45" t="str">
        <f>IFERROR((SUMIF(Data!B:B, A225, Data!G:G)
/ (COUNTIF(Data!B:B, A225)
)),"")</f>
        <v/>
      </c>
      <c r="E225" s="45"/>
      <c r="F225" s="45" t="str">
        <f>IFERROR((SUMIF(Data!B:B, A225, Data!J:J)
/ (COUNTIF(Data!B:B, A225)
)),"")</f>
        <v/>
      </c>
      <c r="G225" s="56" t="str">
        <f>IF(A225="","",IFERROR((((((SUMIF(Data!B:B, A225, Data!H:H)+(SUMIF(Data!B:B, A225,Data!G:G)))/(SUMIF(Data!B:B, A225, Data!J:J)))))),0))</f>
        <v/>
      </c>
      <c r="H225" s="45"/>
      <c r="I225" s="45"/>
      <c r="J225" s="45"/>
      <c r="K225" s="45"/>
      <c r="L225" s="45" t="str">
        <f>IFERROR((SUMIF(Data!B:B, A225, Data!L:L)
/ (COUNTIF(Data!B:B, A225)
)),"")</f>
        <v/>
      </c>
      <c r="M225" s="45" t="str">
        <f>IFERROR((SUMIF(Data!B:B, A225, Data!K:K)
/ (COUNTIF(Data!B:B, A225)
)),"")</f>
        <v/>
      </c>
      <c r="N225" s="56"/>
      <c r="O225" s="56" t="str">
        <f>IF(A225="","",IFERROR((((((SUMIF(Data!B:B, A225, Data!H:H)+(SUMIF(Data!B:B, A225,Data!G:G)+(SUMIF(Data!B:B, A225,Data!L:L)+(SUMIF(Data!B:B, A225,Data!K:K)))))/(SUMIF(Data!B:B, A225, Data!M:M)+(SUMIF(Data!B:B, A225, Data!H:H)+(SUMIF(Data!B:B, A225,Data!G:G)+(SUMIF(Data!B:B, A225,Data!K:K)+(SUMIF(Data!B:B, A225,Data!L:L)))))))))),0))</f>
        <v/>
      </c>
      <c r="P225" s="57" t="str">
        <f>IFERROR(__xludf.DUMMYFUNCTION("IFERROR(((COUNTIF(FILTER(Data!N:N,Data!B:B=A225),""TRAVERSE"")*15)+(COUNTIF(FILTER(Data!N:N,Data!B:B=A225),""HIGH"")*10)+(COUNTIF(FILTER(Data!N:N,Data!B:B=A225),""MIDDLE"")*6)+(COUNTIF(FILTER(Data!N:N,Data!B:B=A225),""LOW"")*4)) / (COUNTIF(Data!B:B, A225)"&amp;"),"""")"),"")</f>
        <v/>
      </c>
      <c r="Q225" s="31" t="str">
        <f>IF(P225="","",AVERAGE('Convert Name to Number'!F645:H645))</f>
        <v/>
      </c>
      <c r="R225" s="36" t="str">
        <f t="shared" si="37"/>
        <v/>
      </c>
      <c r="S225" s="58" t="str">
        <f>IFERROR(__xludf.DUMMYFUNCTION("IFERROR((((COUNTIF(FILTER(Data!N:N,Data!B:B=A225),""TRAVERSE""))+(COUNTIF(FILTER(Data!N:N,Data!B:B=A225),""HIGH""))+(COUNTIF(FILTER(Data!N:N,Data!B:B=A225),""MIDDLE""))+(COUNTIF(FILTER(Data!N:N,Data!B:B=A225),""LOW"")))) / (((COUNTIF(Data!B:B, A225)))-(CO"&amp;"UNTIF(FILTER(Data!N:N,Data!B:B=A225),""NONE""))),IF(ISBLANK(A225),"""",0))"),"")</f>
        <v/>
      </c>
      <c r="T225" s="56" t="str">
        <f>IFERROR(__xludf.DUMMYFUNCTION("IFERROR((COUNTIF(FILTER(Data!N:N, Data!B:B=A225),""LOW"")) / (COUNTIF(Data!B:B, A225)),"""")"),"")</f>
        <v/>
      </c>
      <c r="U225" s="59" t="str">
        <f>IFERROR(__xludf.DUMMYFUNCTION("IFERROR((COUNTIF(FILTER(Data!N:N, Data!B:B=A225),""MIDDLE"")) / (COUNTIF(Data!B:B, A225)),"""")"),"")</f>
        <v/>
      </c>
      <c r="V225" s="59" t="str">
        <f>IFERROR(__xludf.DUMMYFUNCTION("IFERROR((COUNTIF(FILTER(Data!N:N, Data!B:B=A225),""HIGH"")) / (COUNTIF(Data!B:B, A225)),"""")"),"")</f>
        <v/>
      </c>
      <c r="W225" s="59" t="str">
        <f>IFERROR(__xludf.DUMMYFUNCTION("IFERROR((COUNTIF(FILTER(Data!N:N, Data!B:B=A225),""TRAVERSE"")) / (COUNTIF(Data!B:B, A225)),"""")"),"")</f>
        <v/>
      </c>
      <c r="X225" s="60" t="str">
        <f t="shared" si="38"/>
        <v/>
      </c>
      <c r="Y225" s="45" t="str">
        <f t="shared" si="7"/>
        <v/>
      </c>
      <c r="Z225" s="45" t="str">
        <f t="shared" si="8"/>
        <v/>
      </c>
      <c r="AA225" s="16" t="str">
        <f t="shared" si="9"/>
        <v/>
      </c>
      <c r="AB225" s="16"/>
      <c r="AC225" s="16" t="str">
        <f>IFERROR(__xludf.DUMMYFUNCTION("IF(AA225="""","""",MAX(Filter((Data!G:G+Data!K:K),Data!B:B=A225)))"),"")</f>
        <v/>
      </c>
      <c r="AD225" s="16"/>
      <c r="AE225" s="16" t="str">
        <f t="shared" si="12"/>
        <v/>
      </c>
      <c r="AF225" s="16" t="str">
        <f t="shared" si="13"/>
        <v/>
      </c>
      <c r="AG225" s="44"/>
      <c r="AH225" s="44"/>
      <c r="AI225" s="44" t="str">
        <f>IFERROR(__xludf.DUMMYFUNCTION("TEXTJOIN("", "",TRUE, FILTER(Data!P:P, Data!B:B=A225))"),"")</f>
        <v/>
      </c>
      <c r="AM225" s="61"/>
      <c r="BC225" s="50"/>
    </row>
    <row r="226">
      <c r="A226" s="54"/>
      <c r="B226" s="55" t="str">
        <f>IFERROR(__xludf.DUMMYFUNCTION("IFERROR(ROUND(
(COUNTIF(FILTER(Data!O:O, Data!B:B=A226), ""Win"")
+ COUNTIF(FILTER(Data!O:O, Data!B:B=A226), {""Tie"",""Results""}))
/ (COUNTIF(Data!B:B, A226)),
1),"""")"),"")</f>
        <v/>
      </c>
      <c r="C226" s="45" t="str">
        <f>IFERROR((SUMIF(Data!B:B, A226, Data!H:H)
/ (COUNTIF(Data!B:B, A226)
)),"")</f>
        <v/>
      </c>
      <c r="D226" s="45" t="str">
        <f>IFERROR((SUMIF(Data!B:B, A226, Data!G:G)
/ (COUNTIF(Data!B:B, A226)
)),"")</f>
        <v/>
      </c>
      <c r="E226" s="45"/>
      <c r="F226" s="45" t="str">
        <f>IFERROR((SUMIF(Data!B:B, A226, Data!J:J)
/ (COUNTIF(Data!B:B, A226)
)),"")</f>
        <v/>
      </c>
      <c r="G226" s="56" t="str">
        <f>IF(A226="","",IFERROR((((((SUMIF(Data!B:B, A226, Data!H:H)+(SUMIF(Data!B:B, A226,Data!G:G)))/(SUMIF(Data!B:B, A226, Data!J:J)))))),0))</f>
        <v/>
      </c>
      <c r="H226" s="45"/>
      <c r="I226" s="45"/>
      <c r="J226" s="45"/>
      <c r="K226" s="45"/>
      <c r="L226" s="45" t="str">
        <f>IFERROR((SUMIF(Data!B:B, A226, Data!L:L)
/ (COUNTIF(Data!B:B, A226)
)),"")</f>
        <v/>
      </c>
      <c r="M226" s="45" t="str">
        <f>IFERROR((SUMIF(Data!B:B, A226, Data!K:K)
/ (COUNTIF(Data!B:B, A226)
)),"")</f>
        <v/>
      </c>
      <c r="N226" s="56"/>
      <c r="O226" s="56" t="str">
        <f>IF(A226="","",IFERROR((((((SUMIF(Data!B:B, A226, Data!H:H)+(SUMIF(Data!B:B, A226,Data!G:G)+(SUMIF(Data!B:B, A226,Data!L:L)+(SUMIF(Data!B:B, A226,Data!K:K)))))/(SUMIF(Data!B:B, A226, Data!M:M)+(SUMIF(Data!B:B, A226, Data!H:H)+(SUMIF(Data!B:B, A226,Data!G:G)+(SUMIF(Data!B:B, A226,Data!K:K)+(SUMIF(Data!B:B, A226,Data!L:L)))))))))),0))</f>
        <v/>
      </c>
      <c r="P226" s="57" t="str">
        <f>IFERROR(__xludf.DUMMYFUNCTION("IFERROR(((COUNTIF(FILTER(Data!N:N,Data!B:B=A226),""TRAVERSE"")*15)+(COUNTIF(FILTER(Data!N:N,Data!B:B=A226),""HIGH"")*10)+(COUNTIF(FILTER(Data!N:N,Data!B:B=A226),""MIDDLE"")*6)+(COUNTIF(FILTER(Data!N:N,Data!B:B=A226),""LOW"")*4)) / (COUNTIF(Data!B:B, A226)"&amp;"),"""")"),"")</f>
        <v/>
      </c>
      <c r="Q226" s="31" t="str">
        <f>IF(P226="","",AVERAGE('Convert Name to Number'!F646:H646))</f>
        <v/>
      </c>
      <c r="R226" s="36" t="str">
        <f t="shared" si="37"/>
        <v/>
      </c>
      <c r="S226" s="58" t="str">
        <f>IFERROR(__xludf.DUMMYFUNCTION("IFERROR((((COUNTIF(FILTER(Data!N:N,Data!B:B=A226),""TRAVERSE""))+(COUNTIF(FILTER(Data!N:N,Data!B:B=A226),""HIGH""))+(COUNTIF(FILTER(Data!N:N,Data!B:B=A226),""MIDDLE""))+(COUNTIF(FILTER(Data!N:N,Data!B:B=A226),""LOW"")))) / (((COUNTIF(Data!B:B, A226)))-(CO"&amp;"UNTIF(FILTER(Data!N:N,Data!B:B=A226),""NONE""))),IF(ISBLANK(A226),"""",0))"),"")</f>
        <v/>
      </c>
      <c r="T226" s="56" t="str">
        <f>IFERROR(__xludf.DUMMYFUNCTION("IFERROR((COUNTIF(FILTER(Data!N:N, Data!B:B=A226),""LOW"")) / (COUNTIF(Data!B:B, A226)),"""")"),"")</f>
        <v/>
      </c>
      <c r="U226" s="59" t="str">
        <f>IFERROR(__xludf.DUMMYFUNCTION("IFERROR((COUNTIF(FILTER(Data!N:N, Data!B:B=A226),""MIDDLE"")) / (COUNTIF(Data!B:B, A226)),"""")"),"")</f>
        <v/>
      </c>
      <c r="V226" s="59" t="str">
        <f>IFERROR(__xludf.DUMMYFUNCTION("IFERROR((COUNTIF(FILTER(Data!N:N, Data!B:B=A226),""HIGH"")) / (COUNTIF(Data!B:B, A226)),"""")"),"")</f>
        <v/>
      </c>
      <c r="W226" s="59" t="str">
        <f>IFERROR(__xludf.DUMMYFUNCTION("IFERROR((COUNTIF(FILTER(Data!N:N, Data!B:B=A226),""TRAVERSE"")) / (COUNTIF(Data!B:B, A226)),"""")"),"")</f>
        <v/>
      </c>
      <c r="X226" s="60" t="str">
        <f t="shared" si="38"/>
        <v/>
      </c>
      <c r="Y226" s="45" t="str">
        <f t="shared" si="7"/>
        <v/>
      </c>
      <c r="Z226" s="45" t="str">
        <f t="shared" si="8"/>
        <v/>
      </c>
      <c r="AA226" s="16" t="str">
        <f t="shared" si="9"/>
        <v/>
      </c>
      <c r="AB226" s="16"/>
      <c r="AC226" s="16" t="str">
        <f>IFERROR(__xludf.DUMMYFUNCTION("IF(AA226="""","""",MAX(Filter((Data!G:G+Data!K:K),Data!B:B=A226)))"),"")</f>
        <v/>
      </c>
      <c r="AD226" s="16"/>
      <c r="AE226" s="16" t="str">
        <f t="shared" si="12"/>
        <v/>
      </c>
      <c r="AF226" s="16" t="str">
        <f t="shared" si="13"/>
        <v/>
      </c>
      <c r="AG226" s="44"/>
      <c r="AH226" s="44"/>
      <c r="AI226" s="44" t="str">
        <f>IFERROR(__xludf.DUMMYFUNCTION("TEXTJOIN("", "",TRUE, FILTER(Data!P:P, Data!B:B=A226))"),"")</f>
        <v/>
      </c>
      <c r="AM226" s="61"/>
      <c r="BC226" s="50"/>
    </row>
    <row r="227">
      <c r="A227" s="54"/>
      <c r="B227" s="55" t="str">
        <f>IFERROR(__xludf.DUMMYFUNCTION("IFERROR(ROUND(
(COUNTIF(FILTER(Data!O:O, Data!B:B=A227), ""Win"")
+ COUNTIF(FILTER(Data!O:O, Data!B:B=A227), {""Tie"",""Results""}))
/ (COUNTIF(Data!B:B, A227)),
1),"""")"),"")</f>
        <v/>
      </c>
      <c r="C227" s="45" t="str">
        <f>IFERROR((SUMIF(Data!B:B, A227, Data!H:H)
/ (COUNTIF(Data!B:B, A227)
)),"")</f>
        <v/>
      </c>
      <c r="D227" s="45" t="str">
        <f>IFERROR((SUMIF(Data!B:B, A227, Data!G:G)
/ (COUNTIF(Data!B:B, A227)
)),"")</f>
        <v/>
      </c>
      <c r="E227" s="45"/>
      <c r="F227" s="45" t="str">
        <f>IFERROR((SUMIF(Data!B:B, A227, Data!J:J)
/ (COUNTIF(Data!B:B, A227)
)),"")</f>
        <v/>
      </c>
      <c r="G227" s="56" t="str">
        <f>IF(A227="","",IFERROR((((((SUMIF(Data!B:B, A227, Data!H:H)+(SUMIF(Data!B:B, A227,Data!G:G)))/(SUMIF(Data!B:B, A227, Data!J:J)))))),0))</f>
        <v/>
      </c>
      <c r="H227" s="45"/>
      <c r="I227" s="45"/>
      <c r="J227" s="45"/>
      <c r="K227" s="45"/>
      <c r="L227" s="45" t="str">
        <f>IFERROR((SUMIF(Data!B:B, A227, Data!L:L)
/ (COUNTIF(Data!B:B, A227)
)),"")</f>
        <v/>
      </c>
      <c r="M227" s="45" t="str">
        <f>IFERROR((SUMIF(Data!B:B, A227, Data!K:K)
/ (COUNTIF(Data!B:B, A227)
)),"")</f>
        <v/>
      </c>
      <c r="N227" s="56"/>
      <c r="O227" s="56" t="str">
        <f>IF(A227="","",IFERROR((((((SUMIF(Data!B:B, A227, Data!H:H)+(SUMIF(Data!B:B, A227,Data!G:G)+(SUMIF(Data!B:B, A227,Data!L:L)+(SUMIF(Data!B:B, A227,Data!K:K)))))/(SUMIF(Data!B:B, A227, Data!M:M)+(SUMIF(Data!B:B, A227, Data!H:H)+(SUMIF(Data!B:B, A227,Data!G:G)+(SUMIF(Data!B:B, A227,Data!K:K)+(SUMIF(Data!B:B, A227,Data!L:L)))))))))),0))</f>
        <v/>
      </c>
      <c r="P227" s="57" t="str">
        <f>IFERROR(__xludf.DUMMYFUNCTION("IFERROR(((COUNTIF(FILTER(Data!N:N,Data!B:B=A227),""TRAVERSE"")*15)+(COUNTIF(FILTER(Data!N:N,Data!B:B=A227),""HIGH"")*10)+(COUNTIF(FILTER(Data!N:N,Data!B:B=A227),""MIDDLE"")*6)+(COUNTIF(FILTER(Data!N:N,Data!B:B=A227),""LOW"")*4)) / (COUNTIF(Data!B:B, A227)"&amp;"),"""")"),"")</f>
        <v/>
      </c>
      <c r="Q227" s="31" t="str">
        <f>IF(P227="","",AVERAGE('Convert Name to Number'!F647:H647))</f>
        <v/>
      </c>
      <c r="R227" s="36" t="str">
        <f t="shared" si="37"/>
        <v/>
      </c>
      <c r="S227" s="58" t="str">
        <f>IFERROR(__xludf.DUMMYFUNCTION("IFERROR((((COUNTIF(FILTER(Data!N:N,Data!B:B=A227),""TRAVERSE""))+(COUNTIF(FILTER(Data!N:N,Data!B:B=A227),""HIGH""))+(COUNTIF(FILTER(Data!N:N,Data!B:B=A227),""MIDDLE""))+(COUNTIF(FILTER(Data!N:N,Data!B:B=A227),""LOW"")))) / (((COUNTIF(Data!B:B, A227)))-(CO"&amp;"UNTIF(FILTER(Data!N:N,Data!B:B=A227),""NONE""))),IF(ISBLANK(A227),"""",0))"),"")</f>
        <v/>
      </c>
      <c r="T227" s="56" t="str">
        <f>IFERROR(__xludf.DUMMYFUNCTION("IFERROR((COUNTIF(FILTER(Data!N:N, Data!B:B=A227),""LOW"")) / (COUNTIF(Data!B:B, A227)),"""")"),"")</f>
        <v/>
      </c>
      <c r="U227" s="59" t="str">
        <f>IFERROR(__xludf.DUMMYFUNCTION("IFERROR((COUNTIF(FILTER(Data!N:N, Data!B:B=A227),""MIDDLE"")) / (COUNTIF(Data!B:B, A227)),"""")"),"")</f>
        <v/>
      </c>
      <c r="V227" s="59" t="str">
        <f>IFERROR(__xludf.DUMMYFUNCTION("IFERROR((COUNTIF(FILTER(Data!N:N, Data!B:B=A227),""HIGH"")) / (COUNTIF(Data!B:B, A227)),"""")"),"")</f>
        <v/>
      </c>
      <c r="W227" s="59" t="str">
        <f>IFERROR(__xludf.DUMMYFUNCTION("IFERROR((COUNTIF(FILTER(Data!N:N, Data!B:B=A227),""TRAVERSE"")) / (COUNTIF(Data!B:B, A227)),"""")"),"")</f>
        <v/>
      </c>
      <c r="X227" s="60" t="str">
        <f t="shared" si="38"/>
        <v/>
      </c>
      <c r="Y227" s="45" t="str">
        <f t="shared" si="7"/>
        <v/>
      </c>
      <c r="Z227" s="45" t="str">
        <f t="shared" si="8"/>
        <v/>
      </c>
      <c r="AA227" s="16" t="str">
        <f t="shared" si="9"/>
        <v/>
      </c>
      <c r="AB227" s="16"/>
      <c r="AC227" s="16" t="str">
        <f>IFERROR(__xludf.DUMMYFUNCTION("IF(AA227="""","""",MAX(Filter((Data!G:G+Data!K:K),Data!B:B=A227)))"),"")</f>
        <v/>
      </c>
      <c r="AD227" s="16"/>
      <c r="AE227" s="16" t="str">
        <f t="shared" si="12"/>
        <v/>
      </c>
      <c r="AF227" s="16" t="str">
        <f t="shared" si="13"/>
        <v/>
      </c>
      <c r="AG227" s="44"/>
      <c r="AH227" s="44"/>
      <c r="AI227" s="44" t="str">
        <f>IFERROR(__xludf.DUMMYFUNCTION("TEXTJOIN("", "",TRUE, FILTER(Data!P:P, Data!B:B=A227))"),"")</f>
        <v/>
      </c>
      <c r="AM227" s="61"/>
      <c r="BC227" s="50"/>
    </row>
    <row r="228">
      <c r="A228" s="54"/>
      <c r="B228" s="55" t="str">
        <f>IFERROR(__xludf.DUMMYFUNCTION("IFERROR(ROUND(
(COUNTIF(FILTER(Data!O:O, Data!B:B=A228), ""Win"")
+ COUNTIF(FILTER(Data!O:O, Data!B:B=A228), {""Tie"",""Results""}))
/ (COUNTIF(Data!B:B, A228)),
1),"""")"),"")</f>
        <v/>
      </c>
      <c r="C228" s="45" t="str">
        <f>IFERROR((SUMIF(Data!B:B, A228, Data!H:H)
/ (COUNTIF(Data!B:B, A228)
)),"")</f>
        <v/>
      </c>
      <c r="D228" s="45" t="str">
        <f>IFERROR((SUMIF(Data!B:B, A228, Data!G:G)
/ (COUNTIF(Data!B:B, A228)
)),"")</f>
        <v/>
      </c>
      <c r="E228" s="45"/>
      <c r="F228" s="45" t="str">
        <f>IFERROR((SUMIF(Data!B:B, A228, Data!J:J)
/ (COUNTIF(Data!B:B, A228)
)),"")</f>
        <v/>
      </c>
      <c r="G228" s="56" t="str">
        <f>IF(A228="","",IFERROR((((((SUMIF(Data!B:B, A228, Data!H:H)+(SUMIF(Data!B:B, A228,Data!G:G)))/(SUMIF(Data!B:B, A228, Data!J:J)))))),0))</f>
        <v/>
      </c>
      <c r="H228" s="45"/>
      <c r="I228" s="45"/>
      <c r="J228" s="45"/>
      <c r="K228" s="45"/>
      <c r="L228" s="45" t="str">
        <f>IFERROR((SUMIF(Data!B:B, A228, Data!L:L)
/ (COUNTIF(Data!B:B, A228)
)),"")</f>
        <v/>
      </c>
      <c r="M228" s="45" t="str">
        <f>IFERROR((SUMIF(Data!B:B, A228, Data!K:K)
/ (COUNTIF(Data!B:B, A228)
)),"")</f>
        <v/>
      </c>
      <c r="N228" s="56"/>
      <c r="O228" s="56" t="str">
        <f>IF(A228="","",IFERROR((((((SUMIF(Data!B:B, A228, Data!H:H)+(SUMIF(Data!B:B, A228,Data!G:G)+(SUMIF(Data!B:B, A228,Data!L:L)+(SUMIF(Data!B:B, A228,Data!K:K)))))/(SUMIF(Data!B:B, A228, Data!M:M)+(SUMIF(Data!B:B, A228, Data!H:H)+(SUMIF(Data!B:B, A228,Data!G:G)+(SUMIF(Data!B:B, A228,Data!K:K)+(SUMIF(Data!B:B, A228,Data!L:L)))))))))),0))</f>
        <v/>
      </c>
      <c r="P228" s="57" t="str">
        <f>IFERROR(__xludf.DUMMYFUNCTION("IFERROR(((COUNTIF(FILTER(Data!N:N,Data!B:B=A228),""TRAVERSE"")*15)+(COUNTIF(FILTER(Data!N:N,Data!B:B=A228),""HIGH"")*10)+(COUNTIF(FILTER(Data!N:N,Data!B:B=A228),""MIDDLE"")*6)+(COUNTIF(FILTER(Data!N:N,Data!B:B=A228),""LOW"")*4)) / (COUNTIF(Data!B:B, A228)"&amp;"),"""")"),"")</f>
        <v/>
      </c>
      <c r="Q228" s="31" t="str">
        <f>IF(P228="","",AVERAGE('Convert Name to Number'!F648:H648))</f>
        <v/>
      </c>
      <c r="R228" s="36" t="str">
        <f t="shared" si="37"/>
        <v/>
      </c>
      <c r="S228" s="58" t="str">
        <f>IFERROR(__xludf.DUMMYFUNCTION("IFERROR((((COUNTIF(FILTER(Data!N:N,Data!B:B=A228),""TRAVERSE""))+(COUNTIF(FILTER(Data!N:N,Data!B:B=A228),""HIGH""))+(COUNTIF(FILTER(Data!N:N,Data!B:B=A228),""MIDDLE""))+(COUNTIF(FILTER(Data!N:N,Data!B:B=A228),""LOW"")))) / (((COUNTIF(Data!B:B, A228)))-(CO"&amp;"UNTIF(FILTER(Data!N:N,Data!B:B=A228),""NONE""))),IF(ISBLANK(A228),"""",0))"),"")</f>
        <v/>
      </c>
      <c r="T228" s="56" t="str">
        <f>IFERROR(__xludf.DUMMYFUNCTION("IFERROR((COUNTIF(FILTER(Data!N:N, Data!B:B=A228),""LOW"")) / (COUNTIF(Data!B:B, A228)),"""")"),"")</f>
        <v/>
      </c>
      <c r="U228" s="59" t="str">
        <f>IFERROR(__xludf.DUMMYFUNCTION("IFERROR((COUNTIF(FILTER(Data!N:N, Data!B:B=A228),""MIDDLE"")) / (COUNTIF(Data!B:B, A228)),"""")"),"")</f>
        <v/>
      </c>
      <c r="V228" s="59" t="str">
        <f>IFERROR(__xludf.DUMMYFUNCTION("IFERROR((COUNTIF(FILTER(Data!N:N, Data!B:B=A228),""HIGH"")) / (COUNTIF(Data!B:B, A228)),"""")"),"")</f>
        <v/>
      </c>
      <c r="W228" s="59" t="str">
        <f>IFERROR(__xludf.DUMMYFUNCTION("IFERROR((COUNTIF(FILTER(Data!N:N, Data!B:B=A228),""TRAVERSE"")) / (COUNTIF(Data!B:B, A228)),"""")"),"")</f>
        <v/>
      </c>
      <c r="X228" s="60" t="str">
        <f t="shared" si="38"/>
        <v/>
      </c>
      <c r="Y228" s="45" t="str">
        <f t="shared" si="7"/>
        <v/>
      </c>
      <c r="Z228" s="45" t="str">
        <f t="shared" si="8"/>
        <v/>
      </c>
      <c r="AA228" s="16" t="str">
        <f t="shared" si="9"/>
        <v/>
      </c>
      <c r="AB228" s="16"/>
      <c r="AC228" s="16" t="str">
        <f>IFERROR(__xludf.DUMMYFUNCTION("IF(AA228="""","""",MAX(Filter((Data!G:G+Data!K:K),Data!B:B=A228)))"),"")</f>
        <v/>
      </c>
      <c r="AD228" s="16"/>
      <c r="AE228" s="16" t="str">
        <f t="shared" si="12"/>
        <v/>
      </c>
      <c r="AF228" s="16" t="str">
        <f t="shared" si="13"/>
        <v/>
      </c>
      <c r="AG228" s="44"/>
      <c r="AH228" s="44"/>
      <c r="AI228" s="44" t="str">
        <f>IFERROR(__xludf.DUMMYFUNCTION("TEXTJOIN("", "",TRUE, FILTER(Data!P:P, Data!B:B=A228))"),"")</f>
        <v/>
      </c>
      <c r="AM228" s="61"/>
      <c r="BC228" s="50"/>
    </row>
    <row r="229">
      <c r="A229" s="54"/>
      <c r="B229" s="55" t="str">
        <f>IFERROR(__xludf.DUMMYFUNCTION("IFERROR(ROUND(
(COUNTIF(FILTER(Data!O:O, Data!B:B=A229), ""Win"")
+ COUNTIF(FILTER(Data!O:O, Data!B:B=A229), {""Tie"",""Results""}))
/ (COUNTIF(Data!B:B, A229)),
1),"""")"),"")</f>
        <v/>
      </c>
      <c r="C229" s="45" t="str">
        <f>IFERROR((SUMIF(Data!B:B, A229, Data!H:H)
/ (COUNTIF(Data!B:B, A229)
)),"")</f>
        <v/>
      </c>
      <c r="D229" s="45" t="str">
        <f>IFERROR((SUMIF(Data!B:B, A229, Data!G:G)
/ (COUNTIF(Data!B:B, A229)
)),"")</f>
        <v/>
      </c>
      <c r="E229" s="45"/>
      <c r="F229" s="45" t="str">
        <f>IFERROR((SUMIF(Data!B:B, A229, Data!J:J)
/ (COUNTIF(Data!B:B, A229)
)),"")</f>
        <v/>
      </c>
      <c r="G229" s="56" t="str">
        <f>IF(A229="","",IFERROR((((((SUMIF(Data!B:B, A229, Data!H:H)+(SUMIF(Data!B:B, A229,Data!G:G)))/(SUMIF(Data!B:B, A229, Data!J:J)))))),0))</f>
        <v/>
      </c>
      <c r="H229" s="45"/>
      <c r="I229" s="45"/>
      <c r="J229" s="45"/>
      <c r="K229" s="45"/>
      <c r="L229" s="45" t="str">
        <f>IFERROR((SUMIF(Data!B:B, A229, Data!L:L)
/ (COUNTIF(Data!B:B, A229)
)),"")</f>
        <v/>
      </c>
      <c r="M229" s="45" t="str">
        <f>IFERROR((SUMIF(Data!B:B, A229, Data!K:K)
/ (COUNTIF(Data!B:B, A229)
)),"")</f>
        <v/>
      </c>
      <c r="N229" s="56"/>
      <c r="O229" s="56" t="str">
        <f>IF(A229="","",IFERROR((((((SUMIF(Data!B:B, A229, Data!H:H)+(SUMIF(Data!B:B, A229,Data!G:G)+(SUMIF(Data!B:B, A229,Data!L:L)+(SUMIF(Data!B:B, A229,Data!K:K)))))/(SUMIF(Data!B:B, A229, Data!M:M)+(SUMIF(Data!B:B, A229, Data!H:H)+(SUMIF(Data!B:B, A229,Data!G:G)+(SUMIF(Data!B:B, A229,Data!K:K)+(SUMIF(Data!B:B, A229,Data!L:L)))))))))),0))</f>
        <v/>
      </c>
      <c r="P229" s="57" t="str">
        <f>IFERROR(__xludf.DUMMYFUNCTION("IFERROR(((COUNTIF(FILTER(Data!N:N,Data!B:B=A229),""TRAVERSE"")*15)+(COUNTIF(FILTER(Data!N:N,Data!B:B=A229),""HIGH"")*10)+(COUNTIF(FILTER(Data!N:N,Data!B:B=A229),""MIDDLE"")*6)+(COUNTIF(FILTER(Data!N:N,Data!B:B=A229),""LOW"")*4)) / (COUNTIF(Data!B:B, A229)"&amp;"),"""")"),"")</f>
        <v/>
      </c>
      <c r="Q229" s="31" t="str">
        <f>IF(P229="","",AVERAGE('Convert Name to Number'!F649:H649))</f>
        <v/>
      </c>
      <c r="R229" s="36" t="str">
        <f t="shared" si="37"/>
        <v/>
      </c>
      <c r="S229" s="58" t="str">
        <f>IFERROR(__xludf.DUMMYFUNCTION("IFERROR((((COUNTIF(FILTER(Data!N:N,Data!B:B=A229),""TRAVERSE""))+(COUNTIF(FILTER(Data!N:N,Data!B:B=A229),""HIGH""))+(COUNTIF(FILTER(Data!N:N,Data!B:B=A229),""MIDDLE""))+(COUNTIF(FILTER(Data!N:N,Data!B:B=A229),""LOW"")))) / (((COUNTIF(Data!B:B, A229)))-(CO"&amp;"UNTIF(FILTER(Data!N:N,Data!B:B=A229),""NONE""))),IF(ISBLANK(A229),"""",0))"),"")</f>
        <v/>
      </c>
      <c r="T229" s="56" t="str">
        <f>IFERROR(__xludf.DUMMYFUNCTION("IFERROR((COUNTIF(FILTER(Data!N:N, Data!B:B=A229),""LOW"")) / (COUNTIF(Data!B:B, A229)),"""")"),"")</f>
        <v/>
      </c>
      <c r="U229" s="59" t="str">
        <f>IFERROR(__xludf.DUMMYFUNCTION("IFERROR((COUNTIF(FILTER(Data!N:N, Data!B:B=A229),""MIDDLE"")) / (COUNTIF(Data!B:B, A229)),"""")"),"")</f>
        <v/>
      </c>
      <c r="V229" s="59" t="str">
        <f>IFERROR(__xludf.DUMMYFUNCTION("IFERROR((COUNTIF(FILTER(Data!N:N, Data!B:B=A229),""HIGH"")) / (COUNTIF(Data!B:B, A229)),"""")"),"")</f>
        <v/>
      </c>
      <c r="W229" s="59" t="str">
        <f>IFERROR(__xludf.DUMMYFUNCTION("IFERROR((COUNTIF(FILTER(Data!N:N, Data!B:B=A229),""TRAVERSE"")) / (COUNTIF(Data!B:B, A229)),"""")"),"")</f>
        <v/>
      </c>
      <c r="X229" s="60" t="str">
        <f t="shared" si="38"/>
        <v/>
      </c>
      <c r="Y229" s="45" t="str">
        <f t="shared" si="7"/>
        <v/>
      </c>
      <c r="Z229" s="45" t="str">
        <f t="shared" si="8"/>
        <v/>
      </c>
      <c r="AA229" s="16" t="str">
        <f t="shared" si="9"/>
        <v/>
      </c>
      <c r="AB229" s="16"/>
      <c r="AC229" s="16" t="str">
        <f>IFERROR(__xludf.DUMMYFUNCTION("IF(AA229="""","""",MAX(Filter((Data!G:G+Data!K:K),Data!B:B=A229)))"),"")</f>
        <v/>
      </c>
      <c r="AD229" s="16"/>
      <c r="AE229" s="16" t="str">
        <f t="shared" si="12"/>
        <v/>
      </c>
      <c r="AF229" s="16" t="str">
        <f t="shared" si="13"/>
        <v/>
      </c>
      <c r="AG229" s="44"/>
      <c r="AH229" s="44"/>
      <c r="AI229" s="44" t="str">
        <f>IFERROR(__xludf.DUMMYFUNCTION("TEXTJOIN("", "",TRUE, FILTER(Data!P:P, Data!B:B=A229))"),"")</f>
        <v/>
      </c>
      <c r="AM229" s="61"/>
      <c r="BC229" s="50"/>
    </row>
    <row r="230">
      <c r="A230" s="54"/>
      <c r="B230" s="55" t="str">
        <f>IFERROR(__xludf.DUMMYFUNCTION("IFERROR(ROUND(
(COUNTIF(FILTER(Data!O:O, Data!B:B=A230), ""Win"")
+ COUNTIF(FILTER(Data!O:O, Data!B:B=A230), {""Tie"",""Results""}))
/ (COUNTIF(Data!B:B, A230)),
1),"""")"),"")</f>
        <v/>
      </c>
      <c r="C230" s="45" t="str">
        <f>IFERROR((SUMIF(Data!B:B, A230, Data!H:H)
/ (COUNTIF(Data!B:B, A230)
)),"")</f>
        <v/>
      </c>
      <c r="D230" s="45" t="str">
        <f>IFERROR((SUMIF(Data!B:B, A230, Data!G:G)
/ (COUNTIF(Data!B:B, A230)
)),"")</f>
        <v/>
      </c>
      <c r="E230" s="45"/>
      <c r="F230" s="45" t="str">
        <f>IFERROR((SUMIF(Data!B:B, A230, Data!J:J)
/ (COUNTIF(Data!B:B, A230)
)),"")</f>
        <v/>
      </c>
      <c r="G230" s="56" t="str">
        <f>IF(A230="","",IFERROR((((((SUMIF(Data!B:B, A230, Data!H:H)+(SUMIF(Data!B:B, A230,Data!G:G)))/(SUMIF(Data!B:B, A230, Data!J:J)))))),0))</f>
        <v/>
      </c>
      <c r="H230" s="45"/>
      <c r="I230" s="45"/>
      <c r="J230" s="45"/>
      <c r="K230" s="45"/>
      <c r="L230" s="45" t="str">
        <f>IFERROR((SUMIF(Data!B:B, A230, Data!L:L)
/ (COUNTIF(Data!B:B, A230)
)),"")</f>
        <v/>
      </c>
      <c r="M230" s="45" t="str">
        <f>IFERROR((SUMIF(Data!B:B, A230, Data!K:K)
/ (COUNTIF(Data!B:B, A230)
)),"")</f>
        <v/>
      </c>
      <c r="N230" s="56"/>
      <c r="O230" s="56" t="str">
        <f>IF(A230="","",IFERROR((((((SUMIF(Data!B:B, A230, Data!H:H)+(SUMIF(Data!B:B, A230,Data!G:G)+(SUMIF(Data!B:B, A230,Data!L:L)+(SUMIF(Data!B:B, A230,Data!K:K)))))/(SUMIF(Data!B:B, A230, Data!M:M)+(SUMIF(Data!B:B, A230, Data!H:H)+(SUMIF(Data!B:B, A230,Data!G:G)+(SUMIF(Data!B:B, A230,Data!K:K)+(SUMIF(Data!B:B, A230,Data!L:L)))))))))),0))</f>
        <v/>
      </c>
      <c r="P230" s="57" t="str">
        <f>IFERROR(__xludf.DUMMYFUNCTION("IFERROR(((COUNTIF(FILTER(Data!N:N,Data!B:B=A230),""TRAVERSE"")*15)+(COUNTIF(FILTER(Data!N:N,Data!B:B=A230),""HIGH"")*10)+(COUNTIF(FILTER(Data!N:N,Data!B:B=A230),""MIDDLE"")*6)+(COUNTIF(FILTER(Data!N:N,Data!B:B=A230),""LOW"")*4)) / (COUNTIF(Data!B:B, A230)"&amp;"),"""")"),"")</f>
        <v/>
      </c>
      <c r="Q230" s="31" t="str">
        <f>IF(P230="","",AVERAGE('Convert Name to Number'!F650:H650))</f>
        <v/>
      </c>
      <c r="R230" s="36" t="str">
        <f t="shared" si="37"/>
        <v/>
      </c>
      <c r="S230" s="58" t="str">
        <f>IFERROR(__xludf.DUMMYFUNCTION("IFERROR((((COUNTIF(FILTER(Data!N:N,Data!B:B=A230),""TRAVERSE""))+(COUNTIF(FILTER(Data!N:N,Data!B:B=A230),""HIGH""))+(COUNTIF(FILTER(Data!N:N,Data!B:B=A230),""MIDDLE""))+(COUNTIF(FILTER(Data!N:N,Data!B:B=A230),""LOW"")))) / (((COUNTIF(Data!B:B, A230)))-(CO"&amp;"UNTIF(FILTER(Data!N:N,Data!B:B=A230),""NONE""))),IF(ISBLANK(A230),"""",0))"),"")</f>
        <v/>
      </c>
      <c r="T230" s="56" t="str">
        <f>IFERROR(__xludf.DUMMYFUNCTION("IFERROR((COUNTIF(FILTER(Data!N:N, Data!B:B=A230),""LOW"")) / (COUNTIF(Data!B:B, A230)),"""")"),"")</f>
        <v/>
      </c>
      <c r="U230" s="59" t="str">
        <f>IFERROR(__xludf.DUMMYFUNCTION("IFERROR((COUNTIF(FILTER(Data!N:N, Data!B:B=A230),""MIDDLE"")) / (COUNTIF(Data!B:B, A230)),"""")"),"")</f>
        <v/>
      </c>
      <c r="V230" s="59" t="str">
        <f>IFERROR(__xludf.DUMMYFUNCTION("IFERROR((COUNTIF(FILTER(Data!N:N, Data!B:B=A230),""HIGH"")) / (COUNTIF(Data!B:B, A230)),"""")"),"")</f>
        <v/>
      </c>
      <c r="W230" s="59" t="str">
        <f>IFERROR(__xludf.DUMMYFUNCTION("IFERROR((COUNTIF(FILTER(Data!N:N, Data!B:B=A230),""TRAVERSE"")) / (COUNTIF(Data!B:B, A230)),"""")"),"")</f>
        <v/>
      </c>
      <c r="X230" s="60" t="str">
        <f t="shared" si="38"/>
        <v/>
      </c>
      <c r="Y230" s="45" t="str">
        <f t="shared" si="7"/>
        <v/>
      </c>
      <c r="Z230" s="45" t="str">
        <f t="shared" si="8"/>
        <v/>
      </c>
      <c r="AA230" s="16" t="str">
        <f t="shared" si="9"/>
        <v/>
      </c>
      <c r="AB230" s="16"/>
      <c r="AC230" s="16" t="str">
        <f>IFERROR(__xludf.DUMMYFUNCTION("IF(AA230="""","""",MAX(Filter((Data!G:G+Data!K:K),Data!B:B=A230)))"),"")</f>
        <v/>
      </c>
      <c r="AD230" s="16"/>
      <c r="AE230" s="16" t="str">
        <f t="shared" si="12"/>
        <v/>
      </c>
      <c r="AF230" s="16" t="str">
        <f t="shared" si="13"/>
        <v/>
      </c>
      <c r="AG230" s="44"/>
      <c r="AH230" s="44"/>
      <c r="AI230" s="44" t="str">
        <f>IFERROR(__xludf.DUMMYFUNCTION("TEXTJOIN("", "",TRUE, FILTER(Data!P:P, Data!B:B=A230))"),"")</f>
        <v/>
      </c>
      <c r="AM230" s="61"/>
      <c r="BC230" s="50"/>
    </row>
    <row r="231">
      <c r="A231" s="54"/>
      <c r="B231" s="55" t="str">
        <f>IFERROR(__xludf.DUMMYFUNCTION("IFERROR(ROUND(
(COUNTIF(FILTER(Data!O:O, Data!B:B=A231), ""Win"")
+ COUNTIF(FILTER(Data!O:O, Data!B:B=A231), {""Tie"",""Results""}))
/ (COUNTIF(Data!B:B, A231)),
1),"""")"),"")</f>
        <v/>
      </c>
      <c r="C231" s="45" t="str">
        <f>IFERROR((SUMIF(Data!B:B, A231, Data!H:H)
/ (COUNTIF(Data!B:B, A231)
)),"")</f>
        <v/>
      </c>
      <c r="D231" s="45" t="str">
        <f>IFERROR((SUMIF(Data!B:B, A231, Data!G:G)
/ (COUNTIF(Data!B:B, A231)
)),"")</f>
        <v/>
      </c>
      <c r="E231" s="45"/>
      <c r="F231" s="45" t="str">
        <f>IFERROR((SUMIF(Data!B:B, A231, Data!J:J)
/ (COUNTIF(Data!B:B, A231)
)),"")</f>
        <v/>
      </c>
      <c r="G231" s="56" t="str">
        <f>IF(A231="","",IFERROR((((((SUMIF(Data!B:B, A231, Data!H:H)+(SUMIF(Data!B:B, A231,Data!G:G)))/(SUMIF(Data!B:B, A231, Data!J:J)))))),0))</f>
        <v/>
      </c>
      <c r="H231" s="45"/>
      <c r="I231" s="45"/>
      <c r="J231" s="45"/>
      <c r="K231" s="45"/>
      <c r="L231" s="45" t="str">
        <f>IFERROR((SUMIF(Data!B:B, A231, Data!L:L)
/ (COUNTIF(Data!B:B, A231)
)),"")</f>
        <v/>
      </c>
      <c r="M231" s="45" t="str">
        <f>IFERROR((SUMIF(Data!B:B, A231, Data!K:K)
/ (COUNTIF(Data!B:B, A231)
)),"")</f>
        <v/>
      </c>
      <c r="N231" s="56"/>
      <c r="O231" s="56" t="str">
        <f>IF(A231="","",IFERROR((((((SUMIF(Data!B:B, A231, Data!H:H)+(SUMIF(Data!B:B, A231,Data!G:G)+(SUMIF(Data!B:B, A231,Data!L:L)+(SUMIF(Data!B:B, A231,Data!K:K)))))/(SUMIF(Data!B:B, A231, Data!M:M)+(SUMIF(Data!B:B, A231, Data!H:H)+(SUMIF(Data!B:B, A231,Data!G:G)+(SUMIF(Data!B:B, A231,Data!K:K)+(SUMIF(Data!B:B, A231,Data!L:L)))))))))),0))</f>
        <v/>
      </c>
      <c r="P231" s="57" t="str">
        <f>IFERROR(__xludf.DUMMYFUNCTION("IFERROR(((COUNTIF(FILTER(Data!N:N,Data!B:B=A231),""TRAVERSE"")*15)+(COUNTIF(FILTER(Data!N:N,Data!B:B=A231),""HIGH"")*10)+(COUNTIF(FILTER(Data!N:N,Data!B:B=A231),""MIDDLE"")*6)+(COUNTIF(FILTER(Data!N:N,Data!B:B=A231),""LOW"")*4)) / (COUNTIF(Data!B:B, A231)"&amp;"),"""")"),"")</f>
        <v/>
      </c>
      <c r="Q231" s="31" t="str">
        <f>IF(P231="","",AVERAGE('Convert Name to Number'!F651:H651))</f>
        <v/>
      </c>
      <c r="R231" s="36" t="str">
        <f t="shared" si="37"/>
        <v/>
      </c>
      <c r="S231" s="58" t="str">
        <f>IFERROR(__xludf.DUMMYFUNCTION("IFERROR((((COUNTIF(FILTER(Data!N:N,Data!B:B=A231),""TRAVERSE""))+(COUNTIF(FILTER(Data!N:N,Data!B:B=A231),""HIGH""))+(COUNTIF(FILTER(Data!N:N,Data!B:B=A231),""MIDDLE""))+(COUNTIF(FILTER(Data!N:N,Data!B:B=A231),""LOW"")))) / (((COUNTIF(Data!B:B, A231)))-(CO"&amp;"UNTIF(FILTER(Data!N:N,Data!B:B=A231),""NONE""))),IF(ISBLANK(A231),"""",0))"),"")</f>
        <v/>
      </c>
      <c r="T231" s="56" t="str">
        <f>IFERROR(__xludf.DUMMYFUNCTION("IFERROR((COUNTIF(FILTER(Data!N:N, Data!B:B=A231),""LOW"")) / (COUNTIF(Data!B:B, A231)),"""")"),"")</f>
        <v/>
      </c>
      <c r="U231" s="59" t="str">
        <f>IFERROR(__xludf.DUMMYFUNCTION("IFERROR((COUNTIF(FILTER(Data!N:N, Data!B:B=A231),""MIDDLE"")) / (COUNTIF(Data!B:B, A231)),"""")"),"")</f>
        <v/>
      </c>
      <c r="V231" s="59" t="str">
        <f>IFERROR(__xludf.DUMMYFUNCTION("IFERROR((COUNTIF(FILTER(Data!N:N, Data!B:B=A231),""HIGH"")) / (COUNTIF(Data!B:B, A231)),"""")"),"")</f>
        <v/>
      </c>
      <c r="W231" s="59" t="str">
        <f>IFERROR(__xludf.DUMMYFUNCTION("IFERROR((COUNTIF(FILTER(Data!N:N, Data!B:B=A231),""TRAVERSE"")) / (COUNTIF(Data!B:B, A231)),"""")"),"")</f>
        <v/>
      </c>
      <c r="X231" s="60" t="str">
        <f t="shared" si="38"/>
        <v/>
      </c>
      <c r="Y231" s="45" t="str">
        <f t="shared" si="7"/>
        <v/>
      </c>
      <c r="Z231" s="45" t="str">
        <f t="shared" si="8"/>
        <v/>
      </c>
      <c r="AA231" s="16" t="str">
        <f t="shared" si="9"/>
        <v/>
      </c>
      <c r="AB231" s="16"/>
      <c r="AC231" s="16" t="str">
        <f>IFERROR(__xludf.DUMMYFUNCTION("IF(AA231="""","""",MAX(Filter((Data!G:G+Data!K:K),Data!B:B=A231)))"),"")</f>
        <v/>
      </c>
      <c r="AD231" s="16"/>
      <c r="AE231" s="16" t="str">
        <f t="shared" si="12"/>
        <v/>
      </c>
      <c r="AF231" s="16" t="str">
        <f t="shared" si="13"/>
        <v/>
      </c>
      <c r="AG231" s="44"/>
      <c r="AH231" s="44"/>
      <c r="AI231" s="44" t="str">
        <f>IFERROR(__xludf.DUMMYFUNCTION("TEXTJOIN("", "",TRUE, FILTER(Data!P:P, Data!B:B=A231))"),"")</f>
        <v/>
      </c>
      <c r="AM231" s="61"/>
      <c r="BC231" s="50"/>
    </row>
    <row r="232">
      <c r="A232" s="54"/>
      <c r="B232" s="55" t="str">
        <f>IFERROR(__xludf.DUMMYFUNCTION("IFERROR(ROUND(
(COUNTIF(FILTER(Data!O:O, Data!B:B=A232), ""Win"")
+ COUNTIF(FILTER(Data!O:O, Data!B:B=A232), {""Tie"",""Results""}))
/ (COUNTIF(Data!B:B, A232)),
1),"""")"),"")</f>
        <v/>
      </c>
      <c r="C232" s="45" t="str">
        <f>IFERROR((SUMIF(Data!B:B, A232, Data!H:H)
/ (COUNTIF(Data!B:B, A232)
)),"")</f>
        <v/>
      </c>
      <c r="D232" s="45" t="str">
        <f>IFERROR((SUMIF(Data!B:B, A232, Data!G:G)
/ (COUNTIF(Data!B:B, A232)
)),"")</f>
        <v/>
      </c>
      <c r="E232" s="45"/>
      <c r="F232" s="45" t="str">
        <f>IFERROR((SUMIF(Data!B:B, A232, Data!J:J)
/ (COUNTIF(Data!B:B, A232)
)),"")</f>
        <v/>
      </c>
      <c r="G232" s="56" t="str">
        <f>IF(A232="","",IFERROR((((((SUMIF(Data!B:B, A232, Data!H:H)+(SUMIF(Data!B:B, A232,Data!G:G)))/(SUMIF(Data!B:B, A232, Data!J:J)))))),0))</f>
        <v/>
      </c>
      <c r="H232" s="45"/>
      <c r="I232" s="45"/>
      <c r="J232" s="45"/>
      <c r="K232" s="45"/>
      <c r="L232" s="45" t="str">
        <f>IFERROR((SUMIF(Data!B:B, A232, Data!L:L)
/ (COUNTIF(Data!B:B, A232)
)),"")</f>
        <v/>
      </c>
      <c r="M232" s="45" t="str">
        <f>IFERROR((SUMIF(Data!B:B, A232, Data!K:K)
/ (COUNTIF(Data!B:B, A232)
)),"")</f>
        <v/>
      </c>
      <c r="N232" s="56"/>
      <c r="O232" s="56" t="str">
        <f>IF(A232="","",IFERROR((((((SUMIF(Data!B:B, A232, Data!H:H)+(SUMIF(Data!B:B, A232,Data!G:G)+(SUMIF(Data!B:B, A232,Data!L:L)+(SUMIF(Data!B:B, A232,Data!K:K)))))/(SUMIF(Data!B:B, A232, Data!M:M)+(SUMIF(Data!B:B, A232, Data!H:H)+(SUMIF(Data!B:B, A232,Data!G:G)+(SUMIF(Data!B:B, A232,Data!K:K)+(SUMIF(Data!B:B, A232,Data!L:L)))))))))),0))</f>
        <v/>
      </c>
      <c r="P232" s="57" t="str">
        <f>IFERROR(__xludf.DUMMYFUNCTION("IFERROR(((COUNTIF(FILTER(Data!N:N,Data!B:B=A232),""TRAVERSE"")*15)+(COUNTIF(FILTER(Data!N:N,Data!B:B=A232),""HIGH"")*10)+(COUNTIF(FILTER(Data!N:N,Data!B:B=A232),""MIDDLE"")*6)+(COUNTIF(FILTER(Data!N:N,Data!B:B=A232),""LOW"")*4)) / (COUNTIF(Data!B:B, A232)"&amp;"),"""")"),"")</f>
        <v/>
      </c>
      <c r="Q232" s="31" t="str">
        <f>IF(P232="","",AVERAGE('Convert Name to Number'!F652:H652))</f>
        <v/>
      </c>
      <c r="R232" s="36" t="str">
        <f t="shared" si="37"/>
        <v/>
      </c>
      <c r="S232" s="58" t="str">
        <f>IFERROR(__xludf.DUMMYFUNCTION("IFERROR((((COUNTIF(FILTER(Data!N:N,Data!B:B=A232),""TRAVERSE""))+(COUNTIF(FILTER(Data!N:N,Data!B:B=A232),""HIGH""))+(COUNTIF(FILTER(Data!N:N,Data!B:B=A232),""MIDDLE""))+(COUNTIF(FILTER(Data!N:N,Data!B:B=A232),""LOW"")))) / (((COUNTIF(Data!B:B, A232)))-(CO"&amp;"UNTIF(FILTER(Data!N:N,Data!B:B=A232),""NONE""))),IF(ISBLANK(A232),"""",0))"),"")</f>
        <v/>
      </c>
      <c r="T232" s="56" t="str">
        <f>IFERROR(__xludf.DUMMYFUNCTION("IFERROR((COUNTIF(FILTER(Data!N:N, Data!B:B=A232),""LOW"")) / (COUNTIF(Data!B:B, A232)),"""")"),"")</f>
        <v/>
      </c>
      <c r="U232" s="59" t="str">
        <f>IFERROR(__xludf.DUMMYFUNCTION("IFERROR((COUNTIF(FILTER(Data!N:N, Data!B:B=A232),""MIDDLE"")) / (COUNTIF(Data!B:B, A232)),"""")"),"")</f>
        <v/>
      </c>
      <c r="V232" s="59" t="str">
        <f>IFERROR(__xludf.DUMMYFUNCTION("IFERROR((COUNTIF(FILTER(Data!N:N, Data!B:B=A232),""HIGH"")) / (COUNTIF(Data!B:B, A232)),"""")"),"")</f>
        <v/>
      </c>
      <c r="W232" s="59" t="str">
        <f>IFERROR(__xludf.DUMMYFUNCTION("IFERROR((COUNTIF(FILTER(Data!N:N, Data!B:B=A232),""TRAVERSE"")) / (COUNTIF(Data!B:B, A232)),"""")"),"")</f>
        <v/>
      </c>
      <c r="X232" s="60" t="str">
        <f t="shared" si="38"/>
        <v/>
      </c>
      <c r="Y232" s="45" t="str">
        <f t="shared" si="7"/>
        <v/>
      </c>
      <c r="Z232" s="45" t="str">
        <f t="shared" si="8"/>
        <v/>
      </c>
      <c r="AA232" s="16" t="str">
        <f t="shared" si="9"/>
        <v/>
      </c>
      <c r="AB232" s="16"/>
      <c r="AC232" s="16" t="str">
        <f>IFERROR(__xludf.DUMMYFUNCTION("IF(AA232="""","""",MAX(Filter((Data!G:G+Data!K:K),Data!B:B=A232)))"),"")</f>
        <v/>
      </c>
      <c r="AD232" s="16"/>
      <c r="AE232" s="16" t="str">
        <f t="shared" si="12"/>
        <v/>
      </c>
      <c r="AF232" s="16" t="str">
        <f t="shared" si="13"/>
        <v/>
      </c>
      <c r="AG232" s="44"/>
      <c r="AH232" s="44"/>
      <c r="AI232" s="44" t="str">
        <f>IFERROR(__xludf.DUMMYFUNCTION("TEXTJOIN("", "",TRUE, FILTER(Data!P:P, Data!B:B=A232))"),"")</f>
        <v/>
      </c>
      <c r="AM232" s="61"/>
      <c r="BC232" s="50"/>
    </row>
    <row r="233">
      <c r="A233" s="54"/>
      <c r="B233" s="55" t="str">
        <f>IFERROR(__xludf.DUMMYFUNCTION("IFERROR(ROUND(
(COUNTIF(FILTER(Data!O:O, Data!B:B=A233), ""Win"")
+ COUNTIF(FILTER(Data!O:O, Data!B:B=A233), {""Tie"",""Results""}))
/ (COUNTIF(Data!B:B, A233)),
1),"""")"),"")</f>
        <v/>
      </c>
      <c r="C233" s="45" t="str">
        <f>IFERROR((SUMIF(Data!B:B, A233, Data!H:H)
/ (COUNTIF(Data!B:B, A233)
)),"")</f>
        <v/>
      </c>
      <c r="D233" s="45" t="str">
        <f>IFERROR((SUMIF(Data!B:B, A233, Data!G:G)
/ (COUNTIF(Data!B:B, A233)
)),"")</f>
        <v/>
      </c>
      <c r="E233" s="45"/>
      <c r="F233" s="45" t="str">
        <f>IFERROR((SUMIF(Data!B:B, A233, Data!J:J)
/ (COUNTIF(Data!B:B, A233)
)),"")</f>
        <v/>
      </c>
      <c r="G233" s="56" t="str">
        <f>IF(A233="","",IFERROR((((((SUMIF(Data!B:B, A233, Data!H:H)+(SUMIF(Data!B:B, A233,Data!G:G)))/(SUMIF(Data!B:B, A233, Data!J:J)))))),0))</f>
        <v/>
      </c>
      <c r="H233" s="45"/>
      <c r="I233" s="45"/>
      <c r="J233" s="45"/>
      <c r="K233" s="45"/>
      <c r="L233" s="45" t="str">
        <f>IFERROR((SUMIF(Data!B:B, A233, Data!L:L)
/ (COUNTIF(Data!B:B, A233)
)),"")</f>
        <v/>
      </c>
      <c r="M233" s="45" t="str">
        <f>IFERROR((SUMIF(Data!B:B, A233, Data!K:K)
/ (COUNTIF(Data!B:B, A233)
)),"")</f>
        <v/>
      </c>
      <c r="N233" s="56"/>
      <c r="O233" s="56" t="str">
        <f>IF(A233="","",IFERROR((((((SUMIF(Data!B:B, A233, Data!H:H)+(SUMIF(Data!B:B, A233,Data!G:G)+(SUMIF(Data!B:B, A233,Data!L:L)+(SUMIF(Data!B:B, A233,Data!K:K)))))/(SUMIF(Data!B:B, A233, Data!M:M)+(SUMIF(Data!B:B, A233, Data!H:H)+(SUMIF(Data!B:B, A233,Data!G:G)+(SUMIF(Data!B:B, A233,Data!K:K)+(SUMIF(Data!B:B, A233,Data!L:L)))))))))),0))</f>
        <v/>
      </c>
      <c r="P233" s="57" t="str">
        <f>IFERROR(__xludf.DUMMYFUNCTION("IFERROR(((COUNTIF(FILTER(Data!N:N,Data!B:B=A233),""TRAVERSE"")*15)+(COUNTIF(FILTER(Data!N:N,Data!B:B=A233),""HIGH"")*10)+(COUNTIF(FILTER(Data!N:N,Data!B:B=A233),""MIDDLE"")*6)+(COUNTIF(FILTER(Data!N:N,Data!B:B=A233),""LOW"")*4)) / (COUNTIF(Data!B:B, A233)"&amp;"),"""")"),"")</f>
        <v/>
      </c>
      <c r="Q233" s="31" t="str">
        <f>IF(P233="","",AVERAGE('Convert Name to Number'!F653:H653))</f>
        <v/>
      </c>
      <c r="R233" s="36" t="str">
        <f t="shared" si="37"/>
        <v/>
      </c>
      <c r="S233" s="58" t="str">
        <f>IFERROR(__xludf.DUMMYFUNCTION("IFERROR((((COUNTIF(FILTER(Data!N:N,Data!B:B=A233),""TRAVERSE""))+(COUNTIF(FILTER(Data!N:N,Data!B:B=A233),""HIGH""))+(COUNTIF(FILTER(Data!N:N,Data!B:B=A233),""MIDDLE""))+(COUNTIF(FILTER(Data!N:N,Data!B:B=A233),""LOW"")))) / (((COUNTIF(Data!B:B, A233)))-(CO"&amp;"UNTIF(FILTER(Data!N:N,Data!B:B=A233),""NONE""))),IF(ISBLANK(A233),"""",0))"),"")</f>
        <v/>
      </c>
      <c r="T233" s="56" t="str">
        <f>IFERROR(__xludf.DUMMYFUNCTION("IFERROR((COUNTIF(FILTER(Data!N:N, Data!B:B=A233),""LOW"")) / (COUNTIF(Data!B:B, A233)),"""")"),"")</f>
        <v/>
      </c>
      <c r="U233" s="59" t="str">
        <f>IFERROR(__xludf.DUMMYFUNCTION("IFERROR((COUNTIF(FILTER(Data!N:N, Data!B:B=A233),""MIDDLE"")) / (COUNTIF(Data!B:B, A233)),"""")"),"")</f>
        <v/>
      </c>
      <c r="V233" s="59" t="str">
        <f>IFERROR(__xludf.DUMMYFUNCTION("IFERROR((COUNTIF(FILTER(Data!N:N, Data!B:B=A233),""HIGH"")) / (COUNTIF(Data!B:B, A233)),"""")"),"")</f>
        <v/>
      </c>
      <c r="W233" s="59" t="str">
        <f>IFERROR(__xludf.DUMMYFUNCTION("IFERROR((COUNTIF(FILTER(Data!N:N, Data!B:B=A233),""TRAVERSE"")) / (COUNTIF(Data!B:B, A233)),"""")"),"")</f>
        <v/>
      </c>
      <c r="X233" s="60" t="str">
        <f t="shared" si="38"/>
        <v/>
      </c>
      <c r="Y233" s="45" t="str">
        <f t="shared" si="7"/>
        <v/>
      </c>
      <c r="Z233" s="45" t="str">
        <f t="shared" si="8"/>
        <v/>
      </c>
      <c r="AA233" s="16" t="str">
        <f t="shared" si="9"/>
        <v/>
      </c>
      <c r="AB233" s="16"/>
      <c r="AC233" s="16" t="str">
        <f>IFERROR(__xludf.DUMMYFUNCTION("IF(AA233="""","""",MAX(Filter((Data!G:G+Data!K:K),Data!B:B=A233)))"),"")</f>
        <v/>
      </c>
      <c r="AD233" s="16"/>
      <c r="AE233" s="16" t="str">
        <f t="shared" si="12"/>
        <v/>
      </c>
      <c r="AF233" s="16" t="str">
        <f t="shared" si="13"/>
        <v/>
      </c>
      <c r="AG233" s="44"/>
      <c r="AH233" s="44"/>
      <c r="AI233" s="44" t="str">
        <f>IFERROR(__xludf.DUMMYFUNCTION("TEXTJOIN("", "",TRUE, FILTER(Data!P:P, Data!B:B=A233))"),"")</f>
        <v/>
      </c>
      <c r="AM233" s="61"/>
      <c r="BC233" s="50"/>
    </row>
    <row r="234">
      <c r="A234" s="54"/>
      <c r="B234" s="55" t="str">
        <f>IFERROR(__xludf.DUMMYFUNCTION("IFERROR(ROUND(
(COUNTIF(FILTER(Data!O:O, Data!B:B=A234), ""Win"")
+ COUNTIF(FILTER(Data!O:O, Data!B:B=A234), {""Tie"",""Results""}))
/ (COUNTIF(Data!B:B, A234)),
1),"""")"),"")</f>
        <v/>
      </c>
      <c r="C234" s="45" t="str">
        <f>IFERROR((SUMIF(Data!B:B, A234, Data!H:H)
/ (COUNTIF(Data!B:B, A234)
)),"")</f>
        <v/>
      </c>
      <c r="D234" s="45" t="str">
        <f>IFERROR((SUMIF(Data!B:B, A234, Data!G:G)
/ (COUNTIF(Data!B:B, A234)
)),"")</f>
        <v/>
      </c>
      <c r="E234" s="45"/>
      <c r="F234" s="45" t="str">
        <f>IFERROR((SUMIF(Data!B:B, A234, Data!J:J)
/ (COUNTIF(Data!B:B, A234)
)),"")</f>
        <v/>
      </c>
      <c r="G234" s="56" t="str">
        <f>IF(A234="","",IFERROR((((((SUMIF(Data!B:B, A234, Data!H:H)+(SUMIF(Data!B:B, A234,Data!G:G)))/(SUMIF(Data!B:B, A234, Data!J:J)))))),0))</f>
        <v/>
      </c>
      <c r="H234" s="45"/>
      <c r="I234" s="45"/>
      <c r="J234" s="45"/>
      <c r="K234" s="45"/>
      <c r="L234" s="45" t="str">
        <f>IFERROR((SUMIF(Data!B:B, A234, Data!L:L)
/ (COUNTIF(Data!B:B, A234)
)),"")</f>
        <v/>
      </c>
      <c r="M234" s="45" t="str">
        <f>IFERROR((SUMIF(Data!B:B, A234, Data!K:K)
/ (COUNTIF(Data!B:B, A234)
)),"")</f>
        <v/>
      </c>
      <c r="N234" s="56"/>
      <c r="O234" s="56" t="str">
        <f>IF(A234="","",IFERROR((((((SUMIF(Data!B:B, A234, Data!H:H)+(SUMIF(Data!B:B, A234,Data!G:G)+(SUMIF(Data!B:B, A234,Data!L:L)+(SUMIF(Data!B:B, A234,Data!K:K)))))/(SUMIF(Data!B:B, A234, Data!M:M)+(SUMIF(Data!B:B, A234, Data!H:H)+(SUMIF(Data!B:B, A234,Data!G:G)+(SUMIF(Data!B:B, A234,Data!K:K)+(SUMIF(Data!B:B, A234,Data!L:L)))))))))),0))</f>
        <v/>
      </c>
      <c r="P234" s="57" t="str">
        <f>IFERROR(__xludf.DUMMYFUNCTION("IFERROR(((COUNTIF(FILTER(Data!N:N,Data!B:B=A234),""TRAVERSE"")*15)+(COUNTIF(FILTER(Data!N:N,Data!B:B=A234),""HIGH"")*10)+(COUNTIF(FILTER(Data!N:N,Data!B:B=A234),""MIDDLE"")*6)+(COUNTIF(FILTER(Data!N:N,Data!B:B=A234),""LOW"")*4)) / (COUNTIF(Data!B:B, A234)"&amp;"),"""")"),"")</f>
        <v/>
      </c>
      <c r="Q234" s="58"/>
      <c r="R234" s="36" t="str">
        <f t="shared" si="37"/>
        <v/>
      </c>
      <c r="S234" s="58" t="str">
        <f>IFERROR(__xludf.DUMMYFUNCTION("IFERROR((((COUNTIF(FILTER(Data!N:N,Data!B:B=A234),""TRAVERSE""))+(COUNTIF(FILTER(Data!N:N,Data!B:B=A234),""HIGH""))+(COUNTIF(FILTER(Data!N:N,Data!B:B=A234),""MIDDLE""))+(COUNTIF(FILTER(Data!N:N,Data!B:B=A234),""LOW"")))) / (((COUNTIF(Data!B:B, A234)))-(CO"&amp;"UNTIF(FILTER(Data!N:N,Data!B:B=A234),""NONE""))),IF(ISBLANK(A234),"""",0))"),"")</f>
        <v/>
      </c>
      <c r="T234" s="56" t="str">
        <f>IFERROR(__xludf.DUMMYFUNCTION("IFERROR((COUNTIF(FILTER(Data!N:N, Data!B:B=A234),""LOW"")) / (COUNTIF(Data!B:B, A234)),"""")"),"")</f>
        <v/>
      </c>
      <c r="U234" s="59" t="str">
        <f>IFERROR(__xludf.DUMMYFUNCTION("IFERROR((COUNTIF(FILTER(Data!N:N, Data!B:B=A234),""MIDDLE"")) / (COUNTIF(Data!B:B, A234)),"""")"),"")</f>
        <v/>
      </c>
      <c r="V234" s="59" t="str">
        <f>IFERROR(__xludf.DUMMYFUNCTION("IFERROR((COUNTIF(FILTER(Data!N:N, Data!B:B=A234),""HIGH"")) / (COUNTIF(Data!B:B, A234)),"""")"),"")</f>
        <v/>
      </c>
      <c r="W234" s="59" t="str">
        <f>IFERROR(__xludf.DUMMYFUNCTION("IFERROR((COUNTIF(FILTER(Data!N:N, Data!B:B=A234),""TRAVERSE"")) / (COUNTIF(Data!B:B, A234)),"""")"),"")</f>
        <v/>
      </c>
      <c r="X234" s="60" t="str">
        <f t="shared" si="38"/>
        <v/>
      </c>
      <c r="Y234" s="45" t="str">
        <f t="shared" si="7"/>
        <v/>
      </c>
      <c r="Z234" s="45" t="str">
        <f t="shared" si="8"/>
        <v/>
      </c>
      <c r="AA234" s="16" t="str">
        <f t="shared" si="9"/>
        <v/>
      </c>
      <c r="AB234" s="16"/>
      <c r="AC234" s="16" t="str">
        <f>IFERROR(__xludf.DUMMYFUNCTION("IF(AA234="""","""",MAX(Filter((Data!G:G+Data!K:K),Data!B:B=A234)))"),"")</f>
        <v/>
      </c>
      <c r="AD234" s="16"/>
      <c r="AE234" s="16" t="str">
        <f t="shared" si="12"/>
        <v/>
      </c>
      <c r="AF234" s="16" t="str">
        <f t="shared" si="13"/>
        <v/>
      </c>
      <c r="AG234" s="44"/>
      <c r="AH234" s="44"/>
      <c r="AI234" s="44" t="str">
        <f>IFERROR(__xludf.DUMMYFUNCTION("TEXTJOIN("", "",TRUE, FILTER(Data!P:P, Data!B:B=A234))"),"")</f>
        <v/>
      </c>
      <c r="AM234" s="61"/>
      <c r="BC234" s="50"/>
    </row>
    <row r="235">
      <c r="A235" s="54"/>
      <c r="B235" s="55" t="str">
        <f>IFERROR(__xludf.DUMMYFUNCTION("IFERROR(ROUND(
(COUNTIF(FILTER(Data!O:O, Data!B:B=A235), ""Win"")
+ COUNTIF(FILTER(Data!O:O, Data!B:B=A235), {""Tie"",""Results""}))
/ (COUNTIF(Data!B:B, A235)),
1),"""")"),"")</f>
        <v/>
      </c>
      <c r="C235" s="45" t="str">
        <f>IFERROR((SUMIF(Data!B:B, A235, Data!H:H)
/ (COUNTIF(Data!B:B, A235)
)),"")</f>
        <v/>
      </c>
      <c r="D235" s="45" t="str">
        <f>IFERROR((SUMIF(Data!B:B, A235, Data!G:G)
/ (COUNTIF(Data!B:B, A235)
)),"")</f>
        <v/>
      </c>
      <c r="E235" s="45"/>
      <c r="F235" s="45" t="str">
        <f>IFERROR((SUMIF(Data!B:B, A235, Data!J:J)
/ (COUNTIF(Data!B:B, A235)
)),"")</f>
        <v/>
      </c>
      <c r="G235" s="56" t="str">
        <f>IF(A235="","",IFERROR((((((SUMIF(Data!B:B, A235, Data!H:H)+(SUMIF(Data!B:B, A235,Data!G:G)))/(SUMIF(Data!B:B, A235, Data!J:J)))))),0))</f>
        <v/>
      </c>
      <c r="H235" s="45"/>
      <c r="I235" s="45"/>
      <c r="J235" s="45"/>
      <c r="K235" s="45"/>
      <c r="L235" s="45" t="str">
        <f>IFERROR((SUMIF(Data!B:B, A235, Data!L:L)
/ (COUNTIF(Data!B:B, A235)
)),"")</f>
        <v/>
      </c>
      <c r="M235" s="45" t="str">
        <f>IFERROR((SUMIF(Data!B:B, A235, Data!K:K)
/ (COUNTIF(Data!B:B, A235)
)),"")</f>
        <v/>
      </c>
      <c r="N235" s="56"/>
      <c r="O235" s="56" t="str">
        <f>IF(A235="","",IFERROR((((((SUMIF(Data!B:B, A235, Data!H:H)+(SUMIF(Data!B:B, A235,Data!G:G)+(SUMIF(Data!B:B, A235,Data!L:L)+(SUMIF(Data!B:B, A235,Data!K:K)))))/(SUMIF(Data!B:B, A235, Data!M:M)+(SUMIF(Data!B:B, A235, Data!H:H)+(SUMIF(Data!B:B, A235,Data!G:G)+(SUMIF(Data!B:B, A235,Data!K:K)+(SUMIF(Data!B:B, A235,Data!L:L)))))))))),0))</f>
        <v/>
      </c>
      <c r="P235" s="57" t="str">
        <f>IFERROR(__xludf.DUMMYFUNCTION("IFERROR(((COUNTIF(FILTER(Data!N:N,Data!B:B=A235),""TRAVERSE"")*15)+(COUNTIF(FILTER(Data!N:N,Data!B:B=A235),""HIGH"")*10)+(COUNTIF(FILTER(Data!N:N,Data!B:B=A235),""MIDDLE"")*6)+(COUNTIF(FILTER(Data!N:N,Data!B:B=A235),""LOW"")*4)) / (COUNTIF(Data!B:B, A235)"&amp;"),"""")"),"")</f>
        <v/>
      </c>
      <c r="Q235" s="58"/>
      <c r="R235" s="36" t="str">
        <f t="shared" si="37"/>
        <v/>
      </c>
      <c r="S235" s="58" t="str">
        <f>IFERROR(__xludf.DUMMYFUNCTION("IFERROR((((COUNTIF(FILTER(Data!N:N,Data!B:B=A235),""TRAVERSE""))+(COUNTIF(FILTER(Data!N:N,Data!B:B=A235),""HIGH""))+(COUNTIF(FILTER(Data!N:N,Data!B:B=A235),""MIDDLE""))+(COUNTIF(FILTER(Data!N:N,Data!B:B=A235),""LOW"")))) / (((COUNTIF(Data!B:B, A235)))-(CO"&amp;"UNTIF(FILTER(Data!N:N,Data!B:B=A235),""NONE""))),IF(ISBLANK(A235),"""",0))"),"")</f>
        <v/>
      </c>
      <c r="T235" s="56" t="str">
        <f>IFERROR(__xludf.DUMMYFUNCTION("IFERROR((COUNTIF(FILTER(Data!N:N, Data!B:B=A235),""LOW"")) / (COUNTIF(Data!B:B, A235)),"""")"),"")</f>
        <v/>
      </c>
      <c r="U235" s="59" t="str">
        <f>IFERROR(__xludf.DUMMYFUNCTION("IFERROR((COUNTIF(FILTER(Data!N:N, Data!B:B=A235),""MIDDLE"")) / (COUNTIF(Data!B:B, A235)),"""")"),"")</f>
        <v/>
      </c>
      <c r="V235" s="59" t="str">
        <f>IFERROR(__xludf.DUMMYFUNCTION("IFERROR((COUNTIF(FILTER(Data!N:N, Data!B:B=A235),""HIGH"")) / (COUNTIF(Data!B:B, A235)),"""")"),"")</f>
        <v/>
      </c>
      <c r="W235" s="59" t="str">
        <f>IFERROR(__xludf.DUMMYFUNCTION("IFERROR((COUNTIF(FILTER(Data!N:N, Data!B:B=A235),""TRAVERSE"")) / (COUNTIF(Data!B:B, A235)),"""")"),"")</f>
        <v/>
      </c>
      <c r="X235" s="60" t="str">
        <f t="shared" si="38"/>
        <v/>
      </c>
      <c r="Y235" s="45" t="str">
        <f t="shared" si="7"/>
        <v/>
      </c>
      <c r="Z235" s="45" t="str">
        <f t="shared" si="8"/>
        <v/>
      </c>
      <c r="AA235" s="16" t="str">
        <f t="shared" si="9"/>
        <v/>
      </c>
      <c r="AB235" s="16"/>
      <c r="AC235" s="16" t="str">
        <f>IFERROR(__xludf.DUMMYFUNCTION("IF(AA235="""","""",MAX(Filter((Data!G:G+Data!K:K),Data!B:B=A235)))"),"")</f>
        <v/>
      </c>
      <c r="AD235" s="16"/>
      <c r="AE235" s="16" t="str">
        <f t="shared" si="12"/>
        <v/>
      </c>
      <c r="AF235" s="16" t="str">
        <f t="shared" si="13"/>
        <v/>
      </c>
      <c r="AG235" s="44"/>
      <c r="AH235" s="44"/>
      <c r="AI235" s="44" t="str">
        <f>IFERROR(__xludf.DUMMYFUNCTION("TEXTJOIN("", "",TRUE, FILTER(Data!P:P, Data!B:B=A235))"),"")</f>
        <v/>
      </c>
      <c r="AM235" s="61"/>
      <c r="BC235" s="50"/>
    </row>
    <row r="236">
      <c r="A236" s="54"/>
      <c r="B236" s="55" t="str">
        <f>IFERROR(__xludf.DUMMYFUNCTION("IFERROR(ROUND(
(COUNTIF(FILTER(Data!O:O, Data!B:B=A236), ""Win"")
+ COUNTIF(FILTER(Data!O:O, Data!B:B=A236), {""Tie"",""Results""}))
/ (COUNTIF(Data!B:B, A236)),
1),"""")"),"")</f>
        <v/>
      </c>
      <c r="C236" s="45" t="str">
        <f>IFERROR((SUMIF(Data!B:B, A236, Data!H:H)
/ (COUNTIF(Data!B:B, A236)
)),"")</f>
        <v/>
      </c>
      <c r="D236" s="45" t="str">
        <f>IFERROR((SUMIF(Data!B:B, A236, Data!G:G)
/ (COUNTIF(Data!B:B, A236)
)),"")</f>
        <v/>
      </c>
      <c r="E236" s="45"/>
      <c r="F236" s="45" t="str">
        <f>IFERROR((SUMIF(Data!B:B, A236, Data!J:J)
/ (COUNTIF(Data!B:B, A236)
)),"")</f>
        <v/>
      </c>
      <c r="G236" s="56" t="str">
        <f>IF(A236="","",IFERROR((((((SUMIF(Data!B:B, A236, Data!H:H)+(SUMIF(Data!B:B, A236,Data!G:G)))/(SUMIF(Data!B:B, A236, Data!J:J)))))),0))</f>
        <v/>
      </c>
      <c r="H236" s="45"/>
      <c r="I236" s="45"/>
      <c r="J236" s="45"/>
      <c r="K236" s="45"/>
      <c r="L236" s="45" t="str">
        <f>IFERROR((SUMIF(Data!B:B, A236, Data!L:L)
/ (COUNTIF(Data!B:B, A236)
)),"")</f>
        <v/>
      </c>
      <c r="M236" s="45" t="str">
        <f>IFERROR((SUMIF(Data!B:B, A236, Data!K:K)
/ (COUNTIF(Data!B:B, A236)
)),"")</f>
        <v/>
      </c>
      <c r="N236" s="56"/>
      <c r="O236" s="56" t="str">
        <f>IF(A236="","",IFERROR((((((SUMIF(Data!B:B, A236, Data!H:H)+(SUMIF(Data!B:B, A236,Data!G:G)+(SUMIF(Data!B:B, A236,Data!L:L)+(SUMIF(Data!B:B, A236,Data!K:K)))))/(SUMIF(Data!B:B, A236, Data!M:M)+(SUMIF(Data!B:B, A236, Data!H:H)+(SUMIF(Data!B:B, A236,Data!G:G)+(SUMIF(Data!B:B, A236,Data!K:K)+(SUMIF(Data!B:B, A236,Data!L:L)))))))))),0))</f>
        <v/>
      </c>
      <c r="P236" s="57" t="str">
        <f>IFERROR(__xludf.DUMMYFUNCTION("IFERROR(((COUNTIF(FILTER(Data!N:N,Data!B:B=A236),""TRAVERSE"")*15)+(COUNTIF(FILTER(Data!N:N,Data!B:B=A236),""HIGH"")*10)+(COUNTIF(FILTER(Data!N:N,Data!B:B=A236),""MIDDLE"")*6)+(COUNTIF(FILTER(Data!N:N,Data!B:B=A236),""LOW"")*4)) / (COUNTIF(Data!B:B, A236)"&amp;"),"""")"),"")</f>
        <v/>
      </c>
      <c r="Q236" s="58"/>
      <c r="R236" s="36" t="str">
        <f t="shared" si="37"/>
        <v/>
      </c>
      <c r="S236" s="58" t="str">
        <f>IFERROR(__xludf.DUMMYFUNCTION("IFERROR((((COUNTIF(FILTER(Data!N:N,Data!B:B=A236),""TRAVERSE""))+(COUNTIF(FILTER(Data!N:N,Data!B:B=A236),""HIGH""))+(COUNTIF(FILTER(Data!N:N,Data!B:B=A236),""MIDDLE""))+(COUNTIF(FILTER(Data!N:N,Data!B:B=A236),""LOW"")))) / (((COUNTIF(Data!B:B, A236)))-(CO"&amp;"UNTIF(FILTER(Data!N:N,Data!B:B=A236),""NONE""))),IF(ISBLANK(A236),"""",0))"),"")</f>
        <v/>
      </c>
      <c r="T236" s="56" t="str">
        <f>IFERROR(__xludf.DUMMYFUNCTION("IFERROR((COUNTIF(FILTER(Data!N:N, Data!B:B=A236),""LOW"")) / (COUNTIF(Data!B:B, A236)),"""")"),"")</f>
        <v/>
      </c>
      <c r="U236" s="59" t="str">
        <f>IFERROR(__xludf.DUMMYFUNCTION("IFERROR((COUNTIF(FILTER(Data!N:N, Data!B:B=A236),""MIDDLE"")) / (COUNTIF(Data!B:B, A236)),"""")"),"")</f>
        <v/>
      </c>
      <c r="V236" s="59" t="str">
        <f>IFERROR(__xludf.DUMMYFUNCTION("IFERROR((COUNTIF(FILTER(Data!N:N, Data!B:B=A236),""HIGH"")) / (COUNTIF(Data!B:B, A236)),"""")"),"")</f>
        <v/>
      </c>
      <c r="W236" s="59" t="str">
        <f>IFERROR(__xludf.DUMMYFUNCTION("IFERROR((COUNTIF(FILTER(Data!N:N, Data!B:B=A236),""TRAVERSE"")) / (COUNTIF(Data!B:B, A236)),"""")"),"")</f>
        <v/>
      </c>
      <c r="X236" s="60" t="str">
        <f t="shared" si="38"/>
        <v/>
      </c>
      <c r="Y236" s="45" t="str">
        <f t="shared" si="7"/>
        <v/>
      </c>
      <c r="Z236" s="45" t="str">
        <f t="shared" si="8"/>
        <v/>
      </c>
      <c r="AA236" s="16" t="str">
        <f t="shared" si="9"/>
        <v/>
      </c>
      <c r="AB236" s="16"/>
      <c r="AC236" s="16" t="str">
        <f>IFERROR(__xludf.DUMMYFUNCTION("IF(AA236="""","""",MAX(Filter((Data!G:G+Data!K:K),Data!B:B=A236)))"),"")</f>
        <v/>
      </c>
      <c r="AD236" s="16"/>
      <c r="AE236" s="16" t="str">
        <f t="shared" si="12"/>
        <v/>
      </c>
      <c r="AF236" s="16" t="str">
        <f t="shared" si="13"/>
        <v/>
      </c>
      <c r="AG236" s="44"/>
      <c r="AH236" s="44"/>
      <c r="AI236" s="44" t="str">
        <f>IFERROR(__xludf.DUMMYFUNCTION("TEXTJOIN("", "",TRUE, FILTER(Data!P:P, Data!B:B=A236))"),"")</f>
        <v/>
      </c>
      <c r="AM236" s="61"/>
      <c r="BC236" s="50"/>
    </row>
    <row r="237">
      <c r="A237" s="54"/>
      <c r="B237" s="55" t="str">
        <f>IFERROR(__xludf.DUMMYFUNCTION("IFERROR(ROUND(
(COUNTIF(FILTER(Data!O:O, Data!B:B=A237), ""Win"")
+ COUNTIF(FILTER(Data!O:O, Data!B:B=A237), {""Tie"",""Results""}))
/ (COUNTIF(Data!B:B, A237)),
1),"""")"),"")</f>
        <v/>
      </c>
      <c r="C237" s="45" t="str">
        <f>IFERROR((SUMIF(Data!B:B, A237, Data!H:H)
/ (COUNTIF(Data!B:B, A237)
)),"")</f>
        <v/>
      </c>
      <c r="D237" s="45" t="str">
        <f>IFERROR((SUMIF(Data!B:B, A237, Data!G:G)
/ (COUNTIF(Data!B:B, A237)
)),"")</f>
        <v/>
      </c>
      <c r="E237" s="45"/>
      <c r="F237" s="45" t="str">
        <f>IFERROR((SUMIF(Data!B:B, A237, Data!J:J)
/ (COUNTIF(Data!B:B, A237)
)),"")</f>
        <v/>
      </c>
      <c r="G237" s="56" t="str">
        <f>IF(A237="","",IFERROR((((((SUMIF(Data!B:B, A237, Data!H:H)+(SUMIF(Data!B:B, A237,Data!G:G)))/(SUMIF(Data!B:B, A237, Data!J:J)))))),0))</f>
        <v/>
      </c>
      <c r="H237" s="45"/>
      <c r="I237" s="45"/>
      <c r="J237" s="45"/>
      <c r="K237" s="45"/>
      <c r="L237" s="45" t="str">
        <f>IFERROR((SUMIF(Data!B:B, A237, Data!L:L)
/ (COUNTIF(Data!B:B, A237)
)),"")</f>
        <v/>
      </c>
      <c r="M237" s="45" t="str">
        <f>IFERROR((SUMIF(Data!B:B, A237, Data!K:K)
/ (COUNTIF(Data!B:B, A237)
)),"")</f>
        <v/>
      </c>
      <c r="N237" s="56"/>
      <c r="O237" s="56" t="str">
        <f>IF(A237="","",IFERROR((((((SUMIF(Data!B:B, A237, Data!H:H)+(SUMIF(Data!B:B, A237,Data!G:G)+(SUMIF(Data!B:B, A237,Data!L:L)+(SUMIF(Data!B:B, A237,Data!K:K)))))/(SUMIF(Data!B:B, A237, Data!M:M)+(SUMIF(Data!B:B, A237, Data!H:H)+(SUMIF(Data!B:B, A237,Data!G:G)+(SUMIF(Data!B:B, A237,Data!K:K)+(SUMIF(Data!B:B, A237,Data!L:L)))))))))),0))</f>
        <v/>
      </c>
      <c r="P237" s="57" t="str">
        <f>IFERROR(__xludf.DUMMYFUNCTION("IFERROR(((COUNTIF(FILTER(Data!N:N,Data!B:B=A237),""TRAVERSE"")*15)+(COUNTIF(FILTER(Data!N:N,Data!B:B=A237),""HIGH"")*10)+(COUNTIF(FILTER(Data!N:N,Data!B:B=A237),""MIDDLE"")*6)+(COUNTIF(FILTER(Data!N:N,Data!B:B=A237),""LOW"")*4)) / (COUNTIF(Data!B:B, A237)"&amp;"),"""")"),"")</f>
        <v/>
      </c>
      <c r="Q237" s="58"/>
      <c r="R237" s="36" t="str">
        <f t="shared" si="37"/>
        <v/>
      </c>
      <c r="S237" s="58" t="str">
        <f>IFERROR(__xludf.DUMMYFUNCTION("IFERROR((((COUNTIF(FILTER(Data!N:N,Data!B:B=A237),""TRAVERSE""))+(COUNTIF(FILTER(Data!N:N,Data!B:B=A237),""HIGH""))+(COUNTIF(FILTER(Data!N:N,Data!B:B=A237),""MIDDLE""))+(COUNTIF(FILTER(Data!N:N,Data!B:B=A237),""LOW"")))) / (((COUNTIF(Data!B:B, A237)))-(CO"&amp;"UNTIF(FILTER(Data!N:N,Data!B:B=A237),""NONE""))),IF(ISBLANK(A237),"""",0))"),"")</f>
        <v/>
      </c>
      <c r="T237" s="56" t="str">
        <f>IFERROR(__xludf.DUMMYFUNCTION("IFERROR((COUNTIF(FILTER(Data!N:N, Data!B:B=A237),""LOW"")) / (COUNTIF(Data!B:B, A237)),"""")"),"")</f>
        <v/>
      </c>
      <c r="U237" s="59" t="str">
        <f>IFERROR(__xludf.DUMMYFUNCTION("IFERROR((COUNTIF(FILTER(Data!N:N, Data!B:B=A237),""MIDDLE"")) / (COUNTIF(Data!B:B, A237)),"""")"),"")</f>
        <v/>
      </c>
      <c r="V237" s="59" t="str">
        <f>IFERROR(__xludf.DUMMYFUNCTION("IFERROR((COUNTIF(FILTER(Data!N:N, Data!B:B=A237),""HIGH"")) / (COUNTIF(Data!B:B, A237)),"""")"),"")</f>
        <v/>
      </c>
      <c r="W237" s="59" t="str">
        <f>IFERROR(__xludf.DUMMYFUNCTION("IFERROR((COUNTIF(FILTER(Data!N:N, Data!B:B=A237),""TRAVERSE"")) / (COUNTIF(Data!B:B, A237)),"""")"),"")</f>
        <v/>
      </c>
      <c r="X237" s="60" t="str">
        <f t="shared" si="38"/>
        <v/>
      </c>
      <c r="Y237" s="45" t="str">
        <f t="shared" si="7"/>
        <v/>
      </c>
      <c r="Z237" s="45" t="str">
        <f t="shared" si="8"/>
        <v/>
      </c>
      <c r="AA237" s="16" t="str">
        <f t="shared" si="9"/>
        <v/>
      </c>
      <c r="AB237" s="16"/>
      <c r="AC237" s="16" t="str">
        <f>IFERROR(__xludf.DUMMYFUNCTION("IF(AA237="""","""",MAX(Filter((Data!G:G+Data!K:K),Data!B:B=A237)))"),"")</f>
        <v/>
      </c>
      <c r="AD237" s="16"/>
      <c r="AE237" s="16" t="str">
        <f t="shared" si="12"/>
        <v/>
      </c>
      <c r="AF237" s="16" t="str">
        <f t="shared" si="13"/>
        <v/>
      </c>
      <c r="AG237" s="44"/>
      <c r="AH237" s="44"/>
      <c r="AI237" s="44" t="str">
        <f>IFERROR(__xludf.DUMMYFUNCTION("TEXTJOIN("", "",TRUE, FILTER(Data!P:P, Data!B:B=A237))"),"")</f>
        <v/>
      </c>
      <c r="AM237" s="61"/>
      <c r="BC237" s="50"/>
    </row>
    <row r="238">
      <c r="A238" s="54"/>
      <c r="B238" s="55" t="str">
        <f>IFERROR(__xludf.DUMMYFUNCTION("IFERROR(ROUND(
(COUNTIF(FILTER(Data!O:O, Data!B:B=A238), ""Win"")
+ COUNTIF(FILTER(Data!O:O, Data!B:B=A238), {""Tie"",""Results""}))
/ (COUNTIF(Data!B:B, A238)),
1),"""")"),"")</f>
        <v/>
      </c>
      <c r="C238" s="45" t="str">
        <f>IFERROR((SUMIF(Data!B:B, A238, Data!H:H)
/ (COUNTIF(Data!B:B, A238)
)),"")</f>
        <v/>
      </c>
      <c r="D238" s="45" t="str">
        <f>IFERROR((SUMIF(Data!B:B, A238, Data!G:G)
/ (COUNTIF(Data!B:B, A238)
)),"")</f>
        <v/>
      </c>
      <c r="E238" s="45"/>
      <c r="F238" s="45" t="str">
        <f>IFERROR((SUMIF(Data!B:B, A238, Data!J:J)
/ (COUNTIF(Data!B:B, A238)
)),"")</f>
        <v/>
      </c>
      <c r="G238" s="56" t="str">
        <f>IF(A238="","",IFERROR((((((SUMIF(Data!B:B, A238, Data!H:H)+(SUMIF(Data!B:B, A238,Data!G:G)))/(SUMIF(Data!B:B, A238, Data!J:J)))))),0))</f>
        <v/>
      </c>
      <c r="H238" s="45"/>
      <c r="I238" s="45"/>
      <c r="J238" s="45"/>
      <c r="K238" s="45"/>
      <c r="L238" s="45" t="str">
        <f>IFERROR((SUMIF(Data!B:B, A238, Data!L:L)
/ (COUNTIF(Data!B:B, A238)
)),"")</f>
        <v/>
      </c>
      <c r="M238" s="45" t="str">
        <f>IFERROR((SUMIF(Data!B:B, A238, Data!K:K)
/ (COUNTIF(Data!B:B, A238)
)),"")</f>
        <v/>
      </c>
      <c r="N238" s="56"/>
      <c r="O238" s="56" t="str">
        <f>IF(A238="","",IFERROR((((((SUMIF(Data!B:B, A238, Data!H:H)+(SUMIF(Data!B:B, A238,Data!G:G)+(SUMIF(Data!B:B, A238,Data!L:L)+(SUMIF(Data!B:B, A238,Data!K:K)))))/(SUMIF(Data!B:B, A238, Data!M:M)+(SUMIF(Data!B:B, A238, Data!H:H)+(SUMIF(Data!B:B, A238,Data!G:G)+(SUMIF(Data!B:B, A238,Data!K:K)+(SUMIF(Data!B:B, A238,Data!L:L)))))))))),0))</f>
        <v/>
      </c>
      <c r="P238" s="57" t="str">
        <f>IFERROR(__xludf.DUMMYFUNCTION("IFERROR(((COUNTIF(FILTER(Data!N:N,Data!B:B=A238),""TRAVERSE"")*15)+(COUNTIF(FILTER(Data!N:N,Data!B:B=A238),""HIGH"")*10)+(COUNTIF(FILTER(Data!N:N,Data!B:B=A238),""MIDDLE"")*6)+(COUNTIF(FILTER(Data!N:N,Data!B:B=A238),""LOW"")*4)) / (COUNTIF(Data!B:B, A238)"&amp;"),"""")"),"")</f>
        <v/>
      </c>
      <c r="Q238" s="58"/>
      <c r="R238" s="36" t="str">
        <f t="shared" si="37"/>
        <v/>
      </c>
      <c r="S238" s="58" t="str">
        <f>IFERROR(__xludf.DUMMYFUNCTION("IFERROR((((COUNTIF(FILTER(Data!N:N,Data!B:B=A238),""TRAVERSE""))+(COUNTIF(FILTER(Data!N:N,Data!B:B=A238),""HIGH""))+(COUNTIF(FILTER(Data!N:N,Data!B:B=A238),""MIDDLE""))+(COUNTIF(FILTER(Data!N:N,Data!B:B=A238),""LOW"")))) / (((COUNTIF(Data!B:B, A238)))-(CO"&amp;"UNTIF(FILTER(Data!N:N,Data!B:B=A238),""NONE""))),IF(ISBLANK(A238),"""",0))"),"")</f>
        <v/>
      </c>
      <c r="T238" s="56" t="str">
        <f>IFERROR(__xludf.DUMMYFUNCTION("IFERROR((COUNTIF(FILTER(Data!N:N, Data!B:B=A238),""LOW"")) / (COUNTIF(Data!B:B, A238)),"""")"),"")</f>
        <v/>
      </c>
      <c r="U238" s="59" t="str">
        <f>IFERROR(__xludf.DUMMYFUNCTION("IFERROR((COUNTIF(FILTER(Data!N:N, Data!B:B=A238),""MIDDLE"")) / (COUNTIF(Data!B:B, A238)),"""")"),"")</f>
        <v/>
      </c>
      <c r="V238" s="59" t="str">
        <f>IFERROR(__xludf.DUMMYFUNCTION("IFERROR((COUNTIF(FILTER(Data!N:N, Data!B:B=A238),""HIGH"")) / (COUNTIF(Data!B:B, A238)),"""")"),"")</f>
        <v/>
      </c>
      <c r="W238" s="59" t="str">
        <f>IFERROR(__xludf.DUMMYFUNCTION("IFERROR((COUNTIF(FILTER(Data!N:N, Data!B:B=A238),""TRAVERSE"")) / (COUNTIF(Data!B:B, A238)),"""")"),"")</f>
        <v/>
      </c>
      <c r="X238" s="60" t="str">
        <f t="shared" si="38"/>
        <v/>
      </c>
      <c r="Y238" s="45" t="str">
        <f t="shared" si="7"/>
        <v/>
      </c>
      <c r="Z238" s="45" t="str">
        <f t="shared" si="8"/>
        <v/>
      </c>
      <c r="AA238" s="16" t="str">
        <f t="shared" si="9"/>
        <v/>
      </c>
      <c r="AB238" s="16"/>
      <c r="AC238" s="16" t="str">
        <f>IFERROR(__xludf.DUMMYFUNCTION("IF(AA238="""","""",MAX(Filter((Data!G:G+Data!K:K),Data!B:B=A238)))"),"")</f>
        <v/>
      </c>
      <c r="AD238" s="16"/>
      <c r="AE238" s="16" t="str">
        <f t="shared" si="12"/>
        <v/>
      </c>
      <c r="AF238" s="16" t="str">
        <f t="shared" si="13"/>
        <v/>
      </c>
      <c r="AG238" s="44"/>
      <c r="AH238" s="44"/>
      <c r="AI238" s="44" t="str">
        <f>IFERROR(__xludf.DUMMYFUNCTION("TEXTJOIN("", "",TRUE, FILTER(Data!P:P, Data!B:B=A238))"),"")</f>
        <v/>
      </c>
      <c r="AM238" s="61"/>
      <c r="BC238" s="50"/>
    </row>
    <row r="239">
      <c r="A239" s="54"/>
      <c r="B239" s="55" t="str">
        <f>IFERROR(__xludf.DUMMYFUNCTION("IFERROR(ROUND(
(COUNTIF(FILTER(Data!O:O, Data!B:B=A239), ""Win"")
+ COUNTIF(FILTER(Data!O:O, Data!B:B=A239), {""Tie"",""Results""}))
/ (COUNTIF(Data!B:B, A239)),
1),"""")"),"")</f>
        <v/>
      </c>
      <c r="C239" s="45" t="str">
        <f>IFERROR((SUMIF(Data!B:B, A239, Data!H:H)
/ (COUNTIF(Data!B:B, A239)
)),"")</f>
        <v/>
      </c>
      <c r="D239" s="45" t="str">
        <f>IFERROR((SUMIF(Data!B:B, A239, Data!G:G)
/ (COUNTIF(Data!B:B, A239)
)),"")</f>
        <v/>
      </c>
      <c r="E239" s="45"/>
      <c r="F239" s="45" t="str">
        <f>IFERROR((SUMIF(Data!B:B, A239, Data!J:J)
/ (COUNTIF(Data!B:B, A239)
)),"")</f>
        <v/>
      </c>
      <c r="G239" s="56" t="str">
        <f>IF(A239="","",IFERROR((((((SUMIF(Data!B:B, A239, Data!H:H)+(SUMIF(Data!B:B, A239,Data!G:G)))/(SUMIF(Data!B:B, A239, Data!J:J)))))),0))</f>
        <v/>
      </c>
      <c r="H239" s="45"/>
      <c r="I239" s="45"/>
      <c r="J239" s="45"/>
      <c r="K239" s="45"/>
      <c r="L239" s="45" t="str">
        <f>IFERROR((SUMIF(Data!B:B, A239, Data!L:L)
/ (COUNTIF(Data!B:B, A239)
)),"")</f>
        <v/>
      </c>
      <c r="M239" s="45" t="str">
        <f>IFERROR((SUMIF(Data!B:B, A239, Data!K:K)
/ (COUNTIF(Data!B:B, A239)
)),"")</f>
        <v/>
      </c>
      <c r="N239" s="56"/>
      <c r="O239" s="56" t="str">
        <f>IF(A239="","",IFERROR((((((SUMIF(Data!B:B, A239, Data!H:H)+(SUMIF(Data!B:B, A239,Data!G:G)+(SUMIF(Data!B:B, A239,Data!L:L)+(SUMIF(Data!B:B, A239,Data!K:K)))))/(SUMIF(Data!B:B, A239, Data!M:M)+(SUMIF(Data!B:B, A239, Data!H:H)+(SUMIF(Data!B:B, A239,Data!G:G)+(SUMIF(Data!B:B, A239,Data!K:K)+(SUMIF(Data!B:B, A239,Data!L:L)))))))))),0))</f>
        <v/>
      </c>
      <c r="P239" s="57" t="str">
        <f>IFERROR(__xludf.DUMMYFUNCTION("IFERROR(((COUNTIF(FILTER(Data!N:N,Data!B:B=A239),""TRAVERSE"")*15)+(COUNTIF(FILTER(Data!N:N,Data!B:B=A239),""HIGH"")*10)+(COUNTIF(FILTER(Data!N:N,Data!B:B=A239),""MIDDLE"")*6)+(COUNTIF(FILTER(Data!N:N,Data!B:B=A239),""LOW"")*4)) / (COUNTIF(Data!B:B, A239)"&amp;"),"""")"),"")</f>
        <v/>
      </c>
      <c r="Q239" s="58"/>
      <c r="R239" s="36" t="str">
        <f t="shared" si="37"/>
        <v/>
      </c>
      <c r="S239" s="58" t="str">
        <f>IFERROR(__xludf.DUMMYFUNCTION("IFERROR((((COUNTIF(FILTER(Data!N:N,Data!B:B=A239),""TRAVERSE""))+(COUNTIF(FILTER(Data!N:N,Data!B:B=A239),""HIGH""))+(COUNTIF(FILTER(Data!N:N,Data!B:B=A239),""MIDDLE""))+(COUNTIF(FILTER(Data!N:N,Data!B:B=A239),""LOW"")))) / (((COUNTIF(Data!B:B, A239)))-(CO"&amp;"UNTIF(FILTER(Data!N:N,Data!B:B=A239),""NONE""))),IF(ISBLANK(A239),"""",0))"),"")</f>
        <v/>
      </c>
      <c r="T239" s="56" t="str">
        <f>IFERROR(__xludf.DUMMYFUNCTION("IFERROR((COUNTIF(FILTER(Data!N:N, Data!B:B=A239),""LOW"")) / (COUNTIF(Data!B:B, A239)),"""")"),"")</f>
        <v/>
      </c>
      <c r="U239" s="59" t="str">
        <f>IFERROR(__xludf.DUMMYFUNCTION("IFERROR((COUNTIF(FILTER(Data!N:N, Data!B:B=A239),""MIDDLE"")) / (COUNTIF(Data!B:B, A239)),"""")"),"")</f>
        <v/>
      </c>
      <c r="V239" s="59" t="str">
        <f>IFERROR(__xludf.DUMMYFUNCTION("IFERROR((COUNTIF(FILTER(Data!N:N, Data!B:B=A239),""HIGH"")) / (COUNTIF(Data!B:B, A239)),"""")"),"")</f>
        <v/>
      </c>
      <c r="W239" s="59" t="str">
        <f>IFERROR(__xludf.DUMMYFUNCTION("IFERROR((COUNTIF(FILTER(Data!N:N, Data!B:B=A239),""TRAVERSE"")) / (COUNTIF(Data!B:B, A239)),"""")"),"")</f>
        <v/>
      </c>
      <c r="X239" s="60" t="str">
        <f t="shared" si="38"/>
        <v/>
      </c>
      <c r="Y239" s="45" t="str">
        <f t="shared" si="7"/>
        <v/>
      </c>
      <c r="Z239" s="45" t="str">
        <f t="shared" si="8"/>
        <v/>
      </c>
      <c r="AA239" s="16" t="str">
        <f t="shared" si="9"/>
        <v/>
      </c>
      <c r="AB239" s="16"/>
      <c r="AC239" s="16" t="str">
        <f>IFERROR(__xludf.DUMMYFUNCTION("IF(AA239="""","""",MAX(Filter((Data!G:G+Data!K:K),Data!B:B=A239)))"),"")</f>
        <v/>
      </c>
      <c r="AD239" s="16"/>
      <c r="AE239" s="16" t="str">
        <f t="shared" si="12"/>
        <v/>
      </c>
      <c r="AF239" s="16" t="str">
        <f t="shared" si="13"/>
        <v/>
      </c>
      <c r="AG239" s="44"/>
      <c r="AH239" s="44"/>
      <c r="AI239" s="44" t="str">
        <f>IFERROR(__xludf.DUMMYFUNCTION("TEXTJOIN("", "",TRUE, FILTER(Data!P:P, Data!B:B=A239))"),"")</f>
        <v/>
      </c>
      <c r="AM239" s="61"/>
      <c r="BC239" s="50"/>
    </row>
    <row r="240">
      <c r="A240" s="54"/>
      <c r="B240" s="55" t="str">
        <f>IFERROR(__xludf.DUMMYFUNCTION("IFERROR(ROUND(
(COUNTIF(FILTER(Data!O:O, Data!B:B=A240), ""Win"")
+ COUNTIF(FILTER(Data!O:O, Data!B:B=A240), {""Tie"",""Results""}))
/ (COUNTIF(Data!B:B, A240)),
1),"""")"),"")</f>
        <v/>
      </c>
      <c r="C240" s="45" t="str">
        <f>IFERROR((SUMIF(Data!B:B, A240, Data!H:H)
/ (COUNTIF(Data!B:B, A240)
)),"")</f>
        <v/>
      </c>
      <c r="D240" s="45" t="str">
        <f>IFERROR((SUMIF(Data!B:B, A240, Data!G:G)
/ (COUNTIF(Data!B:B, A240)
)),"")</f>
        <v/>
      </c>
      <c r="E240" s="45"/>
      <c r="F240" s="45" t="str">
        <f>IFERROR((SUMIF(Data!B:B, A240, Data!J:J)
/ (COUNTIF(Data!B:B, A240)
)),"")</f>
        <v/>
      </c>
      <c r="G240" s="56" t="str">
        <f>IF(A240="","",IFERROR((((((SUMIF(Data!B:B, A240, Data!H:H)+(SUMIF(Data!B:B, A240,Data!G:G)))/(SUMIF(Data!B:B, A240, Data!J:J)))))),0))</f>
        <v/>
      </c>
      <c r="H240" s="45"/>
      <c r="I240" s="45"/>
      <c r="J240" s="45"/>
      <c r="K240" s="45"/>
      <c r="L240" s="45" t="str">
        <f>IFERROR((SUMIF(Data!B:B, A240, Data!L:L)
/ (COUNTIF(Data!B:B, A240)
)),"")</f>
        <v/>
      </c>
      <c r="M240" s="45" t="str">
        <f>IFERROR((SUMIF(Data!B:B, A240, Data!K:K)
/ (COUNTIF(Data!B:B, A240)
)),"")</f>
        <v/>
      </c>
      <c r="N240" s="56"/>
      <c r="O240" s="56" t="str">
        <f>IF(A240="","",IFERROR((((((SUMIF(Data!B:B, A240, Data!H:H)+(SUMIF(Data!B:B, A240,Data!G:G)+(SUMIF(Data!B:B, A240,Data!L:L)+(SUMIF(Data!B:B, A240,Data!K:K)))))/(SUMIF(Data!B:B, A240, Data!M:M)+(SUMIF(Data!B:B, A240, Data!H:H)+(SUMIF(Data!B:B, A240,Data!G:G)+(SUMIF(Data!B:B, A240,Data!K:K)+(SUMIF(Data!B:B, A240,Data!L:L)))))))))),0))</f>
        <v/>
      </c>
      <c r="P240" s="57" t="str">
        <f>IFERROR(__xludf.DUMMYFUNCTION("IFERROR(((COUNTIF(FILTER(Data!N:N,Data!B:B=A240),""TRAVERSE"")*15)+(COUNTIF(FILTER(Data!N:N,Data!B:B=A240),""HIGH"")*10)+(COUNTIF(FILTER(Data!N:N,Data!B:B=A240),""MIDDLE"")*6)+(COUNTIF(FILTER(Data!N:N,Data!B:B=A240),""LOW"")*4)) / (COUNTIF(Data!B:B, A240)"&amp;"),"""")"),"")</f>
        <v/>
      </c>
      <c r="Q240" s="58"/>
      <c r="R240" s="36" t="str">
        <f t="shared" si="37"/>
        <v/>
      </c>
      <c r="S240" s="58" t="str">
        <f>IFERROR(__xludf.DUMMYFUNCTION("IFERROR((((COUNTIF(FILTER(Data!N:N,Data!B:B=A240),""TRAVERSE""))+(COUNTIF(FILTER(Data!N:N,Data!B:B=A240),""HIGH""))+(COUNTIF(FILTER(Data!N:N,Data!B:B=A240),""MIDDLE""))+(COUNTIF(FILTER(Data!N:N,Data!B:B=A240),""LOW"")))) / (((COUNTIF(Data!B:B, A240)))-(CO"&amp;"UNTIF(FILTER(Data!N:N,Data!B:B=A240),""NONE""))),IF(ISBLANK(A240),"""",0))"),"")</f>
        <v/>
      </c>
      <c r="T240" s="56" t="str">
        <f>IFERROR(__xludf.DUMMYFUNCTION("IFERROR((COUNTIF(FILTER(Data!N:N, Data!B:B=A240),""LOW"")) / (COUNTIF(Data!B:B, A240)),"""")"),"")</f>
        <v/>
      </c>
      <c r="U240" s="59" t="str">
        <f>IFERROR(__xludf.DUMMYFUNCTION("IFERROR((COUNTIF(FILTER(Data!N:N, Data!B:B=A240),""MIDDLE"")) / (COUNTIF(Data!B:B, A240)),"""")"),"")</f>
        <v/>
      </c>
      <c r="V240" s="59" t="str">
        <f>IFERROR(__xludf.DUMMYFUNCTION("IFERROR((COUNTIF(FILTER(Data!N:N, Data!B:B=A240),""HIGH"")) / (COUNTIF(Data!B:B, A240)),"""")"),"")</f>
        <v/>
      </c>
      <c r="W240" s="59" t="str">
        <f>IFERROR(__xludf.DUMMYFUNCTION("IFERROR((COUNTIF(FILTER(Data!N:N, Data!B:B=A240),""TRAVERSE"")) / (COUNTIF(Data!B:B, A240)),"""")"),"")</f>
        <v/>
      </c>
      <c r="X240" s="60" t="str">
        <f t="shared" si="38"/>
        <v/>
      </c>
      <c r="Y240" s="45" t="str">
        <f t="shared" si="7"/>
        <v/>
      </c>
      <c r="Z240" s="45" t="str">
        <f t="shared" si="8"/>
        <v/>
      </c>
      <c r="AA240" s="16" t="str">
        <f t="shared" si="9"/>
        <v/>
      </c>
      <c r="AB240" s="16"/>
      <c r="AC240" s="16" t="str">
        <f>IFERROR(__xludf.DUMMYFUNCTION("IF(AA240="""","""",MAX(Filter((Data!G:G+Data!K:K),Data!B:B=A240)))"),"")</f>
        <v/>
      </c>
      <c r="AD240" s="16"/>
      <c r="AE240" s="16" t="str">
        <f t="shared" si="12"/>
        <v/>
      </c>
      <c r="AF240" s="16" t="str">
        <f t="shared" si="13"/>
        <v/>
      </c>
      <c r="AG240" s="44"/>
      <c r="AH240" s="44"/>
      <c r="AI240" s="44" t="str">
        <f>IFERROR(__xludf.DUMMYFUNCTION("TEXTJOIN("", "",TRUE, FILTER(Data!P:P, Data!B:B=A240))"),"")</f>
        <v/>
      </c>
      <c r="AM240" s="61"/>
      <c r="BC240" s="50"/>
    </row>
    <row r="241">
      <c r="A241" s="54"/>
      <c r="B241" s="55" t="str">
        <f>IFERROR(__xludf.DUMMYFUNCTION("IFERROR(ROUND(
(COUNTIF(FILTER(Data!O:O, Data!B:B=A241), ""Win"")
+ COUNTIF(FILTER(Data!O:O, Data!B:B=A241), {""Tie"",""Results""}))
/ (COUNTIF(Data!B:B, A241)),
1),"""")"),"")</f>
        <v/>
      </c>
      <c r="C241" s="45" t="str">
        <f>IFERROR((SUMIF(Data!B:B, A241, Data!H:H)
/ (COUNTIF(Data!B:B, A241)
)),"")</f>
        <v/>
      </c>
      <c r="D241" s="45" t="str">
        <f>IFERROR((SUMIF(Data!B:B, A241, Data!G:G)
/ (COUNTIF(Data!B:B, A241)
)),"")</f>
        <v/>
      </c>
      <c r="E241" s="45"/>
      <c r="F241" s="45" t="str">
        <f>IFERROR((SUMIF(Data!B:B, A241, Data!J:J)
/ (COUNTIF(Data!B:B, A241)
)),"")</f>
        <v/>
      </c>
      <c r="G241" s="56" t="str">
        <f>IF(A241="","",IFERROR((((((SUMIF(Data!B:B, A241, Data!H:H)+(SUMIF(Data!B:B, A241,Data!G:G)))/(SUMIF(Data!B:B, A241, Data!J:J)))))),0))</f>
        <v/>
      </c>
      <c r="H241" s="45"/>
      <c r="I241" s="45"/>
      <c r="J241" s="45"/>
      <c r="K241" s="45"/>
      <c r="L241" s="45" t="str">
        <f>IFERROR((SUMIF(Data!B:B, A241, Data!L:L)
/ (COUNTIF(Data!B:B, A241)
)),"")</f>
        <v/>
      </c>
      <c r="M241" s="45" t="str">
        <f>IFERROR((SUMIF(Data!B:B, A241, Data!K:K)
/ (COUNTIF(Data!B:B, A241)
)),"")</f>
        <v/>
      </c>
      <c r="N241" s="56"/>
      <c r="O241" s="56" t="str">
        <f>IF(A241="","",IFERROR((((((SUMIF(Data!B:B, A241, Data!H:H)+(SUMIF(Data!B:B, A241,Data!G:G)+(SUMIF(Data!B:B, A241,Data!L:L)+(SUMIF(Data!B:B, A241,Data!K:K)))))/(SUMIF(Data!B:B, A241, Data!M:M)+(SUMIF(Data!B:B, A241, Data!H:H)+(SUMIF(Data!B:B, A241,Data!G:G)+(SUMIF(Data!B:B, A241,Data!K:K)+(SUMIF(Data!B:B, A241,Data!L:L)))))))))),0))</f>
        <v/>
      </c>
      <c r="P241" s="57" t="str">
        <f>IFERROR(__xludf.DUMMYFUNCTION("IFERROR(((COUNTIF(FILTER(Data!N:N,Data!B:B=A241),""TRAVERSE"")*15)+(COUNTIF(FILTER(Data!N:N,Data!B:B=A241),""HIGH"")*10)+(COUNTIF(FILTER(Data!N:N,Data!B:B=A241),""MIDDLE"")*6)+(COUNTIF(FILTER(Data!N:N,Data!B:B=A241),""LOW"")*4)) / (COUNTIF(Data!B:B, A241)"&amp;"),"""")"),"")</f>
        <v/>
      </c>
      <c r="Q241" s="58"/>
      <c r="R241" s="36" t="str">
        <f t="shared" si="37"/>
        <v/>
      </c>
      <c r="S241" s="58" t="str">
        <f>IFERROR(__xludf.DUMMYFUNCTION("IFERROR((((COUNTIF(FILTER(Data!N:N,Data!B:B=A241),""TRAVERSE""))+(COUNTIF(FILTER(Data!N:N,Data!B:B=A241),""HIGH""))+(COUNTIF(FILTER(Data!N:N,Data!B:B=A241),""MIDDLE""))+(COUNTIF(FILTER(Data!N:N,Data!B:B=A241),""LOW"")))) / (((COUNTIF(Data!B:B, A241)))-(CO"&amp;"UNTIF(FILTER(Data!N:N,Data!B:B=A241),""NONE""))),IF(ISBLANK(A241),"""",0))"),"")</f>
        <v/>
      </c>
      <c r="T241" s="56" t="str">
        <f>IFERROR(__xludf.DUMMYFUNCTION("IFERROR((COUNTIF(FILTER(Data!N:N, Data!B:B=A241),""LOW"")) / (COUNTIF(Data!B:B, A241)),"""")"),"")</f>
        <v/>
      </c>
      <c r="U241" s="59" t="str">
        <f>IFERROR(__xludf.DUMMYFUNCTION("IFERROR((COUNTIF(FILTER(Data!N:N, Data!B:B=A241),""MIDDLE"")) / (COUNTIF(Data!B:B, A241)),"""")"),"")</f>
        <v/>
      </c>
      <c r="V241" s="59" t="str">
        <f>IFERROR(__xludf.DUMMYFUNCTION("IFERROR((COUNTIF(FILTER(Data!N:N, Data!B:B=A241),""HIGH"")) / (COUNTIF(Data!B:B, A241)),"""")"),"")</f>
        <v/>
      </c>
      <c r="W241" s="59" t="str">
        <f>IFERROR(__xludf.DUMMYFUNCTION("IFERROR((COUNTIF(FILTER(Data!N:N, Data!B:B=A241),""TRAVERSE"")) / (COUNTIF(Data!B:B, A241)),"""")"),"")</f>
        <v/>
      </c>
      <c r="X241" s="60" t="str">
        <f t="shared" si="38"/>
        <v/>
      </c>
      <c r="Y241" s="45" t="str">
        <f t="shared" si="7"/>
        <v/>
      </c>
      <c r="Z241" s="45" t="str">
        <f t="shared" si="8"/>
        <v/>
      </c>
      <c r="AA241" s="16" t="str">
        <f t="shared" si="9"/>
        <v/>
      </c>
      <c r="AB241" s="16"/>
      <c r="AC241" s="16" t="str">
        <f>IFERROR(__xludf.DUMMYFUNCTION("IF(AA241="""","""",MAX(Filter((Data!G:G+Data!K:K),Data!B:B=A241)))"),"")</f>
        <v/>
      </c>
      <c r="AD241" s="16"/>
      <c r="AE241" s="16" t="str">
        <f t="shared" si="12"/>
        <v/>
      </c>
      <c r="AF241" s="16" t="str">
        <f t="shared" si="13"/>
        <v/>
      </c>
      <c r="AG241" s="44"/>
      <c r="AH241" s="44"/>
      <c r="AI241" s="44" t="str">
        <f>IFERROR(__xludf.DUMMYFUNCTION("TEXTJOIN("", "",TRUE, FILTER(Data!P:P, Data!B:B=A241))"),"")</f>
        <v/>
      </c>
      <c r="AM241" s="61"/>
      <c r="BC241" s="50"/>
    </row>
    <row r="242">
      <c r="A242" s="54"/>
      <c r="B242" s="55" t="str">
        <f>IFERROR(__xludf.DUMMYFUNCTION("IFERROR(ROUND(
(COUNTIF(FILTER(Data!O:O, Data!B:B=A242), ""Win"")
+ COUNTIF(FILTER(Data!O:O, Data!B:B=A242), {""Tie"",""Results""}))
/ (COUNTIF(Data!B:B, A242)),
1),"""")"),"")</f>
        <v/>
      </c>
      <c r="C242" s="45" t="str">
        <f>IFERROR((SUMIF(Data!B:B, A242, Data!H:H)
/ (COUNTIF(Data!B:B, A242)
)),"")</f>
        <v/>
      </c>
      <c r="D242" s="45" t="str">
        <f>IFERROR((SUMIF(Data!B:B, A242, Data!G:G)
/ (COUNTIF(Data!B:B, A242)
)),"")</f>
        <v/>
      </c>
      <c r="E242" s="45"/>
      <c r="F242" s="45" t="str">
        <f>IFERROR((SUMIF(Data!B:B, A242, Data!J:J)
/ (COUNTIF(Data!B:B, A242)
)),"")</f>
        <v/>
      </c>
      <c r="G242" s="56" t="str">
        <f>IF(A242="","",IFERROR((((((SUMIF(Data!B:B, A242, Data!H:H)+(SUMIF(Data!B:B, A242,Data!G:G)))/(SUMIF(Data!B:B, A242, Data!J:J)))))),0))</f>
        <v/>
      </c>
      <c r="H242" s="45"/>
      <c r="I242" s="45"/>
      <c r="J242" s="45"/>
      <c r="K242" s="45"/>
      <c r="L242" s="45" t="str">
        <f>IFERROR((SUMIF(Data!B:B, A242, Data!L:L)
/ (COUNTIF(Data!B:B, A242)
)),"")</f>
        <v/>
      </c>
      <c r="M242" s="45" t="str">
        <f>IFERROR((SUMIF(Data!B:B, A242, Data!K:K)
/ (COUNTIF(Data!B:B, A242)
)),"")</f>
        <v/>
      </c>
      <c r="N242" s="56"/>
      <c r="O242" s="56" t="str">
        <f>IF(A242="","",IFERROR((((((SUMIF(Data!B:B, A242, Data!H:H)+(SUMIF(Data!B:B, A242,Data!G:G)+(SUMIF(Data!B:B, A242,Data!L:L)+(SUMIF(Data!B:B, A242,Data!K:K)))))/(SUMIF(Data!B:B, A242, Data!M:M)+(SUMIF(Data!B:B, A242, Data!H:H)+(SUMIF(Data!B:B, A242,Data!G:G)+(SUMIF(Data!B:B, A242,Data!K:K)+(SUMIF(Data!B:B, A242,Data!L:L)))))))))),0))</f>
        <v/>
      </c>
      <c r="P242" s="57" t="str">
        <f>IFERROR(__xludf.DUMMYFUNCTION("IFERROR(((COUNTIF(FILTER(Data!N:N,Data!B:B=A242),""TRAVERSE"")*15)+(COUNTIF(FILTER(Data!N:N,Data!B:B=A242),""HIGH"")*10)+(COUNTIF(FILTER(Data!N:N,Data!B:B=A242),""MIDDLE"")*6)+(COUNTIF(FILTER(Data!N:N,Data!B:B=A242),""LOW"")*4)) / (COUNTIF(Data!B:B, A242)"&amp;"),"""")"),"")</f>
        <v/>
      </c>
      <c r="Q242" s="58"/>
      <c r="R242" s="36" t="str">
        <f t="shared" si="37"/>
        <v/>
      </c>
      <c r="S242" s="58" t="str">
        <f>IFERROR(__xludf.DUMMYFUNCTION("IFERROR((((COUNTIF(FILTER(Data!N:N,Data!B:B=A242),""TRAVERSE""))+(COUNTIF(FILTER(Data!N:N,Data!B:B=A242),""HIGH""))+(COUNTIF(FILTER(Data!N:N,Data!B:B=A242),""MIDDLE""))+(COUNTIF(FILTER(Data!N:N,Data!B:B=A242),""LOW"")))) / (((COUNTIF(Data!B:B, A242)))-(CO"&amp;"UNTIF(FILTER(Data!N:N,Data!B:B=A242),""NONE""))),IF(ISBLANK(A242),"""",0))"),"")</f>
        <v/>
      </c>
      <c r="T242" s="56" t="str">
        <f>IFERROR(__xludf.DUMMYFUNCTION("IFERROR((COUNTIF(FILTER(Data!N:N, Data!B:B=A242),""LOW"")) / (COUNTIF(Data!B:B, A242)),"""")"),"")</f>
        <v/>
      </c>
      <c r="U242" s="59" t="str">
        <f>IFERROR(__xludf.DUMMYFUNCTION("IFERROR((COUNTIF(FILTER(Data!N:N, Data!B:B=A242),""MIDDLE"")) / (COUNTIF(Data!B:B, A242)),"""")"),"")</f>
        <v/>
      </c>
      <c r="V242" s="59" t="str">
        <f>IFERROR(__xludf.DUMMYFUNCTION("IFERROR((COUNTIF(FILTER(Data!N:N, Data!B:B=A242),""HIGH"")) / (COUNTIF(Data!B:B, A242)),"""")"),"")</f>
        <v/>
      </c>
      <c r="W242" s="59" t="str">
        <f>IFERROR(__xludf.DUMMYFUNCTION("IFERROR((COUNTIF(FILTER(Data!N:N, Data!B:B=A242),""TRAVERSE"")) / (COUNTIF(Data!B:B, A242)),"""")"),"")</f>
        <v/>
      </c>
      <c r="X242" s="60" t="str">
        <f t="shared" si="38"/>
        <v/>
      </c>
      <c r="Y242" s="45" t="str">
        <f t="shared" si="7"/>
        <v/>
      </c>
      <c r="Z242" s="45" t="str">
        <f t="shared" si="8"/>
        <v/>
      </c>
      <c r="AA242" s="16" t="str">
        <f t="shared" si="9"/>
        <v/>
      </c>
      <c r="AB242" s="16"/>
      <c r="AC242" s="16" t="str">
        <f>IFERROR(__xludf.DUMMYFUNCTION("IF(AA242="""","""",MAX(Filter((Data!G:G+Data!K:K),Data!B:B=A242)))"),"")</f>
        <v/>
      </c>
      <c r="AD242" s="16"/>
      <c r="AE242" s="16" t="str">
        <f t="shared" si="12"/>
        <v/>
      </c>
      <c r="AF242" s="16" t="str">
        <f t="shared" si="13"/>
        <v/>
      </c>
      <c r="AG242" s="44"/>
      <c r="AH242" s="44"/>
      <c r="AI242" s="44" t="str">
        <f>IFERROR(__xludf.DUMMYFUNCTION("TEXTJOIN("", "",TRUE, FILTER(Data!P:P, Data!B:B=A242))"),"")</f>
        <v/>
      </c>
      <c r="AM242" s="61"/>
      <c r="BC242" s="50"/>
    </row>
    <row r="243">
      <c r="A243" s="54"/>
      <c r="B243" s="55" t="str">
        <f>IFERROR(__xludf.DUMMYFUNCTION("IFERROR(ROUND(
(COUNTIF(FILTER(Data!O:O, Data!B:B=A243), ""Win"")
+ COUNTIF(FILTER(Data!O:O, Data!B:B=A243), {""Tie"",""Results""}))
/ (COUNTIF(Data!B:B, A243)),
1),"""")"),"")</f>
        <v/>
      </c>
      <c r="C243" s="45" t="str">
        <f>IFERROR((SUMIF(Data!B:B, A243, Data!H:H)
/ (COUNTIF(Data!B:B, A243)
)),"")</f>
        <v/>
      </c>
      <c r="D243" s="45" t="str">
        <f>IFERROR((SUMIF(Data!B:B, A243, Data!G:G)
/ (COUNTIF(Data!B:B, A243)
)),"")</f>
        <v/>
      </c>
      <c r="E243" s="45"/>
      <c r="F243" s="45" t="str">
        <f>IFERROR((SUMIF(Data!B:B, A243, Data!J:J)
/ (COUNTIF(Data!B:B, A243)
)),"")</f>
        <v/>
      </c>
      <c r="G243" s="56" t="str">
        <f>IF(A243="","",IFERROR((((((SUMIF(Data!B:B, A243, Data!H:H)+(SUMIF(Data!B:B, A243,Data!G:G)))/(SUMIF(Data!B:B, A243, Data!J:J)))))),0))</f>
        <v/>
      </c>
      <c r="H243" s="45"/>
      <c r="I243" s="45"/>
      <c r="J243" s="45"/>
      <c r="K243" s="45"/>
      <c r="L243" s="45" t="str">
        <f>IFERROR((SUMIF(Data!B:B, A243, Data!L:L)
/ (COUNTIF(Data!B:B, A243)
)),"")</f>
        <v/>
      </c>
      <c r="M243" s="45" t="str">
        <f>IFERROR((SUMIF(Data!B:B, A243, Data!K:K)
/ (COUNTIF(Data!B:B, A243)
)),"")</f>
        <v/>
      </c>
      <c r="N243" s="56"/>
      <c r="O243" s="56" t="str">
        <f>IF(A243="","",IFERROR((((((SUMIF(Data!B:B, A243, Data!H:H)+(SUMIF(Data!B:B, A243,Data!G:G)+(SUMIF(Data!B:B, A243,Data!L:L)+(SUMIF(Data!B:B, A243,Data!K:K)))))/(SUMIF(Data!B:B, A243, Data!M:M)+(SUMIF(Data!B:B, A243, Data!H:H)+(SUMIF(Data!B:B, A243,Data!G:G)+(SUMIF(Data!B:B, A243,Data!K:K)+(SUMIF(Data!B:B, A243,Data!L:L)))))))))),0))</f>
        <v/>
      </c>
      <c r="P243" s="57" t="str">
        <f>IFERROR(__xludf.DUMMYFUNCTION("IFERROR(((COUNTIF(FILTER(Data!N:N,Data!B:B=A243),""TRAVERSE"")*15)+(COUNTIF(FILTER(Data!N:N,Data!B:B=A243),""HIGH"")*10)+(COUNTIF(FILTER(Data!N:N,Data!B:B=A243),""MIDDLE"")*6)+(COUNTIF(FILTER(Data!N:N,Data!B:B=A243),""LOW"")*4)) / (COUNTIF(Data!B:B, A243)"&amp;"),"""")"),"")</f>
        <v/>
      </c>
      <c r="Q243" s="58"/>
      <c r="R243" s="36" t="str">
        <f t="shared" si="37"/>
        <v/>
      </c>
      <c r="S243" s="58" t="str">
        <f>IFERROR(__xludf.DUMMYFUNCTION("IFERROR((((COUNTIF(FILTER(Data!N:N,Data!B:B=A243),""TRAVERSE""))+(COUNTIF(FILTER(Data!N:N,Data!B:B=A243),""HIGH""))+(COUNTIF(FILTER(Data!N:N,Data!B:B=A243),""MIDDLE""))+(COUNTIF(FILTER(Data!N:N,Data!B:B=A243),""LOW"")))) / (((COUNTIF(Data!B:B, A243)))-(CO"&amp;"UNTIF(FILTER(Data!N:N,Data!B:B=A243),""NONE""))),IF(ISBLANK(A243),"""",0))"),"")</f>
        <v/>
      </c>
      <c r="T243" s="56" t="str">
        <f>IFERROR(__xludf.DUMMYFUNCTION("IFERROR((COUNTIF(FILTER(Data!N:N, Data!B:B=A243),""LOW"")) / (COUNTIF(Data!B:B, A243)),"""")"),"")</f>
        <v/>
      </c>
      <c r="U243" s="59" t="str">
        <f>IFERROR(__xludf.DUMMYFUNCTION("IFERROR((COUNTIF(FILTER(Data!N:N, Data!B:B=A243),""MIDDLE"")) / (COUNTIF(Data!B:B, A243)),"""")"),"")</f>
        <v/>
      </c>
      <c r="V243" s="59" t="str">
        <f>IFERROR(__xludf.DUMMYFUNCTION("IFERROR((COUNTIF(FILTER(Data!N:N, Data!B:B=A243),""HIGH"")) / (COUNTIF(Data!B:B, A243)),"""")"),"")</f>
        <v/>
      </c>
      <c r="W243" s="59" t="str">
        <f>IFERROR(__xludf.DUMMYFUNCTION("IFERROR((COUNTIF(FILTER(Data!N:N, Data!B:B=A243),""TRAVERSE"")) / (COUNTIF(Data!B:B, A243)),"""")"),"")</f>
        <v/>
      </c>
      <c r="X243" s="60" t="str">
        <f t="shared" si="38"/>
        <v/>
      </c>
      <c r="Y243" s="45" t="str">
        <f t="shared" si="7"/>
        <v/>
      </c>
      <c r="Z243" s="45" t="str">
        <f t="shared" si="8"/>
        <v/>
      </c>
      <c r="AA243" s="16" t="str">
        <f t="shared" si="9"/>
        <v/>
      </c>
      <c r="AB243" s="16"/>
      <c r="AC243" s="16" t="str">
        <f>IFERROR(__xludf.DUMMYFUNCTION("IF(AA243="""","""",MAX(Filter((Data!G:G+Data!K:K),Data!B:B=A243)))"),"")</f>
        <v/>
      </c>
      <c r="AD243" s="16"/>
      <c r="AE243" s="16" t="str">
        <f t="shared" si="12"/>
        <v/>
      </c>
      <c r="AF243" s="16" t="str">
        <f t="shared" si="13"/>
        <v/>
      </c>
      <c r="AG243" s="44"/>
      <c r="AH243" s="44"/>
      <c r="AI243" s="44" t="str">
        <f>IFERROR(__xludf.DUMMYFUNCTION("TEXTJOIN("", "",TRUE, FILTER(Data!P:P, Data!B:B=A243))"),"")</f>
        <v/>
      </c>
      <c r="AM243" s="61"/>
      <c r="BC243" s="50"/>
    </row>
    <row r="244">
      <c r="A244" s="54"/>
      <c r="B244" s="55" t="str">
        <f>IFERROR(__xludf.DUMMYFUNCTION("IFERROR(ROUND(
(COUNTIF(FILTER(Data!O:O, Data!B:B=A244), ""Win"")
+ COUNTIF(FILTER(Data!O:O, Data!B:B=A244), {""Tie"",""Results""}))
/ (COUNTIF(Data!B:B, A244)),
1),"""")"),"")</f>
        <v/>
      </c>
      <c r="C244" s="45" t="str">
        <f>IFERROR((SUMIF(Data!B:B, A244, Data!H:H)
/ (COUNTIF(Data!B:B, A244)
)),"")</f>
        <v/>
      </c>
      <c r="D244" s="45" t="str">
        <f>IFERROR((SUMIF(Data!B:B, A244, Data!G:G)
/ (COUNTIF(Data!B:B, A244)
)),"")</f>
        <v/>
      </c>
      <c r="E244" s="45"/>
      <c r="F244" s="45" t="str">
        <f>IFERROR((SUMIF(Data!B:B, A244, Data!J:J)
/ (COUNTIF(Data!B:B, A244)
)),"")</f>
        <v/>
      </c>
      <c r="G244" s="56" t="str">
        <f>IF(A244="","",IFERROR((((((SUMIF(Data!B:B, A244, Data!H:H)+(SUMIF(Data!B:B, A244,Data!G:G)))/(SUMIF(Data!B:B, A244, Data!J:J)))))),0))</f>
        <v/>
      </c>
      <c r="H244" s="45"/>
      <c r="I244" s="45"/>
      <c r="J244" s="45"/>
      <c r="K244" s="45"/>
      <c r="L244" s="45" t="str">
        <f>IFERROR((SUMIF(Data!B:B, A244, Data!L:L)
/ (COUNTIF(Data!B:B, A244)
)),"")</f>
        <v/>
      </c>
      <c r="M244" s="45" t="str">
        <f>IFERROR((SUMIF(Data!B:B, A244, Data!K:K)
/ (COUNTIF(Data!B:B, A244)
)),"")</f>
        <v/>
      </c>
      <c r="N244" s="56"/>
      <c r="O244" s="56" t="str">
        <f>IF(A244="","",IFERROR((((((SUMIF(Data!B:B, A244, Data!H:H)+(SUMIF(Data!B:B, A244,Data!G:G)+(SUMIF(Data!B:B, A244,Data!L:L)+(SUMIF(Data!B:B, A244,Data!K:K)))))/(SUMIF(Data!B:B, A244, Data!M:M)+(SUMIF(Data!B:B, A244, Data!H:H)+(SUMIF(Data!B:B, A244,Data!G:G)+(SUMIF(Data!B:B, A244,Data!K:K)+(SUMIF(Data!B:B, A244,Data!L:L)))))))))),0))</f>
        <v/>
      </c>
      <c r="P244" s="57" t="str">
        <f>IFERROR(__xludf.DUMMYFUNCTION("IFERROR(((COUNTIF(FILTER(Data!N:N,Data!B:B=A244),""TRAVERSE"")*15)+(COUNTIF(FILTER(Data!N:N,Data!B:B=A244),""HIGH"")*10)+(COUNTIF(FILTER(Data!N:N,Data!B:B=A244),""MIDDLE"")*6)+(COUNTIF(FILTER(Data!N:N,Data!B:B=A244),""LOW"")*4)) / (COUNTIF(Data!B:B, A244)"&amp;"),"""")"),"")</f>
        <v/>
      </c>
      <c r="Q244" s="58"/>
      <c r="R244" s="36" t="str">
        <f t="shared" si="37"/>
        <v/>
      </c>
      <c r="S244" s="58" t="str">
        <f>IFERROR(__xludf.DUMMYFUNCTION("IFERROR((((COUNTIF(FILTER(Data!N:N,Data!B:B=A244),""TRAVERSE""))+(COUNTIF(FILTER(Data!N:N,Data!B:B=A244),""HIGH""))+(COUNTIF(FILTER(Data!N:N,Data!B:B=A244),""MIDDLE""))+(COUNTIF(FILTER(Data!N:N,Data!B:B=A244),""LOW"")))) / (((COUNTIF(Data!B:B, A244)))-(CO"&amp;"UNTIF(FILTER(Data!N:N,Data!B:B=A244),""NONE""))),IF(ISBLANK(A244),"""",0))"),"")</f>
        <v/>
      </c>
      <c r="T244" s="56" t="str">
        <f>IFERROR(__xludf.DUMMYFUNCTION("IFERROR((COUNTIF(FILTER(Data!N:N, Data!B:B=A244),""LOW"")) / (COUNTIF(Data!B:B, A244)),"""")"),"")</f>
        <v/>
      </c>
      <c r="U244" s="59" t="str">
        <f>IFERROR(__xludf.DUMMYFUNCTION("IFERROR((COUNTIF(FILTER(Data!N:N, Data!B:B=A244),""MIDDLE"")) / (COUNTIF(Data!B:B, A244)),"""")"),"")</f>
        <v/>
      </c>
      <c r="V244" s="59" t="str">
        <f>IFERROR(__xludf.DUMMYFUNCTION("IFERROR((COUNTIF(FILTER(Data!N:N, Data!B:B=A244),""HIGH"")) / (COUNTIF(Data!B:B, A244)),"""")"),"")</f>
        <v/>
      </c>
      <c r="W244" s="59" t="str">
        <f>IFERROR(__xludf.DUMMYFUNCTION("IFERROR((COUNTIF(FILTER(Data!N:N, Data!B:B=A244),""TRAVERSE"")) / (COUNTIF(Data!B:B, A244)),"""")"),"")</f>
        <v/>
      </c>
      <c r="X244" s="60" t="str">
        <f t="shared" si="38"/>
        <v/>
      </c>
      <c r="Y244" s="45" t="str">
        <f t="shared" si="7"/>
        <v/>
      </c>
      <c r="Z244" s="45" t="str">
        <f t="shared" si="8"/>
        <v/>
      </c>
      <c r="AA244" s="16" t="str">
        <f t="shared" si="9"/>
        <v/>
      </c>
      <c r="AB244" s="16"/>
      <c r="AC244" s="16" t="str">
        <f>IFERROR(__xludf.DUMMYFUNCTION("IF(AA244="""","""",MAX(Filter((Data!G:G+Data!K:K),Data!B:B=A244)))"),"")</f>
        <v/>
      </c>
      <c r="AD244" s="16"/>
      <c r="AE244" s="16" t="str">
        <f t="shared" si="12"/>
        <v/>
      </c>
      <c r="AF244" s="16" t="str">
        <f t="shared" si="13"/>
        <v/>
      </c>
      <c r="AG244" s="44"/>
      <c r="AH244" s="44"/>
      <c r="AI244" s="44" t="str">
        <f>IFERROR(__xludf.DUMMYFUNCTION("TEXTJOIN("", "",TRUE, FILTER(Data!P:P, Data!B:B=A244))"),"")</f>
        <v/>
      </c>
      <c r="AM244" s="61"/>
      <c r="BC244" s="50"/>
    </row>
    <row r="245">
      <c r="A245" s="54"/>
      <c r="B245" s="55" t="str">
        <f>IFERROR(__xludf.DUMMYFUNCTION("IFERROR(ROUND(
(COUNTIF(FILTER(Data!O:O, Data!B:B=A245), ""Win"")
+ COUNTIF(FILTER(Data!O:O, Data!B:B=A245), {""Tie"",""Results""}))
/ (COUNTIF(Data!B:B, A245)),
1),"""")"),"")</f>
        <v/>
      </c>
      <c r="C245" s="45" t="str">
        <f>IFERROR((SUMIF(Data!B:B, A245, Data!H:H)
/ (COUNTIF(Data!B:B, A245)
)),"")</f>
        <v/>
      </c>
      <c r="D245" s="45" t="str">
        <f>IFERROR((SUMIF(Data!B:B, A245, Data!G:G)
/ (COUNTIF(Data!B:B, A245)
)),"")</f>
        <v/>
      </c>
      <c r="E245" s="45"/>
      <c r="F245" s="45" t="str">
        <f>IFERROR((SUMIF(Data!B:B, A245, Data!J:J)
/ (COUNTIF(Data!B:B, A245)
)),"")</f>
        <v/>
      </c>
      <c r="G245" s="56" t="str">
        <f>IF(A245="","",IFERROR((((((SUMIF(Data!B:B, A245, Data!H:H)+(SUMIF(Data!B:B, A245,Data!G:G)))/(SUMIF(Data!B:B, A245, Data!J:J)))))),0))</f>
        <v/>
      </c>
      <c r="H245" s="45"/>
      <c r="I245" s="45"/>
      <c r="J245" s="45"/>
      <c r="K245" s="45"/>
      <c r="L245" s="45" t="str">
        <f>IFERROR((SUMIF(Data!B:B, A245, Data!L:L)
/ (COUNTIF(Data!B:B, A245)
)),"")</f>
        <v/>
      </c>
      <c r="M245" s="45" t="str">
        <f>IFERROR((SUMIF(Data!B:B, A245, Data!K:K)
/ (COUNTIF(Data!B:B, A245)
)),"")</f>
        <v/>
      </c>
      <c r="N245" s="56"/>
      <c r="O245" s="56" t="str">
        <f>IF(A245="","",IFERROR((((((SUMIF(Data!B:B, A245, Data!H:H)+(SUMIF(Data!B:B, A245,Data!G:G)+(SUMIF(Data!B:B, A245,Data!L:L)+(SUMIF(Data!B:B, A245,Data!K:K)))))/(SUMIF(Data!B:B, A245, Data!M:M)+(SUMIF(Data!B:B, A245, Data!H:H)+(SUMIF(Data!B:B, A245,Data!G:G)+(SUMIF(Data!B:B, A245,Data!K:K)+(SUMIF(Data!B:B, A245,Data!L:L)))))))))),0))</f>
        <v/>
      </c>
      <c r="P245" s="57" t="str">
        <f>IFERROR(__xludf.DUMMYFUNCTION("IFERROR(((COUNTIF(FILTER(Data!N:N,Data!B:B=A245),""TRAVERSE"")*15)+(COUNTIF(FILTER(Data!N:N,Data!B:B=A245),""HIGH"")*10)+(COUNTIF(FILTER(Data!N:N,Data!B:B=A245),""MIDDLE"")*6)+(COUNTIF(FILTER(Data!N:N,Data!B:B=A245),""LOW"")*4)) / (COUNTIF(Data!B:B, A245)"&amp;"),"""")"),"")</f>
        <v/>
      </c>
      <c r="Q245" s="58"/>
      <c r="R245" s="36" t="str">
        <f t="shared" si="37"/>
        <v/>
      </c>
      <c r="S245" s="58" t="str">
        <f>IFERROR(__xludf.DUMMYFUNCTION("IFERROR((((COUNTIF(FILTER(Data!N:N,Data!B:B=A245),""TRAVERSE""))+(COUNTIF(FILTER(Data!N:N,Data!B:B=A245),""HIGH""))+(COUNTIF(FILTER(Data!N:N,Data!B:B=A245),""MIDDLE""))+(COUNTIF(FILTER(Data!N:N,Data!B:B=A245),""LOW"")))) / (((COUNTIF(Data!B:B, A245)))-(CO"&amp;"UNTIF(FILTER(Data!N:N,Data!B:B=A245),""NONE""))),IF(ISBLANK(A245),"""",0))"),"")</f>
        <v/>
      </c>
      <c r="T245" s="56" t="str">
        <f>IFERROR(__xludf.DUMMYFUNCTION("IFERROR((COUNTIF(FILTER(Data!N:N, Data!B:B=A245),""LOW"")) / (COUNTIF(Data!B:B, A245)),"""")"),"")</f>
        <v/>
      </c>
      <c r="U245" s="59" t="str">
        <f>IFERROR(__xludf.DUMMYFUNCTION("IFERROR((COUNTIF(FILTER(Data!N:N, Data!B:B=A245),""MIDDLE"")) / (COUNTIF(Data!B:B, A245)),"""")"),"")</f>
        <v/>
      </c>
      <c r="V245" s="59" t="str">
        <f>IFERROR(__xludf.DUMMYFUNCTION("IFERROR((COUNTIF(FILTER(Data!N:N, Data!B:B=A245),""HIGH"")) / (COUNTIF(Data!B:B, A245)),"""")"),"")</f>
        <v/>
      </c>
      <c r="W245" s="59" t="str">
        <f>IFERROR(__xludf.DUMMYFUNCTION("IFERROR((COUNTIF(FILTER(Data!N:N, Data!B:B=A245),""TRAVERSE"")) / (COUNTIF(Data!B:B, A245)),"""")"),"")</f>
        <v/>
      </c>
      <c r="X245" s="60" t="str">
        <f t="shared" si="38"/>
        <v/>
      </c>
      <c r="Y245" s="45" t="str">
        <f t="shared" si="7"/>
        <v/>
      </c>
      <c r="Z245" s="45" t="str">
        <f t="shared" si="8"/>
        <v/>
      </c>
      <c r="AA245" s="16" t="str">
        <f t="shared" si="9"/>
        <v/>
      </c>
      <c r="AB245" s="16"/>
      <c r="AC245" s="16" t="str">
        <f>IFERROR(__xludf.DUMMYFUNCTION("IF(AA245="""","""",MAX(Filter((Data!G:G+Data!K:K),Data!B:B=A245)))"),"")</f>
        <v/>
      </c>
      <c r="AD245" s="16"/>
      <c r="AE245" s="16" t="str">
        <f t="shared" si="12"/>
        <v/>
      </c>
      <c r="AF245" s="16" t="str">
        <f t="shared" si="13"/>
        <v/>
      </c>
      <c r="AG245" s="44"/>
      <c r="AH245" s="44"/>
      <c r="AI245" s="44" t="str">
        <f>IFERROR(__xludf.DUMMYFUNCTION("TEXTJOIN("", "",TRUE, FILTER(Data!P:P, Data!B:B=A245))"),"")</f>
        <v/>
      </c>
      <c r="AM245" s="61"/>
      <c r="BC245" s="50"/>
    </row>
    <row r="246">
      <c r="A246" s="54"/>
      <c r="B246" s="55" t="str">
        <f>IFERROR(__xludf.DUMMYFUNCTION("IFERROR(ROUND(
(COUNTIF(FILTER(Data!O:O, Data!B:B=A246), ""Win"")
+ COUNTIF(FILTER(Data!O:O, Data!B:B=A246), {""Tie"",""Results""}))
/ (COUNTIF(Data!B:B, A246)),
1),"""")"),"")</f>
        <v/>
      </c>
      <c r="C246" s="45" t="str">
        <f>IFERROR((SUMIF(Data!B:B, A246, Data!H:H)
/ (COUNTIF(Data!B:B, A246)
)),"")</f>
        <v/>
      </c>
      <c r="D246" s="45" t="str">
        <f>IFERROR((SUMIF(Data!B:B, A246, Data!G:G)
/ (COUNTIF(Data!B:B, A246)
)),"")</f>
        <v/>
      </c>
      <c r="E246" s="45"/>
      <c r="F246" s="45" t="str">
        <f>IFERROR((SUMIF(Data!B:B, A246, Data!J:J)
/ (COUNTIF(Data!B:B, A246)
)),"")</f>
        <v/>
      </c>
      <c r="G246" s="56" t="str">
        <f>IF(A246="","",IFERROR((((((SUMIF(Data!B:B, A246, Data!H:H)+(SUMIF(Data!B:B, A246,Data!G:G)))/(SUMIF(Data!B:B, A246, Data!J:J)))))),0))</f>
        <v/>
      </c>
      <c r="H246" s="45"/>
      <c r="I246" s="45"/>
      <c r="J246" s="45"/>
      <c r="K246" s="45"/>
      <c r="L246" s="45" t="str">
        <f>IFERROR((SUMIF(Data!B:B, A246, Data!L:L)
/ (COUNTIF(Data!B:B, A246)
)),"")</f>
        <v/>
      </c>
      <c r="M246" s="45" t="str">
        <f>IFERROR((SUMIF(Data!B:B, A246, Data!K:K)
/ (COUNTIF(Data!B:B, A246)
)),"")</f>
        <v/>
      </c>
      <c r="N246" s="56"/>
      <c r="O246" s="56" t="str">
        <f>IF(A246="","",IFERROR((((((SUMIF(Data!B:B, A246, Data!H:H)+(SUMIF(Data!B:B, A246,Data!G:G)+(SUMIF(Data!B:B, A246,Data!L:L)+(SUMIF(Data!B:B, A246,Data!K:K)))))/(SUMIF(Data!B:B, A246, Data!M:M)+(SUMIF(Data!B:B, A246, Data!H:H)+(SUMIF(Data!B:B, A246,Data!G:G)+(SUMIF(Data!B:B, A246,Data!K:K)+(SUMIF(Data!B:B, A246,Data!L:L)))))))))),0))</f>
        <v/>
      </c>
      <c r="P246" s="57" t="str">
        <f>IFERROR(__xludf.DUMMYFUNCTION("IFERROR(((COUNTIF(FILTER(Data!N:N,Data!B:B=A246),""TRAVERSE"")*15)+(COUNTIF(FILTER(Data!N:N,Data!B:B=A246),""HIGH"")*10)+(COUNTIF(FILTER(Data!N:N,Data!B:B=A246),""MIDDLE"")*6)+(COUNTIF(FILTER(Data!N:N,Data!B:B=A246),""LOW"")*4)) / (COUNTIF(Data!B:B, A246)"&amp;"),"""")"),"")</f>
        <v/>
      </c>
      <c r="Q246" s="58"/>
      <c r="R246" s="36" t="str">
        <f t="shared" si="37"/>
        <v/>
      </c>
      <c r="S246" s="58" t="str">
        <f>IFERROR(__xludf.DUMMYFUNCTION("IFERROR((((COUNTIF(FILTER(Data!N:N,Data!B:B=A246),""TRAVERSE""))+(COUNTIF(FILTER(Data!N:N,Data!B:B=A246),""HIGH""))+(COUNTIF(FILTER(Data!N:N,Data!B:B=A246),""MIDDLE""))+(COUNTIF(FILTER(Data!N:N,Data!B:B=A246),""LOW"")))) / (((COUNTIF(Data!B:B, A246)))-(CO"&amp;"UNTIF(FILTER(Data!N:N,Data!B:B=A246),""NONE""))),IF(ISBLANK(A246),"""",0))"),"")</f>
        <v/>
      </c>
      <c r="T246" s="56" t="str">
        <f>IFERROR(__xludf.DUMMYFUNCTION("IFERROR((COUNTIF(FILTER(Data!N:N, Data!B:B=A246),""LOW"")) / (COUNTIF(Data!B:B, A246)),"""")"),"")</f>
        <v/>
      </c>
      <c r="U246" s="59" t="str">
        <f>IFERROR(__xludf.DUMMYFUNCTION("IFERROR((COUNTIF(FILTER(Data!N:N, Data!B:B=A246),""MIDDLE"")) / (COUNTIF(Data!B:B, A246)),"""")"),"")</f>
        <v/>
      </c>
      <c r="V246" s="59" t="str">
        <f>IFERROR(__xludf.DUMMYFUNCTION("IFERROR((COUNTIF(FILTER(Data!N:N, Data!B:B=A246),""HIGH"")) / (COUNTIF(Data!B:B, A246)),"""")"),"")</f>
        <v/>
      </c>
      <c r="W246" s="59" t="str">
        <f>IFERROR(__xludf.DUMMYFUNCTION("IFERROR((COUNTIF(FILTER(Data!N:N, Data!B:B=A246),""TRAVERSE"")) / (COUNTIF(Data!B:B, A246)),"""")"),"")</f>
        <v/>
      </c>
      <c r="X246" s="60" t="str">
        <f t="shared" si="38"/>
        <v/>
      </c>
      <c r="Y246" s="45" t="str">
        <f t="shared" si="7"/>
        <v/>
      </c>
      <c r="Z246" s="45" t="str">
        <f t="shared" si="8"/>
        <v/>
      </c>
      <c r="AA246" s="16" t="str">
        <f t="shared" si="9"/>
        <v/>
      </c>
      <c r="AB246" s="16"/>
      <c r="AC246" s="16" t="str">
        <f>IFERROR(__xludf.DUMMYFUNCTION("IF(AA246="""","""",MAX(Filter((Data!G:G+Data!K:K),Data!B:B=A246)))"),"")</f>
        <v/>
      </c>
      <c r="AD246" s="16"/>
      <c r="AE246" s="16" t="str">
        <f t="shared" si="12"/>
        <v/>
      </c>
      <c r="AF246" s="16" t="str">
        <f t="shared" si="13"/>
        <v/>
      </c>
      <c r="AG246" s="44"/>
      <c r="AH246" s="44"/>
      <c r="AI246" s="44" t="str">
        <f>IFERROR(__xludf.DUMMYFUNCTION("TEXTJOIN("", "",TRUE, FILTER(Data!P:P, Data!B:B=A246))"),"")</f>
        <v/>
      </c>
      <c r="AM246" s="61"/>
      <c r="BC246" s="50"/>
    </row>
    <row r="247">
      <c r="A247" s="54"/>
      <c r="B247" s="55" t="str">
        <f>IFERROR(__xludf.DUMMYFUNCTION("IFERROR(ROUND(
(COUNTIF(FILTER(Data!O:O, Data!B:B=A247), ""Win"")
+ COUNTIF(FILTER(Data!O:O, Data!B:B=A247), {""Tie"",""Results""}))
/ (COUNTIF(Data!B:B, A247)),
1),"""")"),"")</f>
        <v/>
      </c>
      <c r="C247" s="45" t="str">
        <f>IFERROR((SUMIF(Data!B:B, A247, Data!H:H)
/ (COUNTIF(Data!B:B, A247)
)),"")</f>
        <v/>
      </c>
      <c r="D247" s="45" t="str">
        <f>IFERROR((SUMIF(Data!B:B, A247, Data!G:G)
/ (COUNTIF(Data!B:B, A247)
)),"")</f>
        <v/>
      </c>
      <c r="E247" s="45"/>
      <c r="F247" s="45" t="str">
        <f>IFERROR((SUMIF(Data!B:B, A247, Data!J:J)
/ (COUNTIF(Data!B:B, A247)
)),"")</f>
        <v/>
      </c>
      <c r="G247" s="56" t="str">
        <f>IF(A247="","",IFERROR((((((SUMIF(Data!B:B, A247, Data!H:H)+(SUMIF(Data!B:B, A247,Data!G:G)))/(SUMIF(Data!B:B, A247, Data!J:J)))))),0))</f>
        <v/>
      </c>
      <c r="H247" s="45"/>
      <c r="I247" s="45"/>
      <c r="J247" s="45"/>
      <c r="K247" s="45"/>
      <c r="L247" s="45" t="str">
        <f>IFERROR((SUMIF(Data!B:B, A247, Data!L:L)
/ (COUNTIF(Data!B:B, A247)
)),"")</f>
        <v/>
      </c>
      <c r="M247" s="45" t="str">
        <f>IFERROR((SUMIF(Data!B:B, A247, Data!K:K)
/ (COUNTIF(Data!B:B, A247)
)),"")</f>
        <v/>
      </c>
      <c r="N247" s="56"/>
      <c r="O247" s="56" t="str">
        <f>IF(A247="","",IFERROR((((((SUMIF(Data!B:B, A247, Data!H:H)+(SUMIF(Data!B:B, A247,Data!G:G)+(SUMIF(Data!B:B, A247,Data!L:L)+(SUMIF(Data!B:B, A247,Data!K:K)))))/(SUMIF(Data!B:B, A247, Data!M:M)+(SUMIF(Data!B:B, A247, Data!H:H)+(SUMIF(Data!B:B, A247,Data!G:G)+(SUMIF(Data!B:B, A247,Data!K:K)+(SUMIF(Data!B:B, A247,Data!L:L)))))))))),0))</f>
        <v/>
      </c>
      <c r="P247" s="57" t="str">
        <f>IFERROR(__xludf.DUMMYFUNCTION("IFERROR(((COUNTIF(FILTER(Data!N:N,Data!B:B=A247),""TRAVERSE"")*15)+(COUNTIF(FILTER(Data!N:N,Data!B:B=A247),""HIGH"")*10)+(COUNTIF(FILTER(Data!N:N,Data!B:B=A247),""MIDDLE"")*6)+(COUNTIF(FILTER(Data!N:N,Data!B:B=A247),""LOW"")*4)) / (COUNTIF(Data!B:B, A247)"&amp;"),"""")"),"")</f>
        <v/>
      </c>
      <c r="Q247" s="58"/>
      <c r="R247" s="36" t="str">
        <f t="shared" si="37"/>
        <v/>
      </c>
      <c r="S247" s="58" t="str">
        <f>IFERROR(__xludf.DUMMYFUNCTION("IFERROR((((COUNTIF(FILTER(Data!N:N,Data!B:B=A247),""TRAVERSE""))+(COUNTIF(FILTER(Data!N:N,Data!B:B=A247),""HIGH""))+(COUNTIF(FILTER(Data!N:N,Data!B:B=A247),""MIDDLE""))+(COUNTIF(FILTER(Data!N:N,Data!B:B=A247),""LOW"")))) / (((COUNTIF(Data!B:B, A247)))-(CO"&amp;"UNTIF(FILTER(Data!N:N,Data!B:B=A247),""NONE""))),IF(ISBLANK(A247),"""",0))"),"")</f>
        <v/>
      </c>
      <c r="T247" s="56" t="str">
        <f>IFERROR(__xludf.DUMMYFUNCTION("IFERROR((COUNTIF(FILTER(Data!N:N, Data!B:B=A247),""LOW"")) / (COUNTIF(Data!B:B, A247)),"""")"),"")</f>
        <v/>
      </c>
      <c r="U247" s="59" t="str">
        <f>IFERROR(__xludf.DUMMYFUNCTION("IFERROR((COUNTIF(FILTER(Data!N:N, Data!B:B=A247),""MIDDLE"")) / (COUNTIF(Data!B:B, A247)),"""")"),"")</f>
        <v/>
      </c>
      <c r="V247" s="59" t="str">
        <f>IFERROR(__xludf.DUMMYFUNCTION("IFERROR((COUNTIF(FILTER(Data!N:N, Data!B:B=A247),""HIGH"")) / (COUNTIF(Data!B:B, A247)),"""")"),"")</f>
        <v/>
      </c>
      <c r="W247" s="59" t="str">
        <f>IFERROR(__xludf.DUMMYFUNCTION("IFERROR((COUNTIF(FILTER(Data!N:N, Data!B:B=A247),""TRAVERSE"")) / (COUNTIF(Data!B:B, A247)),"""")"),"")</f>
        <v/>
      </c>
      <c r="X247" s="60" t="str">
        <f t="shared" si="38"/>
        <v/>
      </c>
      <c r="Y247" s="45" t="str">
        <f t="shared" si="7"/>
        <v/>
      </c>
      <c r="Z247" s="45" t="str">
        <f t="shared" si="8"/>
        <v/>
      </c>
      <c r="AA247" s="16" t="str">
        <f t="shared" si="9"/>
        <v/>
      </c>
      <c r="AB247" s="16"/>
      <c r="AC247" s="16" t="str">
        <f>IFERROR(__xludf.DUMMYFUNCTION("IF(AA247="""","""",MAX(Filter((Data!G:G+Data!K:K),Data!B:B=A247)))"),"")</f>
        <v/>
      </c>
      <c r="AD247" s="16"/>
      <c r="AE247" s="16" t="str">
        <f t="shared" si="12"/>
        <v/>
      </c>
      <c r="AF247" s="16" t="str">
        <f t="shared" si="13"/>
        <v/>
      </c>
      <c r="AG247" s="44"/>
      <c r="AH247" s="44"/>
      <c r="AI247" s="44" t="str">
        <f>IFERROR(__xludf.DUMMYFUNCTION("TEXTJOIN("", "",TRUE, FILTER(Data!P:P, Data!B:B=A247))"),"")</f>
        <v/>
      </c>
      <c r="AM247" s="61"/>
      <c r="BC247" s="50"/>
    </row>
    <row r="248">
      <c r="A248" s="54"/>
      <c r="B248" s="55" t="str">
        <f>IFERROR(__xludf.DUMMYFUNCTION("IFERROR(ROUND(
(COUNTIF(FILTER(Data!O:O, Data!B:B=A248), ""Win"")
+ COUNTIF(FILTER(Data!O:O, Data!B:B=A248), {""Tie"",""Results""}))
/ (COUNTIF(Data!B:B, A248)),
1),"""")"),"")</f>
        <v/>
      </c>
      <c r="C248" s="45" t="str">
        <f>IFERROR((SUMIF(Data!B:B, A248, Data!H:H)
/ (COUNTIF(Data!B:B, A248)
)),"")</f>
        <v/>
      </c>
      <c r="D248" s="45" t="str">
        <f>IFERROR((SUMIF(Data!B:B, A248, Data!G:G)
/ (COUNTIF(Data!B:B, A248)
)),"")</f>
        <v/>
      </c>
      <c r="E248" s="45"/>
      <c r="F248" s="45" t="str">
        <f>IFERROR((SUMIF(Data!B:B, A248, Data!J:J)
/ (COUNTIF(Data!B:B, A248)
)),"")</f>
        <v/>
      </c>
      <c r="G248" s="56" t="str">
        <f>IF(A248="","",IFERROR((((((SUMIF(Data!B:B, A248, Data!H:H)+(SUMIF(Data!B:B, A248,Data!G:G)))/(SUMIF(Data!B:B, A248, Data!J:J)))))),0))</f>
        <v/>
      </c>
      <c r="H248" s="45"/>
      <c r="I248" s="45"/>
      <c r="J248" s="45"/>
      <c r="K248" s="45"/>
      <c r="L248" s="45" t="str">
        <f>IFERROR((SUMIF(Data!B:B, A248, Data!L:L)
/ (COUNTIF(Data!B:B, A248)
)),"")</f>
        <v/>
      </c>
      <c r="M248" s="45" t="str">
        <f>IFERROR((SUMIF(Data!B:B, A248, Data!K:K)
/ (COUNTIF(Data!B:B, A248)
)),"")</f>
        <v/>
      </c>
      <c r="N248" s="56"/>
      <c r="O248" s="56" t="str">
        <f>IF(A248="","",IFERROR((((((SUMIF(Data!B:B, A248, Data!H:H)+(SUMIF(Data!B:B, A248,Data!G:G)+(SUMIF(Data!B:B, A248,Data!L:L)+(SUMIF(Data!B:B, A248,Data!K:K)))))/(SUMIF(Data!B:B, A248, Data!M:M)+(SUMIF(Data!B:B, A248, Data!H:H)+(SUMIF(Data!B:B, A248,Data!G:G)+(SUMIF(Data!B:B, A248,Data!K:K)+(SUMIF(Data!B:B, A248,Data!L:L)))))))))),0))</f>
        <v/>
      </c>
      <c r="P248" s="57" t="str">
        <f>IFERROR(__xludf.DUMMYFUNCTION("IFERROR(((COUNTIF(FILTER(Data!N:N,Data!B:B=A248),""TRAVERSE"")*15)+(COUNTIF(FILTER(Data!N:N,Data!B:B=A248),""HIGH"")*10)+(COUNTIF(FILTER(Data!N:N,Data!B:B=A248),""MIDDLE"")*6)+(COUNTIF(FILTER(Data!N:N,Data!B:B=A248),""LOW"")*4)) / (COUNTIF(Data!B:B, A248)"&amp;"),"""")"),"")</f>
        <v/>
      </c>
      <c r="Q248" s="58"/>
      <c r="R248" s="36" t="str">
        <f t="shared" si="37"/>
        <v/>
      </c>
      <c r="S248" s="58" t="str">
        <f>IFERROR(__xludf.DUMMYFUNCTION("IFERROR((((COUNTIF(FILTER(Data!N:N,Data!B:B=A248),""TRAVERSE""))+(COUNTIF(FILTER(Data!N:N,Data!B:B=A248),""HIGH""))+(COUNTIF(FILTER(Data!N:N,Data!B:B=A248),""MIDDLE""))+(COUNTIF(FILTER(Data!N:N,Data!B:B=A248),""LOW"")))) / (((COUNTIF(Data!B:B, A248)))-(CO"&amp;"UNTIF(FILTER(Data!N:N,Data!B:B=A248),""NONE""))),IF(ISBLANK(A248),"""",0))"),"")</f>
        <v/>
      </c>
      <c r="T248" s="56" t="str">
        <f>IFERROR(__xludf.DUMMYFUNCTION("IFERROR((COUNTIF(FILTER(Data!N:N, Data!B:B=A248),""LOW"")) / (COUNTIF(Data!B:B, A248)),"""")"),"")</f>
        <v/>
      </c>
      <c r="U248" s="59" t="str">
        <f>IFERROR(__xludf.DUMMYFUNCTION("IFERROR((COUNTIF(FILTER(Data!N:N, Data!B:B=A248),""MIDDLE"")) / (COUNTIF(Data!B:B, A248)),"""")"),"")</f>
        <v/>
      </c>
      <c r="V248" s="59" t="str">
        <f>IFERROR(__xludf.DUMMYFUNCTION("IFERROR((COUNTIF(FILTER(Data!N:N, Data!B:B=A248),""HIGH"")) / (COUNTIF(Data!B:B, A248)),"""")"),"")</f>
        <v/>
      </c>
      <c r="W248" s="59" t="str">
        <f>IFERROR(__xludf.DUMMYFUNCTION("IFERROR((COUNTIF(FILTER(Data!N:N, Data!B:B=A248),""TRAVERSE"")) / (COUNTIF(Data!B:B, A248)),"""")"),"")</f>
        <v/>
      </c>
      <c r="X248" s="60" t="str">
        <f t="shared" si="38"/>
        <v/>
      </c>
      <c r="Y248" s="45" t="str">
        <f t="shared" si="7"/>
        <v/>
      </c>
      <c r="Z248" s="45" t="str">
        <f t="shared" si="8"/>
        <v/>
      </c>
      <c r="AA248" s="16" t="str">
        <f t="shared" si="9"/>
        <v/>
      </c>
      <c r="AB248" s="16"/>
      <c r="AC248" s="16" t="str">
        <f>IFERROR(__xludf.DUMMYFUNCTION("IF(AA248="""","""",MAX(Filter((Data!G:G+Data!K:K),Data!B:B=A248)))"),"")</f>
        <v/>
      </c>
      <c r="AD248" s="16"/>
      <c r="AE248" s="16" t="str">
        <f t="shared" si="12"/>
        <v/>
      </c>
      <c r="AF248" s="16" t="str">
        <f t="shared" si="13"/>
        <v/>
      </c>
      <c r="AG248" s="44"/>
      <c r="AH248" s="44"/>
      <c r="AI248" s="44" t="str">
        <f>IFERROR(__xludf.DUMMYFUNCTION("TEXTJOIN("", "",TRUE, FILTER(Data!P:P, Data!B:B=A248))"),"")</f>
        <v/>
      </c>
      <c r="AM248" s="61"/>
      <c r="BC248" s="50"/>
    </row>
    <row r="249">
      <c r="A249" s="54"/>
      <c r="B249" s="55" t="str">
        <f>IFERROR(__xludf.DUMMYFUNCTION("IFERROR(ROUND(
(COUNTIF(FILTER(Data!O:O, Data!B:B=A249), ""Win"")
+ COUNTIF(FILTER(Data!O:O, Data!B:B=A249), {""Tie"",""Results""}))
/ (COUNTIF(Data!B:B, A249)),
1),"""")"),"")</f>
        <v/>
      </c>
      <c r="C249" s="45" t="str">
        <f>IFERROR((SUMIF(Data!B:B, A249, Data!H:H)
/ (COUNTIF(Data!B:B, A249)
)),"")</f>
        <v/>
      </c>
      <c r="D249" s="45" t="str">
        <f>IFERROR((SUMIF(Data!B:B, A249, Data!G:G)
/ (COUNTIF(Data!B:B, A249)
)),"")</f>
        <v/>
      </c>
      <c r="E249" s="45"/>
      <c r="F249" s="45" t="str">
        <f>IFERROR((SUMIF(Data!B:B, A249, Data!J:J)
/ (COUNTIF(Data!B:B, A249)
)),"")</f>
        <v/>
      </c>
      <c r="G249" s="56" t="str">
        <f>IF(A249="","",IFERROR((((((SUMIF(Data!B:B, A249, Data!H:H)+(SUMIF(Data!B:B, A249,Data!G:G)))/(SUMIF(Data!B:B, A249, Data!J:J)))))),0))</f>
        <v/>
      </c>
      <c r="H249" s="45"/>
      <c r="I249" s="45"/>
      <c r="J249" s="45"/>
      <c r="K249" s="45"/>
      <c r="L249" s="45" t="str">
        <f>IFERROR((SUMIF(Data!B:B, A249, Data!L:L)
/ (COUNTIF(Data!B:B, A249)
)),"")</f>
        <v/>
      </c>
      <c r="M249" s="45" t="str">
        <f>IFERROR((SUMIF(Data!B:B, A249, Data!K:K)
/ (COUNTIF(Data!B:B, A249)
)),"")</f>
        <v/>
      </c>
      <c r="N249" s="56"/>
      <c r="O249" s="56" t="str">
        <f>IF(A249="","",IFERROR((((((SUMIF(Data!B:B, A249, Data!H:H)+(SUMIF(Data!B:B, A249,Data!G:G)+(SUMIF(Data!B:B, A249,Data!L:L)+(SUMIF(Data!B:B, A249,Data!K:K)))))/(SUMIF(Data!B:B, A249, Data!M:M)+(SUMIF(Data!B:B, A249, Data!H:H)+(SUMIF(Data!B:B, A249,Data!G:G)+(SUMIF(Data!B:B, A249,Data!K:K)+(SUMIF(Data!B:B, A249,Data!L:L)))))))))),0))</f>
        <v/>
      </c>
      <c r="P249" s="57" t="str">
        <f>IFERROR(__xludf.DUMMYFUNCTION("IFERROR(((COUNTIF(FILTER(Data!N:N,Data!B:B=A249),""TRAVERSE"")*15)+(COUNTIF(FILTER(Data!N:N,Data!B:B=A249),""HIGH"")*10)+(COUNTIF(FILTER(Data!N:N,Data!B:B=A249),""MIDDLE"")*6)+(COUNTIF(FILTER(Data!N:N,Data!B:B=A249),""LOW"")*4)) / (COUNTIF(Data!B:B, A249)"&amp;"),"""")"),"")</f>
        <v/>
      </c>
      <c r="Q249" s="58"/>
      <c r="R249" s="36" t="str">
        <f t="shared" si="37"/>
        <v/>
      </c>
      <c r="S249" s="58" t="str">
        <f>IFERROR(__xludf.DUMMYFUNCTION("IFERROR((((COUNTIF(FILTER(Data!N:N,Data!B:B=A249),""TRAVERSE""))+(COUNTIF(FILTER(Data!N:N,Data!B:B=A249),""HIGH""))+(COUNTIF(FILTER(Data!N:N,Data!B:B=A249),""MIDDLE""))+(COUNTIF(FILTER(Data!N:N,Data!B:B=A249),""LOW"")))) / (((COUNTIF(Data!B:B, A249)))-(CO"&amp;"UNTIF(FILTER(Data!N:N,Data!B:B=A249),""NONE""))),IF(ISBLANK(A249),"""",0))"),"")</f>
        <v/>
      </c>
      <c r="T249" s="56" t="str">
        <f>IFERROR(__xludf.DUMMYFUNCTION("IFERROR((COUNTIF(FILTER(Data!N:N, Data!B:B=A249),""LOW"")) / (COUNTIF(Data!B:B, A249)),"""")"),"")</f>
        <v/>
      </c>
      <c r="U249" s="59" t="str">
        <f>IFERROR(__xludf.DUMMYFUNCTION("IFERROR((COUNTIF(FILTER(Data!N:N, Data!B:B=A249),""MIDDLE"")) / (COUNTIF(Data!B:B, A249)),"""")"),"")</f>
        <v/>
      </c>
      <c r="V249" s="59" t="str">
        <f>IFERROR(__xludf.DUMMYFUNCTION("IFERROR((COUNTIF(FILTER(Data!N:N, Data!B:B=A249),""HIGH"")) / (COUNTIF(Data!B:B, A249)),"""")"),"")</f>
        <v/>
      </c>
      <c r="W249" s="59" t="str">
        <f>IFERROR(__xludf.DUMMYFUNCTION("IFERROR((COUNTIF(FILTER(Data!N:N, Data!B:B=A249),""TRAVERSE"")) / (COUNTIF(Data!B:B, A249)),"""")"),"")</f>
        <v/>
      </c>
      <c r="X249" s="60" t="str">
        <f t="shared" si="38"/>
        <v/>
      </c>
      <c r="Y249" s="45" t="str">
        <f t="shared" si="7"/>
        <v/>
      </c>
      <c r="Z249" s="45" t="str">
        <f t="shared" si="8"/>
        <v/>
      </c>
      <c r="AA249" s="16" t="str">
        <f t="shared" si="9"/>
        <v/>
      </c>
      <c r="AB249" s="16"/>
      <c r="AC249" s="16" t="str">
        <f>IFERROR(__xludf.DUMMYFUNCTION("IF(AA249="""","""",MAX(Filter((Data!G:G+Data!K:K),Data!B:B=A249)))"),"")</f>
        <v/>
      </c>
      <c r="AD249" s="16"/>
      <c r="AE249" s="16" t="str">
        <f t="shared" si="12"/>
        <v/>
      </c>
      <c r="AF249" s="16" t="str">
        <f t="shared" si="13"/>
        <v/>
      </c>
      <c r="AG249" s="44"/>
      <c r="AH249" s="44"/>
      <c r="AI249" s="44" t="str">
        <f>IFERROR(__xludf.DUMMYFUNCTION("TEXTJOIN("", "",TRUE, FILTER(Data!P:P, Data!B:B=A249))"),"")</f>
        <v/>
      </c>
      <c r="AM249" s="61"/>
      <c r="BC249" s="50"/>
    </row>
    <row r="250">
      <c r="A250" s="54"/>
      <c r="B250" s="55" t="str">
        <f>IFERROR(__xludf.DUMMYFUNCTION("IFERROR(ROUND(
(COUNTIF(FILTER(Data!O:O, Data!B:B=A250), ""Win"")
+ COUNTIF(FILTER(Data!O:O, Data!B:B=A250), {""Tie"",""Results""}))
/ (COUNTIF(Data!B:B, A250)),
1),"""")"),"")</f>
        <v/>
      </c>
      <c r="C250" s="45" t="str">
        <f>IFERROR((SUMIF(Data!B:B, A250, Data!H:H)
/ (COUNTIF(Data!B:B, A250)
)),"")</f>
        <v/>
      </c>
      <c r="D250" s="45" t="str">
        <f>IFERROR((SUMIF(Data!B:B, A250, Data!G:G)
/ (COUNTIF(Data!B:B, A250)
)),"")</f>
        <v/>
      </c>
      <c r="E250" s="45"/>
      <c r="F250" s="45" t="str">
        <f>IFERROR((SUMIF(Data!B:B, A250, Data!J:J)
/ (COUNTIF(Data!B:B, A250)
)),"")</f>
        <v/>
      </c>
      <c r="G250" s="56" t="str">
        <f>IF(A250="","",IFERROR((((((SUMIF(Data!B:B, A250, Data!H:H)+(SUMIF(Data!B:B, A250,Data!G:G)))/(SUMIF(Data!B:B, A250, Data!J:J)))))),0))</f>
        <v/>
      </c>
      <c r="H250" s="45"/>
      <c r="I250" s="45"/>
      <c r="J250" s="45"/>
      <c r="K250" s="45"/>
      <c r="L250" s="45" t="str">
        <f>IFERROR((SUMIF(Data!B:B, A250, Data!L:L)
/ (COUNTIF(Data!B:B, A250)
)),"")</f>
        <v/>
      </c>
      <c r="M250" s="45" t="str">
        <f>IFERROR((SUMIF(Data!B:B, A250, Data!K:K)
/ (COUNTIF(Data!B:B, A250)
)),"")</f>
        <v/>
      </c>
      <c r="N250" s="56"/>
      <c r="O250" s="56" t="str">
        <f>IF(A250="","",IFERROR((((((SUMIF(Data!B:B, A250, Data!H:H)+(SUMIF(Data!B:B, A250,Data!G:G)+(SUMIF(Data!B:B, A250,Data!L:L)+(SUMIF(Data!B:B, A250,Data!K:K)))))/(SUMIF(Data!B:B, A250, Data!M:M)+(SUMIF(Data!B:B, A250, Data!H:H)+(SUMIF(Data!B:B, A250,Data!G:G)+(SUMIF(Data!B:B, A250,Data!K:K)+(SUMIF(Data!B:B, A250,Data!L:L)))))))))),0))</f>
        <v/>
      </c>
      <c r="P250" s="57" t="str">
        <f>IFERROR(__xludf.DUMMYFUNCTION("IFERROR(((COUNTIF(FILTER(Data!N:N,Data!B:B=A250),""TRAVERSE"")*15)+(COUNTIF(FILTER(Data!N:N,Data!B:B=A250),""HIGH"")*10)+(COUNTIF(FILTER(Data!N:N,Data!B:B=A250),""MIDDLE"")*6)+(COUNTIF(FILTER(Data!N:N,Data!B:B=A250),""LOW"")*4)) / (COUNTIF(Data!B:B, A250)"&amp;"),"""")"),"")</f>
        <v/>
      </c>
      <c r="Q250" s="58"/>
      <c r="R250" s="36" t="str">
        <f t="shared" si="37"/>
        <v/>
      </c>
      <c r="S250" s="58" t="str">
        <f>IFERROR(__xludf.DUMMYFUNCTION("IFERROR((((COUNTIF(FILTER(Data!N:N,Data!B:B=A250),""TRAVERSE""))+(COUNTIF(FILTER(Data!N:N,Data!B:B=A250),""HIGH""))+(COUNTIF(FILTER(Data!N:N,Data!B:B=A250),""MIDDLE""))+(COUNTIF(FILTER(Data!N:N,Data!B:B=A250),""LOW"")))) / (((COUNTIF(Data!B:B, A250)))-(CO"&amp;"UNTIF(FILTER(Data!N:N,Data!B:B=A250),""NONE""))),IF(ISBLANK(A250),"""",0))"),"")</f>
        <v/>
      </c>
      <c r="T250" s="56" t="str">
        <f>IFERROR(__xludf.DUMMYFUNCTION("IFERROR((COUNTIF(FILTER(Data!N:N, Data!B:B=A250),""LOW"")) / (COUNTIF(Data!B:B, A250)),"""")"),"")</f>
        <v/>
      </c>
      <c r="U250" s="59" t="str">
        <f>IFERROR(__xludf.DUMMYFUNCTION("IFERROR((COUNTIF(FILTER(Data!N:N, Data!B:B=A250),""MIDDLE"")) / (COUNTIF(Data!B:B, A250)),"""")"),"")</f>
        <v/>
      </c>
      <c r="V250" s="59" t="str">
        <f>IFERROR(__xludf.DUMMYFUNCTION("IFERROR((COUNTIF(FILTER(Data!N:N, Data!B:B=A250),""HIGH"")) / (COUNTIF(Data!B:B, A250)),"""")"),"")</f>
        <v/>
      </c>
      <c r="W250" s="59" t="str">
        <f>IFERROR(__xludf.DUMMYFUNCTION("IFERROR((COUNTIF(FILTER(Data!N:N, Data!B:B=A250),""TRAVERSE"")) / (COUNTIF(Data!B:B, A250)),"""")"),"")</f>
        <v/>
      </c>
      <c r="X250" s="60" t="str">
        <f t="shared" si="38"/>
        <v/>
      </c>
      <c r="Y250" s="45" t="str">
        <f t="shared" si="7"/>
        <v/>
      </c>
      <c r="Z250" s="45" t="str">
        <f t="shared" si="8"/>
        <v/>
      </c>
      <c r="AA250" s="16" t="str">
        <f t="shared" si="9"/>
        <v/>
      </c>
      <c r="AB250" s="16"/>
      <c r="AC250" s="16" t="str">
        <f>IFERROR(__xludf.DUMMYFUNCTION("IF(AA250="""","""",MAX(Filter((Data!G:G+Data!K:K),Data!B:B=A250)))"),"")</f>
        <v/>
      </c>
      <c r="AD250" s="16"/>
      <c r="AE250" s="16" t="str">
        <f t="shared" si="12"/>
        <v/>
      </c>
      <c r="AF250" s="16" t="str">
        <f t="shared" si="13"/>
        <v/>
      </c>
      <c r="AG250" s="44"/>
      <c r="AH250" s="44"/>
      <c r="AI250" s="44" t="str">
        <f>IFERROR(__xludf.DUMMYFUNCTION("TEXTJOIN("", "",TRUE, FILTER(Data!P:P, Data!B:B=A250))"),"")</f>
        <v/>
      </c>
      <c r="AM250" s="61"/>
      <c r="BC250" s="50"/>
    </row>
    <row r="251">
      <c r="A251" s="54"/>
      <c r="B251" s="55" t="str">
        <f>IFERROR(__xludf.DUMMYFUNCTION("IFERROR(ROUND(
(COUNTIF(FILTER(Data!O:O, Data!B:B=A251), ""Win"")
+ COUNTIF(FILTER(Data!O:O, Data!B:B=A251), {""Tie"",""Results""}))
/ (COUNTIF(Data!B:B, A251)),
1),"""")"),"")</f>
        <v/>
      </c>
      <c r="C251" s="45" t="str">
        <f>IFERROR((SUMIF(Data!B:B, A251, Data!H:H)
/ (COUNTIF(Data!B:B, A251)
)),"")</f>
        <v/>
      </c>
      <c r="D251" s="45" t="str">
        <f>IFERROR((SUMIF(Data!B:B, A251, Data!G:G)
/ (COUNTIF(Data!B:B, A251)
)),"")</f>
        <v/>
      </c>
      <c r="E251" s="45"/>
      <c r="F251" s="45" t="str">
        <f>IFERROR((SUMIF(Data!B:B, A251, Data!J:J)
/ (COUNTIF(Data!B:B, A251)
)),"")</f>
        <v/>
      </c>
      <c r="G251" s="56" t="str">
        <f>IF(A251="","",IFERROR((((((SUMIF(Data!B:B, A251, Data!H:H)+(SUMIF(Data!B:B, A251,Data!G:G)))/(SUMIF(Data!B:B, A251, Data!J:J)))))),0))</f>
        <v/>
      </c>
      <c r="H251" s="45"/>
      <c r="I251" s="45"/>
      <c r="J251" s="45"/>
      <c r="K251" s="45"/>
      <c r="L251" s="45" t="str">
        <f>IFERROR((SUMIF(Data!B:B, A251, Data!L:L)
/ (COUNTIF(Data!B:B, A251)
)),"")</f>
        <v/>
      </c>
      <c r="M251" s="45" t="str">
        <f>IFERROR((SUMIF(Data!B:B, A251, Data!K:K)
/ (COUNTIF(Data!B:B, A251)
)),"")</f>
        <v/>
      </c>
      <c r="N251" s="56"/>
      <c r="O251" s="56" t="str">
        <f>IF(A251="","",IFERROR((((((SUMIF(Data!B:B, A251, Data!H:H)+(SUMIF(Data!B:B, A251,Data!G:G)+(SUMIF(Data!B:B, A251,Data!L:L)+(SUMIF(Data!B:B, A251,Data!K:K)))))/(SUMIF(Data!B:B, A251, Data!M:M)+(SUMIF(Data!B:B, A251, Data!H:H)+(SUMIF(Data!B:B, A251,Data!G:G)+(SUMIF(Data!B:B, A251,Data!K:K)+(SUMIF(Data!B:B, A251,Data!L:L)))))))))),0))</f>
        <v/>
      </c>
      <c r="P251" s="57" t="str">
        <f>IFERROR(__xludf.DUMMYFUNCTION("IFERROR(((COUNTIF(FILTER(Data!N:N,Data!B:B=A251),""TRAVERSE"")*15)+(COUNTIF(FILTER(Data!N:N,Data!B:B=A251),""HIGH"")*10)+(COUNTIF(FILTER(Data!N:N,Data!B:B=A251),""MIDDLE"")*6)+(COUNTIF(FILTER(Data!N:N,Data!B:B=A251),""LOW"")*4)) / (COUNTIF(Data!B:B, A251)"&amp;"),"""")"),"")</f>
        <v/>
      </c>
      <c r="Q251" s="58"/>
      <c r="R251" s="36" t="str">
        <f t="shared" si="37"/>
        <v/>
      </c>
      <c r="S251" s="58" t="str">
        <f>IFERROR(__xludf.DUMMYFUNCTION("IFERROR((((COUNTIF(FILTER(Data!N:N,Data!B:B=A251),""TRAVERSE""))+(COUNTIF(FILTER(Data!N:N,Data!B:B=A251),""HIGH""))+(COUNTIF(FILTER(Data!N:N,Data!B:B=A251),""MIDDLE""))+(COUNTIF(FILTER(Data!N:N,Data!B:B=A251),""LOW"")))) / (((COUNTIF(Data!B:B, A251)))-(CO"&amp;"UNTIF(FILTER(Data!N:N,Data!B:B=A251),""NONE""))),IF(ISBLANK(A251),"""",0))"),"")</f>
        <v/>
      </c>
      <c r="T251" s="56" t="str">
        <f>IFERROR(__xludf.DUMMYFUNCTION("IFERROR((COUNTIF(FILTER(Data!N:N, Data!B:B=A251),""LOW"")) / (COUNTIF(Data!B:B, A251)),"""")"),"")</f>
        <v/>
      </c>
      <c r="U251" s="59" t="str">
        <f>IFERROR(__xludf.DUMMYFUNCTION("IFERROR((COUNTIF(FILTER(Data!N:N, Data!B:B=A251),""MIDDLE"")) / (COUNTIF(Data!B:B, A251)),"""")"),"")</f>
        <v/>
      </c>
      <c r="V251" s="59" t="str">
        <f>IFERROR(__xludf.DUMMYFUNCTION("IFERROR((COUNTIF(FILTER(Data!N:N, Data!B:B=A251),""HIGH"")) / (COUNTIF(Data!B:B, A251)),"""")"),"")</f>
        <v/>
      </c>
      <c r="W251" s="59" t="str">
        <f>IFERROR(__xludf.DUMMYFUNCTION("IFERROR((COUNTIF(FILTER(Data!N:N, Data!B:B=A251),""TRAVERSE"")) / (COUNTIF(Data!B:B, A251)),"""")"),"")</f>
        <v/>
      </c>
      <c r="X251" s="60" t="str">
        <f t="shared" si="38"/>
        <v/>
      </c>
      <c r="Y251" s="45" t="str">
        <f t="shared" si="7"/>
        <v/>
      </c>
      <c r="Z251" s="45" t="str">
        <f t="shared" si="8"/>
        <v/>
      </c>
      <c r="AA251" s="16" t="str">
        <f t="shared" si="9"/>
        <v/>
      </c>
      <c r="AB251" s="16"/>
      <c r="AC251" s="16" t="str">
        <f>IFERROR(__xludf.DUMMYFUNCTION("IF(AA251="""","""",MAX(Filter((Data!G:G+Data!K:K),Data!B:B=A251)))"),"")</f>
        <v/>
      </c>
      <c r="AD251" s="16"/>
      <c r="AE251" s="16" t="str">
        <f t="shared" si="12"/>
        <v/>
      </c>
      <c r="AF251" s="16" t="str">
        <f t="shared" si="13"/>
        <v/>
      </c>
      <c r="AG251" s="44"/>
      <c r="AH251" s="44"/>
      <c r="AI251" s="44" t="str">
        <f>IFERROR(__xludf.DUMMYFUNCTION("TEXTJOIN("", "",TRUE, FILTER(Data!P:P, Data!B:B=A251))"),"")</f>
        <v/>
      </c>
      <c r="AM251" s="61"/>
      <c r="BC251" s="50"/>
    </row>
    <row r="252">
      <c r="A252" s="54"/>
      <c r="B252" s="55" t="str">
        <f>IFERROR(__xludf.DUMMYFUNCTION("IFERROR(ROUND(
(COUNTIF(FILTER(Data!O:O, Data!B:B=A252), ""Win"")
+ COUNTIF(FILTER(Data!O:O, Data!B:B=A252), {""Tie"",""Results""}))
/ (COUNTIF(Data!B:B, A252)),
1),"""")"),"")</f>
        <v/>
      </c>
      <c r="C252" s="45" t="str">
        <f>IFERROR((SUMIF(Data!B:B, A252, Data!H:H)
/ (COUNTIF(Data!B:B, A252)
)),"")</f>
        <v/>
      </c>
      <c r="D252" s="45" t="str">
        <f>IFERROR((SUMIF(Data!B:B, A252, Data!G:G)
/ (COUNTIF(Data!B:B, A252)
)),"")</f>
        <v/>
      </c>
      <c r="E252" s="45"/>
      <c r="F252" s="45" t="str">
        <f>IFERROR((SUMIF(Data!B:B, A252, Data!J:J)
/ (COUNTIF(Data!B:B, A252)
)),"")</f>
        <v/>
      </c>
      <c r="G252" s="56" t="str">
        <f>IF(A252="","",IFERROR((((((SUMIF(Data!B:B, A252, Data!H:H)+(SUMIF(Data!B:B, A252,Data!G:G)))/(SUMIF(Data!B:B, A252, Data!J:J)))))),0))</f>
        <v/>
      </c>
      <c r="H252" s="45"/>
      <c r="I252" s="45"/>
      <c r="J252" s="45"/>
      <c r="K252" s="45"/>
      <c r="L252" s="45" t="str">
        <f>IFERROR((SUMIF(Data!B:B, A252, Data!L:L)
/ (COUNTIF(Data!B:B, A252)
)),"")</f>
        <v/>
      </c>
      <c r="M252" s="45" t="str">
        <f>IFERROR((SUMIF(Data!B:B, A252, Data!K:K)
/ (COUNTIF(Data!B:B, A252)
)),"")</f>
        <v/>
      </c>
      <c r="N252" s="56"/>
      <c r="O252" s="56" t="str">
        <f>IF(A252="","",IFERROR((((((SUMIF(Data!B:B, A252, Data!H:H)+(SUMIF(Data!B:B, A252,Data!G:G)+(SUMIF(Data!B:B, A252,Data!L:L)+(SUMIF(Data!B:B, A252,Data!K:K)))))/(SUMIF(Data!B:B, A252, Data!M:M)+(SUMIF(Data!B:B, A252, Data!H:H)+(SUMIF(Data!B:B, A252,Data!G:G)+(SUMIF(Data!B:B, A252,Data!K:K)+(SUMIF(Data!B:B, A252,Data!L:L)))))))))),0))</f>
        <v/>
      </c>
      <c r="P252" s="57" t="str">
        <f>IFERROR(__xludf.DUMMYFUNCTION("IFERROR(((COUNTIF(FILTER(Data!N:N,Data!B:B=A252),""TRAVERSE"")*15)+(COUNTIF(FILTER(Data!N:N,Data!B:B=A252),""HIGH"")*10)+(COUNTIF(FILTER(Data!N:N,Data!B:B=A252),""MIDDLE"")*6)+(COUNTIF(FILTER(Data!N:N,Data!B:B=A252),""LOW"")*4)) / (COUNTIF(Data!B:B, A252)"&amp;"),"""")"),"")</f>
        <v/>
      </c>
      <c r="Q252" s="58"/>
      <c r="R252" s="36" t="str">
        <f t="shared" si="37"/>
        <v/>
      </c>
      <c r="S252" s="58" t="str">
        <f>IFERROR(__xludf.DUMMYFUNCTION("IFERROR((((COUNTIF(FILTER(Data!N:N,Data!B:B=A252),""TRAVERSE""))+(COUNTIF(FILTER(Data!N:N,Data!B:B=A252),""HIGH""))+(COUNTIF(FILTER(Data!N:N,Data!B:B=A252),""MIDDLE""))+(COUNTIF(FILTER(Data!N:N,Data!B:B=A252),""LOW"")))) / (((COUNTIF(Data!B:B, A252)))-(CO"&amp;"UNTIF(FILTER(Data!N:N,Data!B:B=A252),""NONE""))),IF(ISBLANK(A252),"""",0))"),"")</f>
        <v/>
      </c>
      <c r="T252" s="56" t="str">
        <f>IFERROR(__xludf.DUMMYFUNCTION("IFERROR((COUNTIF(FILTER(Data!N:N, Data!B:B=A252),""LOW"")) / (COUNTIF(Data!B:B, A252)),"""")"),"")</f>
        <v/>
      </c>
      <c r="U252" s="59" t="str">
        <f>IFERROR(__xludf.DUMMYFUNCTION("IFERROR((COUNTIF(FILTER(Data!N:N, Data!B:B=A252),""MIDDLE"")) / (COUNTIF(Data!B:B, A252)),"""")"),"")</f>
        <v/>
      </c>
      <c r="V252" s="59" t="str">
        <f>IFERROR(__xludf.DUMMYFUNCTION("IFERROR((COUNTIF(FILTER(Data!N:N, Data!B:B=A252),""HIGH"")) / (COUNTIF(Data!B:B, A252)),"""")"),"")</f>
        <v/>
      </c>
      <c r="W252" s="59" t="str">
        <f>IFERROR(__xludf.DUMMYFUNCTION("IFERROR((COUNTIF(FILTER(Data!N:N, Data!B:B=A252),""TRAVERSE"")) / (COUNTIF(Data!B:B, A252)),"""")"),"")</f>
        <v/>
      </c>
      <c r="X252" s="60" t="str">
        <f t="shared" si="38"/>
        <v/>
      </c>
      <c r="Y252" s="45" t="str">
        <f t="shared" si="7"/>
        <v/>
      </c>
      <c r="Z252" s="45" t="str">
        <f t="shared" si="8"/>
        <v/>
      </c>
      <c r="AA252" s="16" t="str">
        <f t="shared" si="9"/>
        <v/>
      </c>
      <c r="AB252" s="16"/>
      <c r="AC252" s="16" t="str">
        <f>IFERROR(__xludf.DUMMYFUNCTION("IF(AA252="""","""",MAX(Filter((Data!G:G+Data!K:K),Data!B:B=A252)))"),"")</f>
        <v/>
      </c>
      <c r="AD252" s="16"/>
      <c r="AE252" s="16" t="str">
        <f t="shared" si="12"/>
        <v/>
      </c>
      <c r="AF252" s="16" t="str">
        <f t="shared" si="13"/>
        <v/>
      </c>
      <c r="AG252" s="44"/>
      <c r="AH252" s="44"/>
      <c r="AI252" s="44" t="str">
        <f>IFERROR(__xludf.DUMMYFUNCTION("TEXTJOIN("", "",TRUE, FILTER(Data!P:P, Data!B:B=A252))"),"")</f>
        <v/>
      </c>
      <c r="AM252" s="61"/>
      <c r="BC252" s="50"/>
    </row>
    <row r="253">
      <c r="A253" s="54"/>
      <c r="B253" s="55" t="str">
        <f>IFERROR(__xludf.DUMMYFUNCTION("IFERROR(ROUND(
(COUNTIF(FILTER(Data!O:O, Data!B:B=A253), ""Win"")
+ COUNTIF(FILTER(Data!O:O, Data!B:B=A253), {""Tie"",""Results""}))
/ (COUNTIF(Data!B:B, A253)),
1),"""")"),"")</f>
        <v/>
      </c>
      <c r="C253" s="45" t="str">
        <f>IFERROR((SUMIF(Data!B:B, A253, Data!H:H)
/ (COUNTIF(Data!B:B, A253)
)),"")</f>
        <v/>
      </c>
      <c r="D253" s="45" t="str">
        <f>IFERROR((SUMIF(Data!B:B, A253, Data!G:G)
/ (COUNTIF(Data!B:B, A253)
)),"")</f>
        <v/>
      </c>
      <c r="E253" s="45"/>
      <c r="F253" s="45" t="str">
        <f>IFERROR((SUMIF(Data!B:B, A253, Data!J:J)
/ (COUNTIF(Data!B:B, A253)
)),"")</f>
        <v/>
      </c>
      <c r="G253" s="56" t="str">
        <f>IF(A253="","",IFERROR((((((SUMIF(Data!B:B, A253, Data!H:H)+(SUMIF(Data!B:B, A253,Data!G:G)))/(SUMIF(Data!B:B, A253, Data!J:J)))))),0))</f>
        <v/>
      </c>
      <c r="H253" s="45"/>
      <c r="I253" s="45"/>
      <c r="J253" s="45"/>
      <c r="K253" s="45"/>
      <c r="L253" s="45" t="str">
        <f>IFERROR((SUMIF(Data!B:B, A253, Data!L:L)
/ (COUNTIF(Data!B:B, A253)
)),"")</f>
        <v/>
      </c>
      <c r="M253" s="45" t="str">
        <f>IFERROR((SUMIF(Data!B:B, A253, Data!K:K)
/ (COUNTIF(Data!B:B, A253)
)),"")</f>
        <v/>
      </c>
      <c r="N253" s="56"/>
      <c r="O253" s="56" t="str">
        <f>IF(A253="","",IFERROR((((((SUMIF(Data!B:B, A253, Data!H:H)+(SUMIF(Data!B:B, A253,Data!G:G)+(SUMIF(Data!B:B, A253,Data!L:L)+(SUMIF(Data!B:B, A253,Data!K:K)))))/(SUMIF(Data!B:B, A253, Data!M:M)+(SUMIF(Data!B:B, A253, Data!H:H)+(SUMIF(Data!B:B, A253,Data!G:G)+(SUMIF(Data!B:B, A253,Data!K:K)+(SUMIF(Data!B:B, A253,Data!L:L)))))))))),0))</f>
        <v/>
      </c>
      <c r="P253" s="57" t="str">
        <f>IFERROR(__xludf.DUMMYFUNCTION("IFERROR(((COUNTIF(FILTER(Data!N:N,Data!B:B=A253),""TRAVERSE"")*15)+(COUNTIF(FILTER(Data!N:N,Data!B:B=A253),""HIGH"")*10)+(COUNTIF(FILTER(Data!N:N,Data!B:B=A253),""MIDDLE"")*6)+(COUNTIF(FILTER(Data!N:N,Data!B:B=A253),""LOW"")*4)) / (COUNTIF(Data!B:B, A253)"&amp;"),"""")"),"")</f>
        <v/>
      </c>
      <c r="Q253" s="58"/>
      <c r="R253" s="36" t="str">
        <f t="shared" si="37"/>
        <v/>
      </c>
      <c r="S253" s="58" t="str">
        <f>IFERROR(__xludf.DUMMYFUNCTION("IFERROR((((COUNTIF(FILTER(Data!N:N,Data!B:B=A253),""TRAVERSE""))+(COUNTIF(FILTER(Data!N:N,Data!B:B=A253),""HIGH""))+(COUNTIF(FILTER(Data!N:N,Data!B:B=A253),""MIDDLE""))+(COUNTIF(FILTER(Data!N:N,Data!B:B=A253),""LOW"")))) / (((COUNTIF(Data!B:B, A253)))-(CO"&amp;"UNTIF(FILTER(Data!N:N,Data!B:B=A253),""NONE""))),IF(ISBLANK(A253),"""",0))"),"")</f>
        <v/>
      </c>
      <c r="T253" s="56" t="str">
        <f>IFERROR(__xludf.DUMMYFUNCTION("IFERROR((COUNTIF(FILTER(Data!N:N, Data!B:B=A253),""LOW"")) / (COUNTIF(Data!B:B, A253)),"""")"),"")</f>
        <v/>
      </c>
      <c r="U253" s="59" t="str">
        <f>IFERROR(__xludf.DUMMYFUNCTION("IFERROR((COUNTIF(FILTER(Data!N:N, Data!B:B=A253),""MIDDLE"")) / (COUNTIF(Data!B:B, A253)),"""")"),"")</f>
        <v/>
      </c>
      <c r="V253" s="59" t="str">
        <f>IFERROR(__xludf.DUMMYFUNCTION("IFERROR((COUNTIF(FILTER(Data!N:N, Data!B:B=A253),""HIGH"")) / (COUNTIF(Data!B:B, A253)),"""")"),"")</f>
        <v/>
      </c>
      <c r="W253" s="59" t="str">
        <f>IFERROR(__xludf.DUMMYFUNCTION("IFERROR((COUNTIF(FILTER(Data!N:N, Data!B:B=A253),""TRAVERSE"")) / (COUNTIF(Data!B:B, A253)),"""")"),"")</f>
        <v/>
      </c>
      <c r="X253" s="60" t="str">
        <f t="shared" si="38"/>
        <v/>
      </c>
      <c r="Y253" s="45" t="str">
        <f t="shared" si="7"/>
        <v/>
      </c>
      <c r="Z253" s="45" t="str">
        <f t="shared" si="8"/>
        <v/>
      </c>
      <c r="AA253" s="16" t="str">
        <f t="shared" si="9"/>
        <v/>
      </c>
      <c r="AB253" s="16"/>
      <c r="AC253" s="16" t="str">
        <f>IFERROR(__xludf.DUMMYFUNCTION("IF(AA253="""","""",MAX(Filter((Data!G:G+Data!K:K),Data!B:B=A253)))"),"")</f>
        <v/>
      </c>
      <c r="AD253" s="16"/>
      <c r="AE253" s="16" t="str">
        <f t="shared" si="12"/>
        <v/>
      </c>
      <c r="AF253" s="16" t="str">
        <f t="shared" si="13"/>
        <v/>
      </c>
      <c r="AG253" s="44"/>
      <c r="AH253" s="44"/>
      <c r="AI253" s="44" t="str">
        <f>IFERROR(__xludf.DUMMYFUNCTION("TEXTJOIN("", "",TRUE, FILTER(Data!P:P, Data!B:B=A253))"),"")</f>
        <v/>
      </c>
      <c r="AM253" s="61"/>
      <c r="BC253" s="50"/>
    </row>
    <row r="254">
      <c r="A254" s="54"/>
      <c r="B254" s="55" t="str">
        <f>IFERROR(__xludf.DUMMYFUNCTION("IFERROR(ROUND(
(COUNTIF(FILTER(Data!O:O, Data!B:B=A254), ""Win"")
+ COUNTIF(FILTER(Data!O:O, Data!B:B=A254), {""Tie"",""Results""}))
/ (COUNTIF(Data!B:B, A254)),
1),"""")"),"")</f>
        <v/>
      </c>
      <c r="C254" s="45" t="str">
        <f>IFERROR((SUMIF(Data!B:B, A254, Data!H:H)
/ (COUNTIF(Data!B:B, A254)
)),"")</f>
        <v/>
      </c>
      <c r="D254" s="45" t="str">
        <f>IFERROR((SUMIF(Data!B:B, A254, Data!G:G)
/ (COUNTIF(Data!B:B, A254)
)),"")</f>
        <v/>
      </c>
      <c r="E254" s="45"/>
      <c r="F254" s="45" t="str">
        <f>IFERROR((SUMIF(Data!B:B, A254, Data!J:J)
/ (COUNTIF(Data!B:B, A254)
)),"")</f>
        <v/>
      </c>
      <c r="G254" s="56" t="str">
        <f>IF(A254="","",IFERROR((((((SUMIF(Data!B:B, A254, Data!H:H)+(SUMIF(Data!B:B, A254,Data!G:G)))/(SUMIF(Data!B:B, A254, Data!J:J)))))),0))</f>
        <v/>
      </c>
      <c r="H254" s="45"/>
      <c r="I254" s="45"/>
      <c r="J254" s="45"/>
      <c r="K254" s="45"/>
      <c r="L254" s="45" t="str">
        <f>IFERROR((SUMIF(Data!B:B, A254, Data!L:L)
/ (COUNTIF(Data!B:B, A254)
)),"")</f>
        <v/>
      </c>
      <c r="M254" s="45" t="str">
        <f>IFERROR((SUMIF(Data!B:B, A254, Data!K:K)
/ (COUNTIF(Data!B:B, A254)
)),"")</f>
        <v/>
      </c>
      <c r="N254" s="56"/>
      <c r="O254" s="56" t="str">
        <f>IF(A254="","",IFERROR((((((SUMIF(Data!B:B, A254, Data!H:H)+(SUMIF(Data!B:B, A254,Data!G:G)+(SUMIF(Data!B:B, A254,Data!L:L)+(SUMIF(Data!B:B, A254,Data!K:K)))))/(SUMIF(Data!B:B, A254, Data!M:M)+(SUMIF(Data!B:B, A254, Data!H:H)+(SUMIF(Data!B:B, A254,Data!G:G)+(SUMIF(Data!B:B, A254,Data!K:K)+(SUMIF(Data!B:B, A254,Data!L:L)))))))))),0))</f>
        <v/>
      </c>
      <c r="P254" s="57" t="str">
        <f>IFERROR(__xludf.DUMMYFUNCTION("IFERROR(((COUNTIF(FILTER(Data!N:N,Data!B:B=A254),""TRAVERSE"")*15)+(COUNTIF(FILTER(Data!N:N,Data!B:B=A254),""HIGH"")*10)+(COUNTIF(FILTER(Data!N:N,Data!B:B=A254),""MIDDLE"")*6)+(COUNTIF(FILTER(Data!N:N,Data!B:B=A254),""LOW"")*4)) / (COUNTIF(Data!B:B, A254)"&amp;"),"""")"),"")</f>
        <v/>
      </c>
      <c r="Q254" s="58"/>
      <c r="R254" s="36" t="str">
        <f t="shared" si="37"/>
        <v/>
      </c>
      <c r="S254" s="58" t="str">
        <f>IFERROR(__xludf.DUMMYFUNCTION("IFERROR((((COUNTIF(FILTER(Data!N:N,Data!B:B=A254),""TRAVERSE""))+(COUNTIF(FILTER(Data!N:N,Data!B:B=A254),""HIGH""))+(COUNTIF(FILTER(Data!N:N,Data!B:B=A254),""MIDDLE""))+(COUNTIF(FILTER(Data!N:N,Data!B:B=A254),""LOW"")))) / (((COUNTIF(Data!B:B, A254)))-(CO"&amp;"UNTIF(FILTER(Data!N:N,Data!B:B=A254),""NONE""))),IF(ISBLANK(A254),"""",0))"),"")</f>
        <v/>
      </c>
      <c r="T254" s="56" t="str">
        <f>IFERROR(__xludf.DUMMYFUNCTION("IFERROR((COUNTIF(FILTER(Data!N:N, Data!B:B=A254),""LOW"")) / (COUNTIF(Data!B:B, A254)),"""")"),"")</f>
        <v/>
      </c>
      <c r="U254" s="59" t="str">
        <f>IFERROR(__xludf.DUMMYFUNCTION("IFERROR((COUNTIF(FILTER(Data!N:N, Data!B:B=A254),""MIDDLE"")) / (COUNTIF(Data!B:B, A254)),"""")"),"")</f>
        <v/>
      </c>
      <c r="V254" s="59" t="str">
        <f>IFERROR(__xludf.DUMMYFUNCTION("IFERROR((COUNTIF(FILTER(Data!N:N, Data!B:B=A254),""HIGH"")) / (COUNTIF(Data!B:B, A254)),"""")"),"")</f>
        <v/>
      </c>
      <c r="W254" s="59" t="str">
        <f>IFERROR(__xludf.DUMMYFUNCTION("IFERROR((COUNTIF(FILTER(Data!N:N, Data!B:B=A254),""TRAVERSE"")) / (COUNTIF(Data!B:B, A254)),"""")"),"")</f>
        <v/>
      </c>
      <c r="X254" s="60" t="str">
        <f t="shared" si="38"/>
        <v/>
      </c>
      <c r="Y254" s="45" t="str">
        <f t="shared" si="7"/>
        <v/>
      </c>
      <c r="Z254" s="45" t="str">
        <f t="shared" si="8"/>
        <v/>
      </c>
      <c r="AA254" s="16" t="str">
        <f t="shared" si="9"/>
        <v/>
      </c>
      <c r="AB254" s="16"/>
      <c r="AC254" s="16" t="str">
        <f>IFERROR(__xludf.DUMMYFUNCTION("IF(AA254="""","""",MAX(Filter((Data!G:G+Data!K:K),Data!B:B=A254)))"),"")</f>
        <v/>
      </c>
      <c r="AD254" s="16"/>
      <c r="AE254" s="16" t="str">
        <f t="shared" si="12"/>
        <v/>
      </c>
      <c r="AF254" s="16" t="str">
        <f t="shared" si="13"/>
        <v/>
      </c>
      <c r="AG254" s="44"/>
      <c r="AH254" s="44"/>
      <c r="AI254" s="44" t="str">
        <f>IFERROR(__xludf.DUMMYFUNCTION("TEXTJOIN("", "",TRUE, FILTER(Data!P:P, Data!B:B=A254))"),"")</f>
        <v/>
      </c>
      <c r="AM254" s="61"/>
      <c r="BC254" s="50"/>
    </row>
    <row r="255">
      <c r="A255" s="54"/>
      <c r="B255" s="55" t="str">
        <f>IFERROR(__xludf.DUMMYFUNCTION("IFERROR(ROUND(
(COUNTIF(FILTER(Data!O:O, Data!B:B=A255), ""Win"")
+ COUNTIF(FILTER(Data!O:O, Data!B:B=A255), {""Tie"",""Results""}))
/ (COUNTIF(Data!B:B, A255)),
1),"""")"),"")</f>
        <v/>
      </c>
      <c r="C255" s="45" t="str">
        <f>IFERROR((SUMIF(Data!B:B, A255, Data!H:H)
/ (COUNTIF(Data!B:B, A255)
)),"")</f>
        <v/>
      </c>
      <c r="D255" s="45" t="str">
        <f>IFERROR((SUMIF(Data!B:B, A255, Data!G:G)
/ (COUNTIF(Data!B:B, A255)
)),"")</f>
        <v/>
      </c>
      <c r="E255" s="45"/>
      <c r="F255" s="45" t="str">
        <f>IFERROR((SUMIF(Data!B:B, A255, Data!J:J)
/ (COUNTIF(Data!B:B, A255)
)),"")</f>
        <v/>
      </c>
      <c r="G255" s="56" t="str">
        <f>IF(A255="","",IFERROR((((((SUMIF(Data!B:B, A255, Data!H:H)+(SUMIF(Data!B:B, A255,Data!G:G)))/(SUMIF(Data!B:B, A255, Data!J:J)))))),0))</f>
        <v/>
      </c>
      <c r="H255" s="45"/>
      <c r="I255" s="45"/>
      <c r="J255" s="45"/>
      <c r="K255" s="45"/>
      <c r="L255" s="45" t="str">
        <f>IFERROR((SUMIF(Data!B:B, A255, Data!L:L)
/ (COUNTIF(Data!B:B, A255)
)),"")</f>
        <v/>
      </c>
      <c r="M255" s="45" t="str">
        <f>IFERROR((SUMIF(Data!B:B, A255, Data!K:K)
/ (COUNTIF(Data!B:B, A255)
)),"")</f>
        <v/>
      </c>
      <c r="N255" s="56"/>
      <c r="O255" s="56" t="str">
        <f>IF(A255="","",IFERROR((((((SUMIF(Data!B:B, A255, Data!H:H)+(SUMIF(Data!B:B, A255,Data!G:G)+(SUMIF(Data!B:B, A255,Data!L:L)+(SUMIF(Data!B:B, A255,Data!K:K)))))/(SUMIF(Data!B:B, A255, Data!M:M)+(SUMIF(Data!B:B, A255, Data!H:H)+(SUMIF(Data!B:B, A255,Data!G:G)+(SUMIF(Data!B:B, A255,Data!K:K)+(SUMIF(Data!B:B, A255,Data!L:L)))))))))),0))</f>
        <v/>
      </c>
      <c r="P255" s="57" t="str">
        <f>IFERROR(__xludf.DUMMYFUNCTION("IFERROR(((COUNTIF(FILTER(Data!N:N,Data!B:B=A255),""TRAVERSE"")*15)+(COUNTIF(FILTER(Data!N:N,Data!B:B=A255),""HIGH"")*10)+(COUNTIF(FILTER(Data!N:N,Data!B:B=A255),""MIDDLE"")*6)+(COUNTIF(FILTER(Data!N:N,Data!B:B=A255),""LOW"")*4)) / (COUNTIF(Data!B:B, A255)"&amp;"),"""")"),"")</f>
        <v/>
      </c>
      <c r="Q255" s="58"/>
      <c r="R255" s="36" t="str">
        <f t="shared" si="37"/>
        <v/>
      </c>
      <c r="S255" s="58" t="str">
        <f>IFERROR(__xludf.DUMMYFUNCTION("IFERROR((((COUNTIF(FILTER(Data!N:N,Data!B:B=A255),""TRAVERSE""))+(COUNTIF(FILTER(Data!N:N,Data!B:B=A255),""HIGH""))+(COUNTIF(FILTER(Data!N:N,Data!B:B=A255),""MIDDLE""))+(COUNTIF(FILTER(Data!N:N,Data!B:B=A255),""LOW"")))) / (((COUNTIF(Data!B:B, A255)))-(CO"&amp;"UNTIF(FILTER(Data!N:N,Data!B:B=A255),""NONE""))),IF(ISBLANK(A255),"""",0))"),"")</f>
        <v/>
      </c>
      <c r="T255" s="56" t="str">
        <f>IFERROR(__xludf.DUMMYFUNCTION("IFERROR((COUNTIF(FILTER(Data!N:N, Data!B:B=A255),""LOW"")) / (COUNTIF(Data!B:B, A255)),"""")"),"")</f>
        <v/>
      </c>
      <c r="U255" s="59" t="str">
        <f>IFERROR(__xludf.DUMMYFUNCTION("IFERROR((COUNTIF(FILTER(Data!N:N, Data!B:B=A255),""MIDDLE"")) / (COUNTIF(Data!B:B, A255)),"""")"),"")</f>
        <v/>
      </c>
      <c r="V255" s="59" t="str">
        <f>IFERROR(__xludf.DUMMYFUNCTION("IFERROR((COUNTIF(FILTER(Data!N:N, Data!B:B=A255),""HIGH"")) / (COUNTIF(Data!B:B, A255)),"""")"),"")</f>
        <v/>
      </c>
      <c r="W255" s="59" t="str">
        <f>IFERROR(__xludf.DUMMYFUNCTION("IFERROR((COUNTIF(FILTER(Data!N:N, Data!B:B=A255),""TRAVERSE"")) / (COUNTIF(Data!B:B, A255)),"""")"),"")</f>
        <v/>
      </c>
      <c r="X255" s="60" t="str">
        <f t="shared" si="38"/>
        <v/>
      </c>
      <c r="Y255" s="45" t="str">
        <f t="shared" si="7"/>
        <v/>
      </c>
      <c r="Z255" s="45" t="str">
        <f t="shared" si="8"/>
        <v/>
      </c>
      <c r="AA255" s="16" t="str">
        <f t="shared" si="9"/>
        <v/>
      </c>
      <c r="AB255" s="16"/>
      <c r="AC255" s="16" t="str">
        <f>IFERROR(__xludf.DUMMYFUNCTION("IF(AA255="""","""",MAX(Filter((Data!G:G+Data!K:K),Data!B:B=A255)))"),"")</f>
        <v/>
      </c>
      <c r="AD255" s="16"/>
      <c r="AE255" s="16" t="str">
        <f t="shared" si="12"/>
        <v/>
      </c>
      <c r="AF255" s="16" t="str">
        <f t="shared" si="13"/>
        <v/>
      </c>
      <c r="AG255" s="44"/>
      <c r="AH255" s="44"/>
      <c r="AI255" s="44" t="str">
        <f>IFERROR(__xludf.DUMMYFUNCTION("TEXTJOIN("", "",TRUE, FILTER(Data!P:P, Data!B:B=A255))"),"")</f>
        <v/>
      </c>
      <c r="AM255" s="61"/>
      <c r="BC255" s="50"/>
    </row>
    <row r="256">
      <c r="A256" s="54"/>
      <c r="B256" s="55" t="str">
        <f>IFERROR(__xludf.DUMMYFUNCTION("IFERROR(ROUND(
(COUNTIF(FILTER(Data!O:O, Data!B:B=A256), ""Win"")
+ COUNTIF(FILTER(Data!O:O, Data!B:B=A256), {""Tie"",""Results""}))
/ (COUNTIF(Data!B:B, A256)),
1),"""")"),"")</f>
        <v/>
      </c>
      <c r="C256" s="45" t="str">
        <f>IFERROR((SUMIF(Data!B:B, A256, Data!H:H)
/ (COUNTIF(Data!B:B, A256)
)),"")</f>
        <v/>
      </c>
      <c r="D256" s="45" t="str">
        <f>IFERROR((SUMIF(Data!B:B, A256, Data!G:G)
/ (COUNTIF(Data!B:B, A256)
)),"")</f>
        <v/>
      </c>
      <c r="E256" s="45"/>
      <c r="F256" s="45" t="str">
        <f>IFERROR((SUMIF(Data!B:B, A256, Data!J:J)
/ (COUNTIF(Data!B:B, A256)
)),"")</f>
        <v/>
      </c>
      <c r="G256" s="56" t="str">
        <f>IF(A256="","",IFERROR((((((SUMIF(Data!B:B, A256, Data!H:H)+(SUMIF(Data!B:B, A256,Data!G:G)))/(SUMIF(Data!B:B, A256, Data!J:J)))))),0))</f>
        <v/>
      </c>
      <c r="H256" s="45"/>
      <c r="I256" s="45"/>
      <c r="J256" s="45"/>
      <c r="K256" s="45"/>
      <c r="L256" s="45" t="str">
        <f>IFERROR((SUMIF(Data!B:B, A256, Data!L:L)
/ (COUNTIF(Data!B:B, A256)
)),"")</f>
        <v/>
      </c>
      <c r="M256" s="45" t="str">
        <f>IFERROR((SUMIF(Data!B:B, A256, Data!K:K)
/ (COUNTIF(Data!B:B, A256)
)),"")</f>
        <v/>
      </c>
      <c r="N256" s="56"/>
      <c r="O256" s="56" t="str">
        <f>IF(A256="","",IFERROR((((((SUMIF(Data!B:B, A256, Data!H:H)+(SUMIF(Data!B:B, A256,Data!G:G)+(SUMIF(Data!B:B, A256,Data!L:L)+(SUMIF(Data!B:B, A256,Data!K:K)))))/(SUMIF(Data!B:B, A256, Data!M:M)+(SUMIF(Data!B:B, A256, Data!H:H)+(SUMIF(Data!B:B, A256,Data!G:G)+(SUMIF(Data!B:B, A256,Data!K:K)+(SUMIF(Data!B:B, A256,Data!L:L)))))))))),0))</f>
        <v/>
      </c>
      <c r="P256" s="57" t="str">
        <f>IFERROR(__xludf.DUMMYFUNCTION("IFERROR(((COUNTIF(FILTER(Data!N:N,Data!B:B=A256),""TRAVERSE"")*15)+(COUNTIF(FILTER(Data!N:N,Data!B:B=A256),""HIGH"")*10)+(COUNTIF(FILTER(Data!N:N,Data!B:B=A256),""MIDDLE"")*6)+(COUNTIF(FILTER(Data!N:N,Data!B:B=A256),""LOW"")*4)) / (COUNTIF(Data!B:B, A256)"&amp;"),"""")"),"")</f>
        <v/>
      </c>
      <c r="Q256" s="58"/>
      <c r="R256" s="36" t="str">
        <f t="shared" si="37"/>
        <v/>
      </c>
      <c r="S256" s="58" t="str">
        <f>IFERROR(__xludf.DUMMYFUNCTION("IFERROR((((COUNTIF(FILTER(Data!N:N,Data!B:B=A256),""TRAVERSE""))+(COUNTIF(FILTER(Data!N:N,Data!B:B=A256),""HIGH""))+(COUNTIF(FILTER(Data!N:N,Data!B:B=A256),""MIDDLE""))+(COUNTIF(FILTER(Data!N:N,Data!B:B=A256),""LOW"")))) / (((COUNTIF(Data!B:B, A256)))-(CO"&amp;"UNTIF(FILTER(Data!N:N,Data!B:B=A256),""NONE""))),IF(ISBLANK(A256),"""",0))"),"")</f>
        <v/>
      </c>
      <c r="T256" s="56" t="str">
        <f>IFERROR(__xludf.DUMMYFUNCTION("IFERROR((COUNTIF(FILTER(Data!N:N, Data!B:B=A256),""LOW"")) / (COUNTIF(Data!B:B, A256)),"""")"),"")</f>
        <v/>
      </c>
      <c r="U256" s="59" t="str">
        <f>IFERROR(__xludf.DUMMYFUNCTION("IFERROR((COUNTIF(FILTER(Data!N:N, Data!B:B=A256),""MIDDLE"")) / (COUNTIF(Data!B:B, A256)),"""")"),"")</f>
        <v/>
      </c>
      <c r="V256" s="59" t="str">
        <f>IFERROR(__xludf.DUMMYFUNCTION("IFERROR((COUNTIF(FILTER(Data!N:N, Data!B:B=A256),""HIGH"")) / (COUNTIF(Data!B:B, A256)),"""")"),"")</f>
        <v/>
      </c>
      <c r="W256" s="59" t="str">
        <f>IFERROR(__xludf.DUMMYFUNCTION("IFERROR((COUNTIF(FILTER(Data!N:N, Data!B:B=A256),""TRAVERSE"")) / (COUNTIF(Data!B:B, A256)),"""")"),"")</f>
        <v/>
      </c>
      <c r="X256" s="60" t="str">
        <f t="shared" si="38"/>
        <v/>
      </c>
      <c r="Y256" s="45" t="str">
        <f t="shared" si="7"/>
        <v/>
      </c>
      <c r="Z256" s="45" t="str">
        <f t="shared" si="8"/>
        <v/>
      </c>
      <c r="AA256" s="16" t="str">
        <f t="shared" si="9"/>
        <v/>
      </c>
      <c r="AB256" s="16"/>
      <c r="AC256" s="16" t="str">
        <f>IFERROR(__xludf.DUMMYFUNCTION("IF(AA256="""","""",MAX(Filter((Data!G:G+Data!K:K),Data!B:B=A256)))"),"")</f>
        <v/>
      </c>
      <c r="AD256" s="16"/>
      <c r="AE256" s="16" t="str">
        <f t="shared" si="12"/>
        <v/>
      </c>
      <c r="AF256" s="16" t="str">
        <f t="shared" si="13"/>
        <v/>
      </c>
      <c r="AG256" s="44"/>
      <c r="AH256" s="44"/>
      <c r="AI256" s="44" t="str">
        <f>IFERROR(__xludf.DUMMYFUNCTION("TEXTJOIN("", "",TRUE, FILTER(Data!P:P, Data!B:B=A256))"),"")</f>
        <v/>
      </c>
      <c r="AM256" s="61"/>
      <c r="BC256" s="50"/>
    </row>
    <row r="257">
      <c r="A257" s="54"/>
      <c r="B257" s="55" t="str">
        <f>IFERROR(__xludf.DUMMYFUNCTION("IFERROR(ROUND(
(COUNTIF(FILTER(Data!O:O, Data!B:B=A257), ""Win"")
+ COUNTIF(FILTER(Data!O:O, Data!B:B=A257), {""Tie"",""Results""}))
/ (COUNTIF(Data!B:B, A257)),
1),"""")"),"")</f>
        <v/>
      </c>
      <c r="C257" s="45" t="str">
        <f>IFERROR((SUMIF(Data!B:B, A257, Data!H:H)
/ (COUNTIF(Data!B:B, A257)
)),"")</f>
        <v/>
      </c>
      <c r="D257" s="45" t="str">
        <f>IFERROR((SUMIF(Data!B:B, A257, Data!G:G)
/ (COUNTIF(Data!B:B, A257)
)),"")</f>
        <v/>
      </c>
      <c r="E257" s="45"/>
      <c r="F257" s="45" t="str">
        <f>IFERROR((SUMIF(Data!B:B, A257, Data!J:J)
/ (COUNTIF(Data!B:B, A257)
)),"")</f>
        <v/>
      </c>
      <c r="G257" s="56" t="str">
        <f>IF(A257="","",IFERROR((((((SUMIF(Data!B:B, A257, Data!H:H)+(SUMIF(Data!B:B, A257,Data!G:G)))/(SUMIF(Data!B:B, A257, Data!J:J)))))),0))</f>
        <v/>
      </c>
      <c r="H257" s="45"/>
      <c r="I257" s="45"/>
      <c r="J257" s="45"/>
      <c r="K257" s="45"/>
      <c r="L257" s="45" t="str">
        <f>IFERROR((SUMIF(Data!B:B, A257, Data!L:L)
/ (COUNTIF(Data!B:B, A257)
)),"")</f>
        <v/>
      </c>
      <c r="M257" s="45" t="str">
        <f>IFERROR((SUMIF(Data!B:B, A257, Data!K:K)
/ (COUNTIF(Data!B:B, A257)
)),"")</f>
        <v/>
      </c>
      <c r="N257" s="56"/>
      <c r="O257" s="56" t="str">
        <f>IF(A257="","",IFERROR((((((SUMIF(Data!B:B, A257, Data!H:H)+(SUMIF(Data!B:B, A257,Data!G:G)+(SUMIF(Data!B:B, A257,Data!L:L)+(SUMIF(Data!B:B, A257,Data!K:K)))))/(SUMIF(Data!B:B, A257, Data!M:M)+(SUMIF(Data!B:B, A257, Data!H:H)+(SUMIF(Data!B:B, A257,Data!G:G)+(SUMIF(Data!B:B, A257,Data!K:K)+(SUMIF(Data!B:B, A257,Data!L:L)))))))))),0))</f>
        <v/>
      </c>
      <c r="P257" s="57" t="str">
        <f>IFERROR(__xludf.DUMMYFUNCTION("IFERROR(((COUNTIF(FILTER(Data!N:N,Data!B:B=A257),""TRAVERSE"")*15)+(COUNTIF(FILTER(Data!N:N,Data!B:B=A257),""HIGH"")*10)+(COUNTIF(FILTER(Data!N:N,Data!B:B=A257),""MIDDLE"")*6)+(COUNTIF(FILTER(Data!N:N,Data!B:B=A257),""LOW"")*4)) / (COUNTIF(Data!B:B, A257)"&amp;"),"""")"),"")</f>
        <v/>
      </c>
      <c r="Q257" s="58"/>
      <c r="R257" s="36" t="str">
        <f t="shared" si="37"/>
        <v/>
      </c>
      <c r="S257" s="58" t="str">
        <f>IFERROR(__xludf.DUMMYFUNCTION("IFERROR((((COUNTIF(FILTER(Data!N:N,Data!B:B=A257),""TRAVERSE""))+(COUNTIF(FILTER(Data!N:N,Data!B:B=A257),""HIGH""))+(COUNTIF(FILTER(Data!N:N,Data!B:B=A257),""MIDDLE""))+(COUNTIF(FILTER(Data!N:N,Data!B:B=A257),""LOW"")))) / (((COUNTIF(Data!B:B, A257)))-(CO"&amp;"UNTIF(FILTER(Data!N:N,Data!B:B=A257),""NONE""))),IF(ISBLANK(A257),"""",0))"),"")</f>
        <v/>
      </c>
      <c r="T257" s="56" t="str">
        <f>IFERROR(__xludf.DUMMYFUNCTION("IFERROR((COUNTIF(FILTER(Data!N:N, Data!B:B=A257),""LOW"")) / (COUNTIF(Data!B:B, A257)),"""")"),"")</f>
        <v/>
      </c>
      <c r="U257" s="59" t="str">
        <f>IFERROR(__xludf.DUMMYFUNCTION("IFERROR((COUNTIF(FILTER(Data!N:N, Data!B:B=A257),""MIDDLE"")) / (COUNTIF(Data!B:B, A257)),"""")"),"")</f>
        <v/>
      </c>
      <c r="V257" s="59" t="str">
        <f>IFERROR(__xludf.DUMMYFUNCTION("IFERROR((COUNTIF(FILTER(Data!N:N, Data!B:B=A257),""HIGH"")) / (COUNTIF(Data!B:B, A257)),"""")"),"")</f>
        <v/>
      </c>
      <c r="W257" s="59" t="str">
        <f>IFERROR(__xludf.DUMMYFUNCTION("IFERROR((COUNTIF(FILTER(Data!N:N, Data!B:B=A257),""TRAVERSE"")) / (COUNTIF(Data!B:B, A257)),"""")"),"")</f>
        <v/>
      </c>
      <c r="X257" s="60" t="str">
        <f t="shared" si="38"/>
        <v/>
      </c>
      <c r="Y257" s="45" t="str">
        <f t="shared" si="7"/>
        <v/>
      </c>
      <c r="Z257" s="45" t="str">
        <f t="shared" si="8"/>
        <v/>
      </c>
      <c r="AA257" s="16" t="str">
        <f t="shared" si="9"/>
        <v/>
      </c>
      <c r="AB257" s="16"/>
      <c r="AC257" s="16" t="str">
        <f>IFERROR(__xludf.DUMMYFUNCTION("IF(AA257="""","""",MAX(Filter((Data!G:G+Data!K:K),Data!B:B=A257)))"),"")</f>
        <v/>
      </c>
      <c r="AD257" s="16"/>
      <c r="AE257" s="16" t="str">
        <f t="shared" si="12"/>
        <v/>
      </c>
      <c r="AF257" s="16" t="str">
        <f t="shared" si="13"/>
        <v/>
      </c>
      <c r="AG257" s="44"/>
      <c r="AH257" s="44"/>
      <c r="AI257" s="44" t="str">
        <f>IFERROR(__xludf.DUMMYFUNCTION("TEXTJOIN("", "",TRUE, FILTER(Data!P:P, Data!B:B=A257))"),"")</f>
        <v/>
      </c>
      <c r="AM257" s="61"/>
      <c r="BC257" s="50"/>
    </row>
    <row r="258">
      <c r="A258" s="54"/>
      <c r="B258" s="55" t="str">
        <f>IFERROR(__xludf.DUMMYFUNCTION("IFERROR(ROUND(
(COUNTIF(FILTER(Data!O:O, Data!B:B=A258), ""Win"")
+ COUNTIF(FILTER(Data!O:O, Data!B:B=A258), {""Tie"",""Results""}))
/ (COUNTIF(Data!B:B, A258)),
1),"""")"),"")</f>
        <v/>
      </c>
      <c r="C258" s="45" t="str">
        <f>IFERROR((SUMIF(Data!B:B, A258, Data!H:H)
/ (COUNTIF(Data!B:B, A258)
)),"")</f>
        <v/>
      </c>
      <c r="D258" s="45" t="str">
        <f>IFERROR((SUMIF(Data!B:B, A258, Data!G:G)
/ (COUNTIF(Data!B:B, A258)
)),"")</f>
        <v/>
      </c>
      <c r="E258" s="45"/>
      <c r="F258" s="45" t="str">
        <f>IFERROR((SUMIF(Data!B:B, A258, Data!J:J)
/ (COUNTIF(Data!B:B, A258)
)),"")</f>
        <v/>
      </c>
      <c r="G258" s="56" t="str">
        <f>IF(A258="","",IFERROR((((((SUMIF(Data!B:B, A258, Data!H:H)+(SUMIF(Data!B:B, A258,Data!G:G)))/(SUMIF(Data!B:B, A258, Data!J:J)))))),0))</f>
        <v/>
      </c>
      <c r="H258" s="45"/>
      <c r="I258" s="45"/>
      <c r="J258" s="45"/>
      <c r="K258" s="45"/>
      <c r="L258" s="45" t="str">
        <f>IFERROR((SUMIF(Data!B:B, A258, Data!L:L)
/ (COUNTIF(Data!B:B, A258)
)),"")</f>
        <v/>
      </c>
      <c r="M258" s="45" t="str">
        <f>IFERROR((SUMIF(Data!B:B, A258, Data!K:K)
/ (COUNTIF(Data!B:B, A258)
)),"")</f>
        <v/>
      </c>
      <c r="N258" s="56"/>
      <c r="O258" s="56" t="str">
        <f>IF(A258="","",IFERROR((((((SUMIF(Data!B:B, A258, Data!H:H)+(SUMIF(Data!B:B, A258,Data!G:G)+(SUMIF(Data!B:B, A258,Data!L:L)+(SUMIF(Data!B:B, A258,Data!K:K)))))/(SUMIF(Data!B:B, A258, Data!M:M)+(SUMIF(Data!B:B, A258, Data!H:H)+(SUMIF(Data!B:B, A258,Data!G:G)+(SUMIF(Data!B:B, A258,Data!K:K)+(SUMIF(Data!B:B, A258,Data!L:L)))))))))),0))</f>
        <v/>
      </c>
      <c r="P258" s="57" t="str">
        <f>IFERROR(__xludf.DUMMYFUNCTION("IFERROR(((COUNTIF(FILTER(Data!N:N,Data!B:B=A258),""TRAVERSE"")*15)+(COUNTIF(FILTER(Data!N:N,Data!B:B=A258),""HIGH"")*10)+(COUNTIF(FILTER(Data!N:N,Data!B:B=A258),""MIDDLE"")*6)+(COUNTIF(FILTER(Data!N:N,Data!B:B=A258),""LOW"")*4)) / (COUNTIF(Data!B:B, A258)"&amp;"),"""")"),"")</f>
        <v/>
      </c>
      <c r="Q258" s="58"/>
      <c r="R258" s="36" t="str">
        <f t="shared" si="37"/>
        <v/>
      </c>
      <c r="S258" s="58" t="str">
        <f>IFERROR(__xludf.DUMMYFUNCTION("IFERROR((((COUNTIF(FILTER(Data!N:N,Data!B:B=A258),""TRAVERSE""))+(COUNTIF(FILTER(Data!N:N,Data!B:B=A258),""HIGH""))+(COUNTIF(FILTER(Data!N:N,Data!B:B=A258),""MIDDLE""))+(COUNTIF(FILTER(Data!N:N,Data!B:B=A258),""LOW"")))) / (((COUNTIF(Data!B:B, A258)))-(CO"&amp;"UNTIF(FILTER(Data!N:N,Data!B:B=A258),""NONE""))),IF(ISBLANK(A258),"""",0))"),"")</f>
        <v/>
      </c>
      <c r="T258" s="56" t="str">
        <f>IFERROR(__xludf.DUMMYFUNCTION("IFERROR((COUNTIF(FILTER(Data!N:N, Data!B:B=A258),""LOW"")) / (COUNTIF(Data!B:B, A258)),"""")"),"")</f>
        <v/>
      </c>
      <c r="U258" s="59" t="str">
        <f>IFERROR(__xludf.DUMMYFUNCTION("IFERROR((COUNTIF(FILTER(Data!N:N, Data!B:B=A258),""MIDDLE"")) / (COUNTIF(Data!B:B, A258)),"""")"),"")</f>
        <v/>
      </c>
      <c r="V258" s="59" t="str">
        <f>IFERROR(__xludf.DUMMYFUNCTION("IFERROR((COUNTIF(FILTER(Data!N:N, Data!B:B=A258),""HIGH"")) / (COUNTIF(Data!B:B, A258)),"""")"),"")</f>
        <v/>
      </c>
      <c r="W258" s="59" t="str">
        <f>IFERROR(__xludf.DUMMYFUNCTION("IFERROR((COUNTIF(FILTER(Data!N:N, Data!B:B=A258),""TRAVERSE"")) / (COUNTIF(Data!B:B, A258)),"""")"),"")</f>
        <v/>
      </c>
      <c r="X258" s="60" t="str">
        <f t="shared" si="38"/>
        <v/>
      </c>
      <c r="Y258" s="45" t="str">
        <f t="shared" si="7"/>
        <v/>
      </c>
      <c r="Z258" s="45" t="str">
        <f t="shared" si="8"/>
        <v/>
      </c>
      <c r="AA258" s="16" t="str">
        <f t="shared" si="9"/>
        <v/>
      </c>
      <c r="AB258" s="16"/>
      <c r="AC258" s="16" t="str">
        <f>IFERROR(__xludf.DUMMYFUNCTION("IF(AA258="""","""",MAX(Filter((Data!G:G+Data!K:K),Data!B:B=A258)))"),"")</f>
        <v/>
      </c>
      <c r="AD258" s="16"/>
      <c r="AE258" s="16" t="str">
        <f t="shared" si="12"/>
        <v/>
      </c>
      <c r="AF258" s="16" t="str">
        <f t="shared" si="13"/>
        <v/>
      </c>
      <c r="AG258" s="44"/>
      <c r="AH258" s="44"/>
      <c r="AI258" s="44" t="str">
        <f>IFERROR(__xludf.DUMMYFUNCTION("TEXTJOIN("", "",TRUE, FILTER(Data!P:P, Data!B:B=A258))"),"")</f>
        <v/>
      </c>
      <c r="AM258" s="61"/>
      <c r="BC258" s="50"/>
    </row>
    <row r="259">
      <c r="A259" s="54"/>
      <c r="B259" s="55" t="str">
        <f>IFERROR(__xludf.DUMMYFUNCTION("IFERROR(ROUND(
(COUNTIF(FILTER(Data!O:O, Data!B:B=A259), ""Win"")
+ COUNTIF(FILTER(Data!O:O, Data!B:B=A259), {""Tie"",""Results""}))
/ (COUNTIF(Data!B:B, A259)),
1),"""")"),"")</f>
        <v/>
      </c>
      <c r="C259" s="45" t="str">
        <f>IFERROR((SUMIF(Data!B:B, A259, Data!H:H)
/ (COUNTIF(Data!B:B, A259)
)),"")</f>
        <v/>
      </c>
      <c r="D259" s="45" t="str">
        <f>IFERROR((SUMIF(Data!B:B, A259, Data!G:G)
/ (COUNTIF(Data!B:B, A259)
)),"")</f>
        <v/>
      </c>
      <c r="E259" s="45"/>
      <c r="F259" s="45" t="str">
        <f>IFERROR((SUMIF(Data!B:B, A259, Data!J:J)
/ (COUNTIF(Data!B:B, A259)
)),"")</f>
        <v/>
      </c>
      <c r="G259" s="56" t="str">
        <f>IF(A259="","",IFERROR((((((SUMIF(Data!B:B, A259, Data!H:H)+(SUMIF(Data!B:B, A259,Data!G:G)))/(SUMIF(Data!B:B, A259, Data!J:J)))))),0))</f>
        <v/>
      </c>
      <c r="H259" s="45"/>
      <c r="I259" s="45"/>
      <c r="J259" s="45"/>
      <c r="K259" s="45"/>
      <c r="L259" s="45" t="str">
        <f>IFERROR((SUMIF(Data!B:B, A259, Data!L:L)
/ (COUNTIF(Data!B:B, A259)
)),"")</f>
        <v/>
      </c>
      <c r="M259" s="45" t="str">
        <f>IFERROR((SUMIF(Data!B:B, A259, Data!K:K)
/ (COUNTIF(Data!B:B, A259)
)),"")</f>
        <v/>
      </c>
      <c r="N259" s="56"/>
      <c r="O259" s="56" t="str">
        <f>IF(A259="","",IFERROR((((((SUMIF(Data!B:B, A259, Data!H:H)+(SUMIF(Data!B:B, A259,Data!G:G)+(SUMIF(Data!B:B, A259,Data!L:L)+(SUMIF(Data!B:B, A259,Data!K:K)))))/(SUMIF(Data!B:B, A259, Data!M:M)+(SUMIF(Data!B:B, A259, Data!H:H)+(SUMIF(Data!B:B, A259,Data!G:G)+(SUMIF(Data!B:B, A259,Data!K:K)+(SUMIF(Data!B:B, A259,Data!L:L)))))))))),0))</f>
        <v/>
      </c>
      <c r="P259" s="57" t="str">
        <f>IFERROR(__xludf.DUMMYFUNCTION("IFERROR(((COUNTIF(FILTER(Data!N:N,Data!B:B=A259),""TRAVERSE"")*15)+(COUNTIF(FILTER(Data!N:N,Data!B:B=A259),""HIGH"")*10)+(COUNTIF(FILTER(Data!N:N,Data!B:B=A259),""MIDDLE"")*6)+(COUNTIF(FILTER(Data!N:N,Data!B:B=A259),""LOW"")*4)) / (COUNTIF(Data!B:B, A259)"&amp;"),"""")"),"")</f>
        <v/>
      </c>
      <c r="Q259" s="58"/>
      <c r="R259" s="36" t="str">
        <f t="shared" si="37"/>
        <v/>
      </c>
      <c r="S259" s="58" t="str">
        <f>IFERROR(__xludf.DUMMYFUNCTION("IFERROR((((COUNTIF(FILTER(Data!N:N,Data!B:B=A259),""TRAVERSE""))+(COUNTIF(FILTER(Data!N:N,Data!B:B=A259),""HIGH""))+(COUNTIF(FILTER(Data!N:N,Data!B:B=A259),""MIDDLE""))+(COUNTIF(FILTER(Data!N:N,Data!B:B=A259),""LOW"")))) / (((COUNTIF(Data!B:B, A259)))-(CO"&amp;"UNTIF(FILTER(Data!N:N,Data!B:B=A259),""NONE""))),IF(ISBLANK(A259),"""",0))"),"")</f>
        <v/>
      </c>
      <c r="T259" s="56" t="str">
        <f>IFERROR(__xludf.DUMMYFUNCTION("IFERROR((COUNTIF(FILTER(Data!N:N, Data!B:B=A259),""LOW"")) / (COUNTIF(Data!B:B, A259)),"""")"),"")</f>
        <v/>
      </c>
      <c r="U259" s="59" t="str">
        <f>IFERROR(__xludf.DUMMYFUNCTION("IFERROR((COUNTIF(FILTER(Data!N:N, Data!B:B=A259),""MIDDLE"")) / (COUNTIF(Data!B:B, A259)),"""")"),"")</f>
        <v/>
      </c>
      <c r="V259" s="59" t="str">
        <f>IFERROR(__xludf.DUMMYFUNCTION("IFERROR((COUNTIF(FILTER(Data!N:N, Data!B:B=A259),""HIGH"")) / (COUNTIF(Data!B:B, A259)),"""")"),"")</f>
        <v/>
      </c>
      <c r="W259" s="59" t="str">
        <f>IFERROR(__xludf.DUMMYFUNCTION("IFERROR((COUNTIF(FILTER(Data!N:N, Data!B:B=A259),""TRAVERSE"")) / (COUNTIF(Data!B:B, A259)),"""")"),"")</f>
        <v/>
      </c>
      <c r="X259" s="59"/>
      <c r="Y259" s="45" t="str">
        <f t="shared" si="7"/>
        <v/>
      </c>
      <c r="Z259" s="45" t="str">
        <f t="shared" si="8"/>
        <v/>
      </c>
      <c r="AA259" s="16" t="str">
        <f t="shared" si="9"/>
        <v/>
      </c>
      <c r="AB259" s="16"/>
      <c r="AC259" s="16" t="str">
        <f>IFERROR(__xludf.DUMMYFUNCTION("IF(AA259="""","""",MAX(Filter((Data!G:G+Data!K:K),Data!B:B=A259)))"),"")</f>
        <v/>
      </c>
      <c r="AD259" s="16"/>
      <c r="AE259" s="16" t="str">
        <f t="shared" si="12"/>
        <v/>
      </c>
      <c r="AF259" s="16" t="str">
        <f t="shared" si="13"/>
        <v/>
      </c>
      <c r="AG259" s="44"/>
      <c r="AH259" s="44"/>
      <c r="AI259" s="44" t="str">
        <f>IFERROR(__xludf.DUMMYFUNCTION("TEXTJOIN("", "",TRUE, FILTER(Data!P:P, Data!B:B=A259))"),"")</f>
        <v/>
      </c>
      <c r="AM259" s="61"/>
      <c r="BC259" s="50"/>
    </row>
    <row r="260">
      <c r="A260" s="54"/>
      <c r="B260" s="55" t="str">
        <f>IFERROR(__xludf.DUMMYFUNCTION("IFERROR(ROUND(
(COUNTIF(FILTER(Data!O:O, Data!B:B=A260), ""Win"")
+ COUNTIF(FILTER(Data!O:O, Data!B:B=A260), {""Tie"",""Results""}))
/ (COUNTIF(Data!B:B, A260)),
1),"""")"),"")</f>
        <v/>
      </c>
      <c r="C260" s="45" t="str">
        <f>IFERROR((SUMIF(Data!B:B, A260, Data!H:H)
/ (COUNTIF(Data!B:B, A260)
)),"")</f>
        <v/>
      </c>
      <c r="D260" s="45" t="str">
        <f>IFERROR((SUMIF(Data!B:B, A260, Data!G:G)
/ (COUNTIF(Data!B:B, A260)
)),"")</f>
        <v/>
      </c>
      <c r="E260" s="45"/>
      <c r="F260" s="45" t="str">
        <f>IFERROR((SUMIF(Data!B:B, A260, Data!J:J)
/ (COUNTIF(Data!B:B, A260)
)),"")</f>
        <v/>
      </c>
      <c r="G260" s="56" t="str">
        <f>IF(A260="","",IFERROR((((((SUMIF(Data!B:B, A260, Data!H:H)+(SUMIF(Data!B:B, A260,Data!G:G)))/(SUMIF(Data!B:B, A260, Data!J:J)))))),0))</f>
        <v/>
      </c>
      <c r="H260" s="45"/>
      <c r="I260" s="45"/>
      <c r="J260" s="45"/>
      <c r="K260" s="45"/>
      <c r="L260" s="45" t="str">
        <f>IFERROR((SUMIF(Data!B:B, A260, Data!L:L)
/ (COUNTIF(Data!B:B, A260)
)),"")</f>
        <v/>
      </c>
      <c r="M260" s="45" t="str">
        <f>IFERROR((SUMIF(Data!B:B, A260, Data!K:K)
/ (COUNTIF(Data!B:B, A260)
)),"")</f>
        <v/>
      </c>
      <c r="N260" s="56"/>
      <c r="O260" s="56" t="str">
        <f>IF(A260="","",IFERROR((((((SUMIF(Data!B:B, A260, Data!H:H)+(SUMIF(Data!B:B, A260,Data!G:G)+(SUMIF(Data!B:B, A260,Data!L:L)+(SUMIF(Data!B:B, A260,Data!K:K)))))/(SUMIF(Data!B:B, A260, Data!M:M)+(SUMIF(Data!B:B, A260, Data!H:H)+(SUMIF(Data!B:B, A260,Data!G:G)+(SUMIF(Data!B:B, A260,Data!K:K)+(SUMIF(Data!B:B, A260,Data!L:L)))))))))),0))</f>
        <v/>
      </c>
      <c r="P260" s="57" t="str">
        <f>IFERROR(__xludf.DUMMYFUNCTION("IFERROR(((COUNTIF(FILTER(Data!N:N,Data!B:B=A260),""TRAVERSE"")*15)+(COUNTIF(FILTER(Data!N:N,Data!B:B=A260),""HIGH"")*10)+(COUNTIF(FILTER(Data!N:N,Data!B:B=A260),""MIDDLE"")*6)+(COUNTIF(FILTER(Data!N:N,Data!B:B=A260),""LOW"")*4)) / (COUNTIF(Data!B:B, A260)"&amp;"),"""")"),"")</f>
        <v/>
      </c>
      <c r="Q260" s="58"/>
      <c r="R260" s="36" t="str">
        <f t="shared" si="37"/>
        <v/>
      </c>
      <c r="S260" s="58" t="str">
        <f>IFERROR(__xludf.DUMMYFUNCTION("IFERROR((((COUNTIF(FILTER(Data!N:N,Data!B:B=A260),""TRAVERSE""))+(COUNTIF(FILTER(Data!N:N,Data!B:B=A260),""HIGH""))+(COUNTIF(FILTER(Data!N:N,Data!B:B=A260),""MIDDLE""))+(COUNTIF(FILTER(Data!N:N,Data!B:B=A260),""LOW"")))) / (((COUNTIF(Data!B:B, A260)))-(CO"&amp;"UNTIF(FILTER(Data!N:N,Data!B:B=A260),""NONE""))),IF(ISBLANK(A260),"""",0))"),"")</f>
        <v/>
      </c>
      <c r="T260" s="56" t="str">
        <f>IFERROR(__xludf.DUMMYFUNCTION("IFERROR((COUNTIF(FILTER(Data!N:N, Data!B:B=A260),""LOW"")) / (COUNTIF(Data!B:B, A260)),"""")"),"")</f>
        <v/>
      </c>
      <c r="U260" s="59" t="str">
        <f>IFERROR(__xludf.DUMMYFUNCTION("IFERROR((COUNTIF(FILTER(Data!N:N, Data!B:B=A260),""MIDDLE"")) / (COUNTIF(Data!B:B, A260)),"""")"),"")</f>
        <v/>
      </c>
      <c r="V260" s="59" t="str">
        <f>IFERROR(__xludf.DUMMYFUNCTION("IFERROR((COUNTIF(FILTER(Data!N:N, Data!B:B=A260),""HIGH"")) / (COUNTIF(Data!B:B, A260)),"""")"),"")</f>
        <v/>
      </c>
      <c r="W260" s="59" t="str">
        <f>IFERROR(__xludf.DUMMYFUNCTION("IFERROR((COUNTIF(FILTER(Data!N:N, Data!B:B=A260),""TRAVERSE"")) / (COUNTIF(Data!B:B, A260)),"""")"),"")</f>
        <v/>
      </c>
      <c r="X260" s="59"/>
      <c r="Y260" s="45" t="str">
        <f t="shared" si="7"/>
        <v/>
      </c>
      <c r="Z260" s="45" t="str">
        <f t="shared" si="8"/>
        <v/>
      </c>
      <c r="AA260" s="16" t="str">
        <f t="shared" si="9"/>
        <v/>
      </c>
      <c r="AB260" s="16"/>
      <c r="AC260" s="16" t="str">
        <f>IFERROR(__xludf.DUMMYFUNCTION("IF(AA260="""","""",MAX(Filter((Data!G:G+Data!K:K),Data!B:B=A260)))"),"")</f>
        <v/>
      </c>
      <c r="AD260" s="16"/>
      <c r="AE260" s="16" t="str">
        <f t="shared" si="12"/>
        <v/>
      </c>
      <c r="AF260" s="16" t="str">
        <f t="shared" si="13"/>
        <v/>
      </c>
      <c r="AG260" s="44"/>
      <c r="AH260" s="44"/>
      <c r="AI260" s="44" t="str">
        <f>IFERROR(__xludf.DUMMYFUNCTION("TEXTJOIN("", "",TRUE, FILTER(Data!P:P, Data!B:B=A260))"),"")</f>
        <v/>
      </c>
      <c r="AM260" s="61"/>
      <c r="BC260" s="50"/>
    </row>
    <row r="261">
      <c r="A261" s="54"/>
      <c r="B261" s="55" t="str">
        <f>IFERROR(__xludf.DUMMYFUNCTION("IFERROR(ROUND(
(COUNTIF(FILTER(Data!O:O, Data!B:B=A261), ""Win"")
+ COUNTIF(FILTER(Data!O:O, Data!B:B=A261), {""Tie"",""Results""}))
/ (COUNTIF(Data!B:B, A261)),
1),"""")"),"")</f>
        <v/>
      </c>
      <c r="C261" s="45" t="str">
        <f>IFERROR((SUMIF(Data!B:B, A261, Data!H:H)
/ (COUNTIF(Data!B:B, A261)
)),"")</f>
        <v/>
      </c>
      <c r="D261" s="45" t="str">
        <f>IFERROR((SUMIF(Data!B:B, A261, Data!G:G)
/ (COUNTIF(Data!B:B, A261)
)),"")</f>
        <v/>
      </c>
      <c r="E261" s="45"/>
      <c r="F261" s="45" t="str">
        <f>IFERROR((SUMIF(Data!B:B, A261, Data!J:J)
/ (COUNTIF(Data!B:B, A261)
)),"")</f>
        <v/>
      </c>
      <c r="G261" s="56" t="str">
        <f>IF(A261="","",IFERROR((((((SUMIF(Data!B:B, A261, Data!H:H)+(SUMIF(Data!B:B, A261,Data!G:G)))/(SUMIF(Data!B:B, A261, Data!J:J)))))),0))</f>
        <v/>
      </c>
      <c r="H261" s="45"/>
      <c r="I261" s="45"/>
      <c r="J261" s="45"/>
      <c r="K261" s="45"/>
      <c r="L261" s="45" t="str">
        <f>IFERROR((SUMIF(Data!B:B, A261, Data!L:L)
/ (COUNTIF(Data!B:B, A261)
)),"")</f>
        <v/>
      </c>
      <c r="M261" s="45" t="str">
        <f>IFERROR((SUMIF(Data!B:B, A261, Data!K:K)
/ (COUNTIF(Data!B:B, A261)
)),"")</f>
        <v/>
      </c>
      <c r="N261" s="56"/>
      <c r="O261" s="56" t="str">
        <f>IF(A261="","",IFERROR((((((SUMIF(Data!B:B, A261, Data!H:H)+(SUMIF(Data!B:B, A261,Data!G:G)+(SUMIF(Data!B:B, A261,Data!L:L)+(SUMIF(Data!B:B, A261,Data!K:K)))))/(SUMIF(Data!B:B, A261, Data!M:M)+(SUMIF(Data!B:B, A261, Data!H:H)+(SUMIF(Data!B:B, A261,Data!G:G)+(SUMIF(Data!B:B, A261,Data!K:K)+(SUMIF(Data!B:B, A261,Data!L:L)))))))))),0))</f>
        <v/>
      </c>
      <c r="P261" s="57" t="str">
        <f>IFERROR(__xludf.DUMMYFUNCTION("IFERROR(((COUNTIF(FILTER(Data!N:N,Data!B:B=A261),""TRAVERSE"")*15)+(COUNTIF(FILTER(Data!N:N,Data!B:B=A261),""HIGH"")*10)+(COUNTIF(FILTER(Data!N:N,Data!B:B=A261),""MIDDLE"")*6)+(COUNTIF(FILTER(Data!N:N,Data!B:B=A261),""LOW"")*4)) / (COUNTIF(Data!B:B, A261)"&amp;"),"""")"),"")</f>
        <v/>
      </c>
      <c r="Q261" s="58"/>
      <c r="R261" s="36" t="str">
        <f t="shared" si="37"/>
        <v/>
      </c>
      <c r="S261" s="58" t="str">
        <f>IFERROR(__xludf.DUMMYFUNCTION("IFERROR((((COUNTIF(FILTER(Data!N:N,Data!B:B=A261),""TRAVERSE""))+(COUNTIF(FILTER(Data!N:N,Data!B:B=A261),""HIGH""))+(COUNTIF(FILTER(Data!N:N,Data!B:B=A261),""MIDDLE""))+(COUNTIF(FILTER(Data!N:N,Data!B:B=A261),""LOW"")))) / (((COUNTIF(Data!B:B, A261)))-(CO"&amp;"UNTIF(FILTER(Data!N:N,Data!B:B=A261),""NONE""))),IF(ISBLANK(A261),"""",0))"),"")</f>
        <v/>
      </c>
      <c r="T261" s="56" t="str">
        <f>IFERROR(__xludf.DUMMYFUNCTION("IFERROR((COUNTIF(FILTER(Data!N:N, Data!B:B=A261),""LOW"")) / (COUNTIF(Data!B:B, A261)),"""")"),"")</f>
        <v/>
      </c>
      <c r="U261" s="59" t="str">
        <f>IFERROR(__xludf.DUMMYFUNCTION("IFERROR((COUNTIF(FILTER(Data!N:N, Data!B:B=A261),""MIDDLE"")) / (COUNTIF(Data!B:B, A261)),"""")"),"")</f>
        <v/>
      </c>
      <c r="V261" s="59" t="str">
        <f>IFERROR(__xludf.DUMMYFUNCTION("IFERROR((COUNTIF(FILTER(Data!N:N, Data!B:B=A261),""HIGH"")) / (COUNTIF(Data!B:B, A261)),"""")"),"")</f>
        <v/>
      </c>
      <c r="W261" s="59" t="str">
        <f>IFERROR(__xludf.DUMMYFUNCTION("IFERROR((COUNTIF(FILTER(Data!N:N, Data!B:B=A261),""TRAVERSE"")) / (COUNTIF(Data!B:B, A261)),"""")"),"")</f>
        <v/>
      </c>
      <c r="X261" s="59"/>
      <c r="Y261" s="45" t="str">
        <f t="shared" si="7"/>
        <v/>
      </c>
      <c r="Z261" s="45" t="str">
        <f t="shared" si="8"/>
        <v/>
      </c>
      <c r="AA261" s="16" t="str">
        <f t="shared" si="9"/>
        <v/>
      </c>
      <c r="AB261" s="16"/>
      <c r="AC261" s="16" t="str">
        <f>IFERROR(__xludf.DUMMYFUNCTION("IF(AA261="""","""",MAX(Filter((Data!G:G+Data!K:K),Data!B:B=A261)))"),"")</f>
        <v/>
      </c>
      <c r="AD261" s="16"/>
      <c r="AE261" s="16" t="str">
        <f t="shared" si="12"/>
        <v/>
      </c>
      <c r="AF261" s="16" t="str">
        <f t="shared" si="13"/>
        <v/>
      </c>
      <c r="AG261" s="44"/>
      <c r="AH261" s="44"/>
      <c r="AI261" s="44" t="str">
        <f>IFERROR(__xludf.DUMMYFUNCTION("TEXTJOIN("", "",TRUE, FILTER(Data!P:P, Data!B:B=A261))"),"")</f>
        <v/>
      </c>
      <c r="AM261" s="61"/>
      <c r="BC261" s="50"/>
    </row>
    <row r="262">
      <c r="A262" s="54"/>
      <c r="B262" s="55" t="str">
        <f>IFERROR(__xludf.DUMMYFUNCTION("IFERROR(ROUND(
(COUNTIF(FILTER(Data!O:O, Data!B:B=A262), ""Win"")
+ COUNTIF(FILTER(Data!O:O, Data!B:B=A262), {""Tie"",""Results""}))
/ (COUNTIF(Data!B:B, A262)),
1),"""")"),"")</f>
        <v/>
      </c>
      <c r="C262" s="45" t="str">
        <f>IFERROR((SUMIF(Data!B:B, A262, Data!H:H)
/ (COUNTIF(Data!B:B, A262)
)),"")</f>
        <v/>
      </c>
      <c r="D262" s="45" t="str">
        <f>IFERROR((SUMIF(Data!B:B, A262, Data!G:G)
/ (COUNTIF(Data!B:B, A262)
)),"")</f>
        <v/>
      </c>
      <c r="E262" s="45"/>
      <c r="F262" s="45" t="str">
        <f>IFERROR((SUMIF(Data!B:B, A262, Data!J:J)
/ (COUNTIF(Data!B:B, A262)
)),"")</f>
        <v/>
      </c>
      <c r="G262" s="56" t="str">
        <f>IF(A262="","",IFERROR((((((SUMIF(Data!B:B, A262, Data!H:H)+(SUMIF(Data!B:B, A262,Data!G:G)))/(SUMIF(Data!B:B, A262, Data!J:J)))))),0))</f>
        <v/>
      </c>
      <c r="H262" s="45"/>
      <c r="I262" s="45"/>
      <c r="J262" s="45"/>
      <c r="K262" s="45"/>
      <c r="L262" s="45" t="str">
        <f>IFERROR((SUMIF(Data!B:B, A262, Data!L:L)
/ (COUNTIF(Data!B:B, A262)
)),"")</f>
        <v/>
      </c>
      <c r="M262" s="45" t="str">
        <f>IFERROR((SUMIF(Data!B:B, A262, Data!K:K)
/ (COUNTIF(Data!B:B, A262)
)),"")</f>
        <v/>
      </c>
      <c r="N262" s="56"/>
      <c r="O262" s="56" t="str">
        <f>IF(A262="","",IFERROR((((((SUMIF(Data!B:B, A262, Data!H:H)+(SUMIF(Data!B:B, A262,Data!G:G)+(SUMIF(Data!B:B, A262,Data!L:L)+(SUMIF(Data!B:B, A262,Data!K:K)))))/(SUMIF(Data!B:B, A262, Data!M:M)+(SUMIF(Data!B:B, A262, Data!H:H)+(SUMIF(Data!B:B, A262,Data!G:G)+(SUMIF(Data!B:B, A262,Data!K:K)+(SUMIF(Data!B:B, A262,Data!L:L)))))))))),0))</f>
        <v/>
      </c>
      <c r="P262" s="57" t="str">
        <f>IFERROR(__xludf.DUMMYFUNCTION("IFERROR(((COUNTIF(FILTER(Data!N:N,Data!B:B=A262),""TRAVERSE"")*15)+(COUNTIF(FILTER(Data!N:N,Data!B:B=A262),""HIGH"")*10)+(COUNTIF(FILTER(Data!N:N,Data!B:B=A262),""MIDDLE"")*6)+(COUNTIF(FILTER(Data!N:N,Data!B:B=A262),""LOW"")*4)) / (COUNTIF(Data!B:B, A262)"&amp;"),"""")"),"")</f>
        <v/>
      </c>
      <c r="Q262" s="58"/>
      <c r="R262" s="36" t="str">
        <f t="shared" si="37"/>
        <v/>
      </c>
      <c r="S262" s="58" t="str">
        <f>IFERROR(__xludf.DUMMYFUNCTION("IFERROR((((COUNTIF(FILTER(Data!N:N,Data!B:B=A262),""TRAVERSE""))+(COUNTIF(FILTER(Data!N:N,Data!B:B=A262),""HIGH""))+(COUNTIF(FILTER(Data!N:N,Data!B:B=A262),""MIDDLE""))+(COUNTIF(FILTER(Data!N:N,Data!B:B=A262),""LOW"")))) / (((COUNTIF(Data!B:B, A262)))-(CO"&amp;"UNTIF(FILTER(Data!N:N,Data!B:B=A262),""NONE""))),IF(ISBLANK(A262),"""",0))"),"")</f>
        <v/>
      </c>
      <c r="T262" s="56" t="str">
        <f>IFERROR(__xludf.DUMMYFUNCTION("IFERROR((COUNTIF(FILTER(Data!N:N, Data!B:B=A262),""LOW"")) / (COUNTIF(Data!B:B, A262)),"""")"),"")</f>
        <v/>
      </c>
      <c r="U262" s="59" t="str">
        <f>IFERROR(__xludf.DUMMYFUNCTION("IFERROR((COUNTIF(FILTER(Data!N:N, Data!B:B=A262),""MIDDLE"")) / (COUNTIF(Data!B:B, A262)),"""")"),"")</f>
        <v/>
      </c>
      <c r="V262" s="59" t="str">
        <f>IFERROR(__xludf.DUMMYFUNCTION("IFERROR((COUNTIF(FILTER(Data!N:N, Data!B:B=A262),""HIGH"")) / (COUNTIF(Data!B:B, A262)),"""")"),"")</f>
        <v/>
      </c>
      <c r="W262" s="59" t="str">
        <f>IFERROR(__xludf.DUMMYFUNCTION("IFERROR((COUNTIF(FILTER(Data!N:N, Data!B:B=A262),""TRAVERSE"")) / (COUNTIF(Data!B:B, A262)),"""")"),"")</f>
        <v/>
      </c>
      <c r="X262" s="59"/>
      <c r="Y262" s="45" t="str">
        <f t="shared" si="7"/>
        <v/>
      </c>
      <c r="Z262" s="45" t="str">
        <f t="shared" si="8"/>
        <v/>
      </c>
      <c r="AA262" s="16" t="str">
        <f t="shared" si="9"/>
        <v/>
      </c>
      <c r="AB262" s="16"/>
      <c r="AC262" s="16" t="str">
        <f>IFERROR(__xludf.DUMMYFUNCTION("IF(AA262="""","""",MAX(Filter((Data!G:G+Data!K:K),Data!B:B=A262)))"),"")</f>
        <v/>
      </c>
      <c r="AD262" s="16"/>
      <c r="AE262" s="16" t="str">
        <f t="shared" si="12"/>
        <v/>
      </c>
      <c r="AF262" s="16" t="str">
        <f t="shared" si="13"/>
        <v/>
      </c>
      <c r="AG262" s="44"/>
      <c r="AH262" s="44"/>
      <c r="AI262" s="44" t="str">
        <f>IFERROR(__xludf.DUMMYFUNCTION("TEXTJOIN("", "",TRUE, FILTER(Data!P:P, Data!B:B=A262))"),"")</f>
        <v/>
      </c>
      <c r="AM262" s="61"/>
      <c r="BC262" s="50"/>
    </row>
    <row r="263">
      <c r="A263" s="54"/>
      <c r="B263" s="55" t="str">
        <f>IFERROR(__xludf.DUMMYFUNCTION("IFERROR(ROUND(
(COUNTIF(FILTER(Data!O:O, Data!B:B=A263), ""Win"")
+ COUNTIF(FILTER(Data!O:O, Data!B:B=A263), {""Tie"",""Results""}))
/ (COUNTIF(Data!B:B, A263)),
1),"""")"),"")</f>
        <v/>
      </c>
      <c r="C263" s="45" t="str">
        <f>IFERROR((SUMIF(Data!B:B, A263, Data!H:H)
/ (COUNTIF(Data!B:B, A263)
)),"")</f>
        <v/>
      </c>
      <c r="D263" s="45" t="str">
        <f>IFERROR((SUMIF(Data!B:B, A263, Data!G:G)
/ (COUNTIF(Data!B:B, A263)
)),"")</f>
        <v/>
      </c>
      <c r="E263" s="45"/>
      <c r="F263" s="45" t="str">
        <f>IFERROR((SUMIF(Data!B:B, A263, Data!J:J)
/ (COUNTIF(Data!B:B, A263)
)),"")</f>
        <v/>
      </c>
      <c r="G263" s="56" t="str">
        <f>IF(A263="","",IFERROR((((((SUMIF(Data!B:B, A263, Data!H:H)+(SUMIF(Data!B:B, A263,Data!G:G)))/(SUMIF(Data!B:B, A263, Data!J:J)))))),0))</f>
        <v/>
      </c>
      <c r="H263" s="45"/>
      <c r="I263" s="45"/>
      <c r="J263" s="45"/>
      <c r="K263" s="45"/>
      <c r="L263" s="45" t="str">
        <f>IFERROR((SUMIF(Data!B:B, A263, Data!L:L)
/ (COUNTIF(Data!B:B, A263)
)),"")</f>
        <v/>
      </c>
      <c r="M263" s="45" t="str">
        <f>IFERROR((SUMIF(Data!B:B, A263, Data!K:K)
/ (COUNTIF(Data!B:B, A263)
)),"")</f>
        <v/>
      </c>
      <c r="N263" s="56"/>
      <c r="O263" s="56" t="str">
        <f>IF(A263="","",IFERROR((((((SUMIF(Data!B:B, A263, Data!H:H)+(SUMIF(Data!B:B, A263,Data!G:G)+(SUMIF(Data!B:B, A263,Data!L:L)+(SUMIF(Data!B:B, A263,Data!K:K)))))/(SUMIF(Data!B:B, A263, Data!M:M)+(SUMIF(Data!B:B, A263, Data!H:H)+(SUMIF(Data!B:B, A263,Data!G:G)+(SUMIF(Data!B:B, A263,Data!K:K)+(SUMIF(Data!B:B, A263,Data!L:L)))))))))),0))</f>
        <v/>
      </c>
      <c r="P263" s="57" t="str">
        <f>IFERROR(__xludf.DUMMYFUNCTION("IFERROR(((COUNTIF(FILTER(Data!N:N,Data!B:B=A263),""TRAVERSE"")*15)+(COUNTIF(FILTER(Data!N:N,Data!B:B=A263),""HIGH"")*10)+(COUNTIF(FILTER(Data!N:N,Data!B:B=A263),""MIDDLE"")*6)+(COUNTIF(FILTER(Data!N:N,Data!B:B=A263),""LOW"")*4)) / (COUNTIF(Data!B:B, A263)"&amp;"),"""")"),"")</f>
        <v/>
      </c>
      <c r="Q263" s="58"/>
      <c r="R263" s="36" t="str">
        <f t="shared" si="37"/>
        <v/>
      </c>
      <c r="S263" s="58" t="str">
        <f>IFERROR(__xludf.DUMMYFUNCTION("IFERROR((((COUNTIF(FILTER(Data!N:N,Data!B:B=A263),""TRAVERSE""))+(COUNTIF(FILTER(Data!N:N,Data!B:B=A263),""HIGH""))+(COUNTIF(FILTER(Data!N:N,Data!B:B=A263),""MIDDLE""))+(COUNTIF(FILTER(Data!N:N,Data!B:B=A263),""LOW"")))) / (((COUNTIF(Data!B:B, A263)))-(CO"&amp;"UNTIF(FILTER(Data!N:N,Data!B:B=A263),""NONE""))),IF(ISBLANK(A263),"""",0))"),"")</f>
        <v/>
      </c>
      <c r="T263" s="56" t="str">
        <f>IFERROR(__xludf.DUMMYFUNCTION("IFERROR((COUNTIF(FILTER(Data!N:N, Data!B:B=A263),""LOW"")) / (COUNTIF(Data!B:B, A263)),"""")"),"")</f>
        <v/>
      </c>
      <c r="U263" s="59" t="str">
        <f>IFERROR(__xludf.DUMMYFUNCTION("IFERROR((COUNTIF(FILTER(Data!N:N, Data!B:B=A263),""MIDDLE"")) / (COUNTIF(Data!B:B, A263)),"""")"),"")</f>
        <v/>
      </c>
      <c r="V263" s="59" t="str">
        <f>IFERROR(__xludf.DUMMYFUNCTION("IFERROR((COUNTIF(FILTER(Data!N:N, Data!B:B=A263),""HIGH"")) / (COUNTIF(Data!B:B, A263)),"""")"),"")</f>
        <v/>
      </c>
      <c r="W263" s="59" t="str">
        <f>IFERROR(__xludf.DUMMYFUNCTION("IFERROR((COUNTIF(FILTER(Data!N:N, Data!B:B=A263),""TRAVERSE"")) / (COUNTIF(Data!B:B, A263)),"""")"),"")</f>
        <v/>
      </c>
      <c r="X263" s="59"/>
      <c r="Y263" s="45" t="str">
        <f t="shared" si="7"/>
        <v/>
      </c>
      <c r="Z263" s="45" t="str">
        <f t="shared" si="8"/>
        <v/>
      </c>
      <c r="AA263" s="16" t="str">
        <f t="shared" si="9"/>
        <v/>
      </c>
      <c r="AB263" s="16"/>
      <c r="AC263" s="16" t="str">
        <f>IFERROR(__xludf.DUMMYFUNCTION("IF(AA263="""","""",MAX(Filter((Data!G:G+Data!K:K),Data!B:B=A263)))"),"")</f>
        <v/>
      </c>
      <c r="AD263" s="16"/>
      <c r="AE263" s="16" t="str">
        <f t="shared" si="12"/>
        <v/>
      </c>
      <c r="AF263" s="16" t="str">
        <f t="shared" si="13"/>
        <v/>
      </c>
      <c r="AG263" s="44"/>
      <c r="AH263" s="44"/>
      <c r="AI263" s="44" t="str">
        <f>IFERROR(__xludf.DUMMYFUNCTION("TEXTJOIN("", "",TRUE, FILTER(Data!P:P, Data!B:B=A263))"),"")</f>
        <v/>
      </c>
      <c r="AM263" s="61"/>
      <c r="BC263" s="50"/>
    </row>
    <row r="264">
      <c r="A264" s="54"/>
      <c r="B264" s="55" t="str">
        <f>IFERROR(__xludf.DUMMYFUNCTION("IFERROR(ROUND(
(COUNTIF(FILTER(Data!O:O, Data!B:B=A264), ""Win"")
+ COUNTIF(FILTER(Data!O:O, Data!B:B=A264), {""Tie"",""Results""}))
/ (COUNTIF(Data!B:B, A264)),
1),"""")"),"")</f>
        <v/>
      </c>
      <c r="C264" s="45" t="str">
        <f>IFERROR((SUMIF(Data!B:B, A264, Data!H:H)
/ (COUNTIF(Data!B:B, A264)
)),"")</f>
        <v/>
      </c>
      <c r="D264" s="45" t="str">
        <f>IFERROR((SUMIF(Data!B:B, A264, Data!G:G)
/ (COUNTIF(Data!B:B, A264)
)),"")</f>
        <v/>
      </c>
      <c r="E264" s="45"/>
      <c r="F264" s="45" t="str">
        <f>IFERROR((SUMIF(Data!B:B, A264, Data!J:J)
/ (COUNTIF(Data!B:B, A264)
)),"")</f>
        <v/>
      </c>
      <c r="G264" s="56" t="str">
        <f>IF(A264="","",IFERROR((((((SUMIF(Data!B:B, A264, Data!H:H)+(SUMIF(Data!B:B, A264,Data!G:G)))/(SUMIF(Data!B:B, A264, Data!J:J)))))),0))</f>
        <v/>
      </c>
      <c r="H264" s="45"/>
      <c r="I264" s="45"/>
      <c r="J264" s="45"/>
      <c r="K264" s="45"/>
      <c r="L264" s="45" t="str">
        <f>IFERROR((SUMIF(Data!B:B, A264, Data!L:L)
/ (COUNTIF(Data!B:B, A264)
)),"")</f>
        <v/>
      </c>
      <c r="M264" s="45" t="str">
        <f>IFERROR((SUMIF(Data!B:B, A264, Data!K:K)
/ (COUNTIF(Data!B:B, A264)
)),"")</f>
        <v/>
      </c>
      <c r="N264" s="56"/>
      <c r="O264" s="56" t="str">
        <f>IF(A264="","",IFERROR((((((SUMIF(Data!B:B, A264, Data!H:H)+(SUMIF(Data!B:B, A264,Data!G:G)+(SUMIF(Data!B:B, A264,Data!L:L)+(SUMIF(Data!B:B, A264,Data!K:K)))))/(SUMIF(Data!B:B, A264, Data!M:M)+(SUMIF(Data!B:B, A264, Data!H:H)+(SUMIF(Data!B:B, A264,Data!G:G)+(SUMIF(Data!B:B, A264,Data!K:K)+(SUMIF(Data!B:B, A264,Data!L:L)))))))))),0))</f>
        <v/>
      </c>
      <c r="P264" s="57" t="str">
        <f>IFERROR(__xludf.DUMMYFUNCTION("IFERROR(((COUNTIF(FILTER(Data!N:N,Data!B:B=A264),""TRAVERSE"")*15)+(COUNTIF(FILTER(Data!N:N,Data!B:B=A264),""HIGH"")*10)+(COUNTIF(FILTER(Data!N:N,Data!B:B=A264),""MIDDLE"")*6)+(COUNTIF(FILTER(Data!N:N,Data!B:B=A264),""LOW"")*4)) / (COUNTIF(Data!B:B, A264)"&amp;"),"""")"),"")</f>
        <v/>
      </c>
      <c r="Q264" s="58"/>
      <c r="R264" s="36" t="str">
        <f t="shared" si="37"/>
        <v/>
      </c>
      <c r="S264" s="58" t="str">
        <f>IFERROR(__xludf.DUMMYFUNCTION("IFERROR((((COUNTIF(FILTER(Data!N:N,Data!B:B=A264),""TRAVERSE""))+(COUNTIF(FILTER(Data!N:N,Data!B:B=A264),""HIGH""))+(COUNTIF(FILTER(Data!N:N,Data!B:B=A264),""MIDDLE""))+(COUNTIF(FILTER(Data!N:N,Data!B:B=A264),""LOW"")))) / (((COUNTIF(Data!B:B, A264)))-(CO"&amp;"UNTIF(FILTER(Data!N:N,Data!B:B=A264),""NONE""))),IF(ISBLANK(A264),"""",0))"),"")</f>
        <v/>
      </c>
      <c r="T264" s="56" t="str">
        <f>IFERROR(__xludf.DUMMYFUNCTION("IFERROR((COUNTIF(FILTER(Data!N:N, Data!B:B=A264),""LOW"")) / (COUNTIF(Data!B:B, A264)),"""")"),"")</f>
        <v/>
      </c>
      <c r="U264" s="59" t="str">
        <f>IFERROR(__xludf.DUMMYFUNCTION("IFERROR((COUNTIF(FILTER(Data!N:N, Data!B:B=A264),""MIDDLE"")) / (COUNTIF(Data!B:B, A264)),"""")"),"")</f>
        <v/>
      </c>
      <c r="V264" s="59" t="str">
        <f>IFERROR(__xludf.DUMMYFUNCTION("IFERROR((COUNTIF(FILTER(Data!N:N, Data!B:B=A264),""HIGH"")) / (COUNTIF(Data!B:B, A264)),"""")"),"")</f>
        <v/>
      </c>
      <c r="W264" s="59" t="str">
        <f>IFERROR(__xludf.DUMMYFUNCTION("IFERROR((COUNTIF(FILTER(Data!N:N, Data!B:B=A264),""TRAVERSE"")) / (COUNTIF(Data!B:B, A264)),"""")"),"")</f>
        <v/>
      </c>
      <c r="X264" s="59"/>
      <c r="Y264" s="45" t="str">
        <f t="shared" si="7"/>
        <v/>
      </c>
      <c r="Z264" s="45" t="str">
        <f t="shared" si="8"/>
        <v/>
      </c>
      <c r="AA264" s="16" t="str">
        <f t="shared" si="9"/>
        <v/>
      </c>
      <c r="AB264" s="16"/>
      <c r="AC264" s="16" t="str">
        <f>IFERROR(__xludf.DUMMYFUNCTION("IF(AA264="""","""",MAX(Filter((Data!G:G+Data!K:K),Data!B:B=A264)))"),"")</f>
        <v/>
      </c>
      <c r="AD264" s="16"/>
      <c r="AE264" s="16" t="str">
        <f t="shared" si="12"/>
        <v/>
      </c>
      <c r="AF264" s="16" t="str">
        <f t="shared" si="13"/>
        <v/>
      </c>
      <c r="AG264" s="44"/>
      <c r="AH264" s="44"/>
      <c r="AI264" s="44" t="str">
        <f>IFERROR(__xludf.DUMMYFUNCTION("TEXTJOIN("", "",TRUE, FILTER(Data!P:P, Data!B:B=A264))"),"")</f>
        <v/>
      </c>
      <c r="AM264" s="61"/>
      <c r="BC264" s="50"/>
    </row>
    <row r="265">
      <c r="A265" s="54"/>
      <c r="B265" s="55" t="str">
        <f>IFERROR(__xludf.DUMMYFUNCTION("IFERROR(ROUND(
(COUNTIF(FILTER(Data!O:O, Data!B:B=A265), ""Win"")
+ COUNTIF(FILTER(Data!O:O, Data!B:B=A265), {""Tie"",""Results""}))
/ (COUNTIF(Data!B:B, A265)),
1),"""")"),"")</f>
        <v/>
      </c>
      <c r="C265" s="45" t="str">
        <f>IFERROR((SUMIF(Data!B:B, A265, Data!H:H)
/ (COUNTIF(Data!B:B, A265)
)),"")</f>
        <v/>
      </c>
      <c r="D265" s="45" t="str">
        <f>IFERROR((SUMIF(Data!B:B, A265, Data!G:G)
/ (COUNTIF(Data!B:B, A265)
)),"")</f>
        <v/>
      </c>
      <c r="E265" s="45"/>
      <c r="F265" s="45" t="str">
        <f>IFERROR((SUMIF(Data!B:B, A265, Data!J:J)
/ (COUNTIF(Data!B:B, A265)
)),"")</f>
        <v/>
      </c>
      <c r="G265" s="56" t="str">
        <f>IF(A265="","",IFERROR((((((SUMIF(Data!B:B, A265, Data!H:H)+(SUMIF(Data!B:B, A265,Data!G:G)))/(SUMIF(Data!B:B, A265, Data!J:J)))))),0))</f>
        <v/>
      </c>
      <c r="H265" s="45"/>
      <c r="I265" s="45"/>
      <c r="J265" s="45"/>
      <c r="K265" s="45"/>
      <c r="L265" s="45" t="str">
        <f>IFERROR((SUMIF(Data!B:B, A265, Data!L:L)
/ (COUNTIF(Data!B:B, A265)
)),"")</f>
        <v/>
      </c>
      <c r="M265" s="45" t="str">
        <f>IFERROR((SUMIF(Data!B:B, A265, Data!K:K)
/ (COUNTIF(Data!B:B, A265)
)),"")</f>
        <v/>
      </c>
      <c r="N265" s="56"/>
      <c r="O265" s="56" t="str">
        <f>IF(A265="","",IFERROR((((((SUMIF(Data!B:B, A265, Data!H:H)+(SUMIF(Data!B:B, A265,Data!G:G)+(SUMIF(Data!B:B, A265,Data!L:L)+(SUMIF(Data!B:B, A265,Data!K:K)))))/(SUMIF(Data!B:B, A265, Data!M:M)+(SUMIF(Data!B:B, A265, Data!H:H)+(SUMIF(Data!B:B, A265,Data!G:G)+(SUMIF(Data!B:B, A265,Data!K:K)+(SUMIF(Data!B:B, A265,Data!L:L)))))))))),0))</f>
        <v/>
      </c>
      <c r="P265" s="57" t="str">
        <f>IFERROR(__xludf.DUMMYFUNCTION("IFERROR(((COUNTIF(FILTER(Data!N:N,Data!B:B=A265),""TRAVERSE"")*15)+(COUNTIF(FILTER(Data!N:N,Data!B:B=A265),""HIGH"")*10)+(COUNTIF(FILTER(Data!N:N,Data!B:B=A265),""MIDDLE"")*6)+(COUNTIF(FILTER(Data!N:N,Data!B:B=A265),""LOW"")*4)) / (COUNTIF(Data!B:B, A265)"&amp;"),"""")"),"")</f>
        <v/>
      </c>
      <c r="Q265" s="58"/>
      <c r="R265" s="36" t="str">
        <f t="shared" si="37"/>
        <v/>
      </c>
      <c r="S265" s="58" t="str">
        <f>IFERROR(__xludf.DUMMYFUNCTION("IFERROR((((COUNTIF(FILTER(Data!N:N,Data!B:B=A265),""TRAVERSE""))+(COUNTIF(FILTER(Data!N:N,Data!B:B=A265),""HIGH""))+(COUNTIF(FILTER(Data!N:N,Data!B:B=A265),""MIDDLE""))+(COUNTIF(FILTER(Data!N:N,Data!B:B=A265),""LOW"")))) / (((COUNTIF(Data!B:B, A265)))-(CO"&amp;"UNTIF(FILTER(Data!N:N,Data!B:B=A265),""NONE""))),IF(ISBLANK(A265),"""",0))"),"")</f>
        <v/>
      </c>
      <c r="T265" s="56" t="str">
        <f>IFERROR(__xludf.DUMMYFUNCTION("IFERROR((COUNTIF(FILTER(Data!N:N, Data!B:B=A265),""LOW"")) / (COUNTIF(Data!B:B, A265)),"""")"),"")</f>
        <v/>
      </c>
      <c r="U265" s="59" t="str">
        <f>IFERROR(__xludf.DUMMYFUNCTION("IFERROR((COUNTIF(FILTER(Data!N:N, Data!B:B=A265),""MIDDLE"")) / (COUNTIF(Data!B:B, A265)),"""")"),"")</f>
        <v/>
      </c>
      <c r="V265" s="59" t="str">
        <f>IFERROR(__xludf.DUMMYFUNCTION("IFERROR((COUNTIF(FILTER(Data!N:N, Data!B:B=A265),""HIGH"")) / (COUNTIF(Data!B:B, A265)),"""")"),"")</f>
        <v/>
      </c>
      <c r="W265" s="59" t="str">
        <f>IFERROR(__xludf.DUMMYFUNCTION("IFERROR((COUNTIF(FILTER(Data!N:N, Data!B:B=A265),""TRAVERSE"")) / (COUNTIF(Data!B:B, A265)),"""")"),"")</f>
        <v/>
      </c>
      <c r="X265" s="59"/>
      <c r="Y265" s="45" t="str">
        <f t="shared" si="7"/>
        <v/>
      </c>
      <c r="Z265" s="45" t="str">
        <f t="shared" si="8"/>
        <v/>
      </c>
      <c r="AA265" s="16" t="str">
        <f t="shared" si="9"/>
        <v/>
      </c>
      <c r="AB265" s="16"/>
      <c r="AC265" s="16" t="str">
        <f>IFERROR(__xludf.DUMMYFUNCTION("IF(AA265="""","""",MAX(Filter((Data!G:G+Data!K:K),Data!B:B=A265)))"),"")</f>
        <v/>
      </c>
      <c r="AD265" s="16"/>
      <c r="AE265" s="16" t="str">
        <f t="shared" si="12"/>
        <v/>
      </c>
      <c r="AF265" s="16" t="str">
        <f t="shared" si="13"/>
        <v/>
      </c>
      <c r="AG265" s="44"/>
      <c r="AH265" s="44"/>
      <c r="AI265" s="44" t="str">
        <f>IFERROR(__xludf.DUMMYFUNCTION("TEXTJOIN("", "",TRUE, FILTER(Data!P:P, Data!B:B=A265))"),"")</f>
        <v/>
      </c>
      <c r="AM265" s="61"/>
      <c r="BC265" s="50"/>
    </row>
    <row r="266">
      <c r="A266" s="54"/>
      <c r="B266" s="55" t="str">
        <f>IFERROR(__xludf.DUMMYFUNCTION("IFERROR(ROUND(
(COUNTIF(FILTER(Data!O:O, Data!B:B=A266), ""Win"")
+ COUNTIF(FILTER(Data!O:O, Data!B:B=A266), {""Tie"",""Results""}))
/ (COUNTIF(Data!B:B, A266)),
1),"""")"),"")</f>
        <v/>
      </c>
      <c r="C266" s="45" t="str">
        <f>IFERROR((SUMIF(Data!B:B, A266, Data!H:H)
/ (COUNTIF(Data!B:B, A266)
)),"")</f>
        <v/>
      </c>
      <c r="D266" s="45" t="str">
        <f>IFERROR((SUMIF(Data!B:B, A266, Data!G:G)
/ (COUNTIF(Data!B:B, A266)
)),"")</f>
        <v/>
      </c>
      <c r="E266" s="45"/>
      <c r="F266" s="45" t="str">
        <f>IFERROR((SUMIF(Data!B:B, A266, Data!J:J)
/ (COUNTIF(Data!B:B, A266)
)),"")</f>
        <v/>
      </c>
      <c r="G266" s="56" t="str">
        <f>IF(A266="","",IFERROR((((((SUMIF(Data!B:B, A266, Data!H:H)+(SUMIF(Data!B:B, A266,Data!G:G)))/(SUMIF(Data!B:B, A266, Data!J:J)))))),0))</f>
        <v/>
      </c>
      <c r="H266" s="45"/>
      <c r="I266" s="45"/>
      <c r="J266" s="45"/>
      <c r="K266" s="45"/>
      <c r="L266" s="45" t="str">
        <f>IFERROR((SUMIF(Data!B:B, A266, Data!L:L)
/ (COUNTIF(Data!B:B, A266)
)),"")</f>
        <v/>
      </c>
      <c r="M266" s="45" t="str">
        <f>IFERROR((SUMIF(Data!B:B, A266, Data!K:K)
/ (COUNTIF(Data!B:B, A266)
)),"")</f>
        <v/>
      </c>
      <c r="N266" s="56"/>
      <c r="O266" s="56" t="str">
        <f>IF(A266="","",IFERROR((((((SUMIF(Data!B:B, A266, Data!H:H)+(SUMIF(Data!B:B, A266,Data!G:G)+(SUMIF(Data!B:B, A266,Data!L:L)+(SUMIF(Data!B:B, A266,Data!K:K)))))/(SUMIF(Data!B:B, A266, Data!M:M)+(SUMIF(Data!B:B, A266, Data!H:H)+(SUMIF(Data!B:B, A266,Data!G:G)+(SUMIF(Data!B:B, A266,Data!K:K)+(SUMIF(Data!B:B, A266,Data!L:L)))))))))),0))</f>
        <v/>
      </c>
      <c r="P266" s="57" t="str">
        <f>IFERROR(__xludf.DUMMYFUNCTION("IFERROR(((COUNTIF(FILTER(Data!N:N,Data!B:B=A266),""TRAVERSE"")*15)+(COUNTIF(FILTER(Data!N:N,Data!B:B=A266),""HIGH"")*10)+(COUNTIF(FILTER(Data!N:N,Data!B:B=A266),""MIDDLE"")*6)+(COUNTIF(FILTER(Data!N:N,Data!B:B=A266),""LOW"")*4)) / (COUNTIF(Data!B:B, A266)"&amp;"),"""")"),"")</f>
        <v/>
      </c>
      <c r="Q266" s="58"/>
      <c r="R266" s="36" t="str">
        <f t="shared" si="37"/>
        <v/>
      </c>
      <c r="S266" s="58" t="str">
        <f>IFERROR(__xludf.DUMMYFUNCTION("IFERROR((((COUNTIF(FILTER(Data!N:N,Data!B:B=A266),""TRAVERSE""))+(COUNTIF(FILTER(Data!N:N,Data!B:B=A266),""HIGH""))+(COUNTIF(FILTER(Data!N:N,Data!B:B=A266),""MIDDLE""))+(COUNTIF(FILTER(Data!N:N,Data!B:B=A266),""LOW"")))) / (((COUNTIF(Data!B:B, A266)))-(CO"&amp;"UNTIF(FILTER(Data!N:N,Data!B:B=A266),""NONE""))),IF(ISBLANK(A266),"""",0))"),"")</f>
        <v/>
      </c>
      <c r="T266" s="56" t="str">
        <f>IFERROR(__xludf.DUMMYFUNCTION("IFERROR((COUNTIF(FILTER(Data!N:N, Data!B:B=A266),""LOW"")) / (COUNTIF(Data!B:B, A266)),"""")"),"")</f>
        <v/>
      </c>
      <c r="U266" s="59" t="str">
        <f>IFERROR(__xludf.DUMMYFUNCTION("IFERROR((COUNTIF(FILTER(Data!N:N, Data!B:B=A266),""MIDDLE"")) / (COUNTIF(Data!B:B, A266)),"""")"),"")</f>
        <v/>
      </c>
      <c r="V266" s="59" t="str">
        <f>IFERROR(__xludf.DUMMYFUNCTION("IFERROR((COUNTIF(FILTER(Data!N:N, Data!B:B=A266),""HIGH"")) / (COUNTIF(Data!B:B, A266)),"""")"),"")</f>
        <v/>
      </c>
      <c r="W266" s="59" t="str">
        <f>IFERROR(__xludf.DUMMYFUNCTION("IFERROR((COUNTIF(FILTER(Data!N:N, Data!B:B=A266),""TRAVERSE"")) / (COUNTIF(Data!B:B, A266)),"""")"),"")</f>
        <v/>
      </c>
      <c r="X266" s="59"/>
      <c r="Y266" s="45" t="str">
        <f t="shared" si="7"/>
        <v/>
      </c>
      <c r="Z266" s="45" t="str">
        <f t="shared" si="8"/>
        <v/>
      </c>
      <c r="AA266" s="16" t="str">
        <f t="shared" si="9"/>
        <v/>
      </c>
      <c r="AB266" s="16"/>
      <c r="AC266" s="16" t="str">
        <f>IFERROR(__xludf.DUMMYFUNCTION("IF(AA266="""","""",MAX(Filter((Data!G:G+Data!K:K),Data!B:B=A266)))"),"")</f>
        <v/>
      </c>
      <c r="AD266" s="16"/>
      <c r="AE266" s="16" t="str">
        <f t="shared" si="12"/>
        <v/>
      </c>
      <c r="AF266" s="16" t="str">
        <f t="shared" si="13"/>
        <v/>
      </c>
      <c r="AG266" s="44"/>
      <c r="AH266" s="44"/>
      <c r="AI266" s="44" t="str">
        <f>IFERROR(__xludf.DUMMYFUNCTION("TEXTJOIN("", "",TRUE, FILTER(Data!P:P, Data!B:B=A266))"),"")</f>
        <v/>
      </c>
      <c r="AM266" s="61"/>
      <c r="BC266" s="50"/>
    </row>
    <row r="267">
      <c r="A267" s="54"/>
      <c r="B267" s="55" t="str">
        <f>IFERROR(__xludf.DUMMYFUNCTION("IFERROR(ROUND(
(COUNTIF(FILTER(Data!O:O, Data!B:B=A267), ""Win"")
+ COUNTIF(FILTER(Data!O:O, Data!B:B=A267), {""Tie"",""Results""}))
/ (COUNTIF(Data!B:B, A267)),
1),"""")"),"")</f>
        <v/>
      </c>
      <c r="C267" s="45" t="str">
        <f>IFERROR((SUMIF(Data!B:B, A267, Data!H:H)
/ (COUNTIF(Data!B:B, A267)
)),"")</f>
        <v/>
      </c>
      <c r="D267" s="45" t="str">
        <f>IFERROR((SUMIF(Data!B:B, A267, Data!G:G)
/ (COUNTIF(Data!B:B, A267)
)),"")</f>
        <v/>
      </c>
      <c r="E267" s="45"/>
      <c r="F267" s="45" t="str">
        <f>IFERROR((SUMIF(Data!B:B, A267, Data!J:J)
/ (COUNTIF(Data!B:B, A267)
)),"")</f>
        <v/>
      </c>
      <c r="G267" s="56" t="str">
        <f>IF(A267="","",IFERROR((((((SUMIF(Data!B:B, A267, Data!H:H)+(SUMIF(Data!B:B, A267,Data!G:G)))/(SUMIF(Data!B:B, A267, Data!J:J)))))),0))</f>
        <v/>
      </c>
      <c r="H267" s="45"/>
      <c r="I267" s="45"/>
      <c r="J267" s="45"/>
      <c r="K267" s="45"/>
      <c r="L267" s="45" t="str">
        <f>IFERROR((SUMIF(Data!B:B, A267, Data!L:L)
/ (COUNTIF(Data!B:B, A267)
)),"")</f>
        <v/>
      </c>
      <c r="M267" s="45" t="str">
        <f>IFERROR((SUMIF(Data!B:B, A267, Data!K:K)
/ (COUNTIF(Data!B:B, A267)
)),"")</f>
        <v/>
      </c>
      <c r="N267" s="56"/>
      <c r="O267" s="56" t="str">
        <f>IF(A267="","",IFERROR((((((SUMIF(Data!B:B, A267, Data!H:H)+(SUMIF(Data!B:B, A267,Data!G:G)+(SUMIF(Data!B:B, A267,Data!L:L)+(SUMIF(Data!B:B, A267,Data!K:K)))))/(SUMIF(Data!B:B, A267, Data!M:M)+(SUMIF(Data!B:B, A267, Data!H:H)+(SUMIF(Data!B:B, A267,Data!G:G)+(SUMIF(Data!B:B, A267,Data!K:K)+(SUMIF(Data!B:B, A267,Data!L:L)))))))))),0))</f>
        <v/>
      </c>
      <c r="P267" s="57" t="str">
        <f>IFERROR(__xludf.DUMMYFUNCTION("IFERROR(((COUNTIF(FILTER(Data!N:N,Data!B:B=A267),""TRAVERSE"")*15)+(COUNTIF(FILTER(Data!N:N,Data!B:B=A267),""HIGH"")*10)+(COUNTIF(FILTER(Data!N:N,Data!B:B=A267),""MIDDLE"")*6)+(COUNTIF(FILTER(Data!N:N,Data!B:B=A267),""LOW"")*4)) / (COUNTIF(Data!B:B, A267)"&amp;"),"""")"),"")</f>
        <v/>
      </c>
      <c r="Q267" s="58"/>
      <c r="R267" s="36" t="str">
        <f t="shared" si="37"/>
        <v/>
      </c>
      <c r="S267" s="58" t="str">
        <f>IFERROR(__xludf.DUMMYFUNCTION("IFERROR((((COUNTIF(FILTER(Data!N:N,Data!B:B=A267),""TRAVERSE""))+(COUNTIF(FILTER(Data!N:N,Data!B:B=A267),""HIGH""))+(COUNTIF(FILTER(Data!N:N,Data!B:B=A267),""MIDDLE""))+(COUNTIF(FILTER(Data!N:N,Data!B:B=A267),""LOW"")))) / (((COUNTIF(Data!B:B, A267)))-(CO"&amp;"UNTIF(FILTER(Data!N:N,Data!B:B=A267),""NONE""))),IF(ISBLANK(A267),"""",0))"),"")</f>
        <v/>
      </c>
      <c r="T267" s="56" t="str">
        <f>IFERROR(__xludf.DUMMYFUNCTION("IFERROR((COUNTIF(FILTER(Data!N:N, Data!B:B=A267),""LOW"")) / (COUNTIF(Data!B:B, A267)),"""")"),"")</f>
        <v/>
      </c>
      <c r="U267" s="59" t="str">
        <f>IFERROR(__xludf.DUMMYFUNCTION("IFERROR((COUNTIF(FILTER(Data!N:N, Data!B:B=A267),""MIDDLE"")) / (COUNTIF(Data!B:B, A267)),"""")"),"")</f>
        <v/>
      </c>
      <c r="V267" s="59" t="str">
        <f>IFERROR(__xludf.DUMMYFUNCTION("IFERROR((COUNTIF(FILTER(Data!N:N, Data!B:B=A267),""HIGH"")) / (COUNTIF(Data!B:B, A267)),"""")"),"")</f>
        <v/>
      </c>
      <c r="W267" s="59" t="str">
        <f>IFERROR(__xludf.DUMMYFUNCTION("IFERROR((COUNTIF(FILTER(Data!N:N, Data!B:B=A267),""TRAVERSE"")) / (COUNTIF(Data!B:B, A267)),"""")"),"")</f>
        <v/>
      </c>
      <c r="X267" s="59"/>
      <c r="Y267" s="45" t="str">
        <f t="shared" si="7"/>
        <v/>
      </c>
      <c r="Z267" s="45" t="str">
        <f t="shared" si="8"/>
        <v/>
      </c>
      <c r="AA267" s="16" t="str">
        <f t="shared" si="9"/>
        <v/>
      </c>
      <c r="AB267" s="16"/>
      <c r="AC267" s="16" t="str">
        <f>IFERROR(__xludf.DUMMYFUNCTION("IF(AA267="""","""",MAX(Filter((Data!G:G+Data!K:K),Data!B:B=A267)))"),"")</f>
        <v/>
      </c>
      <c r="AD267" s="16"/>
      <c r="AE267" s="16" t="str">
        <f t="shared" si="12"/>
        <v/>
      </c>
      <c r="AF267" s="16" t="str">
        <f t="shared" si="13"/>
        <v/>
      </c>
      <c r="AG267" s="44"/>
      <c r="AH267" s="44"/>
      <c r="AI267" s="44" t="str">
        <f>IFERROR(__xludf.DUMMYFUNCTION("TEXTJOIN("", "",TRUE, FILTER(Data!P:P, Data!B:B=A267))"),"")</f>
        <v/>
      </c>
      <c r="AM267" s="61"/>
      <c r="BC267" s="50"/>
    </row>
    <row r="268">
      <c r="A268" s="54"/>
      <c r="B268" s="55" t="str">
        <f>IFERROR(__xludf.DUMMYFUNCTION("IFERROR(ROUND(
(COUNTIF(FILTER(Data!O:O, Data!B:B=A268), ""Win"")
+ COUNTIF(FILTER(Data!O:O, Data!B:B=A268), {""Tie"",""Results""}))
/ (COUNTIF(Data!B:B, A268)),
1),"""")"),"")</f>
        <v/>
      </c>
      <c r="C268" s="45" t="str">
        <f>IFERROR((SUMIF(Data!B:B, A268, Data!H:H)
/ (COUNTIF(Data!B:B, A268)
)),"")</f>
        <v/>
      </c>
      <c r="D268" s="45" t="str">
        <f>IFERROR((SUMIF(Data!B:B, A268, Data!G:G)
/ (COUNTIF(Data!B:B, A268)
)),"")</f>
        <v/>
      </c>
      <c r="E268" s="45"/>
      <c r="F268" s="45" t="str">
        <f>IFERROR((SUMIF(Data!B:B, A268, Data!J:J)
/ (COUNTIF(Data!B:B, A268)
)),"")</f>
        <v/>
      </c>
      <c r="G268" s="56" t="str">
        <f>IF(A268="","",IFERROR((((((SUMIF(Data!B:B, A268, Data!H:H)+(SUMIF(Data!B:B, A268,Data!G:G)))/(SUMIF(Data!B:B, A268, Data!J:J)))))),0))</f>
        <v/>
      </c>
      <c r="H268" s="45"/>
      <c r="I268" s="45"/>
      <c r="J268" s="45"/>
      <c r="K268" s="45"/>
      <c r="L268" s="45" t="str">
        <f>IFERROR((SUMIF(Data!B:B, A268, Data!L:L)
/ (COUNTIF(Data!B:B, A268)
)),"")</f>
        <v/>
      </c>
      <c r="M268" s="45" t="str">
        <f>IFERROR((SUMIF(Data!B:B, A268, Data!K:K)
/ (COUNTIF(Data!B:B, A268)
)),"")</f>
        <v/>
      </c>
      <c r="N268" s="56"/>
      <c r="O268" s="56" t="str">
        <f>IF(A268="","",IFERROR((((((SUMIF(Data!B:B, A268, Data!H:H)+(SUMIF(Data!B:B, A268,Data!G:G)+(SUMIF(Data!B:B, A268,Data!L:L)+(SUMIF(Data!B:B, A268,Data!K:K)))))/(SUMIF(Data!B:B, A268, Data!M:M)+(SUMIF(Data!B:B, A268, Data!H:H)+(SUMIF(Data!B:B, A268,Data!G:G)+(SUMIF(Data!B:B, A268,Data!K:K)+(SUMIF(Data!B:B, A268,Data!L:L)))))))))),0))</f>
        <v/>
      </c>
      <c r="P268" s="57" t="str">
        <f>IFERROR(__xludf.DUMMYFUNCTION("IFERROR(((COUNTIF(FILTER(Data!N:N,Data!B:B=A268),""TRAVERSE"")*15)+(COUNTIF(FILTER(Data!N:N,Data!B:B=A268),""HIGH"")*10)+(COUNTIF(FILTER(Data!N:N,Data!B:B=A268),""MIDDLE"")*6)+(COUNTIF(FILTER(Data!N:N,Data!B:B=A268),""LOW"")*4)) / (COUNTIF(Data!B:B, A268)"&amp;"),"""")"),"")</f>
        <v/>
      </c>
      <c r="Q268" s="58"/>
      <c r="R268" s="36" t="str">
        <f t="shared" si="37"/>
        <v/>
      </c>
      <c r="S268" s="58" t="str">
        <f>IFERROR(__xludf.DUMMYFUNCTION("IFERROR((((COUNTIF(FILTER(Data!N:N,Data!B:B=A268),""TRAVERSE""))+(COUNTIF(FILTER(Data!N:N,Data!B:B=A268),""HIGH""))+(COUNTIF(FILTER(Data!N:N,Data!B:B=A268),""MIDDLE""))+(COUNTIF(FILTER(Data!N:N,Data!B:B=A268),""LOW"")))) / (((COUNTIF(Data!B:B, A268)))-(CO"&amp;"UNTIF(FILTER(Data!N:N,Data!B:B=A268),""NONE""))),IF(ISBLANK(A268),"""",0))"),"")</f>
        <v/>
      </c>
      <c r="T268" s="56" t="str">
        <f>IFERROR(__xludf.DUMMYFUNCTION("IFERROR((COUNTIF(FILTER(Data!N:N, Data!B:B=A268),""LOW"")) / (COUNTIF(Data!B:B, A268)),"""")"),"")</f>
        <v/>
      </c>
      <c r="U268" s="59" t="str">
        <f>IFERROR(__xludf.DUMMYFUNCTION("IFERROR((COUNTIF(FILTER(Data!N:N, Data!B:B=A268),""MIDDLE"")) / (COUNTIF(Data!B:B, A268)),"""")"),"")</f>
        <v/>
      </c>
      <c r="V268" s="59" t="str">
        <f>IFERROR(__xludf.DUMMYFUNCTION("IFERROR((COUNTIF(FILTER(Data!N:N, Data!B:B=A268),""HIGH"")) / (COUNTIF(Data!B:B, A268)),"""")"),"")</f>
        <v/>
      </c>
      <c r="W268" s="59" t="str">
        <f>IFERROR(__xludf.DUMMYFUNCTION("IFERROR((COUNTIF(FILTER(Data!N:N, Data!B:B=A268),""TRAVERSE"")) / (COUNTIF(Data!B:B, A268)),"""")"),"")</f>
        <v/>
      </c>
      <c r="X268" s="59"/>
      <c r="Y268" s="45" t="str">
        <f t="shared" si="7"/>
        <v/>
      </c>
      <c r="Z268" s="45" t="str">
        <f t="shared" si="8"/>
        <v/>
      </c>
      <c r="AA268" s="16" t="str">
        <f t="shared" si="9"/>
        <v/>
      </c>
      <c r="AB268" s="16"/>
      <c r="AC268" s="16" t="str">
        <f>IFERROR(__xludf.DUMMYFUNCTION("IF(AA268="""","""",MAX(Filter((Data!G:G+Data!K:K),Data!B:B=A268)))"),"")</f>
        <v/>
      </c>
      <c r="AD268" s="16"/>
      <c r="AE268" s="16" t="str">
        <f t="shared" si="12"/>
        <v/>
      </c>
      <c r="AF268" s="16" t="str">
        <f t="shared" si="13"/>
        <v/>
      </c>
      <c r="AG268" s="44"/>
      <c r="AH268" s="44"/>
      <c r="AI268" s="44" t="str">
        <f>IFERROR(__xludf.DUMMYFUNCTION("TEXTJOIN("", "",TRUE, FILTER(Data!P:P, Data!B:B=A268))"),"")</f>
        <v/>
      </c>
      <c r="AM268" s="61"/>
      <c r="BC268" s="50"/>
    </row>
    <row r="269">
      <c r="A269" s="54"/>
      <c r="B269" s="55" t="str">
        <f>IFERROR(__xludf.DUMMYFUNCTION("IFERROR(ROUND(
(COUNTIF(FILTER(Data!O:O, Data!B:B=A269), ""Win"")
+ COUNTIF(FILTER(Data!O:O, Data!B:B=A269), {""Tie"",""Results""}))
/ (COUNTIF(Data!B:B, A269)),
1),"""")"),"")</f>
        <v/>
      </c>
      <c r="C269" s="45" t="str">
        <f>IFERROR((SUMIF(Data!B:B, A269, Data!H:H)
/ (COUNTIF(Data!B:B, A269)
)),"")</f>
        <v/>
      </c>
      <c r="D269" s="45" t="str">
        <f>IFERROR((SUMIF(Data!B:B, A269, Data!G:G)
/ (COUNTIF(Data!B:B, A269)
)),"")</f>
        <v/>
      </c>
      <c r="E269" s="45"/>
      <c r="F269" s="45" t="str">
        <f>IFERROR((SUMIF(Data!B:B, A269, Data!J:J)
/ (COUNTIF(Data!B:B, A269)
)),"")</f>
        <v/>
      </c>
      <c r="G269" s="56" t="str">
        <f>IF(A269="","",IFERROR((((((SUMIF(Data!B:B, A269, Data!H:H)+(SUMIF(Data!B:B, A269,Data!G:G)))/(SUMIF(Data!B:B, A269, Data!J:J)))))),0))</f>
        <v/>
      </c>
      <c r="H269" s="45"/>
      <c r="I269" s="45"/>
      <c r="J269" s="45"/>
      <c r="K269" s="45"/>
      <c r="L269" s="45" t="str">
        <f>IFERROR((SUMIF(Data!B:B, A269, Data!L:L)
/ (COUNTIF(Data!B:B, A269)
)),"")</f>
        <v/>
      </c>
      <c r="M269" s="45" t="str">
        <f>IFERROR((SUMIF(Data!B:B, A269, Data!K:K)
/ (COUNTIF(Data!B:B, A269)
)),"")</f>
        <v/>
      </c>
      <c r="N269" s="56"/>
      <c r="O269" s="56" t="str">
        <f>IF(A269="","",IFERROR((((((SUMIF(Data!B:B, A269, Data!H:H)+(SUMIF(Data!B:B, A269,Data!G:G)+(SUMIF(Data!B:B, A269,Data!L:L)+(SUMIF(Data!B:B, A269,Data!K:K)))))/(SUMIF(Data!B:B, A269, Data!M:M)+(SUMIF(Data!B:B, A269, Data!H:H)+(SUMIF(Data!B:B, A269,Data!G:G)+(SUMIF(Data!B:B, A269,Data!K:K)+(SUMIF(Data!B:B, A269,Data!L:L)))))))))),0))</f>
        <v/>
      </c>
      <c r="P269" s="57" t="str">
        <f>IFERROR(__xludf.DUMMYFUNCTION("IFERROR(((COUNTIF(FILTER(Data!N:N,Data!B:B=A269),""TRAVERSE"")*15)+(COUNTIF(FILTER(Data!N:N,Data!B:B=A269),""HIGH"")*10)+(COUNTIF(FILTER(Data!N:N,Data!B:B=A269),""MIDDLE"")*6)+(COUNTIF(FILTER(Data!N:N,Data!B:B=A269),""LOW"")*4)) / (COUNTIF(Data!B:B, A269)"&amp;"),"""")"),"")</f>
        <v/>
      </c>
      <c r="Q269" s="58"/>
      <c r="R269" s="36" t="str">
        <f t="shared" si="37"/>
        <v/>
      </c>
      <c r="S269" s="58" t="str">
        <f>IFERROR(__xludf.DUMMYFUNCTION("IFERROR((((COUNTIF(FILTER(Data!N:N,Data!B:B=A269),""TRAVERSE""))+(COUNTIF(FILTER(Data!N:N,Data!B:B=A269),""HIGH""))+(COUNTIF(FILTER(Data!N:N,Data!B:B=A269),""MIDDLE""))+(COUNTIF(FILTER(Data!N:N,Data!B:B=A269),""LOW"")))) / (((COUNTIF(Data!B:B, A269)))-(CO"&amp;"UNTIF(FILTER(Data!N:N,Data!B:B=A269),""NONE""))),IF(ISBLANK(A269),"""",0))"),"")</f>
        <v/>
      </c>
      <c r="T269" s="56" t="str">
        <f>IFERROR(__xludf.DUMMYFUNCTION("IFERROR((COUNTIF(FILTER(Data!N:N, Data!B:B=A269),""LOW"")) / (COUNTIF(Data!B:B, A269)),"""")"),"")</f>
        <v/>
      </c>
      <c r="U269" s="59" t="str">
        <f>IFERROR(__xludf.DUMMYFUNCTION("IFERROR((COUNTIF(FILTER(Data!N:N, Data!B:B=A269),""MIDDLE"")) / (COUNTIF(Data!B:B, A269)),"""")"),"")</f>
        <v/>
      </c>
      <c r="V269" s="59" t="str">
        <f>IFERROR(__xludf.DUMMYFUNCTION("IFERROR((COUNTIF(FILTER(Data!N:N, Data!B:B=A269),""HIGH"")) / (COUNTIF(Data!B:B, A269)),"""")"),"")</f>
        <v/>
      </c>
      <c r="W269" s="59" t="str">
        <f>IFERROR(__xludf.DUMMYFUNCTION("IFERROR((COUNTIF(FILTER(Data!N:N, Data!B:B=A269),""TRAVERSE"")) / (COUNTIF(Data!B:B, A269)),"""")"),"")</f>
        <v/>
      </c>
      <c r="X269" s="59"/>
      <c r="Y269" s="45" t="str">
        <f t="shared" si="7"/>
        <v/>
      </c>
      <c r="Z269" s="45" t="str">
        <f t="shared" si="8"/>
        <v/>
      </c>
      <c r="AA269" s="16" t="str">
        <f t="shared" si="9"/>
        <v/>
      </c>
      <c r="AB269" s="16"/>
      <c r="AC269" s="16" t="str">
        <f>IFERROR(__xludf.DUMMYFUNCTION("IF(AA269="""","""",MAX(Filter((Data!G:G+Data!K:K),Data!B:B=A269)))"),"")</f>
        <v/>
      </c>
      <c r="AD269" s="16"/>
      <c r="AE269" s="16" t="str">
        <f t="shared" si="12"/>
        <v/>
      </c>
      <c r="AF269" s="16" t="str">
        <f t="shared" si="13"/>
        <v/>
      </c>
      <c r="AG269" s="44"/>
      <c r="AH269" s="44"/>
      <c r="AI269" s="44" t="str">
        <f>IFERROR(__xludf.DUMMYFUNCTION("TEXTJOIN("", "",TRUE, FILTER(Data!P:P, Data!B:B=A269))"),"")</f>
        <v/>
      </c>
      <c r="AM269" s="61"/>
      <c r="BC269" s="50"/>
    </row>
    <row r="270">
      <c r="A270" s="54"/>
      <c r="B270" s="55" t="str">
        <f>IFERROR(__xludf.DUMMYFUNCTION("IFERROR(ROUND(
(COUNTIF(FILTER(Data!O:O, Data!B:B=A270), ""Win"")
+ COUNTIF(FILTER(Data!O:O, Data!B:B=A270), {""Tie"",""Results""}))
/ (COUNTIF(Data!B:B, A270)),
1),"""")"),"")</f>
        <v/>
      </c>
      <c r="C270" s="45" t="str">
        <f>IFERROR((SUMIF(Data!B:B, A270, Data!H:H)
/ (COUNTIF(Data!B:B, A270)
)),"")</f>
        <v/>
      </c>
      <c r="D270" s="45" t="str">
        <f>IFERROR((SUMIF(Data!B:B, A270, Data!G:G)
/ (COUNTIF(Data!B:B, A270)
)),"")</f>
        <v/>
      </c>
      <c r="E270" s="45"/>
      <c r="F270" s="45" t="str">
        <f>IFERROR((SUMIF(Data!B:B, A270, Data!J:J)
/ (COUNTIF(Data!B:B, A270)
)),"")</f>
        <v/>
      </c>
      <c r="G270" s="56" t="str">
        <f>IF(A270="","",IFERROR((((((SUMIF(Data!B:B, A270, Data!H:H)+(SUMIF(Data!B:B, A270,Data!G:G)))/(SUMIF(Data!B:B, A270, Data!J:J)))))),0))</f>
        <v/>
      </c>
      <c r="H270" s="45"/>
      <c r="I270" s="45"/>
      <c r="J270" s="45"/>
      <c r="K270" s="45"/>
      <c r="L270" s="45" t="str">
        <f>IFERROR((SUMIF(Data!B:B, A270, Data!L:L)
/ (COUNTIF(Data!B:B, A270)
)),"")</f>
        <v/>
      </c>
      <c r="M270" s="45" t="str">
        <f>IFERROR((SUMIF(Data!B:B, A270, Data!K:K)
/ (COUNTIF(Data!B:B, A270)
)),"")</f>
        <v/>
      </c>
      <c r="N270" s="56"/>
      <c r="O270" s="56" t="str">
        <f>IF(A270="","",IFERROR((((((SUMIF(Data!B:B, A270, Data!H:H)+(SUMIF(Data!B:B, A270,Data!G:G)+(SUMIF(Data!B:B, A270,Data!L:L)+(SUMIF(Data!B:B, A270,Data!K:K)))))/(SUMIF(Data!B:B, A270, Data!M:M)+(SUMIF(Data!B:B, A270, Data!H:H)+(SUMIF(Data!B:B, A270,Data!G:G)+(SUMIF(Data!B:B, A270,Data!K:K)+(SUMIF(Data!B:B, A270,Data!L:L)))))))))),0))</f>
        <v/>
      </c>
      <c r="P270" s="57" t="str">
        <f>IFERROR(__xludf.DUMMYFUNCTION("IFERROR(((COUNTIF(FILTER(Data!N:N,Data!B:B=A270),""TRAVERSE"")*15)+(COUNTIF(FILTER(Data!N:N,Data!B:B=A270),""HIGH"")*10)+(COUNTIF(FILTER(Data!N:N,Data!B:B=A270),""MIDDLE"")*6)+(COUNTIF(FILTER(Data!N:N,Data!B:B=A270),""LOW"")*4)) / (COUNTIF(Data!B:B, A270)"&amp;"),"""")"),"")</f>
        <v/>
      </c>
      <c r="Q270" s="58"/>
      <c r="R270" s="36" t="str">
        <f t="shared" si="37"/>
        <v/>
      </c>
      <c r="S270" s="58" t="str">
        <f>IFERROR(__xludf.DUMMYFUNCTION("IFERROR((((COUNTIF(FILTER(Data!N:N,Data!B:B=A270),""TRAVERSE""))+(COUNTIF(FILTER(Data!N:N,Data!B:B=A270),""HIGH""))+(COUNTIF(FILTER(Data!N:N,Data!B:B=A270),""MIDDLE""))+(COUNTIF(FILTER(Data!N:N,Data!B:B=A270),""LOW"")))) / (((COUNTIF(Data!B:B, A270)))-(CO"&amp;"UNTIF(FILTER(Data!N:N,Data!B:B=A270),""NONE""))),IF(ISBLANK(A270),"""",0))"),"")</f>
        <v/>
      </c>
      <c r="T270" s="56" t="str">
        <f>IFERROR(__xludf.DUMMYFUNCTION("IFERROR((COUNTIF(FILTER(Data!N:N, Data!B:B=A270),""LOW"")) / (COUNTIF(Data!B:B, A270)),"""")"),"")</f>
        <v/>
      </c>
      <c r="U270" s="59" t="str">
        <f>IFERROR(__xludf.DUMMYFUNCTION("IFERROR((COUNTIF(FILTER(Data!N:N, Data!B:B=A270),""MIDDLE"")) / (COUNTIF(Data!B:B, A270)),"""")"),"")</f>
        <v/>
      </c>
      <c r="V270" s="59" t="str">
        <f>IFERROR(__xludf.DUMMYFUNCTION("IFERROR((COUNTIF(FILTER(Data!N:N, Data!B:B=A270),""HIGH"")) / (COUNTIF(Data!B:B, A270)),"""")"),"")</f>
        <v/>
      </c>
      <c r="W270" s="59" t="str">
        <f>IFERROR(__xludf.DUMMYFUNCTION("IFERROR((COUNTIF(FILTER(Data!N:N, Data!B:B=A270),""TRAVERSE"")) / (COUNTIF(Data!B:B, A270)),"""")"),"")</f>
        <v/>
      </c>
      <c r="X270" s="59"/>
      <c r="Y270" s="45" t="str">
        <f t="shared" si="7"/>
        <v/>
      </c>
      <c r="Z270" s="45" t="str">
        <f t="shared" si="8"/>
        <v/>
      </c>
      <c r="AA270" s="16" t="str">
        <f t="shared" si="9"/>
        <v/>
      </c>
      <c r="AB270" s="16"/>
      <c r="AC270" s="16" t="str">
        <f>IFERROR(__xludf.DUMMYFUNCTION("IF(AA270="""","""",MAX(Filter((Data!G:G+Data!K:K),Data!B:B=A270)))"),"")</f>
        <v/>
      </c>
      <c r="AD270" s="16"/>
      <c r="AE270" s="16" t="str">
        <f t="shared" si="12"/>
        <v/>
      </c>
      <c r="AF270" s="16" t="str">
        <f t="shared" si="13"/>
        <v/>
      </c>
      <c r="AG270" s="44"/>
      <c r="AH270" s="44"/>
      <c r="AI270" s="44" t="str">
        <f>IFERROR(__xludf.DUMMYFUNCTION("TEXTJOIN("", "",TRUE, FILTER(Data!P:P, Data!B:B=A270))"),"")</f>
        <v/>
      </c>
      <c r="AM270" s="61"/>
      <c r="BC270" s="50"/>
    </row>
    <row r="271">
      <c r="A271" s="54"/>
      <c r="B271" s="55" t="str">
        <f>IFERROR(__xludf.DUMMYFUNCTION("IFERROR(ROUND(
(COUNTIF(FILTER(Data!O:O, Data!B:B=A271), ""Win"")
+ COUNTIF(FILTER(Data!O:O, Data!B:B=A271), {""Tie"",""Results""}))
/ (COUNTIF(Data!B:B, A271)),
1),"""")"),"")</f>
        <v/>
      </c>
      <c r="C271" s="45" t="str">
        <f>IFERROR((SUMIF(Data!B:B, A271, Data!H:H)
/ (COUNTIF(Data!B:B, A271)
)),"")</f>
        <v/>
      </c>
      <c r="D271" s="45" t="str">
        <f>IFERROR((SUMIF(Data!B:B, A271, Data!G:G)
/ (COUNTIF(Data!B:B, A271)
)),"")</f>
        <v/>
      </c>
      <c r="E271" s="45"/>
      <c r="F271" s="45" t="str">
        <f>IFERROR((SUMIF(Data!B:B, A271, Data!J:J)
/ (COUNTIF(Data!B:B, A271)
)),"")</f>
        <v/>
      </c>
      <c r="G271" s="56" t="str">
        <f>IF(A271="","",IFERROR((((((SUMIF(Data!B:B, A271, Data!H:H)+(SUMIF(Data!B:B, A271,Data!G:G)))/(SUMIF(Data!B:B, A271, Data!J:J)))))),0))</f>
        <v/>
      </c>
      <c r="H271" s="45"/>
      <c r="I271" s="45"/>
      <c r="J271" s="45"/>
      <c r="K271" s="45"/>
      <c r="L271" s="45" t="str">
        <f>IFERROR((SUMIF(Data!B:B, A271, Data!L:L)
/ (COUNTIF(Data!B:B, A271)
)),"")</f>
        <v/>
      </c>
      <c r="M271" s="45" t="str">
        <f>IFERROR((SUMIF(Data!B:B, A271, Data!K:K)
/ (COUNTIF(Data!B:B, A271)
)),"")</f>
        <v/>
      </c>
      <c r="N271" s="56"/>
      <c r="O271" s="56" t="str">
        <f>IF(A271="","",IFERROR((((((SUMIF(Data!B:B, A271, Data!H:H)+(SUMIF(Data!B:B, A271,Data!G:G)+(SUMIF(Data!B:B, A271,Data!L:L)+(SUMIF(Data!B:B, A271,Data!K:K)))))/(SUMIF(Data!B:B, A271, Data!M:M)+(SUMIF(Data!B:B, A271, Data!H:H)+(SUMIF(Data!B:B, A271,Data!G:G)+(SUMIF(Data!B:B, A271,Data!K:K)+(SUMIF(Data!B:B, A271,Data!L:L)))))))))),0))</f>
        <v/>
      </c>
      <c r="P271" s="57" t="str">
        <f>IFERROR(__xludf.DUMMYFUNCTION("IFERROR(((COUNTIF(FILTER(Data!N:N,Data!B:B=A271),""TRAVERSE"")*15)+(COUNTIF(FILTER(Data!N:N,Data!B:B=A271),""HIGH"")*10)+(COUNTIF(FILTER(Data!N:N,Data!B:B=A271),""MIDDLE"")*6)+(COUNTIF(FILTER(Data!N:N,Data!B:B=A271),""LOW"")*4)) / (COUNTIF(Data!B:B, A271)"&amp;"),"""")"),"")</f>
        <v/>
      </c>
      <c r="Q271" s="58"/>
      <c r="R271" s="36" t="str">
        <f t="shared" si="37"/>
        <v/>
      </c>
      <c r="S271" s="58" t="str">
        <f>IFERROR(__xludf.DUMMYFUNCTION("IFERROR((((COUNTIF(FILTER(Data!N:N,Data!B:B=A271),""TRAVERSE""))+(COUNTIF(FILTER(Data!N:N,Data!B:B=A271),""HIGH""))+(COUNTIF(FILTER(Data!N:N,Data!B:B=A271),""MIDDLE""))+(COUNTIF(FILTER(Data!N:N,Data!B:B=A271),""LOW"")))) / (((COUNTIF(Data!B:B, A271)))-(CO"&amp;"UNTIF(FILTER(Data!N:N,Data!B:B=A271),""NONE""))),IF(ISBLANK(A271),"""",0))"),"")</f>
        <v/>
      </c>
      <c r="T271" s="56" t="str">
        <f>IFERROR(__xludf.DUMMYFUNCTION("IFERROR((COUNTIF(FILTER(Data!N:N, Data!B:B=A271),""LOW"")) / (COUNTIF(Data!B:B, A271)),"""")"),"")</f>
        <v/>
      </c>
      <c r="U271" s="59" t="str">
        <f>IFERROR(__xludf.DUMMYFUNCTION("IFERROR((COUNTIF(FILTER(Data!N:N, Data!B:B=A271),""MIDDLE"")) / (COUNTIF(Data!B:B, A271)),"""")"),"")</f>
        <v/>
      </c>
      <c r="V271" s="59" t="str">
        <f>IFERROR(__xludf.DUMMYFUNCTION("IFERROR((COUNTIF(FILTER(Data!N:N, Data!B:B=A271),""HIGH"")) / (COUNTIF(Data!B:B, A271)),"""")"),"")</f>
        <v/>
      </c>
      <c r="W271" s="59" t="str">
        <f>IFERROR(__xludf.DUMMYFUNCTION("IFERROR((COUNTIF(FILTER(Data!N:N, Data!B:B=A271),""TRAVERSE"")) / (COUNTIF(Data!B:B, A271)),"""")"),"")</f>
        <v/>
      </c>
      <c r="X271" s="59"/>
      <c r="Y271" s="45" t="str">
        <f t="shared" si="7"/>
        <v/>
      </c>
      <c r="Z271" s="45" t="str">
        <f t="shared" si="8"/>
        <v/>
      </c>
      <c r="AA271" s="16" t="str">
        <f t="shared" si="9"/>
        <v/>
      </c>
      <c r="AB271" s="16"/>
      <c r="AC271" s="16" t="str">
        <f>IFERROR(__xludf.DUMMYFUNCTION("IF(AA271="""","""",MAX(Filter((Data!G:G+Data!K:K),Data!B:B=A271)))"),"")</f>
        <v/>
      </c>
      <c r="AD271" s="16"/>
      <c r="AE271" s="16" t="str">
        <f t="shared" si="12"/>
        <v/>
      </c>
      <c r="AF271" s="16" t="str">
        <f t="shared" si="13"/>
        <v/>
      </c>
      <c r="AG271" s="44"/>
      <c r="AH271" s="44"/>
      <c r="AI271" s="44" t="str">
        <f>IFERROR(__xludf.DUMMYFUNCTION("TEXTJOIN("", "",TRUE, FILTER(Data!P:P, Data!B:B=A271))"),"")</f>
        <v/>
      </c>
      <c r="AM271" s="61"/>
      <c r="BC271" s="50"/>
    </row>
    <row r="272">
      <c r="A272" s="54"/>
      <c r="B272" s="55" t="str">
        <f>IFERROR(__xludf.DUMMYFUNCTION("IFERROR(ROUND(
(COUNTIF(FILTER(Data!O:O, Data!B:B=A272), ""Win"")
+ COUNTIF(FILTER(Data!O:O, Data!B:B=A272), {""Tie"",""Results""}))
/ (COUNTIF(Data!B:B, A272)),
1),"""")"),"")</f>
        <v/>
      </c>
      <c r="C272" s="45" t="str">
        <f>IFERROR((SUMIF(Data!B:B, A272, Data!H:H)
/ (COUNTIF(Data!B:B, A272)
)),"")</f>
        <v/>
      </c>
      <c r="D272" s="45" t="str">
        <f>IFERROR((SUMIF(Data!B:B, A272, Data!G:G)
/ (COUNTIF(Data!B:B, A272)
)),"")</f>
        <v/>
      </c>
      <c r="E272" s="45"/>
      <c r="F272" s="45" t="str">
        <f>IFERROR((SUMIF(Data!B:B, A272, Data!J:J)
/ (COUNTIF(Data!B:B, A272)
)),"")</f>
        <v/>
      </c>
      <c r="G272" s="56" t="str">
        <f>IF(A272="","",IFERROR((((((SUMIF(Data!B:B, A272, Data!H:H)+(SUMIF(Data!B:B, A272,Data!G:G)))/(SUMIF(Data!B:B, A272, Data!J:J)))))),0))</f>
        <v/>
      </c>
      <c r="H272" s="45"/>
      <c r="I272" s="45"/>
      <c r="J272" s="45"/>
      <c r="K272" s="45"/>
      <c r="L272" s="45" t="str">
        <f>IFERROR((SUMIF(Data!B:B, A272, Data!L:L)
/ (COUNTIF(Data!B:B, A272)
)),"")</f>
        <v/>
      </c>
      <c r="M272" s="45" t="str">
        <f>IFERROR((SUMIF(Data!B:B, A272, Data!K:K)
/ (COUNTIF(Data!B:B, A272)
)),"")</f>
        <v/>
      </c>
      <c r="N272" s="56"/>
      <c r="O272" s="56" t="str">
        <f>IF(A272="","",IFERROR((((((SUMIF(Data!B:B, A272, Data!H:H)+(SUMIF(Data!B:B, A272,Data!G:G)+(SUMIF(Data!B:B, A272,Data!L:L)+(SUMIF(Data!B:B, A272,Data!K:K)))))/(SUMIF(Data!B:B, A272, Data!M:M)+(SUMIF(Data!B:B, A272, Data!H:H)+(SUMIF(Data!B:B, A272,Data!G:G)+(SUMIF(Data!B:B, A272,Data!K:K)+(SUMIF(Data!B:B, A272,Data!L:L)))))))))),0))</f>
        <v/>
      </c>
      <c r="P272" s="57" t="str">
        <f>IFERROR(__xludf.DUMMYFUNCTION("IFERROR(((COUNTIF(FILTER(Data!N:N,Data!B:B=A272),""TRAVERSE"")*15)+(COUNTIF(FILTER(Data!N:N,Data!B:B=A272),""HIGH"")*10)+(COUNTIF(FILTER(Data!N:N,Data!B:B=A272),""MIDDLE"")*6)+(COUNTIF(FILTER(Data!N:N,Data!B:B=A272),""LOW"")*4)) / (COUNTIF(Data!B:B, A272)"&amp;"),"""")"),"")</f>
        <v/>
      </c>
      <c r="Q272" s="58"/>
      <c r="R272" s="36" t="str">
        <f t="shared" si="37"/>
        <v/>
      </c>
      <c r="S272" s="58" t="str">
        <f>IFERROR(__xludf.DUMMYFUNCTION("IFERROR((((COUNTIF(FILTER(Data!N:N,Data!B:B=A272),""TRAVERSE""))+(COUNTIF(FILTER(Data!N:N,Data!B:B=A272),""HIGH""))+(COUNTIF(FILTER(Data!N:N,Data!B:B=A272),""MIDDLE""))+(COUNTIF(FILTER(Data!N:N,Data!B:B=A272),""LOW"")))) / (((COUNTIF(Data!B:B, A272)))-(CO"&amp;"UNTIF(FILTER(Data!N:N,Data!B:B=A272),""NONE""))),IF(ISBLANK(A272),"""",0))"),"")</f>
        <v/>
      </c>
      <c r="T272" s="56" t="str">
        <f>IFERROR(__xludf.DUMMYFUNCTION("IFERROR((COUNTIF(FILTER(Data!N:N, Data!B:B=A272),""LOW"")) / (COUNTIF(Data!B:B, A272)),"""")"),"")</f>
        <v/>
      </c>
      <c r="U272" s="59" t="str">
        <f>IFERROR(__xludf.DUMMYFUNCTION("IFERROR((COUNTIF(FILTER(Data!N:N, Data!B:B=A272),""MIDDLE"")) / (COUNTIF(Data!B:B, A272)),"""")"),"")</f>
        <v/>
      </c>
      <c r="V272" s="59" t="str">
        <f>IFERROR(__xludf.DUMMYFUNCTION("IFERROR((COUNTIF(FILTER(Data!N:N, Data!B:B=A272),""HIGH"")) / (COUNTIF(Data!B:B, A272)),"""")"),"")</f>
        <v/>
      </c>
      <c r="W272" s="59" t="str">
        <f>IFERROR(__xludf.DUMMYFUNCTION("IFERROR((COUNTIF(FILTER(Data!N:N, Data!B:B=A272),""TRAVERSE"")) / (COUNTIF(Data!B:B, A272)),"""")"),"")</f>
        <v/>
      </c>
      <c r="X272" s="59"/>
      <c r="Y272" s="45" t="str">
        <f t="shared" si="7"/>
        <v/>
      </c>
      <c r="Z272" s="45" t="str">
        <f t="shared" si="8"/>
        <v/>
      </c>
      <c r="AA272" s="16" t="str">
        <f t="shared" si="9"/>
        <v/>
      </c>
      <c r="AB272" s="16"/>
      <c r="AC272" s="16" t="str">
        <f>IFERROR(__xludf.DUMMYFUNCTION("IF(AA272="""","""",MAX(Filter((Data!G:G+Data!K:K),Data!B:B=A272)))"),"")</f>
        <v/>
      </c>
      <c r="AD272" s="16"/>
      <c r="AE272" s="16" t="str">
        <f t="shared" si="12"/>
        <v/>
      </c>
      <c r="AF272" s="16" t="str">
        <f t="shared" si="13"/>
        <v/>
      </c>
      <c r="AG272" s="44"/>
      <c r="AH272" s="44"/>
      <c r="AI272" s="44" t="str">
        <f>IFERROR(__xludf.DUMMYFUNCTION("TEXTJOIN("", "",TRUE, FILTER(Data!P:P, Data!B:B=A272))"),"")</f>
        <v/>
      </c>
      <c r="AM272" s="61"/>
      <c r="BC272" s="50"/>
    </row>
    <row r="273">
      <c r="A273" s="54"/>
      <c r="B273" s="55" t="str">
        <f>IFERROR(__xludf.DUMMYFUNCTION("IFERROR(ROUND(
(COUNTIF(FILTER(Data!O:O, Data!B:B=A273), ""Win"")
+ COUNTIF(FILTER(Data!O:O, Data!B:B=A273), {""Tie"",""Results""}))
/ (COUNTIF(Data!B:B, A273)),
1),"""")"),"")</f>
        <v/>
      </c>
      <c r="C273" s="45" t="str">
        <f>IFERROR((SUMIF(Data!B:B, A273, Data!H:H)
/ (COUNTIF(Data!B:B, A273)
)),"")</f>
        <v/>
      </c>
      <c r="D273" s="45" t="str">
        <f>IFERROR((SUMIF(Data!B:B, A273, Data!G:G)
/ (COUNTIF(Data!B:B, A273)
)),"")</f>
        <v/>
      </c>
      <c r="E273" s="45"/>
      <c r="F273" s="45" t="str">
        <f>IFERROR((SUMIF(Data!B:B, A273, Data!J:J)
/ (COUNTIF(Data!B:B, A273)
)),"")</f>
        <v/>
      </c>
      <c r="G273" s="56" t="str">
        <f>IF(A273="","",IFERROR((((((SUMIF(Data!B:B, A273, Data!H:H)+(SUMIF(Data!B:B, A273,Data!G:G)))/(SUMIF(Data!B:B, A273, Data!J:J)))))),0))</f>
        <v/>
      </c>
      <c r="H273" s="45"/>
      <c r="I273" s="45"/>
      <c r="J273" s="45"/>
      <c r="K273" s="45"/>
      <c r="L273" s="45" t="str">
        <f>IFERROR((SUMIF(Data!B:B, A273, Data!L:L)
/ (COUNTIF(Data!B:B, A273)
)),"")</f>
        <v/>
      </c>
      <c r="M273" s="45" t="str">
        <f>IFERROR((SUMIF(Data!B:B, A273, Data!K:K)
/ (COUNTIF(Data!B:B, A273)
)),"")</f>
        <v/>
      </c>
      <c r="N273" s="56"/>
      <c r="O273" s="56" t="str">
        <f>IF(A273="","",IFERROR((((((SUMIF(Data!B:B, A273, Data!H:H)+(SUMIF(Data!B:B, A273,Data!G:G)+(SUMIF(Data!B:B, A273,Data!L:L)+(SUMIF(Data!B:B, A273,Data!K:K)))))/(SUMIF(Data!B:B, A273, Data!M:M)+(SUMIF(Data!B:B, A273, Data!H:H)+(SUMIF(Data!B:B, A273,Data!G:G)+(SUMIF(Data!B:B, A273,Data!K:K)+(SUMIF(Data!B:B, A273,Data!L:L)))))))))),0))</f>
        <v/>
      </c>
      <c r="P273" s="57" t="str">
        <f>IFERROR(__xludf.DUMMYFUNCTION("IFERROR(((COUNTIF(FILTER(Data!N:N,Data!B:B=A273),""TRAVERSE"")*15)+(COUNTIF(FILTER(Data!N:N,Data!B:B=A273),""HIGH"")*10)+(COUNTIF(FILTER(Data!N:N,Data!B:B=A273),""MIDDLE"")*6)+(COUNTIF(FILTER(Data!N:N,Data!B:B=A273),""LOW"")*4)) / (COUNTIF(Data!B:B, A273)"&amp;"),"""")"),"")</f>
        <v/>
      </c>
      <c r="Q273" s="58"/>
      <c r="R273" s="36" t="str">
        <f t="shared" si="37"/>
        <v/>
      </c>
      <c r="S273" s="58" t="str">
        <f>IFERROR(__xludf.DUMMYFUNCTION("IFERROR((((COUNTIF(FILTER(Data!N:N,Data!B:B=A273),""TRAVERSE""))+(COUNTIF(FILTER(Data!N:N,Data!B:B=A273),""HIGH""))+(COUNTIF(FILTER(Data!N:N,Data!B:B=A273),""MIDDLE""))+(COUNTIF(FILTER(Data!N:N,Data!B:B=A273),""LOW"")))) / (((COUNTIF(Data!B:B, A273)))-(CO"&amp;"UNTIF(FILTER(Data!N:N,Data!B:B=A273),""NONE""))),IF(ISBLANK(A273),"""",0))"),"")</f>
        <v/>
      </c>
      <c r="T273" s="56" t="str">
        <f>IFERROR(__xludf.DUMMYFUNCTION("IFERROR((COUNTIF(FILTER(Data!N:N, Data!B:B=A273),""LOW"")) / (COUNTIF(Data!B:B, A273)),"""")"),"")</f>
        <v/>
      </c>
      <c r="U273" s="59" t="str">
        <f>IFERROR(__xludf.DUMMYFUNCTION("IFERROR((COUNTIF(FILTER(Data!N:N, Data!B:B=A273),""MIDDLE"")) / (COUNTIF(Data!B:B, A273)),"""")"),"")</f>
        <v/>
      </c>
      <c r="V273" s="59" t="str">
        <f>IFERROR(__xludf.DUMMYFUNCTION("IFERROR((COUNTIF(FILTER(Data!N:N, Data!B:B=A273),""HIGH"")) / (COUNTIF(Data!B:B, A273)),"""")"),"")</f>
        <v/>
      </c>
      <c r="W273" s="59" t="str">
        <f>IFERROR(__xludf.DUMMYFUNCTION("IFERROR((COUNTIF(FILTER(Data!N:N, Data!B:B=A273),""TRAVERSE"")) / (COUNTIF(Data!B:B, A273)),"""")"),"")</f>
        <v/>
      </c>
      <c r="X273" s="59"/>
      <c r="Y273" s="45" t="str">
        <f t="shared" si="7"/>
        <v/>
      </c>
      <c r="Z273" s="45" t="str">
        <f t="shared" si="8"/>
        <v/>
      </c>
      <c r="AA273" s="16" t="str">
        <f t="shared" si="9"/>
        <v/>
      </c>
      <c r="AB273" s="16"/>
      <c r="AC273" s="16" t="str">
        <f>IFERROR(__xludf.DUMMYFUNCTION("IF(AA273="""","""",MAX(Filter((Data!G:G+Data!K:K),Data!B:B=A273)))"),"")</f>
        <v/>
      </c>
      <c r="AD273" s="16"/>
      <c r="AE273" s="16" t="str">
        <f t="shared" si="12"/>
        <v/>
      </c>
      <c r="AF273" s="16" t="str">
        <f t="shared" si="13"/>
        <v/>
      </c>
      <c r="AG273" s="44"/>
      <c r="AH273" s="44"/>
      <c r="AI273" s="44" t="str">
        <f>IFERROR(__xludf.DUMMYFUNCTION("TEXTJOIN("", "",TRUE, FILTER(Data!P:P, Data!B:B=A273))"),"")</f>
        <v/>
      </c>
      <c r="AM273" s="61"/>
      <c r="BC273" s="50"/>
    </row>
    <row r="274">
      <c r="A274" s="54"/>
      <c r="B274" s="55" t="str">
        <f>IFERROR(__xludf.DUMMYFUNCTION("IFERROR(ROUND(
(COUNTIF(FILTER(Data!O:O, Data!B:B=A274), ""Win"")
+ COUNTIF(FILTER(Data!O:O, Data!B:B=A274), {""Tie"",""Results""}))
/ (COUNTIF(Data!B:B, A274)),
1),"""")"),"")</f>
        <v/>
      </c>
      <c r="C274" s="45" t="str">
        <f>IFERROR((SUMIF(Data!B:B, A274, Data!H:H)
/ (COUNTIF(Data!B:B, A274)
)),"")</f>
        <v/>
      </c>
      <c r="D274" s="45" t="str">
        <f>IFERROR((SUMIF(Data!B:B, A274, Data!G:G)
/ (COUNTIF(Data!B:B, A274)
)),"")</f>
        <v/>
      </c>
      <c r="E274" s="45"/>
      <c r="F274" s="45" t="str">
        <f>IFERROR((SUMIF(Data!B:B, A274, Data!J:J)
/ (COUNTIF(Data!B:B, A274)
)),"")</f>
        <v/>
      </c>
      <c r="G274" s="56" t="str">
        <f>IF(A274="","",IFERROR((((((SUMIF(Data!B:B, A274, Data!H:H)+(SUMIF(Data!B:B, A274,Data!G:G)))/(SUMIF(Data!B:B, A274, Data!J:J)))))),0))</f>
        <v/>
      </c>
      <c r="H274" s="45"/>
      <c r="I274" s="45"/>
      <c r="J274" s="45"/>
      <c r="K274" s="45"/>
      <c r="L274" s="45" t="str">
        <f>IFERROR((SUMIF(Data!B:B, A274, Data!L:L)
/ (COUNTIF(Data!B:B, A274)
)),"")</f>
        <v/>
      </c>
      <c r="M274" s="45" t="str">
        <f>IFERROR((SUMIF(Data!B:B, A274, Data!K:K)
/ (COUNTIF(Data!B:B, A274)
)),"")</f>
        <v/>
      </c>
      <c r="N274" s="56"/>
      <c r="O274" s="56" t="str">
        <f>IF(A274="","",IFERROR((((((SUMIF(Data!B:B, A274, Data!H:H)+(SUMIF(Data!B:B, A274,Data!G:G)+(SUMIF(Data!B:B, A274,Data!L:L)+(SUMIF(Data!B:B, A274,Data!K:K)))))/(SUMIF(Data!B:B, A274, Data!M:M)+(SUMIF(Data!B:B, A274, Data!H:H)+(SUMIF(Data!B:B, A274,Data!G:G)+(SUMIF(Data!B:B, A274,Data!K:K)+(SUMIF(Data!B:B, A274,Data!L:L)))))))))),0))</f>
        <v/>
      </c>
      <c r="P274" s="57" t="str">
        <f>IFERROR(__xludf.DUMMYFUNCTION("IFERROR(((COUNTIF(FILTER(Data!N:N,Data!B:B=A274),""TRAVERSE"")*15)+(COUNTIF(FILTER(Data!N:N,Data!B:B=A274),""HIGH"")*10)+(COUNTIF(FILTER(Data!N:N,Data!B:B=A274),""MIDDLE"")*6)+(COUNTIF(FILTER(Data!N:N,Data!B:B=A274),""LOW"")*4)) / (COUNTIF(Data!B:B, A274)"&amp;"),"""")"),"")</f>
        <v/>
      </c>
      <c r="Q274" s="58"/>
      <c r="R274" s="36" t="str">
        <f t="shared" si="37"/>
        <v/>
      </c>
      <c r="S274" s="58" t="str">
        <f>IFERROR(__xludf.DUMMYFUNCTION("IFERROR((((COUNTIF(FILTER(Data!N:N,Data!B:B=A274),""TRAVERSE""))+(COUNTIF(FILTER(Data!N:N,Data!B:B=A274),""HIGH""))+(COUNTIF(FILTER(Data!N:N,Data!B:B=A274),""MIDDLE""))+(COUNTIF(FILTER(Data!N:N,Data!B:B=A274),""LOW"")))) / (((COUNTIF(Data!B:B, A274)))-(CO"&amp;"UNTIF(FILTER(Data!N:N,Data!B:B=A274),""NONE""))),IF(ISBLANK(A274),"""",0))"),"")</f>
        <v/>
      </c>
      <c r="T274" s="56" t="str">
        <f>IFERROR(__xludf.DUMMYFUNCTION("IFERROR((COUNTIF(FILTER(Data!N:N, Data!B:B=A274),""LOW"")) / (COUNTIF(Data!B:B, A274)),"""")"),"")</f>
        <v/>
      </c>
      <c r="U274" s="59" t="str">
        <f>IFERROR(__xludf.DUMMYFUNCTION("IFERROR((COUNTIF(FILTER(Data!N:N, Data!B:B=A274),""MIDDLE"")) / (COUNTIF(Data!B:B, A274)),"""")"),"")</f>
        <v/>
      </c>
      <c r="V274" s="59" t="str">
        <f>IFERROR(__xludf.DUMMYFUNCTION("IFERROR((COUNTIF(FILTER(Data!N:N, Data!B:B=A274),""HIGH"")) / (COUNTIF(Data!B:B, A274)),"""")"),"")</f>
        <v/>
      </c>
      <c r="W274" s="59" t="str">
        <f>IFERROR(__xludf.DUMMYFUNCTION("IFERROR((COUNTIF(FILTER(Data!N:N, Data!B:B=A274),""TRAVERSE"")) / (COUNTIF(Data!B:B, A274)),"""")"),"")</f>
        <v/>
      </c>
      <c r="X274" s="59"/>
      <c r="Y274" s="45" t="str">
        <f t="shared" si="7"/>
        <v/>
      </c>
      <c r="Z274" s="45" t="str">
        <f t="shared" si="8"/>
        <v/>
      </c>
      <c r="AA274" s="16" t="str">
        <f t="shared" si="9"/>
        <v/>
      </c>
      <c r="AB274" s="16"/>
      <c r="AC274" s="16" t="str">
        <f>IFERROR(__xludf.DUMMYFUNCTION("IF(AA274="""","""",MAX(Filter((Data!G:G+Data!K:K),Data!B:B=A274)))"),"")</f>
        <v/>
      </c>
      <c r="AD274" s="16"/>
      <c r="AE274" s="16" t="str">
        <f t="shared" si="12"/>
        <v/>
      </c>
      <c r="AF274" s="16" t="str">
        <f t="shared" si="13"/>
        <v/>
      </c>
      <c r="AG274" s="44"/>
      <c r="AH274" s="44"/>
      <c r="AI274" s="44" t="str">
        <f>IFERROR(__xludf.DUMMYFUNCTION("TEXTJOIN("", "",TRUE, FILTER(Data!P:P, Data!B:B=A274))"),"")</f>
        <v/>
      </c>
      <c r="AM274" s="61"/>
      <c r="BC274" s="50"/>
    </row>
    <row r="275">
      <c r="A275" s="54"/>
      <c r="B275" s="55" t="str">
        <f>IFERROR(__xludf.DUMMYFUNCTION("IFERROR(ROUND(
(COUNTIF(FILTER(Data!O:O, Data!B:B=A275), ""Win"")
+ COUNTIF(FILTER(Data!O:O, Data!B:B=A275), {""Tie"",""Results""}))
/ (COUNTIF(Data!B:B, A275)),
1),"""")"),"")</f>
        <v/>
      </c>
      <c r="C275" s="45" t="str">
        <f>IFERROR((SUMIF(Data!B:B, A275, Data!H:H)
/ (COUNTIF(Data!B:B, A275)
)),"")</f>
        <v/>
      </c>
      <c r="D275" s="45" t="str">
        <f>IFERROR((SUMIF(Data!B:B, A275, Data!G:G)
/ (COUNTIF(Data!B:B, A275)
)),"")</f>
        <v/>
      </c>
      <c r="E275" s="45"/>
      <c r="F275" s="45" t="str">
        <f>IFERROR((SUMIF(Data!B:B, A275, Data!J:J)
/ (COUNTIF(Data!B:B, A275)
)),"")</f>
        <v/>
      </c>
      <c r="G275" s="56" t="str">
        <f>IF(A275="","",IFERROR((((((SUMIF(Data!B:B, A275, Data!H:H)+(SUMIF(Data!B:B, A275,Data!G:G)))/(SUMIF(Data!B:B, A275, Data!J:J)))))),0))</f>
        <v/>
      </c>
      <c r="H275" s="45"/>
      <c r="I275" s="45"/>
      <c r="J275" s="45"/>
      <c r="K275" s="45"/>
      <c r="L275" s="45" t="str">
        <f>IFERROR((SUMIF(Data!B:B, A275, Data!L:L)
/ (COUNTIF(Data!B:B, A275)
)),"")</f>
        <v/>
      </c>
      <c r="M275" s="45" t="str">
        <f>IFERROR((SUMIF(Data!B:B, A275, Data!K:K)
/ (COUNTIF(Data!B:B, A275)
)),"")</f>
        <v/>
      </c>
      <c r="N275" s="56"/>
      <c r="O275" s="56" t="str">
        <f>IF(A275="","",IFERROR((((((SUMIF(Data!B:B, A275, Data!H:H)+(SUMIF(Data!B:B, A275,Data!G:G)+(SUMIF(Data!B:B, A275,Data!L:L)+(SUMIF(Data!B:B, A275,Data!K:K)))))/(SUMIF(Data!B:B, A275, Data!M:M)+(SUMIF(Data!B:B, A275, Data!H:H)+(SUMIF(Data!B:B, A275,Data!G:G)+(SUMIF(Data!B:B, A275,Data!K:K)+(SUMIF(Data!B:B, A275,Data!L:L)))))))))),0))</f>
        <v/>
      </c>
      <c r="P275" s="57" t="str">
        <f>IFERROR(__xludf.DUMMYFUNCTION("IFERROR(((COUNTIF(FILTER(Data!N:N,Data!B:B=A275),""TRAVERSE"")*15)+(COUNTIF(FILTER(Data!N:N,Data!B:B=A275),""HIGH"")*10)+(COUNTIF(FILTER(Data!N:N,Data!B:B=A275),""MIDDLE"")*6)+(COUNTIF(FILTER(Data!N:N,Data!B:B=A275),""LOW"")*4)) / (COUNTIF(Data!B:B, A275)"&amp;"),"""")"),"")</f>
        <v/>
      </c>
      <c r="Q275" s="58"/>
      <c r="R275" s="36" t="str">
        <f t="shared" si="37"/>
        <v/>
      </c>
      <c r="S275" s="58" t="str">
        <f>IFERROR(__xludf.DUMMYFUNCTION("IFERROR((((COUNTIF(FILTER(Data!N:N,Data!B:B=A275),""TRAVERSE""))+(COUNTIF(FILTER(Data!N:N,Data!B:B=A275),""HIGH""))+(COUNTIF(FILTER(Data!N:N,Data!B:B=A275),""MIDDLE""))+(COUNTIF(FILTER(Data!N:N,Data!B:B=A275),""LOW"")))) / (((COUNTIF(Data!B:B, A275)))-(CO"&amp;"UNTIF(FILTER(Data!N:N,Data!B:B=A275),""NONE""))),IF(ISBLANK(A275),"""",0))"),"")</f>
        <v/>
      </c>
      <c r="T275" s="56" t="str">
        <f>IFERROR(__xludf.DUMMYFUNCTION("IFERROR((COUNTIF(FILTER(Data!N:N, Data!B:B=A275),""LOW"")) / (COUNTIF(Data!B:B, A275)),"""")"),"")</f>
        <v/>
      </c>
      <c r="U275" s="59" t="str">
        <f>IFERROR(__xludf.DUMMYFUNCTION("IFERROR((COUNTIF(FILTER(Data!N:N, Data!B:B=A275),""MIDDLE"")) / (COUNTIF(Data!B:B, A275)),"""")"),"")</f>
        <v/>
      </c>
      <c r="V275" s="59" t="str">
        <f>IFERROR(__xludf.DUMMYFUNCTION("IFERROR((COUNTIF(FILTER(Data!N:N, Data!B:B=A275),""HIGH"")) / (COUNTIF(Data!B:B, A275)),"""")"),"")</f>
        <v/>
      </c>
      <c r="W275" s="59" t="str">
        <f>IFERROR(__xludf.DUMMYFUNCTION("IFERROR((COUNTIF(FILTER(Data!N:N, Data!B:B=A275),""TRAVERSE"")) / (COUNTIF(Data!B:B, A275)),"""")"),"")</f>
        <v/>
      </c>
      <c r="X275" s="59"/>
      <c r="Y275" s="45" t="str">
        <f t="shared" si="7"/>
        <v/>
      </c>
      <c r="Z275" s="45" t="str">
        <f t="shared" si="8"/>
        <v/>
      </c>
      <c r="AA275" s="16" t="str">
        <f t="shared" si="9"/>
        <v/>
      </c>
      <c r="AB275" s="16"/>
      <c r="AC275" s="16" t="str">
        <f>IFERROR(__xludf.DUMMYFUNCTION("IF(AA275="""","""",MAX(Filter((Data!G:G+Data!K:K),Data!B:B=A275)))"),"")</f>
        <v/>
      </c>
      <c r="AD275" s="16"/>
      <c r="AE275" s="16" t="str">
        <f t="shared" si="12"/>
        <v/>
      </c>
      <c r="AF275" s="16" t="str">
        <f t="shared" si="13"/>
        <v/>
      </c>
      <c r="AG275" s="44"/>
      <c r="AH275" s="44"/>
      <c r="AI275" s="44" t="str">
        <f>IFERROR(__xludf.DUMMYFUNCTION("TEXTJOIN("", "",TRUE, FILTER(Data!P:P, Data!B:B=A275))"),"")</f>
        <v/>
      </c>
      <c r="AM275" s="61"/>
      <c r="BC275" s="50"/>
    </row>
    <row r="276">
      <c r="A276" s="54"/>
      <c r="B276" s="55" t="str">
        <f>IFERROR(__xludf.DUMMYFUNCTION("IFERROR(ROUND(
(COUNTIF(FILTER(Data!O:O, Data!B:B=A276), ""Win"")
+ COUNTIF(FILTER(Data!O:O, Data!B:B=A276), {""Tie"",""Results""}))
/ (COUNTIF(Data!B:B, A276)),
1),"""")"),"")</f>
        <v/>
      </c>
      <c r="C276" s="45" t="str">
        <f>IFERROR((SUMIF(Data!B:B, A276, Data!H:H)
/ (COUNTIF(Data!B:B, A276)
)),"")</f>
        <v/>
      </c>
      <c r="D276" s="45" t="str">
        <f>IFERROR((SUMIF(Data!B:B, A276, Data!G:G)
/ (COUNTIF(Data!B:B, A276)
)),"")</f>
        <v/>
      </c>
      <c r="E276" s="45"/>
      <c r="F276" s="45" t="str">
        <f>IFERROR((SUMIF(Data!B:B, A276, Data!J:J)
/ (COUNTIF(Data!B:B, A276)
)),"")</f>
        <v/>
      </c>
      <c r="G276" s="56" t="str">
        <f>IF(A276="","",IFERROR((((((SUMIF(Data!B:B, A276, Data!H:H)+(SUMIF(Data!B:B, A276,Data!G:G)))/(SUMIF(Data!B:B, A276, Data!J:J)))))),0))</f>
        <v/>
      </c>
      <c r="H276" s="45"/>
      <c r="I276" s="45"/>
      <c r="J276" s="45"/>
      <c r="K276" s="45"/>
      <c r="L276" s="45" t="str">
        <f>IFERROR((SUMIF(Data!B:B, A276, Data!L:L)
/ (COUNTIF(Data!B:B, A276)
)),"")</f>
        <v/>
      </c>
      <c r="M276" s="45" t="str">
        <f>IFERROR((SUMIF(Data!B:B, A276, Data!K:K)
/ (COUNTIF(Data!B:B, A276)
)),"")</f>
        <v/>
      </c>
      <c r="N276" s="56"/>
      <c r="O276" s="56" t="str">
        <f>IF(A276="","",IFERROR((((((SUMIF(Data!B:B, A276, Data!H:H)+(SUMIF(Data!B:B, A276,Data!G:G)+(SUMIF(Data!B:B, A276,Data!L:L)+(SUMIF(Data!B:B, A276,Data!K:K)))))/(SUMIF(Data!B:B, A276, Data!M:M)+(SUMIF(Data!B:B, A276, Data!H:H)+(SUMIF(Data!B:B, A276,Data!G:G)+(SUMIF(Data!B:B, A276,Data!K:K)+(SUMIF(Data!B:B, A276,Data!L:L)))))))))),0))</f>
        <v/>
      </c>
      <c r="P276" s="57" t="str">
        <f>IFERROR(__xludf.DUMMYFUNCTION("IFERROR(((COUNTIF(FILTER(Data!N:N,Data!B:B=A276),""TRAVERSE"")*15)+(COUNTIF(FILTER(Data!N:N,Data!B:B=A276),""HIGH"")*10)+(COUNTIF(FILTER(Data!N:N,Data!B:B=A276),""MIDDLE"")*6)+(COUNTIF(FILTER(Data!N:N,Data!B:B=A276),""LOW"")*4)) / (COUNTIF(Data!B:B, A276)"&amp;"),"""")"),"")</f>
        <v/>
      </c>
      <c r="Q276" s="58"/>
      <c r="R276" s="36" t="str">
        <f t="shared" si="37"/>
        <v/>
      </c>
      <c r="S276" s="58" t="str">
        <f>IFERROR(__xludf.DUMMYFUNCTION("IFERROR((((COUNTIF(FILTER(Data!N:N,Data!B:B=A276),""TRAVERSE""))+(COUNTIF(FILTER(Data!N:N,Data!B:B=A276),""HIGH""))+(COUNTIF(FILTER(Data!N:N,Data!B:B=A276),""MIDDLE""))+(COUNTIF(FILTER(Data!N:N,Data!B:B=A276),""LOW"")))) / (((COUNTIF(Data!B:B, A276)))-(CO"&amp;"UNTIF(FILTER(Data!N:N,Data!B:B=A276),""NONE""))),IF(ISBLANK(A276),"""",0))"),"")</f>
        <v/>
      </c>
      <c r="T276" s="56" t="str">
        <f>IFERROR(__xludf.DUMMYFUNCTION("IFERROR((COUNTIF(FILTER(Data!N:N, Data!B:B=A276),""LOW"")) / (COUNTIF(Data!B:B, A276)),"""")"),"")</f>
        <v/>
      </c>
      <c r="U276" s="59" t="str">
        <f>IFERROR(__xludf.DUMMYFUNCTION("IFERROR((COUNTIF(FILTER(Data!N:N, Data!B:B=A276),""MIDDLE"")) / (COUNTIF(Data!B:B, A276)),"""")"),"")</f>
        <v/>
      </c>
      <c r="V276" s="59" t="str">
        <f>IFERROR(__xludf.DUMMYFUNCTION("IFERROR((COUNTIF(FILTER(Data!N:N, Data!B:B=A276),""HIGH"")) / (COUNTIF(Data!B:B, A276)),"""")"),"")</f>
        <v/>
      </c>
      <c r="W276" s="59" t="str">
        <f>IFERROR(__xludf.DUMMYFUNCTION("IFERROR((COUNTIF(FILTER(Data!N:N, Data!B:B=A276),""TRAVERSE"")) / (COUNTIF(Data!B:B, A276)),"""")"),"")</f>
        <v/>
      </c>
      <c r="X276" s="59"/>
      <c r="Y276" s="45" t="str">
        <f t="shared" si="7"/>
        <v/>
      </c>
      <c r="Z276" s="45" t="str">
        <f t="shared" si="8"/>
        <v/>
      </c>
      <c r="AA276" s="16" t="str">
        <f t="shared" si="9"/>
        <v/>
      </c>
      <c r="AB276" s="16"/>
      <c r="AC276" s="16" t="str">
        <f>IFERROR(__xludf.DUMMYFUNCTION("IF(AA276="""","""",MAX(Filter((Data!G:G+Data!K:K),Data!B:B=A276)))"),"")</f>
        <v/>
      </c>
      <c r="AD276" s="16"/>
      <c r="AE276" s="16" t="str">
        <f t="shared" si="12"/>
        <v/>
      </c>
      <c r="AF276" s="16" t="str">
        <f t="shared" si="13"/>
        <v/>
      </c>
      <c r="AG276" s="44"/>
      <c r="AH276" s="44"/>
      <c r="AI276" s="44" t="str">
        <f>IFERROR(__xludf.DUMMYFUNCTION("TEXTJOIN("", "",TRUE, FILTER(Data!P:P, Data!B:B=A276))"),"")</f>
        <v/>
      </c>
      <c r="AM276" s="61"/>
      <c r="BC276" s="50"/>
    </row>
    <row r="277">
      <c r="A277" s="54"/>
      <c r="B277" s="55" t="str">
        <f>IFERROR(__xludf.DUMMYFUNCTION("IFERROR(ROUND(
(COUNTIF(FILTER(Data!O:O, Data!B:B=A277), ""Win"")
+ COUNTIF(FILTER(Data!O:O, Data!B:B=A277), {""Tie"",""Results""}))
/ (COUNTIF(Data!B:B, A277)),
1),"""")"),"")</f>
        <v/>
      </c>
      <c r="C277" s="45" t="str">
        <f>IFERROR((SUMIF(Data!B:B, A277, Data!H:H)
/ (COUNTIF(Data!B:B, A277)
)),"")</f>
        <v/>
      </c>
      <c r="D277" s="45" t="str">
        <f>IFERROR((SUMIF(Data!B:B, A277, Data!G:G)
/ (COUNTIF(Data!B:B, A277)
)),"")</f>
        <v/>
      </c>
      <c r="E277" s="45"/>
      <c r="F277" s="45" t="str">
        <f>IFERROR((SUMIF(Data!B:B, A277, Data!J:J)
/ (COUNTIF(Data!B:B, A277)
)),"")</f>
        <v/>
      </c>
      <c r="G277" s="56" t="str">
        <f>IF(A277="","",IFERROR((((((SUMIF(Data!B:B, A277, Data!H:H)+(SUMIF(Data!B:B, A277,Data!G:G)))/(SUMIF(Data!B:B, A277, Data!J:J)))))),0))</f>
        <v/>
      </c>
      <c r="H277" s="45"/>
      <c r="I277" s="45"/>
      <c r="J277" s="45"/>
      <c r="K277" s="45"/>
      <c r="L277" s="45" t="str">
        <f>IFERROR((SUMIF(Data!B:B, A277, Data!L:L)
/ (COUNTIF(Data!B:B, A277)
)),"")</f>
        <v/>
      </c>
      <c r="M277" s="45" t="str">
        <f>IFERROR((SUMIF(Data!B:B, A277, Data!K:K)
/ (COUNTIF(Data!B:B, A277)
)),"")</f>
        <v/>
      </c>
      <c r="N277" s="56"/>
      <c r="O277" s="56" t="str">
        <f>IF(A277="","",IFERROR((((((SUMIF(Data!B:B, A277, Data!H:H)+(SUMIF(Data!B:B, A277,Data!G:G)+(SUMIF(Data!B:B, A277,Data!L:L)+(SUMIF(Data!B:B, A277,Data!K:K)))))/(SUMIF(Data!B:B, A277, Data!M:M)+(SUMIF(Data!B:B, A277, Data!H:H)+(SUMIF(Data!B:B, A277,Data!G:G)+(SUMIF(Data!B:B, A277,Data!K:K)+(SUMIF(Data!B:B, A277,Data!L:L)))))))))),0))</f>
        <v/>
      </c>
      <c r="P277" s="57" t="str">
        <f>IFERROR(__xludf.DUMMYFUNCTION("IFERROR(((COUNTIF(FILTER(Data!N:N,Data!B:B=A277),""TRAVERSE"")*15)+(COUNTIF(FILTER(Data!N:N,Data!B:B=A277),""HIGH"")*10)+(COUNTIF(FILTER(Data!N:N,Data!B:B=A277),""MIDDLE"")*6)+(COUNTIF(FILTER(Data!N:N,Data!B:B=A277),""LOW"")*4)) / (COUNTIF(Data!B:B, A277)"&amp;"),"""")"),"")</f>
        <v/>
      </c>
      <c r="Q277" s="58"/>
      <c r="R277" s="36" t="str">
        <f t="shared" si="37"/>
        <v/>
      </c>
      <c r="S277" s="58" t="str">
        <f>IFERROR(__xludf.DUMMYFUNCTION("IFERROR((((COUNTIF(FILTER(Data!N:N,Data!B:B=A277),""TRAVERSE""))+(COUNTIF(FILTER(Data!N:N,Data!B:B=A277),""HIGH""))+(COUNTIF(FILTER(Data!N:N,Data!B:B=A277),""MIDDLE""))+(COUNTIF(FILTER(Data!N:N,Data!B:B=A277),""LOW"")))) / (((COUNTIF(Data!B:B, A277)))-(CO"&amp;"UNTIF(FILTER(Data!N:N,Data!B:B=A277),""NONE""))),IF(ISBLANK(A277),"""",0))"),"")</f>
        <v/>
      </c>
      <c r="T277" s="56" t="str">
        <f>IFERROR(__xludf.DUMMYFUNCTION("IFERROR((COUNTIF(FILTER(Data!N:N, Data!B:B=A277),""LOW"")) / (COUNTIF(Data!B:B, A277)),"""")"),"")</f>
        <v/>
      </c>
      <c r="U277" s="59" t="str">
        <f>IFERROR(__xludf.DUMMYFUNCTION("IFERROR((COUNTIF(FILTER(Data!N:N, Data!B:B=A277),""MIDDLE"")) / (COUNTIF(Data!B:B, A277)),"""")"),"")</f>
        <v/>
      </c>
      <c r="V277" s="59" t="str">
        <f>IFERROR(__xludf.DUMMYFUNCTION("IFERROR((COUNTIF(FILTER(Data!N:N, Data!B:B=A277),""HIGH"")) / (COUNTIF(Data!B:B, A277)),"""")"),"")</f>
        <v/>
      </c>
      <c r="W277" s="59" t="str">
        <f>IFERROR(__xludf.DUMMYFUNCTION("IFERROR((COUNTIF(FILTER(Data!N:N, Data!B:B=A277),""TRAVERSE"")) / (COUNTIF(Data!B:B, A277)),"""")"),"")</f>
        <v/>
      </c>
      <c r="X277" s="59"/>
      <c r="Y277" s="45" t="str">
        <f t="shared" si="7"/>
        <v/>
      </c>
      <c r="Z277" s="45" t="str">
        <f t="shared" si="8"/>
        <v/>
      </c>
      <c r="AA277" s="16" t="str">
        <f t="shared" si="9"/>
        <v/>
      </c>
      <c r="AB277" s="16"/>
      <c r="AC277" s="16" t="str">
        <f>IFERROR(__xludf.DUMMYFUNCTION("IF(AA277="""","""",MAX(Filter((Data!G:G+Data!K:K),Data!B:B=A277)))"),"")</f>
        <v/>
      </c>
      <c r="AD277" s="16"/>
      <c r="AE277" s="16" t="str">
        <f t="shared" si="12"/>
        <v/>
      </c>
      <c r="AF277" s="16" t="str">
        <f t="shared" si="13"/>
        <v/>
      </c>
      <c r="AG277" s="44"/>
      <c r="AH277" s="44"/>
      <c r="AI277" s="44" t="str">
        <f>IFERROR(__xludf.DUMMYFUNCTION("TEXTJOIN("", "",TRUE, FILTER(Data!P:P, Data!B:B=A277))"),"")</f>
        <v/>
      </c>
      <c r="AM277" s="61"/>
      <c r="BC277" s="50"/>
    </row>
    <row r="278">
      <c r="A278" s="54"/>
      <c r="B278" s="55" t="str">
        <f>IFERROR(__xludf.DUMMYFUNCTION("IFERROR(ROUND(
(COUNTIF(FILTER(Data!O:O, Data!B:B=A278), ""Win"")
+ COUNTIF(FILTER(Data!O:O, Data!B:B=A278), {""Tie"",""Results""}))
/ (COUNTIF(Data!B:B, A278)),
1),"""")"),"")</f>
        <v/>
      </c>
      <c r="C278" s="45" t="str">
        <f>IFERROR((SUMIF(Data!B:B, A278, Data!H:H)
/ (COUNTIF(Data!B:B, A278)
)),"")</f>
        <v/>
      </c>
      <c r="D278" s="45" t="str">
        <f>IFERROR((SUMIF(Data!B:B, A278, Data!G:G)
/ (COUNTIF(Data!B:B, A278)
)),"")</f>
        <v/>
      </c>
      <c r="E278" s="45"/>
      <c r="F278" s="45" t="str">
        <f>IFERROR((SUMIF(Data!B:B, A278, Data!J:J)
/ (COUNTIF(Data!B:B, A278)
)),"")</f>
        <v/>
      </c>
      <c r="G278" s="56" t="str">
        <f>IF(A278="","",IFERROR((((((SUMIF(Data!B:B, A278, Data!H:H)+(SUMIF(Data!B:B, A278,Data!G:G)))/(SUMIF(Data!B:B, A278, Data!J:J)))))),0))</f>
        <v/>
      </c>
      <c r="H278" s="45"/>
      <c r="I278" s="45"/>
      <c r="J278" s="45"/>
      <c r="K278" s="45"/>
      <c r="L278" s="45" t="str">
        <f>IFERROR((SUMIF(Data!B:B, A278, Data!L:L)
/ (COUNTIF(Data!B:B, A278)
)),"")</f>
        <v/>
      </c>
      <c r="M278" s="45" t="str">
        <f>IFERROR((SUMIF(Data!B:B, A278, Data!K:K)
/ (COUNTIF(Data!B:B, A278)
)),"")</f>
        <v/>
      </c>
      <c r="N278" s="56"/>
      <c r="O278" s="56" t="str">
        <f>IF(A278="","",IFERROR((((((SUMIF(Data!B:B, A278, Data!H:H)+(SUMIF(Data!B:B, A278,Data!G:G)+(SUMIF(Data!B:B, A278,Data!L:L)+(SUMIF(Data!B:B, A278,Data!K:K)))))/(SUMIF(Data!B:B, A278, Data!M:M)+(SUMIF(Data!B:B, A278, Data!H:H)+(SUMIF(Data!B:B, A278,Data!G:G)+(SUMIF(Data!B:B, A278,Data!K:K)+(SUMIF(Data!B:B, A278,Data!L:L)))))))))),0))</f>
        <v/>
      </c>
      <c r="P278" s="57" t="str">
        <f>IFERROR(__xludf.DUMMYFUNCTION("IFERROR(((COUNTIF(FILTER(Data!N:N,Data!B:B=A278),""TRAVERSE"")*15)+(COUNTIF(FILTER(Data!N:N,Data!B:B=A278),""HIGH"")*10)+(COUNTIF(FILTER(Data!N:N,Data!B:B=A278),""MIDDLE"")*6)+(COUNTIF(FILTER(Data!N:N,Data!B:B=A278),""LOW"")*4)) / (COUNTIF(Data!B:B, A278)"&amp;"),"""")"),"")</f>
        <v/>
      </c>
      <c r="Q278" s="58"/>
      <c r="R278" s="36" t="str">
        <f t="shared" si="37"/>
        <v/>
      </c>
      <c r="S278" s="58" t="str">
        <f>IFERROR(__xludf.DUMMYFUNCTION("IFERROR((((COUNTIF(FILTER(Data!N:N,Data!B:B=A278),""TRAVERSE""))+(COUNTIF(FILTER(Data!N:N,Data!B:B=A278),""HIGH""))+(COUNTIF(FILTER(Data!N:N,Data!B:B=A278),""MIDDLE""))+(COUNTIF(FILTER(Data!N:N,Data!B:B=A278),""LOW"")))) / (((COUNTIF(Data!B:B, A278)))-(CO"&amp;"UNTIF(FILTER(Data!N:N,Data!B:B=A278),""NONE""))),IF(ISBLANK(A278),"""",0))"),"")</f>
        <v/>
      </c>
      <c r="T278" s="56" t="str">
        <f>IFERROR(__xludf.DUMMYFUNCTION("IFERROR((COUNTIF(FILTER(Data!N:N, Data!B:B=A278),""LOW"")) / (COUNTIF(Data!B:B, A278)),"""")"),"")</f>
        <v/>
      </c>
      <c r="U278" s="59" t="str">
        <f>IFERROR(__xludf.DUMMYFUNCTION("IFERROR((COUNTIF(FILTER(Data!N:N, Data!B:B=A278),""MIDDLE"")) / (COUNTIF(Data!B:B, A278)),"""")"),"")</f>
        <v/>
      </c>
      <c r="V278" s="59" t="str">
        <f>IFERROR(__xludf.DUMMYFUNCTION("IFERROR((COUNTIF(FILTER(Data!N:N, Data!B:B=A278),""HIGH"")) / (COUNTIF(Data!B:B, A278)),"""")"),"")</f>
        <v/>
      </c>
      <c r="W278" s="59" t="str">
        <f>IFERROR(__xludf.DUMMYFUNCTION("IFERROR((COUNTIF(FILTER(Data!N:N, Data!B:B=A278),""TRAVERSE"")) / (COUNTIF(Data!B:B, A278)),"""")"),"")</f>
        <v/>
      </c>
      <c r="X278" s="59"/>
      <c r="Y278" s="45" t="str">
        <f t="shared" si="7"/>
        <v/>
      </c>
      <c r="Z278" s="45" t="str">
        <f t="shared" si="8"/>
        <v/>
      </c>
      <c r="AA278" s="16" t="str">
        <f t="shared" si="9"/>
        <v/>
      </c>
      <c r="AB278" s="16"/>
      <c r="AC278" s="16" t="str">
        <f>IFERROR(__xludf.DUMMYFUNCTION("IF(AA278="""","""",MAX(Filter((Data!G:G+Data!K:K),Data!B:B=A278)))"),"")</f>
        <v/>
      </c>
      <c r="AD278" s="16"/>
      <c r="AE278" s="16" t="str">
        <f t="shared" si="12"/>
        <v/>
      </c>
      <c r="AF278" s="16" t="str">
        <f t="shared" si="13"/>
        <v/>
      </c>
      <c r="AG278" s="44"/>
      <c r="AH278" s="44"/>
      <c r="AI278" s="44" t="str">
        <f>IFERROR(__xludf.DUMMYFUNCTION("TEXTJOIN("", "",TRUE, FILTER(Data!P:P, Data!B:B=A278))"),"")</f>
        <v/>
      </c>
      <c r="AM278" s="61"/>
      <c r="BC278" s="50"/>
    </row>
    <row r="279">
      <c r="A279" s="54"/>
      <c r="B279" s="55" t="str">
        <f>IFERROR(__xludf.DUMMYFUNCTION("IFERROR(ROUND(
(COUNTIF(FILTER(Data!O:O, Data!B:B=A279), ""Win"")
+ COUNTIF(FILTER(Data!O:O, Data!B:B=A279), {""Tie"",""Results""}))
/ (COUNTIF(Data!B:B, A279)),
1),"""")"),"")</f>
        <v/>
      </c>
      <c r="C279" s="45" t="str">
        <f>IFERROR((SUMIF(Data!B:B, A279, Data!H:H)
/ (COUNTIF(Data!B:B, A279)
)),"")</f>
        <v/>
      </c>
      <c r="D279" s="45" t="str">
        <f>IFERROR((SUMIF(Data!B:B, A279, Data!G:G)
/ (COUNTIF(Data!B:B, A279)
)),"")</f>
        <v/>
      </c>
      <c r="E279" s="45"/>
      <c r="F279" s="45" t="str">
        <f>IFERROR((SUMIF(Data!B:B, A279, Data!J:J)
/ (COUNTIF(Data!B:B, A279)
)),"")</f>
        <v/>
      </c>
      <c r="G279" s="56" t="str">
        <f>IF(A279="","",IFERROR((((((SUMIF(Data!B:B, A279, Data!H:H)+(SUMIF(Data!B:B, A279,Data!G:G)))/(SUMIF(Data!B:B, A279, Data!J:J)))))),0))</f>
        <v/>
      </c>
      <c r="H279" s="45"/>
      <c r="I279" s="45"/>
      <c r="J279" s="45"/>
      <c r="K279" s="45"/>
      <c r="L279" s="45" t="str">
        <f>IFERROR((SUMIF(Data!B:B, A279, Data!L:L)
/ (COUNTIF(Data!B:B, A279)
)),"")</f>
        <v/>
      </c>
      <c r="M279" s="45" t="str">
        <f>IFERROR((SUMIF(Data!B:B, A279, Data!K:K)
/ (COUNTIF(Data!B:B, A279)
)),"")</f>
        <v/>
      </c>
      <c r="N279" s="56"/>
      <c r="O279" s="56" t="str">
        <f>IF(A279="","",IFERROR((((((SUMIF(Data!B:B, A279, Data!H:H)+(SUMIF(Data!B:B, A279,Data!G:G)+(SUMIF(Data!B:B, A279,Data!L:L)+(SUMIF(Data!B:B, A279,Data!K:K)))))/(SUMIF(Data!B:B, A279, Data!M:M)+(SUMIF(Data!B:B, A279, Data!H:H)+(SUMIF(Data!B:B, A279,Data!G:G)+(SUMIF(Data!B:B, A279,Data!K:K)+(SUMIF(Data!B:B, A279,Data!L:L)))))))))),0))</f>
        <v/>
      </c>
      <c r="P279" s="57" t="str">
        <f>IFERROR(__xludf.DUMMYFUNCTION("IFERROR(((COUNTIF(FILTER(Data!N:N,Data!B:B=A279),""TRAVERSE"")*15)+(COUNTIF(FILTER(Data!N:N,Data!B:B=A279),""HIGH"")*10)+(COUNTIF(FILTER(Data!N:N,Data!B:B=A279),""MIDDLE"")*6)+(COUNTIF(FILTER(Data!N:N,Data!B:B=A279),""LOW"")*4)) / (COUNTIF(Data!B:B, A279)"&amp;"),"""")"),"")</f>
        <v/>
      </c>
      <c r="Q279" s="58"/>
      <c r="R279" s="36" t="str">
        <f t="shared" si="37"/>
        <v/>
      </c>
      <c r="S279" s="58" t="str">
        <f>IFERROR(__xludf.DUMMYFUNCTION("IFERROR((((COUNTIF(FILTER(Data!N:N,Data!B:B=A279),""TRAVERSE""))+(COUNTIF(FILTER(Data!N:N,Data!B:B=A279),""HIGH""))+(COUNTIF(FILTER(Data!N:N,Data!B:B=A279),""MIDDLE""))+(COUNTIF(FILTER(Data!N:N,Data!B:B=A279),""LOW"")))) / (((COUNTIF(Data!B:B, A279)))-(CO"&amp;"UNTIF(FILTER(Data!N:N,Data!B:B=A279),""NONE""))),IF(ISBLANK(A279),"""",0))"),"")</f>
        <v/>
      </c>
      <c r="T279" s="56" t="str">
        <f>IFERROR(__xludf.DUMMYFUNCTION("IFERROR((COUNTIF(FILTER(Data!N:N, Data!B:B=A279),""LOW"")) / (COUNTIF(Data!B:B, A279)),"""")"),"")</f>
        <v/>
      </c>
      <c r="U279" s="59" t="str">
        <f>IFERROR(__xludf.DUMMYFUNCTION("IFERROR((COUNTIF(FILTER(Data!N:N, Data!B:B=A279),""MIDDLE"")) / (COUNTIF(Data!B:B, A279)),"""")"),"")</f>
        <v/>
      </c>
      <c r="V279" s="59" t="str">
        <f>IFERROR(__xludf.DUMMYFUNCTION("IFERROR((COUNTIF(FILTER(Data!N:N, Data!B:B=A279),""HIGH"")) / (COUNTIF(Data!B:B, A279)),"""")"),"")</f>
        <v/>
      </c>
      <c r="W279" s="59" t="str">
        <f>IFERROR(__xludf.DUMMYFUNCTION("IFERROR((COUNTIF(FILTER(Data!N:N, Data!B:B=A279),""TRAVERSE"")) / (COUNTIF(Data!B:B, A279)),"""")"),"")</f>
        <v/>
      </c>
      <c r="X279" s="59"/>
      <c r="Y279" s="45" t="str">
        <f t="shared" si="7"/>
        <v/>
      </c>
      <c r="Z279" s="45" t="str">
        <f t="shared" si="8"/>
        <v/>
      </c>
      <c r="AA279" s="16" t="str">
        <f t="shared" si="9"/>
        <v/>
      </c>
      <c r="AB279" s="16"/>
      <c r="AC279" s="16" t="str">
        <f>IFERROR(__xludf.DUMMYFUNCTION("IF(AA279="""","""",MAX(Filter((Data!G:G+Data!K:K),Data!B:B=A279)))"),"")</f>
        <v/>
      </c>
      <c r="AD279" s="16"/>
      <c r="AE279" s="16" t="str">
        <f t="shared" si="12"/>
        <v/>
      </c>
      <c r="AF279" s="16" t="str">
        <f t="shared" si="13"/>
        <v/>
      </c>
      <c r="AG279" s="44"/>
      <c r="AH279" s="44"/>
      <c r="AI279" s="44" t="str">
        <f>IFERROR(__xludf.DUMMYFUNCTION("TEXTJOIN("", "",TRUE, FILTER(Data!P:P, Data!B:B=A279))"),"")</f>
        <v/>
      </c>
      <c r="AM279" s="61"/>
      <c r="BC279" s="50"/>
    </row>
    <row r="280">
      <c r="A280" s="54"/>
      <c r="B280" s="55" t="str">
        <f>IFERROR(__xludf.DUMMYFUNCTION("IFERROR(ROUND(
(COUNTIF(FILTER(Data!O:O, Data!B:B=A280), ""Win"")
+ COUNTIF(FILTER(Data!O:O, Data!B:B=A280), {""Tie"",""Results""}))
/ (COUNTIF(Data!B:B, A280)),
1),"""")"),"")</f>
        <v/>
      </c>
      <c r="C280" s="45" t="str">
        <f>IFERROR((SUMIF(Data!B:B, A280, Data!H:H)
/ (COUNTIF(Data!B:B, A280)
)),"")</f>
        <v/>
      </c>
      <c r="D280" s="45" t="str">
        <f>IFERROR((SUMIF(Data!B:B, A280, Data!G:G)
/ (COUNTIF(Data!B:B, A280)
)),"")</f>
        <v/>
      </c>
      <c r="E280" s="45"/>
      <c r="F280" s="45" t="str">
        <f>IFERROR((SUMIF(Data!B:B, A280, Data!J:J)
/ (COUNTIF(Data!B:B, A280)
)),"")</f>
        <v/>
      </c>
      <c r="G280" s="56" t="str">
        <f>IF(A280="","",IFERROR((((((SUMIF(Data!B:B, A280, Data!H:H)+(SUMIF(Data!B:B, A280,Data!G:G)))/(SUMIF(Data!B:B, A280, Data!J:J)))))),0))</f>
        <v/>
      </c>
      <c r="H280" s="45"/>
      <c r="I280" s="45"/>
      <c r="J280" s="45"/>
      <c r="K280" s="45"/>
      <c r="L280" s="45" t="str">
        <f>IFERROR((SUMIF(Data!B:B, A280, Data!L:L)
/ (COUNTIF(Data!B:B, A280)
)),"")</f>
        <v/>
      </c>
      <c r="M280" s="45" t="str">
        <f>IFERROR((SUMIF(Data!B:B, A280, Data!K:K)
/ (COUNTIF(Data!B:B, A280)
)),"")</f>
        <v/>
      </c>
      <c r="N280" s="56"/>
      <c r="O280" s="56" t="str">
        <f>IF(A280="","",IFERROR((((((SUMIF(Data!B:B, A280, Data!H:H)+(SUMIF(Data!B:B, A280,Data!G:G)+(SUMIF(Data!B:B, A280,Data!L:L)+(SUMIF(Data!B:B, A280,Data!K:K)))))/(SUMIF(Data!B:B, A280, Data!M:M)+(SUMIF(Data!B:B, A280, Data!H:H)+(SUMIF(Data!B:B, A280,Data!G:G)+(SUMIF(Data!B:B, A280,Data!K:K)+(SUMIF(Data!B:B, A280,Data!L:L)))))))))),0))</f>
        <v/>
      </c>
      <c r="P280" s="57" t="str">
        <f>IFERROR(__xludf.DUMMYFUNCTION("IFERROR(((COUNTIF(FILTER(Data!N:N,Data!B:B=A280),""TRAVERSE"")*15)+(COUNTIF(FILTER(Data!N:N,Data!B:B=A280),""HIGH"")*10)+(COUNTIF(FILTER(Data!N:N,Data!B:B=A280),""MIDDLE"")*6)+(COUNTIF(FILTER(Data!N:N,Data!B:B=A280),""LOW"")*4)) / (COUNTIF(Data!B:B, A280)"&amp;"),"""")"),"")</f>
        <v/>
      </c>
      <c r="Q280" s="58"/>
      <c r="R280" s="36" t="str">
        <f t="shared" si="37"/>
        <v/>
      </c>
      <c r="S280" s="58" t="str">
        <f>IFERROR(__xludf.DUMMYFUNCTION("IFERROR((((COUNTIF(FILTER(Data!N:N,Data!B:B=A280),""TRAVERSE""))+(COUNTIF(FILTER(Data!N:N,Data!B:B=A280),""HIGH""))+(COUNTIF(FILTER(Data!N:N,Data!B:B=A280),""MIDDLE""))+(COUNTIF(FILTER(Data!N:N,Data!B:B=A280),""LOW"")))) / (((COUNTIF(Data!B:B, A280)))-(CO"&amp;"UNTIF(FILTER(Data!N:N,Data!B:B=A280),""NONE""))),IF(ISBLANK(A280),"""",0))"),"")</f>
        <v/>
      </c>
      <c r="T280" s="56" t="str">
        <f>IFERROR(__xludf.DUMMYFUNCTION("IFERROR((COUNTIF(FILTER(Data!N:N, Data!B:B=A280),""LOW"")) / (COUNTIF(Data!B:B, A280)),"""")"),"")</f>
        <v/>
      </c>
      <c r="U280" s="59" t="str">
        <f>IFERROR(__xludf.DUMMYFUNCTION("IFERROR((COUNTIF(FILTER(Data!N:N, Data!B:B=A280),""MIDDLE"")) / (COUNTIF(Data!B:B, A280)),"""")"),"")</f>
        <v/>
      </c>
      <c r="V280" s="59" t="str">
        <f>IFERROR(__xludf.DUMMYFUNCTION("IFERROR((COUNTIF(FILTER(Data!N:N, Data!B:B=A280),""HIGH"")) / (COUNTIF(Data!B:B, A280)),"""")"),"")</f>
        <v/>
      </c>
      <c r="W280" s="59" t="str">
        <f>IFERROR(__xludf.DUMMYFUNCTION("IFERROR((COUNTIF(FILTER(Data!N:N, Data!B:B=A280),""TRAVERSE"")) / (COUNTIF(Data!B:B, A280)),"""")"),"")</f>
        <v/>
      </c>
      <c r="X280" s="59"/>
      <c r="Y280" s="45" t="str">
        <f t="shared" si="7"/>
        <v/>
      </c>
      <c r="Z280" s="45" t="str">
        <f t="shared" si="8"/>
        <v/>
      </c>
      <c r="AA280" s="16" t="str">
        <f t="shared" si="9"/>
        <v/>
      </c>
      <c r="AB280" s="16"/>
      <c r="AC280" s="16" t="str">
        <f>IFERROR(__xludf.DUMMYFUNCTION("IF(AA280="""","""",MAX(Filter((Data!G:G+Data!K:K),Data!B:B=A280)))"),"")</f>
        <v/>
      </c>
      <c r="AD280" s="16"/>
      <c r="AE280" s="16" t="str">
        <f t="shared" si="12"/>
        <v/>
      </c>
      <c r="AF280" s="16" t="str">
        <f t="shared" si="13"/>
        <v/>
      </c>
      <c r="AG280" s="44"/>
      <c r="AH280" s="44"/>
      <c r="AI280" s="44" t="str">
        <f>IFERROR(__xludf.DUMMYFUNCTION("TEXTJOIN("", "",TRUE, FILTER(Data!P:P, Data!B:B=A280))"),"")</f>
        <v/>
      </c>
      <c r="AM280" s="61"/>
      <c r="BC280" s="50"/>
    </row>
    <row r="281">
      <c r="A281" s="54"/>
      <c r="B281" s="55" t="str">
        <f>IFERROR(__xludf.DUMMYFUNCTION("IFERROR(ROUND(
(COUNTIF(FILTER(Data!O:O, Data!B:B=A281), ""Win"")
+ COUNTIF(FILTER(Data!O:O, Data!B:B=A281), {""Tie"",""Results""}))
/ (COUNTIF(Data!B:B, A281)),
1),"""")"),"")</f>
        <v/>
      </c>
      <c r="C281" s="45" t="str">
        <f>IFERROR((SUMIF(Data!B:B, A281, Data!H:H)
/ (COUNTIF(Data!B:B, A281)
)),"")</f>
        <v/>
      </c>
      <c r="D281" s="45" t="str">
        <f>IFERROR((SUMIF(Data!B:B, A281, Data!G:G)
/ (COUNTIF(Data!B:B, A281)
)),"")</f>
        <v/>
      </c>
      <c r="E281" s="45"/>
      <c r="F281" s="45" t="str">
        <f>IFERROR((SUMIF(Data!B:B, A281, Data!J:J)
/ (COUNTIF(Data!B:B, A281)
)),"")</f>
        <v/>
      </c>
      <c r="G281" s="56" t="str">
        <f>IF(A281="","",IFERROR((((((SUMIF(Data!B:B, A281, Data!H:H)+(SUMIF(Data!B:B, A281,Data!G:G)))/(SUMIF(Data!B:B, A281, Data!J:J)))))),0))</f>
        <v/>
      </c>
      <c r="H281" s="45"/>
      <c r="I281" s="45"/>
      <c r="J281" s="45"/>
      <c r="K281" s="45"/>
      <c r="L281" s="45" t="str">
        <f>IFERROR((SUMIF(Data!B:B, A281, Data!L:L)
/ (COUNTIF(Data!B:B, A281)
)),"")</f>
        <v/>
      </c>
      <c r="M281" s="45" t="str">
        <f>IFERROR((SUMIF(Data!B:B, A281, Data!K:K)
/ (COUNTIF(Data!B:B, A281)
)),"")</f>
        <v/>
      </c>
      <c r="N281" s="56"/>
      <c r="O281" s="56" t="str">
        <f>IF(A281="","",IFERROR((((((SUMIF(Data!B:B, A281, Data!H:H)+(SUMIF(Data!B:B, A281,Data!G:G)+(SUMIF(Data!B:B, A281,Data!L:L)+(SUMIF(Data!B:B, A281,Data!K:K)))))/(SUMIF(Data!B:B, A281, Data!M:M)+(SUMIF(Data!B:B, A281, Data!H:H)+(SUMIF(Data!B:B, A281,Data!G:G)+(SUMIF(Data!B:B, A281,Data!K:K)+(SUMIF(Data!B:B, A281,Data!L:L)))))))))),0))</f>
        <v/>
      </c>
      <c r="P281" s="57" t="str">
        <f>IFERROR(__xludf.DUMMYFUNCTION("IFERROR(((COUNTIF(FILTER(Data!N:N,Data!B:B=A281),""TRAVERSE"")*15)+(COUNTIF(FILTER(Data!N:N,Data!B:B=A281),""HIGH"")*10)+(COUNTIF(FILTER(Data!N:N,Data!B:B=A281),""MIDDLE"")*6)+(COUNTIF(FILTER(Data!N:N,Data!B:B=A281),""LOW"")*4)) / (COUNTIF(Data!B:B, A281)"&amp;"),"""")"),"")</f>
        <v/>
      </c>
      <c r="Q281" s="58"/>
      <c r="R281" s="36" t="str">
        <f t="shared" si="37"/>
        <v/>
      </c>
      <c r="S281" s="58" t="str">
        <f>IFERROR(__xludf.DUMMYFUNCTION("IFERROR((((COUNTIF(FILTER(Data!N:N,Data!B:B=A281),""TRAVERSE""))+(COUNTIF(FILTER(Data!N:N,Data!B:B=A281),""HIGH""))+(COUNTIF(FILTER(Data!N:N,Data!B:B=A281),""MIDDLE""))+(COUNTIF(FILTER(Data!N:N,Data!B:B=A281),""LOW"")))) / (((COUNTIF(Data!B:B, A281)))-(CO"&amp;"UNTIF(FILTER(Data!N:N,Data!B:B=A281),""NONE""))),IF(ISBLANK(A281),"""",0))"),"")</f>
        <v/>
      </c>
      <c r="T281" s="56" t="str">
        <f>IFERROR(__xludf.DUMMYFUNCTION("IFERROR((COUNTIF(FILTER(Data!N:N, Data!B:B=A281),""LOW"")) / (COUNTIF(Data!B:B, A281)),"""")"),"")</f>
        <v/>
      </c>
      <c r="U281" s="59" t="str">
        <f>IFERROR(__xludf.DUMMYFUNCTION("IFERROR((COUNTIF(FILTER(Data!N:N, Data!B:B=A281),""MIDDLE"")) / (COUNTIF(Data!B:B, A281)),"""")"),"")</f>
        <v/>
      </c>
      <c r="V281" s="59" t="str">
        <f>IFERROR(__xludf.DUMMYFUNCTION("IFERROR((COUNTIF(FILTER(Data!N:N, Data!B:B=A281),""HIGH"")) / (COUNTIF(Data!B:B, A281)),"""")"),"")</f>
        <v/>
      </c>
      <c r="W281" s="59" t="str">
        <f>IFERROR(__xludf.DUMMYFUNCTION("IFERROR((COUNTIF(FILTER(Data!N:N, Data!B:B=A281),""TRAVERSE"")) / (COUNTIF(Data!B:B, A281)),"""")"),"")</f>
        <v/>
      </c>
      <c r="X281" s="59"/>
      <c r="Y281" s="45" t="str">
        <f t="shared" si="7"/>
        <v/>
      </c>
      <c r="Z281" s="45" t="str">
        <f t="shared" si="8"/>
        <v/>
      </c>
      <c r="AA281" s="16" t="str">
        <f t="shared" si="9"/>
        <v/>
      </c>
      <c r="AB281" s="16"/>
      <c r="AC281" s="16" t="str">
        <f>IFERROR(__xludf.DUMMYFUNCTION("IF(AA281="""","""",MAX(Filter((Data!G:G+Data!K:K),Data!B:B=A281)))"),"")</f>
        <v/>
      </c>
      <c r="AD281" s="16"/>
      <c r="AE281" s="16" t="str">
        <f t="shared" si="12"/>
        <v/>
      </c>
      <c r="AF281" s="16" t="str">
        <f t="shared" si="13"/>
        <v/>
      </c>
      <c r="AG281" s="44"/>
      <c r="AH281" s="44"/>
      <c r="AI281" s="44" t="str">
        <f>IFERROR(__xludf.DUMMYFUNCTION("TEXTJOIN("", "",TRUE, FILTER(Data!P:P, Data!B:B=A281))"),"")</f>
        <v/>
      </c>
      <c r="AM281" s="61"/>
      <c r="BC281" s="50"/>
    </row>
    <row r="282">
      <c r="A282" s="54"/>
      <c r="B282" s="55" t="str">
        <f>IFERROR(__xludf.DUMMYFUNCTION("IFERROR(ROUND(
(COUNTIF(FILTER(Data!O:O, Data!B:B=A282), ""Win"")
+ COUNTIF(FILTER(Data!O:O, Data!B:B=A282), {""Tie"",""Results""}))
/ (COUNTIF(Data!B:B, A282)),
1),"""")"),"")</f>
        <v/>
      </c>
      <c r="C282" s="45" t="str">
        <f>IFERROR((SUMIF(Data!B:B, A282, Data!H:H)
/ (COUNTIF(Data!B:B, A282)
)),"")</f>
        <v/>
      </c>
      <c r="D282" s="45" t="str">
        <f>IFERROR((SUMIF(Data!B:B, A282, Data!G:G)
/ (COUNTIF(Data!B:B, A282)
)),"")</f>
        <v/>
      </c>
      <c r="E282" s="45"/>
      <c r="F282" s="45" t="str">
        <f>IFERROR((SUMIF(Data!B:B, A282, Data!J:J)
/ (COUNTIF(Data!B:B, A282)
)),"")</f>
        <v/>
      </c>
      <c r="G282" s="56" t="str">
        <f>IF(A282="","",IFERROR((((((SUMIF(Data!B:B, A282, Data!H:H)+(SUMIF(Data!B:B, A282,Data!G:G)))/(SUMIF(Data!B:B, A282, Data!J:J)))))),0))</f>
        <v/>
      </c>
      <c r="H282" s="45"/>
      <c r="I282" s="45"/>
      <c r="J282" s="45"/>
      <c r="K282" s="45"/>
      <c r="L282" s="45" t="str">
        <f>IFERROR((SUMIF(Data!B:B, A282, Data!L:L)
/ (COUNTIF(Data!B:B, A282)
)),"")</f>
        <v/>
      </c>
      <c r="M282" s="45" t="str">
        <f>IFERROR((SUMIF(Data!B:B, A282, Data!K:K)
/ (COUNTIF(Data!B:B, A282)
)),"")</f>
        <v/>
      </c>
      <c r="N282" s="56"/>
      <c r="O282" s="56" t="str">
        <f>IF(A282="","",IFERROR((((((SUMIF(Data!B:B, A282, Data!H:H)+(SUMIF(Data!B:B, A282,Data!G:G)+(SUMIF(Data!B:B, A282,Data!L:L)+(SUMIF(Data!B:B, A282,Data!K:K)))))/(SUMIF(Data!B:B, A282, Data!M:M)+(SUMIF(Data!B:B, A282, Data!H:H)+(SUMIF(Data!B:B, A282,Data!G:G)+(SUMIF(Data!B:B, A282,Data!K:K)+(SUMIF(Data!B:B, A282,Data!L:L)))))))))),0))</f>
        <v/>
      </c>
      <c r="P282" s="57" t="str">
        <f>IFERROR(__xludf.DUMMYFUNCTION("IFERROR(((COUNTIF(FILTER(Data!N:N,Data!B:B=A282),""TRAVERSE"")*15)+(COUNTIF(FILTER(Data!N:N,Data!B:B=A282),""HIGH"")*10)+(COUNTIF(FILTER(Data!N:N,Data!B:B=A282),""MIDDLE"")*6)+(COUNTIF(FILTER(Data!N:N,Data!B:B=A282),""LOW"")*4)) / (COUNTIF(Data!B:B, A282)"&amp;"),"""")"),"")</f>
        <v/>
      </c>
      <c r="Q282" s="58"/>
      <c r="R282" s="36" t="str">
        <f t="shared" si="37"/>
        <v/>
      </c>
      <c r="S282" s="58" t="str">
        <f>IFERROR(__xludf.DUMMYFUNCTION("IFERROR((((COUNTIF(FILTER(Data!N:N,Data!B:B=A282),""TRAVERSE""))+(COUNTIF(FILTER(Data!N:N,Data!B:B=A282),""HIGH""))+(COUNTIF(FILTER(Data!N:N,Data!B:B=A282),""MIDDLE""))+(COUNTIF(FILTER(Data!N:N,Data!B:B=A282),""LOW"")))) / (((COUNTIF(Data!B:B, A282)))-(CO"&amp;"UNTIF(FILTER(Data!N:N,Data!B:B=A282),""NONE""))),IF(ISBLANK(A282),"""",0))"),"")</f>
        <v/>
      </c>
      <c r="T282" s="56" t="str">
        <f>IFERROR(__xludf.DUMMYFUNCTION("IFERROR((COUNTIF(FILTER(Data!N:N, Data!B:B=A282),""LOW"")) / (COUNTIF(Data!B:B, A282)),"""")"),"")</f>
        <v/>
      </c>
      <c r="U282" s="59" t="str">
        <f>IFERROR(__xludf.DUMMYFUNCTION("IFERROR((COUNTIF(FILTER(Data!N:N, Data!B:B=A282),""MIDDLE"")) / (COUNTIF(Data!B:B, A282)),"""")"),"")</f>
        <v/>
      </c>
      <c r="V282" s="59" t="str">
        <f>IFERROR(__xludf.DUMMYFUNCTION("IFERROR((COUNTIF(FILTER(Data!N:N, Data!B:B=A282),""HIGH"")) / (COUNTIF(Data!B:B, A282)),"""")"),"")</f>
        <v/>
      </c>
      <c r="W282" s="59" t="str">
        <f>IFERROR(__xludf.DUMMYFUNCTION("IFERROR((COUNTIF(FILTER(Data!N:N, Data!B:B=A282),""TRAVERSE"")) / (COUNTIF(Data!B:B, A282)),"""")"),"")</f>
        <v/>
      </c>
      <c r="X282" s="59"/>
      <c r="Y282" s="45" t="str">
        <f t="shared" si="7"/>
        <v/>
      </c>
      <c r="Z282" s="45" t="str">
        <f t="shared" si="8"/>
        <v/>
      </c>
      <c r="AA282" s="16" t="str">
        <f t="shared" si="9"/>
        <v/>
      </c>
      <c r="AB282" s="16"/>
      <c r="AC282" s="16" t="str">
        <f>IFERROR(__xludf.DUMMYFUNCTION("IF(AA282="""","""",MAX(Filter((Data!G:G+Data!K:K),Data!B:B=A282)))"),"")</f>
        <v/>
      </c>
      <c r="AD282" s="16"/>
      <c r="AE282" s="16" t="str">
        <f t="shared" si="12"/>
        <v/>
      </c>
      <c r="AF282" s="16" t="str">
        <f t="shared" si="13"/>
        <v/>
      </c>
      <c r="AG282" s="44"/>
      <c r="AH282" s="44"/>
      <c r="AI282" s="44" t="str">
        <f>IFERROR(__xludf.DUMMYFUNCTION("TEXTJOIN("", "",TRUE, FILTER(Data!P:P, Data!B:B=A282))"),"")</f>
        <v/>
      </c>
      <c r="AM282" s="61"/>
      <c r="BC282" s="50"/>
    </row>
    <row r="283">
      <c r="A283" s="54"/>
      <c r="B283" s="55" t="str">
        <f>IFERROR(__xludf.DUMMYFUNCTION("IFERROR(ROUND(
(COUNTIF(FILTER(Data!O:O, Data!B:B=A283), ""Win"")
+ COUNTIF(FILTER(Data!O:O, Data!B:B=A283), {""Tie"",""Results""}))
/ (COUNTIF(Data!B:B, A283)),
1),"""")"),"")</f>
        <v/>
      </c>
      <c r="C283" s="45" t="str">
        <f>IFERROR((SUMIF(Data!B:B, A283, Data!H:H)
/ (COUNTIF(Data!B:B, A283)
)),"")</f>
        <v/>
      </c>
      <c r="D283" s="45" t="str">
        <f>IFERROR((SUMIF(Data!B:B, A283, Data!G:G)
/ (COUNTIF(Data!B:B, A283)
)),"")</f>
        <v/>
      </c>
      <c r="E283" s="45"/>
      <c r="F283" s="45" t="str">
        <f>IFERROR((SUMIF(Data!B:B, A283, Data!J:J)
/ (COUNTIF(Data!B:B, A283)
)),"")</f>
        <v/>
      </c>
      <c r="G283" s="56" t="str">
        <f>IF(A283="","",IFERROR((((((SUMIF(Data!B:B, A283, Data!H:H)+(SUMIF(Data!B:B, A283,Data!G:G)))/(SUMIF(Data!B:B, A283, Data!J:J)))))),0))</f>
        <v/>
      </c>
      <c r="H283" s="45"/>
      <c r="I283" s="45"/>
      <c r="J283" s="45"/>
      <c r="K283" s="45"/>
      <c r="L283" s="45" t="str">
        <f>IFERROR((SUMIF(Data!B:B, A283, Data!L:L)
/ (COUNTIF(Data!B:B, A283)
)),"")</f>
        <v/>
      </c>
      <c r="M283" s="45" t="str">
        <f>IFERROR((SUMIF(Data!B:B, A283, Data!K:K)
/ (COUNTIF(Data!B:B, A283)
)),"")</f>
        <v/>
      </c>
      <c r="N283" s="56"/>
      <c r="O283" s="56" t="str">
        <f>IF(A283="","",IFERROR((((((SUMIF(Data!B:B, A283, Data!H:H)+(SUMIF(Data!B:B, A283,Data!G:G)+(SUMIF(Data!B:B, A283,Data!L:L)+(SUMIF(Data!B:B, A283,Data!K:K)))))/(SUMIF(Data!B:B, A283, Data!M:M)+(SUMIF(Data!B:B, A283, Data!H:H)+(SUMIF(Data!B:B, A283,Data!G:G)+(SUMIF(Data!B:B, A283,Data!K:K)+(SUMIF(Data!B:B, A283,Data!L:L)))))))))),0))</f>
        <v/>
      </c>
      <c r="P283" s="57" t="str">
        <f>IFERROR(__xludf.DUMMYFUNCTION("IFERROR(((COUNTIF(FILTER(Data!N:N,Data!B:B=A283),""TRAVERSE"")*15)+(COUNTIF(FILTER(Data!N:N,Data!B:B=A283),""HIGH"")*10)+(COUNTIF(FILTER(Data!N:N,Data!B:B=A283),""MIDDLE"")*6)+(COUNTIF(FILTER(Data!N:N,Data!B:B=A283),""LOW"")*4)) / (COUNTIF(Data!B:B, A283)"&amp;"),"""")"),"")</f>
        <v/>
      </c>
      <c r="Q283" s="58"/>
      <c r="R283" s="36" t="str">
        <f t="shared" si="37"/>
        <v/>
      </c>
      <c r="S283" s="58" t="str">
        <f>IFERROR(__xludf.DUMMYFUNCTION("IFERROR((((COUNTIF(FILTER(Data!N:N,Data!B:B=A283),""TRAVERSE""))+(COUNTIF(FILTER(Data!N:N,Data!B:B=A283),""HIGH""))+(COUNTIF(FILTER(Data!N:N,Data!B:B=A283),""MIDDLE""))+(COUNTIF(FILTER(Data!N:N,Data!B:B=A283),""LOW"")))) / (((COUNTIF(Data!B:B, A283)))-(CO"&amp;"UNTIF(FILTER(Data!N:N,Data!B:B=A283),""NONE""))),IF(ISBLANK(A283),"""",0))"),"")</f>
        <v/>
      </c>
      <c r="T283" s="56" t="str">
        <f>IFERROR(__xludf.DUMMYFUNCTION("IFERROR((COUNTIF(FILTER(Data!N:N, Data!B:B=A283),""LOW"")) / (COUNTIF(Data!B:B, A283)),"""")"),"")</f>
        <v/>
      </c>
      <c r="U283" s="59" t="str">
        <f>IFERROR(__xludf.DUMMYFUNCTION("IFERROR((COUNTIF(FILTER(Data!N:N, Data!B:B=A283),""MIDDLE"")) / (COUNTIF(Data!B:B, A283)),"""")"),"")</f>
        <v/>
      </c>
      <c r="V283" s="59" t="str">
        <f>IFERROR(__xludf.DUMMYFUNCTION("IFERROR((COUNTIF(FILTER(Data!N:N, Data!B:B=A283),""HIGH"")) / (COUNTIF(Data!B:B, A283)),"""")"),"")</f>
        <v/>
      </c>
      <c r="W283" s="59" t="str">
        <f>IFERROR(__xludf.DUMMYFUNCTION("IFERROR((COUNTIF(FILTER(Data!N:N, Data!B:B=A283),""TRAVERSE"")) / (COUNTIF(Data!B:B, A283)),"""")"),"")</f>
        <v/>
      </c>
      <c r="X283" s="59"/>
      <c r="Y283" s="45" t="str">
        <f t="shared" si="7"/>
        <v/>
      </c>
      <c r="Z283" s="45" t="str">
        <f t="shared" si="8"/>
        <v/>
      </c>
      <c r="AA283" s="16" t="str">
        <f t="shared" si="9"/>
        <v/>
      </c>
      <c r="AB283" s="16"/>
      <c r="AC283" s="16" t="str">
        <f>IFERROR(__xludf.DUMMYFUNCTION("IF(AA283="""","""",MAX(Filter((Data!G:G+Data!K:K),Data!B:B=A283)))"),"")</f>
        <v/>
      </c>
      <c r="AD283" s="16"/>
      <c r="AE283" s="16" t="str">
        <f t="shared" si="12"/>
        <v/>
      </c>
      <c r="AF283" s="16" t="str">
        <f t="shared" si="13"/>
        <v/>
      </c>
      <c r="AG283" s="44"/>
      <c r="AH283" s="44"/>
      <c r="AI283" s="44" t="str">
        <f>IFERROR(__xludf.DUMMYFUNCTION("TEXTJOIN("", "",TRUE, FILTER(Data!P:P, Data!B:B=A283))"),"")</f>
        <v/>
      </c>
      <c r="AM283" s="61"/>
      <c r="BC283" s="50"/>
    </row>
    <row r="284">
      <c r="A284" s="54"/>
      <c r="B284" s="55" t="str">
        <f>IFERROR(__xludf.DUMMYFUNCTION("IFERROR(ROUND(
(COUNTIF(FILTER(Data!O:O, Data!B:B=A284), ""Win"")
+ COUNTIF(FILTER(Data!O:O, Data!B:B=A284), {""Tie"",""Results""}))
/ (COUNTIF(Data!B:B, A284)),
1),"""")"),"")</f>
        <v/>
      </c>
      <c r="C284" s="45" t="str">
        <f>IFERROR((SUMIF(Data!B:B, A284, Data!H:H)
/ (COUNTIF(Data!B:B, A284)
)),"")</f>
        <v/>
      </c>
      <c r="D284" s="45" t="str">
        <f>IFERROR((SUMIF(Data!B:B, A284, Data!G:G)
/ (COUNTIF(Data!B:B, A284)
)),"")</f>
        <v/>
      </c>
      <c r="E284" s="45"/>
      <c r="F284" s="45" t="str">
        <f>IFERROR((SUMIF(Data!B:B, A284, Data!J:J)
/ (COUNTIF(Data!B:B, A284)
)),"")</f>
        <v/>
      </c>
      <c r="G284" s="56" t="str">
        <f>IF(A284="","",IFERROR((((((SUMIF(Data!B:B, A284, Data!H:H)+(SUMIF(Data!B:B, A284,Data!G:G)))/(SUMIF(Data!B:B, A284, Data!J:J)))))),0))</f>
        <v/>
      </c>
      <c r="H284" s="45"/>
      <c r="I284" s="45"/>
      <c r="J284" s="45"/>
      <c r="K284" s="45"/>
      <c r="L284" s="45" t="str">
        <f>IFERROR((SUMIF(Data!B:B, A284, Data!L:L)
/ (COUNTIF(Data!B:B, A284)
)),"")</f>
        <v/>
      </c>
      <c r="M284" s="45" t="str">
        <f>IFERROR((SUMIF(Data!B:B, A284, Data!K:K)
/ (COUNTIF(Data!B:B, A284)
)),"")</f>
        <v/>
      </c>
      <c r="N284" s="56"/>
      <c r="O284" s="56" t="str">
        <f>IF(A284="","",IFERROR((((((SUMIF(Data!B:B, A284, Data!H:H)+(SUMIF(Data!B:B, A284,Data!G:G)+(SUMIF(Data!B:B, A284,Data!L:L)+(SUMIF(Data!B:B, A284,Data!K:K)))))/(SUMIF(Data!B:B, A284, Data!M:M)+(SUMIF(Data!B:B, A284, Data!H:H)+(SUMIF(Data!B:B, A284,Data!G:G)+(SUMIF(Data!B:B, A284,Data!K:K)+(SUMIF(Data!B:B, A284,Data!L:L)))))))))),0))</f>
        <v/>
      </c>
      <c r="P284" s="57" t="str">
        <f>IFERROR(__xludf.DUMMYFUNCTION("IFERROR(((COUNTIF(FILTER(Data!N:N,Data!B:B=A284),""TRAVERSE"")*15)+(COUNTIF(FILTER(Data!N:N,Data!B:B=A284),""HIGH"")*10)+(COUNTIF(FILTER(Data!N:N,Data!B:B=A284),""MIDDLE"")*6)+(COUNTIF(FILTER(Data!N:N,Data!B:B=A284),""LOW"")*4)) / (COUNTIF(Data!B:B, A284)"&amp;"),"""")"),"")</f>
        <v/>
      </c>
      <c r="Q284" s="58"/>
      <c r="R284" s="36" t="str">
        <f t="shared" si="37"/>
        <v/>
      </c>
      <c r="S284" s="58" t="str">
        <f>IFERROR(__xludf.DUMMYFUNCTION("IFERROR((((COUNTIF(FILTER(Data!N:N,Data!B:B=A284),""TRAVERSE""))+(COUNTIF(FILTER(Data!N:N,Data!B:B=A284),""HIGH""))+(COUNTIF(FILTER(Data!N:N,Data!B:B=A284),""MIDDLE""))+(COUNTIF(FILTER(Data!N:N,Data!B:B=A284),""LOW"")))) / (((COUNTIF(Data!B:B, A284)))-(CO"&amp;"UNTIF(FILTER(Data!N:N,Data!B:B=A284),""NONE""))),IF(ISBLANK(A284),"""",0))"),"")</f>
        <v/>
      </c>
      <c r="T284" s="56" t="str">
        <f>IFERROR(__xludf.DUMMYFUNCTION("IFERROR((COUNTIF(FILTER(Data!N:N, Data!B:B=A284),""LOW"")) / (COUNTIF(Data!B:B, A284)),"""")"),"")</f>
        <v/>
      </c>
      <c r="U284" s="59" t="str">
        <f>IFERROR(__xludf.DUMMYFUNCTION("IFERROR((COUNTIF(FILTER(Data!N:N, Data!B:B=A284),""MIDDLE"")) / (COUNTIF(Data!B:B, A284)),"""")"),"")</f>
        <v/>
      </c>
      <c r="V284" s="59" t="str">
        <f>IFERROR(__xludf.DUMMYFUNCTION("IFERROR((COUNTIF(FILTER(Data!N:N, Data!B:B=A284),""HIGH"")) / (COUNTIF(Data!B:B, A284)),"""")"),"")</f>
        <v/>
      </c>
      <c r="W284" s="59" t="str">
        <f>IFERROR(__xludf.DUMMYFUNCTION("IFERROR((COUNTIF(FILTER(Data!N:N, Data!B:B=A284),""TRAVERSE"")) / (COUNTIF(Data!B:B, A284)),"""")"),"")</f>
        <v/>
      </c>
      <c r="X284" s="59"/>
      <c r="Y284" s="45" t="str">
        <f t="shared" si="7"/>
        <v/>
      </c>
      <c r="Z284" s="45" t="str">
        <f t="shared" si="8"/>
        <v/>
      </c>
      <c r="AA284" s="16" t="str">
        <f t="shared" si="9"/>
        <v/>
      </c>
      <c r="AB284" s="16"/>
      <c r="AC284" s="16" t="str">
        <f>IFERROR(__xludf.DUMMYFUNCTION("IF(AA284="""","""",MAX(Filter((Data!G:G+Data!K:K),Data!B:B=A284)))"),"")</f>
        <v/>
      </c>
      <c r="AD284" s="16"/>
      <c r="AE284" s="16" t="str">
        <f t="shared" si="12"/>
        <v/>
      </c>
      <c r="AF284" s="16" t="str">
        <f t="shared" si="13"/>
        <v/>
      </c>
      <c r="AG284" s="44"/>
      <c r="AH284" s="44"/>
      <c r="AI284" s="44" t="str">
        <f>IFERROR(__xludf.DUMMYFUNCTION("TEXTJOIN("", "",TRUE, FILTER(Data!P:P, Data!B:B=A284))"),"")</f>
        <v/>
      </c>
      <c r="AM284" s="61"/>
      <c r="BC284" s="50"/>
    </row>
    <row r="285">
      <c r="A285" s="54"/>
      <c r="B285" s="55" t="str">
        <f>IFERROR(__xludf.DUMMYFUNCTION("IFERROR(ROUND(
(COUNTIF(FILTER(Data!O:O, Data!B:B=A285), ""Win"")
+ COUNTIF(FILTER(Data!O:O, Data!B:B=A285), {""Tie"",""Results""}))
/ (COUNTIF(Data!B:B, A285)),
1),"""")"),"")</f>
        <v/>
      </c>
      <c r="C285" s="45" t="str">
        <f>IFERROR((SUMIF(Data!B:B, A285, Data!H:H)
/ (COUNTIF(Data!B:B, A285)
)),"")</f>
        <v/>
      </c>
      <c r="D285" s="45" t="str">
        <f>IFERROR((SUMIF(Data!B:B, A285, Data!G:G)
/ (COUNTIF(Data!B:B, A285)
)),"")</f>
        <v/>
      </c>
      <c r="E285" s="45"/>
      <c r="F285" s="45" t="str">
        <f>IFERROR((SUMIF(Data!B:B, A285, Data!J:J)
/ (COUNTIF(Data!B:B, A285)
)),"")</f>
        <v/>
      </c>
      <c r="G285" s="56" t="str">
        <f>IF(A285="","",IFERROR((((((SUMIF(Data!B:B, A285, Data!H:H)+(SUMIF(Data!B:B, A285,Data!G:G)))/(SUMIF(Data!B:B, A285, Data!J:J)))))),0))</f>
        <v/>
      </c>
      <c r="H285" s="45"/>
      <c r="I285" s="45"/>
      <c r="J285" s="45"/>
      <c r="K285" s="45"/>
      <c r="L285" s="45" t="str">
        <f>IFERROR((SUMIF(Data!B:B, A285, Data!L:L)
/ (COUNTIF(Data!B:B, A285)
)),"")</f>
        <v/>
      </c>
      <c r="M285" s="45" t="str">
        <f>IFERROR((SUMIF(Data!B:B, A285, Data!K:K)
/ (COUNTIF(Data!B:B, A285)
)),"")</f>
        <v/>
      </c>
      <c r="N285" s="56"/>
      <c r="O285" s="56" t="str">
        <f>IF(A285="","",IFERROR((((((SUMIF(Data!B:B, A285, Data!H:H)+(SUMIF(Data!B:B, A285,Data!G:G)+(SUMIF(Data!B:B, A285,Data!L:L)+(SUMIF(Data!B:B, A285,Data!K:K)))))/(SUMIF(Data!B:B, A285, Data!M:M)+(SUMIF(Data!B:B, A285, Data!H:H)+(SUMIF(Data!B:B, A285,Data!G:G)+(SUMIF(Data!B:B, A285,Data!K:K)+(SUMIF(Data!B:B, A285,Data!L:L)))))))))),0))</f>
        <v/>
      </c>
      <c r="P285" s="57" t="str">
        <f>IFERROR(__xludf.DUMMYFUNCTION("IFERROR(((COUNTIF(FILTER(Data!N:N,Data!B:B=A285),""TRAVERSE"")*15)+(COUNTIF(FILTER(Data!N:N,Data!B:B=A285),""HIGH"")*10)+(COUNTIF(FILTER(Data!N:N,Data!B:B=A285),""MIDDLE"")*6)+(COUNTIF(FILTER(Data!N:N,Data!B:B=A285),""LOW"")*4)) / (COUNTIF(Data!B:B, A285)"&amp;"),"""")"),"")</f>
        <v/>
      </c>
      <c r="Q285" s="58"/>
      <c r="R285" s="36" t="str">
        <f t="shared" si="37"/>
        <v/>
      </c>
      <c r="S285" s="58" t="str">
        <f>IFERROR(__xludf.DUMMYFUNCTION("IFERROR((((COUNTIF(FILTER(Data!N:N,Data!B:B=A285),""TRAVERSE""))+(COUNTIF(FILTER(Data!N:N,Data!B:B=A285),""HIGH""))+(COUNTIF(FILTER(Data!N:N,Data!B:B=A285),""MIDDLE""))+(COUNTIF(FILTER(Data!N:N,Data!B:B=A285),""LOW"")))) / (((COUNTIF(Data!B:B, A285)))-(CO"&amp;"UNTIF(FILTER(Data!N:N,Data!B:B=A285),""NONE""))),IF(ISBLANK(A285),"""",0))"),"")</f>
        <v/>
      </c>
      <c r="T285" s="56" t="str">
        <f>IFERROR(__xludf.DUMMYFUNCTION("IFERROR((COUNTIF(FILTER(Data!N:N, Data!B:B=A285),""LOW"")) / (COUNTIF(Data!B:B, A285)),"""")"),"")</f>
        <v/>
      </c>
      <c r="U285" s="59" t="str">
        <f>IFERROR(__xludf.DUMMYFUNCTION("IFERROR((COUNTIF(FILTER(Data!N:N, Data!B:B=A285),""MIDDLE"")) / (COUNTIF(Data!B:B, A285)),"""")"),"")</f>
        <v/>
      </c>
      <c r="V285" s="59" t="str">
        <f>IFERROR(__xludf.DUMMYFUNCTION("IFERROR((COUNTIF(FILTER(Data!N:N, Data!B:B=A285),""HIGH"")) / (COUNTIF(Data!B:B, A285)),"""")"),"")</f>
        <v/>
      </c>
      <c r="W285" s="59" t="str">
        <f>IFERROR(__xludf.DUMMYFUNCTION("IFERROR((COUNTIF(FILTER(Data!N:N, Data!B:B=A285),""TRAVERSE"")) / (COUNTIF(Data!B:B, A285)),"""")"),"")</f>
        <v/>
      </c>
      <c r="X285" s="59"/>
      <c r="Y285" s="45" t="str">
        <f t="shared" si="7"/>
        <v/>
      </c>
      <c r="Z285" s="45" t="str">
        <f t="shared" si="8"/>
        <v/>
      </c>
      <c r="AA285" s="16" t="str">
        <f t="shared" si="9"/>
        <v/>
      </c>
      <c r="AB285" s="16"/>
      <c r="AC285" s="16" t="str">
        <f>IFERROR(__xludf.DUMMYFUNCTION("IF(AA285="""","""",MAX(Filter((Data!G:G+Data!K:K),Data!B:B=A285)))"),"")</f>
        <v/>
      </c>
      <c r="AD285" s="16"/>
      <c r="AE285" s="16" t="str">
        <f t="shared" si="12"/>
        <v/>
      </c>
      <c r="AF285" s="16" t="str">
        <f t="shared" si="13"/>
        <v/>
      </c>
      <c r="AG285" s="44"/>
      <c r="AH285" s="44"/>
      <c r="AI285" s="44" t="str">
        <f>IFERROR(__xludf.DUMMYFUNCTION("TEXTJOIN("", "",TRUE, FILTER(Data!P:P, Data!B:B=A285))"),"")</f>
        <v/>
      </c>
      <c r="AM285" s="61"/>
      <c r="BC285" s="50"/>
    </row>
    <row r="286">
      <c r="A286" s="54"/>
      <c r="B286" s="55" t="str">
        <f>IFERROR(__xludf.DUMMYFUNCTION("IFERROR(ROUND(
(COUNTIF(FILTER(Data!O:O, Data!B:B=A286), ""Win"")
+ COUNTIF(FILTER(Data!O:O, Data!B:B=A286), {""Tie"",""Results""}))
/ (COUNTIF(Data!B:B, A286)),
1),"""")"),"")</f>
        <v/>
      </c>
      <c r="C286" s="45" t="str">
        <f>IFERROR((SUMIF(Data!B:B, A286, Data!H:H)
/ (COUNTIF(Data!B:B, A286)
)),"")</f>
        <v/>
      </c>
      <c r="D286" s="45" t="str">
        <f>IFERROR((SUMIF(Data!B:B, A286, Data!G:G)
/ (COUNTIF(Data!B:B, A286)
)),"")</f>
        <v/>
      </c>
      <c r="E286" s="45"/>
      <c r="F286" s="45" t="str">
        <f>IFERROR((SUMIF(Data!B:B, A286, Data!J:J)
/ (COUNTIF(Data!B:B, A286)
)),"")</f>
        <v/>
      </c>
      <c r="G286" s="56" t="str">
        <f>IF(A286="","",IFERROR((((((SUMIF(Data!B:B, A286, Data!H:H)+(SUMIF(Data!B:B, A286,Data!G:G)))/(SUMIF(Data!B:B, A286, Data!J:J)))))),0))</f>
        <v/>
      </c>
      <c r="H286" s="45"/>
      <c r="I286" s="45"/>
      <c r="J286" s="45"/>
      <c r="K286" s="45"/>
      <c r="L286" s="45" t="str">
        <f>IFERROR((SUMIF(Data!B:B, A286, Data!L:L)
/ (COUNTIF(Data!B:B, A286)
)),"")</f>
        <v/>
      </c>
      <c r="M286" s="45" t="str">
        <f>IFERROR((SUMIF(Data!B:B, A286, Data!K:K)
/ (COUNTIF(Data!B:B, A286)
)),"")</f>
        <v/>
      </c>
      <c r="N286" s="56"/>
      <c r="O286" s="56" t="str">
        <f>IF(A286="","",IFERROR((((((SUMIF(Data!B:B, A286, Data!H:H)+(SUMIF(Data!B:B, A286,Data!G:G)+(SUMIF(Data!B:B, A286,Data!L:L)+(SUMIF(Data!B:B, A286,Data!K:K)))))/(SUMIF(Data!B:B, A286, Data!M:M)+(SUMIF(Data!B:B, A286, Data!H:H)+(SUMIF(Data!B:B, A286,Data!G:G)+(SUMIF(Data!B:B, A286,Data!K:K)+(SUMIF(Data!B:B, A286,Data!L:L)))))))))),0))</f>
        <v/>
      </c>
      <c r="P286" s="57" t="str">
        <f>IFERROR(__xludf.DUMMYFUNCTION("IFERROR(((COUNTIF(FILTER(Data!N:N,Data!B:B=A286),""TRAVERSE"")*15)+(COUNTIF(FILTER(Data!N:N,Data!B:B=A286),""HIGH"")*10)+(COUNTIF(FILTER(Data!N:N,Data!B:B=A286),""MIDDLE"")*6)+(COUNTIF(FILTER(Data!N:N,Data!B:B=A286),""LOW"")*4)) / (COUNTIF(Data!B:B, A286)"&amp;"),"""")"),"")</f>
        <v/>
      </c>
      <c r="Q286" s="58"/>
      <c r="R286" s="36" t="str">
        <f t="shared" si="37"/>
        <v/>
      </c>
      <c r="S286" s="58" t="str">
        <f>IFERROR(__xludf.DUMMYFUNCTION("IFERROR((((COUNTIF(FILTER(Data!N:N,Data!B:B=A286),""TRAVERSE""))+(COUNTIF(FILTER(Data!N:N,Data!B:B=A286),""HIGH""))+(COUNTIF(FILTER(Data!N:N,Data!B:B=A286),""MIDDLE""))+(COUNTIF(FILTER(Data!N:N,Data!B:B=A286),""LOW"")))) / (((COUNTIF(Data!B:B, A286)))-(CO"&amp;"UNTIF(FILTER(Data!N:N,Data!B:B=A286),""NONE""))),IF(ISBLANK(A286),"""",0))"),"")</f>
        <v/>
      </c>
      <c r="T286" s="56" t="str">
        <f>IFERROR(__xludf.DUMMYFUNCTION("IFERROR((COUNTIF(FILTER(Data!N:N, Data!B:B=A286),""LOW"")) / (COUNTIF(Data!B:B, A286)),"""")"),"")</f>
        <v/>
      </c>
      <c r="U286" s="59" t="str">
        <f>IFERROR(__xludf.DUMMYFUNCTION("IFERROR((COUNTIF(FILTER(Data!N:N, Data!B:B=A286),""MIDDLE"")) / (COUNTIF(Data!B:B, A286)),"""")"),"")</f>
        <v/>
      </c>
      <c r="V286" s="59" t="str">
        <f>IFERROR(__xludf.DUMMYFUNCTION("IFERROR((COUNTIF(FILTER(Data!N:N, Data!B:B=A286),""HIGH"")) / (COUNTIF(Data!B:B, A286)),"""")"),"")</f>
        <v/>
      </c>
      <c r="W286" s="59" t="str">
        <f>IFERROR(__xludf.DUMMYFUNCTION("IFERROR((COUNTIF(FILTER(Data!N:N, Data!B:B=A286),""TRAVERSE"")) / (COUNTIF(Data!B:B, A286)),"""")"),"")</f>
        <v/>
      </c>
      <c r="X286" s="59"/>
      <c r="Y286" s="45" t="str">
        <f t="shared" si="7"/>
        <v/>
      </c>
      <c r="Z286" s="45" t="str">
        <f t="shared" si="8"/>
        <v/>
      </c>
      <c r="AA286" s="16" t="str">
        <f t="shared" si="9"/>
        <v/>
      </c>
      <c r="AB286" s="16"/>
      <c r="AC286" s="16" t="str">
        <f>IFERROR(__xludf.DUMMYFUNCTION("IF(AA286="""","""",MAX(Filter((Data!G:G+Data!K:K),Data!B:B=A286)))"),"")</f>
        <v/>
      </c>
      <c r="AD286" s="16"/>
      <c r="AE286" s="16" t="str">
        <f t="shared" si="12"/>
        <v/>
      </c>
      <c r="AF286" s="16" t="str">
        <f t="shared" si="13"/>
        <v/>
      </c>
      <c r="AG286" s="44"/>
      <c r="AH286" s="44"/>
      <c r="AI286" s="44" t="str">
        <f>IFERROR(__xludf.DUMMYFUNCTION("TEXTJOIN("", "",TRUE, FILTER(Data!P:P, Data!B:B=A286))"),"")</f>
        <v/>
      </c>
      <c r="AM286" s="61"/>
      <c r="BC286" s="50"/>
    </row>
    <row r="287">
      <c r="A287" s="54"/>
      <c r="B287" s="55" t="str">
        <f>IFERROR(__xludf.DUMMYFUNCTION("IFERROR(ROUND(
(COUNTIF(FILTER(Data!O:O, Data!B:B=A287), ""Win"")
+ COUNTIF(FILTER(Data!O:O, Data!B:B=A287), {""Tie"",""Results""}))
/ (COUNTIF(Data!B:B, A287)),
1),"""")"),"")</f>
        <v/>
      </c>
      <c r="C287" s="45" t="str">
        <f>IFERROR((SUMIF(Data!B:B, A287, Data!H:H)
/ (COUNTIF(Data!B:B, A287)
)),"")</f>
        <v/>
      </c>
      <c r="D287" s="45" t="str">
        <f>IFERROR((SUMIF(Data!B:B, A287, Data!G:G)
/ (COUNTIF(Data!B:B, A287)
)),"")</f>
        <v/>
      </c>
      <c r="E287" s="45"/>
      <c r="F287" s="45" t="str">
        <f>IFERROR((SUMIF(Data!B:B, A287, Data!J:J)
/ (COUNTIF(Data!B:B, A287)
)),"")</f>
        <v/>
      </c>
      <c r="G287" s="56" t="str">
        <f>IF(A287="","",IFERROR((((((SUMIF(Data!B:B, A287, Data!H:H)+(SUMIF(Data!B:B, A287,Data!G:G)))/(SUMIF(Data!B:B, A287, Data!J:J)))))),0))</f>
        <v/>
      </c>
      <c r="H287" s="45"/>
      <c r="I287" s="45"/>
      <c r="J287" s="45"/>
      <c r="K287" s="45"/>
      <c r="L287" s="45" t="str">
        <f>IFERROR((SUMIF(Data!B:B, A287, Data!L:L)
/ (COUNTIF(Data!B:B, A287)
)),"")</f>
        <v/>
      </c>
      <c r="M287" s="45" t="str">
        <f>IFERROR((SUMIF(Data!B:B, A287, Data!K:K)
/ (COUNTIF(Data!B:B, A287)
)),"")</f>
        <v/>
      </c>
      <c r="N287" s="56"/>
      <c r="O287" s="56" t="str">
        <f>IF(A287="","",IFERROR((((((SUMIF(Data!B:B, A287, Data!H:H)+(SUMIF(Data!B:B, A287,Data!G:G)+(SUMIF(Data!B:B, A287,Data!L:L)+(SUMIF(Data!B:B, A287,Data!K:K)))))/(SUMIF(Data!B:B, A287, Data!M:M)+(SUMIF(Data!B:B, A287, Data!H:H)+(SUMIF(Data!B:B, A287,Data!G:G)+(SUMIF(Data!B:B, A287,Data!K:K)+(SUMIF(Data!B:B, A287,Data!L:L)))))))))),0))</f>
        <v/>
      </c>
      <c r="P287" s="57" t="str">
        <f>IFERROR(__xludf.DUMMYFUNCTION("IFERROR(((COUNTIF(FILTER(Data!N:N,Data!B:B=A287),""TRAVERSE"")*15)+(COUNTIF(FILTER(Data!N:N,Data!B:B=A287),""HIGH"")*10)+(COUNTIF(FILTER(Data!N:N,Data!B:B=A287),""MIDDLE"")*6)+(COUNTIF(FILTER(Data!N:N,Data!B:B=A287),""LOW"")*4)) / (COUNTIF(Data!B:B, A287)"&amp;"),"""")"),"")</f>
        <v/>
      </c>
      <c r="Q287" s="58"/>
      <c r="R287" s="36" t="str">
        <f t="shared" si="37"/>
        <v/>
      </c>
      <c r="S287" s="58" t="str">
        <f>IFERROR(__xludf.DUMMYFUNCTION("IFERROR((((COUNTIF(FILTER(Data!N:N,Data!B:B=A287),""TRAVERSE""))+(COUNTIF(FILTER(Data!N:N,Data!B:B=A287),""HIGH""))+(COUNTIF(FILTER(Data!N:N,Data!B:B=A287),""MIDDLE""))+(COUNTIF(FILTER(Data!N:N,Data!B:B=A287),""LOW"")))) / (((COUNTIF(Data!B:B, A287)))-(CO"&amp;"UNTIF(FILTER(Data!N:N,Data!B:B=A287),""NONE""))),IF(ISBLANK(A287),"""",0))"),"")</f>
        <v/>
      </c>
      <c r="T287" s="56" t="str">
        <f>IFERROR(__xludf.DUMMYFUNCTION("IFERROR((COUNTIF(FILTER(Data!N:N, Data!B:B=A287),""LOW"")) / (COUNTIF(Data!B:B, A287)),"""")"),"")</f>
        <v/>
      </c>
      <c r="U287" s="59" t="str">
        <f>IFERROR(__xludf.DUMMYFUNCTION("IFERROR((COUNTIF(FILTER(Data!N:N, Data!B:B=A287),""MIDDLE"")) / (COUNTIF(Data!B:B, A287)),"""")"),"")</f>
        <v/>
      </c>
      <c r="V287" s="59" t="str">
        <f>IFERROR(__xludf.DUMMYFUNCTION("IFERROR((COUNTIF(FILTER(Data!N:N, Data!B:B=A287),""HIGH"")) / (COUNTIF(Data!B:B, A287)),"""")"),"")</f>
        <v/>
      </c>
      <c r="W287" s="59" t="str">
        <f>IFERROR(__xludf.DUMMYFUNCTION("IFERROR((COUNTIF(FILTER(Data!N:N, Data!B:B=A287),""TRAVERSE"")) / (COUNTIF(Data!B:B, A287)),"""")"),"")</f>
        <v/>
      </c>
      <c r="X287" s="59"/>
      <c r="Y287" s="45" t="str">
        <f t="shared" si="7"/>
        <v/>
      </c>
      <c r="Z287" s="45" t="str">
        <f t="shared" si="8"/>
        <v/>
      </c>
      <c r="AA287" s="16" t="str">
        <f t="shared" si="9"/>
        <v/>
      </c>
      <c r="AB287" s="16"/>
      <c r="AC287" s="16" t="str">
        <f>IFERROR(__xludf.DUMMYFUNCTION("IF(AA287="""","""",MAX(Filter((Data!G:G+Data!K:K),Data!B:B=A287)))"),"")</f>
        <v/>
      </c>
      <c r="AD287" s="16"/>
      <c r="AE287" s="16" t="str">
        <f t="shared" si="12"/>
        <v/>
      </c>
      <c r="AF287" s="16" t="str">
        <f t="shared" si="13"/>
        <v/>
      </c>
      <c r="AG287" s="44"/>
      <c r="AH287" s="44"/>
      <c r="AI287" s="44" t="str">
        <f>IFERROR(__xludf.DUMMYFUNCTION("TEXTJOIN("", "",TRUE, FILTER(Data!P:P, Data!B:B=A287))"),"")</f>
        <v/>
      </c>
      <c r="AM287" s="61"/>
      <c r="BC287" s="50"/>
    </row>
    <row r="288">
      <c r="A288" s="54"/>
      <c r="B288" s="55" t="str">
        <f>IFERROR(__xludf.DUMMYFUNCTION("IFERROR(ROUND(
(COUNTIF(FILTER(Data!O:O, Data!B:B=A288), ""Win"")
+ COUNTIF(FILTER(Data!O:O, Data!B:B=A288), {""Tie"",""Results""}))
/ (COUNTIF(Data!B:B, A288)),
1),"""")"),"")</f>
        <v/>
      </c>
      <c r="C288" s="45" t="str">
        <f>IFERROR((SUMIF(Data!B:B, A288, Data!H:H)
/ (COUNTIF(Data!B:B, A288)
)),"")</f>
        <v/>
      </c>
      <c r="D288" s="45" t="str">
        <f>IFERROR((SUMIF(Data!B:B, A288, Data!G:G)
/ (COUNTIF(Data!B:B, A288)
)),"")</f>
        <v/>
      </c>
      <c r="E288" s="45"/>
      <c r="F288" s="45" t="str">
        <f>IFERROR((SUMIF(Data!B:B, A288, Data!J:J)
/ (COUNTIF(Data!B:B, A288)
)),"")</f>
        <v/>
      </c>
      <c r="G288" s="56" t="str">
        <f>IF(A288="","",IFERROR((((((SUMIF(Data!B:B, A288, Data!H:H)+(SUMIF(Data!B:B, A288,Data!G:G)))/(SUMIF(Data!B:B, A288, Data!J:J)))))),0))</f>
        <v/>
      </c>
      <c r="H288" s="45"/>
      <c r="I288" s="45"/>
      <c r="J288" s="45"/>
      <c r="K288" s="45"/>
      <c r="L288" s="45" t="str">
        <f>IFERROR((SUMIF(Data!B:B, A288, Data!L:L)
/ (COUNTIF(Data!B:B, A288)
)),"")</f>
        <v/>
      </c>
      <c r="M288" s="45" t="str">
        <f>IFERROR((SUMIF(Data!B:B, A288, Data!K:K)
/ (COUNTIF(Data!B:B, A288)
)),"")</f>
        <v/>
      </c>
      <c r="N288" s="56"/>
      <c r="O288" s="56" t="str">
        <f>IF(A288="","",IFERROR((((((SUMIF(Data!B:B, A288, Data!H:H)+(SUMIF(Data!B:B, A288,Data!G:G)+(SUMIF(Data!B:B, A288,Data!L:L)+(SUMIF(Data!B:B, A288,Data!K:K)))))/(SUMIF(Data!B:B, A288, Data!M:M)+(SUMIF(Data!B:B, A288, Data!H:H)+(SUMIF(Data!B:B, A288,Data!G:G)+(SUMIF(Data!B:B, A288,Data!K:K)+(SUMIF(Data!B:B, A288,Data!L:L)))))))))),0))</f>
        <v/>
      </c>
      <c r="P288" s="57" t="str">
        <f>IFERROR(__xludf.DUMMYFUNCTION("IFERROR(((COUNTIF(FILTER(Data!N:N,Data!B:B=A288),""TRAVERSE"")*15)+(COUNTIF(FILTER(Data!N:N,Data!B:B=A288),""HIGH"")*10)+(COUNTIF(FILTER(Data!N:N,Data!B:B=A288),""MIDDLE"")*6)+(COUNTIF(FILTER(Data!N:N,Data!B:B=A288),""LOW"")*4)) / (COUNTIF(Data!B:B, A288)"&amp;"),"""")"),"")</f>
        <v/>
      </c>
      <c r="Q288" s="58"/>
      <c r="R288" s="36" t="str">
        <f t="shared" si="37"/>
        <v/>
      </c>
      <c r="S288" s="58" t="str">
        <f>IFERROR(__xludf.DUMMYFUNCTION("IFERROR((((COUNTIF(FILTER(Data!N:N,Data!B:B=A288),""TRAVERSE""))+(COUNTIF(FILTER(Data!N:N,Data!B:B=A288),""HIGH""))+(COUNTIF(FILTER(Data!N:N,Data!B:B=A288),""MIDDLE""))+(COUNTIF(FILTER(Data!N:N,Data!B:B=A288),""LOW"")))) / (((COUNTIF(Data!B:B, A288)))-(CO"&amp;"UNTIF(FILTER(Data!N:N,Data!B:B=A288),""NONE""))),IF(ISBLANK(A288),"""",0))"),"")</f>
        <v/>
      </c>
      <c r="T288" s="56" t="str">
        <f>IFERROR(__xludf.DUMMYFUNCTION("IFERROR((COUNTIF(FILTER(Data!N:N, Data!B:B=A288),""LOW"")) / (COUNTIF(Data!B:B, A288)),"""")"),"")</f>
        <v/>
      </c>
      <c r="U288" s="59" t="str">
        <f>IFERROR(__xludf.DUMMYFUNCTION("IFERROR((COUNTIF(FILTER(Data!N:N, Data!B:B=A288),""MIDDLE"")) / (COUNTIF(Data!B:B, A288)),"""")"),"")</f>
        <v/>
      </c>
      <c r="V288" s="59" t="str">
        <f>IFERROR(__xludf.DUMMYFUNCTION("IFERROR((COUNTIF(FILTER(Data!N:N, Data!B:B=A288),""HIGH"")) / (COUNTIF(Data!B:B, A288)),"""")"),"")</f>
        <v/>
      </c>
      <c r="W288" s="59" t="str">
        <f>IFERROR(__xludf.DUMMYFUNCTION("IFERROR((COUNTIF(FILTER(Data!N:N, Data!B:B=A288),""TRAVERSE"")) / (COUNTIF(Data!B:B, A288)),"""")"),"")</f>
        <v/>
      </c>
      <c r="X288" s="59"/>
      <c r="Y288" s="45" t="str">
        <f t="shared" si="7"/>
        <v/>
      </c>
      <c r="Z288" s="45" t="str">
        <f t="shared" si="8"/>
        <v/>
      </c>
      <c r="AA288" s="16" t="str">
        <f t="shared" si="9"/>
        <v/>
      </c>
      <c r="AB288" s="16"/>
      <c r="AC288" s="16" t="str">
        <f>IFERROR(__xludf.DUMMYFUNCTION("IF(AA288="""","""",MAX(Filter((Data!G:G+Data!K:K),Data!B:B=A288)))"),"")</f>
        <v/>
      </c>
      <c r="AD288" s="16"/>
      <c r="AE288" s="16" t="str">
        <f t="shared" si="12"/>
        <v/>
      </c>
      <c r="AF288" s="16" t="str">
        <f t="shared" si="13"/>
        <v/>
      </c>
      <c r="AG288" s="44"/>
      <c r="AH288" s="44"/>
      <c r="AI288" s="44" t="str">
        <f>IFERROR(__xludf.DUMMYFUNCTION("TEXTJOIN("", "",TRUE, FILTER(Data!P:P, Data!B:B=A288))"),"")</f>
        <v/>
      </c>
      <c r="AM288" s="61"/>
      <c r="BC288" s="50"/>
    </row>
    <row r="289">
      <c r="A289" s="54"/>
      <c r="B289" s="55" t="str">
        <f>IFERROR(__xludf.DUMMYFUNCTION("IFERROR(ROUND(
(COUNTIF(FILTER(Data!O:O, Data!B:B=A289), ""Win"")
+ COUNTIF(FILTER(Data!O:O, Data!B:B=A289), {""Tie"",""Results""}))
/ (COUNTIF(Data!B:B, A289)),
1),"""")"),"")</f>
        <v/>
      </c>
      <c r="C289" s="45" t="str">
        <f>IFERROR((SUMIF(Data!B:B, A289, Data!H:H)
/ (COUNTIF(Data!B:B, A289)
)),"")</f>
        <v/>
      </c>
      <c r="D289" s="45" t="str">
        <f>IFERROR((SUMIF(Data!B:B, A289, Data!G:G)
/ (COUNTIF(Data!B:B, A289)
)),"")</f>
        <v/>
      </c>
      <c r="E289" s="45"/>
      <c r="F289" s="45" t="str">
        <f>IFERROR((SUMIF(Data!B:B, A289, Data!J:J)
/ (COUNTIF(Data!B:B, A289)
)),"")</f>
        <v/>
      </c>
      <c r="G289" s="56" t="str">
        <f>IF(A289="","",IFERROR((((((SUMIF(Data!B:B, A289, Data!H:H)+(SUMIF(Data!B:B, A289,Data!G:G)))/(SUMIF(Data!B:B, A289, Data!J:J)))))),0))</f>
        <v/>
      </c>
      <c r="H289" s="45"/>
      <c r="I289" s="45"/>
      <c r="J289" s="45"/>
      <c r="K289" s="45"/>
      <c r="L289" s="45" t="str">
        <f>IFERROR((SUMIF(Data!B:B, A289, Data!L:L)
/ (COUNTIF(Data!B:B, A289)
)),"")</f>
        <v/>
      </c>
      <c r="M289" s="45" t="str">
        <f>IFERROR((SUMIF(Data!B:B, A289, Data!K:K)
/ (COUNTIF(Data!B:B, A289)
)),"")</f>
        <v/>
      </c>
      <c r="N289" s="56"/>
      <c r="O289" s="56" t="str">
        <f>IF(A289="","",IFERROR((((((SUMIF(Data!B:B, A289, Data!H:H)+(SUMIF(Data!B:B, A289,Data!G:G)+(SUMIF(Data!B:B, A289,Data!L:L)+(SUMIF(Data!B:B, A289,Data!K:K)))))/(SUMIF(Data!B:B, A289, Data!M:M)+(SUMIF(Data!B:B, A289, Data!H:H)+(SUMIF(Data!B:B, A289,Data!G:G)+(SUMIF(Data!B:B, A289,Data!K:K)+(SUMIF(Data!B:B, A289,Data!L:L)))))))))),0))</f>
        <v/>
      </c>
      <c r="P289" s="57" t="str">
        <f>IFERROR(__xludf.DUMMYFUNCTION("IFERROR(((COUNTIF(FILTER(Data!N:N,Data!B:B=A289),""TRAVERSE"")*15)+(COUNTIF(FILTER(Data!N:N,Data!B:B=A289),""HIGH"")*10)+(COUNTIF(FILTER(Data!N:N,Data!B:B=A289),""MIDDLE"")*6)+(COUNTIF(FILTER(Data!N:N,Data!B:B=A289),""LOW"")*4)) / (COUNTIF(Data!B:B, A289)"&amp;"),"""")"),"")</f>
        <v/>
      </c>
      <c r="Q289" s="58"/>
      <c r="R289" s="36" t="str">
        <f t="shared" si="37"/>
        <v/>
      </c>
      <c r="S289" s="58" t="str">
        <f>IFERROR(__xludf.DUMMYFUNCTION("IFERROR((((COUNTIF(FILTER(Data!N:N,Data!B:B=A289),""TRAVERSE""))+(COUNTIF(FILTER(Data!N:N,Data!B:B=A289),""HIGH""))+(COUNTIF(FILTER(Data!N:N,Data!B:B=A289),""MIDDLE""))+(COUNTIF(FILTER(Data!N:N,Data!B:B=A289),""LOW"")))) / (((COUNTIF(Data!B:B, A289)))-(CO"&amp;"UNTIF(FILTER(Data!N:N,Data!B:B=A289),""NONE""))),IF(ISBLANK(A289),"""",0))"),"")</f>
        <v/>
      </c>
      <c r="T289" s="56" t="str">
        <f>IFERROR(__xludf.DUMMYFUNCTION("IFERROR((COUNTIF(FILTER(Data!N:N, Data!B:B=A289),""LOW"")) / (COUNTIF(Data!B:B, A289)),"""")"),"")</f>
        <v/>
      </c>
      <c r="U289" s="59" t="str">
        <f>IFERROR(__xludf.DUMMYFUNCTION("IFERROR((COUNTIF(FILTER(Data!N:N, Data!B:B=A289),""MIDDLE"")) / (COUNTIF(Data!B:B, A289)),"""")"),"")</f>
        <v/>
      </c>
      <c r="V289" s="59" t="str">
        <f>IFERROR(__xludf.DUMMYFUNCTION("IFERROR((COUNTIF(FILTER(Data!N:N, Data!B:B=A289),""HIGH"")) / (COUNTIF(Data!B:B, A289)),"""")"),"")</f>
        <v/>
      </c>
      <c r="W289" s="59" t="str">
        <f>IFERROR(__xludf.DUMMYFUNCTION("IFERROR((COUNTIF(FILTER(Data!N:N, Data!B:B=A289),""TRAVERSE"")) / (COUNTIF(Data!B:B, A289)),"""")"),"")</f>
        <v/>
      </c>
      <c r="X289" s="59"/>
      <c r="Y289" s="45" t="str">
        <f t="shared" si="7"/>
        <v/>
      </c>
      <c r="Z289" s="45" t="str">
        <f t="shared" si="8"/>
        <v/>
      </c>
      <c r="AA289" s="16" t="str">
        <f t="shared" si="9"/>
        <v/>
      </c>
      <c r="AB289" s="16"/>
      <c r="AC289" s="16" t="str">
        <f>IFERROR(__xludf.DUMMYFUNCTION("IF(AA289="""","""",MAX(Filter((Data!G:G+Data!K:K),Data!B:B=A289)))"),"")</f>
        <v/>
      </c>
      <c r="AD289" s="16"/>
      <c r="AE289" s="16" t="str">
        <f t="shared" si="12"/>
        <v/>
      </c>
      <c r="AF289" s="16" t="str">
        <f t="shared" si="13"/>
        <v/>
      </c>
      <c r="AG289" s="44"/>
      <c r="AH289" s="44"/>
      <c r="AI289" s="44" t="str">
        <f>IFERROR(__xludf.DUMMYFUNCTION("TEXTJOIN("", "",TRUE, FILTER(Data!P:P, Data!B:B=A289))"),"")</f>
        <v/>
      </c>
      <c r="AM289" s="61"/>
      <c r="BC289" s="50"/>
    </row>
    <row r="290">
      <c r="A290" s="54"/>
      <c r="B290" s="55" t="str">
        <f>IFERROR(__xludf.DUMMYFUNCTION("IFERROR(ROUND(
(COUNTIF(FILTER(Data!O:O, Data!B:B=A290), ""Win"")
+ COUNTIF(FILTER(Data!O:O, Data!B:B=A290), {""Tie"",""Results""}))
/ (COUNTIF(Data!B:B, A290)),
1),"""")"),"")</f>
        <v/>
      </c>
      <c r="C290" s="45" t="str">
        <f>IFERROR((SUMIF(Data!B:B, A290, Data!H:H)
/ (COUNTIF(Data!B:B, A290)
)),"")</f>
        <v/>
      </c>
      <c r="D290" s="45" t="str">
        <f>IFERROR((SUMIF(Data!B:B, A290, Data!G:G)
/ (COUNTIF(Data!B:B, A290)
)),"")</f>
        <v/>
      </c>
      <c r="E290" s="45"/>
      <c r="F290" s="45" t="str">
        <f>IFERROR((SUMIF(Data!B:B, A290, Data!J:J)
/ (COUNTIF(Data!B:B, A290)
)),"")</f>
        <v/>
      </c>
      <c r="G290" s="56" t="str">
        <f>IF(A290="","",IFERROR((((((SUMIF(Data!B:B, A290, Data!H:H)+(SUMIF(Data!B:B, A290,Data!G:G)))/(SUMIF(Data!B:B, A290, Data!J:J)))))),0))</f>
        <v/>
      </c>
      <c r="H290" s="45"/>
      <c r="I290" s="45"/>
      <c r="J290" s="45"/>
      <c r="K290" s="45"/>
      <c r="L290" s="45" t="str">
        <f>IFERROR((SUMIF(Data!B:B, A290, Data!L:L)
/ (COUNTIF(Data!B:B, A290)
)),"")</f>
        <v/>
      </c>
      <c r="M290" s="45" t="str">
        <f>IFERROR((SUMIF(Data!B:B, A290, Data!K:K)
/ (COUNTIF(Data!B:B, A290)
)),"")</f>
        <v/>
      </c>
      <c r="N290" s="56"/>
      <c r="O290" s="56" t="str">
        <f>IF(A290="","",IFERROR((((((SUMIF(Data!B:B, A290, Data!H:H)+(SUMIF(Data!B:B, A290,Data!G:G)+(SUMIF(Data!B:B, A290,Data!L:L)+(SUMIF(Data!B:B, A290,Data!K:K)))))/(SUMIF(Data!B:B, A290, Data!M:M)+(SUMIF(Data!B:B, A290, Data!H:H)+(SUMIF(Data!B:B, A290,Data!G:G)+(SUMIF(Data!B:B, A290,Data!K:K)+(SUMIF(Data!B:B, A290,Data!L:L)))))))))),0))</f>
        <v/>
      </c>
      <c r="P290" s="57" t="str">
        <f>IFERROR(__xludf.DUMMYFUNCTION("IFERROR(((COUNTIF(FILTER(Data!N:N,Data!B:B=A290),""TRAVERSE"")*15)+(COUNTIF(FILTER(Data!N:N,Data!B:B=A290),""HIGH"")*10)+(COUNTIF(FILTER(Data!N:N,Data!B:B=A290),""MIDDLE"")*6)+(COUNTIF(FILTER(Data!N:N,Data!B:B=A290),""LOW"")*4)) / (COUNTIF(Data!B:B, A290)"&amp;"),"""")"),"")</f>
        <v/>
      </c>
      <c r="Q290" s="58"/>
      <c r="R290" s="36" t="str">
        <f t="shared" si="37"/>
        <v/>
      </c>
      <c r="S290" s="58" t="str">
        <f>IFERROR(__xludf.DUMMYFUNCTION("IFERROR((((COUNTIF(FILTER(Data!N:N,Data!B:B=A290),""TRAVERSE""))+(COUNTIF(FILTER(Data!N:N,Data!B:B=A290),""HIGH""))+(COUNTIF(FILTER(Data!N:N,Data!B:B=A290),""MIDDLE""))+(COUNTIF(FILTER(Data!N:N,Data!B:B=A290),""LOW"")))) / (((COUNTIF(Data!B:B, A290)))-(CO"&amp;"UNTIF(FILTER(Data!N:N,Data!B:B=A290),""NONE""))),IF(ISBLANK(A290),"""",0))"),"")</f>
        <v/>
      </c>
      <c r="T290" s="56" t="str">
        <f>IFERROR(__xludf.DUMMYFUNCTION("IFERROR((COUNTIF(FILTER(Data!N:N, Data!B:B=A290),""LOW"")) / (COUNTIF(Data!B:B, A290)),"""")"),"")</f>
        <v/>
      </c>
      <c r="U290" s="59" t="str">
        <f>IFERROR(__xludf.DUMMYFUNCTION("IFERROR((COUNTIF(FILTER(Data!N:N, Data!B:B=A290),""MIDDLE"")) / (COUNTIF(Data!B:B, A290)),"""")"),"")</f>
        <v/>
      </c>
      <c r="V290" s="59" t="str">
        <f>IFERROR(__xludf.DUMMYFUNCTION("IFERROR((COUNTIF(FILTER(Data!N:N, Data!B:B=A290),""HIGH"")) / (COUNTIF(Data!B:B, A290)),"""")"),"")</f>
        <v/>
      </c>
      <c r="W290" s="59" t="str">
        <f>IFERROR(__xludf.DUMMYFUNCTION("IFERROR((COUNTIF(FILTER(Data!N:N, Data!B:B=A290),""TRAVERSE"")) / (COUNTIF(Data!B:B, A290)),"""")"),"")</f>
        <v/>
      </c>
      <c r="X290" s="59"/>
      <c r="Y290" s="45" t="str">
        <f t="shared" si="7"/>
        <v/>
      </c>
      <c r="Z290" s="45" t="str">
        <f t="shared" si="8"/>
        <v/>
      </c>
      <c r="AA290" s="16" t="str">
        <f t="shared" si="9"/>
        <v/>
      </c>
      <c r="AB290" s="16"/>
      <c r="AC290" s="16" t="str">
        <f>IFERROR(__xludf.DUMMYFUNCTION("IF(AA290="""","""",MAX(Filter((Data!G:G+Data!K:K),Data!B:B=A290)))"),"")</f>
        <v/>
      </c>
      <c r="AD290" s="16"/>
      <c r="AE290" s="16" t="str">
        <f t="shared" si="12"/>
        <v/>
      </c>
      <c r="AF290" s="16" t="str">
        <f t="shared" si="13"/>
        <v/>
      </c>
      <c r="AG290" s="44"/>
      <c r="AH290" s="44"/>
      <c r="AI290" s="44" t="str">
        <f>IFERROR(__xludf.DUMMYFUNCTION("TEXTJOIN("", "",TRUE, FILTER(Data!P:P, Data!B:B=A290))"),"")</f>
        <v/>
      </c>
      <c r="AM290" s="61"/>
      <c r="BC290" s="50"/>
    </row>
    <row r="291">
      <c r="A291" s="54"/>
      <c r="B291" s="55" t="str">
        <f>IFERROR(__xludf.DUMMYFUNCTION("IFERROR(ROUND(
(COUNTIF(FILTER(Data!O:O, Data!B:B=A291), ""Win"")
+ COUNTIF(FILTER(Data!O:O, Data!B:B=A291), {""Tie"",""Results""}))
/ (COUNTIF(Data!B:B, A291)),
1),"""")"),"")</f>
        <v/>
      </c>
      <c r="C291" s="45" t="str">
        <f>IFERROR((SUMIF(Data!B:B, A291, Data!H:H)
/ (COUNTIF(Data!B:B, A291)
)),"")</f>
        <v/>
      </c>
      <c r="D291" s="45" t="str">
        <f>IFERROR((SUMIF(Data!B:B, A291, Data!G:G)
/ (COUNTIF(Data!B:B, A291)
)),"")</f>
        <v/>
      </c>
      <c r="E291" s="45"/>
      <c r="F291" s="45" t="str">
        <f>IFERROR((SUMIF(Data!B:B, A291, Data!J:J)
/ (COUNTIF(Data!B:B, A291)
)),"")</f>
        <v/>
      </c>
      <c r="G291" s="56" t="str">
        <f>IF(A291="","",IFERROR((((((SUMIF(Data!B:B, A291, Data!H:H)+(SUMIF(Data!B:B, A291,Data!G:G)))/(SUMIF(Data!B:B, A291, Data!J:J)))))),0))</f>
        <v/>
      </c>
      <c r="H291" s="45"/>
      <c r="I291" s="45"/>
      <c r="J291" s="45"/>
      <c r="K291" s="45"/>
      <c r="L291" s="45" t="str">
        <f>IFERROR((SUMIF(Data!B:B, A291, Data!L:L)
/ (COUNTIF(Data!B:B, A291)
)),"")</f>
        <v/>
      </c>
      <c r="M291" s="45" t="str">
        <f>IFERROR((SUMIF(Data!B:B, A291, Data!K:K)
/ (COUNTIF(Data!B:B, A291)
)),"")</f>
        <v/>
      </c>
      <c r="N291" s="56"/>
      <c r="O291" s="56" t="str">
        <f>IF(A291="","",IFERROR((((((SUMIF(Data!B:B, A291, Data!H:H)+(SUMIF(Data!B:B, A291,Data!G:G)+(SUMIF(Data!B:B, A291,Data!L:L)+(SUMIF(Data!B:B, A291,Data!K:K)))))/(SUMIF(Data!B:B, A291, Data!M:M)+(SUMIF(Data!B:B, A291, Data!H:H)+(SUMIF(Data!B:B, A291,Data!G:G)+(SUMIF(Data!B:B, A291,Data!K:K)+(SUMIF(Data!B:B, A291,Data!L:L)))))))))),0))</f>
        <v/>
      </c>
      <c r="P291" s="57" t="str">
        <f>IFERROR(__xludf.DUMMYFUNCTION("IFERROR(((COUNTIF(FILTER(Data!N:N,Data!B:B=A291),""TRAVERSE"")*15)+(COUNTIF(FILTER(Data!N:N,Data!B:B=A291),""HIGH"")*10)+(COUNTIF(FILTER(Data!N:N,Data!B:B=A291),""MIDDLE"")*6)+(COUNTIF(FILTER(Data!N:N,Data!B:B=A291),""LOW"")*4)) / (COUNTIF(Data!B:B, A291)"&amp;"),"""")"),"")</f>
        <v/>
      </c>
      <c r="Q291" s="58"/>
      <c r="R291" s="36" t="str">
        <f t="shared" si="37"/>
        <v/>
      </c>
      <c r="S291" s="58" t="str">
        <f>IFERROR(__xludf.DUMMYFUNCTION("IFERROR((((COUNTIF(FILTER(Data!N:N,Data!B:B=A291),""TRAVERSE""))+(COUNTIF(FILTER(Data!N:N,Data!B:B=A291),""HIGH""))+(COUNTIF(FILTER(Data!N:N,Data!B:B=A291),""MIDDLE""))+(COUNTIF(FILTER(Data!N:N,Data!B:B=A291),""LOW"")))) / (((COUNTIF(Data!B:B, A291)))-(CO"&amp;"UNTIF(FILTER(Data!N:N,Data!B:B=A291),""NONE""))),IF(ISBLANK(A291),"""",0))"),"")</f>
        <v/>
      </c>
      <c r="T291" s="56" t="str">
        <f>IFERROR(__xludf.DUMMYFUNCTION("IFERROR((COUNTIF(FILTER(Data!N:N, Data!B:B=A291),""LOW"")) / (COUNTIF(Data!B:B, A291)),"""")"),"")</f>
        <v/>
      </c>
      <c r="U291" s="59" t="str">
        <f>IFERROR(__xludf.DUMMYFUNCTION("IFERROR((COUNTIF(FILTER(Data!N:N, Data!B:B=A291),""MIDDLE"")) / (COUNTIF(Data!B:B, A291)),"""")"),"")</f>
        <v/>
      </c>
      <c r="V291" s="59" t="str">
        <f>IFERROR(__xludf.DUMMYFUNCTION("IFERROR((COUNTIF(FILTER(Data!N:N, Data!B:B=A291),""HIGH"")) / (COUNTIF(Data!B:B, A291)),"""")"),"")</f>
        <v/>
      </c>
      <c r="W291" s="59" t="str">
        <f>IFERROR(__xludf.DUMMYFUNCTION("IFERROR((COUNTIF(FILTER(Data!N:N, Data!B:B=A291),""TRAVERSE"")) / (COUNTIF(Data!B:B, A291)),"""")"),"")</f>
        <v/>
      </c>
      <c r="X291" s="59"/>
      <c r="Y291" s="45" t="str">
        <f t="shared" si="7"/>
        <v/>
      </c>
      <c r="Z291" s="45" t="str">
        <f t="shared" si="8"/>
        <v/>
      </c>
      <c r="AA291" s="16" t="str">
        <f t="shared" si="9"/>
        <v/>
      </c>
      <c r="AB291" s="16"/>
      <c r="AC291" s="16" t="str">
        <f>IFERROR(__xludf.DUMMYFUNCTION("IF(AA291="""","""",MAX(Filter((Data!G:G+Data!K:K),Data!B:B=A291)))"),"")</f>
        <v/>
      </c>
      <c r="AD291" s="16"/>
      <c r="AE291" s="16" t="str">
        <f t="shared" si="12"/>
        <v/>
      </c>
      <c r="AF291" s="16" t="str">
        <f t="shared" si="13"/>
        <v/>
      </c>
      <c r="AG291" s="44"/>
      <c r="AH291" s="44"/>
      <c r="AI291" s="44" t="str">
        <f>IFERROR(__xludf.DUMMYFUNCTION("TEXTJOIN("", "",TRUE, FILTER(Data!P:P, Data!B:B=A291))"),"")</f>
        <v/>
      </c>
      <c r="AM291" s="61"/>
      <c r="BC291" s="50"/>
    </row>
    <row r="292">
      <c r="A292" s="54"/>
      <c r="B292" s="55" t="str">
        <f>IFERROR(__xludf.DUMMYFUNCTION("IFERROR(ROUND(
(COUNTIF(FILTER(Data!O:O, Data!B:B=A292), ""Win"")
+ COUNTIF(FILTER(Data!O:O, Data!B:B=A292), {""Tie"",""Results""}))
/ (COUNTIF(Data!B:B, A292)),
1),"""")"),"")</f>
        <v/>
      </c>
      <c r="C292" s="45" t="str">
        <f>IFERROR((SUMIF(Data!B:B, A292, Data!H:H)
/ (COUNTIF(Data!B:B, A292)
)),"")</f>
        <v/>
      </c>
      <c r="D292" s="45" t="str">
        <f>IFERROR((SUMIF(Data!B:B, A292, Data!G:G)
/ (COUNTIF(Data!B:B, A292)
)),"")</f>
        <v/>
      </c>
      <c r="E292" s="45"/>
      <c r="F292" s="45" t="str">
        <f>IFERROR((SUMIF(Data!B:B, A292, Data!J:J)
/ (COUNTIF(Data!B:B, A292)
)),"")</f>
        <v/>
      </c>
      <c r="G292" s="56" t="str">
        <f>IF(A292="","",IFERROR((((((SUMIF(Data!B:B, A292, Data!H:H)+(SUMIF(Data!B:B, A292,Data!G:G)))/(SUMIF(Data!B:B, A292, Data!J:J)))))),0))</f>
        <v/>
      </c>
      <c r="H292" s="45"/>
      <c r="I292" s="45"/>
      <c r="J292" s="45"/>
      <c r="K292" s="45"/>
      <c r="L292" s="45" t="str">
        <f>IFERROR((SUMIF(Data!B:B, A292, Data!L:L)
/ (COUNTIF(Data!B:B, A292)
)),"")</f>
        <v/>
      </c>
      <c r="M292" s="45" t="str">
        <f>IFERROR((SUMIF(Data!B:B, A292, Data!K:K)
/ (COUNTIF(Data!B:B, A292)
)),"")</f>
        <v/>
      </c>
      <c r="N292" s="56"/>
      <c r="O292" s="56" t="str">
        <f>IF(A292="","",IFERROR((((((SUMIF(Data!B:B, A292, Data!H:H)+(SUMIF(Data!B:B, A292,Data!G:G)+(SUMIF(Data!B:B, A292,Data!L:L)+(SUMIF(Data!B:B, A292,Data!K:K)))))/(SUMIF(Data!B:B, A292, Data!M:M)+(SUMIF(Data!B:B, A292, Data!H:H)+(SUMIF(Data!B:B, A292,Data!G:G)+(SUMIF(Data!B:B, A292,Data!K:K)+(SUMIF(Data!B:B, A292,Data!L:L)))))))))),0))</f>
        <v/>
      </c>
      <c r="P292" s="57" t="str">
        <f>IFERROR(__xludf.DUMMYFUNCTION("IFERROR(((COUNTIF(FILTER(Data!N:N,Data!B:B=A292),""TRAVERSE"")*15)+(COUNTIF(FILTER(Data!N:N,Data!B:B=A292),""HIGH"")*10)+(COUNTIF(FILTER(Data!N:N,Data!B:B=A292),""MIDDLE"")*6)+(COUNTIF(FILTER(Data!N:N,Data!B:B=A292),""LOW"")*4)) / (COUNTIF(Data!B:B, A292)"&amp;"),"""")"),"")</f>
        <v/>
      </c>
      <c r="Q292" s="58"/>
      <c r="R292" s="36" t="str">
        <f t="shared" si="37"/>
        <v/>
      </c>
      <c r="S292" s="58" t="str">
        <f>IFERROR(__xludf.DUMMYFUNCTION("IFERROR((((COUNTIF(FILTER(Data!N:N,Data!B:B=A292),""TRAVERSE""))+(COUNTIF(FILTER(Data!N:N,Data!B:B=A292),""HIGH""))+(COUNTIF(FILTER(Data!N:N,Data!B:B=A292),""MIDDLE""))+(COUNTIF(FILTER(Data!N:N,Data!B:B=A292),""LOW"")))) / (((COUNTIF(Data!B:B, A292)))-(CO"&amp;"UNTIF(FILTER(Data!N:N,Data!B:B=A292),""NONE""))),IF(ISBLANK(A292),"""",0))"),"")</f>
        <v/>
      </c>
      <c r="T292" s="56" t="str">
        <f>IFERROR(__xludf.DUMMYFUNCTION("IFERROR((COUNTIF(FILTER(Data!N:N, Data!B:B=A292),""LOW"")) / (COUNTIF(Data!B:B, A292)),"""")"),"")</f>
        <v/>
      </c>
      <c r="U292" s="59" t="str">
        <f>IFERROR(__xludf.DUMMYFUNCTION("IFERROR((COUNTIF(FILTER(Data!N:N, Data!B:B=A292),""MIDDLE"")) / (COUNTIF(Data!B:B, A292)),"""")"),"")</f>
        <v/>
      </c>
      <c r="V292" s="59" t="str">
        <f>IFERROR(__xludf.DUMMYFUNCTION("IFERROR((COUNTIF(FILTER(Data!N:N, Data!B:B=A292),""HIGH"")) / (COUNTIF(Data!B:B, A292)),"""")"),"")</f>
        <v/>
      </c>
      <c r="W292" s="59" t="str">
        <f>IFERROR(__xludf.DUMMYFUNCTION("IFERROR((COUNTIF(FILTER(Data!N:N, Data!B:B=A292),""TRAVERSE"")) / (COUNTIF(Data!B:B, A292)),"""")"),"")</f>
        <v/>
      </c>
      <c r="X292" s="59"/>
      <c r="Y292" s="45" t="str">
        <f t="shared" si="7"/>
        <v/>
      </c>
      <c r="Z292" s="45" t="str">
        <f t="shared" si="8"/>
        <v/>
      </c>
      <c r="AA292" s="16" t="str">
        <f t="shared" si="9"/>
        <v/>
      </c>
      <c r="AB292" s="16"/>
      <c r="AC292" s="16" t="str">
        <f>IFERROR(__xludf.DUMMYFUNCTION("IF(AA292="""","""",MAX(Filter((Data!G:G+Data!K:K),Data!B:B=A292)))"),"")</f>
        <v/>
      </c>
      <c r="AD292" s="16"/>
      <c r="AE292" s="16" t="str">
        <f t="shared" si="12"/>
        <v/>
      </c>
      <c r="AF292" s="16" t="str">
        <f t="shared" si="13"/>
        <v/>
      </c>
      <c r="AG292" s="44"/>
      <c r="AH292" s="44"/>
      <c r="AI292" s="44" t="str">
        <f>IFERROR(__xludf.DUMMYFUNCTION("TEXTJOIN("", "",TRUE, FILTER(Data!P:P, Data!B:B=A292))"),"")</f>
        <v/>
      </c>
      <c r="AM292" s="61"/>
      <c r="BC292" s="50"/>
    </row>
    <row r="293">
      <c r="A293" s="54"/>
      <c r="B293" s="55" t="str">
        <f>IFERROR(__xludf.DUMMYFUNCTION("IFERROR(ROUND(
(COUNTIF(FILTER(Data!O:O, Data!B:B=A293), ""Win"")
+ COUNTIF(FILTER(Data!O:O, Data!B:B=A293), {""Tie"",""Results""}))
/ (COUNTIF(Data!B:B, A293)),
1),"""")"),"")</f>
        <v/>
      </c>
      <c r="C293" s="45" t="str">
        <f>IFERROR((SUMIF(Data!B:B, A293, Data!H:H)
/ (COUNTIF(Data!B:B, A293)
)),"")</f>
        <v/>
      </c>
      <c r="D293" s="45" t="str">
        <f>IFERROR((SUMIF(Data!B:B, A293, Data!G:G)
/ (COUNTIF(Data!B:B, A293)
)),"")</f>
        <v/>
      </c>
      <c r="E293" s="45"/>
      <c r="F293" s="45" t="str">
        <f>IFERROR((SUMIF(Data!B:B, A293, Data!J:J)
/ (COUNTIF(Data!B:B, A293)
)),"")</f>
        <v/>
      </c>
      <c r="G293" s="56" t="str">
        <f>IF(A293="","",IFERROR((((((SUMIF(Data!B:B, A293, Data!H:H)+(SUMIF(Data!B:B, A293,Data!G:G)))/(SUMIF(Data!B:B, A293, Data!J:J)))))),0))</f>
        <v/>
      </c>
      <c r="H293" s="45"/>
      <c r="I293" s="45"/>
      <c r="J293" s="45"/>
      <c r="K293" s="45"/>
      <c r="L293" s="45" t="str">
        <f>IFERROR((SUMIF(Data!B:B, A293, Data!L:L)
/ (COUNTIF(Data!B:B, A293)
)),"")</f>
        <v/>
      </c>
      <c r="M293" s="45" t="str">
        <f>IFERROR((SUMIF(Data!B:B, A293, Data!K:K)
/ (COUNTIF(Data!B:B, A293)
)),"")</f>
        <v/>
      </c>
      <c r="N293" s="56"/>
      <c r="O293" s="56" t="str">
        <f>IF(A293="","",IFERROR((((((SUMIF(Data!B:B, A293, Data!H:H)+(SUMIF(Data!B:B, A293,Data!G:G)+(SUMIF(Data!B:B, A293,Data!L:L)+(SUMIF(Data!B:B, A293,Data!K:K)))))/(SUMIF(Data!B:B, A293, Data!M:M)+(SUMIF(Data!B:B, A293, Data!H:H)+(SUMIF(Data!B:B, A293,Data!G:G)+(SUMIF(Data!B:B, A293,Data!K:K)+(SUMIF(Data!B:B, A293,Data!L:L)))))))))),0))</f>
        <v/>
      </c>
      <c r="P293" s="57" t="str">
        <f>IFERROR(__xludf.DUMMYFUNCTION("IFERROR(((COUNTIF(FILTER(Data!N:N,Data!B:B=A293),""TRAVERSE"")*15)+(COUNTIF(FILTER(Data!N:N,Data!B:B=A293),""HIGH"")*10)+(COUNTIF(FILTER(Data!N:N,Data!B:B=A293),""MIDDLE"")*6)+(COUNTIF(FILTER(Data!N:N,Data!B:B=A293),""LOW"")*4)) / (COUNTIF(Data!B:B, A293)"&amp;"),"""")"),"")</f>
        <v/>
      </c>
      <c r="Q293" s="58"/>
      <c r="R293" s="36" t="str">
        <f t="shared" si="37"/>
        <v/>
      </c>
      <c r="S293" s="58" t="str">
        <f>IFERROR(__xludf.DUMMYFUNCTION("IFERROR((((COUNTIF(FILTER(Data!N:N,Data!B:B=A293),""TRAVERSE""))+(COUNTIF(FILTER(Data!N:N,Data!B:B=A293),""HIGH""))+(COUNTIF(FILTER(Data!N:N,Data!B:B=A293),""MIDDLE""))+(COUNTIF(FILTER(Data!N:N,Data!B:B=A293),""LOW"")))) / (((COUNTIF(Data!B:B, A293)))-(CO"&amp;"UNTIF(FILTER(Data!N:N,Data!B:B=A293),""NONE""))),IF(ISBLANK(A293),"""",0))"),"")</f>
        <v/>
      </c>
      <c r="T293" s="56" t="str">
        <f>IFERROR(__xludf.DUMMYFUNCTION("IFERROR((COUNTIF(FILTER(Data!N:N, Data!B:B=A293),""LOW"")) / (COUNTIF(Data!B:B, A293)),"""")"),"")</f>
        <v/>
      </c>
      <c r="U293" s="59" t="str">
        <f>IFERROR(__xludf.DUMMYFUNCTION("IFERROR((COUNTIF(FILTER(Data!N:N, Data!B:B=A293),""MIDDLE"")) / (COUNTIF(Data!B:B, A293)),"""")"),"")</f>
        <v/>
      </c>
      <c r="V293" s="59" t="str">
        <f>IFERROR(__xludf.DUMMYFUNCTION("IFERROR((COUNTIF(FILTER(Data!N:N, Data!B:B=A293),""HIGH"")) / (COUNTIF(Data!B:B, A293)),"""")"),"")</f>
        <v/>
      </c>
      <c r="W293" s="59" t="str">
        <f>IFERROR(__xludf.DUMMYFUNCTION("IFERROR((COUNTIF(FILTER(Data!N:N, Data!B:B=A293),""TRAVERSE"")) / (COUNTIF(Data!B:B, A293)),"""")"),"")</f>
        <v/>
      </c>
      <c r="X293" s="59"/>
      <c r="Y293" s="45" t="str">
        <f t="shared" si="7"/>
        <v/>
      </c>
      <c r="Z293" s="45" t="str">
        <f t="shared" si="8"/>
        <v/>
      </c>
      <c r="AA293" s="16" t="str">
        <f t="shared" si="9"/>
        <v/>
      </c>
      <c r="AB293" s="16"/>
      <c r="AC293" s="16" t="str">
        <f>IFERROR(__xludf.DUMMYFUNCTION("IF(AA293="""","""",MAX(Filter((Data!G:G+Data!K:K),Data!B:B=A293)))"),"")</f>
        <v/>
      </c>
      <c r="AD293" s="16"/>
      <c r="AE293" s="16" t="str">
        <f t="shared" si="12"/>
        <v/>
      </c>
      <c r="AF293" s="16" t="str">
        <f t="shared" si="13"/>
        <v/>
      </c>
      <c r="AG293" s="44"/>
      <c r="AH293" s="44"/>
      <c r="AI293" s="44" t="str">
        <f>IFERROR(__xludf.DUMMYFUNCTION("TEXTJOIN("", "",TRUE, FILTER(Data!P:P, Data!B:B=A293))"),"")</f>
        <v/>
      </c>
      <c r="AM293" s="61"/>
      <c r="BC293" s="50"/>
    </row>
    <row r="294">
      <c r="A294" s="54"/>
      <c r="B294" s="55" t="str">
        <f>IFERROR(__xludf.DUMMYFUNCTION("IFERROR(ROUND(
(COUNTIF(FILTER(Data!O:O, Data!B:B=A294), ""Win"")
+ COUNTIF(FILTER(Data!O:O, Data!B:B=A294), {""Tie"",""Results""}))
/ (COUNTIF(Data!B:B, A294)),
1),"""")"),"")</f>
        <v/>
      </c>
      <c r="C294" s="45" t="str">
        <f>IFERROR((SUMIF(Data!B:B, A294, Data!H:H)
/ (COUNTIF(Data!B:B, A294)
)),"")</f>
        <v/>
      </c>
      <c r="D294" s="45" t="str">
        <f>IFERROR((SUMIF(Data!B:B, A294, Data!G:G)
/ (COUNTIF(Data!B:B, A294)
)),"")</f>
        <v/>
      </c>
      <c r="E294" s="45"/>
      <c r="F294" s="45" t="str">
        <f>IFERROR((SUMIF(Data!B:B, A294, Data!J:J)
/ (COUNTIF(Data!B:B, A294)
)),"")</f>
        <v/>
      </c>
      <c r="G294" s="56" t="str">
        <f>IF(A294="","",IFERROR((((((SUMIF(Data!B:B, A294, Data!H:H)+(SUMIF(Data!B:B, A294,Data!G:G)))/(SUMIF(Data!B:B, A294, Data!J:J)))))),0))</f>
        <v/>
      </c>
      <c r="H294" s="45"/>
      <c r="I294" s="45"/>
      <c r="J294" s="45"/>
      <c r="K294" s="45"/>
      <c r="L294" s="45" t="str">
        <f>IFERROR((SUMIF(Data!B:B, A294, Data!L:L)
/ (COUNTIF(Data!B:B, A294)
)),"")</f>
        <v/>
      </c>
      <c r="M294" s="45" t="str">
        <f>IFERROR((SUMIF(Data!B:B, A294, Data!K:K)
/ (COUNTIF(Data!B:B, A294)
)),"")</f>
        <v/>
      </c>
      <c r="N294" s="56"/>
      <c r="O294" s="56" t="str">
        <f>IF(A294="","",IFERROR((((((SUMIF(Data!B:B, A294, Data!H:H)+(SUMIF(Data!B:B, A294,Data!G:G)+(SUMIF(Data!B:B, A294,Data!L:L)+(SUMIF(Data!B:B, A294,Data!K:K)))))/(SUMIF(Data!B:B, A294, Data!M:M)+(SUMIF(Data!B:B, A294, Data!H:H)+(SUMIF(Data!B:B, A294,Data!G:G)+(SUMIF(Data!B:B, A294,Data!K:K)+(SUMIF(Data!B:B, A294,Data!L:L)))))))))),0))</f>
        <v/>
      </c>
      <c r="P294" s="57" t="str">
        <f>IFERROR(__xludf.DUMMYFUNCTION("IFERROR(((COUNTIF(FILTER(Data!N:N,Data!B:B=A294),""TRAVERSE"")*15)+(COUNTIF(FILTER(Data!N:N,Data!B:B=A294),""HIGH"")*10)+(COUNTIF(FILTER(Data!N:N,Data!B:B=A294),""MIDDLE"")*6)+(COUNTIF(FILTER(Data!N:N,Data!B:B=A294),""LOW"")*4)) / (COUNTIF(Data!B:B, A294)"&amp;"),"""")"),"")</f>
        <v/>
      </c>
      <c r="Q294" s="58"/>
      <c r="R294" s="36" t="str">
        <f t="shared" si="37"/>
        <v/>
      </c>
      <c r="S294" s="58" t="str">
        <f>IFERROR(__xludf.DUMMYFUNCTION("IFERROR((((COUNTIF(FILTER(Data!N:N,Data!B:B=A294),""TRAVERSE""))+(COUNTIF(FILTER(Data!N:N,Data!B:B=A294),""HIGH""))+(COUNTIF(FILTER(Data!N:N,Data!B:B=A294),""MIDDLE""))+(COUNTIF(FILTER(Data!N:N,Data!B:B=A294),""LOW"")))) / (((COUNTIF(Data!B:B, A294)))-(CO"&amp;"UNTIF(FILTER(Data!N:N,Data!B:B=A294),""NONE""))),IF(ISBLANK(A294),"""",0))"),"")</f>
        <v/>
      </c>
      <c r="T294" s="56" t="str">
        <f>IFERROR(__xludf.DUMMYFUNCTION("IFERROR((COUNTIF(FILTER(Data!N:N, Data!B:B=A294),""LOW"")) / (COUNTIF(Data!B:B, A294)),"""")"),"")</f>
        <v/>
      </c>
      <c r="U294" s="59" t="str">
        <f>IFERROR(__xludf.DUMMYFUNCTION("IFERROR((COUNTIF(FILTER(Data!N:N, Data!B:B=A294),""MIDDLE"")) / (COUNTIF(Data!B:B, A294)),"""")"),"")</f>
        <v/>
      </c>
      <c r="V294" s="59" t="str">
        <f>IFERROR(__xludf.DUMMYFUNCTION("IFERROR((COUNTIF(FILTER(Data!N:N, Data!B:B=A294),""HIGH"")) / (COUNTIF(Data!B:B, A294)),"""")"),"")</f>
        <v/>
      </c>
      <c r="W294" s="59" t="str">
        <f>IFERROR(__xludf.DUMMYFUNCTION("IFERROR((COUNTIF(FILTER(Data!N:N, Data!B:B=A294),""TRAVERSE"")) / (COUNTIF(Data!B:B, A294)),"""")"),"")</f>
        <v/>
      </c>
      <c r="X294" s="59"/>
      <c r="Y294" s="45" t="str">
        <f t="shared" si="7"/>
        <v/>
      </c>
      <c r="Z294" s="45" t="str">
        <f t="shared" si="8"/>
        <v/>
      </c>
      <c r="AA294" s="16" t="str">
        <f t="shared" si="9"/>
        <v/>
      </c>
      <c r="AB294" s="16"/>
      <c r="AC294" s="16" t="str">
        <f>IFERROR(__xludf.DUMMYFUNCTION("IF(AA294="""","""",MAX(Filter((Data!G:G+Data!K:K),Data!B:B=A294)))"),"")</f>
        <v/>
      </c>
      <c r="AD294" s="16"/>
      <c r="AE294" s="16" t="str">
        <f t="shared" si="12"/>
        <v/>
      </c>
      <c r="AF294" s="16" t="str">
        <f t="shared" si="13"/>
        <v/>
      </c>
      <c r="AG294" s="44"/>
      <c r="AH294" s="44"/>
      <c r="AI294" s="44" t="str">
        <f>IFERROR(__xludf.DUMMYFUNCTION("TEXTJOIN("", "",TRUE, FILTER(Data!P:P, Data!B:B=A294))"),"")</f>
        <v/>
      </c>
      <c r="AM294" s="61"/>
      <c r="BC294" s="50"/>
    </row>
    <row r="295">
      <c r="A295" s="54"/>
      <c r="B295" s="55" t="str">
        <f>IFERROR(__xludf.DUMMYFUNCTION("IFERROR(ROUND(
(COUNTIF(FILTER(Data!O:O, Data!B:B=A295), ""Win"")
+ COUNTIF(FILTER(Data!O:O, Data!B:B=A295), {""Tie"",""Results""}))
/ (COUNTIF(Data!B:B, A295)),
1),"""")"),"")</f>
        <v/>
      </c>
      <c r="C295" s="45" t="str">
        <f>IFERROR((SUMIF(Data!B:B, A295, Data!H:H)
/ (COUNTIF(Data!B:B, A295)
)),"")</f>
        <v/>
      </c>
      <c r="D295" s="45" t="str">
        <f>IFERROR((SUMIF(Data!B:B, A295, Data!G:G)
/ (COUNTIF(Data!B:B, A295)
)),"")</f>
        <v/>
      </c>
      <c r="E295" s="45"/>
      <c r="F295" s="45" t="str">
        <f>IFERROR((SUMIF(Data!B:B, A295, Data!J:J)
/ (COUNTIF(Data!B:B, A295)
)),"")</f>
        <v/>
      </c>
      <c r="G295" s="56" t="str">
        <f>IF(A295="","",IFERROR((((((SUMIF(Data!B:B, A295, Data!H:H)+(SUMIF(Data!B:B, A295,Data!G:G)))/(SUMIF(Data!B:B, A295, Data!J:J)))))),0))</f>
        <v/>
      </c>
      <c r="H295" s="45"/>
      <c r="I295" s="45"/>
      <c r="J295" s="45"/>
      <c r="K295" s="45"/>
      <c r="L295" s="45" t="str">
        <f>IFERROR((SUMIF(Data!B:B, A295, Data!L:L)
/ (COUNTIF(Data!B:B, A295)
)),"")</f>
        <v/>
      </c>
      <c r="M295" s="45" t="str">
        <f>IFERROR((SUMIF(Data!B:B, A295, Data!K:K)
/ (COUNTIF(Data!B:B, A295)
)),"")</f>
        <v/>
      </c>
      <c r="N295" s="56"/>
      <c r="O295" s="56" t="str">
        <f>IF(A295="","",IFERROR((((((SUMIF(Data!B:B, A295, Data!H:H)+(SUMIF(Data!B:B, A295,Data!G:G)+(SUMIF(Data!B:B, A295,Data!L:L)+(SUMIF(Data!B:B, A295,Data!K:K)))))/(SUMIF(Data!B:B, A295, Data!M:M)+(SUMIF(Data!B:B, A295, Data!H:H)+(SUMIF(Data!B:B, A295,Data!G:G)+(SUMIF(Data!B:B, A295,Data!K:K)+(SUMIF(Data!B:B, A295,Data!L:L)))))))))),0))</f>
        <v/>
      </c>
      <c r="P295" s="57" t="str">
        <f>IFERROR(__xludf.DUMMYFUNCTION("IFERROR(((COUNTIF(FILTER(Data!N:N,Data!B:B=A295),""TRAVERSE"")*15)+(COUNTIF(FILTER(Data!N:N,Data!B:B=A295),""HIGH"")*10)+(COUNTIF(FILTER(Data!N:N,Data!B:B=A295),""MIDDLE"")*6)+(COUNTIF(FILTER(Data!N:N,Data!B:B=A295),""LOW"")*4)) / (COUNTIF(Data!B:B, A295)"&amp;"),"""")"),"")</f>
        <v/>
      </c>
      <c r="Q295" s="58"/>
      <c r="R295" s="36" t="str">
        <f t="shared" si="37"/>
        <v/>
      </c>
      <c r="S295" s="58" t="str">
        <f>IFERROR(__xludf.DUMMYFUNCTION("IFERROR((((COUNTIF(FILTER(Data!N:N,Data!B:B=A295),""TRAVERSE""))+(COUNTIF(FILTER(Data!N:N,Data!B:B=A295),""HIGH""))+(COUNTIF(FILTER(Data!N:N,Data!B:B=A295),""MIDDLE""))+(COUNTIF(FILTER(Data!N:N,Data!B:B=A295),""LOW"")))) / (((COUNTIF(Data!B:B, A295)))-(CO"&amp;"UNTIF(FILTER(Data!N:N,Data!B:B=A295),""NONE""))),IF(ISBLANK(A295),"""",0))"),"")</f>
        <v/>
      </c>
      <c r="T295" s="56" t="str">
        <f>IFERROR(__xludf.DUMMYFUNCTION("IFERROR((COUNTIF(FILTER(Data!N:N, Data!B:B=A295),""LOW"")) / (COUNTIF(Data!B:B, A295)),"""")"),"")</f>
        <v/>
      </c>
      <c r="U295" s="59" t="str">
        <f>IFERROR(__xludf.DUMMYFUNCTION("IFERROR((COUNTIF(FILTER(Data!N:N, Data!B:B=A295),""MIDDLE"")) / (COUNTIF(Data!B:B, A295)),"""")"),"")</f>
        <v/>
      </c>
      <c r="V295" s="59" t="str">
        <f>IFERROR(__xludf.DUMMYFUNCTION("IFERROR((COUNTIF(FILTER(Data!N:N, Data!B:B=A295),""HIGH"")) / (COUNTIF(Data!B:B, A295)),"""")"),"")</f>
        <v/>
      </c>
      <c r="W295" s="59" t="str">
        <f>IFERROR(__xludf.DUMMYFUNCTION("IFERROR((COUNTIF(FILTER(Data!N:N, Data!B:B=A295),""TRAVERSE"")) / (COUNTIF(Data!B:B, A295)),"""")"),"")</f>
        <v/>
      </c>
      <c r="X295" s="59"/>
      <c r="Y295" s="45" t="str">
        <f t="shared" si="7"/>
        <v/>
      </c>
      <c r="Z295" s="45" t="str">
        <f t="shared" si="8"/>
        <v/>
      </c>
      <c r="AA295" s="16" t="str">
        <f t="shared" si="9"/>
        <v/>
      </c>
      <c r="AB295" s="16"/>
      <c r="AC295" s="16" t="str">
        <f>IFERROR(__xludf.DUMMYFUNCTION("IF(AA295="""","""",MAX(Filter((Data!G:G+Data!K:K),Data!B:B=A295)))"),"")</f>
        <v/>
      </c>
      <c r="AD295" s="16"/>
      <c r="AE295" s="16" t="str">
        <f t="shared" si="12"/>
        <v/>
      </c>
      <c r="AF295" s="16" t="str">
        <f t="shared" si="13"/>
        <v/>
      </c>
      <c r="AG295" s="44"/>
      <c r="AH295" s="44"/>
      <c r="AI295" s="44" t="str">
        <f>IFERROR(__xludf.DUMMYFUNCTION("TEXTJOIN("", "",TRUE, FILTER(Data!P:P, Data!B:B=A295))"),"")</f>
        <v/>
      </c>
      <c r="AM295" s="61"/>
      <c r="BC295" s="50"/>
    </row>
    <row r="296">
      <c r="A296" s="54"/>
      <c r="B296" s="55" t="str">
        <f>IFERROR(__xludf.DUMMYFUNCTION("IFERROR(ROUND(
(COUNTIF(FILTER(Data!O:O, Data!B:B=A296), ""Win"")
+ COUNTIF(FILTER(Data!O:O, Data!B:B=A296), {""Tie"",""Results""}))
/ (COUNTIF(Data!B:B, A296)),
1),"""")"),"")</f>
        <v/>
      </c>
      <c r="C296" s="45" t="str">
        <f>IFERROR((SUMIF(Data!B:B, A296, Data!H:H)
/ (COUNTIF(Data!B:B, A296)
)),"")</f>
        <v/>
      </c>
      <c r="D296" s="45" t="str">
        <f>IFERROR((SUMIF(Data!B:B, A296, Data!G:G)
/ (COUNTIF(Data!B:B, A296)
)),"")</f>
        <v/>
      </c>
      <c r="E296" s="45"/>
      <c r="F296" s="45" t="str">
        <f>IFERROR((SUMIF(Data!B:B, A296, Data!J:J)
/ (COUNTIF(Data!B:B, A296)
)),"")</f>
        <v/>
      </c>
      <c r="G296" s="56" t="str">
        <f>IF(A296="","",IFERROR((((((SUMIF(Data!B:B, A296, Data!H:H)+(SUMIF(Data!B:B, A296,Data!G:G)))/(SUMIF(Data!B:B, A296, Data!J:J)))))),0))</f>
        <v/>
      </c>
      <c r="H296" s="45"/>
      <c r="I296" s="45"/>
      <c r="J296" s="45"/>
      <c r="K296" s="45"/>
      <c r="L296" s="45" t="str">
        <f>IFERROR((SUMIF(Data!B:B, A296, Data!L:L)
/ (COUNTIF(Data!B:B, A296)
)),"")</f>
        <v/>
      </c>
      <c r="M296" s="45" t="str">
        <f>IFERROR((SUMIF(Data!B:B, A296, Data!K:K)
/ (COUNTIF(Data!B:B, A296)
)),"")</f>
        <v/>
      </c>
      <c r="N296" s="56"/>
      <c r="O296" s="56" t="str">
        <f>IF(A296="","",IFERROR((((((SUMIF(Data!B:B, A296, Data!H:H)+(SUMIF(Data!B:B, A296,Data!G:G)+(SUMIF(Data!B:B, A296,Data!L:L)+(SUMIF(Data!B:B, A296,Data!K:K)))))/(SUMIF(Data!B:B, A296, Data!M:M)+(SUMIF(Data!B:B, A296, Data!H:H)+(SUMIF(Data!B:B, A296,Data!G:G)+(SUMIF(Data!B:B, A296,Data!K:K)+(SUMIF(Data!B:B, A296,Data!L:L)))))))))),0))</f>
        <v/>
      </c>
      <c r="P296" s="57" t="str">
        <f>IFERROR(__xludf.DUMMYFUNCTION("IFERROR(((COUNTIF(FILTER(Data!N:N,Data!B:B=A296),""TRAVERSE"")*15)+(COUNTIF(FILTER(Data!N:N,Data!B:B=A296),""HIGH"")*10)+(COUNTIF(FILTER(Data!N:N,Data!B:B=A296),""MIDDLE"")*6)+(COUNTIF(FILTER(Data!N:N,Data!B:B=A296),""LOW"")*4)) / (COUNTIF(Data!B:B, A296)"&amp;"),"""")"),"")</f>
        <v/>
      </c>
      <c r="Q296" s="58"/>
      <c r="R296" s="36" t="str">
        <f t="shared" si="37"/>
        <v/>
      </c>
      <c r="S296" s="58" t="str">
        <f>IFERROR(__xludf.DUMMYFUNCTION("IFERROR((((COUNTIF(FILTER(Data!N:N,Data!B:B=A296),""TRAVERSE""))+(COUNTIF(FILTER(Data!N:N,Data!B:B=A296),""HIGH""))+(COUNTIF(FILTER(Data!N:N,Data!B:B=A296),""MIDDLE""))+(COUNTIF(FILTER(Data!N:N,Data!B:B=A296),""LOW"")))) / (((COUNTIF(Data!B:B, A296)))-(CO"&amp;"UNTIF(FILTER(Data!N:N,Data!B:B=A296),""NONE""))),IF(ISBLANK(A296),"""",0))"),"")</f>
        <v/>
      </c>
      <c r="T296" s="56" t="str">
        <f>IFERROR(__xludf.DUMMYFUNCTION("IFERROR((COUNTIF(FILTER(Data!N:N, Data!B:B=A296),""LOW"")) / (COUNTIF(Data!B:B, A296)),"""")"),"")</f>
        <v/>
      </c>
      <c r="U296" s="59" t="str">
        <f>IFERROR(__xludf.DUMMYFUNCTION("IFERROR((COUNTIF(FILTER(Data!N:N, Data!B:B=A296),""MIDDLE"")) / (COUNTIF(Data!B:B, A296)),"""")"),"")</f>
        <v/>
      </c>
      <c r="V296" s="59" t="str">
        <f>IFERROR(__xludf.DUMMYFUNCTION("IFERROR((COUNTIF(FILTER(Data!N:N, Data!B:B=A296),""HIGH"")) / (COUNTIF(Data!B:B, A296)),"""")"),"")</f>
        <v/>
      </c>
      <c r="W296" s="59" t="str">
        <f>IFERROR(__xludf.DUMMYFUNCTION("IFERROR((COUNTIF(FILTER(Data!N:N, Data!B:B=A296),""TRAVERSE"")) / (COUNTIF(Data!B:B, A296)),"""")"),"")</f>
        <v/>
      </c>
      <c r="X296" s="59"/>
      <c r="Y296" s="45" t="str">
        <f t="shared" si="7"/>
        <v/>
      </c>
      <c r="Z296" s="45" t="str">
        <f t="shared" si="8"/>
        <v/>
      </c>
      <c r="AA296" s="16" t="str">
        <f t="shared" si="9"/>
        <v/>
      </c>
      <c r="AB296" s="16"/>
      <c r="AC296" s="16" t="str">
        <f>IFERROR(__xludf.DUMMYFUNCTION("IF(AA296="""","""",MAX(Filter((Data!G:G+Data!K:K),Data!B:B=A296)))"),"")</f>
        <v/>
      </c>
      <c r="AD296" s="16"/>
      <c r="AE296" s="16" t="str">
        <f t="shared" si="12"/>
        <v/>
      </c>
      <c r="AF296" s="16" t="str">
        <f t="shared" si="13"/>
        <v/>
      </c>
      <c r="AG296" s="44"/>
      <c r="AH296" s="44"/>
      <c r="AI296" s="44" t="str">
        <f>IFERROR(__xludf.DUMMYFUNCTION("TEXTJOIN("", "",TRUE, FILTER(Data!P:P, Data!B:B=A296))"),"")</f>
        <v/>
      </c>
      <c r="AM296" s="61"/>
      <c r="BC296" s="50"/>
    </row>
    <row r="297">
      <c r="A297" s="54"/>
      <c r="B297" s="55" t="str">
        <f>IFERROR(__xludf.DUMMYFUNCTION("IFERROR(ROUND(
(COUNTIF(FILTER(Data!O:O, Data!B:B=A297), ""Win"")
+ COUNTIF(FILTER(Data!O:O, Data!B:B=A297), {""Tie"",""Results""}))
/ (COUNTIF(Data!B:B, A297)),
1),"""")"),"")</f>
        <v/>
      </c>
      <c r="C297" s="45" t="str">
        <f>IFERROR((SUMIF(Data!B:B, A297, Data!H:H)
/ (COUNTIF(Data!B:B, A297)
)),"")</f>
        <v/>
      </c>
      <c r="D297" s="45" t="str">
        <f>IFERROR((SUMIF(Data!B:B, A297, Data!G:G)
/ (COUNTIF(Data!B:B, A297)
)),"")</f>
        <v/>
      </c>
      <c r="E297" s="45"/>
      <c r="F297" s="45" t="str">
        <f>IFERROR((SUMIF(Data!B:B, A297, Data!J:J)
/ (COUNTIF(Data!B:B, A297)
)),"")</f>
        <v/>
      </c>
      <c r="G297" s="56" t="str">
        <f>IF(A297="","",IFERROR((((((SUMIF(Data!B:B, A297, Data!H:H)+(SUMIF(Data!B:B, A297,Data!G:G)))/(SUMIF(Data!B:B, A297, Data!J:J)))))),0))</f>
        <v/>
      </c>
      <c r="H297" s="45"/>
      <c r="I297" s="45"/>
      <c r="J297" s="45"/>
      <c r="K297" s="45"/>
      <c r="L297" s="45" t="str">
        <f>IFERROR((SUMIF(Data!B:B, A297, Data!L:L)
/ (COUNTIF(Data!B:B, A297)
)),"")</f>
        <v/>
      </c>
      <c r="M297" s="45" t="str">
        <f>IFERROR((SUMIF(Data!B:B, A297, Data!K:K)
/ (COUNTIF(Data!B:B, A297)
)),"")</f>
        <v/>
      </c>
      <c r="N297" s="56"/>
      <c r="O297" s="56" t="str">
        <f>IF(A297="","",IFERROR((((((SUMIF(Data!B:B, A297, Data!H:H)+(SUMIF(Data!B:B, A297,Data!G:G)+(SUMIF(Data!B:B, A297,Data!L:L)+(SUMIF(Data!B:B, A297,Data!K:K)))))/(SUMIF(Data!B:B, A297, Data!M:M)+(SUMIF(Data!B:B, A297, Data!H:H)+(SUMIF(Data!B:B, A297,Data!G:G)+(SUMIF(Data!B:B, A297,Data!K:K)+(SUMIF(Data!B:B, A297,Data!L:L)))))))))),0))</f>
        <v/>
      </c>
      <c r="P297" s="57" t="str">
        <f>IFERROR(__xludf.DUMMYFUNCTION("IFERROR(((COUNTIF(FILTER(Data!N:N,Data!B:B=A297),""TRAVERSE"")*15)+(COUNTIF(FILTER(Data!N:N,Data!B:B=A297),""HIGH"")*10)+(COUNTIF(FILTER(Data!N:N,Data!B:B=A297),""MIDDLE"")*6)+(COUNTIF(FILTER(Data!N:N,Data!B:B=A297),""LOW"")*4)) / (COUNTIF(Data!B:B, A297)"&amp;"),"""")"),"")</f>
        <v/>
      </c>
      <c r="Q297" s="58"/>
      <c r="R297" s="36" t="str">
        <f t="shared" si="37"/>
        <v/>
      </c>
      <c r="S297" s="58" t="str">
        <f>IFERROR(__xludf.DUMMYFUNCTION("IFERROR((((COUNTIF(FILTER(Data!N:N,Data!B:B=A297),""TRAVERSE""))+(COUNTIF(FILTER(Data!N:N,Data!B:B=A297),""HIGH""))+(COUNTIF(FILTER(Data!N:N,Data!B:B=A297),""MIDDLE""))+(COUNTIF(FILTER(Data!N:N,Data!B:B=A297),""LOW"")))) / (((COUNTIF(Data!B:B, A297)))-(CO"&amp;"UNTIF(FILTER(Data!N:N,Data!B:B=A297),""NONE""))),IF(ISBLANK(A297),"""",0))"),"")</f>
        <v/>
      </c>
      <c r="T297" s="56" t="str">
        <f>IFERROR(__xludf.DUMMYFUNCTION("IFERROR((COUNTIF(FILTER(Data!N:N, Data!B:B=A297),""LOW"")) / (COUNTIF(Data!B:B, A297)),"""")"),"")</f>
        <v/>
      </c>
      <c r="U297" s="59" t="str">
        <f>IFERROR(__xludf.DUMMYFUNCTION("IFERROR((COUNTIF(FILTER(Data!N:N, Data!B:B=A297),""MIDDLE"")) / (COUNTIF(Data!B:B, A297)),"""")"),"")</f>
        <v/>
      </c>
      <c r="V297" s="59" t="str">
        <f>IFERROR(__xludf.DUMMYFUNCTION("IFERROR((COUNTIF(FILTER(Data!N:N, Data!B:B=A297),""HIGH"")) / (COUNTIF(Data!B:B, A297)),"""")"),"")</f>
        <v/>
      </c>
      <c r="W297" s="59" t="str">
        <f>IFERROR(__xludf.DUMMYFUNCTION("IFERROR((COUNTIF(FILTER(Data!N:N, Data!B:B=A297),""TRAVERSE"")) / (COUNTIF(Data!B:B, A297)),"""")"),"")</f>
        <v/>
      </c>
      <c r="X297" s="59"/>
      <c r="Y297" s="45" t="str">
        <f t="shared" si="7"/>
        <v/>
      </c>
      <c r="Z297" s="45" t="str">
        <f t="shared" si="8"/>
        <v/>
      </c>
      <c r="AA297" s="16" t="str">
        <f t="shared" si="9"/>
        <v/>
      </c>
      <c r="AB297" s="16"/>
      <c r="AC297" s="16" t="str">
        <f>IFERROR(__xludf.DUMMYFUNCTION("IF(AA297="""","""",MAX(Filter((Data!G:G+Data!K:K),Data!B:B=A297)))"),"")</f>
        <v/>
      </c>
      <c r="AD297" s="16"/>
      <c r="AE297" s="16" t="str">
        <f t="shared" si="12"/>
        <v/>
      </c>
      <c r="AF297" s="16" t="str">
        <f t="shared" si="13"/>
        <v/>
      </c>
      <c r="AG297" s="44"/>
      <c r="AH297" s="44"/>
      <c r="AI297" s="44" t="str">
        <f>IFERROR(__xludf.DUMMYFUNCTION("TEXTJOIN("", "",TRUE, FILTER(Data!P:P, Data!B:B=A297))"),"")</f>
        <v/>
      </c>
      <c r="AM297" s="61"/>
      <c r="BC297" s="50"/>
    </row>
    <row r="298">
      <c r="A298" s="54"/>
      <c r="B298" s="55" t="str">
        <f>IFERROR(__xludf.DUMMYFUNCTION("IFERROR(ROUND(
(COUNTIF(FILTER(Data!O:O, Data!B:B=A298), ""Win"")
+ COUNTIF(FILTER(Data!O:O, Data!B:B=A298), {""Tie"",""Results""}))
/ (COUNTIF(Data!B:B, A298)),
1),"""")"),"")</f>
        <v/>
      </c>
      <c r="C298" s="45" t="str">
        <f>IFERROR((SUMIF(Data!B:B, A298, Data!H:H)
/ (COUNTIF(Data!B:B, A298)
)),"")</f>
        <v/>
      </c>
      <c r="D298" s="45" t="str">
        <f>IFERROR((SUMIF(Data!B:B, A298, Data!G:G)
/ (COUNTIF(Data!B:B, A298)
)),"")</f>
        <v/>
      </c>
      <c r="E298" s="45"/>
      <c r="F298" s="45" t="str">
        <f>IFERROR((SUMIF(Data!B:B, A298, Data!J:J)
/ (COUNTIF(Data!B:B, A298)
)),"")</f>
        <v/>
      </c>
      <c r="G298" s="56" t="str">
        <f>IF(A298="","",IFERROR((((((SUMIF(Data!B:B, A298, Data!H:H)+(SUMIF(Data!B:B, A298,Data!G:G)))/(SUMIF(Data!B:B, A298, Data!J:J)))))),0))</f>
        <v/>
      </c>
      <c r="H298" s="45"/>
      <c r="I298" s="45"/>
      <c r="J298" s="45"/>
      <c r="K298" s="45"/>
      <c r="L298" s="45" t="str">
        <f>IFERROR((SUMIF(Data!B:B, A298, Data!L:L)
/ (COUNTIF(Data!B:B, A298)
)),"")</f>
        <v/>
      </c>
      <c r="M298" s="45" t="str">
        <f>IFERROR((SUMIF(Data!B:B, A298, Data!K:K)
/ (COUNTIF(Data!B:B, A298)
)),"")</f>
        <v/>
      </c>
      <c r="N298" s="56"/>
      <c r="O298" s="56" t="str">
        <f>IF(A298="","",IFERROR((((((SUMIF(Data!B:B, A298, Data!H:H)+(SUMIF(Data!B:B, A298,Data!G:G)+(SUMIF(Data!B:B, A298,Data!L:L)+(SUMIF(Data!B:B, A298,Data!K:K)))))/(SUMIF(Data!B:B, A298, Data!M:M)+(SUMIF(Data!B:B, A298, Data!H:H)+(SUMIF(Data!B:B, A298,Data!G:G)+(SUMIF(Data!B:B, A298,Data!K:K)+(SUMIF(Data!B:B, A298,Data!L:L)))))))))),0))</f>
        <v/>
      </c>
      <c r="P298" s="57" t="str">
        <f>IFERROR(__xludf.DUMMYFUNCTION("IFERROR(((COUNTIF(FILTER(Data!N:N,Data!B:B=A298),""TRAVERSE"")*15)+(COUNTIF(FILTER(Data!N:N,Data!B:B=A298),""HIGH"")*10)+(COUNTIF(FILTER(Data!N:N,Data!B:B=A298),""MIDDLE"")*6)+(COUNTIF(FILTER(Data!N:N,Data!B:B=A298),""LOW"")*4)) / (COUNTIF(Data!B:B, A298)"&amp;"),"""")"),"")</f>
        <v/>
      </c>
      <c r="Q298" s="58"/>
      <c r="R298" s="36" t="str">
        <f t="shared" si="37"/>
        <v/>
      </c>
      <c r="S298" s="58" t="str">
        <f>IFERROR(__xludf.DUMMYFUNCTION("IFERROR((((COUNTIF(FILTER(Data!N:N,Data!B:B=A298),""TRAVERSE""))+(COUNTIF(FILTER(Data!N:N,Data!B:B=A298),""HIGH""))+(COUNTIF(FILTER(Data!N:N,Data!B:B=A298),""MIDDLE""))+(COUNTIF(FILTER(Data!N:N,Data!B:B=A298),""LOW"")))) / (((COUNTIF(Data!B:B, A298)))-(CO"&amp;"UNTIF(FILTER(Data!N:N,Data!B:B=A298),""NONE""))),IF(ISBLANK(A298),"""",0))"),"")</f>
        <v/>
      </c>
      <c r="T298" s="56" t="str">
        <f>IFERROR(__xludf.DUMMYFUNCTION("IFERROR((COUNTIF(FILTER(Data!N:N, Data!B:B=A298),""LOW"")) / (COUNTIF(Data!B:B, A298)),"""")"),"")</f>
        <v/>
      </c>
      <c r="U298" s="59" t="str">
        <f>IFERROR(__xludf.DUMMYFUNCTION("IFERROR((COUNTIF(FILTER(Data!N:N, Data!B:B=A298),""MIDDLE"")) / (COUNTIF(Data!B:B, A298)),"""")"),"")</f>
        <v/>
      </c>
      <c r="V298" s="59" t="str">
        <f>IFERROR(__xludf.DUMMYFUNCTION("IFERROR((COUNTIF(FILTER(Data!N:N, Data!B:B=A298),""HIGH"")) / (COUNTIF(Data!B:B, A298)),"""")"),"")</f>
        <v/>
      </c>
      <c r="W298" s="59" t="str">
        <f>IFERROR(__xludf.DUMMYFUNCTION("IFERROR((COUNTIF(FILTER(Data!N:N, Data!B:B=A298),""TRAVERSE"")) / (COUNTIF(Data!B:B, A298)),"""")"),"")</f>
        <v/>
      </c>
      <c r="X298" s="59"/>
      <c r="Y298" s="45" t="str">
        <f t="shared" si="7"/>
        <v/>
      </c>
      <c r="Z298" s="45" t="str">
        <f t="shared" si="8"/>
        <v/>
      </c>
      <c r="AA298" s="16" t="str">
        <f t="shared" si="9"/>
        <v/>
      </c>
      <c r="AB298" s="16"/>
      <c r="AC298" s="16" t="str">
        <f>IFERROR(__xludf.DUMMYFUNCTION("IF(AA298="""","""",MAX(Filter((Data!G:G+Data!K:K),Data!B:B=A298)))"),"")</f>
        <v/>
      </c>
      <c r="AD298" s="16"/>
      <c r="AE298" s="16" t="str">
        <f t="shared" si="12"/>
        <v/>
      </c>
      <c r="AF298" s="16" t="str">
        <f t="shared" si="13"/>
        <v/>
      </c>
      <c r="AG298" s="44"/>
      <c r="AH298" s="44"/>
      <c r="AI298" s="44" t="str">
        <f>IFERROR(__xludf.DUMMYFUNCTION("TEXTJOIN("", "",TRUE, FILTER(Data!P:P, Data!B:B=A298))"),"")</f>
        <v/>
      </c>
      <c r="AM298" s="61"/>
      <c r="BC298" s="50"/>
    </row>
    <row r="299">
      <c r="A299" s="54"/>
      <c r="B299" s="55" t="str">
        <f>IFERROR(__xludf.DUMMYFUNCTION("IFERROR(ROUND(
(COUNTIF(FILTER(Data!O:O, Data!B:B=A299), ""Win"")
+ COUNTIF(FILTER(Data!O:O, Data!B:B=A299), {""Tie"",""Results""}))
/ (COUNTIF(Data!B:B, A299)),
1),"""")"),"")</f>
        <v/>
      </c>
      <c r="C299" s="45" t="str">
        <f>IFERROR((SUMIF(Data!B:B, A299, Data!H:H)
/ (COUNTIF(Data!B:B, A299)
)),"")</f>
        <v/>
      </c>
      <c r="D299" s="45" t="str">
        <f>IFERROR((SUMIF(Data!B:B, A299, Data!G:G)
/ (COUNTIF(Data!B:B, A299)
)),"")</f>
        <v/>
      </c>
      <c r="E299" s="45"/>
      <c r="F299" s="45" t="str">
        <f>IFERROR((SUMIF(Data!B:B, A299, Data!J:J)
/ (COUNTIF(Data!B:B, A299)
)),"")</f>
        <v/>
      </c>
      <c r="G299" s="56" t="str">
        <f>IF(A299="","",IFERROR((((((SUMIF(Data!B:B, A299, Data!H:H)+(SUMIF(Data!B:B, A299,Data!G:G)))/(SUMIF(Data!B:B, A299, Data!J:J)))))),0))</f>
        <v/>
      </c>
      <c r="H299" s="45"/>
      <c r="I299" s="45"/>
      <c r="J299" s="45"/>
      <c r="K299" s="45"/>
      <c r="L299" s="45" t="str">
        <f>IFERROR((SUMIF(Data!B:B, A299, Data!L:L)
/ (COUNTIF(Data!B:B, A299)
)),"")</f>
        <v/>
      </c>
      <c r="M299" s="45" t="str">
        <f>IFERROR((SUMIF(Data!B:B, A299, Data!K:K)
/ (COUNTIF(Data!B:B, A299)
)),"")</f>
        <v/>
      </c>
      <c r="N299" s="56"/>
      <c r="O299" s="56" t="str">
        <f>IF(A299="","",IFERROR((((((SUMIF(Data!B:B, A299, Data!H:H)+(SUMIF(Data!B:B, A299,Data!G:G)+(SUMIF(Data!B:B, A299,Data!L:L)+(SUMIF(Data!B:B, A299,Data!K:K)))))/(SUMIF(Data!B:B, A299, Data!M:M)+(SUMIF(Data!B:B, A299, Data!H:H)+(SUMIF(Data!B:B, A299,Data!G:G)+(SUMIF(Data!B:B, A299,Data!K:K)+(SUMIF(Data!B:B, A299,Data!L:L)))))))))),0))</f>
        <v/>
      </c>
      <c r="P299" s="57" t="str">
        <f>IFERROR(__xludf.DUMMYFUNCTION("IFERROR(((COUNTIF(FILTER(Data!N:N,Data!B:B=A299),""TRAVERSE"")*15)+(COUNTIF(FILTER(Data!N:N,Data!B:B=A299),""HIGH"")*10)+(COUNTIF(FILTER(Data!N:N,Data!B:B=A299),""MIDDLE"")*6)+(COUNTIF(FILTER(Data!N:N,Data!B:B=A299),""LOW"")*4)) / (COUNTIF(Data!B:B, A299)"&amp;"),"""")"),"")</f>
        <v/>
      </c>
      <c r="Q299" s="58"/>
      <c r="R299" s="36" t="str">
        <f t="shared" si="37"/>
        <v/>
      </c>
      <c r="S299" s="58" t="str">
        <f>IFERROR(__xludf.DUMMYFUNCTION("IFERROR((((COUNTIF(FILTER(Data!N:N,Data!B:B=A299),""TRAVERSE""))+(COUNTIF(FILTER(Data!N:N,Data!B:B=A299),""HIGH""))+(COUNTIF(FILTER(Data!N:N,Data!B:B=A299),""MIDDLE""))+(COUNTIF(FILTER(Data!N:N,Data!B:B=A299),""LOW"")))) / (((COUNTIF(Data!B:B, A299)))-(CO"&amp;"UNTIF(FILTER(Data!N:N,Data!B:B=A299),""NONE""))),IF(ISBLANK(A299),"""",0))"),"")</f>
        <v/>
      </c>
      <c r="T299" s="56" t="str">
        <f>IFERROR(__xludf.DUMMYFUNCTION("IFERROR((COUNTIF(FILTER(Data!N:N, Data!B:B=A299),""LOW"")) / (COUNTIF(Data!B:B, A299)),"""")"),"")</f>
        <v/>
      </c>
      <c r="U299" s="59" t="str">
        <f>IFERROR(__xludf.DUMMYFUNCTION("IFERROR((COUNTIF(FILTER(Data!N:N, Data!B:B=A299),""MIDDLE"")) / (COUNTIF(Data!B:B, A299)),"""")"),"")</f>
        <v/>
      </c>
      <c r="V299" s="59" t="str">
        <f>IFERROR(__xludf.DUMMYFUNCTION("IFERROR((COUNTIF(FILTER(Data!N:N, Data!B:B=A299),""HIGH"")) / (COUNTIF(Data!B:B, A299)),"""")"),"")</f>
        <v/>
      </c>
      <c r="W299" s="59" t="str">
        <f>IFERROR(__xludf.DUMMYFUNCTION("IFERROR((COUNTIF(FILTER(Data!N:N, Data!B:B=A299),""TRAVERSE"")) / (COUNTIF(Data!B:B, A299)),"""")"),"")</f>
        <v/>
      </c>
      <c r="X299" s="59"/>
      <c r="Y299" s="45" t="str">
        <f t="shared" si="7"/>
        <v/>
      </c>
      <c r="Z299" s="45" t="str">
        <f t="shared" si="8"/>
        <v/>
      </c>
      <c r="AA299" s="16" t="str">
        <f t="shared" si="9"/>
        <v/>
      </c>
      <c r="AB299" s="16"/>
      <c r="AC299" s="16" t="str">
        <f>IFERROR(__xludf.DUMMYFUNCTION("IF(AA299="""","""",MAX(Filter((Data!G:G+Data!K:K),Data!B:B=A299)))"),"")</f>
        <v/>
      </c>
      <c r="AD299" s="16"/>
      <c r="AE299" s="16" t="str">
        <f t="shared" si="12"/>
        <v/>
      </c>
      <c r="AF299" s="16" t="str">
        <f t="shared" si="13"/>
        <v/>
      </c>
      <c r="AG299" s="44"/>
      <c r="AH299" s="44"/>
      <c r="AI299" s="44" t="str">
        <f>IFERROR(__xludf.DUMMYFUNCTION("TEXTJOIN("", "",TRUE, FILTER(Data!P:P, Data!B:B=A299))"),"")</f>
        <v/>
      </c>
      <c r="AM299" s="61"/>
      <c r="BC299" s="50"/>
    </row>
    <row r="300">
      <c r="A300" s="54"/>
      <c r="B300" s="55" t="str">
        <f>IFERROR(__xludf.DUMMYFUNCTION("IFERROR(ROUND(
(COUNTIF(FILTER(Data!O:O, Data!B:B=A300), ""Win"")
+ COUNTIF(FILTER(Data!O:O, Data!B:B=A300), {""Tie"",""Results""}))
/ (COUNTIF(Data!B:B, A300)),
1),"""")"),"")</f>
        <v/>
      </c>
      <c r="C300" s="45" t="str">
        <f>IFERROR((SUMIF(Data!B:B, A300, Data!H:H)
/ (COUNTIF(Data!B:B, A300)
)),"")</f>
        <v/>
      </c>
      <c r="D300" s="45" t="str">
        <f>IFERROR((SUMIF(Data!B:B, A300, Data!G:G)
/ (COUNTIF(Data!B:B, A300)
)),"")</f>
        <v/>
      </c>
      <c r="E300" s="45"/>
      <c r="F300" s="45" t="str">
        <f>IFERROR((SUMIF(Data!B:B, A300, Data!J:J)
/ (COUNTIF(Data!B:B, A300)
)),"")</f>
        <v/>
      </c>
      <c r="G300" s="56" t="str">
        <f>IF(A300="","",IFERROR((((((SUMIF(Data!B:B, A300, Data!H:H)+(SUMIF(Data!B:B, A300,Data!G:G)))/(SUMIF(Data!B:B, A300, Data!J:J)))))),0))</f>
        <v/>
      </c>
      <c r="H300" s="45"/>
      <c r="I300" s="45"/>
      <c r="J300" s="45"/>
      <c r="K300" s="45"/>
      <c r="L300" s="45" t="str">
        <f>IFERROR((SUMIF(Data!B:B, A300, Data!L:L)
/ (COUNTIF(Data!B:B, A300)
)),"")</f>
        <v/>
      </c>
      <c r="M300" s="45" t="str">
        <f>IFERROR((SUMIF(Data!B:B, A300, Data!K:K)
/ (COUNTIF(Data!B:B, A300)
)),"")</f>
        <v/>
      </c>
      <c r="N300" s="56"/>
      <c r="O300" s="56" t="str">
        <f>IF(A300="","",IFERROR((((((SUMIF(Data!B:B, A300, Data!H:H)+(SUMIF(Data!B:B, A300,Data!G:G)+(SUMIF(Data!B:B, A300,Data!L:L)+(SUMIF(Data!B:B, A300,Data!K:K)))))/(SUMIF(Data!B:B, A300, Data!M:M)+(SUMIF(Data!B:B, A300, Data!H:H)+(SUMIF(Data!B:B, A300,Data!G:G)+(SUMIF(Data!B:B, A300,Data!K:K)+(SUMIF(Data!B:B, A300,Data!L:L)))))))))),0))</f>
        <v/>
      </c>
      <c r="P300" s="57" t="str">
        <f>IFERROR(__xludf.DUMMYFUNCTION("IFERROR(((COUNTIF(FILTER(Data!N:N,Data!B:B=A300),""TRAVERSE"")*15)+(COUNTIF(FILTER(Data!N:N,Data!B:B=A300),""HIGH"")*10)+(COUNTIF(FILTER(Data!N:N,Data!B:B=A300),""MIDDLE"")*6)+(COUNTIF(FILTER(Data!N:N,Data!B:B=A300),""LOW"")*4)) / (COUNTIF(Data!B:B, A300)"&amp;"),"""")"),"")</f>
        <v/>
      </c>
      <c r="Q300" s="58"/>
      <c r="R300" s="36" t="str">
        <f t="shared" si="37"/>
        <v/>
      </c>
      <c r="S300" s="58" t="str">
        <f>IFERROR(__xludf.DUMMYFUNCTION("IFERROR((((COUNTIF(FILTER(Data!N:N,Data!B:B=A300),""TRAVERSE""))+(COUNTIF(FILTER(Data!N:N,Data!B:B=A300),""HIGH""))+(COUNTIF(FILTER(Data!N:N,Data!B:B=A300),""MIDDLE""))+(COUNTIF(FILTER(Data!N:N,Data!B:B=A300),""LOW"")))) / (((COUNTIF(Data!B:B, A300)))-(CO"&amp;"UNTIF(FILTER(Data!N:N,Data!B:B=A300),""NONE""))),IF(ISBLANK(A300),"""",0))"),"")</f>
        <v/>
      </c>
      <c r="T300" s="56" t="str">
        <f>IFERROR(__xludf.DUMMYFUNCTION("IFERROR((COUNTIF(FILTER(Data!N:N, Data!B:B=A300),""LOW"")) / (COUNTIF(Data!B:B, A300)),"""")"),"")</f>
        <v/>
      </c>
      <c r="U300" s="59" t="str">
        <f>IFERROR(__xludf.DUMMYFUNCTION("IFERROR((COUNTIF(FILTER(Data!N:N, Data!B:B=A300),""MIDDLE"")) / (COUNTIF(Data!B:B, A300)),"""")"),"")</f>
        <v/>
      </c>
      <c r="V300" s="59" t="str">
        <f>IFERROR(__xludf.DUMMYFUNCTION("IFERROR((COUNTIF(FILTER(Data!N:N, Data!B:B=A300),""HIGH"")) / (COUNTIF(Data!B:B, A300)),"""")"),"")</f>
        <v/>
      </c>
      <c r="W300" s="59" t="str">
        <f>IFERROR(__xludf.DUMMYFUNCTION("IFERROR((COUNTIF(FILTER(Data!N:N, Data!B:B=A300),""TRAVERSE"")) / (COUNTIF(Data!B:B, A300)),"""")"),"")</f>
        <v/>
      </c>
      <c r="X300" s="59"/>
      <c r="Y300" s="45" t="str">
        <f t="shared" si="7"/>
        <v/>
      </c>
      <c r="Z300" s="45" t="str">
        <f t="shared" si="8"/>
        <v/>
      </c>
      <c r="AA300" s="16" t="str">
        <f t="shared" si="9"/>
        <v/>
      </c>
      <c r="AB300" s="16"/>
      <c r="AC300" s="16" t="str">
        <f>IFERROR(__xludf.DUMMYFUNCTION("IF(AA300="""","""",MAX(Filter((Data!G:G+Data!K:K),Data!B:B=A300)))"),"")</f>
        <v/>
      </c>
      <c r="AD300" s="16"/>
      <c r="AE300" s="16" t="str">
        <f t="shared" si="12"/>
        <v/>
      </c>
      <c r="AF300" s="16" t="str">
        <f t="shared" si="13"/>
        <v/>
      </c>
      <c r="AG300" s="44"/>
      <c r="AH300" s="44"/>
      <c r="AI300" s="44" t="str">
        <f>IFERROR(__xludf.DUMMYFUNCTION("TEXTJOIN("", "",TRUE, FILTER(Data!P:P, Data!B:B=A300))"),"")</f>
        <v/>
      </c>
      <c r="AM300" s="61"/>
      <c r="BC300" s="50"/>
    </row>
    <row r="301">
      <c r="A301" s="54"/>
      <c r="B301" s="55" t="str">
        <f>IFERROR(__xludf.DUMMYFUNCTION("IFERROR(ROUND(
(COUNTIF(FILTER(Data!O:O, Data!B:B=A301), ""Win"")
+ COUNTIF(FILTER(Data!O:O, Data!B:B=A301), {""Tie"",""Results""}))
/ (COUNTIF(Data!B:B, A301)),
1),"""")"),"")</f>
        <v/>
      </c>
      <c r="C301" s="45" t="str">
        <f>IFERROR((SUMIF(Data!B:B, A301, Data!H:H)
/ (COUNTIF(Data!B:B, A301)
)),"")</f>
        <v/>
      </c>
      <c r="D301" s="45" t="str">
        <f>IFERROR((SUMIF(Data!B:B, A301, Data!G:G)
/ (COUNTIF(Data!B:B, A301)
)),"")</f>
        <v/>
      </c>
      <c r="E301" s="45"/>
      <c r="F301" s="45" t="str">
        <f>IFERROR((SUMIF(Data!B:B, A301, Data!J:J)
/ (COUNTIF(Data!B:B, A301)
)),"")</f>
        <v/>
      </c>
      <c r="G301" s="56" t="str">
        <f>IF(A301="","",IFERROR((((((SUMIF(Data!B:B, A301, Data!H:H)+(SUMIF(Data!B:B, A301,Data!G:G)))/(SUMIF(Data!B:B, A301, Data!J:J)))))),0))</f>
        <v/>
      </c>
      <c r="H301" s="45"/>
      <c r="I301" s="45"/>
      <c r="J301" s="45"/>
      <c r="K301" s="45"/>
      <c r="L301" s="45" t="str">
        <f>IFERROR((SUMIF(Data!B:B, A301, Data!L:L)
/ (COUNTIF(Data!B:B, A301)
)),"")</f>
        <v/>
      </c>
      <c r="M301" s="45" t="str">
        <f>IFERROR((SUMIF(Data!B:B, A301, Data!K:K)
/ (COUNTIF(Data!B:B, A301)
)),"")</f>
        <v/>
      </c>
      <c r="N301" s="56"/>
      <c r="O301" s="56" t="str">
        <f>IF(A301="","",IFERROR((((((SUMIF(Data!B:B, A301, Data!H:H)+(SUMIF(Data!B:B, A301,Data!G:G)+(SUMIF(Data!B:B, A301,Data!L:L)+(SUMIF(Data!B:B, A301,Data!K:K)))))/(SUMIF(Data!B:B, A301, Data!M:M)+(SUMIF(Data!B:B, A301, Data!H:H)+(SUMIF(Data!B:B, A301,Data!G:G)+(SUMIF(Data!B:B, A301,Data!K:K)+(SUMIF(Data!B:B, A301,Data!L:L)))))))))),0))</f>
        <v/>
      </c>
      <c r="P301" s="57" t="str">
        <f>IFERROR(__xludf.DUMMYFUNCTION("IFERROR(((COUNTIF(FILTER(Data!N:N,Data!B:B=A301),""TRAVERSE"")*15)+(COUNTIF(FILTER(Data!N:N,Data!B:B=A301),""HIGH"")*10)+(COUNTIF(FILTER(Data!N:N,Data!B:B=A301),""MIDDLE"")*6)+(COUNTIF(FILTER(Data!N:N,Data!B:B=A301),""LOW"")*4)) / (COUNTIF(Data!B:B, A301)"&amp;"),"""")"),"")</f>
        <v/>
      </c>
      <c r="Q301" s="58"/>
      <c r="R301" s="36" t="str">
        <f t="shared" si="37"/>
        <v/>
      </c>
      <c r="S301" s="58" t="str">
        <f>IFERROR(__xludf.DUMMYFUNCTION("IFERROR((((COUNTIF(FILTER(Data!N:N,Data!B:B=A301),""TRAVERSE""))+(COUNTIF(FILTER(Data!N:N,Data!B:B=A301),""HIGH""))+(COUNTIF(FILTER(Data!N:N,Data!B:B=A301),""MIDDLE""))+(COUNTIF(FILTER(Data!N:N,Data!B:B=A301),""LOW"")))) / (((COUNTIF(Data!B:B, A301)))-(CO"&amp;"UNTIF(FILTER(Data!N:N,Data!B:B=A301),""NONE""))),IF(ISBLANK(A301),"""",0))"),"")</f>
        <v/>
      </c>
      <c r="T301" s="56" t="str">
        <f>IFERROR(__xludf.DUMMYFUNCTION("IFERROR((COUNTIF(FILTER(Data!N:N, Data!B:B=A301),""LOW"")) / (COUNTIF(Data!B:B, A301)),"""")"),"")</f>
        <v/>
      </c>
      <c r="U301" s="59" t="str">
        <f>IFERROR(__xludf.DUMMYFUNCTION("IFERROR((COUNTIF(FILTER(Data!N:N, Data!B:B=A301),""MIDDLE"")) / (COUNTIF(Data!B:B, A301)),"""")"),"")</f>
        <v/>
      </c>
      <c r="V301" s="59" t="str">
        <f>IFERROR(__xludf.DUMMYFUNCTION("IFERROR((COUNTIF(FILTER(Data!N:N, Data!B:B=A301),""HIGH"")) / (COUNTIF(Data!B:B, A301)),"""")"),"")</f>
        <v/>
      </c>
      <c r="W301" s="59" t="str">
        <f>IFERROR(__xludf.DUMMYFUNCTION("IFERROR((COUNTIF(FILTER(Data!N:N, Data!B:B=A301),""TRAVERSE"")) / (COUNTIF(Data!B:B, A301)),"""")"),"")</f>
        <v/>
      </c>
      <c r="X301" s="59"/>
      <c r="Y301" s="45" t="str">
        <f t="shared" si="7"/>
        <v/>
      </c>
      <c r="Z301" s="45" t="str">
        <f t="shared" si="8"/>
        <v/>
      </c>
      <c r="AA301" s="16" t="str">
        <f t="shared" si="9"/>
        <v/>
      </c>
      <c r="AB301" s="16"/>
      <c r="AC301" s="16" t="str">
        <f>IFERROR(__xludf.DUMMYFUNCTION("IF(AA301="""","""",MAX(Filter((Data!G:G+Data!K:K),Data!B:B=A301)))"),"")</f>
        <v/>
      </c>
      <c r="AD301" s="16"/>
      <c r="AE301" s="16" t="str">
        <f t="shared" si="12"/>
        <v/>
      </c>
      <c r="AF301" s="16" t="str">
        <f t="shared" si="13"/>
        <v/>
      </c>
      <c r="AG301" s="44"/>
      <c r="AH301" s="44"/>
      <c r="AI301" s="44" t="str">
        <f>IFERROR(__xludf.DUMMYFUNCTION("TEXTJOIN("", "",TRUE, FILTER(Data!P:P, Data!B:B=A301))"),"")</f>
        <v/>
      </c>
      <c r="AM301" s="61"/>
      <c r="BC301" s="50"/>
    </row>
    <row r="302">
      <c r="A302" s="54"/>
      <c r="B302" s="55" t="str">
        <f>IFERROR(__xludf.DUMMYFUNCTION("IFERROR(ROUND(
(COUNTIF(FILTER(Data!O:O, Data!B:B=A302), ""Win"")
+ COUNTIF(FILTER(Data!O:O, Data!B:B=A302), {""Tie"",""Results""}))
/ (COUNTIF(Data!B:B, A302)),
1),"""")"),"")</f>
        <v/>
      </c>
      <c r="C302" s="45" t="str">
        <f>IFERROR((SUMIF(Data!B:B, A302, Data!H:H)
/ (COUNTIF(Data!B:B, A302)
)),"")</f>
        <v/>
      </c>
      <c r="D302" s="45" t="str">
        <f>IFERROR((SUMIF(Data!B:B, A302, Data!G:G)
/ (COUNTIF(Data!B:B, A302)
)),"")</f>
        <v/>
      </c>
      <c r="E302" s="45"/>
      <c r="F302" s="45" t="str">
        <f>IFERROR((SUMIF(Data!B:B, A302, Data!J:J)
/ (COUNTIF(Data!B:B, A302)
)),"")</f>
        <v/>
      </c>
      <c r="G302" s="56" t="str">
        <f>IF(A302="","",IFERROR((((((SUMIF(Data!B:B, A302, Data!H:H)+(SUMIF(Data!B:B, A302,Data!G:G)))/(SUMIF(Data!B:B, A302, Data!J:J)))))),0))</f>
        <v/>
      </c>
      <c r="H302" s="45"/>
      <c r="I302" s="45"/>
      <c r="J302" s="45"/>
      <c r="K302" s="45"/>
      <c r="L302" s="45" t="str">
        <f>IFERROR((SUMIF(Data!B:B, A302, Data!L:L)
/ (COUNTIF(Data!B:B, A302)
)),"")</f>
        <v/>
      </c>
      <c r="M302" s="45" t="str">
        <f>IFERROR((SUMIF(Data!B:B, A302, Data!K:K)
/ (COUNTIF(Data!B:B, A302)
)),"")</f>
        <v/>
      </c>
      <c r="N302" s="56"/>
      <c r="O302" s="56" t="str">
        <f>IF(A302="","",IFERROR((((((SUMIF(Data!B:B, A302, Data!H:H)+(SUMIF(Data!B:B, A302,Data!G:G)+(SUMIF(Data!B:B, A302,Data!L:L)+(SUMIF(Data!B:B, A302,Data!K:K)))))/(SUMIF(Data!B:B, A302, Data!M:M)+(SUMIF(Data!B:B, A302, Data!H:H)+(SUMIF(Data!B:B, A302,Data!G:G)+(SUMIF(Data!B:B, A302,Data!K:K)+(SUMIF(Data!B:B, A302,Data!L:L)))))))))),0))</f>
        <v/>
      </c>
      <c r="P302" s="57" t="str">
        <f>IFERROR(__xludf.DUMMYFUNCTION("IFERROR(((COUNTIF(FILTER(Data!N:N,Data!B:B=A302),""TRAVERSE"")*15)+(COUNTIF(FILTER(Data!N:N,Data!B:B=A302),""HIGH"")*10)+(COUNTIF(FILTER(Data!N:N,Data!B:B=A302),""MIDDLE"")*6)+(COUNTIF(FILTER(Data!N:N,Data!B:B=A302),""LOW"")*4)) / (COUNTIF(Data!B:B, A302)"&amp;"),"""")"),"")</f>
        <v/>
      </c>
      <c r="Q302" s="58"/>
      <c r="R302" s="36" t="str">
        <f t="shared" si="37"/>
        <v/>
      </c>
      <c r="S302" s="58" t="str">
        <f>IFERROR(__xludf.DUMMYFUNCTION("IFERROR((((COUNTIF(FILTER(Data!N:N,Data!B:B=A302),""TRAVERSE""))+(COUNTIF(FILTER(Data!N:N,Data!B:B=A302),""HIGH""))+(COUNTIF(FILTER(Data!N:N,Data!B:B=A302),""MIDDLE""))+(COUNTIF(FILTER(Data!N:N,Data!B:B=A302),""LOW"")))) / (((COUNTIF(Data!B:B, A302)))-(CO"&amp;"UNTIF(FILTER(Data!N:N,Data!B:B=A302),""NONE""))),IF(ISBLANK(A302),"""",0))"),"")</f>
        <v/>
      </c>
      <c r="T302" s="56" t="str">
        <f>IFERROR(__xludf.DUMMYFUNCTION("IFERROR((COUNTIF(FILTER(Data!N:N, Data!B:B=A302),""LOW"")) / (COUNTIF(Data!B:B, A302)),"""")"),"")</f>
        <v/>
      </c>
      <c r="U302" s="59" t="str">
        <f>IFERROR(__xludf.DUMMYFUNCTION("IFERROR((COUNTIF(FILTER(Data!N:N, Data!B:B=A302),""MIDDLE"")) / (COUNTIF(Data!B:B, A302)),"""")"),"")</f>
        <v/>
      </c>
      <c r="V302" s="59" t="str">
        <f>IFERROR(__xludf.DUMMYFUNCTION("IFERROR((COUNTIF(FILTER(Data!N:N, Data!B:B=A302),""HIGH"")) / (COUNTIF(Data!B:B, A302)),"""")"),"")</f>
        <v/>
      </c>
      <c r="W302" s="59" t="str">
        <f>IFERROR(__xludf.DUMMYFUNCTION("IFERROR((COUNTIF(FILTER(Data!N:N, Data!B:B=A302),""TRAVERSE"")) / (COUNTIF(Data!B:B, A302)),"""")"),"")</f>
        <v/>
      </c>
      <c r="X302" s="59"/>
      <c r="Y302" s="45" t="str">
        <f t="shared" si="7"/>
        <v/>
      </c>
      <c r="Z302" s="45" t="str">
        <f t="shared" si="8"/>
        <v/>
      </c>
      <c r="AA302" s="16" t="str">
        <f t="shared" si="9"/>
        <v/>
      </c>
      <c r="AB302" s="16"/>
      <c r="AC302" s="16" t="str">
        <f>IFERROR(__xludf.DUMMYFUNCTION("IF(AA302="""","""",MAX(Filter((Data!G:G+Data!K:K),Data!B:B=A302)))"),"")</f>
        <v/>
      </c>
      <c r="AD302" s="16"/>
      <c r="AE302" s="16" t="str">
        <f t="shared" si="12"/>
        <v/>
      </c>
      <c r="AF302" s="16" t="str">
        <f t="shared" si="13"/>
        <v/>
      </c>
      <c r="AG302" s="44"/>
      <c r="AH302" s="44"/>
      <c r="AI302" s="44" t="str">
        <f>IFERROR(__xludf.DUMMYFUNCTION("TEXTJOIN("", "",TRUE, FILTER(Data!P:P, Data!B:B=A302))"),"")</f>
        <v/>
      </c>
      <c r="AM302" s="61"/>
      <c r="BC302" s="50"/>
    </row>
    <row r="303">
      <c r="A303" s="54"/>
      <c r="B303" s="55" t="str">
        <f>IFERROR(__xludf.DUMMYFUNCTION("IFERROR(ROUND(
(COUNTIF(FILTER(Data!O:O, Data!B:B=A303), ""Win"")
+ COUNTIF(FILTER(Data!O:O, Data!B:B=A303), {""Tie"",""Results""}))
/ (COUNTIF(Data!B:B, A303)),
1),"""")"),"")</f>
        <v/>
      </c>
      <c r="C303" s="45" t="str">
        <f>IFERROR((SUMIF(Data!B:B, A303, Data!H:H)
/ (COUNTIF(Data!B:B, A303)
)),"")</f>
        <v/>
      </c>
      <c r="D303" s="45" t="str">
        <f>IFERROR((SUMIF(Data!B:B, A303, Data!G:G)
/ (COUNTIF(Data!B:B, A303)
)),"")</f>
        <v/>
      </c>
      <c r="E303" s="45"/>
      <c r="F303" s="45" t="str">
        <f>IFERROR((SUMIF(Data!B:B, A303, Data!J:J)
/ (COUNTIF(Data!B:B, A303)
)),"")</f>
        <v/>
      </c>
      <c r="G303" s="56" t="str">
        <f>IF(A303="","",IFERROR((((((SUMIF(Data!B:B, A303, Data!H:H)+(SUMIF(Data!B:B, A303,Data!G:G)))/(SUMIF(Data!B:B, A303, Data!J:J)))))),0))</f>
        <v/>
      </c>
      <c r="H303" s="45"/>
      <c r="I303" s="45"/>
      <c r="J303" s="45"/>
      <c r="K303" s="45"/>
      <c r="L303" s="45" t="str">
        <f>IFERROR((SUMIF(Data!B:B, A303, Data!L:L)
/ (COUNTIF(Data!B:B, A303)
)),"")</f>
        <v/>
      </c>
      <c r="M303" s="45" t="str">
        <f>IFERROR((SUMIF(Data!B:B, A303, Data!K:K)
/ (COUNTIF(Data!B:B, A303)
)),"")</f>
        <v/>
      </c>
      <c r="N303" s="56"/>
      <c r="O303" s="56" t="str">
        <f>IF(A303="","",IFERROR((((((SUMIF(Data!B:B, A303, Data!H:H)+(SUMIF(Data!B:B, A303,Data!G:G)+(SUMIF(Data!B:B, A303,Data!L:L)+(SUMIF(Data!B:B, A303,Data!K:K)))))/(SUMIF(Data!B:B, A303, Data!M:M)+(SUMIF(Data!B:B, A303, Data!H:H)+(SUMIF(Data!B:B, A303,Data!G:G)+(SUMIF(Data!B:B, A303,Data!K:K)+(SUMIF(Data!B:B, A303,Data!L:L)))))))))),0))</f>
        <v/>
      </c>
      <c r="P303" s="57" t="str">
        <f>IFERROR(__xludf.DUMMYFUNCTION("IFERROR(((COUNTIF(FILTER(Data!N:N,Data!B:B=A303),""TRAVERSE"")*15)+(COUNTIF(FILTER(Data!N:N,Data!B:B=A303),""HIGH"")*10)+(COUNTIF(FILTER(Data!N:N,Data!B:B=A303),""MIDDLE"")*6)+(COUNTIF(FILTER(Data!N:N,Data!B:B=A303),""LOW"")*4)) / (COUNTIF(Data!B:B, A303)"&amp;"),"""")"),"")</f>
        <v/>
      </c>
      <c r="Q303" s="58"/>
      <c r="R303" s="36" t="str">
        <f t="shared" si="37"/>
        <v/>
      </c>
      <c r="S303" s="58" t="str">
        <f>IFERROR(__xludf.DUMMYFUNCTION("IFERROR((((COUNTIF(FILTER(Data!N:N,Data!B:B=A303),""TRAVERSE""))+(COUNTIF(FILTER(Data!N:N,Data!B:B=A303),""HIGH""))+(COUNTIF(FILTER(Data!N:N,Data!B:B=A303),""MIDDLE""))+(COUNTIF(FILTER(Data!N:N,Data!B:B=A303),""LOW"")))) / (((COUNTIF(Data!B:B, A303)))-(CO"&amp;"UNTIF(FILTER(Data!N:N,Data!B:B=A303),""NONE""))),IF(ISBLANK(A303),"""",0))"),"")</f>
        <v/>
      </c>
      <c r="T303" s="56" t="str">
        <f>IFERROR(__xludf.DUMMYFUNCTION("IFERROR((COUNTIF(FILTER(Data!N:N, Data!B:B=A303),""LOW"")) / (COUNTIF(Data!B:B, A303)),"""")"),"")</f>
        <v/>
      </c>
      <c r="U303" s="59" t="str">
        <f>IFERROR(__xludf.DUMMYFUNCTION("IFERROR((COUNTIF(FILTER(Data!N:N, Data!B:B=A303),""MIDDLE"")) / (COUNTIF(Data!B:B, A303)),"""")"),"")</f>
        <v/>
      </c>
      <c r="V303" s="59" t="str">
        <f>IFERROR(__xludf.DUMMYFUNCTION("IFERROR((COUNTIF(FILTER(Data!N:N, Data!B:B=A303),""HIGH"")) / (COUNTIF(Data!B:B, A303)),"""")"),"")</f>
        <v/>
      </c>
      <c r="W303" s="59" t="str">
        <f>IFERROR(__xludf.DUMMYFUNCTION("IFERROR((COUNTIF(FILTER(Data!N:N, Data!B:B=A303),""TRAVERSE"")) / (COUNTIF(Data!B:B, A303)),"""")"),"")</f>
        <v/>
      </c>
      <c r="X303" s="59"/>
      <c r="Y303" s="45" t="str">
        <f t="shared" si="7"/>
        <v/>
      </c>
      <c r="Z303" s="45" t="str">
        <f t="shared" si="8"/>
        <v/>
      </c>
      <c r="AA303" s="16" t="str">
        <f t="shared" si="9"/>
        <v/>
      </c>
      <c r="AB303" s="16"/>
      <c r="AC303" s="16" t="str">
        <f>IFERROR(__xludf.DUMMYFUNCTION("IF(AA303="""","""",MAX(Filter((Data!G:G+Data!K:K),Data!B:B=A303)))"),"")</f>
        <v/>
      </c>
      <c r="AD303" s="16"/>
      <c r="AE303" s="16" t="str">
        <f t="shared" si="12"/>
        <v/>
      </c>
      <c r="AF303" s="16" t="str">
        <f t="shared" si="13"/>
        <v/>
      </c>
      <c r="AG303" s="44"/>
      <c r="AH303" s="44"/>
      <c r="AI303" s="44" t="str">
        <f>IFERROR(__xludf.DUMMYFUNCTION("TEXTJOIN("", "",TRUE, FILTER(Data!P:P, Data!B:B=A303))"),"")</f>
        <v/>
      </c>
      <c r="AM303" s="61"/>
      <c r="BC303" s="50"/>
    </row>
    <row r="304">
      <c r="A304" s="54"/>
      <c r="B304" s="55" t="str">
        <f>IFERROR(__xludf.DUMMYFUNCTION("IFERROR(ROUND(
(COUNTIF(FILTER(Data!O:O, Data!B:B=A304), ""Win"")
+ COUNTIF(FILTER(Data!O:O, Data!B:B=A304), {""Tie"",""Results""}))
/ (COUNTIF(Data!B:B, A304)),
1),"""")"),"")</f>
        <v/>
      </c>
      <c r="C304" s="45" t="str">
        <f>IFERROR((SUMIF(Data!B:B, A304, Data!H:H)
/ (COUNTIF(Data!B:B, A304)
)),"")</f>
        <v/>
      </c>
      <c r="D304" s="45" t="str">
        <f>IFERROR((SUMIF(Data!B:B, A304, Data!G:G)
/ (COUNTIF(Data!B:B, A304)
)),"")</f>
        <v/>
      </c>
      <c r="E304" s="45"/>
      <c r="F304" s="45" t="str">
        <f>IFERROR((SUMIF(Data!B:B, A304, Data!J:J)
/ (COUNTIF(Data!B:B, A304)
)),"")</f>
        <v/>
      </c>
      <c r="G304" s="56" t="str">
        <f>IF(A304="","",IFERROR((((((SUMIF(Data!B:B, A304, Data!H:H)+(SUMIF(Data!B:B, A304,Data!G:G)))/(SUMIF(Data!B:B, A304, Data!J:J)))))),0))</f>
        <v/>
      </c>
      <c r="H304" s="45"/>
      <c r="I304" s="45"/>
      <c r="J304" s="45"/>
      <c r="K304" s="45"/>
      <c r="L304" s="45" t="str">
        <f>IFERROR((SUMIF(Data!B:B, A304, Data!L:L)
/ (COUNTIF(Data!B:B, A304)
)),"")</f>
        <v/>
      </c>
      <c r="M304" s="45" t="str">
        <f>IFERROR((SUMIF(Data!B:B, A304, Data!K:K)
/ (COUNTIF(Data!B:B, A304)
)),"")</f>
        <v/>
      </c>
      <c r="N304" s="56"/>
      <c r="O304" s="56" t="str">
        <f>IF(A304="","",IFERROR((((((SUMIF(Data!B:B, A304, Data!H:H)+(SUMIF(Data!B:B, A304,Data!G:G)+(SUMIF(Data!B:B, A304,Data!L:L)+(SUMIF(Data!B:B, A304,Data!K:K)))))/(SUMIF(Data!B:B, A304, Data!M:M)+(SUMIF(Data!B:B, A304, Data!H:H)+(SUMIF(Data!B:B, A304,Data!G:G)+(SUMIF(Data!B:B, A304,Data!K:K)+(SUMIF(Data!B:B, A304,Data!L:L)))))))))),0))</f>
        <v/>
      </c>
      <c r="P304" s="57" t="str">
        <f>IFERROR(__xludf.DUMMYFUNCTION("IFERROR(((COUNTIF(FILTER(Data!N:N,Data!B:B=A304),""TRAVERSE"")*15)+(COUNTIF(FILTER(Data!N:N,Data!B:B=A304),""HIGH"")*10)+(COUNTIF(FILTER(Data!N:N,Data!B:B=A304),""MIDDLE"")*6)+(COUNTIF(FILTER(Data!N:N,Data!B:B=A304),""LOW"")*4)) / (COUNTIF(Data!B:B, A304)"&amp;"),"""")"),"")</f>
        <v/>
      </c>
      <c r="Q304" s="58"/>
      <c r="R304" s="36" t="str">
        <f t="shared" si="37"/>
        <v/>
      </c>
      <c r="S304" s="58" t="str">
        <f>IFERROR(__xludf.DUMMYFUNCTION("IFERROR((((COUNTIF(FILTER(Data!N:N,Data!B:B=A304),""TRAVERSE""))+(COUNTIF(FILTER(Data!N:N,Data!B:B=A304),""HIGH""))+(COUNTIF(FILTER(Data!N:N,Data!B:B=A304),""MIDDLE""))+(COUNTIF(FILTER(Data!N:N,Data!B:B=A304),""LOW"")))) / (((COUNTIF(Data!B:B, A304)))-(CO"&amp;"UNTIF(FILTER(Data!N:N,Data!B:B=A304),""NONE""))),IF(ISBLANK(A304),"""",0))"),"")</f>
        <v/>
      </c>
      <c r="T304" s="56" t="str">
        <f>IFERROR(__xludf.DUMMYFUNCTION("IFERROR((COUNTIF(FILTER(Data!N:N, Data!B:B=A304),""LOW"")) / (COUNTIF(Data!B:B, A304)),"""")"),"")</f>
        <v/>
      </c>
      <c r="U304" s="59" t="str">
        <f>IFERROR(__xludf.DUMMYFUNCTION("IFERROR((COUNTIF(FILTER(Data!N:N, Data!B:B=A304),""MIDDLE"")) / (COUNTIF(Data!B:B, A304)),"""")"),"")</f>
        <v/>
      </c>
      <c r="V304" s="59" t="str">
        <f>IFERROR(__xludf.DUMMYFUNCTION("IFERROR((COUNTIF(FILTER(Data!N:N, Data!B:B=A304),""HIGH"")) / (COUNTIF(Data!B:B, A304)),"""")"),"")</f>
        <v/>
      </c>
      <c r="W304" s="59" t="str">
        <f>IFERROR(__xludf.DUMMYFUNCTION("IFERROR((COUNTIF(FILTER(Data!N:N, Data!B:B=A304),""TRAVERSE"")) / (COUNTIF(Data!B:B, A304)),"""")"),"")</f>
        <v/>
      </c>
      <c r="X304" s="59"/>
      <c r="Y304" s="45" t="str">
        <f t="shared" si="7"/>
        <v/>
      </c>
      <c r="Z304" s="45" t="str">
        <f t="shared" si="8"/>
        <v/>
      </c>
      <c r="AA304" s="16" t="str">
        <f t="shared" si="9"/>
        <v/>
      </c>
      <c r="AB304" s="16"/>
      <c r="AC304" s="16" t="str">
        <f>IFERROR(__xludf.DUMMYFUNCTION("IF(AA304="""","""",MAX(Filter((Data!G:G+Data!K:K),Data!B:B=A304)))"),"")</f>
        <v/>
      </c>
      <c r="AD304" s="16"/>
      <c r="AE304" s="16" t="str">
        <f t="shared" si="12"/>
        <v/>
      </c>
      <c r="AF304" s="16" t="str">
        <f t="shared" si="13"/>
        <v/>
      </c>
      <c r="AG304" s="44"/>
      <c r="AH304" s="44"/>
      <c r="AI304" s="44" t="str">
        <f>IFERROR(__xludf.DUMMYFUNCTION("TEXTJOIN("", "",TRUE, FILTER(Data!P:P, Data!B:B=A304))"),"")</f>
        <v/>
      </c>
      <c r="AM304" s="61"/>
      <c r="BC304" s="50"/>
    </row>
    <row r="305">
      <c r="A305" s="54"/>
      <c r="B305" s="55" t="str">
        <f>IFERROR(__xludf.DUMMYFUNCTION("IFERROR(ROUND(
(COUNTIF(FILTER(Data!O:O, Data!B:B=A305), ""Win"")
+ COUNTIF(FILTER(Data!O:O, Data!B:B=A305), {""Tie"",""Results""}))
/ (COUNTIF(Data!B:B, A305)),
1),"""")"),"")</f>
        <v/>
      </c>
      <c r="C305" s="45" t="str">
        <f>IFERROR((SUMIF(Data!B:B, A305, Data!H:H)
/ (COUNTIF(Data!B:B, A305)
)),"")</f>
        <v/>
      </c>
      <c r="D305" s="45" t="str">
        <f>IFERROR((SUMIF(Data!B:B, A305, Data!G:G)
/ (COUNTIF(Data!B:B, A305)
)),"")</f>
        <v/>
      </c>
      <c r="E305" s="45"/>
      <c r="F305" s="45" t="str">
        <f>IFERROR((SUMIF(Data!B:B, A305, Data!J:J)
/ (COUNTIF(Data!B:B, A305)
)),"")</f>
        <v/>
      </c>
      <c r="G305" s="56" t="str">
        <f>IF(A305="","",IFERROR((((((SUMIF(Data!B:B, A305, Data!H:H)+(SUMIF(Data!B:B, A305,Data!G:G)))/(SUMIF(Data!B:B, A305, Data!J:J)))))),0))</f>
        <v/>
      </c>
      <c r="H305" s="45"/>
      <c r="I305" s="45"/>
      <c r="J305" s="45"/>
      <c r="K305" s="45"/>
      <c r="L305" s="45" t="str">
        <f>IFERROR((SUMIF(Data!B:B, A305, Data!L:L)
/ (COUNTIF(Data!B:B, A305)
)),"")</f>
        <v/>
      </c>
      <c r="M305" s="45" t="str">
        <f>IFERROR((SUMIF(Data!B:B, A305, Data!K:K)
/ (COUNTIF(Data!B:B, A305)
)),"")</f>
        <v/>
      </c>
      <c r="N305" s="56"/>
      <c r="O305" s="56" t="str">
        <f>IF(A305="","",IFERROR((((((SUMIF(Data!B:B, A305, Data!H:H)+(SUMIF(Data!B:B, A305,Data!G:G)+(SUMIF(Data!B:B, A305,Data!L:L)+(SUMIF(Data!B:B, A305,Data!K:K)))))/(SUMIF(Data!B:B, A305, Data!M:M)+(SUMIF(Data!B:B, A305, Data!H:H)+(SUMIF(Data!B:B, A305,Data!G:G)+(SUMIF(Data!B:B, A305,Data!K:K)+(SUMIF(Data!B:B, A305,Data!L:L)))))))))),0))</f>
        <v/>
      </c>
      <c r="P305" s="57" t="str">
        <f>IFERROR(__xludf.DUMMYFUNCTION("IFERROR(((COUNTIF(FILTER(Data!N:N,Data!B:B=A305),""TRAVERSE"")*15)+(COUNTIF(FILTER(Data!N:N,Data!B:B=A305),""HIGH"")*10)+(COUNTIF(FILTER(Data!N:N,Data!B:B=A305),""MIDDLE"")*6)+(COUNTIF(FILTER(Data!N:N,Data!B:B=A305),""LOW"")*4)) / (COUNTIF(Data!B:B, A305)"&amp;"),"""")"),"")</f>
        <v/>
      </c>
      <c r="Q305" s="58"/>
      <c r="R305" s="36" t="str">
        <f t="shared" si="37"/>
        <v/>
      </c>
      <c r="S305" s="58" t="str">
        <f>IFERROR(__xludf.DUMMYFUNCTION("IFERROR((((COUNTIF(FILTER(Data!N:N,Data!B:B=A305),""TRAVERSE""))+(COUNTIF(FILTER(Data!N:N,Data!B:B=A305),""HIGH""))+(COUNTIF(FILTER(Data!N:N,Data!B:B=A305),""MIDDLE""))+(COUNTIF(FILTER(Data!N:N,Data!B:B=A305),""LOW"")))) / (((COUNTIF(Data!B:B, A305)))-(CO"&amp;"UNTIF(FILTER(Data!N:N,Data!B:B=A305),""NONE""))),IF(ISBLANK(A305),"""",0))"),"")</f>
        <v/>
      </c>
      <c r="T305" s="56" t="str">
        <f>IFERROR(__xludf.DUMMYFUNCTION("IFERROR((COUNTIF(FILTER(Data!N:N, Data!B:B=A305),""LOW"")) / (COUNTIF(Data!B:B, A305)),"""")"),"")</f>
        <v/>
      </c>
      <c r="U305" s="59" t="str">
        <f>IFERROR(__xludf.DUMMYFUNCTION("IFERROR((COUNTIF(FILTER(Data!N:N, Data!B:B=A305),""MIDDLE"")) / (COUNTIF(Data!B:B, A305)),"""")"),"")</f>
        <v/>
      </c>
      <c r="V305" s="59" t="str">
        <f>IFERROR(__xludf.DUMMYFUNCTION("IFERROR((COUNTIF(FILTER(Data!N:N, Data!B:B=A305),""HIGH"")) / (COUNTIF(Data!B:B, A305)),"""")"),"")</f>
        <v/>
      </c>
      <c r="W305" s="59" t="str">
        <f>IFERROR(__xludf.DUMMYFUNCTION("IFERROR((COUNTIF(FILTER(Data!N:N, Data!B:B=A305),""TRAVERSE"")) / (COUNTIF(Data!B:B, A305)),"""")"),"")</f>
        <v/>
      </c>
      <c r="X305" s="59"/>
      <c r="Y305" s="45" t="str">
        <f t="shared" si="7"/>
        <v/>
      </c>
      <c r="Z305" s="45" t="str">
        <f t="shared" si="8"/>
        <v/>
      </c>
      <c r="AA305" s="16" t="str">
        <f t="shared" si="9"/>
        <v/>
      </c>
      <c r="AB305" s="16"/>
      <c r="AC305" s="16" t="str">
        <f>IFERROR(__xludf.DUMMYFUNCTION("IF(AA305="""","""",MAX(Filter((Data!G:G+Data!K:K),Data!B:B=A305)))"),"")</f>
        <v/>
      </c>
      <c r="AD305" s="16"/>
      <c r="AE305" s="16" t="str">
        <f t="shared" si="12"/>
        <v/>
      </c>
      <c r="AF305" s="16" t="str">
        <f t="shared" si="13"/>
        <v/>
      </c>
      <c r="AG305" s="44"/>
      <c r="AH305" s="44"/>
      <c r="AI305" s="44" t="str">
        <f>IFERROR(__xludf.DUMMYFUNCTION("TEXTJOIN("", "",TRUE, FILTER(Data!P:P, Data!B:B=A305))"),"")</f>
        <v/>
      </c>
      <c r="AM305" s="61"/>
      <c r="BC305" s="50"/>
    </row>
    <row r="306">
      <c r="A306" s="54"/>
      <c r="B306" s="55" t="str">
        <f>IFERROR(__xludf.DUMMYFUNCTION("IFERROR(ROUND(
(COUNTIF(FILTER(Data!O:O, Data!B:B=A306), ""Win"")
+ COUNTIF(FILTER(Data!O:O, Data!B:B=A306), {""Tie"",""Results""}))
/ (COUNTIF(Data!B:B, A306)),
1),"""")"),"")</f>
        <v/>
      </c>
      <c r="C306" s="45" t="str">
        <f>IFERROR((SUMIF(Data!B:B, A306, Data!H:H)
/ (COUNTIF(Data!B:B, A306)
)),"")</f>
        <v/>
      </c>
      <c r="D306" s="45" t="str">
        <f>IFERROR((SUMIF(Data!B:B, A306, Data!G:G)
/ (COUNTIF(Data!B:B, A306)
)),"")</f>
        <v/>
      </c>
      <c r="E306" s="45"/>
      <c r="F306" s="45" t="str">
        <f>IFERROR((SUMIF(Data!B:B, A306, Data!J:J)
/ (COUNTIF(Data!B:B, A306)
)),"")</f>
        <v/>
      </c>
      <c r="G306" s="56" t="str">
        <f>IF(A306="","",IFERROR((((((SUMIF(Data!B:B, A306, Data!H:H)+(SUMIF(Data!B:B, A306,Data!G:G)))/(SUMIF(Data!B:B, A306, Data!J:J)))))),0))</f>
        <v/>
      </c>
      <c r="H306" s="45"/>
      <c r="I306" s="45"/>
      <c r="J306" s="45"/>
      <c r="K306" s="45"/>
      <c r="L306" s="45" t="str">
        <f>IFERROR((SUMIF(Data!B:B, A306, Data!L:L)
/ (COUNTIF(Data!B:B, A306)
)),"")</f>
        <v/>
      </c>
      <c r="M306" s="45" t="str">
        <f>IFERROR((SUMIF(Data!B:B, A306, Data!K:K)
/ (COUNTIF(Data!B:B, A306)
)),"")</f>
        <v/>
      </c>
      <c r="N306" s="56"/>
      <c r="O306" s="56" t="str">
        <f>IF(A306="","",IFERROR((((((SUMIF(Data!B:B, A306, Data!H:H)+(SUMIF(Data!B:B, A306,Data!G:G)+(SUMIF(Data!B:B, A306,Data!L:L)+(SUMIF(Data!B:B, A306,Data!K:K)))))/(SUMIF(Data!B:B, A306, Data!M:M)+(SUMIF(Data!B:B, A306, Data!H:H)+(SUMIF(Data!B:B, A306,Data!G:G)+(SUMIF(Data!B:B, A306,Data!K:K)+(SUMIF(Data!B:B, A306,Data!L:L)))))))))),0))</f>
        <v/>
      </c>
      <c r="P306" s="57" t="str">
        <f>IFERROR(__xludf.DUMMYFUNCTION("IFERROR(((COUNTIF(FILTER(Data!N:N,Data!B:B=A306),""TRAVERSE"")*15)+(COUNTIF(FILTER(Data!N:N,Data!B:B=A306),""HIGH"")*10)+(COUNTIF(FILTER(Data!N:N,Data!B:B=A306),""MIDDLE"")*6)+(COUNTIF(FILTER(Data!N:N,Data!B:B=A306),""LOW"")*4)) / (COUNTIF(Data!B:B, A306)"&amp;"),"""")"),"")</f>
        <v/>
      </c>
      <c r="Q306" s="58"/>
      <c r="R306" s="36" t="str">
        <f t="shared" si="37"/>
        <v/>
      </c>
      <c r="S306" s="58" t="str">
        <f>IFERROR(__xludf.DUMMYFUNCTION("IFERROR((((COUNTIF(FILTER(Data!N:N,Data!B:B=A306),""TRAVERSE""))+(COUNTIF(FILTER(Data!N:N,Data!B:B=A306),""HIGH""))+(COUNTIF(FILTER(Data!N:N,Data!B:B=A306),""MIDDLE""))+(COUNTIF(FILTER(Data!N:N,Data!B:B=A306),""LOW"")))) / (((COUNTIF(Data!B:B, A306)))-(CO"&amp;"UNTIF(FILTER(Data!N:N,Data!B:B=A306),""NONE""))),IF(ISBLANK(A306),"""",0))"),"")</f>
        <v/>
      </c>
      <c r="T306" s="56" t="str">
        <f>IFERROR(__xludf.DUMMYFUNCTION("IFERROR((COUNTIF(FILTER(Data!N:N, Data!B:B=A306),""LOW"")) / (COUNTIF(Data!B:B, A306)),"""")"),"")</f>
        <v/>
      </c>
      <c r="U306" s="59" t="str">
        <f>IFERROR(__xludf.DUMMYFUNCTION("IFERROR((COUNTIF(FILTER(Data!N:N, Data!B:B=A306),""MIDDLE"")) / (COUNTIF(Data!B:B, A306)),"""")"),"")</f>
        <v/>
      </c>
      <c r="V306" s="59" t="str">
        <f>IFERROR(__xludf.DUMMYFUNCTION("IFERROR((COUNTIF(FILTER(Data!N:N, Data!B:B=A306),""HIGH"")) / (COUNTIF(Data!B:B, A306)),"""")"),"")</f>
        <v/>
      </c>
      <c r="W306" s="59" t="str">
        <f>IFERROR(__xludf.DUMMYFUNCTION("IFERROR((COUNTIF(FILTER(Data!N:N, Data!B:B=A306),""TRAVERSE"")) / (COUNTIF(Data!B:B, A306)),"""")"),"")</f>
        <v/>
      </c>
      <c r="X306" s="59"/>
      <c r="Y306" s="45" t="str">
        <f t="shared" si="7"/>
        <v/>
      </c>
      <c r="Z306" s="45" t="str">
        <f t="shared" si="8"/>
        <v/>
      </c>
      <c r="AA306" s="16" t="str">
        <f t="shared" si="9"/>
        <v/>
      </c>
      <c r="AB306" s="16"/>
      <c r="AC306" s="16" t="str">
        <f>IFERROR(__xludf.DUMMYFUNCTION("IF(AA306="""","""",MAX(Filter((Data!G:G+Data!K:K),Data!B:B=A306)))"),"")</f>
        <v/>
      </c>
      <c r="AD306" s="16"/>
      <c r="AE306" s="16" t="str">
        <f t="shared" si="12"/>
        <v/>
      </c>
      <c r="AF306" s="16" t="str">
        <f t="shared" si="13"/>
        <v/>
      </c>
      <c r="AG306" s="44"/>
      <c r="AH306" s="44"/>
      <c r="AI306" s="44" t="str">
        <f>IFERROR(__xludf.DUMMYFUNCTION("TEXTJOIN("", "",TRUE, FILTER(Data!P:P, Data!B:B=A306))"),"")</f>
        <v/>
      </c>
      <c r="AM306" s="61"/>
      <c r="BC306" s="50"/>
    </row>
    <row r="307">
      <c r="A307" s="54"/>
      <c r="B307" s="55" t="str">
        <f>IFERROR(__xludf.DUMMYFUNCTION("IFERROR(ROUND(
(COUNTIF(FILTER(Data!O:O, Data!B:B=A307), ""Win"")
+ COUNTIF(FILTER(Data!O:O, Data!B:B=A307), {""Tie"",""Results""}))
/ (COUNTIF(Data!B:B, A307)),
1),"""")"),"")</f>
        <v/>
      </c>
      <c r="C307" s="45" t="str">
        <f>IFERROR((SUMIF(Data!B:B, A307, Data!H:H)
/ (COUNTIF(Data!B:B, A307)
)),"")</f>
        <v/>
      </c>
      <c r="D307" s="45" t="str">
        <f>IFERROR((SUMIF(Data!B:B, A307, Data!G:G)
/ (COUNTIF(Data!B:B, A307)
)),"")</f>
        <v/>
      </c>
      <c r="E307" s="45"/>
      <c r="F307" s="45" t="str">
        <f>IFERROR((SUMIF(Data!B:B, A307, Data!J:J)
/ (COUNTIF(Data!B:B, A307)
)),"")</f>
        <v/>
      </c>
      <c r="G307" s="56" t="str">
        <f>IF(A307="","",IFERROR((((((SUMIF(Data!B:B, A307, Data!H:H)+(SUMIF(Data!B:B, A307,Data!G:G)))/(SUMIF(Data!B:B, A307, Data!J:J)))))),0))</f>
        <v/>
      </c>
      <c r="H307" s="45"/>
      <c r="I307" s="45"/>
      <c r="J307" s="45"/>
      <c r="K307" s="45"/>
      <c r="L307" s="45" t="str">
        <f>IFERROR((SUMIF(Data!B:B, A307, Data!L:L)
/ (COUNTIF(Data!B:B, A307)
)),"")</f>
        <v/>
      </c>
      <c r="M307" s="45" t="str">
        <f>IFERROR((SUMIF(Data!B:B, A307, Data!K:K)
/ (COUNTIF(Data!B:B, A307)
)),"")</f>
        <v/>
      </c>
      <c r="N307" s="56"/>
      <c r="O307" s="56" t="str">
        <f>IF(A307="","",IFERROR((((((SUMIF(Data!B:B, A307, Data!H:H)+(SUMIF(Data!B:B, A307,Data!G:G)+(SUMIF(Data!B:B, A307,Data!L:L)+(SUMIF(Data!B:B, A307,Data!K:K)))))/(SUMIF(Data!B:B, A307, Data!M:M)+(SUMIF(Data!B:B, A307, Data!H:H)+(SUMIF(Data!B:B, A307,Data!G:G)+(SUMIF(Data!B:B, A307,Data!K:K)+(SUMIF(Data!B:B, A307,Data!L:L)))))))))),0))</f>
        <v/>
      </c>
      <c r="P307" s="57" t="str">
        <f>IFERROR(__xludf.DUMMYFUNCTION("IFERROR(((COUNTIF(FILTER(Data!N:N,Data!B:B=A307),""TRAVERSE"")*15)+(COUNTIF(FILTER(Data!N:N,Data!B:B=A307),""HIGH"")*10)+(COUNTIF(FILTER(Data!N:N,Data!B:B=A307),""MIDDLE"")*6)+(COUNTIF(FILTER(Data!N:N,Data!B:B=A307),""LOW"")*4)) / (COUNTIF(Data!B:B, A307)"&amp;"),"""")"),"")</f>
        <v/>
      </c>
      <c r="Q307" s="58"/>
      <c r="R307" s="36" t="str">
        <f t="shared" si="37"/>
        <v/>
      </c>
      <c r="S307" s="58" t="str">
        <f>IFERROR(__xludf.DUMMYFUNCTION("IFERROR((((COUNTIF(FILTER(Data!N:N,Data!B:B=A307),""TRAVERSE""))+(COUNTIF(FILTER(Data!N:N,Data!B:B=A307),""HIGH""))+(COUNTIF(FILTER(Data!N:N,Data!B:B=A307),""MIDDLE""))+(COUNTIF(FILTER(Data!N:N,Data!B:B=A307),""LOW"")))) / (((COUNTIF(Data!B:B, A307)))-(CO"&amp;"UNTIF(FILTER(Data!N:N,Data!B:B=A307),""NONE""))),IF(ISBLANK(A307),"""",0))"),"")</f>
        <v/>
      </c>
      <c r="T307" s="56" t="str">
        <f>IFERROR(__xludf.DUMMYFUNCTION("IFERROR((COUNTIF(FILTER(Data!N:N, Data!B:B=A307),""LOW"")) / (COUNTIF(Data!B:B, A307)),"""")"),"")</f>
        <v/>
      </c>
      <c r="U307" s="59" t="str">
        <f>IFERROR(__xludf.DUMMYFUNCTION("IFERROR((COUNTIF(FILTER(Data!N:N, Data!B:B=A307),""MIDDLE"")) / (COUNTIF(Data!B:B, A307)),"""")"),"")</f>
        <v/>
      </c>
      <c r="V307" s="59" t="str">
        <f>IFERROR(__xludf.DUMMYFUNCTION("IFERROR((COUNTIF(FILTER(Data!N:N, Data!B:B=A307),""HIGH"")) / (COUNTIF(Data!B:B, A307)),"""")"),"")</f>
        <v/>
      </c>
      <c r="W307" s="59" t="str">
        <f>IFERROR(__xludf.DUMMYFUNCTION("IFERROR((COUNTIF(FILTER(Data!N:N, Data!B:B=A307),""TRAVERSE"")) / (COUNTIF(Data!B:B, A307)),"""")"),"")</f>
        <v/>
      </c>
      <c r="X307" s="59"/>
      <c r="Y307" s="45" t="str">
        <f t="shared" si="7"/>
        <v/>
      </c>
      <c r="Z307" s="45" t="str">
        <f t="shared" si="8"/>
        <v/>
      </c>
      <c r="AA307" s="16" t="str">
        <f t="shared" si="9"/>
        <v/>
      </c>
      <c r="AB307" s="16"/>
      <c r="AC307" s="16" t="str">
        <f>IFERROR(__xludf.DUMMYFUNCTION("IF(AA307="""","""",MAX(Filter((Data!G:G+Data!K:K),Data!B:B=A307)))"),"")</f>
        <v/>
      </c>
      <c r="AD307" s="16"/>
      <c r="AE307" s="16" t="str">
        <f t="shared" si="12"/>
        <v/>
      </c>
      <c r="AF307" s="16" t="str">
        <f t="shared" si="13"/>
        <v/>
      </c>
      <c r="AG307" s="44"/>
      <c r="AH307" s="44"/>
      <c r="AI307" s="44" t="str">
        <f>IFERROR(__xludf.DUMMYFUNCTION("TEXTJOIN("", "",TRUE, FILTER(Data!P:P, Data!B:B=A307))"),"")</f>
        <v/>
      </c>
      <c r="AM307" s="61"/>
      <c r="BC307" s="50"/>
    </row>
    <row r="308">
      <c r="A308" s="54"/>
      <c r="B308" s="55" t="str">
        <f>IFERROR(__xludf.DUMMYFUNCTION("IFERROR(ROUND(
(COUNTIF(FILTER(Data!O:O, Data!B:B=A308), ""Win"")
+ COUNTIF(FILTER(Data!O:O, Data!B:B=A308), {""Tie"",""Results""}))
/ (COUNTIF(Data!B:B, A308)),
1),"""")"),"")</f>
        <v/>
      </c>
      <c r="C308" s="45" t="str">
        <f>IFERROR((SUMIF(Data!B:B, A308, Data!H:H)
/ (COUNTIF(Data!B:B, A308)
)),"")</f>
        <v/>
      </c>
      <c r="D308" s="45" t="str">
        <f>IFERROR((SUMIF(Data!B:B, A308, Data!G:G)
/ (COUNTIF(Data!B:B, A308)
)),"")</f>
        <v/>
      </c>
      <c r="E308" s="45"/>
      <c r="F308" s="45" t="str">
        <f>IFERROR((SUMIF(Data!B:B, A308, Data!J:J)
/ (COUNTIF(Data!B:B, A308)
)),"")</f>
        <v/>
      </c>
      <c r="G308" s="56" t="str">
        <f>IF(A308="","",IFERROR((((((SUMIF(Data!B:B, A308, Data!H:H)+(SUMIF(Data!B:B, A308,Data!G:G)))/(SUMIF(Data!B:B, A308, Data!J:J)))))),0))</f>
        <v/>
      </c>
      <c r="H308" s="45"/>
      <c r="I308" s="45"/>
      <c r="J308" s="45"/>
      <c r="K308" s="45"/>
      <c r="L308" s="45" t="str">
        <f>IFERROR((SUMIF(Data!B:B, A308, Data!L:L)
/ (COUNTIF(Data!B:B, A308)
)),"")</f>
        <v/>
      </c>
      <c r="M308" s="45" t="str">
        <f>IFERROR((SUMIF(Data!B:B, A308, Data!K:K)
/ (COUNTIF(Data!B:B, A308)
)),"")</f>
        <v/>
      </c>
      <c r="N308" s="56"/>
      <c r="O308" s="56" t="str">
        <f>IF(A308="","",IFERROR((((((SUMIF(Data!B:B, A308, Data!H:H)+(SUMIF(Data!B:B, A308,Data!G:G)+(SUMIF(Data!B:B, A308,Data!L:L)+(SUMIF(Data!B:B, A308,Data!K:K)))))/(SUMIF(Data!B:B, A308, Data!M:M)+(SUMIF(Data!B:B, A308, Data!H:H)+(SUMIF(Data!B:B, A308,Data!G:G)+(SUMIF(Data!B:B, A308,Data!K:K)+(SUMIF(Data!B:B, A308,Data!L:L)))))))))),0))</f>
        <v/>
      </c>
      <c r="P308" s="57" t="str">
        <f>IFERROR(__xludf.DUMMYFUNCTION("IFERROR(((COUNTIF(FILTER(Data!N:N,Data!B:B=A308),""TRAVERSE"")*15)+(COUNTIF(FILTER(Data!N:N,Data!B:B=A308),""HIGH"")*10)+(COUNTIF(FILTER(Data!N:N,Data!B:B=A308),""MIDDLE"")*6)+(COUNTIF(FILTER(Data!N:N,Data!B:B=A308),""LOW"")*4)) / (COUNTIF(Data!B:B, A308)"&amp;"),"""")"),"")</f>
        <v/>
      </c>
      <c r="Q308" s="58"/>
      <c r="R308" s="36" t="str">
        <f t="shared" si="37"/>
        <v/>
      </c>
      <c r="S308" s="58" t="str">
        <f>IFERROR(__xludf.DUMMYFUNCTION("IFERROR((((COUNTIF(FILTER(Data!N:N,Data!B:B=A308),""TRAVERSE""))+(COUNTIF(FILTER(Data!N:N,Data!B:B=A308),""HIGH""))+(COUNTIF(FILTER(Data!N:N,Data!B:B=A308),""MIDDLE""))+(COUNTIF(FILTER(Data!N:N,Data!B:B=A308),""LOW"")))) / (((COUNTIF(Data!B:B, A308)))-(CO"&amp;"UNTIF(FILTER(Data!N:N,Data!B:B=A308),""NONE""))),IF(ISBLANK(A308),"""",0))"),"")</f>
        <v/>
      </c>
      <c r="T308" s="56" t="str">
        <f>IFERROR(__xludf.DUMMYFUNCTION("IFERROR((COUNTIF(FILTER(Data!N:N, Data!B:B=A308),""LOW"")) / (COUNTIF(Data!B:B, A308)),"""")"),"")</f>
        <v/>
      </c>
      <c r="U308" s="59" t="str">
        <f>IFERROR(__xludf.DUMMYFUNCTION("IFERROR((COUNTIF(FILTER(Data!N:N, Data!B:B=A308),""MIDDLE"")) / (COUNTIF(Data!B:B, A308)),"""")"),"")</f>
        <v/>
      </c>
      <c r="V308" s="59" t="str">
        <f>IFERROR(__xludf.DUMMYFUNCTION("IFERROR((COUNTIF(FILTER(Data!N:N, Data!B:B=A308),""HIGH"")) / (COUNTIF(Data!B:B, A308)),"""")"),"")</f>
        <v/>
      </c>
      <c r="W308" s="59" t="str">
        <f>IFERROR(__xludf.DUMMYFUNCTION("IFERROR((COUNTIF(FILTER(Data!N:N, Data!B:B=A308),""TRAVERSE"")) / (COUNTIF(Data!B:B, A308)),"""")"),"")</f>
        <v/>
      </c>
      <c r="X308" s="59"/>
      <c r="Y308" s="45" t="str">
        <f t="shared" si="7"/>
        <v/>
      </c>
      <c r="Z308" s="45" t="str">
        <f t="shared" si="8"/>
        <v/>
      </c>
      <c r="AA308" s="16" t="str">
        <f t="shared" si="9"/>
        <v/>
      </c>
      <c r="AB308" s="16"/>
      <c r="AC308" s="16" t="str">
        <f>IFERROR(__xludf.DUMMYFUNCTION("IF(AA308="""","""",MAX(Filter((Data!G:G+Data!K:K),Data!B:B=A308)))"),"")</f>
        <v/>
      </c>
      <c r="AD308" s="16"/>
      <c r="AE308" s="16" t="str">
        <f t="shared" si="12"/>
        <v/>
      </c>
      <c r="AF308" s="16" t="str">
        <f t="shared" si="13"/>
        <v/>
      </c>
      <c r="AG308" s="44"/>
      <c r="AH308" s="44"/>
      <c r="AI308" s="44" t="str">
        <f>IFERROR(__xludf.DUMMYFUNCTION("TEXTJOIN("", "",TRUE, FILTER(Data!P:P, Data!B:B=A308))"),"")</f>
        <v/>
      </c>
      <c r="AM308" s="61"/>
      <c r="BC308" s="50"/>
    </row>
    <row r="309">
      <c r="A309" s="54"/>
      <c r="B309" s="55" t="str">
        <f>IFERROR(__xludf.DUMMYFUNCTION("IFERROR(ROUND(
(COUNTIF(FILTER(Data!O:O, Data!B:B=A309), ""Win"")
+ COUNTIF(FILTER(Data!O:O, Data!B:B=A309), {""Tie"",""Results""}))
/ (COUNTIF(Data!B:B, A309)),
1),"""")"),"")</f>
        <v/>
      </c>
      <c r="C309" s="45" t="str">
        <f>IFERROR((SUMIF(Data!B:B, A309, Data!H:H)
/ (COUNTIF(Data!B:B, A309)
)),"")</f>
        <v/>
      </c>
      <c r="D309" s="45" t="str">
        <f>IFERROR((SUMIF(Data!B:B, A309, Data!G:G)
/ (COUNTIF(Data!B:B, A309)
)),"")</f>
        <v/>
      </c>
      <c r="E309" s="45"/>
      <c r="F309" s="45" t="str">
        <f>IFERROR((SUMIF(Data!B:B, A309, Data!J:J)
/ (COUNTIF(Data!B:B, A309)
)),"")</f>
        <v/>
      </c>
      <c r="G309" s="56" t="str">
        <f>IF(A309="","",IFERROR((((((SUMIF(Data!B:B, A309, Data!H:H)+(SUMIF(Data!B:B, A309,Data!G:G)))/(SUMIF(Data!B:B, A309, Data!J:J)))))),0))</f>
        <v/>
      </c>
      <c r="H309" s="45"/>
      <c r="I309" s="45"/>
      <c r="J309" s="45"/>
      <c r="K309" s="45"/>
      <c r="L309" s="45" t="str">
        <f>IFERROR((SUMIF(Data!B:B, A309, Data!L:L)
/ (COUNTIF(Data!B:B, A309)
)),"")</f>
        <v/>
      </c>
      <c r="M309" s="45" t="str">
        <f>IFERROR((SUMIF(Data!B:B, A309, Data!K:K)
/ (COUNTIF(Data!B:B, A309)
)),"")</f>
        <v/>
      </c>
      <c r="N309" s="56"/>
      <c r="O309" s="56" t="str">
        <f>IF(A309="","",IFERROR((((((SUMIF(Data!B:B, A309, Data!H:H)+(SUMIF(Data!B:B, A309,Data!G:G)+(SUMIF(Data!B:B, A309,Data!L:L)+(SUMIF(Data!B:B, A309,Data!K:K)))))/(SUMIF(Data!B:B, A309, Data!M:M)+(SUMIF(Data!B:B, A309, Data!H:H)+(SUMIF(Data!B:B, A309,Data!G:G)+(SUMIF(Data!B:B, A309,Data!K:K)+(SUMIF(Data!B:B, A309,Data!L:L)))))))))),0))</f>
        <v/>
      </c>
      <c r="P309" s="57" t="str">
        <f>IFERROR(__xludf.DUMMYFUNCTION("IFERROR(((COUNTIF(FILTER(Data!N:N,Data!B:B=A309),""TRAVERSE"")*15)+(COUNTIF(FILTER(Data!N:N,Data!B:B=A309),""HIGH"")*10)+(COUNTIF(FILTER(Data!N:N,Data!B:B=A309),""MIDDLE"")*6)+(COUNTIF(FILTER(Data!N:N,Data!B:B=A309),""LOW"")*4)) / (COUNTIF(Data!B:B, A309)"&amp;"),"""")"),"")</f>
        <v/>
      </c>
      <c r="Q309" s="58"/>
      <c r="R309" s="36" t="str">
        <f t="shared" si="37"/>
        <v/>
      </c>
      <c r="S309" s="58" t="str">
        <f>IFERROR(__xludf.DUMMYFUNCTION("IFERROR((((COUNTIF(FILTER(Data!N:N,Data!B:B=A309),""TRAVERSE""))+(COUNTIF(FILTER(Data!N:N,Data!B:B=A309),""HIGH""))+(COUNTIF(FILTER(Data!N:N,Data!B:B=A309),""MIDDLE""))+(COUNTIF(FILTER(Data!N:N,Data!B:B=A309),""LOW"")))) / (((COUNTIF(Data!B:B, A309)))-(CO"&amp;"UNTIF(FILTER(Data!N:N,Data!B:B=A309),""NONE""))),IF(ISBLANK(A309),"""",0))"),"")</f>
        <v/>
      </c>
      <c r="T309" s="56" t="str">
        <f>IFERROR(__xludf.DUMMYFUNCTION("IFERROR((COUNTIF(FILTER(Data!N:N, Data!B:B=A309),""LOW"")) / (COUNTIF(Data!B:B, A309)),"""")"),"")</f>
        <v/>
      </c>
      <c r="U309" s="59" t="str">
        <f>IFERROR(__xludf.DUMMYFUNCTION("IFERROR((COUNTIF(FILTER(Data!N:N, Data!B:B=A309),""MIDDLE"")) / (COUNTIF(Data!B:B, A309)),"""")"),"")</f>
        <v/>
      </c>
      <c r="V309" s="59" t="str">
        <f>IFERROR(__xludf.DUMMYFUNCTION("IFERROR((COUNTIF(FILTER(Data!N:N, Data!B:B=A309),""HIGH"")) / (COUNTIF(Data!B:B, A309)),"""")"),"")</f>
        <v/>
      </c>
      <c r="W309" s="59" t="str">
        <f>IFERROR(__xludf.DUMMYFUNCTION("IFERROR((COUNTIF(FILTER(Data!N:N, Data!B:B=A309),""TRAVERSE"")) / (COUNTIF(Data!B:B, A309)),"""")"),"")</f>
        <v/>
      </c>
      <c r="X309" s="59"/>
      <c r="Y309" s="45" t="str">
        <f t="shared" si="7"/>
        <v/>
      </c>
      <c r="Z309" s="45" t="str">
        <f t="shared" si="8"/>
        <v/>
      </c>
      <c r="AA309" s="16" t="str">
        <f t="shared" si="9"/>
        <v/>
      </c>
      <c r="AB309" s="16"/>
      <c r="AC309" s="16" t="str">
        <f>IFERROR(__xludf.DUMMYFUNCTION("IF(AA309="""","""",MAX(Filter((Data!G:G+Data!K:K),Data!B:B=A309)))"),"")</f>
        <v/>
      </c>
      <c r="AD309" s="16"/>
      <c r="AE309" s="16" t="str">
        <f t="shared" si="12"/>
        <v/>
      </c>
      <c r="AF309" s="16" t="str">
        <f t="shared" si="13"/>
        <v/>
      </c>
      <c r="AG309" s="44"/>
      <c r="AH309" s="44"/>
      <c r="AI309" s="44" t="str">
        <f>IFERROR(__xludf.DUMMYFUNCTION("TEXTJOIN("", "",TRUE, FILTER(Data!P:P, Data!B:B=A309))"),"")</f>
        <v/>
      </c>
      <c r="AM309" s="61"/>
      <c r="BC309" s="50"/>
    </row>
    <row r="310">
      <c r="A310" s="54"/>
      <c r="B310" s="55" t="str">
        <f>IFERROR(__xludf.DUMMYFUNCTION("IFERROR(ROUND(
(COUNTIF(FILTER(Data!O:O, Data!B:B=A310), ""Win"")
+ COUNTIF(FILTER(Data!O:O, Data!B:B=A310), {""Tie"",""Results""}))
/ (COUNTIF(Data!B:B, A310)),
1),"""")"),"")</f>
        <v/>
      </c>
      <c r="C310" s="45" t="str">
        <f>IFERROR((SUMIF(Data!B:B, A310, Data!H:H)
/ (COUNTIF(Data!B:B, A310)
)),"")</f>
        <v/>
      </c>
      <c r="D310" s="45" t="str">
        <f>IFERROR((SUMIF(Data!B:B, A310, Data!G:G)
/ (COUNTIF(Data!B:B, A310)
)),"")</f>
        <v/>
      </c>
      <c r="E310" s="45"/>
      <c r="F310" s="45" t="str">
        <f>IFERROR((SUMIF(Data!B:B, A310, Data!J:J)
/ (COUNTIF(Data!B:B, A310)
)),"")</f>
        <v/>
      </c>
      <c r="G310" s="56" t="str">
        <f>IF(A310="","",IFERROR((((((SUMIF(Data!B:B, A310, Data!H:H)+(SUMIF(Data!B:B, A310,Data!G:G)))/(SUMIF(Data!B:B, A310, Data!J:J)))))),0))</f>
        <v/>
      </c>
      <c r="H310" s="45"/>
      <c r="I310" s="45"/>
      <c r="J310" s="45"/>
      <c r="K310" s="45"/>
      <c r="L310" s="45" t="str">
        <f>IFERROR((SUMIF(Data!B:B, A310, Data!L:L)
/ (COUNTIF(Data!B:B, A310)
)),"")</f>
        <v/>
      </c>
      <c r="M310" s="45" t="str">
        <f>IFERROR((SUMIF(Data!B:B, A310, Data!K:K)
/ (COUNTIF(Data!B:B, A310)
)),"")</f>
        <v/>
      </c>
      <c r="N310" s="56"/>
      <c r="O310" s="56" t="str">
        <f>IF(A310="","",IFERROR((((((SUMIF(Data!B:B, A310, Data!H:H)+(SUMIF(Data!B:B, A310,Data!G:G)+(SUMIF(Data!B:B, A310,Data!L:L)+(SUMIF(Data!B:B, A310,Data!K:K)))))/(SUMIF(Data!B:B, A310, Data!M:M)+(SUMIF(Data!B:B, A310, Data!H:H)+(SUMIF(Data!B:B, A310,Data!G:G)+(SUMIF(Data!B:B, A310,Data!K:K)+(SUMIF(Data!B:B, A310,Data!L:L)))))))))),0))</f>
        <v/>
      </c>
      <c r="P310" s="57" t="str">
        <f>IFERROR(__xludf.DUMMYFUNCTION("IFERROR(((COUNTIF(FILTER(Data!N:N,Data!B:B=A310),""TRAVERSE"")*15)+(COUNTIF(FILTER(Data!N:N,Data!B:B=A310),""HIGH"")*10)+(COUNTIF(FILTER(Data!N:N,Data!B:B=A310),""MIDDLE"")*6)+(COUNTIF(FILTER(Data!N:N,Data!B:B=A310),""LOW"")*4)) / (COUNTIF(Data!B:B, A310)"&amp;"),"""")"),"")</f>
        <v/>
      </c>
      <c r="Q310" s="58"/>
      <c r="R310" s="36" t="str">
        <f t="shared" si="37"/>
        <v/>
      </c>
      <c r="S310" s="58" t="str">
        <f>IFERROR(__xludf.DUMMYFUNCTION("IFERROR((((COUNTIF(FILTER(Data!N:N,Data!B:B=A310),""TRAVERSE""))+(COUNTIF(FILTER(Data!N:N,Data!B:B=A310),""HIGH""))+(COUNTIF(FILTER(Data!N:N,Data!B:B=A310),""MIDDLE""))+(COUNTIF(FILTER(Data!N:N,Data!B:B=A310),""LOW"")))) / (((COUNTIF(Data!B:B, A310)))-(CO"&amp;"UNTIF(FILTER(Data!N:N,Data!B:B=A310),""NONE""))),IF(ISBLANK(A310),"""",0))"),"")</f>
        <v/>
      </c>
      <c r="T310" s="56" t="str">
        <f>IFERROR(__xludf.DUMMYFUNCTION("IFERROR((COUNTIF(FILTER(Data!N:N, Data!B:B=A310),""LOW"")) / (COUNTIF(Data!B:B, A310)),"""")"),"")</f>
        <v/>
      </c>
      <c r="U310" s="59" t="str">
        <f>IFERROR(__xludf.DUMMYFUNCTION("IFERROR((COUNTIF(FILTER(Data!N:N, Data!B:B=A310),""MIDDLE"")) / (COUNTIF(Data!B:B, A310)),"""")"),"")</f>
        <v/>
      </c>
      <c r="V310" s="59" t="str">
        <f>IFERROR(__xludf.DUMMYFUNCTION("IFERROR((COUNTIF(FILTER(Data!N:N, Data!B:B=A310),""HIGH"")) / (COUNTIF(Data!B:B, A310)),"""")"),"")</f>
        <v/>
      </c>
      <c r="W310" s="59" t="str">
        <f>IFERROR(__xludf.DUMMYFUNCTION("IFERROR((COUNTIF(FILTER(Data!N:N, Data!B:B=A310),""TRAVERSE"")) / (COUNTIF(Data!B:B, A310)),"""")"),"")</f>
        <v/>
      </c>
      <c r="X310" s="59"/>
      <c r="Y310" s="45" t="str">
        <f t="shared" si="7"/>
        <v/>
      </c>
      <c r="Z310" s="45" t="str">
        <f t="shared" si="8"/>
        <v/>
      </c>
      <c r="AA310" s="16" t="str">
        <f t="shared" si="9"/>
        <v/>
      </c>
      <c r="AB310" s="16"/>
      <c r="AC310" s="16" t="str">
        <f>IFERROR(__xludf.DUMMYFUNCTION("IF(AA310="""","""",MAX(Filter((Data!G:G+Data!K:K),Data!B:B=A310)))"),"")</f>
        <v/>
      </c>
      <c r="AD310" s="16"/>
      <c r="AE310" s="16" t="str">
        <f t="shared" si="12"/>
        <v/>
      </c>
      <c r="AF310" s="16" t="str">
        <f t="shared" si="13"/>
        <v/>
      </c>
      <c r="AG310" s="44"/>
      <c r="AH310" s="44"/>
      <c r="AI310" s="44" t="str">
        <f>IFERROR(__xludf.DUMMYFUNCTION("TEXTJOIN("", "",TRUE, FILTER(Data!P:P, Data!B:B=A310))"),"")</f>
        <v/>
      </c>
      <c r="AM310" s="61"/>
      <c r="BC310" s="50"/>
    </row>
    <row r="311">
      <c r="A311" s="54"/>
      <c r="B311" s="55" t="str">
        <f>IFERROR(__xludf.DUMMYFUNCTION("IFERROR(ROUND(
(COUNTIF(FILTER(Data!O:O, Data!B:B=A311), ""Win"")
+ COUNTIF(FILTER(Data!O:O, Data!B:B=A311), {""Tie"",""Results""}))
/ (COUNTIF(Data!B:B, A311)),
1),"""")"),"")</f>
        <v/>
      </c>
      <c r="C311" s="45" t="str">
        <f>IFERROR((SUMIF(Data!B:B, A311, Data!H:H)
/ (COUNTIF(Data!B:B, A311)
)),"")</f>
        <v/>
      </c>
      <c r="D311" s="45" t="str">
        <f>IFERROR((SUMIF(Data!B:B, A311, Data!G:G)
/ (COUNTIF(Data!B:B, A311)
)),"")</f>
        <v/>
      </c>
      <c r="E311" s="45"/>
      <c r="F311" s="45" t="str">
        <f>IFERROR((SUMIF(Data!B:B, A311, Data!J:J)
/ (COUNTIF(Data!B:B, A311)
)),"")</f>
        <v/>
      </c>
      <c r="G311" s="56" t="str">
        <f>IF(A311="","",IFERROR((((((SUMIF(Data!B:B, A311, Data!H:H)+(SUMIF(Data!B:B, A311,Data!G:G)))/(SUMIF(Data!B:B, A311, Data!J:J)))))),0))</f>
        <v/>
      </c>
      <c r="H311" s="45"/>
      <c r="I311" s="45"/>
      <c r="J311" s="45"/>
      <c r="K311" s="45"/>
      <c r="L311" s="45" t="str">
        <f>IFERROR((SUMIF(Data!B:B, A311, Data!L:L)
/ (COUNTIF(Data!B:B, A311)
)),"")</f>
        <v/>
      </c>
      <c r="M311" s="45" t="str">
        <f>IFERROR((SUMIF(Data!B:B, A311, Data!K:K)
/ (COUNTIF(Data!B:B, A311)
)),"")</f>
        <v/>
      </c>
      <c r="N311" s="56"/>
      <c r="O311" s="56" t="str">
        <f>IF(A311="","",IFERROR((((((SUMIF(Data!B:B, A311, Data!H:H)+(SUMIF(Data!B:B, A311,Data!G:G)+(SUMIF(Data!B:B, A311,Data!L:L)+(SUMIF(Data!B:B, A311,Data!K:K)))))/(SUMIF(Data!B:B, A311, Data!M:M)+(SUMIF(Data!B:B, A311, Data!H:H)+(SUMIF(Data!B:B, A311,Data!G:G)+(SUMIF(Data!B:B, A311,Data!K:K)+(SUMIF(Data!B:B, A311,Data!L:L)))))))))),0))</f>
        <v/>
      </c>
      <c r="P311" s="57" t="str">
        <f>IFERROR(__xludf.DUMMYFUNCTION("IFERROR(((COUNTIF(FILTER(Data!N:N,Data!B:B=A311),""TRAVERSE"")*15)+(COUNTIF(FILTER(Data!N:N,Data!B:B=A311),""HIGH"")*10)+(COUNTIF(FILTER(Data!N:N,Data!B:B=A311),""MIDDLE"")*6)+(COUNTIF(FILTER(Data!N:N,Data!B:B=A311),""LOW"")*4)) / (COUNTIF(Data!B:B, A311)"&amp;"),"""")"),"")</f>
        <v/>
      </c>
      <c r="Q311" s="58"/>
      <c r="R311" s="36" t="str">
        <f t="shared" si="37"/>
        <v/>
      </c>
      <c r="S311" s="58" t="str">
        <f>IFERROR(__xludf.DUMMYFUNCTION("IFERROR((((COUNTIF(FILTER(Data!N:N,Data!B:B=A311),""TRAVERSE""))+(COUNTIF(FILTER(Data!N:N,Data!B:B=A311),""HIGH""))+(COUNTIF(FILTER(Data!N:N,Data!B:B=A311),""MIDDLE""))+(COUNTIF(FILTER(Data!N:N,Data!B:B=A311),""LOW"")))) / (((COUNTIF(Data!B:B, A311)))-(CO"&amp;"UNTIF(FILTER(Data!N:N,Data!B:B=A311),""NONE""))),IF(ISBLANK(A311),"""",0))"),"")</f>
        <v/>
      </c>
      <c r="T311" s="56" t="str">
        <f>IFERROR(__xludf.DUMMYFUNCTION("IFERROR((COUNTIF(FILTER(Data!N:N, Data!B:B=A311),""LOW"")) / (COUNTIF(Data!B:B, A311)),"""")"),"")</f>
        <v/>
      </c>
      <c r="U311" s="59" t="str">
        <f>IFERROR(__xludf.DUMMYFUNCTION("IFERROR((COUNTIF(FILTER(Data!N:N, Data!B:B=A311),""MIDDLE"")) / (COUNTIF(Data!B:B, A311)),"""")"),"")</f>
        <v/>
      </c>
      <c r="V311" s="59" t="str">
        <f>IFERROR(__xludf.DUMMYFUNCTION("IFERROR((COUNTIF(FILTER(Data!N:N, Data!B:B=A311),""HIGH"")) / (COUNTIF(Data!B:B, A311)),"""")"),"")</f>
        <v/>
      </c>
      <c r="W311" s="59" t="str">
        <f>IFERROR(__xludf.DUMMYFUNCTION("IFERROR((COUNTIF(FILTER(Data!N:N, Data!B:B=A311),""TRAVERSE"")) / (COUNTIF(Data!B:B, A311)),"""")"),"")</f>
        <v/>
      </c>
      <c r="X311" s="59"/>
      <c r="Y311" s="45" t="str">
        <f t="shared" si="7"/>
        <v/>
      </c>
      <c r="Z311" s="45" t="str">
        <f t="shared" si="8"/>
        <v/>
      </c>
      <c r="AA311" s="16" t="str">
        <f t="shared" si="9"/>
        <v/>
      </c>
      <c r="AB311" s="16"/>
      <c r="AC311" s="16" t="str">
        <f>IFERROR(__xludf.DUMMYFUNCTION("IF(AA311="""","""",MAX(Filter((Data!G:G+Data!K:K),Data!B:B=A311)))"),"")</f>
        <v/>
      </c>
      <c r="AD311" s="16"/>
      <c r="AE311" s="16" t="str">
        <f t="shared" si="12"/>
        <v/>
      </c>
      <c r="AF311" s="16" t="str">
        <f t="shared" si="13"/>
        <v/>
      </c>
      <c r="AG311" s="44"/>
      <c r="AH311" s="44"/>
      <c r="AI311" s="44" t="str">
        <f>IFERROR(__xludf.DUMMYFUNCTION("TEXTJOIN("", "",TRUE, FILTER(Data!P:P, Data!B:B=A311))"),"")</f>
        <v/>
      </c>
      <c r="AM311" s="61"/>
      <c r="BC311" s="50"/>
    </row>
    <row r="312">
      <c r="A312" s="54"/>
      <c r="B312" s="55" t="str">
        <f>IFERROR(__xludf.DUMMYFUNCTION("IFERROR(ROUND(
(COUNTIF(FILTER(Data!O:O, Data!B:B=A312), ""Win"")
+ COUNTIF(FILTER(Data!O:O, Data!B:B=A312), {""Tie"",""Results""}))
/ (COUNTIF(Data!B:B, A312)),
1),"""")"),"")</f>
        <v/>
      </c>
      <c r="C312" s="45" t="str">
        <f>IFERROR((SUMIF(Data!B:B, A312, Data!H:H)
/ (COUNTIF(Data!B:B, A312)
)),"")</f>
        <v/>
      </c>
      <c r="D312" s="45" t="str">
        <f>IFERROR((SUMIF(Data!B:B, A312, Data!G:G)
/ (COUNTIF(Data!B:B, A312)
)),"")</f>
        <v/>
      </c>
      <c r="E312" s="45"/>
      <c r="F312" s="45" t="str">
        <f>IFERROR((SUMIF(Data!B:B, A312, Data!J:J)
/ (COUNTIF(Data!B:B, A312)
)),"")</f>
        <v/>
      </c>
      <c r="G312" s="56" t="str">
        <f>IF(A312="","",IFERROR((((((SUMIF(Data!B:B, A312, Data!H:H)+(SUMIF(Data!B:B, A312,Data!G:G)))/(SUMIF(Data!B:B, A312, Data!J:J)))))),0))</f>
        <v/>
      </c>
      <c r="H312" s="45"/>
      <c r="I312" s="45"/>
      <c r="J312" s="45"/>
      <c r="K312" s="45"/>
      <c r="L312" s="45" t="str">
        <f>IFERROR((SUMIF(Data!B:B, A312, Data!L:L)
/ (COUNTIF(Data!B:B, A312)
)),"")</f>
        <v/>
      </c>
      <c r="M312" s="45" t="str">
        <f>IFERROR((SUMIF(Data!B:B, A312, Data!K:K)
/ (COUNTIF(Data!B:B, A312)
)),"")</f>
        <v/>
      </c>
      <c r="N312" s="56"/>
      <c r="O312" s="56" t="str">
        <f>IF(A312="","",IFERROR((((((SUMIF(Data!B:B, A312, Data!H:H)+(SUMIF(Data!B:B, A312,Data!G:G)+(SUMIF(Data!B:B, A312,Data!L:L)+(SUMIF(Data!B:B, A312,Data!K:K)))))/(SUMIF(Data!B:B, A312, Data!M:M)+(SUMIF(Data!B:B, A312, Data!H:H)+(SUMIF(Data!B:B, A312,Data!G:G)+(SUMIF(Data!B:B, A312,Data!K:K)+(SUMIF(Data!B:B, A312,Data!L:L)))))))))),0))</f>
        <v/>
      </c>
      <c r="P312" s="57" t="str">
        <f>IFERROR(__xludf.DUMMYFUNCTION("IFERROR(((COUNTIF(FILTER(Data!N:N,Data!B:B=A312),""TRAVERSE"")*15)+(COUNTIF(FILTER(Data!N:N,Data!B:B=A312),""HIGH"")*10)+(COUNTIF(FILTER(Data!N:N,Data!B:B=A312),""MIDDLE"")*6)+(COUNTIF(FILTER(Data!N:N,Data!B:B=A312),""LOW"")*4)) / (COUNTIF(Data!B:B, A312)"&amp;"),"""")"),"")</f>
        <v/>
      </c>
      <c r="Q312" s="58"/>
      <c r="R312" s="36" t="str">
        <f t="shared" si="37"/>
        <v/>
      </c>
      <c r="S312" s="58" t="str">
        <f>IFERROR(__xludf.DUMMYFUNCTION("IFERROR((((COUNTIF(FILTER(Data!N:N,Data!B:B=A312),""TRAVERSE""))+(COUNTIF(FILTER(Data!N:N,Data!B:B=A312),""HIGH""))+(COUNTIF(FILTER(Data!N:N,Data!B:B=A312),""MIDDLE""))+(COUNTIF(FILTER(Data!N:N,Data!B:B=A312),""LOW"")))) / (((COUNTIF(Data!B:B, A312)))-(CO"&amp;"UNTIF(FILTER(Data!N:N,Data!B:B=A312),""NONE""))),IF(ISBLANK(A312),"""",0))"),"")</f>
        <v/>
      </c>
      <c r="T312" s="56" t="str">
        <f>IFERROR(__xludf.DUMMYFUNCTION("IFERROR((COUNTIF(FILTER(Data!N:N, Data!B:B=A312),""LOW"")) / (COUNTIF(Data!B:B, A312)),"""")"),"")</f>
        <v/>
      </c>
      <c r="U312" s="59" t="str">
        <f>IFERROR(__xludf.DUMMYFUNCTION("IFERROR((COUNTIF(FILTER(Data!N:N, Data!B:B=A312),""MIDDLE"")) / (COUNTIF(Data!B:B, A312)),"""")"),"")</f>
        <v/>
      </c>
      <c r="V312" s="59" t="str">
        <f>IFERROR(__xludf.DUMMYFUNCTION("IFERROR((COUNTIF(FILTER(Data!N:N, Data!B:B=A312),""HIGH"")) / (COUNTIF(Data!B:B, A312)),"""")"),"")</f>
        <v/>
      </c>
      <c r="W312" s="59" t="str">
        <f>IFERROR(__xludf.DUMMYFUNCTION("IFERROR((COUNTIF(FILTER(Data!N:N, Data!B:B=A312),""TRAVERSE"")) / (COUNTIF(Data!B:B, A312)),"""")"),"")</f>
        <v/>
      </c>
      <c r="X312" s="59"/>
      <c r="Y312" s="45" t="str">
        <f t="shared" si="7"/>
        <v/>
      </c>
      <c r="Z312" s="45" t="str">
        <f t="shared" si="8"/>
        <v/>
      </c>
      <c r="AA312" s="16" t="str">
        <f t="shared" si="9"/>
        <v/>
      </c>
      <c r="AB312" s="16"/>
      <c r="AC312" s="16" t="str">
        <f>IFERROR(__xludf.DUMMYFUNCTION("IF(AA312="""","""",MAX(Filter((Data!G:G+Data!K:K),Data!B:B=A312)))"),"")</f>
        <v/>
      </c>
      <c r="AD312" s="16"/>
      <c r="AE312" s="16" t="str">
        <f t="shared" si="12"/>
        <v/>
      </c>
      <c r="AF312" s="16" t="str">
        <f t="shared" si="13"/>
        <v/>
      </c>
      <c r="AG312" s="44"/>
      <c r="AH312" s="44"/>
      <c r="AI312" s="44" t="str">
        <f>IFERROR(__xludf.DUMMYFUNCTION("TEXTJOIN("", "",TRUE, FILTER(Data!P:P, Data!B:B=A312))"),"")</f>
        <v/>
      </c>
      <c r="AM312" s="61"/>
      <c r="BC312" s="50"/>
    </row>
    <row r="313">
      <c r="A313" s="54"/>
      <c r="B313" s="55" t="str">
        <f>IFERROR(__xludf.DUMMYFUNCTION("IFERROR(ROUND(
(COUNTIF(FILTER(Data!O:O, Data!B:B=A313), ""Win"")
+ COUNTIF(FILTER(Data!O:O, Data!B:B=A313), {""Tie"",""Results""}))
/ (COUNTIF(Data!B:B, A313)),
1),"""")"),"")</f>
        <v/>
      </c>
      <c r="C313" s="45" t="str">
        <f>IFERROR((SUMIF(Data!B:B, A313, Data!H:H)
/ (COUNTIF(Data!B:B, A313)
)),"")</f>
        <v/>
      </c>
      <c r="D313" s="45" t="str">
        <f>IFERROR((SUMIF(Data!B:B, A313, Data!G:G)
/ (COUNTIF(Data!B:B, A313)
)),"")</f>
        <v/>
      </c>
      <c r="E313" s="45"/>
      <c r="F313" s="45" t="str">
        <f>IFERROR((SUMIF(Data!B:B, A313, Data!J:J)
/ (COUNTIF(Data!B:B, A313)
)),"")</f>
        <v/>
      </c>
      <c r="G313" s="56" t="str">
        <f>IF(A313="","",IFERROR((((((SUMIF(Data!B:B, A313, Data!H:H)+(SUMIF(Data!B:B, A313,Data!G:G)))/(SUMIF(Data!B:B, A313, Data!J:J)))))),0))</f>
        <v/>
      </c>
      <c r="H313" s="45"/>
      <c r="I313" s="45"/>
      <c r="J313" s="45"/>
      <c r="K313" s="45"/>
      <c r="L313" s="45" t="str">
        <f>IFERROR((SUMIF(Data!B:B, A313, Data!L:L)
/ (COUNTIF(Data!B:B, A313)
)),"")</f>
        <v/>
      </c>
      <c r="M313" s="45" t="str">
        <f>IFERROR((SUMIF(Data!B:B, A313, Data!K:K)
/ (COUNTIF(Data!B:B, A313)
)),"")</f>
        <v/>
      </c>
      <c r="N313" s="56"/>
      <c r="O313" s="56" t="str">
        <f>IF(A313="","",IFERROR((((((SUMIF(Data!B:B, A313, Data!H:H)+(SUMIF(Data!B:B, A313,Data!G:G)+(SUMIF(Data!B:B, A313,Data!L:L)+(SUMIF(Data!B:B, A313,Data!K:K)))))/(SUMIF(Data!B:B, A313, Data!M:M)+(SUMIF(Data!B:B, A313, Data!H:H)+(SUMIF(Data!B:B, A313,Data!G:G)+(SUMIF(Data!B:B, A313,Data!K:K)+(SUMIF(Data!B:B, A313,Data!L:L)))))))))),0))</f>
        <v/>
      </c>
      <c r="P313" s="57" t="str">
        <f>IFERROR(__xludf.DUMMYFUNCTION("IFERROR(((COUNTIF(FILTER(Data!N:N,Data!B:B=A313),""TRAVERSE"")*15)+(COUNTIF(FILTER(Data!N:N,Data!B:B=A313),""HIGH"")*10)+(COUNTIF(FILTER(Data!N:N,Data!B:B=A313),""MIDDLE"")*6)+(COUNTIF(FILTER(Data!N:N,Data!B:B=A313),""LOW"")*4)) / (COUNTIF(Data!B:B, A313)"&amp;"),"""")"),"")</f>
        <v/>
      </c>
      <c r="Q313" s="58"/>
      <c r="R313" s="36" t="str">
        <f t="shared" si="37"/>
        <v/>
      </c>
      <c r="S313" s="58" t="str">
        <f>IFERROR(__xludf.DUMMYFUNCTION("IFERROR((((COUNTIF(FILTER(Data!N:N,Data!B:B=A313),""TRAVERSE""))+(COUNTIF(FILTER(Data!N:N,Data!B:B=A313),""HIGH""))+(COUNTIF(FILTER(Data!N:N,Data!B:B=A313),""MIDDLE""))+(COUNTIF(FILTER(Data!N:N,Data!B:B=A313),""LOW"")))) / (((COUNTIF(Data!B:B, A313)))-(CO"&amp;"UNTIF(FILTER(Data!N:N,Data!B:B=A313),""NONE""))),IF(ISBLANK(A313),"""",0))"),"")</f>
        <v/>
      </c>
      <c r="T313" s="56" t="str">
        <f>IFERROR(__xludf.DUMMYFUNCTION("IFERROR((COUNTIF(FILTER(Data!N:N, Data!B:B=A313),""LOW"")) / (COUNTIF(Data!B:B, A313)),"""")"),"")</f>
        <v/>
      </c>
      <c r="U313" s="59" t="str">
        <f>IFERROR(__xludf.DUMMYFUNCTION("IFERROR((COUNTIF(FILTER(Data!N:N, Data!B:B=A313),""MIDDLE"")) / (COUNTIF(Data!B:B, A313)),"""")"),"")</f>
        <v/>
      </c>
      <c r="V313" s="59" t="str">
        <f>IFERROR(__xludf.DUMMYFUNCTION("IFERROR((COUNTIF(FILTER(Data!N:N, Data!B:B=A313),""HIGH"")) / (COUNTIF(Data!B:B, A313)),"""")"),"")</f>
        <v/>
      </c>
      <c r="W313" s="59" t="str">
        <f>IFERROR(__xludf.DUMMYFUNCTION("IFERROR((COUNTIF(FILTER(Data!N:N, Data!B:B=A313),""TRAVERSE"")) / (COUNTIF(Data!B:B, A313)),"""")"),"")</f>
        <v/>
      </c>
      <c r="X313" s="59"/>
      <c r="Y313" s="45" t="str">
        <f t="shared" si="7"/>
        <v/>
      </c>
      <c r="Z313" s="45" t="str">
        <f t="shared" si="8"/>
        <v/>
      </c>
      <c r="AA313" s="16" t="str">
        <f t="shared" si="9"/>
        <v/>
      </c>
      <c r="AB313" s="16"/>
      <c r="AC313" s="16" t="str">
        <f>IFERROR(__xludf.DUMMYFUNCTION("IF(AA313="""","""",MAX(Filter((Data!G:G+Data!K:K),Data!B:B=A313)))"),"")</f>
        <v/>
      </c>
      <c r="AD313" s="16"/>
      <c r="AE313" s="16" t="str">
        <f t="shared" si="12"/>
        <v/>
      </c>
      <c r="AF313" s="16" t="str">
        <f t="shared" si="13"/>
        <v/>
      </c>
      <c r="AG313" s="44"/>
      <c r="AH313" s="44"/>
      <c r="AI313" s="44" t="str">
        <f>IFERROR(__xludf.DUMMYFUNCTION("TEXTJOIN("", "",TRUE, FILTER(Data!P:P, Data!B:B=A313))"),"")</f>
        <v/>
      </c>
      <c r="AM313" s="61"/>
      <c r="BC313" s="50"/>
    </row>
    <row r="314">
      <c r="A314" s="54"/>
      <c r="B314" s="55" t="str">
        <f>IFERROR(__xludf.DUMMYFUNCTION("IFERROR(ROUND(
(COUNTIF(FILTER(Data!O:O, Data!B:B=A314), ""Win"")
+ COUNTIF(FILTER(Data!O:O, Data!B:B=A314), {""Tie"",""Results""}))
/ (COUNTIF(Data!B:B, A314)),
1),"""")"),"")</f>
        <v/>
      </c>
      <c r="C314" s="45" t="str">
        <f>IFERROR((SUMIF(Data!B:B, A314, Data!H:H)
/ (COUNTIF(Data!B:B, A314)
)),"")</f>
        <v/>
      </c>
      <c r="D314" s="45" t="str">
        <f>IFERROR((SUMIF(Data!B:B, A314, Data!G:G)
/ (COUNTIF(Data!B:B, A314)
)),"")</f>
        <v/>
      </c>
      <c r="E314" s="45"/>
      <c r="F314" s="45" t="str">
        <f>IFERROR((SUMIF(Data!B:B, A314, Data!J:J)
/ (COUNTIF(Data!B:B, A314)
)),"")</f>
        <v/>
      </c>
      <c r="G314" s="56" t="str">
        <f>IF(A314="","",IFERROR((((((SUMIF(Data!B:B, A314, Data!H:H)+(SUMIF(Data!B:B, A314,Data!G:G)))/(SUMIF(Data!B:B, A314, Data!J:J)))))),0))</f>
        <v/>
      </c>
      <c r="H314" s="45"/>
      <c r="I314" s="45"/>
      <c r="J314" s="45"/>
      <c r="K314" s="45"/>
      <c r="L314" s="45" t="str">
        <f>IFERROR((SUMIF(Data!B:B, A314, Data!L:L)
/ (COUNTIF(Data!B:B, A314)
)),"")</f>
        <v/>
      </c>
      <c r="M314" s="45" t="str">
        <f>IFERROR((SUMIF(Data!B:B, A314, Data!K:K)
/ (COUNTIF(Data!B:B, A314)
)),"")</f>
        <v/>
      </c>
      <c r="N314" s="56"/>
      <c r="O314" s="56" t="str">
        <f>IF(A314="","",IFERROR((((((SUMIF(Data!B:B, A314, Data!H:H)+(SUMIF(Data!B:B, A314,Data!G:G)+(SUMIF(Data!B:B, A314,Data!L:L)+(SUMIF(Data!B:B, A314,Data!K:K)))))/(SUMIF(Data!B:B, A314, Data!M:M)+(SUMIF(Data!B:B, A314, Data!H:H)+(SUMIF(Data!B:B, A314,Data!G:G)+(SUMIF(Data!B:B, A314,Data!K:K)+(SUMIF(Data!B:B, A314,Data!L:L)))))))))),0))</f>
        <v/>
      </c>
      <c r="P314" s="57" t="str">
        <f>IFERROR(__xludf.DUMMYFUNCTION("IFERROR(((COUNTIF(FILTER(Data!N:N,Data!B:B=A314),""TRAVERSE"")*15)+(COUNTIF(FILTER(Data!N:N,Data!B:B=A314),""HIGH"")*10)+(COUNTIF(FILTER(Data!N:N,Data!B:B=A314),""MIDDLE"")*6)+(COUNTIF(FILTER(Data!N:N,Data!B:B=A314),""LOW"")*4)) / (COUNTIF(Data!B:B, A314)"&amp;"),"""")"),"")</f>
        <v/>
      </c>
      <c r="Q314" s="58"/>
      <c r="R314" s="36" t="str">
        <f t="shared" si="37"/>
        <v/>
      </c>
      <c r="S314" s="58" t="str">
        <f>IFERROR(__xludf.DUMMYFUNCTION("IFERROR((((COUNTIF(FILTER(Data!N:N,Data!B:B=A314),""TRAVERSE""))+(COUNTIF(FILTER(Data!N:N,Data!B:B=A314),""HIGH""))+(COUNTIF(FILTER(Data!N:N,Data!B:B=A314),""MIDDLE""))+(COUNTIF(FILTER(Data!N:N,Data!B:B=A314),""LOW"")))) / (((COUNTIF(Data!B:B, A314)))-(CO"&amp;"UNTIF(FILTER(Data!N:N,Data!B:B=A314),""NONE""))),IF(ISBLANK(A314),"""",0))"),"")</f>
        <v/>
      </c>
      <c r="T314" s="56" t="str">
        <f>IFERROR(__xludf.DUMMYFUNCTION("IFERROR((COUNTIF(FILTER(Data!N:N, Data!B:B=A314),""LOW"")) / (COUNTIF(Data!B:B, A314)),"""")"),"")</f>
        <v/>
      </c>
      <c r="U314" s="59" t="str">
        <f>IFERROR(__xludf.DUMMYFUNCTION("IFERROR((COUNTIF(FILTER(Data!N:N, Data!B:B=A314),""MIDDLE"")) / (COUNTIF(Data!B:B, A314)),"""")"),"")</f>
        <v/>
      </c>
      <c r="V314" s="59" t="str">
        <f>IFERROR(__xludf.DUMMYFUNCTION("IFERROR((COUNTIF(FILTER(Data!N:N, Data!B:B=A314),""HIGH"")) / (COUNTIF(Data!B:B, A314)),"""")"),"")</f>
        <v/>
      </c>
      <c r="W314" s="59" t="str">
        <f>IFERROR(__xludf.DUMMYFUNCTION("IFERROR((COUNTIF(FILTER(Data!N:N, Data!B:B=A314),""TRAVERSE"")) / (COUNTIF(Data!B:B, A314)),"""")"),"")</f>
        <v/>
      </c>
      <c r="X314" s="59"/>
      <c r="Y314" s="45" t="str">
        <f t="shared" si="7"/>
        <v/>
      </c>
      <c r="Z314" s="45" t="str">
        <f t="shared" si="8"/>
        <v/>
      </c>
      <c r="AA314" s="16" t="str">
        <f t="shared" si="9"/>
        <v/>
      </c>
      <c r="AB314" s="16"/>
      <c r="AC314" s="16" t="str">
        <f>IFERROR(__xludf.DUMMYFUNCTION("IF(AA314="""","""",MAX(Filter((Data!G:G+Data!K:K),Data!B:B=A314)))"),"")</f>
        <v/>
      </c>
      <c r="AD314" s="16"/>
      <c r="AE314" s="16" t="str">
        <f t="shared" si="12"/>
        <v/>
      </c>
      <c r="AF314" s="16" t="str">
        <f t="shared" si="13"/>
        <v/>
      </c>
      <c r="AG314" s="44"/>
      <c r="AH314" s="44"/>
      <c r="AI314" s="44" t="str">
        <f>IFERROR(__xludf.DUMMYFUNCTION("TEXTJOIN("", "",TRUE, FILTER(Data!P:P, Data!B:B=A314))"),"")</f>
        <v/>
      </c>
      <c r="AM314" s="61"/>
      <c r="BC314" s="50"/>
    </row>
    <row r="315">
      <c r="A315" s="54"/>
      <c r="B315" s="55" t="str">
        <f>IFERROR(__xludf.DUMMYFUNCTION("IFERROR(ROUND(
(COUNTIF(FILTER(Data!O:O, Data!B:B=A315), ""Win"")
+ COUNTIF(FILTER(Data!O:O, Data!B:B=A315), {""Tie"",""Results""}))
/ (COUNTIF(Data!B:B, A315)),
1),"""")"),"")</f>
        <v/>
      </c>
      <c r="C315" s="45" t="str">
        <f>IFERROR((SUMIF(Data!B:B, A315, Data!H:H)
/ (COUNTIF(Data!B:B, A315)
)),"")</f>
        <v/>
      </c>
      <c r="D315" s="45" t="str">
        <f>IFERROR((SUMIF(Data!B:B, A315, Data!G:G)
/ (COUNTIF(Data!B:B, A315)
)),"")</f>
        <v/>
      </c>
      <c r="E315" s="45"/>
      <c r="F315" s="45" t="str">
        <f>IFERROR((SUMIF(Data!B:B, A315, Data!J:J)
/ (COUNTIF(Data!B:B, A315)
)),"")</f>
        <v/>
      </c>
      <c r="G315" s="56" t="str">
        <f>IF(A315="","",IFERROR((((((SUMIF(Data!B:B, A315, Data!H:H)+(SUMIF(Data!B:B, A315,Data!G:G)))/(SUMIF(Data!B:B, A315, Data!J:J)))))),0))</f>
        <v/>
      </c>
      <c r="H315" s="45"/>
      <c r="I315" s="45"/>
      <c r="J315" s="45"/>
      <c r="K315" s="45"/>
      <c r="L315" s="45" t="str">
        <f>IFERROR((SUMIF(Data!B:B, A315, Data!L:L)
/ (COUNTIF(Data!B:B, A315)
)),"")</f>
        <v/>
      </c>
      <c r="M315" s="45" t="str">
        <f>IFERROR((SUMIF(Data!B:B, A315, Data!K:K)
/ (COUNTIF(Data!B:B, A315)
)),"")</f>
        <v/>
      </c>
      <c r="N315" s="56"/>
      <c r="O315" s="56" t="str">
        <f>IF(A315="","",IFERROR((((((SUMIF(Data!B:B, A315, Data!H:H)+(SUMIF(Data!B:B, A315,Data!G:G)+(SUMIF(Data!B:B, A315,Data!L:L)+(SUMIF(Data!B:B, A315,Data!K:K)))))/(SUMIF(Data!B:B, A315, Data!M:M)+(SUMIF(Data!B:B, A315, Data!H:H)+(SUMIF(Data!B:B, A315,Data!G:G)+(SUMIF(Data!B:B, A315,Data!K:K)+(SUMIF(Data!B:B, A315,Data!L:L)))))))))),0))</f>
        <v/>
      </c>
      <c r="P315" s="57" t="str">
        <f>IFERROR(__xludf.DUMMYFUNCTION("IFERROR(((COUNTIF(FILTER(Data!N:N,Data!B:B=A315),""TRAVERSE"")*15)+(COUNTIF(FILTER(Data!N:N,Data!B:B=A315),""HIGH"")*10)+(COUNTIF(FILTER(Data!N:N,Data!B:B=A315),""MIDDLE"")*6)+(COUNTIF(FILTER(Data!N:N,Data!B:B=A315),""LOW"")*4)) / (COUNTIF(Data!B:B, A315)"&amp;"),"""")"),"")</f>
        <v/>
      </c>
      <c r="Q315" s="58"/>
      <c r="R315" s="36" t="str">
        <f t="shared" si="37"/>
        <v/>
      </c>
      <c r="S315" s="58" t="str">
        <f>IFERROR(__xludf.DUMMYFUNCTION("IFERROR((((COUNTIF(FILTER(Data!N:N,Data!B:B=A315),""TRAVERSE""))+(COUNTIF(FILTER(Data!N:N,Data!B:B=A315),""HIGH""))+(COUNTIF(FILTER(Data!N:N,Data!B:B=A315),""MIDDLE""))+(COUNTIF(FILTER(Data!N:N,Data!B:B=A315),""LOW"")))) / (((COUNTIF(Data!B:B, A315)))-(CO"&amp;"UNTIF(FILTER(Data!N:N,Data!B:B=A315),""NONE""))),IF(ISBLANK(A315),"""",0))"),"")</f>
        <v/>
      </c>
      <c r="T315" s="56" t="str">
        <f>IFERROR(__xludf.DUMMYFUNCTION("IFERROR((COUNTIF(FILTER(Data!N:N, Data!B:B=A315),""LOW"")) / (COUNTIF(Data!B:B, A315)),"""")"),"")</f>
        <v/>
      </c>
      <c r="U315" s="59" t="str">
        <f>IFERROR(__xludf.DUMMYFUNCTION("IFERROR((COUNTIF(FILTER(Data!N:N, Data!B:B=A315),""MIDDLE"")) / (COUNTIF(Data!B:B, A315)),"""")"),"")</f>
        <v/>
      </c>
      <c r="V315" s="59" t="str">
        <f>IFERROR(__xludf.DUMMYFUNCTION("IFERROR((COUNTIF(FILTER(Data!N:N, Data!B:B=A315),""HIGH"")) / (COUNTIF(Data!B:B, A315)),"""")"),"")</f>
        <v/>
      </c>
      <c r="W315" s="59" t="str">
        <f>IFERROR(__xludf.DUMMYFUNCTION("IFERROR((COUNTIF(FILTER(Data!N:N, Data!B:B=A315),""TRAVERSE"")) / (COUNTIF(Data!B:B, A315)),"""")"),"")</f>
        <v/>
      </c>
      <c r="X315" s="59"/>
      <c r="Y315" s="45" t="str">
        <f t="shared" si="7"/>
        <v/>
      </c>
      <c r="Z315" s="45" t="str">
        <f t="shared" si="8"/>
        <v/>
      </c>
      <c r="AA315" s="16" t="str">
        <f t="shared" si="9"/>
        <v/>
      </c>
      <c r="AB315" s="16"/>
      <c r="AC315" s="16" t="str">
        <f>IFERROR(__xludf.DUMMYFUNCTION("IF(AA315="""","""",MAX(Filter((Data!G:G+Data!K:K),Data!B:B=A315)))"),"")</f>
        <v/>
      </c>
      <c r="AD315" s="16"/>
      <c r="AE315" s="16" t="str">
        <f t="shared" si="12"/>
        <v/>
      </c>
      <c r="AF315" s="16" t="str">
        <f t="shared" si="13"/>
        <v/>
      </c>
      <c r="AG315" s="44"/>
      <c r="AH315" s="44"/>
      <c r="AI315" s="44" t="str">
        <f>IFERROR(__xludf.DUMMYFUNCTION("TEXTJOIN("", "",TRUE, FILTER(Data!P:P, Data!B:B=A315))"),"")</f>
        <v/>
      </c>
      <c r="AM315" s="61"/>
      <c r="BC315" s="50"/>
    </row>
    <row r="316">
      <c r="A316" s="54"/>
      <c r="B316" s="55" t="str">
        <f>IFERROR(__xludf.DUMMYFUNCTION("IFERROR(ROUND(
(COUNTIF(FILTER(Data!O:O, Data!B:B=A316), ""Win"")
+ COUNTIF(FILTER(Data!O:O, Data!B:B=A316), {""Tie"",""Results""}))
/ (COUNTIF(Data!B:B, A316)),
1),"""")"),"")</f>
        <v/>
      </c>
      <c r="C316" s="45" t="str">
        <f>IFERROR((SUMIF(Data!B:B, A316, Data!H:H)
/ (COUNTIF(Data!B:B, A316)
)),"")</f>
        <v/>
      </c>
      <c r="D316" s="45" t="str">
        <f>IFERROR((SUMIF(Data!B:B, A316, Data!G:G)
/ (COUNTIF(Data!B:B, A316)
)),"")</f>
        <v/>
      </c>
      <c r="E316" s="45"/>
      <c r="F316" s="45" t="str">
        <f>IFERROR((SUMIF(Data!B:B, A316, Data!J:J)
/ (COUNTIF(Data!B:B, A316)
)),"")</f>
        <v/>
      </c>
      <c r="G316" s="56" t="str">
        <f>IF(A316="","",IFERROR((((((SUMIF(Data!B:B, A316, Data!H:H)+(SUMIF(Data!B:B, A316,Data!G:G)))/(SUMIF(Data!B:B, A316, Data!J:J)))))),0))</f>
        <v/>
      </c>
      <c r="H316" s="45"/>
      <c r="I316" s="45"/>
      <c r="J316" s="45"/>
      <c r="K316" s="45"/>
      <c r="L316" s="45" t="str">
        <f>IFERROR((SUMIF(Data!B:B, A316, Data!L:L)
/ (COUNTIF(Data!B:B, A316)
)),"")</f>
        <v/>
      </c>
      <c r="M316" s="45" t="str">
        <f>IFERROR((SUMIF(Data!B:B, A316, Data!K:K)
/ (COUNTIF(Data!B:B, A316)
)),"")</f>
        <v/>
      </c>
      <c r="N316" s="56"/>
      <c r="O316" s="56" t="str">
        <f>IF(A316="","",IFERROR((((((SUMIF(Data!B:B, A316, Data!H:H)+(SUMIF(Data!B:B, A316,Data!G:G)+(SUMIF(Data!B:B, A316,Data!L:L)+(SUMIF(Data!B:B, A316,Data!K:K)))))/(SUMIF(Data!B:B, A316, Data!M:M)+(SUMIF(Data!B:B, A316, Data!H:H)+(SUMIF(Data!B:B, A316,Data!G:G)+(SUMIF(Data!B:B, A316,Data!K:K)+(SUMIF(Data!B:B, A316,Data!L:L)))))))))),0))</f>
        <v/>
      </c>
      <c r="P316" s="57" t="str">
        <f>IFERROR(__xludf.DUMMYFUNCTION("IFERROR(((COUNTIF(FILTER(Data!N:N,Data!B:B=A316),""TRAVERSE"")*15)+(COUNTIF(FILTER(Data!N:N,Data!B:B=A316),""HIGH"")*10)+(COUNTIF(FILTER(Data!N:N,Data!B:B=A316),""MIDDLE"")*6)+(COUNTIF(FILTER(Data!N:N,Data!B:B=A316),""LOW"")*4)) / (COUNTIF(Data!B:B, A316)"&amp;"),"""")"),"")</f>
        <v/>
      </c>
      <c r="Q316" s="58"/>
      <c r="R316" s="36" t="str">
        <f t="shared" si="37"/>
        <v/>
      </c>
      <c r="S316" s="58" t="str">
        <f>IFERROR(__xludf.DUMMYFUNCTION("IFERROR((((COUNTIF(FILTER(Data!N:N,Data!B:B=A316),""TRAVERSE""))+(COUNTIF(FILTER(Data!N:N,Data!B:B=A316),""HIGH""))+(COUNTIF(FILTER(Data!N:N,Data!B:B=A316),""MIDDLE""))+(COUNTIF(FILTER(Data!N:N,Data!B:B=A316),""LOW"")))) / (((COUNTIF(Data!B:B, A316)))-(CO"&amp;"UNTIF(FILTER(Data!N:N,Data!B:B=A316),""NONE""))),IF(ISBLANK(A316),"""",0))"),"")</f>
        <v/>
      </c>
      <c r="T316" s="56" t="str">
        <f>IFERROR(__xludf.DUMMYFUNCTION("IFERROR((COUNTIF(FILTER(Data!N:N, Data!B:B=A316),""LOW"")) / (COUNTIF(Data!B:B, A316)),"""")"),"")</f>
        <v/>
      </c>
      <c r="U316" s="59" t="str">
        <f>IFERROR(__xludf.DUMMYFUNCTION("IFERROR((COUNTIF(FILTER(Data!N:N, Data!B:B=A316),""MIDDLE"")) / (COUNTIF(Data!B:B, A316)),"""")"),"")</f>
        <v/>
      </c>
      <c r="V316" s="59" t="str">
        <f>IFERROR(__xludf.DUMMYFUNCTION("IFERROR((COUNTIF(FILTER(Data!N:N, Data!B:B=A316),""HIGH"")) / (COUNTIF(Data!B:B, A316)),"""")"),"")</f>
        <v/>
      </c>
      <c r="W316" s="59" t="str">
        <f>IFERROR(__xludf.DUMMYFUNCTION("IFERROR((COUNTIF(FILTER(Data!N:N, Data!B:B=A316),""TRAVERSE"")) / (COUNTIF(Data!B:B, A316)),"""")"),"")</f>
        <v/>
      </c>
      <c r="X316" s="59"/>
      <c r="Y316" s="45" t="str">
        <f t="shared" si="7"/>
        <v/>
      </c>
      <c r="Z316" s="45" t="str">
        <f t="shared" si="8"/>
        <v/>
      </c>
      <c r="AA316" s="16" t="str">
        <f t="shared" si="9"/>
        <v/>
      </c>
      <c r="AB316" s="16"/>
      <c r="AC316" s="16" t="str">
        <f>IFERROR(__xludf.DUMMYFUNCTION("IF(AA316="""","""",MAX(Filter((Data!G:G+Data!K:K),Data!B:B=A316)))"),"")</f>
        <v/>
      </c>
      <c r="AD316" s="16"/>
      <c r="AE316" s="16" t="str">
        <f t="shared" si="12"/>
        <v/>
      </c>
      <c r="AF316" s="16" t="str">
        <f t="shared" si="13"/>
        <v/>
      </c>
      <c r="AG316" s="44"/>
      <c r="AH316" s="44"/>
      <c r="AI316" s="44" t="str">
        <f>IFERROR(__xludf.DUMMYFUNCTION("TEXTJOIN("", "",TRUE, FILTER(Data!P:P, Data!B:B=A316))"),"")</f>
        <v/>
      </c>
      <c r="AM316" s="61"/>
      <c r="BC316" s="50"/>
    </row>
    <row r="317">
      <c r="A317" s="54"/>
      <c r="B317" s="55" t="str">
        <f>IFERROR(__xludf.DUMMYFUNCTION("IFERROR(ROUND(
(COUNTIF(FILTER(Data!O:O, Data!B:B=A317), ""Win"")
+ COUNTIF(FILTER(Data!O:O, Data!B:B=A317), {""Tie"",""Results""}))
/ (COUNTIF(Data!B:B, A317)),
1),"""")"),"")</f>
        <v/>
      </c>
      <c r="C317" s="45" t="str">
        <f>IFERROR((SUMIF(Data!B:B, A317, Data!H:H)
/ (COUNTIF(Data!B:B, A317)
)),"")</f>
        <v/>
      </c>
      <c r="D317" s="45" t="str">
        <f>IFERROR((SUMIF(Data!B:B, A317, Data!G:G)
/ (COUNTIF(Data!B:B, A317)
)),"")</f>
        <v/>
      </c>
      <c r="E317" s="45"/>
      <c r="F317" s="45" t="str">
        <f>IFERROR((SUMIF(Data!B:B, A317, Data!J:J)
/ (COUNTIF(Data!B:B, A317)
)),"")</f>
        <v/>
      </c>
      <c r="G317" s="56" t="str">
        <f>IF(A317="","",IFERROR((((((SUMIF(Data!B:B, A317, Data!H:H)+(SUMIF(Data!B:B, A317,Data!G:G)))/(SUMIF(Data!B:B, A317, Data!J:J)))))),0))</f>
        <v/>
      </c>
      <c r="H317" s="45"/>
      <c r="I317" s="45"/>
      <c r="J317" s="45"/>
      <c r="K317" s="45"/>
      <c r="L317" s="45" t="str">
        <f>IFERROR((SUMIF(Data!B:B, A317, Data!L:L)
/ (COUNTIF(Data!B:B, A317)
)),"")</f>
        <v/>
      </c>
      <c r="M317" s="45" t="str">
        <f>IFERROR((SUMIF(Data!B:B, A317, Data!K:K)
/ (COUNTIF(Data!B:B, A317)
)),"")</f>
        <v/>
      </c>
      <c r="N317" s="56"/>
      <c r="O317" s="56" t="str">
        <f>IF(A317="","",IFERROR((((((SUMIF(Data!B:B, A317, Data!H:H)+(SUMIF(Data!B:B, A317,Data!G:G)+(SUMIF(Data!B:B, A317,Data!L:L)+(SUMIF(Data!B:B, A317,Data!K:K)))))/(SUMIF(Data!B:B, A317, Data!M:M)+(SUMIF(Data!B:B, A317, Data!H:H)+(SUMIF(Data!B:B, A317,Data!G:G)+(SUMIF(Data!B:B, A317,Data!K:K)+(SUMIF(Data!B:B, A317,Data!L:L)))))))))),0))</f>
        <v/>
      </c>
      <c r="P317" s="57" t="str">
        <f>IFERROR(__xludf.DUMMYFUNCTION("IFERROR(((COUNTIF(FILTER(Data!N:N,Data!B:B=A317),""TRAVERSE"")*15)+(COUNTIF(FILTER(Data!N:N,Data!B:B=A317),""HIGH"")*10)+(COUNTIF(FILTER(Data!N:N,Data!B:B=A317),""MIDDLE"")*6)+(COUNTIF(FILTER(Data!N:N,Data!B:B=A317),""LOW"")*4)) / (COUNTIF(Data!B:B, A317)"&amp;"),"""")"),"")</f>
        <v/>
      </c>
      <c r="Q317" s="58"/>
      <c r="R317" s="36" t="str">
        <f t="shared" si="37"/>
        <v/>
      </c>
      <c r="S317" s="58" t="str">
        <f>IFERROR(__xludf.DUMMYFUNCTION("IFERROR((((COUNTIF(FILTER(Data!N:N,Data!B:B=A317),""TRAVERSE""))+(COUNTIF(FILTER(Data!N:N,Data!B:B=A317),""HIGH""))+(COUNTIF(FILTER(Data!N:N,Data!B:B=A317),""MIDDLE""))+(COUNTIF(FILTER(Data!N:N,Data!B:B=A317),""LOW"")))) / (((COUNTIF(Data!B:B, A317)))-(CO"&amp;"UNTIF(FILTER(Data!N:N,Data!B:B=A317),""NONE""))),IF(ISBLANK(A317),"""",0))"),"")</f>
        <v/>
      </c>
      <c r="T317" s="56" t="str">
        <f>IFERROR(__xludf.DUMMYFUNCTION("IFERROR((COUNTIF(FILTER(Data!N:N, Data!B:B=A317),""LOW"")) / (COUNTIF(Data!B:B, A317)),"""")"),"")</f>
        <v/>
      </c>
      <c r="U317" s="59" t="str">
        <f>IFERROR(__xludf.DUMMYFUNCTION("IFERROR((COUNTIF(FILTER(Data!N:N, Data!B:B=A317),""MIDDLE"")) / (COUNTIF(Data!B:B, A317)),"""")"),"")</f>
        <v/>
      </c>
      <c r="V317" s="59" t="str">
        <f>IFERROR(__xludf.DUMMYFUNCTION("IFERROR((COUNTIF(FILTER(Data!N:N, Data!B:B=A317),""HIGH"")) / (COUNTIF(Data!B:B, A317)),"""")"),"")</f>
        <v/>
      </c>
      <c r="W317" s="59" t="str">
        <f>IFERROR(__xludf.DUMMYFUNCTION("IFERROR((COUNTIF(FILTER(Data!N:N, Data!B:B=A317),""TRAVERSE"")) / (COUNTIF(Data!B:B, A317)),"""")"),"")</f>
        <v/>
      </c>
      <c r="X317" s="59"/>
      <c r="Y317" s="45" t="str">
        <f t="shared" si="7"/>
        <v/>
      </c>
      <c r="Z317" s="45" t="str">
        <f t="shared" si="8"/>
        <v/>
      </c>
      <c r="AA317" s="16" t="str">
        <f t="shared" si="9"/>
        <v/>
      </c>
      <c r="AB317" s="16"/>
      <c r="AC317" s="16" t="str">
        <f>IFERROR(__xludf.DUMMYFUNCTION("IF(AA317="""","""",MAX(Filter((Data!G:G+Data!K:K),Data!B:B=A317)))"),"")</f>
        <v/>
      </c>
      <c r="AD317" s="16"/>
      <c r="AE317" s="16" t="str">
        <f t="shared" si="12"/>
        <v/>
      </c>
      <c r="AF317" s="16" t="str">
        <f t="shared" si="13"/>
        <v/>
      </c>
      <c r="AG317" s="44"/>
      <c r="AH317" s="44"/>
      <c r="AI317" s="44" t="str">
        <f>IFERROR(__xludf.DUMMYFUNCTION("TEXTJOIN("", "",TRUE, FILTER(Data!P:P, Data!B:B=A317))"),"")</f>
        <v/>
      </c>
      <c r="AM317" s="61"/>
      <c r="BC317" s="50"/>
    </row>
    <row r="318">
      <c r="A318" s="54"/>
      <c r="B318" s="55" t="str">
        <f>IFERROR(__xludf.DUMMYFUNCTION("IFERROR(ROUND(
(COUNTIF(FILTER(Data!O:O, Data!B:B=A318), ""Win"")
+ COUNTIF(FILTER(Data!O:O, Data!B:B=A318), {""Tie"",""Results""}))
/ (COUNTIF(Data!B:B, A318)),
1),"""")"),"")</f>
        <v/>
      </c>
      <c r="C318" s="45" t="str">
        <f>IFERROR((SUMIF(Data!B:B, A318, Data!H:H)
/ (COUNTIF(Data!B:B, A318)
)),"")</f>
        <v/>
      </c>
      <c r="D318" s="45" t="str">
        <f>IFERROR((SUMIF(Data!B:B, A318, Data!G:G)
/ (COUNTIF(Data!B:B, A318)
)),"")</f>
        <v/>
      </c>
      <c r="E318" s="45"/>
      <c r="F318" s="45" t="str">
        <f>IFERROR((SUMIF(Data!B:B, A318, Data!J:J)
/ (COUNTIF(Data!B:B, A318)
)),"")</f>
        <v/>
      </c>
      <c r="G318" s="56" t="str">
        <f>IF(A318="","",IFERROR((((((SUMIF(Data!B:B, A318, Data!H:H)+(SUMIF(Data!B:B, A318,Data!G:G)))/(SUMIF(Data!B:B, A318, Data!J:J)))))),0))</f>
        <v/>
      </c>
      <c r="H318" s="45"/>
      <c r="I318" s="45"/>
      <c r="J318" s="45"/>
      <c r="K318" s="45"/>
      <c r="L318" s="45" t="str">
        <f>IFERROR((SUMIF(Data!B:B, A318, Data!L:L)
/ (COUNTIF(Data!B:B, A318)
)),"")</f>
        <v/>
      </c>
      <c r="M318" s="45" t="str">
        <f>IFERROR((SUMIF(Data!B:B, A318, Data!K:K)
/ (COUNTIF(Data!B:B, A318)
)),"")</f>
        <v/>
      </c>
      <c r="N318" s="56"/>
      <c r="O318" s="56" t="str">
        <f>IF(A318="","",IFERROR((((((SUMIF(Data!B:B, A318, Data!H:H)+(SUMIF(Data!B:B, A318,Data!G:G)+(SUMIF(Data!B:B, A318,Data!L:L)+(SUMIF(Data!B:B, A318,Data!K:K)))))/(SUMIF(Data!B:B, A318, Data!M:M)+(SUMIF(Data!B:B, A318, Data!H:H)+(SUMIF(Data!B:B, A318,Data!G:G)+(SUMIF(Data!B:B, A318,Data!K:K)+(SUMIF(Data!B:B, A318,Data!L:L)))))))))),0))</f>
        <v/>
      </c>
      <c r="P318" s="57" t="str">
        <f>IFERROR(__xludf.DUMMYFUNCTION("IFERROR(((COUNTIF(FILTER(Data!N:N,Data!B:B=A318),""TRAVERSE"")*15)+(COUNTIF(FILTER(Data!N:N,Data!B:B=A318),""HIGH"")*10)+(COUNTIF(FILTER(Data!N:N,Data!B:B=A318),""MIDDLE"")*6)+(COUNTIF(FILTER(Data!N:N,Data!B:B=A318),""LOW"")*4)) / (COUNTIF(Data!B:B, A318)"&amp;"),"""")"),"")</f>
        <v/>
      </c>
      <c r="Q318" s="58"/>
      <c r="R318" s="36" t="str">
        <f t="shared" si="37"/>
        <v/>
      </c>
      <c r="S318" s="58" t="str">
        <f>IFERROR(__xludf.DUMMYFUNCTION("IFERROR((((COUNTIF(FILTER(Data!N:N,Data!B:B=A318),""TRAVERSE""))+(COUNTIF(FILTER(Data!N:N,Data!B:B=A318),""HIGH""))+(COUNTIF(FILTER(Data!N:N,Data!B:B=A318),""MIDDLE""))+(COUNTIF(FILTER(Data!N:N,Data!B:B=A318),""LOW"")))) / (((COUNTIF(Data!B:B, A318)))-(CO"&amp;"UNTIF(FILTER(Data!N:N,Data!B:B=A318),""NONE""))),IF(ISBLANK(A318),"""",0))"),"")</f>
        <v/>
      </c>
      <c r="T318" s="56" t="str">
        <f>IFERROR(__xludf.DUMMYFUNCTION("IFERROR((COUNTIF(FILTER(Data!N:N, Data!B:B=A318),""LOW"")) / (COUNTIF(Data!B:B, A318)),"""")"),"")</f>
        <v/>
      </c>
      <c r="U318" s="59" t="str">
        <f>IFERROR(__xludf.DUMMYFUNCTION("IFERROR((COUNTIF(FILTER(Data!N:N, Data!B:B=A318),""MIDDLE"")) / (COUNTIF(Data!B:B, A318)),"""")"),"")</f>
        <v/>
      </c>
      <c r="V318" s="59" t="str">
        <f>IFERROR(__xludf.DUMMYFUNCTION("IFERROR((COUNTIF(FILTER(Data!N:N, Data!B:B=A318),""HIGH"")) / (COUNTIF(Data!B:B, A318)),"""")"),"")</f>
        <v/>
      </c>
      <c r="W318" s="59" t="str">
        <f>IFERROR(__xludf.DUMMYFUNCTION("IFERROR((COUNTIF(FILTER(Data!N:N, Data!B:B=A318),""TRAVERSE"")) / (COUNTIF(Data!B:B, A318)),"""")"),"")</f>
        <v/>
      </c>
      <c r="X318" s="59"/>
      <c r="Y318" s="45" t="str">
        <f t="shared" si="7"/>
        <v/>
      </c>
      <c r="Z318" s="45" t="str">
        <f t="shared" si="8"/>
        <v/>
      </c>
      <c r="AA318" s="16" t="str">
        <f t="shared" si="9"/>
        <v/>
      </c>
      <c r="AB318" s="16"/>
      <c r="AC318" s="16" t="str">
        <f>IFERROR(__xludf.DUMMYFUNCTION("IF(AA318="""","""",MAX(Filter((Data!G:G+Data!K:K),Data!B:B=A318)))"),"")</f>
        <v/>
      </c>
      <c r="AD318" s="16"/>
      <c r="AE318" s="16" t="str">
        <f t="shared" si="12"/>
        <v/>
      </c>
      <c r="AF318" s="16" t="str">
        <f t="shared" si="13"/>
        <v/>
      </c>
      <c r="AG318" s="44"/>
      <c r="AH318" s="44"/>
      <c r="AI318" s="44" t="str">
        <f>IFERROR(__xludf.DUMMYFUNCTION("TEXTJOIN("", "",TRUE, FILTER(Data!P:P, Data!B:B=A318))"),"")</f>
        <v/>
      </c>
      <c r="AM318" s="61"/>
      <c r="BC318" s="50"/>
    </row>
    <row r="319">
      <c r="A319" s="54"/>
      <c r="B319" s="55" t="str">
        <f>IFERROR(__xludf.DUMMYFUNCTION("IFERROR(ROUND(
(COUNTIF(FILTER(Data!O:O, Data!B:B=A319), ""Win"")
+ COUNTIF(FILTER(Data!O:O, Data!B:B=A319), {""Tie"",""Results""}))
/ (COUNTIF(Data!B:B, A319)),
1),"""")"),"")</f>
        <v/>
      </c>
      <c r="C319" s="45" t="str">
        <f>IFERROR((SUMIF(Data!B:B, A319, Data!H:H)
/ (COUNTIF(Data!B:B, A319)
)),"")</f>
        <v/>
      </c>
      <c r="D319" s="45" t="str">
        <f>IFERROR((SUMIF(Data!B:B, A319, Data!G:G)
/ (COUNTIF(Data!B:B, A319)
)),"")</f>
        <v/>
      </c>
      <c r="E319" s="45"/>
      <c r="F319" s="45" t="str">
        <f>IFERROR((SUMIF(Data!B:B, A319, Data!J:J)
/ (COUNTIF(Data!B:B, A319)
)),"")</f>
        <v/>
      </c>
      <c r="G319" s="56" t="str">
        <f>IF(A319="","",IFERROR((((((SUMIF(Data!B:B, A319, Data!H:H)+(SUMIF(Data!B:B, A319,Data!G:G)))/(SUMIF(Data!B:B, A319, Data!J:J)))))),0))</f>
        <v/>
      </c>
      <c r="H319" s="45"/>
      <c r="I319" s="45"/>
      <c r="J319" s="45"/>
      <c r="K319" s="45"/>
      <c r="L319" s="45" t="str">
        <f>IFERROR((SUMIF(Data!B:B, A319, Data!L:L)
/ (COUNTIF(Data!B:B, A319)
)),"")</f>
        <v/>
      </c>
      <c r="M319" s="45" t="str">
        <f>IFERROR((SUMIF(Data!B:B, A319, Data!K:K)
/ (COUNTIF(Data!B:B, A319)
)),"")</f>
        <v/>
      </c>
      <c r="N319" s="56"/>
      <c r="O319" s="56" t="str">
        <f>IF(A319="","",IFERROR((((((SUMIF(Data!B:B, A319, Data!H:H)+(SUMIF(Data!B:B, A319,Data!G:G)+(SUMIF(Data!B:B, A319,Data!L:L)+(SUMIF(Data!B:B, A319,Data!K:K)))))/(SUMIF(Data!B:B, A319, Data!M:M)+(SUMIF(Data!B:B, A319, Data!H:H)+(SUMIF(Data!B:B, A319,Data!G:G)+(SUMIF(Data!B:B, A319,Data!K:K)+(SUMIF(Data!B:B, A319,Data!L:L)))))))))),0))</f>
        <v/>
      </c>
      <c r="P319" s="57" t="str">
        <f>IFERROR(__xludf.DUMMYFUNCTION("IFERROR(((COUNTIF(FILTER(Data!N:N,Data!B:B=A319),""TRAVERSE"")*15)+(COUNTIF(FILTER(Data!N:N,Data!B:B=A319),""HIGH"")*10)+(COUNTIF(FILTER(Data!N:N,Data!B:B=A319),""MIDDLE"")*6)+(COUNTIF(FILTER(Data!N:N,Data!B:B=A319),""LOW"")*4)) / (COUNTIF(Data!B:B, A319)"&amp;"),"""")"),"")</f>
        <v/>
      </c>
      <c r="Q319" s="58"/>
      <c r="R319" s="36" t="str">
        <f t="shared" si="37"/>
        <v/>
      </c>
      <c r="S319" s="58" t="str">
        <f>IFERROR(__xludf.DUMMYFUNCTION("IFERROR((((COUNTIF(FILTER(Data!N:N,Data!B:B=A319),""TRAVERSE""))+(COUNTIF(FILTER(Data!N:N,Data!B:B=A319),""HIGH""))+(COUNTIF(FILTER(Data!N:N,Data!B:B=A319),""MIDDLE""))+(COUNTIF(FILTER(Data!N:N,Data!B:B=A319),""LOW"")))) / (((COUNTIF(Data!B:B, A319)))-(CO"&amp;"UNTIF(FILTER(Data!N:N,Data!B:B=A319),""NONE""))),IF(ISBLANK(A319),"""",0))"),"")</f>
        <v/>
      </c>
      <c r="T319" s="56" t="str">
        <f>IFERROR(__xludf.DUMMYFUNCTION("IFERROR((COUNTIF(FILTER(Data!N:N, Data!B:B=A319),""LOW"")) / (COUNTIF(Data!B:B, A319)),"""")"),"")</f>
        <v/>
      </c>
      <c r="U319" s="59" t="str">
        <f>IFERROR(__xludf.DUMMYFUNCTION("IFERROR((COUNTIF(FILTER(Data!N:N, Data!B:B=A319),""MIDDLE"")) / (COUNTIF(Data!B:B, A319)),"""")"),"")</f>
        <v/>
      </c>
      <c r="V319" s="59" t="str">
        <f>IFERROR(__xludf.DUMMYFUNCTION("IFERROR((COUNTIF(FILTER(Data!N:N, Data!B:B=A319),""HIGH"")) / (COUNTIF(Data!B:B, A319)),"""")"),"")</f>
        <v/>
      </c>
      <c r="W319" s="59" t="str">
        <f>IFERROR(__xludf.DUMMYFUNCTION("IFERROR((COUNTIF(FILTER(Data!N:N, Data!B:B=A319),""TRAVERSE"")) / (COUNTIF(Data!B:B, A319)),"""")"),"")</f>
        <v/>
      </c>
      <c r="X319" s="59"/>
      <c r="Y319" s="45" t="str">
        <f t="shared" si="7"/>
        <v/>
      </c>
      <c r="Z319" s="45" t="str">
        <f t="shared" si="8"/>
        <v/>
      </c>
      <c r="AA319" s="16" t="str">
        <f t="shared" si="9"/>
        <v/>
      </c>
      <c r="AB319" s="16"/>
      <c r="AC319" s="16" t="str">
        <f>IFERROR(__xludf.DUMMYFUNCTION("IF(AA319="""","""",MAX(Filter((Data!G:G+Data!K:K),Data!B:B=A319)))"),"")</f>
        <v/>
      </c>
      <c r="AD319" s="16"/>
      <c r="AE319" s="16" t="str">
        <f t="shared" si="12"/>
        <v/>
      </c>
      <c r="AF319" s="16" t="str">
        <f t="shared" si="13"/>
        <v/>
      </c>
      <c r="AG319" s="44"/>
      <c r="AH319" s="44"/>
      <c r="AI319" s="44" t="str">
        <f>IFERROR(__xludf.DUMMYFUNCTION("TEXTJOIN("", "",TRUE, FILTER(Data!P:P, Data!B:B=A319))"),"")</f>
        <v/>
      </c>
      <c r="AM319" s="61"/>
      <c r="BC319" s="50"/>
    </row>
    <row r="320">
      <c r="A320" s="54"/>
      <c r="B320" s="55" t="str">
        <f>IFERROR(__xludf.DUMMYFUNCTION("IFERROR(ROUND(
(COUNTIF(FILTER(Data!O:O, Data!B:B=A320), ""Win"")
+ COUNTIF(FILTER(Data!O:O, Data!B:B=A320), {""Tie"",""Results""}))
/ (COUNTIF(Data!B:B, A320)),
1),"""")"),"")</f>
        <v/>
      </c>
      <c r="C320" s="45" t="str">
        <f>IFERROR((SUMIF(Data!B:B, A320, Data!H:H)
/ (COUNTIF(Data!B:B, A320)
)),"")</f>
        <v/>
      </c>
      <c r="D320" s="45" t="str">
        <f>IFERROR((SUMIF(Data!B:B, A320, Data!G:G)
/ (COUNTIF(Data!B:B, A320)
)),"")</f>
        <v/>
      </c>
      <c r="E320" s="45"/>
      <c r="F320" s="45" t="str">
        <f>IFERROR((SUMIF(Data!B:B, A320, Data!J:J)
/ (COUNTIF(Data!B:B, A320)
)),"")</f>
        <v/>
      </c>
      <c r="G320" s="56" t="str">
        <f>IF(A320="","",IFERROR((((((SUMIF(Data!B:B, A320, Data!H:H)+(SUMIF(Data!B:B, A320,Data!G:G)))/(SUMIF(Data!B:B, A320, Data!J:J)))))),0))</f>
        <v/>
      </c>
      <c r="H320" s="45"/>
      <c r="I320" s="45"/>
      <c r="J320" s="45"/>
      <c r="K320" s="45"/>
      <c r="L320" s="45" t="str">
        <f>IFERROR((SUMIF(Data!B:B, A320, Data!L:L)
/ (COUNTIF(Data!B:B, A320)
)),"")</f>
        <v/>
      </c>
      <c r="M320" s="45" t="str">
        <f>IFERROR((SUMIF(Data!B:B, A320, Data!K:K)
/ (COUNTIF(Data!B:B, A320)
)),"")</f>
        <v/>
      </c>
      <c r="N320" s="56"/>
      <c r="O320" s="56" t="str">
        <f>IF(A320="","",IFERROR((((((SUMIF(Data!B:B, A320, Data!H:H)+(SUMIF(Data!B:B, A320,Data!G:G)+(SUMIF(Data!B:B, A320,Data!L:L)+(SUMIF(Data!B:B, A320,Data!K:K)))))/(SUMIF(Data!B:B, A320, Data!M:M)+(SUMIF(Data!B:B, A320, Data!H:H)+(SUMIF(Data!B:B, A320,Data!G:G)+(SUMIF(Data!B:B, A320,Data!K:K)+(SUMIF(Data!B:B, A320,Data!L:L)))))))))),0))</f>
        <v/>
      </c>
      <c r="P320" s="57" t="str">
        <f>IFERROR(__xludf.DUMMYFUNCTION("IFERROR(((COUNTIF(FILTER(Data!N:N,Data!B:B=A320),""TRAVERSE"")*15)+(COUNTIF(FILTER(Data!N:N,Data!B:B=A320),""HIGH"")*10)+(COUNTIF(FILTER(Data!N:N,Data!B:B=A320),""MIDDLE"")*6)+(COUNTIF(FILTER(Data!N:N,Data!B:B=A320),""LOW"")*4)) / (COUNTIF(Data!B:B, A320)"&amp;"),"""")"),"")</f>
        <v/>
      </c>
      <c r="Q320" s="58"/>
      <c r="R320" s="36" t="str">
        <f t="shared" si="37"/>
        <v/>
      </c>
      <c r="S320" s="58" t="str">
        <f>IFERROR(__xludf.DUMMYFUNCTION("IFERROR((((COUNTIF(FILTER(Data!N:N,Data!B:B=A320),""TRAVERSE""))+(COUNTIF(FILTER(Data!N:N,Data!B:B=A320),""HIGH""))+(COUNTIF(FILTER(Data!N:N,Data!B:B=A320),""MIDDLE""))+(COUNTIF(FILTER(Data!N:N,Data!B:B=A320),""LOW"")))) / (((COUNTIF(Data!B:B, A320)))-(CO"&amp;"UNTIF(FILTER(Data!N:N,Data!B:B=A320),""NONE""))),IF(ISBLANK(A320),"""",0))"),"")</f>
        <v/>
      </c>
      <c r="T320" s="56" t="str">
        <f>IFERROR(__xludf.DUMMYFUNCTION("IFERROR((COUNTIF(FILTER(Data!N:N, Data!B:B=A320),""LOW"")) / (COUNTIF(Data!B:B, A320)),"""")"),"")</f>
        <v/>
      </c>
      <c r="U320" s="59" t="str">
        <f>IFERROR(__xludf.DUMMYFUNCTION("IFERROR((COUNTIF(FILTER(Data!N:N, Data!B:B=A320),""MIDDLE"")) / (COUNTIF(Data!B:B, A320)),"""")"),"")</f>
        <v/>
      </c>
      <c r="V320" s="59" t="str">
        <f>IFERROR(__xludf.DUMMYFUNCTION("IFERROR((COUNTIF(FILTER(Data!N:N, Data!B:B=A320),""HIGH"")) / (COUNTIF(Data!B:B, A320)),"""")"),"")</f>
        <v/>
      </c>
      <c r="W320" s="59" t="str">
        <f>IFERROR(__xludf.DUMMYFUNCTION("IFERROR((COUNTIF(FILTER(Data!N:N, Data!B:B=A320),""TRAVERSE"")) / (COUNTIF(Data!B:B, A320)),"""")"),"")</f>
        <v/>
      </c>
      <c r="X320" s="59"/>
      <c r="Y320" s="45" t="str">
        <f t="shared" si="7"/>
        <v/>
      </c>
      <c r="Z320" s="45" t="str">
        <f t="shared" si="8"/>
        <v/>
      </c>
      <c r="AA320" s="16" t="str">
        <f t="shared" si="9"/>
        <v/>
      </c>
      <c r="AB320" s="16"/>
      <c r="AC320" s="16" t="str">
        <f>IFERROR(__xludf.DUMMYFUNCTION("IF(AA320="""","""",MAX(Filter((Data!G:G+Data!K:K),Data!B:B=A320)))"),"")</f>
        <v/>
      </c>
      <c r="AD320" s="16"/>
      <c r="AE320" s="16" t="str">
        <f t="shared" si="12"/>
        <v/>
      </c>
      <c r="AF320" s="16" t="str">
        <f t="shared" si="13"/>
        <v/>
      </c>
      <c r="AG320" s="44"/>
      <c r="AH320" s="44"/>
      <c r="AI320" s="44" t="str">
        <f>IFERROR(__xludf.DUMMYFUNCTION("TEXTJOIN("", "",TRUE, FILTER(Data!P:P, Data!B:B=A320))"),"")</f>
        <v/>
      </c>
      <c r="AM320" s="61"/>
      <c r="BC320" s="50"/>
    </row>
    <row r="321">
      <c r="A321" s="54"/>
      <c r="B321" s="55" t="str">
        <f>IFERROR(__xludf.DUMMYFUNCTION("IFERROR(ROUND(
(COUNTIF(FILTER(Data!O:O, Data!B:B=A321), ""Win"")
+ COUNTIF(FILTER(Data!O:O, Data!B:B=A321), {""Tie"",""Results""}))
/ (COUNTIF(Data!B:B, A321)),
1),"""")"),"")</f>
        <v/>
      </c>
      <c r="C321" s="45" t="str">
        <f>IFERROR((SUMIF(Data!B:B, A321, Data!H:H)
/ (COUNTIF(Data!B:B, A321)
)),"")</f>
        <v/>
      </c>
      <c r="D321" s="45" t="str">
        <f>IFERROR((SUMIF(Data!B:B, A321, Data!G:G)
/ (COUNTIF(Data!B:B, A321)
)),"")</f>
        <v/>
      </c>
      <c r="E321" s="45"/>
      <c r="F321" s="45" t="str">
        <f>IFERROR((SUMIF(Data!B:B, A321, Data!J:J)
/ (COUNTIF(Data!B:B, A321)
)),"")</f>
        <v/>
      </c>
      <c r="G321" s="56" t="str">
        <f>IF(A321="","",IFERROR((((((SUMIF(Data!B:B, A321, Data!H:H)+(SUMIF(Data!B:B, A321,Data!G:G)))/(SUMIF(Data!B:B, A321, Data!J:J)))))),0))</f>
        <v/>
      </c>
      <c r="H321" s="45"/>
      <c r="I321" s="45"/>
      <c r="J321" s="45"/>
      <c r="K321" s="45"/>
      <c r="L321" s="45" t="str">
        <f>IFERROR((SUMIF(Data!B:B, A321, Data!L:L)
/ (COUNTIF(Data!B:B, A321)
)),"")</f>
        <v/>
      </c>
      <c r="M321" s="45" t="str">
        <f>IFERROR((SUMIF(Data!B:B, A321, Data!K:K)
/ (COUNTIF(Data!B:B, A321)
)),"")</f>
        <v/>
      </c>
      <c r="N321" s="56"/>
      <c r="O321" s="56" t="str">
        <f>IF(A321="","",IFERROR((((((SUMIF(Data!B:B, A321, Data!H:H)+(SUMIF(Data!B:B, A321,Data!G:G)+(SUMIF(Data!B:B, A321,Data!L:L)+(SUMIF(Data!B:B, A321,Data!K:K)))))/(SUMIF(Data!B:B, A321, Data!M:M)+(SUMIF(Data!B:B, A321, Data!H:H)+(SUMIF(Data!B:B, A321,Data!G:G)+(SUMIF(Data!B:B, A321,Data!K:K)+(SUMIF(Data!B:B, A321,Data!L:L)))))))))),0))</f>
        <v/>
      </c>
      <c r="P321" s="57" t="str">
        <f>IFERROR(__xludf.DUMMYFUNCTION("IFERROR(((COUNTIF(FILTER(Data!N:N,Data!B:B=A321),""TRAVERSE"")*15)+(COUNTIF(FILTER(Data!N:N,Data!B:B=A321),""HIGH"")*10)+(COUNTIF(FILTER(Data!N:N,Data!B:B=A321),""MIDDLE"")*6)+(COUNTIF(FILTER(Data!N:N,Data!B:B=A321),""LOW"")*4)) / (COUNTIF(Data!B:B, A321)"&amp;"),"""")"),"")</f>
        <v/>
      </c>
      <c r="Q321" s="58"/>
      <c r="R321" s="36" t="str">
        <f t="shared" si="37"/>
        <v/>
      </c>
      <c r="S321" s="58" t="str">
        <f>IFERROR(__xludf.DUMMYFUNCTION("IFERROR((((COUNTIF(FILTER(Data!N:N,Data!B:B=A321),""TRAVERSE""))+(COUNTIF(FILTER(Data!N:N,Data!B:B=A321),""HIGH""))+(COUNTIF(FILTER(Data!N:N,Data!B:B=A321),""MIDDLE""))+(COUNTIF(FILTER(Data!N:N,Data!B:B=A321),""LOW"")))) / (((COUNTIF(Data!B:B, A321)))-(CO"&amp;"UNTIF(FILTER(Data!N:N,Data!B:B=A321),""NONE""))),IF(ISBLANK(A321),"""",0))"),"")</f>
        <v/>
      </c>
      <c r="T321" s="56" t="str">
        <f>IFERROR(__xludf.DUMMYFUNCTION("IFERROR((COUNTIF(FILTER(Data!N:N, Data!B:B=A321),""LOW"")) / (COUNTIF(Data!B:B, A321)),"""")"),"")</f>
        <v/>
      </c>
      <c r="U321" s="59" t="str">
        <f>IFERROR(__xludf.DUMMYFUNCTION("IFERROR((COUNTIF(FILTER(Data!N:N, Data!B:B=A321),""MIDDLE"")) / (COUNTIF(Data!B:B, A321)),"""")"),"")</f>
        <v/>
      </c>
      <c r="V321" s="59" t="str">
        <f>IFERROR(__xludf.DUMMYFUNCTION("IFERROR((COUNTIF(FILTER(Data!N:N, Data!B:B=A321),""HIGH"")) / (COUNTIF(Data!B:B, A321)),"""")"),"")</f>
        <v/>
      </c>
      <c r="W321" s="59" t="str">
        <f>IFERROR(__xludf.DUMMYFUNCTION("IFERROR((COUNTIF(FILTER(Data!N:N, Data!B:B=A321),""TRAVERSE"")) / (COUNTIF(Data!B:B, A321)),"""")"),"")</f>
        <v/>
      </c>
      <c r="X321" s="59"/>
      <c r="Y321" s="45" t="str">
        <f t="shared" si="7"/>
        <v/>
      </c>
      <c r="Z321" s="45" t="str">
        <f t="shared" si="8"/>
        <v/>
      </c>
      <c r="AA321" s="16" t="str">
        <f t="shared" si="9"/>
        <v/>
      </c>
      <c r="AB321" s="16"/>
      <c r="AC321" s="16" t="str">
        <f>IFERROR(__xludf.DUMMYFUNCTION("IF(AA321="""","""",MAX(Filter((Data!G:G+Data!K:K),Data!B:B=A321)))"),"")</f>
        <v/>
      </c>
      <c r="AD321" s="16"/>
      <c r="AE321" s="16" t="str">
        <f t="shared" si="12"/>
        <v/>
      </c>
      <c r="AF321" s="16" t="str">
        <f t="shared" si="13"/>
        <v/>
      </c>
      <c r="AG321" s="44"/>
      <c r="AH321" s="44"/>
      <c r="AI321" s="44" t="str">
        <f>IFERROR(__xludf.DUMMYFUNCTION("TEXTJOIN("", "",TRUE, FILTER(Data!P:P, Data!B:B=A321))"),"")</f>
        <v/>
      </c>
      <c r="AM321" s="61"/>
      <c r="BC321" s="50"/>
    </row>
    <row r="322">
      <c r="A322" s="54"/>
      <c r="B322" s="55" t="str">
        <f>IFERROR(__xludf.DUMMYFUNCTION("IFERROR(ROUND(
(COUNTIF(FILTER(Data!O:O, Data!B:B=A322), ""Win"")
+ COUNTIF(FILTER(Data!O:O, Data!B:B=A322), {""Tie"",""Results""}))
/ (COUNTIF(Data!B:B, A322)),
1),"""")"),"")</f>
        <v/>
      </c>
      <c r="C322" s="45" t="str">
        <f>IFERROR((SUMIF(Data!B:B, A322, Data!H:H)
/ (COUNTIF(Data!B:B, A322)
)),"")</f>
        <v/>
      </c>
      <c r="D322" s="45" t="str">
        <f>IFERROR((SUMIF(Data!B:B, A322, Data!G:G)
/ (COUNTIF(Data!B:B, A322)
)),"")</f>
        <v/>
      </c>
      <c r="E322" s="45"/>
      <c r="F322" s="45" t="str">
        <f>IFERROR((SUMIF(Data!B:B, A322, Data!J:J)
/ (COUNTIF(Data!B:B, A322)
)),"")</f>
        <v/>
      </c>
      <c r="G322" s="56" t="str">
        <f>IF(A322="","",IFERROR((((((SUMIF(Data!B:B, A322, Data!H:H)+(SUMIF(Data!B:B, A322,Data!G:G)))/(SUMIF(Data!B:B, A322, Data!J:J)))))),0))</f>
        <v/>
      </c>
      <c r="H322" s="45"/>
      <c r="I322" s="45"/>
      <c r="J322" s="45"/>
      <c r="K322" s="45"/>
      <c r="L322" s="45" t="str">
        <f>IFERROR((SUMIF(Data!B:B, A322, Data!L:L)
/ (COUNTIF(Data!B:B, A322)
)),"")</f>
        <v/>
      </c>
      <c r="M322" s="45" t="str">
        <f>IFERROR((SUMIF(Data!B:B, A322, Data!K:K)
/ (COUNTIF(Data!B:B, A322)
)),"")</f>
        <v/>
      </c>
      <c r="N322" s="56"/>
      <c r="O322" s="56" t="str">
        <f>IF(A322="","",IFERROR((((((SUMIF(Data!B:B, A322, Data!H:H)+(SUMIF(Data!B:B, A322,Data!G:G)+(SUMIF(Data!B:B, A322,Data!L:L)+(SUMIF(Data!B:B, A322,Data!K:K)))))/(SUMIF(Data!B:B, A322, Data!M:M)+(SUMIF(Data!B:B, A322, Data!H:H)+(SUMIF(Data!B:B, A322,Data!G:G)+(SUMIF(Data!B:B, A322,Data!K:K)+(SUMIF(Data!B:B, A322,Data!L:L)))))))))),0))</f>
        <v/>
      </c>
      <c r="P322" s="57" t="str">
        <f>IFERROR(__xludf.DUMMYFUNCTION("IFERROR(((COUNTIF(FILTER(Data!N:N,Data!B:B=A322),""TRAVERSE"")*15)+(COUNTIF(FILTER(Data!N:N,Data!B:B=A322),""HIGH"")*10)+(COUNTIF(FILTER(Data!N:N,Data!B:B=A322),""MIDDLE"")*6)+(COUNTIF(FILTER(Data!N:N,Data!B:B=A322),""LOW"")*4)) / (COUNTIF(Data!B:B, A322)"&amp;"),"""")"),"")</f>
        <v/>
      </c>
      <c r="Q322" s="58"/>
      <c r="R322" s="36" t="str">
        <f t="shared" si="37"/>
        <v/>
      </c>
      <c r="S322" s="58" t="str">
        <f>IFERROR(__xludf.DUMMYFUNCTION("IFERROR((((COUNTIF(FILTER(Data!N:N,Data!B:B=A322),""TRAVERSE""))+(COUNTIF(FILTER(Data!N:N,Data!B:B=A322),""HIGH""))+(COUNTIF(FILTER(Data!N:N,Data!B:B=A322),""MIDDLE""))+(COUNTIF(FILTER(Data!N:N,Data!B:B=A322),""LOW"")))) / (((COUNTIF(Data!B:B, A322)))-(CO"&amp;"UNTIF(FILTER(Data!N:N,Data!B:B=A322),""NONE""))),IF(ISBLANK(A322),"""",0))"),"")</f>
        <v/>
      </c>
      <c r="T322" s="56" t="str">
        <f>IFERROR(__xludf.DUMMYFUNCTION("IFERROR((COUNTIF(FILTER(Data!N:N, Data!B:B=A322),""LOW"")) / (COUNTIF(Data!B:B, A322)),"""")"),"")</f>
        <v/>
      </c>
      <c r="U322" s="59" t="str">
        <f>IFERROR(__xludf.DUMMYFUNCTION("IFERROR((COUNTIF(FILTER(Data!N:N, Data!B:B=A322),""MIDDLE"")) / (COUNTIF(Data!B:B, A322)),"""")"),"")</f>
        <v/>
      </c>
      <c r="V322" s="59" t="str">
        <f>IFERROR(__xludf.DUMMYFUNCTION("IFERROR((COUNTIF(FILTER(Data!N:N, Data!B:B=A322),""HIGH"")) / (COUNTIF(Data!B:B, A322)),"""")"),"")</f>
        <v/>
      </c>
      <c r="W322" s="59" t="str">
        <f>IFERROR(__xludf.DUMMYFUNCTION("IFERROR((COUNTIF(FILTER(Data!N:N, Data!B:B=A322),""TRAVERSE"")) / (COUNTIF(Data!B:B, A322)),"""")"),"")</f>
        <v/>
      </c>
      <c r="X322" s="59"/>
      <c r="Y322" s="45" t="str">
        <f t="shared" si="7"/>
        <v/>
      </c>
      <c r="Z322" s="45" t="str">
        <f t="shared" si="8"/>
        <v/>
      </c>
      <c r="AA322" s="16" t="str">
        <f t="shared" si="9"/>
        <v/>
      </c>
      <c r="AB322" s="16"/>
      <c r="AC322" s="16" t="str">
        <f>IFERROR(__xludf.DUMMYFUNCTION("IF(AA322="""","""",MAX(Filter((Data!G:G+Data!K:K),Data!B:B=A322)))"),"")</f>
        <v/>
      </c>
      <c r="AD322" s="16"/>
      <c r="AE322" s="16" t="str">
        <f t="shared" si="12"/>
        <v/>
      </c>
      <c r="AF322" s="16" t="str">
        <f t="shared" si="13"/>
        <v/>
      </c>
      <c r="AG322" s="44"/>
      <c r="AH322" s="44"/>
      <c r="AI322" s="44" t="str">
        <f>IFERROR(__xludf.DUMMYFUNCTION("TEXTJOIN("", "",TRUE, FILTER(Data!P:P, Data!B:B=A322))"),"")</f>
        <v/>
      </c>
      <c r="AM322" s="61"/>
      <c r="BC322" s="50"/>
    </row>
    <row r="323">
      <c r="A323" s="54"/>
      <c r="B323" s="55" t="str">
        <f>IFERROR(__xludf.DUMMYFUNCTION("IFERROR(ROUND(
(COUNTIF(FILTER(Data!O:O, Data!B:B=A323), ""Win"")
+ COUNTIF(FILTER(Data!O:O, Data!B:B=A323), {""Tie"",""Results""}))
/ (COUNTIF(Data!B:B, A323)),
1),"""")"),"")</f>
        <v/>
      </c>
      <c r="C323" s="45" t="str">
        <f>IFERROR((SUMIF(Data!B:B, A323, Data!H:H)
/ (COUNTIF(Data!B:B, A323)
)),"")</f>
        <v/>
      </c>
      <c r="D323" s="45" t="str">
        <f>IFERROR((SUMIF(Data!B:B, A323, Data!G:G)
/ (COUNTIF(Data!B:B, A323)
)),"")</f>
        <v/>
      </c>
      <c r="E323" s="45"/>
      <c r="F323" s="45" t="str">
        <f>IFERROR((SUMIF(Data!B:B, A323, Data!J:J)
/ (COUNTIF(Data!B:B, A323)
)),"")</f>
        <v/>
      </c>
      <c r="G323" s="56" t="str">
        <f>IF(A323="","",IFERROR((((((SUMIF(Data!B:B, A323, Data!H:H)+(SUMIF(Data!B:B, A323,Data!G:G)))/(SUMIF(Data!B:B, A323, Data!J:J)))))),0))</f>
        <v/>
      </c>
      <c r="H323" s="45"/>
      <c r="I323" s="45"/>
      <c r="J323" s="45"/>
      <c r="K323" s="45"/>
      <c r="L323" s="45" t="str">
        <f>IFERROR((SUMIF(Data!B:B, A323, Data!L:L)
/ (COUNTIF(Data!B:B, A323)
)),"")</f>
        <v/>
      </c>
      <c r="M323" s="45" t="str">
        <f>IFERROR((SUMIF(Data!B:B, A323, Data!K:K)
/ (COUNTIF(Data!B:B, A323)
)),"")</f>
        <v/>
      </c>
      <c r="N323" s="56"/>
      <c r="O323" s="56" t="str">
        <f>IF(A323="","",IFERROR((((((SUMIF(Data!B:B, A323, Data!H:H)+(SUMIF(Data!B:B, A323,Data!G:G)+(SUMIF(Data!B:B, A323,Data!L:L)+(SUMIF(Data!B:B, A323,Data!K:K)))))/(SUMIF(Data!B:B, A323, Data!M:M)+(SUMIF(Data!B:B, A323, Data!H:H)+(SUMIF(Data!B:B, A323,Data!G:G)+(SUMIF(Data!B:B, A323,Data!K:K)+(SUMIF(Data!B:B, A323,Data!L:L)))))))))),0))</f>
        <v/>
      </c>
      <c r="P323" s="57" t="str">
        <f>IFERROR(__xludf.DUMMYFUNCTION("IFERROR(((COUNTIF(FILTER(Data!N:N,Data!B:B=A323),""TRAVERSE"")*15)+(COUNTIF(FILTER(Data!N:N,Data!B:B=A323),""HIGH"")*10)+(COUNTIF(FILTER(Data!N:N,Data!B:B=A323),""MIDDLE"")*6)+(COUNTIF(FILTER(Data!N:N,Data!B:B=A323),""LOW"")*4)) / (COUNTIF(Data!B:B, A323)"&amp;"),"""")"),"")</f>
        <v/>
      </c>
      <c r="Q323" s="58"/>
      <c r="R323" s="36" t="str">
        <f t="shared" si="37"/>
        <v/>
      </c>
      <c r="S323" s="58" t="str">
        <f>IFERROR(__xludf.DUMMYFUNCTION("IFERROR((((COUNTIF(FILTER(Data!N:N,Data!B:B=A323),""TRAVERSE""))+(COUNTIF(FILTER(Data!N:N,Data!B:B=A323),""HIGH""))+(COUNTIF(FILTER(Data!N:N,Data!B:B=A323),""MIDDLE""))+(COUNTIF(FILTER(Data!N:N,Data!B:B=A323),""LOW"")))) / (((COUNTIF(Data!B:B, A323)))-(CO"&amp;"UNTIF(FILTER(Data!N:N,Data!B:B=A323),""NONE""))),IF(ISBLANK(A323),"""",0))"),"")</f>
        <v/>
      </c>
      <c r="T323" s="56" t="str">
        <f>IFERROR(__xludf.DUMMYFUNCTION("IFERROR((COUNTIF(FILTER(Data!N:N, Data!B:B=A323),""LOW"")) / (COUNTIF(Data!B:B, A323)),"""")"),"")</f>
        <v/>
      </c>
      <c r="U323" s="59" t="str">
        <f>IFERROR(__xludf.DUMMYFUNCTION("IFERROR((COUNTIF(FILTER(Data!N:N, Data!B:B=A323),""MIDDLE"")) / (COUNTIF(Data!B:B, A323)),"""")"),"")</f>
        <v/>
      </c>
      <c r="V323" s="59" t="str">
        <f>IFERROR(__xludf.DUMMYFUNCTION("IFERROR((COUNTIF(FILTER(Data!N:N, Data!B:B=A323),""HIGH"")) / (COUNTIF(Data!B:B, A323)),"""")"),"")</f>
        <v/>
      </c>
      <c r="W323" s="59" t="str">
        <f>IFERROR(__xludf.DUMMYFUNCTION("IFERROR((COUNTIF(FILTER(Data!N:N, Data!B:B=A323),""TRAVERSE"")) / (COUNTIF(Data!B:B, A323)),"""")"),"")</f>
        <v/>
      </c>
      <c r="X323" s="59"/>
      <c r="Y323" s="45" t="str">
        <f t="shared" si="7"/>
        <v/>
      </c>
      <c r="Z323" s="45" t="str">
        <f t="shared" si="8"/>
        <v/>
      </c>
      <c r="AA323" s="16" t="str">
        <f t="shared" si="9"/>
        <v/>
      </c>
      <c r="AB323" s="16"/>
      <c r="AC323" s="16" t="str">
        <f>IFERROR(__xludf.DUMMYFUNCTION("IF(AA323="""","""",MAX(Filter((Data!G:G+Data!K:K),Data!B:B=A323)))"),"")</f>
        <v/>
      </c>
      <c r="AD323" s="16"/>
      <c r="AE323" s="16" t="str">
        <f t="shared" si="12"/>
        <v/>
      </c>
      <c r="AF323" s="16" t="str">
        <f t="shared" si="13"/>
        <v/>
      </c>
      <c r="AG323" s="44"/>
      <c r="AH323" s="44"/>
      <c r="AI323" s="44" t="str">
        <f>IFERROR(__xludf.DUMMYFUNCTION("TEXTJOIN("", "",TRUE, FILTER(Data!P:P, Data!B:B=A323))"),"")</f>
        <v/>
      </c>
      <c r="AM323" s="61"/>
      <c r="BC323" s="50"/>
    </row>
    <row r="324">
      <c r="A324" s="54"/>
      <c r="B324" s="55" t="str">
        <f>IFERROR(__xludf.DUMMYFUNCTION("IFERROR(ROUND(
(COUNTIF(FILTER(Data!O:O, Data!B:B=A324), ""Win"")
+ COUNTIF(FILTER(Data!O:O, Data!B:B=A324), {""Tie"",""Results""}))
/ (COUNTIF(Data!B:B, A324)),
1),"""")"),"")</f>
        <v/>
      </c>
      <c r="C324" s="45" t="str">
        <f>IFERROR((SUMIF(Data!B:B, A324, Data!H:H)
/ (COUNTIF(Data!B:B, A324)
)),"")</f>
        <v/>
      </c>
      <c r="D324" s="45" t="str">
        <f>IFERROR((SUMIF(Data!B:B, A324, Data!G:G)
/ (COUNTIF(Data!B:B, A324)
)),"")</f>
        <v/>
      </c>
      <c r="E324" s="45"/>
      <c r="F324" s="45" t="str">
        <f>IFERROR((SUMIF(Data!B:B, A324, Data!J:J)
/ (COUNTIF(Data!B:B, A324)
)),"")</f>
        <v/>
      </c>
      <c r="G324" s="56" t="str">
        <f>IF(A324="","",IFERROR((((((SUMIF(Data!B:B, A324, Data!H:H)+(SUMIF(Data!B:B, A324,Data!G:G)))/(SUMIF(Data!B:B, A324, Data!J:J)))))),0))</f>
        <v/>
      </c>
      <c r="H324" s="45"/>
      <c r="I324" s="45"/>
      <c r="J324" s="45"/>
      <c r="K324" s="45"/>
      <c r="L324" s="45" t="str">
        <f>IFERROR((SUMIF(Data!B:B, A324, Data!L:L)
/ (COUNTIF(Data!B:B, A324)
)),"")</f>
        <v/>
      </c>
      <c r="M324" s="45" t="str">
        <f>IFERROR((SUMIF(Data!B:B, A324, Data!K:K)
/ (COUNTIF(Data!B:B, A324)
)),"")</f>
        <v/>
      </c>
      <c r="N324" s="56"/>
      <c r="O324" s="56" t="str">
        <f>IF(A324="","",IFERROR((((((SUMIF(Data!B:B, A324, Data!H:H)+(SUMIF(Data!B:B, A324,Data!G:G)+(SUMIF(Data!B:B, A324,Data!L:L)+(SUMIF(Data!B:B, A324,Data!K:K)))))/(SUMIF(Data!B:B, A324, Data!M:M)+(SUMIF(Data!B:B, A324, Data!H:H)+(SUMIF(Data!B:B, A324,Data!G:G)+(SUMIF(Data!B:B, A324,Data!K:K)+(SUMIF(Data!B:B, A324,Data!L:L)))))))))),0))</f>
        <v/>
      </c>
      <c r="P324" s="57" t="str">
        <f>IFERROR(__xludf.DUMMYFUNCTION("IFERROR(((COUNTIF(FILTER(Data!N:N,Data!B:B=A324),""TRAVERSE"")*15)+(COUNTIF(FILTER(Data!N:N,Data!B:B=A324),""HIGH"")*10)+(COUNTIF(FILTER(Data!N:N,Data!B:B=A324),""MIDDLE"")*6)+(COUNTIF(FILTER(Data!N:N,Data!B:B=A324),""LOW"")*4)) / (COUNTIF(Data!B:B, A324)"&amp;"),"""")"),"")</f>
        <v/>
      </c>
      <c r="Q324" s="58"/>
      <c r="R324" s="36" t="str">
        <f t="shared" si="37"/>
        <v/>
      </c>
      <c r="S324" s="58" t="str">
        <f>IFERROR(__xludf.DUMMYFUNCTION("IFERROR((((COUNTIF(FILTER(Data!N:N,Data!B:B=A324),""TRAVERSE""))+(COUNTIF(FILTER(Data!N:N,Data!B:B=A324),""HIGH""))+(COUNTIF(FILTER(Data!N:N,Data!B:B=A324),""MIDDLE""))+(COUNTIF(FILTER(Data!N:N,Data!B:B=A324),""LOW"")))) / (((COUNTIF(Data!B:B, A324)))-(CO"&amp;"UNTIF(FILTER(Data!N:N,Data!B:B=A324),""NONE""))),IF(ISBLANK(A324),"""",0))"),"")</f>
        <v/>
      </c>
      <c r="T324" s="56" t="str">
        <f>IFERROR(__xludf.DUMMYFUNCTION("IFERROR((COUNTIF(FILTER(Data!N:N, Data!B:B=A324),""LOW"")) / (COUNTIF(Data!B:B, A324)),"""")"),"")</f>
        <v/>
      </c>
      <c r="U324" s="59" t="str">
        <f>IFERROR(__xludf.DUMMYFUNCTION("IFERROR((COUNTIF(FILTER(Data!N:N, Data!B:B=A324),""MIDDLE"")) / (COUNTIF(Data!B:B, A324)),"""")"),"")</f>
        <v/>
      </c>
      <c r="V324" s="59" t="str">
        <f>IFERROR(__xludf.DUMMYFUNCTION("IFERROR((COUNTIF(FILTER(Data!N:N, Data!B:B=A324),""HIGH"")) / (COUNTIF(Data!B:B, A324)),"""")"),"")</f>
        <v/>
      </c>
      <c r="W324" s="59" t="str">
        <f>IFERROR(__xludf.DUMMYFUNCTION("IFERROR((COUNTIF(FILTER(Data!N:N, Data!B:B=A324),""TRAVERSE"")) / (COUNTIF(Data!B:B, A324)),"""")"),"")</f>
        <v/>
      </c>
      <c r="X324" s="59"/>
      <c r="Y324" s="45" t="str">
        <f t="shared" si="7"/>
        <v/>
      </c>
      <c r="Z324" s="45" t="str">
        <f t="shared" si="8"/>
        <v/>
      </c>
      <c r="AA324" s="16" t="str">
        <f t="shared" si="9"/>
        <v/>
      </c>
      <c r="AB324" s="16"/>
      <c r="AC324" s="16" t="str">
        <f>IFERROR(__xludf.DUMMYFUNCTION("IF(AA324="""","""",MAX(Filter((Data!G:G+Data!K:K),Data!B:B=A324)))"),"")</f>
        <v/>
      </c>
      <c r="AD324" s="16"/>
      <c r="AE324" s="16" t="str">
        <f t="shared" si="12"/>
        <v/>
      </c>
      <c r="AF324" s="16" t="str">
        <f t="shared" si="13"/>
        <v/>
      </c>
      <c r="AG324" s="44"/>
      <c r="AH324" s="44"/>
      <c r="AI324" s="44" t="str">
        <f>IFERROR(__xludf.DUMMYFUNCTION("TEXTJOIN("", "",TRUE, FILTER(Data!P:P, Data!B:B=A324))"),"")</f>
        <v/>
      </c>
      <c r="AM324" s="61"/>
      <c r="BC324" s="50"/>
    </row>
    <row r="325">
      <c r="A325" s="54"/>
      <c r="B325" s="55" t="str">
        <f>IFERROR(__xludf.DUMMYFUNCTION("IFERROR(ROUND(
(COUNTIF(FILTER(Data!O:O, Data!B:B=A325), ""Win"")
+ COUNTIF(FILTER(Data!O:O, Data!B:B=A325), {""Tie"",""Results""}))
/ (COUNTIF(Data!B:B, A325)),
1),"""")"),"")</f>
        <v/>
      </c>
      <c r="C325" s="45" t="str">
        <f>IFERROR((SUMIF(Data!B:B, A325, Data!H:H)
/ (COUNTIF(Data!B:B, A325)
)),"")</f>
        <v/>
      </c>
      <c r="D325" s="45" t="str">
        <f>IFERROR((SUMIF(Data!B:B, A325, Data!G:G)
/ (COUNTIF(Data!B:B, A325)
)),"")</f>
        <v/>
      </c>
      <c r="E325" s="45"/>
      <c r="F325" s="45" t="str">
        <f>IFERROR((SUMIF(Data!B:B, A325, Data!J:J)
/ (COUNTIF(Data!B:B, A325)
)),"")</f>
        <v/>
      </c>
      <c r="G325" s="56" t="str">
        <f>IF(A325="","",IFERROR((((((SUMIF(Data!B:B, A325, Data!H:H)+(SUMIF(Data!B:B, A325,Data!G:G)))/(SUMIF(Data!B:B, A325, Data!J:J)))))),0))</f>
        <v/>
      </c>
      <c r="H325" s="45"/>
      <c r="I325" s="45"/>
      <c r="J325" s="45"/>
      <c r="K325" s="45"/>
      <c r="L325" s="45" t="str">
        <f>IFERROR((SUMIF(Data!B:B, A325, Data!L:L)
/ (COUNTIF(Data!B:B, A325)
)),"")</f>
        <v/>
      </c>
      <c r="M325" s="45" t="str">
        <f>IFERROR((SUMIF(Data!B:B, A325, Data!K:K)
/ (COUNTIF(Data!B:B, A325)
)),"")</f>
        <v/>
      </c>
      <c r="N325" s="56"/>
      <c r="O325" s="56" t="str">
        <f>IF(A325="","",IFERROR((((((SUMIF(Data!B:B, A325, Data!H:H)+(SUMIF(Data!B:B, A325,Data!G:G)+(SUMIF(Data!B:B, A325,Data!L:L)+(SUMIF(Data!B:B, A325,Data!K:K)))))/(SUMIF(Data!B:B, A325, Data!M:M)+(SUMIF(Data!B:B, A325, Data!H:H)+(SUMIF(Data!B:B, A325,Data!G:G)+(SUMIF(Data!B:B, A325,Data!K:K)+(SUMIF(Data!B:B, A325,Data!L:L)))))))))),0))</f>
        <v/>
      </c>
      <c r="P325" s="57" t="str">
        <f>IFERROR(__xludf.DUMMYFUNCTION("IFERROR(((COUNTIF(FILTER(Data!N:N,Data!B:B=A325),""TRAVERSE"")*15)+(COUNTIF(FILTER(Data!N:N,Data!B:B=A325),""HIGH"")*10)+(COUNTIF(FILTER(Data!N:N,Data!B:B=A325),""MIDDLE"")*6)+(COUNTIF(FILTER(Data!N:N,Data!B:B=A325),""LOW"")*4)) / (COUNTIF(Data!B:B, A325)"&amp;"),"""")"),"")</f>
        <v/>
      </c>
      <c r="Q325" s="58"/>
      <c r="R325" s="36" t="str">
        <f t="shared" si="37"/>
        <v/>
      </c>
      <c r="S325" s="58" t="str">
        <f>IFERROR(__xludf.DUMMYFUNCTION("IFERROR((((COUNTIF(FILTER(Data!N:N,Data!B:B=A325),""TRAVERSE""))+(COUNTIF(FILTER(Data!N:N,Data!B:B=A325),""HIGH""))+(COUNTIF(FILTER(Data!N:N,Data!B:B=A325),""MIDDLE""))+(COUNTIF(FILTER(Data!N:N,Data!B:B=A325),""LOW"")))) / (((COUNTIF(Data!B:B, A325)))-(CO"&amp;"UNTIF(FILTER(Data!N:N,Data!B:B=A325),""NONE""))),IF(ISBLANK(A325),"""",0))"),"")</f>
        <v/>
      </c>
      <c r="T325" s="56" t="str">
        <f>IFERROR(__xludf.DUMMYFUNCTION("IFERROR((COUNTIF(FILTER(Data!N:N, Data!B:B=A325),""LOW"")) / (COUNTIF(Data!B:B, A325)),"""")"),"")</f>
        <v/>
      </c>
      <c r="U325" s="59" t="str">
        <f>IFERROR(__xludf.DUMMYFUNCTION("IFERROR((COUNTIF(FILTER(Data!N:N, Data!B:B=A325),""MIDDLE"")) / (COUNTIF(Data!B:B, A325)),"""")"),"")</f>
        <v/>
      </c>
      <c r="V325" s="59" t="str">
        <f>IFERROR(__xludf.DUMMYFUNCTION("IFERROR((COUNTIF(FILTER(Data!N:N, Data!B:B=A325),""HIGH"")) / (COUNTIF(Data!B:B, A325)),"""")"),"")</f>
        <v/>
      </c>
      <c r="W325" s="59" t="str">
        <f>IFERROR(__xludf.DUMMYFUNCTION("IFERROR((COUNTIF(FILTER(Data!N:N, Data!B:B=A325),""TRAVERSE"")) / (COUNTIF(Data!B:B, A325)),"""")"),"")</f>
        <v/>
      </c>
      <c r="X325" s="59"/>
      <c r="Y325" s="45" t="str">
        <f t="shared" si="7"/>
        <v/>
      </c>
      <c r="Z325" s="45" t="str">
        <f t="shared" si="8"/>
        <v/>
      </c>
      <c r="AA325" s="16" t="str">
        <f t="shared" si="9"/>
        <v/>
      </c>
      <c r="AB325" s="16"/>
      <c r="AC325" s="16" t="str">
        <f>IFERROR(__xludf.DUMMYFUNCTION("IF(AA325="""","""",MAX(Filter((Data!G:G+Data!K:K),Data!B:B=A325)))"),"")</f>
        <v/>
      </c>
      <c r="AD325" s="16"/>
      <c r="AE325" s="16" t="str">
        <f t="shared" si="12"/>
        <v/>
      </c>
      <c r="AF325" s="16" t="str">
        <f t="shared" si="13"/>
        <v/>
      </c>
      <c r="AG325" s="44"/>
      <c r="AH325" s="44"/>
      <c r="AI325" s="44" t="str">
        <f>IFERROR(__xludf.DUMMYFUNCTION("TEXTJOIN("", "",TRUE, FILTER(Data!P:P, Data!B:B=A325))"),"")</f>
        <v/>
      </c>
      <c r="AM325" s="61"/>
      <c r="BC325" s="50"/>
    </row>
    <row r="326">
      <c r="A326" s="54"/>
      <c r="B326" s="55" t="str">
        <f>IFERROR(__xludf.DUMMYFUNCTION("IFERROR(ROUND(
(COUNTIF(FILTER(Data!O:O, Data!B:B=A326), ""Win"")
+ COUNTIF(FILTER(Data!O:O, Data!B:B=A326), {""Tie"",""Results""}))
/ (COUNTIF(Data!B:B, A326)),
1),"""")"),"")</f>
        <v/>
      </c>
      <c r="C326" s="45" t="str">
        <f>IFERROR((SUMIF(Data!B:B, A326, Data!H:H)
/ (COUNTIF(Data!B:B, A326)
)),"")</f>
        <v/>
      </c>
      <c r="D326" s="45" t="str">
        <f>IFERROR((SUMIF(Data!B:B, A326, Data!G:G)
/ (COUNTIF(Data!B:B, A326)
)),"")</f>
        <v/>
      </c>
      <c r="E326" s="45"/>
      <c r="F326" s="45" t="str">
        <f>IFERROR((SUMIF(Data!B:B, A326, Data!J:J)
/ (COUNTIF(Data!B:B, A326)
)),"")</f>
        <v/>
      </c>
      <c r="G326" s="56" t="str">
        <f>IF(A326="","",IFERROR((((((SUMIF(Data!B:B, A326, Data!H:H)+(SUMIF(Data!B:B, A326,Data!G:G)))/(SUMIF(Data!B:B, A326, Data!J:J)))))),0))</f>
        <v/>
      </c>
      <c r="H326" s="45"/>
      <c r="I326" s="45"/>
      <c r="J326" s="45"/>
      <c r="K326" s="45"/>
      <c r="L326" s="45" t="str">
        <f>IFERROR((SUMIF(Data!B:B, A326, Data!L:L)
/ (COUNTIF(Data!B:B, A326)
)),"")</f>
        <v/>
      </c>
      <c r="M326" s="45" t="str">
        <f>IFERROR((SUMIF(Data!B:B, A326, Data!K:K)
/ (COUNTIF(Data!B:B, A326)
)),"")</f>
        <v/>
      </c>
      <c r="N326" s="56"/>
      <c r="O326" s="56" t="str">
        <f>IF(A326="","",IFERROR((((((SUMIF(Data!B:B, A326, Data!H:H)+(SUMIF(Data!B:B, A326,Data!G:G)+(SUMIF(Data!B:B, A326,Data!L:L)+(SUMIF(Data!B:B, A326,Data!K:K)))))/(SUMIF(Data!B:B, A326, Data!M:M)+(SUMIF(Data!B:B, A326, Data!H:H)+(SUMIF(Data!B:B, A326,Data!G:G)+(SUMIF(Data!B:B, A326,Data!K:K)+(SUMIF(Data!B:B, A326,Data!L:L)))))))))),0))</f>
        <v/>
      </c>
      <c r="P326" s="57" t="str">
        <f>IFERROR(__xludf.DUMMYFUNCTION("IFERROR(((COUNTIF(FILTER(Data!N:N,Data!B:B=A326),""TRAVERSE"")*15)+(COUNTIF(FILTER(Data!N:N,Data!B:B=A326),""HIGH"")*10)+(COUNTIF(FILTER(Data!N:N,Data!B:B=A326),""MIDDLE"")*6)+(COUNTIF(FILTER(Data!N:N,Data!B:B=A326),""LOW"")*4)) / (COUNTIF(Data!B:B, A326)"&amp;"),"""")"),"")</f>
        <v/>
      </c>
      <c r="Q326" s="58"/>
      <c r="R326" s="36" t="str">
        <f t="shared" si="37"/>
        <v/>
      </c>
      <c r="S326" s="58" t="str">
        <f>IFERROR(__xludf.DUMMYFUNCTION("IFERROR((((COUNTIF(FILTER(Data!N:N,Data!B:B=A326),""TRAVERSE""))+(COUNTIF(FILTER(Data!N:N,Data!B:B=A326),""HIGH""))+(COUNTIF(FILTER(Data!N:N,Data!B:B=A326),""MIDDLE""))+(COUNTIF(FILTER(Data!N:N,Data!B:B=A326),""LOW"")))) / (((COUNTIF(Data!B:B, A326)))-(CO"&amp;"UNTIF(FILTER(Data!N:N,Data!B:B=A326),""NONE""))),IF(ISBLANK(A326),"""",0))"),"")</f>
        <v/>
      </c>
      <c r="T326" s="56" t="str">
        <f>IFERROR(__xludf.DUMMYFUNCTION("IFERROR((COUNTIF(FILTER(Data!N:N, Data!B:B=A326),""LOW"")) / (COUNTIF(Data!B:B, A326)),"""")"),"")</f>
        <v/>
      </c>
      <c r="U326" s="59" t="str">
        <f>IFERROR(__xludf.DUMMYFUNCTION("IFERROR((COUNTIF(FILTER(Data!N:N, Data!B:B=A326),""MIDDLE"")) / (COUNTIF(Data!B:B, A326)),"""")"),"")</f>
        <v/>
      </c>
      <c r="V326" s="59" t="str">
        <f>IFERROR(__xludf.DUMMYFUNCTION("IFERROR((COUNTIF(FILTER(Data!N:N, Data!B:B=A326),""HIGH"")) / (COUNTIF(Data!B:B, A326)),"""")"),"")</f>
        <v/>
      </c>
      <c r="W326" s="59" t="str">
        <f>IFERROR(__xludf.DUMMYFUNCTION("IFERROR((COUNTIF(FILTER(Data!N:N, Data!B:B=A326),""TRAVERSE"")) / (COUNTIF(Data!B:B, A326)),"""")"),"")</f>
        <v/>
      </c>
      <c r="X326" s="59"/>
      <c r="Y326" s="45" t="str">
        <f t="shared" si="7"/>
        <v/>
      </c>
      <c r="Z326" s="45" t="str">
        <f t="shared" si="8"/>
        <v/>
      </c>
      <c r="AA326" s="16" t="str">
        <f t="shared" si="9"/>
        <v/>
      </c>
      <c r="AB326" s="16"/>
      <c r="AC326" s="16" t="str">
        <f>IFERROR(__xludf.DUMMYFUNCTION("IF(AA326="""","""",MAX(Filter((Data!G:G+Data!K:K),Data!B:B=A326)))"),"")</f>
        <v/>
      </c>
      <c r="AD326" s="16"/>
      <c r="AE326" s="16" t="str">
        <f t="shared" si="12"/>
        <v/>
      </c>
      <c r="AF326" s="16" t="str">
        <f t="shared" si="13"/>
        <v/>
      </c>
      <c r="AG326" s="44"/>
      <c r="AH326" s="44"/>
      <c r="AI326" s="44" t="str">
        <f>IFERROR(__xludf.DUMMYFUNCTION("TEXTJOIN("", "",TRUE, FILTER(Data!P:P, Data!B:B=A326))"),"")</f>
        <v/>
      </c>
      <c r="AM326" s="61"/>
      <c r="BC326" s="50"/>
    </row>
    <row r="327">
      <c r="A327" s="54"/>
      <c r="B327" s="55" t="str">
        <f>IFERROR(__xludf.DUMMYFUNCTION("IFERROR(ROUND(
(COUNTIF(FILTER(Data!O:O, Data!B:B=A327), ""Win"")
+ COUNTIF(FILTER(Data!O:O, Data!B:B=A327), {""Tie"",""Results""}))
/ (COUNTIF(Data!B:B, A327)),
1),"""")"),"")</f>
        <v/>
      </c>
      <c r="C327" s="45" t="str">
        <f>IFERROR((SUMIF(Data!B:B, A327, Data!H:H)
/ (COUNTIF(Data!B:B, A327)
)),"")</f>
        <v/>
      </c>
      <c r="D327" s="45" t="str">
        <f>IFERROR((SUMIF(Data!B:B, A327, Data!G:G)
/ (COUNTIF(Data!B:B, A327)
)),"")</f>
        <v/>
      </c>
      <c r="E327" s="45"/>
      <c r="F327" s="45" t="str">
        <f>IFERROR((SUMIF(Data!B:B, A327, Data!J:J)
/ (COUNTIF(Data!B:B, A327)
)),"")</f>
        <v/>
      </c>
      <c r="G327" s="56" t="str">
        <f>IF(A327="","",IFERROR((((((SUMIF(Data!B:B, A327, Data!H:H)+(SUMIF(Data!B:B, A327,Data!G:G)))/(SUMIF(Data!B:B, A327, Data!J:J)))))),0))</f>
        <v/>
      </c>
      <c r="H327" s="45"/>
      <c r="I327" s="45"/>
      <c r="J327" s="45"/>
      <c r="K327" s="45"/>
      <c r="L327" s="45" t="str">
        <f>IFERROR((SUMIF(Data!B:B, A327, Data!L:L)
/ (COUNTIF(Data!B:B, A327)
)),"")</f>
        <v/>
      </c>
      <c r="M327" s="45" t="str">
        <f>IFERROR((SUMIF(Data!B:B, A327, Data!K:K)
/ (COUNTIF(Data!B:B, A327)
)),"")</f>
        <v/>
      </c>
      <c r="N327" s="56"/>
      <c r="O327" s="56" t="str">
        <f>IF(A327="","",IFERROR((((((SUMIF(Data!B:B, A327, Data!H:H)+(SUMIF(Data!B:B, A327,Data!G:G)+(SUMIF(Data!B:B, A327,Data!L:L)+(SUMIF(Data!B:B, A327,Data!K:K)))))/(SUMIF(Data!B:B, A327, Data!M:M)+(SUMIF(Data!B:B, A327, Data!H:H)+(SUMIF(Data!B:B, A327,Data!G:G)+(SUMIF(Data!B:B, A327,Data!K:K)+(SUMIF(Data!B:B, A327,Data!L:L)))))))))),0))</f>
        <v/>
      </c>
      <c r="P327" s="57" t="str">
        <f>IFERROR(__xludf.DUMMYFUNCTION("IFERROR(((COUNTIF(FILTER(Data!N:N,Data!B:B=A327),""TRAVERSE"")*15)+(COUNTIF(FILTER(Data!N:N,Data!B:B=A327),""HIGH"")*10)+(COUNTIF(FILTER(Data!N:N,Data!B:B=A327),""MIDDLE"")*6)+(COUNTIF(FILTER(Data!N:N,Data!B:B=A327),""LOW"")*4)) / (COUNTIF(Data!B:B, A327)"&amp;"),"""")"),"")</f>
        <v/>
      </c>
      <c r="Q327" s="58"/>
      <c r="R327" s="36" t="str">
        <f t="shared" si="37"/>
        <v/>
      </c>
      <c r="S327" s="58" t="str">
        <f>IFERROR(__xludf.DUMMYFUNCTION("IFERROR((((COUNTIF(FILTER(Data!N:N,Data!B:B=A327),""TRAVERSE""))+(COUNTIF(FILTER(Data!N:N,Data!B:B=A327),""HIGH""))+(COUNTIF(FILTER(Data!N:N,Data!B:B=A327),""MIDDLE""))+(COUNTIF(FILTER(Data!N:N,Data!B:B=A327),""LOW"")))) / (((COUNTIF(Data!B:B, A327)))-(CO"&amp;"UNTIF(FILTER(Data!N:N,Data!B:B=A327),""NONE""))),IF(ISBLANK(A327),"""",0))"),"")</f>
        <v/>
      </c>
      <c r="T327" s="56" t="str">
        <f>IFERROR(__xludf.DUMMYFUNCTION("IFERROR((COUNTIF(FILTER(Data!N:N, Data!B:B=A327),""LOW"")) / (COUNTIF(Data!B:B, A327)),"""")"),"")</f>
        <v/>
      </c>
      <c r="U327" s="59" t="str">
        <f>IFERROR(__xludf.DUMMYFUNCTION("IFERROR((COUNTIF(FILTER(Data!N:N, Data!B:B=A327),""MIDDLE"")) / (COUNTIF(Data!B:B, A327)),"""")"),"")</f>
        <v/>
      </c>
      <c r="V327" s="59" t="str">
        <f>IFERROR(__xludf.DUMMYFUNCTION("IFERROR((COUNTIF(FILTER(Data!N:N, Data!B:B=A327),""HIGH"")) / (COUNTIF(Data!B:B, A327)),"""")"),"")</f>
        <v/>
      </c>
      <c r="W327" s="59" t="str">
        <f>IFERROR(__xludf.DUMMYFUNCTION("IFERROR((COUNTIF(FILTER(Data!N:N, Data!B:B=A327),""TRAVERSE"")) / (COUNTIF(Data!B:B, A327)),"""")"),"")</f>
        <v/>
      </c>
      <c r="X327" s="59"/>
      <c r="Y327" s="45" t="str">
        <f t="shared" si="7"/>
        <v/>
      </c>
      <c r="Z327" s="45" t="str">
        <f t="shared" si="8"/>
        <v/>
      </c>
      <c r="AA327" s="16" t="str">
        <f t="shared" si="9"/>
        <v/>
      </c>
      <c r="AB327" s="16"/>
      <c r="AC327" s="16" t="str">
        <f>IFERROR(__xludf.DUMMYFUNCTION("IF(AA327="""","""",MAX(Filter((Data!G:G+Data!K:K),Data!B:B=A327)))"),"")</f>
        <v/>
      </c>
      <c r="AD327" s="16"/>
      <c r="AE327" s="16" t="str">
        <f t="shared" si="12"/>
        <v/>
      </c>
      <c r="AF327" s="16" t="str">
        <f t="shared" si="13"/>
        <v/>
      </c>
      <c r="AG327" s="44"/>
      <c r="AH327" s="44"/>
      <c r="AI327" s="44" t="str">
        <f>IFERROR(__xludf.DUMMYFUNCTION("TEXTJOIN("", "",TRUE, FILTER(Data!P:P, Data!B:B=A327))"),"")</f>
        <v/>
      </c>
      <c r="AM327" s="61"/>
      <c r="BC327" s="50"/>
    </row>
    <row r="328">
      <c r="A328" s="54"/>
      <c r="B328" s="55" t="str">
        <f>IFERROR(__xludf.DUMMYFUNCTION("IFERROR(ROUND(
(COUNTIF(FILTER(Data!O:O, Data!B:B=A328), ""Win"")
+ COUNTIF(FILTER(Data!O:O, Data!B:B=A328), {""Tie"",""Results""}))
/ (COUNTIF(Data!B:B, A328)),
1),"""")"),"")</f>
        <v/>
      </c>
      <c r="C328" s="45" t="str">
        <f>IFERROR((SUMIF(Data!B:B, A328, Data!H:H)
/ (COUNTIF(Data!B:B, A328)
)),"")</f>
        <v/>
      </c>
      <c r="D328" s="45" t="str">
        <f>IFERROR((SUMIF(Data!B:B, A328, Data!G:G)
/ (COUNTIF(Data!B:B, A328)
)),"")</f>
        <v/>
      </c>
      <c r="E328" s="45"/>
      <c r="F328" s="45" t="str">
        <f>IFERROR((SUMIF(Data!B:B, A328, Data!J:J)
/ (COUNTIF(Data!B:B, A328)
)),"")</f>
        <v/>
      </c>
      <c r="G328" s="56" t="str">
        <f>IF(A328="","",IFERROR((((((SUMIF(Data!B:B, A328, Data!H:H)+(SUMIF(Data!B:B, A328,Data!G:G)))/(SUMIF(Data!B:B, A328, Data!J:J)))))),0))</f>
        <v/>
      </c>
      <c r="H328" s="45"/>
      <c r="I328" s="45"/>
      <c r="J328" s="45"/>
      <c r="K328" s="45"/>
      <c r="L328" s="45" t="str">
        <f>IFERROR((SUMIF(Data!B:B, A328, Data!L:L)
/ (COUNTIF(Data!B:B, A328)
)),"")</f>
        <v/>
      </c>
      <c r="M328" s="45" t="str">
        <f>IFERROR((SUMIF(Data!B:B, A328, Data!K:K)
/ (COUNTIF(Data!B:B, A328)
)),"")</f>
        <v/>
      </c>
      <c r="N328" s="56"/>
      <c r="O328" s="56" t="str">
        <f>IF(A328="","",IFERROR((((((SUMIF(Data!B:B, A328, Data!H:H)+(SUMIF(Data!B:B, A328,Data!G:G)+(SUMIF(Data!B:B, A328,Data!L:L)+(SUMIF(Data!B:B, A328,Data!K:K)))))/(SUMIF(Data!B:B, A328, Data!M:M)+(SUMIF(Data!B:B, A328, Data!H:H)+(SUMIF(Data!B:B, A328,Data!G:G)+(SUMIF(Data!B:B, A328,Data!K:K)+(SUMIF(Data!B:B, A328,Data!L:L)))))))))),0))</f>
        <v/>
      </c>
      <c r="P328" s="57" t="str">
        <f>IFERROR(__xludf.DUMMYFUNCTION("IFERROR(((COUNTIF(FILTER(Data!N:N,Data!B:B=A328),""TRAVERSE"")*15)+(COUNTIF(FILTER(Data!N:N,Data!B:B=A328),""HIGH"")*10)+(COUNTIF(FILTER(Data!N:N,Data!B:B=A328),""MIDDLE"")*6)+(COUNTIF(FILTER(Data!N:N,Data!B:B=A328),""LOW"")*4)) / (COUNTIF(Data!B:B, A328)"&amp;"),"""")"),"")</f>
        <v/>
      </c>
      <c r="Q328" s="58"/>
      <c r="R328" s="36" t="str">
        <f t="shared" si="37"/>
        <v/>
      </c>
      <c r="S328" s="58" t="str">
        <f>IFERROR(__xludf.DUMMYFUNCTION("IFERROR((((COUNTIF(FILTER(Data!N:N,Data!B:B=A328),""TRAVERSE""))+(COUNTIF(FILTER(Data!N:N,Data!B:B=A328),""HIGH""))+(COUNTIF(FILTER(Data!N:N,Data!B:B=A328),""MIDDLE""))+(COUNTIF(FILTER(Data!N:N,Data!B:B=A328),""LOW"")))) / (((COUNTIF(Data!B:B, A328)))-(CO"&amp;"UNTIF(FILTER(Data!N:N,Data!B:B=A328),""NONE""))),IF(ISBLANK(A328),"""",0))"),"")</f>
        <v/>
      </c>
      <c r="T328" s="56" t="str">
        <f>IFERROR(__xludf.DUMMYFUNCTION("IFERROR((COUNTIF(FILTER(Data!N:N, Data!B:B=A328),""LOW"")) / (COUNTIF(Data!B:B, A328)),"""")"),"")</f>
        <v/>
      </c>
      <c r="U328" s="59" t="str">
        <f>IFERROR(__xludf.DUMMYFUNCTION("IFERROR((COUNTIF(FILTER(Data!N:N, Data!B:B=A328),""MIDDLE"")) / (COUNTIF(Data!B:B, A328)),"""")"),"")</f>
        <v/>
      </c>
      <c r="V328" s="59" t="str">
        <f>IFERROR(__xludf.DUMMYFUNCTION("IFERROR((COUNTIF(FILTER(Data!N:N, Data!B:B=A328),""HIGH"")) / (COUNTIF(Data!B:B, A328)),"""")"),"")</f>
        <v/>
      </c>
      <c r="W328" s="59" t="str">
        <f>IFERROR(__xludf.DUMMYFUNCTION("IFERROR((COUNTIF(FILTER(Data!N:N, Data!B:B=A328),""TRAVERSE"")) / (COUNTIF(Data!B:B, A328)),"""")"),"")</f>
        <v/>
      </c>
      <c r="X328" s="59"/>
      <c r="Y328" s="45" t="str">
        <f t="shared" si="7"/>
        <v/>
      </c>
      <c r="Z328" s="45" t="str">
        <f t="shared" si="8"/>
        <v/>
      </c>
      <c r="AA328" s="16" t="str">
        <f t="shared" si="9"/>
        <v/>
      </c>
      <c r="AB328" s="16"/>
      <c r="AC328" s="16" t="str">
        <f>IFERROR(__xludf.DUMMYFUNCTION("IF(AA328="""","""",MAX(Filter((Data!G:G+Data!K:K),Data!B:B=A328)))"),"")</f>
        <v/>
      </c>
      <c r="AD328" s="16"/>
      <c r="AE328" s="16" t="str">
        <f t="shared" si="12"/>
        <v/>
      </c>
      <c r="AF328" s="16" t="str">
        <f t="shared" si="13"/>
        <v/>
      </c>
      <c r="AG328" s="44"/>
      <c r="AH328" s="44"/>
      <c r="AI328" s="44" t="str">
        <f>IFERROR(__xludf.DUMMYFUNCTION("TEXTJOIN("", "",TRUE, FILTER(Data!P:P, Data!B:B=A328))"),"")</f>
        <v/>
      </c>
      <c r="AM328" s="61"/>
      <c r="BC328" s="50"/>
    </row>
    <row r="329">
      <c r="A329" s="54"/>
      <c r="B329" s="55" t="str">
        <f>IFERROR(__xludf.DUMMYFUNCTION("IFERROR(ROUND(
(COUNTIF(FILTER(Data!O:O, Data!B:B=A329), ""Win"")
+ COUNTIF(FILTER(Data!O:O, Data!B:B=A329), {""Tie"",""Results""}))
/ (COUNTIF(Data!B:B, A329)),
1),"""")"),"")</f>
        <v/>
      </c>
      <c r="C329" s="45" t="str">
        <f>IFERROR((SUMIF(Data!B:B, A329, Data!H:H)
/ (COUNTIF(Data!B:B, A329)
)),"")</f>
        <v/>
      </c>
      <c r="D329" s="45" t="str">
        <f>IFERROR((SUMIF(Data!B:B, A329, Data!G:G)
/ (COUNTIF(Data!B:B, A329)
)),"")</f>
        <v/>
      </c>
      <c r="E329" s="45"/>
      <c r="F329" s="45" t="str">
        <f>IFERROR((SUMIF(Data!B:B, A329, Data!J:J)
/ (COUNTIF(Data!B:B, A329)
)),"")</f>
        <v/>
      </c>
      <c r="G329" s="56" t="str">
        <f>IF(A329="","",IFERROR((((((SUMIF(Data!B:B, A329, Data!H:H)+(SUMIF(Data!B:B, A329,Data!G:G)))/(SUMIF(Data!B:B, A329, Data!J:J)))))),0))</f>
        <v/>
      </c>
      <c r="H329" s="45"/>
      <c r="I329" s="45"/>
      <c r="J329" s="45"/>
      <c r="K329" s="45"/>
      <c r="L329" s="45" t="str">
        <f>IFERROR((SUMIF(Data!B:B, A329, Data!L:L)
/ (COUNTIF(Data!B:B, A329)
)),"")</f>
        <v/>
      </c>
      <c r="M329" s="45" t="str">
        <f>IFERROR((SUMIF(Data!B:B, A329, Data!K:K)
/ (COUNTIF(Data!B:B, A329)
)),"")</f>
        <v/>
      </c>
      <c r="N329" s="56"/>
      <c r="O329" s="56" t="str">
        <f>IF(A329="","",IFERROR((((((SUMIF(Data!B:B, A329, Data!H:H)+(SUMIF(Data!B:B, A329,Data!G:G)+(SUMIF(Data!B:B, A329,Data!L:L)+(SUMIF(Data!B:B, A329,Data!K:K)))))/(SUMIF(Data!B:B, A329, Data!M:M)+(SUMIF(Data!B:B, A329, Data!H:H)+(SUMIF(Data!B:B, A329,Data!G:G)+(SUMIF(Data!B:B, A329,Data!K:K)+(SUMIF(Data!B:B, A329,Data!L:L)))))))))),0))</f>
        <v/>
      </c>
      <c r="P329" s="57" t="str">
        <f>IFERROR(__xludf.DUMMYFUNCTION("IFERROR(((COUNTIF(FILTER(Data!N:N,Data!B:B=A329),""TRAVERSE"")*15)+(COUNTIF(FILTER(Data!N:N,Data!B:B=A329),""HIGH"")*10)+(COUNTIF(FILTER(Data!N:N,Data!B:B=A329),""MIDDLE"")*6)+(COUNTIF(FILTER(Data!N:N,Data!B:B=A329),""LOW"")*4)) / (COUNTIF(Data!B:B, A329)"&amp;"),"""")"),"")</f>
        <v/>
      </c>
      <c r="Q329" s="58"/>
      <c r="R329" s="36" t="str">
        <f t="shared" si="37"/>
        <v/>
      </c>
      <c r="S329" s="58" t="str">
        <f>IFERROR(__xludf.DUMMYFUNCTION("IFERROR((((COUNTIF(FILTER(Data!N:N,Data!B:B=A329),""TRAVERSE""))+(COUNTIF(FILTER(Data!N:N,Data!B:B=A329),""HIGH""))+(COUNTIF(FILTER(Data!N:N,Data!B:B=A329),""MIDDLE""))+(COUNTIF(FILTER(Data!N:N,Data!B:B=A329),""LOW"")))) / (((COUNTIF(Data!B:B, A329)))-(CO"&amp;"UNTIF(FILTER(Data!N:N,Data!B:B=A329),""NONE""))),IF(ISBLANK(A329),"""",0))"),"")</f>
        <v/>
      </c>
      <c r="T329" s="56" t="str">
        <f>IFERROR(__xludf.DUMMYFUNCTION("IFERROR((COUNTIF(FILTER(Data!N:N, Data!B:B=A329),""LOW"")) / (COUNTIF(Data!B:B, A329)),"""")"),"")</f>
        <v/>
      </c>
      <c r="U329" s="59" t="str">
        <f>IFERROR(__xludf.DUMMYFUNCTION("IFERROR((COUNTIF(FILTER(Data!N:N, Data!B:B=A329),""MIDDLE"")) / (COUNTIF(Data!B:B, A329)),"""")"),"")</f>
        <v/>
      </c>
      <c r="V329" s="59" t="str">
        <f>IFERROR(__xludf.DUMMYFUNCTION("IFERROR((COUNTIF(FILTER(Data!N:N, Data!B:B=A329),""HIGH"")) / (COUNTIF(Data!B:B, A329)),"""")"),"")</f>
        <v/>
      </c>
      <c r="W329" s="59" t="str">
        <f>IFERROR(__xludf.DUMMYFUNCTION("IFERROR((COUNTIF(FILTER(Data!N:N, Data!B:B=A329),""TRAVERSE"")) / (COUNTIF(Data!B:B, A329)),"""")"),"")</f>
        <v/>
      </c>
      <c r="X329" s="59"/>
      <c r="Y329" s="45" t="str">
        <f t="shared" si="7"/>
        <v/>
      </c>
      <c r="Z329" s="45" t="str">
        <f t="shared" si="8"/>
        <v/>
      </c>
      <c r="AA329" s="16" t="str">
        <f t="shared" si="9"/>
        <v/>
      </c>
      <c r="AB329" s="16"/>
      <c r="AC329" s="16" t="str">
        <f>IFERROR(__xludf.DUMMYFUNCTION("IF(AA329="""","""",MAX(Filter((Data!G:G+Data!K:K),Data!B:B=A329)))"),"")</f>
        <v/>
      </c>
      <c r="AD329" s="16"/>
      <c r="AE329" s="16" t="str">
        <f t="shared" si="12"/>
        <v/>
      </c>
      <c r="AF329" s="16" t="str">
        <f t="shared" si="13"/>
        <v/>
      </c>
      <c r="AG329" s="44"/>
      <c r="AH329" s="44"/>
      <c r="AI329" s="44" t="str">
        <f>IFERROR(__xludf.DUMMYFUNCTION("TEXTJOIN("", "",TRUE, FILTER(Data!P:P, Data!B:B=A329))"),"")</f>
        <v/>
      </c>
      <c r="AM329" s="61"/>
      <c r="BC329" s="50"/>
    </row>
    <row r="330">
      <c r="A330" s="54"/>
      <c r="B330" s="55" t="str">
        <f>IFERROR(__xludf.DUMMYFUNCTION("IFERROR(ROUND(
(COUNTIF(FILTER(Data!O:O, Data!B:B=A330), ""Win"")
+ COUNTIF(FILTER(Data!O:O, Data!B:B=A330), {""Tie"",""Results""}))
/ (COUNTIF(Data!B:B, A330)),
1),"""")"),"")</f>
        <v/>
      </c>
      <c r="C330" s="45" t="str">
        <f>IFERROR((SUMIF(Data!B:B, A330, Data!H:H)
/ (COUNTIF(Data!B:B, A330)
)),"")</f>
        <v/>
      </c>
      <c r="D330" s="45" t="str">
        <f>IFERROR((SUMIF(Data!B:B, A330, Data!G:G)
/ (COUNTIF(Data!B:B, A330)
)),"")</f>
        <v/>
      </c>
      <c r="E330" s="45"/>
      <c r="F330" s="45" t="str">
        <f>IFERROR((SUMIF(Data!B:B, A330, Data!J:J)
/ (COUNTIF(Data!B:B, A330)
)),"")</f>
        <v/>
      </c>
      <c r="G330" s="56" t="str">
        <f>IF(A330="","",IFERROR((((((SUMIF(Data!B:B, A330, Data!H:H)+(SUMIF(Data!B:B, A330,Data!G:G)))/(SUMIF(Data!B:B, A330, Data!J:J)))))),0))</f>
        <v/>
      </c>
      <c r="H330" s="45"/>
      <c r="I330" s="45"/>
      <c r="J330" s="45"/>
      <c r="K330" s="45"/>
      <c r="L330" s="45" t="str">
        <f>IFERROR((SUMIF(Data!B:B, A330, Data!L:L)
/ (COUNTIF(Data!B:B, A330)
)),"")</f>
        <v/>
      </c>
      <c r="M330" s="45" t="str">
        <f>IFERROR((SUMIF(Data!B:B, A330, Data!K:K)
/ (COUNTIF(Data!B:B, A330)
)),"")</f>
        <v/>
      </c>
      <c r="N330" s="56"/>
      <c r="O330" s="56" t="str">
        <f>IF(A330="","",IFERROR((((((SUMIF(Data!B:B, A330, Data!H:H)+(SUMIF(Data!B:B, A330,Data!G:G)+(SUMIF(Data!B:B, A330,Data!L:L)+(SUMIF(Data!B:B, A330,Data!K:K)))))/(SUMIF(Data!B:B, A330, Data!M:M)+(SUMIF(Data!B:B, A330, Data!H:H)+(SUMIF(Data!B:B, A330,Data!G:G)+(SUMIF(Data!B:B, A330,Data!K:K)+(SUMIF(Data!B:B, A330,Data!L:L)))))))))),0))</f>
        <v/>
      </c>
      <c r="P330" s="57" t="str">
        <f>IFERROR(__xludf.DUMMYFUNCTION("IFERROR(((COUNTIF(FILTER(Data!N:N,Data!B:B=A330),""TRAVERSE"")*15)+(COUNTIF(FILTER(Data!N:N,Data!B:B=A330),""HIGH"")*10)+(COUNTIF(FILTER(Data!N:N,Data!B:B=A330),""MIDDLE"")*6)+(COUNTIF(FILTER(Data!N:N,Data!B:B=A330),""LOW"")*4)) / (COUNTIF(Data!B:B, A330)"&amp;"),"""")"),"")</f>
        <v/>
      </c>
      <c r="Q330" s="58"/>
      <c r="R330" s="36" t="str">
        <f t="shared" si="37"/>
        <v/>
      </c>
      <c r="S330" s="58" t="str">
        <f>IFERROR(__xludf.DUMMYFUNCTION("IFERROR((((COUNTIF(FILTER(Data!N:N,Data!B:B=A330),""TRAVERSE""))+(COUNTIF(FILTER(Data!N:N,Data!B:B=A330),""HIGH""))+(COUNTIF(FILTER(Data!N:N,Data!B:B=A330),""MIDDLE""))+(COUNTIF(FILTER(Data!N:N,Data!B:B=A330),""LOW"")))) / (((COUNTIF(Data!B:B, A330)))-(CO"&amp;"UNTIF(FILTER(Data!N:N,Data!B:B=A330),""NONE""))),IF(ISBLANK(A330),"""",0))"),"")</f>
        <v/>
      </c>
      <c r="T330" s="56" t="str">
        <f>IFERROR(__xludf.DUMMYFUNCTION("IFERROR((COUNTIF(FILTER(Data!N:N, Data!B:B=A330),""LOW"")) / (COUNTIF(Data!B:B, A330)),"""")"),"")</f>
        <v/>
      </c>
      <c r="U330" s="59" t="str">
        <f>IFERROR(__xludf.DUMMYFUNCTION("IFERROR((COUNTIF(FILTER(Data!N:N, Data!B:B=A330),""MIDDLE"")) / (COUNTIF(Data!B:B, A330)),"""")"),"")</f>
        <v/>
      </c>
      <c r="V330" s="59" t="str">
        <f>IFERROR(__xludf.DUMMYFUNCTION("IFERROR((COUNTIF(FILTER(Data!N:N, Data!B:B=A330),""HIGH"")) / (COUNTIF(Data!B:B, A330)),"""")"),"")</f>
        <v/>
      </c>
      <c r="W330" s="59" t="str">
        <f>IFERROR(__xludf.DUMMYFUNCTION("IFERROR((COUNTIF(FILTER(Data!N:N, Data!B:B=A330),""TRAVERSE"")) / (COUNTIF(Data!B:B, A330)),"""")"),"")</f>
        <v/>
      </c>
      <c r="X330" s="59"/>
      <c r="Y330" s="45" t="str">
        <f t="shared" si="7"/>
        <v/>
      </c>
      <c r="Z330" s="45" t="str">
        <f t="shared" si="8"/>
        <v/>
      </c>
      <c r="AA330" s="16" t="str">
        <f t="shared" si="9"/>
        <v/>
      </c>
      <c r="AB330" s="16"/>
      <c r="AC330" s="16" t="str">
        <f>IFERROR(__xludf.DUMMYFUNCTION("IF(AA330="""","""",MAX(Filter((Data!G:G+Data!K:K),Data!B:B=A330)))"),"")</f>
        <v/>
      </c>
      <c r="AD330" s="16"/>
      <c r="AE330" s="16" t="str">
        <f t="shared" si="12"/>
        <v/>
      </c>
      <c r="AF330" s="16" t="str">
        <f t="shared" si="13"/>
        <v/>
      </c>
      <c r="AG330" s="44"/>
      <c r="AH330" s="44"/>
      <c r="AI330" s="44" t="str">
        <f>IFERROR(__xludf.DUMMYFUNCTION("TEXTJOIN("", "",TRUE, FILTER(Data!P:P, Data!B:B=A330))"),"")</f>
        <v/>
      </c>
      <c r="AM330" s="61"/>
      <c r="BC330" s="50"/>
    </row>
    <row r="331">
      <c r="A331" s="54"/>
      <c r="B331" s="55" t="str">
        <f>IFERROR(__xludf.DUMMYFUNCTION("IFERROR(ROUND(
(COUNTIF(FILTER(Data!O:O, Data!B:B=A331), ""Win"")
+ COUNTIF(FILTER(Data!O:O, Data!B:B=A331), {""Tie"",""Results""}))
/ (COUNTIF(Data!B:B, A331)),
1),"""")"),"")</f>
        <v/>
      </c>
      <c r="C331" s="45" t="str">
        <f>IFERROR((SUMIF(Data!B:B, A331, Data!H:H)
/ (COUNTIF(Data!B:B, A331)
)),"")</f>
        <v/>
      </c>
      <c r="D331" s="45" t="str">
        <f>IFERROR((SUMIF(Data!B:B, A331, Data!G:G)
/ (COUNTIF(Data!B:B, A331)
)),"")</f>
        <v/>
      </c>
      <c r="E331" s="45"/>
      <c r="F331" s="45" t="str">
        <f>IFERROR((SUMIF(Data!B:B, A331, Data!J:J)
/ (COUNTIF(Data!B:B, A331)
)),"")</f>
        <v/>
      </c>
      <c r="G331" s="56" t="str">
        <f>IF(A331="","",IFERROR((((((SUMIF(Data!B:B, A331, Data!H:H)+(SUMIF(Data!B:B, A331,Data!G:G)))/(SUMIF(Data!B:B, A331, Data!J:J)))))),0))</f>
        <v/>
      </c>
      <c r="H331" s="45"/>
      <c r="I331" s="45"/>
      <c r="J331" s="45"/>
      <c r="K331" s="45"/>
      <c r="L331" s="45" t="str">
        <f>IFERROR((SUMIF(Data!B:B, A331, Data!L:L)
/ (COUNTIF(Data!B:B, A331)
)),"")</f>
        <v/>
      </c>
      <c r="M331" s="45" t="str">
        <f>IFERROR((SUMIF(Data!B:B, A331, Data!K:K)
/ (COUNTIF(Data!B:B, A331)
)),"")</f>
        <v/>
      </c>
      <c r="N331" s="56"/>
      <c r="O331" s="56" t="str">
        <f>IF(A331="","",IFERROR((((((SUMIF(Data!B:B, A331, Data!H:H)+(SUMIF(Data!B:B, A331,Data!G:G)+(SUMIF(Data!B:B, A331,Data!L:L)+(SUMIF(Data!B:B, A331,Data!K:K)))))/(SUMIF(Data!B:B, A331, Data!M:M)+(SUMIF(Data!B:B, A331, Data!H:H)+(SUMIF(Data!B:B, A331,Data!G:G)+(SUMIF(Data!B:B, A331,Data!K:K)+(SUMIF(Data!B:B, A331,Data!L:L)))))))))),0))</f>
        <v/>
      </c>
      <c r="P331" s="57" t="str">
        <f>IFERROR(__xludf.DUMMYFUNCTION("IFERROR(((COUNTIF(FILTER(Data!N:N,Data!B:B=A331),""TRAVERSE"")*15)+(COUNTIF(FILTER(Data!N:N,Data!B:B=A331),""HIGH"")*10)+(COUNTIF(FILTER(Data!N:N,Data!B:B=A331),""MIDDLE"")*6)+(COUNTIF(FILTER(Data!N:N,Data!B:B=A331),""LOW"")*4)) / (COUNTIF(Data!B:B, A331)"&amp;"),"""")"),"")</f>
        <v/>
      </c>
      <c r="Q331" s="58"/>
      <c r="R331" s="36" t="str">
        <f t="shared" si="37"/>
        <v/>
      </c>
      <c r="S331" s="58" t="str">
        <f>IFERROR(__xludf.DUMMYFUNCTION("IFERROR((((COUNTIF(FILTER(Data!N:N,Data!B:B=A331),""TRAVERSE""))+(COUNTIF(FILTER(Data!N:N,Data!B:B=A331),""HIGH""))+(COUNTIF(FILTER(Data!N:N,Data!B:B=A331),""MIDDLE""))+(COUNTIF(FILTER(Data!N:N,Data!B:B=A331),""LOW"")))) / (((COUNTIF(Data!B:B, A331)))-(CO"&amp;"UNTIF(FILTER(Data!N:N,Data!B:B=A331),""NONE""))),IF(ISBLANK(A331),"""",0))"),"")</f>
        <v/>
      </c>
      <c r="T331" s="56" t="str">
        <f>IFERROR(__xludf.DUMMYFUNCTION("IFERROR((COUNTIF(FILTER(Data!N:N, Data!B:B=A331),""LOW"")) / (COUNTIF(Data!B:B, A331)),"""")"),"")</f>
        <v/>
      </c>
      <c r="U331" s="59" t="str">
        <f>IFERROR(__xludf.DUMMYFUNCTION("IFERROR((COUNTIF(FILTER(Data!N:N, Data!B:B=A331),""MIDDLE"")) / (COUNTIF(Data!B:B, A331)),"""")"),"")</f>
        <v/>
      </c>
      <c r="V331" s="59" t="str">
        <f>IFERROR(__xludf.DUMMYFUNCTION("IFERROR((COUNTIF(FILTER(Data!N:N, Data!B:B=A331),""HIGH"")) / (COUNTIF(Data!B:B, A331)),"""")"),"")</f>
        <v/>
      </c>
      <c r="W331" s="59" t="str">
        <f>IFERROR(__xludf.DUMMYFUNCTION("IFERROR((COUNTIF(FILTER(Data!N:N, Data!B:B=A331),""TRAVERSE"")) / (COUNTIF(Data!B:B, A331)),"""")"),"")</f>
        <v/>
      </c>
      <c r="X331" s="59"/>
      <c r="Y331" s="45" t="str">
        <f t="shared" si="7"/>
        <v/>
      </c>
      <c r="Z331" s="45" t="str">
        <f t="shared" si="8"/>
        <v/>
      </c>
      <c r="AA331" s="16" t="str">
        <f t="shared" si="9"/>
        <v/>
      </c>
      <c r="AB331" s="16"/>
      <c r="AC331" s="16" t="str">
        <f>IFERROR(__xludf.DUMMYFUNCTION("IF(AA331="""","""",MAX(Filter((Data!G:G+Data!K:K),Data!B:B=A331)))"),"")</f>
        <v/>
      </c>
      <c r="AD331" s="16"/>
      <c r="AE331" s="16" t="str">
        <f t="shared" si="12"/>
        <v/>
      </c>
      <c r="AF331" s="16" t="str">
        <f t="shared" si="13"/>
        <v/>
      </c>
      <c r="AG331" s="44"/>
      <c r="AH331" s="44"/>
      <c r="AI331" s="44" t="str">
        <f>IFERROR(__xludf.DUMMYFUNCTION("TEXTJOIN("", "",TRUE, FILTER(Data!P:P, Data!B:B=A331))"),"")</f>
        <v/>
      </c>
      <c r="AM331" s="61"/>
      <c r="BC331" s="50"/>
    </row>
    <row r="332">
      <c r="A332" s="54"/>
      <c r="B332" s="55" t="str">
        <f>IFERROR(__xludf.DUMMYFUNCTION("IFERROR(ROUND(
(COUNTIF(FILTER(Data!O:O, Data!B:B=A332), ""Win"")
+ COUNTIF(FILTER(Data!O:O, Data!B:B=A332), {""Tie"",""Results""}))
/ (COUNTIF(Data!B:B, A332)),
1),"""")"),"")</f>
        <v/>
      </c>
      <c r="C332" s="45" t="str">
        <f>IFERROR((SUMIF(Data!B:B, A332, Data!H:H)
/ (COUNTIF(Data!B:B, A332)
)),"")</f>
        <v/>
      </c>
      <c r="D332" s="45" t="str">
        <f>IFERROR((SUMIF(Data!B:B, A332, Data!G:G)
/ (COUNTIF(Data!B:B, A332)
)),"")</f>
        <v/>
      </c>
      <c r="E332" s="45"/>
      <c r="F332" s="45" t="str">
        <f>IFERROR((SUMIF(Data!B:B, A332, Data!J:J)
/ (COUNTIF(Data!B:B, A332)
)),"")</f>
        <v/>
      </c>
      <c r="G332" s="56" t="str">
        <f>IF(A332="","",IFERROR((((((SUMIF(Data!B:B, A332, Data!H:H)+(SUMIF(Data!B:B, A332,Data!G:G)))/(SUMIF(Data!B:B, A332, Data!J:J)))))),0))</f>
        <v/>
      </c>
      <c r="H332" s="45"/>
      <c r="I332" s="45"/>
      <c r="J332" s="45"/>
      <c r="K332" s="45"/>
      <c r="L332" s="45" t="str">
        <f>IFERROR((SUMIF(Data!B:B, A332, Data!L:L)
/ (COUNTIF(Data!B:B, A332)
)),"")</f>
        <v/>
      </c>
      <c r="M332" s="45" t="str">
        <f>IFERROR((SUMIF(Data!B:B, A332, Data!K:K)
/ (COUNTIF(Data!B:B, A332)
)),"")</f>
        <v/>
      </c>
      <c r="N332" s="56"/>
      <c r="O332" s="56" t="str">
        <f>IF(A332="","",IFERROR((((((SUMIF(Data!B:B, A332, Data!H:H)+(SUMIF(Data!B:B, A332,Data!G:G)+(SUMIF(Data!B:B, A332,Data!L:L)+(SUMIF(Data!B:B, A332,Data!K:K)))))/(SUMIF(Data!B:B, A332, Data!M:M)+(SUMIF(Data!B:B, A332, Data!H:H)+(SUMIF(Data!B:B, A332,Data!G:G)+(SUMIF(Data!B:B, A332,Data!K:K)+(SUMIF(Data!B:B, A332,Data!L:L)))))))))),0))</f>
        <v/>
      </c>
      <c r="P332" s="57" t="str">
        <f>IFERROR(__xludf.DUMMYFUNCTION("IFERROR(((COUNTIF(FILTER(Data!N:N,Data!B:B=A332),""TRAVERSE"")*15)+(COUNTIF(FILTER(Data!N:N,Data!B:B=A332),""HIGH"")*10)+(COUNTIF(FILTER(Data!N:N,Data!B:B=A332),""MIDDLE"")*6)+(COUNTIF(FILTER(Data!N:N,Data!B:B=A332),""LOW"")*4)) / (COUNTIF(Data!B:B, A332)"&amp;"),"""")"),"")</f>
        <v/>
      </c>
      <c r="Q332" s="58"/>
      <c r="R332" s="36" t="str">
        <f t="shared" si="37"/>
        <v/>
      </c>
      <c r="S332" s="58" t="str">
        <f>IFERROR(__xludf.DUMMYFUNCTION("IFERROR((((COUNTIF(FILTER(Data!N:N,Data!B:B=A332),""TRAVERSE""))+(COUNTIF(FILTER(Data!N:N,Data!B:B=A332),""HIGH""))+(COUNTIF(FILTER(Data!N:N,Data!B:B=A332),""MIDDLE""))+(COUNTIF(FILTER(Data!N:N,Data!B:B=A332),""LOW"")))) / (((COUNTIF(Data!B:B, A332)))-(CO"&amp;"UNTIF(FILTER(Data!N:N,Data!B:B=A332),""NONE""))),IF(ISBLANK(A332),"""",0))"),"")</f>
        <v/>
      </c>
      <c r="T332" s="56" t="str">
        <f>IFERROR(__xludf.DUMMYFUNCTION("IFERROR((COUNTIF(FILTER(Data!N:N, Data!B:B=A332),""LOW"")) / (COUNTIF(Data!B:B, A332)),"""")"),"")</f>
        <v/>
      </c>
      <c r="U332" s="59" t="str">
        <f>IFERROR(__xludf.DUMMYFUNCTION("IFERROR((COUNTIF(FILTER(Data!N:N, Data!B:B=A332),""MIDDLE"")) / (COUNTIF(Data!B:B, A332)),"""")"),"")</f>
        <v/>
      </c>
      <c r="V332" s="59" t="str">
        <f>IFERROR(__xludf.DUMMYFUNCTION("IFERROR((COUNTIF(FILTER(Data!N:N, Data!B:B=A332),""HIGH"")) / (COUNTIF(Data!B:B, A332)),"""")"),"")</f>
        <v/>
      </c>
      <c r="W332" s="59" t="str">
        <f>IFERROR(__xludf.DUMMYFUNCTION("IFERROR((COUNTIF(FILTER(Data!N:N, Data!B:B=A332),""TRAVERSE"")) / (COUNTIF(Data!B:B, A332)),"""")"),"")</f>
        <v/>
      </c>
      <c r="X332" s="59"/>
      <c r="Y332" s="45" t="str">
        <f t="shared" si="7"/>
        <v/>
      </c>
      <c r="Z332" s="45" t="str">
        <f t="shared" si="8"/>
        <v/>
      </c>
      <c r="AA332" s="16" t="str">
        <f t="shared" si="9"/>
        <v/>
      </c>
      <c r="AB332" s="16"/>
      <c r="AC332" s="16" t="str">
        <f>IFERROR(__xludf.DUMMYFUNCTION("IF(AA332="""","""",MAX(Filter((Data!G:G+Data!K:K),Data!B:B=A332)))"),"")</f>
        <v/>
      </c>
      <c r="AD332" s="16"/>
      <c r="AE332" s="16" t="str">
        <f t="shared" si="12"/>
        <v/>
      </c>
      <c r="AF332" s="16" t="str">
        <f t="shared" si="13"/>
        <v/>
      </c>
      <c r="AG332" s="44"/>
      <c r="AH332" s="44"/>
      <c r="AI332" s="44" t="str">
        <f>IFERROR(__xludf.DUMMYFUNCTION("TEXTJOIN("", "",TRUE, FILTER(Data!P:P, Data!B:B=A332))"),"")</f>
        <v/>
      </c>
      <c r="AM332" s="61"/>
      <c r="BC332" s="50"/>
    </row>
    <row r="333">
      <c r="A333" s="54"/>
      <c r="B333" s="55" t="str">
        <f>IFERROR(__xludf.DUMMYFUNCTION("IFERROR(ROUND(
(COUNTIF(FILTER(Data!O:O, Data!B:B=A333), ""Win"")
+ COUNTIF(FILTER(Data!O:O, Data!B:B=A333), {""Tie"",""Results""}))
/ (COUNTIF(Data!B:B, A333)),
1),"""")"),"")</f>
        <v/>
      </c>
      <c r="C333" s="45" t="str">
        <f>IFERROR((SUMIF(Data!B:B, A333, Data!H:H)
/ (COUNTIF(Data!B:B, A333)
)),"")</f>
        <v/>
      </c>
      <c r="D333" s="45" t="str">
        <f>IFERROR((SUMIF(Data!B:B, A333, Data!G:G)
/ (COUNTIF(Data!B:B, A333)
)),"")</f>
        <v/>
      </c>
      <c r="E333" s="45"/>
      <c r="F333" s="45" t="str">
        <f>IFERROR((SUMIF(Data!B:B, A333, Data!J:J)
/ (COUNTIF(Data!B:B, A333)
)),"")</f>
        <v/>
      </c>
      <c r="G333" s="56" t="str">
        <f>IF(A333="","",IFERROR((((((SUMIF(Data!B:B, A333, Data!H:H)+(SUMIF(Data!B:B, A333,Data!G:G)))/(SUMIF(Data!B:B, A333, Data!J:J)))))),0))</f>
        <v/>
      </c>
      <c r="H333" s="45"/>
      <c r="I333" s="45"/>
      <c r="J333" s="45"/>
      <c r="K333" s="45"/>
      <c r="L333" s="45" t="str">
        <f>IFERROR((SUMIF(Data!B:B, A333, Data!L:L)
/ (COUNTIF(Data!B:B, A333)
)),"")</f>
        <v/>
      </c>
      <c r="M333" s="45" t="str">
        <f>IFERROR((SUMIF(Data!B:B, A333, Data!K:K)
/ (COUNTIF(Data!B:B, A333)
)),"")</f>
        <v/>
      </c>
      <c r="N333" s="56"/>
      <c r="O333" s="56" t="str">
        <f>IF(A333="","",IFERROR((((((SUMIF(Data!B:B, A333, Data!H:H)+(SUMIF(Data!B:B, A333,Data!G:G)+(SUMIF(Data!B:B, A333,Data!L:L)+(SUMIF(Data!B:B, A333,Data!K:K)))))/(SUMIF(Data!B:B, A333, Data!M:M)+(SUMIF(Data!B:B, A333, Data!H:H)+(SUMIF(Data!B:B, A333,Data!G:G)+(SUMIF(Data!B:B, A333,Data!K:K)+(SUMIF(Data!B:B, A333,Data!L:L)))))))))),0))</f>
        <v/>
      </c>
      <c r="P333" s="57" t="str">
        <f>IFERROR(__xludf.DUMMYFUNCTION("IFERROR(((COUNTIF(FILTER(Data!N:N,Data!B:B=A333),""TRAVERSE"")*15)+(COUNTIF(FILTER(Data!N:N,Data!B:B=A333),""HIGH"")*10)+(COUNTIF(FILTER(Data!N:N,Data!B:B=A333),""MIDDLE"")*6)+(COUNTIF(FILTER(Data!N:N,Data!B:B=A333),""LOW"")*4)) / (COUNTIF(Data!B:B, A333)"&amp;"),"""")"),"")</f>
        <v/>
      </c>
      <c r="Q333" s="58"/>
      <c r="R333" s="36" t="str">
        <f t="shared" si="37"/>
        <v/>
      </c>
      <c r="S333" s="58" t="str">
        <f>IFERROR(__xludf.DUMMYFUNCTION("IFERROR((((COUNTIF(FILTER(Data!N:N,Data!B:B=A333),""TRAVERSE""))+(COUNTIF(FILTER(Data!N:N,Data!B:B=A333),""HIGH""))+(COUNTIF(FILTER(Data!N:N,Data!B:B=A333),""MIDDLE""))+(COUNTIF(FILTER(Data!N:N,Data!B:B=A333),""LOW"")))) / (((COUNTIF(Data!B:B, A333)))-(CO"&amp;"UNTIF(FILTER(Data!N:N,Data!B:B=A333),""NONE""))),IF(ISBLANK(A333),"""",0))"),"")</f>
        <v/>
      </c>
      <c r="T333" s="56" t="str">
        <f>IFERROR(__xludf.DUMMYFUNCTION("IFERROR((COUNTIF(FILTER(Data!N:N, Data!B:B=A333),""LOW"")) / (COUNTIF(Data!B:B, A333)),"""")"),"")</f>
        <v/>
      </c>
      <c r="U333" s="59" t="str">
        <f>IFERROR(__xludf.DUMMYFUNCTION("IFERROR((COUNTIF(FILTER(Data!N:N, Data!B:B=A333),""MIDDLE"")) / (COUNTIF(Data!B:B, A333)),"""")"),"")</f>
        <v/>
      </c>
      <c r="V333" s="59" t="str">
        <f>IFERROR(__xludf.DUMMYFUNCTION("IFERROR((COUNTIF(FILTER(Data!N:N, Data!B:B=A333),""HIGH"")) / (COUNTIF(Data!B:B, A333)),"""")"),"")</f>
        <v/>
      </c>
      <c r="W333" s="59" t="str">
        <f>IFERROR(__xludf.DUMMYFUNCTION("IFERROR((COUNTIF(FILTER(Data!N:N, Data!B:B=A333),""TRAVERSE"")) / (COUNTIF(Data!B:B, A333)),"""")"),"")</f>
        <v/>
      </c>
      <c r="X333" s="59"/>
      <c r="Y333" s="45" t="str">
        <f t="shared" si="7"/>
        <v/>
      </c>
      <c r="Z333" s="45" t="str">
        <f t="shared" si="8"/>
        <v/>
      </c>
      <c r="AA333" s="16" t="str">
        <f t="shared" si="9"/>
        <v/>
      </c>
      <c r="AB333" s="16"/>
      <c r="AC333" s="16" t="str">
        <f>IFERROR(__xludf.DUMMYFUNCTION("IF(AA333="""","""",MAX(Filter((Data!G:G+Data!K:K),Data!B:B=A333)))"),"")</f>
        <v/>
      </c>
      <c r="AD333" s="16"/>
      <c r="AE333" s="16" t="str">
        <f t="shared" si="12"/>
        <v/>
      </c>
      <c r="AF333" s="16" t="str">
        <f t="shared" si="13"/>
        <v/>
      </c>
      <c r="AG333" s="44"/>
      <c r="AH333" s="44"/>
      <c r="AI333" s="44" t="str">
        <f>IFERROR(__xludf.DUMMYFUNCTION("TEXTJOIN("", "",TRUE, FILTER(Data!P:P, Data!B:B=A333))"),"")</f>
        <v/>
      </c>
      <c r="AM333" s="61"/>
      <c r="BC333" s="50"/>
    </row>
    <row r="334">
      <c r="A334" s="54"/>
      <c r="B334" s="55" t="str">
        <f>IFERROR(__xludf.DUMMYFUNCTION("IFERROR(ROUND(
(COUNTIF(FILTER(Data!O:O, Data!B:B=A334), ""Win"")
+ COUNTIF(FILTER(Data!O:O, Data!B:B=A334), {""Tie"",""Results""}))
/ (COUNTIF(Data!B:B, A334)),
1),"""")"),"")</f>
        <v/>
      </c>
      <c r="C334" s="45" t="str">
        <f>IFERROR((SUMIF(Data!B:B, A334, Data!H:H)
/ (COUNTIF(Data!B:B, A334)
)),"")</f>
        <v/>
      </c>
      <c r="D334" s="45" t="str">
        <f>IFERROR((SUMIF(Data!B:B, A334, Data!G:G)
/ (COUNTIF(Data!B:B, A334)
)),"")</f>
        <v/>
      </c>
      <c r="E334" s="45"/>
      <c r="F334" s="45" t="str">
        <f>IFERROR((SUMIF(Data!B:B, A334, Data!J:J)
/ (COUNTIF(Data!B:B, A334)
)),"")</f>
        <v/>
      </c>
      <c r="G334" s="56" t="str">
        <f>IF(A334="","",IFERROR((((((SUMIF(Data!B:B, A334, Data!H:H)+(SUMIF(Data!B:B, A334,Data!G:G)))/(SUMIF(Data!B:B, A334, Data!J:J)))))),0))</f>
        <v/>
      </c>
      <c r="H334" s="45"/>
      <c r="I334" s="45"/>
      <c r="J334" s="45"/>
      <c r="K334" s="45"/>
      <c r="L334" s="45" t="str">
        <f>IFERROR((SUMIF(Data!B:B, A334, Data!L:L)
/ (COUNTIF(Data!B:B, A334)
)),"")</f>
        <v/>
      </c>
      <c r="M334" s="45" t="str">
        <f>IFERROR((SUMIF(Data!B:B, A334, Data!K:K)
/ (COUNTIF(Data!B:B, A334)
)),"")</f>
        <v/>
      </c>
      <c r="N334" s="56"/>
      <c r="O334" s="56" t="str">
        <f>IF(A334="","",IFERROR((((((SUMIF(Data!B:B, A334, Data!H:H)+(SUMIF(Data!B:B, A334,Data!G:G)+(SUMIF(Data!B:B, A334,Data!L:L)+(SUMIF(Data!B:B, A334,Data!K:K)))))/(SUMIF(Data!B:B, A334, Data!M:M)+(SUMIF(Data!B:B, A334, Data!H:H)+(SUMIF(Data!B:B, A334,Data!G:G)+(SUMIF(Data!B:B, A334,Data!K:K)+(SUMIF(Data!B:B, A334,Data!L:L)))))))))),0))</f>
        <v/>
      </c>
      <c r="P334" s="57" t="str">
        <f>IFERROR(__xludf.DUMMYFUNCTION("IFERROR(((COUNTIF(FILTER(Data!N:N,Data!B:B=A334),""TRAVERSE"")*15)+(COUNTIF(FILTER(Data!N:N,Data!B:B=A334),""HIGH"")*10)+(COUNTIF(FILTER(Data!N:N,Data!B:B=A334),""MIDDLE"")*6)+(COUNTIF(FILTER(Data!N:N,Data!B:B=A334),""LOW"")*4)) / (COUNTIF(Data!B:B, A334)"&amp;"),"""")"),"")</f>
        <v/>
      </c>
      <c r="Q334" s="58"/>
      <c r="R334" s="36" t="str">
        <f t="shared" si="37"/>
        <v/>
      </c>
      <c r="S334" s="58" t="str">
        <f>IFERROR(__xludf.DUMMYFUNCTION("IFERROR((((COUNTIF(FILTER(Data!N:N,Data!B:B=A334),""TRAVERSE""))+(COUNTIF(FILTER(Data!N:N,Data!B:B=A334),""HIGH""))+(COUNTIF(FILTER(Data!N:N,Data!B:B=A334),""MIDDLE""))+(COUNTIF(FILTER(Data!N:N,Data!B:B=A334),""LOW"")))) / (((COUNTIF(Data!B:B, A334)))-(CO"&amp;"UNTIF(FILTER(Data!N:N,Data!B:B=A334),""NONE""))),IF(ISBLANK(A334),"""",0))"),"")</f>
        <v/>
      </c>
      <c r="T334" s="56" t="str">
        <f>IFERROR(__xludf.DUMMYFUNCTION("IFERROR((COUNTIF(FILTER(Data!N:N, Data!B:B=A334),""LOW"")) / (COUNTIF(Data!B:B, A334)),"""")"),"")</f>
        <v/>
      </c>
      <c r="U334" s="59" t="str">
        <f>IFERROR(__xludf.DUMMYFUNCTION("IFERROR((COUNTIF(FILTER(Data!N:N, Data!B:B=A334),""MIDDLE"")) / (COUNTIF(Data!B:B, A334)),"""")"),"")</f>
        <v/>
      </c>
      <c r="V334" s="59" t="str">
        <f>IFERROR(__xludf.DUMMYFUNCTION("IFERROR((COUNTIF(FILTER(Data!N:N, Data!B:B=A334),""HIGH"")) / (COUNTIF(Data!B:B, A334)),"""")"),"")</f>
        <v/>
      </c>
      <c r="W334" s="59" t="str">
        <f>IFERROR(__xludf.DUMMYFUNCTION("IFERROR((COUNTIF(FILTER(Data!N:N, Data!B:B=A334),""TRAVERSE"")) / (COUNTIF(Data!B:B, A334)),"""")"),"")</f>
        <v/>
      </c>
      <c r="X334" s="59"/>
      <c r="Y334" s="45" t="str">
        <f t="shared" si="7"/>
        <v/>
      </c>
      <c r="Z334" s="45" t="str">
        <f t="shared" si="8"/>
        <v/>
      </c>
      <c r="AA334" s="16" t="str">
        <f t="shared" si="9"/>
        <v/>
      </c>
      <c r="AB334" s="16"/>
      <c r="AC334" s="16" t="str">
        <f>IFERROR(__xludf.DUMMYFUNCTION("IF(AA334="""","""",MAX(Filter((Data!G:G+Data!K:K),Data!B:B=A334)))"),"")</f>
        <v/>
      </c>
      <c r="AD334" s="16"/>
      <c r="AE334" s="16" t="str">
        <f t="shared" si="12"/>
        <v/>
      </c>
      <c r="AF334" s="16" t="str">
        <f t="shared" si="13"/>
        <v/>
      </c>
      <c r="AG334" s="44"/>
      <c r="AH334" s="44"/>
      <c r="AI334" s="44" t="str">
        <f>IFERROR(__xludf.DUMMYFUNCTION("TEXTJOIN("", "",TRUE, FILTER(Data!P:P, Data!B:B=A334))"),"")</f>
        <v/>
      </c>
      <c r="AM334" s="61"/>
      <c r="BC334" s="50"/>
    </row>
    <row r="335">
      <c r="A335" s="54"/>
      <c r="B335" s="55" t="str">
        <f>IFERROR(__xludf.DUMMYFUNCTION("IFERROR(ROUND(
(COUNTIF(FILTER(Data!O:O, Data!B:B=A335), ""Win"")
+ COUNTIF(FILTER(Data!O:O, Data!B:B=A335), {""Tie"",""Results""}))
/ (COUNTIF(Data!B:B, A335)),
1),"""")"),"")</f>
        <v/>
      </c>
      <c r="C335" s="45" t="str">
        <f>IFERROR((SUMIF(Data!B:B, A335, Data!H:H)
/ (COUNTIF(Data!B:B, A335)
)),"")</f>
        <v/>
      </c>
      <c r="D335" s="45" t="str">
        <f>IFERROR((SUMIF(Data!B:B, A335, Data!G:G)
/ (COUNTIF(Data!B:B, A335)
)),"")</f>
        <v/>
      </c>
      <c r="E335" s="45"/>
      <c r="F335" s="45" t="str">
        <f>IFERROR((SUMIF(Data!B:B, A335, Data!J:J)
/ (COUNTIF(Data!B:B, A335)
)),"")</f>
        <v/>
      </c>
      <c r="G335" s="56" t="str">
        <f>IF(A335="","",IFERROR((((((SUMIF(Data!B:B, A335, Data!H:H)+(SUMIF(Data!B:B, A335,Data!G:G)))/(SUMIF(Data!B:B, A335, Data!J:J)))))),0))</f>
        <v/>
      </c>
      <c r="H335" s="45"/>
      <c r="I335" s="45"/>
      <c r="J335" s="45"/>
      <c r="K335" s="45"/>
      <c r="L335" s="45" t="str">
        <f>IFERROR((SUMIF(Data!B:B, A335, Data!L:L)
/ (COUNTIF(Data!B:B, A335)
)),"")</f>
        <v/>
      </c>
      <c r="M335" s="45" t="str">
        <f>IFERROR((SUMIF(Data!B:B, A335, Data!K:K)
/ (COUNTIF(Data!B:B, A335)
)),"")</f>
        <v/>
      </c>
      <c r="N335" s="56"/>
      <c r="O335" s="56" t="str">
        <f>IF(A335="","",IFERROR((((((SUMIF(Data!B:B, A335, Data!H:H)+(SUMIF(Data!B:B, A335,Data!G:G)+(SUMIF(Data!B:B, A335,Data!L:L)+(SUMIF(Data!B:B, A335,Data!K:K)))))/(SUMIF(Data!B:B, A335, Data!M:M)+(SUMIF(Data!B:B, A335, Data!H:H)+(SUMIF(Data!B:B, A335,Data!G:G)+(SUMIF(Data!B:B, A335,Data!K:K)+(SUMIF(Data!B:B, A335,Data!L:L)))))))))),0))</f>
        <v/>
      </c>
      <c r="P335" s="57" t="str">
        <f>IFERROR(__xludf.DUMMYFUNCTION("IFERROR(((COUNTIF(FILTER(Data!N:N,Data!B:B=A335),""TRAVERSE"")*15)+(COUNTIF(FILTER(Data!N:N,Data!B:B=A335),""HIGH"")*10)+(COUNTIF(FILTER(Data!N:N,Data!B:B=A335),""MIDDLE"")*6)+(COUNTIF(FILTER(Data!N:N,Data!B:B=A335),""LOW"")*4)) / (COUNTIF(Data!B:B, A335)"&amp;"),"""")"),"")</f>
        <v/>
      </c>
      <c r="Q335" s="58"/>
      <c r="R335" s="36" t="str">
        <f t="shared" si="37"/>
        <v/>
      </c>
      <c r="S335" s="58" t="str">
        <f>IFERROR(__xludf.DUMMYFUNCTION("IFERROR((((COUNTIF(FILTER(Data!N:N,Data!B:B=A335),""TRAVERSE""))+(COUNTIF(FILTER(Data!N:N,Data!B:B=A335),""HIGH""))+(COUNTIF(FILTER(Data!N:N,Data!B:B=A335),""MIDDLE""))+(COUNTIF(FILTER(Data!N:N,Data!B:B=A335),""LOW"")))) / (((COUNTIF(Data!B:B, A335)))-(CO"&amp;"UNTIF(FILTER(Data!N:N,Data!B:B=A335),""NONE""))),IF(ISBLANK(A335),"""",0))"),"")</f>
        <v/>
      </c>
      <c r="T335" s="56" t="str">
        <f>IFERROR(__xludf.DUMMYFUNCTION("IFERROR((COUNTIF(FILTER(Data!N:N, Data!B:B=A335),""LOW"")) / (COUNTIF(Data!B:B, A335)),"""")"),"")</f>
        <v/>
      </c>
      <c r="U335" s="59" t="str">
        <f>IFERROR(__xludf.DUMMYFUNCTION("IFERROR((COUNTIF(FILTER(Data!N:N, Data!B:B=A335),""MIDDLE"")) / (COUNTIF(Data!B:B, A335)),"""")"),"")</f>
        <v/>
      </c>
      <c r="V335" s="59" t="str">
        <f>IFERROR(__xludf.DUMMYFUNCTION("IFERROR((COUNTIF(FILTER(Data!N:N, Data!B:B=A335),""HIGH"")) / (COUNTIF(Data!B:B, A335)),"""")"),"")</f>
        <v/>
      </c>
      <c r="W335" s="59" t="str">
        <f>IFERROR(__xludf.DUMMYFUNCTION("IFERROR((COUNTIF(FILTER(Data!N:N, Data!B:B=A335),""TRAVERSE"")) / (COUNTIF(Data!B:B, A335)),"""")"),"")</f>
        <v/>
      </c>
      <c r="X335" s="59"/>
      <c r="Y335" s="45" t="str">
        <f t="shared" si="7"/>
        <v/>
      </c>
      <c r="Z335" s="45" t="str">
        <f t="shared" si="8"/>
        <v/>
      </c>
      <c r="AA335" s="16" t="str">
        <f t="shared" si="9"/>
        <v/>
      </c>
      <c r="AB335" s="16"/>
      <c r="AC335" s="16" t="str">
        <f>IFERROR(__xludf.DUMMYFUNCTION("IF(AA335="""","""",MAX(Filter((Data!G:G+Data!K:K),Data!B:B=A335)))"),"")</f>
        <v/>
      </c>
      <c r="AD335" s="16"/>
      <c r="AE335" s="16" t="str">
        <f t="shared" si="12"/>
        <v/>
      </c>
      <c r="AF335" s="16" t="str">
        <f t="shared" si="13"/>
        <v/>
      </c>
      <c r="AG335" s="44"/>
      <c r="AH335" s="44"/>
      <c r="AI335" s="44" t="str">
        <f>IFERROR(__xludf.DUMMYFUNCTION("TEXTJOIN("", "",TRUE, FILTER(Data!P:P, Data!B:B=A335))"),"")</f>
        <v/>
      </c>
      <c r="AM335" s="61"/>
      <c r="BC335" s="50"/>
    </row>
    <row r="336">
      <c r="A336" s="54"/>
      <c r="B336" s="55" t="str">
        <f>IFERROR(__xludf.DUMMYFUNCTION("IFERROR(ROUND(
(COUNTIF(FILTER(Data!O:O, Data!B:B=A336), ""Win"")
+ COUNTIF(FILTER(Data!O:O, Data!B:B=A336), {""Tie"",""Results""}))
/ (COUNTIF(Data!B:B, A336)),
1),"""")"),"")</f>
        <v/>
      </c>
      <c r="C336" s="45" t="str">
        <f>IFERROR((SUMIF(Data!B:B, A336, Data!H:H)
/ (COUNTIF(Data!B:B, A336)
)),"")</f>
        <v/>
      </c>
      <c r="D336" s="45" t="str">
        <f>IFERROR((SUMIF(Data!B:B, A336, Data!G:G)
/ (COUNTIF(Data!B:B, A336)
)),"")</f>
        <v/>
      </c>
      <c r="E336" s="45"/>
      <c r="F336" s="45" t="str">
        <f>IFERROR((SUMIF(Data!B:B, A336, Data!J:J)
/ (COUNTIF(Data!B:B, A336)
)),"")</f>
        <v/>
      </c>
      <c r="G336" s="56" t="str">
        <f>IF(A336="","",IFERROR((((((SUMIF(Data!B:B, A336, Data!H:H)+(SUMIF(Data!B:B, A336,Data!G:G)))/(SUMIF(Data!B:B, A336, Data!J:J)))))),0))</f>
        <v/>
      </c>
      <c r="H336" s="45"/>
      <c r="I336" s="45"/>
      <c r="J336" s="45"/>
      <c r="K336" s="45"/>
      <c r="L336" s="45" t="str">
        <f>IFERROR((SUMIF(Data!B:B, A336, Data!L:L)
/ (COUNTIF(Data!B:B, A336)
)),"")</f>
        <v/>
      </c>
      <c r="M336" s="45" t="str">
        <f>IFERROR((SUMIF(Data!B:B, A336, Data!K:K)
/ (COUNTIF(Data!B:B, A336)
)),"")</f>
        <v/>
      </c>
      <c r="N336" s="56"/>
      <c r="O336" s="56" t="str">
        <f>IF(A336="","",IFERROR((((((SUMIF(Data!B:B, A336, Data!H:H)+(SUMIF(Data!B:B, A336,Data!G:G)+(SUMIF(Data!B:B, A336,Data!L:L)+(SUMIF(Data!B:B, A336,Data!K:K)))))/(SUMIF(Data!B:B, A336, Data!M:M)+(SUMIF(Data!B:B, A336, Data!H:H)+(SUMIF(Data!B:B, A336,Data!G:G)+(SUMIF(Data!B:B, A336,Data!K:K)+(SUMIF(Data!B:B, A336,Data!L:L)))))))))),0))</f>
        <v/>
      </c>
      <c r="P336" s="57" t="str">
        <f>IFERROR(__xludf.DUMMYFUNCTION("IFERROR(((COUNTIF(FILTER(Data!N:N,Data!B:B=A336),""TRAVERSE"")*15)+(COUNTIF(FILTER(Data!N:N,Data!B:B=A336),""HIGH"")*10)+(COUNTIF(FILTER(Data!N:N,Data!B:B=A336),""MIDDLE"")*6)+(COUNTIF(FILTER(Data!N:N,Data!B:B=A336),""LOW"")*4)) / (COUNTIF(Data!B:B, A336)"&amp;"),"""")"),"")</f>
        <v/>
      </c>
      <c r="Q336" s="58"/>
      <c r="R336" s="36" t="str">
        <f t="shared" si="37"/>
        <v/>
      </c>
      <c r="S336" s="58" t="str">
        <f>IFERROR(__xludf.DUMMYFUNCTION("IFERROR((((COUNTIF(FILTER(Data!N:N,Data!B:B=A336),""TRAVERSE""))+(COUNTIF(FILTER(Data!N:N,Data!B:B=A336),""HIGH""))+(COUNTIF(FILTER(Data!N:N,Data!B:B=A336),""MIDDLE""))+(COUNTIF(FILTER(Data!N:N,Data!B:B=A336),""LOW"")))) / (((COUNTIF(Data!B:B, A336)))-(CO"&amp;"UNTIF(FILTER(Data!N:N,Data!B:B=A336),""NONE""))),IF(ISBLANK(A336),"""",0))"),"")</f>
        <v/>
      </c>
      <c r="T336" s="56" t="str">
        <f>IFERROR(__xludf.DUMMYFUNCTION("IFERROR((COUNTIF(FILTER(Data!N:N, Data!B:B=A336),""LOW"")) / (COUNTIF(Data!B:B, A336)),"""")"),"")</f>
        <v/>
      </c>
      <c r="U336" s="59" t="str">
        <f>IFERROR(__xludf.DUMMYFUNCTION("IFERROR((COUNTIF(FILTER(Data!N:N, Data!B:B=A336),""MIDDLE"")) / (COUNTIF(Data!B:B, A336)),"""")"),"")</f>
        <v/>
      </c>
      <c r="V336" s="59" t="str">
        <f>IFERROR(__xludf.DUMMYFUNCTION("IFERROR((COUNTIF(FILTER(Data!N:N, Data!B:B=A336),""HIGH"")) / (COUNTIF(Data!B:B, A336)),"""")"),"")</f>
        <v/>
      </c>
      <c r="W336" s="59" t="str">
        <f>IFERROR(__xludf.DUMMYFUNCTION("IFERROR((COUNTIF(FILTER(Data!N:N, Data!B:B=A336),""TRAVERSE"")) / (COUNTIF(Data!B:B, A336)),"""")"),"")</f>
        <v/>
      </c>
      <c r="X336" s="59"/>
      <c r="Y336" s="45" t="str">
        <f t="shared" si="7"/>
        <v/>
      </c>
      <c r="Z336" s="45" t="str">
        <f t="shared" si="8"/>
        <v/>
      </c>
      <c r="AA336" s="16" t="str">
        <f t="shared" si="9"/>
        <v/>
      </c>
      <c r="AB336" s="16"/>
      <c r="AC336" s="16"/>
      <c r="AD336" s="16"/>
      <c r="AE336" s="16" t="str">
        <f t="shared" si="12"/>
        <v/>
      </c>
      <c r="AF336" s="16" t="str">
        <f t="shared" si="13"/>
        <v/>
      </c>
      <c r="AG336" s="44"/>
      <c r="AH336" s="44"/>
      <c r="AI336" s="44" t="str">
        <f>IFERROR(__xludf.DUMMYFUNCTION("TEXTJOIN("", "",TRUE, FILTER(Data!P:P, Data!B:B=A336))"),"")</f>
        <v/>
      </c>
      <c r="AM336" s="61"/>
      <c r="BC336" s="50"/>
    </row>
    <row r="337">
      <c r="A337" s="54"/>
      <c r="B337" s="55" t="str">
        <f>IFERROR(__xludf.DUMMYFUNCTION("IFERROR(ROUND(
(COUNTIF(FILTER(Data!O:O, Data!B:B=A337), ""Win"")
+ COUNTIF(FILTER(Data!O:O, Data!B:B=A337), {""Tie"",""Results""}))
/ (COUNTIF(Data!B:B, A337)),
1),"""")"),"")</f>
        <v/>
      </c>
      <c r="C337" s="45" t="str">
        <f>IFERROR((SUMIF(Data!B:B, A337, Data!H:H)
/ (COUNTIF(Data!B:B, A337)
)),"")</f>
        <v/>
      </c>
      <c r="D337" s="45" t="str">
        <f>IFERROR((SUMIF(Data!B:B, A337, Data!G:G)
/ (COUNTIF(Data!B:B, A337)
)),"")</f>
        <v/>
      </c>
      <c r="E337" s="45"/>
      <c r="F337" s="45" t="str">
        <f>IFERROR((SUMIF(Data!B:B, A337, Data!J:J)
/ (COUNTIF(Data!B:B, A337)
)),"")</f>
        <v/>
      </c>
      <c r="G337" s="56" t="str">
        <f>IF(A337="","",IFERROR((((((SUMIF(Data!B:B, A337, Data!H:H)+(SUMIF(Data!B:B, A337,Data!G:G)))/(SUMIF(Data!B:B, A337, Data!J:J)))))),0))</f>
        <v/>
      </c>
      <c r="H337" s="45"/>
      <c r="I337" s="45"/>
      <c r="J337" s="45"/>
      <c r="K337" s="45"/>
      <c r="L337" s="45" t="str">
        <f>IFERROR((SUMIF(Data!B:B, A337, Data!L:L)
/ (COUNTIF(Data!B:B, A337)
)),"")</f>
        <v/>
      </c>
      <c r="M337" s="45" t="str">
        <f>IFERROR((SUMIF(Data!B:B, A337, Data!K:K)
/ (COUNTIF(Data!B:B, A337)
)),"")</f>
        <v/>
      </c>
      <c r="N337" s="56"/>
      <c r="O337" s="56" t="str">
        <f>IF(A337="","",IFERROR((((((SUMIF(Data!B:B, A337, Data!H:H)+(SUMIF(Data!B:B, A337,Data!G:G)+(SUMIF(Data!B:B, A337,Data!L:L)+(SUMIF(Data!B:B, A337,Data!K:K)))))/(SUMIF(Data!B:B, A337, Data!M:M)+(SUMIF(Data!B:B, A337, Data!H:H)+(SUMIF(Data!B:B, A337,Data!G:G)+(SUMIF(Data!B:B, A337,Data!K:K)+(SUMIF(Data!B:B, A337,Data!L:L)))))))))),0))</f>
        <v/>
      </c>
      <c r="P337" s="57" t="str">
        <f>IFERROR(__xludf.DUMMYFUNCTION("IFERROR(((COUNTIF(FILTER(Data!N:N,Data!B:B=A337),""TRAVERSE"")*15)+(COUNTIF(FILTER(Data!N:N,Data!B:B=A337),""HIGH"")*10)+(COUNTIF(FILTER(Data!N:N,Data!B:B=A337),""MIDDLE"")*6)+(COUNTIF(FILTER(Data!N:N,Data!B:B=A337),""LOW"")*4)) / (COUNTIF(Data!B:B, A337)"&amp;"),"""")"),"")</f>
        <v/>
      </c>
      <c r="Q337" s="58"/>
      <c r="R337" s="36" t="str">
        <f t="shared" si="37"/>
        <v/>
      </c>
      <c r="S337" s="58" t="str">
        <f>IFERROR(__xludf.DUMMYFUNCTION("IFERROR((((COUNTIF(FILTER(Data!N:N,Data!B:B=A337),""TRAVERSE""))+(COUNTIF(FILTER(Data!N:N,Data!B:B=A337),""HIGH""))+(COUNTIF(FILTER(Data!N:N,Data!B:B=A337),""MIDDLE""))+(COUNTIF(FILTER(Data!N:N,Data!B:B=A337),""LOW"")))) / (((COUNTIF(Data!B:B, A337)))-(CO"&amp;"UNTIF(FILTER(Data!N:N,Data!B:B=A337),""NONE""))),IF(ISBLANK(A337),"""",0))"),"")</f>
        <v/>
      </c>
      <c r="T337" s="56" t="str">
        <f>IFERROR(__xludf.DUMMYFUNCTION("IFERROR((COUNTIF(FILTER(Data!N:N, Data!B:B=A337),""LOW"")) / (COUNTIF(Data!B:B, A337)),"""")"),"")</f>
        <v/>
      </c>
      <c r="U337" s="59" t="str">
        <f>IFERROR(__xludf.DUMMYFUNCTION("IFERROR((COUNTIF(FILTER(Data!N:N, Data!B:B=A337),""MIDDLE"")) / (COUNTIF(Data!B:B, A337)),"""")"),"")</f>
        <v/>
      </c>
      <c r="V337" s="59" t="str">
        <f>IFERROR(__xludf.DUMMYFUNCTION("IFERROR((COUNTIF(FILTER(Data!N:N, Data!B:B=A337),""HIGH"")) / (COUNTIF(Data!B:B, A337)),"""")"),"")</f>
        <v/>
      </c>
      <c r="W337" s="59" t="str">
        <f>IFERROR(__xludf.DUMMYFUNCTION("IFERROR((COUNTIF(FILTER(Data!N:N, Data!B:B=A337),""TRAVERSE"")) / (COUNTIF(Data!B:B, A337)),"""")"),"")</f>
        <v/>
      </c>
      <c r="X337" s="59"/>
      <c r="Y337" s="45" t="str">
        <f t="shared" si="7"/>
        <v/>
      </c>
      <c r="Z337" s="45" t="str">
        <f t="shared" si="8"/>
        <v/>
      </c>
      <c r="AA337" s="16" t="str">
        <f t="shared" si="9"/>
        <v/>
      </c>
      <c r="AB337" s="16"/>
      <c r="AC337" s="16"/>
      <c r="AD337" s="16"/>
      <c r="AE337" s="16" t="str">
        <f t="shared" si="12"/>
        <v/>
      </c>
      <c r="AF337" s="16" t="str">
        <f t="shared" si="13"/>
        <v/>
      </c>
      <c r="AG337" s="44"/>
      <c r="AH337" s="44"/>
      <c r="AI337" s="44" t="str">
        <f>IFERROR(__xludf.DUMMYFUNCTION("TEXTJOIN("", "",TRUE, FILTER(Data!P:P, Data!B:B=A337))"),"")</f>
        <v/>
      </c>
      <c r="AM337" s="61"/>
      <c r="BC337" s="50"/>
    </row>
    <row r="338">
      <c r="A338" s="54"/>
      <c r="B338" s="55" t="str">
        <f>IFERROR(__xludf.DUMMYFUNCTION("IFERROR(ROUND(
(COUNTIF(FILTER(Data!O:O, Data!B:B=A338), ""Win"")
+ COUNTIF(FILTER(Data!O:O, Data!B:B=A338), {""Tie"",""Results""}))
/ (COUNTIF(Data!B:B, A338)),
1),"""")"),"")</f>
        <v/>
      </c>
      <c r="C338" s="45" t="str">
        <f>IFERROR((SUMIF(Data!B:B, A338, Data!H:H)
/ (COUNTIF(Data!B:B, A338)
)),"")</f>
        <v/>
      </c>
      <c r="D338" s="45" t="str">
        <f>IFERROR((SUMIF(Data!B:B, A338, Data!G:G)
/ (COUNTIF(Data!B:B, A338)
)),"")</f>
        <v/>
      </c>
      <c r="E338" s="45"/>
      <c r="F338" s="45" t="str">
        <f>IFERROR((SUMIF(Data!B:B, A338, Data!J:J)
/ (COUNTIF(Data!B:B, A338)
)),"")</f>
        <v/>
      </c>
      <c r="G338" s="56" t="str">
        <f>IF(A338="","",IFERROR((((((SUMIF(Data!B:B, A338, Data!H:H)+(SUMIF(Data!B:B, A338,Data!G:G)))/(SUMIF(Data!B:B, A338, Data!J:J)))))),0))</f>
        <v/>
      </c>
      <c r="H338" s="45"/>
      <c r="I338" s="45"/>
      <c r="J338" s="45"/>
      <c r="K338" s="45"/>
      <c r="L338" s="45" t="str">
        <f>IFERROR((SUMIF(Data!B:B, A338, Data!L:L)
/ (COUNTIF(Data!B:B, A338)
)),"")</f>
        <v/>
      </c>
      <c r="M338" s="45" t="str">
        <f>IFERROR((SUMIF(Data!B:B, A338, Data!K:K)
/ (COUNTIF(Data!B:B, A338)
)),"")</f>
        <v/>
      </c>
      <c r="N338" s="56"/>
      <c r="O338" s="56" t="str">
        <f>IF(A338="","",IFERROR((((((SUMIF(Data!B:B, A338, Data!H:H)+(SUMIF(Data!B:B, A338,Data!G:G)+(SUMIF(Data!B:B, A338,Data!L:L)+(SUMIF(Data!B:B, A338,Data!K:K)))))/(SUMIF(Data!B:B, A338, Data!M:M)+(SUMIF(Data!B:B, A338, Data!H:H)+(SUMIF(Data!B:B, A338,Data!G:G)+(SUMIF(Data!B:B, A338,Data!K:K)+(SUMIF(Data!B:B, A338,Data!L:L)))))))))),0))</f>
        <v/>
      </c>
      <c r="P338" s="57" t="str">
        <f>IFERROR(__xludf.DUMMYFUNCTION("IFERROR(((COUNTIF(FILTER(Data!N:N,Data!B:B=A338),""TRAVERSE"")*15)+(COUNTIF(FILTER(Data!N:N,Data!B:B=A338),""HIGH"")*10)+(COUNTIF(FILTER(Data!N:N,Data!B:B=A338),""MIDDLE"")*6)+(COUNTIF(FILTER(Data!N:N,Data!B:B=A338),""LOW"")*4)) / (COUNTIF(Data!B:B, A338)"&amp;"),"""")"),"")</f>
        <v/>
      </c>
      <c r="Q338" s="58"/>
      <c r="R338" s="36" t="str">
        <f t="shared" si="37"/>
        <v/>
      </c>
      <c r="S338" s="58" t="str">
        <f>IFERROR(__xludf.DUMMYFUNCTION("IFERROR((((COUNTIF(FILTER(Data!N:N,Data!B:B=A338),""TRAVERSE""))+(COUNTIF(FILTER(Data!N:N,Data!B:B=A338),""HIGH""))+(COUNTIF(FILTER(Data!N:N,Data!B:B=A338),""MIDDLE""))+(COUNTIF(FILTER(Data!N:N,Data!B:B=A338),""LOW"")))) / (((COUNTIF(Data!B:B, A338)))-(CO"&amp;"UNTIF(FILTER(Data!N:N,Data!B:B=A338),""NONE""))),IF(ISBLANK(A338),"""",0))"),"")</f>
        <v/>
      </c>
      <c r="T338" s="56" t="str">
        <f>IFERROR(__xludf.DUMMYFUNCTION("IFERROR((COUNTIF(FILTER(Data!N:N, Data!B:B=A338),""LOW"")) / (COUNTIF(Data!B:B, A338)),"""")"),"")</f>
        <v/>
      </c>
      <c r="U338" s="59" t="str">
        <f>IFERROR(__xludf.DUMMYFUNCTION("IFERROR((COUNTIF(FILTER(Data!N:N, Data!B:B=A338),""MIDDLE"")) / (COUNTIF(Data!B:B, A338)),"""")"),"")</f>
        <v/>
      </c>
      <c r="V338" s="59" t="str">
        <f>IFERROR(__xludf.DUMMYFUNCTION("IFERROR((COUNTIF(FILTER(Data!N:N, Data!B:B=A338),""HIGH"")) / (COUNTIF(Data!B:B, A338)),"""")"),"")</f>
        <v/>
      </c>
      <c r="W338" s="59" t="str">
        <f>IFERROR(__xludf.DUMMYFUNCTION("IFERROR((COUNTIF(FILTER(Data!N:N, Data!B:B=A338),""TRAVERSE"")) / (COUNTIF(Data!B:B, A338)),"""")"),"")</f>
        <v/>
      </c>
      <c r="X338" s="59"/>
      <c r="Y338" s="45" t="str">
        <f t="shared" si="7"/>
        <v/>
      </c>
      <c r="Z338" s="45" t="str">
        <f t="shared" si="8"/>
        <v/>
      </c>
      <c r="AA338" s="16" t="str">
        <f t="shared" si="9"/>
        <v/>
      </c>
      <c r="AB338" s="16"/>
      <c r="AC338" s="16"/>
      <c r="AD338" s="16"/>
      <c r="AE338" s="16" t="str">
        <f t="shared" si="12"/>
        <v/>
      </c>
      <c r="AF338" s="16" t="str">
        <f t="shared" si="13"/>
        <v/>
      </c>
      <c r="AG338" s="44"/>
      <c r="AH338" s="44"/>
      <c r="AI338" s="44" t="str">
        <f>IFERROR(__xludf.DUMMYFUNCTION("TEXTJOIN("", "",TRUE, FILTER(Data!P:P, Data!B:B=A338))"),"")</f>
        <v/>
      </c>
      <c r="AM338" s="61"/>
      <c r="BC338" s="50"/>
    </row>
    <row r="339">
      <c r="A339" s="54"/>
      <c r="B339" s="55" t="str">
        <f>IFERROR(__xludf.DUMMYFUNCTION("IFERROR(ROUND(
(COUNTIF(FILTER(Data!O:O, Data!B:B=A339), ""Win"")
+ COUNTIF(FILTER(Data!O:O, Data!B:B=A339), {""Tie"",""Results""}))
/ (COUNTIF(Data!B:B, A339)),
1),"""")"),"")</f>
        <v/>
      </c>
      <c r="C339" s="45" t="str">
        <f>IFERROR((SUMIF(Data!B:B, A339, Data!H:H)
/ (COUNTIF(Data!B:B, A339)
)),"")</f>
        <v/>
      </c>
      <c r="D339" s="45" t="str">
        <f>IFERROR((SUMIF(Data!B:B, A339, Data!G:G)
/ (COUNTIF(Data!B:B, A339)
)),"")</f>
        <v/>
      </c>
      <c r="E339" s="45"/>
      <c r="F339" s="45" t="str">
        <f>IFERROR((SUMIF(Data!B:B, A339, Data!J:J)
/ (COUNTIF(Data!B:B, A339)
)),"")</f>
        <v/>
      </c>
      <c r="G339" s="56" t="str">
        <f>IF(A339="","",IFERROR((((((SUMIF(Data!B:B, A339, Data!H:H)+(SUMIF(Data!B:B, A339,Data!G:G)))/(SUMIF(Data!B:B, A339, Data!J:J)))))),0))</f>
        <v/>
      </c>
      <c r="H339" s="45"/>
      <c r="I339" s="45"/>
      <c r="J339" s="45"/>
      <c r="K339" s="45"/>
      <c r="L339" s="45" t="str">
        <f>IFERROR((SUMIF(Data!B:B, A339, Data!L:L)
/ (COUNTIF(Data!B:B, A339)
)),"")</f>
        <v/>
      </c>
      <c r="M339" s="45" t="str">
        <f>IFERROR((SUMIF(Data!B:B, A339, Data!K:K)
/ (COUNTIF(Data!B:B, A339)
)),"")</f>
        <v/>
      </c>
      <c r="N339" s="56"/>
      <c r="O339" s="56" t="str">
        <f>IF(A339="","",IFERROR((((((SUMIF(Data!B:B, A339, Data!H:H)+(SUMIF(Data!B:B, A339,Data!G:G)+(SUMIF(Data!B:B, A339,Data!L:L)+(SUMIF(Data!B:B, A339,Data!K:K)))))/(SUMIF(Data!B:B, A339, Data!M:M)+(SUMIF(Data!B:B, A339, Data!H:H)+(SUMIF(Data!B:B, A339,Data!G:G)+(SUMIF(Data!B:B, A339,Data!K:K)+(SUMIF(Data!B:B, A339,Data!L:L)))))))))),0))</f>
        <v/>
      </c>
      <c r="P339" s="57" t="str">
        <f>IFERROR(__xludf.DUMMYFUNCTION("IFERROR(((COUNTIF(FILTER(Data!N:N,Data!B:B=A339),""TRAVERSE"")*15)+(COUNTIF(FILTER(Data!N:N,Data!B:B=A339),""HIGH"")*10)+(COUNTIF(FILTER(Data!N:N,Data!B:B=A339),""MIDDLE"")*6)+(COUNTIF(FILTER(Data!N:N,Data!B:B=A339),""LOW"")*4)) / (COUNTIF(Data!B:B, A339)"&amp;"),"""")"),"")</f>
        <v/>
      </c>
      <c r="Q339" s="58"/>
      <c r="R339" s="36" t="str">
        <f t="shared" si="37"/>
        <v/>
      </c>
      <c r="S339" s="58" t="str">
        <f>IFERROR(__xludf.DUMMYFUNCTION("IFERROR((((COUNTIF(FILTER(Data!N:N,Data!B:B=A339),""TRAVERSE""))+(COUNTIF(FILTER(Data!N:N,Data!B:B=A339),""HIGH""))+(COUNTIF(FILTER(Data!N:N,Data!B:B=A339),""MIDDLE""))+(COUNTIF(FILTER(Data!N:N,Data!B:B=A339),""LOW"")))) / (((COUNTIF(Data!B:B, A339)))-(CO"&amp;"UNTIF(FILTER(Data!N:N,Data!B:B=A339),""NONE""))),IF(ISBLANK(A339),"""",0))"),"")</f>
        <v/>
      </c>
      <c r="T339" s="56" t="str">
        <f>IFERROR(__xludf.DUMMYFUNCTION("IFERROR((COUNTIF(FILTER(Data!N:N, Data!B:B=A339),""LOW"")) / (COUNTIF(Data!B:B, A339)),"""")"),"")</f>
        <v/>
      </c>
      <c r="U339" s="59" t="str">
        <f>IFERROR(__xludf.DUMMYFUNCTION("IFERROR((COUNTIF(FILTER(Data!N:N, Data!B:B=A339),""MIDDLE"")) / (COUNTIF(Data!B:B, A339)),"""")"),"")</f>
        <v/>
      </c>
      <c r="V339" s="59" t="str">
        <f>IFERROR(__xludf.DUMMYFUNCTION("IFERROR((COUNTIF(FILTER(Data!N:N, Data!B:B=A339),""HIGH"")) / (COUNTIF(Data!B:B, A339)),"""")"),"")</f>
        <v/>
      </c>
      <c r="W339" s="59" t="str">
        <f>IFERROR(__xludf.DUMMYFUNCTION("IFERROR((COUNTIF(FILTER(Data!N:N, Data!B:B=A339),""TRAVERSE"")) / (COUNTIF(Data!B:B, A339)),"""")"),"")</f>
        <v/>
      </c>
      <c r="X339" s="59"/>
      <c r="Y339" s="45" t="str">
        <f t="shared" si="7"/>
        <v/>
      </c>
      <c r="Z339" s="45" t="str">
        <f t="shared" si="8"/>
        <v/>
      </c>
      <c r="AA339" s="16" t="str">
        <f t="shared" si="9"/>
        <v/>
      </c>
      <c r="AB339" s="16"/>
      <c r="AC339" s="16"/>
      <c r="AD339" s="16"/>
      <c r="AE339" s="16" t="str">
        <f t="shared" si="12"/>
        <v/>
      </c>
      <c r="AF339" s="16" t="str">
        <f t="shared" si="13"/>
        <v/>
      </c>
      <c r="AG339" s="44"/>
      <c r="AH339" s="44"/>
      <c r="AI339" s="44" t="str">
        <f>IFERROR(__xludf.DUMMYFUNCTION("TEXTJOIN("", "",TRUE, FILTER(Data!P:P, Data!B:B=A339))"),"")</f>
        <v/>
      </c>
      <c r="AM339" s="61"/>
      <c r="BC339" s="50"/>
    </row>
    <row r="340">
      <c r="A340" s="54"/>
      <c r="B340" s="55" t="str">
        <f>IFERROR(__xludf.DUMMYFUNCTION("IFERROR(ROUND(
(COUNTIF(FILTER(Data!O:O, Data!B:B=A340), ""Win"")
+ COUNTIF(FILTER(Data!O:O, Data!B:B=A340), {""Tie"",""Results""}))
/ (COUNTIF(Data!B:B, A340)),
1),"""")"),"")</f>
        <v/>
      </c>
      <c r="C340" s="45" t="str">
        <f>IFERROR((SUMIF(Data!B:B, A340, Data!H:H)
/ (COUNTIF(Data!B:B, A340)
)),"")</f>
        <v/>
      </c>
      <c r="D340" s="45" t="str">
        <f>IFERROR((SUMIF(Data!B:B, A340, Data!G:G)
/ (COUNTIF(Data!B:B, A340)
)),"")</f>
        <v/>
      </c>
      <c r="E340" s="45"/>
      <c r="F340" s="45" t="str">
        <f>IFERROR((SUMIF(Data!B:B, A340, Data!J:J)
/ (COUNTIF(Data!B:B, A340)
)),"")</f>
        <v/>
      </c>
      <c r="G340" s="56" t="str">
        <f>IF(A340="","",IFERROR((((((SUMIF(Data!B:B, A340, Data!H:H)+(SUMIF(Data!B:B, A340,Data!G:G)))/(SUMIF(Data!B:B, A340, Data!J:J)))))),0))</f>
        <v/>
      </c>
      <c r="H340" s="45"/>
      <c r="I340" s="45"/>
      <c r="J340" s="45"/>
      <c r="K340" s="45"/>
      <c r="L340" s="45" t="str">
        <f>IFERROR((SUMIF(Data!B:B, A340, Data!L:L)
/ (COUNTIF(Data!B:B, A340)
)),"")</f>
        <v/>
      </c>
      <c r="M340" s="45" t="str">
        <f>IFERROR((SUMIF(Data!B:B, A340, Data!K:K)
/ (COUNTIF(Data!B:B, A340)
)),"")</f>
        <v/>
      </c>
      <c r="N340" s="56"/>
      <c r="O340" s="56" t="str">
        <f>IF(A340="","",IFERROR((((((SUMIF(Data!B:B, A340, Data!H:H)+(SUMIF(Data!B:B, A340,Data!G:G)+(SUMIF(Data!B:B, A340,Data!L:L)+(SUMIF(Data!B:B, A340,Data!K:K)))))/(SUMIF(Data!B:B, A340, Data!M:M)+(SUMIF(Data!B:B, A340, Data!H:H)+(SUMIF(Data!B:B, A340,Data!G:G)+(SUMIF(Data!B:B, A340,Data!K:K)+(SUMIF(Data!B:B, A340,Data!L:L)))))))))),0))</f>
        <v/>
      </c>
      <c r="P340" s="57" t="str">
        <f>IFERROR(__xludf.DUMMYFUNCTION("IFERROR(((COUNTIF(FILTER(Data!N:N,Data!B:B=A340),""TRAVERSE"")*15)+(COUNTIF(FILTER(Data!N:N,Data!B:B=A340),""HIGH"")*10)+(COUNTIF(FILTER(Data!N:N,Data!B:B=A340),""MIDDLE"")*6)+(COUNTIF(FILTER(Data!N:N,Data!B:B=A340),""LOW"")*4)) / (COUNTIF(Data!B:B, A340)"&amp;"),"""")"),"")</f>
        <v/>
      </c>
      <c r="Q340" s="58"/>
      <c r="R340" s="36" t="str">
        <f t="shared" si="37"/>
        <v/>
      </c>
      <c r="S340" s="58" t="str">
        <f>IFERROR(__xludf.DUMMYFUNCTION("IFERROR((((COUNTIF(FILTER(Data!N:N,Data!B:B=A340),""TRAVERSE""))+(COUNTIF(FILTER(Data!N:N,Data!B:B=A340),""HIGH""))+(COUNTIF(FILTER(Data!N:N,Data!B:B=A340),""MIDDLE""))+(COUNTIF(FILTER(Data!N:N,Data!B:B=A340),""LOW"")))) / (((COUNTIF(Data!B:B, A340)))-(CO"&amp;"UNTIF(FILTER(Data!N:N,Data!B:B=A340),""NONE""))),IF(ISBLANK(A340),"""",0))"),"")</f>
        <v/>
      </c>
      <c r="T340" s="56" t="str">
        <f>IFERROR(__xludf.DUMMYFUNCTION("IFERROR((COUNTIF(FILTER(Data!N:N, Data!B:B=A340),""LOW"")) / (COUNTIF(Data!B:B, A340)),"""")"),"")</f>
        <v/>
      </c>
      <c r="U340" s="59" t="str">
        <f>IFERROR(__xludf.DUMMYFUNCTION("IFERROR((COUNTIF(FILTER(Data!N:N, Data!B:B=A340),""MIDDLE"")) / (COUNTIF(Data!B:B, A340)),"""")"),"")</f>
        <v/>
      </c>
      <c r="V340" s="59" t="str">
        <f>IFERROR(__xludf.DUMMYFUNCTION("IFERROR((COUNTIF(FILTER(Data!N:N, Data!B:B=A340),""HIGH"")) / (COUNTIF(Data!B:B, A340)),"""")"),"")</f>
        <v/>
      </c>
      <c r="W340" s="59" t="str">
        <f>IFERROR(__xludf.DUMMYFUNCTION("IFERROR((COUNTIF(FILTER(Data!N:N, Data!B:B=A340),""TRAVERSE"")) / (COUNTIF(Data!B:B, A340)),"""")"),"")</f>
        <v/>
      </c>
      <c r="X340" s="59"/>
      <c r="Y340" s="45" t="str">
        <f t="shared" si="7"/>
        <v/>
      </c>
      <c r="Z340" s="45" t="str">
        <f t="shared" si="8"/>
        <v/>
      </c>
      <c r="AA340" s="16" t="str">
        <f t="shared" si="9"/>
        <v/>
      </c>
      <c r="AB340" s="16"/>
      <c r="AC340" s="16"/>
      <c r="AD340" s="16"/>
      <c r="AE340" s="16" t="str">
        <f t="shared" si="12"/>
        <v/>
      </c>
      <c r="AF340" s="16" t="str">
        <f t="shared" si="13"/>
        <v/>
      </c>
      <c r="AG340" s="44"/>
      <c r="AH340" s="44"/>
      <c r="AI340" s="44" t="str">
        <f>IFERROR(__xludf.DUMMYFUNCTION("TEXTJOIN("", "",TRUE, FILTER(Data!P:P, Data!B:B=A340))"),"")</f>
        <v/>
      </c>
      <c r="AM340" s="61"/>
      <c r="BC340" s="50"/>
    </row>
    <row r="341">
      <c r="A341" s="54"/>
      <c r="B341" s="55" t="str">
        <f>IFERROR(__xludf.DUMMYFUNCTION("IFERROR(ROUND(
(COUNTIF(FILTER(Data!O:O, Data!B:B=A341), ""Win"")
+ COUNTIF(FILTER(Data!O:O, Data!B:B=A341), {""Tie"",""Results""}))
/ (COUNTIF(Data!B:B, A341)),
1),"""")"),"")</f>
        <v/>
      </c>
      <c r="C341" s="45" t="str">
        <f>IFERROR((SUMIF(Data!B:B, A341, Data!H:H)
/ (COUNTIF(Data!B:B, A341)
)),"")</f>
        <v/>
      </c>
      <c r="D341" s="45" t="str">
        <f>IFERROR((SUMIF(Data!B:B, A341, Data!G:G)
/ (COUNTIF(Data!B:B, A341)
)),"")</f>
        <v/>
      </c>
      <c r="E341" s="45"/>
      <c r="F341" s="45" t="str">
        <f>IFERROR((SUMIF(Data!B:B, A341, Data!J:J)
/ (COUNTIF(Data!B:B, A341)
)),"")</f>
        <v/>
      </c>
      <c r="G341" s="56" t="str">
        <f>IF(A341="","",IFERROR((((((SUMIF(Data!B:B, A341, Data!H:H)+(SUMIF(Data!B:B, A341,Data!G:G)))/(SUMIF(Data!B:B, A341, Data!J:J)))))),0))</f>
        <v/>
      </c>
      <c r="H341" s="45"/>
      <c r="I341" s="45"/>
      <c r="J341" s="45"/>
      <c r="K341" s="45"/>
      <c r="L341" s="45" t="str">
        <f>IFERROR((SUMIF(Data!B:B, A341, Data!L:L)
/ (COUNTIF(Data!B:B, A341)
)),"")</f>
        <v/>
      </c>
      <c r="M341" s="45" t="str">
        <f>IFERROR((SUMIF(Data!B:B, A341, Data!K:K)
/ (COUNTIF(Data!B:B, A341)
)),"")</f>
        <v/>
      </c>
      <c r="N341" s="56"/>
      <c r="O341" s="56" t="str">
        <f>IF(A341="","",IFERROR((((((SUMIF(Data!B:B, A341, Data!H:H)+(SUMIF(Data!B:B, A341,Data!G:G)+(SUMIF(Data!B:B, A341,Data!L:L)+(SUMIF(Data!B:B, A341,Data!K:K)))))/(SUMIF(Data!B:B, A341, Data!M:M)+(SUMIF(Data!B:B, A341, Data!H:H)+(SUMIF(Data!B:B, A341,Data!G:G)+(SUMIF(Data!B:B, A341,Data!K:K)+(SUMIF(Data!B:B, A341,Data!L:L)))))))))),0))</f>
        <v/>
      </c>
      <c r="P341" s="57" t="str">
        <f>IFERROR(__xludf.DUMMYFUNCTION("IFERROR(((COUNTIF(FILTER(Data!N:N,Data!B:B=A341),""TRAVERSE"")*15)+(COUNTIF(FILTER(Data!N:N,Data!B:B=A341),""HIGH"")*10)+(COUNTIF(FILTER(Data!N:N,Data!B:B=A341),""MIDDLE"")*6)+(COUNTIF(FILTER(Data!N:N,Data!B:B=A341),""LOW"")*4)) / (COUNTIF(Data!B:B, A341)"&amp;"),"""")"),"")</f>
        <v/>
      </c>
      <c r="Q341" s="58"/>
      <c r="R341" s="36" t="str">
        <f t="shared" si="37"/>
        <v/>
      </c>
      <c r="S341" s="58" t="str">
        <f>IFERROR(__xludf.DUMMYFUNCTION("IFERROR((((COUNTIF(FILTER(Data!N:N,Data!B:B=A341),""TRAVERSE""))+(COUNTIF(FILTER(Data!N:N,Data!B:B=A341),""HIGH""))+(COUNTIF(FILTER(Data!N:N,Data!B:B=A341),""MIDDLE""))+(COUNTIF(FILTER(Data!N:N,Data!B:B=A341),""LOW"")))) / (((COUNTIF(Data!B:B, A341)))-(CO"&amp;"UNTIF(FILTER(Data!N:N,Data!B:B=A341),""NONE""))),IF(ISBLANK(A341),"""",0))"),"")</f>
        <v/>
      </c>
      <c r="T341" s="56" t="str">
        <f>IFERROR(__xludf.DUMMYFUNCTION("IFERROR((COUNTIF(FILTER(Data!N:N, Data!B:B=A341),""LOW"")) / (COUNTIF(Data!B:B, A341)),"""")"),"")</f>
        <v/>
      </c>
      <c r="U341" s="59" t="str">
        <f>IFERROR(__xludf.DUMMYFUNCTION("IFERROR((COUNTIF(FILTER(Data!N:N, Data!B:B=A341),""MIDDLE"")) / (COUNTIF(Data!B:B, A341)),"""")"),"")</f>
        <v/>
      </c>
      <c r="V341" s="59" t="str">
        <f>IFERROR(__xludf.DUMMYFUNCTION("IFERROR((COUNTIF(FILTER(Data!N:N, Data!B:B=A341),""HIGH"")) / (COUNTIF(Data!B:B, A341)),"""")"),"")</f>
        <v/>
      </c>
      <c r="W341" s="59" t="str">
        <f>IFERROR(__xludf.DUMMYFUNCTION("IFERROR((COUNTIF(FILTER(Data!N:N, Data!B:B=A341),""TRAVERSE"")) / (COUNTIF(Data!B:B, A341)),"""")"),"")</f>
        <v/>
      </c>
      <c r="X341" s="59"/>
      <c r="Y341" s="45" t="str">
        <f t="shared" si="7"/>
        <v/>
      </c>
      <c r="Z341" s="45" t="str">
        <f t="shared" si="8"/>
        <v/>
      </c>
      <c r="AA341" s="16" t="str">
        <f t="shared" si="9"/>
        <v/>
      </c>
      <c r="AB341" s="16"/>
      <c r="AC341" s="16"/>
      <c r="AD341" s="16"/>
      <c r="AE341" s="16" t="str">
        <f t="shared" si="12"/>
        <v/>
      </c>
      <c r="AF341" s="16" t="str">
        <f t="shared" si="13"/>
        <v/>
      </c>
      <c r="AG341" s="44"/>
      <c r="AH341" s="44"/>
      <c r="AI341" s="44" t="str">
        <f>IFERROR(__xludf.DUMMYFUNCTION("TEXTJOIN("", "",TRUE, FILTER(Data!P:P, Data!B:B=A341))"),"")</f>
        <v/>
      </c>
      <c r="AM341" s="61"/>
      <c r="BC341" s="50"/>
    </row>
    <row r="342">
      <c r="A342" s="54"/>
      <c r="B342" s="55" t="str">
        <f>IFERROR(__xludf.DUMMYFUNCTION("IFERROR(ROUND(
(COUNTIF(FILTER(Data!O:O, Data!B:B=A342), ""Win"")
+ COUNTIF(FILTER(Data!O:O, Data!B:B=A342), {""Tie"",""Results""}))
/ (COUNTIF(Data!B:B, A342)),
1),"""")"),"")</f>
        <v/>
      </c>
      <c r="C342" s="45" t="str">
        <f>IFERROR((SUMIF(Data!B:B, A342, Data!H:H)
/ (COUNTIF(Data!B:B, A342)
)),"")</f>
        <v/>
      </c>
      <c r="D342" s="45" t="str">
        <f>IFERROR((SUMIF(Data!B:B, A342, Data!G:G)
/ (COUNTIF(Data!B:B, A342)
)),"")</f>
        <v/>
      </c>
      <c r="E342" s="45"/>
      <c r="F342" s="45" t="str">
        <f>IFERROR((SUMIF(Data!B:B, A342, Data!J:J)
/ (COUNTIF(Data!B:B, A342)
)),"")</f>
        <v/>
      </c>
      <c r="G342" s="56" t="str">
        <f>IF(A342="","",IFERROR((((((SUMIF(Data!B:B, A342, Data!H:H)+(SUMIF(Data!B:B, A342,Data!G:G)))/(SUMIF(Data!B:B, A342, Data!J:J)))))),0))</f>
        <v/>
      </c>
      <c r="H342" s="45"/>
      <c r="I342" s="45"/>
      <c r="J342" s="45"/>
      <c r="K342" s="45"/>
      <c r="L342" s="45" t="str">
        <f>IFERROR((SUMIF(Data!B:B, A342, Data!L:L)
/ (COUNTIF(Data!B:B, A342)
)),"")</f>
        <v/>
      </c>
      <c r="M342" s="45" t="str">
        <f>IFERROR((SUMIF(Data!B:B, A342, Data!K:K)
/ (COUNTIF(Data!B:B, A342)
)),"")</f>
        <v/>
      </c>
      <c r="N342" s="56"/>
      <c r="O342" s="56" t="str">
        <f>IF(A342="","",IFERROR((((((SUMIF(Data!B:B, A342, Data!H:H)+(SUMIF(Data!B:B, A342,Data!G:G)+(SUMIF(Data!B:B, A342,Data!L:L)+(SUMIF(Data!B:B, A342,Data!K:K)))))/(SUMIF(Data!B:B, A342, Data!M:M)+(SUMIF(Data!B:B, A342, Data!H:H)+(SUMIF(Data!B:B, A342,Data!G:G)+(SUMIF(Data!B:B, A342,Data!K:K)+(SUMIF(Data!B:B, A342,Data!L:L)))))))))),0))</f>
        <v/>
      </c>
      <c r="P342" s="57" t="str">
        <f>IFERROR(__xludf.DUMMYFUNCTION("IFERROR(((COUNTIF(FILTER(Data!N:N,Data!B:B=A342),""TRAVERSE"")*15)+(COUNTIF(FILTER(Data!N:N,Data!B:B=A342),""HIGH"")*10)+(COUNTIF(FILTER(Data!N:N,Data!B:B=A342),""MIDDLE"")*6)+(COUNTIF(FILTER(Data!N:N,Data!B:B=A342),""LOW"")*4)) / (COUNTIF(Data!B:B, A342)"&amp;"),"""")"),"")</f>
        <v/>
      </c>
      <c r="Q342" s="58"/>
      <c r="R342" s="36" t="str">
        <f t="shared" si="37"/>
        <v/>
      </c>
      <c r="S342" s="58" t="str">
        <f>IFERROR(__xludf.DUMMYFUNCTION("IFERROR((((COUNTIF(FILTER(Data!N:N,Data!B:B=A342),""TRAVERSE""))+(COUNTIF(FILTER(Data!N:N,Data!B:B=A342),""HIGH""))+(COUNTIF(FILTER(Data!N:N,Data!B:B=A342),""MIDDLE""))+(COUNTIF(FILTER(Data!N:N,Data!B:B=A342),""LOW"")))) / (((COUNTIF(Data!B:B, A342)))-(CO"&amp;"UNTIF(FILTER(Data!N:N,Data!B:B=A342),""NONE""))),IF(ISBLANK(A342),"""",0))"),"")</f>
        <v/>
      </c>
      <c r="T342" s="56" t="str">
        <f>IFERROR(__xludf.DUMMYFUNCTION("IFERROR((COUNTIF(FILTER(Data!N:N, Data!B:B=A342),""LOW"")) / (COUNTIF(Data!B:B, A342)),"""")"),"")</f>
        <v/>
      </c>
      <c r="U342" s="59" t="str">
        <f>IFERROR(__xludf.DUMMYFUNCTION("IFERROR((COUNTIF(FILTER(Data!N:N, Data!B:B=A342),""MIDDLE"")) / (COUNTIF(Data!B:B, A342)),"""")"),"")</f>
        <v/>
      </c>
      <c r="V342" s="59" t="str">
        <f>IFERROR(__xludf.DUMMYFUNCTION("IFERROR((COUNTIF(FILTER(Data!N:N, Data!B:B=A342),""HIGH"")) / (COUNTIF(Data!B:B, A342)),"""")"),"")</f>
        <v/>
      </c>
      <c r="W342" s="59" t="str">
        <f>IFERROR(__xludf.DUMMYFUNCTION("IFERROR((COUNTIF(FILTER(Data!N:N, Data!B:B=A342),""TRAVERSE"")) / (COUNTIF(Data!B:B, A342)),"""")"),"")</f>
        <v/>
      </c>
      <c r="X342" s="59"/>
      <c r="Y342" s="45" t="str">
        <f t="shared" si="7"/>
        <v/>
      </c>
      <c r="Z342" s="45" t="str">
        <f t="shared" si="8"/>
        <v/>
      </c>
      <c r="AA342" s="16" t="str">
        <f t="shared" si="9"/>
        <v/>
      </c>
      <c r="AB342" s="16"/>
      <c r="AC342" s="16"/>
      <c r="AD342" s="16"/>
      <c r="AE342" s="16" t="str">
        <f t="shared" si="12"/>
        <v/>
      </c>
      <c r="AF342" s="16" t="str">
        <f t="shared" si="13"/>
        <v/>
      </c>
      <c r="AG342" s="44"/>
      <c r="AH342" s="44"/>
      <c r="AI342" s="44" t="str">
        <f>IFERROR(__xludf.DUMMYFUNCTION("TEXTJOIN("", "",TRUE, FILTER(Data!P:P, Data!B:B=A342))"),"")</f>
        <v/>
      </c>
      <c r="AM342" s="61"/>
      <c r="BC342" s="50"/>
    </row>
    <row r="343">
      <c r="A343" s="54"/>
      <c r="B343" s="55" t="str">
        <f>IFERROR(__xludf.DUMMYFUNCTION("IFERROR(ROUND(
(COUNTIF(FILTER(Data!O:O, Data!B:B=A343), ""Win"")
+ COUNTIF(FILTER(Data!O:O, Data!B:B=A343), {""Tie"",""Results""}))
/ (COUNTIF(Data!B:B, A343)),
1),"""")"),"")</f>
        <v/>
      </c>
      <c r="C343" s="45" t="str">
        <f>IFERROR((SUMIF(Data!B:B, A343, Data!H:H)
/ (COUNTIF(Data!B:B, A343)
)),"")</f>
        <v/>
      </c>
      <c r="D343" s="45" t="str">
        <f>IFERROR((SUMIF(Data!B:B, A343, Data!G:G)
/ (COUNTIF(Data!B:B, A343)
)),"")</f>
        <v/>
      </c>
      <c r="E343" s="45"/>
      <c r="F343" s="45" t="str">
        <f>IFERROR((SUMIF(Data!B:B, A343, Data!J:J)
/ (COUNTIF(Data!B:B, A343)
)),"")</f>
        <v/>
      </c>
      <c r="G343" s="56" t="str">
        <f>IF(A343="","",IFERROR((((((SUMIF(Data!B:B, A343, Data!H:H)+(SUMIF(Data!B:B, A343,Data!G:G)))/(SUMIF(Data!B:B, A343, Data!J:J)))))),0))</f>
        <v/>
      </c>
      <c r="H343" s="45"/>
      <c r="I343" s="45"/>
      <c r="J343" s="45"/>
      <c r="K343" s="45"/>
      <c r="L343" s="45" t="str">
        <f>IFERROR((SUMIF(Data!B:B, A343, Data!L:L)
/ (COUNTIF(Data!B:B, A343)
)),"")</f>
        <v/>
      </c>
      <c r="M343" s="45" t="str">
        <f>IFERROR((SUMIF(Data!B:B, A343, Data!K:K)
/ (COUNTIF(Data!B:B, A343)
)),"")</f>
        <v/>
      </c>
      <c r="N343" s="56"/>
      <c r="O343" s="56" t="str">
        <f>IF(A343="","",IFERROR((((((SUMIF(Data!B:B, A343, Data!H:H)+(SUMIF(Data!B:B, A343,Data!G:G)+(SUMIF(Data!B:B, A343,Data!L:L)+(SUMIF(Data!B:B, A343,Data!K:K)))))/(SUMIF(Data!B:B, A343, Data!M:M)+(SUMIF(Data!B:B, A343, Data!H:H)+(SUMIF(Data!B:B, A343,Data!G:G)+(SUMIF(Data!B:B, A343,Data!K:K)+(SUMIF(Data!B:B, A343,Data!L:L)))))))))),0))</f>
        <v/>
      </c>
      <c r="P343" s="57" t="str">
        <f>IFERROR(__xludf.DUMMYFUNCTION("IFERROR(((COUNTIF(FILTER(Data!N:N,Data!B:B=A343),""TRAVERSE"")*15)+(COUNTIF(FILTER(Data!N:N,Data!B:B=A343),""HIGH"")*10)+(COUNTIF(FILTER(Data!N:N,Data!B:B=A343),""MIDDLE"")*6)+(COUNTIF(FILTER(Data!N:N,Data!B:B=A343),""LOW"")*4)) / (COUNTIF(Data!B:B, A343)"&amp;"),"""")"),"")</f>
        <v/>
      </c>
      <c r="Q343" s="58"/>
      <c r="R343" s="36" t="str">
        <f t="shared" si="37"/>
        <v/>
      </c>
      <c r="S343" s="58" t="str">
        <f>IFERROR(__xludf.DUMMYFUNCTION("IFERROR((((COUNTIF(FILTER(Data!N:N,Data!B:B=A343),""TRAVERSE""))+(COUNTIF(FILTER(Data!N:N,Data!B:B=A343),""HIGH""))+(COUNTIF(FILTER(Data!N:N,Data!B:B=A343),""MIDDLE""))+(COUNTIF(FILTER(Data!N:N,Data!B:B=A343),""LOW"")))) / (((COUNTIF(Data!B:B, A343)))-(CO"&amp;"UNTIF(FILTER(Data!N:N,Data!B:B=A343),""NONE""))),IF(ISBLANK(A343),"""",0))"),"")</f>
        <v/>
      </c>
      <c r="T343" s="56" t="str">
        <f>IFERROR(__xludf.DUMMYFUNCTION("IFERROR((COUNTIF(FILTER(Data!N:N, Data!B:B=A343),""LOW"")) / (COUNTIF(Data!B:B, A343)),"""")"),"")</f>
        <v/>
      </c>
      <c r="U343" s="59" t="str">
        <f>IFERROR(__xludf.DUMMYFUNCTION("IFERROR((COUNTIF(FILTER(Data!N:N, Data!B:B=A343),""MIDDLE"")) / (COUNTIF(Data!B:B, A343)),"""")"),"")</f>
        <v/>
      </c>
      <c r="V343" s="59" t="str">
        <f>IFERROR(__xludf.DUMMYFUNCTION("IFERROR((COUNTIF(FILTER(Data!N:N, Data!B:B=A343),""HIGH"")) / (COUNTIF(Data!B:B, A343)),"""")"),"")</f>
        <v/>
      </c>
      <c r="W343" s="59" t="str">
        <f>IFERROR(__xludf.DUMMYFUNCTION("IFERROR((COUNTIF(FILTER(Data!N:N, Data!B:B=A343),""TRAVERSE"")) / (COUNTIF(Data!B:B, A343)),"""")"),"")</f>
        <v/>
      </c>
      <c r="X343" s="59"/>
      <c r="Y343" s="45" t="str">
        <f t="shared" si="7"/>
        <v/>
      </c>
      <c r="Z343" s="45" t="str">
        <f t="shared" si="8"/>
        <v/>
      </c>
      <c r="AA343" s="16" t="str">
        <f t="shared" si="9"/>
        <v/>
      </c>
      <c r="AB343" s="16"/>
      <c r="AC343" s="16"/>
      <c r="AD343" s="16"/>
      <c r="AE343" s="16" t="str">
        <f t="shared" si="12"/>
        <v/>
      </c>
      <c r="AF343" s="16" t="str">
        <f t="shared" si="13"/>
        <v/>
      </c>
      <c r="AG343" s="44"/>
      <c r="AH343" s="44"/>
      <c r="AI343" s="44" t="str">
        <f>IFERROR(__xludf.DUMMYFUNCTION("TEXTJOIN("", "",TRUE, FILTER(Data!P:P, Data!B:B=A343))"),"")</f>
        <v/>
      </c>
      <c r="AM343" s="61"/>
      <c r="BC343" s="50"/>
    </row>
    <row r="344">
      <c r="A344" s="54"/>
      <c r="B344" s="55" t="str">
        <f>IFERROR(__xludf.DUMMYFUNCTION("IFERROR(ROUND(
(COUNTIF(FILTER(Data!O:O, Data!B:B=A344), ""Win"")
+ COUNTIF(FILTER(Data!O:O, Data!B:B=A344), {""Tie"",""Results""}))
/ (COUNTIF(Data!B:B, A344)),
1),"""")"),"")</f>
        <v/>
      </c>
      <c r="C344" s="45" t="str">
        <f>IFERROR((SUMIF(Data!B:B, A344, Data!H:H)
/ (COUNTIF(Data!B:B, A344)
)),"")</f>
        <v/>
      </c>
      <c r="D344" s="45" t="str">
        <f>IFERROR((SUMIF(Data!B:B, A344, Data!G:G)
/ (COUNTIF(Data!B:B, A344)
)),"")</f>
        <v/>
      </c>
      <c r="E344" s="45"/>
      <c r="F344" s="45" t="str">
        <f>IFERROR((SUMIF(Data!B:B, A344, Data!J:J)
/ (COUNTIF(Data!B:B, A344)
)),"")</f>
        <v/>
      </c>
      <c r="G344" s="56" t="str">
        <f>IF(A344="","",IFERROR((((((SUMIF(Data!B:B, A344, Data!H:H)+(SUMIF(Data!B:B, A344,Data!G:G)))/(SUMIF(Data!B:B, A344, Data!J:J)))))),0))</f>
        <v/>
      </c>
      <c r="H344" s="45"/>
      <c r="I344" s="45"/>
      <c r="J344" s="45"/>
      <c r="K344" s="45"/>
      <c r="L344" s="45" t="str">
        <f>IFERROR((SUMIF(Data!B:B, A344, Data!L:L)
/ (COUNTIF(Data!B:B, A344)
)),"")</f>
        <v/>
      </c>
      <c r="M344" s="45" t="str">
        <f>IFERROR((SUMIF(Data!B:B, A344, Data!K:K)
/ (COUNTIF(Data!B:B, A344)
)),"")</f>
        <v/>
      </c>
      <c r="N344" s="56"/>
      <c r="O344" s="56" t="str">
        <f>IF(A344="","",IFERROR((((((SUMIF(Data!B:B, A344, Data!H:H)+(SUMIF(Data!B:B, A344,Data!G:G)+(SUMIF(Data!B:B, A344,Data!L:L)+(SUMIF(Data!B:B, A344,Data!K:K)))))/(SUMIF(Data!B:B, A344, Data!M:M)+(SUMIF(Data!B:B, A344, Data!H:H)+(SUMIF(Data!B:B, A344,Data!G:G)+(SUMIF(Data!B:B, A344,Data!K:K)+(SUMIF(Data!B:B, A344,Data!L:L)))))))))),0))</f>
        <v/>
      </c>
      <c r="P344" s="57" t="str">
        <f>IFERROR(__xludf.DUMMYFUNCTION("IFERROR(((COUNTIF(FILTER(Data!N:N,Data!B:B=A344),""TRAVERSE"")*15)+(COUNTIF(FILTER(Data!N:N,Data!B:B=A344),""HIGH"")*10)+(COUNTIF(FILTER(Data!N:N,Data!B:B=A344),""MIDDLE"")*6)+(COUNTIF(FILTER(Data!N:N,Data!B:B=A344),""LOW"")*4)) / (COUNTIF(Data!B:B, A344)"&amp;"),"""")"),"")</f>
        <v/>
      </c>
      <c r="Q344" s="58"/>
      <c r="R344" s="36" t="str">
        <f t="shared" si="37"/>
        <v/>
      </c>
      <c r="S344" s="58" t="str">
        <f>IFERROR(__xludf.DUMMYFUNCTION("IFERROR((((COUNTIF(FILTER(Data!N:N,Data!B:B=A344),""TRAVERSE""))+(COUNTIF(FILTER(Data!N:N,Data!B:B=A344),""HIGH""))+(COUNTIF(FILTER(Data!N:N,Data!B:B=A344),""MIDDLE""))+(COUNTIF(FILTER(Data!N:N,Data!B:B=A344),""LOW"")))) / (((COUNTIF(Data!B:B, A344)))-(CO"&amp;"UNTIF(FILTER(Data!N:N,Data!B:B=A344),""NONE""))),IF(ISBLANK(A344),"""",0))"),"")</f>
        <v/>
      </c>
      <c r="T344" s="56" t="str">
        <f>IFERROR(__xludf.DUMMYFUNCTION("IFERROR((COUNTIF(FILTER(Data!N:N, Data!B:B=A344),""LOW"")) / (COUNTIF(Data!B:B, A344)),"""")"),"")</f>
        <v/>
      </c>
      <c r="U344" s="59" t="str">
        <f>IFERROR(__xludf.DUMMYFUNCTION("IFERROR((COUNTIF(FILTER(Data!N:N, Data!B:B=A344),""MIDDLE"")) / (COUNTIF(Data!B:B, A344)),"""")"),"")</f>
        <v/>
      </c>
      <c r="V344" s="59" t="str">
        <f>IFERROR(__xludf.DUMMYFUNCTION("IFERROR((COUNTIF(FILTER(Data!N:N, Data!B:B=A344),""HIGH"")) / (COUNTIF(Data!B:B, A344)),"""")"),"")</f>
        <v/>
      </c>
      <c r="W344" s="59" t="str">
        <f>IFERROR(__xludf.DUMMYFUNCTION("IFERROR((COUNTIF(FILTER(Data!N:N, Data!B:B=A344),""TRAVERSE"")) / (COUNTIF(Data!B:B, A344)),"""")"),"")</f>
        <v/>
      </c>
      <c r="X344" s="59"/>
      <c r="Y344" s="45" t="str">
        <f t="shared" si="7"/>
        <v/>
      </c>
      <c r="Z344" s="45" t="str">
        <f t="shared" si="8"/>
        <v/>
      </c>
      <c r="AA344" s="16" t="str">
        <f t="shared" si="9"/>
        <v/>
      </c>
      <c r="AB344" s="16"/>
      <c r="AC344" s="16"/>
      <c r="AD344" s="16"/>
      <c r="AE344" s="16" t="str">
        <f t="shared" si="12"/>
        <v/>
      </c>
      <c r="AF344" s="16" t="str">
        <f t="shared" si="13"/>
        <v/>
      </c>
      <c r="AG344" s="44"/>
      <c r="AH344" s="44"/>
      <c r="AI344" s="44" t="str">
        <f>IFERROR(__xludf.DUMMYFUNCTION("TEXTJOIN("", "",TRUE, FILTER(Data!P:P, Data!B:B=A344))"),"")</f>
        <v/>
      </c>
      <c r="AM344" s="61"/>
      <c r="BC344" s="50"/>
    </row>
    <row r="345">
      <c r="A345" s="54"/>
      <c r="B345" s="55" t="str">
        <f>IFERROR(__xludf.DUMMYFUNCTION("IFERROR(ROUND(
(COUNTIF(FILTER(Data!O:O, Data!B:B=A345), ""Win"")
+ COUNTIF(FILTER(Data!O:O, Data!B:B=A345), {""Tie"",""Results""}))
/ (COUNTIF(Data!B:B, A345)),
1),"""")"),"")</f>
        <v/>
      </c>
      <c r="C345" s="45" t="str">
        <f>IFERROR((SUMIF(Data!B:B, A345, Data!H:H)
/ (COUNTIF(Data!B:B, A345)
)),"")</f>
        <v/>
      </c>
      <c r="D345" s="45" t="str">
        <f>IFERROR((SUMIF(Data!B:B, A345, Data!G:G)
/ (COUNTIF(Data!B:B, A345)
)),"")</f>
        <v/>
      </c>
      <c r="E345" s="45"/>
      <c r="F345" s="45" t="str">
        <f>IFERROR((SUMIF(Data!B:B, A345, Data!J:J)
/ (COUNTIF(Data!B:B, A345)
)),"")</f>
        <v/>
      </c>
      <c r="G345" s="56" t="str">
        <f>IF(A345="","",IFERROR((((((SUMIF(Data!B:B, A345, Data!H:H)+(SUMIF(Data!B:B, A345,Data!G:G)))/(SUMIF(Data!B:B, A345, Data!J:J)))))),0))</f>
        <v/>
      </c>
      <c r="H345" s="45"/>
      <c r="I345" s="45"/>
      <c r="J345" s="45"/>
      <c r="K345" s="45"/>
      <c r="L345" s="45" t="str">
        <f>IFERROR((SUMIF(Data!B:B, A345, Data!L:L)
/ (COUNTIF(Data!B:B, A345)
)),"")</f>
        <v/>
      </c>
      <c r="M345" s="45" t="str">
        <f>IFERROR((SUMIF(Data!B:B, A345, Data!K:K)
/ (COUNTIF(Data!B:B, A345)
)),"")</f>
        <v/>
      </c>
      <c r="N345" s="56"/>
      <c r="O345" s="56" t="str">
        <f>IF(A345="","",IFERROR((((((SUMIF(Data!B:B, A345, Data!H:H)+(SUMIF(Data!B:B, A345,Data!G:G)+(SUMIF(Data!B:B, A345,Data!L:L)+(SUMIF(Data!B:B, A345,Data!K:K)))))/(SUMIF(Data!B:B, A345, Data!M:M)+(SUMIF(Data!B:B, A345, Data!H:H)+(SUMIF(Data!B:B, A345,Data!G:G)+(SUMIF(Data!B:B, A345,Data!K:K)+(SUMIF(Data!B:B, A345,Data!L:L)))))))))),0))</f>
        <v/>
      </c>
      <c r="P345" s="57" t="str">
        <f>IFERROR(__xludf.DUMMYFUNCTION("IFERROR(((COUNTIF(FILTER(Data!N:N,Data!B:B=A345),""TRAVERSE"")*15)+(COUNTIF(FILTER(Data!N:N,Data!B:B=A345),""HIGH"")*10)+(COUNTIF(FILTER(Data!N:N,Data!B:B=A345),""MIDDLE"")*6)+(COUNTIF(FILTER(Data!N:N,Data!B:B=A345),""LOW"")*4)) / (COUNTIF(Data!B:B, A345)"&amp;"),"""")"),"")</f>
        <v/>
      </c>
      <c r="Q345" s="58"/>
      <c r="R345" s="36" t="str">
        <f t="shared" si="37"/>
        <v/>
      </c>
      <c r="S345" s="58" t="str">
        <f>IFERROR(__xludf.DUMMYFUNCTION("IFERROR((((COUNTIF(FILTER(Data!N:N,Data!B:B=A345),""TRAVERSE""))+(COUNTIF(FILTER(Data!N:N,Data!B:B=A345),""HIGH""))+(COUNTIF(FILTER(Data!N:N,Data!B:B=A345),""MIDDLE""))+(COUNTIF(FILTER(Data!N:N,Data!B:B=A345),""LOW"")))) / (((COUNTIF(Data!B:B, A345)))-(CO"&amp;"UNTIF(FILTER(Data!N:N,Data!B:B=A345),""NONE""))),IF(ISBLANK(A345),"""",0))"),"")</f>
        <v/>
      </c>
      <c r="T345" s="56" t="str">
        <f>IFERROR(__xludf.DUMMYFUNCTION("IFERROR((COUNTIF(FILTER(Data!N:N, Data!B:B=A345),""LOW"")) / (COUNTIF(Data!B:B, A345)),"""")"),"")</f>
        <v/>
      </c>
      <c r="U345" s="59" t="str">
        <f>IFERROR(__xludf.DUMMYFUNCTION("IFERROR((COUNTIF(FILTER(Data!N:N, Data!B:B=A345),""MIDDLE"")) / (COUNTIF(Data!B:B, A345)),"""")"),"")</f>
        <v/>
      </c>
      <c r="V345" s="59" t="str">
        <f>IFERROR(__xludf.DUMMYFUNCTION("IFERROR((COUNTIF(FILTER(Data!N:N, Data!B:B=A345),""HIGH"")) / (COUNTIF(Data!B:B, A345)),"""")"),"")</f>
        <v/>
      </c>
      <c r="W345" s="59" t="str">
        <f>IFERROR(__xludf.DUMMYFUNCTION("IFERROR((COUNTIF(FILTER(Data!N:N, Data!B:B=A345),""TRAVERSE"")) / (COUNTIF(Data!B:B, A345)),"""")"),"")</f>
        <v/>
      </c>
      <c r="X345" s="59"/>
      <c r="Y345" s="45" t="str">
        <f t="shared" si="7"/>
        <v/>
      </c>
      <c r="Z345" s="45" t="str">
        <f t="shared" si="8"/>
        <v/>
      </c>
      <c r="AA345" s="16" t="str">
        <f t="shared" si="9"/>
        <v/>
      </c>
      <c r="AB345" s="16"/>
      <c r="AC345" s="16"/>
      <c r="AD345" s="16"/>
      <c r="AE345" s="16" t="str">
        <f t="shared" si="12"/>
        <v/>
      </c>
      <c r="AF345" s="16" t="str">
        <f t="shared" si="13"/>
        <v/>
      </c>
      <c r="AG345" s="44"/>
      <c r="AH345" s="44"/>
      <c r="AI345" s="44" t="str">
        <f>IFERROR(__xludf.DUMMYFUNCTION("TEXTJOIN("", "",TRUE, FILTER(Data!P:P, Data!B:B=A345))"),"")</f>
        <v/>
      </c>
      <c r="AM345" s="61"/>
      <c r="BC345" s="50"/>
    </row>
    <row r="346">
      <c r="A346" s="54"/>
      <c r="B346" s="55" t="str">
        <f>IFERROR(__xludf.DUMMYFUNCTION("IFERROR(ROUND(
(COUNTIF(FILTER(Data!O:O, Data!B:B=A346), ""Win"")
+ COUNTIF(FILTER(Data!O:O, Data!B:B=A346), {""Tie"",""Results""}))
/ (COUNTIF(Data!B:B, A346)),
1),"""")"),"")</f>
        <v/>
      </c>
      <c r="C346" s="45" t="str">
        <f>IFERROR((SUMIF(Data!B:B, A346, Data!H:H)
/ (COUNTIF(Data!B:B, A346)
)),"")</f>
        <v/>
      </c>
      <c r="D346" s="45" t="str">
        <f>IFERROR((SUMIF(Data!B:B, A346, Data!G:G)
/ (COUNTIF(Data!B:B, A346)
)),"")</f>
        <v/>
      </c>
      <c r="E346" s="45"/>
      <c r="F346" s="45" t="str">
        <f>IFERROR((SUMIF(Data!B:B, A346, Data!J:J)
/ (COUNTIF(Data!B:B, A346)
)),"")</f>
        <v/>
      </c>
      <c r="G346" s="56" t="str">
        <f>IF(A346="","",IFERROR((((((SUMIF(Data!B:B, A346, Data!H:H)+(SUMIF(Data!B:B, A346,Data!G:G)))/(SUMIF(Data!B:B, A346, Data!J:J)))))),0))</f>
        <v/>
      </c>
      <c r="H346" s="45"/>
      <c r="I346" s="45"/>
      <c r="J346" s="45"/>
      <c r="K346" s="45"/>
      <c r="L346" s="45" t="str">
        <f>IFERROR((SUMIF(Data!B:B, A346, Data!L:L)
/ (COUNTIF(Data!B:B, A346)
)),"")</f>
        <v/>
      </c>
      <c r="M346" s="45" t="str">
        <f>IFERROR((SUMIF(Data!B:B, A346, Data!K:K)
/ (COUNTIF(Data!B:B, A346)
)),"")</f>
        <v/>
      </c>
      <c r="N346" s="56"/>
      <c r="O346" s="56" t="str">
        <f>IF(A346="","",IFERROR((((((SUMIF(Data!B:B, A346, Data!H:H)+(SUMIF(Data!B:B, A346,Data!G:G)+(SUMIF(Data!B:B, A346,Data!L:L)+(SUMIF(Data!B:B, A346,Data!K:K)))))/(SUMIF(Data!B:B, A346, Data!M:M)+(SUMIF(Data!B:B, A346, Data!H:H)+(SUMIF(Data!B:B, A346,Data!G:G)+(SUMIF(Data!B:B, A346,Data!K:K)+(SUMIF(Data!B:B, A346,Data!L:L)))))))))),0))</f>
        <v/>
      </c>
      <c r="P346" s="57" t="str">
        <f>IFERROR(__xludf.DUMMYFUNCTION("IFERROR(((COUNTIF(FILTER(Data!N:N,Data!B:B=A346),""TRAVERSE"")*15)+(COUNTIF(FILTER(Data!N:N,Data!B:B=A346),""HIGH"")*10)+(COUNTIF(FILTER(Data!N:N,Data!B:B=A346),""MIDDLE"")*6)+(COUNTIF(FILTER(Data!N:N,Data!B:B=A346),""LOW"")*4)) / (COUNTIF(Data!B:B, A346)"&amp;"),"""")"),"")</f>
        <v/>
      </c>
      <c r="Q346" s="58"/>
      <c r="R346" s="36" t="str">
        <f t="shared" si="37"/>
        <v/>
      </c>
      <c r="S346" s="58" t="str">
        <f>IFERROR(__xludf.DUMMYFUNCTION("IFERROR((((COUNTIF(FILTER(Data!N:N,Data!B:B=A346),""TRAVERSE""))+(COUNTIF(FILTER(Data!N:N,Data!B:B=A346),""HIGH""))+(COUNTIF(FILTER(Data!N:N,Data!B:B=A346),""MIDDLE""))+(COUNTIF(FILTER(Data!N:N,Data!B:B=A346),""LOW"")))) / (((COUNTIF(Data!B:B, A346)))-(CO"&amp;"UNTIF(FILTER(Data!N:N,Data!B:B=A346),""NONE""))),IF(ISBLANK(A346),"""",0))"),"")</f>
        <v/>
      </c>
      <c r="T346" s="56" t="str">
        <f>IFERROR(__xludf.DUMMYFUNCTION("IFERROR((COUNTIF(FILTER(Data!N:N, Data!B:B=A346),""LOW"")) / (COUNTIF(Data!B:B, A346)),"""")"),"")</f>
        <v/>
      </c>
      <c r="U346" s="59" t="str">
        <f>IFERROR(__xludf.DUMMYFUNCTION("IFERROR((COUNTIF(FILTER(Data!N:N, Data!B:B=A346),""MIDDLE"")) / (COUNTIF(Data!B:B, A346)),"""")"),"")</f>
        <v/>
      </c>
      <c r="V346" s="59" t="str">
        <f>IFERROR(__xludf.DUMMYFUNCTION("IFERROR((COUNTIF(FILTER(Data!N:N, Data!B:B=A346),""HIGH"")) / (COUNTIF(Data!B:B, A346)),"""")"),"")</f>
        <v/>
      </c>
      <c r="W346" s="59" t="str">
        <f>IFERROR(__xludf.DUMMYFUNCTION("IFERROR((COUNTIF(FILTER(Data!N:N, Data!B:B=A346),""TRAVERSE"")) / (COUNTIF(Data!B:B, A346)),"""")"),"")</f>
        <v/>
      </c>
      <c r="X346" s="59"/>
      <c r="Y346" s="45" t="str">
        <f t="shared" si="7"/>
        <v/>
      </c>
      <c r="Z346" s="45" t="str">
        <f t="shared" si="8"/>
        <v/>
      </c>
      <c r="AA346" s="16" t="str">
        <f t="shared" si="9"/>
        <v/>
      </c>
      <c r="AB346" s="16"/>
      <c r="AC346" s="16"/>
      <c r="AD346" s="16"/>
      <c r="AE346" s="16" t="str">
        <f t="shared" si="12"/>
        <v/>
      </c>
      <c r="AF346" s="16" t="str">
        <f t="shared" si="13"/>
        <v/>
      </c>
      <c r="AG346" s="44"/>
      <c r="AH346" s="44"/>
      <c r="AI346" s="44" t="str">
        <f>IFERROR(__xludf.DUMMYFUNCTION("TEXTJOIN("", "",TRUE, FILTER(Data!P:P, Data!B:B=A346))"),"")</f>
        <v/>
      </c>
      <c r="AM346" s="61"/>
      <c r="BC346" s="50"/>
    </row>
    <row r="347">
      <c r="A347" s="54"/>
      <c r="B347" s="55" t="str">
        <f>IFERROR(__xludf.DUMMYFUNCTION("IFERROR(ROUND(
(COUNTIF(FILTER(Data!O:O, Data!B:B=A347), ""Win"")
+ COUNTIF(FILTER(Data!O:O, Data!B:B=A347), {""Tie"",""Results""}))
/ (COUNTIF(Data!B:B, A347)),
1),"""")"),"")</f>
        <v/>
      </c>
      <c r="C347" s="45" t="str">
        <f>IFERROR((SUMIF(Data!B:B, A347, Data!H:H)
/ (COUNTIF(Data!B:B, A347)
)),"")</f>
        <v/>
      </c>
      <c r="D347" s="45" t="str">
        <f>IFERROR((SUMIF(Data!B:B, A347, Data!G:G)
/ (COUNTIF(Data!B:B, A347)
)),"")</f>
        <v/>
      </c>
      <c r="E347" s="45"/>
      <c r="F347" s="45" t="str">
        <f>IFERROR((SUMIF(Data!B:B, A347, Data!J:J)
/ (COUNTIF(Data!B:B, A347)
)),"")</f>
        <v/>
      </c>
      <c r="G347" s="56" t="str">
        <f>IF(A347="","",IFERROR((((((SUMIF(Data!B:B, A347, Data!H:H)+(SUMIF(Data!B:B, A347,Data!G:G)))/(SUMIF(Data!B:B, A347, Data!J:J)))))),0))</f>
        <v/>
      </c>
      <c r="H347" s="45"/>
      <c r="I347" s="45"/>
      <c r="J347" s="45"/>
      <c r="K347" s="45"/>
      <c r="L347" s="45" t="str">
        <f>IFERROR((SUMIF(Data!B:B, A347, Data!L:L)
/ (COUNTIF(Data!B:B, A347)
)),"")</f>
        <v/>
      </c>
      <c r="M347" s="45" t="str">
        <f>IFERROR((SUMIF(Data!B:B, A347, Data!K:K)
/ (COUNTIF(Data!B:B, A347)
)),"")</f>
        <v/>
      </c>
      <c r="N347" s="56"/>
      <c r="O347" s="56" t="str">
        <f>IF(A347="","",IFERROR((((((SUMIF(Data!B:B, A347, Data!H:H)+(SUMIF(Data!B:B, A347,Data!G:G)+(SUMIF(Data!B:B, A347,Data!L:L)+(SUMIF(Data!B:B, A347,Data!K:K)))))/(SUMIF(Data!B:B, A347, Data!M:M)+(SUMIF(Data!B:B, A347, Data!H:H)+(SUMIF(Data!B:B, A347,Data!G:G)+(SUMIF(Data!B:B, A347,Data!K:K)+(SUMIF(Data!B:B, A347,Data!L:L)))))))))),0))</f>
        <v/>
      </c>
      <c r="P347" s="57" t="str">
        <f>IFERROR(__xludf.DUMMYFUNCTION("IFERROR(((COUNTIF(FILTER(Data!N:N,Data!B:B=A347),""TRAVERSE"")*15)+(COUNTIF(FILTER(Data!N:N,Data!B:B=A347),""HIGH"")*10)+(COUNTIF(FILTER(Data!N:N,Data!B:B=A347),""MIDDLE"")*6)+(COUNTIF(FILTER(Data!N:N,Data!B:B=A347),""LOW"")*4)) / (COUNTIF(Data!B:B, A347)"&amp;"),"""")"),"")</f>
        <v/>
      </c>
      <c r="Q347" s="58"/>
      <c r="R347" s="36" t="str">
        <f t="shared" si="37"/>
        <v/>
      </c>
      <c r="S347" s="58" t="str">
        <f>IFERROR(__xludf.DUMMYFUNCTION("IFERROR((((COUNTIF(FILTER(Data!N:N,Data!B:B=A347),""TRAVERSE""))+(COUNTIF(FILTER(Data!N:N,Data!B:B=A347),""HIGH""))+(COUNTIF(FILTER(Data!N:N,Data!B:B=A347),""MIDDLE""))+(COUNTIF(FILTER(Data!N:N,Data!B:B=A347),""LOW"")))) / (((COUNTIF(Data!B:B, A347)))-(CO"&amp;"UNTIF(FILTER(Data!N:N,Data!B:B=A347),""NONE""))),IF(ISBLANK(A347),"""",0))"),"")</f>
        <v/>
      </c>
      <c r="T347" s="56" t="str">
        <f>IFERROR(__xludf.DUMMYFUNCTION("IFERROR((COUNTIF(FILTER(Data!N:N, Data!B:B=A347),""LOW"")) / (COUNTIF(Data!B:B, A347)),"""")"),"")</f>
        <v/>
      </c>
      <c r="U347" s="59" t="str">
        <f>IFERROR(__xludf.DUMMYFUNCTION("IFERROR((COUNTIF(FILTER(Data!N:N, Data!B:B=A347),""MIDDLE"")) / (COUNTIF(Data!B:B, A347)),"""")"),"")</f>
        <v/>
      </c>
      <c r="V347" s="59" t="str">
        <f>IFERROR(__xludf.DUMMYFUNCTION("IFERROR((COUNTIF(FILTER(Data!N:N, Data!B:B=A347),""HIGH"")) / (COUNTIF(Data!B:B, A347)),"""")"),"")</f>
        <v/>
      </c>
      <c r="W347" s="59" t="str">
        <f>IFERROR(__xludf.DUMMYFUNCTION("IFERROR((COUNTIF(FILTER(Data!N:N, Data!B:B=A347),""TRAVERSE"")) / (COUNTIF(Data!B:B, A347)),"""")"),"")</f>
        <v/>
      </c>
      <c r="X347" s="59"/>
      <c r="Y347" s="45" t="str">
        <f t="shared" si="7"/>
        <v/>
      </c>
      <c r="Z347" s="45" t="str">
        <f t="shared" si="8"/>
        <v/>
      </c>
      <c r="AA347" s="16" t="str">
        <f t="shared" si="9"/>
        <v/>
      </c>
      <c r="AB347" s="16"/>
      <c r="AC347" s="16"/>
      <c r="AD347" s="16"/>
      <c r="AE347" s="16" t="str">
        <f t="shared" si="12"/>
        <v/>
      </c>
      <c r="AF347" s="16" t="str">
        <f t="shared" si="13"/>
        <v/>
      </c>
      <c r="AG347" s="44"/>
      <c r="AH347" s="44"/>
      <c r="AI347" s="44" t="str">
        <f>IFERROR(__xludf.DUMMYFUNCTION("TEXTJOIN("", "",TRUE, FILTER(Data!P:P, Data!B:B=A347))"),"")</f>
        <v/>
      </c>
      <c r="AM347" s="61"/>
      <c r="BC347" s="50"/>
    </row>
    <row r="348">
      <c r="A348" s="54"/>
      <c r="B348" s="55" t="str">
        <f>IFERROR(__xludf.DUMMYFUNCTION("IFERROR(ROUND(
(COUNTIF(FILTER(Data!O:O, Data!B:B=A348), ""Win"")
+ COUNTIF(FILTER(Data!O:O, Data!B:B=A348), {""Tie"",""Results""}))
/ (COUNTIF(Data!B:B, A348)),
1),"""")"),"")</f>
        <v/>
      </c>
      <c r="C348" s="45" t="str">
        <f>IFERROR((SUMIF(Data!B:B, A348, Data!H:H)
/ (COUNTIF(Data!B:B, A348)
)),"")</f>
        <v/>
      </c>
      <c r="D348" s="45" t="str">
        <f>IFERROR((SUMIF(Data!B:B, A348, Data!G:G)
/ (COUNTIF(Data!B:B, A348)
)),"")</f>
        <v/>
      </c>
      <c r="E348" s="45"/>
      <c r="F348" s="45" t="str">
        <f>IFERROR((SUMIF(Data!B:B, A348, Data!J:J)
/ (COUNTIF(Data!B:B, A348)
)),"")</f>
        <v/>
      </c>
      <c r="G348" s="56" t="str">
        <f>IF(A348="","",IFERROR((((((SUMIF(Data!B:B, A348, Data!H:H)+(SUMIF(Data!B:B, A348,Data!G:G)))/(SUMIF(Data!B:B, A348, Data!J:J)))))),0))</f>
        <v/>
      </c>
      <c r="H348" s="45"/>
      <c r="I348" s="45"/>
      <c r="J348" s="45"/>
      <c r="K348" s="45"/>
      <c r="L348" s="45" t="str">
        <f>IFERROR((SUMIF(Data!B:B, A348, Data!L:L)
/ (COUNTIF(Data!B:B, A348)
)),"")</f>
        <v/>
      </c>
      <c r="M348" s="45" t="str">
        <f>IFERROR((SUMIF(Data!B:B, A348, Data!K:K)
/ (COUNTIF(Data!B:B, A348)
)),"")</f>
        <v/>
      </c>
      <c r="N348" s="56"/>
      <c r="O348" s="56" t="str">
        <f>IF(A348="","",IFERROR((((((SUMIF(Data!B:B, A348, Data!H:H)+(SUMIF(Data!B:B, A348,Data!G:G)+(SUMIF(Data!B:B, A348,Data!L:L)+(SUMIF(Data!B:B, A348,Data!K:K)))))/(SUMIF(Data!B:B, A348, Data!M:M)+(SUMIF(Data!B:B, A348, Data!H:H)+(SUMIF(Data!B:B, A348,Data!G:G)+(SUMIF(Data!B:B, A348,Data!K:K)+(SUMIF(Data!B:B, A348,Data!L:L)))))))))),0))</f>
        <v/>
      </c>
      <c r="P348" s="57" t="str">
        <f>IFERROR(__xludf.DUMMYFUNCTION("IFERROR(((COUNTIF(FILTER(Data!N:N,Data!B:B=A348),""TRAVERSE"")*15)+(COUNTIF(FILTER(Data!N:N,Data!B:B=A348),""HIGH"")*10)+(COUNTIF(FILTER(Data!N:N,Data!B:B=A348),""MIDDLE"")*6)+(COUNTIF(FILTER(Data!N:N,Data!B:B=A348),""LOW"")*4)) / (COUNTIF(Data!B:B, A348)"&amp;"),"""")"),"")</f>
        <v/>
      </c>
      <c r="Q348" s="58"/>
      <c r="R348" s="36" t="str">
        <f t="shared" si="37"/>
        <v/>
      </c>
      <c r="S348" s="58" t="str">
        <f>IFERROR(__xludf.DUMMYFUNCTION("IFERROR((((COUNTIF(FILTER(Data!N:N,Data!B:B=A348),""TRAVERSE""))+(COUNTIF(FILTER(Data!N:N,Data!B:B=A348),""HIGH""))+(COUNTIF(FILTER(Data!N:N,Data!B:B=A348),""MIDDLE""))+(COUNTIF(FILTER(Data!N:N,Data!B:B=A348),""LOW"")))) / (((COUNTIF(Data!B:B, A348)))-(CO"&amp;"UNTIF(FILTER(Data!N:N,Data!B:B=A348),""NONE""))),IF(ISBLANK(A348),"""",0))"),"")</f>
        <v/>
      </c>
      <c r="T348" s="56" t="str">
        <f>IFERROR(__xludf.DUMMYFUNCTION("IFERROR((COUNTIF(FILTER(Data!N:N, Data!B:B=A348),""LOW"")) / (COUNTIF(Data!B:B, A348)),"""")"),"")</f>
        <v/>
      </c>
      <c r="U348" s="59" t="str">
        <f>IFERROR(__xludf.DUMMYFUNCTION("IFERROR((COUNTIF(FILTER(Data!N:N, Data!B:B=A348),""MIDDLE"")) / (COUNTIF(Data!B:B, A348)),"""")"),"")</f>
        <v/>
      </c>
      <c r="V348" s="59" t="str">
        <f>IFERROR(__xludf.DUMMYFUNCTION("IFERROR((COUNTIF(FILTER(Data!N:N, Data!B:B=A348),""HIGH"")) / (COUNTIF(Data!B:B, A348)),"""")"),"")</f>
        <v/>
      </c>
      <c r="W348" s="59" t="str">
        <f>IFERROR(__xludf.DUMMYFUNCTION("IFERROR((COUNTIF(FILTER(Data!N:N, Data!B:B=A348),""TRAVERSE"")) / (COUNTIF(Data!B:B, A348)),"""")"),"")</f>
        <v/>
      </c>
      <c r="X348" s="59"/>
      <c r="Y348" s="45" t="str">
        <f t="shared" si="7"/>
        <v/>
      </c>
      <c r="Z348" s="45" t="str">
        <f t="shared" si="8"/>
        <v/>
      </c>
      <c r="AA348" s="16" t="str">
        <f t="shared" si="9"/>
        <v/>
      </c>
      <c r="AB348" s="16"/>
      <c r="AC348" s="16"/>
      <c r="AD348" s="16"/>
      <c r="AE348" s="16" t="str">
        <f t="shared" si="12"/>
        <v/>
      </c>
      <c r="AF348" s="16" t="str">
        <f t="shared" si="13"/>
        <v/>
      </c>
      <c r="AG348" s="44"/>
      <c r="AH348" s="44"/>
      <c r="AI348" s="44" t="str">
        <f>IFERROR(__xludf.DUMMYFUNCTION("TEXTJOIN("", "",TRUE, FILTER(Data!P:P, Data!B:B=A348))"),"")</f>
        <v/>
      </c>
      <c r="AM348" s="61"/>
      <c r="BC348" s="50"/>
    </row>
    <row r="349">
      <c r="A349" s="54"/>
      <c r="B349" s="55" t="str">
        <f>IFERROR(__xludf.DUMMYFUNCTION("IFERROR(ROUND(
(COUNTIF(FILTER(Data!O:O, Data!B:B=A349), ""Win"")
+ COUNTIF(FILTER(Data!O:O, Data!B:B=A349), {""Tie"",""Results""}))
/ (COUNTIF(Data!B:B, A349)),
1),"""")"),"")</f>
        <v/>
      </c>
      <c r="C349" s="45" t="str">
        <f>IFERROR((SUMIF(Data!B:B, A349, Data!H:H)
/ (COUNTIF(Data!B:B, A349)
)),"")</f>
        <v/>
      </c>
      <c r="D349" s="45" t="str">
        <f>IFERROR((SUMIF(Data!B:B, A349, Data!G:G)
/ (COUNTIF(Data!B:B, A349)
)),"")</f>
        <v/>
      </c>
      <c r="E349" s="45"/>
      <c r="F349" s="45" t="str">
        <f>IFERROR((SUMIF(Data!B:B, A349, Data!J:J)
/ (COUNTIF(Data!B:B, A349)
)),"")</f>
        <v/>
      </c>
      <c r="G349" s="56" t="str">
        <f>IF(A349="","",IFERROR((((((SUMIF(Data!B:B, A349, Data!H:H)+(SUMIF(Data!B:B, A349,Data!G:G)))/(SUMIF(Data!B:B, A349, Data!J:J)))))),0))</f>
        <v/>
      </c>
      <c r="H349" s="45"/>
      <c r="I349" s="45"/>
      <c r="J349" s="45"/>
      <c r="K349" s="45"/>
      <c r="L349" s="45" t="str">
        <f>IFERROR((SUMIF(Data!B:B, A349, Data!L:L)
/ (COUNTIF(Data!B:B, A349)
)),"")</f>
        <v/>
      </c>
      <c r="M349" s="45" t="str">
        <f>IFERROR((SUMIF(Data!B:B, A349, Data!K:K)
/ (COUNTIF(Data!B:B, A349)
)),"")</f>
        <v/>
      </c>
      <c r="N349" s="56"/>
      <c r="O349" s="56" t="str">
        <f>IF(A349="","",IFERROR((((((SUMIF(Data!B:B, A349, Data!H:H)+(SUMIF(Data!B:B, A349,Data!G:G)+(SUMIF(Data!B:B, A349,Data!L:L)+(SUMIF(Data!B:B, A349,Data!K:K)))))/(SUMIF(Data!B:B, A349, Data!M:M)+(SUMIF(Data!B:B, A349, Data!H:H)+(SUMIF(Data!B:B, A349,Data!G:G)+(SUMIF(Data!B:B, A349,Data!K:K)+(SUMIF(Data!B:B, A349,Data!L:L)))))))))),0))</f>
        <v/>
      </c>
      <c r="P349" s="57" t="str">
        <f>IFERROR(__xludf.DUMMYFUNCTION("IFERROR(((COUNTIF(FILTER(Data!N:N,Data!B:B=A349),""TRAVERSE"")*15)+(COUNTIF(FILTER(Data!N:N,Data!B:B=A349),""HIGH"")*10)+(COUNTIF(FILTER(Data!N:N,Data!B:B=A349),""MIDDLE"")*6)+(COUNTIF(FILTER(Data!N:N,Data!B:B=A349),""LOW"")*4)) / (COUNTIF(Data!B:B, A349)"&amp;"),"""")"),"")</f>
        <v/>
      </c>
      <c r="Q349" s="58"/>
      <c r="R349" s="36" t="str">
        <f t="shared" si="37"/>
        <v/>
      </c>
      <c r="S349" s="58" t="str">
        <f>IFERROR(__xludf.DUMMYFUNCTION("IFERROR((((COUNTIF(FILTER(Data!N:N,Data!B:B=A349),""TRAVERSE""))+(COUNTIF(FILTER(Data!N:N,Data!B:B=A349),""HIGH""))+(COUNTIF(FILTER(Data!N:N,Data!B:B=A349),""MIDDLE""))+(COUNTIF(FILTER(Data!N:N,Data!B:B=A349),""LOW"")))) / (((COUNTIF(Data!B:B, A349)))-(CO"&amp;"UNTIF(FILTER(Data!N:N,Data!B:B=A349),""NONE""))),IF(ISBLANK(A349),"""",0))"),"")</f>
        <v/>
      </c>
      <c r="T349" s="56" t="str">
        <f>IFERROR(__xludf.DUMMYFUNCTION("IFERROR((COUNTIF(FILTER(Data!N:N, Data!B:B=A349),""LOW"")) / (COUNTIF(Data!B:B, A349)),"""")"),"")</f>
        <v/>
      </c>
      <c r="U349" s="59" t="str">
        <f>IFERROR(__xludf.DUMMYFUNCTION("IFERROR((COUNTIF(FILTER(Data!N:N, Data!B:B=A349),""MIDDLE"")) / (COUNTIF(Data!B:B, A349)),"""")"),"")</f>
        <v/>
      </c>
      <c r="V349" s="59" t="str">
        <f>IFERROR(__xludf.DUMMYFUNCTION("IFERROR((COUNTIF(FILTER(Data!N:N, Data!B:B=A349),""HIGH"")) / (COUNTIF(Data!B:B, A349)),"""")"),"")</f>
        <v/>
      </c>
      <c r="W349" s="59" t="str">
        <f>IFERROR(__xludf.DUMMYFUNCTION("IFERROR((COUNTIF(FILTER(Data!N:N, Data!B:B=A349),""TRAVERSE"")) / (COUNTIF(Data!B:B, A349)),"""")"),"")</f>
        <v/>
      </c>
      <c r="X349" s="59"/>
      <c r="Y349" s="45" t="str">
        <f t="shared" si="7"/>
        <v/>
      </c>
      <c r="Z349" s="45" t="str">
        <f t="shared" si="8"/>
        <v/>
      </c>
      <c r="AA349" s="16" t="str">
        <f t="shared" si="9"/>
        <v/>
      </c>
      <c r="AB349" s="16"/>
      <c r="AC349" s="16"/>
      <c r="AD349" s="16"/>
      <c r="AE349" s="16" t="str">
        <f t="shared" si="12"/>
        <v/>
      </c>
      <c r="AF349" s="16" t="str">
        <f t="shared" si="13"/>
        <v/>
      </c>
      <c r="AG349" s="44"/>
      <c r="AH349" s="44"/>
      <c r="AI349" s="44" t="str">
        <f>IFERROR(__xludf.DUMMYFUNCTION("TEXTJOIN("", "",TRUE, FILTER(Data!P:P, Data!B:B=A349))"),"")</f>
        <v/>
      </c>
      <c r="AM349" s="61"/>
      <c r="BC349" s="50"/>
    </row>
    <row r="350">
      <c r="A350" s="54"/>
      <c r="B350" s="55" t="str">
        <f>IFERROR(__xludf.DUMMYFUNCTION("IFERROR(ROUND(
(COUNTIF(FILTER(Data!O:O, Data!B:B=A350), ""Win"")
+ COUNTIF(FILTER(Data!O:O, Data!B:B=A350), {""Tie"",""Results""}))
/ (COUNTIF(Data!B:B, A350)),
1),"""")"),"")</f>
        <v/>
      </c>
      <c r="C350" s="45" t="str">
        <f>IFERROR((SUMIF(Data!B:B, A350, Data!H:H)
/ (COUNTIF(Data!B:B, A350)
)),"")</f>
        <v/>
      </c>
      <c r="D350" s="45" t="str">
        <f>IFERROR((SUMIF(Data!B:B, A350, Data!G:G)
/ (COUNTIF(Data!B:B, A350)
)),"")</f>
        <v/>
      </c>
      <c r="E350" s="45"/>
      <c r="F350" s="45" t="str">
        <f>IFERROR((SUMIF(Data!B:B, A350, Data!J:J)
/ (COUNTIF(Data!B:B, A350)
)),"")</f>
        <v/>
      </c>
      <c r="G350" s="56" t="str">
        <f>IF(A350="","",IFERROR((((((SUMIF(Data!B:B, A350, Data!H:H)+(SUMIF(Data!B:B, A350,Data!G:G)))/(SUMIF(Data!B:B, A350, Data!J:J)))))),0))</f>
        <v/>
      </c>
      <c r="H350" s="45"/>
      <c r="I350" s="45"/>
      <c r="J350" s="45"/>
      <c r="K350" s="45"/>
      <c r="L350" s="45" t="str">
        <f>IFERROR((SUMIF(Data!B:B, A350, Data!L:L)
/ (COUNTIF(Data!B:B, A350)
)),"")</f>
        <v/>
      </c>
      <c r="M350" s="45" t="str">
        <f>IFERROR((SUMIF(Data!B:B, A350, Data!K:K)
/ (COUNTIF(Data!B:B, A350)
)),"")</f>
        <v/>
      </c>
      <c r="N350" s="56"/>
      <c r="O350" s="56" t="str">
        <f>IF(A350="","",IFERROR((((((SUMIF(Data!B:B, A350, Data!H:H)+(SUMIF(Data!B:B, A350,Data!G:G)+(SUMIF(Data!B:B, A350,Data!L:L)+(SUMIF(Data!B:B, A350,Data!K:K)))))/(SUMIF(Data!B:B, A350, Data!M:M)+(SUMIF(Data!B:B, A350, Data!H:H)+(SUMIF(Data!B:B, A350,Data!G:G)+(SUMIF(Data!B:B, A350,Data!K:K)+(SUMIF(Data!B:B, A350,Data!L:L)))))))))),0))</f>
        <v/>
      </c>
      <c r="P350" s="57" t="str">
        <f>IFERROR(__xludf.DUMMYFUNCTION("IFERROR(((COUNTIF(FILTER(Data!N:N,Data!B:B=A350),""TRAVERSE"")*15)+(COUNTIF(FILTER(Data!N:N,Data!B:B=A350),""HIGH"")*10)+(COUNTIF(FILTER(Data!N:N,Data!B:B=A350),""MIDDLE"")*6)+(COUNTIF(FILTER(Data!N:N,Data!B:B=A350),""LOW"")*4)) / (COUNTIF(Data!B:B, A350)"&amp;"),"""")"),"")</f>
        <v/>
      </c>
      <c r="Q350" s="58"/>
      <c r="R350" s="36" t="str">
        <f t="shared" si="37"/>
        <v/>
      </c>
      <c r="S350" s="58" t="str">
        <f>IFERROR(__xludf.DUMMYFUNCTION("IFERROR((((COUNTIF(FILTER(Data!N:N,Data!B:B=A350),""TRAVERSE""))+(COUNTIF(FILTER(Data!N:N,Data!B:B=A350),""HIGH""))+(COUNTIF(FILTER(Data!N:N,Data!B:B=A350),""MIDDLE""))+(COUNTIF(FILTER(Data!N:N,Data!B:B=A350),""LOW"")))) / (((COUNTIF(Data!B:B, A350)))-(CO"&amp;"UNTIF(FILTER(Data!N:N,Data!B:B=A350),""NONE""))),IF(ISBLANK(A350),"""",0))"),"")</f>
        <v/>
      </c>
      <c r="T350" s="56" t="str">
        <f>IFERROR(__xludf.DUMMYFUNCTION("IFERROR((COUNTIF(FILTER(Data!N:N, Data!B:B=A350),""LOW"")) / (COUNTIF(Data!B:B, A350)),"""")"),"")</f>
        <v/>
      </c>
      <c r="U350" s="59" t="str">
        <f>IFERROR(__xludf.DUMMYFUNCTION("IFERROR((COUNTIF(FILTER(Data!N:N, Data!B:B=A350),""MIDDLE"")) / (COUNTIF(Data!B:B, A350)),"""")"),"")</f>
        <v/>
      </c>
      <c r="V350" s="59" t="str">
        <f>IFERROR(__xludf.DUMMYFUNCTION("IFERROR((COUNTIF(FILTER(Data!N:N, Data!B:B=A350),""HIGH"")) / (COUNTIF(Data!B:B, A350)),"""")"),"")</f>
        <v/>
      </c>
      <c r="W350" s="59" t="str">
        <f>IFERROR(__xludf.DUMMYFUNCTION("IFERROR((COUNTIF(FILTER(Data!N:N, Data!B:B=A350),""TRAVERSE"")) / (COUNTIF(Data!B:B, A350)),"""")"),"")</f>
        <v/>
      </c>
      <c r="X350" s="59"/>
      <c r="Y350" s="45" t="str">
        <f t="shared" si="7"/>
        <v/>
      </c>
      <c r="Z350" s="45" t="str">
        <f t="shared" si="8"/>
        <v/>
      </c>
      <c r="AA350" s="16" t="str">
        <f t="shared" si="9"/>
        <v/>
      </c>
      <c r="AB350" s="16"/>
      <c r="AC350" s="16"/>
      <c r="AD350" s="16"/>
      <c r="AE350" s="16" t="str">
        <f t="shared" si="12"/>
        <v/>
      </c>
      <c r="AF350" s="16" t="str">
        <f t="shared" si="13"/>
        <v/>
      </c>
      <c r="AG350" s="44"/>
      <c r="AH350" s="44"/>
      <c r="AI350" s="44" t="str">
        <f>IFERROR(__xludf.DUMMYFUNCTION("TEXTJOIN("", "",TRUE, FILTER(Data!P:P, Data!B:B=A350))"),"")</f>
        <v/>
      </c>
      <c r="AM350" s="61"/>
      <c r="BC350" s="50"/>
    </row>
    <row r="351">
      <c r="A351" s="54"/>
      <c r="B351" s="55" t="str">
        <f>IFERROR(__xludf.DUMMYFUNCTION("IFERROR(ROUND(
(COUNTIF(FILTER(Data!O:O, Data!B:B=A351), ""Win"")
+ COUNTIF(FILTER(Data!O:O, Data!B:B=A351), {""Tie"",""Results""}))
/ (COUNTIF(Data!B:B, A351)),
1),"""")"),"")</f>
        <v/>
      </c>
      <c r="C351" s="45" t="str">
        <f>IFERROR((SUMIF(Data!B:B, A351, Data!H:H)
/ (COUNTIF(Data!B:B, A351)
)),"")</f>
        <v/>
      </c>
      <c r="D351" s="45" t="str">
        <f>IFERROR((SUMIF(Data!B:B, A351, Data!G:G)
/ (COUNTIF(Data!B:B, A351)
)),"")</f>
        <v/>
      </c>
      <c r="E351" s="45"/>
      <c r="F351" s="45" t="str">
        <f>IFERROR((SUMIF(Data!B:B, A351, Data!J:J)
/ (COUNTIF(Data!B:B, A351)
)),"")</f>
        <v/>
      </c>
      <c r="G351" s="56" t="str">
        <f>IF(A351="","",IFERROR((((((SUMIF(Data!B:B, A351, Data!H:H)+(SUMIF(Data!B:B, A351,Data!G:G)))/(SUMIF(Data!B:B, A351, Data!J:J)))))),0))</f>
        <v/>
      </c>
      <c r="H351" s="45"/>
      <c r="I351" s="45"/>
      <c r="J351" s="45"/>
      <c r="K351" s="45"/>
      <c r="L351" s="45" t="str">
        <f>IFERROR((SUMIF(Data!B:B, A351, Data!L:L)
/ (COUNTIF(Data!B:B, A351)
)),"")</f>
        <v/>
      </c>
      <c r="M351" s="45" t="str">
        <f>IFERROR((SUMIF(Data!B:B, A351, Data!K:K)
/ (COUNTIF(Data!B:B, A351)
)),"")</f>
        <v/>
      </c>
      <c r="N351" s="56"/>
      <c r="O351" s="56" t="str">
        <f>IF(A351="","",IFERROR((((((SUMIF(Data!B:B, A351, Data!H:H)+(SUMIF(Data!B:B, A351,Data!G:G)+(SUMIF(Data!B:B, A351,Data!L:L)+(SUMIF(Data!B:B, A351,Data!K:K)))))/(SUMIF(Data!B:B, A351, Data!M:M)+(SUMIF(Data!B:B, A351, Data!H:H)+(SUMIF(Data!B:B, A351,Data!G:G)+(SUMIF(Data!B:B, A351,Data!K:K)+(SUMIF(Data!B:B, A351,Data!L:L)))))))))),0))</f>
        <v/>
      </c>
      <c r="P351" s="57" t="str">
        <f>IFERROR(__xludf.DUMMYFUNCTION("IFERROR(((COUNTIF(FILTER(Data!N:N,Data!B:B=A351),""TRAVERSE"")*15)+(COUNTIF(FILTER(Data!N:N,Data!B:B=A351),""HIGH"")*10)+(COUNTIF(FILTER(Data!N:N,Data!B:B=A351),""MIDDLE"")*6)+(COUNTIF(FILTER(Data!N:N,Data!B:B=A351),""LOW"")*4)) / (COUNTIF(Data!B:B, A351)"&amp;"),"""")"),"")</f>
        <v/>
      </c>
      <c r="Q351" s="58"/>
      <c r="R351" s="36" t="str">
        <f t="shared" si="37"/>
        <v/>
      </c>
      <c r="S351" s="58" t="str">
        <f>IFERROR(__xludf.DUMMYFUNCTION("IFERROR((((COUNTIF(FILTER(Data!N:N,Data!B:B=A351),""TRAVERSE""))+(COUNTIF(FILTER(Data!N:N,Data!B:B=A351),""HIGH""))+(COUNTIF(FILTER(Data!N:N,Data!B:B=A351),""MIDDLE""))+(COUNTIF(FILTER(Data!N:N,Data!B:B=A351),""LOW"")))) / (((COUNTIF(Data!B:B, A351)))-(CO"&amp;"UNTIF(FILTER(Data!N:N,Data!B:B=A351),""NONE""))),IF(ISBLANK(A351),"""",0))"),"")</f>
        <v/>
      </c>
      <c r="T351" s="56" t="str">
        <f>IFERROR(__xludf.DUMMYFUNCTION("IFERROR((COUNTIF(FILTER(Data!N:N, Data!B:B=A351),""LOW"")) / (COUNTIF(Data!B:B, A351)),"""")"),"")</f>
        <v/>
      </c>
      <c r="U351" s="59" t="str">
        <f>IFERROR(__xludf.DUMMYFUNCTION("IFERROR((COUNTIF(FILTER(Data!N:N, Data!B:B=A351),""MIDDLE"")) / (COUNTIF(Data!B:B, A351)),"""")"),"")</f>
        <v/>
      </c>
      <c r="V351" s="59" t="str">
        <f>IFERROR(__xludf.DUMMYFUNCTION("IFERROR((COUNTIF(FILTER(Data!N:N, Data!B:B=A351),""HIGH"")) / (COUNTIF(Data!B:B, A351)),"""")"),"")</f>
        <v/>
      </c>
      <c r="W351" s="59" t="str">
        <f>IFERROR(__xludf.DUMMYFUNCTION("IFERROR((COUNTIF(FILTER(Data!N:N, Data!B:B=A351),""TRAVERSE"")) / (COUNTIF(Data!B:B, A351)),"""")"),"")</f>
        <v/>
      </c>
      <c r="X351" s="59"/>
      <c r="Y351" s="45" t="str">
        <f t="shared" si="7"/>
        <v/>
      </c>
      <c r="Z351" s="45" t="str">
        <f t="shared" si="8"/>
        <v/>
      </c>
      <c r="AA351" s="16" t="str">
        <f t="shared" si="9"/>
        <v/>
      </c>
      <c r="AB351" s="16"/>
      <c r="AC351" s="16"/>
      <c r="AD351" s="16"/>
      <c r="AE351" s="16" t="str">
        <f t="shared" si="12"/>
        <v/>
      </c>
      <c r="AF351" s="16" t="str">
        <f t="shared" si="13"/>
        <v/>
      </c>
      <c r="AG351" s="44"/>
      <c r="AH351" s="44"/>
      <c r="AI351" s="44" t="str">
        <f>IFERROR(__xludf.DUMMYFUNCTION("TEXTJOIN("", "",TRUE, FILTER(Data!P:P, Data!B:B=A351))"),"")</f>
        <v/>
      </c>
      <c r="AM351" s="61"/>
      <c r="BC351" s="50"/>
    </row>
    <row r="352">
      <c r="A352" s="54"/>
      <c r="B352" s="55" t="str">
        <f>IFERROR(__xludf.DUMMYFUNCTION("IFERROR(ROUND(
(COUNTIF(FILTER(Data!O:O, Data!B:B=A352), ""Win"")
+ COUNTIF(FILTER(Data!O:O, Data!B:B=A352), {""Tie"",""Results""}))
/ (COUNTIF(Data!B:B, A352)),
1),"""")"),"")</f>
        <v/>
      </c>
      <c r="C352" s="45" t="str">
        <f>IFERROR((SUMIF(Data!B:B, A352, Data!H:H)
/ (COUNTIF(Data!B:B, A352)
)),"")</f>
        <v/>
      </c>
      <c r="D352" s="45" t="str">
        <f>IFERROR((SUMIF(Data!B:B, A352, Data!G:G)
/ (COUNTIF(Data!B:B, A352)
)),"")</f>
        <v/>
      </c>
      <c r="E352" s="45"/>
      <c r="F352" s="45" t="str">
        <f>IFERROR((SUMIF(Data!B:B, A352, Data!J:J)
/ (COUNTIF(Data!B:B, A352)
)),"")</f>
        <v/>
      </c>
      <c r="G352" s="56" t="str">
        <f>IF(A352="","",IFERROR((((((SUMIF(Data!B:B, A352, Data!H:H)+(SUMIF(Data!B:B, A352,Data!G:G)))/(SUMIF(Data!B:B, A352, Data!J:J)))))),0))</f>
        <v/>
      </c>
      <c r="H352" s="45"/>
      <c r="I352" s="45"/>
      <c r="J352" s="45"/>
      <c r="K352" s="45"/>
      <c r="L352" s="45" t="str">
        <f>IFERROR((SUMIF(Data!B:B, A352, Data!L:L)
/ (COUNTIF(Data!B:B, A352)
)),"")</f>
        <v/>
      </c>
      <c r="M352" s="45" t="str">
        <f>IFERROR((SUMIF(Data!B:B, A352, Data!K:K)
/ (COUNTIF(Data!B:B, A352)
)),"")</f>
        <v/>
      </c>
      <c r="N352" s="56"/>
      <c r="O352" s="56" t="str">
        <f>IF(A352="","",IFERROR((((((SUMIF(Data!B:B, A352, Data!H:H)+(SUMIF(Data!B:B, A352,Data!G:G)+(SUMIF(Data!B:B, A352,Data!L:L)+(SUMIF(Data!B:B, A352,Data!K:K)))))/(SUMIF(Data!B:B, A352, Data!M:M)+(SUMIF(Data!B:B, A352, Data!H:H)+(SUMIF(Data!B:B, A352,Data!G:G)+(SUMIF(Data!B:B, A352,Data!K:K)+(SUMIF(Data!B:B, A352,Data!L:L)))))))))),0))</f>
        <v/>
      </c>
      <c r="P352" s="57" t="str">
        <f>IFERROR(__xludf.DUMMYFUNCTION("IFERROR(((COUNTIF(FILTER(Data!N:N,Data!B:B=A352),""TRAVERSE"")*15)+(COUNTIF(FILTER(Data!N:N,Data!B:B=A352),""HIGH"")*10)+(COUNTIF(FILTER(Data!N:N,Data!B:B=A352),""MIDDLE"")*6)+(COUNTIF(FILTER(Data!N:N,Data!B:B=A352),""LOW"")*4)) / (COUNTIF(Data!B:B, A352)"&amp;"),"""")"),"")</f>
        <v/>
      </c>
      <c r="Q352" s="58"/>
      <c r="R352" s="36" t="str">
        <f t="shared" si="37"/>
        <v/>
      </c>
      <c r="S352" s="58" t="str">
        <f>IFERROR(__xludf.DUMMYFUNCTION("IFERROR((((COUNTIF(FILTER(Data!N:N,Data!B:B=A352),""TRAVERSE""))+(COUNTIF(FILTER(Data!N:N,Data!B:B=A352),""HIGH""))+(COUNTIF(FILTER(Data!N:N,Data!B:B=A352),""MIDDLE""))+(COUNTIF(FILTER(Data!N:N,Data!B:B=A352),""LOW"")))) / (((COUNTIF(Data!B:B, A352)))-(CO"&amp;"UNTIF(FILTER(Data!N:N,Data!B:B=A352),""NONE""))),IF(ISBLANK(A352),"""",0))"),"")</f>
        <v/>
      </c>
      <c r="T352" s="56" t="str">
        <f>IFERROR(__xludf.DUMMYFUNCTION("IFERROR((COUNTIF(FILTER(Data!N:N, Data!B:B=A352),""LOW"")) / (COUNTIF(Data!B:B, A352)),"""")"),"")</f>
        <v/>
      </c>
      <c r="U352" s="59" t="str">
        <f>IFERROR(__xludf.DUMMYFUNCTION("IFERROR((COUNTIF(FILTER(Data!N:N, Data!B:B=A352),""MIDDLE"")) / (COUNTIF(Data!B:B, A352)),"""")"),"")</f>
        <v/>
      </c>
      <c r="V352" s="59" t="str">
        <f>IFERROR(__xludf.DUMMYFUNCTION("IFERROR((COUNTIF(FILTER(Data!N:N, Data!B:B=A352),""HIGH"")) / (COUNTIF(Data!B:B, A352)),"""")"),"")</f>
        <v/>
      </c>
      <c r="W352" s="59" t="str">
        <f>IFERROR(__xludf.DUMMYFUNCTION("IFERROR((COUNTIF(FILTER(Data!N:N, Data!B:B=A352),""TRAVERSE"")) / (COUNTIF(Data!B:B, A352)),"""")"),"")</f>
        <v/>
      </c>
      <c r="X352" s="59"/>
      <c r="Y352" s="45" t="str">
        <f t="shared" si="7"/>
        <v/>
      </c>
      <c r="Z352" s="45" t="str">
        <f t="shared" si="8"/>
        <v/>
      </c>
      <c r="AA352" s="16" t="str">
        <f t="shared" si="9"/>
        <v/>
      </c>
      <c r="AB352" s="16"/>
      <c r="AC352" s="16"/>
      <c r="AD352" s="16"/>
      <c r="AE352" s="16" t="str">
        <f t="shared" si="12"/>
        <v/>
      </c>
      <c r="AF352" s="16" t="str">
        <f t="shared" si="13"/>
        <v/>
      </c>
      <c r="AG352" s="44"/>
      <c r="AH352" s="44"/>
      <c r="AI352" s="44" t="str">
        <f>IFERROR(__xludf.DUMMYFUNCTION("TEXTJOIN("", "",TRUE, FILTER(Data!P:P, Data!B:B=A352))"),"")</f>
        <v/>
      </c>
      <c r="AM352" s="61"/>
      <c r="BC352" s="50"/>
    </row>
    <row r="353">
      <c r="A353" s="54"/>
      <c r="B353" s="55" t="str">
        <f>IFERROR(__xludf.DUMMYFUNCTION("IFERROR(ROUND(
(COUNTIF(FILTER(Data!O:O, Data!B:B=A353), ""Win"")
+ COUNTIF(FILTER(Data!O:O, Data!B:B=A353), {""Tie"",""Results""}))
/ (COUNTIF(Data!B:B, A353)),
1),"""")"),"")</f>
        <v/>
      </c>
      <c r="C353" s="45" t="str">
        <f>IFERROR((SUMIF(Data!B:B, A353, Data!H:H)
/ (COUNTIF(Data!B:B, A353)
)),"")</f>
        <v/>
      </c>
      <c r="D353" s="45" t="str">
        <f>IFERROR((SUMIF(Data!B:B, A353, Data!G:G)
/ (COUNTIF(Data!B:B, A353)
)),"")</f>
        <v/>
      </c>
      <c r="E353" s="45"/>
      <c r="F353" s="45" t="str">
        <f>IFERROR((SUMIF(Data!B:B, A353, Data!J:J)
/ (COUNTIF(Data!B:B, A353)
)),"")</f>
        <v/>
      </c>
      <c r="G353" s="56" t="str">
        <f>IF(A353="","",IFERROR((((((SUMIF(Data!B:B, A353, Data!H:H)+(SUMIF(Data!B:B, A353,Data!G:G)))/(SUMIF(Data!B:B, A353, Data!J:J)))))),0))</f>
        <v/>
      </c>
      <c r="H353" s="45"/>
      <c r="I353" s="45"/>
      <c r="J353" s="45"/>
      <c r="K353" s="45"/>
      <c r="L353" s="45" t="str">
        <f>IFERROR((SUMIF(Data!B:B, A353, Data!L:L)
/ (COUNTIF(Data!B:B, A353)
)),"")</f>
        <v/>
      </c>
      <c r="M353" s="45" t="str">
        <f>IFERROR((SUMIF(Data!B:B, A353, Data!K:K)
/ (COUNTIF(Data!B:B, A353)
)),"")</f>
        <v/>
      </c>
      <c r="N353" s="56"/>
      <c r="O353" s="56" t="str">
        <f>IF(A353="","",IFERROR((((((SUMIF(Data!B:B, A353, Data!H:H)+(SUMIF(Data!B:B, A353,Data!G:G)+(SUMIF(Data!B:B, A353,Data!L:L)+(SUMIF(Data!B:B, A353,Data!K:K)))))/(SUMIF(Data!B:B, A353, Data!M:M)+(SUMIF(Data!B:B, A353, Data!H:H)+(SUMIF(Data!B:B, A353,Data!G:G)+(SUMIF(Data!B:B, A353,Data!K:K)+(SUMIF(Data!B:B, A353,Data!L:L)))))))))),0))</f>
        <v/>
      </c>
      <c r="P353" s="57" t="str">
        <f>IFERROR(__xludf.DUMMYFUNCTION("IFERROR(((COUNTIF(FILTER(Data!N:N,Data!B:B=A353),""TRAVERSE"")*15)+(COUNTIF(FILTER(Data!N:N,Data!B:B=A353),""HIGH"")*10)+(COUNTIF(FILTER(Data!N:N,Data!B:B=A353),""MIDDLE"")*6)+(COUNTIF(FILTER(Data!N:N,Data!B:B=A353),""LOW"")*4)) / (COUNTIF(Data!B:B, A353)"&amp;"),"""")"),"")</f>
        <v/>
      </c>
      <c r="Q353" s="58"/>
      <c r="R353" s="36" t="str">
        <f t="shared" si="37"/>
        <v/>
      </c>
      <c r="S353" s="58" t="str">
        <f>IFERROR(__xludf.DUMMYFUNCTION("IFERROR((((COUNTIF(FILTER(Data!N:N,Data!B:B=A353),""TRAVERSE""))+(COUNTIF(FILTER(Data!N:N,Data!B:B=A353),""HIGH""))+(COUNTIF(FILTER(Data!N:N,Data!B:B=A353),""MIDDLE""))+(COUNTIF(FILTER(Data!N:N,Data!B:B=A353),""LOW"")))) / (((COUNTIF(Data!B:B, A353)))-(CO"&amp;"UNTIF(FILTER(Data!N:N,Data!B:B=A353),""NONE""))),IF(ISBLANK(A353),"""",0))"),"")</f>
        <v/>
      </c>
      <c r="T353" s="56" t="str">
        <f>IFERROR(__xludf.DUMMYFUNCTION("IFERROR((COUNTIF(FILTER(Data!N:N, Data!B:B=A353),""LOW"")) / (COUNTIF(Data!B:B, A353)),"""")"),"")</f>
        <v/>
      </c>
      <c r="U353" s="59" t="str">
        <f>IFERROR(__xludf.DUMMYFUNCTION("IFERROR((COUNTIF(FILTER(Data!N:N, Data!B:B=A353),""MIDDLE"")) / (COUNTIF(Data!B:B, A353)),"""")"),"")</f>
        <v/>
      </c>
      <c r="V353" s="59" t="str">
        <f>IFERROR(__xludf.DUMMYFUNCTION("IFERROR((COUNTIF(FILTER(Data!N:N, Data!B:B=A353),""HIGH"")) / (COUNTIF(Data!B:B, A353)),"""")"),"")</f>
        <v/>
      </c>
      <c r="W353" s="59" t="str">
        <f>IFERROR(__xludf.DUMMYFUNCTION("IFERROR((COUNTIF(FILTER(Data!N:N, Data!B:B=A353),""TRAVERSE"")) / (COUNTIF(Data!B:B, A353)),"""")"),"")</f>
        <v/>
      </c>
      <c r="X353" s="59"/>
      <c r="Y353" s="45" t="str">
        <f t="shared" si="7"/>
        <v/>
      </c>
      <c r="Z353" s="45" t="str">
        <f t="shared" si="8"/>
        <v/>
      </c>
      <c r="AA353" s="16" t="str">
        <f t="shared" si="9"/>
        <v/>
      </c>
      <c r="AB353" s="16"/>
      <c r="AC353" s="16"/>
      <c r="AD353" s="16"/>
      <c r="AE353" s="16" t="str">
        <f t="shared" si="12"/>
        <v/>
      </c>
      <c r="AF353" s="16" t="str">
        <f t="shared" si="13"/>
        <v/>
      </c>
      <c r="AG353" s="44"/>
      <c r="AH353" s="44"/>
      <c r="AI353" s="44" t="str">
        <f>IFERROR(__xludf.DUMMYFUNCTION("TEXTJOIN("", "",TRUE, FILTER(Data!P:P, Data!B:B=A353))"),"")</f>
        <v/>
      </c>
      <c r="AM353" s="61"/>
      <c r="BC353" s="50"/>
    </row>
    <row r="354">
      <c r="A354" s="54"/>
      <c r="B354" s="55" t="str">
        <f>IFERROR(__xludf.DUMMYFUNCTION("IFERROR(ROUND(
(COUNTIF(FILTER(Data!O:O, Data!B:B=A354), ""Win"")
+ COUNTIF(FILTER(Data!O:O, Data!B:B=A354), {""Tie"",""Results""}))
/ (COUNTIF(Data!B:B, A354)),
1),"""")"),"")</f>
        <v/>
      </c>
      <c r="C354" s="45" t="str">
        <f>IFERROR((SUMIF(Data!B:B, A354, Data!H:H)
/ (COUNTIF(Data!B:B, A354)
)),"")</f>
        <v/>
      </c>
      <c r="D354" s="45" t="str">
        <f>IFERROR((SUMIF(Data!B:B, A354, Data!G:G)
/ (COUNTIF(Data!B:B, A354)
)),"")</f>
        <v/>
      </c>
      <c r="E354" s="45"/>
      <c r="F354" s="45" t="str">
        <f>IFERROR((SUMIF(Data!B:B, A354, Data!J:J)
/ (COUNTIF(Data!B:B, A354)
)),"")</f>
        <v/>
      </c>
      <c r="G354" s="56" t="str">
        <f>IF(A354="","",IFERROR((((((SUMIF(Data!B:B, A354, Data!H:H)+(SUMIF(Data!B:B, A354,Data!G:G)))/(SUMIF(Data!B:B, A354, Data!J:J)))))),0))</f>
        <v/>
      </c>
      <c r="H354" s="45"/>
      <c r="I354" s="45"/>
      <c r="J354" s="45"/>
      <c r="K354" s="45"/>
      <c r="L354" s="45" t="str">
        <f>IFERROR((SUMIF(Data!B:B, A354, Data!L:L)
/ (COUNTIF(Data!B:B, A354)
)),"")</f>
        <v/>
      </c>
      <c r="M354" s="45" t="str">
        <f>IFERROR((SUMIF(Data!B:B, A354, Data!K:K)
/ (COUNTIF(Data!B:B, A354)
)),"")</f>
        <v/>
      </c>
      <c r="N354" s="56"/>
      <c r="O354" s="56" t="str">
        <f>IF(A354="","",IFERROR((((((SUMIF(Data!B:B, A354, Data!H:H)+(SUMIF(Data!B:B, A354,Data!G:G)+(SUMIF(Data!B:B, A354,Data!L:L)+(SUMIF(Data!B:B, A354,Data!K:K)))))/(SUMIF(Data!B:B, A354, Data!M:M)+(SUMIF(Data!B:B, A354, Data!H:H)+(SUMIF(Data!B:B, A354,Data!G:G)+(SUMIF(Data!B:B, A354,Data!K:K)+(SUMIF(Data!B:B, A354,Data!L:L)))))))))),0))</f>
        <v/>
      </c>
      <c r="P354" s="57" t="str">
        <f>IFERROR(__xludf.DUMMYFUNCTION("IFERROR(((COUNTIF(FILTER(Data!N:N,Data!B:B=A354),""TRAVERSE"")*15)+(COUNTIF(FILTER(Data!N:N,Data!B:B=A354),""HIGH"")*10)+(COUNTIF(FILTER(Data!N:N,Data!B:B=A354),""MIDDLE"")*6)+(COUNTIF(FILTER(Data!N:N,Data!B:B=A354),""LOW"")*4)) / (COUNTIF(Data!B:B, A354)"&amp;"),"""")"),"")</f>
        <v/>
      </c>
      <c r="Q354" s="58"/>
      <c r="R354" s="36" t="str">
        <f t="shared" si="37"/>
        <v/>
      </c>
      <c r="S354" s="58" t="str">
        <f>IFERROR(__xludf.DUMMYFUNCTION("IFERROR((((COUNTIF(FILTER(Data!N:N,Data!B:B=A354),""TRAVERSE""))+(COUNTIF(FILTER(Data!N:N,Data!B:B=A354),""HIGH""))+(COUNTIF(FILTER(Data!N:N,Data!B:B=A354),""MIDDLE""))+(COUNTIF(FILTER(Data!N:N,Data!B:B=A354),""LOW"")))) / (((COUNTIF(Data!B:B, A354)))-(CO"&amp;"UNTIF(FILTER(Data!N:N,Data!B:B=A354),""NONE""))),IF(ISBLANK(A354),"""",0))"),"")</f>
        <v/>
      </c>
      <c r="T354" s="56" t="str">
        <f>IFERROR(__xludf.DUMMYFUNCTION("IFERROR((COUNTIF(FILTER(Data!N:N, Data!B:B=A354),""LOW"")) / (COUNTIF(Data!B:B, A354)),"""")"),"")</f>
        <v/>
      </c>
      <c r="U354" s="59" t="str">
        <f>IFERROR(__xludf.DUMMYFUNCTION("IFERROR((COUNTIF(FILTER(Data!N:N, Data!B:B=A354),""MIDDLE"")) / (COUNTIF(Data!B:B, A354)),"""")"),"")</f>
        <v/>
      </c>
      <c r="V354" s="59" t="str">
        <f>IFERROR(__xludf.DUMMYFUNCTION("IFERROR((COUNTIF(FILTER(Data!N:N, Data!B:B=A354),""HIGH"")) / (COUNTIF(Data!B:B, A354)),"""")"),"")</f>
        <v/>
      </c>
      <c r="W354" s="59" t="str">
        <f>IFERROR(__xludf.DUMMYFUNCTION("IFERROR((COUNTIF(FILTER(Data!N:N, Data!B:B=A354),""TRAVERSE"")) / (COUNTIF(Data!B:B, A354)),"""")"),"")</f>
        <v/>
      </c>
      <c r="X354" s="59"/>
      <c r="Y354" s="45" t="str">
        <f t="shared" si="7"/>
        <v/>
      </c>
      <c r="Z354" s="45" t="str">
        <f t="shared" si="8"/>
        <v/>
      </c>
      <c r="AA354" s="16" t="str">
        <f t="shared" si="9"/>
        <v/>
      </c>
      <c r="AB354" s="16"/>
      <c r="AC354" s="16"/>
      <c r="AD354" s="16"/>
      <c r="AE354" s="16" t="str">
        <f t="shared" si="12"/>
        <v/>
      </c>
      <c r="AF354" s="16" t="str">
        <f t="shared" si="13"/>
        <v/>
      </c>
      <c r="AG354" s="44"/>
      <c r="AH354" s="44"/>
      <c r="AI354" s="44" t="str">
        <f>IFERROR(__xludf.DUMMYFUNCTION("TEXTJOIN("", "",TRUE, FILTER(Data!P:P, Data!B:B=A354))"),"")</f>
        <v/>
      </c>
      <c r="AM354" s="61"/>
      <c r="BC354" s="50"/>
    </row>
    <row r="355">
      <c r="A355" s="54"/>
      <c r="B355" s="55" t="str">
        <f>IFERROR(__xludf.DUMMYFUNCTION("IFERROR(ROUND(
(COUNTIF(FILTER(Data!O:O, Data!B:B=A355), ""Win"")
+ COUNTIF(FILTER(Data!O:O, Data!B:B=A355), {""Tie"",""Results""}))
/ (COUNTIF(Data!B:B, A355)),
1),"""")"),"")</f>
        <v/>
      </c>
      <c r="C355" s="45" t="str">
        <f>IFERROR((SUMIF(Data!B:B, A355, Data!H:H)
/ (COUNTIF(Data!B:B, A355)
)),"")</f>
        <v/>
      </c>
      <c r="D355" s="45" t="str">
        <f>IFERROR((SUMIF(Data!B:B, A355, Data!G:G)
/ (COUNTIF(Data!B:B, A355)
)),"")</f>
        <v/>
      </c>
      <c r="E355" s="45"/>
      <c r="F355" s="45" t="str">
        <f>IFERROR((SUMIF(Data!B:B, A355, Data!J:J)
/ (COUNTIF(Data!B:B, A355)
)),"")</f>
        <v/>
      </c>
      <c r="G355" s="56" t="str">
        <f>IF(A355="","",IFERROR((((((SUMIF(Data!B:B, A355, Data!H:H)+(SUMIF(Data!B:B, A355,Data!G:G)))/(SUMIF(Data!B:B, A355, Data!J:J)))))),0))</f>
        <v/>
      </c>
      <c r="H355" s="45"/>
      <c r="I355" s="45"/>
      <c r="J355" s="45"/>
      <c r="K355" s="45"/>
      <c r="L355" s="45" t="str">
        <f>IFERROR((SUMIF(Data!B:B, A355, Data!L:L)
/ (COUNTIF(Data!B:B, A355)
)),"")</f>
        <v/>
      </c>
      <c r="M355" s="45" t="str">
        <f>IFERROR((SUMIF(Data!B:B, A355, Data!K:K)
/ (COUNTIF(Data!B:B, A355)
)),"")</f>
        <v/>
      </c>
      <c r="N355" s="56"/>
      <c r="O355" s="56" t="str">
        <f>IF(A355="","",IFERROR((((((SUMIF(Data!B:B, A355, Data!H:H)+(SUMIF(Data!B:B, A355,Data!G:G)+(SUMIF(Data!B:B, A355,Data!L:L)+(SUMIF(Data!B:B, A355,Data!K:K)))))/(SUMIF(Data!B:B, A355, Data!M:M)+(SUMIF(Data!B:B, A355, Data!H:H)+(SUMIF(Data!B:B, A355,Data!G:G)+(SUMIF(Data!B:B, A355,Data!K:K)+(SUMIF(Data!B:B, A355,Data!L:L)))))))))),0))</f>
        <v/>
      </c>
      <c r="P355" s="57" t="str">
        <f>IFERROR(__xludf.DUMMYFUNCTION("IFERROR(((COUNTIF(FILTER(Data!N:N,Data!B:B=A355),""TRAVERSE"")*15)+(COUNTIF(FILTER(Data!N:N,Data!B:B=A355),""HIGH"")*10)+(COUNTIF(FILTER(Data!N:N,Data!B:B=A355),""MIDDLE"")*6)+(COUNTIF(FILTER(Data!N:N,Data!B:B=A355),""LOW"")*4)) / (COUNTIF(Data!B:B, A355)"&amp;"),"""")"),"")</f>
        <v/>
      </c>
      <c r="Q355" s="58"/>
      <c r="R355" s="36" t="str">
        <f t="shared" si="37"/>
        <v/>
      </c>
      <c r="S355" s="58" t="str">
        <f>IFERROR(__xludf.DUMMYFUNCTION("IFERROR((((COUNTIF(FILTER(Data!N:N,Data!B:B=A355),""TRAVERSE""))+(COUNTIF(FILTER(Data!N:N,Data!B:B=A355),""HIGH""))+(COUNTIF(FILTER(Data!N:N,Data!B:B=A355),""MIDDLE""))+(COUNTIF(FILTER(Data!N:N,Data!B:B=A355),""LOW"")))) / (((COUNTIF(Data!B:B, A355)))-(CO"&amp;"UNTIF(FILTER(Data!N:N,Data!B:B=A355),""NONE""))),IF(ISBLANK(A355),"""",0))"),"")</f>
        <v/>
      </c>
      <c r="T355" s="56" t="str">
        <f>IFERROR(__xludf.DUMMYFUNCTION("IFERROR((COUNTIF(FILTER(Data!N:N, Data!B:B=A355),""LOW"")) / (COUNTIF(Data!B:B, A355)),"""")"),"")</f>
        <v/>
      </c>
      <c r="U355" s="59" t="str">
        <f>IFERROR(__xludf.DUMMYFUNCTION("IFERROR((COUNTIF(FILTER(Data!N:N, Data!B:B=A355),""MIDDLE"")) / (COUNTIF(Data!B:B, A355)),"""")"),"")</f>
        <v/>
      </c>
      <c r="V355" s="59" t="str">
        <f>IFERROR(__xludf.DUMMYFUNCTION("IFERROR((COUNTIF(FILTER(Data!N:N, Data!B:B=A355),""HIGH"")) / (COUNTIF(Data!B:B, A355)),"""")"),"")</f>
        <v/>
      </c>
      <c r="W355" s="59" t="str">
        <f>IFERROR(__xludf.DUMMYFUNCTION("IFERROR((COUNTIF(FILTER(Data!N:N, Data!B:B=A355),""TRAVERSE"")) / (COUNTIF(Data!B:B, A355)),"""")"),"")</f>
        <v/>
      </c>
      <c r="X355" s="59"/>
      <c r="Y355" s="45" t="str">
        <f t="shared" si="7"/>
        <v/>
      </c>
      <c r="Z355" s="45" t="str">
        <f t="shared" si="8"/>
        <v/>
      </c>
      <c r="AA355" s="16" t="str">
        <f t="shared" si="9"/>
        <v/>
      </c>
      <c r="AB355" s="16"/>
      <c r="AC355" s="16"/>
      <c r="AD355" s="16"/>
      <c r="AE355" s="16" t="str">
        <f t="shared" si="12"/>
        <v/>
      </c>
      <c r="AF355" s="16" t="str">
        <f t="shared" si="13"/>
        <v/>
      </c>
      <c r="AG355" s="44"/>
      <c r="AH355" s="44"/>
      <c r="AI355" s="44" t="str">
        <f>IFERROR(__xludf.DUMMYFUNCTION("TEXTJOIN("", "",TRUE, FILTER(Data!P:P, Data!B:B=A355))"),"")</f>
        <v/>
      </c>
      <c r="AM355" s="61"/>
      <c r="BC355" s="50"/>
    </row>
    <row r="356">
      <c r="A356" s="54"/>
      <c r="B356" s="55" t="str">
        <f>IFERROR(__xludf.DUMMYFUNCTION("IFERROR(ROUND(
(COUNTIF(FILTER(Data!O:O, Data!B:B=A356), ""Win"")
+ COUNTIF(FILTER(Data!O:O, Data!B:B=A356), {""Tie"",""Results""}))
/ (COUNTIF(Data!B:B, A356)),
1),"""")"),"")</f>
        <v/>
      </c>
      <c r="C356" s="45" t="str">
        <f>IFERROR((SUMIF(Data!B:B, A356, Data!H:H)
/ (COUNTIF(Data!B:B, A356)
)),"")</f>
        <v/>
      </c>
      <c r="D356" s="45" t="str">
        <f>IFERROR((SUMIF(Data!B:B, A356, Data!G:G)
/ (COUNTIF(Data!B:B, A356)
)),"")</f>
        <v/>
      </c>
      <c r="E356" s="45"/>
      <c r="F356" s="45" t="str">
        <f>IFERROR((SUMIF(Data!B:B, A356, Data!J:J)
/ (COUNTIF(Data!B:B, A356)
)),"")</f>
        <v/>
      </c>
      <c r="G356" s="56" t="str">
        <f>IF(A356="","",IFERROR((((((SUMIF(Data!B:B, A356, Data!H:H)+(SUMIF(Data!B:B, A356,Data!G:G)))/(SUMIF(Data!B:B, A356, Data!J:J)))))),0))</f>
        <v/>
      </c>
      <c r="H356" s="45"/>
      <c r="I356" s="45"/>
      <c r="J356" s="45"/>
      <c r="K356" s="45"/>
      <c r="L356" s="45" t="str">
        <f>IFERROR((SUMIF(Data!B:B, A356, Data!L:L)
/ (COUNTIF(Data!B:B, A356)
)),"")</f>
        <v/>
      </c>
      <c r="M356" s="45" t="str">
        <f>IFERROR((SUMIF(Data!B:B, A356, Data!K:K)
/ (COUNTIF(Data!B:B, A356)
)),"")</f>
        <v/>
      </c>
      <c r="N356" s="56"/>
      <c r="O356" s="56" t="str">
        <f>IF(A356="","",IFERROR((((((SUMIF(Data!B:B, A356, Data!H:H)+(SUMIF(Data!B:B, A356,Data!G:G)+(SUMIF(Data!B:B, A356,Data!L:L)+(SUMIF(Data!B:B, A356,Data!K:K)))))/(SUMIF(Data!B:B, A356, Data!M:M)+(SUMIF(Data!B:B, A356, Data!H:H)+(SUMIF(Data!B:B, A356,Data!G:G)+(SUMIF(Data!B:B, A356,Data!K:K)+(SUMIF(Data!B:B, A356,Data!L:L)))))))))),0))</f>
        <v/>
      </c>
      <c r="P356" s="57" t="str">
        <f>IFERROR(__xludf.DUMMYFUNCTION("IFERROR(((COUNTIF(FILTER(Data!N:N,Data!B:B=A356),""TRAVERSE"")*15)+(COUNTIF(FILTER(Data!N:N,Data!B:B=A356),""HIGH"")*10)+(COUNTIF(FILTER(Data!N:N,Data!B:B=A356),""MIDDLE"")*6)+(COUNTIF(FILTER(Data!N:N,Data!B:B=A356),""LOW"")*4)) / (COUNTIF(Data!B:B, A356)"&amp;"),"""")"),"")</f>
        <v/>
      </c>
      <c r="Q356" s="58"/>
      <c r="R356" s="58"/>
      <c r="S356" s="58" t="str">
        <f>IFERROR(__xludf.DUMMYFUNCTION("IFERROR((((COUNTIF(FILTER(Data!N:N,Data!B:B=A356),""TRAVERSE""))+(COUNTIF(FILTER(Data!N:N,Data!B:B=A356),""HIGH""))+(COUNTIF(FILTER(Data!N:N,Data!B:B=A356),""MIDDLE""))+(COUNTIF(FILTER(Data!N:N,Data!B:B=A356),""LOW"")))) / (((COUNTIF(Data!B:B, A356)))-(CO"&amp;"UNTIF(FILTER(Data!N:N,Data!B:B=A356),""NONE""))),IF(ISBLANK(A356),"""",0))"),"")</f>
        <v/>
      </c>
      <c r="T356" s="56" t="str">
        <f>IFERROR(__xludf.DUMMYFUNCTION("IFERROR((COUNTIF(FILTER(Data!N:N, Data!B:B=A356),""LOW"")) / (COUNTIF(Data!B:B, A356)),"""")"),"")</f>
        <v/>
      </c>
      <c r="U356" s="59" t="str">
        <f>IFERROR(__xludf.DUMMYFUNCTION("IFERROR((COUNTIF(FILTER(Data!N:N, Data!B:B=A356),""MIDDLE"")) / (COUNTIF(Data!B:B, A356)),"""")"),"")</f>
        <v/>
      </c>
      <c r="V356" s="59" t="str">
        <f>IFERROR(__xludf.DUMMYFUNCTION("IFERROR((COUNTIF(FILTER(Data!N:N, Data!B:B=A356),""HIGH"")) / (COUNTIF(Data!B:B, A356)),"""")"),"")</f>
        <v/>
      </c>
      <c r="W356" s="59" t="str">
        <f>IFERROR(__xludf.DUMMYFUNCTION("IFERROR((COUNTIF(FILTER(Data!N:N, Data!B:B=A356),""TRAVERSE"")) / (COUNTIF(Data!B:B, A356)),"""")"),"")</f>
        <v/>
      </c>
      <c r="X356" s="59"/>
      <c r="Y356" s="45" t="str">
        <f t="shared" si="7"/>
        <v/>
      </c>
      <c r="Z356" s="45" t="str">
        <f t="shared" si="8"/>
        <v/>
      </c>
      <c r="AA356" s="16" t="str">
        <f t="shared" si="9"/>
        <v/>
      </c>
      <c r="AB356" s="16"/>
      <c r="AC356" s="16"/>
      <c r="AD356" s="16"/>
      <c r="AE356" s="16" t="str">
        <f t="shared" si="12"/>
        <v/>
      </c>
      <c r="AF356" s="16" t="str">
        <f t="shared" si="13"/>
        <v/>
      </c>
      <c r="AG356" s="44"/>
      <c r="AH356" s="44"/>
      <c r="AI356" s="44" t="str">
        <f>IFERROR(__xludf.DUMMYFUNCTION("TEXTJOIN("", "",TRUE, FILTER(Data!P:P, Data!B:B=A356))"),"")</f>
        <v/>
      </c>
      <c r="AM356" s="61"/>
      <c r="BC356" s="50"/>
    </row>
    <row r="357">
      <c r="A357" s="54"/>
      <c r="B357" s="55" t="str">
        <f>IFERROR(__xludf.DUMMYFUNCTION("IFERROR(ROUND(
(COUNTIF(FILTER(Data!O:O, Data!B:B=A357), ""Win"")
+ COUNTIF(FILTER(Data!O:O, Data!B:B=A357), {""Tie"",""Results""}))
/ (COUNTIF(Data!B:B, A357)),
1),"""")"),"")</f>
        <v/>
      </c>
      <c r="C357" s="45" t="str">
        <f>IFERROR((SUMIF(Data!B:B, A357, Data!H:H)
/ (COUNTIF(Data!B:B, A357)
)),"")</f>
        <v/>
      </c>
      <c r="D357" s="45" t="str">
        <f>IFERROR((SUMIF(Data!B:B, A357, Data!G:G)
/ (COUNTIF(Data!B:B, A357)
)),"")</f>
        <v/>
      </c>
      <c r="E357" s="45"/>
      <c r="F357" s="45" t="str">
        <f>IFERROR((SUMIF(Data!B:B, A357, Data!J:J)
/ (COUNTIF(Data!B:B, A357)
)),"")</f>
        <v/>
      </c>
      <c r="G357" s="56" t="str">
        <f>IF(A357="","",IFERROR((((((SUMIF(Data!B:B, A357, Data!H:H)+(SUMIF(Data!B:B, A357,Data!G:G)))/(SUMIF(Data!B:B, A357, Data!J:J)))))),0))</f>
        <v/>
      </c>
      <c r="H357" s="45"/>
      <c r="I357" s="45"/>
      <c r="J357" s="45"/>
      <c r="K357" s="45"/>
      <c r="L357" s="45" t="str">
        <f>IFERROR((SUMIF(Data!B:B, A357, Data!L:L)
/ (COUNTIF(Data!B:B, A357)
)),"")</f>
        <v/>
      </c>
      <c r="M357" s="45" t="str">
        <f>IFERROR((SUMIF(Data!B:B, A357, Data!K:K)
/ (COUNTIF(Data!B:B, A357)
)),"")</f>
        <v/>
      </c>
      <c r="N357" s="56"/>
      <c r="O357" s="56" t="str">
        <f>IF(A357="","",IFERROR((((((SUMIF(Data!B:B, A357, Data!H:H)+(SUMIF(Data!B:B, A357,Data!G:G)+(SUMIF(Data!B:B, A357,Data!L:L)+(SUMIF(Data!B:B, A357,Data!K:K)))))/(SUMIF(Data!B:B, A357, Data!M:M)+(SUMIF(Data!B:B, A357, Data!H:H)+(SUMIF(Data!B:B, A357,Data!G:G)+(SUMIF(Data!B:B, A357,Data!K:K)+(SUMIF(Data!B:B, A357,Data!L:L)))))))))),0))</f>
        <v/>
      </c>
      <c r="P357" s="57" t="str">
        <f>IFERROR(__xludf.DUMMYFUNCTION("IFERROR(((COUNTIF(FILTER(Data!N:N,Data!B:B=A357),""TRAVERSE"")*15)+(COUNTIF(FILTER(Data!N:N,Data!B:B=A357),""HIGH"")*10)+(COUNTIF(FILTER(Data!N:N,Data!B:B=A357),""MIDDLE"")*6)+(COUNTIF(FILTER(Data!N:N,Data!B:B=A357),""LOW"")*4)) / (COUNTIF(Data!B:B, A357)"&amp;"),"""")"),"")</f>
        <v/>
      </c>
      <c r="Q357" s="58"/>
      <c r="R357" s="58"/>
      <c r="S357" s="58" t="str">
        <f>IFERROR(__xludf.DUMMYFUNCTION("IFERROR((((COUNTIF(FILTER(Data!N:N,Data!B:B=A357),""TRAVERSE""))+(COUNTIF(FILTER(Data!N:N,Data!B:B=A357),""HIGH""))+(COUNTIF(FILTER(Data!N:N,Data!B:B=A357),""MIDDLE""))+(COUNTIF(FILTER(Data!N:N,Data!B:B=A357),""LOW"")))) / (((COUNTIF(Data!B:B, A357)))-(CO"&amp;"UNTIF(FILTER(Data!N:N,Data!B:B=A357),""NONE""))),IF(ISBLANK(A357),"""",0))"),"")</f>
        <v/>
      </c>
      <c r="T357" s="56" t="str">
        <f>IFERROR(__xludf.DUMMYFUNCTION("IFERROR((COUNTIF(FILTER(Data!N:N, Data!B:B=A357),""LOW"")) / (COUNTIF(Data!B:B, A357)),"""")"),"")</f>
        <v/>
      </c>
      <c r="U357" s="59" t="str">
        <f>IFERROR(__xludf.DUMMYFUNCTION("IFERROR((COUNTIF(FILTER(Data!N:N, Data!B:B=A357),""MIDDLE"")) / (COUNTIF(Data!B:B, A357)),"""")"),"")</f>
        <v/>
      </c>
      <c r="V357" s="59" t="str">
        <f>IFERROR(__xludf.DUMMYFUNCTION("IFERROR((COUNTIF(FILTER(Data!N:N, Data!B:B=A357),""HIGH"")) / (COUNTIF(Data!B:B, A357)),"""")"),"")</f>
        <v/>
      </c>
      <c r="W357" s="59" t="str">
        <f>IFERROR(__xludf.DUMMYFUNCTION("IFERROR((COUNTIF(FILTER(Data!N:N, Data!B:B=A357),""TRAVERSE"")) / (COUNTIF(Data!B:B, A357)),"""")"),"")</f>
        <v/>
      </c>
      <c r="X357" s="59"/>
      <c r="Y357" s="45" t="str">
        <f t="shared" si="7"/>
        <v/>
      </c>
      <c r="Z357" s="45" t="str">
        <f t="shared" si="8"/>
        <v/>
      </c>
      <c r="AA357" s="16" t="str">
        <f t="shared" si="9"/>
        <v/>
      </c>
      <c r="AB357" s="16"/>
      <c r="AC357" s="16"/>
      <c r="AD357" s="16"/>
      <c r="AE357" s="16" t="str">
        <f t="shared" si="12"/>
        <v/>
      </c>
      <c r="AF357" s="16" t="str">
        <f t="shared" si="13"/>
        <v/>
      </c>
      <c r="AG357" s="44"/>
      <c r="AH357" s="44"/>
      <c r="AI357" s="44" t="str">
        <f>IFERROR(__xludf.DUMMYFUNCTION("TEXTJOIN("", "",TRUE, FILTER(Data!P:P, Data!B:B=A357))"),"")</f>
        <v/>
      </c>
      <c r="AM357" s="61"/>
      <c r="BC357" s="50"/>
    </row>
    <row r="358">
      <c r="A358" s="54"/>
      <c r="B358" s="55" t="str">
        <f>IFERROR(__xludf.DUMMYFUNCTION("IFERROR(ROUND(
(COUNTIF(FILTER(Data!O:O, Data!B:B=A358), ""Win"")
+ COUNTIF(FILTER(Data!O:O, Data!B:B=A358), {""Tie"",""Results""}))
/ (COUNTIF(Data!B:B, A358)),
1),"""")"),"")</f>
        <v/>
      </c>
      <c r="C358" s="45" t="str">
        <f>IFERROR((SUMIF(Data!B:B, A358, Data!H:H)
/ (COUNTIF(Data!B:B, A358)
)),"")</f>
        <v/>
      </c>
      <c r="D358" s="45" t="str">
        <f>IFERROR((SUMIF(Data!B:B, A358, Data!G:G)
/ (COUNTIF(Data!B:B, A358)
)),"")</f>
        <v/>
      </c>
      <c r="E358" s="45"/>
      <c r="F358" s="45" t="str">
        <f>IFERROR((SUMIF(Data!B:B, A358, Data!J:J)
/ (COUNTIF(Data!B:B, A358)
)),"")</f>
        <v/>
      </c>
      <c r="G358" s="56" t="str">
        <f>IF(A358="","",IFERROR((((((SUMIF(Data!B:B, A358, Data!H:H)+(SUMIF(Data!B:B, A358,Data!G:G)))/(SUMIF(Data!B:B, A358, Data!J:J)))))),0))</f>
        <v/>
      </c>
      <c r="H358" s="45"/>
      <c r="I358" s="45"/>
      <c r="J358" s="45"/>
      <c r="K358" s="45"/>
      <c r="L358" s="45" t="str">
        <f>IFERROR((SUMIF(Data!B:B, A358, Data!L:L)
/ (COUNTIF(Data!B:B, A358)
)),"")</f>
        <v/>
      </c>
      <c r="M358" s="45" t="str">
        <f>IFERROR((SUMIF(Data!B:B, A358, Data!K:K)
/ (COUNTIF(Data!B:B, A358)
)),"")</f>
        <v/>
      </c>
      <c r="N358" s="56"/>
      <c r="O358" s="56" t="str">
        <f>IF(A358="","",IFERROR((((((SUMIF(Data!B:B, A358, Data!H:H)+(SUMIF(Data!B:B, A358,Data!G:G)+(SUMIF(Data!B:B, A358,Data!L:L)+(SUMIF(Data!B:B, A358,Data!K:K)))))/(SUMIF(Data!B:B, A358, Data!M:M)+(SUMIF(Data!B:B, A358, Data!H:H)+(SUMIF(Data!B:B, A358,Data!G:G)+(SUMIF(Data!B:B, A358,Data!K:K)+(SUMIF(Data!B:B, A358,Data!L:L)))))))))),0))</f>
        <v/>
      </c>
      <c r="P358" s="57" t="str">
        <f>IFERROR(__xludf.DUMMYFUNCTION("IFERROR(((COUNTIF(FILTER(Data!N:N,Data!B:B=A358),""TRAVERSE"")*15)+(COUNTIF(FILTER(Data!N:N,Data!B:B=A358),""HIGH"")*10)+(COUNTIF(FILTER(Data!N:N,Data!B:B=A358),""MIDDLE"")*6)+(COUNTIF(FILTER(Data!N:N,Data!B:B=A358),""LOW"")*4)) / (COUNTIF(Data!B:B, A358)"&amp;"),"""")"),"")</f>
        <v/>
      </c>
      <c r="Q358" s="58"/>
      <c r="R358" s="58"/>
      <c r="S358" s="58" t="str">
        <f>IFERROR(__xludf.DUMMYFUNCTION("IFERROR((((COUNTIF(FILTER(Data!N:N,Data!B:B=A358),""TRAVERSE""))+(COUNTIF(FILTER(Data!N:N,Data!B:B=A358),""HIGH""))+(COUNTIF(FILTER(Data!N:N,Data!B:B=A358),""MIDDLE""))+(COUNTIF(FILTER(Data!N:N,Data!B:B=A358),""LOW"")))) / (((COUNTIF(Data!B:B, A358)))-(CO"&amp;"UNTIF(FILTER(Data!N:N,Data!B:B=A358),""NONE""))),IF(ISBLANK(A358),"""",0))"),"")</f>
        <v/>
      </c>
      <c r="T358" s="56" t="str">
        <f>IFERROR(__xludf.DUMMYFUNCTION("IFERROR((COUNTIF(FILTER(Data!N:N, Data!B:B=A358),""LOW"")) / (COUNTIF(Data!B:B, A358)),"""")"),"")</f>
        <v/>
      </c>
      <c r="U358" s="59" t="str">
        <f>IFERROR(__xludf.DUMMYFUNCTION("IFERROR((COUNTIF(FILTER(Data!N:N, Data!B:B=A358),""MIDDLE"")) / (COUNTIF(Data!B:B, A358)),"""")"),"")</f>
        <v/>
      </c>
      <c r="V358" s="59" t="str">
        <f>IFERROR(__xludf.DUMMYFUNCTION("IFERROR((COUNTIF(FILTER(Data!N:N, Data!B:B=A358),""HIGH"")) / (COUNTIF(Data!B:B, A358)),"""")"),"")</f>
        <v/>
      </c>
      <c r="W358" s="59" t="str">
        <f>IFERROR(__xludf.DUMMYFUNCTION("IFERROR((COUNTIF(FILTER(Data!N:N, Data!B:B=A358),""TRAVERSE"")) / (COUNTIF(Data!B:B, A358)),"""")"),"")</f>
        <v/>
      </c>
      <c r="X358" s="59"/>
      <c r="Y358" s="45" t="str">
        <f t="shared" si="7"/>
        <v/>
      </c>
      <c r="Z358" s="45" t="str">
        <f t="shared" si="8"/>
        <v/>
      </c>
      <c r="AA358" s="16" t="str">
        <f t="shared" si="9"/>
        <v/>
      </c>
      <c r="AB358" s="16"/>
      <c r="AC358" s="16"/>
      <c r="AD358" s="16"/>
      <c r="AE358" s="16" t="str">
        <f t="shared" si="12"/>
        <v/>
      </c>
      <c r="AF358" s="16" t="str">
        <f t="shared" si="13"/>
        <v/>
      </c>
      <c r="AG358" s="44"/>
      <c r="AH358" s="44"/>
      <c r="AI358" s="44" t="str">
        <f>IFERROR(__xludf.DUMMYFUNCTION("TEXTJOIN("", "",TRUE, FILTER(Data!P:P, Data!B:B=A358))"),"")</f>
        <v/>
      </c>
      <c r="AM358" s="61"/>
      <c r="BC358" s="50"/>
    </row>
    <row r="359">
      <c r="A359" s="54"/>
      <c r="B359" s="55" t="str">
        <f>IFERROR(__xludf.DUMMYFUNCTION("IFERROR(ROUND(
(COUNTIF(FILTER(Data!O:O, Data!B:B=A359), ""Win"")
+ COUNTIF(FILTER(Data!O:O, Data!B:B=A359), {""Tie"",""Results""}))
/ (COUNTIF(Data!B:B, A359)),
1),"""")"),"")</f>
        <v/>
      </c>
      <c r="C359" s="45" t="str">
        <f>IFERROR((SUMIF(Data!B:B, A359, Data!H:H)
/ (COUNTIF(Data!B:B, A359)
)),"")</f>
        <v/>
      </c>
      <c r="D359" s="45" t="str">
        <f>IFERROR((SUMIF(Data!B:B, A359, Data!G:G)
/ (COUNTIF(Data!B:B, A359)
)),"")</f>
        <v/>
      </c>
      <c r="E359" s="45"/>
      <c r="F359" s="45" t="str">
        <f>IFERROR((SUMIF(Data!B:B, A359, Data!J:J)
/ (COUNTIF(Data!B:B, A359)
)),"")</f>
        <v/>
      </c>
      <c r="G359" s="56" t="str">
        <f>IF(A359="","",IFERROR((((((SUMIF(Data!B:B, A359, Data!H:H)+(SUMIF(Data!B:B, A359,Data!G:G)))/(SUMIF(Data!B:B, A359, Data!J:J)))))),0))</f>
        <v/>
      </c>
      <c r="H359" s="45"/>
      <c r="I359" s="45"/>
      <c r="J359" s="45"/>
      <c r="K359" s="45"/>
      <c r="L359" s="45" t="str">
        <f>IFERROR((SUMIF(Data!B:B, A359, Data!L:L)
/ (COUNTIF(Data!B:B, A359)
)),"")</f>
        <v/>
      </c>
      <c r="M359" s="45" t="str">
        <f>IFERROR((SUMIF(Data!B:B, A359, Data!K:K)
/ (COUNTIF(Data!B:B, A359)
)),"")</f>
        <v/>
      </c>
      <c r="N359" s="56"/>
      <c r="O359" s="56" t="str">
        <f>IF(A359="","",IFERROR((((((SUMIF(Data!B:B, A359, Data!H:H)+(SUMIF(Data!B:B, A359,Data!G:G)+(SUMIF(Data!B:B, A359,Data!L:L)+(SUMIF(Data!B:B, A359,Data!K:K)))))/(SUMIF(Data!B:B, A359, Data!M:M)+(SUMIF(Data!B:B, A359, Data!H:H)+(SUMIF(Data!B:B, A359,Data!G:G)+(SUMIF(Data!B:B, A359,Data!K:K)+(SUMIF(Data!B:B, A359,Data!L:L)))))))))),0))</f>
        <v/>
      </c>
      <c r="P359" s="57" t="str">
        <f>IFERROR(__xludf.DUMMYFUNCTION("IFERROR(((COUNTIF(FILTER(Data!N:N,Data!B:B=A359),""TRAVERSE"")*15)+(COUNTIF(FILTER(Data!N:N,Data!B:B=A359),""HIGH"")*10)+(COUNTIF(FILTER(Data!N:N,Data!B:B=A359),""MIDDLE"")*6)+(COUNTIF(FILTER(Data!N:N,Data!B:B=A359),""LOW"")*4)) / (COUNTIF(Data!B:B, A359)"&amp;"),"""")"),"")</f>
        <v/>
      </c>
      <c r="Q359" s="58"/>
      <c r="R359" s="58"/>
      <c r="S359" s="58" t="str">
        <f>IFERROR(__xludf.DUMMYFUNCTION("IFERROR((((COUNTIF(FILTER(Data!N:N,Data!B:B=A359),""TRAVERSE""))+(COUNTIF(FILTER(Data!N:N,Data!B:B=A359),""HIGH""))+(COUNTIF(FILTER(Data!N:N,Data!B:B=A359),""MIDDLE""))+(COUNTIF(FILTER(Data!N:N,Data!B:B=A359),""LOW"")))) / (((COUNTIF(Data!B:B, A359)))-(CO"&amp;"UNTIF(FILTER(Data!N:N,Data!B:B=A359),""NONE""))),IF(ISBLANK(A359),"""",0))"),"")</f>
        <v/>
      </c>
      <c r="T359" s="56" t="str">
        <f>IFERROR(__xludf.DUMMYFUNCTION("IFERROR((COUNTIF(FILTER(Data!N:N, Data!B:B=A359),""LOW"")) / (COUNTIF(Data!B:B, A359)),"""")"),"")</f>
        <v/>
      </c>
      <c r="U359" s="59" t="str">
        <f>IFERROR(__xludf.DUMMYFUNCTION("IFERROR((COUNTIF(FILTER(Data!N:N, Data!B:B=A359),""MIDDLE"")) / (COUNTIF(Data!B:B, A359)),"""")"),"")</f>
        <v/>
      </c>
      <c r="V359" s="59" t="str">
        <f>IFERROR(__xludf.DUMMYFUNCTION("IFERROR((COUNTIF(FILTER(Data!N:N, Data!B:B=A359),""HIGH"")) / (COUNTIF(Data!B:B, A359)),"""")"),"")</f>
        <v/>
      </c>
      <c r="W359" s="59" t="str">
        <f>IFERROR(__xludf.DUMMYFUNCTION("IFERROR((COUNTIF(FILTER(Data!N:N, Data!B:B=A359),""TRAVERSE"")) / (COUNTIF(Data!B:B, A359)),"""")"),"")</f>
        <v/>
      </c>
      <c r="X359" s="59"/>
      <c r="Y359" s="45" t="str">
        <f t="shared" si="7"/>
        <v/>
      </c>
      <c r="Z359" s="45" t="str">
        <f t="shared" si="8"/>
        <v/>
      </c>
      <c r="AA359" s="16" t="str">
        <f t="shared" si="9"/>
        <v/>
      </c>
      <c r="AB359" s="16"/>
      <c r="AC359" s="16"/>
      <c r="AD359" s="16"/>
      <c r="AE359" s="16" t="str">
        <f t="shared" si="12"/>
        <v/>
      </c>
      <c r="AF359" s="16" t="str">
        <f t="shared" si="13"/>
        <v/>
      </c>
      <c r="AG359" s="44"/>
      <c r="AH359" s="44"/>
      <c r="AI359" s="44" t="str">
        <f>IFERROR(__xludf.DUMMYFUNCTION("TEXTJOIN("", "",TRUE, FILTER(Data!P:P, Data!B:B=A359))"),"")</f>
        <v/>
      </c>
      <c r="AM359" s="61"/>
      <c r="BC359" s="50"/>
    </row>
    <row r="360">
      <c r="A360" s="54"/>
      <c r="B360" s="55" t="str">
        <f>IFERROR(__xludf.DUMMYFUNCTION("IFERROR(ROUND(
(COUNTIF(FILTER(Data!O:O, Data!B:B=A360), ""Win"")
+ COUNTIF(FILTER(Data!O:O, Data!B:B=A360), {""Tie"",""Results""}))
/ (COUNTIF(Data!B:B, A360)),
1),"""")"),"")</f>
        <v/>
      </c>
      <c r="C360" s="45" t="str">
        <f>IFERROR((SUMIF(Data!B:B, A360, Data!H:H)
/ (COUNTIF(Data!B:B, A360)
)),"")</f>
        <v/>
      </c>
      <c r="D360" s="45" t="str">
        <f>IFERROR((SUMIF(Data!B:B, A360, Data!G:G)
/ (COUNTIF(Data!B:B, A360)
)),"")</f>
        <v/>
      </c>
      <c r="E360" s="45"/>
      <c r="F360" s="45" t="str">
        <f>IFERROR((SUMIF(Data!B:B, A360, Data!J:J)
/ (COUNTIF(Data!B:B, A360)
)),"")</f>
        <v/>
      </c>
      <c r="G360" s="56" t="str">
        <f>IF(A360="","",IFERROR((((((SUMIF(Data!B:B, A360, Data!H:H)+(SUMIF(Data!B:B, A360,Data!G:G)))/(SUMIF(Data!B:B, A360, Data!J:J)))))),0))</f>
        <v/>
      </c>
      <c r="H360" s="45"/>
      <c r="I360" s="45"/>
      <c r="J360" s="45"/>
      <c r="K360" s="45"/>
      <c r="L360" s="45" t="str">
        <f>IFERROR((SUMIF(Data!B:B, A360, Data!L:L)
/ (COUNTIF(Data!B:B, A360)
)),"")</f>
        <v/>
      </c>
      <c r="M360" s="45" t="str">
        <f>IFERROR((SUMIF(Data!B:B, A360, Data!K:K)
/ (COUNTIF(Data!B:B, A360)
)),"")</f>
        <v/>
      </c>
      <c r="N360" s="56"/>
      <c r="O360" s="56" t="str">
        <f>IF(A360="","",IFERROR((((((SUMIF(Data!B:B, A360, Data!H:H)+(SUMIF(Data!B:B, A360,Data!G:G)+(SUMIF(Data!B:B, A360,Data!L:L)+(SUMIF(Data!B:B, A360,Data!K:K)))))/(SUMIF(Data!B:B, A360, Data!M:M)+(SUMIF(Data!B:B, A360, Data!H:H)+(SUMIF(Data!B:B, A360,Data!G:G)+(SUMIF(Data!B:B, A360,Data!K:K)+(SUMIF(Data!B:B, A360,Data!L:L)))))))))),0))</f>
        <v/>
      </c>
      <c r="P360" s="57" t="str">
        <f>IFERROR(__xludf.DUMMYFUNCTION("IFERROR(((COUNTIF(FILTER(Data!N:N,Data!B:B=A360),""TRAVERSE"")*15)+(COUNTIF(FILTER(Data!N:N,Data!B:B=A360),""HIGH"")*10)+(COUNTIF(FILTER(Data!N:N,Data!B:B=A360),""MIDDLE"")*6)+(COUNTIF(FILTER(Data!N:N,Data!B:B=A360),""LOW"")*4)) / (COUNTIF(Data!B:B, A360)"&amp;"),"""")"),"")</f>
        <v/>
      </c>
      <c r="Q360" s="58"/>
      <c r="R360" s="58"/>
      <c r="S360" s="58" t="str">
        <f>IFERROR(__xludf.DUMMYFUNCTION("IFERROR((((COUNTIF(FILTER(Data!N:N,Data!B:B=A360),""TRAVERSE""))+(COUNTIF(FILTER(Data!N:N,Data!B:B=A360),""HIGH""))+(COUNTIF(FILTER(Data!N:N,Data!B:B=A360),""MIDDLE""))+(COUNTIF(FILTER(Data!N:N,Data!B:B=A360),""LOW"")))) / (((COUNTIF(Data!B:B, A360)))-(CO"&amp;"UNTIF(FILTER(Data!N:N,Data!B:B=A360),""NONE""))),IF(ISBLANK(A360),"""",0))"),"")</f>
        <v/>
      </c>
      <c r="T360" s="56" t="str">
        <f>IFERROR(__xludf.DUMMYFUNCTION("IFERROR((COUNTIF(FILTER(Data!N:N, Data!B:B=A360),""LOW"")) / (COUNTIF(Data!B:B, A360)),"""")"),"")</f>
        <v/>
      </c>
      <c r="U360" s="59" t="str">
        <f>IFERROR(__xludf.DUMMYFUNCTION("IFERROR((COUNTIF(FILTER(Data!N:N, Data!B:B=A360),""MIDDLE"")) / (COUNTIF(Data!B:B, A360)),"""")"),"")</f>
        <v/>
      </c>
      <c r="V360" s="59" t="str">
        <f>IFERROR(__xludf.DUMMYFUNCTION("IFERROR((COUNTIF(FILTER(Data!N:N, Data!B:B=A360),""HIGH"")) / (COUNTIF(Data!B:B, A360)),"""")"),"")</f>
        <v/>
      </c>
      <c r="W360" s="59" t="str">
        <f>IFERROR(__xludf.DUMMYFUNCTION("IFERROR((COUNTIF(FILTER(Data!N:N, Data!B:B=A360),""TRAVERSE"")) / (COUNTIF(Data!B:B, A360)),"""")"),"")</f>
        <v/>
      </c>
      <c r="X360" s="59"/>
      <c r="Y360" s="45" t="str">
        <f t="shared" si="7"/>
        <v/>
      </c>
      <c r="Z360" s="45" t="str">
        <f t="shared" si="8"/>
        <v/>
      </c>
      <c r="AA360" s="16" t="str">
        <f t="shared" si="9"/>
        <v/>
      </c>
      <c r="AB360" s="16"/>
      <c r="AC360" s="16"/>
      <c r="AD360" s="16"/>
      <c r="AE360" s="16" t="str">
        <f t="shared" si="12"/>
        <v/>
      </c>
      <c r="AF360" s="16" t="str">
        <f t="shared" si="13"/>
        <v/>
      </c>
      <c r="AG360" s="44"/>
      <c r="AH360" s="44"/>
      <c r="AI360" s="44" t="str">
        <f>IFERROR(__xludf.DUMMYFUNCTION("TEXTJOIN("", "",TRUE, FILTER(Data!P:P, Data!B:B=A360))"),"")</f>
        <v/>
      </c>
      <c r="AM360" s="61"/>
      <c r="BC360" s="50"/>
    </row>
    <row r="361">
      <c r="A361" s="54"/>
      <c r="B361" s="55" t="str">
        <f>IFERROR(__xludf.DUMMYFUNCTION("IFERROR(ROUND(
(COUNTIF(FILTER(Data!O:O, Data!B:B=A361), ""Win"")
+ COUNTIF(FILTER(Data!O:O, Data!B:B=A361), {""Tie"",""Results""}))
/ (COUNTIF(Data!B:B, A361)),
1),"""")"),"")</f>
        <v/>
      </c>
      <c r="C361" s="45" t="str">
        <f>IFERROR((SUMIF(Data!B:B, A361, Data!H:H)
/ (COUNTIF(Data!B:B, A361)
)),"")</f>
        <v/>
      </c>
      <c r="D361" s="45" t="str">
        <f>IFERROR((SUMIF(Data!B:B, A361, Data!G:G)
/ (COUNTIF(Data!B:B, A361)
)),"")</f>
        <v/>
      </c>
      <c r="E361" s="45"/>
      <c r="F361" s="45" t="str">
        <f>IFERROR((SUMIF(Data!B:B, A361, Data!J:J)
/ (COUNTIF(Data!B:B, A361)
)),"")</f>
        <v/>
      </c>
      <c r="G361" s="56" t="str">
        <f>IF(A361="","",IFERROR((((((SUMIF(Data!B:B, A361, Data!H:H)+(SUMIF(Data!B:B, A361,Data!G:G)))/(SUMIF(Data!B:B, A361, Data!J:J)))))),0))</f>
        <v/>
      </c>
      <c r="H361" s="45"/>
      <c r="I361" s="45"/>
      <c r="J361" s="45"/>
      <c r="K361" s="45"/>
      <c r="L361" s="45" t="str">
        <f>IFERROR((SUMIF(Data!B:B, A361, Data!L:L)
/ (COUNTIF(Data!B:B, A361)
)),"")</f>
        <v/>
      </c>
      <c r="M361" s="45" t="str">
        <f>IFERROR((SUMIF(Data!B:B, A361, Data!K:K)
/ (COUNTIF(Data!B:B, A361)
)),"")</f>
        <v/>
      </c>
      <c r="N361" s="56"/>
      <c r="O361" s="56" t="str">
        <f>IF(A361="","",IFERROR((((((SUMIF(Data!B:B, A361, Data!H:H)+(SUMIF(Data!B:B, A361,Data!G:G)+(SUMIF(Data!B:B, A361,Data!L:L)+(SUMIF(Data!B:B, A361,Data!K:K)))))/(SUMIF(Data!B:B, A361, Data!M:M)+(SUMIF(Data!B:B, A361, Data!H:H)+(SUMIF(Data!B:B, A361,Data!G:G)+(SUMIF(Data!B:B, A361,Data!K:K)+(SUMIF(Data!B:B, A361,Data!L:L)))))))))),0))</f>
        <v/>
      </c>
      <c r="P361" s="57" t="str">
        <f>IFERROR(__xludf.DUMMYFUNCTION("IFERROR(((COUNTIF(FILTER(Data!N:N,Data!B:B=A361),""TRAVERSE"")*15)+(COUNTIF(FILTER(Data!N:N,Data!B:B=A361),""HIGH"")*10)+(COUNTIF(FILTER(Data!N:N,Data!B:B=A361),""MIDDLE"")*6)+(COUNTIF(FILTER(Data!N:N,Data!B:B=A361),""LOW"")*4)) / (COUNTIF(Data!B:B, A361)"&amp;"),"""")"),"")</f>
        <v/>
      </c>
      <c r="Q361" s="58"/>
      <c r="R361" s="58"/>
      <c r="S361" s="58" t="str">
        <f>IFERROR(__xludf.DUMMYFUNCTION("IFERROR((((COUNTIF(FILTER(Data!N:N,Data!B:B=A361),""TRAVERSE""))+(COUNTIF(FILTER(Data!N:N,Data!B:B=A361),""HIGH""))+(COUNTIF(FILTER(Data!N:N,Data!B:B=A361),""MIDDLE""))+(COUNTIF(FILTER(Data!N:N,Data!B:B=A361),""LOW"")))) / (((COUNTIF(Data!B:B, A361)))-(CO"&amp;"UNTIF(FILTER(Data!N:N,Data!B:B=A361),""NONE""))),IF(ISBLANK(A361),"""",0))"),"")</f>
        <v/>
      </c>
      <c r="T361" s="56" t="str">
        <f>IFERROR(__xludf.DUMMYFUNCTION("IFERROR((COUNTIF(FILTER(Data!N:N, Data!B:B=A361),""LOW"")) / (COUNTIF(Data!B:B, A361)),"""")"),"")</f>
        <v/>
      </c>
      <c r="U361" s="59" t="str">
        <f>IFERROR(__xludf.DUMMYFUNCTION("IFERROR((COUNTIF(FILTER(Data!N:N, Data!B:B=A361),""MIDDLE"")) / (COUNTIF(Data!B:B, A361)),"""")"),"")</f>
        <v/>
      </c>
      <c r="V361" s="59" t="str">
        <f>IFERROR(__xludf.DUMMYFUNCTION("IFERROR((COUNTIF(FILTER(Data!N:N, Data!B:B=A361),""HIGH"")) / (COUNTIF(Data!B:B, A361)),"""")"),"")</f>
        <v/>
      </c>
      <c r="W361" s="59" t="str">
        <f>IFERROR(__xludf.DUMMYFUNCTION("IFERROR((COUNTIF(FILTER(Data!N:N, Data!B:B=A361),""TRAVERSE"")) / (COUNTIF(Data!B:B, A361)),"""")"),"")</f>
        <v/>
      </c>
      <c r="X361" s="59"/>
      <c r="Y361" s="45" t="str">
        <f t="shared" si="7"/>
        <v/>
      </c>
      <c r="Z361" s="45" t="str">
        <f t="shared" si="8"/>
        <v/>
      </c>
      <c r="AA361" s="16" t="str">
        <f t="shared" si="9"/>
        <v/>
      </c>
      <c r="AB361" s="16"/>
      <c r="AC361" s="16"/>
      <c r="AD361" s="16"/>
      <c r="AE361" s="16" t="str">
        <f t="shared" si="12"/>
        <v/>
      </c>
      <c r="AF361" s="16" t="str">
        <f t="shared" si="13"/>
        <v/>
      </c>
      <c r="AG361" s="44"/>
      <c r="AH361" s="44"/>
      <c r="AI361" s="44" t="str">
        <f>IFERROR(__xludf.DUMMYFUNCTION("TEXTJOIN("", "",TRUE, FILTER(Data!P:P, Data!B:B=A361))"),"")</f>
        <v/>
      </c>
      <c r="AM361" s="61"/>
      <c r="BC361" s="50"/>
    </row>
    <row r="362">
      <c r="A362" s="54"/>
      <c r="B362" s="55" t="str">
        <f>IFERROR(__xludf.DUMMYFUNCTION("IFERROR(ROUND(
(COUNTIF(FILTER(Data!O:O, Data!B:B=A362), ""Win"")
+ COUNTIF(FILTER(Data!O:O, Data!B:B=A362), {""Tie"",""Results""}))
/ (COUNTIF(Data!B:B, A362)),
1),"""")"),"")</f>
        <v/>
      </c>
      <c r="C362" s="45" t="str">
        <f>IFERROR((SUMIF(Data!B:B, A362, Data!H:H)
/ (COUNTIF(Data!B:B, A362)
)),"")</f>
        <v/>
      </c>
      <c r="D362" s="45" t="str">
        <f>IFERROR((SUMIF(Data!B:B, A362, Data!G:G)
/ (COUNTIF(Data!B:B, A362)
)),"")</f>
        <v/>
      </c>
      <c r="E362" s="45"/>
      <c r="F362" s="45" t="str">
        <f>IFERROR((SUMIF(Data!B:B, A362, Data!J:J)
/ (COUNTIF(Data!B:B, A362)
)),"")</f>
        <v/>
      </c>
      <c r="G362" s="56" t="str">
        <f>IF(A362="","",IFERROR((((((SUMIF(Data!B:B, A362, Data!H:H)+(SUMIF(Data!B:B, A362,Data!G:G)))/(SUMIF(Data!B:B, A362, Data!J:J)))))),0))</f>
        <v/>
      </c>
      <c r="H362" s="45"/>
      <c r="I362" s="45"/>
      <c r="J362" s="45"/>
      <c r="K362" s="45"/>
      <c r="L362" s="45" t="str">
        <f>IFERROR((SUMIF(Data!B:B, A362, Data!L:L)
/ (COUNTIF(Data!B:B, A362)
)),"")</f>
        <v/>
      </c>
      <c r="M362" s="45" t="str">
        <f>IFERROR((SUMIF(Data!B:B, A362, Data!K:K)
/ (COUNTIF(Data!B:B, A362)
)),"")</f>
        <v/>
      </c>
      <c r="N362" s="56"/>
      <c r="O362" s="56" t="str">
        <f>IF(A362="","",IFERROR((((((SUMIF(Data!B:B, A362, Data!H:H)+(SUMIF(Data!B:B, A362,Data!G:G)+(SUMIF(Data!B:B, A362,Data!L:L)+(SUMIF(Data!B:B, A362,Data!K:K)))))/(SUMIF(Data!B:B, A362, Data!M:M)+(SUMIF(Data!B:B, A362, Data!H:H)+(SUMIF(Data!B:B, A362,Data!G:G)+(SUMIF(Data!B:B, A362,Data!K:K)+(SUMIF(Data!B:B, A362,Data!L:L)))))))))),0))</f>
        <v/>
      </c>
      <c r="P362" s="57" t="str">
        <f>IFERROR(__xludf.DUMMYFUNCTION("IFERROR(((COUNTIF(FILTER(Data!N:N,Data!B:B=A362),""TRAVERSE"")*15)+(COUNTIF(FILTER(Data!N:N,Data!B:B=A362),""HIGH"")*10)+(COUNTIF(FILTER(Data!N:N,Data!B:B=A362),""MIDDLE"")*6)+(COUNTIF(FILTER(Data!N:N,Data!B:B=A362),""LOW"")*4)) / (COUNTIF(Data!B:B, A362)"&amp;"),"""")"),"")</f>
        <v/>
      </c>
      <c r="Q362" s="58"/>
      <c r="R362" s="58"/>
      <c r="S362" s="58" t="str">
        <f>IFERROR(__xludf.DUMMYFUNCTION("IFERROR((((COUNTIF(FILTER(Data!N:N,Data!B:B=A362),""TRAVERSE""))+(COUNTIF(FILTER(Data!N:N,Data!B:B=A362),""HIGH""))+(COUNTIF(FILTER(Data!N:N,Data!B:B=A362),""MIDDLE""))+(COUNTIF(FILTER(Data!N:N,Data!B:B=A362),""LOW"")))) / (((COUNTIF(Data!B:B, A362)))-(CO"&amp;"UNTIF(FILTER(Data!N:N,Data!B:B=A362),""NONE""))),IF(ISBLANK(A362),"""",0))"),"")</f>
        <v/>
      </c>
      <c r="T362" s="56" t="str">
        <f>IFERROR(__xludf.DUMMYFUNCTION("IFERROR((COUNTIF(FILTER(Data!N:N, Data!B:B=A362),""LOW"")) / (COUNTIF(Data!B:B, A362)),"""")"),"")</f>
        <v/>
      </c>
      <c r="U362" s="59" t="str">
        <f>IFERROR(__xludf.DUMMYFUNCTION("IFERROR((COUNTIF(FILTER(Data!N:N, Data!B:B=A362),""MIDDLE"")) / (COUNTIF(Data!B:B, A362)),"""")"),"")</f>
        <v/>
      </c>
      <c r="V362" s="59" t="str">
        <f>IFERROR(__xludf.DUMMYFUNCTION("IFERROR((COUNTIF(FILTER(Data!N:N, Data!B:B=A362),""HIGH"")) / (COUNTIF(Data!B:B, A362)),"""")"),"")</f>
        <v/>
      </c>
      <c r="W362" s="59" t="str">
        <f>IFERROR(__xludf.DUMMYFUNCTION("IFERROR((COUNTIF(FILTER(Data!N:N, Data!B:B=A362),""TRAVERSE"")) / (COUNTIF(Data!B:B, A362)),"""")"),"")</f>
        <v/>
      </c>
      <c r="X362" s="59"/>
      <c r="Y362" s="45" t="str">
        <f t="shared" si="7"/>
        <v/>
      </c>
      <c r="Z362" s="45" t="str">
        <f t="shared" si="8"/>
        <v/>
      </c>
      <c r="AA362" s="16" t="str">
        <f t="shared" si="9"/>
        <v/>
      </c>
      <c r="AB362" s="16"/>
      <c r="AC362" s="16"/>
      <c r="AD362" s="16"/>
      <c r="AE362" s="16" t="str">
        <f t="shared" si="12"/>
        <v/>
      </c>
      <c r="AF362" s="16" t="str">
        <f t="shared" si="13"/>
        <v/>
      </c>
      <c r="AG362" s="44"/>
      <c r="AH362" s="44"/>
      <c r="AI362" s="44" t="str">
        <f>IFERROR(__xludf.DUMMYFUNCTION("TEXTJOIN("", "",TRUE, FILTER(Data!P:P, Data!B:B=A362))"),"")</f>
        <v/>
      </c>
      <c r="AM362" s="61"/>
      <c r="BC362" s="50"/>
    </row>
    <row r="363">
      <c r="A363" s="54"/>
      <c r="B363" s="55" t="str">
        <f>IFERROR(__xludf.DUMMYFUNCTION("IFERROR(ROUND(
(COUNTIF(FILTER(Data!O:O, Data!B:B=A363), ""Win"")
+ COUNTIF(FILTER(Data!O:O, Data!B:B=A363), {""Tie"",""Results""}))
/ (COUNTIF(Data!B:B, A363)),
1),"""")"),"")</f>
        <v/>
      </c>
      <c r="C363" s="45" t="str">
        <f>IFERROR((SUMIF(Data!B:B, A363, Data!H:H)
/ (COUNTIF(Data!B:B, A363)
)),"")</f>
        <v/>
      </c>
      <c r="D363" s="45" t="str">
        <f>IFERROR((SUMIF(Data!B:B, A363, Data!G:G)
/ (COUNTIF(Data!B:B, A363)
)),"")</f>
        <v/>
      </c>
      <c r="E363" s="45"/>
      <c r="F363" s="45" t="str">
        <f>IFERROR((SUMIF(Data!B:B, A363, Data!J:J)
/ (COUNTIF(Data!B:B, A363)
)),"")</f>
        <v/>
      </c>
      <c r="G363" s="56" t="str">
        <f>IF(A363="","",IFERROR((((((SUMIF(Data!B:B, A363, Data!H:H)+(SUMIF(Data!B:B, A363,Data!G:G)))/(SUMIF(Data!B:B, A363, Data!J:J)))))),0))</f>
        <v/>
      </c>
      <c r="H363" s="45"/>
      <c r="I363" s="45"/>
      <c r="J363" s="45"/>
      <c r="K363" s="45"/>
      <c r="L363" s="45" t="str">
        <f>IFERROR((SUMIF(Data!B:B, A363, Data!L:L)
/ (COUNTIF(Data!B:B, A363)
)),"")</f>
        <v/>
      </c>
      <c r="M363" s="45" t="str">
        <f>IFERROR((SUMIF(Data!B:B, A363, Data!K:K)
/ (COUNTIF(Data!B:B, A363)
)),"")</f>
        <v/>
      </c>
      <c r="N363" s="56"/>
      <c r="O363" s="56" t="str">
        <f>IF(A363="","",IFERROR((((((SUMIF(Data!B:B, A363, Data!H:H)+(SUMIF(Data!B:B, A363,Data!G:G)+(SUMIF(Data!B:B, A363,Data!L:L)+(SUMIF(Data!B:B, A363,Data!K:K)))))/(SUMIF(Data!B:B, A363, Data!M:M)+(SUMIF(Data!B:B, A363, Data!H:H)+(SUMIF(Data!B:B, A363,Data!G:G)+(SUMIF(Data!B:B, A363,Data!K:K)+(SUMIF(Data!B:B, A363,Data!L:L)))))))))),0))</f>
        <v/>
      </c>
      <c r="P363" s="57" t="str">
        <f>IFERROR(__xludf.DUMMYFUNCTION("IFERROR(((COUNTIF(FILTER(Data!N:N,Data!B:B=A363),""TRAVERSE"")*15)+(COUNTIF(FILTER(Data!N:N,Data!B:B=A363),""HIGH"")*10)+(COUNTIF(FILTER(Data!N:N,Data!B:B=A363),""MIDDLE"")*6)+(COUNTIF(FILTER(Data!N:N,Data!B:B=A363),""LOW"")*4)) / (COUNTIF(Data!B:B, A363)"&amp;"),"""")"),"")</f>
        <v/>
      </c>
      <c r="Q363" s="58"/>
      <c r="R363" s="58"/>
      <c r="S363" s="58" t="str">
        <f>IFERROR(__xludf.DUMMYFUNCTION("IFERROR((((COUNTIF(FILTER(Data!N:N,Data!B:B=A363),""TRAVERSE""))+(COUNTIF(FILTER(Data!N:N,Data!B:B=A363),""HIGH""))+(COUNTIF(FILTER(Data!N:N,Data!B:B=A363),""MIDDLE""))+(COUNTIF(FILTER(Data!N:N,Data!B:B=A363),""LOW"")))) / (((COUNTIF(Data!B:B, A363)))-(CO"&amp;"UNTIF(FILTER(Data!N:N,Data!B:B=A363),""NONE""))),IF(ISBLANK(A363),"""",0))"),"")</f>
        <v/>
      </c>
      <c r="T363" s="56" t="str">
        <f>IFERROR(__xludf.DUMMYFUNCTION("IFERROR((COUNTIF(FILTER(Data!N:N, Data!B:B=A363),""LOW"")) / (COUNTIF(Data!B:B, A363)),"""")"),"")</f>
        <v/>
      </c>
      <c r="U363" s="59" t="str">
        <f>IFERROR(__xludf.DUMMYFUNCTION("IFERROR((COUNTIF(FILTER(Data!N:N, Data!B:B=A363),""MIDDLE"")) / (COUNTIF(Data!B:B, A363)),"""")"),"")</f>
        <v/>
      </c>
      <c r="V363" s="59" t="str">
        <f>IFERROR(__xludf.DUMMYFUNCTION("IFERROR((COUNTIF(FILTER(Data!N:N, Data!B:B=A363),""HIGH"")) / (COUNTIF(Data!B:B, A363)),"""")"),"")</f>
        <v/>
      </c>
      <c r="W363" s="59" t="str">
        <f>IFERROR(__xludf.DUMMYFUNCTION("IFERROR((COUNTIF(FILTER(Data!N:N, Data!B:B=A363),""TRAVERSE"")) / (COUNTIF(Data!B:B, A363)),"""")"),"")</f>
        <v/>
      </c>
      <c r="X363" s="59"/>
      <c r="Y363" s="45" t="str">
        <f t="shared" si="7"/>
        <v/>
      </c>
      <c r="Z363" s="45" t="str">
        <f t="shared" si="8"/>
        <v/>
      </c>
      <c r="AA363" s="16" t="str">
        <f t="shared" si="9"/>
        <v/>
      </c>
      <c r="AB363" s="16"/>
      <c r="AC363" s="16"/>
      <c r="AD363" s="16"/>
      <c r="AE363" s="16" t="str">
        <f t="shared" si="12"/>
        <v/>
      </c>
      <c r="AF363" s="16" t="str">
        <f t="shared" si="13"/>
        <v/>
      </c>
      <c r="AG363" s="44"/>
      <c r="AH363" s="44"/>
      <c r="AI363" s="44" t="str">
        <f>IFERROR(__xludf.DUMMYFUNCTION("TEXTJOIN("", "",TRUE, FILTER(Data!P:P, Data!B:B=A363))"),"")</f>
        <v/>
      </c>
      <c r="AM363" s="61"/>
      <c r="BC363" s="50"/>
    </row>
    <row r="364">
      <c r="A364" s="54"/>
      <c r="B364" s="55" t="str">
        <f>IFERROR(__xludf.DUMMYFUNCTION("IFERROR(ROUND(
(COUNTIF(FILTER(Data!O:O, Data!B:B=A364), ""Win"")
+ COUNTIF(FILTER(Data!O:O, Data!B:B=A364), {""Tie"",""Results""}))
/ (COUNTIF(Data!B:B, A364)),
1),"""")"),"")</f>
        <v/>
      </c>
      <c r="C364" s="45" t="str">
        <f>IFERROR((SUMIF(Data!B:B, A364, Data!H:H)
/ (COUNTIF(Data!B:B, A364)
)),"")</f>
        <v/>
      </c>
      <c r="D364" s="45" t="str">
        <f>IFERROR((SUMIF(Data!B:B, A364, Data!G:G)
/ (COUNTIF(Data!B:B, A364)
)),"")</f>
        <v/>
      </c>
      <c r="E364" s="45"/>
      <c r="F364" s="45" t="str">
        <f>IFERROR((SUMIF(Data!B:B, A364, Data!J:J)
/ (COUNTIF(Data!B:B, A364)
)),"")</f>
        <v/>
      </c>
      <c r="G364" s="56" t="str">
        <f>IF(A364="","",IFERROR((((((SUMIF(Data!B:B, A364, Data!H:H)+(SUMIF(Data!B:B, A364,Data!G:G)))/(SUMIF(Data!B:B, A364, Data!J:J)))))),0))</f>
        <v/>
      </c>
      <c r="H364" s="45"/>
      <c r="I364" s="45"/>
      <c r="J364" s="45"/>
      <c r="K364" s="45"/>
      <c r="L364" s="45" t="str">
        <f>IFERROR((SUMIF(Data!B:B, A364, Data!L:L)
/ (COUNTIF(Data!B:B, A364)
)),"")</f>
        <v/>
      </c>
      <c r="M364" s="45" t="str">
        <f>IFERROR((SUMIF(Data!B:B, A364, Data!K:K)
/ (COUNTIF(Data!B:B, A364)
)),"")</f>
        <v/>
      </c>
      <c r="N364" s="56"/>
      <c r="O364" s="56" t="str">
        <f>IF(A364="","",IFERROR((((((SUMIF(Data!B:B, A364, Data!H:H)+(SUMIF(Data!B:B, A364,Data!G:G)+(SUMIF(Data!B:B, A364,Data!L:L)+(SUMIF(Data!B:B, A364,Data!K:K)))))/(SUMIF(Data!B:B, A364, Data!M:M)+(SUMIF(Data!B:B, A364, Data!H:H)+(SUMIF(Data!B:B, A364,Data!G:G)+(SUMIF(Data!B:B, A364,Data!K:K)+(SUMIF(Data!B:B, A364,Data!L:L)))))))))),0))</f>
        <v/>
      </c>
      <c r="P364" s="57" t="str">
        <f>IFERROR(__xludf.DUMMYFUNCTION("IFERROR(((COUNTIF(FILTER(Data!N:N,Data!B:B=A364),""TRAVERSE"")*15)+(COUNTIF(FILTER(Data!N:N,Data!B:B=A364),""HIGH"")*10)+(COUNTIF(FILTER(Data!N:N,Data!B:B=A364),""MIDDLE"")*6)+(COUNTIF(FILTER(Data!N:N,Data!B:B=A364),""LOW"")*4)) / (COUNTIF(Data!B:B, A364)"&amp;"),"""")"),"")</f>
        <v/>
      </c>
      <c r="Q364" s="58"/>
      <c r="R364" s="58"/>
      <c r="S364" s="58" t="str">
        <f>IFERROR(__xludf.DUMMYFUNCTION("IFERROR((((COUNTIF(FILTER(Data!N:N,Data!B:B=A364),""TRAVERSE""))+(COUNTIF(FILTER(Data!N:N,Data!B:B=A364),""HIGH""))+(COUNTIF(FILTER(Data!N:N,Data!B:B=A364),""MIDDLE""))+(COUNTIF(FILTER(Data!N:N,Data!B:B=A364),""LOW"")))) / (((COUNTIF(Data!B:B, A364)))-(CO"&amp;"UNTIF(FILTER(Data!N:N,Data!B:B=A364),""NONE""))),IF(ISBLANK(A364),"""",0))"),"")</f>
        <v/>
      </c>
      <c r="T364" s="56" t="str">
        <f>IFERROR(__xludf.DUMMYFUNCTION("IFERROR((COUNTIF(FILTER(Data!N:N, Data!B:B=A364),""LOW"")) / (COUNTIF(Data!B:B, A364)),"""")"),"")</f>
        <v/>
      </c>
      <c r="U364" s="59" t="str">
        <f>IFERROR(__xludf.DUMMYFUNCTION("IFERROR((COUNTIF(FILTER(Data!N:N, Data!B:B=A364),""MIDDLE"")) / (COUNTIF(Data!B:B, A364)),"""")"),"")</f>
        <v/>
      </c>
      <c r="V364" s="59" t="str">
        <f>IFERROR(__xludf.DUMMYFUNCTION("IFERROR((COUNTIF(FILTER(Data!N:N, Data!B:B=A364),""HIGH"")) / (COUNTIF(Data!B:B, A364)),"""")"),"")</f>
        <v/>
      </c>
      <c r="W364" s="59" t="str">
        <f>IFERROR(__xludf.DUMMYFUNCTION("IFERROR((COUNTIF(FILTER(Data!N:N, Data!B:B=A364),""TRAVERSE"")) / (COUNTIF(Data!B:B, A364)),"""")"),"")</f>
        <v/>
      </c>
      <c r="X364" s="59"/>
      <c r="Y364" s="45" t="str">
        <f t="shared" si="7"/>
        <v/>
      </c>
      <c r="Z364" s="45" t="str">
        <f t="shared" si="8"/>
        <v/>
      </c>
      <c r="AA364" s="16" t="str">
        <f t="shared" si="9"/>
        <v/>
      </c>
      <c r="AB364" s="16"/>
      <c r="AC364" s="16"/>
      <c r="AD364" s="16"/>
      <c r="AE364" s="16" t="str">
        <f t="shared" si="12"/>
        <v/>
      </c>
      <c r="AF364" s="16" t="str">
        <f t="shared" si="13"/>
        <v/>
      </c>
      <c r="AG364" s="44"/>
      <c r="AH364" s="44"/>
      <c r="AI364" s="44" t="str">
        <f>IFERROR(__xludf.DUMMYFUNCTION("TEXTJOIN("", "",TRUE, FILTER(Data!P:P, Data!B:B=A364))"),"")</f>
        <v/>
      </c>
      <c r="AM364" s="61"/>
      <c r="BC364" s="50"/>
    </row>
    <row r="365">
      <c r="A365" s="54"/>
      <c r="B365" s="55" t="str">
        <f>IFERROR(__xludf.DUMMYFUNCTION("IFERROR(ROUND(
(COUNTIF(FILTER(Data!O:O, Data!B:B=A365), ""Win"")
+ COUNTIF(FILTER(Data!O:O, Data!B:B=A365), {""Tie"",""Results""}))
/ (COUNTIF(Data!B:B, A365)),
1),"""")"),"")</f>
        <v/>
      </c>
      <c r="C365" s="45" t="str">
        <f>IFERROR((SUMIF(Data!B:B, A365, Data!H:H)
/ (COUNTIF(Data!B:B, A365)
)),"")</f>
        <v/>
      </c>
      <c r="D365" s="45" t="str">
        <f>IFERROR((SUMIF(Data!B:B, A365, Data!G:G)
/ (COUNTIF(Data!B:B, A365)
)),"")</f>
        <v/>
      </c>
      <c r="E365" s="45"/>
      <c r="F365" s="45" t="str">
        <f>IFERROR((SUMIF(Data!B:B, A365, Data!J:J)
/ (COUNTIF(Data!B:B, A365)
)),"")</f>
        <v/>
      </c>
      <c r="G365" s="56" t="str">
        <f>IF(A365="","",IFERROR((((((SUMIF(Data!B:B, A365, Data!H:H)+(SUMIF(Data!B:B, A365,Data!G:G)))/(SUMIF(Data!B:B, A365, Data!J:J)))))),0))</f>
        <v/>
      </c>
      <c r="H365" s="45"/>
      <c r="I365" s="45"/>
      <c r="J365" s="45"/>
      <c r="K365" s="45"/>
      <c r="L365" s="45" t="str">
        <f>IFERROR((SUMIF(Data!B:B, A365, Data!L:L)
/ (COUNTIF(Data!B:B, A365)
)),"")</f>
        <v/>
      </c>
      <c r="M365" s="45" t="str">
        <f>IFERROR((SUMIF(Data!B:B, A365, Data!K:K)
/ (COUNTIF(Data!B:B, A365)
)),"")</f>
        <v/>
      </c>
      <c r="N365" s="56"/>
      <c r="O365" s="56" t="str">
        <f>IF(A365="","",IFERROR((((((SUMIF(Data!B:B, A365, Data!H:H)+(SUMIF(Data!B:B, A365,Data!G:G)+(SUMIF(Data!B:B, A365,Data!L:L)+(SUMIF(Data!B:B, A365,Data!K:K)))))/(SUMIF(Data!B:B, A365, Data!M:M)+(SUMIF(Data!B:B, A365, Data!H:H)+(SUMIF(Data!B:B, A365,Data!G:G)+(SUMIF(Data!B:B, A365,Data!K:K)+(SUMIF(Data!B:B, A365,Data!L:L)))))))))),0))</f>
        <v/>
      </c>
      <c r="P365" s="57" t="str">
        <f>IFERROR(__xludf.DUMMYFUNCTION("IFERROR(((COUNTIF(FILTER(Data!N:N,Data!B:B=A365),""TRAVERSE"")*15)+(COUNTIF(FILTER(Data!N:N,Data!B:B=A365),""HIGH"")*10)+(COUNTIF(FILTER(Data!N:N,Data!B:B=A365),""MIDDLE"")*6)+(COUNTIF(FILTER(Data!N:N,Data!B:B=A365),""LOW"")*4)) / (COUNTIF(Data!B:B, A365)"&amp;"),"""")"),"")</f>
        <v/>
      </c>
      <c r="Q365" s="58"/>
      <c r="R365" s="58"/>
      <c r="S365" s="58" t="str">
        <f>IFERROR(__xludf.DUMMYFUNCTION("IFERROR((((COUNTIF(FILTER(Data!N:N,Data!B:B=A365),""TRAVERSE""))+(COUNTIF(FILTER(Data!N:N,Data!B:B=A365),""HIGH""))+(COUNTIF(FILTER(Data!N:N,Data!B:B=A365),""MIDDLE""))+(COUNTIF(FILTER(Data!N:N,Data!B:B=A365),""LOW"")))) / (((COUNTIF(Data!B:B, A365)))-(CO"&amp;"UNTIF(FILTER(Data!N:N,Data!B:B=A365),""NONE""))),IF(ISBLANK(A365),"""",0))"),"")</f>
        <v/>
      </c>
      <c r="T365" s="56" t="str">
        <f>IFERROR(__xludf.DUMMYFUNCTION("IFERROR((COUNTIF(FILTER(Data!N:N, Data!B:B=A365),""LOW"")) / (COUNTIF(Data!B:B, A365)),"""")"),"")</f>
        <v/>
      </c>
      <c r="U365" s="59" t="str">
        <f>IFERROR(__xludf.DUMMYFUNCTION("IFERROR((COUNTIF(FILTER(Data!N:N, Data!B:B=A365),""MIDDLE"")) / (COUNTIF(Data!B:B, A365)),"""")"),"")</f>
        <v/>
      </c>
      <c r="V365" s="59" t="str">
        <f>IFERROR(__xludf.DUMMYFUNCTION("IFERROR((COUNTIF(FILTER(Data!N:N, Data!B:B=A365),""HIGH"")) / (COUNTIF(Data!B:B, A365)),"""")"),"")</f>
        <v/>
      </c>
      <c r="W365" s="59" t="str">
        <f>IFERROR(__xludf.DUMMYFUNCTION("IFERROR((COUNTIF(FILTER(Data!N:N, Data!B:B=A365),""TRAVERSE"")) / (COUNTIF(Data!B:B, A365)),"""")"),"")</f>
        <v/>
      </c>
      <c r="X365" s="59"/>
      <c r="Y365" s="45" t="str">
        <f t="shared" si="7"/>
        <v/>
      </c>
      <c r="Z365" s="45" t="str">
        <f t="shared" si="8"/>
        <v/>
      </c>
      <c r="AA365" s="16" t="str">
        <f t="shared" si="9"/>
        <v/>
      </c>
      <c r="AB365" s="16"/>
      <c r="AC365" s="16"/>
      <c r="AD365" s="16"/>
      <c r="AE365" s="16" t="str">
        <f t="shared" si="12"/>
        <v/>
      </c>
      <c r="AF365" s="16" t="str">
        <f t="shared" si="13"/>
        <v/>
      </c>
      <c r="AG365" s="44"/>
      <c r="AH365" s="44"/>
      <c r="AI365" s="44" t="str">
        <f>IFERROR(__xludf.DUMMYFUNCTION("TEXTJOIN("", "",TRUE, FILTER(Data!P:P, Data!B:B=A365))"),"")</f>
        <v/>
      </c>
      <c r="AM365" s="61"/>
      <c r="BC365" s="50"/>
    </row>
    <row r="366">
      <c r="A366" s="54"/>
      <c r="B366" s="55" t="str">
        <f>IFERROR(__xludf.DUMMYFUNCTION("IFERROR(ROUND(
(COUNTIF(FILTER(Data!O:O, Data!B:B=A366), ""Win"")
+ COUNTIF(FILTER(Data!O:O, Data!B:B=A366), {""Tie"",""Results""}))
/ (COUNTIF(Data!B:B, A366)),
1),"""")"),"")</f>
        <v/>
      </c>
      <c r="C366" s="45" t="str">
        <f>IFERROR((SUMIF(Data!B:B, A366, Data!H:H)
/ (COUNTIF(Data!B:B, A366)
)),"")</f>
        <v/>
      </c>
      <c r="D366" s="45" t="str">
        <f>IFERROR((SUMIF(Data!B:B, A366, Data!G:G)
/ (COUNTIF(Data!B:B, A366)
)),"")</f>
        <v/>
      </c>
      <c r="E366" s="45"/>
      <c r="F366" s="45" t="str">
        <f>IFERROR((SUMIF(Data!B:B, A366, Data!J:J)
/ (COUNTIF(Data!B:B, A366)
)),"")</f>
        <v/>
      </c>
      <c r="G366" s="56" t="str">
        <f>IF(A366="","",IFERROR((((((SUMIF(Data!B:B, A366, Data!H:H)+(SUMIF(Data!B:B, A366,Data!G:G)))/(SUMIF(Data!B:B, A366, Data!J:J)))))),0))</f>
        <v/>
      </c>
      <c r="H366" s="45"/>
      <c r="I366" s="45"/>
      <c r="J366" s="45"/>
      <c r="K366" s="45"/>
      <c r="L366" s="45" t="str">
        <f>IFERROR((SUMIF(Data!B:B, A366, Data!L:L)
/ (COUNTIF(Data!B:B, A366)
)),"")</f>
        <v/>
      </c>
      <c r="M366" s="45" t="str">
        <f>IFERROR((SUMIF(Data!B:B, A366, Data!K:K)
/ (COUNTIF(Data!B:B, A366)
)),"")</f>
        <v/>
      </c>
      <c r="N366" s="56"/>
      <c r="O366" s="56" t="str">
        <f>IF(A366="","",IFERROR((((((SUMIF(Data!B:B, A366, Data!H:H)+(SUMIF(Data!B:B, A366,Data!G:G)+(SUMIF(Data!B:B, A366,Data!L:L)+(SUMIF(Data!B:B, A366,Data!K:K)))))/(SUMIF(Data!B:B, A366, Data!M:M)+(SUMIF(Data!B:B, A366, Data!H:H)+(SUMIF(Data!B:B, A366,Data!G:G)+(SUMIF(Data!B:B, A366,Data!K:K)+(SUMIF(Data!B:B, A366,Data!L:L)))))))))),0))</f>
        <v/>
      </c>
      <c r="P366" s="57" t="str">
        <f>IFERROR(__xludf.DUMMYFUNCTION("IFERROR(((COUNTIF(FILTER(Data!N:N,Data!B:B=A366),""TRAVERSE"")*15)+(COUNTIF(FILTER(Data!N:N,Data!B:B=A366),""HIGH"")*10)+(COUNTIF(FILTER(Data!N:N,Data!B:B=A366),""MIDDLE"")*6)+(COUNTIF(FILTER(Data!N:N,Data!B:B=A366),""LOW"")*4)) / (COUNTIF(Data!B:B, A366)"&amp;"),"""")"),"")</f>
        <v/>
      </c>
      <c r="Q366" s="58"/>
      <c r="R366" s="58"/>
      <c r="S366" s="58" t="str">
        <f>IFERROR(__xludf.DUMMYFUNCTION("IFERROR((((COUNTIF(FILTER(Data!N:N,Data!B:B=A366),""TRAVERSE""))+(COUNTIF(FILTER(Data!N:N,Data!B:B=A366),""HIGH""))+(COUNTIF(FILTER(Data!N:N,Data!B:B=A366),""MIDDLE""))+(COUNTIF(FILTER(Data!N:N,Data!B:B=A366),""LOW"")))) / (((COUNTIF(Data!B:B, A366)))-(CO"&amp;"UNTIF(FILTER(Data!N:N,Data!B:B=A366),""NONE""))),IF(ISBLANK(A366),"""",0))"),"")</f>
        <v/>
      </c>
      <c r="T366" s="56" t="str">
        <f>IFERROR(__xludf.DUMMYFUNCTION("IFERROR((COUNTIF(FILTER(Data!N:N, Data!B:B=A366),""LOW"")) / (COUNTIF(Data!B:B, A366)),"""")"),"")</f>
        <v/>
      </c>
      <c r="U366" s="59" t="str">
        <f>IFERROR(__xludf.DUMMYFUNCTION("IFERROR((COUNTIF(FILTER(Data!N:N, Data!B:B=A366),""MIDDLE"")) / (COUNTIF(Data!B:B, A366)),"""")"),"")</f>
        <v/>
      </c>
      <c r="V366" s="59" t="str">
        <f>IFERROR(__xludf.DUMMYFUNCTION("IFERROR((COUNTIF(FILTER(Data!N:N, Data!B:B=A366),""HIGH"")) / (COUNTIF(Data!B:B, A366)),"""")"),"")</f>
        <v/>
      </c>
      <c r="W366" s="59" t="str">
        <f>IFERROR(__xludf.DUMMYFUNCTION("IFERROR((COUNTIF(FILTER(Data!N:N, Data!B:B=A366),""TRAVERSE"")) / (COUNTIF(Data!B:B, A366)),"""")"),"")</f>
        <v/>
      </c>
      <c r="X366" s="59"/>
      <c r="Y366" s="45" t="str">
        <f t="shared" si="7"/>
        <v/>
      </c>
      <c r="Z366" s="45" t="str">
        <f t="shared" si="8"/>
        <v/>
      </c>
      <c r="AA366" s="16" t="str">
        <f t="shared" si="9"/>
        <v/>
      </c>
      <c r="AB366" s="16"/>
      <c r="AC366" s="16"/>
      <c r="AD366" s="16"/>
      <c r="AE366" s="16" t="str">
        <f t="shared" si="12"/>
        <v/>
      </c>
      <c r="AF366" s="16" t="str">
        <f t="shared" si="13"/>
        <v/>
      </c>
      <c r="AG366" s="44"/>
      <c r="AH366" s="44"/>
      <c r="AI366" s="44" t="str">
        <f>IFERROR(__xludf.DUMMYFUNCTION("TEXTJOIN("", "",TRUE, FILTER(Data!P:P, Data!B:B=A366))"),"")</f>
        <v/>
      </c>
      <c r="AM366" s="61"/>
      <c r="BC366" s="50"/>
    </row>
    <row r="367">
      <c r="A367" s="54"/>
      <c r="B367" s="55" t="str">
        <f>IFERROR(__xludf.DUMMYFUNCTION("IFERROR(ROUND(
(COUNTIF(FILTER(Data!O:O, Data!B:B=A367), ""Win"")
+ COUNTIF(FILTER(Data!O:O, Data!B:B=A367), {""Tie"",""Results""}))
/ (COUNTIF(Data!B:B, A367)),
1),"""")"),"")</f>
        <v/>
      </c>
      <c r="C367" s="45" t="str">
        <f>IFERROR((SUMIF(Data!B:B, A367, Data!H:H)
/ (COUNTIF(Data!B:B, A367)
)),"")</f>
        <v/>
      </c>
      <c r="D367" s="45" t="str">
        <f>IFERROR((SUMIF(Data!B:B, A367, Data!G:G)
/ (COUNTIF(Data!B:B, A367)
)),"")</f>
        <v/>
      </c>
      <c r="E367" s="45"/>
      <c r="F367" s="45" t="str">
        <f>IFERROR((SUMIF(Data!B:B, A367, Data!J:J)
/ (COUNTIF(Data!B:B, A367)
)),"")</f>
        <v/>
      </c>
      <c r="G367" s="56" t="str">
        <f>IF(A367="","",IFERROR((((((SUMIF(Data!B:B, A367, Data!H:H)+(SUMIF(Data!B:B, A367,Data!G:G)))/(SUMIF(Data!B:B, A367, Data!J:J)))))),0))</f>
        <v/>
      </c>
      <c r="H367" s="45"/>
      <c r="I367" s="45"/>
      <c r="J367" s="45"/>
      <c r="K367" s="45"/>
      <c r="L367" s="45" t="str">
        <f>IFERROR((SUMIF(Data!B:B, A367, Data!L:L)
/ (COUNTIF(Data!B:B, A367)
)),"")</f>
        <v/>
      </c>
      <c r="M367" s="45" t="str">
        <f>IFERROR((SUMIF(Data!B:B, A367, Data!K:K)
/ (COUNTIF(Data!B:B, A367)
)),"")</f>
        <v/>
      </c>
      <c r="N367" s="56"/>
      <c r="O367" s="56" t="str">
        <f>IF(A367="","",IFERROR((((((SUMIF(Data!B:B, A367, Data!H:H)+(SUMIF(Data!B:B, A367,Data!G:G)+(SUMIF(Data!B:B, A367,Data!L:L)+(SUMIF(Data!B:B, A367,Data!K:K)))))/(SUMIF(Data!B:B, A367, Data!M:M)+(SUMIF(Data!B:B, A367, Data!H:H)+(SUMIF(Data!B:B, A367,Data!G:G)+(SUMIF(Data!B:B, A367,Data!K:K)+(SUMIF(Data!B:B, A367,Data!L:L)))))))))),0))</f>
        <v/>
      </c>
      <c r="P367" s="57" t="str">
        <f>IFERROR(__xludf.DUMMYFUNCTION("IFERROR(((COUNTIF(FILTER(Data!N:N,Data!B:B=A367),""TRAVERSE"")*15)+(COUNTIF(FILTER(Data!N:N,Data!B:B=A367),""HIGH"")*10)+(COUNTIF(FILTER(Data!N:N,Data!B:B=A367),""MIDDLE"")*6)+(COUNTIF(FILTER(Data!N:N,Data!B:B=A367),""LOW"")*4)) / (COUNTIF(Data!B:B, A367)"&amp;"),"""")"),"")</f>
        <v/>
      </c>
      <c r="Q367" s="58"/>
      <c r="R367" s="58"/>
      <c r="S367" s="58" t="str">
        <f>IFERROR(__xludf.DUMMYFUNCTION("IFERROR((((COUNTIF(FILTER(Data!N:N,Data!B:B=A367),""TRAVERSE""))+(COUNTIF(FILTER(Data!N:N,Data!B:B=A367),""HIGH""))+(COUNTIF(FILTER(Data!N:N,Data!B:B=A367),""MIDDLE""))+(COUNTIF(FILTER(Data!N:N,Data!B:B=A367),""LOW"")))) / (((COUNTIF(Data!B:B, A367)))-(CO"&amp;"UNTIF(FILTER(Data!N:N,Data!B:B=A367),""NONE""))),IF(ISBLANK(A367),"""",0))"),"")</f>
        <v/>
      </c>
      <c r="T367" s="56" t="str">
        <f>IFERROR(__xludf.DUMMYFUNCTION("IFERROR((COUNTIF(FILTER(Data!N:N, Data!B:B=A367),""LOW"")) / (COUNTIF(Data!B:B, A367)),"""")"),"")</f>
        <v/>
      </c>
      <c r="U367" s="59" t="str">
        <f>IFERROR(__xludf.DUMMYFUNCTION("IFERROR((COUNTIF(FILTER(Data!N:N, Data!B:B=A367),""MIDDLE"")) / (COUNTIF(Data!B:B, A367)),"""")"),"")</f>
        <v/>
      </c>
      <c r="V367" s="59" t="str">
        <f>IFERROR(__xludf.DUMMYFUNCTION("IFERROR((COUNTIF(FILTER(Data!N:N, Data!B:B=A367),""HIGH"")) / (COUNTIF(Data!B:B, A367)),"""")"),"")</f>
        <v/>
      </c>
      <c r="W367" s="59" t="str">
        <f>IFERROR(__xludf.DUMMYFUNCTION("IFERROR((COUNTIF(FILTER(Data!N:N, Data!B:B=A367),""TRAVERSE"")) / (COUNTIF(Data!B:B, A367)),"""")"),"")</f>
        <v/>
      </c>
      <c r="X367" s="59"/>
      <c r="Y367" s="45" t="str">
        <f t="shared" si="7"/>
        <v/>
      </c>
      <c r="Z367" s="45" t="str">
        <f t="shared" si="8"/>
        <v/>
      </c>
      <c r="AA367" s="16" t="str">
        <f t="shared" si="9"/>
        <v/>
      </c>
      <c r="AB367" s="16"/>
      <c r="AC367" s="16"/>
      <c r="AD367" s="16"/>
      <c r="AE367" s="16" t="str">
        <f t="shared" si="12"/>
        <v/>
      </c>
      <c r="AF367" s="16" t="str">
        <f t="shared" si="13"/>
        <v/>
      </c>
      <c r="AG367" s="44"/>
      <c r="AH367" s="44"/>
      <c r="AI367" s="44" t="str">
        <f>IFERROR(__xludf.DUMMYFUNCTION("TEXTJOIN("", "",TRUE, FILTER(Data!P:P, Data!B:B=A367))"),"")</f>
        <v/>
      </c>
      <c r="AM367" s="61"/>
      <c r="BC367" s="50"/>
    </row>
    <row r="368">
      <c r="A368" s="54"/>
      <c r="B368" s="55" t="str">
        <f>IFERROR(__xludf.DUMMYFUNCTION("IFERROR(ROUND(
(COUNTIF(FILTER(Data!O:O, Data!B:B=A368), ""Win"")
+ COUNTIF(FILTER(Data!O:O, Data!B:B=A368), {""Tie"",""Results""}))
/ (COUNTIF(Data!B:B, A368)),
1),"""")"),"")</f>
        <v/>
      </c>
      <c r="C368" s="45" t="str">
        <f>IFERROR((SUMIF(Data!B:B, A368, Data!H:H)
/ (COUNTIF(Data!B:B, A368)
)),"")</f>
        <v/>
      </c>
      <c r="D368" s="45" t="str">
        <f>IFERROR((SUMIF(Data!B:B, A368, Data!G:G)
/ (COUNTIF(Data!B:B, A368)
)),"")</f>
        <v/>
      </c>
      <c r="E368" s="45"/>
      <c r="F368" s="45" t="str">
        <f>IFERROR((SUMIF(Data!B:B, A368, Data!J:J)
/ (COUNTIF(Data!B:B, A368)
)),"")</f>
        <v/>
      </c>
      <c r="G368" s="56" t="str">
        <f>IF(A368="","",IFERROR((((((SUMIF(Data!B:B, A368, Data!H:H)+(SUMIF(Data!B:B, A368,Data!G:G)))/(SUMIF(Data!B:B, A368, Data!J:J)))))),0))</f>
        <v/>
      </c>
      <c r="H368" s="45"/>
      <c r="I368" s="45"/>
      <c r="J368" s="45"/>
      <c r="K368" s="45"/>
      <c r="L368" s="45" t="str">
        <f>IFERROR((SUMIF(Data!B:B, A368, Data!L:L)
/ (COUNTIF(Data!B:B, A368)
)),"")</f>
        <v/>
      </c>
      <c r="M368" s="45" t="str">
        <f>IFERROR((SUMIF(Data!B:B, A368, Data!K:K)
/ (COUNTIF(Data!B:B, A368)
)),"")</f>
        <v/>
      </c>
      <c r="N368" s="56"/>
      <c r="O368" s="56" t="str">
        <f>IF(A368="","",IFERROR((((((SUMIF(Data!B:B, A368, Data!H:H)+(SUMIF(Data!B:B, A368,Data!G:G)+(SUMIF(Data!B:B, A368,Data!L:L)+(SUMIF(Data!B:B, A368,Data!K:K)))))/(SUMIF(Data!B:B, A368, Data!M:M)+(SUMIF(Data!B:B, A368, Data!H:H)+(SUMIF(Data!B:B, A368,Data!G:G)+(SUMIF(Data!B:B, A368,Data!K:K)+(SUMIF(Data!B:B, A368,Data!L:L)))))))))),0))</f>
        <v/>
      </c>
      <c r="P368" s="57" t="str">
        <f>IFERROR(__xludf.DUMMYFUNCTION("IFERROR(((COUNTIF(FILTER(Data!N:N,Data!B:B=A368),""TRAVERSE"")*15)+(COUNTIF(FILTER(Data!N:N,Data!B:B=A368),""HIGH"")*10)+(COUNTIF(FILTER(Data!N:N,Data!B:B=A368),""MIDDLE"")*6)+(COUNTIF(FILTER(Data!N:N,Data!B:B=A368),""LOW"")*4)) / (COUNTIF(Data!B:B, A368)"&amp;"),"""")"),"")</f>
        <v/>
      </c>
      <c r="Q368" s="58"/>
      <c r="R368" s="58"/>
      <c r="S368" s="58" t="str">
        <f>IFERROR(__xludf.DUMMYFUNCTION("IFERROR((((COUNTIF(FILTER(Data!N:N,Data!B:B=A368),""TRAVERSE""))+(COUNTIF(FILTER(Data!N:N,Data!B:B=A368),""HIGH""))+(COUNTIF(FILTER(Data!N:N,Data!B:B=A368),""MIDDLE""))+(COUNTIF(FILTER(Data!N:N,Data!B:B=A368),""LOW"")))) / (((COUNTIF(Data!B:B, A368)))-(CO"&amp;"UNTIF(FILTER(Data!N:N,Data!B:B=A368),""NONE""))),IF(ISBLANK(A368),"""",0))"),"")</f>
        <v/>
      </c>
      <c r="T368" s="56" t="str">
        <f>IFERROR(__xludf.DUMMYFUNCTION("IFERROR((COUNTIF(FILTER(Data!N:N, Data!B:B=A368),""LOW"")) / (COUNTIF(Data!B:B, A368)),"""")"),"")</f>
        <v/>
      </c>
      <c r="U368" s="59" t="str">
        <f>IFERROR(__xludf.DUMMYFUNCTION("IFERROR((COUNTIF(FILTER(Data!N:N, Data!B:B=A368),""MIDDLE"")) / (COUNTIF(Data!B:B, A368)),"""")"),"")</f>
        <v/>
      </c>
      <c r="V368" s="59" t="str">
        <f>IFERROR(__xludf.DUMMYFUNCTION("IFERROR((COUNTIF(FILTER(Data!N:N, Data!B:B=A368),""HIGH"")) / (COUNTIF(Data!B:B, A368)),"""")"),"")</f>
        <v/>
      </c>
      <c r="W368" s="59" t="str">
        <f>IFERROR(__xludf.DUMMYFUNCTION("IFERROR((COUNTIF(FILTER(Data!N:N, Data!B:B=A368),""TRAVERSE"")) / (COUNTIF(Data!B:B, A368)),"""")"),"")</f>
        <v/>
      </c>
      <c r="X368" s="59"/>
      <c r="Y368" s="45" t="str">
        <f t="shared" si="7"/>
        <v/>
      </c>
      <c r="Z368" s="45" t="str">
        <f t="shared" si="8"/>
        <v/>
      </c>
      <c r="AA368" s="16" t="str">
        <f t="shared" si="9"/>
        <v/>
      </c>
      <c r="AB368" s="16"/>
      <c r="AC368" s="16"/>
      <c r="AD368" s="16"/>
      <c r="AE368" s="16" t="str">
        <f t="shared" si="12"/>
        <v/>
      </c>
      <c r="AF368" s="16" t="str">
        <f t="shared" si="13"/>
        <v/>
      </c>
      <c r="AG368" s="44"/>
      <c r="AH368" s="44"/>
      <c r="AI368" s="44" t="str">
        <f>IFERROR(__xludf.DUMMYFUNCTION("TEXTJOIN("", "",TRUE, FILTER(Data!P:P, Data!B:B=A368))"),"")</f>
        <v/>
      </c>
      <c r="AM368" s="61"/>
      <c r="BC368" s="50"/>
    </row>
    <row r="369">
      <c r="A369" s="54"/>
      <c r="B369" s="55" t="str">
        <f>IFERROR(__xludf.DUMMYFUNCTION("IFERROR(ROUND(
(COUNTIF(FILTER(Data!O:O, Data!B:B=A369), ""Win"")
+ COUNTIF(FILTER(Data!O:O, Data!B:B=A369), {""Tie"",""Results""}))
/ (COUNTIF(Data!B:B, A369)),
1),"""")"),"")</f>
        <v/>
      </c>
      <c r="C369" s="45" t="str">
        <f>IFERROR((SUMIF(Data!B:B, A369, Data!H:H)
/ (COUNTIF(Data!B:B, A369)
)),"")</f>
        <v/>
      </c>
      <c r="D369" s="45" t="str">
        <f>IFERROR((SUMIF(Data!B:B, A369, Data!G:G)
/ (COUNTIF(Data!B:B, A369)
)),"")</f>
        <v/>
      </c>
      <c r="E369" s="45"/>
      <c r="F369" s="45" t="str">
        <f>IFERROR((SUMIF(Data!B:B, A369, Data!J:J)
/ (COUNTIF(Data!B:B, A369)
)),"")</f>
        <v/>
      </c>
      <c r="G369" s="56" t="str">
        <f>IF(A369="","",IFERROR((((((SUMIF(Data!B:B, A369, Data!H:H)+(SUMIF(Data!B:B, A369,Data!G:G)))/(SUMIF(Data!B:B, A369, Data!J:J)))))),0))</f>
        <v/>
      </c>
      <c r="H369" s="45"/>
      <c r="I369" s="45"/>
      <c r="J369" s="45"/>
      <c r="K369" s="45"/>
      <c r="L369" s="45" t="str">
        <f>IFERROR((SUMIF(Data!B:B, A369, Data!L:L)
/ (COUNTIF(Data!B:B, A369)
)),"")</f>
        <v/>
      </c>
      <c r="M369" s="45" t="str">
        <f>IFERROR((SUMIF(Data!B:B, A369, Data!K:K)
/ (COUNTIF(Data!B:B, A369)
)),"")</f>
        <v/>
      </c>
      <c r="N369" s="56"/>
      <c r="O369" s="56" t="str">
        <f>IF(A369="","",IFERROR((((((SUMIF(Data!B:B, A369, Data!H:H)+(SUMIF(Data!B:B, A369,Data!G:G)+(SUMIF(Data!B:B, A369,Data!L:L)+(SUMIF(Data!B:B, A369,Data!K:K)))))/(SUMIF(Data!B:B, A369, Data!M:M)+(SUMIF(Data!B:B, A369, Data!H:H)+(SUMIF(Data!B:B, A369,Data!G:G)+(SUMIF(Data!B:B, A369,Data!K:K)+(SUMIF(Data!B:B, A369,Data!L:L)))))))))),0))</f>
        <v/>
      </c>
      <c r="P369" s="57" t="str">
        <f>IFERROR(__xludf.DUMMYFUNCTION("IFERROR(((COUNTIF(FILTER(Data!N:N,Data!B:B=A369),""TRAVERSE"")*15)+(COUNTIF(FILTER(Data!N:N,Data!B:B=A369),""HIGH"")*10)+(COUNTIF(FILTER(Data!N:N,Data!B:B=A369),""MIDDLE"")*6)+(COUNTIF(FILTER(Data!N:N,Data!B:B=A369),""LOW"")*4)) / (COUNTIF(Data!B:B, A369)"&amp;"),"""")"),"")</f>
        <v/>
      </c>
      <c r="Q369" s="58"/>
      <c r="R369" s="58"/>
      <c r="S369" s="58" t="str">
        <f>IFERROR(__xludf.DUMMYFUNCTION("IFERROR((((COUNTIF(FILTER(Data!N:N,Data!B:B=A369),""TRAVERSE""))+(COUNTIF(FILTER(Data!N:N,Data!B:B=A369),""HIGH""))+(COUNTIF(FILTER(Data!N:N,Data!B:B=A369),""MIDDLE""))+(COUNTIF(FILTER(Data!N:N,Data!B:B=A369),""LOW"")))) / (((COUNTIF(Data!B:B, A369)))-(CO"&amp;"UNTIF(FILTER(Data!N:N,Data!B:B=A369),""NONE""))),IF(ISBLANK(A369),"""",0))"),"")</f>
        <v/>
      </c>
      <c r="T369" s="56" t="str">
        <f>IFERROR(__xludf.DUMMYFUNCTION("IFERROR((COUNTIF(FILTER(Data!N:N, Data!B:B=A369),""LOW"")) / (COUNTIF(Data!B:B, A369)),"""")"),"")</f>
        <v/>
      </c>
      <c r="U369" s="59" t="str">
        <f>IFERROR(__xludf.DUMMYFUNCTION("IFERROR((COUNTIF(FILTER(Data!N:N, Data!B:B=A369),""MIDDLE"")) / (COUNTIF(Data!B:B, A369)),"""")"),"")</f>
        <v/>
      </c>
      <c r="V369" s="59" t="str">
        <f>IFERROR(__xludf.DUMMYFUNCTION("IFERROR((COUNTIF(FILTER(Data!N:N, Data!B:B=A369),""HIGH"")) / (COUNTIF(Data!B:B, A369)),"""")"),"")</f>
        <v/>
      </c>
      <c r="W369" s="59" t="str">
        <f>IFERROR(__xludf.DUMMYFUNCTION("IFERROR((COUNTIF(FILTER(Data!N:N, Data!B:B=A369),""TRAVERSE"")) / (COUNTIF(Data!B:B, A369)),"""")"),"")</f>
        <v/>
      </c>
      <c r="X369" s="59"/>
      <c r="Y369" s="45" t="str">
        <f t="shared" si="7"/>
        <v/>
      </c>
      <c r="Z369" s="45" t="str">
        <f t="shared" si="8"/>
        <v/>
      </c>
      <c r="AA369" s="16" t="str">
        <f t="shared" si="9"/>
        <v/>
      </c>
      <c r="AB369" s="16"/>
      <c r="AC369" s="16"/>
      <c r="AD369" s="16"/>
      <c r="AE369" s="16" t="str">
        <f t="shared" si="12"/>
        <v/>
      </c>
      <c r="AF369" s="16" t="str">
        <f t="shared" si="13"/>
        <v/>
      </c>
      <c r="AG369" s="44"/>
      <c r="AH369" s="44"/>
      <c r="AI369" s="44" t="str">
        <f>IFERROR(__xludf.DUMMYFUNCTION("TEXTJOIN("", "",TRUE, FILTER(Data!P:P, Data!B:B=A369))"),"")</f>
        <v/>
      </c>
      <c r="AM369" s="61"/>
      <c r="BC369" s="50"/>
    </row>
    <row r="370">
      <c r="A370" s="54"/>
      <c r="B370" s="55" t="str">
        <f>IFERROR(__xludf.DUMMYFUNCTION("IFERROR(ROUND(
(COUNTIF(FILTER(Data!O:O, Data!B:B=A370), ""Win"")
+ COUNTIF(FILTER(Data!O:O, Data!B:B=A370), {""Tie"",""Results""}))
/ (COUNTIF(Data!B:B, A370)),
1),"""")"),"")</f>
        <v/>
      </c>
      <c r="C370" s="45" t="str">
        <f>IFERROR((SUMIF(Data!B:B, A370, Data!H:H)
/ (COUNTIF(Data!B:B, A370)
)),"")</f>
        <v/>
      </c>
      <c r="D370" s="45" t="str">
        <f>IFERROR((SUMIF(Data!B:B, A370, Data!G:G)
/ (COUNTIF(Data!B:B, A370)
)),"")</f>
        <v/>
      </c>
      <c r="E370" s="45"/>
      <c r="F370" s="45" t="str">
        <f>IFERROR((SUMIF(Data!B:B, A370, Data!J:J)
/ (COUNTIF(Data!B:B, A370)
)),"")</f>
        <v/>
      </c>
      <c r="G370" s="56" t="str">
        <f>IF(A370="","",IFERROR((((((SUMIF(Data!B:B, A370, Data!H:H)+(SUMIF(Data!B:B, A370,Data!G:G)))/(SUMIF(Data!B:B, A370, Data!J:J)))))),0))</f>
        <v/>
      </c>
      <c r="H370" s="45"/>
      <c r="I370" s="45"/>
      <c r="J370" s="45"/>
      <c r="K370" s="45"/>
      <c r="L370" s="45" t="str">
        <f>IFERROR((SUMIF(Data!B:B, A370, Data!L:L)
/ (COUNTIF(Data!B:B, A370)
)),"")</f>
        <v/>
      </c>
      <c r="M370" s="45" t="str">
        <f>IFERROR((SUMIF(Data!B:B, A370, Data!K:K)
/ (COUNTIF(Data!B:B, A370)
)),"")</f>
        <v/>
      </c>
      <c r="N370" s="56"/>
      <c r="O370" s="56" t="str">
        <f>IF(A370="","",IFERROR((((((SUMIF(Data!B:B, A370, Data!H:H)+(SUMIF(Data!B:B, A370,Data!G:G)+(SUMIF(Data!B:B, A370,Data!L:L)+(SUMIF(Data!B:B, A370,Data!K:K)))))/(SUMIF(Data!B:B, A370, Data!M:M)+(SUMIF(Data!B:B, A370, Data!H:H)+(SUMIF(Data!B:B, A370,Data!G:G)+(SUMIF(Data!B:B, A370,Data!K:K)+(SUMIF(Data!B:B, A370,Data!L:L)))))))))),0))</f>
        <v/>
      </c>
      <c r="P370" s="57" t="str">
        <f>IFERROR(__xludf.DUMMYFUNCTION("IFERROR(((COUNTIF(FILTER(Data!N:N,Data!B:B=A370),""TRAVERSE"")*15)+(COUNTIF(FILTER(Data!N:N,Data!B:B=A370),""HIGH"")*10)+(COUNTIF(FILTER(Data!N:N,Data!B:B=A370),""MIDDLE"")*6)+(COUNTIF(FILTER(Data!N:N,Data!B:B=A370),""LOW"")*4)) / (COUNTIF(Data!B:B, A370)"&amp;"),"""")"),"")</f>
        <v/>
      </c>
      <c r="Q370" s="58"/>
      <c r="R370" s="58"/>
      <c r="S370" s="58" t="str">
        <f>IFERROR(__xludf.DUMMYFUNCTION("IFERROR((((COUNTIF(FILTER(Data!N:N,Data!B:B=A370),""TRAVERSE""))+(COUNTIF(FILTER(Data!N:N,Data!B:B=A370),""HIGH""))+(COUNTIF(FILTER(Data!N:N,Data!B:B=A370),""MIDDLE""))+(COUNTIF(FILTER(Data!N:N,Data!B:B=A370),""LOW"")))) / (((COUNTIF(Data!B:B, A370)))-(CO"&amp;"UNTIF(FILTER(Data!N:N,Data!B:B=A370),""NONE""))),IF(ISBLANK(A370),"""",0))"),"")</f>
        <v/>
      </c>
      <c r="T370" s="56" t="str">
        <f>IFERROR(__xludf.DUMMYFUNCTION("IFERROR((COUNTIF(FILTER(Data!N:N, Data!B:B=A370),""LOW"")) / (COUNTIF(Data!B:B, A370)),"""")"),"")</f>
        <v/>
      </c>
      <c r="U370" s="59" t="str">
        <f>IFERROR(__xludf.DUMMYFUNCTION("IFERROR((COUNTIF(FILTER(Data!N:N, Data!B:B=A370),""MIDDLE"")) / (COUNTIF(Data!B:B, A370)),"""")"),"")</f>
        <v/>
      </c>
      <c r="V370" s="59" t="str">
        <f>IFERROR(__xludf.DUMMYFUNCTION("IFERROR((COUNTIF(FILTER(Data!N:N, Data!B:B=A370),""HIGH"")) / (COUNTIF(Data!B:B, A370)),"""")"),"")</f>
        <v/>
      </c>
      <c r="W370" s="59" t="str">
        <f>IFERROR(__xludf.DUMMYFUNCTION("IFERROR((COUNTIF(FILTER(Data!N:N, Data!B:B=A370),""TRAVERSE"")) / (COUNTIF(Data!B:B, A370)),"""")"),"")</f>
        <v/>
      </c>
      <c r="X370" s="59"/>
      <c r="Y370" s="45" t="str">
        <f t="shared" si="7"/>
        <v/>
      </c>
      <c r="Z370" s="45" t="str">
        <f t="shared" si="8"/>
        <v/>
      </c>
      <c r="AA370" s="16" t="str">
        <f t="shared" si="9"/>
        <v/>
      </c>
      <c r="AB370" s="16"/>
      <c r="AC370" s="16"/>
      <c r="AD370" s="16"/>
      <c r="AE370" s="16" t="str">
        <f t="shared" si="12"/>
        <v/>
      </c>
      <c r="AF370" s="16" t="str">
        <f t="shared" si="13"/>
        <v/>
      </c>
      <c r="AG370" s="44"/>
      <c r="AH370" s="44"/>
      <c r="AI370" s="44" t="str">
        <f>IFERROR(__xludf.DUMMYFUNCTION("TEXTJOIN("", "",TRUE, FILTER(Data!P:P, Data!B:B=A370))"),"")</f>
        <v/>
      </c>
      <c r="AM370" s="61"/>
      <c r="BC370" s="50"/>
    </row>
    <row r="371">
      <c r="A371" s="54"/>
      <c r="B371" s="55" t="str">
        <f>IFERROR(__xludf.DUMMYFUNCTION("IFERROR(ROUND(
(COUNTIF(FILTER(Data!O:O, Data!B:B=A371), ""Win"")
+ COUNTIF(FILTER(Data!O:O, Data!B:B=A371), {""Tie"",""Results""}))
/ (COUNTIF(Data!B:B, A371)),
1),"""")"),"")</f>
        <v/>
      </c>
      <c r="C371" s="45" t="str">
        <f>IFERROR((SUMIF(Data!B:B, A371, Data!H:H)
/ (COUNTIF(Data!B:B, A371)
)),"")</f>
        <v/>
      </c>
      <c r="D371" s="45" t="str">
        <f>IFERROR((SUMIF(Data!B:B, A371, Data!G:G)
/ (COUNTIF(Data!B:B, A371)
)),"")</f>
        <v/>
      </c>
      <c r="E371" s="45"/>
      <c r="F371" s="45" t="str">
        <f>IFERROR((SUMIF(Data!B:B, A371, Data!J:J)
/ (COUNTIF(Data!B:B, A371)
)),"")</f>
        <v/>
      </c>
      <c r="G371" s="56" t="str">
        <f>IF(A371="","",IFERROR((((((SUMIF(Data!B:B, A371, Data!H:H)+(SUMIF(Data!B:B, A371,Data!G:G)))/(SUMIF(Data!B:B, A371, Data!J:J)))))),0))</f>
        <v/>
      </c>
      <c r="H371" s="45"/>
      <c r="I371" s="45"/>
      <c r="J371" s="45"/>
      <c r="K371" s="45"/>
      <c r="L371" s="45" t="str">
        <f>IFERROR((SUMIF(Data!B:B, A371, Data!L:L)
/ (COUNTIF(Data!B:B, A371)
)),"")</f>
        <v/>
      </c>
      <c r="M371" s="45" t="str">
        <f>IFERROR((SUMIF(Data!B:B, A371, Data!K:K)
/ (COUNTIF(Data!B:B, A371)
)),"")</f>
        <v/>
      </c>
      <c r="N371" s="56"/>
      <c r="O371" s="56" t="str">
        <f>IF(A371="","",IFERROR((((((SUMIF(Data!B:B, A371, Data!H:H)+(SUMIF(Data!B:B, A371,Data!G:G)+(SUMIF(Data!B:B, A371,Data!L:L)+(SUMIF(Data!B:B, A371,Data!K:K)))))/(SUMIF(Data!B:B, A371, Data!M:M)+(SUMIF(Data!B:B, A371, Data!H:H)+(SUMIF(Data!B:B, A371,Data!G:G)+(SUMIF(Data!B:B, A371,Data!K:K)+(SUMIF(Data!B:B, A371,Data!L:L)))))))))),0))</f>
        <v/>
      </c>
      <c r="P371" s="57" t="str">
        <f>IFERROR(__xludf.DUMMYFUNCTION("IFERROR(((COUNTIF(FILTER(Data!N:N,Data!B:B=A371),""TRAVERSE"")*15)+(COUNTIF(FILTER(Data!N:N,Data!B:B=A371),""HIGH"")*10)+(COUNTIF(FILTER(Data!N:N,Data!B:B=A371),""MIDDLE"")*6)+(COUNTIF(FILTER(Data!N:N,Data!B:B=A371),""LOW"")*4)) / (COUNTIF(Data!B:B, A371)"&amp;"),"""")"),"")</f>
        <v/>
      </c>
      <c r="Q371" s="58"/>
      <c r="R371" s="58"/>
      <c r="S371" s="58" t="str">
        <f>IFERROR(__xludf.DUMMYFUNCTION("IFERROR((((COUNTIF(FILTER(Data!N:N,Data!B:B=A371),""TRAVERSE""))+(COUNTIF(FILTER(Data!N:N,Data!B:B=A371),""HIGH""))+(COUNTIF(FILTER(Data!N:N,Data!B:B=A371),""MIDDLE""))+(COUNTIF(FILTER(Data!N:N,Data!B:B=A371),""LOW"")))) / (((COUNTIF(Data!B:B, A371)))-(CO"&amp;"UNTIF(FILTER(Data!N:N,Data!B:B=A371),""NONE""))),IF(ISBLANK(A371),"""",0))"),"")</f>
        <v/>
      </c>
      <c r="T371" s="56" t="str">
        <f>IFERROR(__xludf.DUMMYFUNCTION("IFERROR((COUNTIF(FILTER(Data!N:N, Data!B:B=A371),""LOW"")) / (COUNTIF(Data!B:B, A371)),"""")"),"")</f>
        <v/>
      </c>
      <c r="U371" s="59" t="str">
        <f>IFERROR(__xludf.DUMMYFUNCTION("IFERROR((COUNTIF(FILTER(Data!N:N, Data!B:B=A371),""MIDDLE"")) / (COUNTIF(Data!B:B, A371)),"""")"),"")</f>
        <v/>
      </c>
      <c r="V371" s="59" t="str">
        <f>IFERROR(__xludf.DUMMYFUNCTION("IFERROR((COUNTIF(FILTER(Data!N:N, Data!B:B=A371),""HIGH"")) / (COUNTIF(Data!B:B, A371)),"""")"),"")</f>
        <v/>
      </c>
      <c r="W371" s="59" t="str">
        <f>IFERROR(__xludf.DUMMYFUNCTION("IFERROR((COUNTIF(FILTER(Data!N:N, Data!B:B=A371),""TRAVERSE"")) / (COUNTIF(Data!B:B, A371)),"""")"),"")</f>
        <v/>
      </c>
      <c r="X371" s="59"/>
      <c r="Y371" s="45" t="str">
        <f t="shared" si="7"/>
        <v/>
      </c>
      <c r="Z371" s="45" t="str">
        <f t="shared" si="8"/>
        <v/>
      </c>
      <c r="AA371" s="16" t="str">
        <f t="shared" si="9"/>
        <v/>
      </c>
      <c r="AB371" s="16"/>
      <c r="AC371" s="16"/>
      <c r="AD371" s="16"/>
      <c r="AE371" s="16" t="str">
        <f t="shared" si="12"/>
        <v/>
      </c>
      <c r="AF371" s="16" t="str">
        <f t="shared" si="13"/>
        <v/>
      </c>
      <c r="AG371" s="44"/>
      <c r="AH371" s="44"/>
      <c r="AI371" s="44" t="str">
        <f>IFERROR(__xludf.DUMMYFUNCTION("TEXTJOIN("", "",TRUE, FILTER(Data!P:P, Data!B:B=A371))"),"")</f>
        <v/>
      </c>
      <c r="AM371" s="61"/>
      <c r="BC371" s="50"/>
    </row>
    <row r="372">
      <c r="A372" s="54"/>
      <c r="B372" s="55" t="str">
        <f>IFERROR(__xludf.DUMMYFUNCTION("IFERROR(ROUND(
(COUNTIF(FILTER(Data!O:O, Data!B:B=A372), ""Win"")
+ COUNTIF(FILTER(Data!O:O, Data!B:B=A372), {""Tie"",""Results""}))
/ (COUNTIF(Data!B:B, A372)),
1),"""")"),"")</f>
        <v/>
      </c>
      <c r="C372" s="45" t="str">
        <f>IFERROR((SUMIF(Data!B:B, A372, Data!H:H)
/ (COUNTIF(Data!B:B, A372)
)),"")</f>
        <v/>
      </c>
      <c r="D372" s="45" t="str">
        <f>IFERROR((SUMIF(Data!B:B, A372, Data!G:G)
/ (COUNTIF(Data!B:B, A372)
)),"")</f>
        <v/>
      </c>
      <c r="E372" s="45"/>
      <c r="F372" s="45" t="str">
        <f>IFERROR((SUMIF(Data!B:B, A372, Data!J:J)
/ (COUNTIF(Data!B:B, A372)
)),"")</f>
        <v/>
      </c>
      <c r="G372" s="56" t="str">
        <f>IF(A372="","",IFERROR((((((SUMIF(Data!B:B, A372, Data!H:H)+(SUMIF(Data!B:B, A372,Data!G:G)))/(SUMIF(Data!B:B, A372, Data!J:J)))))),0))</f>
        <v/>
      </c>
      <c r="H372" s="45"/>
      <c r="I372" s="45"/>
      <c r="J372" s="45"/>
      <c r="K372" s="45"/>
      <c r="L372" s="45" t="str">
        <f>IFERROR((SUMIF(Data!B:B, A372, Data!L:L)
/ (COUNTIF(Data!B:B, A372)
)),"")</f>
        <v/>
      </c>
      <c r="M372" s="45" t="str">
        <f>IFERROR((SUMIF(Data!B:B, A372, Data!K:K)
/ (COUNTIF(Data!B:B, A372)
)),"")</f>
        <v/>
      </c>
      <c r="N372" s="56"/>
      <c r="O372" s="56" t="str">
        <f>IF(A372="","",IFERROR((((((SUMIF(Data!B:B, A372, Data!H:H)+(SUMIF(Data!B:B, A372,Data!G:G)+(SUMIF(Data!B:B, A372,Data!L:L)+(SUMIF(Data!B:B, A372,Data!K:K)))))/(SUMIF(Data!B:B, A372, Data!M:M)+(SUMIF(Data!B:B, A372, Data!H:H)+(SUMIF(Data!B:B, A372,Data!G:G)+(SUMIF(Data!B:B, A372,Data!K:K)+(SUMIF(Data!B:B, A372,Data!L:L)))))))))),0))</f>
        <v/>
      </c>
      <c r="P372" s="57" t="str">
        <f>IFERROR(__xludf.DUMMYFUNCTION("IFERROR(((COUNTIF(FILTER(Data!N:N,Data!B:B=A372),""TRAVERSE"")*15)+(COUNTIF(FILTER(Data!N:N,Data!B:B=A372),""HIGH"")*10)+(COUNTIF(FILTER(Data!N:N,Data!B:B=A372),""MIDDLE"")*6)+(COUNTIF(FILTER(Data!N:N,Data!B:B=A372),""LOW"")*4)) / (COUNTIF(Data!B:B, A372)"&amp;"),"""")"),"")</f>
        <v/>
      </c>
      <c r="Q372" s="58"/>
      <c r="R372" s="58"/>
      <c r="S372" s="58" t="str">
        <f>IFERROR(__xludf.DUMMYFUNCTION("IFERROR((((COUNTIF(FILTER(Data!N:N,Data!B:B=A372),""TRAVERSE""))+(COUNTIF(FILTER(Data!N:N,Data!B:B=A372),""HIGH""))+(COUNTIF(FILTER(Data!N:N,Data!B:B=A372),""MIDDLE""))+(COUNTIF(FILTER(Data!N:N,Data!B:B=A372),""LOW"")))) / (((COUNTIF(Data!B:B, A372)))-(CO"&amp;"UNTIF(FILTER(Data!N:N,Data!B:B=A372),""NONE""))),IF(ISBLANK(A372),"""",0))"),"")</f>
        <v/>
      </c>
      <c r="T372" s="56" t="str">
        <f>IFERROR(__xludf.DUMMYFUNCTION("IFERROR((COUNTIF(FILTER(Data!N:N, Data!B:B=A372),""LOW"")) / (COUNTIF(Data!B:B, A372)),"""")"),"")</f>
        <v/>
      </c>
      <c r="U372" s="59" t="str">
        <f>IFERROR(__xludf.DUMMYFUNCTION("IFERROR((COUNTIF(FILTER(Data!N:N, Data!B:B=A372),""MIDDLE"")) / (COUNTIF(Data!B:B, A372)),"""")"),"")</f>
        <v/>
      </c>
      <c r="V372" s="59" t="str">
        <f>IFERROR(__xludf.DUMMYFUNCTION("IFERROR((COUNTIF(FILTER(Data!N:N, Data!B:B=A372),""HIGH"")) / (COUNTIF(Data!B:B, A372)),"""")"),"")</f>
        <v/>
      </c>
      <c r="W372" s="59" t="str">
        <f>IFERROR(__xludf.DUMMYFUNCTION("IFERROR((COUNTIF(FILTER(Data!N:N, Data!B:B=A372),""TRAVERSE"")) / (COUNTIF(Data!B:B, A372)),"""")"),"")</f>
        <v/>
      </c>
      <c r="X372" s="59"/>
      <c r="Y372" s="45" t="str">
        <f t="shared" si="7"/>
        <v/>
      </c>
      <c r="Z372" s="45" t="str">
        <f t="shared" si="8"/>
        <v/>
      </c>
      <c r="AA372" s="16" t="str">
        <f t="shared" si="9"/>
        <v/>
      </c>
      <c r="AB372" s="16"/>
      <c r="AC372" s="16"/>
      <c r="AD372" s="16"/>
      <c r="AE372" s="16" t="str">
        <f t="shared" si="12"/>
        <v/>
      </c>
      <c r="AF372" s="16" t="str">
        <f t="shared" si="13"/>
        <v/>
      </c>
      <c r="AG372" s="44"/>
      <c r="AH372" s="44"/>
      <c r="AI372" s="44" t="str">
        <f>IFERROR(__xludf.DUMMYFUNCTION("TEXTJOIN("", "",TRUE, FILTER(Data!P:P, Data!B:B=A372))"),"")</f>
        <v/>
      </c>
      <c r="AM372" s="61"/>
      <c r="BC372" s="50"/>
    </row>
    <row r="373">
      <c r="A373" s="54"/>
      <c r="B373" s="55" t="str">
        <f>IFERROR(__xludf.DUMMYFUNCTION("IFERROR(ROUND(
(COUNTIF(FILTER(Data!O:O, Data!B:B=A373), ""Win"")
+ COUNTIF(FILTER(Data!O:O, Data!B:B=A373), {""Tie"",""Results""}))
/ (COUNTIF(Data!B:B, A373)),
1),"""")"),"")</f>
        <v/>
      </c>
      <c r="C373" s="45" t="str">
        <f>IFERROR((SUMIF(Data!B:B, A373, Data!H:H)
/ (COUNTIF(Data!B:B, A373)
)),"")</f>
        <v/>
      </c>
      <c r="D373" s="45" t="str">
        <f>IFERROR((SUMIF(Data!B:B, A373, Data!G:G)
/ (COUNTIF(Data!B:B, A373)
)),"")</f>
        <v/>
      </c>
      <c r="E373" s="45"/>
      <c r="F373" s="45" t="str">
        <f>IFERROR((SUMIF(Data!B:B, A373, Data!J:J)
/ (COUNTIF(Data!B:B, A373)
)),"")</f>
        <v/>
      </c>
      <c r="G373" s="56" t="str">
        <f>IF(A373="","",IFERROR((((((SUMIF(Data!B:B, A373, Data!H:H)+(SUMIF(Data!B:B, A373,Data!G:G)))/(SUMIF(Data!B:B, A373, Data!J:J)))))),0))</f>
        <v/>
      </c>
      <c r="H373" s="45"/>
      <c r="I373" s="45"/>
      <c r="J373" s="45"/>
      <c r="K373" s="45"/>
      <c r="L373" s="45" t="str">
        <f>IFERROR((SUMIF(Data!B:B, A373, Data!L:L)
/ (COUNTIF(Data!B:B, A373)
)),"")</f>
        <v/>
      </c>
      <c r="M373" s="45" t="str">
        <f>IFERROR((SUMIF(Data!B:B, A373, Data!K:K)
/ (COUNTIF(Data!B:B, A373)
)),"")</f>
        <v/>
      </c>
      <c r="N373" s="56"/>
      <c r="O373" s="56" t="str">
        <f>IF(A373="","",IFERROR((((((SUMIF(Data!B:B, A373, Data!H:H)+(SUMIF(Data!B:B, A373,Data!G:G)+(SUMIF(Data!B:B, A373,Data!L:L)+(SUMIF(Data!B:B, A373,Data!K:K)))))/(SUMIF(Data!B:B, A373, Data!M:M)+(SUMIF(Data!B:B, A373, Data!H:H)+(SUMIF(Data!B:B, A373,Data!G:G)+(SUMIF(Data!B:B, A373,Data!K:K)+(SUMIF(Data!B:B, A373,Data!L:L)))))))))),0))</f>
        <v/>
      </c>
      <c r="P373" s="57" t="str">
        <f>IFERROR(__xludf.DUMMYFUNCTION("IFERROR(((COUNTIF(FILTER(Data!N:N,Data!B:B=A373),""TRAVERSE"")*15)+(COUNTIF(FILTER(Data!N:N,Data!B:B=A373),""HIGH"")*10)+(COUNTIF(FILTER(Data!N:N,Data!B:B=A373),""MIDDLE"")*6)+(COUNTIF(FILTER(Data!N:N,Data!B:B=A373),""LOW"")*4)) / (COUNTIF(Data!B:B, A373)"&amp;"),"""")"),"")</f>
        <v/>
      </c>
      <c r="Q373" s="58"/>
      <c r="R373" s="58"/>
      <c r="S373" s="58" t="str">
        <f>IFERROR(__xludf.DUMMYFUNCTION("IFERROR((((COUNTIF(FILTER(Data!N:N,Data!B:B=A373),""TRAVERSE""))+(COUNTIF(FILTER(Data!N:N,Data!B:B=A373),""HIGH""))+(COUNTIF(FILTER(Data!N:N,Data!B:B=A373),""MIDDLE""))+(COUNTIF(FILTER(Data!N:N,Data!B:B=A373),""LOW"")))) / (((COUNTIF(Data!B:B, A373)))-(CO"&amp;"UNTIF(FILTER(Data!N:N,Data!B:B=A373),""NONE""))),IF(ISBLANK(A373),"""",0))"),"")</f>
        <v/>
      </c>
      <c r="T373" s="56" t="str">
        <f>IFERROR(__xludf.DUMMYFUNCTION("IFERROR((COUNTIF(FILTER(Data!N:N, Data!B:B=A373),""LOW"")) / (COUNTIF(Data!B:B, A373)),"""")"),"")</f>
        <v/>
      </c>
      <c r="U373" s="59" t="str">
        <f>IFERROR(__xludf.DUMMYFUNCTION("IFERROR((COUNTIF(FILTER(Data!N:N, Data!B:B=A373),""MIDDLE"")) / (COUNTIF(Data!B:B, A373)),"""")"),"")</f>
        <v/>
      </c>
      <c r="V373" s="59" t="str">
        <f>IFERROR(__xludf.DUMMYFUNCTION("IFERROR((COUNTIF(FILTER(Data!N:N, Data!B:B=A373),""HIGH"")) / (COUNTIF(Data!B:B, A373)),"""")"),"")</f>
        <v/>
      </c>
      <c r="W373" s="59" t="str">
        <f>IFERROR(__xludf.DUMMYFUNCTION("IFERROR((COUNTIF(FILTER(Data!N:N, Data!B:B=A373),""TRAVERSE"")) / (COUNTIF(Data!B:B, A373)),"""")"),"")</f>
        <v/>
      </c>
      <c r="X373" s="59"/>
      <c r="Y373" s="45" t="str">
        <f t="shared" si="7"/>
        <v/>
      </c>
      <c r="Z373" s="45" t="str">
        <f t="shared" si="8"/>
        <v/>
      </c>
      <c r="AA373" s="16" t="str">
        <f t="shared" si="9"/>
        <v/>
      </c>
      <c r="AB373" s="16"/>
      <c r="AC373" s="16"/>
      <c r="AD373" s="16"/>
      <c r="AE373" s="16" t="str">
        <f t="shared" si="12"/>
        <v/>
      </c>
      <c r="AF373" s="16" t="str">
        <f t="shared" si="13"/>
        <v/>
      </c>
      <c r="AG373" s="44"/>
      <c r="AH373" s="44"/>
      <c r="AI373" s="44" t="str">
        <f>IFERROR(__xludf.DUMMYFUNCTION("TEXTJOIN("", "",TRUE, FILTER(Data!P:P, Data!B:B=A373))"),"")</f>
        <v/>
      </c>
      <c r="AM373" s="61"/>
      <c r="BC373" s="50"/>
    </row>
    <row r="374">
      <c r="A374" s="54"/>
      <c r="B374" s="55" t="str">
        <f>IFERROR(__xludf.DUMMYFUNCTION("IFERROR(ROUND(
(COUNTIF(FILTER(Data!O:O, Data!B:B=A374), ""Win"")
+ COUNTIF(FILTER(Data!O:O, Data!B:B=A374), {""Tie"",""Results""}))
/ (COUNTIF(Data!B:B, A374)),
1),"""")"),"")</f>
        <v/>
      </c>
      <c r="C374" s="45" t="str">
        <f>IFERROR((SUMIF(Data!B:B, A374, Data!H:H)
/ (COUNTIF(Data!B:B, A374)
)),"")</f>
        <v/>
      </c>
      <c r="D374" s="45" t="str">
        <f>IFERROR((SUMIF(Data!B:B, A374, Data!G:G)
/ (COUNTIF(Data!B:B, A374)
)),"")</f>
        <v/>
      </c>
      <c r="E374" s="45"/>
      <c r="F374" s="45" t="str">
        <f>IFERROR((SUMIF(Data!B:B, A374, Data!J:J)
/ (COUNTIF(Data!B:B, A374)
)),"")</f>
        <v/>
      </c>
      <c r="G374" s="56" t="str">
        <f>IF(A374="","",IFERROR((((((SUMIF(Data!B:B, A374, Data!H:H)+(SUMIF(Data!B:B, A374,Data!G:G)))/(SUMIF(Data!B:B, A374, Data!J:J)))))),0))</f>
        <v/>
      </c>
      <c r="H374" s="45"/>
      <c r="I374" s="45"/>
      <c r="J374" s="45"/>
      <c r="K374" s="45"/>
      <c r="L374" s="45" t="str">
        <f>IFERROR((SUMIF(Data!B:B, A374, Data!L:L)
/ (COUNTIF(Data!B:B, A374)
)),"")</f>
        <v/>
      </c>
      <c r="M374" s="45" t="str">
        <f>IFERROR((SUMIF(Data!B:B, A374, Data!K:K)
/ (COUNTIF(Data!B:B, A374)
)),"")</f>
        <v/>
      </c>
      <c r="N374" s="56"/>
      <c r="O374" s="56" t="str">
        <f>IF(A374="","",IFERROR((((((SUMIF(Data!B:B, A374, Data!H:H)+(SUMIF(Data!B:B, A374,Data!G:G)+(SUMIF(Data!B:B, A374,Data!L:L)+(SUMIF(Data!B:B, A374,Data!K:K)))))/(SUMIF(Data!B:B, A374, Data!M:M)+(SUMIF(Data!B:B, A374, Data!H:H)+(SUMIF(Data!B:B, A374,Data!G:G)+(SUMIF(Data!B:B, A374,Data!K:K)+(SUMIF(Data!B:B, A374,Data!L:L)))))))))),0))</f>
        <v/>
      </c>
      <c r="P374" s="57" t="str">
        <f>IFERROR(__xludf.DUMMYFUNCTION("IFERROR(((COUNTIF(FILTER(Data!N:N,Data!B:B=A374),""TRAVERSE"")*15)+(COUNTIF(FILTER(Data!N:N,Data!B:B=A374),""HIGH"")*10)+(COUNTIF(FILTER(Data!N:N,Data!B:B=A374),""MIDDLE"")*6)+(COUNTIF(FILTER(Data!N:N,Data!B:B=A374),""LOW"")*4)) / (COUNTIF(Data!B:B, A374)"&amp;"),"""")"),"")</f>
        <v/>
      </c>
      <c r="Q374" s="58"/>
      <c r="R374" s="58"/>
      <c r="S374" s="58" t="str">
        <f>IFERROR(__xludf.DUMMYFUNCTION("IFERROR((((COUNTIF(FILTER(Data!N:N,Data!B:B=A374),""TRAVERSE""))+(COUNTIF(FILTER(Data!N:N,Data!B:B=A374),""HIGH""))+(COUNTIF(FILTER(Data!N:N,Data!B:B=A374),""MIDDLE""))+(COUNTIF(FILTER(Data!N:N,Data!B:B=A374),""LOW"")))) / (((COUNTIF(Data!B:B, A374)))-(CO"&amp;"UNTIF(FILTER(Data!N:N,Data!B:B=A374),""NONE""))),IF(ISBLANK(A374),"""",0))"),"")</f>
        <v/>
      </c>
      <c r="T374" s="56" t="str">
        <f>IFERROR(__xludf.DUMMYFUNCTION("IFERROR((COUNTIF(FILTER(Data!N:N, Data!B:B=A374),""LOW"")) / (COUNTIF(Data!B:B, A374)),"""")"),"")</f>
        <v/>
      </c>
      <c r="U374" s="59" t="str">
        <f>IFERROR(__xludf.DUMMYFUNCTION("IFERROR((COUNTIF(FILTER(Data!N:N, Data!B:B=A374),""MIDDLE"")) / (COUNTIF(Data!B:B, A374)),"""")"),"")</f>
        <v/>
      </c>
      <c r="V374" s="59" t="str">
        <f>IFERROR(__xludf.DUMMYFUNCTION("IFERROR((COUNTIF(FILTER(Data!N:N, Data!B:B=A374),""HIGH"")) / (COUNTIF(Data!B:B, A374)),"""")"),"")</f>
        <v/>
      </c>
      <c r="W374" s="59" t="str">
        <f>IFERROR(__xludf.DUMMYFUNCTION("IFERROR((COUNTIF(FILTER(Data!N:N, Data!B:B=A374),""TRAVERSE"")) / (COUNTIF(Data!B:B, A374)),"""")"),"")</f>
        <v/>
      </c>
      <c r="X374" s="59"/>
      <c r="Y374" s="45" t="str">
        <f t="shared" si="7"/>
        <v/>
      </c>
      <c r="Z374" s="45" t="str">
        <f t="shared" si="8"/>
        <v/>
      </c>
      <c r="AA374" s="16" t="str">
        <f t="shared" si="9"/>
        <v/>
      </c>
      <c r="AB374" s="16"/>
      <c r="AC374" s="16"/>
      <c r="AD374" s="16"/>
      <c r="AE374" s="16" t="str">
        <f t="shared" si="12"/>
        <v/>
      </c>
      <c r="AF374" s="16" t="str">
        <f t="shared" si="13"/>
        <v/>
      </c>
      <c r="AG374" s="44"/>
      <c r="AH374" s="44"/>
      <c r="AI374" s="44" t="str">
        <f>IFERROR(__xludf.DUMMYFUNCTION("TEXTJOIN("", "",TRUE, FILTER(Data!P:P, Data!B:B=A374))"),"")</f>
        <v/>
      </c>
      <c r="AM374" s="61"/>
      <c r="BC374" s="50"/>
    </row>
    <row r="375">
      <c r="A375" s="54"/>
      <c r="B375" s="55" t="str">
        <f>IFERROR(__xludf.DUMMYFUNCTION("IFERROR(ROUND(
(COUNTIF(FILTER(Data!O:O, Data!B:B=A375), ""Win"")
+ COUNTIF(FILTER(Data!O:O, Data!B:B=A375), {""Tie"",""Results""}))
/ (COUNTIF(Data!B:B, A375)),
1),"""")"),"")</f>
        <v/>
      </c>
      <c r="C375" s="45" t="str">
        <f>IFERROR((SUMIF(Data!B:B, A375, Data!H:H)
/ (COUNTIF(Data!B:B, A375)
)),"")</f>
        <v/>
      </c>
      <c r="D375" s="45" t="str">
        <f>IFERROR((SUMIF(Data!B:B, A375, Data!G:G)
/ (COUNTIF(Data!B:B, A375)
)),"")</f>
        <v/>
      </c>
      <c r="E375" s="45"/>
      <c r="F375" s="45" t="str">
        <f>IFERROR((SUMIF(Data!B:B, A375, Data!J:J)
/ (COUNTIF(Data!B:B, A375)
)),"")</f>
        <v/>
      </c>
      <c r="G375" s="56" t="str">
        <f>IF(A375="","",IFERROR((((((SUMIF(Data!B:B, A375, Data!H:H)+(SUMIF(Data!B:B, A375,Data!G:G)))/(SUMIF(Data!B:B, A375, Data!J:J)))))),0))</f>
        <v/>
      </c>
      <c r="H375" s="45"/>
      <c r="I375" s="45"/>
      <c r="J375" s="45"/>
      <c r="K375" s="45"/>
      <c r="L375" s="45" t="str">
        <f>IFERROR((SUMIF(Data!B:B, A375, Data!L:L)
/ (COUNTIF(Data!B:B, A375)
)),"")</f>
        <v/>
      </c>
      <c r="M375" s="45" t="str">
        <f>IFERROR((SUMIF(Data!B:B, A375, Data!K:K)
/ (COUNTIF(Data!B:B, A375)
)),"")</f>
        <v/>
      </c>
      <c r="N375" s="56"/>
      <c r="O375" s="56" t="str">
        <f>IF(A375="","",IFERROR((((((SUMIF(Data!B:B, A375, Data!H:H)+(SUMIF(Data!B:B, A375,Data!G:G)+(SUMIF(Data!B:B, A375,Data!L:L)+(SUMIF(Data!B:B, A375,Data!K:K)))))/(SUMIF(Data!B:B, A375, Data!M:M)+(SUMIF(Data!B:B, A375, Data!H:H)+(SUMIF(Data!B:B, A375,Data!G:G)+(SUMIF(Data!B:B, A375,Data!K:K)+(SUMIF(Data!B:B, A375,Data!L:L)))))))))),0))</f>
        <v/>
      </c>
      <c r="P375" s="57" t="str">
        <f>IFERROR(__xludf.DUMMYFUNCTION("IFERROR(((COUNTIF(FILTER(Data!N:N,Data!B:B=A375),""TRAVERSE"")*15)+(COUNTIF(FILTER(Data!N:N,Data!B:B=A375),""HIGH"")*10)+(COUNTIF(FILTER(Data!N:N,Data!B:B=A375),""MIDDLE"")*6)+(COUNTIF(FILTER(Data!N:N,Data!B:B=A375),""LOW"")*4)) / (COUNTIF(Data!B:B, A375)"&amp;"),"""")"),"")</f>
        <v/>
      </c>
      <c r="Q375" s="58"/>
      <c r="R375" s="58"/>
      <c r="S375" s="58" t="str">
        <f>IFERROR(__xludf.DUMMYFUNCTION("IFERROR((((COUNTIF(FILTER(Data!N:N,Data!B:B=A375),""TRAVERSE""))+(COUNTIF(FILTER(Data!N:N,Data!B:B=A375),""HIGH""))+(COUNTIF(FILTER(Data!N:N,Data!B:B=A375),""MIDDLE""))+(COUNTIF(FILTER(Data!N:N,Data!B:B=A375),""LOW"")))) / (((COUNTIF(Data!B:B, A375)))-(CO"&amp;"UNTIF(FILTER(Data!N:N,Data!B:B=A375),""NONE""))),IF(ISBLANK(A375),"""",0))"),"")</f>
        <v/>
      </c>
      <c r="T375" s="56" t="str">
        <f>IFERROR(__xludf.DUMMYFUNCTION("IFERROR((COUNTIF(FILTER(Data!N:N, Data!B:B=A375),""LOW"")) / (COUNTIF(Data!B:B, A375)),"""")"),"")</f>
        <v/>
      </c>
      <c r="U375" s="59" t="str">
        <f>IFERROR(__xludf.DUMMYFUNCTION("IFERROR((COUNTIF(FILTER(Data!N:N, Data!B:B=A375),""MIDDLE"")) / (COUNTIF(Data!B:B, A375)),"""")"),"")</f>
        <v/>
      </c>
      <c r="V375" s="59" t="str">
        <f>IFERROR(__xludf.DUMMYFUNCTION("IFERROR((COUNTIF(FILTER(Data!N:N, Data!B:B=A375),""HIGH"")) / (COUNTIF(Data!B:B, A375)),"""")"),"")</f>
        <v/>
      </c>
      <c r="W375" s="59" t="str">
        <f>IFERROR(__xludf.DUMMYFUNCTION("IFERROR((COUNTIF(FILTER(Data!N:N, Data!B:B=A375),""TRAVERSE"")) / (COUNTIF(Data!B:B, A375)),"""")"),"")</f>
        <v/>
      </c>
      <c r="X375" s="59"/>
      <c r="Y375" s="45" t="str">
        <f t="shared" si="7"/>
        <v/>
      </c>
      <c r="Z375" s="45" t="str">
        <f t="shared" si="8"/>
        <v/>
      </c>
      <c r="AA375" s="16" t="str">
        <f t="shared" si="9"/>
        <v/>
      </c>
      <c r="AB375" s="16"/>
      <c r="AC375" s="16"/>
      <c r="AD375" s="16"/>
      <c r="AE375" s="16" t="str">
        <f t="shared" si="12"/>
        <v/>
      </c>
      <c r="AF375" s="16" t="str">
        <f t="shared" si="13"/>
        <v/>
      </c>
      <c r="AG375" s="44"/>
      <c r="AH375" s="44"/>
      <c r="AI375" s="44" t="str">
        <f>IFERROR(__xludf.DUMMYFUNCTION("TEXTJOIN("", "",TRUE, FILTER(Data!P:P, Data!B:B=A375))"),"")</f>
        <v/>
      </c>
      <c r="AM375" s="61"/>
      <c r="BC375" s="50"/>
    </row>
    <row r="376">
      <c r="A376" s="14"/>
      <c r="B376" s="55" t="str">
        <f>IFERROR(__xludf.DUMMYFUNCTION("IFERROR(ROUND(
(COUNTIF(FILTER(Data!O:O, Data!B:B=A376), ""Win"")
+ COUNTIF(FILTER(Data!O:O, Data!B:B=A376), {""Tie"",""Results""}))
/ (COUNTIF(Data!B:B, A376)),
1),"""")"),"")</f>
        <v/>
      </c>
      <c r="C376" s="45" t="str">
        <f>IFERROR((SUMIF(Data!B:B, A376, Data!H:H)
/ (COUNTIF(Data!B:B, A376)
)),"")</f>
        <v/>
      </c>
      <c r="D376" s="45" t="str">
        <f>IFERROR((SUMIF(Data!B:B, A376, Data!G:G)
/ (COUNTIF(Data!B:B, A376)
)),"")</f>
        <v/>
      </c>
      <c r="E376" s="45"/>
      <c r="F376" s="45" t="str">
        <f>IFERROR((SUMIF(Data!B:B, A376, Data!J:J)
/ (COUNTIF(Data!B:B, A376)
)),"")</f>
        <v/>
      </c>
      <c r="G376" s="56" t="str">
        <f>IF(A376="","",IFERROR((((((SUMIF(Data!B:B, A376, Data!H:H)+(SUMIF(Data!B:B, A376,Data!G:G)))/(SUMIF(Data!B:B, A376, Data!J:J)))))),0))</f>
        <v/>
      </c>
      <c r="H376" s="45"/>
      <c r="I376" s="45"/>
      <c r="J376" s="45"/>
      <c r="K376" s="45"/>
      <c r="L376" s="45" t="str">
        <f>IFERROR((SUMIF(Data!B:B, A376, Data!L:L)
/ (COUNTIF(Data!B:B, A376)
)),"")</f>
        <v/>
      </c>
      <c r="M376" s="45" t="str">
        <f>IFERROR((SUMIF(Data!B:B, A376, Data!K:K)
/ (COUNTIF(Data!B:B, A376)
)),"")</f>
        <v/>
      </c>
      <c r="N376" s="56"/>
      <c r="O376" s="56" t="str">
        <f>IF(A376="","",IFERROR((((((SUMIF(Data!B:B, A376, Data!H:H)+(SUMIF(Data!B:B, A376,Data!G:G)+(SUMIF(Data!B:B, A376,Data!L:L)+(SUMIF(Data!B:B, A376,Data!K:K)))))/(SUMIF(Data!B:B, A376, Data!M:M)+(SUMIF(Data!B:B, A376, Data!H:H)+(SUMIF(Data!B:B, A376,Data!G:G)+(SUMIF(Data!B:B, A376,Data!K:K)+(SUMIF(Data!B:B, A376,Data!L:L)))))))))),0))</f>
        <v/>
      </c>
      <c r="P376" s="57" t="str">
        <f>IFERROR(__xludf.DUMMYFUNCTION("IFERROR(((COUNTIF(FILTER(Data!N:N,Data!B:B=A376),""TRAVERSE"")*15)+(COUNTIF(FILTER(Data!N:N,Data!B:B=A376),""HIGH"")*10)+(COUNTIF(FILTER(Data!N:N,Data!B:B=A376),""MIDDLE"")*6)+(COUNTIF(FILTER(Data!N:N,Data!B:B=A376),""LOW"")*4)) / (COUNTIF(Data!B:B, A376)"&amp;"),"""")"),"")</f>
        <v/>
      </c>
      <c r="Q376" s="58"/>
      <c r="R376" s="58"/>
      <c r="S376" s="58" t="str">
        <f>IFERROR(__xludf.DUMMYFUNCTION("IFERROR((((COUNTIF(FILTER(Data!N:N,Data!B:B=A376),""TRAVERSE""))+(COUNTIF(FILTER(Data!N:N,Data!B:B=A376),""HIGH""))+(COUNTIF(FILTER(Data!N:N,Data!B:B=A376),""MIDDLE""))+(COUNTIF(FILTER(Data!N:N,Data!B:B=A376),""LOW"")))) / (((COUNTIF(Data!B:B, A376)))-(CO"&amp;"UNTIF(FILTER(Data!N:N,Data!B:B=A376),""NONE""))),IF(ISBLANK(A376),"""",0))"),"")</f>
        <v/>
      </c>
      <c r="T376" s="56" t="str">
        <f>IFERROR(__xludf.DUMMYFUNCTION("IFERROR((COUNTIF(FILTER(Data!N:N, Data!B:B=A376),""LOW"")) / (COUNTIF(Data!B:B, A376)),"""")"),"")</f>
        <v/>
      </c>
      <c r="U376" s="59" t="str">
        <f>IFERROR(__xludf.DUMMYFUNCTION("IFERROR((COUNTIF(FILTER(Data!N:N, Data!B:B=A376),""MIDDLE"")) / (COUNTIF(Data!B:B, A376)),"""")"),"")</f>
        <v/>
      </c>
      <c r="V376" s="59" t="str">
        <f>IFERROR(__xludf.DUMMYFUNCTION("IFERROR((COUNTIF(FILTER(Data!N:N, Data!B:B=A376),""HIGH"")) / (COUNTIF(Data!B:B, A376)),"""")"),"")</f>
        <v/>
      </c>
      <c r="W376" s="59" t="str">
        <f>IFERROR(__xludf.DUMMYFUNCTION("IFERROR((COUNTIF(FILTER(Data!N:N, Data!B:B=A376),""TRAVERSE"")) / (COUNTIF(Data!B:B, A376)),"""")"),"")</f>
        <v/>
      </c>
      <c r="X376" s="59"/>
      <c r="Y376" s="45" t="str">
        <f t="shared" si="7"/>
        <v/>
      </c>
      <c r="Z376" s="45" t="str">
        <f t="shared" si="8"/>
        <v/>
      </c>
      <c r="AA376" s="16" t="str">
        <f t="shared" si="9"/>
        <v/>
      </c>
      <c r="AB376" s="16"/>
      <c r="AC376" s="16"/>
      <c r="AD376" s="16"/>
      <c r="AE376" s="16" t="str">
        <f t="shared" si="12"/>
        <v/>
      </c>
      <c r="AF376" s="16" t="str">
        <f t="shared" si="13"/>
        <v/>
      </c>
      <c r="AG376" s="44"/>
      <c r="AH376" s="44"/>
      <c r="AI376" s="44" t="str">
        <f>IFERROR(__xludf.DUMMYFUNCTION("TEXTJOIN("", "",TRUE, FILTER(Data!P:P, Data!B:B=A376))"),"")</f>
        <v/>
      </c>
      <c r="AM376" s="61"/>
      <c r="BC376" s="50"/>
    </row>
    <row r="377">
      <c r="A377" s="14"/>
      <c r="B377" s="55" t="str">
        <f>IFERROR(__xludf.DUMMYFUNCTION("IFERROR(ROUND(
(COUNTIF(FILTER(Data!O:O, Data!B:B=A377), ""Win"")
+ COUNTIF(FILTER(Data!O:O, Data!B:B=A377), {""Tie"",""Results""}))
/ (COUNTIF(Data!B:B, A377)),
1),"""")"),"")</f>
        <v/>
      </c>
      <c r="C377" s="45" t="str">
        <f>IFERROR((SUMIF(Data!B:B, A377, Data!H:H)
/ (COUNTIF(Data!B:B, A377)
)),"")</f>
        <v/>
      </c>
      <c r="D377" s="45" t="str">
        <f>IFERROR((SUMIF(Data!B:B, A377, Data!G:G)
/ (COUNTIF(Data!B:B, A377)
)),"")</f>
        <v/>
      </c>
      <c r="E377" s="45"/>
      <c r="F377" s="45" t="str">
        <f>IFERROR((SUMIF(Data!B:B, A377, Data!J:J)
/ (COUNTIF(Data!B:B, A377)
)),"")</f>
        <v/>
      </c>
      <c r="G377" s="56" t="str">
        <f>IF(A377="","",IFERROR((((((SUMIF(Data!B:B, A377, Data!H:H)+(SUMIF(Data!B:B, A377,Data!G:G)))/(SUMIF(Data!B:B, A377, Data!J:J)))))),0))</f>
        <v/>
      </c>
      <c r="H377" s="45"/>
      <c r="I377" s="45"/>
      <c r="J377" s="45"/>
      <c r="K377" s="45"/>
      <c r="L377" s="45" t="str">
        <f>IFERROR((SUMIF(Data!B:B, A377, Data!L:L)
/ (COUNTIF(Data!B:B, A377)
)),"")</f>
        <v/>
      </c>
      <c r="M377" s="45" t="str">
        <f>IFERROR((SUMIF(Data!B:B, A377, Data!K:K)
/ (COUNTIF(Data!B:B, A377)
)),"")</f>
        <v/>
      </c>
      <c r="N377" s="56"/>
      <c r="O377" s="56" t="str">
        <f>IF(A377="","",IFERROR((((((SUMIF(Data!B:B, A377, Data!H:H)+(SUMIF(Data!B:B, A377,Data!G:G)+(SUMIF(Data!B:B, A377,Data!L:L)+(SUMIF(Data!B:B, A377,Data!K:K)))))/(SUMIF(Data!B:B, A377, Data!M:M)+(SUMIF(Data!B:B, A377, Data!H:H)+(SUMIF(Data!B:B, A377,Data!G:G)+(SUMIF(Data!B:B, A377,Data!K:K)+(SUMIF(Data!B:B, A377,Data!L:L)))))))))),0))</f>
        <v/>
      </c>
      <c r="P377" s="57" t="str">
        <f>IFERROR(__xludf.DUMMYFUNCTION("IFERROR(((COUNTIF(FILTER(Data!N:N,Data!B:B=A377),""TRAVERSE"")*15)+(COUNTIF(FILTER(Data!N:N,Data!B:B=A377),""HIGH"")*10)+(COUNTIF(FILTER(Data!N:N,Data!B:B=A377),""MIDDLE"")*6)+(COUNTIF(FILTER(Data!N:N,Data!B:B=A377),""LOW"")*4)) / (COUNTIF(Data!B:B, A377)"&amp;"),"""")"),"")</f>
        <v/>
      </c>
      <c r="Q377" s="58"/>
      <c r="R377" s="58"/>
      <c r="S377" s="58" t="str">
        <f>IFERROR(__xludf.DUMMYFUNCTION("IFERROR((((COUNTIF(FILTER(Data!N:N,Data!B:B=A377),""TRAVERSE""))+(COUNTIF(FILTER(Data!N:N,Data!B:B=A377),""HIGH""))+(COUNTIF(FILTER(Data!N:N,Data!B:B=A377),""MIDDLE""))+(COUNTIF(FILTER(Data!N:N,Data!B:B=A377),""LOW"")))) / (((COUNTIF(Data!B:B, A377)))-(CO"&amp;"UNTIF(FILTER(Data!N:N,Data!B:B=A377),""NONE""))),IF(ISBLANK(A377),"""",0))"),"")</f>
        <v/>
      </c>
      <c r="T377" s="56" t="str">
        <f>IFERROR(__xludf.DUMMYFUNCTION("IFERROR((COUNTIF(FILTER(Data!N:N, Data!B:B=A377),""LOW"")) / (COUNTIF(Data!B:B, A377)),"""")"),"")</f>
        <v/>
      </c>
      <c r="U377" s="59" t="str">
        <f>IFERROR(__xludf.DUMMYFUNCTION("IFERROR((COUNTIF(FILTER(Data!N:N, Data!B:B=A377),""MIDDLE"")) / (COUNTIF(Data!B:B, A377)),"""")"),"")</f>
        <v/>
      </c>
      <c r="V377" s="59" t="str">
        <f>IFERROR(__xludf.DUMMYFUNCTION("IFERROR((COUNTIF(FILTER(Data!N:N, Data!B:B=A377),""HIGH"")) / (COUNTIF(Data!B:B, A377)),"""")"),"")</f>
        <v/>
      </c>
      <c r="W377" s="59" t="str">
        <f>IFERROR(__xludf.DUMMYFUNCTION("IFERROR((COUNTIF(FILTER(Data!N:N, Data!B:B=A377),""TRAVERSE"")) / (COUNTIF(Data!B:B, A377)),"""")"),"")</f>
        <v/>
      </c>
      <c r="X377" s="59"/>
      <c r="Y377" s="45" t="str">
        <f t="shared" si="7"/>
        <v/>
      </c>
      <c r="Z377" s="45" t="str">
        <f t="shared" si="8"/>
        <v/>
      </c>
      <c r="AA377" s="16" t="str">
        <f t="shared" si="9"/>
        <v/>
      </c>
      <c r="AB377" s="16"/>
      <c r="AC377" s="16"/>
      <c r="AD377" s="16"/>
      <c r="AE377" s="16" t="str">
        <f t="shared" si="12"/>
        <v/>
      </c>
      <c r="AF377" s="16" t="str">
        <f t="shared" si="13"/>
        <v/>
      </c>
      <c r="AG377" s="44"/>
      <c r="AH377" s="44"/>
      <c r="AI377" s="44" t="str">
        <f>IFERROR(__xludf.DUMMYFUNCTION("TEXTJOIN("", "",TRUE, FILTER(Data!P:P, Data!B:B=A377))"),"")</f>
        <v/>
      </c>
      <c r="AM377" s="61"/>
      <c r="BC377" s="50"/>
    </row>
    <row r="378">
      <c r="A378" s="14"/>
      <c r="B378" s="55" t="str">
        <f>IFERROR(__xludf.DUMMYFUNCTION("IFERROR(ROUND(
(COUNTIF(FILTER(Data!O:O, Data!B:B=A378), ""Win"")
+ COUNTIF(FILTER(Data!O:O, Data!B:B=A378), {""Tie"",""Results""}))
/ (COUNTIF(Data!B:B, A378)),
1),"""")"),"")</f>
        <v/>
      </c>
      <c r="C378" s="45" t="str">
        <f>IFERROR((SUMIF(Data!B:B, A378, Data!H:H)
/ (COUNTIF(Data!B:B, A378)
)),"")</f>
        <v/>
      </c>
      <c r="D378" s="45" t="str">
        <f>IFERROR((SUMIF(Data!B:B, A378, Data!G:G)
/ (COUNTIF(Data!B:B, A378)
)),"")</f>
        <v/>
      </c>
      <c r="E378" s="45"/>
      <c r="F378" s="45" t="str">
        <f>IFERROR((SUMIF(Data!B:B, A378, Data!J:J)
/ (COUNTIF(Data!B:B, A378)
)),"")</f>
        <v/>
      </c>
      <c r="G378" s="56" t="str">
        <f>IF(A378="","",IFERROR((((((SUMIF(Data!B:B, A378, Data!H:H)+(SUMIF(Data!B:B, A378,Data!G:G)))/(SUMIF(Data!B:B, A378, Data!J:J)))))),0))</f>
        <v/>
      </c>
      <c r="H378" s="45"/>
      <c r="I378" s="45"/>
      <c r="J378" s="45"/>
      <c r="K378" s="45"/>
      <c r="L378" s="45" t="str">
        <f>IFERROR((SUMIF(Data!B:B, A378, Data!L:L)
/ (COUNTIF(Data!B:B, A378)
)),"")</f>
        <v/>
      </c>
      <c r="M378" s="45" t="str">
        <f>IFERROR((SUMIF(Data!B:B, A378, Data!K:K)
/ (COUNTIF(Data!B:B, A378)
)),"")</f>
        <v/>
      </c>
      <c r="N378" s="56"/>
      <c r="O378" s="56" t="str">
        <f>IF(A378="","",IFERROR((((((SUMIF(Data!B:B, A378, Data!H:H)+(SUMIF(Data!B:B, A378,Data!G:G)+(SUMIF(Data!B:B, A378,Data!L:L)+(SUMIF(Data!B:B, A378,Data!K:K)))))/(SUMIF(Data!B:B, A378, Data!M:M)+(SUMIF(Data!B:B, A378, Data!H:H)+(SUMIF(Data!B:B, A378,Data!G:G)+(SUMIF(Data!B:B, A378,Data!K:K)+(SUMIF(Data!B:B, A378,Data!L:L)))))))))),0))</f>
        <v/>
      </c>
      <c r="P378" s="57" t="str">
        <f>IFERROR(__xludf.DUMMYFUNCTION("IFERROR(((COUNTIF(FILTER(Data!N:N,Data!B:B=A378),""TRAVERSE"")*15)+(COUNTIF(FILTER(Data!N:N,Data!B:B=A378),""HIGH"")*10)+(COUNTIF(FILTER(Data!N:N,Data!B:B=A378),""MIDDLE"")*6)+(COUNTIF(FILTER(Data!N:N,Data!B:B=A378),""LOW"")*4)) / (COUNTIF(Data!B:B, A378)"&amp;"),"""")"),"")</f>
        <v/>
      </c>
      <c r="Q378" s="58"/>
      <c r="R378" s="58"/>
      <c r="S378" s="58" t="str">
        <f>IFERROR(__xludf.DUMMYFUNCTION("IFERROR((((COUNTIF(FILTER(Data!N:N,Data!B:B=A378),""TRAVERSE""))+(COUNTIF(FILTER(Data!N:N,Data!B:B=A378),""HIGH""))+(COUNTIF(FILTER(Data!N:N,Data!B:B=A378),""MIDDLE""))+(COUNTIF(FILTER(Data!N:N,Data!B:B=A378),""LOW"")))) / (((COUNTIF(Data!B:B, A378)))-(CO"&amp;"UNTIF(FILTER(Data!N:N,Data!B:B=A378),""NONE""))),IF(ISBLANK(A378),"""",0))"),"")</f>
        <v/>
      </c>
      <c r="T378" s="56" t="str">
        <f>IFERROR(__xludf.DUMMYFUNCTION("IFERROR((COUNTIF(FILTER(Data!N:N, Data!B:B=A378),""LOW"")) / (COUNTIF(Data!B:B, A378)),"""")"),"")</f>
        <v/>
      </c>
      <c r="U378" s="59" t="str">
        <f>IFERROR(__xludf.DUMMYFUNCTION("IFERROR((COUNTIF(FILTER(Data!N:N, Data!B:B=A378),""MIDDLE"")) / (COUNTIF(Data!B:B, A378)),"""")"),"")</f>
        <v/>
      </c>
      <c r="V378" s="59" t="str">
        <f>IFERROR(__xludf.DUMMYFUNCTION("IFERROR((COUNTIF(FILTER(Data!N:N, Data!B:B=A378),""HIGH"")) / (COUNTIF(Data!B:B, A378)),"""")"),"")</f>
        <v/>
      </c>
      <c r="W378" s="59" t="str">
        <f>IFERROR(__xludf.DUMMYFUNCTION("IFERROR((COUNTIF(FILTER(Data!N:N, Data!B:B=A378),""TRAVERSE"")) / (COUNTIF(Data!B:B, A378)),"""")"),"")</f>
        <v/>
      </c>
      <c r="X378" s="59"/>
      <c r="Y378" s="45" t="str">
        <f t="shared" si="7"/>
        <v/>
      </c>
      <c r="Z378" s="45" t="str">
        <f t="shared" si="8"/>
        <v/>
      </c>
      <c r="AA378" s="16" t="str">
        <f t="shared" si="9"/>
        <v/>
      </c>
      <c r="AB378" s="16"/>
      <c r="AC378" s="16"/>
      <c r="AD378" s="16"/>
      <c r="AE378" s="16" t="str">
        <f t="shared" si="12"/>
        <v/>
      </c>
      <c r="AF378" s="16" t="str">
        <f t="shared" si="13"/>
        <v/>
      </c>
      <c r="AG378" s="44"/>
      <c r="AH378" s="44"/>
      <c r="AI378" s="44" t="str">
        <f>IFERROR(__xludf.DUMMYFUNCTION("TEXTJOIN("", "",TRUE, FILTER(Data!P:P, Data!B:B=A378))"),"")</f>
        <v/>
      </c>
      <c r="AM378" s="61"/>
      <c r="BC378" s="50"/>
    </row>
    <row r="379">
      <c r="A379" s="14"/>
      <c r="B379" s="55" t="str">
        <f>IFERROR(__xludf.DUMMYFUNCTION("IFERROR(ROUND(
(COUNTIF(FILTER(Data!O:O, Data!B:B=A379), ""Win"")
+ COUNTIF(FILTER(Data!O:O, Data!B:B=A379), {""Tie"",""Results""}))
/ (COUNTIF(Data!B:B, A379)),
1),"""")"),"")</f>
        <v/>
      </c>
      <c r="C379" s="45" t="str">
        <f>IFERROR((SUMIF(Data!B:B, A379, Data!H:H)
/ (COUNTIF(Data!B:B, A379)
)),"")</f>
        <v/>
      </c>
      <c r="D379" s="45" t="str">
        <f>IFERROR((SUMIF(Data!B:B, A379, Data!G:G)
/ (COUNTIF(Data!B:B, A379)
)),"")</f>
        <v/>
      </c>
      <c r="E379" s="45"/>
      <c r="F379" s="45" t="str">
        <f>IFERROR((SUMIF(Data!B:B, A379, Data!J:J)
/ (COUNTIF(Data!B:B, A379)
)),"")</f>
        <v/>
      </c>
      <c r="G379" s="56" t="str">
        <f>IF(A379="","",IFERROR((((((SUMIF(Data!B:B, A379, Data!H:H)+(SUMIF(Data!B:B, A379,Data!G:G)))/(SUMIF(Data!B:B, A379, Data!J:J)))))),0))</f>
        <v/>
      </c>
      <c r="H379" s="45"/>
      <c r="I379" s="45"/>
      <c r="J379" s="45"/>
      <c r="K379" s="45"/>
      <c r="L379" s="45" t="str">
        <f>IFERROR((SUMIF(Data!B:B, A379, Data!L:L)
/ (COUNTIF(Data!B:B, A379)
)),"")</f>
        <v/>
      </c>
      <c r="M379" s="45" t="str">
        <f>IFERROR((SUMIF(Data!B:B, A379, Data!K:K)
/ (COUNTIF(Data!B:B, A379)
)),"")</f>
        <v/>
      </c>
      <c r="N379" s="56"/>
      <c r="O379" s="56" t="str">
        <f>IF(A379="","",IFERROR((((((SUMIF(Data!B:B, A379, Data!H:H)+(SUMIF(Data!B:B, A379,Data!G:G)+(SUMIF(Data!B:B, A379,Data!L:L)+(SUMIF(Data!B:B, A379,Data!K:K)))))/(SUMIF(Data!B:B, A379, Data!M:M)+(SUMIF(Data!B:B, A379, Data!H:H)+(SUMIF(Data!B:B, A379,Data!G:G)+(SUMIF(Data!B:B, A379,Data!K:K)+(SUMIF(Data!B:B, A379,Data!L:L)))))))))),0))</f>
        <v/>
      </c>
      <c r="P379" s="57" t="str">
        <f>IFERROR(__xludf.DUMMYFUNCTION("IFERROR(((COUNTIF(FILTER(Data!N:N,Data!B:B=A379),""TRAVERSE"")*15)+(COUNTIF(FILTER(Data!N:N,Data!B:B=A379),""HIGH"")*10)+(COUNTIF(FILTER(Data!N:N,Data!B:B=A379),""MIDDLE"")*6)+(COUNTIF(FILTER(Data!N:N,Data!B:B=A379),""LOW"")*4)) / (COUNTIF(Data!B:B, A379)"&amp;"),"""")"),"")</f>
        <v/>
      </c>
      <c r="Q379" s="58"/>
      <c r="R379" s="58"/>
      <c r="S379" s="58" t="str">
        <f>IFERROR(__xludf.DUMMYFUNCTION("IFERROR((((COUNTIF(FILTER(Data!N:N,Data!B:B=A379),""TRAVERSE""))+(COUNTIF(FILTER(Data!N:N,Data!B:B=A379),""HIGH""))+(COUNTIF(FILTER(Data!N:N,Data!B:B=A379),""MIDDLE""))+(COUNTIF(FILTER(Data!N:N,Data!B:B=A379),""LOW"")))) / (((COUNTIF(Data!B:B, A379)))-(CO"&amp;"UNTIF(FILTER(Data!N:N,Data!B:B=A379),""NONE""))),IF(ISBLANK(A379),"""",0))"),"")</f>
        <v/>
      </c>
      <c r="T379" s="56" t="str">
        <f>IFERROR(__xludf.DUMMYFUNCTION("IFERROR((COUNTIF(FILTER(Data!N:N, Data!B:B=A379),""LOW"")) / (COUNTIF(Data!B:B, A379)),"""")"),"")</f>
        <v/>
      </c>
      <c r="U379" s="59" t="str">
        <f>IFERROR(__xludf.DUMMYFUNCTION("IFERROR((COUNTIF(FILTER(Data!N:N, Data!B:B=A379),""MIDDLE"")) / (COUNTIF(Data!B:B, A379)),"""")"),"")</f>
        <v/>
      </c>
      <c r="V379" s="59" t="str">
        <f>IFERROR(__xludf.DUMMYFUNCTION("IFERROR((COUNTIF(FILTER(Data!N:N, Data!B:B=A379),""HIGH"")) / (COUNTIF(Data!B:B, A379)),"""")"),"")</f>
        <v/>
      </c>
      <c r="W379" s="59" t="str">
        <f>IFERROR(__xludf.DUMMYFUNCTION("IFERROR((COUNTIF(FILTER(Data!N:N, Data!B:B=A379),""TRAVERSE"")) / (COUNTIF(Data!B:B, A379)),"""")"),"")</f>
        <v/>
      </c>
      <c r="X379" s="59"/>
      <c r="Y379" s="45" t="str">
        <f t="shared" si="7"/>
        <v/>
      </c>
      <c r="Z379" s="45" t="str">
        <f t="shared" si="8"/>
        <v/>
      </c>
      <c r="AA379" s="16" t="str">
        <f t="shared" si="9"/>
        <v/>
      </c>
      <c r="AB379" s="16"/>
      <c r="AC379" s="16"/>
      <c r="AD379" s="16"/>
      <c r="AE379" s="16" t="str">
        <f t="shared" si="12"/>
        <v/>
      </c>
      <c r="AF379" s="16" t="str">
        <f t="shared" si="13"/>
        <v/>
      </c>
      <c r="AG379" s="44"/>
      <c r="AH379" s="44"/>
      <c r="AI379" s="44" t="str">
        <f>IFERROR(__xludf.DUMMYFUNCTION("TEXTJOIN("", "",TRUE, FILTER(Data!P:P, Data!B:B=A379))"),"")</f>
        <v/>
      </c>
      <c r="AM379" s="61"/>
      <c r="BC379" s="50"/>
    </row>
    <row r="380">
      <c r="A380" s="14"/>
      <c r="B380" s="55" t="str">
        <f>IFERROR(__xludf.DUMMYFUNCTION("IFERROR(ROUND(
(COUNTIF(FILTER(Data!O:O, Data!B:B=A380), ""Win"")
+ COUNTIF(FILTER(Data!O:O, Data!B:B=A380), {""Tie"",""Results""}))
/ (COUNTIF(Data!B:B, A380)),
1),"""")"),"")</f>
        <v/>
      </c>
      <c r="C380" s="45" t="str">
        <f>IFERROR((SUMIF(Data!B:B, A380, Data!H:H)
/ (COUNTIF(Data!B:B, A380)
)),"")</f>
        <v/>
      </c>
      <c r="D380" s="45" t="str">
        <f>IFERROR((SUMIF(Data!B:B, A380, Data!G:G)
/ (COUNTIF(Data!B:B, A380)
)),"")</f>
        <v/>
      </c>
      <c r="E380" s="45"/>
      <c r="F380" s="45" t="str">
        <f>IFERROR((SUMIF(Data!B:B, A380, Data!J:J)
/ (COUNTIF(Data!B:B, A380)
)),"")</f>
        <v/>
      </c>
      <c r="G380" s="56" t="str">
        <f>IF(A380="","",IFERROR((((((SUMIF(Data!B:B, A380, Data!H:H)+(SUMIF(Data!B:B, A380,Data!G:G)))/(SUMIF(Data!B:B, A380, Data!J:J)))))),0))</f>
        <v/>
      </c>
      <c r="H380" s="45"/>
      <c r="I380" s="45"/>
      <c r="J380" s="45"/>
      <c r="K380" s="45"/>
      <c r="L380" s="45" t="str">
        <f>IFERROR((SUMIF(Data!B:B, A380, Data!L:L)
/ (COUNTIF(Data!B:B, A380)
)),"")</f>
        <v/>
      </c>
      <c r="M380" s="45" t="str">
        <f>IFERROR((SUMIF(Data!B:B, A380, Data!K:K)
/ (COUNTIF(Data!B:B, A380)
)),"")</f>
        <v/>
      </c>
      <c r="N380" s="56"/>
      <c r="O380" s="56" t="str">
        <f>IF(A380="","",IFERROR((((((SUMIF(Data!B:B, A380, Data!H:H)+(SUMIF(Data!B:B, A380,Data!G:G)+(SUMIF(Data!B:B, A380,Data!L:L)+(SUMIF(Data!B:B, A380,Data!K:K)))))/(SUMIF(Data!B:B, A380, Data!M:M)+(SUMIF(Data!B:B, A380, Data!H:H)+(SUMIF(Data!B:B, A380,Data!G:G)+(SUMIF(Data!B:B, A380,Data!K:K)+(SUMIF(Data!B:B, A380,Data!L:L)))))))))),0))</f>
        <v/>
      </c>
      <c r="P380" s="57" t="str">
        <f>IFERROR(__xludf.DUMMYFUNCTION("IFERROR(((COUNTIF(FILTER(Data!N:N,Data!B:B=A380),""TRAVERSE"")*15)+(COUNTIF(FILTER(Data!N:N,Data!B:B=A380),""HIGH"")*10)+(COUNTIF(FILTER(Data!N:N,Data!B:B=A380),""MIDDLE"")*6)+(COUNTIF(FILTER(Data!N:N,Data!B:B=A380),""LOW"")*4)) / (COUNTIF(Data!B:B, A380)"&amp;"),"""")"),"")</f>
        <v/>
      </c>
      <c r="Q380" s="58"/>
      <c r="R380" s="58"/>
      <c r="S380" s="58" t="str">
        <f>IFERROR(__xludf.DUMMYFUNCTION("IFERROR((((COUNTIF(FILTER(Data!N:N,Data!B:B=A380),""TRAVERSE""))+(COUNTIF(FILTER(Data!N:N,Data!B:B=A380),""HIGH""))+(COUNTIF(FILTER(Data!N:N,Data!B:B=A380),""MIDDLE""))+(COUNTIF(FILTER(Data!N:N,Data!B:B=A380),""LOW"")))) / (((COUNTIF(Data!B:B, A380)))-(CO"&amp;"UNTIF(FILTER(Data!N:N,Data!B:B=A380),""NONE""))),IF(ISBLANK(A380),"""",0))"),"")</f>
        <v/>
      </c>
      <c r="T380" s="56" t="str">
        <f>IFERROR(__xludf.DUMMYFUNCTION("IFERROR((COUNTIF(FILTER(Data!N:N, Data!B:B=A380),""LOW"")) / (COUNTIF(Data!B:B, A380)),"""")"),"")</f>
        <v/>
      </c>
      <c r="U380" s="59" t="str">
        <f>IFERROR(__xludf.DUMMYFUNCTION("IFERROR((COUNTIF(FILTER(Data!N:N, Data!B:B=A380),""MIDDLE"")) / (COUNTIF(Data!B:B, A380)),"""")"),"")</f>
        <v/>
      </c>
      <c r="V380" s="59" t="str">
        <f>IFERROR(__xludf.DUMMYFUNCTION("IFERROR((COUNTIF(FILTER(Data!N:N, Data!B:B=A380),""HIGH"")) / (COUNTIF(Data!B:B, A380)),"""")"),"")</f>
        <v/>
      </c>
      <c r="W380" s="59" t="str">
        <f>IFERROR(__xludf.DUMMYFUNCTION("IFERROR((COUNTIF(FILTER(Data!N:N, Data!B:B=A380),""TRAVERSE"")) / (COUNTIF(Data!B:B, A380)),"""")"),"")</f>
        <v/>
      </c>
      <c r="X380" s="59"/>
      <c r="Y380" s="45" t="str">
        <f t="shared" si="7"/>
        <v/>
      </c>
      <c r="Z380" s="45" t="str">
        <f t="shared" si="8"/>
        <v/>
      </c>
      <c r="AA380" s="16" t="str">
        <f t="shared" si="9"/>
        <v/>
      </c>
      <c r="AB380" s="16"/>
      <c r="AC380" s="16"/>
      <c r="AD380" s="16"/>
      <c r="AE380" s="16" t="str">
        <f t="shared" si="12"/>
        <v/>
      </c>
      <c r="AF380" s="16" t="str">
        <f t="shared" si="13"/>
        <v/>
      </c>
      <c r="AG380" s="44"/>
      <c r="AH380" s="44"/>
      <c r="AI380" s="44" t="str">
        <f>IFERROR(__xludf.DUMMYFUNCTION("TEXTJOIN("", "",TRUE, FILTER(Data!P:P, Data!B:B=A380))"),"")</f>
        <v/>
      </c>
      <c r="AM380" s="61"/>
      <c r="BC380" s="50"/>
    </row>
    <row r="381">
      <c r="A381" s="14"/>
      <c r="B381" s="55" t="str">
        <f>IFERROR(__xludf.DUMMYFUNCTION("IFERROR(ROUND(
(COUNTIF(FILTER(Data!O:O, Data!B:B=A381), ""Win"")
+ COUNTIF(FILTER(Data!O:O, Data!B:B=A381), {""Tie"",""Results""}))
/ (COUNTIF(Data!B:B, A381)),
1),"""")"),"")</f>
        <v/>
      </c>
      <c r="C381" s="45" t="str">
        <f>IFERROR((SUMIF(Data!B:B, A381, Data!H:H)
/ (COUNTIF(Data!B:B, A381)
)),"")</f>
        <v/>
      </c>
      <c r="D381" s="45" t="str">
        <f>IFERROR((SUMIF(Data!B:B, A381, Data!G:G)
/ (COUNTIF(Data!B:B, A381)
)),"")</f>
        <v/>
      </c>
      <c r="E381" s="45"/>
      <c r="F381" s="45" t="str">
        <f>IFERROR((SUMIF(Data!B:B, A381, Data!J:J)
/ (COUNTIF(Data!B:B, A381)
)),"")</f>
        <v/>
      </c>
      <c r="G381" s="56" t="str">
        <f>IF(A381="","",IFERROR((((((SUMIF(Data!B:B, A381, Data!H:H)+(SUMIF(Data!B:B, A381,Data!G:G)))/(SUMIF(Data!B:B, A381, Data!J:J)))))),0))</f>
        <v/>
      </c>
      <c r="H381" s="45"/>
      <c r="I381" s="45"/>
      <c r="J381" s="45"/>
      <c r="K381" s="45"/>
      <c r="L381" s="45" t="str">
        <f>IFERROR((SUMIF(Data!B:B, A381, Data!L:L)
/ (COUNTIF(Data!B:B, A381)
)),"")</f>
        <v/>
      </c>
      <c r="M381" s="45" t="str">
        <f>IFERROR((SUMIF(Data!B:B, A381, Data!K:K)
/ (COUNTIF(Data!B:B, A381)
)),"")</f>
        <v/>
      </c>
      <c r="N381" s="56"/>
      <c r="O381" s="56" t="str">
        <f>IF(A381="","",IFERROR((((((SUMIF(Data!B:B, A381, Data!H:H)+(SUMIF(Data!B:B, A381,Data!G:G)+(SUMIF(Data!B:B, A381,Data!L:L)+(SUMIF(Data!B:B, A381,Data!K:K)))))/(SUMIF(Data!B:B, A381, Data!M:M)+(SUMIF(Data!B:B, A381, Data!H:H)+(SUMIF(Data!B:B, A381,Data!G:G)+(SUMIF(Data!B:B, A381,Data!K:K)+(SUMIF(Data!B:B, A381,Data!L:L)))))))))),0))</f>
        <v/>
      </c>
      <c r="P381" s="57" t="str">
        <f>IFERROR(__xludf.DUMMYFUNCTION("IFERROR(((COUNTIF(FILTER(Data!N:N,Data!B:B=A381),""TRAVERSE"")*15)+(COUNTIF(FILTER(Data!N:N,Data!B:B=A381),""HIGH"")*10)+(COUNTIF(FILTER(Data!N:N,Data!B:B=A381),""MIDDLE"")*6)+(COUNTIF(FILTER(Data!N:N,Data!B:B=A381),""LOW"")*4)) / (COUNTIF(Data!B:B, A381)"&amp;"),"""")"),"")</f>
        <v/>
      </c>
      <c r="Q381" s="58"/>
      <c r="R381" s="58"/>
      <c r="S381" s="58" t="str">
        <f>IFERROR(__xludf.DUMMYFUNCTION("IFERROR((((COUNTIF(FILTER(Data!N:N,Data!B:B=A381),""TRAVERSE""))+(COUNTIF(FILTER(Data!N:N,Data!B:B=A381),""HIGH""))+(COUNTIF(FILTER(Data!N:N,Data!B:B=A381),""MIDDLE""))+(COUNTIF(FILTER(Data!N:N,Data!B:B=A381),""LOW"")))) / (((COUNTIF(Data!B:B, A381)))-(CO"&amp;"UNTIF(FILTER(Data!N:N,Data!B:B=A381),""NONE""))),IF(ISBLANK(A381),"""",0))"),"")</f>
        <v/>
      </c>
      <c r="T381" s="56" t="str">
        <f>IFERROR(__xludf.DUMMYFUNCTION("IFERROR((COUNTIF(FILTER(Data!N:N, Data!B:B=A381),""LOW"")) / (COUNTIF(Data!B:B, A381)),"""")"),"")</f>
        <v/>
      </c>
      <c r="U381" s="59" t="str">
        <f>IFERROR(__xludf.DUMMYFUNCTION("IFERROR((COUNTIF(FILTER(Data!N:N, Data!B:B=A381),""MIDDLE"")) / (COUNTIF(Data!B:B, A381)),"""")"),"")</f>
        <v/>
      </c>
      <c r="V381" s="59" t="str">
        <f>IFERROR(__xludf.DUMMYFUNCTION("IFERROR((COUNTIF(FILTER(Data!N:N, Data!B:B=A381),""HIGH"")) / (COUNTIF(Data!B:B, A381)),"""")"),"")</f>
        <v/>
      </c>
      <c r="W381" s="59" t="str">
        <f>IFERROR(__xludf.DUMMYFUNCTION("IFERROR((COUNTIF(FILTER(Data!N:N, Data!B:B=A381),""TRAVERSE"")) / (COUNTIF(Data!B:B, A381)),"""")"),"")</f>
        <v/>
      </c>
      <c r="X381" s="59"/>
      <c r="Y381" s="45" t="str">
        <f t="shared" si="7"/>
        <v/>
      </c>
      <c r="Z381" s="45" t="str">
        <f t="shared" si="8"/>
        <v/>
      </c>
      <c r="AA381" s="16" t="str">
        <f t="shared" si="9"/>
        <v/>
      </c>
      <c r="AB381" s="16"/>
      <c r="AC381" s="16"/>
      <c r="AD381" s="16"/>
      <c r="AE381" s="16" t="str">
        <f t="shared" si="12"/>
        <v/>
      </c>
      <c r="AF381" s="16" t="str">
        <f t="shared" si="13"/>
        <v/>
      </c>
      <c r="AG381" s="44"/>
      <c r="AH381" s="44"/>
      <c r="AI381" s="44" t="str">
        <f>IFERROR(__xludf.DUMMYFUNCTION("TEXTJOIN("", "",TRUE, FILTER(Data!P:P, Data!B:B=A381))"),"")</f>
        <v/>
      </c>
      <c r="AM381" s="61"/>
      <c r="BC381" s="50"/>
    </row>
    <row r="382">
      <c r="A382" s="14"/>
      <c r="B382" s="55" t="str">
        <f>IFERROR(__xludf.DUMMYFUNCTION("IFERROR(ROUND(
(COUNTIF(FILTER(Data!O:O, Data!B:B=A382), ""Win"")
+ COUNTIF(FILTER(Data!O:O, Data!B:B=A382), {""Tie"",""Results""}))
/ (COUNTIF(Data!B:B, A382)),
1),"""")"),"")</f>
        <v/>
      </c>
      <c r="C382" s="45" t="str">
        <f>IFERROR((SUMIF(Data!B:B, A382, Data!H:H)
/ (COUNTIF(Data!B:B, A382)
)),"")</f>
        <v/>
      </c>
      <c r="D382" s="45" t="str">
        <f>IFERROR((SUMIF(Data!B:B, A382, Data!G:G)
/ (COUNTIF(Data!B:B, A382)
)),"")</f>
        <v/>
      </c>
      <c r="E382" s="45"/>
      <c r="F382" s="45" t="str">
        <f>IFERROR((SUMIF(Data!B:B, A382, Data!J:J)
/ (COUNTIF(Data!B:B, A382)
)),"")</f>
        <v/>
      </c>
      <c r="G382" s="56" t="str">
        <f>IF(A382="","",IFERROR((((((SUMIF(Data!B:B, A382, Data!H:H)+(SUMIF(Data!B:B, A382,Data!G:G)))/(SUMIF(Data!B:B, A382, Data!J:J)))))),0))</f>
        <v/>
      </c>
      <c r="H382" s="45"/>
      <c r="I382" s="45"/>
      <c r="J382" s="45"/>
      <c r="K382" s="45"/>
      <c r="L382" s="45" t="str">
        <f>IFERROR((SUMIF(Data!B:B, A382, Data!L:L)
/ (COUNTIF(Data!B:B, A382)
)),"")</f>
        <v/>
      </c>
      <c r="M382" s="45" t="str">
        <f>IFERROR((SUMIF(Data!B:B, A382, Data!K:K)
/ (COUNTIF(Data!B:B, A382)
)),"")</f>
        <v/>
      </c>
      <c r="N382" s="56"/>
      <c r="O382" s="56" t="str">
        <f>IF(A382="","",IFERROR((((((SUMIF(Data!B:B, A382, Data!H:H)+(SUMIF(Data!B:B, A382,Data!G:G)+(SUMIF(Data!B:B, A382,Data!L:L)+(SUMIF(Data!B:B, A382,Data!K:K)))))/(SUMIF(Data!B:B, A382, Data!M:M)+(SUMIF(Data!B:B, A382, Data!H:H)+(SUMIF(Data!B:B, A382,Data!G:G)+(SUMIF(Data!B:B, A382,Data!K:K)+(SUMIF(Data!B:B, A382,Data!L:L)))))))))),0))</f>
        <v/>
      </c>
      <c r="P382" s="57" t="str">
        <f>IFERROR(__xludf.DUMMYFUNCTION("IFERROR(((COUNTIF(FILTER(Data!N:N,Data!B:B=A382),""TRAVERSE"")*15)+(COUNTIF(FILTER(Data!N:N,Data!B:B=A382),""HIGH"")*10)+(COUNTIF(FILTER(Data!N:N,Data!B:B=A382),""MIDDLE"")*6)+(COUNTIF(FILTER(Data!N:N,Data!B:B=A382),""LOW"")*4)) / (COUNTIF(Data!B:B, A382)"&amp;"),"""")"),"")</f>
        <v/>
      </c>
      <c r="Q382" s="58"/>
      <c r="R382" s="58"/>
      <c r="S382" s="58" t="str">
        <f>IFERROR(__xludf.DUMMYFUNCTION("IFERROR((((COUNTIF(FILTER(Data!N:N,Data!B:B=A382),""TRAVERSE""))+(COUNTIF(FILTER(Data!N:N,Data!B:B=A382),""HIGH""))+(COUNTIF(FILTER(Data!N:N,Data!B:B=A382),""MIDDLE""))+(COUNTIF(FILTER(Data!N:N,Data!B:B=A382),""LOW"")))) / (((COUNTIF(Data!B:B, A382)))-(CO"&amp;"UNTIF(FILTER(Data!N:N,Data!B:B=A382),""NONE""))),IF(ISBLANK(A382),"""",0))"),"")</f>
        <v/>
      </c>
      <c r="T382" s="56" t="str">
        <f>IFERROR(__xludf.DUMMYFUNCTION("IFERROR((COUNTIF(FILTER(Data!N:N, Data!B:B=A382),""LOW"")) / (COUNTIF(Data!B:B, A382)),"""")"),"")</f>
        <v/>
      </c>
      <c r="U382" s="59" t="str">
        <f>IFERROR(__xludf.DUMMYFUNCTION("IFERROR((COUNTIF(FILTER(Data!N:N, Data!B:B=A382),""MIDDLE"")) / (COUNTIF(Data!B:B, A382)),"""")"),"")</f>
        <v/>
      </c>
      <c r="V382" s="59" t="str">
        <f>IFERROR(__xludf.DUMMYFUNCTION("IFERROR((COUNTIF(FILTER(Data!N:N, Data!B:B=A382),""HIGH"")) / (COUNTIF(Data!B:B, A382)),"""")"),"")</f>
        <v/>
      </c>
      <c r="W382" s="59" t="str">
        <f>IFERROR(__xludf.DUMMYFUNCTION("IFERROR((COUNTIF(FILTER(Data!N:N, Data!B:B=A382),""TRAVERSE"")) / (COUNTIF(Data!B:B, A382)),"""")"),"")</f>
        <v/>
      </c>
      <c r="X382" s="59"/>
      <c r="Y382" s="45" t="str">
        <f t="shared" si="7"/>
        <v/>
      </c>
      <c r="Z382" s="45" t="str">
        <f t="shared" si="8"/>
        <v/>
      </c>
      <c r="AA382" s="16" t="str">
        <f t="shared" si="9"/>
        <v/>
      </c>
      <c r="AB382" s="16"/>
      <c r="AC382" s="16"/>
      <c r="AD382" s="16"/>
      <c r="AE382" s="16" t="str">
        <f t="shared" si="12"/>
        <v/>
      </c>
      <c r="AF382" s="16" t="str">
        <f t="shared" si="13"/>
        <v/>
      </c>
      <c r="AG382" s="44"/>
      <c r="AH382" s="44"/>
      <c r="AI382" s="44" t="str">
        <f>IFERROR(__xludf.DUMMYFUNCTION("TEXTJOIN("", "",TRUE, FILTER(Data!P:P, Data!B:B=A382))"),"")</f>
        <v/>
      </c>
      <c r="AM382" s="61"/>
      <c r="BC382" s="50"/>
    </row>
    <row r="383">
      <c r="A383" s="14"/>
      <c r="B383" s="55" t="str">
        <f>IFERROR(__xludf.DUMMYFUNCTION("IFERROR(ROUND(
(COUNTIF(FILTER(Data!O:O, Data!B:B=A383), ""Win"")
+ COUNTIF(FILTER(Data!O:O, Data!B:B=A383), {""Tie"",""Results""}))
/ (COUNTIF(Data!B:B, A383)),
1),"""")"),"")</f>
        <v/>
      </c>
      <c r="C383" s="45" t="str">
        <f>IFERROR((SUMIF(Data!B:B, A383, Data!H:H)
/ (COUNTIF(Data!B:B, A383)
)),"")</f>
        <v/>
      </c>
      <c r="D383" s="45" t="str">
        <f>IFERROR((SUMIF(Data!B:B, A383, Data!G:G)
/ (COUNTIF(Data!B:B, A383)
)),"")</f>
        <v/>
      </c>
      <c r="E383" s="45"/>
      <c r="F383" s="45" t="str">
        <f>IFERROR((SUMIF(Data!B:B, A383, Data!J:J)
/ (COUNTIF(Data!B:B, A383)
)),"")</f>
        <v/>
      </c>
      <c r="G383" s="56" t="str">
        <f>IF(A383="","",IFERROR((((((SUMIF(Data!B:B, A383, Data!H:H)+(SUMIF(Data!B:B, A383,Data!G:G)))/(SUMIF(Data!B:B, A383, Data!J:J)))))),0))</f>
        <v/>
      </c>
      <c r="H383" s="45"/>
      <c r="I383" s="45"/>
      <c r="J383" s="45"/>
      <c r="K383" s="45"/>
      <c r="L383" s="45" t="str">
        <f>IFERROR((SUMIF(Data!B:B, A383, Data!L:L)
/ (COUNTIF(Data!B:B, A383)
)),"")</f>
        <v/>
      </c>
      <c r="M383" s="45" t="str">
        <f>IFERROR((SUMIF(Data!B:B, A383, Data!K:K)
/ (COUNTIF(Data!B:B, A383)
)),"")</f>
        <v/>
      </c>
      <c r="N383" s="56"/>
      <c r="O383" s="56" t="str">
        <f>IF(A383="","",IFERROR((((((SUMIF(Data!B:B, A383, Data!H:H)+(SUMIF(Data!B:B, A383,Data!G:G)+(SUMIF(Data!B:B, A383,Data!L:L)+(SUMIF(Data!B:B, A383,Data!K:K)))))/(SUMIF(Data!B:B, A383, Data!M:M)+(SUMIF(Data!B:B, A383, Data!H:H)+(SUMIF(Data!B:B, A383,Data!G:G)+(SUMIF(Data!B:B, A383,Data!K:K)+(SUMIF(Data!B:B, A383,Data!L:L)))))))))),0))</f>
        <v/>
      </c>
      <c r="P383" s="57" t="str">
        <f>IFERROR(__xludf.DUMMYFUNCTION("IFERROR(((COUNTIF(FILTER(Data!N:N,Data!B:B=A383),""TRAVERSE"")*15)+(COUNTIF(FILTER(Data!N:N,Data!B:B=A383),""HIGH"")*10)+(COUNTIF(FILTER(Data!N:N,Data!B:B=A383),""MIDDLE"")*6)+(COUNTIF(FILTER(Data!N:N,Data!B:B=A383),""LOW"")*4)) / (COUNTIF(Data!B:B, A383)"&amp;"),"""")"),"")</f>
        <v/>
      </c>
      <c r="Q383" s="58"/>
      <c r="R383" s="58"/>
      <c r="S383" s="58" t="str">
        <f>IFERROR(__xludf.DUMMYFUNCTION("IFERROR((((COUNTIF(FILTER(Data!N:N,Data!B:B=A383),""TRAVERSE""))+(COUNTIF(FILTER(Data!N:N,Data!B:B=A383),""HIGH""))+(COUNTIF(FILTER(Data!N:N,Data!B:B=A383),""MIDDLE""))+(COUNTIF(FILTER(Data!N:N,Data!B:B=A383),""LOW"")))) / (((COUNTIF(Data!B:B, A383)))-(CO"&amp;"UNTIF(FILTER(Data!N:N,Data!B:B=A383),""NONE""))),IF(ISBLANK(A383),"""",0))"),"")</f>
        <v/>
      </c>
      <c r="T383" s="56" t="str">
        <f>IFERROR(__xludf.DUMMYFUNCTION("IFERROR((COUNTIF(FILTER(Data!N:N, Data!B:B=A383),""LOW"")) / (COUNTIF(Data!B:B, A383)),"""")"),"")</f>
        <v/>
      </c>
      <c r="U383" s="59" t="str">
        <f>IFERROR(__xludf.DUMMYFUNCTION("IFERROR((COUNTIF(FILTER(Data!N:N, Data!B:B=A383),""MIDDLE"")) / (COUNTIF(Data!B:B, A383)),"""")"),"")</f>
        <v/>
      </c>
      <c r="V383" s="59" t="str">
        <f>IFERROR(__xludf.DUMMYFUNCTION("IFERROR((COUNTIF(FILTER(Data!N:N, Data!B:B=A383),""HIGH"")) / (COUNTIF(Data!B:B, A383)),"""")"),"")</f>
        <v/>
      </c>
      <c r="W383" s="59" t="str">
        <f>IFERROR(__xludf.DUMMYFUNCTION("IFERROR((COUNTIF(FILTER(Data!N:N, Data!B:B=A383),""TRAVERSE"")) / (COUNTIF(Data!B:B, A383)),"""")"),"")</f>
        <v/>
      </c>
      <c r="X383" s="59"/>
      <c r="Y383" s="45" t="str">
        <f t="shared" si="7"/>
        <v/>
      </c>
      <c r="Z383" s="45" t="str">
        <f t="shared" si="8"/>
        <v/>
      </c>
      <c r="AA383" s="16" t="str">
        <f t="shared" si="9"/>
        <v/>
      </c>
      <c r="AB383" s="16"/>
      <c r="AC383" s="16"/>
      <c r="AD383" s="16"/>
      <c r="AE383" s="16" t="str">
        <f t="shared" si="12"/>
        <v/>
      </c>
      <c r="AF383" s="16" t="str">
        <f t="shared" si="13"/>
        <v/>
      </c>
      <c r="AG383" s="44"/>
      <c r="AH383" s="44"/>
      <c r="AI383" s="44" t="str">
        <f>IFERROR(__xludf.DUMMYFUNCTION("TEXTJOIN("", "",TRUE, FILTER(Data!P:P, Data!B:B=A383))"),"")</f>
        <v/>
      </c>
      <c r="AM383" s="61"/>
      <c r="BC383" s="50"/>
    </row>
    <row r="384">
      <c r="A384" s="14"/>
      <c r="B384" s="55" t="str">
        <f>IFERROR(__xludf.DUMMYFUNCTION("IFERROR(ROUND(
(COUNTIF(FILTER(Data!O:O, Data!B:B=A384), ""Win"")
+ COUNTIF(FILTER(Data!O:O, Data!B:B=A384), {""Tie"",""Results""}))
/ (COUNTIF(Data!B:B, A384)),
1),"""")"),"")</f>
        <v/>
      </c>
      <c r="C384" s="45" t="str">
        <f>IFERROR((SUMIF(Data!B:B, A384, Data!H:H)
/ (COUNTIF(Data!B:B, A384)
)),"")</f>
        <v/>
      </c>
      <c r="D384" s="45" t="str">
        <f>IFERROR((SUMIF(Data!B:B, A384, Data!G:G)
/ (COUNTIF(Data!B:B, A384)
)),"")</f>
        <v/>
      </c>
      <c r="E384" s="45"/>
      <c r="F384" s="45" t="str">
        <f>IFERROR((SUMIF(Data!B:B, A384, Data!J:J)
/ (COUNTIF(Data!B:B, A384)
)),"")</f>
        <v/>
      </c>
      <c r="G384" s="56" t="str">
        <f>IF(A384="","",IFERROR((((((SUMIF(Data!B:B, A384, Data!H:H)+(SUMIF(Data!B:B, A384,Data!G:G)))/(SUMIF(Data!B:B, A384, Data!J:J)))))),0))</f>
        <v/>
      </c>
      <c r="H384" s="45"/>
      <c r="I384" s="45"/>
      <c r="J384" s="45"/>
      <c r="K384" s="45"/>
      <c r="L384" s="45" t="str">
        <f>IFERROR((SUMIF(Data!B:B, A384, Data!L:L)
/ (COUNTIF(Data!B:B, A384)
)),"")</f>
        <v/>
      </c>
      <c r="M384" s="45" t="str">
        <f>IFERROR((SUMIF(Data!B:B, A384, Data!K:K)
/ (COUNTIF(Data!B:B, A384)
)),"")</f>
        <v/>
      </c>
      <c r="N384" s="56"/>
      <c r="O384" s="56" t="str">
        <f>IF(A384="","",IFERROR((((((SUMIF(Data!B:B, A384, Data!H:H)+(SUMIF(Data!B:B, A384,Data!G:G)+(SUMIF(Data!B:B, A384,Data!L:L)+(SUMIF(Data!B:B, A384,Data!K:K)))))/(SUMIF(Data!B:B, A384, Data!M:M)+(SUMIF(Data!B:B, A384, Data!H:H)+(SUMIF(Data!B:B, A384,Data!G:G)+(SUMIF(Data!B:B, A384,Data!K:K)+(SUMIF(Data!B:B, A384,Data!L:L)))))))))),0))</f>
        <v/>
      </c>
      <c r="P384" s="57" t="str">
        <f>IFERROR(__xludf.DUMMYFUNCTION("IFERROR(((COUNTIF(FILTER(Data!N:N,Data!B:B=A384),""TRAVERSE"")*15)+(COUNTIF(FILTER(Data!N:N,Data!B:B=A384),""HIGH"")*10)+(COUNTIF(FILTER(Data!N:N,Data!B:B=A384),""MIDDLE"")*6)+(COUNTIF(FILTER(Data!N:N,Data!B:B=A384),""LOW"")*4)) / (COUNTIF(Data!B:B, A384)"&amp;"),"""")"),"")</f>
        <v/>
      </c>
      <c r="Q384" s="58"/>
      <c r="R384" s="58"/>
      <c r="S384" s="58" t="str">
        <f>IFERROR(__xludf.DUMMYFUNCTION("IFERROR((((COUNTIF(FILTER(Data!N:N,Data!B:B=A384),""TRAVERSE""))+(COUNTIF(FILTER(Data!N:N,Data!B:B=A384),""HIGH""))+(COUNTIF(FILTER(Data!N:N,Data!B:B=A384),""MIDDLE""))+(COUNTIF(FILTER(Data!N:N,Data!B:B=A384),""LOW"")))) / (((COUNTIF(Data!B:B, A384)))-(CO"&amp;"UNTIF(FILTER(Data!N:N,Data!B:B=A384),""NONE""))),IF(ISBLANK(A384),"""",0))"),"")</f>
        <v/>
      </c>
      <c r="T384" s="56" t="str">
        <f>IFERROR(__xludf.DUMMYFUNCTION("IFERROR((COUNTIF(FILTER(Data!N:N, Data!B:B=A384),""LOW"")) / (COUNTIF(Data!B:B, A384)),"""")"),"")</f>
        <v/>
      </c>
      <c r="U384" s="59" t="str">
        <f>IFERROR(__xludf.DUMMYFUNCTION("IFERROR((COUNTIF(FILTER(Data!N:N, Data!B:B=A384),""MIDDLE"")) / (COUNTIF(Data!B:B, A384)),"""")"),"")</f>
        <v/>
      </c>
      <c r="V384" s="59" t="str">
        <f>IFERROR(__xludf.DUMMYFUNCTION("IFERROR((COUNTIF(FILTER(Data!N:N, Data!B:B=A384),""HIGH"")) / (COUNTIF(Data!B:B, A384)),"""")"),"")</f>
        <v/>
      </c>
      <c r="W384" s="59" t="str">
        <f>IFERROR(__xludf.DUMMYFUNCTION("IFERROR((COUNTIF(FILTER(Data!N:N, Data!B:B=A384),""TRAVERSE"")) / (COUNTIF(Data!B:B, A384)),"""")"),"")</f>
        <v/>
      </c>
      <c r="X384" s="59"/>
      <c r="Y384" s="45" t="str">
        <f t="shared" si="7"/>
        <v/>
      </c>
      <c r="Z384" s="45" t="str">
        <f t="shared" si="8"/>
        <v/>
      </c>
      <c r="AA384" s="16" t="str">
        <f t="shared" si="9"/>
        <v/>
      </c>
      <c r="AB384" s="16"/>
      <c r="AC384" s="16"/>
      <c r="AD384" s="16"/>
      <c r="AE384" s="16" t="str">
        <f t="shared" si="12"/>
        <v/>
      </c>
      <c r="AF384" s="16" t="str">
        <f t="shared" si="13"/>
        <v/>
      </c>
      <c r="AG384" s="44"/>
      <c r="AH384" s="44"/>
      <c r="AI384" s="44" t="str">
        <f>IFERROR(__xludf.DUMMYFUNCTION("TEXTJOIN("", "",TRUE, FILTER(Data!P:P, Data!B:B=A384))"),"")</f>
        <v/>
      </c>
      <c r="AM384" s="61"/>
      <c r="BC384" s="50"/>
    </row>
    <row r="385">
      <c r="A385" s="14"/>
      <c r="B385" s="55" t="str">
        <f>IFERROR(__xludf.DUMMYFUNCTION("IFERROR(ROUND(
(COUNTIF(FILTER(Data!O:O, Data!B:B=A385), ""Win"")
+ COUNTIF(FILTER(Data!O:O, Data!B:B=A385), {""Tie"",""Results""}))
/ (COUNTIF(Data!B:B, A385)),
1),"""")"),"")</f>
        <v/>
      </c>
      <c r="C385" s="45" t="str">
        <f>IFERROR((SUMIF(Data!B:B, A385, Data!H:H)
/ (COUNTIF(Data!B:B, A385)
)),"")</f>
        <v/>
      </c>
      <c r="D385" s="45" t="str">
        <f>IFERROR((SUMIF(Data!B:B, A385, Data!G:G)
/ (COUNTIF(Data!B:B, A385)
)),"")</f>
        <v/>
      </c>
      <c r="E385" s="45"/>
      <c r="F385" s="45" t="str">
        <f>IFERROR((SUMIF(Data!B:B, A385, Data!J:J)
/ (COUNTIF(Data!B:B, A385)
)),"")</f>
        <v/>
      </c>
      <c r="G385" s="56" t="str">
        <f>IF(A385="","",IFERROR((((((SUMIF(Data!B:B, A385, Data!H:H)+(SUMIF(Data!B:B, A385,Data!G:G)))/(SUMIF(Data!B:B, A385, Data!J:J)))))),0))</f>
        <v/>
      </c>
      <c r="H385" s="45"/>
      <c r="I385" s="45"/>
      <c r="J385" s="45"/>
      <c r="K385" s="45"/>
      <c r="L385" s="45" t="str">
        <f>IFERROR((SUMIF(Data!B:B, A385, Data!L:L)
/ (COUNTIF(Data!B:B, A385)
)),"")</f>
        <v/>
      </c>
      <c r="M385" s="45" t="str">
        <f>IFERROR((SUMIF(Data!B:B, A385, Data!K:K)
/ (COUNTIF(Data!B:B, A385)
)),"")</f>
        <v/>
      </c>
      <c r="N385" s="56"/>
      <c r="O385" s="56" t="str">
        <f>IF(A385="","",IFERROR((((((SUMIF(Data!B:B, A385, Data!H:H)+(SUMIF(Data!B:B, A385,Data!G:G)+(SUMIF(Data!B:B, A385,Data!L:L)+(SUMIF(Data!B:B, A385,Data!K:K)))))/(SUMIF(Data!B:B, A385, Data!M:M)+(SUMIF(Data!B:B, A385, Data!H:H)+(SUMIF(Data!B:B, A385,Data!G:G)+(SUMIF(Data!B:B, A385,Data!K:K)+(SUMIF(Data!B:B, A385,Data!L:L)))))))))),0))</f>
        <v/>
      </c>
      <c r="P385" s="57" t="str">
        <f>IFERROR(__xludf.DUMMYFUNCTION("IFERROR(((COUNTIF(FILTER(Data!N:N,Data!B:B=A385),""TRAVERSE"")*15)+(COUNTIF(FILTER(Data!N:N,Data!B:B=A385),""HIGH"")*10)+(COUNTIF(FILTER(Data!N:N,Data!B:B=A385),""MIDDLE"")*6)+(COUNTIF(FILTER(Data!N:N,Data!B:B=A385),""LOW"")*4)) / (COUNTIF(Data!B:B, A385)"&amp;"),"""")"),"")</f>
        <v/>
      </c>
      <c r="Q385" s="58"/>
      <c r="R385" s="58"/>
      <c r="S385" s="58" t="str">
        <f>IFERROR(__xludf.DUMMYFUNCTION("IFERROR((((COUNTIF(FILTER(Data!N:N,Data!B:B=A385),""TRAVERSE""))+(COUNTIF(FILTER(Data!N:N,Data!B:B=A385),""HIGH""))+(COUNTIF(FILTER(Data!N:N,Data!B:B=A385),""MIDDLE""))+(COUNTIF(FILTER(Data!N:N,Data!B:B=A385),""LOW"")))) / (((COUNTIF(Data!B:B, A385)))-(CO"&amp;"UNTIF(FILTER(Data!N:N,Data!B:B=A385),""NONE""))),IF(ISBLANK(A385),"""",0))"),"")</f>
        <v/>
      </c>
      <c r="T385" s="56" t="str">
        <f>IFERROR(__xludf.DUMMYFUNCTION("IFERROR((COUNTIF(FILTER(Data!N:N, Data!B:B=A385),""LOW"")) / (COUNTIF(Data!B:B, A385)),"""")"),"")</f>
        <v/>
      </c>
      <c r="U385" s="59" t="str">
        <f>IFERROR(__xludf.DUMMYFUNCTION("IFERROR((COUNTIF(FILTER(Data!N:N, Data!B:B=A385),""MIDDLE"")) / (COUNTIF(Data!B:B, A385)),"""")"),"")</f>
        <v/>
      </c>
      <c r="V385" s="59" t="str">
        <f>IFERROR(__xludf.DUMMYFUNCTION("IFERROR((COUNTIF(FILTER(Data!N:N, Data!B:B=A385),""HIGH"")) / (COUNTIF(Data!B:B, A385)),"""")"),"")</f>
        <v/>
      </c>
      <c r="W385" s="59" t="str">
        <f>IFERROR(__xludf.DUMMYFUNCTION("IFERROR((COUNTIF(FILTER(Data!N:N, Data!B:B=A385),""TRAVERSE"")) / (COUNTIF(Data!B:B, A385)),"""")"),"")</f>
        <v/>
      </c>
      <c r="X385" s="59"/>
      <c r="Y385" s="45" t="str">
        <f t="shared" si="7"/>
        <v/>
      </c>
      <c r="Z385" s="45" t="str">
        <f t="shared" si="8"/>
        <v/>
      </c>
      <c r="AA385" s="16" t="str">
        <f t="shared" si="9"/>
        <v/>
      </c>
      <c r="AB385" s="16"/>
      <c r="AC385" s="16"/>
      <c r="AD385" s="16"/>
      <c r="AE385" s="16" t="str">
        <f t="shared" si="12"/>
        <v/>
      </c>
      <c r="AF385" s="16" t="str">
        <f t="shared" si="13"/>
        <v/>
      </c>
      <c r="AG385" s="44"/>
      <c r="AH385" s="44"/>
      <c r="AI385" s="44" t="str">
        <f>IFERROR(__xludf.DUMMYFUNCTION("TEXTJOIN("", "",TRUE, FILTER(Data!P:P, Data!B:B=A385))"),"")</f>
        <v/>
      </c>
      <c r="AM385" s="61"/>
      <c r="BC385" s="50"/>
    </row>
    <row r="386">
      <c r="A386" s="14"/>
      <c r="B386" s="55" t="str">
        <f>IFERROR(__xludf.DUMMYFUNCTION("IFERROR(ROUND(
(COUNTIF(FILTER(Data!O:O, Data!B:B=A386), ""Win"")
+ COUNTIF(FILTER(Data!O:O, Data!B:B=A386), {""Tie"",""Results""}))
/ (COUNTIF(Data!B:B, A386)),
1),"""")"),"")</f>
        <v/>
      </c>
      <c r="C386" s="45" t="str">
        <f>IFERROR((SUMIF(Data!B:B, A386, Data!H:H)
/ (COUNTIF(Data!B:B, A386)
)),"")</f>
        <v/>
      </c>
      <c r="D386" s="45" t="str">
        <f>IFERROR((SUMIF(Data!B:B, A386, Data!G:G)
/ (COUNTIF(Data!B:B, A386)
)),"")</f>
        <v/>
      </c>
      <c r="E386" s="45"/>
      <c r="F386" s="45" t="str">
        <f>IFERROR((SUMIF(Data!B:B, A386, Data!J:J)
/ (COUNTIF(Data!B:B, A386)
)),"")</f>
        <v/>
      </c>
      <c r="G386" s="56" t="str">
        <f>IF(A386="","",IFERROR((((((SUMIF(Data!B:B, A386, Data!H:H)+(SUMIF(Data!B:B, A386,Data!G:G)))/(SUMIF(Data!B:B, A386, Data!J:J)))))),0))</f>
        <v/>
      </c>
      <c r="H386" s="45"/>
      <c r="I386" s="45"/>
      <c r="J386" s="45"/>
      <c r="K386" s="45"/>
      <c r="L386" s="45" t="str">
        <f>IFERROR((SUMIF(Data!B:B, A386, Data!L:L)
/ (COUNTIF(Data!B:B, A386)
)),"")</f>
        <v/>
      </c>
      <c r="M386" s="45" t="str">
        <f>IFERROR((SUMIF(Data!B:B, A386, Data!K:K)
/ (COUNTIF(Data!B:B, A386)
)),"")</f>
        <v/>
      </c>
      <c r="N386" s="56"/>
      <c r="O386" s="56" t="str">
        <f>IF(A386="","",IFERROR((((((SUMIF(Data!B:B, A386, Data!H:H)+(SUMIF(Data!B:B, A386,Data!G:G)+(SUMIF(Data!B:B, A386,Data!L:L)+(SUMIF(Data!B:B, A386,Data!K:K)))))/(SUMIF(Data!B:B, A386, Data!M:M)+(SUMIF(Data!B:B, A386, Data!H:H)+(SUMIF(Data!B:B, A386,Data!G:G)+(SUMIF(Data!B:B, A386,Data!K:K)+(SUMIF(Data!B:B, A386,Data!L:L)))))))))),0))</f>
        <v/>
      </c>
      <c r="P386" s="57" t="str">
        <f>IFERROR(__xludf.DUMMYFUNCTION("IFERROR(((COUNTIF(FILTER(Data!N:N,Data!B:B=A386),""TRAVERSE"")*15)+(COUNTIF(FILTER(Data!N:N,Data!B:B=A386),""HIGH"")*10)+(COUNTIF(FILTER(Data!N:N,Data!B:B=A386),""MIDDLE"")*6)+(COUNTIF(FILTER(Data!N:N,Data!B:B=A386),""LOW"")*4)) / (COUNTIF(Data!B:B, A386)"&amp;"),"""")"),"")</f>
        <v/>
      </c>
      <c r="Q386" s="58"/>
      <c r="R386" s="58"/>
      <c r="S386" s="58" t="str">
        <f>IFERROR(__xludf.DUMMYFUNCTION("IFERROR((((COUNTIF(FILTER(Data!N:N,Data!B:B=A386),""TRAVERSE""))+(COUNTIF(FILTER(Data!N:N,Data!B:B=A386),""HIGH""))+(COUNTIF(FILTER(Data!N:N,Data!B:B=A386),""MIDDLE""))+(COUNTIF(FILTER(Data!N:N,Data!B:B=A386),""LOW"")))) / (((COUNTIF(Data!B:B, A386)))-(CO"&amp;"UNTIF(FILTER(Data!N:N,Data!B:B=A386),""NONE""))),IF(ISBLANK(A386),"""",0))"),"")</f>
        <v/>
      </c>
      <c r="T386" s="56" t="str">
        <f>IFERROR(__xludf.DUMMYFUNCTION("IFERROR((COUNTIF(FILTER(Data!N:N, Data!B:B=A386),""LOW"")) / (COUNTIF(Data!B:B, A386)),"""")"),"")</f>
        <v/>
      </c>
      <c r="U386" s="59" t="str">
        <f>IFERROR(__xludf.DUMMYFUNCTION("IFERROR((COUNTIF(FILTER(Data!N:N, Data!B:B=A386),""MIDDLE"")) / (COUNTIF(Data!B:B, A386)),"""")"),"")</f>
        <v/>
      </c>
      <c r="V386" s="59" t="str">
        <f>IFERROR(__xludf.DUMMYFUNCTION("IFERROR((COUNTIF(FILTER(Data!N:N, Data!B:B=A386),""HIGH"")) / (COUNTIF(Data!B:B, A386)),"""")"),"")</f>
        <v/>
      </c>
      <c r="W386" s="59" t="str">
        <f>IFERROR(__xludf.DUMMYFUNCTION("IFERROR((COUNTIF(FILTER(Data!N:N, Data!B:B=A386),""TRAVERSE"")) / (COUNTIF(Data!B:B, A386)),"""")"),"")</f>
        <v/>
      </c>
      <c r="X386" s="59"/>
      <c r="Y386" s="45" t="str">
        <f t="shared" si="7"/>
        <v/>
      </c>
      <c r="Z386" s="45" t="str">
        <f t="shared" si="8"/>
        <v/>
      </c>
      <c r="AA386" s="16" t="str">
        <f t="shared" si="9"/>
        <v/>
      </c>
      <c r="AB386" s="16"/>
      <c r="AC386" s="16"/>
      <c r="AD386" s="16"/>
      <c r="AE386" s="16" t="str">
        <f t="shared" si="12"/>
        <v/>
      </c>
      <c r="AF386" s="16" t="str">
        <f t="shared" si="13"/>
        <v/>
      </c>
      <c r="AG386" s="44"/>
      <c r="AH386" s="44"/>
      <c r="AI386" s="44" t="str">
        <f>IFERROR(__xludf.DUMMYFUNCTION("TEXTJOIN("", "",TRUE, FILTER(Data!P:P, Data!B:B=A386))"),"")</f>
        <v/>
      </c>
      <c r="AM386" s="61"/>
      <c r="BC386" s="50"/>
    </row>
    <row r="387">
      <c r="A387" s="14"/>
      <c r="B387" s="55" t="str">
        <f>IFERROR(__xludf.DUMMYFUNCTION("IFERROR(ROUND(
(COUNTIF(FILTER(Data!O:O, Data!B:B=A387), ""Win"")
+ COUNTIF(FILTER(Data!O:O, Data!B:B=A387), {""Tie"",""Results""}))
/ (COUNTIF(Data!B:B, A387)),
1),"""")"),"")</f>
        <v/>
      </c>
      <c r="C387" s="45" t="str">
        <f>IFERROR((SUMIF(Data!B:B, A387, Data!H:H)
/ (COUNTIF(Data!B:B, A387)
)),"")</f>
        <v/>
      </c>
      <c r="D387" s="45" t="str">
        <f>IFERROR((SUMIF(Data!B:B, A387, Data!G:G)
/ (COUNTIF(Data!B:B, A387)
)),"")</f>
        <v/>
      </c>
      <c r="E387" s="45"/>
      <c r="F387" s="45" t="str">
        <f>IFERROR((SUMIF(Data!B:B, A387, Data!J:J)
/ (COUNTIF(Data!B:B, A387)
)),"")</f>
        <v/>
      </c>
      <c r="G387" s="56" t="str">
        <f>IF(A387="","",IFERROR((((((SUMIF(Data!B:B, A387, Data!H:H)+(SUMIF(Data!B:B, A387,Data!G:G)))/(SUMIF(Data!B:B, A387, Data!J:J)))))),0))</f>
        <v/>
      </c>
      <c r="H387" s="45"/>
      <c r="I387" s="45"/>
      <c r="J387" s="45"/>
      <c r="K387" s="45"/>
      <c r="L387" s="45" t="str">
        <f>IFERROR((SUMIF(Data!B:B, A387, Data!L:L)
/ (COUNTIF(Data!B:B, A387)
)),"")</f>
        <v/>
      </c>
      <c r="M387" s="45" t="str">
        <f>IFERROR((SUMIF(Data!B:B, A387, Data!K:K)
/ (COUNTIF(Data!B:B, A387)
)),"")</f>
        <v/>
      </c>
      <c r="N387" s="56"/>
      <c r="O387" s="56" t="str">
        <f>IF(A387="","",IFERROR((((((SUMIF(Data!B:B, A387, Data!H:H)+(SUMIF(Data!B:B, A387,Data!G:G)+(SUMIF(Data!B:B, A387,Data!L:L)+(SUMIF(Data!B:B, A387,Data!K:K)))))/(SUMIF(Data!B:B, A387, Data!M:M)+(SUMIF(Data!B:B, A387, Data!H:H)+(SUMIF(Data!B:B, A387,Data!G:G)+(SUMIF(Data!B:B, A387,Data!K:K)+(SUMIF(Data!B:B, A387,Data!L:L)))))))))),0))</f>
        <v/>
      </c>
      <c r="P387" s="57" t="str">
        <f>IFERROR(__xludf.DUMMYFUNCTION("IFERROR(((COUNTIF(FILTER(Data!N:N,Data!B:B=A387),""TRAVERSE"")*15)+(COUNTIF(FILTER(Data!N:N,Data!B:B=A387),""HIGH"")*10)+(COUNTIF(FILTER(Data!N:N,Data!B:B=A387),""MIDDLE"")*6)+(COUNTIF(FILTER(Data!N:N,Data!B:B=A387),""LOW"")*4)) / (COUNTIF(Data!B:B, A387)"&amp;"),"""")"),"")</f>
        <v/>
      </c>
      <c r="Q387" s="58"/>
      <c r="R387" s="58"/>
      <c r="S387" s="58" t="str">
        <f>IFERROR(__xludf.DUMMYFUNCTION("IFERROR((((COUNTIF(FILTER(Data!N:N,Data!B:B=A387),""TRAVERSE""))+(COUNTIF(FILTER(Data!N:N,Data!B:B=A387),""HIGH""))+(COUNTIF(FILTER(Data!N:N,Data!B:B=A387),""MIDDLE""))+(COUNTIF(FILTER(Data!N:N,Data!B:B=A387),""LOW"")))) / (((COUNTIF(Data!B:B, A387)))-(CO"&amp;"UNTIF(FILTER(Data!N:N,Data!B:B=A387),""NONE""))),IF(ISBLANK(A387),"""",0))"),"")</f>
        <v/>
      </c>
      <c r="T387" s="56" t="str">
        <f>IFERROR(__xludf.DUMMYFUNCTION("IFERROR((COUNTIF(FILTER(Data!N:N, Data!B:B=A387),""LOW"")) / (COUNTIF(Data!B:B, A387)),"""")"),"")</f>
        <v/>
      </c>
      <c r="U387" s="59" t="str">
        <f>IFERROR(__xludf.DUMMYFUNCTION("IFERROR((COUNTIF(FILTER(Data!N:N, Data!B:B=A387),""MIDDLE"")) / (COUNTIF(Data!B:B, A387)),"""")"),"")</f>
        <v/>
      </c>
      <c r="V387" s="59" t="str">
        <f>IFERROR(__xludf.DUMMYFUNCTION("IFERROR((COUNTIF(FILTER(Data!N:N, Data!B:B=A387),""HIGH"")) / (COUNTIF(Data!B:B, A387)),"""")"),"")</f>
        <v/>
      </c>
      <c r="W387" s="59" t="str">
        <f>IFERROR(__xludf.DUMMYFUNCTION("IFERROR((COUNTIF(FILTER(Data!N:N, Data!B:B=A387),""TRAVERSE"")) / (COUNTIF(Data!B:B, A387)),"""")"),"")</f>
        <v/>
      </c>
      <c r="X387" s="59"/>
      <c r="Y387" s="45" t="str">
        <f t="shared" si="7"/>
        <v/>
      </c>
      <c r="Z387" s="45" t="str">
        <f t="shared" si="8"/>
        <v/>
      </c>
      <c r="AA387" s="16" t="str">
        <f t="shared" si="9"/>
        <v/>
      </c>
      <c r="AB387" s="16"/>
      <c r="AC387" s="16"/>
      <c r="AD387" s="16"/>
      <c r="AE387" s="16" t="str">
        <f t="shared" si="12"/>
        <v/>
      </c>
      <c r="AF387" s="16" t="str">
        <f t="shared" si="13"/>
        <v/>
      </c>
      <c r="AG387" s="44"/>
      <c r="AH387" s="44"/>
      <c r="AI387" s="44" t="str">
        <f>IFERROR(__xludf.DUMMYFUNCTION("TEXTJOIN("", "",TRUE, FILTER(Data!P:P, Data!B:B=A387))"),"")</f>
        <v/>
      </c>
      <c r="AM387" s="61"/>
      <c r="BC387" s="50"/>
    </row>
    <row r="388">
      <c r="A388" s="14"/>
      <c r="B388" s="55" t="str">
        <f>IFERROR(__xludf.DUMMYFUNCTION("IFERROR(ROUND(
(COUNTIF(FILTER(Data!O:O, Data!B:B=A388), ""Win"")
+ COUNTIF(FILTER(Data!O:O, Data!B:B=A388), {""Tie"",""Results""}))
/ (COUNTIF(Data!B:B, A388)),
1),"""")"),"")</f>
        <v/>
      </c>
      <c r="C388" s="45" t="str">
        <f>IFERROR((SUMIF(Data!B:B, A388, Data!H:H)
/ (COUNTIF(Data!B:B, A388)
)),"")</f>
        <v/>
      </c>
      <c r="D388" s="45" t="str">
        <f>IFERROR((SUMIF(Data!B:B, A388, Data!G:G)
/ (COUNTIF(Data!B:B, A388)
)),"")</f>
        <v/>
      </c>
      <c r="E388" s="45"/>
      <c r="F388" s="45" t="str">
        <f>IFERROR((SUMIF(Data!B:B, A388, Data!J:J)
/ (COUNTIF(Data!B:B, A388)
)),"")</f>
        <v/>
      </c>
      <c r="G388" s="56" t="str">
        <f>IF(A388="","",IFERROR((((((SUMIF(Data!B:B, A388, Data!H:H)+(SUMIF(Data!B:B, A388,Data!G:G)))/(SUMIF(Data!B:B, A388, Data!J:J)))))),0))</f>
        <v/>
      </c>
      <c r="H388" s="45"/>
      <c r="I388" s="45"/>
      <c r="J388" s="45"/>
      <c r="K388" s="45"/>
      <c r="L388" s="45" t="str">
        <f>IFERROR((SUMIF(Data!B:B, A388, Data!L:L)
/ (COUNTIF(Data!B:B, A388)
)),"")</f>
        <v/>
      </c>
      <c r="M388" s="45" t="str">
        <f>IFERROR((SUMIF(Data!B:B, A388, Data!K:K)
/ (COUNTIF(Data!B:B, A388)
)),"")</f>
        <v/>
      </c>
      <c r="N388" s="56"/>
      <c r="O388" s="56" t="str">
        <f>IF(A388="","",IFERROR((((((SUMIF(Data!B:B, A388, Data!H:H)+(SUMIF(Data!B:B, A388,Data!G:G)+(SUMIF(Data!B:B, A388,Data!L:L)+(SUMIF(Data!B:B, A388,Data!K:K)))))/(SUMIF(Data!B:B, A388, Data!M:M)+(SUMIF(Data!B:B, A388, Data!H:H)+(SUMIF(Data!B:B, A388,Data!G:G)+(SUMIF(Data!B:B, A388,Data!K:K)+(SUMIF(Data!B:B, A388,Data!L:L)))))))))),0))</f>
        <v/>
      </c>
      <c r="P388" s="57" t="str">
        <f>IFERROR(__xludf.DUMMYFUNCTION("IFERROR(((COUNTIF(FILTER(Data!N:N,Data!B:B=A388),""TRAVERSE"")*15)+(COUNTIF(FILTER(Data!N:N,Data!B:B=A388),""HIGH"")*10)+(COUNTIF(FILTER(Data!N:N,Data!B:B=A388),""MIDDLE"")*6)+(COUNTIF(FILTER(Data!N:N,Data!B:B=A388),""LOW"")*4)) / (COUNTIF(Data!B:B, A388)"&amp;"),"""")"),"")</f>
        <v/>
      </c>
      <c r="Q388" s="58"/>
      <c r="R388" s="58"/>
      <c r="S388" s="58" t="str">
        <f>IFERROR(__xludf.DUMMYFUNCTION("IFERROR((((COUNTIF(FILTER(Data!N:N,Data!B:B=A388),""TRAVERSE""))+(COUNTIF(FILTER(Data!N:N,Data!B:B=A388),""HIGH""))+(COUNTIF(FILTER(Data!N:N,Data!B:B=A388),""MIDDLE""))+(COUNTIF(FILTER(Data!N:N,Data!B:B=A388),""LOW"")))) / (((COUNTIF(Data!B:B, A388)))-(CO"&amp;"UNTIF(FILTER(Data!N:N,Data!B:B=A388),""NONE""))),IF(ISBLANK(A388),"""",0))"),"")</f>
        <v/>
      </c>
      <c r="T388" s="56" t="str">
        <f>IFERROR(__xludf.DUMMYFUNCTION("IFERROR((COUNTIF(FILTER(Data!N:N, Data!B:B=A388),""LOW"")) / (COUNTIF(Data!B:B, A388)),"""")"),"")</f>
        <v/>
      </c>
      <c r="U388" s="59" t="str">
        <f>IFERROR(__xludf.DUMMYFUNCTION("IFERROR((COUNTIF(FILTER(Data!N:N, Data!B:B=A388),""MIDDLE"")) / (COUNTIF(Data!B:B, A388)),"""")"),"")</f>
        <v/>
      </c>
      <c r="V388" s="59" t="str">
        <f>IFERROR(__xludf.DUMMYFUNCTION("IFERROR((COUNTIF(FILTER(Data!N:N, Data!B:B=A388),""HIGH"")) / (COUNTIF(Data!B:B, A388)),"""")"),"")</f>
        <v/>
      </c>
      <c r="W388" s="59" t="str">
        <f>IFERROR(__xludf.DUMMYFUNCTION("IFERROR((COUNTIF(FILTER(Data!N:N, Data!B:B=A388),""TRAVERSE"")) / (COUNTIF(Data!B:B, A388)),"""")"),"")</f>
        <v/>
      </c>
      <c r="X388" s="59"/>
      <c r="Y388" s="45" t="str">
        <f t="shared" si="7"/>
        <v/>
      </c>
      <c r="Z388" s="45" t="str">
        <f t="shared" si="8"/>
        <v/>
      </c>
      <c r="AA388" s="16" t="str">
        <f t="shared" si="9"/>
        <v/>
      </c>
      <c r="AB388" s="16"/>
      <c r="AC388" s="16"/>
      <c r="AD388" s="16"/>
      <c r="AE388" s="16" t="str">
        <f t="shared" si="12"/>
        <v/>
      </c>
      <c r="AF388" s="16" t="str">
        <f t="shared" si="13"/>
        <v/>
      </c>
      <c r="AG388" s="44"/>
      <c r="AH388" s="44"/>
      <c r="AI388" s="44" t="str">
        <f>IFERROR(__xludf.DUMMYFUNCTION("TEXTJOIN("", "",TRUE, FILTER(Data!P:P, Data!B:B=A388))"),"")</f>
        <v/>
      </c>
      <c r="AM388" s="61"/>
      <c r="BC388" s="50"/>
    </row>
    <row r="389">
      <c r="A389" s="14"/>
      <c r="B389" s="55" t="str">
        <f>IFERROR(__xludf.DUMMYFUNCTION("IFERROR(ROUND(
(COUNTIF(FILTER(Data!O:O, Data!B:B=A389), ""Win"")
+ COUNTIF(FILTER(Data!O:O, Data!B:B=A389), {""Tie"",""Results""}))
/ (COUNTIF(Data!B:B, A389)),
1),"""")"),"")</f>
        <v/>
      </c>
      <c r="C389" s="45" t="str">
        <f>IFERROR((SUMIF(Data!B:B, A389, Data!H:H)
/ (COUNTIF(Data!B:B, A389)
)),"")</f>
        <v/>
      </c>
      <c r="D389" s="45" t="str">
        <f>IFERROR((SUMIF(Data!B:B, A389, Data!G:G)
/ (COUNTIF(Data!B:B, A389)
)),"")</f>
        <v/>
      </c>
      <c r="E389" s="45"/>
      <c r="F389" s="45" t="str">
        <f>IFERROR((SUMIF(Data!B:B, A389, Data!J:J)
/ (COUNTIF(Data!B:B, A389)
)),"")</f>
        <v/>
      </c>
      <c r="G389" s="56" t="str">
        <f>IF(A389="","",IFERROR((((((SUMIF(Data!B:B, A389, Data!H:H)+(SUMIF(Data!B:B, A389,Data!G:G)))/(SUMIF(Data!B:B, A389, Data!J:J)))))),0))</f>
        <v/>
      </c>
      <c r="H389" s="45"/>
      <c r="I389" s="45"/>
      <c r="J389" s="45"/>
      <c r="K389" s="45"/>
      <c r="L389" s="45" t="str">
        <f>IFERROR((SUMIF(Data!B:B, A389, Data!L:L)
/ (COUNTIF(Data!B:B, A389)
)),"")</f>
        <v/>
      </c>
      <c r="M389" s="45" t="str">
        <f>IFERROR((SUMIF(Data!B:B, A389, Data!K:K)
/ (COUNTIF(Data!B:B, A389)
)),"")</f>
        <v/>
      </c>
      <c r="N389" s="56"/>
      <c r="O389" s="56" t="str">
        <f>IF(A389="","",IFERROR((((((SUMIF(Data!B:B, A389, Data!H:H)+(SUMIF(Data!B:B, A389,Data!G:G)+(SUMIF(Data!B:B, A389,Data!L:L)+(SUMIF(Data!B:B, A389,Data!K:K)))))/(SUMIF(Data!B:B, A389, Data!M:M)+(SUMIF(Data!B:B, A389, Data!H:H)+(SUMIF(Data!B:B, A389,Data!G:G)+(SUMIF(Data!B:B, A389,Data!K:K)+(SUMIF(Data!B:B, A389,Data!L:L)))))))))),0))</f>
        <v/>
      </c>
      <c r="P389" s="57" t="str">
        <f>IFERROR(__xludf.DUMMYFUNCTION("IFERROR(((COUNTIF(FILTER(Data!N:N,Data!B:B=A389),""TRAVERSE"")*15)+(COUNTIF(FILTER(Data!N:N,Data!B:B=A389),""HIGH"")*10)+(COUNTIF(FILTER(Data!N:N,Data!B:B=A389),""MIDDLE"")*6)+(COUNTIF(FILTER(Data!N:N,Data!B:B=A389),""LOW"")*4)) / (COUNTIF(Data!B:B, A389)"&amp;"),"""")"),"")</f>
        <v/>
      </c>
      <c r="Q389" s="58"/>
      <c r="R389" s="58"/>
      <c r="S389" s="58" t="str">
        <f>IFERROR(__xludf.DUMMYFUNCTION("IFERROR((((COUNTIF(FILTER(Data!N:N,Data!B:B=A389),""TRAVERSE""))+(COUNTIF(FILTER(Data!N:N,Data!B:B=A389),""HIGH""))+(COUNTIF(FILTER(Data!N:N,Data!B:B=A389),""MIDDLE""))+(COUNTIF(FILTER(Data!N:N,Data!B:B=A389),""LOW"")))) / (((COUNTIF(Data!B:B, A389)))-(CO"&amp;"UNTIF(FILTER(Data!N:N,Data!B:B=A389),""NONE""))),IF(ISBLANK(A389),"""",0))"),"")</f>
        <v/>
      </c>
      <c r="T389" s="56" t="str">
        <f>IFERROR(__xludf.DUMMYFUNCTION("IFERROR((COUNTIF(FILTER(Data!N:N, Data!B:B=A389),""LOW"")) / (COUNTIF(Data!B:B, A389)),"""")"),"")</f>
        <v/>
      </c>
      <c r="U389" s="59" t="str">
        <f>IFERROR(__xludf.DUMMYFUNCTION("IFERROR((COUNTIF(FILTER(Data!N:N, Data!B:B=A389),""MIDDLE"")) / (COUNTIF(Data!B:B, A389)),"""")"),"")</f>
        <v/>
      </c>
      <c r="V389" s="59" t="str">
        <f>IFERROR(__xludf.DUMMYFUNCTION("IFERROR((COUNTIF(FILTER(Data!N:N, Data!B:B=A389),""HIGH"")) / (COUNTIF(Data!B:B, A389)),"""")"),"")</f>
        <v/>
      </c>
      <c r="W389" s="59" t="str">
        <f>IFERROR(__xludf.DUMMYFUNCTION("IFERROR((COUNTIF(FILTER(Data!N:N, Data!B:B=A389),""TRAVERSE"")) / (COUNTIF(Data!B:B, A389)),"""")"),"")</f>
        <v/>
      </c>
      <c r="X389" s="59"/>
      <c r="Y389" s="45" t="str">
        <f t="shared" si="7"/>
        <v/>
      </c>
      <c r="Z389" s="45" t="str">
        <f t="shared" si="8"/>
        <v/>
      </c>
      <c r="AA389" s="16" t="str">
        <f t="shared" si="9"/>
        <v/>
      </c>
      <c r="AB389" s="16"/>
      <c r="AC389" s="16"/>
      <c r="AD389" s="16"/>
      <c r="AE389" s="16" t="str">
        <f t="shared" si="12"/>
        <v/>
      </c>
      <c r="AF389" s="16" t="str">
        <f t="shared" si="13"/>
        <v/>
      </c>
      <c r="AG389" s="44"/>
      <c r="AH389" s="44"/>
      <c r="AI389" s="44" t="str">
        <f>IFERROR(__xludf.DUMMYFUNCTION("TEXTJOIN("", "",TRUE, FILTER(Data!P:P, Data!B:B=A389))"),"")</f>
        <v/>
      </c>
      <c r="AM389" s="61"/>
      <c r="BC389" s="50"/>
    </row>
    <row r="390">
      <c r="A390" s="14"/>
      <c r="B390" s="55" t="str">
        <f>IFERROR(__xludf.DUMMYFUNCTION("IFERROR(ROUND(
(COUNTIF(FILTER(Data!O:O, Data!B:B=A390), ""Win"")
+ COUNTIF(FILTER(Data!O:O, Data!B:B=A390), {""Tie"",""Results""}))
/ (COUNTIF(Data!B:B, A390)),
1),"""")"),"")</f>
        <v/>
      </c>
      <c r="C390" s="45" t="str">
        <f>IFERROR((SUMIF(Data!B:B, A390, Data!H:H)
/ (COUNTIF(Data!B:B, A390)
)),"")</f>
        <v/>
      </c>
      <c r="D390" s="45" t="str">
        <f>IFERROR((SUMIF(Data!B:B, A390, Data!G:G)
/ (COUNTIF(Data!B:B, A390)
)),"")</f>
        <v/>
      </c>
      <c r="E390" s="45"/>
      <c r="F390" s="45" t="str">
        <f>IFERROR((SUMIF(Data!B:B, A390, Data!J:J)
/ (COUNTIF(Data!B:B, A390)
)),"")</f>
        <v/>
      </c>
      <c r="G390" s="56" t="str">
        <f>IF(A390="","",IFERROR((((((SUMIF(Data!B:B, A390, Data!H:H)+(SUMIF(Data!B:B, A390,Data!G:G)))/(SUMIF(Data!B:B, A390, Data!J:J)))))),0))</f>
        <v/>
      </c>
      <c r="H390" s="45"/>
      <c r="I390" s="45"/>
      <c r="J390" s="45"/>
      <c r="K390" s="45"/>
      <c r="L390" s="45" t="str">
        <f>IFERROR((SUMIF(Data!B:B, A390, Data!L:L)
/ (COUNTIF(Data!B:B, A390)
)),"")</f>
        <v/>
      </c>
      <c r="M390" s="45" t="str">
        <f>IFERROR((SUMIF(Data!B:B, A390, Data!K:K)
/ (COUNTIF(Data!B:B, A390)
)),"")</f>
        <v/>
      </c>
      <c r="N390" s="56"/>
      <c r="O390" s="56" t="str">
        <f>IF(A390="","",IFERROR((((((SUMIF(Data!B:B, A390, Data!H:H)+(SUMIF(Data!B:B, A390,Data!G:G)+(SUMIF(Data!B:B, A390,Data!L:L)+(SUMIF(Data!B:B, A390,Data!K:K)))))/(SUMIF(Data!B:B, A390, Data!M:M)+(SUMIF(Data!B:B, A390, Data!H:H)+(SUMIF(Data!B:B, A390,Data!G:G)+(SUMIF(Data!B:B, A390,Data!K:K)+(SUMIF(Data!B:B, A390,Data!L:L)))))))))),0))</f>
        <v/>
      </c>
      <c r="P390" s="57" t="str">
        <f>IFERROR(__xludf.DUMMYFUNCTION("IFERROR(((COUNTIF(FILTER(Data!N:N,Data!B:B=A390),""TRAVERSE"")*15)+(COUNTIF(FILTER(Data!N:N,Data!B:B=A390),""HIGH"")*10)+(COUNTIF(FILTER(Data!N:N,Data!B:B=A390),""MIDDLE"")*6)+(COUNTIF(FILTER(Data!N:N,Data!B:B=A390),""LOW"")*4)) / (COUNTIF(Data!B:B, A390)"&amp;"),"""")"),"")</f>
        <v/>
      </c>
      <c r="Q390" s="58"/>
      <c r="R390" s="58"/>
      <c r="S390" s="58" t="str">
        <f>IFERROR(__xludf.DUMMYFUNCTION("IFERROR((((COUNTIF(FILTER(Data!N:N,Data!B:B=A390),""TRAVERSE""))+(COUNTIF(FILTER(Data!N:N,Data!B:B=A390),""HIGH""))+(COUNTIF(FILTER(Data!N:N,Data!B:B=A390),""MIDDLE""))+(COUNTIF(FILTER(Data!N:N,Data!B:B=A390),""LOW"")))) / (((COUNTIF(Data!B:B, A390)))-(CO"&amp;"UNTIF(FILTER(Data!N:N,Data!B:B=A390),""NONE""))),IF(ISBLANK(A390),"""",0))"),"")</f>
        <v/>
      </c>
      <c r="T390" s="56" t="str">
        <f>IFERROR(__xludf.DUMMYFUNCTION("IFERROR((COUNTIF(FILTER(Data!N:N, Data!B:B=A390),""LOW"")) / (COUNTIF(Data!B:B, A390)),"""")"),"")</f>
        <v/>
      </c>
      <c r="U390" s="59" t="str">
        <f>IFERROR(__xludf.DUMMYFUNCTION("IFERROR((COUNTIF(FILTER(Data!N:N, Data!B:B=A390),""MIDDLE"")) / (COUNTIF(Data!B:B, A390)),"""")"),"")</f>
        <v/>
      </c>
      <c r="V390" s="59" t="str">
        <f>IFERROR(__xludf.DUMMYFUNCTION("IFERROR((COUNTIF(FILTER(Data!N:N, Data!B:B=A390),""HIGH"")) / (COUNTIF(Data!B:B, A390)),"""")"),"")</f>
        <v/>
      </c>
      <c r="W390" s="59" t="str">
        <f>IFERROR(__xludf.DUMMYFUNCTION("IFERROR((COUNTIF(FILTER(Data!N:N, Data!B:B=A390),""TRAVERSE"")) / (COUNTIF(Data!B:B, A390)),"""")"),"")</f>
        <v/>
      </c>
      <c r="X390" s="59"/>
      <c r="Y390" s="45" t="str">
        <f t="shared" si="7"/>
        <v/>
      </c>
      <c r="Z390" s="45" t="str">
        <f t="shared" si="8"/>
        <v/>
      </c>
      <c r="AA390" s="16" t="str">
        <f t="shared" si="9"/>
        <v/>
      </c>
      <c r="AB390" s="16"/>
      <c r="AC390" s="16"/>
      <c r="AD390" s="16"/>
      <c r="AE390" s="16" t="str">
        <f t="shared" si="12"/>
        <v/>
      </c>
      <c r="AF390" s="16" t="str">
        <f t="shared" si="13"/>
        <v/>
      </c>
      <c r="AG390" s="44"/>
      <c r="AH390" s="44"/>
      <c r="AI390" s="44" t="str">
        <f>IFERROR(__xludf.DUMMYFUNCTION("TEXTJOIN("", "",TRUE, FILTER(Data!P:P, Data!B:B=A390))"),"")</f>
        <v/>
      </c>
      <c r="AM390" s="61"/>
      <c r="BC390" s="50"/>
    </row>
    <row r="391">
      <c r="A391" s="14"/>
      <c r="B391" s="55" t="str">
        <f>IFERROR(__xludf.DUMMYFUNCTION("IFERROR(ROUND(
(COUNTIF(FILTER(Data!O:O, Data!B:B=A391), ""Win"")
+ COUNTIF(FILTER(Data!O:O, Data!B:B=A391), {""Tie"",""Results""}))
/ (COUNTIF(Data!B:B, A391)),
1),"""")"),"")</f>
        <v/>
      </c>
      <c r="C391" s="45" t="str">
        <f>IFERROR((SUMIF(Data!B:B, A391, Data!H:H)
/ (COUNTIF(Data!B:B, A391)
)),"")</f>
        <v/>
      </c>
      <c r="D391" s="45" t="str">
        <f>IFERROR((SUMIF(Data!B:B, A391, Data!G:G)
/ (COUNTIF(Data!B:B, A391)
)),"")</f>
        <v/>
      </c>
      <c r="E391" s="45"/>
      <c r="F391" s="45" t="str">
        <f>IFERROR((SUMIF(Data!B:B, A391, Data!J:J)
/ (COUNTIF(Data!B:B, A391)
)),"")</f>
        <v/>
      </c>
      <c r="G391" s="56" t="str">
        <f>IF(A391="","",IFERROR((((((SUMIF(Data!B:B, A391, Data!H:H)+(SUMIF(Data!B:B, A391,Data!G:G)))/(SUMIF(Data!B:B, A391, Data!J:J)))))),0))</f>
        <v/>
      </c>
      <c r="H391" s="45"/>
      <c r="I391" s="45"/>
      <c r="J391" s="45"/>
      <c r="K391" s="45"/>
      <c r="L391" s="45" t="str">
        <f>IFERROR((SUMIF(Data!B:B, A391, Data!L:L)
/ (COUNTIF(Data!B:B, A391)
)),"")</f>
        <v/>
      </c>
      <c r="M391" s="45" t="str">
        <f>IFERROR((SUMIF(Data!B:B, A391, Data!K:K)
/ (COUNTIF(Data!B:B, A391)
)),"")</f>
        <v/>
      </c>
      <c r="N391" s="56"/>
      <c r="O391" s="56" t="str">
        <f>IF(A391="","",IFERROR((((((SUMIF(Data!B:B, A391, Data!H:H)+(SUMIF(Data!B:B, A391,Data!G:G)+(SUMIF(Data!B:B, A391,Data!L:L)+(SUMIF(Data!B:B, A391,Data!K:K)))))/(SUMIF(Data!B:B, A391, Data!M:M)+(SUMIF(Data!B:B, A391, Data!H:H)+(SUMIF(Data!B:B, A391,Data!G:G)+(SUMIF(Data!B:B, A391,Data!K:K)+(SUMIF(Data!B:B, A391,Data!L:L)))))))))),0))</f>
        <v/>
      </c>
      <c r="P391" s="57" t="str">
        <f>IFERROR(__xludf.DUMMYFUNCTION("IFERROR(((COUNTIF(FILTER(Data!N:N,Data!B:B=A391),""TRAVERSE"")*15)+(COUNTIF(FILTER(Data!N:N,Data!B:B=A391),""HIGH"")*10)+(COUNTIF(FILTER(Data!N:N,Data!B:B=A391),""MIDDLE"")*6)+(COUNTIF(FILTER(Data!N:N,Data!B:B=A391),""LOW"")*4)) / (COUNTIF(Data!B:B, A391)"&amp;"),"""")"),"")</f>
        <v/>
      </c>
      <c r="Q391" s="58"/>
      <c r="R391" s="58"/>
      <c r="S391" s="58" t="str">
        <f>IFERROR(__xludf.DUMMYFUNCTION("IFERROR((((COUNTIF(FILTER(Data!N:N,Data!B:B=A391),""TRAVERSE""))+(COUNTIF(FILTER(Data!N:N,Data!B:B=A391),""HIGH""))+(COUNTIF(FILTER(Data!N:N,Data!B:B=A391),""MIDDLE""))+(COUNTIF(FILTER(Data!N:N,Data!B:B=A391),""LOW"")))) / (((COUNTIF(Data!B:B, A391)))-(CO"&amp;"UNTIF(FILTER(Data!N:N,Data!B:B=A391),""NONE""))),IF(ISBLANK(A391),"""",0))"),"")</f>
        <v/>
      </c>
      <c r="T391" s="56" t="str">
        <f>IFERROR(__xludf.DUMMYFUNCTION("IFERROR((COUNTIF(FILTER(Data!N:N, Data!B:B=A391),""LOW"")) / (COUNTIF(Data!B:B, A391)),"""")"),"")</f>
        <v/>
      </c>
      <c r="U391" s="59" t="str">
        <f>IFERROR(__xludf.DUMMYFUNCTION("IFERROR((COUNTIF(FILTER(Data!N:N, Data!B:B=A391),""MIDDLE"")) / (COUNTIF(Data!B:B, A391)),"""")"),"")</f>
        <v/>
      </c>
      <c r="V391" s="59" t="str">
        <f>IFERROR(__xludf.DUMMYFUNCTION("IFERROR((COUNTIF(FILTER(Data!N:N, Data!B:B=A391),""HIGH"")) / (COUNTIF(Data!B:B, A391)),"""")"),"")</f>
        <v/>
      </c>
      <c r="W391" s="59" t="str">
        <f>IFERROR(__xludf.DUMMYFUNCTION("IFERROR((COUNTIF(FILTER(Data!N:N, Data!B:B=A391),""TRAVERSE"")) / (COUNTIF(Data!B:B, A391)),"""")"),"")</f>
        <v/>
      </c>
      <c r="X391" s="59"/>
      <c r="Y391" s="45" t="str">
        <f t="shared" si="7"/>
        <v/>
      </c>
      <c r="Z391" s="45" t="str">
        <f t="shared" si="8"/>
        <v/>
      </c>
      <c r="AA391" s="16" t="str">
        <f t="shared" si="9"/>
        <v/>
      </c>
      <c r="AB391" s="16"/>
      <c r="AC391" s="16"/>
      <c r="AD391" s="16"/>
      <c r="AE391" s="16" t="str">
        <f t="shared" si="12"/>
        <v/>
      </c>
      <c r="AF391" s="16" t="str">
        <f t="shared" si="13"/>
        <v/>
      </c>
      <c r="AG391" s="44"/>
      <c r="AH391" s="44"/>
      <c r="AI391" s="44" t="str">
        <f>IFERROR(__xludf.DUMMYFUNCTION("TEXTJOIN("", "",TRUE, FILTER(Data!P:P, Data!B:B=A391))"),"")</f>
        <v/>
      </c>
      <c r="AM391" s="61"/>
      <c r="BC391" s="50"/>
    </row>
    <row r="392">
      <c r="A392" s="14"/>
      <c r="B392" s="55" t="str">
        <f>IFERROR(__xludf.DUMMYFUNCTION("IFERROR(ROUND(
(COUNTIF(FILTER(Data!O:O, Data!B:B=A392), ""Win"")
+ COUNTIF(FILTER(Data!O:O, Data!B:B=A392), {""Tie"",""Results""}))
/ (COUNTIF(Data!B:B, A392)),
1),"""")"),"")</f>
        <v/>
      </c>
      <c r="C392" s="45" t="str">
        <f>IFERROR((SUMIF(Data!B:B, A392, Data!H:H)
/ (COUNTIF(Data!B:B, A392)
)),"")</f>
        <v/>
      </c>
      <c r="D392" s="45" t="str">
        <f>IFERROR((SUMIF(Data!B:B, A392, Data!G:G)
/ (COUNTIF(Data!B:B, A392)
)),"")</f>
        <v/>
      </c>
      <c r="E392" s="45"/>
      <c r="F392" s="45" t="str">
        <f>IFERROR((SUMIF(Data!B:B, A392, Data!J:J)
/ (COUNTIF(Data!B:B, A392)
)),"")</f>
        <v/>
      </c>
      <c r="G392" s="56" t="str">
        <f>IF(A392="","",IFERROR((((((SUMIF(Data!B:B, A392, Data!H:H)+(SUMIF(Data!B:B, A392,Data!G:G)))/(SUMIF(Data!B:B, A392, Data!J:J)))))),0))</f>
        <v/>
      </c>
      <c r="H392" s="45"/>
      <c r="I392" s="45"/>
      <c r="J392" s="45"/>
      <c r="K392" s="45"/>
      <c r="L392" s="45" t="str">
        <f>IFERROR((SUMIF(Data!B:B, A392, Data!L:L)
/ (COUNTIF(Data!B:B, A392)
)),"")</f>
        <v/>
      </c>
      <c r="M392" s="45" t="str">
        <f>IFERROR((SUMIF(Data!B:B, A392, Data!K:K)
/ (COUNTIF(Data!B:B, A392)
)),"")</f>
        <v/>
      </c>
      <c r="N392" s="56"/>
      <c r="O392" s="56" t="str">
        <f>IF(A392="","",IFERROR((((((SUMIF(Data!B:B, A392, Data!H:H)+(SUMIF(Data!B:B, A392,Data!G:G)+(SUMIF(Data!B:B, A392,Data!L:L)+(SUMIF(Data!B:B, A392,Data!K:K)))))/(SUMIF(Data!B:B, A392, Data!M:M)+(SUMIF(Data!B:B, A392, Data!H:H)+(SUMIF(Data!B:B, A392,Data!G:G)+(SUMIF(Data!B:B, A392,Data!K:K)+(SUMIF(Data!B:B, A392,Data!L:L)))))))))),0))</f>
        <v/>
      </c>
      <c r="P392" s="57" t="str">
        <f>IFERROR(__xludf.DUMMYFUNCTION("IFERROR(((COUNTIF(FILTER(Data!N:N,Data!B:B=A392),""TRAVERSE"")*15)+(COUNTIF(FILTER(Data!N:N,Data!B:B=A392),""HIGH"")*10)+(COUNTIF(FILTER(Data!N:N,Data!B:B=A392),""MIDDLE"")*6)+(COUNTIF(FILTER(Data!N:N,Data!B:B=A392),""LOW"")*4)) / (COUNTIF(Data!B:B, A392)"&amp;"),"""")"),"")</f>
        <v/>
      </c>
      <c r="Q392" s="58"/>
      <c r="R392" s="58"/>
      <c r="S392" s="58" t="str">
        <f>IFERROR(__xludf.DUMMYFUNCTION("IFERROR((((COUNTIF(FILTER(Data!N:N,Data!B:B=A392),""TRAVERSE""))+(COUNTIF(FILTER(Data!N:N,Data!B:B=A392),""HIGH""))+(COUNTIF(FILTER(Data!N:N,Data!B:B=A392),""MIDDLE""))+(COUNTIF(FILTER(Data!N:N,Data!B:B=A392),""LOW"")))) / (((COUNTIF(Data!B:B, A392)))-(CO"&amp;"UNTIF(FILTER(Data!N:N,Data!B:B=A392),""NONE""))),IF(ISBLANK(A392),"""",0))"),"")</f>
        <v/>
      </c>
      <c r="T392" s="56" t="str">
        <f>IFERROR(__xludf.DUMMYFUNCTION("IFERROR((COUNTIF(FILTER(Data!N:N, Data!B:B=A392),""LOW"")) / (COUNTIF(Data!B:B, A392)),"""")"),"")</f>
        <v/>
      </c>
      <c r="U392" s="59" t="str">
        <f>IFERROR(__xludf.DUMMYFUNCTION("IFERROR((COUNTIF(FILTER(Data!N:N, Data!B:B=A392),""MIDDLE"")) / (COUNTIF(Data!B:B, A392)),"""")"),"")</f>
        <v/>
      </c>
      <c r="V392" s="59" t="str">
        <f>IFERROR(__xludf.DUMMYFUNCTION("IFERROR((COUNTIF(FILTER(Data!N:N, Data!B:B=A392),""HIGH"")) / (COUNTIF(Data!B:B, A392)),"""")"),"")</f>
        <v/>
      </c>
      <c r="W392" s="59" t="str">
        <f>IFERROR(__xludf.DUMMYFUNCTION("IFERROR((COUNTIF(FILTER(Data!N:N, Data!B:B=A392),""TRAVERSE"")) / (COUNTIF(Data!B:B, A392)),"""")"),"")</f>
        <v/>
      </c>
      <c r="X392" s="59"/>
      <c r="Y392" s="45" t="str">
        <f t="shared" si="7"/>
        <v/>
      </c>
      <c r="Z392" s="45" t="str">
        <f t="shared" si="8"/>
        <v/>
      </c>
      <c r="AA392" s="16" t="str">
        <f t="shared" si="9"/>
        <v/>
      </c>
      <c r="AB392" s="16"/>
      <c r="AC392" s="16"/>
      <c r="AD392" s="16"/>
      <c r="AE392" s="16" t="str">
        <f t="shared" si="12"/>
        <v/>
      </c>
      <c r="AF392" s="16" t="str">
        <f t="shared" si="13"/>
        <v/>
      </c>
      <c r="AG392" s="44"/>
      <c r="AH392" s="44"/>
      <c r="AI392" s="44" t="str">
        <f>IFERROR(__xludf.DUMMYFUNCTION("TEXTJOIN("", "",TRUE, FILTER(Data!P:P, Data!B:B=A392))"),"")</f>
        <v/>
      </c>
      <c r="AM392" s="61"/>
      <c r="BC392" s="50"/>
    </row>
    <row r="393">
      <c r="A393" s="14"/>
      <c r="B393" s="55" t="str">
        <f>IFERROR(__xludf.DUMMYFUNCTION("IFERROR(ROUND(
(COUNTIF(FILTER(Data!O:O, Data!B:B=A393), ""Win"")
+ COUNTIF(FILTER(Data!O:O, Data!B:B=A393), {""Tie"",""Results""}))
/ (COUNTIF(Data!B:B, A393)),
1),"""")"),"")</f>
        <v/>
      </c>
      <c r="C393" s="45" t="str">
        <f>IFERROR((SUMIF(Data!B:B, A393, Data!H:H)
/ (COUNTIF(Data!B:B, A393)
)),"")</f>
        <v/>
      </c>
      <c r="D393" s="45" t="str">
        <f>IFERROR((SUMIF(Data!B:B, A393, Data!G:G)
/ (COUNTIF(Data!B:B, A393)
)),"")</f>
        <v/>
      </c>
      <c r="E393" s="45"/>
      <c r="F393" s="45" t="str">
        <f>IFERROR((SUMIF(Data!B:B, A393, Data!J:J)
/ (COUNTIF(Data!B:B, A393)
)),"")</f>
        <v/>
      </c>
      <c r="G393" s="56" t="str">
        <f>IF(A393="","",IFERROR((((((SUMIF(Data!B:B, A393, Data!H:H)+(SUMIF(Data!B:B, A393,Data!G:G)))/(SUMIF(Data!B:B, A393, Data!J:J)))))),0))</f>
        <v/>
      </c>
      <c r="H393" s="45"/>
      <c r="I393" s="45"/>
      <c r="J393" s="45"/>
      <c r="K393" s="45"/>
      <c r="L393" s="45" t="str">
        <f>IFERROR((SUMIF(Data!B:B, A393, Data!L:L)
/ (COUNTIF(Data!B:B, A393)
)),"")</f>
        <v/>
      </c>
      <c r="M393" s="45" t="str">
        <f>IFERROR((SUMIF(Data!B:B, A393, Data!K:K)
/ (COUNTIF(Data!B:B, A393)
)),"")</f>
        <v/>
      </c>
      <c r="N393" s="56"/>
      <c r="O393" s="56" t="str">
        <f>IF(A393="","",IFERROR((((((SUMIF(Data!B:B, A393, Data!H:H)+(SUMIF(Data!B:B, A393,Data!G:G)+(SUMIF(Data!B:B, A393,Data!L:L)+(SUMIF(Data!B:B, A393,Data!K:K)))))/(SUMIF(Data!B:B, A393, Data!M:M)+(SUMIF(Data!B:B, A393, Data!H:H)+(SUMIF(Data!B:B, A393,Data!G:G)+(SUMIF(Data!B:B, A393,Data!K:K)+(SUMIF(Data!B:B, A393,Data!L:L)))))))))),0))</f>
        <v/>
      </c>
      <c r="P393" s="57" t="str">
        <f>IFERROR(__xludf.DUMMYFUNCTION("IFERROR(((COUNTIF(FILTER(Data!N:N,Data!B:B=A393),""TRAVERSE"")*15)+(COUNTIF(FILTER(Data!N:N,Data!B:B=A393),""HIGH"")*10)+(COUNTIF(FILTER(Data!N:N,Data!B:B=A393),""MIDDLE"")*6)+(COUNTIF(FILTER(Data!N:N,Data!B:B=A393),""LOW"")*4)) / (COUNTIF(Data!B:B, A393)"&amp;"),"""")"),"")</f>
        <v/>
      </c>
      <c r="Q393" s="58"/>
      <c r="R393" s="58"/>
      <c r="S393" s="58" t="str">
        <f>IFERROR(__xludf.DUMMYFUNCTION("IFERROR((((COUNTIF(FILTER(Data!N:N,Data!B:B=A393),""TRAVERSE""))+(COUNTIF(FILTER(Data!N:N,Data!B:B=A393),""HIGH""))+(COUNTIF(FILTER(Data!N:N,Data!B:B=A393),""MIDDLE""))+(COUNTIF(FILTER(Data!N:N,Data!B:B=A393),""LOW"")))) / (((COUNTIF(Data!B:B, A393)))-(CO"&amp;"UNTIF(FILTER(Data!N:N,Data!B:B=A393),""NONE""))),IF(ISBLANK(A393),"""",0))"),"")</f>
        <v/>
      </c>
      <c r="T393" s="56" t="str">
        <f>IFERROR(__xludf.DUMMYFUNCTION("IFERROR((COUNTIF(FILTER(Data!N:N, Data!B:B=A393),""LOW"")) / (COUNTIF(Data!B:B, A393)),"""")"),"")</f>
        <v/>
      </c>
      <c r="U393" s="59" t="str">
        <f>IFERROR(__xludf.DUMMYFUNCTION("IFERROR((COUNTIF(FILTER(Data!N:N, Data!B:B=A393),""MIDDLE"")) / (COUNTIF(Data!B:B, A393)),"""")"),"")</f>
        <v/>
      </c>
      <c r="V393" s="59" t="str">
        <f>IFERROR(__xludf.DUMMYFUNCTION("IFERROR((COUNTIF(FILTER(Data!N:N, Data!B:B=A393),""HIGH"")) / (COUNTIF(Data!B:B, A393)),"""")"),"")</f>
        <v/>
      </c>
      <c r="W393" s="59" t="str">
        <f>IFERROR(__xludf.DUMMYFUNCTION("IFERROR((COUNTIF(FILTER(Data!N:N, Data!B:B=A393),""TRAVERSE"")) / (COUNTIF(Data!B:B, A393)),"""")"),"")</f>
        <v/>
      </c>
      <c r="X393" s="59"/>
      <c r="Y393" s="45" t="str">
        <f t="shared" si="7"/>
        <v/>
      </c>
      <c r="Z393" s="45" t="str">
        <f t="shared" si="8"/>
        <v/>
      </c>
      <c r="AA393" s="16" t="str">
        <f t="shared" si="9"/>
        <v/>
      </c>
      <c r="AB393" s="16"/>
      <c r="AC393" s="16"/>
      <c r="AD393" s="16"/>
      <c r="AE393" s="16" t="str">
        <f t="shared" si="12"/>
        <v/>
      </c>
      <c r="AF393" s="16" t="str">
        <f t="shared" si="13"/>
        <v/>
      </c>
      <c r="AG393" s="44"/>
      <c r="AH393" s="44"/>
      <c r="AI393" s="44" t="str">
        <f>IFERROR(__xludf.DUMMYFUNCTION("TEXTJOIN("", "",TRUE, FILTER(Data!P:P, Data!B:B=A393))"),"")</f>
        <v/>
      </c>
      <c r="AM393" s="61"/>
      <c r="BC393" s="50"/>
    </row>
    <row r="394">
      <c r="A394" s="14"/>
      <c r="B394" s="55" t="str">
        <f>IFERROR(__xludf.DUMMYFUNCTION("IFERROR(ROUND(
(COUNTIF(FILTER(Data!O:O, Data!B:B=A394), ""Win"")
+ COUNTIF(FILTER(Data!O:O, Data!B:B=A394), {""Tie"",""Results""}))
/ (COUNTIF(Data!B:B, A394)),
1),"""")"),"")</f>
        <v/>
      </c>
      <c r="C394" s="45" t="str">
        <f>IFERROR((SUMIF(Data!B:B, A394, Data!H:H)
/ (COUNTIF(Data!B:B, A394)
)),"")</f>
        <v/>
      </c>
      <c r="D394" s="45" t="str">
        <f>IFERROR((SUMIF(Data!B:B, A394, Data!G:G)
/ (COUNTIF(Data!B:B, A394)
)),"")</f>
        <v/>
      </c>
      <c r="E394" s="45"/>
      <c r="F394" s="45" t="str">
        <f>IFERROR((SUMIF(Data!B:B, A394, Data!J:J)
/ (COUNTIF(Data!B:B, A394)
)),"")</f>
        <v/>
      </c>
      <c r="G394" s="56" t="str">
        <f>IF(A394="","",IFERROR((((((SUMIF(Data!B:B, A394, Data!H:H)+(SUMIF(Data!B:B, A394,Data!G:G)))/(SUMIF(Data!B:B, A394, Data!J:J)))))),0))</f>
        <v/>
      </c>
      <c r="H394" s="45"/>
      <c r="I394" s="45"/>
      <c r="J394" s="45"/>
      <c r="K394" s="45"/>
      <c r="L394" s="45" t="str">
        <f>IFERROR((SUMIF(Data!B:B, A394, Data!L:L)
/ (COUNTIF(Data!B:B, A394)
)),"")</f>
        <v/>
      </c>
      <c r="M394" s="45" t="str">
        <f>IFERROR((SUMIF(Data!B:B, A394, Data!K:K)
/ (COUNTIF(Data!B:B, A394)
)),"")</f>
        <v/>
      </c>
      <c r="N394" s="56"/>
      <c r="O394" s="56" t="str">
        <f>IF(A394="","",IFERROR((((((SUMIF(Data!B:B, A394, Data!H:H)+(SUMIF(Data!B:B, A394,Data!G:G)+(SUMIF(Data!B:B, A394,Data!L:L)+(SUMIF(Data!B:B, A394,Data!K:K)))))/(SUMIF(Data!B:B, A394, Data!M:M)+(SUMIF(Data!B:B, A394, Data!H:H)+(SUMIF(Data!B:B, A394,Data!G:G)+(SUMIF(Data!B:B, A394,Data!K:K)+(SUMIF(Data!B:B, A394,Data!L:L)))))))))),0))</f>
        <v/>
      </c>
      <c r="P394" s="57" t="str">
        <f>IFERROR(__xludf.DUMMYFUNCTION("IFERROR(((COUNTIF(FILTER(Data!N:N,Data!B:B=A394),""TRAVERSE"")*15)+(COUNTIF(FILTER(Data!N:N,Data!B:B=A394),""HIGH"")*10)+(COUNTIF(FILTER(Data!N:N,Data!B:B=A394),""MIDDLE"")*6)+(COUNTIF(FILTER(Data!N:N,Data!B:B=A394),""LOW"")*4)) / (COUNTIF(Data!B:B, A394)"&amp;"),"""")"),"")</f>
        <v/>
      </c>
      <c r="Q394" s="58"/>
      <c r="R394" s="58"/>
      <c r="S394" s="58" t="str">
        <f>IFERROR(__xludf.DUMMYFUNCTION("IFERROR((((COUNTIF(FILTER(Data!N:N,Data!B:B=A394),""TRAVERSE""))+(COUNTIF(FILTER(Data!N:N,Data!B:B=A394),""HIGH""))+(COUNTIF(FILTER(Data!N:N,Data!B:B=A394),""MIDDLE""))+(COUNTIF(FILTER(Data!N:N,Data!B:B=A394),""LOW"")))) / (((COUNTIF(Data!B:B, A394)))-(CO"&amp;"UNTIF(FILTER(Data!N:N,Data!B:B=A394),""NONE""))),IF(ISBLANK(A394),"""",0))"),"")</f>
        <v/>
      </c>
      <c r="T394" s="56" t="str">
        <f>IFERROR(__xludf.DUMMYFUNCTION("IFERROR((COUNTIF(FILTER(Data!N:N, Data!B:B=A394),""LOW"")) / (COUNTIF(Data!B:B, A394)),"""")"),"")</f>
        <v/>
      </c>
      <c r="U394" s="59" t="str">
        <f>IFERROR(__xludf.DUMMYFUNCTION("IFERROR((COUNTIF(FILTER(Data!N:N, Data!B:B=A394),""MIDDLE"")) / (COUNTIF(Data!B:B, A394)),"""")"),"")</f>
        <v/>
      </c>
      <c r="V394" s="59" t="str">
        <f>IFERROR(__xludf.DUMMYFUNCTION("IFERROR((COUNTIF(FILTER(Data!N:N, Data!B:B=A394),""HIGH"")) / (COUNTIF(Data!B:B, A394)),"""")"),"")</f>
        <v/>
      </c>
      <c r="W394" s="59" t="str">
        <f>IFERROR(__xludf.DUMMYFUNCTION("IFERROR((COUNTIF(FILTER(Data!N:N, Data!B:B=A394),""TRAVERSE"")) / (COUNTIF(Data!B:B, A394)),"""")"),"")</f>
        <v/>
      </c>
      <c r="X394" s="59"/>
      <c r="Y394" s="45" t="str">
        <f t="shared" si="7"/>
        <v/>
      </c>
      <c r="Z394" s="45" t="str">
        <f t="shared" si="8"/>
        <v/>
      </c>
      <c r="AA394" s="16" t="str">
        <f t="shared" si="9"/>
        <v/>
      </c>
      <c r="AB394" s="16"/>
      <c r="AC394" s="16"/>
      <c r="AD394" s="16"/>
      <c r="AE394" s="16" t="str">
        <f t="shared" si="12"/>
        <v/>
      </c>
      <c r="AF394" s="16" t="str">
        <f t="shared" si="13"/>
        <v/>
      </c>
      <c r="AG394" s="44"/>
      <c r="AH394" s="44"/>
      <c r="AI394" s="44" t="str">
        <f>IFERROR(__xludf.DUMMYFUNCTION("TEXTJOIN("", "",TRUE, FILTER(Data!P:P, Data!B:B=A394))"),"")</f>
        <v/>
      </c>
      <c r="AM394" s="61"/>
      <c r="BC394" s="50"/>
    </row>
    <row r="395">
      <c r="A395" s="14"/>
      <c r="B395" s="55" t="str">
        <f>IFERROR(__xludf.DUMMYFUNCTION("IFERROR(ROUND(
(COUNTIF(FILTER(Data!O:O, Data!B:B=A395), ""Win"")
+ COUNTIF(FILTER(Data!O:O, Data!B:B=A395), {""Tie"",""Results""}))
/ (COUNTIF(Data!B:B, A395)),
1),"""")"),"")</f>
        <v/>
      </c>
      <c r="C395" s="45" t="str">
        <f>IFERROR((SUMIF(Data!B:B, A395, Data!H:H)
/ (COUNTIF(Data!B:B, A395)
)),"")</f>
        <v/>
      </c>
      <c r="D395" s="45" t="str">
        <f>IFERROR((SUMIF(Data!B:B, A395, Data!G:G)
/ (COUNTIF(Data!B:B, A395)
)),"")</f>
        <v/>
      </c>
      <c r="E395" s="45"/>
      <c r="F395" s="45" t="str">
        <f>IFERROR((SUMIF(Data!B:B, A395, Data!J:J)
/ (COUNTIF(Data!B:B, A395)
)),"")</f>
        <v/>
      </c>
      <c r="G395" s="56" t="str">
        <f>IF(A395="","",IFERROR((((((SUMIF(Data!B:B, A395, Data!H:H)+(SUMIF(Data!B:B, A395,Data!G:G)))/(SUMIF(Data!B:B, A395, Data!J:J)))))),0))</f>
        <v/>
      </c>
      <c r="H395" s="45"/>
      <c r="I395" s="45"/>
      <c r="J395" s="45"/>
      <c r="K395" s="45"/>
      <c r="L395" s="45" t="str">
        <f>IFERROR((SUMIF(Data!B:B, A395, Data!L:L)
/ (COUNTIF(Data!B:B, A395)
)),"")</f>
        <v/>
      </c>
      <c r="M395" s="45" t="str">
        <f>IFERROR((SUMIF(Data!B:B, A395, Data!K:K)
/ (COUNTIF(Data!B:B, A395)
)),"")</f>
        <v/>
      </c>
      <c r="N395" s="56"/>
      <c r="O395" s="56" t="str">
        <f>IF(A395="","",IFERROR((((((SUMIF(Data!B:B, A395, Data!H:H)+(SUMIF(Data!B:B, A395,Data!G:G)+(SUMIF(Data!B:B, A395,Data!L:L)+(SUMIF(Data!B:B, A395,Data!K:K)))))/(SUMIF(Data!B:B, A395, Data!M:M)+(SUMIF(Data!B:B, A395, Data!H:H)+(SUMIF(Data!B:B, A395,Data!G:G)+(SUMIF(Data!B:B, A395,Data!K:K)+(SUMIF(Data!B:B, A395,Data!L:L)))))))))),0))</f>
        <v/>
      </c>
      <c r="P395" s="57" t="str">
        <f>IFERROR(__xludf.DUMMYFUNCTION("IFERROR(((COUNTIF(FILTER(Data!N:N,Data!B:B=A395),""TRAVERSE"")*15)+(COUNTIF(FILTER(Data!N:N,Data!B:B=A395),""HIGH"")*10)+(COUNTIF(FILTER(Data!N:N,Data!B:B=A395),""MIDDLE"")*6)+(COUNTIF(FILTER(Data!N:N,Data!B:B=A395),""LOW"")*4)) / (COUNTIF(Data!B:B, A395)"&amp;"),"""")"),"")</f>
        <v/>
      </c>
      <c r="Q395" s="58"/>
      <c r="R395" s="58"/>
      <c r="S395" s="58" t="str">
        <f>IFERROR(__xludf.DUMMYFUNCTION("IFERROR((((COUNTIF(FILTER(Data!N:N,Data!B:B=A395),""TRAVERSE""))+(COUNTIF(FILTER(Data!N:N,Data!B:B=A395),""HIGH""))+(COUNTIF(FILTER(Data!N:N,Data!B:B=A395),""MIDDLE""))+(COUNTIF(FILTER(Data!N:N,Data!B:B=A395),""LOW"")))) / (((COUNTIF(Data!B:B, A395)))-(CO"&amp;"UNTIF(FILTER(Data!N:N,Data!B:B=A395),""NONE""))),IF(ISBLANK(A395),"""",0))"),"")</f>
        <v/>
      </c>
      <c r="T395" s="56" t="str">
        <f>IFERROR(__xludf.DUMMYFUNCTION("IFERROR((COUNTIF(FILTER(Data!N:N, Data!B:B=A395),""LOW"")) / (COUNTIF(Data!B:B, A395)),"""")"),"")</f>
        <v/>
      </c>
      <c r="U395" s="59" t="str">
        <f>IFERROR(__xludf.DUMMYFUNCTION("IFERROR((COUNTIF(FILTER(Data!N:N, Data!B:B=A395),""MIDDLE"")) / (COUNTIF(Data!B:B, A395)),"""")"),"")</f>
        <v/>
      </c>
      <c r="V395" s="59" t="str">
        <f>IFERROR(__xludf.DUMMYFUNCTION("IFERROR((COUNTIF(FILTER(Data!N:N, Data!B:B=A395),""HIGH"")) / (COUNTIF(Data!B:B, A395)),"""")"),"")</f>
        <v/>
      </c>
      <c r="W395" s="59" t="str">
        <f>IFERROR(__xludf.DUMMYFUNCTION("IFERROR((COUNTIF(FILTER(Data!N:N, Data!B:B=A395),""TRAVERSE"")) / (COUNTIF(Data!B:B, A395)),"""")"),"")</f>
        <v/>
      </c>
      <c r="X395" s="59"/>
      <c r="Y395" s="45" t="str">
        <f t="shared" si="7"/>
        <v/>
      </c>
      <c r="Z395" s="45" t="str">
        <f t="shared" si="8"/>
        <v/>
      </c>
      <c r="AA395" s="16" t="str">
        <f t="shared" si="9"/>
        <v/>
      </c>
      <c r="AB395" s="16"/>
      <c r="AC395" s="16"/>
      <c r="AD395" s="16"/>
      <c r="AE395" s="16" t="str">
        <f t="shared" si="12"/>
        <v/>
      </c>
      <c r="AF395" s="16" t="str">
        <f t="shared" si="13"/>
        <v/>
      </c>
      <c r="AG395" s="44"/>
      <c r="AH395" s="44"/>
      <c r="AI395" s="44" t="str">
        <f>IFERROR(__xludf.DUMMYFUNCTION("TEXTJOIN("", "",TRUE, FILTER(Data!P:P, Data!B:B=A395))"),"")</f>
        <v/>
      </c>
      <c r="AM395" s="61"/>
      <c r="BC395" s="50"/>
    </row>
    <row r="396">
      <c r="A396" s="14"/>
      <c r="B396" s="55" t="str">
        <f>IFERROR(__xludf.DUMMYFUNCTION("IFERROR(ROUND(
(COUNTIF(FILTER(Data!O:O, Data!B:B=A396), ""Win"")
+ COUNTIF(FILTER(Data!O:O, Data!B:B=A396), {""Tie"",""Results""}))
/ (COUNTIF(Data!B:B, A396)),
1),"""")"),"")</f>
        <v/>
      </c>
      <c r="C396" s="45" t="str">
        <f>IFERROR((SUMIF(Data!B:B, A396, Data!H:H)
/ (COUNTIF(Data!B:B, A396)
)),"")</f>
        <v/>
      </c>
      <c r="D396" s="45" t="str">
        <f>IFERROR((SUMIF(Data!B:B, A396, Data!G:G)
/ (COUNTIF(Data!B:B, A396)
)),"")</f>
        <v/>
      </c>
      <c r="E396" s="45"/>
      <c r="F396" s="45" t="str">
        <f>IFERROR((SUMIF(Data!B:B, A396, Data!J:J)
/ (COUNTIF(Data!B:B, A396)
)),"")</f>
        <v/>
      </c>
      <c r="G396" s="56" t="str">
        <f>IF(A396="","",IFERROR((((((SUMIF(Data!B:B, A396, Data!H:H)+(SUMIF(Data!B:B, A396,Data!G:G)))/(SUMIF(Data!B:B, A396, Data!J:J)))))),0))</f>
        <v/>
      </c>
      <c r="H396" s="45"/>
      <c r="I396" s="45"/>
      <c r="J396" s="45"/>
      <c r="K396" s="45"/>
      <c r="L396" s="45" t="str">
        <f>IFERROR((SUMIF(Data!B:B, A396, Data!L:L)
/ (COUNTIF(Data!B:B, A396)
)),"")</f>
        <v/>
      </c>
      <c r="M396" s="45" t="str">
        <f>IFERROR((SUMIF(Data!B:B, A396, Data!K:K)
/ (COUNTIF(Data!B:B, A396)
)),"")</f>
        <v/>
      </c>
      <c r="N396" s="56"/>
      <c r="O396" s="56" t="str">
        <f>IF(A396="","",IFERROR((((((SUMIF(Data!B:B, A396, Data!H:H)+(SUMIF(Data!B:B, A396,Data!G:G)+(SUMIF(Data!B:B, A396,Data!L:L)+(SUMIF(Data!B:B, A396,Data!K:K)))))/(SUMIF(Data!B:B, A396, Data!M:M)+(SUMIF(Data!B:B, A396, Data!H:H)+(SUMIF(Data!B:B, A396,Data!G:G)+(SUMIF(Data!B:B, A396,Data!K:K)+(SUMIF(Data!B:B, A396,Data!L:L)))))))))),0))</f>
        <v/>
      </c>
      <c r="P396" s="57" t="str">
        <f>IFERROR(__xludf.DUMMYFUNCTION("IFERROR(((COUNTIF(FILTER(Data!N:N,Data!B:B=A396),""TRAVERSE"")*15)+(COUNTIF(FILTER(Data!N:N,Data!B:B=A396),""HIGH"")*10)+(COUNTIF(FILTER(Data!N:N,Data!B:B=A396),""MIDDLE"")*6)+(COUNTIF(FILTER(Data!N:N,Data!B:B=A396),""LOW"")*4)) / (COUNTIF(Data!B:B, A396)"&amp;"),"""")"),"")</f>
        <v/>
      </c>
      <c r="Q396" s="58"/>
      <c r="R396" s="58"/>
      <c r="S396" s="58" t="str">
        <f>IFERROR(__xludf.DUMMYFUNCTION("IFERROR((((COUNTIF(FILTER(Data!N:N,Data!B:B=A396),""TRAVERSE""))+(COUNTIF(FILTER(Data!N:N,Data!B:B=A396),""HIGH""))+(COUNTIF(FILTER(Data!N:N,Data!B:B=A396),""MIDDLE""))+(COUNTIF(FILTER(Data!N:N,Data!B:B=A396),""LOW"")))) / (((COUNTIF(Data!B:B, A396)))-(CO"&amp;"UNTIF(FILTER(Data!N:N,Data!B:B=A396),""NONE""))),IF(ISBLANK(A396),"""",0))"),"")</f>
        <v/>
      </c>
      <c r="T396" s="56" t="str">
        <f>IFERROR(__xludf.DUMMYFUNCTION("IFERROR((COUNTIF(FILTER(Data!N:N, Data!B:B=A396),""LOW"")) / (COUNTIF(Data!B:B, A396)),"""")"),"")</f>
        <v/>
      </c>
      <c r="U396" s="59" t="str">
        <f>IFERROR(__xludf.DUMMYFUNCTION("IFERROR((COUNTIF(FILTER(Data!N:N, Data!B:B=A396),""MIDDLE"")) / (COUNTIF(Data!B:B, A396)),"""")"),"")</f>
        <v/>
      </c>
      <c r="V396" s="59" t="str">
        <f>IFERROR(__xludf.DUMMYFUNCTION("IFERROR((COUNTIF(FILTER(Data!N:N, Data!B:B=A396),""HIGH"")) / (COUNTIF(Data!B:B, A396)),"""")"),"")</f>
        <v/>
      </c>
      <c r="W396" s="59" t="str">
        <f>IFERROR(__xludf.DUMMYFUNCTION("IFERROR((COUNTIF(FILTER(Data!N:N, Data!B:B=A396),""TRAVERSE"")) / (COUNTIF(Data!B:B, A396)),"""")"),"")</f>
        <v/>
      </c>
      <c r="X396" s="59"/>
      <c r="Y396" s="45" t="str">
        <f t="shared" si="7"/>
        <v/>
      </c>
      <c r="Z396" s="45" t="str">
        <f t="shared" si="8"/>
        <v/>
      </c>
      <c r="AA396" s="16" t="str">
        <f t="shared" si="9"/>
        <v/>
      </c>
      <c r="AB396" s="16"/>
      <c r="AC396" s="16"/>
      <c r="AD396" s="16"/>
      <c r="AE396" s="16" t="str">
        <f t="shared" si="12"/>
        <v/>
      </c>
      <c r="AF396" s="16" t="str">
        <f t="shared" si="13"/>
        <v/>
      </c>
      <c r="AG396" s="44"/>
      <c r="AH396" s="44"/>
      <c r="AI396" s="44" t="str">
        <f>IFERROR(__xludf.DUMMYFUNCTION("TEXTJOIN("", "",TRUE, FILTER(Data!P:P, Data!B:B=A396))"),"")</f>
        <v/>
      </c>
      <c r="AM396" s="61"/>
      <c r="BC396" s="50"/>
    </row>
    <row r="397">
      <c r="A397" s="14"/>
      <c r="B397" s="55" t="str">
        <f>IFERROR(__xludf.DUMMYFUNCTION("IFERROR(ROUND(
(COUNTIF(FILTER(Data!O:O, Data!B:B=A397), ""Win"")
+ COUNTIF(FILTER(Data!O:O, Data!B:B=A397), {""Tie"",""Results""}))
/ (COUNTIF(Data!B:B, A397)),
1),"""")"),"")</f>
        <v/>
      </c>
      <c r="C397" s="45" t="str">
        <f>IFERROR((SUMIF(Data!B:B, A397, Data!H:H)
/ (COUNTIF(Data!B:B, A397)
)),"")</f>
        <v/>
      </c>
      <c r="D397" s="45" t="str">
        <f>IFERROR((SUMIF(Data!B:B, A397, Data!G:G)
/ (COUNTIF(Data!B:B, A397)
)),"")</f>
        <v/>
      </c>
      <c r="E397" s="45"/>
      <c r="F397" s="45" t="str">
        <f>IFERROR((SUMIF(Data!B:B, A397, Data!J:J)
/ (COUNTIF(Data!B:B, A397)
)),"")</f>
        <v/>
      </c>
      <c r="G397" s="56" t="str">
        <f>IF(A397="","",IFERROR((((((SUMIF(Data!B:B, A397, Data!H:H)+(SUMIF(Data!B:B, A397,Data!G:G)))/(SUMIF(Data!B:B, A397, Data!J:J)))))),0))</f>
        <v/>
      </c>
      <c r="H397" s="45"/>
      <c r="I397" s="45"/>
      <c r="J397" s="45"/>
      <c r="K397" s="45"/>
      <c r="L397" s="45" t="str">
        <f>IFERROR((SUMIF(Data!B:B, A397, Data!L:L)
/ (COUNTIF(Data!B:B, A397)
)),"")</f>
        <v/>
      </c>
      <c r="M397" s="45" t="str">
        <f>IFERROR((SUMIF(Data!B:B, A397, Data!K:K)
/ (COUNTIF(Data!B:B, A397)
)),"")</f>
        <v/>
      </c>
      <c r="N397" s="56"/>
      <c r="O397" s="56" t="str">
        <f>IF(A397="","",IFERROR((((((SUMIF(Data!B:B, A397, Data!H:H)+(SUMIF(Data!B:B, A397,Data!G:G)+(SUMIF(Data!B:B, A397,Data!L:L)+(SUMIF(Data!B:B, A397,Data!K:K)))))/(SUMIF(Data!B:B, A397, Data!M:M)+(SUMIF(Data!B:B, A397, Data!H:H)+(SUMIF(Data!B:B, A397,Data!G:G)+(SUMIF(Data!B:B, A397,Data!K:K)+(SUMIF(Data!B:B, A397,Data!L:L)))))))))),0))</f>
        <v/>
      </c>
      <c r="P397" s="57" t="str">
        <f>IFERROR(__xludf.DUMMYFUNCTION("IFERROR(((COUNTIF(FILTER(Data!N:N,Data!B:B=A397),""TRAVERSE"")*15)+(COUNTIF(FILTER(Data!N:N,Data!B:B=A397),""HIGH"")*10)+(COUNTIF(FILTER(Data!N:N,Data!B:B=A397),""MIDDLE"")*6)+(COUNTIF(FILTER(Data!N:N,Data!B:B=A397),""LOW"")*4)) / (COUNTIF(Data!B:B, A397)"&amp;"),"""")"),"")</f>
        <v/>
      </c>
      <c r="Q397" s="58"/>
      <c r="R397" s="58"/>
      <c r="S397" s="58" t="str">
        <f>IFERROR(__xludf.DUMMYFUNCTION("IFERROR((((COUNTIF(FILTER(Data!N:N,Data!B:B=A397),""TRAVERSE""))+(COUNTIF(FILTER(Data!N:N,Data!B:B=A397),""HIGH""))+(COUNTIF(FILTER(Data!N:N,Data!B:B=A397),""MIDDLE""))+(COUNTIF(FILTER(Data!N:N,Data!B:B=A397),""LOW"")))) / (((COUNTIF(Data!B:B, A397)))-(CO"&amp;"UNTIF(FILTER(Data!N:N,Data!B:B=A397),""NONE""))),IF(ISBLANK(A397),"""",0))"),"")</f>
        <v/>
      </c>
      <c r="T397" s="56" t="str">
        <f>IFERROR(__xludf.DUMMYFUNCTION("IFERROR((COUNTIF(FILTER(Data!N:N, Data!B:B=A397),""LOW"")) / (COUNTIF(Data!B:B, A397)),"""")"),"")</f>
        <v/>
      </c>
      <c r="U397" s="59" t="str">
        <f>IFERROR(__xludf.DUMMYFUNCTION("IFERROR((COUNTIF(FILTER(Data!N:N, Data!B:B=A397),""MIDDLE"")) / (COUNTIF(Data!B:B, A397)),"""")"),"")</f>
        <v/>
      </c>
      <c r="V397" s="59" t="str">
        <f>IFERROR(__xludf.DUMMYFUNCTION("IFERROR((COUNTIF(FILTER(Data!N:N, Data!B:B=A397),""HIGH"")) / (COUNTIF(Data!B:B, A397)),"""")"),"")</f>
        <v/>
      </c>
      <c r="W397" s="59" t="str">
        <f>IFERROR(__xludf.DUMMYFUNCTION("IFERROR((COUNTIF(FILTER(Data!N:N, Data!B:B=A397),""TRAVERSE"")) / (COUNTIF(Data!B:B, A397)),"""")"),"")</f>
        <v/>
      </c>
      <c r="X397" s="59"/>
      <c r="Y397" s="45" t="str">
        <f t="shared" si="7"/>
        <v/>
      </c>
      <c r="Z397" s="45" t="str">
        <f t="shared" si="8"/>
        <v/>
      </c>
      <c r="AA397" s="16" t="str">
        <f t="shared" si="9"/>
        <v/>
      </c>
      <c r="AB397" s="16"/>
      <c r="AC397" s="16"/>
      <c r="AD397" s="16"/>
      <c r="AE397" s="16" t="str">
        <f t="shared" si="12"/>
        <v/>
      </c>
      <c r="AF397" s="16" t="str">
        <f t="shared" si="13"/>
        <v/>
      </c>
      <c r="AG397" s="44"/>
      <c r="AH397" s="44"/>
      <c r="AI397" s="44" t="str">
        <f>IFERROR(__xludf.DUMMYFUNCTION("TEXTJOIN("", "",TRUE, FILTER(Data!P:P, Data!B:B=A397))"),"")</f>
        <v/>
      </c>
      <c r="AM397" s="61"/>
      <c r="BC397" s="50"/>
    </row>
    <row r="398">
      <c r="A398" s="14"/>
      <c r="B398" s="55" t="str">
        <f>IFERROR(__xludf.DUMMYFUNCTION("IFERROR(ROUND(
(COUNTIF(FILTER(Data!O:O, Data!B:B=A398), ""Win"")
+ COUNTIF(FILTER(Data!O:O, Data!B:B=A398), {""Tie"",""Results""}))
/ (COUNTIF(Data!B:B, A398)),
1),"""")"),"")</f>
        <v/>
      </c>
      <c r="C398" s="45" t="str">
        <f>IFERROR((SUMIF(Data!B:B, A398, Data!H:H)
/ (COUNTIF(Data!B:B, A398)
)),"")</f>
        <v/>
      </c>
      <c r="D398" s="45" t="str">
        <f>IFERROR((SUMIF(Data!B:B, A398, Data!G:G)
/ (COUNTIF(Data!B:B, A398)
)),"")</f>
        <v/>
      </c>
      <c r="E398" s="45"/>
      <c r="F398" s="45" t="str">
        <f>IFERROR((SUMIF(Data!B:B, A398, Data!J:J)
/ (COUNTIF(Data!B:B, A398)
)),"")</f>
        <v/>
      </c>
      <c r="G398" s="56" t="str">
        <f>IF(A398="","",IFERROR((((((SUMIF(Data!B:B, A398, Data!H:H)+(SUMIF(Data!B:B, A398,Data!G:G)))/(SUMIF(Data!B:B, A398, Data!J:J)))))),0))</f>
        <v/>
      </c>
      <c r="H398" s="45"/>
      <c r="I398" s="45"/>
      <c r="J398" s="45"/>
      <c r="K398" s="45"/>
      <c r="L398" s="45" t="str">
        <f>IFERROR((SUMIF(Data!B:B, A398, Data!L:L)
/ (COUNTIF(Data!B:B, A398)
)),"")</f>
        <v/>
      </c>
      <c r="M398" s="45" t="str">
        <f>IFERROR((SUMIF(Data!B:B, A398, Data!K:K)
/ (COUNTIF(Data!B:B, A398)
)),"")</f>
        <v/>
      </c>
      <c r="N398" s="56"/>
      <c r="O398" s="56" t="str">
        <f>IF(A398="","",IFERROR((((((SUMIF(Data!B:B, A398, Data!H:H)+(SUMIF(Data!B:B, A398,Data!G:G)+(SUMIF(Data!B:B, A398,Data!L:L)+(SUMIF(Data!B:B, A398,Data!K:K)))))/(SUMIF(Data!B:B, A398, Data!M:M)+(SUMIF(Data!B:B, A398, Data!H:H)+(SUMIF(Data!B:B, A398,Data!G:G)+(SUMIF(Data!B:B, A398,Data!K:K)+(SUMIF(Data!B:B, A398,Data!L:L)))))))))),0))</f>
        <v/>
      </c>
      <c r="P398" s="57" t="str">
        <f>IFERROR(__xludf.DUMMYFUNCTION("IFERROR(((COUNTIF(FILTER(Data!N:N,Data!B:B=A398),""TRAVERSE"")*15)+(COUNTIF(FILTER(Data!N:N,Data!B:B=A398),""HIGH"")*10)+(COUNTIF(FILTER(Data!N:N,Data!B:B=A398),""MIDDLE"")*6)+(COUNTIF(FILTER(Data!N:N,Data!B:B=A398),""LOW"")*4)) / (COUNTIF(Data!B:B, A398)"&amp;"),"""")"),"")</f>
        <v/>
      </c>
      <c r="Q398" s="58"/>
      <c r="R398" s="58"/>
      <c r="S398" s="58" t="str">
        <f>IFERROR(__xludf.DUMMYFUNCTION("IFERROR((((COUNTIF(FILTER(Data!N:N,Data!B:B=A398),""TRAVERSE""))+(COUNTIF(FILTER(Data!N:N,Data!B:B=A398),""HIGH""))+(COUNTIF(FILTER(Data!N:N,Data!B:B=A398),""MIDDLE""))+(COUNTIF(FILTER(Data!N:N,Data!B:B=A398),""LOW"")))) / (((COUNTIF(Data!B:B, A398)))-(CO"&amp;"UNTIF(FILTER(Data!N:N,Data!B:B=A398),""NONE""))),IF(ISBLANK(A398),"""",0))"),"")</f>
        <v/>
      </c>
      <c r="T398" s="56" t="str">
        <f>IFERROR(__xludf.DUMMYFUNCTION("IFERROR((COUNTIF(FILTER(Data!N:N, Data!B:B=A398),""LOW"")) / (COUNTIF(Data!B:B, A398)),"""")"),"")</f>
        <v/>
      </c>
      <c r="U398" s="59" t="str">
        <f>IFERROR(__xludf.DUMMYFUNCTION("IFERROR((COUNTIF(FILTER(Data!N:N, Data!B:B=A398),""MIDDLE"")) / (COUNTIF(Data!B:B, A398)),"""")"),"")</f>
        <v/>
      </c>
      <c r="V398" s="59" t="str">
        <f>IFERROR(__xludf.DUMMYFUNCTION("IFERROR((COUNTIF(FILTER(Data!N:N, Data!B:B=A398),""HIGH"")) / (COUNTIF(Data!B:B, A398)),"""")"),"")</f>
        <v/>
      </c>
      <c r="W398" s="59" t="str">
        <f>IFERROR(__xludf.DUMMYFUNCTION("IFERROR((COUNTIF(FILTER(Data!N:N, Data!B:B=A398),""TRAVERSE"")) / (COUNTIF(Data!B:B, A398)),"""")"),"")</f>
        <v/>
      </c>
      <c r="X398" s="59"/>
      <c r="Y398" s="45" t="str">
        <f t="shared" si="7"/>
        <v/>
      </c>
      <c r="Z398" s="45" t="str">
        <f t="shared" si="8"/>
        <v/>
      </c>
      <c r="AA398" s="16" t="str">
        <f t="shared" si="9"/>
        <v/>
      </c>
      <c r="AB398" s="16"/>
      <c r="AC398" s="16"/>
      <c r="AD398" s="16"/>
      <c r="AE398" s="16" t="str">
        <f t="shared" si="12"/>
        <v/>
      </c>
      <c r="AF398" s="16" t="str">
        <f t="shared" si="13"/>
        <v/>
      </c>
      <c r="AG398" s="44"/>
      <c r="AH398" s="44"/>
      <c r="AI398" s="44" t="str">
        <f>IFERROR(__xludf.DUMMYFUNCTION("TEXTJOIN("", "",TRUE, FILTER(Data!P:P, Data!B:B=A398))"),"")</f>
        <v/>
      </c>
      <c r="AM398" s="61"/>
      <c r="BC398" s="50"/>
    </row>
    <row r="399">
      <c r="A399" s="14"/>
      <c r="B399" s="55" t="str">
        <f>IFERROR(__xludf.DUMMYFUNCTION("IFERROR(ROUND(
(COUNTIF(FILTER(Data!O:O, Data!B:B=A399), ""Win"")
+ COUNTIF(FILTER(Data!O:O, Data!B:B=A399), {""Tie"",""Results""}))
/ (COUNTIF(Data!B:B, A399)),
1),"""")"),"")</f>
        <v/>
      </c>
      <c r="C399" s="45" t="str">
        <f>IFERROR((SUMIF(Data!B:B, A399, Data!H:H)
/ (COUNTIF(Data!B:B, A399)
)),"")</f>
        <v/>
      </c>
      <c r="D399" s="45" t="str">
        <f>IFERROR((SUMIF(Data!B:B, A399, Data!G:G)
/ (COUNTIF(Data!B:B, A399)
)),"")</f>
        <v/>
      </c>
      <c r="E399" s="45"/>
      <c r="F399" s="45" t="str">
        <f>IFERROR((SUMIF(Data!B:B, A399, Data!J:J)
/ (COUNTIF(Data!B:B, A399)
)),"")</f>
        <v/>
      </c>
      <c r="G399" s="56" t="str">
        <f>IF(A399="","",IFERROR((((((SUMIF(Data!B:B, A399, Data!H:H)+(SUMIF(Data!B:B, A399,Data!G:G)))/(SUMIF(Data!B:B, A399, Data!J:J)))))),0))</f>
        <v/>
      </c>
      <c r="H399" s="45"/>
      <c r="I399" s="45"/>
      <c r="J399" s="45"/>
      <c r="K399" s="45"/>
      <c r="L399" s="45" t="str">
        <f>IFERROR((SUMIF(Data!B:B, A399, Data!L:L)
/ (COUNTIF(Data!B:B, A399)
)),"")</f>
        <v/>
      </c>
      <c r="M399" s="45" t="str">
        <f>IFERROR((SUMIF(Data!B:B, A399, Data!K:K)
/ (COUNTIF(Data!B:B, A399)
)),"")</f>
        <v/>
      </c>
      <c r="N399" s="56"/>
      <c r="O399" s="56" t="str">
        <f>IF(A399="","",IFERROR((((((SUMIF(Data!B:B, A399, Data!H:H)+(SUMIF(Data!B:B, A399,Data!G:G)+(SUMIF(Data!B:B, A399,Data!L:L)+(SUMIF(Data!B:B, A399,Data!K:K)))))/(SUMIF(Data!B:B, A399, Data!M:M)+(SUMIF(Data!B:B, A399, Data!H:H)+(SUMIF(Data!B:B, A399,Data!G:G)+(SUMIF(Data!B:B, A399,Data!K:K)+(SUMIF(Data!B:B, A399,Data!L:L)))))))))),0))</f>
        <v/>
      </c>
      <c r="P399" s="57" t="str">
        <f>IFERROR(__xludf.DUMMYFUNCTION("IFERROR(((COUNTIF(FILTER(Data!N:N,Data!B:B=A399),""TRAVERSE"")*15)+(COUNTIF(FILTER(Data!N:N,Data!B:B=A399),""HIGH"")*10)+(COUNTIF(FILTER(Data!N:N,Data!B:B=A399),""MIDDLE"")*6)+(COUNTIF(FILTER(Data!N:N,Data!B:B=A399),""LOW"")*4)) / (COUNTIF(Data!B:B, A399)"&amp;"),"""")"),"")</f>
        <v/>
      </c>
      <c r="Q399" s="58"/>
      <c r="R399" s="58"/>
      <c r="S399" s="58" t="str">
        <f>IFERROR(__xludf.DUMMYFUNCTION("IFERROR((((COUNTIF(FILTER(Data!N:N,Data!B:B=A399),""TRAVERSE""))+(COUNTIF(FILTER(Data!N:N,Data!B:B=A399),""HIGH""))+(COUNTIF(FILTER(Data!N:N,Data!B:B=A399),""MIDDLE""))+(COUNTIF(FILTER(Data!N:N,Data!B:B=A399),""LOW"")))) / (((COUNTIF(Data!B:B, A399)))-(CO"&amp;"UNTIF(FILTER(Data!N:N,Data!B:B=A399),""NONE""))),IF(ISBLANK(A399),"""",0))"),"")</f>
        <v/>
      </c>
      <c r="T399" s="56" t="str">
        <f>IFERROR(__xludf.DUMMYFUNCTION("IFERROR((COUNTIF(FILTER(Data!N:N, Data!B:B=A399),""LOW"")) / (COUNTIF(Data!B:B, A399)),"""")"),"")</f>
        <v/>
      </c>
      <c r="U399" s="59" t="str">
        <f>IFERROR(__xludf.DUMMYFUNCTION("IFERROR((COUNTIF(FILTER(Data!N:N, Data!B:B=A399),""MIDDLE"")) / (COUNTIF(Data!B:B, A399)),"""")"),"")</f>
        <v/>
      </c>
      <c r="V399" s="59" t="str">
        <f>IFERROR(__xludf.DUMMYFUNCTION("IFERROR((COUNTIF(FILTER(Data!N:N, Data!B:B=A399),""HIGH"")) / (COUNTIF(Data!B:B, A399)),"""")"),"")</f>
        <v/>
      </c>
      <c r="W399" s="59" t="str">
        <f>IFERROR(__xludf.DUMMYFUNCTION("IFERROR((COUNTIF(FILTER(Data!N:N, Data!B:B=A399),""TRAVERSE"")) / (COUNTIF(Data!B:B, A399)),"""")"),"")</f>
        <v/>
      </c>
      <c r="X399" s="59"/>
      <c r="Y399" s="45" t="str">
        <f t="shared" si="7"/>
        <v/>
      </c>
      <c r="Z399" s="45" t="str">
        <f t="shared" si="8"/>
        <v/>
      </c>
      <c r="AA399" s="16" t="str">
        <f t="shared" si="9"/>
        <v/>
      </c>
      <c r="AB399" s="16"/>
      <c r="AC399" s="16"/>
      <c r="AD399" s="16"/>
      <c r="AE399" s="16" t="str">
        <f t="shared" si="12"/>
        <v/>
      </c>
      <c r="AF399" s="16" t="str">
        <f t="shared" si="13"/>
        <v/>
      </c>
      <c r="AG399" s="44"/>
      <c r="AH399" s="44"/>
      <c r="AI399" s="44" t="str">
        <f>IFERROR(__xludf.DUMMYFUNCTION("TEXTJOIN("", "",TRUE, FILTER(Data!P:P, Data!B:B=A399))"),"")</f>
        <v/>
      </c>
      <c r="AM399" s="61"/>
      <c r="BC399" s="50"/>
    </row>
    <row r="400">
      <c r="A400" s="14"/>
      <c r="B400" s="55" t="str">
        <f>IFERROR(__xludf.DUMMYFUNCTION("IFERROR(ROUND(
(COUNTIF(FILTER(Data!O:O, Data!B:B=A400), ""Win"")
+ COUNTIF(FILTER(Data!O:O, Data!B:B=A400), {""Tie"",""Results""}))
/ (COUNTIF(Data!B:B, A400)),
1),"""")"),"")</f>
        <v/>
      </c>
      <c r="C400" s="45" t="str">
        <f>IFERROR((SUMIF(Data!B:B, A400, Data!H:H)
/ (COUNTIF(Data!B:B, A400)
)),"")</f>
        <v/>
      </c>
      <c r="D400" s="45" t="str">
        <f>IFERROR((SUMIF(Data!B:B, A400, Data!G:G)
/ (COUNTIF(Data!B:B, A400)
)),"")</f>
        <v/>
      </c>
      <c r="E400" s="45"/>
      <c r="F400" s="45" t="str">
        <f>IFERROR((SUMIF(Data!B:B, A400, Data!J:J)
/ (COUNTIF(Data!B:B, A400)
)),"")</f>
        <v/>
      </c>
      <c r="G400" s="56" t="str">
        <f>IF(A400="","",IFERROR((((((SUMIF(Data!B:B, A400, Data!H:H)+(SUMIF(Data!B:B, A400,Data!G:G)))/(SUMIF(Data!B:B, A400, Data!J:J)))))),0))</f>
        <v/>
      </c>
      <c r="H400" s="45"/>
      <c r="I400" s="45"/>
      <c r="J400" s="45"/>
      <c r="K400" s="45"/>
      <c r="L400" s="45" t="str">
        <f>IFERROR((SUMIF(Data!B:B, A400, Data!L:L)
/ (COUNTIF(Data!B:B, A400)
)),"")</f>
        <v/>
      </c>
      <c r="M400" s="45" t="str">
        <f>IFERROR((SUMIF(Data!B:B, A400, Data!K:K)
/ (COUNTIF(Data!B:B, A400)
)),"")</f>
        <v/>
      </c>
      <c r="N400" s="56"/>
      <c r="O400" s="56" t="str">
        <f>IF(A400="","",IFERROR((((((SUMIF(Data!B:B, A400, Data!H:H)+(SUMIF(Data!B:B, A400,Data!G:G)+(SUMIF(Data!B:B, A400,Data!L:L)+(SUMIF(Data!B:B, A400,Data!K:K)))))/(SUMIF(Data!B:B, A400, Data!M:M)+(SUMIF(Data!B:B, A400, Data!H:H)+(SUMIF(Data!B:B, A400,Data!G:G)+(SUMIF(Data!B:B, A400,Data!K:K)+(SUMIF(Data!B:B, A400,Data!L:L)))))))))),0))</f>
        <v/>
      </c>
      <c r="P400" s="57" t="str">
        <f>IFERROR(__xludf.DUMMYFUNCTION("IFERROR(((COUNTIF(FILTER(Data!N:N,Data!B:B=A400),""TRAVERSE"")*15)+(COUNTIF(FILTER(Data!N:N,Data!B:B=A400),""HIGH"")*10)+(COUNTIF(FILTER(Data!N:N,Data!B:B=A400),""MIDDLE"")*6)+(COUNTIF(FILTER(Data!N:N,Data!B:B=A400),""LOW"")*4)) / (COUNTIF(Data!B:B, A400)"&amp;"),"""")"),"")</f>
        <v/>
      </c>
      <c r="Q400" s="58"/>
      <c r="R400" s="58"/>
      <c r="S400" s="58" t="str">
        <f>IFERROR(__xludf.DUMMYFUNCTION("IFERROR((((COUNTIF(FILTER(Data!N:N,Data!B:B=A400),""TRAVERSE""))+(COUNTIF(FILTER(Data!N:N,Data!B:B=A400),""HIGH""))+(COUNTIF(FILTER(Data!N:N,Data!B:B=A400),""MIDDLE""))+(COUNTIF(FILTER(Data!N:N,Data!B:B=A400),""LOW"")))) / (((COUNTIF(Data!B:B, A400)))-(CO"&amp;"UNTIF(FILTER(Data!N:N,Data!B:B=A400),""NONE""))),IF(ISBLANK(A400),"""",0))"),"")</f>
        <v/>
      </c>
      <c r="T400" s="56" t="str">
        <f>IFERROR(__xludf.DUMMYFUNCTION("IFERROR((COUNTIF(FILTER(Data!N:N, Data!B:B=A400),""LOW"")) / (COUNTIF(Data!B:B, A400)),"""")"),"")</f>
        <v/>
      </c>
      <c r="U400" s="59" t="str">
        <f>IFERROR(__xludf.DUMMYFUNCTION("IFERROR((COUNTIF(FILTER(Data!N:N, Data!B:B=A400),""MIDDLE"")) / (COUNTIF(Data!B:B, A400)),"""")"),"")</f>
        <v/>
      </c>
      <c r="V400" s="59" t="str">
        <f>IFERROR(__xludf.DUMMYFUNCTION("IFERROR((COUNTIF(FILTER(Data!N:N, Data!B:B=A400),""HIGH"")) / (COUNTIF(Data!B:B, A400)),"""")"),"")</f>
        <v/>
      </c>
      <c r="W400" s="59" t="str">
        <f>IFERROR(__xludf.DUMMYFUNCTION("IFERROR((COUNTIF(FILTER(Data!N:N, Data!B:B=A400),""TRAVERSE"")) / (COUNTIF(Data!B:B, A400)),"""")"),"")</f>
        <v/>
      </c>
      <c r="X400" s="59"/>
      <c r="Y400" s="45" t="str">
        <f t="shared" si="7"/>
        <v/>
      </c>
      <c r="Z400" s="45" t="str">
        <f t="shared" si="8"/>
        <v/>
      </c>
      <c r="AA400" s="16" t="str">
        <f t="shared" si="9"/>
        <v/>
      </c>
      <c r="AB400" s="16"/>
      <c r="AC400" s="16"/>
      <c r="AD400" s="16"/>
      <c r="AE400" s="16" t="str">
        <f t="shared" si="12"/>
        <v/>
      </c>
      <c r="AF400" s="16" t="str">
        <f t="shared" si="13"/>
        <v/>
      </c>
      <c r="AG400" s="44"/>
      <c r="AH400" s="44"/>
      <c r="AI400" s="44" t="str">
        <f>IFERROR(__xludf.DUMMYFUNCTION("TEXTJOIN("", "",TRUE, FILTER(Data!P:P, Data!B:B=A400))"),"")</f>
        <v/>
      </c>
      <c r="AM400" s="61"/>
      <c r="BC400" s="50"/>
    </row>
    <row r="401">
      <c r="A401" s="14"/>
      <c r="B401" s="55" t="str">
        <f>IFERROR(__xludf.DUMMYFUNCTION("IFERROR(ROUND(
(COUNTIF(FILTER(Data!O:O, Data!B:B=A401), ""Win"")
+ COUNTIF(FILTER(Data!O:O, Data!B:B=A401), {""Tie"",""Results""}))
/ (COUNTIF(Data!B:B, A401)),
1),"""")"),"")</f>
        <v/>
      </c>
      <c r="C401" s="45" t="str">
        <f>IFERROR((SUMIF(Data!B:B, A401, Data!H:H)
/ (COUNTIF(Data!B:B, A401)
)),"")</f>
        <v/>
      </c>
      <c r="D401" s="45" t="str">
        <f>IFERROR((SUMIF(Data!B:B, A401, Data!G:G)
/ (COUNTIF(Data!B:B, A401)
)),"")</f>
        <v/>
      </c>
      <c r="E401" s="45"/>
      <c r="F401" s="45" t="str">
        <f>IFERROR((SUMIF(Data!B:B, A401, Data!J:J)
/ (COUNTIF(Data!B:B, A401)
)),"")</f>
        <v/>
      </c>
      <c r="G401" s="56" t="str">
        <f>IF(A401="","",IFERROR((((((SUMIF(Data!B:B, A401, Data!H:H)+(SUMIF(Data!B:B, A401,Data!G:G)))/(SUMIF(Data!B:B, A401, Data!J:J)))))),0))</f>
        <v/>
      </c>
      <c r="H401" s="45"/>
      <c r="I401" s="45"/>
      <c r="J401" s="45"/>
      <c r="K401" s="45"/>
      <c r="L401" s="45" t="str">
        <f>IFERROR((SUMIF(Data!B:B, A401, Data!L:L)
/ (COUNTIF(Data!B:B, A401)
)),"")</f>
        <v/>
      </c>
      <c r="M401" s="45" t="str">
        <f>IFERROR((SUMIF(Data!B:B, A401, Data!K:K)
/ (COUNTIF(Data!B:B, A401)
)),"")</f>
        <v/>
      </c>
      <c r="N401" s="56"/>
      <c r="O401" s="56" t="str">
        <f>IF(A401="","",IFERROR((((((SUMIF(Data!B:B, A401, Data!H:H)+(SUMIF(Data!B:B, A401,Data!G:G)+(SUMIF(Data!B:B, A401,Data!L:L)+(SUMIF(Data!B:B, A401,Data!K:K)))))/(SUMIF(Data!B:B, A401, Data!M:M)+(SUMIF(Data!B:B, A401, Data!H:H)+(SUMIF(Data!B:B, A401,Data!G:G)+(SUMIF(Data!B:B, A401,Data!K:K)+(SUMIF(Data!B:B, A401,Data!L:L)))))))))),0))</f>
        <v/>
      </c>
      <c r="P401" s="57" t="str">
        <f>IFERROR(__xludf.DUMMYFUNCTION("IFERROR(((COUNTIF(FILTER(Data!N:N,Data!B:B=A401),""TRAVERSE"")*15)+(COUNTIF(FILTER(Data!N:N,Data!B:B=A401),""HIGH"")*10)+(COUNTIF(FILTER(Data!N:N,Data!B:B=A401),""MIDDLE"")*6)+(COUNTIF(FILTER(Data!N:N,Data!B:B=A401),""LOW"")*4)) / (COUNTIF(Data!B:B, A401)"&amp;"),"""")"),"")</f>
        <v/>
      </c>
      <c r="Q401" s="58"/>
      <c r="R401" s="58"/>
      <c r="S401" s="58" t="str">
        <f>IFERROR(__xludf.DUMMYFUNCTION("IFERROR((((COUNTIF(FILTER(Data!N:N,Data!B:B=A401),""TRAVERSE""))+(COUNTIF(FILTER(Data!N:N,Data!B:B=A401),""HIGH""))+(COUNTIF(FILTER(Data!N:N,Data!B:B=A401),""MIDDLE""))+(COUNTIF(FILTER(Data!N:N,Data!B:B=A401),""LOW"")))) / (((COUNTIF(Data!B:B, A401)))-(CO"&amp;"UNTIF(FILTER(Data!N:N,Data!B:B=A401),""NONE""))),IF(ISBLANK(A401),"""",0))"),"")</f>
        <v/>
      </c>
      <c r="T401" s="56" t="str">
        <f>IFERROR(__xludf.DUMMYFUNCTION("IFERROR((COUNTIF(FILTER(Data!N:N, Data!B:B=A401),""LOW"")) / (COUNTIF(Data!B:B, A401)),"""")"),"")</f>
        <v/>
      </c>
      <c r="U401" s="59" t="str">
        <f>IFERROR(__xludf.DUMMYFUNCTION("IFERROR((COUNTIF(FILTER(Data!N:N, Data!B:B=A401),""MIDDLE"")) / (COUNTIF(Data!B:B, A401)),"""")"),"")</f>
        <v/>
      </c>
      <c r="V401" s="59" t="str">
        <f>IFERROR(__xludf.DUMMYFUNCTION("IFERROR((COUNTIF(FILTER(Data!N:N, Data!B:B=A401),""HIGH"")) / (COUNTIF(Data!B:B, A401)),"""")"),"")</f>
        <v/>
      </c>
      <c r="W401" s="59" t="str">
        <f>IFERROR(__xludf.DUMMYFUNCTION("IFERROR((COUNTIF(FILTER(Data!N:N, Data!B:B=A401),""TRAVERSE"")) / (COUNTIF(Data!B:B, A401)),"""")"),"")</f>
        <v/>
      </c>
      <c r="X401" s="59"/>
      <c r="Y401" s="45" t="str">
        <f t="shared" si="7"/>
        <v/>
      </c>
      <c r="Z401" s="45" t="str">
        <f t="shared" si="8"/>
        <v/>
      </c>
      <c r="AA401" s="16" t="str">
        <f t="shared" si="9"/>
        <v/>
      </c>
      <c r="AB401" s="16"/>
      <c r="AC401" s="16"/>
      <c r="AD401" s="16"/>
      <c r="AE401" s="16" t="str">
        <f t="shared" si="12"/>
        <v/>
      </c>
      <c r="AF401" s="16" t="str">
        <f t="shared" si="13"/>
        <v/>
      </c>
      <c r="AG401" s="44"/>
      <c r="AH401" s="44"/>
      <c r="AI401" s="44" t="str">
        <f>IFERROR(__xludf.DUMMYFUNCTION("TEXTJOIN("", "",TRUE, FILTER(Data!P:P, Data!B:B=A401))"),"")</f>
        <v/>
      </c>
      <c r="AM401" s="61"/>
      <c r="BC401" s="50"/>
    </row>
    <row r="402">
      <c r="A402" s="14"/>
      <c r="B402" s="55" t="str">
        <f>IFERROR(__xludf.DUMMYFUNCTION("IFERROR(ROUND(
(COUNTIF(FILTER(Data!O:O, Data!B:B=A402), ""Win"")
+ COUNTIF(FILTER(Data!O:O, Data!B:B=A402), {""Tie"",""Results""}))
/ (COUNTIF(Data!B:B, A402)),
1),"""")"),"")</f>
        <v/>
      </c>
      <c r="C402" s="45" t="str">
        <f>IFERROR((SUMIF(Data!B:B, A402, Data!H:H)
/ (COUNTIF(Data!B:B, A402)
)),"")</f>
        <v/>
      </c>
      <c r="D402" s="45" t="str">
        <f>IFERROR((SUMIF(Data!B:B, A402, Data!G:G)
/ (COUNTIF(Data!B:B, A402)
)),"")</f>
        <v/>
      </c>
      <c r="E402" s="45"/>
      <c r="F402" s="45" t="str">
        <f>IFERROR((SUMIF(Data!B:B, A402, Data!J:J)
/ (COUNTIF(Data!B:B, A402)
)),"")</f>
        <v/>
      </c>
      <c r="G402" s="56" t="str">
        <f>IF(A402="","",IFERROR((((((SUMIF(Data!B:B, A402, Data!H:H)+(SUMIF(Data!B:B, A402,Data!G:G)))/(SUMIF(Data!B:B, A402, Data!J:J)))))),0))</f>
        <v/>
      </c>
      <c r="H402" s="45"/>
      <c r="I402" s="45"/>
      <c r="J402" s="45"/>
      <c r="K402" s="45"/>
      <c r="L402" s="45" t="str">
        <f>IFERROR((SUMIF(Data!B:B, A402, Data!L:L)
/ (COUNTIF(Data!B:B, A402)
)),"")</f>
        <v/>
      </c>
      <c r="M402" s="45" t="str">
        <f>IFERROR((SUMIF(Data!B:B, A402, Data!K:K)
/ (COUNTIF(Data!B:B, A402)
)),"")</f>
        <v/>
      </c>
      <c r="N402" s="56"/>
      <c r="O402" s="56" t="str">
        <f>IF(A402="","",IFERROR((((((SUMIF(Data!B:B, A402, Data!H:H)+(SUMIF(Data!B:B, A402,Data!G:G)+(SUMIF(Data!B:B, A402,Data!L:L)+(SUMIF(Data!B:B, A402,Data!K:K)))))/(SUMIF(Data!B:B, A402, Data!M:M)+(SUMIF(Data!B:B, A402, Data!H:H)+(SUMIF(Data!B:B, A402,Data!G:G)+(SUMIF(Data!B:B, A402,Data!K:K)+(SUMIF(Data!B:B, A402,Data!L:L)))))))))),0))</f>
        <v/>
      </c>
      <c r="P402" s="57" t="str">
        <f>IFERROR(__xludf.DUMMYFUNCTION("IFERROR(((COUNTIF(FILTER(Data!N:N,Data!B:B=A402),""TRAVERSE"")*15)+(COUNTIF(FILTER(Data!N:N,Data!B:B=A402),""HIGH"")*10)+(COUNTIF(FILTER(Data!N:N,Data!B:B=A402),""MIDDLE"")*6)+(COUNTIF(FILTER(Data!N:N,Data!B:B=A402),""LOW"")*4)) / (COUNTIF(Data!B:B, A402)"&amp;"),"""")"),"")</f>
        <v/>
      </c>
      <c r="Q402" s="58"/>
      <c r="R402" s="58"/>
      <c r="S402" s="58" t="str">
        <f>IFERROR(__xludf.DUMMYFUNCTION("IFERROR((((COUNTIF(FILTER(Data!N:N,Data!B:B=A402),""TRAVERSE""))+(COUNTIF(FILTER(Data!N:N,Data!B:B=A402),""HIGH""))+(COUNTIF(FILTER(Data!N:N,Data!B:B=A402),""MIDDLE""))+(COUNTIF(FILTER(Data!N:N,Data!B:B=A402),""LOW"")))) / (((COUNTIF(Data!B:B, A402)))-(CO"&amp;"UNTIF(FILTER(Data!N:N,Data!B:B=A402),""NONE""))),IF(ISBLANK(A402),"""",0))"),"")</f>
        <v/>
      </c>
      <c r="T402" s="56" t="str">
        <f>IFERROR(__xludf.DUMMYFUNCTION("IFERROR((COUNTIF(FILTER(Data!N:N, Data!B:B=A402),""LOW"")) / (COUNTIF(Data!B:B, A402)),"""")"),"")</f>
        <v/>
      </c>
      <c r="U402" s="59" t="str">
        <f>IFERROR(__xludf.DUMMYFUNCTION("IFERROR((COUNTIF(FILTER(Data!N:N, Data!B:B=A402),""MIDDLE"")) / (COUNTIF(Data!B:B, A402)),"""")"),"")</f>
        <v/>
      </c>
      <c r="V402" s="59" t="str">
        <f>IFERROR(__xludf.DUMMYFUNCTION("IFERROR((COUNTIF(FILTER(Data!N:N, Data!B:B=A402),""HIGH"")) / (COUNTIF(Data!B:B, A402)),"""")"),"")</f>
        <v/>
      </c>
      <c r="W402" s="59" t="str">
        <f>IFERROR(__xludf.DUMMYFUNCTION("IFERROR((COUNTIF(FILTER(Data!N:N, Data!B:B=A402),""TRAVERSE"")) / (COUNTIF(Data!B:B, A402)),"""")"),"")</f>
        <v/>
      </c>
      <c r="X402" s="59"/>
      <c r="Y402" s="45" t="str">
        <f t="shared" si="7"/>
        <v/>
      </c>
      <c r="Z402" s="45" t="str">
        <f t="shared" si="8"/>
        <v/>
      </c>
      <c r="AA402" s="16" t="str">
        <f t="shared" si="9"/>
        <v/>
      </c>
      <c r="AB402" s="16"/>
      <c r="AC402" s="16"/>
      <c r="AD402" s="16"/>
      <c r="AE402" s="16" t="str">
        <f t="shared" si="12"/>
        <v/>
      </c>
      <c r="AF402" s="16" t="str">
        <f t="shared" si="13"/>
        <v/>
      </c>
      <c r="AG402" s="44"/>
      <c r="AH402" s="44"/>
      <c r="AI402" s="44" t="str">
        <f>IFERROR(__xludf.DUMMYFUNCTION("TEXTJOIN("", "",TRUE, FILTER(Data!P:P, Data!B:B=A402))"),"")</f>
        <v/>
      </c>
      <c r="AM402" s="61"/>
      <c r="BC402" s="50"/>
    </row>
    <row r="403">
      <c r="A403" s="14"/>
      <c r="B403" s="55" t="str">
        <f>IFERROR(__xludf.DUMMYFUNCTION("IFERROR(ROUND(
(COUNTIF(FILTER(Data!O:O, Data!B:B=A403), ""Win"")
+ COUNTIF(FILTER(Data!O:O, Data!B:B=A403), {""Tie"",""Results""}))
/ (COUNTIF(Data!B:B, A403)),
1),"""")"),"")</f>
        <v/>
      </c>
      <c r="C403" s="45" t="str">
        <f>IFERROR((SUMIF(Data!B:B, A403, Data!H:H)
/ (COUNTIF(Data!B:B, A403)
)),"")</f>
        <v/>
      </c>
      <c r="D403" s="45" t="str">
        <f>IFERROR((SUMIF(Data!B:B, A403, Data!G:G)
/ (COUNTIF(Data!B:B, A403)
)),"")</f>
        <v/>
      </c>
      <c r="E403" s="45"/>
      <c r="F403" s="45" t="str">
        <f>IFERROR((SUMIF(Data!B:B, A403, Data!J:J)
/ (COUNTIF(Data!B:B, A403)
)),"")</f>
        <v/>
      </c>
      <c r="G403" s="56" t="str">
        <f>IF(A403="","",IFERROR((((((SUMIF(Data!B:B, A403, Data!H:H)+(SUMIF(Data!B:B, A403,Data!G:G)))/(SUMIF(Data!B:B, A403, Data!J:J)))))),0))</f>
        <v/>
      </c>
      <c r="H403" s="45"/>
      <c r="I403" s="45"/>
      <c r="J403" s="45"/>
      <c r="K403" s="45"/>
      <c r="L403" s="45" t="str">
        <f>IFERROR((SUMIF(Data!B:B, A403, Data!L:L)
/ (COUNTIF(Data!B:B, A403)
)),"")</f>
        <v/>
      </c>
      <c r="M403" s="45" t="str">
        <f>IFERROR((SUMIF(Data!B:B, A403, Data!K:K)
/ (COUNTIF(Data!B:B, A403)
)),"")</f>
        <v/>
      </c>
      <c r="N403" s="56"/>
      <c r="O403" s="56" t="str">
        <f>IF(A403="","",IFERROR((((((SUMIF(Data!B:B, A403, Data!H:H)+(SUMIF(Data!B:B, A403,Data!G:G)+(SUMIF(Data!B:B, A403,Data!L:L)+(SUMIF(Data!B:B, A403,Data!K:K)))))/(SUMIF(Data!B:B, A403, Data!M:M)+(SUMIF(Data!B:B, A403, Data!H:H)+(SUMIF(Data!B:B, A403,Data!G:G)+(SUMIF(Data!B:B, A403,Data!K:K)+(SUMIF(Data!B:B, A403,Data!L:L)))))))))),0))</f>
        <v/>
      </c>
      <c r="P403" s="57" t="str">
        <f>IFERROR(__xludf.DUMMYFUNCTION("IFERROR(((COUNTIF(FILTER(Data!N:N,Data!B:B=A403),""TRAVERSE"")*15)+(COUNTIF(FILTER(Data!N:N,Data!B:B=A403),""HIGH"")*10)+(COUNTIF(FILTER(Data!N:N,Data!B:B=A403),""MIDDLE"")*6)+(COUNTIF(FILTER(Data!N:N,Data!B:B=A403),""LOW"")*4)) / (COUNTIF(Data!B:B, A403)"&amp;"),"""")"),"")</f>
        <v/>
      </c>
      <c r="Q403" s="58"/>
      <c r="R403" s="58"/>
      <c r="S403" s="58" t="str">
        <f>IFERROR(__xludf.DUMMYFUNCTION("IFERROR((((COUNTIF(FILTER(Data!N:N,Data!B:B=A403),""TRAVERSE""))+(COUNTIF(FILTER(Data!N:N,Data!B:B=A403),""HIGH""))+(COUNTIF(FILTER(Data!N:N,Data!B:B=A403),""MIDDLE""))+(COUNTIF(FILTER(Data!N:N,Data!B:B=A403),""LOW"")))) / (((COUNTIF(Data!B:B, A403)))-(CO"&amp;"UNTIF(FILTER(Data!N:N,Data!B:B=A403),""NONE""))),IF(ISBLANK(A403),"""",0))"),"")</f>
        <v/>
      </c>
      <c r="T403" s="56" t="str">
        <f>IFERROR(__xludf.DUMMYFUNCTION("IFERROR((COUNTIF(FILTER(Data!N:N, Data!B:B=A403),""LOW"")) / (COUNTIF(Data!B:B, A403)),"""")"),"")</f>
        <v/>
      </c>
      <c r="U403" s="59" t="str">
        <f>IFERROR(__xludf.DUMMYFUNCTION("IFERROR((COUNTIF(FILTER(Data!N:N, Data!B:B=A403),""MIDDLE"")) / (COUNTIF(Data!B:B, A403)),"""")"),"")</f>
        <v/>
      </c>
      <c r="V403" s="59" t="str">
        <f>IFERROR(__xludf.DUMMYFUNCTION("IFERROR((COUNTIF(FILTER(Data!N:N, Data!B:B=A403),""HIGH"")) / (COUNTIF(Data!B:B, A403)),"""")"),"")</f>
        <v/>
      </c>
      <c r="W403" s="59" t="str">
        <f>IFERROR(__xludf.DUMMYFUNCTION("IFERROR((COUNTIF(FILTER(Data!N:N, Data!B:B=A403),""TRAVERSE"")) / (COUNTIF(Data!B:B, A403)),"""")"),"")</f>
        <v/>
      </c>
      <c r="X403" s="59"/>
      <c r="Y403" s="45" t="str">
        <f t="shared" si="7"/>
        <v/>
      </c>
      <c r="Z403" s="45" t="str">
        <f t="shared" si="8"/>
        <v/>
      </c>
      <c r="AA403" s="16" t="str">
        <f t="shared" si="9"/>
        <v/>
      </c>
      <c r="AB403" s="16"/>
      <c r="AC403" s="16"/>
      <c r="AD403" s="16"/>
      <c r="AE403" s="16" t="str">
        <f t="shared" si="12"/>
        <v/>
      </c>
      <c r="AF403" s="16" t="str">
        <f t="shared" si="13"/>
        <v/>
      </c>
      <c r="AG403" s="44"/>
      <c r="AH403" s="44"/>
      <c r="AI403" s="44" t="str">
        <f>IFERROR(__xludf.DUMMYFUNCTION("TEXTJOIN("", "",TRUE, FILTER(Data!P:P, Data!B:B=A403))"),"")</f>
        <v/>
      </c>
      <c r="AM403" s="61"/>
      <c r="BC403" s="50"/>
    </row>
    <row r="404">
      <c r="A404" s="14"/>
      <c r="B404" s="55" t="str">
        <f>IFERROR(__xludf.DUMMYFUNCTION("IFERROR(ROUND(
(COUNTIF(FILTER(Data!O:O, Data!B:B=A404), ""Win"")
+ COUNTIF(FILTER(Data!O:O, Data!B:B=A404), {""Tie"",""Results""}))
/ (COUNTIF(Data!B:B, A404)),
1),"""")"),"")</f>
        <v/>
      </c>
      <c r="C404" s="45" t="str">
        <f>IFERROR((SUMIF(Data!B:B, A404, Data!H:H)
/ (COUNTIF(Data!B:B, A404)
)),"")</f>
        <v/>
      </c>
      <c r="D404" s="45" t="str">
        <f>IFERROR((SUMIF(Data!B:B, A404, Data!G:G)
/ (COUNTIF(Data!B:B, A404)
)),"")</f>
        <v/>
      </c>
      <c r="E404" s="45"/>
      <c r="F404" s="45" t="str">
        <f>IFERROR((SUMIF(Data!B:B, A404, Data!J:J)
/ (COUNTIF(Data!B:B, A404)
)),"")</f>
        <v/>
      </c>
      <c r="G404" s="56" t="str">
        <f>IF(A404="","",IFERROR((((((SUMIF(Data!B:B, A404, Data!H:H)+(SUMIF(Data!B:B, A404,Data!G:G)))/(SUMIF(Data!B:B, A404, Data!J:J)))))),0))</f>
        <v/>
      </c>
      <c r="H404" s="45"/>
      <c r="I404" s="45"/>
      <c r="J404" s="45"/>
      <c r="K404" s="45"/>
      <c r="L404" s="45" t="str">
        <f>IFERROR((SUMIF(Data!B:B, A404, Data!L:L)
/ (COUNTIF(Data!B:B, A404)
)),"")</f>
        <v/>
      </c>
      <c r="M404" s="45" t="str">
        <f>IFERROR((SUMIF(Data!B:B, A404, Data!K:K)
/ (COUNTIF(Data!B:B, A404)
)),"")</f>
        <v/>
      </c>
      <c r="N404" s="56"/>
      <c r="O404" s="56" t="str">
        <f>IF(A404="","",IFERROR((((((SUMIF(Data!B:B, A404, Data!H:H)+(SUMIF(Data!B:B, A404,Data!G:G)+(SUMIF(Data!B:B, A404,Data!L:L)+(SUMIF(Data!B:B, A404,Data!K:K)))))/(SUMIF(Data!B:B, A404, Data!M:M)+(SUMIF(Data!B:B, A404, Data!H:H)+(SUMIF(Data!B:B, A404,Data!G:G)+(SUMIF(Data!B:B, A404,Data!K:K)+(SUMIF(Data!B:B, A404,Data!L:L)))))))))),0))</f>
        <v/>
      </c>
      <c r="P404" s="57" t="str">
        <f>IFERROR(__xludf.DUMMYFUNCTION("IFERROR(((COUNTIF(FILTER(Data!N:N,Data!B:B=A404),""TRAVERSE"")*15)+(COUNTIF(FILTER(Data!N:N,Data!B:B=A404),""HIGH"")*10)+(COUNTIF(FILTER(Data!N:N,Data!B:B=A404),""MIDDLE"")*6)+(COUNTIF(FILTER(Data!N:N,Data!B:B=A404),""LOW"")*4)) / (COUNTIF(Data!B:B, A404)"&amp;"),"""")"),"")</f>
        <v/>
      </c>
      <c r="Q404" s="58"/>
      <c r="R404" s="58"/>
      <c r="S404" s="58" t="str">
        <f>IFERROR(__xludf.DUMMYFUNCTION("IFERROR((((COUNTIF(FILTER(Data!N:N,Data!B:B=A404),""TRAVERSE""))+(COUNTIF(FILTER(Data!N:N,Data!B:B=A404),""HIGH""))+(COUNTIF(FILTER(Data!N:N,Data!B:B=A404),""MIDDLE""))+(COUNTIF(FILTER(Data!N:N,Data!B:B=A404),""LOW"")))) / (((COUNTIF(Data!B:B, A404)))-(CO"&amp;"UNTIF(FILTER(Data!N:N,Data!B:B=A404),""NONE""))),IF(ISBLANK(A404),"""",0))"),"")</f>
        <v/>
      </c>
      <c r="T404" s="56" t="str">
        <f>IFERROR(__xludf.DUMMYFUNCTION("IFERROR((COUNTIF(FILTER(Data!N:N, Data!B:B=A404),""LOW"")) / (COUNTIF(Data!B:B, A404)),"""")"),"")</f>
        <v/>
      </c>
      <c r="U404" s="59" t="str">
        <f>IFERROR(__xludf.DUMMYFUNCTION("IFERROR((COUNTIF(FILTER(Data!N:N, Data!B:B=A404),""MIDDLE"")) / (COUNTIF(Data!B:B, A404)),"""")"),"")</f>
        <v/>
      </c>
      <c r="V404" s="59" t="str">
        <f>IFERROR(__xludf.DUMMYFUNCTION("IFERROR((COUNTIF(FILTER(Data!N:N, Data!B:B=A404),""HIGH"")) / (COUNTIF(Data!B:B, A404)),"""")"),"")</f>
        <v/>
      </c>
      <c r="W404" s="59" t="str">
        <f>IFERROR(__xludf.DUMMYFUNCTION("IFERROR((COUNTIF(FILTER(Data!N:N, Data!B:B=A404),""TRAVERSE"")) / (COUNTIF(Data!B:B, A404)),"""")"),"")</f>
        <v/>
      </c>
      <c r="X404" s="59"/>
      <c r="Y404" s="45" t="str">
        <f t="shared" si="7"/>
        <v/>
      </c>
      <c r="Z404" s="45" t="str">
        <f t="shared" si="8"/>
        <v/>
      </c>
      <c r="AA404" s="16" t="str">
        <f t="shared" si="9"/>
        <v/>
      </c>
      <c r="AB404" s="16"/>
      <c r="AC404" s="16"/>
      <c r="AD404" s="16"/>
      <c r="AE404" s="16" t="str">
        <f t="shared" si="12"/>
        <v/>
      </c>
      <c r="AF404" s="16" t="str">
        <f t="shared" si="13"/>
        <v/>
      </c>
      <c r="AG404" s="44"/>
      <c r="AH404" s="44"/>
      <c r="AI404" s="44" t="str">
        <f>IFERROR(__xludf.DUMMYFUNCTION("TEXTJOIN("", "",TRUE, FILTER(Data!P:P, Data!B:B=A404))"),"")</f>
        <v/>
      </c>
      <c r="AM404" s="61"/>
      <c r="BC404" s="50"/>
    </row>
    <row r="405">
      <c r="A405" s="14"/>
      <c r="B405" s="55" t="str">
        <f>IFERROR(__xludf.DUMMYFUNCTION("IFERROR(ROUND(
(COUNTIF(FILTER(Data!O:O, Data!B:B=A405), ""Win"")
+ COUNTIF(FILTER(Data!O:O, Data!B:B=A405), {""Tie"",""Results""}))
/ (COUNTIF(Data!B:B, A405)),
1),"""")"),"")</f>
        <v/>
      </c>
      <c r="C405" s="45" t="str">
        <f>IFERROR((SUMIF(Data!B:B, A405, Data!H:H)
/ (COUNTIF(Data!B:B, A405)
)),"")</f>
        <v/>
      </c>
      <c r="D405" s="45" t="str">
        <f>IFERROR((SUMIF(Data!B:B, A405, Data!G:G)
/ (COUNTIF(Data!B:B, A405)
)),"")</f>
        <v/>
      </c>
      <c r="E405" s="45"/>
      <c r="F405" s="45" t="str">
        <f>IFERROR((SUMIF(Data!B:B, A405, Data!J:J)
/ (COUNTIF(Data!B:B, A405)
)),"")</f>
        <v/>
      </c>
      <c r="G405" s="56" t="str">
        <f>IF(A405="","",IFERROR((((((SUMIF(Data!B:B, A405, Data!H:H)+(SUMIF(Data!B:B, A405,Data!G:G)))/(SUMIF(Data!B:B, A405, Data!J:J)))))),0))</f>
        <v/>
      </c>
      <c r="H405" s="45"/>
      <c r="I405" s="45"/>
      <c r="J405" s="45"/>
      <c r="K405" s="45"/>
      <c r="L405" s="45" t="str">
        <f>IFERROR((SUMIF(Data!B:B, A405, Data!L:L)
/ (COUNTIF(Data!B:B, A405)
)),"")</f>
        <v/>
      </c>
      <c r="M405" s="45" t="str">
        <f>IFERROR((SUMIF(Data!B:B, A405, Data!K:K)
/ (COUNTIF(Data!B:B, A405)
)),"")</f>
        <v/>
      </c>
      <c r="N405" s="56"/>
      <c r="O405" s="56" t="str">
        <f>IF(A405="","",IFERROR((((((SUMIF(Data!B:B, A405, Data!H:H)+(SUMIF(Data!B:B, A405,Data!G:G)+(SUMIF(Data!B:B, A405,Data!L:L)+(SUMIF(Data!B:B, A405,Data!K:K)))))/(SUMIF(Data!B:B, A405, Data!M:M)+(SUMIF(Data!B:B, A405, Data!H:H)+(SUMIF(Data!B:B, A405,Data!G:G)+(SUMIF(Data!B:B, A405,Data!K:K)+(SUMIF(Data!B:B, A405,Data!L:L)))))))))),0))</f>
        <v/>
      </c>
      <c r="P405" s="57" t="str">
        <f>IFERROR(__xludf.DUMMYFUNCTION("IFERROR(((COUNTIF(FILTER(Data!N:N,Data!B:B=A405),""TRAVERSE"")*15)+(COUNTIF(FILTER(Data!N:N,Data!B:B=A405),""HIGH"")*10)+(COUNTIF(FILTER(Data!N:N,Data!B:B=A405),""MIDDLE"")*6)+(COUNTIF(FILTER(Data!N:N,Data!B:B=A405),""LOW"")*4)) / (COUNTIF(Data!B:B, A405)"&amp;"),"""")"),"")</f>
        <v/>
      </c>
      <c r="Q405" s="58"/>
      <c r="R405" s="58"/>
      <c r="S405" s="58" t="str">
        <f>IFERROR(__xludf.DUMMYFUNCTION("IFERROR((((COUNTIF(FILTER(Data!N:N,Data!B:B=A405),""TRAVERSE""))+(COUNTIF(FILTER(Data!N:N,Data!B:B=A405),""HIGH""))+(COUNTIF(FILTER(Data!N:N,Data!B:B=A405),""MIDDLE""))+(COUNTIF(FILTER(Data!N:N,Data!B:B=A405),""LOW"")))) / (((COUNTIF(Data!B:B, A405)))-(CO"&amp;"UNTIF(FILTER(Data!N:N,Data!B:B=A405),""NONE""))),IF(ISBLANK(A405),"""",0))"),"")</f>
        <v/>
      </c>
      <c r="T405" s="56" t="str">
        <f>IFERROR(__xludf.DUMMYFUNCTION("IFERROR((COUNTIF(FILTER(Data!N:N, Data!B:B=A405),""LOW"")) / (COUNTIF(Data!B:B, A405)),"""")"),"")</f>
        <v/>
      </c>
      <c r="U405" s="59" t="str">
        <f>IFERROR(__xludf.DUMMYFUNCTION("IFERROR((COUNTIF(FILTER(Data!N:N, Data!B:B=A405),""MIDDLE"")) / (COUNTIF(Data!B:B, A405)),"""")"),"")</f>
        <v/>
      </c>
      <c r="V405" s="59" t="str">
        <f>IFERROR(__xludf.DUMMYFUNCTION("IFERROR((COUNTIF(FILTER(Data!N:N, Data!B:B=A405),""HIGH"")) / (COUNTIF(Data!B:B, A405)),"""")"),"")</f>
        <v/>
      </c>
      <c r="W405" s="59" t="str">
        <f>IFERROR(__xludf.DUMMYFUNCTION("IFERROR((COUNTIF(FILTER(Data!N:N, Data!B:B=A405),""TRAVERSE"")) / (COUNTIF(Data!B:B, A405)),"""")"),"")</f>
        <v/>
      </c>
      <c r="X405" s="59"/>
      <c r="Y405" s="45" t="str">
        <f t="shared" si="7"/>
        <v/>
      </c>
      <c r="Z405" s="45" t="str">
        <f t="shared" si="8"/>
        <v/>
      </c>
      <c r="AA405" s="16" t="str">
        <f t="shared" si="9"/>
        <v/>
      </c>
      <c r="AB405" s="16"/>
      <c r="AC405" s="16"/>
      <c r="AD405" s="16"/>
      <c r="AE405" s="16" t="str">
        <f t="shared" si="12"/>
        <v/>
      </c>
      <c r="AF405" s="16" t="str">
        <f t="shared" si="13"/>
        <v/>
      </c>
      <c r="AG405" s="44"/>
      <c r="AH405" s="44"/>
      <c r="AI405" s="44" t="str">
        <f>IFERROR(__xludf.DUMMYFUNCTION("TEXTJOIN("", "",TRUE, FILTER(Data!P:P, Data!B:B=A405))"),"")</f>
        <v/>
      </c>
      <c r="AM405" s="61"/>
      <c r="BC405" s="50"/>
    </row>
    <row r="406">
      <c r="A406" s="14"/>
      <c r="B406" s="55" t="str">
        <f>IFERROR(__xludf.DUMMYFUNCTION("IFERROR(ROUND(
(COUNTIF(FILTER(Data!O:O, Data!B:B=A406), ""Win"")
+ COUNTIF(FILTER(Data!O:O, Data!B:B=A406), {""Tie"",""Results""}))
/ (COUNTIF(Data!B:B, A406)),
1),"""")"),"")</f>
        <v/>
      </c>
      <c r="C406" s="45" t="str">
        <f>IFERROR((SUMIF(Data!B:B, A406, Data!H:H)
/ (COUNTIF(Data!B:B, A406)
)),"")</f>
        <v/>
      </c>
      <c r="D406" s="45" t="str">
        <f>IFERROR((SUMIF(Data!B:B, A406, Data!G:G)
/ (COUNTIF(Data!B:B, A406)
)),"")</f>
        <v/>
      </c>
      <c r="E406" s="45"/>
      <c r="F406" s="45" t="str">
        <f>IFERROR((SUMIF(Data!B:B, A406, Data!J:J)
/ (COUNTIF(Data!B:B, A406)
)),"")</f>
        <v/>
      </c>
      <c r="G406" s="56" t="str">
        <f>IF(A406="","",IFERROR((((((SUMIF(Data!B:B, A406, Data!H:H)+(SUMIF(Data!B:B, A406,Data!G:G)))/(SUMIF(Data!B:B, A406, Data!J:J)))))),0))</f>
        <v/>
      </c>
      <c r="H406" s="45"/>
      <c r="I406" s="45"/>
      <c r="J406" s="45"/>
      <c r="K406" s="45"/>
      <c r="L406" s="45" t="str">
        <f>IFERROR((SUMIF(Data!B:B, A406, Data!L:L)
/ (COUNTIF(Data!B:B, A406)
)),"")</f>
        <v/>
      </c>
      <c r="M406" s="45" t="str">
        <f>IFERROR((SUMIF(Data!B:B, A406, Data!K:K)
/ (COUNTIF(Data!B:B, A406)
)),"")</f>
        <v/>
      </c>
      <c r="N406" s="56"/>
      <c r="O406" s="56" t="str">
        <f>IF(A406="","",IFERROR((((((SUMIF(Data!B:B, A406, Data!H:H)+(SUMIF(Data!B:B, A406,Data!G:G)+(SUMIF(Data!B:B, A406,Data!L:L)+(SUMIF(Data!B:B, A406,Data!K:K)))))/(SUMIF(Data!B:B, A406, Data!M:M)+(SUMIF(Data!B:B, A406, Data!H:H)+(SUMIF(Data!B:B, A406,Data!G:G)+(SUMIF(Data!B:B, A406,Data!K:K)+(SUMIF(Data!B:B, A406,Data!L:L)))))))))),0))</f>
        <v/>
      </c>
      <c r="P406" s="57" t="str">
        <f>IFERROR(__xludf.DUMMYFUNCTION("IFERROR(((COUNTIF(FILTER(Data!N:N,Data!B:B=A406),""TRAVERSE"")*15)+(COUNTIF(FILTER(Data!N:N,Data!B:B=A406),""HIGH"")*10)+(COUNTIF(FILTER(Data!N:N,Data!B:B=A406),""MIDDLE"")*6)+(COUNTIF(FILTER(Data!N:N,Data!B:B=A406),""LOW"")*4)) / (COUNTIF(Data!B:B, A406)"&amp;"),"""")"),"")</f>
        <v/>
      </c>
      <c r="Q406" s="58"/>
      <c r="R406" s="58"/>
      <c r="S406" s="58" t="str">
        <f>IFERROR(__xludf.DUMMYFUNCTION("IFERROR((((COUNTIF(FILTER(Data!N:N,Data!B:B=A406),""TRAVERSE""))+(COUNTIF(FILTER(Data!N:N,Data!B:B=A406),""HIGH""))+(COUNTIF(FILTER(Data!N:N,Data!B:B=A406),""MIDDLE""))+(COUNTIF(FILTER(Data!N:N,Data!B:B=A406),""LOW"")))) / (((COUNTIF(Data!B:B, A406)))-(CO"&amp;"UNTIF(FILTER(Data!N:N,Data!B:B=A406),""NONE""))),IF(ISBLANK(A406),"""",0))"),"")</f>
        <v/>
      </c>
      <c r="T406" s="56" t="str">
        <f>IFERROR(__xludf.DUMMYFUNCTION("IFERROR((COUNTIF(FILTER(Data!N:N, Data!B:B=A406),""LOW"")) / (COUNTIF(Data!B:B, A406)),"""")"),"")</f>
        <v/>
      </c>
      <c r="U406" s="59" t="str">
        <f>IFERROR(__xludf.DUMMYFUNCTION("IFERROR((COUNTIF(FILTER(Data!N:N, Data!B:B=A406),""MIDDLE"")) / (COUNTIF(Data!B:B, A406)),"""")"),"")</f>
        <v/>
      </c>
      <c r="V406" s="59" t="str">
        <f>IFERROR(__xludf.DUMMYFUNCTION("IFERROR((COUNTIF(FILTER(Data!N:N, Data!B:B=A406),""HIGH"")) / (COUNTIF(Data!B:B, A406)),"""")"),"")</f>
        <v/>
      </c>
      <c r="W406" s="59" t="str">
        <f>IFERROR(__xludf.DUMMYFUNCTION("IFERROR((COUNTIF(FILTER(Data!N:N, Data!B:B=A406),""TRAVERSE"")) / (COUNTIF(Data!B:B, A406)),"""")"),"")</f>
        <v/>
      </c>
      <c r="X406" s="59"/>
      <c r="Y406" s="45" t="str">
        <f t="shared" si="7"/>
        <v/>
      </c>
      <c r="Z406" s="45" t="str">
        <f t="shared" si="8"/>
        <v/>
      </c>
      <c r="AA406" s="16" t="str">
        <f t="shared" si="9"/>
        <v/>
      </c>
      <c r="AB406" s="16"/>
      <c r="AC406" s="16"/>
      <c r="AD406" s="16"/>
      <c r="AE406" s="16" t="str">
        <f t="shared" si="12"/>
        <v/>
      </c>
      <c r="AF406" s="16" t="str">
        <f t="shared" si="13"/>
        <v/>
      </c>
      <c r="AG406" s="44"/>
      <c r="AH406" s="44"/>
      <c r="AI406" s="44" t="str">
        <f>IFERROR(__xludf.DUMMYFUNCTION("TEXTJOIN("", "",TRUE, FILTER(Data!P:P, Data!B:B=A406))"),"")</f>
        <v/>
      </c>
      <c r="AM406" s="61"/>
      <c r="BC406" s="50"/>
    </row>
    <row r="407">
      <c r="A407" s="14"/>
      <c r="B407" s="55" t="str">
        <f>IFERROR(__xludf.DUMMYFUNCTION("IFERROR(ROUND(
(COUNTIF(FILTER(Data!O:O, Data!B:B=A407), ""Win"")
+ COUNTIF(FILTER(Data!O:O, Data!B:B=A407), {""Tie"",""Results""}))
/ (COUNTIF(Data!B:B, A407)),
1),"""")"),"")</f>
        <v/>
      </c>
      <c r="C407" s="45" t="str">
        <f>IFERROR((SUMIF(Data!B:B, A407, Data!H:H)
/ (COUNTIF(Data!B:B, A407)
)),"")</f>
        <v/>
      </c>
      <c r="D407" s="45" t="str">
        <f>IFERROR((SUMIF(Data!B:B, A407, Data!G:G)
/ (COUNTIF(Data!B:B, A407)
)),"")</f>
        <v/>
      </c>
      <c r="E407" s="45"/>
      <c r="F407" s="45" t="str">
        <f>IFERROR((SUMIF(Data!B:B, A407, Data!J:J)
/ (COUNTIF(Data!B:B, A407)
)),"")</f>
        <v/>
      </c>
      <c r="G407" s="56" t="str">
        <f>IF(A407="","",IFERROR((((((SUMIF(Data!B:B, A407, Data!H:H)+(SUMIF(Data!B:B, A407,Data!G:G)))/(SUMIF(Data!B:B, A407, Data!J:J)))))),0))</f>
        <v/>
      </c>
      <c r="H407" s="45"/>
      <c r="I407" s="45"/>
      <c r="J407" s="45"/>
      <c r="K407" s="45"/>
      <c r="L407" s="45" t="str">
        <f>IFERROR((SUMIF(Data!B:B, A407, Data!L:L)
/ (COUNTIF(Data!B:B, A407)
)),"")</f>
        <v/>
      </c>
      <c r="M407" s="45" t="str">
        <f>IFERROR((SUMIF(Data!B:B, A407, Data!K:K)
/ (COUNTIF(Data!B:B, A407)
)),"")</f>
        <v/>
      </c>
      <c r="N407" s="56"/>
      <c r="O407" s="56" t="str">
        <f>IF(A407="","",IFERROR((((((SUMIF(Data!B:B, A407, Data!H:H)+(SUMIF(Data!B:B, A407,Data!G:G)+(SUMIF(Data!B:B, A407,Data!L:L)+(SUMIF(Data!B:B, A407,Data!K:K)))))/(SUMIF(Data!B:B, A407, Data!M:M)+(SUMIF(Data!B:B, A407, Data!H:H)+(SUMIF(Data!B:B, A407,Data!G:G)+(SUMIF(Data!B:B, A407,Data!K:K)+(SUMIF(Data!B:B, A407,Data!L:L)))))))))),0))</f>
        <v/>
      </c>
      <c r="P407" s="57" t="str">
        <f>IFERROR(__xludf.DUMMYFUNCTION("IFERROR(((COUNTIF(FILTER(Data!N:N,Data!B:B=A407),""TRAVERSE"")*15)+(COUNTIF(FILTER(Data!N:N,Data!B:B=A407),""HIGH"")*10)+(COUNTIF(FILTER(Data!N:N,Data!B:B=A407),""MIDDLE"")*6)+(COUNTIF(FILTER(Data!N:N,Data!B:B=A407),""LOW"")*4)) / (COUNTIF(Data!B:B, A407)"&amp;"),"""")"),"")</f>
        <v/>
      </c>
      <c r="Q407" s="58"/>
      <c r="R407" s="58"/>
      <c r="S407" s="58" t="str">
        <f>IFERROR(__xludf.DUMMYFUNCTION("IFERROR((((COUNTIF(FILTER(Data!N:N,Data!B:B=A407),""TRAVERSE""))+(COUNTIF(FILTER(Data!N:N,Data!B:B=A407),""HIGH""))+(COUNTIF(FILTER(Data!N:N,Data!B:B=A407),""MIDDLE""))+(COUNTIF(FILTER(Data!N:N,Data!B:B=A407),""LOW"")))) / (((COUNTIF(Data!B:B, A407)))-(CO"&amp;"UNTIF(FILTER(Data!N:N,Data!B:B=A407),""NONE""))),IF(ISBLANK(A407),"""",0))"),"")</f>
        <v/>
      </c>
      <c r="T407" s="56" t="str">
        <f>IFERROR(__xludf.DUMMYFUNCTION("IFERROR((COUNTIF(FILTER(Data!N:N, Data!B:B=A407),""LOW"")) / (COUNTIF(Data!B:B, A407)),"""")"),"")</f>
        <v/>
      </c>
      <c r="U407" s="59" t="str">
        <f>IFERROR(__xludf.DUMMYFUNCTION("IFERROR((COUNTIF(FILTER(Data!N:N, Data!B:B=A407),""MIDDLE"")) / (COUNTIF(Data!B:B, A407)),"""")"),"")</f>
        <v/>
      </c>
      <c r="V407" s="59" t="str">
        <f>IFERROR(__xludf.DUMMYFUNCTION("IFERROR((COUNTIF(FILTER(Data!N:N, Data!B:B=A407),""HIGH"")) / (COUNTIF(Data!B:B, A407)),"""")"),"")</f>
        <v/>
      </c>
      <c r="W407" s="59" t="str">
        <f>IFERROR(__xludf.DUMMYFUNCTION("IFERROR((COUNTIF(FILTER(Data!N:N, Data!B:B=A407),""TRAVERSE"")) / (COUNTIF(Data!B:B, A407)),"""")"),"")</f>
        <v/>
      </c>
      <c r="X407" s="59"/>
      <c r="Y407" s="45" t="str">
        <f t="shared" si="7"/>
        <v/>
      </c>
      <c r="Z407" s="45" t="str">
        <f t="shared" si="8"/>
        <v/>
      </c>
      <c r="AA407" s="16" t="str">
        <f t="shared" si="9"/>
        <v/>
      </c>
      <c r="AB407" s="16"/>
      <c r="AC407" s="16"/>
      <c r="AD407" s="16"/>
      <c r="AE407" s="16" t="str">
        <f t="shared" si="12"/>
        <v/>
      </c>
      <c r="AF407" s="16" t="str">
        <f t="shared" si="13"/>
        <v/>
      </c>
      <c r="AG407" s="44"/>
      <c r="AH407" s="44"/>
      <c r="AI407" s="44" t="str">
        <f>IFERROR(__xludf.DUMMYFUNCTION("TEXTJOIN("", "",TRUE, FILTER(Data!P:P, Data!B:B=A407))"),"")</f>
        <v/>
      </c>
      <c r="AM407" s="61"/>
      <c r="BC407" s="50"/>
    </row>
    <row r="408">
      <c r="A408" s="14"/>
      <c r="B408" s="55" t="str">
        <f>IFERROR(__xludf.DUMMYFUNCTION("IFERROR(ROUND(
(COUNTIF(FILTER(Data!O:O, Data!B:B=A408), ""Win"")
+ COUNTIF(FILTER(Data!O:O, Data!B:B=A408), {""Tie"",""Results""}))
/ (COUNTIF(Data!B:B, A408)),
1),"""")"),"")</f>
        <v/>
      </c>
      <c r="C408" s="45" t="str">
        <f>IFERROR((SUMIF(Data!B:B, A408, Data!H:H)
/ (COUNTIF(Data!B:B, A408)
)),"")</f>
        <v/>
      </c>
      <c r="D408" s="45" t="str">
        <f>IFERROR((SUMIF(Data!B:B, A408, Data!G:G)
/ (COUNTIF(Data!B:B, A408)
)),"")</f>
        <v/>
      </c>
      <c r="E408" s="45"/>
      <c r="F408" s="45" t="str">
        <f>IFERROR((SUMIF(Data!B:B, A408, Data!J:J)
/ (COUNTIF(Data!B:B, A408)
)),"")</f>
        <v/>
      </c>
      <c r="G408" s="56" t="str">
        <f>IF(A408="","",IFERROR((((((SUMIF(Data!B:B, A408, Data!H:H)+(SUMIF(Data!B:B, A408,Data!G:G)))/(SUMIF(Data!B:B, A408, Data!J:J)))))),0))</f>
        <v/>
      </c>
      <c r="H408" s="45"/>
      <c r="I408" s="45"/>
      <c r="J408" s="45"/>
      <c r="K408" s="45"/>
      <c r="L408" s="45" t="str">
        <f>IFERROR((SUMIF(Data!B:B, A408, Data!L:L)
/ (COUNTIF(Data!B:B, A408)
)),"")</f>
        <v/>
      </c>
      <c r="M408" s="45" t="str">
        <f>IFERROR((SUMIF(Data!B:B, A408, Data!K:K)
/ (COUNTIF(Data!B:B, A408)
)),"")</f>
        <v/>
      </c>
      <c r="N408" s="56"/>
      <c r="O408" s="56" t="str">
        <f>IF(A408="","",IFERROR((((((SUMIF(Data!B:B, A408, Data!H:H)+(SUMIF(Data!B:B, A408,Data!G:G)+(SUMIF(Data!B:B, A408,Data!L:L)+(SUMIF(Data!B:B, A408,Data!K:K)))))/(SUMIF(Data!B:B, A408, Data!M:M)+(SUMIF(Data!B:B, A408, Data!H:H)+(SUMIF(Data!B:B, A408,Data!G:G)+(SUMIF(Data!B:B, A408,Data!K:K)+(SUMIF(Data!B:B, A408,Data!L:L)))))))))),0))</f>
        <v/>
      </c>
      <c r="P408" s="57" t="str">
        <f>IFERROR(__xludf.DUMMYFUNCTION("IFERROR(((COUNTIF(FILTER(Data!N:N,Data!B:B=A408),""TRAVERSE"")*15)+(COUNTIF(FILTER(Data!N:N,Data!B:B=A408),""HIGH"")*10)+(COUNTIF(FILTER(Data!N:N,Data!B:B=A408),""MIDDLE"")*6)+(COUNTIF(FILTER(Data!N:N,Data!B:B=A408),""LOW"")*4)) / (COUNTIF(Data!B:B, A408)"&amp;"),"""")"),"")</f>
        <v/>
      </c>
      <c r="Q408" s="58"/>
      <c r="R408" s="58"/>
      <c r="S408" s="58" t="str">
        <f>IFERROR(__xludf.DUMMYFUNCTION("IFERROR((((COUNTIF(FILTER(Data!N:N,Data!B:B=A408),""TRAVERSE""))+(COUNTIF(FILTER(Data!N:N,Data!B:B=A408),""HIGH""))+(COUNTIF(FILTER(Data!N:N,Data!B:B=A408),""MIDDLE""))+(COUNTIF(FILTER(Data!N:N,Data!B:B=A408),""LOW"")))) / (((COUNTIF(Data!B:B, A408)))-(CO"&amp;"UNTIF(FILTER(Data!N:N,Data!B:B=A408),""NONE""))),IF(ISBLANK(A408),"""",0))"),"")</f>
        <v/>
      </c>
      <c r="T408" s="56" t="str">
        <f>IFERROR(__xludf.DUMMYFUNCTION("IFERROR((COUNTIF(FILTER(Data!N:N, Data!B:B=A408),""LOW"")) / (COUNTIF(Data!B:B, A408)),"""")"),"")</f>
        <v/>
      </c>
      <c r="U408" s="59" t="str">
        <f>IFERROR(__xludf.DUMMYFUNCTION("IFERROR((COUNTIF(FILTER(Data!N:N, Data!B:B=A408),""MIDDLE"")) / (COUNTIF(Data!B:B, A408)),"""")"),"")</f>
        <v/>
      </c>
      <c r="V408" s="59" t="str">
        <f>IFERROR(__xludf.DUMMYFUNCTION("IFERROR((COUNTIF(FILTER(Data!N:N, Data!B:B=A408),""HIGH"")) / (COUNTIF(Data!B:B, A408)),"""")"),"")</f>
        <v/>
      </c>
      <c r="W408" s="59" t="str">
        <f>IFERROR(__xludf.DUMMYFUNCTION("IFERROR((COUNTIF(FILTER(Data!N:N, Data!B:B=A408),""TRAVERSE"")) / (COUNTIF(Data!B:B, A408)),"""")"),"")</f>
        <v/>
      </c>
      <c r="X408" s="59"/>
      <c r="Y408" s="45" t="str">
        <f t="shared" si="7"/>
        <v/>
      </c>
      <c r="Z408" s="45" t="str">
        <f t="shared" si="8"/>
        <v/>
      </c>
      <c r="AA408" s="16" t="str">
        <f t="shared" si="9"/>
        <v/>
      </c>
      <c r="AB408" s="16"/>
      <c r="AC408" s="16"/>
      <c r="AD408" s="16"/>
      <c r="AE408" s="16" t="str">
        <f t="shared" si="12"/>
        <v/>
      </c>
      <c r="AF408" s="16" t="str">
        <f t="shared" si="13"/>
        <v/>
      </c>
      <c r="AG408" s="44"/>
      <c r="AH408" s="44"/>
      <c r="AI408" s="44" t="str">
        <f>IFERROR(__xludf.DUMMYFUNCTION("TEXTJOIN("", "",TRUE, FILTER(Data!P:P, Data!B:B=A408))"),"")</f>
        <v/>
      </c>
      <c r="AM408" s="61"/>
      <c r="BC408" s="50"/>
    </row>
    <row r="409">
      <c r="A409" s="14"/>
      <c r="B409" s="55" t="str">
        <f>IFERROR(__xludf.DUMMYFUNCTION("IFERROR(ROUND(
(COUNTIF(FILTER(Data!O:O, Data!B:B=A409), ""Win"")
+ COUNTIF(FILTER(Data!O:O, Data!B:B=A409), {""Tie"",""Results""}))
/ (COUNTIF(Data!B:B, A409)),
1),"""")"),"")</f>
        <v/>
      </c>
      <c r="C409" s="45" t="str">
        <f>IFERROR((SUMIF(Data!B:B, A409, Data!H:H)
/ (COUNTIF(Data!B:B, A409)
)),"")</f>
        <v/>
      </c>
      <c r="D409" s="45" t="str">
        <f>IFERROR((SUMIF(Data!B:B, A409, Data!G:G)
/ (COUNTIF(Data!B:B, A409)
)),"")</f>
        <v/>
      </c>
      <c r="E409" s="45"/>
      <c r="F409" s="45" t="str">
        <f>IFERROR((SUMIF(Data!B:B, A409, Data!J:J)
/ (COUNTIF(Data!B:B, A409)
)),"")</f>
        <v/>
      </c>
      <c r="G409" s="56" t="str">
        <f>IF(A409="","",IFERROR((((((SUMIF(Data!B:B, A409, Data!H:H)+(SUMIF(Data!B:B, A409,Data!G:G)))/(SUMIF(Data!B:B, A409, Data!J:J)))))),0))</f>
        <v/>
      </c>
      <c r="H409" s="45"/>
      <c r="I409" s="45"/>
      <c r="J409" s="45"/>
      <c r="K409" s="45"/>
      <c r="L409" s="45" t="str">
        <f>IFERROR((SUMIF(Data!B:B, A409, Data!L:L)
/ (COUNTIF(Data!B:B, A409)
)),"")</f>
        <v/>
      </c>
      <c r="M409" s="45" t="str">
        <f>IFERROR((SUMIF(Data!B:B, A409, Data!K:K)
/ (COUNTIF(Data!B:B, A409)
)),"")</f>
        <v/>
      </c>
      <c r="N409" s="56"/>
      <c r="O409" s="56" t="str">
        <f>IF(A409="","",IFERROR((((((SUMIF(Data!B:B, A409, Data!H:H)+(SUMIF(Data!B:B, A409,Data!G:G)+(SUMIF(Data!B:B, A409,Data!L:L)+(SUMIF(Data!B:B, A409,Data!K:K)))))/(SUMIF(Data!B:B, A409, Data!M:M)+(SUMIF(Data!B:B, A409, Data!H:H)+(SUMIF(Data!B:B, A409,Data!G:G)+(SUMIF(Data!B:B, A409,Data!K:K)+(SUMIF(Data!B:B, A409,Data!L:L)))))))))),0))</f>
        <v/>
      </c>
      <c r="P409" s="57" t="str">
        <f>IFERROR(__xludf.DUMMYFUNCTION("IFERROR(((COUNTIF(FILTER(Data!N:N,Data!B:B=A409),""TRAVERSE"")*15)+(COUNTIF(FILTER(Data!N:N,Data!B:B=A409),""HIGH"")*10)+(COUNTIF(FILTER(Data!N:N,Data!B:B=A409),""MIDDLE"")*6)+(COUNTIF(FILTER(Data!N:N,Data!B:B=A409),""LOW"")*4)) / (COUNTIF(Data!B:B, A409)"&amp;"),"""")"),"")</f>
        <v/>
      </c>
      <c r="Q409" s="58"/>
      <c r="R409" s="58"/>
      <c r="S409" s="58" t="str">
        <f>IFERROR(__xludf.DUMMYFUNCTION("IFERROR((((COUNTIF(FILTER(Data!N:N,Data!B:B=A409),""TRAVERSE""))+(COUNTIF(FILTER(Data!N:N,Data!B:B=A409),""HIGH""))+(COUNTIF(FILTER(Data!N:N,Data!B:B=A409),""MIDDLE""))+(COUNTIF(FILTER(Data!N:N,Data!B:B=A409),""LOW"")))) / (((COUNTIF(Data!B:B, A409)))-(CO"&amp;"UNTIF(FILTER(Data!N:N,Data!B:B=A409),""NONE""))),IF(ISBLANK(A409),"""",0))"),"")</f>
        <v/>
      </c>
      <c r="T409" s="56" t="str">
        <f>IFERROR(__xludf.DUMMYFUNCTION("IFERROR((COUNTIF(FILTER(Data!N:N, Data!B:B=A409),""LOW"")) / (COUNTIF(Data!B:B, A409)),"""")"),"")</f>
        <v/>
      </c>
      <c r="U409" s="59" t="str">
        <f>IFERROR(__xludf.DUMMYFUNCTION("IFERROR((COUNTIF(FILTER(Data!N:N, Data!B:B=A409),""MIDDLE"")) / (COUNTIF(Data!B:B, A409)),"""")"),"")</f>
        <v/>
      </c>
      <c r="V409" s="59" t="str">
        <f>IFERROR(__xludf.DUMMYFUNCTION("IFERROR((COUNTIF(FILTER(Data!N:N, Data!B:B=A409),""HIGH"")) / (COUNTIF(Data!B:B, A409)),"""")"),"")</f>
        <v/>
      </c>
      <c r="W409" s="59" t="str">
        <f>IFERROR(__xludf.DUMMYFUNCTION("IFERROR((COUNTIF(FILTER(Data!N:N, Data!B:B=A409),""TRAVERSE"")) / (COUNTIF(Data!B:B, A409)),"""")"),"")</f>
        <v/>
      </c>
      <c r="X409" s="59"/>
      <c r="Y409" s="45" t="str">
        <f t="shared" si="7"/>
        <v/>
      </c>
      <c r="Z409" s="45" t="str">
        <f t="shared" si="8"/>
        <v/>
      </c>
      <c r="AA409" s="16" t="str">
        <f t="shared" si="9"/>
        <v/>
      </c>
      <c r="AB409" s="16"/>
      <c r="AC409" s="16"/>
      <c r="AD409" s="16"/>
      <c r="AE409" s="16" t="str">
        <f t="shared" si="12"/>
        <v/>
      </c>
      <c r="AF409" s="16" t="str">
        <f t="shared" si="13"/>
        <v/>
      </c>
      <c r="AG409" s="44"/>
      <c r="AH409" s="44"/>
      <c r="AI409" s="44" t="str">
        <f>IFERROR(__xludf.DUMMYFUNCTION("TEXTJOIN("", "",TRUE, FILTER(Data!P:P, Data!B:B=A409))"),"")</f>
        <v/>
      </c>
      <c r="AM409" s="61"/>
      <c r="BC409" s="50"/>
    </row>
    <row r="410">
      <c r="A410" s="14"/>
      <c r="B410" s="55" t="str">
        <f>IFERROR(__xludf.DUMMYFUNCTION("IFERROR(ROUND(
(COUNTIF(FILTER(Data!O:O, Data!B:B=A410), ""Win"")
+ COUNTIF(FILTER(Data!O:O, Data!B:B=A410), {""Tie"",""Results""}))
/ (COUNTIF(Data!B:B, A410)),
1),"""")"),"")</f>
        <v/>
      </c>
      <c r="C410" s="45" t="str">
        <f>IFERROR((SUMIF(Data!B:B, A410, Data!H:H)
/ (COUNTIF(Data!B:B, A410)
)),"")</f>
        <v/>
      </c>
      <c r="D410" s="45" t="str">
        <f>IFERROR((SUMIF(Data!B:B, A410, Data!G:G)
/ (COUNTIF(Data!B:B, A410)
)),"")</f>
        <v/>
      </c>
      <c r="E410" s="45"/>
      <c r="F410" s="45" t="str">
        <f>IFERROR((SUMIF(Data!B:B, A410, Data!J:J)
/ (COUNTIF(Data!B:B, A410)
)),"")</f>
        <v/>
      </c>
      <c r="G410" s="56" t="str">
        <f>IF(A410="","",IFERROR((((((SUMIF(Data!B:B, A410, Data!H:H)+(SUMIF(Data!B:B, A410,Data!G:G)))/(SUMIF(Data!B:B, A410, Data!J:J)))))),0))</f>
        <v/>
      </c>
      <c r="H410" s="45"/>
      <c r="I410" s="45"/>
      <c r="J410" s="45"/>
      <c r="K410" s="45"/>
      <c r="L410" s="45" t="str">
        <f>IFERROR((SUMIF(Data!B:B, A410, Data!L:L)
/ (COUNTIF(Data!B:B, A410)
)),"")</f>
        <v/>
      </c>
      <c r="M410" s="45" t="str">
        <f>IFERROR((SUMIF(Data!B:B, A410, Data!K:K)
/ (COUNTIF(Data!B:B, A410)
)),"")</f>
        <v/>
      </c>
      <c r="N410" s="56"/>
      <c r="O410" s="56" t="str">
        <f>IF(A410="","",IFERROR((((((SUMIF(Data!B:B, A410, Data!H:H)+(SUMIF(Data!B:B, A410,Data!G:G)+(SUMIF(Data!B:B, A410,Data!L:L)+(SUMIF(Data!B:B, A410,Data!K:K)))))/(SUMIF(Data!B:B, A410, Data!M:M)+(SUMIF(Data!B:B, A410, Data!H:H)+(SUMIF(Data!B:B, A410,Data!G:G)+(SUMIF(Data!B:B, A410,Data!K:K)+(SUMIF(Data!B:B, A410,Data!L:L)))))))))),0))</f>
        <v/>
      </c>
      <c r="P410" s="57" t="str">
        <f>IFERROR(__xludf.DUMMYFUNCTION("IFERROR(((COUNTIF(FILTER(Data!N:N,Data!B:B=A410),""TRAVERSE"")*15)+(COUNTIF(FILTER(Data!N:N,Data!B:B=A410),""HIGH"")*10)+(COUNTIF(FILTER(Data!N:N,Data!B:B=A410),""MIDDLE"")*6)+(COUNTIF(FILTER(Data!N:N,Data!B:B=A410),""LOW"")*4)) / (COUNTIF(Data!B:B, A410)"&amp;"),"""")"),"")</f>
        <v/>
      </c>
      <c r="Q410" s="58"/>
      <c r="R410" s="58"/>
      <c r="S410" s="58" t="str">
        <f>IFERROR(__xludf.DUMMYFUNCTION("IFERROR((((COUNTIF(FILTER(Data!N:N,Data!B:B=A410),""TRAVERSE""))+(COUNTIF(FILTER(Data!N:N,Data!B:B=A410),""HIGH""))+(COUNTIF(FILTER(Data!N:N,Data!B:B=A410),""MIDDLE""))+(COUNTIF(FILTER(Data!N:N,Data!B:B=A410),""LOW"")))) / (((COUNTIF(Data!B:B, A410)))-(CO"&amp;"UNTIF(FILTER(Data!N:N,Data!B:B=A410),""NONE""))),IF(ISBLANK(A410),"""",0))"),"")</f>
        <v/>
      </c>
      <c r="T410" s="56" t="str">
        <f>IFERROR(__xludf.DUMMYFUNCTION("IFERROR((COUNTIF(FILTER(Data!N:N, Data!B:B=A410),""LOW"")) / (COUNTIF(Data!B:B, A410)),"""")"),"")</f>
        <v/>
      </c>
      <c r="U410" s="59" t="str">
        <f>IFERROR(__xludf.DUMMYFUNCTION("IFERROR((COUNTIF(FILTER(Data!N:N, Data!B:B=A410),""MIDDLE"")) / (COUNTIF(Data!B:B, A410)),"""")"),"")</f>
        <v/>
      </c>
      <c r="V410" s="59" t="str">
        <f>IFERROR(__xludf.DUMMYFUNCTION("IFERROR((COUNTIF(FILTER(Data!N:N, Data!B:B=A410),""HIGH"")) / (COUNTIF(Data!B:B, A410)),"""")"),"")</f>
        <v/>
      </c>
      <c r="W410" s="59" t="str">
        <f>IFERROR(__xludf.DUMMYFUNCTION("IFERROR((COUNTIF(FILTER(Data!N:N, Data!B:B=A410),""TRAVERSE"")) / (COUNTIF(Data!B:B, A410)),"""")"),"")</f>
        <v/>
      </c>
      <c r="X410" s="59"/>
      <c r="Y410" s="45" t="str">
        <f t="shared" si="7"/>
        <v/>
      </c>
      <c r="Z410" s="45" t="str">
        <f t="shared" si="8"/>
        <v/>
      </c>
      <c r="AA410" s="16" t="str">
        <f t="shared" si="9"/>
        <v/>
      </c>
      <c r="AB410" s="16"/>
      <c r="AC410" s="16"/>
      <c r="AD410" s="16"/>
      <c r="AE410" s="16" t="str">
        <f t="shared" si="12"/>
        <v/>
      </c>
      <c r="AF410" s="16" t="str">
        <f t="shared" si="13"/>
        <v/>
      </c>
      <c r="AG410" s="44"/>
      <c r="AH410" s="44"/>
      <c r="AI410" s="44" t="str">
        <f>IFERROR(__xludf.DUMMYFUNCTION("TEXTJOIN("", "",TRUE, FILTER(Data!P:P, Data!B:B=A410))"),"")</f>
        <v/>
      </c>
      <c r="AM410" s="61"/>
      <c r="BC410" s="50"/>
    </row>
    <row r="411">
      <c r="A411" s="14"/>
      <c r="B411" s="55" t="str">
        <f>IFERROR(__xludf.DUMMYFUNCTION("IFERROR(ROUND(
(COUNTIF(FILTER(Data!O:O, Data!B:B=A411), ""Win"")
+ COUNTIF(FILTER(Data!O:O, Data!B:B=A411), {""Tie"",""Results""}))
/ (COUNTIF(Data!B:B, A411)),
1),"""")"),"")</f>
        <v/>
      </c>
      <c r="C411" s="45" t="str">
        <f>IFERROR((SUMIF(Data!B:B, A411, Data!H:H)
/ (COUNTIF(Data!B:B, A411)
)),"")</f>
        <v/>
      </c>
      <c r="D411" s="45" t="str">
        <f>IFERROR((SUMIF(Data!B:B, A411, Data!G:G)
/ (COUNTIF(Data!B:B, A411)
)),"")</f>
        <v/>
      </c>
      <c r="E411" s="45"/>
      <c r="F411" s="45" t="str">
        <f>IFERROR((SUMIF(Data!B:B, A411, Data!J:J)
/ (COUNTIF(Data!B:B, A411)
)),"")</f>
        <v/>
      </c>
      <c r="G411" s="56" t="str">
        <f>IF(A411="","",IFERROR((((((SUMIF(Data!B:B, A411, Data!H:H)+(SUMIF(Data!B:B, A411,Data!G:G)))/(SUMIF(Data!B:B, A411, Data!J:J)))))),0))</f>
        <v/>
      </c>
      <c r="H411" s="45"/>
      <c r="I411" s="45"/>
      <c r="J411" s="45"/>
      <c r="K411" s="45"/>
      <c r="L411" s="45" t="str">
        <f>IFERROR((SUMIF(Data!B:B, A411, Data!L:L)
/ (COUNTIF(Data!B:B, A411)
)),"")</f>
        <v/>
      </c>
      <c r="M411" s="45" t="str">
        <f>IFERROR((SUMIF(Data!B:B, A411, Data!K:K)
/ (COUNTIF(Data!B:B, A411)
)),"")</f>
        <v/>
      </c>
      <c r="N411" s="56"/>
      <c r="O411" s="56" t="str">
        <f>IF(A411="","",IFERROR((((((SUMIF(Data!B:B, A411, Data!H:H)+(SUMIF(Data!B:B, A411,Data!G:G)+(SUMIF(Data!B:B, A411,Data!L:L)+(SUMIF(Data!B:B, A411,Data!K:K)))))/(SUMIF(Data!B:B, A411, Data!M:M)+(SUMIF(Data!B:B, A411, Data!H:H)+(SUMIF(Data!B:B, A411,Data!G:G)+(SUMIF(Data!B:B, A411,Data!K:K)+(SUMIF(Data!B:B, A411,Data!L:L)))))))))),0))</f>
        <v/>
      </c>
      <c r="P411" s="57" t="str">
        <f>IFERROR(__xludf.DUMMYFUNCTION("IFERROR(((COUNTIF(FILTER(Data!N:N,Data!B:B=A411),""TRAVERSE"")*15)+(COUNTIF(FILTER(Data!N:N,Data!B:B=A411),""HIGH"")*10)+(COUNTIF(FILTER(Data!N:N,Data!B:B=A411),""MIDDLE"")*6)+(COUNTIF(FILTER(Data!N:N,Data!B:B=A411),""LOW"")*4)) / (COUNTIF(Data!B:B, A411)"&amp;"),"""")"),"")</f>
        <v/>
      </c>
      <c r="Q411" s="58"/>
      <c r="R411" s="58"/>
      <c r="S411" s="58" t="str">
        <f>IFERROR(__xludf.DUMMYFUNCTION("IFERROR((((COUNTIF(FILTER(Data!N:N,Data!B:B=A411),""TRAVERSE""))+(COUNTIF(FILTER(Data!N:N,Data!B:B=A411),""HIGH""))+(COUNTIF(FILTER(Data!N:N,Data!B:B=A411),""MIDDLE""))+(COUNTIF(FILTER(Data!N:N,Data!B:B=A411),""LOW"")))) / (((COUNTIF(Data!B:B, A411)))-(CO"&amp;"UNTIF(FILTER(Data!N:N,Data!B:B=A411),""NONE""))),IF(ISBLANK(A411),"""",0))"),"")</f>
        <v/>
      </c>
      <c r="T411" s="56" t="str">
        <f>IFERROR(__xludf.DUMMYFUNCTION("IFERROR((COUNTIF(FILTER(Data!N:N, Data!B:B=A411),""LOW"")) / (COUNTIF(Data!B:B, A411)),"""")"),"")</f>
        <v/>
      </c>
      <c r="U411" s="59" t="str">
        <f>IFERROR(__xludf.DUMMYFUNCTION("IFERROR((COUNTIF(FILTER(Data!N:N, Data!B:B=A411),""MIDDLE"")) / (COUNTIF(Data!B:B, A411)),"""")"),"")</f>
        <v/>
      </c>
      <c r="V411" s="59" t="str">
        <f>IFERROR(__xludf.DUMMYFUNCTION("IFERROR((COUNTIF(FILTER(Data!N:N, Data!B:B=A411),""HIGH"")) / (COUNTIF(Data!B:B, A411)),"""")"),"")</f>
        <v/>
      </c>
      <c r="W411" s="59" t="str">
        <f>IFERROR(__xludf.DUMMYFUNCTION("IFERROR((COUNTIF(FILTER(Data!N:N, Data!B:B=A411),""TRAVERSE"")) / (COUNTIF(Data!B:B, A411)),"""")"),"")</f>
        <v/>
      </c>
      <c r="X411" s="59"/>
      <c r="Y411" s="45" t="str">
        <f t="shared" si="7"/>
        <v/>
      </c>
      <c r="Z411" s="45" t="str">
        <f t="shared" si="8"/>
        <v/>
      </c>
      <c r="AA411" s="16" t="str">
        <f t="shared" si="9"/>
        <v/>
      </c>
      <c r="AB411" s="16"/>
      <c r="AC411" s="16"/>
      <c r="AD411" s="16"/>
      <c r="AE411" s="16" t="str">
        <f t="shared" si="12"/>
        <v/>
      </c>
      <c r="AF411" s="16" t="str">
        <f t="shared" si="13"/>
        <v/>
      </c>
      <c r="AG411" s="44"/>
      <c r="AH411" s="44"/>
      <c r="AI411" s="44" t="str">
        <f>IFERROR(__xludf.DUMMYFUNCTION("TEXTJOIN("", "",TRUE, FILTER(Data!P:P, Data!B:B=A411))"),"")</f>
        <v/>
      </c>
      <c r="AM411" s="61"/>
      <c r="BC411" s="50"/>
    </row>
    <row r="412">
      <c r="A412" s="14"/>
      <c r="B412" s="55" t="str">
        <f>IFERROR(__xludf.DUMMYFUNCTION("IFERROR(ROUND(
(COUNTIF(FILTER(Data!O:O, Data!B:B=A412), ""Win"")
+ COUNTIF(FILTER(Data!O:O, Data!B:B=A412), {""Tie"",""Results""}))
/ (COUNTIF(Data!B:B, A412)),
1),"""")"),"")</f>
        <v/>
      </c>
      <c r="C412" s="45" t="str">
        <f>IFERROR((SUMIF(Data!B:B, A412, Data!H:H)
/ (COUNTIF(Data!B:B, A412)
)),"")</f>
        <v/>
      </c>
      <c r="D412" s="45" t="str">
        <f>IFERROR((SUMIF(Data!B:B, A412, Data!G:G)
/ (COUNTIF(Data!B:B, A412)
)),"")</f>
        <v/>
      </c>
      <c r="E412" s="45"/>
      <c r="F412" s="45" t="str">
        <f>IFERROR((SUMIF(Data!B:B, A412, Data!J:J)
/ (COUNTIF(Data!B:B, A412)
)),"")</f>
        <v/>
      </c>
      <c r="G412" s="56" t="str">
        <f>IF(A412="","",IFERROR((((((SUMIF(Data!B:B, A412, Data!H:H)+(SUMIF(Data!B:B, A412,Data!G:G)))/(SUMIF(Data!B:B, A412, Data!J:J)))))),0))</f>
        <v/>
      </c>
      <c r="H412" s="45"/>
      <c r="I412" s="45"/>
      <c r="J412" s="45"/>
      <c r="K412" s="45"/>
      <c r="L412" s="45" t="str">
        <f>IFERROR((SUMIF(Data!B:B, A412, Data!L:L)
/ (COUNTIF(Data!B:B, A412)
)),"")</f>
        <v/>
      </c>
      <c r="M412" s="45" t="str">
        <f>IFERROR((SUMIF(Data!B:B, A412, Data!K:K)
/ (COUNTIF(Data!B:B, A412)
)),"")</f>
        <v/>
      </c>
      <c r="N412" s="56"/>
      <c r="O412" s="56" t="str">
        <f>IF(A412="","",IFERROR((((((SUMIF(Data!B:B, A412, Data!H:H)+(SUMIF(Data!B:B, A412,Data!G:G)+(SUMIF(Data!B:B, A412,Data!L:L)+(SUMIF(Data!B:B, A412,Data!K:K)))))/(SUMIF(Data!B:B, A412, Data!M:M)+(SUMIF(Data!B:B, A412, Data!H:H)+(SUMIF(Data!B:B, A412,Data!G:G)+(SUMIF(Data!B:B, A412,Data!K:K)+(SUMIF(Data!B:B, A412,Data!L:L)))))))))),0))</f>
        <v/>
      </c>
      <c r="P412" s="57" t="str">
        <f>IFERROR(__xludf.DUMMYFUNCTION("IFERROR(((COUNTIF(FILTER(Data!N:N,Data!B:B=A412),""TRAVERSE"")*15)+(COUNTIF(FILTER(Data!N:N,Data!B:B=A412),""HIGH"")*10)+(COUNTIF(FILTER(Data!N:N,Data!B:B=A412),""MIDDLE"")*6)+(COUNTIF(FILTER(Data!N:N,Data!B:B=A412),""LOW"")*4)) / (COUNTIF(Data!B:B, A412)"&amp;"),"""")"),"")</f>
        <v/>
      </c>
      <c r="Q412" s="58"/>
      <c r="R412" s="58"/>
      <c r="S412" s="58" t="str">
        <f>IFERROR(__xludf.DUMMYFUNCTION("IFERROR((((COUNTIF(FILTER(Data!N:N,Data!B:B=A412),""TRAVERSE""))+(COUNTIF(FILTER(Data!N:N,Data!B:B=A412),""HIGH""))+(COUNTIF(FILTER(Data!N:N,Data!B:B=A412),""MIDDLE""))+(COUNTIF(FILTER(Data!N:N,Data!B:B=A412),""LOW"")))) / (((COUNTIF(Data!B:B, A412)))-(CO"&amp;"UNTIF(FILTER(Data!N:N,Data!B:B=A412),""NONE""))),IF(ISBLANK(A412),"""",0))"),"")</f>
        <v/>
      </c>
      <c r="T412" s="56" t="str">
        <f>IFERROR(__xludf.DUMMYFUNCTION("IFERROR((COUNTIF(FILTER(Data!N:N, Data!B:B=A412),""LOW"")) / (COUNTIF(Data!B:B, A412)),"""")"),"")</f>
        <v/>
      </c>
      <c r="U412" s="59" t="str">
        <f>IFERROR(__xludf.DUMMYFUNCTION("IFERROR((COUNTIF(FILTER(Data!N:N, Data!B:B=A412),""MIDDLE"")) / (COUNTIF(Data!B:B, A412)),"""")"),"")</f>
        <v/>
      </c>
      <c r="V412" s="59" t="str">
        <f>IFERROR(__xludf.DUMMYFUNCTION("IFERROR((COUNTIF(FILTER(Data!N:N, Data!B:B=A412),""HIGH"")) / (COUNTIF(Data!B:B, A412)),"""")"),"")</f>
        <v/>
      </c>
      <c r="W412" s="59" t="str">
        <f>IFERROR(__xludf.DUMMYFUNCTION("IFERROR((COUNTIF(FILTER(Data!N:N, Data!B:B=A412),""TRAVERSE"")) / (COUNTIF(Data!B:B, A412)),"""")"),"")</f>
        <v/>
      </c>
      <c r="X412" s="59"/>
      <c r="Y412" s="45" t="str">
        <f t="shared" si="7"/>
        <v/>
      </c>
      <c r="Z412" s="45" t="str">
        <f t="shared" si="8"/>
        <v/>
      </c>
      <c r="AA412" s="16" t="str">
        <f t="shared" si="9"/>
        <v/>
      </c>
      <c r="AB412" s="16"/>
      <c r="AC412" s="16"/>
      <c r="AD412" s="16"/>
      <c r="AE412" s="16" t="str">
        <f t="shared" si="12"/>
        <v/>
      </c>
      <c r="AF412" s="16" t="str">
        <f t="shared" si="13"/>
        <v/>
      </c>
      <c r="AG412" s="44"/>
      <c r="AH412" s="44"/>
      <c r="AI412" s="44" t="str">
        <f>IFERROR(__xludf.DUMMYFUNCTION("TEXTJOIN("", "",TRUE, FILTER(Data!P:P, Data!B:B=A412))"),"")</f>
        <v/>
      </c>
      <c r="AM412" s="61"/>
      <c r="BC412" s="50"/>
    </row>
    <row r="413">
      <c r="A413" s="14"/>
      <c r="B413" s="55" t="str">
        <f>IFERROR(__xludf.DUMMYFUNCTION("IFERROR(ROUND(
(COUNTIF(FILTER(Data!O:O, Data!B:B=A413), ""Win"")
+ COUNTIF(FILTER(Data!O:O, Data!B:B=A413), {""Tie"",""Results""}))
/ (COUNTIF(Data!B:B, A413)),
1),"""")"),"")</f>
        <v/>
      </c>
      <c r="C413" s="45" t="str">
        <f>IFERROR((SUMIF(Data!B:B, A413, Data!H:H)
/ (COUNTIF(Data!B:B, A413)
)),"")</f>
        <v/>
      </c>
      <c r="D413" s="45" t="str">
        <f>IFERROR((SUMIF(Data!B:B, A413, Data!G:G)
/ (COUNTIF(Data!B:B, A413)
)),"")</f>
        <v/>
      </c>
      <c r="E413" s="45"/>
      <c r="F413" s="45" t="str">
        <f>IFERROR((SUMIF(Data!B:B, A413, Data!J:J)
/ (COUNTIF(Data!B:B, A413)
)),"")</f>
        <v/>
      </c>
      <c r="G413" s="56" t="str">
        <f>IF(A413="","",IFERROR((((((SUMIF(Data!B:B, A413, Data!H:H)+(SUMIF(Data!B:B, A413,Data!G:G)))/(SUMIF(Data!B:B, A413, Data!J:J)))))),0))</f>
        <v/>
      </c>
      <c r="H413" s="45"/>
      <c r="I413" s="45"/>
      <c r="J413" s="45"/>
      <c r="K413" s="45"/>
      <c r="L413" s="45" t="str">
        <f>IFERROR((SUMIF(Data!B:B, A413, Data!L:L)
/ (COUNTIF(Data!B:B, A413)
)),"")</f>
        <v/>
      </c>
      <c r="M413" s="45" t="str">
        <f>IFERROR((SUMIF(Data!B:B, A413, Data!K:K)
/ (COUNTIF(Data!B:B, A413)
)),"")</f>
        <v/>
      </c>
      <c r="N413" s="56"/>
      <c r="O413" s="56" t="str">
        <f>IF(A413="","",IFERROR((((((SUMIF(Data!B:B, A413, Data!H:H)+(SUMIF(Data!B:B, A413,Data!G:G)+(SUMIF(Data!B:B, A413,Data!L:L)+(SUMIF(Data!B:B, A413,Data!K:K)))))/(SUMIF(Data!B:B, A413, Data!M:M)+(SUMIF(Data!B:B, A413, Data!H:H)+(SUMIF(Data!B:B, A413,Data!G:G)+(SUMIF(Data!B:B, A413,Data!K:K)+(SUMIF(Data!B:B, A413,Data!L:L)))))))))),0))</f>
        <v/>
      </c>
      <c r="P413" s="57" t="str">
        <f>IFERROR(__xludf.DUMMYFUNCTION("IFERROR(((COUNTIF(FILTER(Data!N:N,Data!B:B=A413),""TRAVERSE"")*15)+(COUNTIF(FILTER(Data!N:N,Data!B:B=A413),""HIGH"")*10)+(COUNTIF(FILTER(Data!N:N,Data!B:B=A413),""MIDDLE"")*6)+(COUNTIF(FILTER(Data!N:N,Data!B:B=A413),""LOW"")*4)) / (COUNTIF(Data!B:B, A413)"&amp;"),"""")"),"")</f>
        <v/>
      </c>
      <c r="Q413" s="58"/>
      <c r="R413" s="58"/>
      <c r="S413" s="58" t="str">
        <f>IFERROR(__xludf.DUMMYFUNCTION("IFERROR((((COUNTIF(FILTER(Data!N:N,Data!B:B=A413),""TRAVERSE""))+(COUNTIF(FILTER(Data!N:N,Data!B:B=A413),""HIGH""))+(COUNTIF(FILTER(Data!N:N,Data!B:B=A413),""MIDDLE""))+(COUNTIF(FILTER(Data!N:N,Data!B:B=A413),""LOW"")))) / (((COUNTIF(Data!B:B, A413)))-(CO"&amp;"UNTIF(FILTER(Data!N:N,Data!B:B=A413),""NONE""))),IF(ISBLANK(A413),"""",0))"),"")</f>
        <v/>
      </c>
      <c r="T413" s="56" t="str">
        <f>IFERROR(__xludf.DUMMYFUNCTION("IFERROR((COUNTIF(FILTER(Data!N:N, Data!B:B=A413),""LOW"")) / (COUNTIF(Data!B:B, A413)),"""")"),"")</f>
        <v/>
      </c>
      <c r="U413" s="59" t="str">
        <f>IFERROR(__xludf.DUMMYFUNCTION("IFERROR((COUNTIF(FILTER(Data!N:N, Data!B:B=A413),""MIDDLE"")) / (COUNTIF(Data!B:B, A413)),"""")"),"")</f>
        <v/>
      </c>
      <c r="V413" s="59" t="str">
        <f>IFERROR(__xludf.DUMMYFUNCTION("IFERROR((COUNTIF(FILTER(Data!N:N, Data!B:B=A413),""HIGH"")) / (COUNTIF(Data!B:B, A413)),"""")"),"")</f>
        <v/>
      </c>
      <c r="W413" s="59" t="str">
        <f>IFERROR(__xludf.DUMMYFUNCTION("IFERROR((COUNTIF(FILTER(Data!N:N, Data!B:B=A413),""TRAVERSE"")) / (COUNTIF(Data!B:B, A413)),"""")"),"")</f>
        <v/>
      </c>
      <c r="X413" s="59"/>
      <c r="Y413" s="45" t="str">
        <f t="shared" si="7"/>
        <v/>
      </c>
      <c r="Z413" s="45" t="str">
        <f t="shared" si="8"/>
        <v/>
      </c>
      <c r="AA413" s="16" t="str">
        <f t="shared" si="9"/>
        <v/>
      </c>
      <c r="AB413" s="16"/>
      <c r="AC413" s="16"/>
      <c r="AD413" s="16"/>
      <c r="AE413" s="16" t="str">
        <f t="shared" si="12"/>
        <v/>
      </c>
      <c r="AF413" s="16" t="str">
        <f t="shared" si="13"/>
        <v/>
      </c>
      <c r="AG413" s="44"/>
      <c r="AH413" s="44"/>
      <c r="AI413" s="44" t="str">
        <f>IFERROR(__xludf.DUMMYFUNCTION("TEXTJOIN("", "",TRUE, FILTER(Data!P:P, Data!B:B=A413))"),"")</f>
        <v/>
      </c>
      <c r="AM413" s="61"/>
      <c r="BC413" s="50"/>
    </row>
    <row r="414">
      <c r="A414" s="14"/>
      <c r="B414" s="55" t="str">
        <f>IFERROR(__xludf.DUMMYFUNCTION("IFERROR(ROUND(
(COUNTIF(FILTER(Data!O:O, Data!B:B=A414), ""Win"")
+ COUNTIF(FILTER(Data!O:O, Data!B:B=A414), {""Tie"",""Results""}))
/ (COUNTIF(Data!B:B, A414)),
1),"""")"),"")</f>
        <v/>
      </c>
      <c r="C414" s="45" t="str">
        <f>IFERROR((SUMIF(Data!B:B, A414, Data!H:H)
/ (COUNTIF(Data!B:B, A414)
)),"")</f>
        <v/>
      </c>
      <c r="D414" s="45" t="str">
        <f>IFERROR((SUMIF(Data!B:B, A414, Data!G:G)
/ (COUNTIF(Data!B:B, A414)
)),"")</f>
        <v/>
      </c>
      <c r="E414" s="45"/>
      <c r="F414" s="45" t="str">
        <f>IFERROR((SUMIF(Data!B:B, A414, Data!J:J)
/ (COUNTIF(Data!B:B, A414)
)),"")</f>
        <v/>
      </c>
      <c r="G414" s="56" t="str">
        <f>IF(A414="","",IFERROR((((((SUMIF(Data!B:B, A414, Data!H:H)+(SUMIF(Data!B:B, A414,Data!G:G)))/(SUMIF(Data!B:B, A414, Data!J:J)))))),0))</f>
        <v/>
      </c>
      <c r="H414" s="45"/>
      <c r="I414" s="45"/>
      <c r="J414" s="45"/>
      <c r="K414" s="45"/>
      <c r="L414" s="45" t="str">
        <f>IFERROR((SUMIF(Data!B:B, A414, Data!L:L)
/ (COUNTIF(Data!B:B, A414)
)),"")</f>
        <v/>
      </c>
      <c r="M414" s="45" t="str">
        <f>IFERROR((SUMIF(Data!B:B, A414, Data!K:K)
/ (COUNTIF(Data!B:B, A414)
)),"")</f>
        <v/>
      </c>
      <c r="N414" s="56"/>
      <c r="O414" s="56" t="str">
        <f>IF(A414="","",IFERROR((((((SUMIF(Data!B:B, A414, Data!H:H)+(SUMIF(Data!B:B, A414,Data!G:G)+(SUMIF(Data!B:B, A414,Data!L:L)+(SUMIF(Data!B:B, A414,Data!K:K)))))/(SUMIF(Data!B:B, A414, Data!M:M)+(SUMIF(Data!B:B, A414, Data!H:H)+(SUMIF(Data!B:B, A414,Data!G:G)+(SUMIF(Data!B:B, A414,Data!K:K)+(SUMIF(Data!B:B, A414,Data!L:L)))))))))),0))</f>
        <v/>
      </c>
      <c r="P414" s="57" t="str">
        <f>IFERROR(__xludf.DUMMYFUNCTION("IFERROR(((COUNTIF(FILTER(Data!N:N,Data!B:B=A414),""TRAVERSE"")*15)+(COUNTIF(FILTER(Data!N:N,Data!B:B=A414),""HIGH"")*10)+(COUNTIF(FILTER(Data!N:N,Data!B:B=A414),""MIDDLE"")*6)+(COUNTIF(FILTER(Data!N:N,Data!B:B=A414),""LOW"")*4)) / (COUNTIF(Data!B:B, A414)"&amp;"),"""")"),"")</f>
        <v/>
      </c>
      <c r="Q414" s="58"/>
      <c r="R414" s="58"/>
      <c r="S414" s="58" t="str">
        <f>IFERROR(__xludf.DUMMYFUNCTION("IFERROR((((COUNTIF(FILTER(Data!N:N,Data!B:B=A414),""TRAVERSE""))+(COUNTIF(FILTER(Data!N:N,Data!B:B=A414),""HIGH""))+(COUNTIF(FILTER(Data!N:N,Data!B:B=A414),""MIDDLE""))+(COUNTIF(FILTER(Data!N:N,Data!B:B=A414),""LOW"")))) / (((COUNTIF(Data!B:B, A414)))-(CO"&amp;"UNTIF(FILTER(Data!N:N,Data!B:B=A414),""NONE""))),IF(ISBLANK(A414),"""",0))"),"")</f>
        <v/>
      </c>
      <c r="T414" s="56" t="str">
        <f>IFERROR(__xludf.DUMMYFUNCTION("IFERROR((COUNTIF(FILTER(Data!N:N, Data!B:B=A414),""LOW"")) / (COUNTIF(Data!B:B, A414)),"""")"),"")</f>
        <v/>
      </c>
      <c r="U414" s="59" t="str">
        <f>IFERROR(__xludf.DUMMYFUNCTION("IFERROR((COUNTIF(FILTER(Data!N:N, Data!B:B=A414),""MIDDLE"")) / (COUNTIF(Data!B:B, A414)),"""")"),"")</f>
        <v/>
      </c>
      <c r="V414" s="59" t="str">
        <f>IFERROR(__xludf.DUMMYFUNCTION("IFERROR((COUNTIF(FILTER(Data!N:N, Data!B:B=A414),""HIGH"")) / (COUNTIF(Data!B:B, A414)),"""")"),"")</f>
        <v/>
      </c>
      <c r="W414" s="59" t="str">
        <f>IFERROR(__xludf.DUMMYFUNCTION("IFERROR((COUNTIF(FILTER(Data!N:N, Data!B:B=A414),""TRAVERSE"")) / (COUNTIF(Data!B:B, A414)),"""")"),"")</f>
        <v/>
      </c>
      <c r="X414" s="59"/>
      <c r="Y414" s="45" t="str">
        <f t="shared" si="7"/>
        <v/>
      </c>
      <c r="Z414" s="45" t="str">
        <f t="shared" si="8"/>
        <v/>
      </c>
      <c r="AA414" s="16" t="str">
        <f t="shared" si="9"/>
        <v/>
      </c>
      <c r="AB414" s="16"/>
      <c r="AC414" s="16"/>
      <c r="AD414" s="16"/>
      <c r="AE414" s="16" t="str">
        <f t="shared" si="12"/>
        <v/>
      </c>
      <c r="AF414" s="16" t="str">
        <f t="shared" si="13"/>
        <v/>
      </c>
      <c r="AG414" s="44"/>
      <c r="AH414" s="44"/>
      <c r="AI414" s="44" t="str">
        <f>IFERROR(__xludf.DUMMYFUNCTION("TEXTJOIN("", "",TRUE, FILTER(Data!P:P, Data!B:B=A414))"),"")</f>
        <v/>
      </c>
      <c r="AM414" s="61"/>
      <c r="BC414" s="50"/>
    </row>
    <row r="415">
      <c r="A415" s="14"/>
      <c r="B415" s="55" t="str">
        <f>IFERROR(__xludf.DUMMYFUNCTION("IFERROR(ROUND(
(COUNTIF(FILTER(Data!O:O, Data!B:B=A415), ""Win"")
+ COUNTIF(FILTER(Data!O:O, Data!B:B=A415), {""Tie"",""Results""}))
/ (COUNTIF(Data!B:B, A415)),
1),"""")"),"")</f>
        <v/>
      </c>
      <c r="C415" s="45" t="str">
        <f>IFERROR((SUMIF(Data!B:B, A415, Data!H:H)
/ (COUNTIF(Data!B:B, A415)
)),"")</f>
        <v/>
      </c>
      <c r="D415" s="45" t="str">
        <f>IFERROR((SUMIF(Data!B:B, A415, Data!G:G)
/ (COUNTIF(Data!B:B, A415)
)),"")</f>
        <v/>
      </c>
      <c r="E415" s="45"/>
      <c r="F415" s="45" t="str">
        <f>IFERROR((SUMIF(Data!B:B, A415, Data!J:J)
/ (COUNTIF(Data!B:B, A415)
)),"")</f>
        <v/>
      </c>
      <c r="G415" s="56" t="str">
        <f>IF(A415="","",IFERROR((((((SUMIF(Data!B:B, A415, Data!H:H)+(SUMIF(Data!B:B, A415,Data!G:G)))/(SUMIF(Data!B:B, A415, Data!J:J)))))),0))</f>
        <v/>
      </c>
      <c r="H415" s="45"/>
      <c r="I415" s="45"/>
      <c r="J415" s="45"/>
      <c r="K415" s="45"/>
      <c r="L415" s="45" t="str">
        <f>IFERROR((SUMIF(Data!B:B, A415, Data!L:L)
/ (COUNTIF(Data!B:B, A415)
)),"")</f>
        <v/>
      </c>
      <c r="M415" s="45" t="str">
        <f>IFERROR((SUMIF(Data!B:B, A415, Data!K:K)
/ (COUNTIF(Data!B:B, A415)
)),"")</f>
        <v/>
      </c>
      <c r="N415" s="56"/>
      <c r="O415" s="56" t="str">
        <f>IF(A415="","",IFERROR((((((SUMIF(Data!B:B, A415, Data!H:H)+(SUMIF(Data!B:B, A415,Data!G:G)+(SUMIF(Data!B:B, A415,Data!L:L)+(SUMIF(Data!B:B, A415,Data!K:K)))))/(SUMIF(Data!B:B, A415, Data!M:M)+(SUMIF(Data!B:B, A415, Data!H:H)+(SUMIF(Data!B:B, A415,Data!G:G)+(SUMIF(Data!B:B, A415,Data!K:K)+(SUMIF(Data!B:B, A415,Data!L:L)))))))))),0))</f>
        <v/>
      </c>
      <c r="P415" s="57" t="str">
        <f>IFERROR(__xludf.DUMMYFUNCTION("IFERROR(((COUNTIF(FILTER(Data!N:N,Data!B:B=A415),""TRAVERSE"")*15)+(COUNTIF(FILTER(Data!N:N,Data!B:B=A415),""HIGH"")*10)+(COUNTIF(FILTER(Data!N:N,Data!B:B=A415),""MIDDLE"")*6)+(COUNTIF(FILTER(Data!N:N,Data!B:B=A415),""LOW"")*4)) / (COUNTIF(Data!B:B, A415)"&amp;"),"""")"),"")</f>
        <v/>
      </c>
      <c r="Q415" s="58"/>
      <c r="R415" s="58"/>
      <c r="S415" s="58" t="str">
        <f>IFERROR(__xludf.DUMMYFUNCTION("IFERROR((((COUNTIF(FILTER(Data!N:N,Data!B:B=A415),""TRAVERSE""))+(COUNTIF(FILTER(Data!N:N,Data!B:B=A415),""HIGH""))+(COUNTIF(FILTER(Data!N:N,Data!B:B=A415),""MIDDLE""))+(COUNTIF(FILTER(Data!N:N,Data!B:B=A415),""LOW"")))) / (((COUNTIF(Data!B:B, A415)))-(CO"&amp;"UNTIF(FILTER(Data!N:N,Data!B:B=A415),""NONE""))),IF(ISBLANK(A415),"""",0))"),"")</f>
        <v/>
      </c>
      <c r="T415" s="56" t="str">
        <f>IFERROR(__xludf.DUMMYFUNCTION("IFERROR((COUNTIF(FILTER(Data!N:N, Data!B:B=A415),""LOW"")) / (COUNTIF(Data!B:B, A415)),"""")"),"")</f>
        <v/>
      </c>
      <c r="U415" s="59" t="str">
        <f>IFERROR(__xludf.DUMMYFUNCTION("IFERROR((COUNTIF(FILTER(Data!N:N, Data!B:B=A415),""MIDDLE"")) / (COUNTIF(Data!B:B, A415)),"""")"),"")</f>
        <v/>
      </c>
      <c r="V415" s="59" t="str">
        <f>IFERROR(__xludf.DUMMYFUNCTION("IFERROR((COUNTIF(FILTER(Data!N:N, Data!B:B=A415),""HIGH"")) / (COUNTIF(Data!B:B, A415)),"""")"),"")</f>
        <v/>
      </c>
      <c r="W415" s="59" t="str">
        <f>IFERROR(__xludf.DUMMYFUNCTION("IFERROR((COUNTIF(FILTER(Data!N:N, Data!B:B=A415),""TRAVERSE"")) / (COUNTIF(Data!B:B, A415)),"""")"),"")</f>
        <v/>
      </c>
      <c r="X415" s="59"/>
      <c r="Y415" s="45" t="str">
        <f t="shared" si="7"/>
        <v/>
      </c>
      <c r="Z415" s="45" t="str">
        <f t="shared" si="8"/>
        <v/>
      </c>
      <c r="AA415" s="16" t="str">
        <f t="shared" si="9"/>
        <v/>
      </c>
      <c r="AB415" s="16"/>
      <c r="AC415" s="16"/>
      <c r="AD415" s="16"/>
      <c r="AE415" s="16" t="str">
        <f t="shared" si="12"/>
        <v/>
      </c>
      <c r="AF415" s="16" t="str">
        <f t="shared" si="13"/>
        <v/>
      </c>
      <c r="AG415" s="44"/>
      <c r="AH415" s="44"/>
      <c r="AI415" s="44" t="str">
        <f>IFERROR(__xludf.DUMMYFUNCTION("TEXTJOIN("", "",TRUE, FILTER(Data!P:P, Data!B:B=A415))"),"")</f>
        <v/>
      </c>
      <c r="AM415" s="61"/>
      <c r="BC415" s="50"/>
    </row>
    <row r="416">
      <c r="A416" s="14"/>
      <c r="B416" s="55" t="str">
        <f>IFERROR(__xludf.DUMMYFUNCTION("IFERROR(ROUND(
(COUNTIF(FILTER(Data!O:O, Data!B:B=A416), ""Win"")
+ COUNTIF(FILTER(Data!O:O, Data!B:B=A416), {""Tie"",""Results""}))
/ (COUNTIF(Data!B:B, A416)),
1),"""")"),"")</f>
        <v/>
      </c>
      <c r="C416" s="45" t="str">
        <f>IFERROR((SUMIF(Data!B:B, A416, Data!H:H)
/ (COUNTIF(Data!B:B, A416)
)),"")</f>
        <v/>
      </c>
      <c r="D416" s="45" t="str">
        <f>IFERROR((SUMIF(Data!B:B, A416, Data!G:G)
/ (COUNTIF(Data!B:B, A416)
)),"")</f>
        <v/>
      </c>
      <c r="E416" s="45"/>
      <c r="F416" s="45" t="str">
        <f>IFERROR((SUMIF(Data!B:B, A416, Data!J:J)
/ (COUNTIF(Data!B:B, A416)
)),"")</f>
        <v/>
      </c>
      <c r="G416" s="56" t="str">
        <f>IF(A416="","",IFERROR((((((SUMIF(Data!B:B, A416, Data!H:H)+(SUMIF(Data!B:B, A416,Data!G:G)))/(SUMIF(Data!B:B, A416, Data!J:J)))))),0))</f>
        <v/>
      </c>
      <c r="H416" s="45"/>
      <c r="I416" s="45"/>
      <c r="J416" s="45"/>
      <c r="K416" s="45"/>
      <c r="L416" s="45" t="str">
        <f>IFERROR((SUMIF(Data!B:B, A416, Data!L:L)
/ (COUNTIF(Data!B:B, A416)
)),"")</f>
        <v/>
      </c>
      <c r="M416" s="45" t="str">
        <f>IFERROR((SUMIF(Data!B:B, A416, Data!K:K)
/ (COUNTIF(Data!B:B, A416)
)),"")</f>
        <v/>
      </c>
      <c r="N416" s="56"/>
      <c r="O416" s="56" t="str">
        <f>IF(A416="","",IFERROR((((((SUMIF(Data!B:B, A416, Data!H:H)+(SUMIF(Data!B:B, A416,Data!G:G)+(SUMIF(Data!B:B, A416,Data!L:L)+(SUMIF(Data!B:B, A416,Data!K:K)))))/(SUMIF(Data!B:B, A416, Data!M:M)+(SUMIF(Data!B:B, A416, Data!H:H)+(SUMIF(Data!B:B, A416,Data!G:G)+(SUMIF(Data!B:B, A416,Data!K:K)+(SUMIF(Data!B:B, A416,Data!L:L)))))))))),0))</f>
        <v/>
      </c>
      <c r="P416" s="57" t="str">
        <f>IFERROR(__xludf.DUMMYFUNCTION("IFERROR(((COUNTIF(FILTER(Data!N:N,Data!B:B=A416),""TRAVERSE"")*15)+(COUNTIF(FILTER(Data!N:N,Data!B:B=A416),""HIGH"")*10)+(COUNTIF(FILTER(Data!N:N,Data!B:B=A416),""MIDDLE"")*6)+(COUNTIF(FILTER(Data!N:N,Data!B:B=A416),""LOW"")*4)) / (COUNTIF(Data!B:B, A416)"&amp;"),"""")"),"")</f>
        <v/>
      </c>
      <c r="Q416" s="58"/>
      <c r="R416" s="58"/>
      <c r="S416" s="58" t="str">
        <f>IFERROR(__xludf.DUMMYFUNCTION("IFERROR((((COUNTIF(FILTER(Data!N:N,Data!B:B=A416),""TRAVERSE""))+(COUNTIF(FILTER(Data!N:N,Data!B:B=A416),""HIGH""))+(COUNTIF(FILTER(Data!N:N,Data!B:B=A416),""MIDDLE""))+(COUNTIF(FILTER(Data!N:N,Data!B:B=A416),""LOW"")))) / (((COUNTIF(Data!B:B, A416)))-(CO"&amp;"UNTIF(FILTER(Data!N:N,Data!B:B=A416),""NONE""))),IF(ISBLANK(A416),"""",0))"),"")</f>
        <v/>
      </c>
      <c r="T416" s="56" t="str">
        <f>IFERROR(__xludf.DUMMYFUNCTION("IFERROR((COUNTIF(FILTER(Data!N:N, Data!B:B=A416),""LOW"")) / (COUNTIF(Data!B:B, A416)),"""")"),"")</f>
        <v/>
      </c>
      <c r="U416" s="59" t="str">
        <f>IFERROR(__xludf.DUMMYFUNCTION("IFERROR((COUNTIF(FILTER(Data!N:N, Data!B:B=A416),""MIDDLE"")) / (COUNTIF(Data!B:B, A416)),"""")"),"")</f>
        <v/>
      </c>
      <c r="V416" s="59" t="str">
        <f>IFERROR(__xludf.DUMMYFUNCTION("IFERROR((COUNTIF(FILTER(Data!N:N, Data!B:B=A416),""HIGH"")) / (COUNTIF(Data!B:B, A416)),"""")"),"")</f>
        <v/>
      </c>
      <c r="W416" s="59" t="str">
        <f>IFERROR(__xludf.DUMMYFUNCTION("IFERROR((COUNTIF(FILTER(Data!N:N, Data!B:B=A416),""TRAVERSE"")) / (COUNTIF(Data!B:B, A416)),"""")"),"")</f>
        <v/>
      </c>
      <c r="X416" s="59"/>
      <c r="Y416" s="45" t="str">
        <f t="shared" si="7"/>
        <v/>
      </c>
      <c r="Z416" s="45" t="str">
        <f t="shared" si="8"/>
        <v/>
      </c>
      <c r="AA416" s="16" t="str">
        <f t="shared" si="9"/>
        <v/>
      </c>
      <c r="AB416" s="16"/>
      <c r="AC416" s="16"/>
      <c r="AD416" s="16"/>
      <c r="AE416" s="16" t="str">
        <f t="shared" si="12"/>
        <v/>
      </c>
      <c r="AF416" s="16" t="str">
        <f t="shared" si="13"/>
        <v/>
      </c>
      <c r="AG416" s="44"/>
      <c r="AH416" s="44"/>
      <c r="AI416" s="44" t="str">
        <f>IFERROR(__xludf.DUMMYFUNCTION("TEXTJOIN("", "",TRUE, FILTER(Data!P:P, Data!B:B=A416))"),"")</f>
        <v/>
      </c>
      <c r="AM416" s="61"/>
      <c r="BC416" s="50"/>
    </row>
    <row r="417">
      <c r="A417" s="14"/>
      <c r="B417" s="55" t="str">
        <f>IFERROR(__xludf.DUMMYFUNCTION("IFERROR(ROUND(
(COUNTIF(FILTER(Data!O:O, Data!B:B=A417), ""Win"")
+ COUNTIF(FILTER(Data!O:O, Data!B:B=A417), {""Tie"",""Results""}))
/ (COUNTIF(Data!B:B, A417)),
1),"""")"),"")</f>
        <v/>
      </c>
      <c r="C417" s="45" t="str">
        <f>IFERROR((SUMIF(Data!B:B, A417, Data!H:H)
/ (COUNTIF(Data!B:B, A417)
)),"")</f>
        <v/>
      </c>
      <c r="D417" s="45" t="str">
        <f>IFERROR((SUMIF(Data!B:B, A417, Data!G:G)
/ (COUNTIF(Data!B:B, A417)
)),"")</f>
        <v/>
      </c>
      <c r="E417" s="45"/>
      <c r="F417" s="45" t="str">
        <f>IFERROR((SUMIF(Data!B:B, A417, Data!J:J)
/ (COUNTIF(Data!B:B, A417)
)),"")</f>
        <v/>
      </c>
      <c r="G417" s="56" t="str">
        <f>IF(A417="","",IFERROR((((((SUMIF(Data!B:B, A417, Data!H:H)+(SUMIF(Data!B:B, A417,Data!G:G)))/(SUMIF(Data!B:B, A417, Data!J:J)))))),0))</f>
        <v/>
      </c>
      <c r="H417" s="45"/>
      <c r="I417" s="45"/>
      <c r="J417" s="45"/>
      <c r="K417" s="45"/>
      <c r="L417" s="45" t="str">
        <f>IFERROR((SUMIF(Data!B:B, A417, Data!L:L)
/ (COUNTIF(Data!B:B, A417)
)),"")</f>
        <v/>
      </c>
      <c r="M417" s="45" t="str">
        <f>IFERROR((SUMIF(Data!B:B, A417, Data!K:K)
/ (COUNTIF(Data!B:B, A417)
)),"")</f>
        <v/>
      </c>
      <c r="N417" s="56"/>
      <c r="O417" s="56" t="str">
        <f>IF(A417="","",IFERROR((((((SUMIF(Data!B:B, A417, Data!H:H)+(SUMIF(Data!B:B, A417,Data!G:G)+(SUMIF(Data!B:B, A417,Data!L:L)+(SUMIF(Data!B:B, A417,Data!K:K)))))/(SUMIF(Data!B:B, A417, Data!M:M)+(SUMIF(Data!B:B, A417, Data!H:H)+(SUMIF(Data!B:B, A417,Data!G:G)+(SUMIF(Data!B:B, A417,Data!K:K)+(SUMIF(Data!B:B, A417,Data!L:L)))))))))),0))</f>
        <v/>
      </c>
      <c r="P417" s="57" t="str">
        <f>IFERROR(__xludf.DUMMYFUNCTION("IFERROR(((COUNTIF(FILTER(Data!N:N,Data!B:B=A417),""TRAVERSE"")*15)+(COUNTIF(FILTER(Data!N:N,Data!B:B=A417),""HIGH"")*10)+(COUNTIF(FILTER(Data!N:N,Data!B:B=A417),""MIDDLE"")*6)+(COUNTIF(FILTER(Data!N:N,Data!B:B=A417),""LOW"")*4)) / (COUNTIF(Data!B:B, A417)"&amp;"),"""")"),"")</f>
        <v/>
      </c>
      <c r="Q417" s="58"/>
      <c r="R417" s="58"/>
      <c r="S417" s="58" t="str">
        <f>IFERROR(__xludf.DUMMYFUNCTION("IFERROR((((COUNTIF(FILTER(Data!N:N,Data!B:B=A417),""TRAVERSE""))+(COUNTIF(FILTER(Data!N:N,Data!B:B=A417),""HIGH""))+(COUNTIF(FILTER(Data!N:N,Data!B:B=A417),""MIDDLE""))+(COUNTIF(FILTER(Data!N:N,Data!B:B=A417),""LOW"")))) / (((COUNTIF(Data!B:B, A417)))-(CO"&amp;"UNTIF(FILTER(Data!N:N,Data!B:B=A417),""NONE""))),IF(ISBLANK(A417),"""",0))"),"")</f>
        <v/>
      </c>
      <c r="T417" s="56" t="str">
        <f>IFERROR(__xludf.DUMMYFUNCTION("IFERROR((COUNTIF(FILTER(Data!N:N, Data!B:B=A417),""LOW"")) / (COUNTIF(Data!B:B, A417)),"""")"),"")</f>
        <v/>
      </c>
      <c r="U417" s="59" t="str">
        <f>IFERROR(__xludf.DUMMYFUNCTION("IFERROR((COUNTIF(FILTER(Data!N:N, Data!B:B=A417),""MIDDLE"")) / (COUNTIF(Data!B:B, A417)),"""")"),"")</f>
        <v/>
      </c>
      <c r="V417" s="59" t="str">
        <f>IFERROR(__xludf.DUMMYFUNCTION("IFERROR((COUNTIF(FILTER(Data!N:N, Data!B:B=A417),""HIGH"")) / (COUNTIF(Data!B:B, A417)),"""")"),"")</f>
        <v/>
      </c>
      <c r="W417" s="59" t="str">
        <f>IFERROR(__xludf.DUMMYFUNCTION("IFERROR((COUNTIF(FILTER(Data!N:N, Data!B:B=A417),""TRAVERSE"")) / (COUNTIF(Data!B:B, A417)),"""")"),"")</f>
        <v/>
      </c>
      <c r="X417" s="59"/>
      <c r="Y417" s="45" t="str">
        <f t="shared" si="7"/>
        <v/>
      </c>
      <c r="Z417" s="45" t="str">
        <f t="shared" si="8"/>
        <v/>
      </c>
      <c r="AA417" s="16" t="str">
        <f t="shared" si="9"/>
        <v/>
      </c>
      <c r="AB417" s="16"/>
      <c r="AC417" s="16"/>
      <c r="AD417" s="16"/>
      <c r="AE417" s="16" t="str">
        <f t="shared" si="12"/>
        <v/>
      </c>
      <c r="AF417" s="16" t="str">
        <f t="shared" si="13"/>
        <v/>
      </c>
      <c r="AG417" s="44"/>
      <c r="AH417" s="44"/>
      <c r="AI417" s="44" t="str">
        <f>IFERROR(__xludf.DUMMYFUNCTION("TEXTJOIN("", "",TRUE, FILTER(Data!P:P, Data!B:B=A417))"),"")</f>
        <v/>
      </c>
      <c r="AM417" s="61"/>
      <c r="BC417" s="50"/>
    </row>
    <row r="418">
      <c r="A418" s="14"/>
      <c r="B418" s="55" t="str">
        <f>IFERROR(__xludf.DUMMYFUNCTION("IFERROR(ROUND(
(COUNTIF(FILTER(Data!O:O, Data!B:B=A418), ""Win"")
+ COUNTIF(FILTER(Data!O:O, Data!B:B=A418), {""Tie"",""Results""}))
/ (COUNTIF(Data!B:B, A418)),
1),"""")"),"")</f>
        <v/>
      </c>
      <c r="C418" s="45" t="str">
        <f>IFERROR((SUMIF(Data!B:B, A418, Data!H:H)
/ (COUNTIF(Data!B:B, A418)
)),"")</f>
        <v/>
      </c>
      <c r="D418" s="45" t="str">
        <f>IFERROR((SUMIF(Data!B:B, A418, Data!G:G)
/ (COUNTIF(Data!B:B, A418)
)),"")</f>
        <v/>
      </c>
      <c r="E418" s="45"/>
      <c r="F418" s="45" t="str">
        <f>IFERROR((SUMIF(Data!B:B, A418, Data!J:J)
/ (COUNTIF(Data!B:B, A418)
)),"")</f>
        <v/>
      </c>
      <c r="G418" s="56" t="str">
        <f>IF(A418="","",IFERROR((((((SUMIF(Data!B:B, A418, Data!H:H)+(SUMIF(Data!B:B, A418,Data!G:G)))/(SUMIF(Data!B:B, A418, Data!J:J)))))),0))</f>
        <v/>
      </c>
      <c r="H418" s="45"/>
      <c r="I418" s="45"/>
      <c r="J418" s="45"/>
      <c r="K418" s="45"/>
      <c r="L418" s="45" t="str">
        <f>IFERROR((SUMIF(Data!B:B, A418, Data!L:L)
/ (COUNTIF(Data!B:B, A418)
)),"")</f>
        <v/>
      </c>
      <c r="M418" s="45" t="str">
        <f>IFERROR((SUMIF(Data!B:B, A418, Data!K:K)
/ (COUNTIF(Data!B:B, A418)
)),"")</f>
        <v/>
      </c>
      <c r="N418" s="56"/>
      <c r="O418" s="56" t="str">
        <f>IF(A418="","",IFERROR((((((SUMIF(Data!B:B, A418, Data!H:H)+(SUMIF(Data!B:B, A418,Data!G:G)+(SUMIF(Data!B:B, A418,Data!L:L)+(SUMIF(Data!B:B, A418,Data!K:K)))))/(SUMIF(Data!B:B, A418, Data!M:M)+(SUMIF(Data!B:B, A418, Data!H:H)+(SUMIF(Data!B:B, A418,Data!G:G)+(SUMIF(Data!B:B, A418,Data!K:K)+(SUMIF(Data!B:B, A418,Data!L:L)))))))))),0))</f>
        <v/>
      </c>
      <c r="P418" s="57" t="str">
        <f>IFERROR(__xludf.DUMMYFUNCTION("IFERROR(((COUNTIF(FILTER(Data!N:N,Data!B:B=A418),""TRAVERSE"")*15)+(COUNTIF(FILTER(Data!N:N,Data!B:B=A418),""HIGH"")*10)+(COUNTIF(FILTER(Data!N:N,Data!B:B=A418),""MIDDLE"")*6)+(COUNTIF(FILTER(Data!N:N,Data!B:B=A418),""LOW"")*4)) / (COUNTIF(Data!B:B, A418)"&amp;"),"""")"),"")</f>
        <v/>
      </c>
      <c r="Q418" s="58"/>
      <c r="R418" s="58"/>
      <c r="S418" s="58" t="str">
        <f>IFERROR(__xludf.DUMMYFUNCTION("IFERROR((((COUNTIF(FILTER(Data!N:N,Data!B:B=A418),""TRAVERSE""))+(COUNTIF(FILTER(Data!N:N,Data!B:B=A418),""HIGH""))+(COUNTIF(FILTER(Data!N:N,Data!B:B=A418),""MIDDLE""))+(COUNTIF(FILTER(Data!N:N,Data!B:B=A418),""LOW"")))) / (((COUNTIF(Data!B:B, A418)))-(CO"&amp;"UNTIF(FILTER(Data!N:N,Data!B:B=A418),""NONE""))),IF(ISBLANK(A418),"""",0))"),"")</f>
        <v/>
      </c>
      <c r="T418" s="56" t="str">
        <f>IFERROR(__xludf.DUMMYFUNCTION("IFERROR((COUNTIF(FILTER(Data!N:N, Data!B:B=A418),""LOW"")) / (COUNTIF(Data!B:B, A418)),"""")"),"")</f>
        <v/>
      </c>
      <c r="U418" s="59" t="str">
        <f>IFERROR(__xludf.DUMMYFUNCTION("IFERROR((COUNTIF(FILTER(Data!N:N, Data!B:B=A418),""MIDDLE"")) / (COUNTIF(Data!B:B, A418)),"""")"),"")</f>
        <v/>
      </c>
      <c r="V418" s="59" t="str">
        <f>IFERROR(__xludf.DUMMYFUNCTION("IFERROR((COUNTIF(FILTER(Data!N:N, Data!B:B=A418),""HIGH"")) / (COUNTIF(Data!B:B, A418)),"""")"),"")</f>
        <v/>
      </c>
      <c r="W418" s="59" t="str">
        <f>IFERROR(__xludf.DUMMYFUNCTION("IFERROR((COUNTIF(FILTER(Data!N:N, Data!B:B=A418),""TRAVERSE"")) / (COUNTIF(Data!B:B, A418)),"""")"),"")</f>
        <v/>
      </c>
      <c r="X418" s="59"/>
      <c r="Y418" s="45" t="str">
        <f t="shared" si="7"/>
        <v/>
      </c>
      <c r="Z418" s="45" t="str">
        <f t="shared" si="8"/>
        <v/>
      </c>
      <c r="AA418" s="16" t="str">
        <f t="shared" si="9"/>
        <v/>
      </c>
      <c r="AB418" s="16"/>
      <c r="AC418" s="16"/>
      <c r="AD418" s="16"/>
      <c r="AE418" s="16" t="str">
        <f t="shared" si="12"/>
        <v/>
      </c>
      <c r="AF418" s="16" t="str">
        <f t="shared" si="13"/>
        <v/>
      </c>
      <c r="AG418" s="44"/>
      <c r="AH418" s="44"/>
      <c r="AI418" s="44" t="str">
        <f>IFERROR(__xludf.DUMMYFUNCTION("TEXTJOIN("", "",TRUE, FILTER(Data!P:P, Data!B:B=A418))"),"")</f>
        <v/>
      </c>
      <c r="AM418" s="61"/>
      <c r="BC418" s="50"/>
    </row>
    <row r="419">
      <c r="A419" s="14"/>
      <c r="B419" s="55" t="str">
        <f>IFERROR(__xludf.DUMMYFUNCTION("IFERROR(ROUND(
(COUNTIF(FILTER(Data!O:O, Data!B:B=A419), ""Win"")
+ COUNTIF(FILTER(Data!O:O, Data!B:B=A419), {""Tie"",""Results""}))
/ (COUNTIF(Data!B:B, A419)),
1),"""")"),"")</f>
        <v/>
      </c>
      <c r="C419" s="45" t="str">
        <f>IFERROR((SUMIF(Data!B:B, A419, Data!H:H)
/ (COUNTIF(Data!B:B, A419)
)),"")</f>
        <v/>
      </c>
      <c r="D419" s="45" t="str">
        <f>IFERROR((SUMIF(Data!B:B, A419, Data!G:G)
/ (COUNTIF(Data!B:B, A419)
)),"")</f>
        <v/>
      </c>
      <c r="E419" s="45"/>
      <c r="F419" s="45" t="str">
        <f>IFERROR((SUMIF(Data!B:B, A419, Data!J:J)
/ (COUNTIF(Data!B:B, A419)
)),"")</f>
        <v/>
      </c>
      <c r="G419" s="56" t="str">
        <f>IF(A419="","",IFERROR((((((SUMIF(Data!B:B, A419, Data!H:H)+(SUMIF(Data!B:B, A419,Data!G:G)))/(SUMIF(Data!B:B, A419, Data!J:J)))))),0))</f>
        <v/>
      </c>
      <c r="H419" s="45"/>
      <c r="I419" s="45"/>
      <c r="J419" s="45"/>
      <c r="K419" s="45"/>
      <c r="L419" s="45" t="str">
        <f>IFERROR((SUMIF(Data!B:B, A419, Data!L:L)
/ (COUNTIF(Data!B:B, A419)
)),"")</f>
        <v/>
      </c>
      <c r="M419" s="45" t="str">
        <f>IFERROR((SUMIF(Data!B:B, A419, Data!K:K)
/ (COUNTIF(Data!B:B, A419)
)),"")</f>
        <v/>
      </c>
      <c r="N419" s="56"/>
      <c r="O419" s="56" t="str">
        <f>IF(A419="","",IFERROR((((((SUMIF(Data!B:B, A419, Data!H:H)+(SUMIF(Data!B:B, A419,Data!G:G)+(SUMIF(Data!B:B, A419,Data!L:L)+(SUMIF(Data!B:B, A419,Data!K:K)))))/(SUMIF(Data!B:B, A419, Data!M:M)+(SUMIF(Data!B:B, A419, Data!H:H)+(SUMIF(Data!B:B, A419,Data!G:G)+(SUMIF(Data!B:B, A419,Data!K:K)+(SUMIF(Data!B:B, A419,Data!L:L)))))))))),0))</f>
        <v/>
      </c>
      <c r="P419" s="57" t="str">
        <f>IFERROR(__xludf.DUMMYFUNCTION("IFERROR(((COUNTIF(FILTER(Data!N:N,Data!B:B=A419),""TRAVERSE"")*15)+(COUNTIF(FILTER(Data!N:N,Data!B:B=A419),""HIGH"")*10)+(COUNTIF(FILTER(Data!N:N,Data!B:B=A419),""MIDDLE"")*6)+(COUNTIF(FILTER(Data!N:N,Data!B:B=A419),""LOW"")*4)) / (COUNTIF(Data!B:B, A419)"&amp;"),"""")"),"")</f>
        <v/>
      </c>
      <c r="Q419" s="58"/>
      <c r="R419" s="58"/>
      <c r="S419" s="58" t="str">
        <f>IFERROR(__xludf.DUMMYFUNCTION("IFERROR((((COUNTIF(FILTER(Data!N:N,Data!B:B=A419),""TRAVERSE""))+(COUNTIF(FILTER(Data!N:N,Data!B:B=A419),""HIGH""))+(COUNTIF(FILTER(Data!N:N,Data!B:B=A419),""MIDDLE""))+(COUNTIF(FILTER(Data!N:N,Data!B:B=A419),""LOW"")))) / (((COUNTIF(Data!B:B, A419)))-(CO"&amp;"UNTIF(FILTER(Data!N:N,Data!B:B=A419),""NONE""))),IF(ISBLANK(A419),"""",0))"),"")</f>
        <v/>
      </c>
      <c r="T419" s="56" t="str">
        <f>IFERROR(__xludf.DUMMYFUNCTION("IFERROR((COUNTIF(FILTER(Data!N:N, Data!B:B=A419),""LOW"")) / (COUNTIF(Data!B:B, A419)),"""")"),"")</f>
        <v/>
      </c>
      <c r="U419" s="59" t="str">
        <f>IFERROR(__xludf.DUMMYFUNCTION("IFERROR((COUNTIF(FILTER(Data!N:N, Data!B:B=A419),""MIDDLE"")) / (COUNTIF(Data!B:B, A419)),"""")"),"")</f>
        <v/>
      </c>
      <c r="V419" s="59" t="str">
        <f>IFERROR(__xludf.DUMMYFUNCTION("IFERROR((COUNTIF(FILTER(Data!N:N, Data!B:B=A419),""HIGH"")) / (COUNTIF(Data!B:B, A419)),"""")"),"")</f>
        <v/>
      </c>
      <c r="W419" s="59" t="str">
        <f>IFERROR(__xludf.DUMMYFUNCTION("IFERROR((COUNTIF(FILTER(Data!N:N, Data!B:B=A419),""TRAVERSE"")) / (COUNTIF(Data!B:B, A419)),"""")"),"")</f>
        <v/>
      </c>
      <c r="X419" s="59"/>
      <c r="Y419" s="45" t="str">
        <f t="shared" si="7"/>
        <v/>
      </c>
      <c r="Z419" s="45" t="str">
        <f t="shared" si="8"/>
        <v/>
      </c>
      <c r="AA419" s="16" t="str">
        <f t="shared" si="9"/>
        <v/>
      </c>
      <c r="AB419" s="16"/>
      <c r="AC419" s="16"/>
      <c r="AD419" s="16"/>
      <c r="AE419" s="16" t="str">
        <f t="shared" si="12"/>
        <v/>
      </c>
      <c r="AF419" s="16" t="str">
        <f t="shared" si="13"/>
        <v/>
      </c>
      <c r="AG419" s="44"/>
      <c r="AH419" s="44"/>
      <c r="AI419" s="44" t="str">
        <f>IFERROR(__xludf.DUMMYFUNCTION("TEXTJOIN("", "",TRUE, FILTER(Data!P:P, Data!B:B=A419))"),"")</f>
        <v/>
      </c>
      <c r="AM419" s="61"/>
      <c r="BC419" s="50"/>
    </row>
    <row r="420">
      <c r="A420" s="14"/>
      <c r="B420" s="55" t="str">
        <f>IFERROR(__xludf.DUMMYFUNCTION("IFERROR(ROUND(
(COUNTIF(FILTER(Data!O:O, Data!B:B=A420), ""Win"")
+ COUNTIF(FILTER(Data!O:O, Data!B:B=A420), {""Tie"",""Results""}))
/ (COUNTIF(Data!B:B, A420)),
1),"""")"),"")</f>
        <v/>
      </c>
      <c r="C420" s="45" t="str">
        <f>IFERROR((SUMIF(Data!B:B, A420, Data!H:H)
/ (COUNTIF(Data!B:B, A420)
)),"")</f>
        <v/>
      </c>
      <c r="D420" s="45" t="str">
        <f>IFERROR((SUMIF(Data!B:B, A420, Data!G:G)
/ (COUNTIF(Data!B:B, A420)
)),"")</f>
        <v/>
      </c>
      <c r="E420" s="45"/>
      <c r="F420" s="45" t="str">
        <f>IFERROR((SUMIF(Data!B:B, A420, Data!J:J)
/ (COUNTIF(Data!B:B, A420)
)),"")</f>
        <v/>
      </c>
      <c r="G420" s="56" t="str">
        <f>IF(A420="","",IFERROR((((((SUMIF(Data!B:B, A420, Data!H:H)+(SUMIF(Data!B:B, A420,Data!G:G)))/(SUMIF(Data!B:B, A420, Data!J:J)))))),0))</f>
        <v/>
      </c>
      <c r="H420" s="45"/>
      <c r="I420" s="45"/>
      <c r="J420" s="45"/>
      <c r="K420" s="45"/>
      <c r="L420" s="45" t="str">
        <f>IFERROR((SUMIF(Data!B:B, A420, Data!L:L)
/ (COUNTIF(Data!B:B, A420)
)),"")</f>
        <v/>
      </c>
      <c r="M420" s="45" t="str">
        <f>IFERROR((SUMIF(Data!B:B, A420, Data!K:K)
/ (COUNTIF(Data!B:B, A420)
)),"")</f>
        <v/>
      </c>
      <c r="N420" s="56"/>
      <c r="O420" s="56" t="str">
        <f>IF(A420="","",IFERROR((((((SUMIF(Data!B:B, A420, Data!H:H)+(SUMIF(Data!B:B, A420,Data!G:G)+(SUMIF(Data!B:B, A420,Data!L:L)+(SUMIF(Data!B:B, A420,Data!K:K)))))/(SUMIF(Data!B:B, A420, Data!M:M)+(SUMIF(Data!B:B, A420, Data!H:H)+(SUMIF(Data!B:B, A420,Data!G:G)+(SUMIF(Data!B:B, A420,Data!K:K)+(SUMIF(Data!B:B, A420,Data!L:L)))))))))),0))</f>
        <v/>
      </c>
      <c r="P420" s="57" t="str">
        <f>IFERROR(__xludf.DUMMYFUNCTION("IFERROR(((COUNTIF(FILTER(Data!N:N,Data!B:B=A420),""TRAVERSE"")*15)+(COUNTIF(FILTER(Data!N:N,Data!B:B=A420),""HIGH"")*10)+(COUNTIF(FILTER(Data!N:N,Data!B:B=A420),""MIDDLE"")*6)+(COUNTIF(FILTER(Data!N:N,Data!B:B=A420),""LOW"")*4)) / (COUNTIF(Data!B:B, A420)"&amp;"),"""")"),"")</f>
        <v/>
      </c>
      <c r="Q420" s="58"/>
      <c r="R420" s="58"/>
      <c r="S420" s="58" t="str">
        <f>IFERROR(__xludf.DUMMYFUNCTION("IFERROR((((COUNTIF(FILTER(Data!N:N,Data!B:B=A420),""TRAVERSE""))+(COUNTIF(FILTER(Data!N:N,Data!B:B=A420),""HIGH""))+(COUNTIF(FILTER(Data!N:N,Data!B:B=A420),""MIDDLE""))+(COUNTIF(FILTER(Data!N:N,Data!B:B=A420),""LOW"")))) / (((COUNTIF(Data!B:B, A420)))-(CO"&amp;"UNTIF(FILTER(Data!N:N,Data!B:B=A420),""NONE""))),IF(ISBLANK(A420),"""",0))"),"")</f>
        <v/>
      </c>
      <c r="T420" s="56" t="str">
        <f>IFERROR(__xludf.DUMMYFUNCTION("IFERROR((COUNTIF(FILTER(Data!N:N, Data!B:B=A420),""LOW"")) / (COUNTIF(Data!B:B, A420)),"""")"),"")</f>
        <v/>
      </c>
      <c r="U420" s="59" t="str">
        <f>IFERROR(__xludf.DUMMYFUNCTION("IFERROR((COUNTIF(FILTER(Data!N:N, Data!B:B=A420),""MIDDLE"")) / (COUNTIF(Data!B:B, A420)),"""")"),"")</f>
        <v/>
      </c>
      <c r="V420" s="59" t="str">
        <f>IFERROR(__xludf.DUMMYFUNCTION("IFERROR((COUNTIF(FILTER(Data!N:N, Data!B:B=A420),""HIGH"")) / (COUNTIF(Data!B:B, A420)),"""")"),"")</f>
        <v/>
      </c>
      <c r="W420" s="59" t="str">
        <f>IFERROR(__xludf.DUMMYFUNCTION("IFERROR((COUNTIF(FILTER(Data!N:N, Data!B:B=A420),""TRAVERSE"")) / (COUNTIF(Data!B:B, A420)),"""")"),"")</f>
        <v/>
      </c>
      <c r="X420" s="59"/>
      <c r="Y420" s="45" t="str">
        <f t="shared" si="7"/>
        <v/>
      </c>
      <c r="Z420" s="45" t="str">
        <f t="shared" si="8"/>
        <v/>
      </c>
      <c r="AA420" s="16" t="str">
        <f t="shared" si="9"/>
        <v/>
      </c>
      <c r="AB420" s="16"/>
      <c r="AC420" s="16"/>
      <c r="AD420" s="16"/>
      <c r="AE420" s="16" t="str">
        <f t="shared" si="12"/>
        <v/>
      </c>
      <c r="AF420" s="16" t="str">
        <f t="shared" si="13"/>
        <v/>
      </c>
      <c r="AG420" s="44"/>
      <c r="AH420" s="44"/>
      <c r="AI420" s="44" t="str">
        <f>IFERROR(__xludf.DUMMYFUNCTION("TEXTJOIN("", "",TRUE, FILTER(Data!P:P, Data!B:B=A420))"),"")</f>
        <v/>
      </c>
      <c r="AM420" s="61"/>
      <c r="BC420" s="50"/>
    </row>
    <row r="421">
      <c r="A421" s="14"/>
      <c r="B421" s="55" t="str">
        <f>IFERROR(__xludf.DUMMYFUNCTION("IFERROR(ROUND(
(COUNTIF(FILTER(Data!O:O, Data!B:B=A421), ""Win"")
+ COUNTIF(FILTER(Data!O:O, Data!B:B=A421), {""Tie"",""Results""}))
/ (COUNTIF(Data!B:B, A421)),
1),"""")"),"")</f>
        <v/>
      </c>
      <c r="C421" s="45" t="str">
        <f>IFERROR((SUMIF(Data!B:B, A421, Data!H:H)
/ (COUNTIF(Data!B:B, A421)
)),"")</f>
        <v/>
      </c>
      <c r="D421" s="45" t="str">
        <f>IFERROR((SUMIF(Data!B:B, A421, Data!G:G)
/ (COUNTIF(Data!B:B, A421)
)),"")</f>
        <v/>
      </c>
      <c r="E421" s="45"/>
      <c r="F421" s="45" t="str">
        <f>IFERROR((SUMIF(Data!B:B, A421, Data!J:J)
/ (COUNTIF(Data!B:B, A421)
)),"")</f>
        <v/>
      </c>
      <c r="G421" s="56" t="str">
        <f>IF(A421="","",IFERROR((((((SUMIF(Data!B:B, A421, Data!H:H)+(SUMIF(Data!B:B, A421,Data!G:G)))/(SUMIF(Data!B:B, A421, Data!J:J)))))),0))</f>
        <v/>
      </c>
      <c r="H421" s="45"/>
      <c r="I421" s="45"/>
      <c r="J421" s="45"/>
      <c r="K421" s="45"/>
      <c r="L421" s="45" t="str">
        <f>IFERROR((SUMIF(Data!B:B, A421, Data!L:L)
/ (COUNTIF(Data!B:B, A421)
)),"")</f>
        <v/>
      </c>
      <c r="M421" s="45" t="str">
        <f>IFERROR((SUMIF(Data!B:B, A421, Data!K:K)
/ (COUNTIF(Data!B:B, A421)
)),"")</f>
        <v/>
      </c>
      <c r="N421" s="56"/>
      <c r="O421" s="56" t="str">
        <f>IF(A421="","",IFERROR((((((SUMIF(Data!B:B, A421, Data!H:H)+(SUMIF(Data!B:B, A421,Data!G:G)+(SUMIF(Data!B:B, A421,Data!L:L)+(SUMIF(Data!B:B, A421,Data!K:K)))))/(SUMIF(Data!B:B, A421, Data!M:M)+(SUMIF(Data!B:B, A421, Data!H:H)+(SUMIF(Data!B:B, A421,Data!G:G)+(SUMIF(Data!B:B, A421,Data!K:K)+(SUMIF(Data!B:B, A421,Data!L:L)))))))))),0))</f>
        <v/>
      </c>
      <c r="P421" s="57" t="str">
        <f>IFERROR(__xludf.DUMMYFUNCTION("IFERROR(((COUNTIF(FILTER(Data!N:N,Data!B:B=A421),""TRAVERSE"")*15)+(COUNTIF(FILTER(Data!N:N,Data!B:B=A421),""HIGH"")*10)+(COUNTIF(FILTER(Data!N:N,Data!B:B=A421),""MIDDLE"")*6)+(COUNTIF(FILTER(Data!N:N,Data!B:B=A421),""LOW"")*4)) / (COUNTIF(Data!B:B, A421)"&amp;"),"""")"),"")</f>
        <v/>
      </c>
      <c r="Q421" s="58"/>
      <c r="R421" s="58"/>
      <c r="S421" s="58" t="str">
        <f>IFERROR(__xludf.DUMMYFUNCTION("IFERROR((((COUNTIF(FILTER(Data!N:N,Data!B:B=A421),""TRAVERSE""))+(COUNTIF(FILTER(Data!N:N,Data!B:B=A421),""HIGH""))+(COUNTIF(FILTER(Data!N:N,Data!B:B=A421),""MIDDLE""))+(COUNTIF(FILTER(Data!N:N,Data!B:B=A421),""LOW"")))) / (((COUNTIF(Data!B:B, A421)))-(CO"&amp;"UNTIF(FILTER(Data!N:N,Data!B:B=A421),""NONE""))),IF(ISBLANK(A421),"""",0))"),"")</f>
        <v/>
      </c>
      <c r="T421" s="56" t="str">
        <f>IFERROR(__xludf.DUMMYFUNCTION("IFERROR((COUNTIF(FILTER(Data!N:N, Data!B:B=A421),""LOW"")) / (COUNTIF(Data!B:B, A421)),"""")"),"")</f>
        <v/>
      </c>
      <c r="U421" s="59" t="str">
        <f>IFERROR(__xludf.DUMMYFUNCTION("IFERROR((COUNTIF(FILTER(Data!N:N, Data!B:B=A421),""MIDDLE"")) / (COUNTIF(Data!B:B, A421)),"""")"),"")</f>
        <v/>
      </c>
      <c r="V421" s="59" t="str">
        <f>IFERROR(__xludf.DUMMYFUNCTION("IFERROR((COUNTIF(FILTER(Data!N:N, Data!B:B=A421),""HIGH"")) / (COUNTIF(Data!B:B, A421)),"""")"),"")</f>
        <v/>
      </c>
      <c r="W421" s="59" t="str">
        <f>IFERROR(__xludf.DUMMYFUNCTION("IFERROR((COUNTIF(FILTER(Data!N:N, Data!B:B=A421),""TRAVERSE"")) / (COUNTIF(Data!B:B, A421)),"""")"),"")</f>
        <v/>
      </c>
      <c r="X421" s="59"/>
      <c r="Y421" s="45" t="str">
        <f t="shared" si="7"/>
        <v/>
      </c>
      <c r="Z421" s="45" t="str">
        <f t="shared" si="8"/>
        <v/>
      </c>
      <c r="AA421" s="16" t="str">
        <f t="shared" si="9"/>
        <v/>
      </c>
      <c r="AB421" s="16"/>
      <c r="AC421" s="16"/>
      <c r="AD421" s="16"/>
      <c r="AE421" s="16" t="str">
        <f t="shared" si="12"/>
        <v/>
      </c>
      <c r="AF421" s="16" t="str">
        <f t="shared" si="13"/>
        <v/>
      </c>
      <c r="AG421" s="44"/>
      <c r="AH421" s="44"/>
      <c r="AI421" s="44" t="str">
        <f>IFERROR(__xludf.DUMMYFUNCTION("TEXTJOIN("", "",TRUE, FILTER(Data!P:P, Data!B:B=A421))"),"")</f>
        <v/>
      </c>
      <c r="AM421" s="61"/>
      <c r="BC421" s="50"/>
    </row>
    <row r="422">
      <c r="A422" s="14"/>
      <c r="B422" s="55" t="str">
        <f>IFERROR(__xludf.DUMMYFUNCTION("IFERROR(ROUND(
(COUNTIF(FILTER(Data!O:O, Data!B:B=A422), ""Win"")
+ COUNTIF(FILTER(Data!O:O, Data!B:B=A422), {""Tie"",""Results""}))
/ (COUNTIF(Data!B:B, A422)),
1),"""")"),"")</f>
        <v/>
      </c>
      <c r="C422" s="45" t="str">
        <f>IFERROR((SUMIF(Data!B:B, A422, Data!H:H)
/ (COUNTIF(Data!B:B, A422)
)),"")</f>
        <v/>
      </c>
      <c r="D422" s="45" t="str">
        <f>IFERROR((SUMIF(Data!B:B, A422, Data!G:G)
/ (COUNTIF(Data!B:B, A422)
)),"")</f>
        <v/>
      </c>
      <c r="E422" s="45"/>
      <c r="F422" s="45" t="str">
        <f>IFERROR((SUMIF(Data!B:B, A422, Data!J:J)
/ (COUNTIF(Data!B:B, A422)
)),"")</f>
        <v/>
      </c>
      <c r="G422" s="56" t="str">
        <f>IF(A422="","",IFERROR((((((SUMIF(Data!B:B, A422, Data!H:H)+(SUMIF(Data!B:B, A422,Data!G:G)))/(SUMIF(Data!B:B, A422, Data!J:J)))))),0))</f>
        <v/>
      </c>
      <c r="H422" s="45"/>
      <c r="I422" s="45"/>
      <c r="J422" s="45"/>
      <c r="K422" s="45"/>
      <c r="L422" s="45" t="str">
        <f>IFERROR((SUMIF(Data!B:B, A422, Data!L:L)
/ (COUNTIF(Data!B:B, A422)
)),"")</f>
        <v/>
      </c>
      <c r="M422" s="45" t="str">
        <f>IFERROR((SUMIF(Data!B:B, A422, Data!K:K)
/ (COUNTIF(Data!B:B, A422)
)),"")</f>
        <v/>
      </c>
      <c r="N422" s="56"/>
      <c r="O422" s="56" t="str">
        <f>IF(A422="","",IFERROR((((((SUMIF(Data!B:B, A422, Data!H:H)+(SUMIF(Data!B:B, A422,Data!G:G)+(SUMIF(Data!B:B, A422,Data!L:L)+(SUMIF(Data!B:B, A422,Data!K:K)))))/(SUMIF(Data!B:B, A422, Data!M:M)+(SUMIF(Data!B:B, A422, Data!H:H)+(SUMIF(Data!B:B, A422,Data!G:G)+(SUMIF(Data!B:B, A422,Data!K:K)+(SUMIF(Data!B:B, A422,Data!L:L)))))))))),0))</f>
        <v/>
      </c>
      <c r="P422" s="57" t="str">
        <f>IFERROR(__xludf.DUMMYFUNCTION("IFERROR(((COUNTIF(FILTER(Data!N:N,Data!B:B=A422),""TRAVERSE"")*15)+(COUNTIF(FILTER(Data!N:N,Data!B:B=A422),""HIGH"")*10)+(COUNTIF(FILTER(Data!N:N,Data!B:B=A422),""MIDDLE"")*6)+(COUNTIF(FILTER(Data!N:N,Data!B:B=A422),""LOW"")*4)) / (COUNTIF(Data!B:B, A422)"&amp;"),"""")"),"")</f>
        <v/>
      </c>
      <c r="Q422" s="58"/>
      <c r="R422" s="58"/>
      <c r="S422" s="58" t="str">
        <f>IFERROR(__xludf.DUMMYFUNCTION("IFERROR((((COUNTIF(FILTER(Data!N:N,Data!B:B=A422),""TRAVERSE""))+(COUNTIF(FILTER(Data!N:N,Data!B:B=A422),""HIGH""))+(COUNTIF(FILTER(Data!N:N,Data!B:B=A422),""MIDDLE""))+(COUNTIF(FILTER(Data!N:N,Data!B:B=A422),""LOW"")))) / (((COUNTIF(Data!B:B, A422)))-(CO"&amp;"UNTIF(FILTER(Data!N:N,Data!B:B=A422),""NONE""))),IF(ISBLANK(A422),"""",0))"),"")</f>
        <v/>
      </c>
      <c r="T422" s="56" t="str">
        <f>IFERROR(__xludf.DUMMYFUNCTION("IFERROR((COUNTIF(FILTER(Data!N:N, Data!B:B=A422),""LOW"")) / (COUNTIF(Data!B:B, A422)),"""")"),"")</f>
        <v/>
      </c>
      <c r="U422" s="59" t="str">
        <f>IFERROR(__xludf.DUMMYFUNCTION("IFERROR((COUNTIF(FILTER(Data!N:N, Data!B:B=A422),""MIDDLE"")) / (COUNTIF(Data!B:B, A422)),"""")"),"")</f>
        <v/>
      </c>
      <c r="V422" s="59" t="str">
        <f>IFERROR(__xludf.DUMMYFUNCTION("IFERROR((COUNTIF(FILTER(Data!N:N, Data!B:B=A422),""HIGH"")) / (COUNTIF(Data!B:B, A422)),"""")"),"")</f>
        <v/>
      </c>
      <c r="W422" s="59" t="str">
        <f>IFERROR(__xludf.DUMMYFUNCTION("IFERROR((COUNTIF(FILTER(Data!N:N, Data!B:B=A422),""TRAVERSE"")) / (COUNTIF(Data!B:B, A422)),"""")"),"")</f>
        <v/>
      </c>
      <c r="X422" s="59"/>
      <c r="Y422" s="45" t="str">
        <f t="shared" si="7"/>
        <v/>
      </c>
      <c r="Z422" s="45" t="str">
        <f t="shared" si="8"/>
        <v/>
      </c>
      <c r="AA422" s="16" t="str">
        <f t="shared" si="9"/>
        <v/>
      </c>
      <c r="AB422" s="16"/>
      <c r="AC422" s="16"/>
      <c r="AD422" s="16"/>
      <c r="AE422" s="16" t="str">
        <f t="shared" si="12"/>
        <v/>
      </c>
      <c r="AF422" s="16" t="str">
        <f t="shared" si="13"/>
        <v/>
      </c>
      <c r="AG422" s="44"/>
      <c r="AH422" s="44"/>
      <c r="AI422" s="44" t="str">
        <f>IFERROR(__xludf.DUMMYFUNCTION("TEXTJOIN("", "",TRUE, FILTER(Data!P:P, Data!B:B=A422))"),"")</f>
        <v/>
      </c>
      <c r="AM422" s="61"/>
      <c r="BC422" s="50"/>
    </row>
    <row r="423">
      <c r="A423" s="14"/>
      <c r="B423" s="55" t="str">
        <f>IFERROR(__xludf.DUMMYFUNCTION("IFERROR(ROUND(
(COUNTIF(FILTER(Data!O:O, Data!B:B=A423), ""Win"")
+ COUNTIF(FILTER(Data!O:O, Data!B:B=A423), {""Tie"",""Results""}))
/ (COUNTIF(Data!B:B, A423)),
1),"""")"),"")</f>
        <v/>
      </c>
      <c r="C423" s="45" t="str">
        <f>IFERROR((SUMIF(Data!B:B, A423, Data!H:H)
/ (COUNTIF(Data!B:B, A423)
)),"")</f>
        <v/>
      </c>
      <c r="D423" s="45" t="str">
        <f>IFERROR((SUMIF(Data!B:B, A423, Data!G:G)
/ (COUNTIF(Data!B:B, A423)
)),"")</f>
        <v/>
      </c>
      <c r="E423" s="45"/>
      <c r="F423" s="45" t="str">
        <f>IFERROR((SUMIF(Data!B:B, A423, Data!J:J)
/ (COUNTIF(Data!B:B, A423)
)),"")</f>
        <v/>
      </c>
      <c r="G423" s="56" t="str">
        <f>IF(A423="","",IFERROR((((((SUMIF(Data!B:B, A423, Data!H:H)+(SUMIF(Data!B:B, A423,Data!G:G)))/(SUMIF(Data!B:B, A423, Data!J:J)))))),0))</f>
        <v/>
      </c>
      <c r="H423" s="45"/>
      <c r="I423" s="45"/>
      <c r="J423" s="45"/>
      <c r="K423" s="45"/>
      <c r="L423" s="45" t="str">
        <f>IFERROR((SUMIF(Data!B:B, A423, Data!L:L)
/ (COUNTIF(Data!B:B, A423)
)),"")</f>
        <v/>
      </c>
      <c r="M423" s="45" t="str">
        <f>IFERROR((SUMIF(Data!B:B, A423, Data!K:K)
/ (COUNTIF(Data!B:B, A423)
)),"")</f>
        <v/>
      </c>
      <c r="N423" s="56"/>
      <c r="O423" s="56" t="str">
        <f>IF(A423="","",IFERROR((((((SUMIF(Data!B:B, A423, Data!H:H)+(SUMIF(Data!B:B, A423,Data!G:G)+(SUMIF(Data!B:B, A423,Data!L:L)+(SUMIF(Data!B:B, A423,Data!K:K)))))/(SUMIF(Data!B:B, A423, Data!M:M)+(SUMIF(Data!B:B, A423, Data!H:H)+(SUMIF(Data!B:B, A423,Data!G:G)+(SUMIF(Data!B:B, A423,Data!K:K)+(SUMIF(Data!B:B, A423,Data!L:L)))))))))),0))</f>
        <v/>
      </c>
      <c r="P423" s="57" t="str">
        <f>IFERROR(__xludf.DUMMYFUNCTION("IFERROR(((COUNTIF(FILTER(Data!N:N,Data!B:B=A423),""TRAVERSE"")*15)+(COUNTIF(FILTER(Data!N:N,Data!B:B=A423),""HIGH"")*10)+(COUNTIF(FILTER(Data!N:N,Data!B:B=A423),""MIDDLE"")*6)+(COUNTIF(FILTER(Data!N:N,Data!B:B=A423),""LOW"")*4)) / (COUNTIF(Data!B:B, A423)"&amp;"),"""")"),"")</f>
        <v/>
      </c>
      <c r="Q423" s="58"/>
      <c r="R423" s="58"/>
      <c r="S423" s="58" t="str">
        <f>IFERROR(__xludf.DUMMYFUNCTION("IFERROR((((COUNTIF(FILTER(Data!N:N,Data!B:B=A423),""TRAVERSE""))+(COUNTIF(FILTER(Data!N:N,Data!B:B=A423),""HIGH""))+(COUNTIF(FILTER(Data!N:N,Data!B:B=A423),""MIDDLE""))+(COUNTIF(FILTER(Data!N:N,Data!B:B=A423),""LOW"")))) / (((COUNTIF(Data!B:B, A423)))-(CO"&amp;"UNTIF(FILTER(Data!N:N,Data!B:B=A423),""NONE""))),IF(ISBLANK(A423),"""",0))"),"")</f>
        <v/>
      </c>
      <c r="T423" s="56" t="str">
        <f>IFERROR(__xludf.DUMMYFUNCTION("IFERROR((COUNTIF(FILTER(Data!N:N, Data!B:B=A423),""LOW"")) / (COUNTIF(Data!B:B, A423)),"""")"),"")</f>
        <v/>
      </c>
      <c r="U423" s="59" t="str">
        <f>IFERROR(__xludf.DUMMYFUNCTION("IFERROR((COUNTIF(FILTER(Data!N:N, Data!B:B=A423),""MIDDLE"")) / (COUNTIF(Data!B:B, A423)),"""")"),"")</f>
        <v/>
      </c>
      <c r="V423" s="59" t="str">
        <f>IFERROR(__xludf.DUMMYFUNCTION("IFERROR((COUNTIF(FILTER(Data!N:N, Data!B:B=A423),""HIGH"")) / (COUNTIF(Data!B:B, A423)),"""")"),"")</f>
        <v/>
      </c>
      <c r="W423" s="59" t="str">
        <f>IFERROR(__xludf.DUMMYFUNCTION("IFERROR((COUNTIF(FILTER(Data!N:N, Data!B:B=A423),""TRAVERSE"")) / (COUNTIF(Data!B:B, A423)),"""")"),"")</f>
        <v/>
      </c>
      <c r="X423" s="59"/>
      <c r="Y423" s="45" t="str">
        <f t="shared" si="7"/>
        <v/>
      </c>
      <c r="Z423" s="45" t="str">
        <f t="shared" si="8"/>
        <v/>
      </c>
      <c r="AA423" s="16" t="str">
        <f t="shared" si="9"/>
        <v/>
      </c>
      <c r="AB423" s="16"/>
      <c r="AC423" s="16"/>
      <c r="AD423" s="16"/>
      <c r="AE423" s="16" t="str">
        <f t="shared" si="12"/>
        <v/>
      </c>
      <c r="AF423" s="16" t="str">
        <f t="shared" si="13"/>
        <v/>
      </c>
      <c r="AG423" s="44"/>
      <c r="AH423" s="44"/>
      <c r="AI423" s="44" t="str">
        <f>IFERROR(__xludf.DUMMYFUNCTION("TEXTJOIN("", "",TRUE, FILTER(Data!P:P, Data!B:B=A423))"),"")</f>
        <v/>
      </c>
      <c r="AM423" s="61"/>
      <c r="BC423" s="50"/>
    </row>
    <row r="424">
      <c r="A424" s="14"/>
      <c r="B424" s="55" t="str">
        <f>IFERROR(__xludf.DUMMYFUNCTION("IFERROR(ROUND(
(COUNTIF(FILTER(Data!O:O, Data!B:B=A424), ""Win"")
+ COUNTIF(FILTER(Data!O:O, Data!B:B=A424), {""Tie"",""Results""}))
/ (COUNTIF(Data!B:B, A424)),
1),"""")"),"")</f>
        <v/>
      </c>
      <c r="C424" s="45" t="str">
        <f>IFERROR((SUMIF(Data!B:B, A424, Data!H:H)
/ (COUNTIF(Data!B:B, A424)
)),"")</f>
        <v/>
      </c>
      <c r="D424" s="45" t="str">
        <f>IFERROR((SUMIF(Data!B:B, A424, Data!G:G)
/ (COUNTIF(Data!B:B, A424)
)),"")</f>
        <v/>
      </c>
      <c r="E424" s="45"/>
      <c r="F424" s="45" t="str">
        <f>IFERROR((SUMIF(Data!B:B, A424, Data!J:J)
/ (COUNTIF(Data!B:B, A424)
)),"")</f>
        <v/>
      </c>
      <c r="G424" s="56" t="str">
        <f>IF(A424="","",IFERROR((((((SUMIF(Data!B:B, A424, Data!H:H)+(SUMIF(Data!B:B, A424,Data!G:G)))/(SUMIF(Data!B:B, A424, Data!J:J)))))),0))</f>
        <v/>
      </c>
      <c r="H424" s="45"/>
      <c r="I424" s="45"/>
      <c r="J424" s="45"/>
      <c r="K424" s="45"/>
      <c r="L424" s="45" t="str">
        <f>IFERROR((SUMIF(Data!B:B, A424, Data!L:L)
/ (COUNTIF(Data!B:B, A424)
)),"")</f>
        <v/>
      </c>
      <c r="M424" s="45" t="str">
        <f>IFERROR((SUMIF(Data!B:B, A424, Data!K:K)
/ (COUNTIF(Data!B:B, A424)
)),"")</f>
        <v/>
      </c>
      <c r="N424" s="56"/>
      <c r="O424" s="56" t="str">
        <f>IF(A424="","",IFERROR((((((SUMIF(Data!B:B, A424, Data!H:H)+(SUMIF(Data!B:B, A424,Data!G:G)+(SUMIF(Data!B:B, A424,Data!L:L)+(SUMIF(Data!B:B, A424,Data!K:K)))))/(SUMIF(Data!B:B, A424, Data!M:M)+(SUMIF(Data!B:B, A424, Data!H:H)+(SUMIF(Data!B:B, A424,Data!G:G)+(SUMIF(Data!B:B, A424,Data!K:K)+(SUMIF(Data!B:B, A424,Data!L:L)))))))))),0))</f>
        <v/>
      </c>
      <c r="P424" s="57" t="str">
        <f>IFERROR(__xludf.DUMMYFUNCTION("IFERROR(((COUNTIF(FILTER(Data!N:N,Data!B:B=A424),""TRAVERSE"")*15)+(COUNTIF(FILTER(Data!N:N,Data!B:B=A424),""HIGH"")*10)+(COUNTIF(FILTER(Data!N:N,Data!B:B=A424),""MIDDLE"")*6)+(COUNTIF(FILTER(Data!N:N,Data!B:B=A424),""LOW"")*4)) / (COUNTIF(Data!B:B, A424)"&amp;"),"""")"),"")</f>
        <v/>
      </c>
      <c r="Q424" s="58"/>
      <c r="R424" s="58"/>
      <c r="S424" s="58" t="str">
        <f>IFERROR(__xludf.DUMMYFUNCTION("IFERROR((((COUNTIF(FILTER(Data!N:N,Data!B:B=A424),""TRAVERSE""))+(COUNTIF(FILTER(Data!N:N,Data!B:B=A424),""HIGH""))+(COUNTIF(FILTER(Data!N:N,Data!B:B=A424),""MIDDLE""))+(COUNTIF(FILTER(Data!N:N,Data!B:B=A424),""LOW"")))) / (((COUNTIF(Data!B:B, A424)))-(CO"&amp;"UNTIF(FILTER(Data!N:N,Data!B:B=A424),""NONE""))),IF(ISBLANK(A424),"""",0))"),"")</f>
        <v/>
      </c>
      <c r="T424" s="56" t="str">
        <f>IFERROR(__xludf.DUMMYFUNCTION("IFERROR((COUNTIF(FILTER(Data!N:N, Data!B:B=A424),""LOW"")) / (COUNTIF(Data!B:B, A424)),"""")"),"")</f>
        <v/>
      </c>
      <c r="U424" s="59" t="str">
        <f>IFERROR(__xludf.DUMMYFUNCTION("IFERROR((COUNTIF(FILTER(Data!N:N, Data!B:B=A424),""MIDDLE"")) / (COUNTIF(Data!B:B, A424)),"""")"),"")</f>
        <v/>
      </c>
      <c r="V424" s="59" t="str">
        <f>IFERROR(__xludf.DUMMYFUNCTION("IFERROR((COUNTIF(FILTER(Data!N:N, Data!B:B=A424),""HIGH"")) / (COUNTIF(Data!B:B, A424)),"""")"),"")</f>
        <v/>
      </c>
      <c r="W424" s="59" t="str">
        <f>IFERROR(__xludf.DUMMYFUNCTION("IFERROR((COUNTIF(FILTER(Data!N:N, Data!B:B=A424),""TRAVERSE"")) / (COUNTIF(Data!B:B, A424)),"""")"),"")</f>
        <v/>
      </c>
      <c r="X424" s="59"/>
      <c r="Y424" s="45" t="str">
        <f t="shared" si="7"/>
        <v/>
      </c>
      <c r="Z424" s="45" t="str">
        <f t="shared" si="8"/>
        <v/>
      </c>
      <c r="AA424" s="16" t="str">
        <f t="shared" si="9"/>
        <v/>
      </c>
      <c r="AB424" s="16"/>
      <c r="AC424" s="16"/>
      <c r="AD424" s="16"/>
      <c r="AE424" s="16" t="str">
        <f t="shared" si="12"/>
        <v/>
      </c>
      <c r="AF424" s="16" t="str">
        <f t="shared" si="13"/>
        <v/>
      </c>
      <c r="AG424" s="44"/>
      <c r="AH424" s="44"/>
      <c r="AI424" s="44" t="str">
        <f>IFERROR(__xludf.DUMMYFUNCTION("TEXTJOIN("", "",TRUE, FILTER(Data!P:P, Data!B:B=A424))"),"")</f>
        <v/>
      </c>
      <c r="AM424" s="61"/>
      <c r="BC424" s="50"/>
    </row>
    <row r="425">
      <c r="A425" s="14"/>
      <c r="B425" s="55" t="str">
        <f>IFERROR(__xludf.DUMMYFUNCTION("IFERROR(ROUND(
(COUNTIF(FILTER(Data!O:O, Data!B:B=A425), ""Win"")
+ COUNTIF(FILTER(Data!O:O, Data!B:B=A425), {""Tie"",""Results""}))
/ (COUNTIF(Data!B:B, A425)),
1),"""")"),"")</f>
        <v/>
      </c>
      <c r="C425" s="45" t="str">
        <f>IFERROR((SUMIF(Data!B:B, A425, Data!H:H)
/ (COUNTIF(Data!B:B, A425)
)),"")</f>
        <v/>
      </c>
      <c r="D425" s="45" t="str">
        <f>IFERROR((SUMIF(Data!B:B, A425, Data!G:G)
/ (COUNTIF(Data!B:B, A425)
)),"")</f>
        <v/>
      </c>
      <c r="E425" s="45"/>
      <c r="F425" s="45" t="str">
        <f>IFERROR((SUMIF(Data!B:B, A425, Data!J:J)
/ (COUNTIF(Data!B:B, A425)
)),"")</f>
        <v/>
      </c>
      <c r="G425" s="56" t="str">
        <f>IF(A425="","",IFERROR((((((SUMIF(Data!B:B, A425, Data!H:H)+(SUMIF(Data!B:B, A425,Data!G:G)))/(SUMIF(Data!B:B, A425, Data!J:J)))))),0))</f>
        <v/>
      </c>
      <c r="H425" s="45"/>
      <c r="I425" s="45"/>
      <c r="J425" s="45"/>
      <c r="K425" s="45"/>
      <c r="L425" s="45" t="str">
        <f>IFERROR((SUMIF(Data!B:B, A425, Data!L:L)
/ (COUNTIF(Data!B:B, A425)
)),"")</f>
        <v/>
      </c>
      <c r="M425" s="45" t="str">
        <f>IFERROR((SUMIF(Data!B:B, A425, Data!K:K)
/ (COUNTIF(Data!B:B, A425)
)),"")</f>
        <v/>
      </c>
      <c r="N425" s="56"/>
      <c r="O425" s="56" t="str">
        <f>IF(A425="","",IFERROR((((((SUMIF(Data!B:B, A425, Data!H:H)+(SUMIF(Data!B:B, A425,Data!G:G)+(SUMIF(Data!B:B, A425,Data!L:L)+(SUMIF(Data!B:B, A425,Data!K:K)))))/(SUMIF(Data!B:B, A425, Data!M:M)+(SUMIF(Data!B:B, A425, Data!H:H)+(SUMIF(Data!B:B, A425,Data!G:G)+(SUMIF(Data!B:B, A425,Data!K:K)+(SUMIF(Data!B:B, A425,Data!L:L)))))))))),0))</f>
        <v/>
      </c>
      <c r="P425" s="57" t="str">
        <f>IFERROR(__xludf.DUMMYFUNCTION("IFERROR(((COUNTIF(FILTER(Data!N:N,Data!B:B=A425),""TRAVERSE"")*15)+(COUNTIF(FILTER(Data!N:N,Data!B:B=A425),""HIGH"")*10)+(COUNTIF(FILTER(Data!N:N,Data!B:B=A425),""MIDDLE"")*6)+(COUNTIF(FILTER(Data!N:N,Data!B:B=A425),""LOW"")*4)) / (COUNTIF(Data!B:B, A425)"&amp;"),"""")"),"")</f>
        <v/>
      </c>
      <c r="Q425" s="58"/>
      <c r="R425" s="58"/>
      <c r="S425" s="58" t="str">
        <f>IFERROR(__xludf.DUMMYFUNCTION("IFERROR((((COUNTIF(FILTER(Data!N:N,Data!B:B=A425),""TRAVERSE""))+(COUNTIF(FILTER(Data!N:N,Data!B:B=A425),""HIGH""))+(COUNTIF(FILTER(Data!N:N,Data!B:B=A425),""MIDDLE""))+(COUNTIF(FILTER(Data!N:N,Data!B:B=A425),""LOW"")))) / (((COUNTIF(Data!B:B, A425)))-(CO"&amp;"UNTIF(FILTER(Data!N:N,Data!B:B=A425),""NONE""))),IF(ISBLANK(A425),"""",0))"),"")</f>
        <v/>
      </c>
      <c r="T425" s="56" t="str">
        <f>IFERROR(__xludf.DUMMYFUNCTION("IFERROR((COUNTIF(FILTER(Data!N:N, Data!B:B=A425),""LOW"")) / (COUNTIF(Data!B:B, A425)),"""")"),"")</f>
        <v/>
      </c>
      <c r="U425" s="59" t="str">
        <f>IFERROR(__xludf.DUMMYFUNCTION("IFERROR((COUNTIF(FILTER(Data!N:N, Data!B:B=A425),""MIDDLE"")) / (COUNTIF(Data!B:B, A425)),"""")"),"")</f>
        <v/>
      </c>
      <c r="V425" s="59" t="str">
        <f>IFERROR(__xludf.DUMMYFUNCTION("IFERROR((COUNTIF(FILTER(Data!N:N, Data!B:B=A425),""HIGH"")) / (COUNTIF(Data!B:B, A425)),"""")"),"")</f>
        <v/>
      </c>
      <c r="W425" s="59" t="str">
        <f>IFERROR(__xludf.DUMMYFUNCTION("IFERROR((COUNTIF(FILTER(Data!N:N, Data!B:B=A425),""TRAVERSE"")) / (COUNTIF(Data!B:B, A425)),"""")"),"")</f>
        <v/>
      </c>
      <c r="X425" s="59"/>
      <c r="Y425" s="45" t="str">
        <f t="shared" si="7"/>
        <v/>
      </c>
      <c r="Z425" s="45" t="str">
        <f t="shared" si="8"/>
        <v/>
      </c>
      <c r="AA425" s="16" t="str">
        <f t="shared" si="9"/>
        <v/>
      </c>
      <c r="AB425" s="16"/>
      <c r="AC425" s="16"/>
      <c r="AD425" s="16"/>
      <c r="AE425" s="16" t="str">
        <f t="shared" si="12"/>
        <v/>
      </c>
      <c r="AF425" s="16" t="str">
        <f t="shared" si="13"/>
        <v/>
      </c>
      <c r="AG425" s="44"/>
      <c r="AH425" s="44"/>
      <c r="AI425" s="44" t="str">
        <f>IFERROR(__xludf.DUMMYFUNCTION("TEXTJOIN("", "",TRUE, FILTER(Data!P:P, Data!B:B=A425))"),"")</f>
        <v/>
      </c>
      <c r="AM425" s="61"/>
      <c r="BC425" s="50"/>
    </row>
    <row r="426">
      <c r="A426" s="14"/>
      <c r="B426" s="55" t="str">
        <f>IFERROR(__xludf.DUMMYFUNCTION("IFERROR(ROUND(
(COUNTIF(FILTER(Data!O:O, Data!B:B=A426), ""Win"")
+ COUNTIF(FILTER(Data!O:O, Data!B:B=A426), {""Tie"",""Results""}))
/ (COUNTIF(Data!B:B, A426)),
1),"""")"),"")</f>
        <v/>
      </c>
      <c r="C426" s="45" t="str">
        <f>IFERROR((SUMIF(Data!B:B, A426, Data!H:H)
/ (COUNTIF(Data!B:B, A426)
)),"")</f>
        <v/>
      </c>
      <c r="D426" s="45" t="str">
        <f>IFERROR((SUMIF(Data!B:B, A426, Data!G:G)
/ (COUNTIF(Data!B:B, A426)
)),"")</f>
        <v/>
      </c>
      <c r="E426" s="45"/>
      <c r="F426" s="45" t="str">
        <f>IFERROR((SUMIF(Data!B:B, A426, Data!J:J)
/ (COUNTIF(Data!B:B, A426)
)),"")</f>
        <v/>
      </c>
      <c r="G426" s="56" t="str">
        <f>IF(A426="","",IFERROR((((((SUMIF(Data!B:B, A426, Data!H:H)+(SUMIF(Data!B:B, A426,Data!G:G)))/(SUMIF(Data!B:B, A426, Data!J:J)))))),0))</f>
        <v/>
      </c>
      <c r="H426" s="45"/>
      <c r="I426" s="45"/>
      <c r="J426" s="45"/>
      <c r="K426" s="45"/>
      <c r="L426" s="45" t="str">
        <f>IFERROR((SUMIF(Data!B:B, A426, Data!L:L)
/ (COUNTIF(Data!B:B, A426)
)),"")</f>
        <v/>
      </c>
      <c r="M426" s="45" t="str">
        <f>IFERROR((SUMIF(Data!B:B, A426, Data!K:K)
/ (COUNTIF(Data!B:B, A426)
)),"")</f>
        <v/>
      </c>
      <c r="N426" s="56"/>
      <c r="O426" s="56" t="str">
        <f>IF(A426="","",IFERROR((((((SUMIF(Data!B:B, A426, Data!H:H)+(SUMIF(Data!B:B, A426,Data!G:G)+(SUMIF(Data!B:B, A426,Data!L:L)+(SUMIF(Data!B:B, A426,Data!K:K)))))/(SUMIF(Data!B:B, A426, Data!M:M)+(SUMIF(Data!B:B, A426, Data!H:H)+(SUMIF(Data!B:B, A426,Data!G:G)+(SUMIF(Data!B:B, A426,Data!K:K)+(SUMIF(Data!B:B, A426,Data!L:L)))))))))),0))</f>
        <v/>
      </c>
      <c r="P426" s="57" t="str">
        <f>IFERROR(__xludf.DUMMYFUNCTION("IFERROR(((COUNTIF(FILTER(Data!N:N,Data!B:B=A426),""TRAVERSE"")*15)+(COUNTIF(FILTER(Data!N:N,Data!B:B=A426),""HIGH"")*10)+(COUNTIF(FILTER(Data!N:N,Data!B:B=A426),""MIDDLE"")*6)+(COUNTIF(FILTER(Data!N:N,Data!B:B=A426),""LOW"")*4)) / (COUNTIF(Data!B:B, A426)"&amp;"),"""")"),"")</f>
        <v/>
      </c>
      <c r="Q426" s="58"/>
      <c r="R426" s="58"/>
      <c r="S426" s="58" t="str">
        <f>IFERROR(__xludf.DUMMYFUNCTION("IFERROR((((COUNTIF(FILTER(Data!N:N,Data!B:B=A426),""TRAVERSE""))+(COUNTIF(FILTER(Data!N:N,Data!B:B=A426),""HIGH""))+(COUNTIF(FILTER(Data!N:N,Data!B:B=A426),""MIDDLE""))+(COUNTIF(FILTER(Data!N:N,Data!B:B=A426),""LOW"")))) / (((COUNTIF(Data!B:B, A426)))-(CO"&amp;"UNTIF(FILTER(Data!N:N,Data!B:B=A426),""NONE""))),IF(ISBLANK(A426),"""",0))"),"")</f>
        <v/>
      </c>
      <c r="T426" s="56" t="str">
        <f>IFERROR(__xludf.DUMMYFUNCTION("IFERROR((COUNTIF(FILTER(Data!N:N, Data!B:B=A426),""LOW"")) / (COUNTIF(Data!B:B, A426)),"""")"),"")</f>
        <v/>
      </c>
      <c r="U426" s="59" t="str">
        <f>IFERROR(__xludf.DUMMYFUNCTION("IFERROR((COUNTIF(FILTER(Data!N:N, Data!B:B=A426),""MIDDLE"")) / (COUNTIF(Data!B:B, A426)),"""")"),"")</f>
        <v/>
      </c>
      <c r="V426" s="59" t="str">
        <f>IFERROR(__xludf.DUMMYFUNCTION("IFERROR((COUNTIF(FILTER(Data!N:N, Data!B:B=A426),""HIGH"")) / (COUNTIF(Data!B:B, A426)),"""")"),"")</f>
        <v/>
      </c>
      <c r="W426" s="59" t="str">
        <f>IFERROR(__xludf.DUMMYFUNCTION("IFERROR((COUNTIF(FILTER(Data!N:N, Data!B:B=A426),""TRAVERSE"")) / (COUNTIF(Data!B:B, A426)),"""")"),"")</f>
        <v/>
      </c>
      <c r="X426" s="59"/>
      <c r="Y426" s="45" t="str">
        <f t="shared" si="7"/>
        <v/>
      </c>
      <c r="Z426" s="45" t="str">
        <f t="shared" si="8"/>
        <v/>
      </c>
      <c r="AA426" s="16" t="str">
        <f t="shared" si="9"/>
        <v/>
      </c>
      <c r="AB426" s="16"/>
      <c r="AC426" s="16"/>
      <c r="AD426" s="16"/>
      <c r="AE426" s="16" t="str">
        <f t="shared" si="12"/>
        <v/>
      </c>
      <c r="AF426" s="16" t="str">
        <f t="shared" si="13"/>
        <v/>
      </c>
      <c r="AG426" s="44"/>
      <c r="AH426" s="44"/>
      <c r="AI426" s="44" t="str">
        <f>IFERROR(__xludf.DUMMYFUNCTION("TEXTJOIN("", "",TRUE, FILTER(Data!P:P, Data!B:B=A426))"),"")</f>
        <v/>
      </c>
      <c r="AM426" s="61"/>
      <c r="BC426" s="50"/>
    </row>
    <row r="427">
      <c r="A427" s="14"/>
      <c r="B427" s="55" t="str">
        <f>IFERROR(__xludf.DUMMYFUNCTION("IFERROR(ROUND(
(COUNTIF(FILTER(Data!O:O, Data!B:B=A427), ""Win"")
+ COUNTIF(FILTER(Data!O:O, Data!B:B=A427), {""Tie"",""Results""}))
/ (COUNTIF(Data!B:B, A427)),
1),"""")"),"")</f>
        <v/>
      </c>
      <c r="C427" s="45" t="str">
        <f>IFERROR((SUMIF(Data!B:B, A427, Data!H:H)
/ (COUNTIF(Data!B:B, A427)
)),"")</f>
        <v/>
      </c>
      <c r="D427" s="45" t="str">
        <f>IFERROR((SUMIF(Data!B:B, A427, Data!G:G)
/ (COUNTIF(Data!B:B, A427)
)),"")</f>
        <v/>
      </c>
      <c r="E427" s="45"/>
      <c r="F427" s="45" t="str">
        <f>IFERROR((SUMIF(Data!B:B, A427, Data!J:J)
/ (COUNTIF(Data!B:B, A427)
)),"")</f>
        <v/>
      </c>
      <c r="G427" s="56" t="str">
        <f>IF(A427="","",IFERROR((((((SUMIF(Data!B:B, A427, Data!H:H)+(SUMIF(Data!B:B, A427,Data!G:G)))/(SUMIF(Data!B:B, A427, Data!J:J)))))),0))</f>
        <v/>
      </c>
      <c r="H427" s="45"/>
      <c r="I427" s="45"/>
      <c r="J427" s="45"/>
      <c r="K427" s="45"/>
      <c r="L427" s="45" t="str">
        <f>IFERROR((SUMIF(Data!B:B, A427, Data!L:L)
/ (COUNTIF(Data!B:B, A427)
)),"")</f>
        <v/>
      </c>
      <c r="M427" s="45" t="str">
        <f>IFERROR((SUMIF(Data!B:B, A427, Data!K:K)
/ (COUNTIF(Data!B:B, A427)
)),"")</f>
        <v/>
      </c>
      <c r="N427" s="56"/>
      <c r="O427" s="56" t="str">
        <f>IF(A427="","",IFERROR((((((SUMIF(Data!B:B, A427, Data!H:H)+(SUMIF(Data!B:B, A427,Data!G:G)+(SUMIF(Data!B:B, A427,Data!L:L)+(SUMIF(Data!B:B, A427,Data!K:K)))))/(SUMIF(Data!B:B, A427, Data!M:M)+(SUMIF(Data!B:B, A427, Data!H:H)+(SUMIF(Data!B:B, A427,Data!G:G)+(SUMIF(Data!B:B, A427,Data!K:K)+(SUMIF(Data!B:B, A427,Data!L:L)))))))))),0))</f>
        <v/>
      </c>
      <c r="P427" s="57" t="str">
        <f>IFERROR(__xludf.DUMMYFUNCTION("IFERROR(((COUNTIF(FILTER(Data!N:N,Data!B:B=A427),""TRAVERSE"")*15)+(COUNTIF(FILTER(Data!N:N,Data!B:B=A427),""HIGH"")*10)+(COUNTIF(FILTER(Data!N:N,Data!B:B=A427),""MIDDLE"")*6)+(COUNTIF(FILTER(Data!N:N,Data!B:B=A427),""LOW"")*4)) / (COUNTIF(Data!B:B, A427)"&amp;"),"""")"),"")</f>
        <v/>
      </c>
      <c r="Q427" s="58"/>
      <c r="R427" s="58"/>
      <c r="S427" s="58" t="str">
        <f>IFERROR(__xludf.DUMMYFUNCTION("IFERROR((((COUNTIF(FILTER(Data!N:N,Data!B:B=A427),""TRAVERSE""))+(COUNTIF(FILTER(Data!N:N,Data!B:B=A427),""HIGH""))+(COUNTIF(FILTER(Data!N:N,Data!B:B=A427),""MIDDLE""))+(COUNTIF(FILTER(Data!N:N,Data!B:B=A427),""LOW"")))) / (((COUNTIF(Data!B:B, A427)))-(CO"&amp;"UNTIF(FILTER(Data!N:N,Data!B:B=A427),""NONE""))),IF(ISBLANK(A427),"""",0))"),"")</f>
        <v/>
      </c>
      <c r="T427" s="56" t="str">
        <f>IFERROR(__xludf.DUMMYFUNCTION("IFERROR((COUNTIF(FILTER(Data!N:N, Data!B:B=A427),""LOW"")) / (COUNTIF(Data!B:B, A427)),"""")"),"")</f>
        <v/>
      </c>
      <c r="U427" s="59" t="str">
        <f>IFERROR(__xludf.DUMMYFUNCTION("IFERROR((COUNTIF(FILTER(Data!N:N, Data!B:B=A427),""MIDDLE"")) / (COUNTIF(Data!B:B, A427)),"""")"),"")</f>
        <v/>
      </c>
      <c r="V427" s="59" t="str">
        <f>IFERROR(__xludf.DUMMYFUNCTION("IFERROR((COUNTIF(FILTER(Data!N:N, Data!B:B=A427),""HIGH"")) / (COUNTIF(Data!B:B, A427)),"""")"),"")</f>
        <v/>
      </c>
      <c r="W427" s="59" t="str">
        <f>IFERROR(__xludf.DUMMYFUNCTION("IFERROR((COUNTIF(FILTER(Data!N:N, Data!B:B=A427),""TRAVERSE"")) / (COUNTIF(Data!B:B, A427)),"""")"),"")</f>
        <v/>
      </c>
      <c r="X427" s="59"/>
      <c r="Y427" s="45" t="str">
        <f t="shared" si="7"/>
        <v/>
      </c>
      <c r="Z427" s="45" t="str">
        <f t="shared" si="8"/>
        <v/>
      </c>
      <c r="AA427" s="16" t="str">
        <f t="shared" si="9"/>
        <v/>
      </c>
      <c r="AB427" s="16"/>
      <c r="AC427" s="16"/>
      <c r="AD427" s="16"/>
      <c r="AE427" s="16" t="str">
        <f t="shared" si="12"/>
        <v/>
      </c>
      <c r="AF427" s="16" t="str">
        <f t="shared" si="13"/>
        <v/>
      </c>
      <c r="AG427" s="44"/>
      <c r="AH427" s="44"/>
      <c r="AI427" s="44" t="str">
        <f>IFERROR(__xludf.DUMMYFUNCTION("TEXTJOIN("", "",TRUE, FILTER(Data!P:P, Data!B:B=A427))"),"")</f>
        <v/>
      </c>
      <c r="AM427" s="61"/>
      <c r="BC427" s="50"/>
    </row>
    <row r="428">
      <c r="A428" s="14"/>
      <c r="B428" s="55" t="str">
        <f>IFERROR(__xludf.DUMMYFUNCTION("IFERROR(ROUND(
(COUNTIF(FILTER(Data!O:O, Data!B:B=A428), ""Win"")
+ COUNTIF(FILTER(Data!O:O, Data!B:B=A428), {""Tie"",""Results""}))
/ (COUNTIF(Data!B:B, A428)),
1),"""")"),"")</f>
        <v/>
      </c>
      <c r="C428" s="45" t="str">
        <f>IFERROR((SUMIF(Data!B:B, A428, Data!H:H)
/ (COUNTIF(Data!B:B, A428)
)),"")</f>
        <v/>
      </c>
      <c r="D428" s="45" t="str">
        <f>IFERROR((SUMIF(Data!B:B, A428, Data!G:G)
/ (COUNTIF(Data!B:B, A428)
)),"")</f>
        <v/>
      </c>
      <c r="E428" s="45"/>
      <c r="F428" s="45" t="str">
        <f>IFERROR((SUMIF(Data!B:B, A428, Data!J:J)
/ (COUNTIF(Data!B:B, A428)
)),"")</f>
        <v/>
      </c>
      <c r="G428" s="56" t="str">
        <f>IF(A428="","",IFERROR((((((SUMIF(Data!B:B, A428, Data!H:H)+(SUMIF(Data!B:B, A428,Data!G:G)))/(SUMIF(Data!B:B, A428, Data!J:J)))))),0))</f>
        <v/>
      </c>
      <c r="H428" s="45"/>
      <c r="I428" s="45"/>
      <c r="J428" s="45"/>
      <c r="K428" s="45"/>
      <c r="L428" s="45" t="str">
        <f>IFERROR((SUMIF(Data!B:B, A428, Data!L:L)
/ (COUNTIF(Data!B:B, A428)
)),"")</f>
        <v/>
      </c>
      <c r="M428" s="45" t="str">
        <f>IFERROR((SUMIF(Data!B:B, A428, Data!K:K)
/ (COUNTIF(Data!B:B, A428)
)),"")</f>
        <v/>
      </c>
      <c r="N428" s="56"/>
      <c r="O428" s="56" t="str">
        <f>IF(A428="","",IFERROR((((((SUMIF(Data!B:B, A428, Data!H:H)+(SUMIF(Data!B:B, A428,Data!G:G)+(SUMIF(Data!B:B, A428,Data!L:L)+(SUMIF(Data!B:B, A428,Data!K:K)))))/(SUMIF(Data!B:B, A428, Data!M:M)+(SUMIF(Data!B:B, A428, Data!H:H)+(SUMIF(Data!B:B, A428,Data!G:G)+(SUMIF(Data!B:B, A428,Data!K:K)+(SUMIF(Data!B:B, A428,Data!L:L)))))))))),0))</f>
        <v/>
      </c>
      <c r="P428" s="57" t="str">
        <f>IFERROR(__xludf.DUMMYFUNCTION("IFERROR(((COUNTIF(FILTER(Data!N:N,Data!B:B=A428),""TRAVERSE"")*15)+(COUNTIF(FILTER(Data!N:N,Data!B:B=A428),""HIGH"")*10)+(COUNTIF(FILTER(Data!N:N,Data!B:B=A428),""MIDDLE"")*6)+(COUNTIF(FILTER(Data!N:N,Data!B:B=A428),""LOW"")*4)) / (COUNTIF(Data!B:B, A428)"&amp;"),"""")"),"")</f>
        <v/>
      </c>
      <c r="Q428" s="58"/>
      <c r="R428" s="58"/>
      <c r="S428" s="58" t="str">
        <f>IFERROR(__xludf.DUMMYFUNCTION("IFERROR((((COUNTIF(FILTER(Data!N:N,Data!B:B=A428),""TRAVERSE""))+(COUNTIF(FILTER(Data!N:N,Data!B:B=A428),""HIGH""))+(COUNTIF(FILTER(Data!N:N,Data!B:B=A428),""MIDDLE""))+(COUNTIF(FILTER(Data!N:N,Data!B:B=A428),""LOW"")))) / (((COUNTIF(Data!B:B, A428)))-(CO"&amp;"UNTIF(FILTER(Data!N:N,Data!B:B=A428),""NONE""))),IF(ISBLANK(A428),"""",0))"),"")</f>
        <v/>
      </c>
      <c r="T428" s="56" t="str">
        <f>IFERROR(__xludf.DUMMYFUNCTION("IFERROR((COUNTIF(FILTER(Data!N:N, Data!B:B=A428),""LOW"")) / (COUNTIF(Data!B:B, A428)),"""")"),"")</f>
        <v/>
      </c>
      <c r="U428" s="59" t="str">
        <f>IFERROR(__xludf.DUMMYFUNCTION("IFERROR((COUNTIF(FILTER(Data!N:N, Data!B:B=A428),""MIDDLE"")) / (COUNTIF(Data!B:B, A428)),"""")"),"")</f>
        <v/>
      </c>
      <c r="V428" s="59" t="str">
        <f>IFERROR(__xludf.DUMMYFUNCTION("IFERROR((COUNTIF(FILTER(Data!N:N, Data!B:B=A428),""HIGH"")) / (COUNTIF(Data!B:B, A428)),"""")"),"")</f>
        <v/>
      </c>
      <c r="W428" s="59" t="str">
        <f>IFERROR(__xludf.DUMMYFUNCTION("IFERROR((COUNTIF(FILTER(Data!N:N, Data!B:B=A428),""TRAVERSE"")) / (COUNTIF(Data!B:B, A428)),"""")"),"")</f>
        <v/>
      </c>
      <c r="X428" s="59"/>
      <c r="Y428" s="45" t="str">
        <f t="shared" si="7"/>
        <v/>
      </c>
      <c r="Z428" s="45" t="str">
        <f t="shared" si="8"/>
        <v/>
      </c>
      <c r="AA428" s="16" t="str">
        <f t="shared" si="9"/>
        <v/>
      </c>
      <c r="AB428" s="16"/>
      <c r="AC428" s="16"/>
      <c r="AD428" s="16"/>
      <c r="AE428" s="16" t="str">
        <f t="shared" si="12"/>
        <v/>
      </c>
      <c r="AF428" s="16" t="str">
        <f t="shared" si="13"/>
        <v/>
      </c>
      <c r="AG428" s="44"/>
      <c r="AH428" s="44"/>
      <c r="AI428" s="44" t="str">
        <f>IFERROR(__xludf.DUMMYFUNCTION("TEXTJOIN("", "",TRUE, FILTER(Data!P:P, Data!B:B=A428))"),"")</f>
        <v/>
      </c>
      <c r="AM428" s="61"/>
      <c r="BC428" s="50"/>
    </row>
    <row r="429">
      <c r="A429" s="14"/>
      <c r="B429" s="55" t="str">
        <f>IFERROR(__xludf.DUMMYFUNCTION("IFERROR(ROUND(
(COUNTIF(FILTER(Data!O:O, Data!B:B=A429), ""Win"")
+ COUNTIF(FILTER(Data!O:O, Data!B:B=A429), {""Tie"",""Results""}))
/ (COUNTIF(Data!B:B, A429)),
1),"""")"),"")</f>
        <v/>
      </c>
      <c r="C429" s="45" t="str">
        <f>IFERROR((SUMIF(Data!B:B, A429, Data!H:H)
/ (COUNTIF(Data!B:B, A429)
)),"")</f>
        <v/>
      </c>
      <c r="D429" s="45" t="str">
        <f>IFERROR((SUMIF(Data!B:B, A429, Data!G:G)
/ (COUNTIF(Data!B:B, A429)
)),"")</f>
        <v/>
      </c>
      <c r="E429" s="45"/>
      <c r="F429" s="45" t="str">
        <f>IFERROR((SUMIF(Data!B:B, A429, Data!J:J)
/ (COUNTIF(Data!B:B, A429)
)),"")</f>
        <v/>
      </c>
      <c r="G429" s="56" t="str">
        <f>IF(A429="","",IFERROR((((((SUMIF(Data!B:B, A429, Data!H:H)+(SUMIF(Data!B:B, A429,Data!G:G)))/(SUMIF(Data!B:B, A429, Data!J:J)))))),0))</f>
        <v/>
      </c>
      <c r="H429" s="45"/>
      <c r="I429" s="45"/>
      <c r="J429" s="45"/>
      <c r="K429" s="45"/>
      <c r="L429" s="45" t="str">
        <f>IFERROR((SUMIF(Data!B:B, A429, Data!L:L)
/ (COUNTIF(Data!B:B, A429)
)),"")</f>
        <v/>
      </c>
      <c r="M429" s="45" t="str">
        <f>IFERROR((SUMIF(Data!B:B, A429, Data!K:K)
/ (COUNTIF(Data!B:B, A429)
)),"")</f>
        <v/>
      </c>
      <c r="N429" s="56"/>
      <c r="O429" s="56" t="str">
        <f>IF(A429="","",IFERROR((((((SUMIF(Data!B:B, A429, Data!H:H)+(SUMIF(Data!B:B, A429,Data!G:G)+(SUMIF(Data!B:B, A429,Data!L:L)+(SUMIF(Data!B:B, A429,Data!K:K)))))/(SUMIF(Data!B:B, A429, Data!M:M)+(SUMIF(Data!B:B, A429, Data!H:H)+(SUMIF(Data!B:B, A429,Data!G:G)+(SUMIF(Data!B:B, A429,Data!K:K)+(SUMIF(Data!B:B, A429,Data!L:L)))))))))),0))</f>
        <v/>
      </c>
      <c r="P429" s="57" t="str">
        <f>IFERROR(__xludf.DUMMYFUNCTION("IFERROR(((COUNTIF(FILTER(Data!N:N,Data!B:B=A429),""TRAVERSE"")*15)+(COUNTIF(FILTER(Data!N:N,Data!B:B=A429),""HIGH"")*10)+(COUNTIF(FILTER(Data!N:N,Data!B:B=A429),""MIDDLE"")*6)+(COUNTIF(FILTER(Data!N:N,Data!B:B=A429),""LOW"")*4)) / (COUNTIF(Data!B:B, A429)"&amp;"),"""")"),"")</f>
        <v/>
      </c>
      <c r="Q429" s="58"/>
      <c r="R429" s="58"/>
      <c r="S429" s="58" t="str">
        <f>IFERROR(__xludf.DUMMYFUNCTION("IFERROR((((COUNTIF(FILTER(Data!N:N,Data!B:B=A429),""TRAVERSE""))+(COUNTIF(FILTER(Data!N:N,Data!B:B=A429),""HIGH""))+(COUNTIF(FILTER(Data!N:N,Data!B:B=A429),""MIDDLE""))+(COUNTIF(FILTER(Data!N:N,Data!B:B=A429),""LOW"")))) / (((COUNTIF(Data!B:B, A429)))-(CO"&amp;"UNTIF(FILTER(Data!N:N,Data!B:B=A429),""NONE""))),IF(ISBLANK(A429),"""",0))"),"")</f>
        <v/>
      </c>
      <c r="T429" s="56" t="str">
        <f>IFERROR(__xludf.DUMMYFUNCTION("IFERROR((COUNTIF(FILTER(Data!N:N, Data!B:B=A429),""LOW"")) / (COUNTIF(Data!B:B, A429)),"""")"),"")</f>
        <v/>
      </c>
      <c r="U429" s="59" t="str">
        <f>IFERROR(__xludf.DUMMYFUNCTION("IFERROR((COUNTIF(FILTER(Data!N:N, Data!B:B=A429),""MIDDLE"")) / (COUNTIF(Data!B:B, A429)),"""")"),"")</f>
        <v/>
      </c>
      <c r="V429" s="59" t="str">
        <f>IFERROR(__xludf.DUMMYFUNCTION("IFERROR((COUNTIF(FILTER(Data!N:N, Data!B:B=A429),""HIGH"")) / (COUNTIF(Data!B:B, A429)),"""")"),"")</f>
        <v/>
      </c>
      <c r="W429" s="59" t="str">
        <f>IFERROR(__xludf.DUMMYFUNCTION("IFERROR((COUNTIF(FILTER(Data!N:N, Data!B:B=A429),""TRAVERSE"")) / (COUNTIF(Data!B:B, A429)),"""")"),"")</f>
        <v/>
      </c>
      <c r="X429" s="59"/>
      <c r="Y429" s="45" t="str">
        <f t="shared" si="7"/>
        <v/>
      </c>
      <c r="Z429" s="45" t="str">
        <f t="shared" si="8"/>
        <v/>
      </c>
      <c r="AA429" s="16" t="str">
        <f t="shared" si="9"/>
        <v/>
      </c>
      <c r="AB429" s="16"/>
      <c r="AC429" s="16"/>
      <c r="AD429" s="16"/>
      <c r="AE429" s="16" t="str">
        <f t="shared" si="12"/>
        <v/>
      </c>
      <c r="AF429" s="16" t="str">
        <f t="shared" si="13"/>
        <v/>
      </c>
      <c r="AG429" s="44"/>
      <c r="AH429" s="44"/>
      <c r="AI429" s="44" t="str">
        <f>IFERROR(__xludf.DUMMYFUNCTION("TEXTJOIN("", "",TRUE, FILTER(Data!P:P, Data!B:B=A429))"),"")</f>
        <v/>
      </c>
      <c r="AM429" s="61"/>
      <c r="BC429" s="50"/>
    </row>
    <row r="430">
      <c r="A430" s="14"/>
      <c r="B430" s="55" t="str">
        <f>IFERROR(__xludf.DUMMYFUNCTION("IFERROR(ROUND(
(COUNTIF(FILTER(Data!O:O, Data!B:B=A430), ""Win"")
+ COUNTIF(FILTER(Data!O:O, Data!B:B=A430), {""Tie"",""Results""}))
/ (COUNTIF(Data!B:B, A430)),
1),"""")"),"")</f>
        <v/>
      </c>
      <c r="C430" s="45" t="str">
        <f>IFERROR((SUMIF(Data!B:B, A430, Data!H:H)
/ (COUNTIF(Data!B:B, A430)
)),"")</f>
        <v/>
      </c>
      <c r="D430" s="45" t="str">
        <f>IFERROR((SUMIF(Data!B:B, A430, Data!G:G)
/ (COUNTIF(Data!B:B, A430)
)),"")</f>
        <v/>
      </c>
      <c r="E430" s="45"/>
      <c r="F430" s="45" t="str">
        <f>IFERROR((SUMIF(Data!B:B, A430, Data!J:J)
/ (COUNTIF(Data!B:B, A430)
)),"")</f>
        <v/>
      </c>
      <c r="G430" s="56" t="str">
        <f>IF(A430="","",IFERROR((((((SUMIF(Data!B:B, A430, Data!H:H)+(SUMIF(Data!B:B, A430,Data!G:G)))/(SUMIF(Data!B:B, A430, Data!J:J)))))),0))</f>
        <v/>
      </c>
      <c r="H430" s="45"/>
      <c r="I430" s="45"/>
      <c r="J430" s="45"/>
      <c r="K430" s="45"/>
      <c r="L430" s="45" t="str">
        <f>IFERROR((SUMIF(Data!B:B, A430, Data!L:L)
/ (COUNTIF(Data!B:B, A430)
)),"")</f>
        <v/>
      </c>
      <c r="M430" s="45" t="str">
        <f>IFERROR((SUMIF(Data!B:B, A430, Data!K:K)
/ (COUNTIF(Data!B:B, A430)
)),"")</f>
        <v/>
      </c>
      <c r="N430" s="56"/>
      <c r="O430" s="56" t="str">
        <f>IF(A430="","",IFERROR((((((SUMIF(Data!B:B, A430, Data!H:H)+(SUMIF(Data!B:B, A430,Data!G:G)+(SUMIF(Data!B:B, A430,Data!L:L)+(SUMIF(Data!B:B, A430,Data!K:K)))))/(SUMIF(Data!B:B, A430, Data!M:M)+(SUMIF(Data!B:B, A430, Data!H:H)+(SUMIF(Data!B:B, A430,Data!G:G)+(SUMIF(Data!B:B, A430,Data!K:K)+(SUMIF(Data!B:B, A430,Data!L:L)))))))))),0))</f>
        <v/>
      </c>
      <c r="P430" s="57" t="str">
        <f>IFERROR(__xludf.DUMMYFUNCTION("IFERROR(((COUNTIF(FILTER(Data!N:N,Data!B:B=A430),""TRAVERSE"")*15)+(COUNTIF(FILTER(Data!N:N,Data!B:B=A430),""HIGH"")*10)+(COUNTIF(FILTER(Data!N:N,Data!B:B=A430),""MIDDLE"")*6)+(COUNTIF(FILTER(Data!N:N,Data!B:B=A430),""LOW"")*4)) / (COUNTIF(Data!B:B, A430)"&amp;"),"""")"),"")</f>
        <v/>
      </c>
      <c r="Q430" s="58"/>
      <c r="R430" s="58"/>
      <c r="S430" s="58" t="str">
        <f>IFERROR(__xludf.DUMMYFUNCTION("IFERROR((((COUNTIF(FILTER(Data!N:N,Data!B:B=A430),""TRAVERSE""))+(COUNTIF(FILTER(Data!N:N,Data!B:B=A430),""HIGH""))+(COUNTIF(FILTER(Data!N:N,Data!B:B=A430),""MIDDLE""))+(COUNTIF(FILTER(Data!N:N,Data!B:B=A430),""LOW"")))) / (((COUNTIF(Data!B:B, A430)))-(CO"&amp;"UNTIF(FILTER(Data!N:N,Data!B:B=A430),""NONE""))),IF(ISBLANK(A430),"""",0))"),"")</f>
        <v/>
      </c>
      <c r="T430" s="56" t="str">
        <f>IFERROR(__xludf.DUMMYFUNCTION("IFERROR((COUNTIF(FILTER(Data!N:N, Data!B:B=A430),""LOW"")) / (COUNTIF(Data!B:B, A430)),"""")"),"")</f>
        <v/>
      </c>
      <c r="U430" s="59" t="str">
        <f>IFERROR(__xludf.DUMMYFUNCTION("IFERROR((COUNTIF(FILTER(Data!N:N, Data!B:B=A430),""MIDDLE"")) / (COUNTIF(Data!B:B, A430)),"""")"),"")</f>
        <v/>
      </c>
      <c r="V430" s="59" t="str">
        <f>IFERROR(__xludf.DUMMYFUNCTION("IFERROR((COUNTIF(FILTER(Data!N:N, Data!B:B=A430),""HIGH"")) / (COUNTIF(Data!B:B, A430)),"""")"),"")</f>
        <v/>
      </c>
      <c r="W430" s="59" t="str">
        <f>IFERROR(__xludf.DUMMYFUNCTION("IFERROR((COUNTIF(FILTER(Data!N:N, Data!B:B=A430),""TRAVERSE"")) / (COUNTIF(Data!B:B, A430)),"""")"),"")</f>
        <v/>
      </c>
      <c r="X430" s="59"/>
      <c r="Y430" s="45" t="str">
        <f t="shared" si="7"/>
        <v/>
      </c>
      <c r="Z430" s="45" t="str">
        <f t="shared" si="8"/>
        <v/>
      </c>
      <c r="AA430" s="16" t="str">
        <f t="shared" si="9"/>
        <v/>
      </c>
      <c r="AB430" s="16"/>
      <c r="AC430" s="16"/>
      <c r="AD430" s="16"/>
      <c r="AE430" s="16" t="str">
        <f t="shared" si="12"/>
        <v/>
      </c>
      <c r="AF430" s="16" t="str">
        <f t="shared" si="13"/>
        <v/>
      </c>
      <c r="AG430" s="44"/>
      <c r="AH430" s="44"/>
      <c r="AI430" s="44" t="str">
        <f>IFERROR(__xludf.DUMMYFUNCTION("TEXTJOIN("", "",TRUE, FILTER(Data!P:P, Data!B:B=A430))"),"")</f>
        <v/>
      </c>
      <c r="AM430" s="61"/>
      <c r="BC430" s="50"/>
    </row>
    <row r="431">
      <c r="A431" s="14"/>
      <c r="B431" s="55" t="str">
        <f>IFERROR(__xludf.DUMMYFUNCTION("IFERROR(ROUND(
(COUNTIF(FILTER(Data!O:O, Data!B:B=A431), ""Win"")
+ COUNTIF(FILTER(Data!O:O, Data!B:B=A431), {""Tie"",""Results""}))
/ (COUNTIF(Data!B:B, A431)),
1),"""")"),"")</f>
        <v/>
      </c>
      <c r="C431" s="45" t="str">
        <f>IFERROR((SUMIF(Data!B:B, A431, Data!H:H)
/ (COUNTIF(Data!B:B, A431)
)),"")</f>
        <v/>
      </c>
      <c r="D431" s="45" t="str">
        <f>IFERROR((SUMIF(Data!B:B, A431, Data!G:G)
/ (COUNTIF(Data!B:B, A431)
)),"")</f>
        <v/>
      </c>
      <c r="E431" s="45"/>
      <c r="F431" s="45" t="str">
        <f>IFERROR((SUMIF(Data!B:B, A431, Data!J:J)
/ (COUNTIF(Data!B:B, A431)
)),"")</f>
        <v/>
      </c>
      <c r="G431" s="56" t="str">
        <f>IF(A431="","",IFERROR((((((SUMIF(Data!B:B, A431, Data!H:H)+(SUMIF(Data!B:B, A431,Data!G:G)))/(SUMIF(Data!B:B, A431, Data!J:J)))))),0))</f>
        <v/>
      </c>
      <c r="H431" s="45"/>
      <c r="I431" s="45"/>
      <c r="J431" s="45"/>
      <c r="K431" s="45"/>
      <c r="L431" s="45" t="str">
        <f>IFERROR((SUMIF(Data!B:B, A431, Data!L:L)
/ (COUNTIF(Data!B:B, A431)
)),"")</f>
        <v/>
      </c>
      <c r="M431" s="45" t="str">
        <f>IFERROR((SUMIF(Data!B:B, A431, Data!K:K)
/ (COUNTIF(Data!B:B, A431)
)),"")</f>
        <v/>
      </c>
      <c r="N431" s="56"/>
      <c r="O431" s="56" t="str">
        <f>IF(A431="","",IFERROR((((((SUMIF(Data!B:B, A431, Data!H:H)+(SUMIF(Data!B:B, A431,Data!G:G)+(SUMIF(Data!B:B, A431,Data!L:L)+(SUMIF(Data!B:B, A431,Data!K:K)))))/(SUMIF(Data!B:B, A431, Data!M:M)+(SUMIF(Data!B:B, A431, Data!H:H)+(SUMIF(Data!B:B, A431,Data!G:G)+(SUMIF(Data!B:B, A431,Data!K:K)+(SUMIF(Data!B:B, A431,Data!L:L)))))))))),0))</f>
        <v/>
      </c>
      <c r="P431" s="57" t="str">
        <f>IFERROR(__xludf.DUMMYFUNCTION("IFERROR(((COUNTIF(FILTER(Data!N:N,Data!B:B=A431),""TRAVERSE"")*15)+(COUNTIF(FILTER(Data!N:N,Data!B:B=A431),""HIGH"")*10)+(COUNTIF(FILTER(Data!N:N,Data!B:B=A431),""MIDDLE"")*6)+(COUNTIF(FILTER(Data!N:N,Data!B:B=A431),""LOW"")*4)) / (COUNTIF(Data!B:B, A431)"&amp;"),"""")"),"")</f>
        <v/>
      </c>
      <c r="Q431" s="58"/>
      <c r="R431" s="58"/>
      <c r="S431" s="58" t="str">
        <f>IFERROR(__xludf.DUMMYFUNCTION("IFERROR((((COUNTIF(FILTER(Data!N:N,Data!B:B=A431),""TRAVERSE""))+(COUNTIF(FILTER(Data!N:N,Data!B:B=A431),""HIGH""))+(COUNTIF(FILTER(Data!N:N,Data!B:B=A431),""MIDDLE""))+(COUNTIF(FILTER(Data!N:N,Data!B:B=A431),""LOW"")))) / (((COUNTIF(Data!B:B, A431)))-(CO"&amp;"UNTIF(FILTER(Data!N:N,Data!B:B=A431),""NONE""))),IF(ISBLANK(A431),"""",0))"),"")</f>
        <v/>
      </c>
      <c r="T431" s="56" t="str">
        <f>IFERROR(__xludf.DUMMYFUNCTION("IFERROR((COUNTIF(FILTER(Data!N:N, Data!B:B=A431),""LOW"")) / (COUNTIF(Data!B:B, A431)),"""")"),"")</f>
        <v/>
      </c>
      <c r="U431" s="59" t="str">
        <f>IFERROR(__xludf.DUMMYFUNCTION("IFERROR((COUNTIF(FILTER(Data!N:N, Data!B:B=A431),""MIDDLE"")) / (COUNTIF(Data!B:B, A431)),"""")"),"")</f>
        <v/>
      </c>
      <c r="V431" s="59" t="str">
        <f>IFERROR(__xludf.DUMMYFUNCTION("IFERROR((COUNTIF(FILTER(Data!N:N, Data!B:B=A431),""HIGH"")) / (COUNTIF(Data!B:B, A431)),"""")"),"")</f>
        <v/>
      </c>
      <c r="W431" s="59" t="str">
        <f>IFERROR(__xludf.DUMMYFUNCTION("IFERROR((COUNTIF(FILTER(Data!N:N, Data!B:B=A431),""TRAVERSE"")) / (COUNTIF(Data!B:B, A431)),"""")"),"")</f>
        <v/>
      </c>
      <c r="X431" s="59"/>
      <c r="Y431" s="45" t="str">
        <f t="shared" si="7"/>
        <v/>
      </c>
      <c r="Z431" s="45" t="str">
        <f t="shared" si="8"/>
        <v/>
      </c>
      <c r="AA431" s="16" t="str">
        <f t="shared" si="9"/>
        <v/>
      </c>
      <c r="AB431" s="16"/>
      <c r="AC431" s="16"/>
      <c r="AD431" s="16"/>
      <c r="AE431" s="16" t="str">
        <f t="shared" si="12"/>
        <v/>
      </c>
      <c r="AF431" s="16" t="str">
        <f t="shared" si="13"/>
        <v/>
      </c>
      <c r="AG431" s="44"/>
      <c r="AH431" s="44"/>
      <c r="AI431" s="44" t="str">
        <f>IFERROR(__xludf.DUMMYFUNCTION("TEXTJOIN("", "",TRUE, FILTER(Data!P:P, Data!B:B=A431))"),"")</f>
        <v/>
      </c>
      <c r="AM431" s="61"/>
      <c r="BC431" s="50"/>
    </row>
    <row r="432">
      <c r="A432" s="14"/>
      <c r="B432" s="55" t="str">
        <f>IFERROR(__xludf.DUMMYFUNCTION("IFERROR(ROUND(
(COUNTIF(FILTER(Data!O:O, Data!B:B=A432), ""Win"")
+ COUNTIF(FILTER(Data!O:O, Data!B:B=A432), {""Tie"",""Results""}))
/ (COUNTIF(Data!B:B, A432)),
1),"""")"),"")</f>
        <v/>
      </c>
      <c r="C432" s="45" t="str">
        <f>IFERROR((SUMIF(Data!B:B, A432, Data!H:H)
/ (COUNTIF(Data!B:B, A432)
)),"")</f>
        <v/>
      </c>
      <c r="D432" s="45" t="str">
        <f>IFERROR((SUMIF(Data!B:B, A432, Data!G:G)
/ (COUNTIF(Data!B:B, A432)
)),"")</f>
        <v/>
      </c>
      <c r="E432" s="45"/>
      <c r="F432" s="45" t="str">
        <f>IFERROR((SUMIF(Data!B:B, A432, Data!J:J)
/ (COUNTIF(Data!B:B, A432)
)),"")</f>
        <v/>
      </c>
      <c r="G432" s="56" t="str">
        <f>IF(A432="","",IFERROR((((((SUMIF(Data!B:B, A432, Data!H:H)+(SUMIF(Data!B:B, A432,Data!G:G)))/(SUMIF(Data!B:B, A432, Data!J:J)))))),0))</f>
        <v/>
      </c>
      <c r="H432" s="45"/>
      <c r="I432" s="45"/>
      <c r="J432" s="45"/>
      <c r="K432" s="45"/>
      <c r="L432" s="45" t="str">
        <f>IFERROR((SUMIF(Data!B:B, A432, Data!L:L)
/ (COUNTIF(Data!B:B, A432)
)),"")</f>
        <v/>
      </c>
      <c r="M432" s="45" t="str">
        <f>IFERROR((SUMIF(Data!B:B, A432, Data!K:K)
/ (COUNTIF(Data!B:B, A432)
)),"")</f>
        <v/>
      </c>
      <c r="N432" s="56"/>
      <c r="O432" s="56" t="str">
        <f>IF(A432="","",IFERROR((((((SUMIF(Data!B:B, A432, Data!H:H)+(SUMIF(Data!B:B, A432,Data!G:G)+(SUMIF(Data!B:B, A432,Data!L:L)+(SUMIF(Data!B:B, A432,Data!K:K)))))/(SUMIF(Data!B:B, A432, Data!M:M)+(SUMIF(Data!B:B, A432, Data!H:H)+(SUMIF(Data!B:B, A432,Data!G:G)+(SUMIF(Data!B:B, A432,Data!K:K)+(SUMIF(Data!B:B, A432,Data!L:L)))))))))),0))</f>
        <v/>
      </c>
      <c r="P432" s="57" t="str">
        <f>IFERROR(__xludf.DUMMYFUNCTION("IFERROR(((COUNTIF(FILTER(Data!N:N,Data!B:B=A432),""TRAVERSE"")*15)+(COUNTIF(FILTER(Data!N:N,Data!B:B=A432),""HIGH"")*10)+(COUNTIF(FILTER(Data!N:N,Data!B:B=A432),""MIDDLE"")*6)+(COUNTIF(FILTER(Data!N:N,Data!B:B=A432),""LOW"")*4)) / (COUNTIF(Data!B:B, A432)"&amp;"),"""")"),"")</f>
        <v/>
      </c>
      <c r="Q432" s="58"/>
      <c r="R432" s="58"/>
      <c r="S432" s="58" t="str">
        <f>IFERROR(__xludf.DUMMYFUNCTION("IFERROR((((COUNTIF(FILTER(Data!N:N,Data!B:B=A432),""TRAVERSE""))+(COUNTIF(FILTER(Data!N:N,Data!B:B=A432),""HIGH""))+(COUNTIF(FILTER(Data!N:N,Data!B:B=A432),""MIDDLE""))+(COUNTIF(FILTER(Data!N:N,Data!B:B=A432),""LOW"")))) / (((COUNTIF(Data!B:B, A432)))-(CO"&amp;"UNTIF(FILTER(Data!N:N,Data!B:B=A432),""NONE""))),IF(ISBLANK(A432),"""",0))"),"")</f>
        <v/>
      </c>
      <c r="T432" s="56" t="str">
        <f>IFERROR(__xludf.DUMMYFUNCTION("IFERROR((COUNTIF(FILTER(Data!N:N, Data!B:B=A432),""LOW"")) / (COUNTIF(Data!B:B, A432)),"""")"),"")</f>
        <v/>
      </c>
      <c r="U432" s="59" t="str">
        <f>IFERROR(__xludf.DUMMYFUNCTION("IFERROR((COUNTIF(FILTER(Data!N:N, Data!B:B=A432),""MIDDLE"")) / (COUNTIF(Data!B:B, A432)),"""")"),"")</f>
        <v/>
      </c>
      <c r="V432" s="59" t="str">
        <f>IFERROR(__xludf.DUMMYFUNCTION("IFERROR((COUNTIF(FILTER(Data!N:N, Data!B:B=A432),""HIGH"")) / (COUNTIF(Data!B:B, A432)),"""")"),"")</f>
        <v/>
      </c>
      <c r="W432" s="59" t="str">
        <f>IFERROR(__xludf.DUMMYFUNCTION("IFERROR((COUNTIF(FILTER(Data!N:N, Data!B:B=A432),""TRAVERSE"")) / (COUNTIF(Data!B:B, A432)),"""")"),"")</f>
        <v/>
      </c>
      <c r="X432" s="59"/>
      <c r="Y432" s="45" t="str">
        <f t="shared" si="7"/>
        <v/>
      </c>
      <c r="Z432" s="45" t="str">
        <f t="shared" si="8"/>
        <v/>
      </c>
      <c r="AA432" s="16" t="str">
        <f t="shared" si="9"/>
        <v/>
      </c>
      <c r="AB432" s="16"/>
      <c r="AC432" s="16"/>
      <c r="AD432" s="16"/>
      <c r="AE432" s="16" t="str">
        <f t="shared" si="12"/>
        <v/>
      </c>
      <c r="AF432" s="16" t="str">
        <f t="shared" si="13"/>
        <v/>
      </c>
      <c r="AG432" s="44"/>
      <c r="AH432" s="44"/>
      <c r="AI432" s="44" t="str">
        <f>IFERROR(__xludf.DUMMYFUNCTION("TEXTJOIN("", "",TRUE, FILTER(Data!P:P, Data!B:B=A432))"),"")</f>
        <v/>
      </c>
      <c r="AM432" s="61"/>
      <c r="BC432" s="50"/>
    </row>
    <row r="433">
      <c r="A433" s="14"/>
      <c r="B433" s="55" t="str">
        <f>IFERROR(__xludf.DUMMYFUNCTION("IFERROR(ROUND(
(COUNTIF(FILTER(Data!O:O, Data!B:B=A433), ""Win"")
+ COUNTIF(FILTER(Data!O:O, Data!B:B=A433), {""Tie"",""Results""}))
/ (COUNTIF(Data!B:B, A433)),
1),"""")"),"")</f>
        <v/>
      </c>
      <c r="C433" s="45" t="str">
        <f>IFERROR((SUMIF(Data!B:B, A433, Data!H:H)
/ (COUNTIF(Data!B:B, A433)
)),"")</f>
        <v/>
      </c>
      <c r="D433" s="45" t="str">
        <f>IFERROR((SUMIF(Data!B:B, A433, Data!G:G)
/ (COUNTIF(Data!B:B, A433)
)),"")</f>
        <v/>
      </c>
      <c r="E433" s="45"/>
      <c r="F433" s="45" t="str">
        <f>IFERROR((SUMIF(Data!B:B, A433, Data!J:J)
/ (COUNTIF(Data!B:B, A433)
)),"")</f>
        <v/>
      </c>
      <c r="G433" s="56" t="str">
        <f>IF(A433="","",IFERROR((((((SUMIF(Data!B:B, A433, Data!H:H)+(SUMIF(Data!B:B, A433,Data!G:G)))/(SUMIF(Data!B:B, A433, Data!J:J)))))),0))</f>
        <v/>
      </c>
      <c r="H433" s="45"/>
      <c r="I433" s="45"/>
      <c r="J433" s="45"/>
      <c r="K433" s="45"/>
      <c r="L433" s="45" t="str">
        <f>IFERROR((SUMIF(Data!B:B, A433, Data!L:L)
/ (COUNTIF(Data!B:B, A433)
)),"")</f>
        <v/>
      </c>
      <c r="M433" s="45" t="str">
        <f>IFERROR((SUMIF(Data!B:B, A433, Data!K:K)
/ (COUNTIF(Data!B:B, A433)
)),"")</f>
        <v/>
      </c>
      <c r="N433" s="56"/>
      <c r="O433" s="56" t="str">
        <f>IF(A433="","",IFERROR((((((SUMIF(Data!B:B, A433, Data!H:H)+(SUMIF(Data!B:B, A433,Data!G:G)+(SUMIF(Data!B:B, A433,Data!L:L)+(SUMIF(Data!B:B, A433,Data!K:K)))))/(SUMIF(Data!B:B, A433, Data!M:M)+(SUMIF(Data!B:B, A433, Data!H:H)+(SUMIF(Data!B:B, A433,Data!G:G)+(SUMIF(Data!B:B, A433,Data!K:K)+(SUMIF(Data!B:B, A433,Data!L:L)))))))))),0))</f>
        <v/>
      </c>
      <c r="P433" s="57" t="str">
        <f>IFERROR(__xludf.DUMMYFUNCTION("IFERROR(((COUNTIF(FILTER(Data!N:N,Data!B:B=A433),""TRAVERSE"")*15)+(COUNTIF(FILTER(Data!N:N,Data!B:B=A433),""HIGH"")*10)+(COUNTIF(FILTER(Data!N:N,Data!B:B=A433),""MIDDLE"")*6)+(COUNTIF(FILTER(Data!N:N,Data!B:B=A433),""LOW"")*4)) / (COUNTIF(Data!B:B, A433)"&amp;"),"""")"),"")</f>
        <v/>
      </c>
      <c r="Q433" s="58"/>
      <c r="R433" s="58"/>
      <c r="S433" s="58" t="str">
        <f>IFERROR(__xludf.DUMMYFUNCTION("IFERROR((((COUNTIF(FILTER(Data!N:N,Data!B:B=A433),""TRAVERSE""))+(COUNTIF(FILTER(Data!N:N,Data!B:B=A433),""HIGH""))+(COUNTIF(FILTER(Data!N:N,Data!B:B=A433),""MIDDLE""))+(COUNTIF(FILTER(Data!N:N,Data!B:B=A433),""LOW"")))) / (((COUNTIF(Data!B:B, A433)))-(CO"&amp;"UNTIF(FILTER(Data!N:N,Data!B:B=A433),""NONE""))),IF(ISBLANK(A433),"""",0))"),"")</f>
        <v/>
      </c>
      <c r="T433" s="56" t="str">
        <f>IFERROR(__xludf.DUMMYFUNCTION("IFERROR((COUNTIF(FILTER(Data!N:N, Data!B:B=A433),""LOW"")) / (COUNTIF(Data!B:B, A433)),"""")"),"")</f>
        <v/>
      </c>
      <c r="U433" s="59" t="str">
        <f>IFERROR(__xludf.DUMMYFUNCTION("IFERROR((COUNTIF(FILTER(Data!N:N, Data!B:B=A433),""MIDDLE"")) / (COUNTIF(Data!B:B, A433)),"""")"),"")</f>
        <v/>
      </c>
      <c r="V433" s="59" t="str">
        <f>IFERROR(__xludf.DUMMYFUNCTION("IFERROR((COUNTIF(FILTER(Data!N:N, Data!B:B=A433),""HIGH"")) / (COUNTIF(Data!B:B, A433)),"""")"),"")</f>
        <v/>
      </c>
      <c r="W433" s="59" t="str">
        <f>IFERROR(__xludf.DUMMYFUNCTION("IFERROR((COUNTIF(FILTER(Data!N:N, Data!B:B=A433),""TRAVERSE"")) / (COUNTIF(Data!B:B, A433)),"""")"),"")</f>
        <v/>
      </c>
      <c r="X433" s="59"/>
      <c r="Y433" s="45" t="str">
        <f t="shared" si="7"/>
        <v/>
      </c>
      <c r="Z433" s="45" t="str">
        <f t="shared" si="8"/>
        <v/>
      </c>
      <c r="AA433" s="16" t="str">
        <f t="shared" si="9"/>
        <v/>
      </c>
      <c r="AB433" s="16"/>
      <c r="AC433" s="16"/>
      <c r="AD433" s="16"/>
      <c r="AE433" s="16" t="str">
        <f t="shared" si="12"/>
        <v/>
      </c>
      <c r="AF433" s="16" t="str">
        <f t="shared" si="13"/>
        <v/>
      </c>
      <c r="AG433" s="44"/>
      <c r="AH433" s="44"/>
      <c r="AI433" s="44" t="str">
        <f>IFERROR(__xludf.DUMMYFUNCTION("TEXTJOIN("", "",TRUE, FILTER(Data!P:P, Data!B:B=A433))"),"")</f>
        <v/>
      </c>
      <c r="AM433" s="61"/>
      <c r="BC433" s="50"/>
    </row>
    <row r="434">
      <c r="A434" s="14"/>
      <c r="B434" s="55" t="str">
        <f>IFERROR(__xludf.DUMMYFUNCTION("IFERROR(ROUND(
(COUNTIF(FILTER(Data!O:O, Data!B:B=A434), ""Win"")
+ COUNTIF(FILTER(Data!O:O, Data!B:B=A434), {""Tie"",""Results""}))
/ (COUNTIF(Data!B:B, A434)),
1),"""")"),"")</f>
        <v/>
      </c>
      <c r="C434" s="45" t="str">
        <f>IFERROR((SUMIF(Data!B:B, A434, Data!H:H)
/ (COUNTIF(Data!B:B, A434)
)),"")</f>
        <v/>
      </c>
      <c r="D434" s="45" t="str">
        <f>IFERROR((SUMIF(Data!B:B, A434, Data!G:G)
/ (COUNTIF(Data!B:B, A434)
)),"")</f>
        <v/>
      </c>
      <c r="E434" s="45"/>
      <c r="F434" s="45" t="str">
        <f>IFERROR((SUMIF(Data!B:B, A434, Data!J:J)
/ (COUNTIF(Data!B:B, A434)
)),"")</f>
        <v/>
      </c>
      <c r="G434" s="56" t="str">
        <f>IF(A434="","",IFERROR((((((SUMIF(Data!B:B, A434, Data!H:H)+(SUMIF(Data!B:B, A434,Data!G:G)))/(SUMIF(Data!B:B, A434, Data!J:J)))))),0))</f>
        <v/>
      </c>
      <c r="H434" s="45"/>
      <c r="I434" s="45"/>
      <c r="J434" s="45"/>
      <c r="K434" s="45"/>
      <c r="L434" s="45" t="str">
        <f>IFERROR((SUMIF(Data!B:B, A434, Data!L:L)
/ (COUNTIF(Data!B:B, A434)
)),"")</f>
        <v/>
      </c>
      <c r="M434" s="45" t="str">
        <f>IFERROR((SUMIF(Data!B:B, A434, Data!K:K)
/ (COUNTIF(Data!B:B, A434)
)),"")</f>
        <v/>
      </c>
      <c r="N434" s="56"/>
      <c r="O434" s="56" t="str">
        <f>IF(A434="","",IFERROR((((((SUMIF(Data!B:B, A434, Data!H:H)+(SUMIF(Data!B:B, A434,Data!G:G)+(SUMIF(Data!B:B, A434,Data!L:L)+(SUMIF(Data!B:B, A434,Data!K:K)))))/(SUMIF(Data!B:B, A434, Data!M:M)+(SUMIF(Data!B:B, A434, Data!H:H)+(SUMIF(Data!B:B, A434,Data!G:G)+(SUMIF(Data!B:B, A434,Data!K:K)+(SUMIF(Data!B:B, A434,Data!L:L)))))))))),0))</f>
        <v/>
      </c>
      <c r="P434" s="57" t="str">
        <f>IFERROR(__xludf.DUMMYFUNCTION("IFERROR(((COUNTIF(FILTER(Data!N:N,Data!B:B=A434),""TRAVERSE"")*15)+(COUNTIF(FILTER(Data!N:N,Data!B:B=A434),""HIGH"")*10)+(COUNTIF(FILTER(Data!N:N,Data!B:B=A434),""MIDDLE"")*6)+(COUNTIF(FILTER(Data!N:N,Data!B:B=A434),""LOW"")*4)) / (COUNTIF(Data!B:B, A434)"&amp;"),"""")"),"")</f>
        <v/>
      </c>
      <c r="Q434" s="58"/>
      <c r="R434" s="58"/>
      <c r="S434" s="58" t="str">
        <f>IFERROR(__xludf.DUMMYFUNCTION("IFERROR((((COUNTIF(FILTER(Data!N:N,Data!B:B=A434),""TRAVERSE""))+(COUNTIF(FILTER(Data!N:N,Data!B:B=A434),""HIGH""))+(COUNTIF(FILTER(Data!N:N,Data!B:B=A434),""MIDDLE""))+(COUNTIF(FILTER(Data!N:N,Data!B:B=A434),""LOW"")))) / (((COUNTIF(Data!B:B, A434)))-(CO"&amp;"UNTIF(FILTER(Data!N:N,Data!B:B=A434),""NONE""))),IF(ISBLANK(A434),"""",0))"),"")</f>
        <v/>
      </c>
      <c r="T434" s="56" t="str">
        <f>IFERROR(__xludf.DUMMYFUNCTION("IFERROR((COUNTIF(FILTER(Data!N:N, Data!B:B=A434),""LOW"")) / (COUNTIF(Data!B:B, A434)),"""")"),"")</f>
        <v/>
      </c>
      <c r="U434" s="59" t="str">
        <f>IFERROR(__xludf.DUMMYFUNCTION("IFERROR((COUNTIF(FILTER(Data!N:N, Data!B:B=A434),""MIDDLE"")) / (COUNTIF(Data!B:B, A434)),"""")"),"")</f>
        <v/>
      </c>
      <c r="V434" s="59" t="str">
        <f>IFERROR(__xludf.DUMMYFUNCTION("IFERROR((COUNTIF(FILTER(Data!N:N, Data!B:B=A434),""HIGH"")) / (COUNTIF(Data!B:B, A434)),"""")"),"")</f>
        <v/>
      </c>
      <c r="W434" s="59" t="str">
        <f>IFERROR(__xludf.DUMMYFUNCTION("IFERROR((COUNTIF(FILTER(Data!N:N, Data!B:B=A434),""TRAVERSE"")) / (COUNTIF(Data!B:B, A434)),"""")"),"")</f>
        <v/>
      </c>
      <c r="X434" s="59"/>
      <c r="Y434" s="45" t="str">
        <f t="shared" si="7"/>
        <v/>
      </c>
      <c r="Z434" s="45" t="str">
        <f t="shared" si="8"/>
        <v/>
      </c>
      <c r="AA434" s="16" t="str">
        <f t="shared" si="9"/>
        <v/>
      </c>
      <c r="AB434" s="16"/>
      <c r="AC434" s="16"/>
      <c r="AD434" s="16"/>
      <c r="AE434" s="16" t="str">
        <f t="shared" si="12"/>
        <v/>
      </c>
      <c r="AF434" s="16" t="str">
        <f t="shared" si="13"/>
        <v/>
      </c>
      <c r="AG434" s="44"/>
      <c r="AH434" s="44"/>
      <c r="AI434" s="44" t="str">
        <f>IFERROR(__xludf.DUMMYFUNCTION("TEXTJOIN("", "",TRUE, FILTER(Data!P:P, Data!B:B=A434))"),"")</f>
        <v/>
      </c>
      <c r="AM434" s="61"/>
      <c r="BC434" s="50"/>
    </row>
    <row r="435">
      <c r="A435" s="14"/>
      <c r="B435" s="55" t="str">
        <f>IFERROR(__xludf.DUMMYFUNCTION("IFERROR(ROUND(
(COUNTIF(FILTER(Data!O:O, Data!B:B=A435), ""Win"")
+ COUNTIF(FILTER(Data!O:O, Data!B:B=A435), {""Tie"",""Results""}))
/ (COUNTIF(Data!B:B, A435)),
1),"""")"),"")</f>
        <v/>
      </c>
      <c r="C435" s="45" t="str">
        <f>IFERROR((SUMIF(Data!B:B, A435, Data!H:H)
/ (COUNTIF(Data!B:B, A435)
)),"")</f>
        <v/>
      </c>
      <c r="D435" s="45" t="str">
        <f>IFERROR((SUMIF(Data!B:B, A435, Data!G:G)
/ (COUNTIF(Data!B:B, A435)
)),"")</f>
        <v/>
      </c>
      <c r="E435" s="45"/>
      <c r="F435" s="45" t="str">
        <f>IFERROR((SUMIF(Data!B:B, A435, Data!J:J)
/ (COUNTIF(Data!B:B, A435)
)),"")</f>
        <v/>
      </c>
      <c r="G435" s="56" t="str">
        <f>IF(A435="","",IFERROR((((((SUMIF(Data!B:B, A435, Data!H:H)+(SUMIF(Data!B:B, A435,Data!G:G)))/(SUMIF(Data!B:B, A435, Data!J:J)))))),0))</f>
        <v/>
      </c>
      <c r="H435" s="45"/>
      <c r="I435" s="45"/>
      <c r="J435" s="45"/>
      <c r="K435" s="45"/>
      <c r="L435" s="45" t="str">
        <f>IFERROR((SUMIF(Data!B:B, A435, Data!L:L)
/ (COUNTIF(Data!B:B, A435)
)),"")</f>
        <v/>
      </c>
      <c r="M435" s="45" t="str">
        <f>IFERROR((SUMIF(Data!B:B, A435, Data!K:K)
/ (COUNTIF(Data!B:B, A435)
)),"")</f>
        <v/>
      </c>
      <c r="N435" s="56"/>
      <c r="O435" s="56" t="str">
        <f>IF(A435="","",IFERROR((((((SUMIF(Data!B:B, A435, Data!H:H)+(SUMIF(Data!B:B, A435,Data!G:G)+(SUMIF(Data!B:B, A435,Data!L:L)+(SUMIF(Data!B:B, A435,Data!K:K)))))/(SUMIF(Data!B:B, A435, Data!M:M)+(SUMIF(Data!B:B, A435, Data!H:H)+(SUMIF(Data!B:B, A435,Data!G:G)+(SUMIF(Data!B:B, A435,Data!K:K)+(SUMIF(Data!B:B, A435,Data!L:L)))))))))),0))</f>
        <v/>
      </c>
      <c r="P435" s="57" t="str">
        <f>IFERROR(__xludf.DUMMYFUNCTION("IFERROR(((COUNTIF(FILTER(Data!N:N,Data!B:B=A435),""TRAVERSE"")*15)+(COUNTIF(FILTER(Data!N:N,Data!B:B=A435),""HIGH"")*10)+(COUNTIF(FILTER(Data!N:N,Data!B:B=A435),""MIDDLE"")*6)+(COUNTIF(FILTER(Data!N:N,Data!B:B=A435),""LOW"")*4)) / (COUNTIF(Data!B:B, A435)"&amp;"),"""")"),"")</f>
        <v/>
      </c>
      <c r="Q435" s="58"/>
      <c r="R435" s="58"/>
      <c r="S435" s="58" t="str">
        <f>IFERROR(__xludf.DUMMYFUNCTION("IFERROR((((COUNTIF(FILTER(Data!N:N,Data!B:B=A435),""TRAVERSE""))+(COUNTIF(FILTER(Data!N:N,Data!B:B=A435),""HIGH""))+(COUNTIF(FILTER(Data!N:N,Data!B:B=A435),""MIDDLE""))+(COUNTIF(FILTER(Data!N:N,Data!B:B=A435),""LOW"")))) / (((COUNTIF(Data!B:B, A435)))-(CO"&amp;"UNTIF(FILTER(Data!N:N,Data!B:B=A435),""NONE""))),IF(ISBLANK(A435),"""",0))"),"")</f>
        <v/>
      </c>
      <c r="T435" s="56" t="str">
        <f>IFERROR(__xludf.DUMMYFUNCTION("IFERROR((COUNTIF(FILTER(Data!N:N, Data!B:B=A435),""LOW"")) / (COUNTIF(Data!B:B, A435)),"""")"),"")</f>
        <v/>
      </c>
      <c r="U435" s="59" t="str">
        <f>IFERROR(__xludf.DUMMYFUNCTION("IFERROR((COUNTIF(FILTER(Data!N:N, Data!B:B=A435),""MIDDLE"")) / (COUNTIF(Data!B:B, A435)),"""")"),"")</f>
        <v/>
      </c>
      <c r="V435" s="59" t="str">
        <f>IFERROR(__xludf.DUMMYFUNCTION("IFERROR((COUNTIF(FILTER(Data!N:N, Data!B:B=A435),""HIGH"")) / (COUNTIF(Data!B:B, A435)),"""")"),"")</f>
        <v/>
      </c>
      <c r="W435" s="59" t="str">
        <f>IFERROR(__xludf.DUMMYFUNCTION("IFERROR((COUNTIF(FILTER(Data!N:N, Data!B:B=A435),""TRAVERSE"")) / (COUNTIF(Data!B:B, A435)),"""")"),"")</f>
        <v/>
      </c>
      <c r="X435" s="59"/>
      <c r="Y435" s="45" t="str">
        <f t="shared" si="7"/>
        <v/>
      </c>
      <c r="Z435" s="45" t="str">
        <f t="shared" si="8"/>
        <v/>
      </c>
      <c r="AA435" s="16" t="str">
        <f t="shared" si="9"/>
        <v/>
      </c>
      <c r="AB435" s="16"/>
      <c r="AC435" s="16"/>
      <c r="AD435" s="16"/>
      <c r="AE435" s="16" t="str">
        <f t="shared" si="12"/>
        <v/>
      </c>
      <c r="AF435" s="16" t="str">
        <f t="shared" si="13"/>
        <v/>
      </c>
      <c r="AG435" s="44"/>
      <c r="AH435" s="44"/>
      <c r="AI435" s="44" t="str">
        <f>IFERROR(__xludf.DUMMYFUNCTION("TEXTJOIN("", "",TRUE, FILTER(Data!P:P, Data!B:B=A435))"),"")</f>
        <v/>
      </c>
      <c r="AM435" s="61"/>
      <c r="BC435" s="50"/>
    </row>
    <row r="436">
      <c r="A436" s="14"/>
      <c r="B436" s="55" t="str">
        <f>IFERROR(__xludf.DUMMYFUNCTION("IFERROR(ROUND(
(COUNTIF(FILTER(Data!O:O, Data!B:B=A436), ""Win"")
+ COUNTIF(FILTER(Data!O:O, Data!B:B=A436), {""Tie"",""Results""}))
/ (COUNTIF(Data!B:B, A436)),
1),"""")"),"")</f>
        <v/>
      </c>
      <c r="C436" s="45" t="str">
        <f>IFERROR((SUMIF(Data!B:B, A436, Data!H:H)
/ (COUNTIF(Data!B:B, A436)
)),"")</f>
        <v/>
      </c>
      <c r="D436" s="45" t="str">
        <f>IFERROR((SUMIF(Data!B:B, A436, Data!G:G)
/ (COUNTIF(Data!B:B, A436)
)),"")</f>
        <v/>
      </c>
      <c r="E436" s="45"/>
      <c r="F436" s="45" t="str">
        <f>IFERROR((SUMIF(Data!B:B, A436, Data!J:J)
/ (COUNTIF(Data!B:B, A436)
)),"")</f>
        <v/>
      </c>
      <c r="G436" s="56" t="str">
        <f>IF(A436="","",IFERROR((((((SUMIF(Data!B:B, A436, Data!H:H)+(SUMIF(Data!B:B, A436,Data!G:G)))/(SUMIF(Data!B:B, A436, Data!J:J)))))),0))</f>
        <v/>
      </c>
      <c r="H436" s="45"/>
      <c r="I436" s="45"/>
      <c r="J436" s="45"/>
      <c r="K436" s="45"/>
      <c r="L436" s="45" t="str">
        <f>IFERROR((SUMIF(Data!B:B, A436, Data!L:L)
/ (COUNTIF(Data!B:B, A436)
)),"")</f>
        <v/>
      </c>
      <c r="M436" s="45" t="str">
        <f>IFERROR((SUMIF(Data!B:B, A436, Data!K:K)
/ (COUNTIF(Data!B:B, A436)
)),"")</f>
        <v/>
      </c>
      <c r="N436" s="56"/>
      <c r="O436" s="56" t="str">
        <f>IF(A436="","",IFERROR((((((SUMIF(Data!B:B, A436, Data!H:H)+(SUMIF(Data!B:B, A436,Data!G:G)+(SUMIF(Data!B:B, A436,Data!L:L)+(SUMIF(Data!B:B, A436,Data!K:K)))))/(SUMIF(Data!B:B, A436, Data!M:M)+(SUMIF(Data!B:B, A436, Data!H:H)+(SUMIF(Data!B:B, A436,Data!G:G)+(SUMIF(Data!B:B, A436,Data!K:K)+(SUMIF(Data!B:B, A436,Data!L:L)))))))))),0))</f>
        <v/>
      </c>
      <c r="P436" s="57" t="str">
        <f>IFERROR(__xludf.DUMMYFUNCTION("IFERROR(((COUNTIF(FILTER(Data!N:N,Data!B:B=A436),""TRAVERSE"")*15)+(COUNTIF(FILTER(Data!N:N,Data!B:B=A436),""HIGH"")*10)+(COUNTIF(FILTER(Data!N:N,Data!B:B=A436),""MIDDLE"")*6)+(COUNTIF(FILTER(Data!N:N,Data!B:B=A436),""LOW"")*4)) / (COUNTIF(Data!B:B, A436)"&amp;"),"""")"),"")</f>
        <v/>
      </c>
      <c r="Q436" s="58"/>
      <c r="R436" s="58"/>
      <c r="S436" s="58" t="str">
        <f>IFERROR(__xludf.DUMMYFUNCTION("IFERROR((((COUNTIF(FILTER(Data!N:N,Data!B:B=A436),""TRAVERSE""))+(COUNTIF(FILTER(Data!N:N,Data!B:B=A436),""HIGH""))+(COUNTIF(FILTER(Data!N:N,Data!B:B=A436),""MIDDLE""))+(COUNTIF(FILTER(Data!N:N,Data!B:B=A436),""LOW"")))) / (((COUNTIF(Data!B:B, A436)))-(CO"&amp;"UNTIF(FILTER(Data!N:N,Data!B:B=A436),""NONE""))),IF(ISBLANK(A436),"""",0))"),"")</f>
        <v/>
      </c>
      <c r="T436" s="56" t="str">
        <f>IFERROR(__xludf.DUMMYFUNCTION("IFERROR((COUNTIF(FILTER(Data!N:N, Data!B:B=A436),""LOW"")) / (COUNTIF(Data!B:B, A436)),"""")"),"")</f>
        <v/>
      </c>
      <c r="U436" s="59" t="str">
        <f>IFERROR(__xludf.DUMMYFUNCTION("IFERROR((COUNTIF(FILTER(Data!N:N, Data!B:B=A436),""MIDDLE"")) / (COUNTIF(Data!B:B, A436)),"""")"),"")</f>
        <v/>
      </c>
      <c r="V436" s="59" t="str">
        <f>IFERROR(__xludf.DUMMYFUNCTION("IFERROR((COUNTIF(FILTER(Data!N:N, Data!B:B=A436),""HIGH"")) / (COUNTIF(Data!B:B, A436)),"""")"),"")</f>
        <v/>
      </c>
      <c r="W436" s="59" t="str">
        <f>IFERROR(__xludf.DUMMYFUNCTION("IFERROR((COUNTIF(FILTER(Data!N:N, Data!B:B=A436),""TRAVERSE"")) / (COUNTIF(Data!B:B, A436)),"""")"),"")</f>
        <v/>
      </c>
      <c r="X436" s="59"/>
      <c r="Y436" s="45" t="str">
        <f t="shared" si="7"/>
        <v/>
      </c>
      <c r="Z436" s="45" t="str">
        <f t="shared" si="8"/>
        <v/>
      </c>
      <c r="AA436" s="16" t="str">
        <f t="shared" si="9"/>
        <v/>
      </c>
      <c r="AB436" s="16"/>
      <c r="AC436" s="16"/>
      <c r="AD436" s="16"/>
      <c r="AE436" s="16" t="str">
        <f t="shared" si="12"/>
        <v/>
      </c>
      <c r="AF436" s="16" t="str">
        <f t="shared" si="13"/>
        <v/>
      </c>
      <c r="AG436" s="44"/>
      <c r="AH436" s="44"/>
      <c r="AI436" s="44" t="str">
        <f>IFERROR(__xludf.DUMMYFUNCTION("TEXTJOIN("", "",TRUE, FILTER(Data!P:P, Data!B:B=A436))"),"")</f>
        <v/>
      </c>
      <c r="AM436" s="61"/>
      <c r="BC436" s="50"/>
    </row>
    <row r="437">
      <c r="A437" s="14"/>
      <c r="B437" s="55" t="str">
        <f>IFERROR(__xludf.DUMMYFUNCTION("IFERROR(ROUND(
(COUNTIF(FILTER(Data!O:O, Data!B:B=A437), ""Win"")
+ COUNTIF(FILTER(Data!O:O, Data!B:B=A437), {""Tie"",""Results""}))
/ (COUNTIF(Data!B:B, A437)),
1),"""")"),"")</f>
        <v/>
      </c>
      <c r="C437" s="45" t="str">
        <f>IFERROR((SUMIF(Data!B:B, A437, Data!H:H)
/ (COUNTIF(Data!B:B, A437)
)),"")</f>
        <v/>
      </c>
      <c r="D437" s="45" t="str">
        <f>IFERROR((SUMIF(Data!B:B, A437, Data!G:G)
/ (COUNTIF(Data!B:B, A437)
)),"")</f>
        <v/>
      </c>
      <c r="E437" s="45"/>
      <c r="F437" s="45" t="str">
        <f>IFERROR((SUMIF(Data!B:B, A437, Data!J:J)
/ (COUNTIF(Data!B:B, A437)
)),"")</f>
        <v/>
      </c>
      <c r="G437" s="56" t="str">
        <f>IF(A437="","",IFERROR((((((SUMIF(Data!B:B, A437, Data!H:H)+(SUMIF(Data!B:B, A437,Data!G:G)))/(SUMIF(Data!B:B, A437, Data!J:J)))))),0))</f>
        <v/>
      </c>
      <c r="H437" s="45"/>
      <c r="I437" s="45"/>
      <c r="J437" s="45"/>
      <c r="K437" s="45"/>
      <c r="L437" s="45" t="str">
        <f>IFERROR((SUMIF(Data!B:B, A437, Data!L:L)
/ (COUNTIF(Data!B:B, A437)
)),"")</f>
        <v/>
      </c>
      <c r="M437" s="45" t="str">
        <f>IFERROR((SUMIF(Data!B:B, A437, Data!K:K)
/ (COUNTIF(Data!B:B, A437)
)),"")</f>
        <v/>
      </c>
      <c r="N437" s="56"/>
      <c r="O437" s="56" t="str">
        <f>IF(A437="","",IFERROR((((((SUMIF(Data!B:B, A437, Data!H:H)+(SUMIF(Data!B:B, A437,Data!G:G)+(SUMIF(Data!B:B, A437,Data!L:L)+(SUMIF(Data!B:B, A437,Data!K:K)))))/(SUMIF(Data!B:B, A437, Data!M:M)+(SUMIF(Data!B:B, A437, Data!H:H)+(SUMIF(Data!B:B, A437,Data!G:G)+(SUMIF(Data!B:B, A437,Data!K:K)+(SUMIF(Data!B:B, A437,Data!L:L)))))))))),0))</f>
        <v/>
      </c>
      <c r="P437" s="57" t="str">
        <f>IFERROR(__xludf.DUMMYFUNCTION("IFERROR(((COUNTIF(FILTER(Data!N:N,Data!B:B=A437),""TRAVERSE"")*15)+(COUNTIF(FILTER(Data!N:N,Data!B:B=A437),""HIGH"")*10)+(COUNTIF(FILTER(Data!N:N,Data!B:B=A437),""MIDDLE"")*6)+(COUNTIF(FILTER(Data!N:N,Data!B:B=A437),""LOW"")*4)) / (COUNTIF(Data!B:B, A437)"&amp;"),"""")"),"")</f>
        <v/>
      </c>
      <c r="Q437" s="58"/>
      <c r="R437" s="58"/>
      <c r="S437" s="58" t="str">
        <f>IFERROR(__xludf.DUMMYFUNCTION("IFERROR((((COUNTIF(FILTER(Data!N:N,Data!B:B=A437),""TRAVERSE""))+(COUNTIF(FILTER(Data!N:N,Data!B:B=A437),""HIGH""))+(COUNTIF(FILTER(Data!N:N,Data!B:B=A437),""MIDDLE""))+(COUNTIF(FILTER(Data!N:N,Data!B:B=A437),""LOW"")))) / (((COUNTIF(Data!B:B, A437)))-(CO"&amp;"UNTIF(FILTER(Data!N:N,Data!B:B=A437),""NONE""))),IF(ISBLANK(A437),"""",0))"),"")</f>
        <v/>
      </c>
      <c r="T437" s="56" t="str">
        <f>IFERROR(__xludf.DUMMYFUNCTION("IFERROR((COUNTIF(FILTER(Data!N:N, Data!B:B=A437),""LOW"")) / (COUNTIF(Data!B:B, A437)),"""")"),"")</f>
        <v/>
      </c>
      <c r="U437" s="59" t="str">
        <f>IFERROR(__xludf.DUMMYFUNCTION("IFERROR((COUNTIF(FILTER(Data!N:N, Data!B:B=A437),""MIDDLE"")) / (COUNTIF(Data!B:B, A437)),"""")"),"")</f>
        <v/>
      </c>
      <c r="V437" s="59" t="str">
        <f>IFERROR(__xludf.DUMMYFUNCTION("IFERROR((COUNTIF(FILTER(Data!N:N, Data!B:B=A437),""HIGH"")) / (COUNTIF(Data!B:B, A437)),"""")"),"")</f>
        <v/>
      </c>
      <c r="W437" s="59" t="str">
        <f>IFERROR(__xludf.DUMMYFUNCTION("IFERROR((COUNTIF(FILTER(Data!N:N, Data!B:B=A437),""TRAVERSE"")) / (COUNTIF(Data!B:B, A437)),"""")"),"")</f>
        <v/>
      </c>
      <c r="X437" s="59"/>
      <c r="Y437" s="45" t="str">
        <f t="shared" si="7"/>
        <v/>
      </c>
      <c r="Z437" s="45" t="str">
        <f t="shared" si="8"/>
        <v/>
      </c>
      <c r="AA437" s="16" t="str">
        <f t="shared" si="9"/>
        <v/>
      </c>
      <c r="AB437" s="16"/>
      <c r="AC437" s="16"/>
      <c r="AD437" s="16"/>
      <c r="AE437" s="16" t="str">
        <f t="shared" si="12"/>
        <v/>
      </c>
      <c r="AF437" s="16" t="str">
        <f t="shared" si="13"/>
        <v/>
      </c>
      <c r="AG437" s="44"/>
      <c r="AH437" s="44"/>
      <c r="AI437" s="44" t="str">
        <f>IFERROR(__xludf.DUMMYFUNCTION("TEXTJOIN("", "",TRUE, FILTER(Data!P:P, Data!B:B=A437))"),"")</f>
        <v/>
      </c>
      <c r="AM437" s="61"/>
      <c r="BC437" s="50"/>
    </row>
    <row r="438">
      <c r="A438" s="14"/>
      <c r="B438" s="55" t="str">
        <f>IFERROR(__xludf.DUMMYFUNCTION("IFERROR(ROUND(
(COUNTIF(FILTER(Data!O:O, Data!B:B=A438), ""Win"")
+ COUNTIF(FILTER(Data!O:O, Data!B:B=A438), {""Tie"",""Results""}))
/ (COUNTIF(Data!B:B, A438)),
1),"""")"),"")</f>
        <v/>
      </c>
      <c r="C438" s="45" t="str">
        <f>IFERROR((SUMIF(Data!B:B, A438, Data!H:H)
/ (COUNTIF(Data!B:B, A438)
)),"")</f>
        <v/>
      </c>
      <c r="D438" s="45" t="str">
        <f>IFERROR((SUMIF(Data!B:B, A438, Data!G:G)
/ (COUNTIF(Data!B:B, A438)
)),"")</f>
        <v/>
      </c>
      <c r="E438" s="45"/>
      <c r="F438" s="45" t="str">
        <f>IFERROR((SUMIF(Data!B:B, A438, Data!J:J)
/ (COUNTIF(Data!B:B, A438)
)),"")</f>
        <v/>
      </c>
      <c r="G438" s="56" t="str">
        <f>IF(A438="","",IFERROR((((((SUMIF(Data!B:B, A438, Data!H:H)+(SUMIF(Data!B:B, A438,Data!G:G)))/(SUMIF(Data!B:B, A438, Data!J:J)))))),0))</f>
        <v/>
      </c>
      <c r="H438" s="45"/>
      <c r="I438" s="45"/>
      <c r="J438" s="45"/>
      <c r="K438" s="45"/>
      <c r="L438" s="45" t="str">
        <f>IFERROR((SUMIF(Data!B:B, A438, Data!L:L)
/ (COUNTIF(Data!B:B, A438)
)),"")</f>
        <v/>
      </c>
      <c r="M438" s="45" t="str">
        <f>IFERROR((SUMIF(Data!B:B, A438, Data!K:K)
/ (COUNTIF(Data!B:B, A438)
)),"")</f>
        <v/>
      </c>
      <c r="N438" s="56"/>
      <c r="O438" s="56" t="str">
        <f>IF(A438="","",IFERROR((((((SUMIF(Data!B:B, A438, Data!H:H)+(SUMIF(Data!B:B, A438,Data!G:G)+(SUMIF(Data!B:B, A438,Data!L:L)+(SUMIF(Data!B:B, A438,Data!K:K)))))/(SUMIF(Data!B:B, A438, Data!M:M)+(SUMIF(Data!B:B, A438, Data!H:H)+(SUMIF(Data!B:B, A438,Data!G:G)+(SUMIF(Data!B:B, A438,Data!K:K)+(SUMIF(Data!B:B, A438,Data!L:L)))))))))),0))</f>
        <v/>
      </c>
      <c r="P438" s="57" t="str">
        <f>IFERROR(__xludf.DUMMYFUNCTION("IFERROR(((COUNTIF(FILTER(Data!N:N,Data!B:B=A438),""TRAVERSE"")*15)+(COUNTIF(FILTER(Data!N:N,Data!B:B=A438),""HIGH"")*10)+(COUNTIF(FILTER(Data!N:N,Data!B:B=A438),""MIDDLE"")*6)+(COUNTIF(FILTER(Data!N:N,Data!B:B=A438),""LOW"")*4)) / (COUNTIF(Data!B:B, A438)"&amp;"),"""")"),"")</f>
        <v/>
      </c>
      <c r="Q438" s="58"/>
      <c r="R438" s="58"/>
      <c r="S438" s="58" t="str">
        <f>IFERROR(__xludf.DUMMYFUNCTION("IFERROR((((COUNTIF(FILTER(Data!N:N,Data!B:B=A438),""TRAVERSE""))+(COUNTIF(FILTER(Data!N:N,Data!B:B=A438),""HIGH""))+(COUNTIF(FILTER(Data!N:N,Data!B:B=A438),""MIDDLE""))+(COUNTIF(FILTER(Data!N:N,Data!B:B=A438),""LOW"")))) / (((COUNTIF(Data!B:B, A438)))-(CO"&amp;"UNTIF(FILTER(Data!N:N,Data!B:B=A438),""NONE""))),IF(ISBLANK(A438),"""",0))"),"")</f>
        <v/>
      </c>
      <c r="T438" s="56" t="str">
        <f>IFERROR(__xludf.DUMMYFUNCTION("IFERROR((COUNTIF(FILTER(Data!N:N, Data!B:B=A438),""LOW"")) / (COUNTIF(Data!B:B, A438)),"""")"),"")</f>
        <v/>
      </c>
      <c r="U438" s="59" t="str">
        <f>IFERROR(__xludf.DUMMYFUNCTION("IFERROR((COUNTIF(FILTER(Data!N:N, Data!B:B=A438),""MIDDLE"")) / (COUNTIF(Data!B:B, A438)),"""")"),"")</f>
        <v/>
      </c>
      <c r="V438" s="59" t="str">
        <f>IFERROR(__xludf.DUMMYFUNCTION("IFERROR((COUNTIF(FILTER(Data!N:N, Data!B:B=A438),""HIGH"")) / (COUNTIF(Data!B:B, A438)),"""")"),"")</f>
        <v/>
      </c>
      <c r="W438" s="59" t="str">
        <f>IFERROR(__xludf.DUMMYFUNCTION("IFERROR((COUNTIF(FILTER(Data!N:N, Data!B:B=A438),""TRAVERSE"")) / (COUNTIF(Data!B:B, A438)),"""")"),"")</f>
        <v/>
      </c>
      <c r="X438" s="59"/>
      <c r="Y438" s="45" t="str">
        <f t="shared" si="7"/>
        <v/>
      </c>
      <c r="Z438" s="45" t="str">
        <f t="shared" si="8"/>
        <v/>
      </c>
      <c r="AA438" s="16" t="str">
        <f t="shared" si="9"/>
        <v/>
      </c>
      <c r="AB438" s="16"/>
      <c r="AC438" s="16"/>
      <c r="AD438" s="16"/>
      <c r="AE438" s="16" t="str">
        <f t="shared" si="12"/>
        <v/>
      </c>
      <c r="AF438" s="16" t="str">
        <f t="shared" si="13"/>
        <v/>
      </c>
      <c r="AG438" s="44"/>
      <c r="AH438" s="44"/>
      <c r="AI438" s="44" t="str">
        <f>IFERROR(__xludf.DUMMYFUNCTION("TEXTJOIN("", "",TRUE, FILTER(Data!P:P, Data!B:B=A438))"),"")</f>
        <v/>
      </c>
      <c r="AM438" s="61"/>
      <c r="BC438" s="50"/>
    </row>
    <row r="439">
      <c r="A439" s="14"/>
      <c r="B439" s="55" t="str">
        <f>IFERROR(__xludf.DUMMYFUNCTION("IFERROR(ROUND(
(COUNTIF(FILTER(Data!O:O, Data!B:B=A439), ""Win"")
+ COUNTIF(FILTER(Data!O:O, Data!B:B=A439), {""Tie"",""Results""}))
/ (COUNTIF(Data!B:B, A439)),
1),"""")"),"")</f>
        <v/>
      </c>
      <c r="C439" s="45" t="str">
        <f>IFERROR((SUMIF(Data!B:B, A439, Data!H:H)
/ (COUNTIF(Data!B:B, A439)
)),"")</f>
        <v/>
      </c>
      <c r="D439" s="45" t="str">
        <f>IFERROR((SUMIF(Data!B:B, A439, Data!G:G)
/ (COUNTIF(Data!B:B, A439)
)),"")</f>
        <v/>
      </c>
      <c r="E439" s="45"/>
      <c r="F439" s="45" t="str">
        <f>IFERROR((SUMIF(Data!B:B, A439, Data!J:J)
/ (COUNTIF(Data!B:B, A439)
)),"")</f>
        <v/>
      </c>
      <c r="G439" s="56" t="str">
        <f>IF(A439="","",IFERROR((((((SUMIF(Data!B:B, A439, Data!H:H)+(SUMIF(Data!B:B, A439,Data!G:G)))/(SUMIF(Data!B:B, A439, Data!J:J)))))),0))</f>
        <v/>
      </c>
      <c r="H439" s="45"/>
      <c r="I439" s="45"/>
      <c r="J439" s="45"/>
      <c r="K439" s="45"/>
      <c r="L439" s="45" t="str">
        <f>IFERROR((SUMIF(Data!B:B, A439, Data!L:L)
/ (COUNTIF(Data!B:B, A439)
)),"")</f>
        <v/>
      </c>
      <c r="M439" s="45" t="str">
        <f>IFERROR((SUMIF(Data!B:B, A439, Data!K:K)
/ (COUNTIF(Data!B:B, A439)
)),"")</f>
        <v/>
      </c>
      <c r="N439" s="56"/>
      <c r="O439" s="56" t="str">
        <f>IF(A439="","",IFERROR((((((SUMIF(Data!B:B, A439, Data!H:H)+(SUMIF(Data!B:B, A439,Data!G:G)+(SUMIF(Data!B:B, A439,Data!L:L)+(SUMIF(Data!B:B, A439,Data!K:K)))))/(SUMIF(Data!B:B, A439, Data!M:M)+(SUMIF(Data!B:B, A439, Data!H:H)+(SUMIF(Data!B:B, A439,Data!G:G)+(SUMIF(Data!B:B, A439,Data!K:K)+(SUMIF(Data!B:B, A439,Data!L:L)))))))))),0))</f>
        <v/>
      </c>
      <c r="P439" s="57" t="str">
        <f>IFERROR(__xludf.DUMMYFUNCTION("IFERROR(((COUNTIF(FILTER(Data!N:N,Data!B:B=A439),""TRAVERSE"")*15)+(COUNTIF(FILTER(Data!N:N,Data!B:B=A439),""HIGH"")*10)+(COUNTIF(FILTER(Data!N:N,Data!B:B=A439),""MIDDLE"")*6)+(COUNTIF(FILTER(Data!N:N,Data!B:B=A439),""LOW"")*4)) / (COUNTIF(Data!B:B, A439)"&amp;"),"""")"),"")</f>
        <v/>
      </c>
      <c r="Q439" s="58"/>
      <c r="R439" s="58"/>
      <c r="S439" s="58" t="str">
        <f>IFERROR(__xludf.DUMMYFUNCTION("IFERROR((((COUNTIF(FILTER(Data!N:N,Data!B:B=A439),""TRAVERSE""))+(COUNTIF(FILTER(Data!N:N,Data!B:B=A439),""HIGH""))+(COUNTIF(FILTER(Data!N:N,Data!B:B=A439),""MIDDLE""))+(COUNTIF(FILTER(Data!N:N,Data!B:B=A439),""LOW"")))) / (((COUNTIF(Data!B:B, A439)))-(CO"&amp;"UNTIF(FILTER(Data!N:N,Data!B:B=A439),""NONE""))),IF(ISBLANK(A439),"""",0))"),"")</f>
        <v/>
      </c>
      <c r="T439" s="56" t="str">
        <f>IFERROR(__xludf.DUMMYFUNCTION("IFERROR((COUNTIF(FILTER(Data!N:N, Data!B:B=A439),""LOW"")) / (COUNTIF(Data!B:B, A439)),"""")"),"")</f>
        <v/>
      </c>
      <c r="U439" s="59" t="str">
        <f>IFERROR(__xludf.DUMMYFUNCTION("IFERROR((COUNTIF(FILTER(Data!N:N, Data!B:B=A439),""MIDDLE"")) / (COUNTIF(Data!B:B, A439)),"""")"),"")</f>
        <v/>
      </c>
      <c r="V439" s="59" t="str">
        <f>IFERROR(__xludf.DUMMYFUNCTION("IFERROR((COUNTIF(FILTER(Data!N:N, Data!B:B=A439),""HIGH"")) / (COUNTIF(Data!B:B, A439)),"""")"),"")</f>
        <v/>
      </c>
      <c r="W439" s="59" t="str">
        <f>IFERROR(__xludf.DUMMYFUNCTION("IFERROR((COUNTIF(FILTER(Data!N:N, Data!B:B=A439),""TRAVERSE"")) / (COUNTIF(Data!B:B, A439)),"""")"),"")</f>
        <v/>
      </c>
      <c r="X439" s="59"/>
      <c r="Y439" s="45" t="str">
        <f t="shared" si="7"/>
        <v/>
      </c>
      <c r="Z439" s="45" t="str">
        <f t="shared" si="8"/>
        <v/>
      </c>
      <c r="AA439" s="16" t="str">
        <f t="shared" si="9"/>
        <v/>
      </c>
      <c r="AB439" s="16"/>
      <c r="AC439" s="16"/>
      <c r="AD439" s="16"/>
      <c r="AE439" s="16" t="str">
        <f t="shared" si="12"/>
        <v/>
      </c>
      <c r="AF439" s="16" t="str">
        <f t="shared" si="13"/>
        <v/>
      </c>
      <c r="AG439" s="44"/>
      <c r="AH439" s="44"/>
      <c r="AI439" s="44" t="str">
        <f>IFERROR(__xludf.DUMMYFUNCTION("TEXTJOIN("", "",TRUE, FILTER(Data!P:P, Data!B:B=A439))"),"")</f>
        <v/>
      </c>
      <c r="AM439" s="61"/>
      <c r="BC439" s="50"/>
    </row>
    <row r="440">
      <c r="A440" s="14"/>
      <c r="B440" s="55" t="str">
        <f>IFERROR(__xludf.DUMMYFUNCTION("IFERROR(ROUND(
(COUNTIF(FILTER(Data!O:O, Data!B:B=A440), ""Win"")
+ COUNTIF(FILTER(Data!O:O, Data!B:B=A440), {""Tie"",""Results""}))
/ (COUNTIF(Data!B:B, A440)),
1),"""")"),"")</f>
        <v/>
      </c>
      <c r="C440" s="45" t="str">
        <f>IFERROR((SUMIF(Data!B:B, A440, Data!H:H)
/ (COUNTIF(Data!B:B, A440)
)),"")</f>
        <v/>
      </c>
      <c r="D440" s="45" t="str">
        <f>IFERROR((SUMIF(Data!B:B, A440, Data!G:G)
/ (COUNTIF(Data!B:B, A440)
)),"")</f>
        <v/>
      </c>
      <c r="E440" s="45"/>
      <c r="F440" s="45" t="str">
        <f>IFERROR((SUMIF(Data!B:B, A440, Data!J:J)
/ (COUNTIF(Data!B:B, A440)
)),"")</f>
        <v/>
      </c>
      <c r="G440" s="56" t="str">
        <f>IF(A440="","",IFERROR((((((SUMIF(Data!B:B, A440, Data!H:H)+(SUMIF(Data!B:B, A440,Data!G:G)))/(SUMIF(Data!B:B, A440, Data!J:J)))))),0))</f>
        <v/>
      </c>
      <c r="H440" s="45"/>
      <c r="I440" s="45"/>
      <c r="J440" s="45"/>
      <c r="K440" s="45"/>
      <c r="L440" s="45" t="str">
        <f>IFERROR((SUMIF(Data!B:B, A440, Data!L:L)
/ (COUNTIF(Data!B:B, A440)
)),"")</f>
        <v/>
      </c>
      <c r="M440" s="45" t="str">
        <f>IFERROR((SUMIF(Data!B:B, A440, Data!K:K)
/ (COUNTIF(Data!B:B, A440)
)),"")</f>
        <v/>
      </c>
      <c r="N440" s="56"/>
      <c r="O440" s="56" t="str">
        <f>IF(A440="","",IFERROR((((((SUMIF(Data!B:B, A440, Data!H:H)+(SUMIF(Data!B:B, A440,Data!G:G)+(SUMIF(Data!B:B, A440,Data!L:L)+(SUMIF(Data!B:B, A440,Data!K:K)))))/(SUMIF(Data!B:B, A440, Data!M:M)+(SUMIF(Data!B:B, A440, Data!H:H)+(SUMIF(Data!B:B, A440,Data!G:G)+(SUMIF(Data!B:B, A440,Data!K:K)+(SUMIF(Data!B:B, A440,Data!L:L)))))))))),0))</f>
        <v/>
      </c>
      <c r="P440" s="57" t="str">
        <f>IFERROR(__xludf.DUMMYFUNCTION("IFERROR(((COUNTIF(FILTER(Data!N:N,Data!B:B=A440),""TRAVERSE"")*15)+(COUNTIF(FILTER(Data!N:N,Data!B:B=A440),""HIGH"")*10)+(COUNTIF(FILTER(Data!N:N,Data!B:B=A440),""MIDDLE"")*6)+(COUNTIF(FILTER(Data!N:N,Data!B:B=A440),""LOW"")*4)) / (COUNTIF(Data!B:B, A440)"&amp;"),"""")"),"")</f>
        <v/>
      </c>
      <c r="Q440" s="58"/>
      <c r="R440" s="58"/>
      <c r="S440" s="58" t="str">
        <f>IFERROR(__xludf.DUMMYFUNCTION("IFERROR((((COUNTIF(FILTER(Data!N:N,Data!B:B=A440),""TRAVERSE""))+(COUNTIF(FILTER(Data!N:N,Data!B:B=A440),""HIGH""))+(COUNTIF(FILTER(Data!N:N,Data!B:B=A440),""MIDDLE""))+(COUNTIF(FILTER(Data!N:N,Data!B:B=A440),""LOW"")))) / (((COUNTIF(Data!B:B, A440)))-(CO"&amp;"UNTIF(FILTER(Data!N:N,Data!B:B=A440),""NONE""))),IF(ISBLANK(A440),"""",0))"),"")</f>
        <v/>
      </c>
      <c r="T440" s="56" t="str">
        <f>IFERROR(__xludf.DUMMYFUNCTION("IFERROR((COUNTIF(FILTER(Data!N:N, Data!B:B=A440),""LOW"")) / (COUNTIF(Data!B:B, A440)),"""")"),"")</f>
        <v/>
      </c>
      <c r="U440" s="59" t="str">
        <f>IFERROR(__xludf.DUMMYFUNCTION("IFERROR((COUNTIF(FILTER(Data!N:N, Data!B:B=A440),""MIDDLE"")) / (COUNTIF(Data!B:B, A440)),"""")"),"")</f>
        <v/>
      </c>
      <c r="V440" s="59" t="str">
        <f>IFERROR(__xludf.DUMMYFUNCTION("IFERROR((COUNTIF(FILTER(Data!N:N, Data!B:B=A440),""HIGH"")) / (COUNTIF(Data!B:B, A440)),"""")"),"")</f>
        <v/>
      </c>
      <c r="W440" s="59" t="str">
        <f>IFERROR(__xludf.DUMMYFUNCTION("IFERROR((COUNTIF(FILTER(Data!N:N, Data!B:B=A440),""TRAVERSE"")) / (COUNTIF(Data!B:B, A440)),"""")"),"")</f>
        <v/>
      </c>
      <c r="X440" s="59"/>
      <c r="Y440" s="45" t="str">
        <f t="shared" si="7"/>
        <v/>
      </c>
      <c r="Z440" s="45" t="str">
        <f t="shared" si="8"/>
        <v/>
      </c>
      <c r="AA440" s="16" t="str">
        <f t="shared" si="9"/>
        <v/>
      </c>
      <c r="AB440" s="16"/>
      <c r="AC440" s="16"/>
      <c r="AD440" s="16"/>
      <c r="AE440" s="16" t="str">
        <f t="shared" si="12"/>
        <v/>
      </c>
      <c r="AF440" s="16" t="str">
        <f t="shared" si="13"/>
        <v/>
      </c>
      <c r="AG440" s="44"/>
      <c r="AH440" s="44"/>
      <c r="AI440" s="44" t="str">
        <f>IFERROR(__xludf.DUMMYFUNCTION("TEXTJOIN("", "",TRUE, FILTER(Data!P:P, Data!B:B=A440))"),"")</f>
        <v/>
      </c>
      <c r="AM440" s="61"/>
      <c r="BC440" s="50"/>
    </row>
    <row r="441">
      <c r="A441" s="14"/>
      <c r="B441" s="55" t="str">
        <f>IFERROR(__xludf.DUMMYFUNCTION("IFERROR(ROUND(
(COUNTIF(FILTER(Data!O:O, Data!B:B=A441), ""Win"")
+ COUNTIF(FILTER(Data!O:O, Data!B:B=A441), {""Tie"",""Results""}))
/ (COUNTIF(Data!B:B, A441)),
1),"""")"),"")</f>
        <v/>
      </c>
      <c r="C441" s="45" t="str">
        <f>IFERROR((SUMIF(Data!B:B, A441, Data!H:H)
/ (COUNTIF(Data!B:B, A441)
)),"")</f>
        <v/>
      </c>
      <c r="D441" s="45" t="str">
        <f>IFERROR((SUMIF(Data!B:B, A441, Data!G:G)
/ (COUNTIF(Data!B:B, A441)
)),"")</f>
        <v/>
      </c>
      <c r="E441" s="45"/>
      <c r="F441" s="45" t="str">
        <f>IFERROR((SUMIF(Data!B:B, A441, Data!J:J)
/ (COUNTIF(Data!B:B, A441)
)),"")</f>
        <v/>
      </c>
      <c r="G441" s="56" t="str">
        <f>IF(A441="","",IFERROR((((((SUMIF(Data!B:B, A441, Data!H:H)+(SUMIF(Data!B:B, A441,Data!G:G)))/(SUMIF(Data!B:B, A441, Data!J:J)))))),0))</f>
        <v/>
      </c>
      <c r="H441" s="45"/>
      <c r="I441" s="45"/>
      <c r="J441" s="45"/>
      <c r="K441" s="45"/>
      <c r="L441" s="45" t="str">
        <f>IFERROR((SUMIF(Data!B:B, A441, Data!L:L)
/ (COUNTIF(Data!B:B, A441)
)),"")</f>
        <v/>
      </c>
      <c r="M441" s="45" t="str">
        <f>IFERROR((SUMIF(Data!B:B, A441, Data!K:K)
/ (COUNTIF(Data!B:B, A441)
)),"")</f>
        <v/>
      </c>
      <c r="N441" s="56"/>
      <c r="O441" s="56" t="str">
        <f>IF(A441="","",IFERROR((((((SUMIF(Data!B:B, A441, Data!H:H)+(SUMIF(Data!B:B, A441,Data!G:G)+(SUMIF(Data!B:B, A441,Data!L:L)+(SUMIF(Data!B:B, A441,Data!K:K)))))/(SUMIF(Data!B:B, A441, Data!M:M)+(SUMIF(Data!B:B, A441, Data!H:H)+(SUMIF(Data!B:B, A441,Data!G:G)+(SUMIF(Data!B:B, A441,Data!K:K)+(SUMIF(Data!B:B, A441,Data!L:L)))))))))),0))</f>
        <v/>
      </c>
      <c r="P441" s="57" t="str">
        <f>IFERROR(__xludf.DUMMYFUNCTION("IFERROR(((COUNTIF(FILTER(Data!N:N,Data!B:B=A441),""TRAVERSE"")*15)+(COUNTIF(FILTER(Data!N:N,Data!B:B=A441),""HIGH"")*10)+(COUNTIF(FILTER(Data!N:N,Data!B:B=A441),""MIDDLE"")*6)+(COUNTIF(FILTER(Data!N:N,Data!B:B=A441),""LOW"")*4)) / (COUNTIF(Data!B:B, A441)"&amp;"),"""")"),"")</f>
        <v/>
      </c>
      <c r="Q441" s="58"/>
      <c r="R441" s="58"/>
      <c r="S441" s="58" t="str">
        <f>IFERROR(__xludf.DUMMYFUNCTION("IFERROR((((COUNTIF(FILTER(Data!N:N,Data!B:B=A441),""TRAVERSE""))+(COUNTIF(FILTER(Data!N:N,Data!B:B=A441),""HIGH""))+(COUNTIF(FILTER(Data!N:N,Data!B:B=A441),""MIDDLE""))+(COUNTIF(FILTER(Data!N:N,Data!B:B=A441),""LOW"")))) / (((COUNTIF(Data!B:B, A441)))-(CO"&amp;"UNTIF(FILTER(Data!N:N,Data!B:B=A441),""NONE""))),IF(ISBLANK(A441),"""",0))"),"")</f>
        <v/>
      </c>
      <c r="T441" s="56" t="str">
        <f>IFERROR(__xludf.DUMMYFUNCTION("IFERROR((COUNTIF(FILTER(Data!N:N, Data!B:B=A441),""LOW"")) / (COUNTIF(Data!B:B, A441)),"""")"),"")</f>
        <v/>
      </c>
      <c r="U441" s="59" t="str">
        <f>IFERROR(__xludf.DUMMYFUNCTION("IFERROR((COUNTIF(FILTER(Data!N:N, Data!B:B=A441),""MIDDLE"")) / (COUNTIF(Data!B:B, A441)),"""")"),"")</f>
        <v/>
      </c>
      <c r="V441" s="59" t="str">
        <f>IFERROR(__xludf.DUMMYFUNCTION("IFERROR((COUNTIF(FILTER(Data!N:N, Data!B:B=A441),""HIGH"")) / (COUNTIF(Data!B:B, A441)),"""")"),"")</f>
        <v/>
      </c>
      <c r="W441" s="59" t="str">
        <f>IFERROR(__xludf.DUMMYFUNCTION("IFERROR((COUNTIF(FILTER(Data!N:N, Data!B:B=A441),""TRAVERSE"")) / (COUNTIF(Data!B:B, A441)),"""")"),"")</f>
        <v/>
      </c>
      <c r="X441" s="59"/>
      <c r="Y441" s="45" t="str">
        <f t="shared" si="7"/>
        <v/>
      </c>
      <c r="Z441" s="45" t="str">
        <f t="shared" si="8"/>
        <v/>
      </c>
      <c r="AA441" s="16" t="str">
        <f t="shared" si="9"/>
        <v/>
      </c>
      <c r="AB441" s="16"/>
      <c r="AC441" s="16"/>
      <c r="AD441" s="16"/>
      <c r="AE441" s="16" t="str">
        <f t="shared" si="12"/>
        <v/>
      </c>
      <c r="AF441" s="16" t="str">
        <f t="shared" si="13"/>
        <v/>
      </c>
      <c r="AG441" s="44"/>
      <c r="AH441" s="44"/>
      <c r="AI441" s="44" t="str">
        <f>IFERROR(__xludf.DUMMYFUNCTION("TEXTJOIN("", "",TRUE, FILTER(Data!P:P, Data!B:B=A441))"),"")</f>
        <v/>
      </c>
      <c r="AM441" s="61"/>
      <c r="BC441" s="50"/>
    </row>
    <row r="442">
      <c r="A442" s="14"/>
      <c r="B442" s="55" t="str">
        <f>IFERROR(__xludf.DUMMYFUNCTION("IFERROR(ROUND(
(COUNTIF(FILTER(Data!O:O, Data!B:B=A442), ""Win"")
+ COUNTIF(FILTER(Data!O:O, Data!B:B=A442), {""Tie"",""Results""}))
/ (COUNTIF(Data!B:B, A442)),
1),"""")"),"")</f>
        <v/>
      </c>
      <c r="C442" s="45" t="str">
        <f>IFERROR((SUMIF(Data!B:B, A442, Data!H:H)
/ (COUNTIF(Data!B:B, A442)
)),"")</f>
        <v/>
      </c>
      <c r="D442" s="45" t="str">
        <f>IFERROR((SUMIF(Data!B:B, A442, Data!G:G)
/ (COUNTIF(Data!B:B, A442)
)),"")</f>
        <v/>
      </c>
      <c r="E442" s="45"/>
      <c r="F442" s="45" t="str">
        <f>IFERROR((SUMIF(Data!B:B, A442, Data!J:J)
/ (COUNTIF(Data!B:B, A442)
)),"")</f>
        <v/>
      </c>
      <c r="G442" s="56" t="str">
        <f>IF(A442="","",IFERROR((((((SUMIF(Data!B:B, A442, Data!H:H)+(SUMIF(Data!B:B, A442,Data!G:G)))/(SUMIF(Data!B:B, A442, Data!J:J)))))),0))</f>
        <v/>
      </c>
      <c r="H442" s="45"/>
      <c r="I442" s="45"/>
      <c r="J442" s="45"/>
      <c r="K442" s="45"/>
      <c r="L442" s="45" t="str">
        <f>IFERROR((SUMIF(Data!B:B, A442, Data!L:L)
/ (COUNTIF(Data!B:B, A442)
)),"")</f>
        <v/>
      </c>
      <c r="M442" s="45" t="str">
        <f>IFERROR((SUMIF(Data!B:B, A442, Data!K:K)
/ (COUNTIF(Data!B:B, A442)
)),"")</f>
        <v/>
      </c>
      <c r="N442" s="56"/>
      <c r="O442" s="56" t="str">
        <f>IF(A442="","",IFERROR((((((SUMIF(Data!B:B, A442, Data!H:H)+(SUMIF(Data!B:B, A442,Data!G:G)+(SUMIF(Data!B:B, A442,Data!L:L)+(SUMIF(Data!B:B, A442,Data!K:K)))))/(SUMIF(Data!B:B, A442, Data!M:M)+(SUMIF(Data!B:B, A442, Data!H:H)+(SUMIF(Data!B:B, A442,Data!G:G)+(SUMIF(Data!B:B, A442,Data!K:K)+(SUMIF(Data!B:B, A442,Data!L:L)))))))))),0))</f>
        <v/>
      </c>
      <c r="P442" s="57" t="str">
        <f>IFERROR(__xludf.DUMMYFUNCTION("IFERROR(((COUNTIF(FILTER(Data!N:N,Data!B:B=A442),""TRAVERSE"")*15)+(COUNTIF(FILTER(Data!N:N,Data!B:B=A442),""HIGH"")*10)+(COUNTIF(FILTER(Data!N:N,Data!B:B=A442),""MIDDLE"")*6)+(COUNTIF(FILTER(Data!N:N,Data!B:B=A442),""LOW"")*4)) / (COUNTIF(Data!B:B, A442)"&amp;"),"""")"),"")</f>
        <v/>
      </c>
      <c r="Q442" s="58"/>
      <c r="R442" s="58"/>
      <c r="S442" s="58" t="str">
        <f>IFERROR(__xludf.DUMMYFUNCTION("IFERROR((((COUNTIF(FILTER(Data!N:N,Data!B:B=A442),""TRAVERSE""))+(COUNTIF(FILTER(Data!N:N,Data!B:B=A442),""HIGH""))+(COUNTIF(FILTER(Data!N:N,Data!B:B=A442),""MIDDLE""))+(COUNTIF(FILTER(Data!N:N,Data!B:B=A442),""LOW"")))) / (((COUNTIF(Data!B:B, A442)))-(CO"&amp;"UNTIF(FILTER(Data!N:N,Data!B:B=A442),""NONE""))),IF(ISBLANK(A442),"""",0))"),"")</f>
        <v/>
      </c>
      <c r="T442" s="56" t="str">
        <f>IFERROR(__xludf.DUMMYFUNCTION("IFERROR((COUNTIF(FILTER(Data!N:N, Data!B:B=A442),""LOW"")) / (COUNTIF(Data!B:B, A442)),"""")"),"")</f>
        <v/>
      </c>
      <c r="U442" s="59" t="str">
        <f>IFERROR(__xludf.DUMMYFUNCTION("IFERROR((COUNTIF(FILTER(Data!N:N, Data!B:B=A442),""MIDDLE"")) / (COUNTIF(Data!B:B, A442)),"""")"),"")</f>
        <v/>
      </c>
      <c r="V442" s="59" t="str">
        <f>IFERROR(__xludf.DUMMYFUNCTION("IFERROR((COUNTIF(FILTER(Data!N:N, Data!B:B=A442),""HIGH"")) / (COUNTIF(Data!B:B, A442)),"""")"),"")</f>
        <v/>
      </c>
      <c r="W442" s="59" t="str">
        <f>IFERROR(__xludf.DUMMYFUNCTION("IFERROR((COUNTIF(FILTER(Data!N:N, Data!B:B=A442),""TRAVERSE"")) / (COUNTIF(Data!B:B, A442)),"""")"),"")</f>
        <v/>
      </c>
      <c r="X442" s="59"/>
      <c r="Y442" s="45" t="str">
        <f t="shared" si="7"/>
        <v/>
      </c>
      <c r="Z442" s="45" t="str">
        <f t="shared" si="8"/>
        <v/>
      </c>
      <c r="AA442" s="16" t="str">
        <f t="shared" si="9"/>
        <v/>
      </c>
      <c r="AB442" s="16"/>
      <c r="AC442" s="16"/>
      <c r="AD442" s="16"/>
      <c r="AE442" s="16" t="str">
        <f t="shared" si="12"/>
        <v/>
      </c>
      <c r="AF442" s="16" t="str">
        <f t="shared" si="13"/>
        <v/>
      </c>
      <c r="AG442" s="44"/>
      <c r="AH442" s="44"/>
      <c r="AI442" s="44" t="str">
        <f>IFERROR(__xludf.DUMMYFUNCTION("TEXTJOIN("", "",TRUE, FILTER(Data!P:P, Data!B:B=A442))"),"")</f>
        <v/>
      </c>
      <c r="AM442" s="61"/>
      <c r="BC442" s="50"/>
    </row>
    <row r="443">
      <c r="A443" s="14"/>
      <c r="B443" s="55" t="str">
        <f>IFERROR(__xludf.DUMMYFUNCTION("IFERROR(ROUND(
(COUNTIF(FILTER(Data!O:O, Data!B:B=A443), ""Win"")
+ COUNTIF(FILTER(Data!O:O, Data!B:B=A443), {""Tie"",""Results""}))
/ (COUNTIF(Data!B:B, A443)),
1),"""")"),"")</f>
        <v/>
      </c>
      <c r="C443" s="45" t="str">
        <f>IFERROR((SUMIF(Data!B:B, A443, Data!H:H)
/ (COUNTIF(Data!B:B, A443)
)),"")</f>
        <v/>
      </c>
      <c r="D443" s="45" t="str">
        <f>IFERROR((SUMIF(Data!B:B, A443, Data!G:G)
/ (COUNTIF(Data!B:B, A443)
)),"")</f>
        <v/>
      </c>
      <c r="E443" s="45"/>
      <c r="F443" s="45" t="str">
        <f>IFERROR((SUMIF(Data!B:B, A443, Data!J:J)
/ (COUNTIF(Data!B:B, A443)
)),"")</f>
        <v/>
      </c>
      <c r="G443" s="56" t="str">
        <f>IF(A443="","",IFERROR((((((SUMIF(Data!B:B, A443, Data!H:H)+(SUMIF(Data!B:B, A443,Data!G:G)))/(SUMIF(Data!B:B, A443, Data!J:J)))))),0))</f>
        <v/>
      </c>
      <c r="H443" s="45"/>
      <c r="I443" s="45"/>
      <c r="J443" s="45"/>
      <c r="K443" s="45"/>
      <c r="L443" s="45" t="str">
        <f>IFERROR((SUMIF(Data!B:B, A443, Data!L:L)
/ (COUNTIF(Data!B:B, A443)
)),"")</f>
        <v/>
      </c>
      <c r="M443" s="45" t="str">
        <f>IFERROR((SUMIF(Data!B:B, A443, Data!K:K)
/ (COUNTIF(Data!B:B, A443)
)),"")</f>
        <v/>
      </c>
      <c r="N443" s="56"/>
      <c r="O443" s="56" t="str">
        <f>IF(A443="","",IFERROR((((((SUMIF(Data!B:B, A443, Data!H:H)+(SUMIF(Data!B:B, A443,Data!G:G)+(SUMIF(Data!B:B, A443,Data!L:L)+(SUMIF(Data!B:B, A443,Data!K:K)))))/(SUMIF(Data!B:B, A443, Data!M:M)+(SUMIF(Data!B:B, A443, Data!H:H)+(SUMIF(Data!B:B, A443,Data!G:G)+(SUMIF(Data!B:B, A443,Data!K:K)+(SUMIF(Data!B:B, A443,Data!L:L)))))))))),0))</f>
        <v/>
      </c>
      <c r="P443" s="57" t="str">
        <f>IFERROR(__xludf.DUMMYFUNCTION("IFERROR(((COUNTIF(FILTER(Data!N:N,Data!B:B=A443),""TRAVERSE"")*15)+(COUNTIF(FILTER(Data!N:N,Data!B:B=A443),""HIGH"")*10)+(COUNTIF(FILTER(Data!N:N,Data!B:B=A443),""MIDDLE"")*6)+(COUNTIF(FILTER(Data!N:N,Data!B:B=A443),""LOW"")*4)) / (COUNTIF(Data!B:B, A443)"&amp;"),"""")"),"")</f>
        <v/>
      </c>
      <c r="Q443" s="58"/>
      <c r="R443" s="58"/>
      <c r="S443" s="58" t="str">
        <f>IFERROR(__xludf.DUMMYFUNCTION("IFERROR((((COUNTIF(FILTER(Data!N:N,Data!B:B=A443),""TRAVERSE""))+(COUNTIF(FILTER(Data!N:N,Data!B:B=A443),""HIGH""))+(COUNTIF(FILTER(Data!N:N,Data!B:B=A443),""MIDDLE""))+(COUNTIF(FILTER(Data!N:N,Data!B:B=A443),""LOW"")))) / (((COUNTIF(Data!B:B, A443)))-(CO"&amp;"UNTIF(FILTER(Data!N:N,Data!B:B=A443),""NONE""))),IF(ISBLANK(A443),"""",0))"),"")</f>
        <v/>
      </c>
      <c r="T443" s="56" t="str">
        <f>IFERROR(__xludf.DUMMYFUNCTION("IFERROR((COUNTIF(FILTER(Data!N:N, Data!B:B=A443),""LOW"")) / (COUNTIF(Data!B:B, A443)),"""")"),"")</f>
        <v/>
      </c>
      <c r="U443" s="59" t="str">
        <f>IFERROR(__xludf.DUMMYFUNCTION("IFERROR((COUNTIF(FILTER(Data!N:N, Data!B:B=A443),""MIDDLE"")) / (COUNTIF(Data!B:B, A443)),"""")"),"")</f>
        <v/>
      </c>
      <c r="V443" s="59" t="str">
        <f>IFERROR(__xludf.DUMMYFUNCTION("IFERROR((COUNTIF(FILTER(Data!N:N, Data!B:B=A443),""HIGH"")) / (COUNTIF(Data!B:B, A443)),"""")"),"")</f>
        <v/>
      </c>
      <c r="W443" s="59" t="str">
        <f>IFERROR(__xludf.DUMMYFUNCTION("IFERROR((COUNTIF(FILTER(Data!N:N, Data!B:B=A443),""TRAVERSE"")) / (COUNTIF(Data!B:B, A443)),"""")"),"")</f>
        <v/>
      </c>
      <c r="X443" s="59"/>
      <c r="Y443" s="45" t="str">
        <f t="shared" si="7"/>
        <v/>
      </c>
      <c r="Z443" s="45" t="str">
        <f t="shared" si="8"/>
        <v/>
      </c>
      <c r="AA443" s="16" t="str">
        <f t="shared" si="9"/>
        <v/>
      </c>
      <c r="AB443" s="16"/>
      <c r="AC443" s="16"/>
      <c r="AD443" s="16"/>
      <c r="AE443" s="16" t="str">
        <f t="shared" si="12"/>
        <v/>
      </c>
      <c r="AF443" s="16" t="str">
        <f t="shared" si="13"/>
        <v/>
      </c>
      <c r="AG443" s="44"/>
      <c r="AH443" s="44"/>
      <c r="AI443" s="44" t="str">
        <f>IFERROR(__xludf.DUMMYFUNCTION("TEXTJOIN("", "",TRUE, FILTER(Data!P:P, Data!B:B=A443))"),"")</f>
        <v/>
      </c>
      <c r="AM443" s="61"/>
      <c r="BC443" s="50"/>
    </row>
    <row r="444">
      <c r="A444" s="14"/>
      <c r="B444" s="55" t="str">
        <f>IFERROR(__xludf.DUMMYFUNCTION("IFERROR(ROUND(
(COUNTIF(FILTER(Data!O:O, Data!B:B=A444), ""Win"")
+ COUNTIF(FILTER(Data!O:O, Data!B:B=A444), {""Tie"",""Results""}))
/ (COUNTIF(Data!B:B, A444)),
1),"""")"),"")</f>
        <v/>
      </c>
      <c r="C444" s="45" t="str">
        <f>IFERROR((SUMIF(Data!B:B, A444, Data!H:H)
/ (COUNTIF(Data!B:B, A444)
)),"")</f>
        <v/>
      </c>
      <c r="D444" s="45" t="str">
        <f>IFERROR((SUMIF(Data!B:B, A444, Data!G:G)
/ (COUNTIF(Data!B:B, A444)
)),"")</f>
        <v/>
      </c>
      <c r="E444" s="45"/>
      <c r="F444" s="45" t="str">
        <f>IFERROR((SUMIF(Data!B:B, A444, Data!J:J)
/ (COUNTIF(Data!B:B, A444)
)),"")</f>
        <v/>
      </c>
      <c r="G444" s="56" t="str">
        <f>IF(A444="","",IFERROR((((((SUMIF(Data!B:B, A444, Data!H:H)+(SUMIF(Data!B:B, A444,Data!G:G)))/(SUMIF(Data!B:B, A444, Data!J:J)))))),0))</f>
        <v/>
      </c>
      <c r="H444" s="45"/>
      <c r="I444" s="45"/>
      <c r="J444" s="45"/>
      <c r="K444" s="45"/>
      <c r="L444" s="45" t="str">
        <f>IFERROR((SUMIF(Data!B:B, A444, Data!L:L)
/ (COUNTIF(Data!B:B, A444)
)),"")</f>
        <v/>
      </c>
      <c r="M444" s="45" t="str">
        <f>IFERROR((SUMIF(Data!B:B, A444, Data!K:K)
/ (COUNTIF(Data!B:B, A444)
)),"")</f>
        <v/>
      </c>
      <c r="N444" s="56"/>
      <c r="O444" s="56" t="str">
        <f>IF(A444="","",IFERROR((((((SUMIF(Data!B:B, A444, Data!H:H)+(SUMIF(Data!B:B, A444,Data!G:G)+(SUMIF(Data!B:B, A444,Data!L:L)+(SUMIF(Data!B:B, A444,Data!K:K)))))/(SUMIF(Data!B:B, A444, Data!M:M)+(SUMIF(Data!B:B, A444, Data!H:H)+(SUMIF(Data!B:B, A444,Data!G:G)+(SUMIF(Data!B:B, A444,Data!K:K)+(SUMIF(Data!B:B, A444,Data!L:L)))))))))),0))</f>
        <v/>
      </c>
      <c r="P444" s="57" t="str">
        <f>IFERROR(__xludf.DUMMYFUNCTION("IFERROR(((COUNTIF(FILTER(Data!N:N,Data!B:B=A444),""TRAVERSE"")*15)+(COUNTIF(FILTER(Data!N:N,Data!B:B=A444),""HIGH"")*10)+(COUNTIF(FILTER(Data!N:N,Data!B:B=A444),""MIDDLE"")*6)+(COUNTIF(FILTER(Data!N:N,Data!B:B=A444),""LOW"")*4)) / (COUNTIF(Data!B:B, A444)"&amp;"),"""")"),"")</f>
        <v/>
      </c>
      <c r="Q444" s="58"/>
      <c r="R444" s="58"/>
      <c r="S444" s="58" t="str">
        <f>IFERROR(__xludf.DUMMYFUNCTION("IFERROR((((COUNTIF(FILTER(Data!N:N,Data!B:B=A444),""TRAVERSE""))+(COUNTIF(FILTER(Data!N:N,Data!B:B=A444),""HIGH""))+(COUNTIF(FILTER(Data!N:N,Data!B:B=A444),""MIDDLE""))+(COUNTIF(FILTER(Data!N:N,Data!B:B=A444),""LOW"")))) / (((COUNTIF(Data!B:B, A444)))-(CO"&amp;"UNTIF(FILTER(Data!N:N,Data!B:B=A444),""NONE""))),IF(ISBLANK(A444),"""",0))"),"")</f>
        <v/>
      </c>
      <c r="T444" s="56" t="str">
        <f>IFERROR(__xludf.DUMMYFUNCTION("IFERROR((COUNTIF(FILTER(Data!N:N, Data!B:B=A444),""LOW"")) / (COUNTIF(Data!B:B, A444)),"""")"),"")</f>
        <v/>
      </c>
      <c r="U444" s="59" t="str">
        <f>IFERROR(__xludf.DUMMYFUNCTION("IFERROR((COUNTIF(FILTER(Data!N:N, Data!B:B=A444),""MIDDLE"")) / (COUNTIF(Data!B:B, A444)),"""")"),"")</f>
        <v/>
      </c>
      <c r="V444" s="59" t="str">
        <f>IFERROR(__xludf.DUMMYFUNCTION("IFERROR((COUNTIF(FILTER(Data!N:N, Data!B:B=A444),""HIGH"")) / (COUNTIF(Data!B:B, A444)),"""")"),"")</f>
        <v/>
      </c>
      <c r="W444" s="59" t="str">
        <f>IFERROR(__xludf.DUMMYFUNCTION("IFERROR((COUNTIF(FILTER(Data!N:N, Data!B:B=A444),""TRAVERSE"")) / (COUNTIF(Data!B:B, A444)),"""")"),"")</f>
        <v/>
      </c>
      <c r="X444" s="59"/>
      <c r="Y444" s="45" t="str">
        <f t="shared" si="7"/>
        <v/>
      </c>
      <c r="Z444" s="45" t="str">
        <f t="shared" si="8"/>
        <v/>
      </c>
      <c r="AA444" s="16" t="str">
        <f t="shared" si="9"/>
        <v/>
      </c>
      <c r="AB444" s="16"/>
      <c r="AC444" s="16"/>
      <c r="AD444" s="16"/>
      <c r="AE444" s="16" t="str">
        <f t="shared" si="12"/>
        <v/>
      </c>
      <c r="AF444" s="16" t="str">
        <f t="shared" si="13"/>
        <v/>
      </c>
      <c r="AG444" s="44"/>
      <c r="AH444" s="44"/>
      <c r="AI444" s="44" t="str">
        <f>IFERROR(__xludf.DUMMYFUNCTION("TEXTJOIN("", "",TRUE, FILTER(Data!P:P, Data!B:B=A444))"),"")</f>
        <v/>
      </c>
      <c r="AM444" s="61"/>
      <c r="BC444" s="50"/>
    </row>
    <row r="445">
      <c r="A445" s="14"/>
      <c r="B445" s="55" t="str">
        <f>IFERROR(__xludf.DUMMYFUNCTION("IFERROR(ROUND(
(COUNTIF(FILTER(Data!O:O, Data!B:B=A445), ""Win"")
+ COUNTIF(FILTER(Data!O:O, Data!B:B=A445), {""Tie"",""Results""}))
/ (COUNTIF(Data!B:B, A445)),
1),"""")"),"")</f>
        <v/>
      </c>
      <c r="C445" s="45" t="str">
        <f>IFERROR((SUMIF(Data!B:B, A445, Data!H:H)
/ (COUNTIF(Data!B:B, A445)
)),"")</f>
        <v/>
      </c>
      <c r="D445" s="45" t="str">
        <f>IFERROR((SUMIF(Data!B:B, A445, Data!G:G)
/ (COUNTIF(Data!B:B, A445)
)),"")</f>
        <v/>
      </c>
      <c r="E445" s="45"/>
      <c r="F445" s="45" t="str">
        <f>IFERROR((SUMIF(Data!B:B, A445, Data!J:J)
/ (COUNTIF(Data!B:B, A445)
)),"")</f>
        <v/>
      </c>
      <c r="G445" s="56" t="str">
        <f>IF(A445="","",IFERROR((((((SUMIF(Data!B:B, A445, Data!H:H)+(SUMIF(Data!B:B, A445,Data!G:G)))/(SUMIF(Data!B:B, A445, Data!J:J)))))),0))</f>
        <v/>
      </c>
      <c r="H445" s="45"/>
      <c r="I445" s="45"/>
      <c r="J445" s="45"/>
      <c r="K445" s="45"/>
      <c r="L445" s="45" t="str">
        <f>IFERROR((SUMIF(Data!B:B, A445, Data!L:L)
/ (COUNTIF(Data!B:B, A445)
)),"")</f>
        <v/>
      </c>
      <c r="M445" s="45" t="str">
        <f>IFERROR((SUMIF(Data!B:B, A445, Data!K:K)
/ (COUNTIF(Data!B:B, A445)
)),"")</f>
        <v/>
      </c>
      <c r="N445" s="56"/>
      <c r="O445" s="56" t="str">
        <f>IF(A445="","",IFERROR((((((SUMIF(Data!B:B, A445, Data!H:H)+(SUMIF(Data!B:B, A445,Data!G:G)+(SUMIF(Data!B:B, A445,Data!L:L)+(SUMIF(Data!B:B, A445,Data!K:K)))))/(SUMIF(Data!B:B, A445, Data!M:M)+(SUMIF(Data!B:B, A445, Data!H:H)+(SUMIF(Data!B:B, A445,Data!G:G)+(SUMIF(Data!B:B, A445,Data!K:K)+(SUMIF(Data!B:B, A445,Data!L:L)))))))))),0))</f>
        <v/>
      </c>
      <c r="P445" s="57" t="str">
        <f>IFERROR(__xludf.DUMMYFUNCTION("IFERROR(((COUNTIF(FILTER(Data!N:N,Data!B:B=A445),""TRAVERSE"")*15)+(COUNTIF(FILTER(Data!N:N,Data!B:B=A445),""HIGH"")*10)+(COUNTIF(FILTER(Data!N:N,Data!B:B=A445),""MIDDLE"")*6)+(COUNTIF(FILTER(Data!N:N,Data!B:B=A445),""LOW"")*4)) / (COUNTIF(Data!B:B, A445)"&amp;"),"""")"),"")</f>
        <v/>
      </c>
      <c r="Q445" s="58"/>
      <c r="R445" s="58"/>
      <c r="S445" s="58" t="str">
        <f>IFERROR(__xludf.DUMMYFUNCTION("IFERROR((((COUNTIF(FILTER(Data!N:N,Data!B:B=A445),""TRAVERSE""))+(COUNTIF(FILTER(Data!N:N,Data!B:B=A445),""HIGH""))+(COUNTIF(FILTER(Data!N:N,Data!B:B=A445),""MIDDLE""))+(COUNTIF(FILTER(Data!N:N,Data!B:B=A445),""LOW"")))) / (((COUNTIF(Data!B:B, A445)))-(CO"&amp;"UNTIF(FILTER(Data!N:N,Data!B:B=A445),""NONE""))),IF(ISBLANK(A445),"""",0))"),"")</f>
        <v/>
      </c>
      <c r="T445" s="56" t="str">
        <f>IFERROR(__xludf.DUMMYFUNCTION("IFERROR((COUNTIF(FILTER(Data!N:N, Data!B:B=A445),""LOW"")) / (COUNTIF(Data!B:B, A445)),"""")"),"")</f>
        <v/>
      </c>
      <c r="U445" s="59" t="str">
        <f>IFERROR(__xludf.DUMMYFUNCTION("IFERROR((COUNTIF(FILTER(Data!N:N, Data!B:B=A445),""MIDDLE"")) / (COUNTIF(Data!B:B, A445)),"""")"),"")</f>
        <v/>
      </c>
      <c r="V445" s="59" t="str">
        <f>IFERROR(__xludf.DUMMYFUNCTION("IFERROR((COUNTIF(FILTER(Data!N:N, Data!B:B=A445),""HIGH"")) / (COUNTIF(Data!B:B, A445)),"""")"),"")</f>
        <v/>
      </c>
      <c r="W445" s="59" t="str">
        <f>IFERROR(__xludf.DUMMYFUNCTION("IFERROR((COUNTIF(FILTER(Data!N:N, Data!B:B=A445),""TRAVERSE"")) / (COUNTIF(Data!B:B, A445)),"""")"),"")</f>
        <v/>
      </c>
      <c r="X445" s="59"/>
      <c r="Y445" s="45" t="str">
        <f t="shared" si="7"/>
        <v/>
      </c>
      <c r="Z445" s="45" t="str">
        <f t="shared" si="8"/>
        <v/>
      </c>
      <c r="AA445" s="16" t="str">
        <f t="shared" si="9"/>
        <v/>
      </c>
      <c r="AB445" s="16"/>
      <c r="AC445" s="16"/>
      <c r="AD445" s="16"/>
      <c r="AE445" s="16" t="str">
        <f t="shared" si="12"/>
        <v/>
      </c>
      <c r="AF445" s="16" t="str">
        <f t="shared" si="13"/>
        <v/>
      </c>
      <c r="AG445" s="44"/>
      <c r="AH445" s="44"/>
      <c r="AI445" s="44" t="str">
        <f>IFERROR(__xludf.DUMMYFUNCTION("TEXTJOIN("", "",TRUE, FILTER(Data!P:P, Data!B:B=A445))"),"")</f>
        <v/>
      </c>
      <c r="AM445" s="61"/>
      <c r="BC445" s="50"/>
    </row>
    <row r="446">
      <c r="A446" s="14"/>
      <c r="B446" s="55" t="str">
        <f>IFERROR(__xludf.DUMMYFUNCTION("IFERROR(ROUND(
(COUNTIF(FILTER(Data!O:O, Data!B:B=A446), ""Win"")
+ COUNTIF(FILTER(Data!O:O, Data!B:B=A446), {""Tie"",""Results""}))
/ (COUNTIF(Data!B:B, A446)),
1),"""")"),"")</f>
        <v/>
      </c>
      <c r="C446" s="45" t="str">
        <f>IFERROR((SUMIF(Data!B:B, A446, Data!H:H)
/ (COUNTIF(Data!B:B, A446)
)),"")</f>
        <v/>
      </c>
      <c r="D446" s="45" t="str">
        <f>IFERROR((SUMIF(Data!B:B, A446, Data!G:G)
/ (COUNTIF(Data!B:B, A446)
)),"")</f>
        <v/>
      </c>
      <c r="E446" s="45"/>
      <c r="F446" s="45" t="str">
        <f>IFERROR((SUMIF(Data!B:B, A446, Data!J:J)
/ (COUNTIF(Data!B:B, A446)
)),"")</f>
        <v/>
      </c>
      <c r="G446" s="56" t="str">
        <f>IF(A446="","",IFERROR((((((SUMIF(Data!B:B, A446, Data!H:H)+(SUMIF(Data!B:B, A446,Data!G:G)))/(SUMIF(Data!B:B, A446, Data!J:J)))))),0))</f>
        <v/>
      </c>
      <c r="H446" s="45"/>
      <c r="I446" s="45"/>
      <c r="J446" s="45"/>
      <c r="K446" s="45"/>
      <c r="L446" s="45" t="str">
        <f>IFERROR((SUMIF(Data!B:B, A446, Data!L:L)
/ (COUNTIF(Data!B:B, A446)
)),"")</f>
        <v/>
      </c>
      <c r="M446" s="45" t="str">
        <f>IFERROR((SUMIF(Data!B:B, A446, Data!K:K)
/ (COUNTIF(Data!B:B, A446)
)),"")</f>
        <v/>
      </c>
      <c r="N446" s="56"/>
      <c r="O446" s="56" t="str">
        <f>IF(A446="","",IFERROR((((((SUMIF(Data!B:B, A446, Data!H:H)+(SUMIF(Data!B:B, A446,Data!G:G)+(SUMIF(Data!B:B, A446,Data!L:L)+(SUMIF(Data!B:B, A446,Data!K:K)))))/(SUMIF(Data!B:B, A446, Data!M:M)+(SUMIF(Data!B:B, A446, Data!H:H)+(SUMIF(Data!B:B, A446,Data!G:G)+(SUMIF(Data!B:B, A446,Data!K:K)+(SUMIF(Data!B:B, A446,Data!L:L)))))))))),0))</f>
        <v/>
      </c>
      <c r="P446" s="57" t="str">
        <f>IFERROR(__xludf.DUMMYFUNCTION("IFERROR(((COUNTIF(FILTER(Data!N:N,Data!B:B=A446),""TRAVERSE"")*15)+(COUNTIF(FILTER(Data!N:N,Data!B:B=A446),""HIGH"")*10)+(COUNTIF(FILTER(Data!N:N,Data!B:B=A446),""MIDDLE"")*6)+(COUNTIF(FILTER(Data!N:N,Data!B:B=A446),""LOW"")*4)) / (COUNTIF(Data!B:B, A446)"&amp;"),"""")"),"")</f>
        <v/>
      </c>
      <c r="Q446" s="58"/>
      <c r="R446" s="58"/>
      <c r="S446" s="58" t="str">
        <f>IFERROR(__xludf.DUMMYFUNCTION("IFERROR((((COUNTIF(FILTER(Data!N:N,Data!B:B=A446),""TRAVERSE""))+(COUNTIF(FILTER(Data!N:N,Data!B:B=A446),""HIGH""))+(COUNTIF(FILTER(Data!N:N,Data!B:B=A446),""MIDDLE""))+(COUNTIF(FILTER(Data!N:N,Data!B:B=A446),""LOW"")))) / (((COUNTIF(Data!B:B, A446)))-(CO"&amp;"UNTIF(FILTER(Data!N:N,Data!B:B=A446),""NONE""))),IF(ISBLANK(A446),"""",0))"),"")</f>
        <v/>
      </c>
      <c r="T446" s="56" t="str">
        <f>IFERROR(__xludf.DUMMYFUNCTION("IFERROR((COUNTIF(FILTER(Data!N:N, Data!B:B=A446),""LOW"")) / (COUNTIF(Data!B:B, A446)),"""")"),"")</f>
        <v/>
      </c>
      <c r="U446" s="59" t="str">
        <f>IFERROR(__xludf.DUMMYFUNCTION("IFERROR((COUNTIF(FILTER(Data!N:N, Data!B:B=A446),""MIDDLE"")) / (COUNTIF(Data!B:B, A446)),"""")"),"")</f>
        <v/>
      </c>
      <c r="V446" s="59" t="str">
        <f>IFERROR(__xludf.DUMMYFUNCTION("IFERROR((COUNTIF(FILTER(Data!N:N, Data!B:B=A446),""HIGH"")) / (COUNTIF(Data!B:B, A446)),"""")"),"")</f>
        <v/>
      </c>
      <c r="W446" s="59" t="str">
        <f>IFERROR(__xludf.DUMMYFUNCTION("IFERROR((COUNTIF(FILTER(Data!N:N, Data!B:B=A446),""TRAVERSE"")) / (COUNTIF(Data!B:B, A446)),"""")"),"")</f>
        <v/>
      </c>
      <c r="X446" s="59"/>
      <c r="Y446" s="45" t="str">
        <f t="shared" si="7"/>
        <v/>
      </c>
      <c r="Z446" s="45" t="str">
        <f t="shared" si="8"/>
        <v/>
      </c>
      <c r="AA446" s="16" t="str">
        <f t="shared" si="9"/>
        <v/>
      </c>
      <c r="AB446" s="16"/>
      <c r="AC446" s="16"/>
      <c r="AD446" s="16"/>
      <c r="AE446" s="16" t="str">
        <f t="shared" si="12"/>
        <v/>
      </c>
      <c r="AF446" s="16" t="str">
        <f t="shared" si="13"/>
        <v/>
      </c>
      <c r="AG446" s="44"/>
      <c r="AH446" s="44"/>
      <c r="AI446" s="44" t="str">
        <f>IFERROR(__xludf.DUMMYFUNCTION("TEXTJOIN("", "",TRUE, FILTER(Data!P:P, Data!B:B=A446))"),"")</f>
        <v/>
      </c>
      <c r="AM446" s="61"/>
      <c r="BC446" s="50"/>
    </row>
    <row r="447">
      <c r="A447" s="14"/>
      <c r="B447" s="55" t="str">
        <f>IFERROR(__xludf.DUMMYFUNCTION("IFERROR(ROUND(
(COUNTIF(FILTER(Data!O:O, Data!B:B=A447), ""Win"")
+ COUNTIF(FILTER(Data!O:O, Data!B:B=A447), {""Tie"",""Results""}))
/ (COUNTIF(Data!B:B, A447)),
1),"""")"),"")</f>
        <v/>
      </c>
      <c r="C447" s="45" t="str">
        <f>IFERROR((SUMIF(Data!B:B, A447, Data!H:H)
/ (COUNTIF(Data!B:B, A447)
)),"")</f>
        <v/>
      </c>
      <c r="D447" s="45" t="str">
        <f>IFERROR((SUMIF(Data!B:B, A447, Data!G:G)
/ (COUNTIF(Data!B:B, A447)
)),"")</f>
        <v/>
      </c>
      <c r="E447" s="45"/>
      <c r="F447" s="45" t="str">
        <f>IFERROR((SUMIF(Data!B:B, A447, Data!J:J)
/ (COUNTIF(Data!B:B, A447)
)),"")</f>
        <v/>
      </c>
      <c r="G447" s="56" t="str">
        <f>IF(A447="","",IFERROR((((((SUMIF(Data!B:B, A447, Data!H:H)+(SUMIF(Data!B:B, A447,Data!G:G)))/(SUMIF(Data!B:B, A447, Data!J:J)))))),0))</f>
        <v/>
      </c>
      <c r="H447" s="45"/>
      <c r="I447" s="45"/>
      <c r="J447" s="45"/>
      <c r="K447" s="45"/>
      <c r="L447" s="45" t="str">
        <f>IFERROR((SUMIF(Data!B:B, A447, Data!L:L)
/ (COUNTIF(Data!B:B, A447)
)),"")</f>
        <v/>
      </c>
      <c r="M447" s="45" t="str">
        <f>IFERROR((SUMIF(Data!B:B, A447, Data!K:K)
/ (COUNTIF(Data!B:B, A447)
)),"")</f>
        <v/>
      </c>
      <c r="N447" s="56"/>
      <c r="O447" s="56" t="str">
        <f>IF(A447="","",IFERROR((((((SUMIF(Data!B:B, A447, Data!H:H)+(SUMIF(Data!B:B, A447,Data!G:G)+(SUMIF(Data!B:B, A447,Data!L:L)+(SUMIF(Data!B:B, A447,Data!K:K)))))/(SUMIF(Data!B:B, A447, Data!M:M)+(SUMIF(Data!B:B, A447, Data!H:H)+(SUMIF(Data!B:B, A447,Data!G:G)+(SUMIF(Data!B:B, A447,Data!K:K)+(SUMIF(Data!B:B, A447,Data!L:L)))))))))),0))</f>
        <v/>
      </c>
      <c r="P447" s="57" t="str">
        <f>IFERROR(__xludf.DUMMYFUNCTION("IFERROR(((COUNTIF(FILTER(Data!N:N,Data!B:B=A447),""TRAVERSE"")*15)+(COUNTIF(FILTER(Data!N:N,Data!B:B=A447),""HIGH"")*10)+(COUNTIF(FILTER(Data!N:N,Data!B:B=A447),""MIDDLE"")*6)+(COUNTIF(FILTER(Data!N:N,Data!B:B=A447),""LOW"")*4)) / (COUNTIF(Data!B:B, A447)"&amp;"),"""")"),"")</f>
        <v/>
      </c>
      <c r="Q447" s="58"/>
      <c r="R447" s="58"/>
      <c r="S447" s="58" t="str">
        <f>IFERROR(__xludf.DUMMYFUNCTION("IFERROR((((COUNTIF(FILTER(Data!N:N,Data!B:B=A447),""TRAVERSE""))+(COUNTIF(FILTER(Data!N:N,Data!B:B=A447),""HIGH""))+(COUNTIF(FILTER(Data!N:N,Data!B:B=A447),""MIDDLE""))+(COUNTIF(FILTER(Data!N:N,Data!B:B=A447),""LOW"")))) / (((COUNTIF(Data!B:B, A447)))-(CO"&amp;"UNTIF(FILTER(Data!N:N,Data!B:B=A447),""NONE""))),IF(ISBLANK(A447),"""",0))"),"")</f>
        <v/>
      </c>
      <c r="T447" s="56" t="str">
        <f>IFERROR(__xludf.DUMMYFUNCTION("IFERROR((COUNTIF(FILTER(Data!N:N, Data!B:B=A447),""LOW"")) / (COUNTIF(Data!B:B, A447)),"""")"),"")</f>
        <v/>
      </c>
      <c r="U447" s="59" t="str">
        <f>IFERROR(__xludf.DUMMYFUNCTION("IFERROR((COUNTIF(FILTER(Data!N:N, Data!B:B=A447),""MIDDLE"")) / (COUNTIF(Data!B:B, A447)),"""")"),"")</f>
        <v/>
      </c>
      <c r="V447" s="59" t="str">
        <f>IFERROR(__xludf.DUMMYFUNCTION("IFERROR((COUNTIF(FILTER(Data!N:N, Data!B:B=A447),""HIGH"")) / (COUNTIF(Data!B:B, A447)),"""")"),"")</f>
        <v/>
      </c>
      <c r="W447" s="59" t="str">
        <f>IFERROR(__xludf.DUMMYFUNCTION("IFERROR((COUNTIF(FILTER(Data!N:N, Data!B:B=A447),""TRAVERSE"")) / (COUNTIF(Data!B:B, A447)),"""")"),"")</f>
        <v/>
      </c>
      <c r="X447" s="59"/>
      <c r="Y447" s="45" t="str">
        <f t="shared" si="7"/>
        <v/>
      </c>
      <c r="Z447" s="45" t="str">
        <f t="shared" si="8"/>
        <v/>
      </c>
      <c r="AA447" s="16" t="str">
        <f t="shared" si="9"/>
        <v/>
      </c>
      <c r="AB447" s="16"/>
      <c r="AC447" s="16"/>
      <c r="AD447" s="16"/>
      <c r="AE447" s="16" t="str">
        <f t="shared" si="12"/>
        <v/>
      </c>
      <c r="AF447" s="16" t="str">
        <f t="shared" si="13"/>
        <v/>
      </c>
      <c r="AG447" s="44"/>
      <c r="AH447" s="44"/>
      <c r="AI447" s="44" t="str">
        <f>IFERROR(__xludf.DUMMYFUNCTION("TEXTJOIN("", "",TRUE, FILTER(Data!P:P, Data!B:B=A447))"),"")</f>
        <v/>
      </c>
      <c r="AM447" s="61"/>
      <c r="BC447" s="50"/>
    </row>
    <row r="448">
      <c r="A448" s="14"/>
      <c r="B448" s="55" t="str">
        <f>IFERROR(__xludf.DUMMYFUNCTION("IFERROR(ROUND(
(COUNTIF(FILTER(Data!O:O, Data!B:B=A448), ""Win"")
+ COUNTIF(FILTER(Data!O:O, Data!B:B=A448), {""Tie"",""Results""}))
/ (COUNTIF(Data!B:B, A448)),
1),"""")"),"")</f>
        <v/>
      </c>
      <c r="C448" s="45" t="str">
        <f>IFERROR((SUMIF(Data!B:B, A448, Data!H:H)
/ (COUNTIF(Data!B:B, A448)
)),"")</f>
        <v/>
      </c>
      <c r="D448" s="45" t="str">
        <f>IFERROR((SUMIF(Data!B:B, A448, Data!G:G)
/ (COUNTIF(Data!B:B, A448)
)),"")</f>
        <v/>
      </c>
      <c r="E448" s="45"/>
      <c r="F448" s="45" t="str">
        <f>IFERROR((SUMIF(Data!B:B, A448, Data!J:J)
/ (COUNTIF(Data!B:B, A448)
)),"")</f>
        <v/>
      </c>
      <c r="G448" s="56" t="str">
        <f>IF(A448="","",IFERROR((((((SUMIF(Data!B:B, A448, Data!H:H)+(SUMIF(Data!B:B, A448,Data!G:G)))/(SUMIF(Data!B:B, A448, Data!J:J)))))),0))</f>
        <v/>
      </c>
      <c r="H448" s="45"/>
      <c r="I448" s="45"/>
      <c r="J448" s="45"/>
      <c r="K448" s="45"/>
      <c r="L448" s="45" t="str">
        <f>IFERROR((SUMIF(Data!B:B, A448, Data!L:L)
/ (COUNTIF(Data!B:B, A448)
)),"")</f>
        <v/>
      </c>
      <c r="M448" s="45" t="str">
        <f>IFERROR((SUMIF(Data!B:B, A448, Data!K:K)
/ (COUNTIF(Data!B:B, A448)
)),"")</f>
        <v/>
      </c>
      <c r="N448" s="56"/>
      <c r="O448" s="56" t="str">
        <f>IF(A448="","",IFERROR((((((SUMIF(Data!B:B, A448, Data!H:H)+(SUMIF(Data!B:B, A448,Data!G:G)+(SUMIF(Data!B:B, A448,Data!L:L)+(SUMIF(Data!B:B, A448,Data!K:K)))))/(SUMIF(Data!B:B, A448, Data!M:M)+(SUMIF(Data!B:B, A448, Data!H:H)+(SUMIF(Data!B:B, A448,Data!G:G)+(SUMIF(Data!B:B, A448,Data!K:K)+(SUMIF(Data!B:B, A448,Data!L:L)))))))))),0))</f>
        <v/>
      </c>
      <c r="P448" s="57" t="str">
        <f>IFERROR(__xludf.DUMMYFUNCTION("IFERROR(((COUNTIF(FILTER(Data!N:N,Data!B:B=A448),""TRAVERSE"")*15)+(COUNTIF(FILTER(Data!N:N,Data!B:B=A448),""HIGH"")*10)+(COUNTIF(FILTER(Data!N:N,Data!B:B=A448),""MIDDLE"")*6)+(COUNTIF(FILTER(Data!N:N,Data!B:B=A448),""LOW"")*4)) / (COUNTIF(Data!B:B, A448)"&amp;"),"""")"),"")</f>
        <v/>
      </c>
      <c r="Q448" s="58"/>
      <c r="R448" s="58"/>
      <c r="S448" s="58" t="str">
        <f>IFERROR(__xludf.DUMMYFUNCTION("IFERROR((((COUNTIF(FILTER(Data!N:N,Data!B:B=A448),""TRAVERSE""))+(COUNTIF(FILTER(Data!N:N,Data!B:B=A448),""HIGH""))+(COUNTIF(FILTER(Data!N:N,Data!B:B=A448),""MIDDLE""))+(COUNTIF(FILTER(Data!N:N,Data!B:B=A448),""LOW"")))) / (((COUNTIF(Data!B:B, A448)))-(CO"&amp;"UNTIF(FILTER(Data!N:N,Data!B:B=A448),""NONE""))),IF(ISBLANK(A448),"""",0))"),"")</f>
        <v/>
      </c>
      <c r="T448" s="56" t="str">
        <f>IFERROR(__xludf.DUMMYFUNCTION("IFERROR((COUNTIF(FILTER(Data!N:N, Data!B:B=A448),""LOW"")) / (COUNTIF(Data!B:B, A448)),"""")"),"")</f>
        <v/>
      </c>
      <c r="U448" s="59" t="str">
        <f>IFERROR(__xludf.DUMMYFUNCTION("IFERROR((COUNTIF(FILTER(Data!N:N, Data!B:B=A448),""MIDDLE"")) / (COUNTIF(Data!B:B, A448)),"""")"),"")</f>
        <v/>
      </c>
      <c r="V448" s="59" t="str">
        <f>IFERROR(__xludf.DUMMYFUNCTION("IFERROR((COUNTIF(FILTER(Data!N:N, Data!B:B=A448),""HIGH"")) / (COUNTIF(Data!B:B, A448)),"""")"),"")</f>
        <v/>
      </c>
      <c r="W448" s="59" t="str">
        <f>IFERROR(__xludf.DUMMYFUNCTION("IFERROR((COUNTIF(FILTER(Data!N:N, Data!B:B=A448),""TRAVERSE"")) / (COUNTIF(Data!B:B, A448)),"""")"),"")</f>
        <v/>
      </c>
      <c r="X448" s="59"/>
      <c r="Y448" s="45" t="str">
        <f t="shared" si="7"/>
        <v/>
      </c>
      <c r="Z448" s="45" t="str">
        <f t="shared" si="8"/>
        <v/>
      </c>
      <c r="AA448" s="16" t="str">
        <f t="shared" si="9"/>
        <v/>
      </c>
      <c r="AB448" s="16"/>
      <c r="AC448" s="16"/>
      <c r="AD448" s="16"/>
      <c r="AE448" s="16" t="str">
        <f t="shared" si="12"/>
        <v/>
      </c>
      <c r="AF448" s="16" t="str">
        <f t="shared" si="13"/>
        <v/>
      </c>
      <c r="AG448" s="44"/>
      <c r="AH448" s="44"/>
      <c r="AI448" s="44" t="str">
        <f>IFERROR(__xludf.DUMMYFUNCTION("TEXTJOIN("", "",TRUE, FILTER(Data!P:P, Data!B:B=A448))"),"")</f>
        <v/>
      </c>
      <c r="AM448" s="61"/>
      <c r="BC448" s="50"/>
    </row>
    <row r="449">
      <c r="A449" s="14"/>
      <c r="B449" s="55" t="str">
        <f>IFERROR(__xludf.DUMMYFUNCTION("IFERROR(ROUND(
(COUNTIF(FILTER(Data!O:O, Data!B:B=A449), ""Win"")
+ COUNTIF(FILTER(Data!O:O, Data!B:B=A449), {""Tie"",""Results""}))
/ (COUNTIF(Data!B:B, A449)),
1),"""")"),"")</f>
        <v/>
      </c>
      <c r="C449" s="45" t="str">
        <f>IFERROR((SUMIF(Data!B:B, A449, Data!H:H)
/ (COUNTIF(Data!B:B, A449)
)),"")</f>
        <v/>
      </c>
      <c r="D449" s="45" t="str">
        <f>IFERROR((SUMIF(Data!B:B, A449, Data!G:G)
/ (COUNTIF(Data!B:B, A449)
)),"")</f>
        <v/>
      </c>
      <c r="E449" s="45"/>
      <c r="F449" s="45" t="str">
        <f>IFERROR((SUMIF(Data!B:B, A449, Data!J:J)
/ (COUNTIF(Data!B:B, A449)
)),"")</f>
        <v/>
      </c>
      <c r="G449" s="56" t="str">
        <f>IF(A449="","",IFERROR((((((SUMIF(Data!B:B, A449, Data!H:H)+(SUMIF(Data!B:B, A449,Data!G:G)))/(SUMIF(Data!B:B, A449, Data!J:J)))))),0))</f>
        <v/>
      </c>
      <c r="H449" s="45"/>
      <c r="I449" s="45"/>
      <c r="J449" s="45"/>
      <c r="K449" s="45"/>
      <c r="L449" s="45" t="str">
        <f>IFERROR((SUMIF(Data!B:B, A449, Data!L:L)
/ (COUNTIF(Data!B:B, A449)
)),"")</f>
        <v/>
      </c>
      <c r="M449" s="45" t="str">
        <f>IFERROR((SUMIF(Data!B:B, A449, Data!K:K)
/ (COUNTIF(Data!B:B, A449)
)),"")</f>
        <v/>
      </c>
      <c r="N449" s="56"/>
      <c r="O449" s="56" t="str">
        <f>IF(A449="","",IFERROR((((((SUMIF(Data!B:B, A449, Data!H:H)+(SUMIF(Data!B:B, A449,Data!G:G)+(SUMIF(Data!B:B, A449,Data!L:L)+(SUMIF(Data!B:B, A449,Data!K:K)))))/(SUMIF(Data!B:B, A449, Data!M:M)+(SUMIF(Data!B:B, A449, Data!H:H)+(SUMIF(Data!B:B, A449,Data!G:G)+(SUMIF(Data!B:B, A449,Data!K:K)+(SUMIF(Data!B:B, A449,Data!L:L)))))))))),0))</f>
        <v/>
      </c>
      <c r="P449" s="57" t="str">
        <f>IFERROR(__xludf.DUMMYFUNCTION("IFERROR(((COUNTIF(FILTER(Data!N:N,Data!B:B=A449),""TRAVERSE"")*15)+(COUNTIF(FILTER(Data!N:N,Data!B:B=A449),""HIGH"")*10)+(COUNTIF(FILTER(Data!N:N,Data!B:B=A449),""MIDDLE"")*6)+(COUNTIF(FILTER(Data!N:N,Data!B:B=A449),""LOW"")*4)) / (COUNTIF(Data!B:B, A449)"&amp;"),"""")"),"")</f>
        <v/>
      </c>
      <c r="Q449" s="58"/>
      <c r="R449" s="58"/>
      <c r="S449" s="58" t="str">
        <f>IFERROR(__xludf.DUMMYFUNCTION("IFERROR((((COUNTIF(FILTER(Data!N:N,Data!B:B=A449),""TRAVERSE""))+(COUNTIF(FILTER(Data!N:N,Data!B:B=A449),""HIGH""))+(COUNTIF(FILTER(Data!N:N,Data!B:B=A449),""MIDDLE""))+(COUNTIF(FILTER(Data!N:N,Data!B:B=A449),""LOW"")))) / (((COUNTIF(Data!B:B, A449)))-(CO"&amp;"UNTIF(FILTER(Data!N:N,Data!B:B=A449),""NONE""))),IF(ISBLANK(A449),"""",0))"),"")</f>
        <v/>
      </c>
      <c r="T449" s="56" t="str">
        <f>IFERROR(__xludf.DUMMYFUNCTION("IFERROR((COUNTIF(FILTER(Data!N:N, Data!B:B=A449),""LOW"")) / (COUNTIF(Data!B:B, A449)),"""")"),"")</f>
        <v/>
      </c>
      <c r="U449" s="59" t="str">
        <f>IFERROR(__xludf.DUMMYFUNCTION("IFERROR((COUNTIF(FILTER(Data!N:N, Data!B:B=A449),""MIDDLE"")) / (COUNTIF(Data!B:B, A449)),"""")"),"")</f>
        <v/>
      </c>
      <c r="V449" s="59" t="str">
        <f>IFERROR(__xludf.DUMMYFUNCTION("IFERROR((COUNTIF(FILTER(Data!N:N, Data!B:B=A449),""HIGH"")) / (COUNTIF(Data!B:B, A449)),"""")"),"")</f>
        <v/>
      </c>
      <c r="W449" s="59" t="str">
        <f>IFERROR(__xludf.DUMMYFUNCTION("IFERROR((COUNTIF(FILTER(Data!N:N, Data!B:B=A449),""TRAVERSE"")) / (COUNTIF(Data!B:B, A449)),"""")"),"")</f>
        <v/>
      </c>
      <c r="X449" s="59"/>
      <c r="Y449" s="45" t="str">
        <f t="shared" si="7"/>
        <v/>
      </c>
      <c r="Z449" s="45" t="str">
        <f t="shared" si="8"/>
        <v/>
      </c>
      <c r="AA449" s="16" t="str">
        <f t="shared" si="9"/>
        <v/>
      </c>
      <c r="AB449" s="16"/>
      <c r="AC449" s="16"/>
      <c r="AD449" s="16"/>
      <c r="AE449" s="16" t="str">
        <f t="shared" si="12"/>
        <v/>
      </c>
      <c r="AF449" s="16" t="str">
        <f t="shared" si="13"/>
        <v/>
      </c>
      <c r="AG449" s="44"/>
      <c r="AH449" s="44"/>
      <c r="AI449" s="44" t="str">
        <f>IFERROR(__xludf.DUMMYFUNCTION("TEXTJOIN("", "",TRUE, FILTER(Data!P:P, Data!B:B=A449))"),"")</f>
        <v/>
      </c>
      <c r="AM449" s="61"/>
      <c r="BC449" s="50"/>
    </row>
    <row r="450">
      <c r="A450" s="14"/>
      <c r="B450" s="55" t="str">
        <f>IFERROR(__xludf.DUMMYFUNCTION("IFERROR(ROUND(
(COUNTIF(FILTER(Data!O:O, Data!B:B=A450), ""Win"")
+ COUNTIF(FILTER(Data!O:O, Data!B:B=A450), {""Tie"",""Results""}))
/ (COUNTIF(Data!B:B, A450)),
1),"""")"),"")</f>
        <v/>
      </c>
      <c r="C450" s="45" t="str">
        <f>IFERROR((SUMIF(Data!B:B, A450, Data!H:H)
/ (COUNTIF(Data!B:B, A450)
)),"")</f>
        <v/>
      </c>
      <c r="D450" s="45" t="str">
        <f>IFERROR((SUMIF(Data!B:B, A450, Data!G:G)
/ (COUNTIF(Data!B:B, A450)
)),"")</f>
        <v/>
      </c>
      <c r="E450" s="45"/>
      <c r="F450" s="45" t="str">
        <f>IFERROR((SUMIF(Data!B:B, A450, Data!J:J)
/ (COUNTIF(Data!B:B, A450)
)),"")</f>
        <v/>
      </c>
      <c r="G450" s="56" t="str">
        <f>IF(A450="","",IFERROR((((((SUMIF(Data!B:B, A450, Data!H:H)+(SUMIF(Data!B:B, A450,Data!G:G)))/(SUMIF(Data!B:B, A450, Data!J:J)))))),0))</f>
        <v/>
      </c>
      <c r="H450" s="45"/>
      <c r="I450" s="45"/>
      <c r="J450" s="45"/>
      <c r="K450" s="45"/>
      <c r="L450" s="45" t="str">
        <f>IFERROR((SUMIF(Data!B:B, A450, Data!L:L)
/ (COUNTIF(Data!B:B, A450)
)),"")</f>
        <v/>
      </c>
      <c r="M450" s="45" t="str">
        <f>IFERROR((SUMIF(Data!B:B, A450, Data!K:K)
/ (COUNTIF(Data!B:B, A450)
)),"")</f>
        <v/>
      </c>
      <c r="N450" s="56"/>
      <c r="O450" s="56" t="str">
        <f>IF(A450="","",IFERROR((((((SUMIF(Data!B:B, A450, Data!H:H)+(SUMIF(Data!B:B, A450,Data!G:G)+(SUMIF(Data!B:B, A450,Data!L:L)+(SUMIF(Data!B:B, A450,Data!K:K)))))/(SUMIF(Data!B:B, A450, Data!M:M)+(SUMIF(Data!B:B, A450, Data!H:H)+(SUMIF(Data!B:B, A450,Data!G:G)+(SUMIF(Data!B:B, A450,Data!K:K)+(SUMIF(Data!B:B, A450,Data!L:L)))))))))),0))</f>
        <v/>
      </c>
      <c r="P450" s="57" t="str">
        <f>IFERROR(__xludf.DUMMYFUNCTION("IFERROR(((COUNTIF(FILTER(Data!N:N,Data!B:B=A450),""TRAVERSE"")*15)+(COUNTIF(FILTER(Data!N:N,Data!B:B=A450),""HIGH"")*10)+(COUNTIF(FILTER(Data!N:N,Data!B:B=A450),""MIDDLE"")*6)+(COUNTIF(FILTER(Data!N:N,Data!B:B=A450),""LOW"")*4)) / (COUNTIF(Data!B:B, A450)"&amp;"),"""")"),"")</f>
        <v/>
      </c>
      <c r="Q450" s="58"/>
      <c r="R450" s="58"/>
      <c r="S450" s="58" t="str">
        <f>IFERROR(__xludf.DUMMYFUNCTION("IFERROR((((COUNTIF(FILTER(Data!N:N,Data!B:B=A450),""TRAVERSE""))+(COUNTIF(FILTER(Data!N:N,Data!B:B=A450),""HIGH""))+(COUNTIF(FILTER(Data!N:N,Data!B:B=A450),""MIDDLE""))+(COUNTIF(FILTER(Data!N:N,Data!B:B=A450),""LOW"")))) / (((COUNTIF(Data!B:B, A450)))-(CO"&amp;"UNTIF(FILTER(Data!N:N,Data!B:B=A450),""NONE""))),IF(ISBLANK(A450),"""",0))"),"")</f>
        <v/>
      </c>
      <c r="T450" s="56" t="str">
        <f>IFERROR(__xludf.DUMMYFUNCTION("IFERROR((COUNTIF(FILTER(Data!N:N, Data!B:B=A450),""LOW"")) / (COUNTIF(Data!B:B, A450)),"""")"),"")</f>
        <v/>
      </c>
      <c r="U450" s="59" t="str">
        <f>IFERROR(__xludf.DUMMYFUNCTION("IFERROR((COUNTIF(FILTER(Data!N:N, Data!B:B=A450),""MIDDLE"")) / (COUNTIF(Data!B:B, A450)),"""")"),"")</f>
        <v/>
      </c>
      <c r="V450" s="59" t="str">
        <f>IFERROR(__xludf.DUMMYFUNCTION("IFERROR((COUNTIF(FILTER(Data!N:N, Data!B:B=A450),""HIGH"")) / (COUNTIF(Data!B:B, A450)),"""")"),"")</f>
        <v/>
      </c>
      <c r="W450" s="59" t="str">
        <f>IFERROR(__xludf.DUMMYFUNCTION("IFERROR((COUNTIF(FILTER(Data!N:N, Data!B:B=A450),""TRAVERSE"")) / (COUNTIF(Data!B:B, A450)),"""")"),"")</f>
        <v/>
      </c>
      <c r="X450" s="59"/>
      <c r="Y450" s="45" t="str">
        <f t="shared" si="7"/>
        <v/>
      </c>
      <c r="Z450" s="45" t="str">
        <f t="shared" si="8"/>
        <v/>
      </c>
      <c r="AA450" s="16" t="str">
        <f t="shared" si="9"/>
        <v/>
      </c>
      <c r="AB450" s="16"/>
      <c r="AC450" s="16"/>
      <c r="AD450" s="16"/>
      <c r="AE450" s="16" t="str">
        <f t="shared" si="12"/>
        <v/>
      </c>
      <c r="AF450" s="16" t="str">
        <f t="shared" si="13"/>
        <v/>
      </c>
      <c r="AG450" s="44"/>
      <c r="AH450" s="44"/>
      <c r="AI450" s="44" t="str">
        <f>IFERROR(__xludf.DUMMYFUNCTION("TEXTJOIN("", "",TRUE, FILTER(Data!P:P, Data!B:B=A450))"),"")</f>
        <v/>
      </c>
      <c r="AM450" s="61"/>
      <c r="BC450" s="50"/>
    </row>
    <row r="451">
      <c r="A451" s="14"/>
      <c r="B451" s="55" t="str">
        <f>IFERROR(__xludf.DUMMYFUNCTION("IFERROR(ROUND(
(COUNTIF(FILTER(Data!O:O, Data!B:B=A451), ""Win"")
+ COUNTIF(FILTER(Data!O:O, Data!B:B=A451), {""Tie"",""Results""}))
/ (COUNTIF(Data!B:B, A451)),
1),"""")"),"")</f>
        <v/>
      </c>
      <c r="C451" s="45" t="str">
        <f>IFERROR((SUMIF(Data!B:B, A451, Data!H:H)
/ (COUNTIF(Data!B:B, A451)
)),"")</f>
        <v/>
      </c>
      <c r="D451" s="45" t="str">
        <f>IFERROR((SUMIF(Data!B:B, A451, Data!G:G)
/ (COUNTIF(Data!B:B, A451)
)),"")</f>
        <v/>
      </c>
      <c r="E451" s="45"/>
      <c r="F451" s="45" t="str">
        <f>IFERROR((SUMIF(Data!B:B, A451, Data!J:J)
/ (COUNTIF(Data!B:B, A451)
)),"")</f>
        <v/>
      </c>
      <c r="G451" s="56" t="str">
        <f>IF(A451="","",IFERROR((((((SUMIF(Data!B:B, A451, Data!H:H)+(SUMIF(Data!B:B, A451,Data!G:G)))/(SUMIF(Data!B:B, A451, Data!J:J)))))),0))</f>
        <v/>
      </c>
      <c r="H451" s="45"/>
      <c r="I451" s="45"/>
      <c r="J451" s="45"/>
      <c r="K451" s="45"/>
      <c r="L451" s="45" t="str">
        <f>IFERROR((SUMIF(Data!B:B, A451, Data!L:L)
/ (COUNTIF(Data!B:B, A451)
)),"")</f>
        <v/>
      </c>
      <c r="M451" s="45" t="str">
        <f>IFERROR((SUMIF(Data!B:B, A451, Data!K:K)
/ (COUNTIF(Data!B:B, A451)
)),"")</f>
        <v/>
      </c>
      <c r="N451" s="56"/>
      <c r="O451" s="56" t="str">
        <f>IF(A451="","",IFERROR((((((SUMIF(Data!B:B, A451, Data!H:H)+(SUMIF(Data!B:B, A451,Data!G:G)+(SUMIF(Data!B:B, A451,Data!L:L)+(SUMIF(Data!B:B, A451,Data!K:K)))))/(SUMIF(Data!B:B, A451, Data!M:M)+(SUMIF(Data!B:B, A451, Data!H:H)+(SUMIF(Data!B:B, A451,Data!G:G)+(SUMIF(Data!B:B, A451,Data!K:K)+(SUMIF(Data!B:B, A451,Data!L:L)))))))))),0))</f>
        <v/>
      </c>
      <c r="P451" s="57" t="str">
        <f>IFERROR(__xludf.DUMMYFUNCTION("IFERROR(((COUNTIF(FILTER(Data!N:N,Data!B:B=A451),""TRAVERSE"")*15)+(COUNTIF(FILTER(Data!N:N,Data!B:B=A451),""HIGH"")*10)+(COUNTIF(FILTER(Data!N:N,Data!B:B=A451),""MIDDLE"")*6)+(COUNTIF(FILTER(Data!N:N,Data!B:B=A451),""LOW"")*4)) / (COUNTIF(Data!B:B, A451)"&amp;"),"""")"),"")</f>
        <v/>
      </c>
      <c r="Q451" s="58"/>
      <c r="R451" s="58"/>
      <c r="S451" s="58" t="str">
        <f>IFERROR(__xludf.DUMMYFUNCTION("IFERROR((((COUNTIF(FILTER(Data!N:N,Data!B:B=A451),""TRAVERSE""))+(COUNTIF(FILTER(Data!N:N,Data!B:B=A451),""HIGH""))+(COUNTIF(FILTER(Data!N:N,Data!B:B=A451),""MIDDLE""))+(COUNTIF(FILTER(Data!N:N,Data!B:B=A451),""LOW"")))) / (((COUNTIF(Data!B:B, A451)))-(CO"&amp;"UNTIF(FILTER(Data!N:N,Data!B:B=A451),""NONE""))),IF(ISBLANK(A451),"""",0))"),"")</f>
        <v/>
      </c>
      <c r="T451" s="56" t="str">
        <f>IFERROR(__xludf.DUMMYFUNCTION("IFERROR((COUNTIF(FILTER(Data!N:N, Data!B:B=A451),""LOW"")) / (COUNTIF(Data!B:B, A451)),"""")"),"")</f>
        <v/>
      </c>
      <c r="U451" s="59" t="str">
        <f>IFERROR(__xludf.DUMMYFUNCTION("IFERROR((COUNTIF(FILTER(Data!N:N, Data!B:B=A451),""MIDDLE"")) / (COUNTIF(Data!B:B, A451)),"""")"),"")</f>
        <v/>
      </c>
      <c r="V451" s="59" t="str">
        <f>IFERROR(__xludf.DUMMYFUNCTION("IFERROR((COUNTIF(FILTER(Data!N:N, Data!B:B=A451),""HIGH"")) / (COUNTIF(Data!B:B, A451)),"""")"),"")</f>
        <v/>
      </c>
      <c r="W451" s="59" t="str">
        <f>IFERROR(__xludf.DUMMYFUNCTION("IFERROR((COUNTIF(FILTER(Data!N:N, Data!B:B=A451),""TRAVERSE"")) / (COUNTIF(Data!B:B, A451)),"""")"),"")</f>
        <v/>
      </c>
      <c r="X451" s="59"/>
      <c r="Y451" s="45" t="str">
        <f t="shared" si="7"/>
        <v/>
      </c>
      <c r="Z451" s="45" t="str">
        <f t="shared" si="8"/>
        <v/>
      </c>
      <c r="AA451" s="16" t="str">
        <f t="shared" si="9"/>
        <v/>
      </c>
      <c r="AB451" s="16"/>
      <c r="AC451" s="16"/>
      <c r="AD451" s="16"/>
      <c r="AE451" s="16" t="str">
        <f t="shared" si="12"/>
        <v/>
      </c>
      <c r="AF451" s="16" t="str">
        <f t="shared" si="13"/>
        <v/>
      </c>
      <c r="AG451" s="44"/>
      <c r="AH451" s="44"/>
      <c r="AI451" s="44" t="str">
        <f>IFERROR(__xludf.DUMMYFUNCTION("TEXTJOIN("", "",TRUE, FILTER(Data!P:P, Data!B:B=A451))"),"")</f>
        <v/>
      </c>
      <c r="AM451" s="61"/>
      <c r="BC451" s="50"/>
    </row>
    <row r="452">
      <c r="A452" s="14"/>
      <c r="B452" s="55" t="str">
        <f>IFERROR(__xludf.DUMMYFUNCTION("IFERROR(ROUND(
(COUNTIF(FILTER(Data!O:O, Data!B:B=A452), ""Win"")
+ COUNTIF(FILTER(Data!O:O, Data!B:B=A452), {""Tie"",""Results""}))
/ (COUNTIF(Data!B:B, A452)),
1),"""")"),"")</f>
        <v/>
      </c>
      <c r="C452" s="45" t="str">
        <f>IFERROR((SUMIF(Data!B:B, A452, Data!H:H)
/ (COUNTIF(Data!B:B, A452)
)),"")</f>
        <v/>
      </c>
      <c r="D452" s="45" t="str">
        <f>IFERROR((SUMIF(Data!B:B, A452, Data!G:G)
/ (COUNTIF(Data!B:B, A452)
)),"")</f>
        <v/>
      </c>
      <c r="E452" s="45"/>
      <c r="F452" s="45" t="str">
        <f>IFERROR((SUMIF(Data!B:B, A452, Data!J:J)
/ (COUNTIF(Data!B:B, A452)
)),"")</f>
        <v/>
      </c>
      <c r="G452" s="56" t="str">
        <f>IF(A452="","",IFERROR((((((SUMIF(Data!B:B, A452, Data!H:H)+(SUMIF(Data!B:B, A452,Data!G:G)))/(SUMIF(Data!B:B, A452, Data!J:J)))))),0))</f>
        <v/>
      </c>
      <c r="H452" s="45"/>
      <c r="I452" s="45"/>
      <c r="J452" s="45"/>
      <c r="K452" s="45"/>
      <c r="L452" s="45" t="str">
        <f>IFERROR((SUMIF(Data!B:B, A452, Data!L:L)
/ (COUNTIF(Data!B:B, A452)
)),"")</f>
        <v/>
      </c>
      <c r="M452" s="45" t="str">
        <f>IFERROR((SUMIF(Data!B:B, A452, Data!K:K)
/ (COUNTIF(Data!B:B, A452)
)),"")</f>
        <v/>
      </c>
      <c r="N452" s="56"/>
      <c r="O452" s="56" t="str">
        <f>IF(A452="","",IFERROR((((((SUMIF(Data!B:B, A452, Data!H:H)+(SUMIF(Data!B:B, A452,Data!G:G)+(SUMIF(Data!B:B, A452,Data!L:L)+(SUMIF(Data!B:B, A452,Data!K:K)))))/(SUMIF(Data!B:B, A452, Data!M:M)+(SUMIF(Data!B:B, A452, Data!H:H)+(SUMIF(Data!B:B, A452,Data!G:G)+(SUMIF(Data!B:B, A452,Data!K:K)+(SUMIF(Data!B:B, A452,Data!L:L)))))))))),0))</f>
        <v/>
      </c>
      <c r="P452" s="57" t="str">
        <f>IFERROR(__xludf.DUMMYFUNCTION("IFERROR(((COUNTIF(FILTER(Data!N:N,Data!B:B=A452),""TRAVERSE"")*15)+(COUNTIF(FILTER(Data!N:N,Data!B:B=A452),""HIGH"")*10)+(COUNTIF(FILTER(Data!N:N,Data!B:B=A452),""MIDDLE"")*6)+(COUNTIF(FILTER(Data!N:N,Data!B:B=A452),""LOW"")*4)) / (COUNTIF(Data!B:B, A452)"&amp;"),"""")"),"")</f>
        <v/>
      </c>
      <c r="Q452" s="58"/>
      <c r="R452" s="58"/>
      <c r="S452" s="58" t="str">
        <f>IFERROR(__xludf.DUMMYFUNCTION("IFERROR((((COUNTIF(FILTER(Data!N:N,Data!B:B=A452),""TRAVERSE""))+(COUNTIF(FILTER(Data!N:N,Data!B:B=A452),""HIGH""))+(COUNTIF(FILTER(Data!N:N,Data!B:B=A452),""MIDDLE""))+(COUNTIF(FILTER(Data!N:N,Data!B:B=A452),""LOW"")))) / (((COUNTIF(Data!B:B, A452)))-(CO"&amp;"UNTIF(FILTER(Data!N:N,Data!B:B=A452),""NONE""))),IF(ISBLANK(A452),"""",0))"),"")</f>
        <v/>
      </c>
      <c r="T452" s="56" t="str">
        <f>IFERROR(__xludf.DUMMYFUNCTION("IFERROR((COUNTIF(FILTER(Data!N:N, Data!B:B=A452),""LOW"")) / (COUNTIF(Data!B:B, A452)),"""")"),"")</f>
        <v/>
      </c>
      <c r="U452" s="59" t="str">
        <f>IFERROR(__xludf.DUMMYFUNCTION("IFERROR((COUNTIF(FILTER(Data!N:N, Data!B:B=A452),""MIDDLE"")) / (COUNTIF(Data!B:B, A452)),"""")"),"")</f>
        <v/>
      </c>
      <c r="V452" s="59" t="str">
        <f>IFERROR(__xludf.DUMMYFUNCTION("IFERROR((COUNTIF(FILTER(Data!N:N, Data!B:B=A452),""HIGH"")) / (COUNTIF(Data!B:B, A452)),"""")"),"")</f>
        <v/>
      </c>
      <c r="W452" s="59" t="str">
        <f>IFERROR(__xludf.DUMMYFUNCTION("IFERROR((COUNTIF(FILTER(Data!N:N, Data!B:B=A452),""TRAVERSE"")) / (COUNTIF(Data!B:B, A452)),"""")"),"")</f>
        <v/>
      </c>
      <c r="X452" s="59"/>
      <c r="Y452" s="45" t="str">
        <f t="shared" si="7"/>
        <v/>
      </c>
      <c r="Z452" s="45" t="str">
        <f t="shared" si="8"/>
        <v/>
      </c>
      <c r="AA452" s="16" t="str">
        <f t="shared" si="9"/>
        <v/>
      </c>
      <c r="AB452" s="16"/>
      <c r="AC452" s="16"/>
      <c r="AD452" s="16"/>
      <c r="AE452" s="16" t="str">
        <f t="shared" si="12"/>
        <v/>
      </c>
      <c r="AF452" s="16" t="str">
        <f t="shared" si="13"/>
        <v/>
      </c>
      <c r="AG452" s="44"/>
      <c r="AH452" s="44"/>
      <c r="AI452" s="44" t="str">
        <f>IFERROR(__xludf.DUMMYFUNCTION("TEXTJOIN("", "",TRUE, FILTER(Data!P:P, Data!B:B=A452))"),"")</f>
        <v/>
      </c>
      <c r="AM452" s="61"/>
      <c r="BC452" s="50"/>
    </row>
    <row r="453">
      <c r="A453" s="14"/>
      <c r="B453" s="55" t="str">
        <f>IFERROR(__xludf.DUMMYFUNCTION("IFERROR(ROUND(
(COUNTIF(FILTER(Data!O:O, Data!B:B=A453), ""Win"")
+ COUNTIF(FILTER(Data!O:O, Data!B:B=A453), {""Tie"",""Results""}))
/ (COUNTIF(Data!B:B, A453)),
1),"""")"),"")</f>
        <v/>
      </c>
      <c r="C453" s="45" t="str">
        <f>IFERROR((SUMIF(Data!B:B, A453, Data!H:H)
/ (COUNTIF(Data!B:B, A453)
)),"")</f>
        <v/>
      </c>
      <c r="D453" s="45" t="str">
        <f>IFERROR((SUMIF(Data!B:B, A453, Data!G:G)
/ (COUNTIF(Data!B:B, A453)
)),"")</f>
        <v/>
      </c>
      <c r="E453" s="45"/>
      <c r="F453" s="45" t="str">
        <f>IFERROR((SUMIF(Data!B:B, A453, Data!J:J)
/ (COUNTIF(Data!B:B, A453)
)),"")</f>
        <v/>
      </c>
      <c r="G453" s="56" t="str">
        <f>IF(A453="","",IFERROR((((((SUMIF(Data!B:B, A453, Data!H:H)+(SUMIF(Data!B:B, A453,Data!G:G)))/(SUMIF(Data!B:B, A453, Data!J:J)))))),0))</f>
        <v/>
      </c>
      <c r="H453" s="45"/>
      <c r="I453" s="45"/>
      <c r="J453" s="45"/>
      <c r="K453" s="45"/>
      <c r="L453" s="45" t="str">
        <f>IFERROR((SUMIF(Data!B:B, A453, Data!L:L)
/ (COUNTIF(Data!B:B, A453)
)),"")</f>
        <v/>
      </c>
      <c r="M453" s="45" t="str">
        <f>IFERROR((SUMIF(Data!B:B, A453, Data!K:K)
/ (COUNTIF(Data!B:B, A453)
)),"")</f>
        <v/>
      </c>
      <c r="N453" s="56"/>
      <c r="O453" s="56" t="str">
        <f>IF(A453="","",IFERROR((((((SUMIF(Data!B:B, A453, Data!H:H)+(SUMIF(Data!B:B, A453,Data!G:G)+(SUMIF(Data!B:B, A453,Data!L:L)+(SUMIF(Data!B:B, A453,Data!K:K)))))/(SUMIF(Data!B:B, A453, Data!M:M)+(SUMIF(Data!B:B, A453, Data!H:H)+(SUMIF(Data!B:B, A453,Data!G:G)+(SUMIF(Data!B:B, A453,Data!K:K)+(SUMIF(Data!B:B, A453,Data!L:L)))))))))),0))</f>
        <v/>
      </c>
      <c r="P453" s="57" t="str">
        <f>IFERROR(__xludf.DUMMYFUNCTION("IFERROR(((COUNTIF(FILTER(Data!N:N,Data!B:B=A453),""TRAVERSE"")*15)+(COUNTIF(FILTER(Data!N:N,Data!B:B=A453),""HIGH"")*10)+(COUNTIF(FILTER(Data!N:N,Data!B:B=A453),""MIDDLE"")*6)+(COUNTIF(FILTER(Data!N:N,Data!B:B=A453),""LOW"")*4)) / (COUNTIF(Data!B:B, A453)"&amp;"),"""")"),"")</f>
        <v/>
      </c>
      <c r="Q453" s="58"/>
      <c r="R453" s="58"/>
      <c r="S453" s="58" t="str">
        <f>IFERROR(__xludf.DUMMYFUNCTION("IFERROR((((COUNTIF(FILTER(Data!N:N,Data!B:B=A453),""TRAVERSE""))+(COUNTIF(FILTER(Data!N:N,Data!B:B=A453),""HIGH""))+(COUNTIF(FILTER(Data!N:N,Data!B:B=A453),""MIDDLE""))+(COUNTIF(FILTER(Data!N:N,Data!B:B=A453),""LOW"")))) / (((COUNTIF(Data!B:B, A453)))-(CO"&amp;"UNTIF(FILTER(Data!N:N,Data!B:B=A453),""NONE""))),IF(ISBLANK(A453),"""",0))"),"")</f>
        <v/>
      </c>
      <c r="T453" s="56" t="str">
        <f>IFERROR(__xludf.DUMMYFUNCTION("IFERROR((COUNTIF(FILTER(Data!N:N, Data!B:B=A453),""LOW"")) / (COUNTIF(Data!B:B, A453)),"""")"),"")</f>
        <v/>
      </c>
      <c r="U453" s="59" t="str">
        <f>IFERROR(__xludf.DUMMYFUNCTION("IFERROR((COUNTIF(FILTER(Data!N:N, Data!B:B=A453),""MIDDLE"")) / (COUNTIF(Data!B:B, A453)),"""")"),"")</f>
        <v/>
      </c>
      <c r="V453" s="59" t="str">
        <f>IFERROR(__xludf.DUMMYFUNCTION("IFERROR((COUNTIF(FILTER(Data!N:N, Data!B:B=A453),""HIGH"")) / (COUNTIF(Data!B:B, A453)),"""")"),"")</f>
        <v/>
      </c>
      <c r="W453" s="59" t="str">
        <f>IFERROR(__xludf.DUMMYFUNCTION("IFERROR((COUNTIF(FILTER(Data!N:N, Data!B:B=A453),""TRAVERSE"")) / (COUNTIF(Data!B:B, A453)),"""")"),"")</f>
        <v/>
      </c>
      <c r="X453" s="59"/>
      <c r="Y453" s="45" t="str">
        <f t="shared" si="7"/>
        <v/>
      </c>
      <c r="Z453" s="45" t="str">
        <f t="shared" si="8"/>
        <v/>
      </c>
      <c r="AA453" s="16" t="str">
        <f t="shared" si="9"/>
        <v/>
      </c>
      <c r="AB453" s="16"/>
      <c r="AC453" s="16"/>
      <c r="AD453" s="16"/>
      <c r="AE453" s="16" t="str">
        <f t="shared" si="12"/>
        <v/>
      </c>
      <c r="AF453" s="16" t="str">
        <f t="shared" si="13"/>
        <v/>
      </c>
      <c r="AG453" s="44"/>
      <c r="AH453" s="44"/>
      <c r="AI453" s="44" t="str">
        <f>IFERROR(__xludf.DUMMYFUNCTION("TEXTJOIN("", "",TRUE, FILTER(Data!P:P, Data!B:B=A453))"),"")</f>
        <v/>
      </c>
      <c r="AM453" s="61"/>
      <c r="BC453" s="50"/>
    </row>
    <row r="454">
      <c r="A454" s="14"/>
      <c r="B454" s="55" t="str">
        <f>IFERROR(__xludf.DUMMYFUNCTION("IFERROR(ROUND(
(COUNTIF(FILTER(Data!O:O, Data!B:B=A454), ""Win"")
+ COUNTIF(FILTER(Data!O:O, Data!B:B=A454), {""Tie"",""Results""}))
/ (COUNTIF(Data!B:B, A454)),
1),"""")"),"")</f>
        <v/>
      </c>
      <c r="C454" s="45" t="str">
        <f>IFERROR((SUMIF(Data!B:B, A454, Data!H:H)
/ (COUNTIF(Data!B:B, A454)
)),"")</f>
        <v/>
      </c>
      <c r="D454" s="45" t="str">
        <f>IFERROR((SUMIF(Data!B:B, A454, Data!G:G)
/ (COUNTIF(Data!B:B, A454)
)),"")</f>
        <v/>
      </c>
      <c r="E454" s="45"/>
      <c r="F454" s="45" t="str">
        <f>IFERROR((SUMIF(Data!B:B, A454, Data!J:J)
/ (COUNTIF(Data!B:B, A454)
)),"")</f>
        <v/>
      </c>
      <c r="G454" s="56" t="str">
        <f>IF(A454="","",IFERROR((((((SUMIF(Data!B:B, A454, Data!H:H)+(SUMIF(Data!B:B, A454,Data!G:G)))/(SUMIF(Data!B:B, A454, Data!J:J)))))),0))</f>
        <v/>
      </c>
      <c r="H454" s="45"/>
      <c r="I454" s="45"/>
      <c r="J454" s="45"/>
      <c r="K454" s="45"/>
      <c r="L454" s="45" t="str">
        <f>IFERROR((SUMIF(Data!B:B, A454, Data!L:L)
/ (COUNTIF(Data!B:B, A454)
)),"")</f>
        <v/>
      </c>
      <c r="M454" s="45" t="str">
        <f>IFERROR((SUMIF(Data!B:B, A454, Data!K:K)
/ (COUNTIF(Data!B:B, A454)
)),"")</f>
        <v/>
      </c>
      <c r="N454" s="56"/>
      <c r="O454" s="56" t="str">
        <f>IF(A454="","",IFERROR((((((SUMIF(Data!B:B, A454, Data!H:H)+(SUMIF(Data!B:B, A454,Data!G:G)+(SUMIF(Data!B:B, A454,Data!L:L)+(SUMIF(Data!B:B, A454,Data!K:K)))))/(SUMIF(Data!B:B, A454, Data!M:M)+(SUMIF(Data!B:B, A454, Data!H:H)+(SUMIF(Data!B:B, A454,Data!G:G)+(SUMIF(Data!B:B, A454,Data!K:K)+(SUMIF(Data!B:B, A454,Data!L:L)))))))))),0))</f>
        <v/>
      </c>
      <c r="P454" s="57" t="str">
        <f>IFERROR(__xludf.DUMMYFUNCTION("IFERROR(((COUNTIF(FILTER(Data!N:N,Data!B:B=A454),""TRAVERSE"")*15)+(COUNTIF(FILTER(Data!N:N,Data!B:B=A454),""HIGH"")*10)+(COUNTIF(FILTER(Data!N:N,Data!B:B=A454),""MIDDLE"")*6)+(COUNTIF(FILTER(Data!N:N,Data!B:B=A454),""LOW"")*4)) / (COUNTIF(Data!B:B, A454)"&amp;"),"""")"),"")</f>
        <v/>
      </c>
      <c r="Q454" s="58"/>
      <c r="R454" s="58"/>
      <c r="S454" s="58" t="str">
        <f>IFERROR(__xludf.DUMMYFUNCTION("IFERROR((((COUNTIF(FILTER(Data!N:N,Data!B:B=A454),""TRAVERSE""))+(COUNTIF(FILTER(Data!N:N,Data!B:B=A454),""HIGH""))+(COUNTIF(FILTER(Data!N:N,Data!B:B=A454),""MIDDLE""))+(COUNTIF(FILTER(Data!N:N,Data!B:B=A454),""LOW"")))) / (((COUNTIF(Data!B:B, A454)))-(CO"&amp;"UNTIF(FILTER(Data!N:N,Data!B:B=A454),""NONE""))),IF(ISBLANK(A454),"""",0))"),"")</f>
        <v/>
      </c>
      <c r="T454" s="56" t="str">
        <f>IFERROR(__xludf.DUMMYFUNCTION("IFERROR((COUNTIF(FILTER(Data!N:N, Data!B:B=A454),""LOW"")) / (COUNTIF(Data!B:B, A454)),"""")"),"")</f>
        <v/>
      </c>
      <c r="U454" s="59" t="str">
        <f>IFERROR(__xludf.DUMMYFUNCTION("IFERROR((COUNTIF(FILTER(Data!N:N, Data!B:B=A454),""MIDDLE"")) / (COUNTIF(Data!B:B, A454)),"""")"),"")</f>
        <v/>
      </c>
      <c r="V454" s="59" t="str">
        <f>IFERROR(__xludf.DUMMYFUNCTION("IFERROR((COUNTIF(FILTER(Data!N:N, Data!B:B=A454),""HIGH"")) / (COUNTIF(Data!B:B, A454)),"""")"),"")</f>
        <v/>
      </c>
      <c r="W454" s="59" t="str">
        <f>IFERROR(__xludf.DUMMYFUNCTION("IFERROR((COUNTIF(FILTER(Data!N:N, Data!B:B=A454),""TRAVERSE"")) / (COUNTIF(Data!B:B, A454)),"""")"),"")</f>
        <v/>
      </c>
      <c r="X454" s="59"/>
      <c r="Y454" s="45" t="str">
        <f t="shared" si="7"/>
        <v/>
      </c>
      <c r="Z454" s="45" t="str">
        <f t="shared" si="8"/>
        <v/>
      </c>
      <c r="AA454" s="16" t="str">
        <f t="shared" si="9"/>
        <v/>
      </c>
      <c r="AB454" s="16"/>
      <c r="AC454" s="16"/>
      <c r="AD454" s="16"/>
      <c r="AE454" s="16" t="str">
        <f t="shared" si="12"/>
        <v/>
      </c>
      <c r="AF454" s="16" t="str">
        <f t="shared" si="13"/>
        <v/>
      </c>
      <c r="AG454" s="44"/>
      <c r="AH454" s="44"/>
      <c r="AI454" s="44" t="str">
        <f>IFERROR(__xludf.DUMMYFUNCTION("TEXTJOIN("", "",TRUE, FILTER(Data!P:P, Data!B:B=A454))"),"")</f>
        <v/>
      </c>
      <c r="AM454" s="61"/>
      <c r="BC454" s="50"/>
    </row>
    <row r="455">
      <c r="A455" s="14"/>
      <c r="B455" s="55" t="str">
        <f>IFERROR(__xludf.DUMMYFUNCTION("IFERROR(ROUND(
(COUNTIF(FILTER(Data!O:O, Data!B:B=A455), ""Win"")
+ COUNTIF(FILTER(Data!O:O, Data!B:B=A455), {""Tie"",""Results""}))
/ (COUNTIF(Data!B:B, A455)),
1),"""")"),"")</f>
        <v/>
      </c>
      <c r="C455" s="45" t="str">
        <f>IFERROR((SUMIF(Data!B:B, A455, Data!H:H)
/ (COUNTIF(Data!B:B, A455)
)),"")</f>
        <v/>
      </c>
      <c r="D455" s="45" t="str">
        <f>IFERROR((SUMIF(Data!B:B, A455, Data!G:G)
/ (COUNTIF(Data!B:B, A455)
)),"")</f>
        <v/>
      </c>
      <c r="E455" s="45"/>
      <c r="F455" s="45" t="str">
        <f>IFERROR((SUMIF(Data!B:B, A455, Data!J:J)
/ (COUNTIF(Data!B:B, A455)
)),"")</f>
        <v/>
      </c>
      <c r="G455" s="56" t="str">
        <f>IF(A455="","",IFERROR((((((SUMIF(Data!B:B, A455, Data!H:H)+(SUMIF(Data!B:B, A455,Data!G:G)))/(SUMIF(Data!B:B, A455, Data!J:J)))))),0))</f>
        <v/>
      </c>
      <c r="H455" s="45"/>
      <c r="I455" s="45"/>
      <c r="J455" s="45"/>
      <c r="K455" s="45"/>
      <c r="L455" s="45" t="str">
        <f>IFERROR((SUMIF(Data!B:B, A455, Data!L:L)
/ (COUNTIF(Data!B:B, A455)
)),"")</f>
        <v/>
      </c>
      <c r="M455" s="45" t="str">
        <f>IFERROR((SUMIF(Data!B:B, A455, Data!K:K)
/ (COUNTIF(Data!B:B, A455)
)),"")</f>
        <v/>
      </c>
      <c r="N455" s="56"/>
      <c r="O455" s="56" t="str">
        <f>IF(A455="","",IFERROR((((((SUMIF(Data!B:B, A455, Data!H:H)+(SUMIF(Data!B:B, A455,Data!G:G)+(SUMIF(Data!B:B, A455,Data!L:L)+(SUMIF(Data!B:B, A455,Data!K:K)))))/(SUMIF(Data!B:B, A455, Data!M:M)+(SUMIF(Data!B:B, A455, Data!H:H)+(SUMIF(Data!B:B, A455,Data!G:G)+(SUMIF(Data!B:B, A455,Data!K:K)+(SUMIF(Data!B:B, A455,Data!L:L)))))))))),0))</f>
        <v/>
      </c>
      <c r="P455" s="57" t="str">
        <f>IFERROR(__xludf.DUMMYFUNCTION("IFERROR(((COUNTIF(FILTER(Data!N:N,Data!B:B=A455),""TRAVERSE"")*15)+(COUNTIF(FILTER(Data!N:N,Data!B:B=A455),""HIGH"")*10)+(COUNTIF(FILTER(Data!N:N,Data!B:B=A455),""MIDDLE"")*6)+(COUNTIF(FILTER(Data!N:N,Data!B:B=A455),""LOW"")*4)) / (COUNTIF(Data!B:B, A455)"&amp;"),"""")"),"")</f>
        <v/>
      </c>
      <c r="Q455" s="58"/>
      <c r="R455" s="58"/>
      <c r="S455" s="58" t="str">
        <f>IFERROR(__xludf.DUMMYFUNCTION("IFERROR((((COUNTIF(FILTER(Data!N:N,Data!B:B=A455),""TRAVERSE""))+(COUNTIF(FILTER(Data!N:N,Data!B:B=A455),""HIGH""))+(COUNTIF(FILTER(Data!N:N,Data!B:B=A455),""MIDDLE""))+(COUNTIF(FILTER(Data!N:N,Data!B:B=A455),""LOW"")))) / (((COUNTIF(Data!B:B, A455)))-(CO"&amp;"UNTIF(FILTER(Data!N:N,Data!B:B=A455),""NONE""))),IF(ISBLANK(A455),"""",0))"),"")</f>
        <v/>
      </c>
      <c r="T455" s="56" t="str">
        <f>IFERROR(__xludf.DUMMYFUNCTION("IFERROR((COUNTIF(FILTER(Data!N:N, Data!B:B=A455),""LOW"")) / (COUNTIF(Data!B:B, A455)),"""")"),"")</f>
        <v/>
      </c>
      <c r="U455" s="59" t="str">
        <f>IFERROR(__xludf.DUMMYFUNCTION("IFERROR((COUNTIF(FILTER(Data!N:N, Data!B:B=A455),""MIDDLE"")) / (COUNTIF(Data!B:B, A455)),"""")"),"")</f>
        <v/>
      </c>
      <c r="V455" s="59" t="str">
        <f>IFERROR(__xludf.DUMMYFUNCTION("IFERROR((COUNTIF(FILTER(Data!N:N, Data!B:B=A455),""HIGH"")) / (COUNTIF(Data!B:B, A455)),"""")"),"")</f>
        <v/>
      </c>
      <c r="W455" s="59" t="str">
        <f>IFERROR(__xludf.DUMMYFUNCTION("IFERROR((COUNTIF(FILTER(Data!N:N, Data!B:B=A455),""TRAVERSE"")) / (COUNTIF(Data!B:B, A455)),"""")"),"")</f>
        <v/>
      </c>
      <c r="X455" s="59"/>
      <c r="Y455" s="45" t="str">
        <f t="shared" si="7"/>
        <v/>
      </c>
      <c r="Z455" s="45" t="str">
        <f t="shared" si="8"/>
        <v/>
      </c>
      <c r="AA455" s="16" t="str">
        <f t="shared" si="9"/>
        <v/>
      </c>
      <c r="AB455" s="16"/>
      <c r="AC455" s="16"/>
      <c r="AD455" s="16"/>
      <c r="AE455" s="16" t="str">
        <f t="shared" si="12"/>
        <v/>
      </c>
      <c r="AF455" s="16" t="str">
        <f t="shared" si="13"/>
        <v/>
      </c>
      <c r="AG455" s="44"/>
      <c r="AH455" s="44"/>
      <c r="AI455" s="44" t="str">
        <f>IFERROR(__xludf.DUMMYFUNCTION("TEXTJOIN("", "",TRUE, FILTER(Data!P:P, Data!B:B=A455))"),"")</f>
        <v/>
      </c>
      <c r="AM455" s="61"/>
      <c r="BC455" s="50"/>
    </row>
    <row r="456">
      <c r="A456" s="14"/>
      <c r="B456" s="55" t="str">
        <f>IFERROR(__xludf.DUMMYFUNCTION("IFERROR(ROUND(
(COUNTIF(FILTER(Data!O:O, Data!B:B=A456), ""Win"")
+ COUNTIF(FILTER(Data!O:O, Data!B:B=A456), {""Tie"",""Results""}))
/ (COUNTIF(Data!B:B, A456)),
1),"""")"),"")</f>
        <v/>
      </c>
      <c r="C456" s="45" t="str">
        <f>IFERROR((SUMIF(Data!B:B, A456, Data!H:H)
/ (COUNTIF(Data!B:B, A456)
)),"")</f>
        <v/>
      </c>
      <c r="D456" s="45" t="str">
        <f>IFERROR((SUMIF(Data!B:B, A456, Data!G:G)
/ (COUNTIF(Data!B:B, A456)
)),"")</f>
        <v/>
      </c>
      <c r="E456" s="45"/>
      <c r="F456" s="45" t="str">
        <f>IFERROR((SUMIF(Data!B:B, A456, Data!J:J)
/ (COUNTIF(Data!B:B, A456)
)),"")</f>
        <v/>
      </c>
      <c r="G456" s="56" t="str">
        <f>IF(A456="","",IFERROR((((((SUMIF(Data!B:B, A456, Data!H:H)+(SUMIF(Data!B:B, A456,Data!G:G)))/(SUMIF(Data!B:B, A456, Data!J:J)))))),0))</f>
        <v/>
      </c>
      <c r="H456" s="45"/>
      <c r="I456" s="45"/>
      <c r="J456" s="45"/>
      <c r="K456" s="45"/>
      <c r="L456" s="45" t="str">
        <f>IFERROR((SUMIF(Data!B:B, A456, Data!L:L)
/ (COUNTIF(Data!B:B, A456)
)),"")</f>
        <v/>
      </c>
      <c r="M456" s="45" t="str">
        <f>IFERROR((SUMIF(Data!B:B, A456, Data!K:K)
/ (COUNTIF(Data!B:B, A456)
)),"")</f>
        <v/>
      </c>
      <c r="N456" s="56"/>
      <c r="O456" s="56" t="str">
        <f>IF(A456="","",IFERROR((((((SUMIF(Data!B:B, A456, Data!H:H)+(SUMIF(Data!B:B, A456,Data!G:G)+(SUMIF(Data!B:B, A456,Data!L:L)+(SUMIF(Data!B:B, A456,Data!K:K)))))/(SUMIF(Data!B:B, A456, Data!M:M)+(SUMIF(Data!B:B, A456, Data!H:H)+(SUMIF(Data!B:B, A456,Data!G:G)+(SUMIF(Data!B:B, A456,Data!K:K)+(SUMIF(Data!B:B, A456,Data!L:L)))))))))),0))</f>
        <v/>
      </c>
      <c r="P456" s="57" t="str">
        <f>IFERROR(__xludf.DUMMYFUNCTION("IFERROR(((COUNTIF(FILTER(Data!N:N,Data!B:B=A456),""TRAVERSE"")*15)+(COUNTIF(FILTER(Data!N:N,Data!B:B=A456),""HIGH"")*10)+(COUNTIF(FILTER(Data!N:N,Data!B:B=A456),""MIDDLE"")*6)+(COUNTIF(FILTER(Data!N:N,Data!B:B=A456),""LOW"")*4)) / (COUNTIF(Data!B:B, A456)"&amp;"),"""")"),"")</f>
        <v/>
      </c>
      <c r="Q456" s="58"/>
      <c r="R456" s="58"/>
      <c r="S456" s="58" t="str">
        <f>IFERROR(__xludf.DUMMYFUNCTION("IFERROR((((COUNTIF(FILTER(Data!N:N,Data!B:B=A456),""TRAVERSE""))+(COUNTIF(FILTER(Data!N:N,Data!B:B=A456),""HIGH""))+(COUNTIF(FILTER(Data!N:N,Data!B:B=A456),""MIDDLE""))+(COUNTIF(FILTER(Data!N:N,Data!B:B=A456),""LOW"")))) / (((COUNTIF(Data!B:B, A456)))-(CO"&amp;"UNTIF(FILTER(Data!N:N,Data!B:B=A456),""NONE""))),IF(ISBLANK(A456),"""",0))"),"")</f>
        <v/>
      </c>
      <c r="T456" s="56" t="str">
        <f>IFERROR(__xludf.DUMMYFUNCTION("IFERROR((COUNTIF(FILTER(Data!N:N, Data!B:B=A456),""LOW"")) / (COUNTIF(Data!B:B, A456)),"""")"),"")</f>
        <v/>
      </c>
      <c r="U456" s="59" t="str">
        <f>IFERROR(__xludf.DUMMYFUNCTION("IFERROR((COUNTIF(FILTER(Data!N:N, Data!B:B=A456),""MIDDLE"")) / (COUNTIF(Data!B:B, A456)),"""")"),"")</f>
        <v/>
      </c>
      <c r="V456" s="59" t="str">
        <f>IFERROR(__xludf.DUMMYFUNCTION("IFERROR((COUNTIF(FILTER(Data!N:N, Data!B:B=A456),""HIGH"")) / (COUNTIF(Data!B:B, A456)),"""")"),"")</f>
        <v/>
      </c>
      <c r="W456" s="59" t="str">
        <f>IFERROR(__xludf.DUMMYFUNCTION("IFERROR((COUNTIF(FILTER(Data!N:N, Data!B:B=A456),""TRAVERSE"")) / (COUNTIF(Data!B:B, A456)),"""")"),"")</f>
        <v/>
      </c>
      <c r="X456" s="59"/>
      <c r="Y456" s="45" t="str">
        <f t="shared" si="7"/>
        <v/>
      </c>
      <c r="Z456" s="45" t="str">
        <f t="shared" si="8"/>
        <v/>
      </c>
      <c r="AA456" s="16" t="str">
        <f t="shared" si="9"/>
        <v/>
      </c>
      <c r="AB456" s="16"/>
      <c r="AC456" s="16"/>
      <c r="AD456" s="16"/>
      <c r="AE456" s="16" t="str">
        <f t="shared" si="12"/>
        <v/>
      </c>
      <c r="AF456" s="16" t="str">
        <f t="shared" si="13"/>
        <v/>
      </c>
      <c r="AG456" s="44"/>
      <c r="AH456" s="44"/>
      <c r="AI456" s="44" t="str">
        <f>IFERROR(__xludf.DUMMYFUNCTION("TEXTJOIN("", "",TRUE, FILTER(Data!P:P, Data!B:B=A456))"),"")</f>
        <v/>
      </c>
      <c r="AM456" s="61"/>
      <c r="BC456" s="50"/>
    </row>
    <row r="457">
      <c r="A457" s="14"/>
      <c r="B457" s="55" t="str">
        <f>IFERROR(__xludf.DUMMYFUNCTION("IFERROR(ROUND(
(COUNTIF(FILTER(Data!O:O, Data!B:B=A457), ""Win"")
+ COUNTIF(FILTER(Data!O:O, Data!B:B=A457), {""Tie"",""Results""}))
/ (COUNTIF(Data!B:B, A457)),
1),"""")"),"")</f>
        <v/>
      </c>
      <c r="C457" s="45" t="str">
        <f>IFERROR((SUMIF(Data!B:B, A457, Data!H:H)
/ (COUNTIF(Data!B:B, A457)
)),"")</f>
        <v/>
      </c>
      <c r="D457" s="45" t="str">
        <f>IFERROR((SUMIF(Data!B:B, A457, Data!G:G)
/ (COUNTIF(Data!B:B, A457)
)),"")</f>
        <v/>
      </c>
      <c r="E457" s="45"/>
      <c r="F457" s="45" t="str">
        <f>IFERROR((SUMIF(Data!B:B, A457, Data!J:J)
/ (COUNTIF(Data!B:B, A457)
)),"")</f>
        <v/>
      </c>
      <c r="G457" s="56" t="str">
        <f>IF(A457="","",IFERROR((((((SUMIF(Data!B:B, A457, Data!H:H)+(SUMIF(Data!B:B, A457,Data!G:G)))/(SUMIF(Data!B:B, A457, Data!J:J)))))),0))</f>
        <v/>
      </c>
      <c r="H457" s="45"/>
      <c r="I457" s="45"/>
      <c r="J457" s="45"/>
      <c r="K457" s="45"/>
      <c r="L457" s="45" t="str">
        <f>IFERROR((SUMIF(Data!B:B, A457, Data!L:L)
/ (COUNTIF(Data!B:B, A457)
)),"")</f>
        <v/>
      </c>
      <c r="M457" s="45" t="str">
        <f>IFERROR((SUMIF(Data!B:B, A457, Data!K:K)
/ (COUNTIF(Data!B:B, A457)
)),"")</f>
        <v/>
      </c>
      <c r="N457" s="56"/>
      <c r="O457" s="56" t="str">
        <f>IF(A457="","",IFERROR((((((SUMIF(Data!B:B, A457, Data!H:H)+(SUMIF(Data!B:B, A457,Data!G:G)+(SUMIF(Data!B:B, A457,Data!L:L)+(SUMIF(Data!B:B, A457,Data!K:K)))))/(SUMIF(Data!B:B, A457, Data!M:M)+(SUMIF(Data!B:B, A457, Data!H:H)+(SUMIF(Data!B:B, A457,Data!G:G)+(SUMIF(Data!B:B, A457,Data!K:K)+(SUMIF(Data!B:B, A457,Data!L:L)))))))))),0))</f>
        <v/>
      </c>
      <c r="P457" s="57" t="str">
        <f>IFERROR(__xludf.DUMMYFUNCTION("IFERROR(((COUNTIF(FILTER(Data!N:N,Data!B:B=A457),""TRAVERSE"")*15)+(COUNTIF(FILTER(Data!N:N,Data!B:B=A457),""HIGH"")*10)+(COUNTIF(FILTER(Data!N:N,Data!B:B=A457),""MIDDLE"")*6)+(COUNTIF(FILTER(Data!N:N,Data!B:B=A457),""LOW"")*4)) / (COUNTIF(Data!B:B, A457)"&amp;"),"""")"),"")</f>
        <v/>
      </c>
      <c r="Q457" s="58"/>
      <c r="R457" s="58"/>
      <c r="S457" s="58" t="str">
        <f>IFERROR(__xludf.DUMMYFUNCTION("IFERROR((((COUNTIF(FILTER(Data!N:N,Data!B:B=A457),""TRAVERSE""))+(COUNTIF(FILTER(Data!N:N,Data!B:B=A457),""HIGH""))+(COUNTIF(FILTER(Data!N:N,Data!B:B=A457),""MIDDLE""))+(COUNTIF(FILTER(Data!N:N,Data!B:B=A457),""LOW"")))) / (((COUNTIF(Data!B:B, A457)))-(CO"&amp;"UNTIF(FILTER(Data!N:N,Data!B:B=A457),""NONE""))),IF(ISBLANK(A457),"""",0))"),"")</f>
        <v/>
      </c>
      <c r="T457" s="56" t="str">
        <f>IFERROR(__xludf.DUMMYFUNCTION("IFERROR((COUNTIF(FILTER(Data!N:N, Data!B:B=A457),""LOW"")) / (COUNTIF(Data!B:B, A457)),"""")"),"")</f>
        <v/>
      </c>
      <c r="U457" s="59" t="str">
        <f>IFERROR(__xludf.DUMMYFUNCTION("IFERROR((COUNTIF(FILTER(Data!N:N, Data!B:B=A457),""MIDDLE"")) / (COUNTIF(Data!B:B, A457)),"""")"),"")</f>
        <v/>
      </c>
      <c r="V457" s="59" t="str">
        <f>IFERROR(__xludf.DUMMYFUNCTION("IFERROR((COUNTIF(FILTER(Data!N:N, Data!B:B=A457),""HIGH"")) / (COUNTIF(Data!B:B, A457)),"""")"),"")</f>
        <v/>
      </c>
      <c r="W457" s="59" t="str">
        <f>IFERROR(__xludf.DUMMYFUNCTION("IFERROR((COUNTIF(FILTER(Data!N:N, Data!B:B=A457),""TRAVERSE"")) / (COUNTIF(Data!B:B, A457)),"""")"),"")</f>
        <v/>
      </c>
      <c r="X457" s="59"/>
      <c r="Y457" s="45" t="str">
        <f t="shared" si="7"/>
        <v/>
      </c>
      <c r="Z457" s="45" t="str">
        <f t="shared" si="8"/>
        <v/>
      </c>
      <c r="AA457" s="16" t="str">
        <f t="shared" si="9"/>
        <v/>
      </c>
      <c r="AB457" s="16"/>
      <c r="AC457" s="16"/>
      <c r="AD457" s="16"/>
      <c r="AE457" s="16" t="str">
        <f t="shared" si="12"/>
        <v/>
      </c>
      <c r="AF457" s="16" t="str">
        <f t="shared" si="13"/>
        <v/>
      </c>
      <c r="AG457" s="44"/>
      <c r="AH457" s="44"/>
      <c r="AI457" s="44" t="str">
        <f>IFERROR(__xludf.DUMMYFUNCTION("TEXTJOIN("", "",TRUE, FILTER(Data!P:P, Data!B:B=A457))"),"")</f>
        <v/>
      </c>
      <c r="AM457" s="61"/>
      <c r="BC457" s="50"/>
    </row>
    <row r="458">
      <c r="A458" s="14"/>
      <c r="B458" s="55" t="str">
        <f>IFERROR(__xludf.DUMMYFUNCTION("IFERROR(ROUND(
(COUNTIF(FILTER(Data!O:O, Data!B:B=A458), ""Win"")
+ COUNTIF(FILTER(Data!O:O, Data!B:B=A458), {""Tie"",""Results""}))
/ (COUNTIF(Data!B:B, A458)),
1),"""")"),"")</f>
        <v/>
      </c>
      <c r="C458" s="45" t="str">
        <f>IFERROR((SUMIF(Data!B:B, A458, Data!H:H)
/ (COUNTIF(Data!B:B, A458)
)),"")</f>
        <v/>
      </c>
      <c r="D458" s="45" t="str">
        <f>IFERROR((SUMIF(Data!B:B, A458, Data!G:G)
/ (COUNTIF(Data!B:B, A458)
)),"")</f>
        <v/>
      </c>
      <c r="E458" s="45"/>
      <c r="F458" s="45" t="str">
        <f>IFERROR((SUMIF(Data!B:B, A458, Data!J:J)
/ (COUNTIF(Data!B:B, A458)
)),"")</f>
        <v/>
      </c>
      <c r="G458" s="56" t="str">
        <f>IF(A458="","",IFERROR((((((SUMIF(Data!B:B, A458, Data!H:H)+(SUMIF(Data!B:B, A458,Data!G:G)))/(SUMIF(Data!B:B, A458, Data!J:J)))))),0))</f>
        <v/>
      </c>
      <c r="H458" s="45"/>
      <c r="I458" s="45"/>
      <c r="J458" s="45"/>
      <c r="K458" s="45"/>
      <c r="L458" s="45" t="str">
        <f>IFERROR((SUMIF(Data!B:B, A458, Data!L:L)
/ (COUNTIF(Data!B:B, A458)
)),"")</f>
        <v/>
      </c>
      <c r="M458" s="45" t="str">
        <f>IFERROR((SUMIF(Data!B:B, A458, Data!K:K)
/ (COUNTIF(Data!B:B, A458)
)),"")</f>
        <v/>
      </c>
      <c r="N458" s="56"/>
      <c r="O458" s="56" t="str">
        <f>IF(A458="","",IFERROR((((((SUMIF(Data!B:B, A458, Data!H:H)+(SUMIF(Data!B:B, A458,Data!G:G)+(SUMIF(Data!B:B, A458,Data!L:L)+(SUMIF(Data!B:B, A458,Data!K:K)))))/(SUMIF(Data!B:B, A458, Data!M:M)+(SUMIF(Data!B:B, A458, Data!H:H)+(SUMIF(Data!B:B, A458,Data!G:G)+(SUMIF(Data!B:B, A458,Data!K:K)+(SUMIF(Data!B:B, A458,Data!L:L)))))))))),0))</f>
        <v/>
      </c>
      <c r="P458" s="57" t="str">
        <f>IFERROR(__xludf.DUMMYFUNCTION("IFERROR(((COUNTIF(FILTER(Data!N:N,Data!B:B=A458),""TRAVERSE"")*15)+(COUNTIF(FILTER(Data!N:N,Data!B:B=A458),""HIGH"")*10)+(COUNTIF(FILTER(Data!N:N,Data!B:B=A458),""MIDDLE"")*6)+(COUNTIF(FILTER(Data!N:N,Data!B:B=A458),""LOW"")*4)) / (COUNTIF(Data!B:B, A458)"&amp;"),"""")"),"")</f>
        <v/>
      </c>
      <c r="Q458" s="58"/>
      <c r="R458" s="58"/>
      <c r="S458" s="58" t="str">
        <f>IFERROR(__xludf.DUMMYFUNCTION("IFERROR((((COUNTIF(FILTER(Data!N:N,Data!B:B=A458),""TRAVERSE""))+(COUNTIF(FILTER(Data!N:N,Data!B:B=A458),""HIGH""))+(COUNTIF(FILTER(Data!N:N,Data!B:B=A458),""MIDDLE""))+(COUNTIF(FILTER(Data!N:N,Data!B:B=A458),""LOW"")))) / (((COUNTIF(Data!B:B, A458)))-(CO"&amp;"UNTIF(FILTER(Data!N:N,Data!B:B=A458),""NONE""))),IF(ISBLANK(A458),"""",0))"),"")</f>
        <v/>
      </c>
      <c r="T458" s="56" t="str">
        <f>IFERROR(__xludf.DUMMYFUNCTION("IFERROR((COUNTIF(FILTER(Data!N:N, Data!B:B=A458),""LOW"")) / (COUNTIF(Data!B:B, A458)),"""")"),"")</f>
        <v/>
      </c>
      <c r="U458" s="59" t="str">
        <f>IFERROR(__xludf.DUMMYFUNCTION("IFERROR((COUNTIF(FILTER(Data!N:N, Data!B:B=A458),""MIDDLE"")) / (COUNTIF(Data!B:B, A458)),"""")"),"")</f>
        <v/>
      </c>
      <c r="V458" s="59" t="str">
        <f>IFERROR(__xludf.DUMMYFUNCTION("IFERROR((COUNTIF(FILTER(Data!N:N, Data!B:B=A458),""HIGH"")) / (COUNTIF(Data!B:B, A458)),"""")"),"")</f>
        <v/>
      </c>
      <c r="W458" s="59" t="str">
        <f>IFERROR(__xludf.DUMMYFUNCTION("IFERROR((COUNTIF(FILTER(Data!N:N, Data!B:B=A458),""TRAVERSE"")) / (COUNTIF(Data!B:B, A458)),"""")"),"")</f>
        <v/>
      </c>
      <c r="X458" s="59"/>
      <c r="Y458" s="45" t="str">
        <f t="shared" si="7"/>
        <v/>
      </c>
      <c r="Z458" s="45" t="str">
        <f t="shared" si="8"/>
        <v/>
      </c>
      <c r="AA458" s="16" t="str">
        <f t="shared" si="9"/>
        <v/>
      </c>
      <c r="AB458" s="16"/>
      <c r="AC458" s="16"/>
      <c r="AD458" s="16"/>
      <c r="AE458" s="16" t="str">
        <f t="shared" si="12"/>
        <v/>
      </c>
      <c r="AF458" s="16" t="str">
        <f t="shared" si="13"/>
        <v/>
      </c>
      <c r="AG458" s="44"/>
      <c r="AH458" s="44"/>
      <c r="AI458" s="44" t="str">
        <f>IFERROR(__xludf.DUMMYFUNCTION("TEXTJOIN("", "",TRUE, FILTER(Data!P:P, Data!B:B=A458))"),"")</f>
        <v/>
      </c>
      <c r="AM458" s="61"/>
      <c r="BC458" s="50"/>
    </row>
    <row r="459">
      <c r="A459" s="14"/>
      <c r="B459" s="55" t="str">
        <f>IFERROR(__xludf.DUMMYFUNCTION("IFERROR(ROUND(
(COUNTIF(FILTER(Data!O:O, Data!B:B=A459), ""Win"")
+ COUNTIF(FILTER(Data!O:O, Data!B:B=A459), {""Tie"",""Results""}))
/ (COUNTIF(Data!B:B, A459)),
1),"""")"),"")</f>
        <v/>
      </c>
      <c r="C459" s="45" t="str">
        <f>IFERROR((SUMIF(Data!B:B, A459, Data!H:H)
/ (COUNTIF(Data!B:B, A459)
)),"")</f>
        <v/>
      </c>
      <c r="D459" s="45" t="str">
        <f>IFERROR((SUMIF(Data!B:B, A459, Data!G:G)
/ (COUNTIF(Data!B:B, A459)
)),"")</f>
        <v/>
      </c>
      <c r="E459" s="45"/>
      <c r="F459" s="45" t="str">
        <f>IFERROR((SUMIF(Data!B:B, A459, Data!J:J)
/ (COUNTIF(Data!B:B, A459)
)),"")</f>
        <v/>
      </c>
      <c r="G459" s="56" t="str">
        <f>IF(A459="","",IFERROR((((((SUMIF(Data!B:B, A459, Data!H:H)+(SUMIF(Data!B:B, A459,Data!G:G)))/(SUMIF(Data!B:B, A459, Data!J:J)))))),0))</f>
        <v/>
      </c>
      <c r="H459" s="45"/>
      <c r="I459" s="45"/>
      <c r="J459" s="45"/>
      <c r="K459" s="45"/>
      <c r="L459" s="45" t="str">
        <f>IFERROR((SUMIF(Data!B:B, A459, Data!L:L)
/ (COUNTIF(Data!B:B, A459)
)),"")</f>
        <v/>
      </c>
      <c r="M459" s="45" t="str">
        <f>IFERROR((SUMIF(Data!B:B, A459, Data!K:K)
/ (COUNTIF(Data!B:B, A459)
)),"")</f>
        <v/>
      </c>
      <c r="N459" s="56"/>
      <c r="O459" s="56" t="str">
        <f>IF(A459="","",IFERROR((((((SUMIF(Data!B:B, A459, Data!H:H)+(SUMIF(Data!B:B, A459,Data!G:G)+(SUMIF(Data!B:B, A459,Data!L:L)+(SUMIF(Data!B:B, A459,Data!K:K)))))/(SUMIF(Data!B:B, A459, Data!M:M)+(SUMIF(Data!B:B, A459, Data!H:H)+(SUMIF(Data!B:B, A459,Data!G:G)+(SUMIF(Data!B:B, A459,Data!K:K)+(SUMIF(Data!B:B, A459,Data!L:L)))))))))),0))</f>
        <v/>
      </c>
      <c r="P459" s="57" t="str">
        <f>IFERROR(__xludf.DUMMYFUNCTION("IFERROR(((COUNTIF(FILTER(Data!N:N,Data!B:B=A459),""TRAVERSE"")*15)+(COUNTIF(FILTER(Data!N:N,Data!B:B=A459),""HIGH"")*10)+(COUNTIF(FILTER(Data!N:N,Data!B:B=A459),""MIDDLE"")*6)+(COUNTIF(FILTER(Data!N:N,Data!B:B=A459),""LOW"")*4)) / (COUNTIF(Data!B:B, A459)"&amp;"),"""")"),"")</f>
        <v/>
      </c>
      <c r="Q459" s="58"/>
      <c r="R459" s="58"/>
      <c r="S459" s="58" t="str">
        <f>IFERROR(__xludf.DUMMYFUNCTION("IFERROR((((COUNTIF(FILTER(Data!N:N,Data!B:B=A459),""TRAVERSE""))+(COUNTIF(FILTER(Data!N:N,Data!B:B=A459),""HIGH""))+(COUNTIF(FILTER(Data!N:N,Data!B:B=A459),""MIDDLE""))+(COUNTIF(FILTER(Data!N:N,Data!B:B=A459),""LOW"")))) / (((COUNTIF(Data!B:B, A459)))-(CO"&amp;"UNTIF(FILTER(Data!N:N,Data!B:B=A459),""NONE""))),IF(ISBLANK(A459),"""",0))"),"")</f>
        <v/>
      </c>
      <c r="T459" s="56" t="str">
        <f>IFERROR(__xludf.DUMMYFUNCTION("IFERROR((COUNTIF(FILTER(Data!N:N, Data!B:B=A459),""LOW"")) / (COUNTIF(Data!B:B, A459)),"""")"),"")</f>
        <v/>
      </c>
      <c r="U459" s="59" t="str">
        <f>IFERROR(__xludf.DUMMYFUNCTION("IFERROR((COUNTIF(FILTER(Data!N:N, Data!B:B=A459),""MIDDLE"")) / (COUNTIF(Data!B:B, A459)),"""")"),"")</f>
        <v/>
      </c>
      <c r="V459" s="59" t="str">
        <f>IFERROR(__xludf.DUMMYFUNCTION("IFERROR((COUNTIF(FILTER(Data!N:N, Data!B:B=A459),""HIGH"")) / (COUNTIF(Data!B:B, A459)),"""")"),"")</f>
        <v/>
      </c>
      <c r="W459" s="59" t="str">
        <f>IFERROR(__xludf.DUMMYFUNCTION("IFERROR((COUNTIF(FILTER(Data!N:N, Data!B:B=A459),""TRAVERSE"")) / (COUNTIF(Data!B:B, A459)),"""")"),"")</f>
        <v/>
      </c>
      <c r="X459" s="59"/>
      <c r="Y459" s="45" t="str">
        <f t="shared" si="7"/>
        <v/>
      </c>
      <c r="Z459" s="45" t="str">
        <f t="shared" si="8"/>
        <v/>
      </c>
      <c r="AA459" s="16" t="str">
        <f t="shared" si="9"/>
        <v/>
      </c>
      <c r="AB459" s="16"/>
      <c r="AC459" s="16"/>
      <c r="AD459" s="16"/>
      <c r="AE459" s="16" t="str">
        <f t="shared" si="12"/>
        <v/>
      </c>
      <c r="AF459" s="16" t="str">
        <f t="shared" si="13"/>
        <v/>
      </c>
      <c r="AG459" s="44"/>
      <c r="AH459" s="44"/>
      <c r="AI459" s="44" t="str">
        <f>IFERROR(__xludf.DUMMYFUNCTION("TEXTJOIN("", "",TRUE, FILTER(Data!P:P, Data!B:B=A459))"),"")</f>
        <v/>
      </c>
      <c r="AM459" s="61"/>
      <c r="BC459" s="50"/>
    </row>
    <row r="460">
      <c r="A460" s="14"/>
      <c r="B460" s="55" t="str">
        <f>IFERROR(__xludf.DUMMYFUNCTION("IFERROR(ROUND(
(COUNTIF(FILTER(Data!O:O, Data!B:B=A460), ""Win"")
+ COUNTIF(FILTER(Data!O:O, Data!B:B=A460), {""Tie"",""Results""}))
/ (COUNTIF(Data!B:B, A460)),
1),"""")"),"")</f>
        <v/>
      </c>
      <c r="C460" s="45" t="str">
        <f>IFERROR((SUMIF(Data!B:B, A460, Data!H:H)
/ (COUNTIF(Data!B:B, A460)
)),"")</f>
        <v/>
      </c>
      <c r="D460" s="45" t="str">
        <f>IFERROR((SUMIF(Data!B:B, A460, Data!G:G)
/ (COUNTIF(Data!B:B, A460)
)),"")</f>
        <v/>
      </c>
      <c r="E460" s="45"/>
      <c r="F460" s="45" t="str">
        <f>IFERROR((SUMIF(Data!B:B, A460, Data!J:J)
/ (COUNTIF(Data!B:B, A460)
)),"")</f>
        <v/>
      </c>
      <c r="G460" s="56" t="str">
        <f>IF(A460="","",IFERROR((((((SUMIF(Data!B:B, A460, Data!H:H)+(SUMIF(Data!B:B, A460,Data!G:G)))/(SUMIF(Data!B:B, A460, Data!J:J)))))),0))</f>
        <v/>
      </c>
      <c r="H460" s="45"/>
      <c r="I460" s="45"/>
      <c r="J460" s="45"/>
      <c r="K460" s="45"/>
      <c r="L460" s="45" t="str">
        <f>IFERROR((SUMIF(Data!B:B, A460, Data!L:L)
/ (COUNTIF(Data!B:B, A460)
)),"")</f>
        <v/>
      </c>
      <c r="M460" s="45" t="str">
        <f>IFERROR((SUMIF(Data!B:B, A460, Data!K:K)
/ (COUNTIF(Data!B:B, A460)
)),"")</f>
        <v/>
      </c>
      <c r="N460" s="56"/>
      <c r="O460" s="56" t="str">
        <f>IF(A460="","",IFERROR((((((SUMIF(Data!B:B, A460, Data!H:H)+(SUMIF(Data!B:B, A460,Data!G:G)+(SUMIF(Data!B:B, A460,Data!L:L)+(SUMIF(Data!B:B, A460,Data!K:K)))))/(SUMIF(Data!B:B, A460, Data!M:M)+(SUMIF(Data!B:B, A460, Data!H:H)+(SUMIF(Data!B:B, A460,Data!G:G)+(SUMIF(Data!B:B, A460,Data!K:K)+(SUMIF(Data!B:B, A460,Data!L:L)))))))))),0))</f>
        <v/>
      </c>
      <c r="P460" s="57" t="str">
        <f>IFERROR(__xludf.DUMMYFUNCTION("IFERROR(((COUNTIF(FILTER(Data!N:N,Data!B:B=A460),""TRAVERSE"")*15)+(COUNTIF(FILTER(Data!N:N,Data!B:B=A460),""HIGH"")*10)+(COUNTIF(FILTER(Data!N:N,Data!B:B=A460),""MIDDLE"")*6)+(COUNTIF(FILTER(Data!N:N,Data!B:B=A460),""LOW"")*4)) / (COUNTIF(Data!B:B, A460)"&amp;"),"""")"),"")</f>
        <v/>
      </c>
      <c r="Q460" s="58"/>
      <c r="R460" s="58"/>
      <c r="S460" s="58" t="str">
        <f>IFERROR(__xludf.DUMMYFUNCTION("IFERROR((((COUNTIF(FILTER(Data!N:N,Data!B:B=A460),""TRAVERSE""))+(COUNTIF(FILTER(Data!N:N,Data!B:B=A460),""HIGH""))+(COUNTIF(FILTER(Data!N:N,Data!B:B=A460),""MIDDLE""))+(COUNTIF(FILTER(Data!N:N,Data!B:B=A460),""LOW"")))) / (((COUNTIF(Data!B:B, A460)))-(CO"&amp;"UNTIF(FILTER(Data!N:N,Data!B:B=A460),""NONE""))),IF(ISBLANK(A460),"""",0))"),"")</f>
        <v/>
      </c>
      <c r="T460" s="56" t="str">
        <f>IFERROR(__xludf.DUMMYFUNCTION("IFERROR((COUNTIF(FILTER(Data!N:N, Data!B:B=A460),""LOW"")) / (COUNTIF(Data!B:B, A460)),"""")"),"")</f>
        <v/>
      </c>
      <c r="U460" s="59" t="str">
        <f>IFERROR(__xludf.DUMMYFUNCTION("IFERROR((COUNTIF(FILTER(Data!N:N, Data!B:B=A460),""MIDDLE"")) / (COUNTIF(Data!B:B, A460)),"""")"),"")</f>
        <v/>
      </c>
      <c r="V460" s="59" t="str">
        <f>IFERROR(__xludf.DUMMYFUNCTION("IFERROR((COUNTIF(FILTER(Data!N:N, Data!B:B=A460),""HIGH"")) / (COUNTIF(Data!B:B, A460)),"""")"),"")</f>
        <v/>
      </c>
      <c r="W460" s="59" t="str">
        <f>IFERROR(__xludf.DUMMYFUNCTION("IFERROR((COUNTIF(FILTER(Data!N:N, Data!B:B=A460),""TRAVERSE"")) / (COUNTIF(Data!B:B, A460)),"""")"),"")</f>
        <v/>
      </c>
      <c r="X460" s="59"/>
      <c r="Y460" s="45" t="str">
        <f t="shared" si="7"/>
        <v/>
      </c>
      <c r="Z460" s="45" t="str">
        <f t="shared" si="8"/>
        <v/>
      </c>
      <c r="AA460" s="16" t="str">
        <f t="shared" si="9"/>
        <v/>
      </c>
      <c r="AB460" s="16"/>
      <c r="AC460" s="16"/>
      <c r="AD460" s="16"/>
      <c r="AE460" s="16" t="str">
        <f t="shared" si="12"/>
        <v/>
      </c>
      <c r="AF460" s="16" t="str">
        <f t="shared" si="13"/>
        <v/>
      </c>
      <c r="AG460" s="44"/>
      <c r="AH460" s="44"/>
      <c r="AI460" s="44" t="str">
        <f>IFERROR(__xludf.DUMMYFUNCTION("TEXTJOIN("", "",TRUE, FILTER(Data!P:P, Data!B:B=A460))"),"")</f>
        <v/>
      </c>
      <c r="AM460" s="61"/>
      <c r="BC460" s="50"/>
    </row>
    <row r="461">
      <c r="A461" s="14"/>
      <c r="B461" s="55" t="str">
        <f>IFERROR(__xludf.DUMMYFUNCTION("IFERROR(ROUND(
(COUNTIF(FILTER(Data!O:O, Data!B:B=A461), ""Win"")
+ COUNTIF(FILTER(Data!O:O, Data!B:B=A461), {""Tie"",""Results""}))
/ (COUNTIF(Data!B:B, A461)),
1),"""")"),"")</f>
        <v/>
      </c>
      <c r="C461" s="45" t="str">
        <f>IFERROR((SUMIF(Data!B:B, A461, Data!H:H)
/ (COUNTIF(Data!B:B, A461)
)),"")</f>
        <v/>
      </c>
      <c r="D461" s="45" t="str">
        <f>IFERROR((SUMIF(Data!B:B, A461, Data!G:G)
/ (COUNTIF(Data!B:B, A461)
)),"")</f>
        <v/>
      </c>
      <c r="E461" s="45"/>
      <c r="F461" s="45" t="str">
        <f>IFERROR((SUMIF(Data!B:B, A461, Data!J:J)
/ (COUNTIF(Data!B:B, A461)
)),"")</f>
        <v/>
      </c>
      <c r="G461" s="56" t="str">
        <f>IF(A461="","",IFERROR((((((SUMIF(Data!B:B, A461, Data!H:H)+(SUMIF(Data!B:B, A461,Data!G:G)))/(SUMIF(Data!B:B, A461, Data!J:J)))))),0))</f>
        <v/>
      </c>
      <c r="H461" s="45"/>
      <c r="I461" s="45"/>
      <c r="J461" s="45"/>
      <c r="K461" s="45"/>
      <c r="L461" s="45" t="str">
        <f>IFERROR((SUMIF(Data!B:B, A461, Data!L:L)
/ (COUNTIF(Data!B:B, A461)
)),"")</f>
        <v/>
      </c>
      <c r="M461" s="45" t="str">
        <f>IFERROR((SUMIF(Data!B:B, A461, Data!K:K)
/ (COUNTIF(Data!B:B, A461)
)),"")</f>
        <v/>
      </c>
      <c r="N461" s="56"/>
      <c r="O461" s="56" t="str">
        <f>IF(A461="","",IFERROR((((((SUMIF(Data!B:B, A461, Data!H:H)+(SUMIF(Data!B:B, A461,Data!G:G)+(SUMIF(Data!B:B, A461,Data!L:L)+(SUMIF(Data!B:B, A461,Data!K:K)))))/(SUMIF(Data!B:B, A461, Data!M:M)+(SUMIF(Data!B:B, A461, Data!H:H)+(SUMIF(Data!B:B, A461,Data!G:G)+(SUMIF(Data!B:B, A461,Data!K:K)+(SUMIF(Data!B:B, A461,Data!L:L)))))))))),0))</f>
        <v/>
      </c>
      <c r="P461" s="57" t="str">
        <f>IFERROR(__xludf.DUMMYFUNCTION("IFERROR(((COUNTIF(FILTER(Data!N:N,Data!B:B=A461),""TRAVERSE"")*15)+(COUNTIF(FILTER(Data!N:N,Data!B:B=A461),""HIGH"")*10)+(COUNTIF(FILTER(Data!N:N,Data!B:B=A461),""MIDDLE"")*6)+(COUNTIF(FILTER(Data!N:N,Data!B:B=A461),""LOW"")*4)) / (COUNTIF(Data!B:B, A461)"&amp;"),"""")"),"")</f>
        <v/>
      </c>
      <c r="Q461" s="58"/>
      <c r="R461" s="58"/>
      <c r="S461" s="58" t="str">
        <f>IFERROR(__xludf.DUMMYFUNCTION("IFERROR((((COUNTIF(FILTER(Data!N:N,Data!B:B=A461),""TRAVERSE""))+(COUNTIF(FILTER(Data!N:N,Data!B:B=A461),""HIGH""))+(COUNTIF(FILTER(Data!N:N,Data!B:B=A461),""MIDDLE""))+(COUNTIF(FILTER(Data!N:N,Data!B:B=A461),""LOW"")))) / (((COUNTIF(Data!B:B, A461)))-(CO"&amp;"UNTIF(FILTER(Data!N:N,Data!B:B=A461),""NONE""))),IF(ISBLANK(A461),"""",0))"),"")</f>
        <v/>
      </c>
      <c r="T461" s="56" t="str">
        <f>IFERROR(__xludf.DUMMYFUNCTION("IFERROR((COUNTIF(FILTER(Data!N:N, Data!B:B=A461),""LOW"")) / (COUNTIF(Data!B:B, A461)),"""")"),"")</f>
        <v/>
      </c>
      <c r="U461" s="59" t="str">
        <f>IFERROR(__xludf.DUMMYFUNCTION("IFERROR((COUNTIF(FILTER(Data!N:N, Data!B:B=A461),""MIDDLE"")) / (COUNTIF(Data!B:B, A461)),"""")"),"")</f>
        <v/>
      </c>
      <c r="V461" s="59" t="str">
        <f>IFERROR(__xludf.DUMMYFUNCTION("IFERROR((COUNTIF(FILTER(Data!N:N, Data!B:B=A461),""HIGH"")) / (COUNTIF(Data!B:B, A461)),"""")"),"")</f>
        <v/>
      </c>
      <c r="W461" s="59" t="str">
        <f>IFERROR(__xludf.DUMMYFUNCTION("IFERROR((COUNTIF(FILTER(Data!N:N, Data!B:B=A461),""TRAVERSE"")) / (COUNTIF(Data!B:B, A461)),"""")"),"")</f>
        <v/>
      </c>
      <c r="X461" s="59"/>
      <c r="Y461" s="45" t="str">
        <f t="shared" si="7"/>
        <v/>
      </c>
      <c r="Z461" s="45" t="str">
        <f t="shared" si="8"/>
        <v/>
      </c>
      <c r="AA461" s="16" t="str">
        <f t="shared" si="9"/>
        <v/>
      </c>
      <c r="AB461" s="16"/>
      <c r="AC461" s="16"/>
      <c r="AD461" s="16"/>
      <c r="AE461" s="16" t="str">
        <f t="shared" si="12"/>
        <v/>
      </c>
      <c r="AF461" s="16" t="str">
        <f t="shared" si="13"/>
        <v/>
      </c>
      <c r="AG461" s="44"/>
      <c r="AH461" s="44"/>
      <c r="AI461" s="44" t="str">
        <f>IFERROR(__xludf.DUMMYFUNCTION("TEXTJOIN("", "",TRUE, FILTER(Data!P:P, Data!B:B=A461))"),"")</f>
        <v/>
      </c>
      <c r="AM461" s="61"/>
      <c r="BC461" s="50"/>
    </row>
    <row r="462">
      <c r="A462" s="14"/>
      <c r="B462" s="55" t="str">
        <f>IFERROR(__xludf.DUMMYFUNCTION("IFERROR(ROUND(
(COUNTIF(FILTER(Data!O:O, Data!B:B=A462), ""Win"")
+ COUNTIF(FILTER(Data!O:O, Data!B:B=A462), {""Tie"",""Results""}))
/ (COUNTIF(Data!B:B, A462)),
1),"""")"),"")</f>
        <v/>
      </c>
      <c r="C462" s="45" t="str">
        <f>IFERROR((SUMIF(Data!B:B, A462, Data!H:H)
/ (COUNTIF(Data!B:B, A462)
)),"")</f>
        <v/>
      </c>
      <c r="D462" s="45" t="str">
        <f>IFERROR((SUMIF(Data!B:B, A462, Data!G:G)
/ (COUNTIF(Data!B:B, A462)
)),"")</f>
        <v/>
      </c>
      <c r="E462" s="45"/>
      <c r="F462" s="45" t="str">
        <f>IFERROR((SUMIF(Data!B:B, A462, Data!J:J)
/ (COUNTIF(Data!B:B, A462)
)),"")</f>
        <v/>
      </c>
      <c r="G462" s="56" t="str">
        <f>IF(A462="","",IFERROR((((((SUMIF(Data!B:B, A462, Data!H:H)+(SUMIF(Data!B:B, A462,Data!G:G)))/(SUMIF(Data!B:B, A462, Data!J:J)))))),0))</f>
        <v/>
      </c>
      <c r="H462" s="45"/>
      <c r="I462" s="45"/>
      <c r="J462" s="45"/>
      <c r="K462" s="45"/>
      <c r="L462" s="45" t="str">
        <f>IFERROR((SUMIF(Data!B:B, A462, Data!L:L)
/ (COUNTIF(Data!B:B, A462)
)),"")</f>
        <v/>
      </c>
      <c r="M462" s="45" t="str">
        <f>IFERROR((SUMIF(Data!B:B, A462, Data!K:K)
/ (COUNTIF(Data!B:B, A462)
)),"")</f>
        <v/>
      </c>
      <c r="N462" s="56"/>
      <c r="O462" s="56" t="str">
        <f>IF(A462="","",IFERROR((((((SUMIF(Data!B:B, A462, Data!H:H)+(SUMIF(Data!B:B, A462,Data!G:G)+(SUMIF(Data!B:B, A462,Data!L:L)+(SUMIF(Data!B:B, A462,Data!K:K)))))/(SUMIF(Data!B:B, A462, Data!M:M)+(SUMIF(Data!B:B, A462, Data!H:H)+(SUMIF(Data!B:B, A462,Data!G:G)+(SUMIF(Data!B:B, A462,Data!K:K)+(SUMIF(Data!B:B, A462,Data!L:L)))))))))),0))</f>
        <v/>
      </c>
      <c r="P462" s="57" t="str">
        <f>IFERROR(__xludf.DUMMYFUNCTION("IFERROR(((COUNTIF(FILTER(Data!N:N,Data!B:B=A462),""TRAVERSE"")*15)+(COUNTIF(FILTER(Data!N:N,Data!B:B=A462),""HIGH"")*10)+(COUNTIF(FILTER(Data!N:N,Data!B:B=A462),""MIDDLE"")*6)+(COUNTIF(FILTER(Data!N:N,Data!B:B=A462),""LOW"")*4)) / (COUNTIF(Data!B:B, A462)"&amp;"),"""")"),"")</f>
        <v/>
      </c>
      <c r="Q462" s="58"/>
      <c r="R462" s="58"/>
      <c r="S462" s="58" t="str">
        <f>IFERROR(__xludf.DUMMYFUNCTION("IFERROR((((COUNTIF(FILTER(Data!N:N,Data!B:B=A462),""TRAVERSE""))+(COUNTIF(FILTER(Data!N:N,Data!B:B=A462),""HIGH""))+(COUNTIF(FILTER(Data!N:N,Data!B:B=A462),""MIDDLE""))+(COUNTIF(FILTER(Data!N:N,Data!B:B=A462),""LOW"")))) / (((COUNTIF(Data!B:B, A462)))-(CO"&amp;"UNTIF(FILTER(Data!N:N,Data!B:B=A462),""NONE""))),IF(ISBLANK(A462),"""",0))"),"")</f>
        <v/>
      </c>
      <c r="T462" s="56" t="str">
        <f>IFERROR(__xludf.DUMMYFUNCTION("IFERROR((COUNTIF(FILTER(Data!N:N, Data!B:B=A462),""LOW"")) / (COUNTIF(Data!B:B, A462)),"""")"),"")</f>
        <v/>
      </c>
      <c r="U462" s="59" t="str">
        <f>IFERROR(__xludf.DUMMYFUNCTION("IFERROR((COUNTIF(FILTER(Data!N:N, Data!B:B=A462),""MIDDLE"")) / (COUNTIF(Data!B:B, A462)),"""")"),"")</f>
        <v/>
      </c>
      <c r="V462" s="59" t="str">
        <f>IFERROR(__xludf.DUMMYFUNCTION("IFERROR((COUNTIF(FILTER(Data!N:N, Data!B:B=A462),""HIGH"")) / (COUNTIF(Data!B:B, A462)),"""")"),"")</f>
        <v/>
      </c>
      <c r="W462" s="59" t="str">
        <f>IFERROR(__xludf.DUMMYFUNCTION("IFERROR((COUNTIF(FILTER(Data!N:N, Data!B:B=A462),""TRAVERSE"")) / (COUNTIF(Data!B:B, A462)),"""")"),"")</f>
        <v/>
      </c>
      <c r="X462" s="59"/>
      <c r="Y462" s="45" t="str">
        <f t="shared" si="7"/>
        <v/>
      </c>
      <c r="Z462" s="45" t="str">
        <f t="shared" si="8"/>
        <v/>
      </c>
      <c r="AA462" s="16" t="str">
        <f t="shared" si="9"/>
        <v/>
      </c>
      <c r="AB462" s="16"/>
      <c r="AC462" s="16"/>
      <c r="AD462" s="16"/>
      <c r="AE462" s="16" t="str">
        <f t="shared" si="12"/>
        <v/>
      </c>
      <c r="AF462" s="16" t="str">
        <f t="shared" si="13"/>
        <v/>
      </c>
      <c r="AG462" s="44"/>
      <c r="AH462" s="44"/>
      <c r="AI462" s="44" t="str">
        <f>IFERROR(__xludf.DUMMYFUNCTION("TEXTJOIN("", "",TRUE, FILTER(Data!P:P, Data!B:B=A462))"),"")</f>
        <v/>
      </c>
      <c r="AM462" s="61"/>
      <c r="BC462" s="50"/>
    </row>
    <row r="463">
      <c r="A463" s="14"/>
      <c r="B463" s="55" t="str">
        <f>IFERROR(__xludf.DUMMYFUNCTION("IFERROR(ROUND(
(COUNTIF(FILTER(Data!O:O, Data!B:B=A463), ""Win"")
+ COUNTIF(FILTER(Data!O:O, Data!B:B=A463), {""Tie"",""Results""}))
/ (COUNTIF(Data!B:B, A463)),
1),"""")"),"")</f>
        <v/>
      </c>
      <c r="C463" s="45" t="str">
        <f>IFERROR((SUMIF(Data!B:B, A463, Data!H:H)
/ (COUNTIF(Data!B:B, A463)
)),"")</f>
        <v/>
      </c>
      <c r="D463" s="45" t="str">
        <f>IFERROR((SUMIF(Data!B:B, A463, Data!G:G)
/ (COUNTIF(Data!B:B, A463)
)),"")</f>
        <v/>
      </c>
      <c r="E463" s="45"/>
      <c r="F463" s="45" t="str">
        <f>IFERROR((SUMIF(Data!B:B, A463, Data!J:J)
/ (COUNTIF(Data!B:B, A463)
)),"")</f>
        <v/>
      </c>
      <c r="G463" s="56" t="str">
        <f>IF(A463="","",IFERROR((((((SUMIF(Data!B:B, A463, Data!H:H)+(SUMIF(Data!B:B, A463,Data!G:G)))/(SUMIF(Data!B:B, A463, Data!J:J)))))),0))</f>
        <v/>
      </c>
      <c r="H463" s="45"/>
      <c r="I463" s="45"/>
      <c r="J463" s="45"/>
      <c r="K463" s="45"/>
      <c r="L463" s="45" t="str">
        <f>IFERROR((SUMIF(Data!B:B, A463, Data!L:L)
/ (COUNTIF(Data!B:B, A463)
)),"")</f>
        <v/>
      </c>
      <c r="M463" s="45" t="str">
        <f>IFERROR((SUMIF(Data!B:B, A463, Data!K:K)
/ (COUNTIF(Data!B:B, A463)
)),"")</f>
        <v/>
      </c>
      <c r="N463" s="56"/>
      <c r="O463" s="56" t="str">
        <f>IF(A463="","",IFERROR((((((SUMIF(Data!B:B, A463, Data!H:H)+(SUMIF(Data!B:B, A463,Data!G:G)+(SUMIF(Data!B:B, A463,Data!L:L)+(SUMIF(Data!B:B, A463,Data!K:K)))))/(SUMIF(Data!B:B, A463, Data!M:M)+(SUMIF(Data!B:B, A463, Data!H:H)+(SUMIF(Data!B:B, A463,Data!G:G)+(SUMIF(Data!B:B, A463,Data!K:K)+(SUMIF(Data!B:B, A463,Data!L:L)))))))))),0))</f>
        <v/>
      </c>
      <c r="P463" s="57" t="str">
        <f>IFERROR(__xludf.DUMMYFUNCTION("IFERROR(((COUNTIF(FILTER(Data!N:N,Data!B:B=A463),""TRAVERSE"")*15)+(COUNTIF(FILTER(Data!N:N,Data!B:B=A463),""HIGH"")*10)+(COUNTIF(FILTER(Data!N:N,Data!B:B=A463),""MIDDLE"")*6)+(COUNTIF(FILTER(Data!N:N,Data!B:B=A463),""LOW"")*4)) / (COUNTIF(Data!B:B, A463)"&amp;"),"""")"),"")</f>
        <v/>
      </c>
      <c r="Q463" s="58"/>
      <c r="R463" s="58"/>
      <c r="S463" s="58" t="str">
        <f>IFERROR(__xludf.DUMMYFUNCTION("IFERROR((((COUNTIF(FILTER(Data!N:N,Data!B:B=A463),""TRAVERSE""))+(COUNTIF(FILTER(Data!N:N,Data!B:B=A463),""HIGH""))+(COUNTIF(FILTER(Data!N:N,Data!B:B=A463),""MIDDLE""))+(COUNTIF(FILTER(Data!N:N,Data!B:B=A463),""LOW"")))) / (((COUNTIF(Data!B:B, A463)))-(CO"&amp;"UNTIF(FILTER(Data!N:N,Data!B:B=A463),""NONE""))),IF(ISBLANK(A463),"""",0))"),"")</f>
        <v/>
      </c>
      <c r="T463" s="56" t="str">
        <f>IFERROR(__xludf.DUMMYFUNCTION("IFERROR((COUNTIF(FILTER(Data!N:N, Data!B:B=A463),""LOW"")) / (COUNTIF(Data!B:B, A463)),"""")"),"")</f>
        <v/>
      </c>
      <c r="U463" s="59" t="str">
        <f>IFERROR(__xludf.DUMMYFUNCTION("IFERROR((COUNTIF(FILTER(Data!N:N, Data!B:B=A463),""MIDDLE"")) / (COUNTIF(Data!B:B, A463)),"""")"),"")</f>
        <v/>
      </c>
      <c r="V463" s="59" t="str">
        <f>IFERROR(__xludf.DUMMYFUNCTION("IFERROR((COUNTIF(FILTER(Data!N:N, Data!B:B=A463),""HIGH"")) / (COUNTIF(Data!B:B, A463)),"""")"),"")</f>
        <v/>
      </c>
      <c r="W463" s="59" t="str">
        <f>IFERROR(__xludf.DUMMYFUNCTION("IFERROR((COUNTIF(FILTER(Data!N:N, Data!B:B=A463),""TRAVERSE"")) / (COUNTIF(Data!B:B, A463)),"""")"),"")</f>
        <v/>
      </c>
      <c r="X463" s="59"/>
      <c r="Y463" s="45" t="str">
        <f t="shared" si="7"/>
        <v/>
      </c>
      <c r="Z463" s="45" t="str">
        <f t="shared" si="8"/>
        <v/>
      </c>
      <c r="AA463" s="16" t="str">
        <f t="shared" si="9"/>
        <v/>
      </c>
      <c r="AB463" s="16"/>
      <c r="AC463" s="16"/>
      <c r="AD463" s="16"/>
      <c r="AE463" s="16" t="str">
        <f t="shared" si="12"/>
        <v/>
      </c>
      <c r="AF463" s="16" t="str">
        <f t="shared" si="13"/>
        <v/>
      </c>
      <c r="AG463" s="44"/>
      <c r="AH463" s="44"/>
      <c r="AI463" s="44" t="str">
        <f>IFERROR(__xludf.DUMMYFUNCTION("TEXTJOIN("", "",TRUE, FILTER(Data!P:P, Data!B:B=A463))"),"")</f>
        <v/>
      </c>
      <c r="AM463" s="61"/>
      <c r="BC463" s="50"/>
    </row>
    <row r="464">
      <c r="A464" s="14"/>
      <c r="B464" s="55" t="str">
        <f>IFERROR(__xludf.DUMMYFUNCTION("IFERROR(ROUND(
(COUNTIF(FILTER(Data!O:O, Data!B:B=A464), ""Win"")
+ COUNTIF(FILTER(Data!O:O, Data!B:B=A464), {""Tie"",""Results""}))
/ (COUNTIF(Data!B:B, A464)),
1),"""")"),"")</f>
        <v/>
      </c>
      <c r="C464" s="45" t="str">
        <f>IFERROR((SUMIF(Data!B:B, A464, Data!H:H)
/ (COUNTIF(Data!B:B, A464)
)),"")</f>
        <v/>
      </c>
      <c r="D464" s="45" t="str">
        <f>IFERROR((SUMIF(Data!B:B, A464, Data!G:G)
/ (COUNTIF(Data!B:B, A464)
)),"")</f>
        <v/>
      </c>
      <c r="E464" s="45"/>
      <c r="F464" s="45" t="str">
        <f>IFERROR((SUMIF(Data!B:B, A464, Data!J:J)
/ (COUNTIF(Data!B:B, A464)
)),"")</f>
        <v/>
      </c>
      <c r="G464" s="56" t="str">
        <f>IF(A464="","",IFERROR((((((SUMIF(Data!B:B, A464, Data!H:H)+(SUMIF(Data!B:B, A464,Data!G:G)))/(SUMIF(Data!B:B, A464, Data!J:J)))))),0))</f>
        <v/>
      </c>
      <c r="H464" s="45"/>
      <c r="I464" s="45"/>
      <c r="J464" s="45"/>
      <c r="K464" s="45"/>
      <c r="L464" s="45" t="str">
        <f>IFERROR((SUMIF(Data!B:B, A464, Data!L:L)
/ (COUNTIF(Data!B:B, A464)
)),"")</f>
        <v/>
      </c>
      <c r="M464" s="45" t="str">
        <f>IFERROR((SUMIF(Data!B:B, A464, Data!K:K)
/ (COUNTIF(Data!B:B, A464)
)),"")</f>
        <v/>
      </c>
      <c r="N464" s="56"/>
      <c r="O464" s="56" t="str">
        <f>IF(A464="","",IFERROR((((((SUMIF(Data!B:B, A464, Data!H:H)+(SUMIF(Data!B:B, A464,Data!G:G)+(SUMIF(Data!B:B, A464,Data!L:L)+(SUMIF(Data!B:B, A464,Data!K:K)))))/(SUMIF(Data!B:B, A464, Data!M:M)+(SUMIF(Data!B:B, A464, Data!H:H)+(SUMIF(Data!B:B, A464,Data!G:G)+(SUMIF(Data!B:B, A464,Data!K:K)+(SUMIF(Data!B:B, A464,Data!L:L)))))))))),0))</f>
        <v/>
      </c>
      <c r="P464" s="57" t="str">
        <f>IFERROR(__xludf.DUMMYFUNCTION("IFERROR(((COUNTIF(FILTER(Data!N:N,Data!B:B=A464),""TRAVERSE"")*15)+(COUNTIF(FILTER(Data!N:N,Data!B:B=A464),""HIGH"")*10)+(COUNTIF(FILTER(Data!N:N,Data!B:B=A464),""MIDDLE"")*6)+(COUNTIF(FILTER(Data!N:N,Data!B:B=A464),""LOW"")*4)) / (COUNTIF(Data!B:B, A464)"&amp;"),"""")"),"")</f>
        <v/>
      </c>
      <c r="Q464" s="58"/>
      <c r="R464" s="58"/>
      <c r="S464" s="58" t="str">
        <f>IFERROR(__xludf.DUMMYFUNCTION("IFERROR((((COUNTIF(FILTER(Data!N:N,Data!B:B=A464),""TRAVERSE""))+(COUNTIF(FILTER(Data!N:N,Data!B:B=A464),""HIGH""))+(COUNTIF(FILTER(Data!N:N,Data!B:B=A464),""MIDDLE""))+(COUNTIF(FILTER(Data!N:N,Data!B:B=A464),""LOW"")))) / (((COUNTIF(Data!B:B, A464)))-(CO"&amp;"UNTIF(FILTER(Data!N:N,Data!B:B=A464),""NONE""))),IF(ISBLANK(A464),"""",0))"),"")</f>
        <v/>
      </c>
      <c r="T464" s="56" t="str">
        <f>IFERROR(__xludf.DUMMYFUNCTION("IFERROR((COUNTIF(FILTER(Data!N:N, Data!B:B=A464),""LOW"")) / (COUNTIF(Data!B:B, A464)),"""")"),"")</f>
        <v/>
      </c>
      <c r="U464" s="59" t="str">
        <f>IFERROR(__xludf.DUMMYFUNCTION("IFERROR((COUNTIF(FILTER(Data!N:N, Data!B:B=A464),""MIDDLE"")) / (COUNTIF(Data!B:B, A464)),"""")"),"")</f>
        <v/>
      </c>
      <c r="V464" s="59" t="str">
        <f>IFERROR(__xludf.DUMMYFUNCTION("IFERROR((COUNTIF(FILTER(Data!N:N, Data!B:B=A464),""HIGH"")) / (COUNTIF(Data!B:B, A464)),"""")"),"")</f>
        <v/>
      </c>
      <c r="W464" s="59" t="str">
        <f>IFERROR(__xludf.DUMMYFUNCTION("IFERROR((COUNTIF(FILTER(Data!N:N, Data!B:B=A464),""TRAVERSE"")) / (COUNTIF(Data!B:B, A464)),"""")"),"")</f>
        <v/>
      </c>
      <c r="X464" s="59"/>
      <c r="Y464" s="45" t="str">
        <f t="shared" si="7"/>
        <v/>
      </c>
      <c r="Z464" s="45" t="str">
        <f t="shared" si="8"/>
        <v/>
      </c>
      <c r="AA464" s="16" t="str">
        <f t="shared" si="9"/>
        <v/>
      </c>
      <c r="AB464" s="16"/>
      <c r="AC464" s="16"/>
      <c r="AD464" s="16"/>
      <c r="AE464" s="16" t="str">
        <f t="shared" si="12"/>
        <v/>
      </c>
      <c r="AF464" s="16" t="str">
        <f t="shared" si="13"/>
        <v/>
      </c>
      <c r="AG464" s="44"/>
      <c r="AH464" s="44"/>
      <c r="AI464" s="44" t="str">
        <f>IFERROR(__xludf.DUMMYFUNCTION("TEXTJOIN("", "",TRUE, FILTER(Data!P:P, Data!B:B=A464))"),"")</f>
        <v/>
      </c>
      <c r="AM464" s="61"/>
      <c r="BC464" s="50"/>
    </row>
    <row r="465">
      <c r="A465" s="14"/>
      <c r="B465" s="55" t="str">
        <f>IFERROR(__xludf.DUMMYFUNCTION("IFERROR(ROUND(
(COUNTIF(FILTER(Data!O:O, Data!B:B=A465), ""Win"")
+ COUNTIF(FILTER(Data!O:O, Data!B:B=A465), {""Tie"",""Results""}))
/ (COUNTIF(Data!B:B, A465)),
1),"""")"),"")</f>
        <v/>
      </c>
      <c r="C465" s="45" t="str">
        <f>IFERROR((SUMIF(Data!B:B, A465, Data!H:H)
/ (COUNTIF(Data!B:B, A465)
)),"")</f>
        <v/>
      </c>
      <c r="D465" s="45" t="str">
        <f>IFERROR((SUMIF(Data!B:B, A465, Data!G:G)
/ (COUNTIF(Data!B:B, A465)
)),"")</f>
        <v/>
      </c>
      <c r="E465" s="45"/>
      <c r="F465" s="45" t="str">
        <f>IFERROR((SUMIF(Data!B:B, A465, Data!J:J)
/ (COUNTIF(Data!B:B, A465)
)),"")</f>
        <v/>
      </c>
      <c r="G465" s="56" t="str">
        <f>IF(A465="","",IFERROR((((((SUMIF(Data!B:B, A465, Data!H:H)+(SUMIF(Data!B:B, A465,Data!G:G)))/(SUMIF(Data!B:B, A465, Data!J:J)))))),0))</f>
        <v/>
      </c>
      <c r="H465" s="45"/>
      <c r="I465" s="45"/>
      <c r="J465" s="45"/>
      <c r="K465" s="45"/>
      <c r="L465" s="45" t="str">
        <f>IFERROR((SUMIF(Data!B:B, A465, Data!L:L)
/ (COUNTIF(Data!B:B, A465)
)),"")</f>
        <v/>
      </c>
      <c r="M465" s="45" t="str">
        <f>IFERROR((SUMIF(Data!B:B, A465, Data!K:K)
/ (COUNTIF(Data!B:B, A465)
)),"")</f>
        <v/>
      </c>
      <c r="N465" s="56"/>
      <c r="O465" s="56" t="str">
        <f>IF(A465="","",IFERROR((((((SUMIF(Data!B:B, A465, Data!H:H)+(SUMIF(Data!B:B, A465,Data!G:G)+(SUMIF(Data!B:B, A465,Data!L:L)+(SUMIF(Data!B:B, A465,Data!K:K)))))/(SUMIF(Data!B:B, A465, Data!M:M)+(SUMIF(Data!B:B, A465, Data!H:H)+(SUMIF(Data!B:B, A465,Data!G:G)+(SUMIF(Data!B:B, A465,Data!K:K)+(SUMIF(Data!B:B, A465,Data!L:L)))))))))),0))</f>
        <v/>
      </c>
      <c r="P465" s="57" t="str">
        <f>IFERROR(__xludf.DUMMYFUNCTION("IFERROR(((COUNTIF(FILTER(Data!N:N,Data!B:B=A465),""TRAVERSE"")*15)+(COUNTIF(FILTER(Data!N:N,Data!B:B=A465),""HIGH"")*10)+(COUNTIF(FILTER(Data!N:N,Data!B:B=A465),""MIDDLE"")*6)+(COUNTIF(FILTER(Data!N:N,Data!B:B=A465),""LOW"")*4)) / (COUNTIF(Data!B:B, A465)"&amp;"),"""")"),"")</f>
        <v/>
      </c>
      <c r="Q465" s="58"/>
      <c r="R465" s="58"/>
      <c r="S465" s="58" t="str">
        <f>IFERROR(__xludf.DUMMYFUNCTION("IFERROR((((COUNTIF(FILTER(Data!N:N,Data!B:B=A465),""TRAVERSE""))+(COUNTIF(FILTER(Data!N:N,Data!B:B=A465),""HIGH""))+(COUNTIF(FILTER(Data!N:N,Data!B:B=A465),""MIDDLE""))+(COUNTIF(FILTER(Data!N:N,Data!B:B=A465),""LOW"")))) / (((COUNTIF(Data!B:B, A465)))-(CO"&amp;"UNTIF(FILTER(Data!N:N,Data!B:B=A465),""NONE""))),IF(ISBLANK(A465),"""",0))"),"")</f>
        <v/>
      </c>
      <c r="T465" s="56" t="str">
        <f>IFERROR(__xludf.DUMMYFUNCTION("IFERROR((COUNTIF(FILTER(Data!N:N, Data!B:B=A465),""LOW"")) / (COUNTIF(Data!B:B, A465)),"""")"),"")</f>
        <v/>
      </c>
      <c r="U465" s="59" t="str">
        <f>IFERROR(__xludf.DUMMYFUNCTION("IFERROR((COUNTIF(FILTER(Data!N:N, Data!B:B=A465),""MIDDLE"")) / (COUNTIF(Data!B:B, A465)),"""")"),"")</f>
        <v/>
      </c>
      <c r="V465" s="59" t="str">
        <f>IFERROR(__xludf.DUMMYFUNCTION("IFERROR((COUNTIF(FILTER(Data!N:N, Data!B:B=A465),""HIGH"")) / (COUNTIF(Data!B:B, A465)),"""")"),"")</f>
        <v/>
      </c>
      <c r="W465" s="59" t="str">
        <f>IFERROR(__xludf.DUMMYFUNCTION("IFERROR((COUNTIF(FILTER(Data!N:N, Data!B:B=A465),""TRAVERSE"")) / (COUNTIF(Data!B:B, A465)),"""")"),"")</f>
        <v/>
      </c>
      <c r="X465" s="59"/>
      <c r="Y465" s="45" t="str">
        <f t="shared" si="7"/>
        <v/>
      </c>
      <c r="Z465" s="45" t="str">
        <f t="shared" si="8"/>
        <v/>
      </c>
      <c r="AA465" s="16" t="str">
        <f t="shared" si="9"/>
        <v/>
      </c>
      <c r="AB465" s="16"/>
      <c r="AC465" s="16"/>
      <c r="AD465" s="16"/>
      <c r="AE465" s="16" t="str">
        <f t="shared" si="12"/>
        <v/>
      </c>
      <c r="AF465" s="16" t="str">
        <f t="shared" si="13"/>
        <v/>
      </c>
      <c r="AG465" s="44"/>
      <c r="AH465" s="44"/>
      <c r="AI465" s="44" t="str">
        <f>IFERROR(__xludf.DUMMYFUNCTION("TEXTJOIN("", "",TRUE, FILTER(Data!P:P, Data!B:B=A465))"),"")</f>
        <v/>
      </c>
      <c r="AM465" s="61"/>
      <c r="BC465" s="50"/>
    </row>
    <row r="466">
      <c r="A466" s="14"/>
      <c r="B466" s="55" t="str">
        <f>IFERROR(__xludf.DUMMYFUNCTION("IFERROR(ROUND(
(COUNTIF(FILTER(Data!O:O, Data!B:B=A466), ""Win"")
+ COUNTIF(FILTER(Data!O:O, Data!B:B=A466), {""Tie"",""Results""}))
/ (COUNTIF(Data!B:B, A466)),
1),"""")"),"")</f>
        <v/>
      </c>
      <c r="C466" s="45" t="str">
        <f>IFERROR((SUMIF(Data!B:B, A466, Data!H:H)
/ (COUNTIF(Data!B:B, A466)
)),"")</f>
        <v/>
      </c>
      <c r="D466" s="45" t="str">
        <f>IFERROR((SUMIF(Data!B:B, A466, Data!G:G)
/ (COUNTIF(Data!B:B, A466)
)),"")</f>
        <v/>
      </c>
      <c r="E466" s="45"/>
      <c r="F466" s="45" t="str">
        <f>IFERROR((SUMIF(Data!B:B, A466, Data!J:J)
/ (COUNTIF(Data!B:B, A466)
)),"")</f>
        <v/>
      </c>
      <c r="G466" s="56" t="str">
        <f>IF(A466="","",IFERROR((((((SUMIF(Data!B:B, A466, Data!H:H)+(SUMIF(Data!B:B, A466,Data!G:G)))/(SUMIF(Data!B:B, A466, Data!J:J)))))),0))</f>
        <v/>
      </c>
      <c r="H466" s="45"/>
      <c r="I466" s="45"/>
      <c r="J466" s="45"/>
      <c r="K466" s="45"/>
      <c r="L466" s="45" t="str">
        <f>IFERROR((SUMIF(Data!B:B, A466, Data!L:L)
/ (COUNTIF(Data!B:B, A466)
)),"")</f>
        <v/>
      </c>
      <c r="M466" s="45" t="str">
        <f>IFERROR((SUMIF(Data!B:B, A466, Data!K:K)
/ (COUNTIF(Data!B:B, A466)
)),"")</f>
        <v/>
      </c>
      <c r="N466" s="56"/>
      <c r="O466" s="56" t="str">
        <f>IF(A466="","",IFERROR((((((SUMIF(Data!B:B, A466, Data!H:H)+(SUMIF(Data!B:B, A466,Data!G:G)+(SUMIF(Data!B:B, A466,Data!L:L)+(SUMIF(Data!B:B, A466,Data!K:K)))))/(SUMIF(Data!B:B, A466, Data!M:M)+(SUMIF(Data!B:B, A466, Data!H:H)+(SUMIF(Data!B:B, A466,Data!G:G)+(SUMIF(Data!B:B, A466,Data!K:K)+(SUMIF(Data!B:B, A466,Data!L:L)))))))))),0))</f>
        <v/>
      </c>
      <c r="P466" s="57" t="str">
        <f>IFERROR(__xludf.DUMMYFUNCTION("IFERROR(((COUNTIF(FILTER(Data!N:N,Data!B:B=A466),""TRAVERSE"")*15)+(COUNTIF(FILTER(Data!N:N,Data!B:B=A466),""HIGH"")*10)+(COUNTIF(FILTER(Data!N:N,Data!B:B=A466),""MIDDLE"")*6)+(COUNTIF(FILTER(Data!N:N,Data!B:B=A466),""LOW"")*4)) / (COUNTIF(Data!B:B, A466)"&amp;"),"""")"),"")</f>
        <v/>
      </c>
      <c r="Q466" s="58"/>
      <c r="R466" s="58"/>
      <c r="S466" s="58" t="str">
        <f>IFERROR(__xludf.DUMMYFUNCTION("IFERROR((((COUNTIF(FILTER(Data!N:N,Data!B:B=A466),""TRAVERSE""))+(COUNTIF(FILTER(Data!N:N,Data!B:B=A466),""HIGH""))+(COUNTIF(FILTER(Data!N:N,Data!B:B=A466),""MIDDLE""))+(COUNTIF(FILTER(Data!N:N,Data!B:B=A466),""LOW"")))) / (((COUNTIF(Data!B:B, A466)))-(CO"&amp;"UNTIF(FILTER(Data!N:N,Data!B:B=A466),""NONE""))),IF(ISBLANK(A466),"""",0))"),"")</f>
        <v/>
      </c>
      <c r="T466" s="56" t="str">
        <f>IFERROR(__xludf.DUMMYFUNCTION("IFERROR((COUNTIF(FILTER(Data!N:N, Data!B:B=A466),""LOW"")) / (COUNTIF(Data!B:B, A466)),"""")"),"")</f>
        <v/>
      </c>
      <c r="U466" s="59" t="str">
        <f>IFERROR(__xludf.DUMMYFUNCTION("IFERROR((COUNTIF(FILTER(Data!N:N, Data!B:B=A466),""MIDDLE"")) / (COUNTIF(Data!B:B, A466)),"""")"),"")</f>
        <v/>
      </c>
      <c r="V466" s="59" t="str">
        <f>IFERROR(__xludf.DUMMYFUNCTION("IFERROR((COUNTIF(FILTER(Data!N:N, Data!B:B=A466),""HIGH"")) / (COUNTIF(Data!B:B, A466)),"""")"),"")</f>
        <v/>
      </c>
      <c r="W466" s="59" t="str">
        <f>IFERROR(__xludf.DUMMYFUNCTION("IFERROR((COUNTIF(FILTER(Data!N:N, Data!B:B=A466),""TRAVERSE"")) / (COUNTIF(Data!B:B, A466)),"""")"),"")</f>
        <v/>
      </c>
      <c r="X466" s="59"/>
      <c r="Y466" s="45" t="str">
        <f t="shared" si="7"/>
        <v/>
      </c>
      <c r="Z466" s="45" t="str">
        <f t="shared" si="8"/>
        <v/>
      </c>
      <c r="AA466" s="16" t="str">
        <f t="shared" si="9"/>
        <v/>
      </c>
      <c r="AB466" s="16"/>
      <c r="AC466" s="16"/>
      <c r="AD466" s="16"/>
      <c r="AE466" s="16" t="str">
        <f t="shared" si="12"/>
        <v/>
      </c>
      <c r="AF466" s="16" t="str">
        <f t="shared" si="13"/>
        <v/>
      </c>
      <c r="AG466" s="44"/>
      <c r="AH466" s="44"/>
      <c r="AI466" s="44" t="str">
        <f>IFERROR(__xludf.DUMMYFUNCTION("TEXTJOIN("", "",TRUE, FILTER(Data!P:P, Data!B:B=A466))"),"")</f>
        <v/>
      </c>
      <c r="AM466" s="61"/>
      <c r="BC466" s="50"/>
    </row>
    <row r="467">
      <c r="A467" s="14"/>
      <c r="B467" s="55" t="str">
        <f>IFERROR(__xludf.DUMMYFUNCTION("IFERROR(ROUND(
(COUNTIF(FILTER(Data!O:O, Data!B:B=A467), ""Win"")
+ COUNTIF(FILTER(Data!O:O, Data!B:B=A467), {""Tie"",""Results""}))
/ (COUNTIF(Data!B:B, A467)),
1),"""")"),"")</f>
        <v/>
      </c>
      <c r="C467" s="45" t="str">
        <f>IFERROR((SUMIF(Data!B:B, A467, Data!H:H)
/ (COUNTIF(Data!B:B, A467)
)),"")</f>
        <v/>
      </c>
      <c r="D467" s="45" t="str">
        <f>IFERROR((SUMIF(Data!B:B, A467, Data!G:G)
/ (COUNTIF(Data!B:B, A467)
)),"")</f>
        <v/>
      </c>
      <c r="E467" s="45"/>
      <c r="F467" s="45" t="str">
        <f>IFERROR((SUMIF(Data!B:B, A467, Data!J:J)
/ (COUNTIF(Data!B:B, A467)
)),"")</f>
        <v/>
      </c>
      <c r="G467" s="56" t="str">
        <f>IF(A467="","",IFERROR((((((SUMIF(Data!B:B, A467, Data!H:H)+(SUMIF(Data!B:B, A467,Data!G:G)))/(SUMIF(Data!B:B, A467, Data!J:J)))))),0))</f>
        <v/>
      </c>
      <c r="H467" s="45"/>
      <c r="I467" s="45"/>
      <c r="J467" s="45"/>
      <c r="K467" s="45"/>
      <c r="L467" s="45" t="str">
        <f>IFERROR((SUMIF(Data!B:B, A467, Data!L:L)
/ (COUNTIF(Data!B:B, A467)
)),"")</f>
        <v/>
      </c>
      <c r="M467" s="45" t="str">
        <f>IFERROR((SUMIF(Data!B:B, A467, Data!K:K)
/ (COUNTIF(Data!B:B, A467)
)),"")</f>
        <v/>
      </c>
      <c r="N467" s="56"/>
      <c r="O467" s="56" t="str">
        <f>IF(A467="","",IFERROR((((((SUMIF(Data!B:B, A467, Data!H:H)+(SUMIF(Data!B:B, A467,Data!G:G)+(SUMIF(Data!B:B, A467,Data!L:L)+(SUMIF(Data!B:B, A467,Data!K:K)))))/(SUMIF(Data!B:B, A467, Data!M:M)+(SUMIF(Data!B:B, A467, Data!H:H)+(SUMIF(Data!B:B, A467,Data!G:G)+(SUMIF(Data!B:B, A467,Data!K:K)+(SUMIF(Data!B:B, A467,Data!L:L)))))))))),0))</f>
        <v/>
      </c>
      <c r="P467" s="57" t="str">
        <f>IFERROR(__xludf.DUMMYFUNCTION("IFERROR(((COUNTIF(FILTER(Data!N:N,Data!B:B=A467),""TRAVERSE"")*15)+(COUNTIF(FILTER(Data!N:N,Data!B:B=A467),""HIGH"")*10)+(COUNTIF(FILTER(Data!N:N,Data!B:B=A467),""MIDDLE"")*6)+(COUNTIF(FILTER(Data!N:N,Data!B:B=A467),""LOW"")*4)) / (COUNTIF(Data!B:B, A467)"&amp;"),"""")"),"")</f>
        <v/>
      </c>
      <c r="Q467" s="58"/>
      <c r="R467" s="58"/>
      <c r="S467" s="58" t="str">
        <f>IFERROR(__xludf.DUMMYFUNCTION("IFERROR((((COUNTIF(FILTER(Data!N:N,Data!B:B=A467),""TRAVERSE""))+(COUNTIF(FILTER(Data!N:N,Data!B:B=A467),""HIGH""))+(COUNTIF(FILTER(Data!N:N,Data!B:B=A467),""MIDDLE""))+(COUNTIF(FILTER(Data!N:N,Data!B:B=A467),""LOW"")))) / (((COUNTIF(Data!B:B, A467)))-(CO"&amp;"UNTIF(FILTER(Data!N:N,Data!B:B=A467),""NONE""))),IF(ISBLANK(A467),"""",0))"),"")</f>
        <v/>
      </c>
      <c r="T467" s="56" t="str">
        <f>IFERROR(__xludf.DUMMYFUNCTION("IFERROR((COUNTIF(FILTER(Data!N:N, Data!B:B=A467),""LOW"")) / (COUNTIF(Data!B:B, A467)),"""")"),"")</f>
        <v/>
      </c>
      <c r="U467" s="59" t="str">
        <f>IFERROR(__xludf.DUMMYFUNCTION("IFERROR((COUNTIF(FILTER(Data!N:N, Data!B:B=A467),""MIDDLE"")) / (COUNTIF(Data!B:B, A467)),"""")"),"")</f>
        <v/>
      </c>
      <c r="V467" s="59" t="str">
        <f>IFERROR(__xludf.DUMMYFUNCTION("IFERROR((COUNTIF(FILTER(Data!N:N, Data!B:B=A467),""HIGH"")) / (COUNTIF(Data!B:B, A467)),"""")"),"")</f>
        <v/>
      </c>
      <c r="W467" s="59" t="str">
        <f>IFERROR(__xludf.DUMMYFUNCTION("IFERROR((COUNTIF(FILTER(Data!N:N, Data!B:B=A467),""TRAVERSE"")) / (COUNTIF(Data!B:B, A467)),"""")"),"")</f>
        <v/>
      </c>
      <c r="X467" s="59"/>
      <c r="Y467" s="45" t="str">
        <f t="shared" si="7"/>
        <v/>
      </c>
      <c r="Z467" s="45" t="str">
        <f t="shared" si="8"/>
        <v/>
      </c>
      <c r="AA467" s="16" t="str">
        <f t="shared" si="9"/>
        <v/>
      </c>
      <c r="AB467" s="16"/>
      <c r="AC467" s="16"/>
      <c r="AD467" s="16"/>
      <c r="AE467" s="16" t="str">
        <f t="shared" si="12"/>
        <v/>
      </c>
      <c r="AF467" s="16" t="str">
        <f t="shared" si="13"/>
        <v/>
      </c>
      <c r="AG467" s="44"/>
      <c r="AH467" s="44"/>
      <c r="AI467" s="44" t="str">
        <f>IFERROR(__xludf.DUMMYFUNCTION("TEXTJOIN("", "",TRUE, FILTER(Data!P:P, Data!B:B=A467))"),"")</f>
        <v/>
      </c>
      <c r="AM467" s="61"/>
      <c r="BC467" s="50"/>
    </row>
    <row r="468">
      <c r="A468" s="14"/>
      <c r="B468" s="55" t="str">
        <f>IFERROR(__xludf.DUMMYFUNCTION("IFERROR(ROUND(
(COUNTIF(FILTER(Data!O:O, Data!B:B=A468), ""Win"")
+ COUNTIF(FILTER(Data!O:O, Data!B:B=A468), {""Tie"",""Results""}))
/ (COUNTIF(Data!B:B, A468)),
1),"""")"),"")</f>
        <v/>
      </c>
      <c r="C468" s="45" t="str">
        <f>IFERROR((SUMIF(Data!B:B, A468, Data!H:H)
/ (COUNTIF(Data!B:B, A468)
)),"")</f>
        <v/>
      </c>
      <c r="D468" s="45" t="str">
        <f>IFERROR((SUMIF(Data!B:B, A468, Data!G:G)
/ (COUNTIF(Data!B:B, A468)
)),"")</f>
        <v/>
      </c>
      <c r="E468" s="45"/>
      <c r="F468" s="45" t="str">
        <f>IFERROR((SUMIF(Data!B:B, A468, Data!J:J)
/ (COUNTIF(Data!B:B, A468)
)),"")</f>
        <v/>
      </c>
      <c r="G468" s="56" t="str">
        <f>IF(A468="","",IFERROR((((((SUMIF(Data!B:B, A468, Data!H:H)+(SUMIF(Data!B:B, A468,Data!G:G)))/(SUMIF(Data!B:B, A468, Data!J:J)))))),0))</f>
        <v/>
      </c>
      <c r="H468" s="45"/>
      <c r="I468" s="45"/>
      <c r="J468" s="45"/>
      <c r="K468" s="45"/>
      <c r="L468" s="45" t="str">
        <f>IFERROR((SUMIF(Data!B:B, A468, Data!L:L)
/ (COUNTIF(Data!B:B, A468)
)),"")</f>
        <v/>
      </c>
      <c r="M468" s="45" t="str">
        <f>IFERROR((SUMIF(Data!B:B, A468, Data!K:K)
/ (COUNTIF(Data!B:B, A468)
)),"")</f>
        <v/>
      </c>
      <c r="N468" s="56"/>
      <c r="O468" s="56" t="str">
        <f>IF(A468="","",IFERROR((((((SUMIF(Data!B:B, A468, Data!H:H)+(SUMIF(Data!B:B, A468,Data!G:G)+(SUMIF(Data!B:B, A468,Data!L:L)+(SUMIF(Data!B:B, A468,Data!K:K)))))/(SUMIF(Data!B:B, A468, Data!M:M)+(SUMIF(Data!B:B, A468, Data!H:H)+(SUMIF(Data!B:B, A468,Data!G:G)+(SUMIF(Data!B:B, A468,Data!K:K)+(SUMIF(Data!B:B, A468,Data!L:L)))))))))),0))</f>
        <v/>
      </c>
      <c r="P468" s="57" t="str">
        <f>IFERROR(__xludf.DUMMYFUNCTION("IFERROR(((COUNTIF(FILTER(Data!N:N,Data!B:B=A468),""TRAVERSE"")*15)+(COUNTIF(FILTER(Data!N:N,Data!B:B=A468),""HIGH"")*10)+(COUNTIF(FILTER(Data!N:N,Data!B:B=A468),""MIDDLE"")*6)+(COUNTIF(FILTER(Data!N:N,Data!B:B=A468),""LOW"")*4)) / (COUNTIF(Data!B:B, A468)"&amp;"),"""")"),"")</f>
        <v/>
      </c>
      <c r="Q468" s="58"/>
      <c r="R468" s="58"/>
      <c r="S468" s="58" t="str">
        <f>IFERROR(__xludf.DUMMYFUNCTION("IFERROR((((COUNTIF(FILTER(Data!N:N,Data!B:B=A468),""TRAVERSE""))+(COUNTIF(FILTER(Data!N:N,Data!B:B=A468),""HIGH""))+(COUNTIF(FILTER(Data!N:N,Data!B:B=A468),""MIDDLE""))+(COUNTIF(FILTER(Data!N:N,Data!B:B=A468),""LOW"")))) / (((COUNTIF(Data!B:B, A468)))-(CO"&amp;"UNTIF(FILTER(Data!N:N,Data!B:B=A468),""NONE""))),IF(ISBLANK(A468),"""",0))"),"")</f>
        <v/>
      </c>
      <c r="T468" s="56" t="str">
        <f>IFERROR(__xludf.DUMMYFUNCTION("IFERROR((COUNTIF(FILTER(Data!N:N, Data!B:B=A468),""LOW"")) / (COUNTIF(Data!B:B, A468)),"""")"),"")</f>
        <v/>
      </c>
      <c r="U468" s="59" t="str">
        <f>IFERROR(__xludf.DUMMYFUNCTION("IFERROR((COUNTIF(FILTER(Data!N:N, Data!B:B=A468),""MIDDLE"")) / (COUNTIF(Data!B:B, A468)),"""")"),"")</f>
        <v/>
      </c>
      <c r="V468" s="59" t="str">
        <f>IFERROR(__xludf.DUMMYFUNCTION("IFERROR((COUNTIF(FILTER(Data!N:N, Data!B:B=A468),""HIGH"")) / (COUNTIF(Data!B:B, A468)),"""")"),"")</f>
        <v/>
      </c>
      <c r="W468" s="59" t="str">
        <f>IFERROR(__xludf.DUMMYFUNCTION("IFERROR((COUNTIF(FILTER(Data!N:N, Data!B:B=A468),""TRAVERSE"")) / (COUNTIF(Data!B:B, A468)),"""")"),"")</f>
        <v/>
      </c>
      <c r="X468" s="59"/>
      <c r="Y468" s="45" t="str">
        <f t="shared" si="7"/>
        <v/>
      </c>
      <c r="Z468" s="45" t="str">
        <f t="shared" si="8"/>
        <v/>
      </c>
      <c r="AA468" s="16" t="str">
        <f t="shared" si="9"/>
        <v/>
      </c>
      <c r="AB468" s="16"/>
      <c r="AC468" s="16"/>
      <c r="AD468" s="16"/>
      <c r="AE468" s="16" t="str">
        <f t="shared" si="12"/>
        <v/>
      </c>
      <c r="AF468" s="16" t="str">
        <f t="shared" si="13"/>
        <v/>
      </c>
      <c r="AG468" s="44"/>
      <c r="AH468" s="44"/>
      <c r="AI468" s="44" t="str">
        <f>IFERROR(__xludf.DUMMYFUNCTION("TEXTJOIN("", "",TRUE, FILTER(Data!P:P, Data!B:B=A468))"),"")</f>
        <v/>
      </c>
      <c r="AM468" s="61"/>
      <c r="BC468" s="50"/>
    </row>
    <row r="469">
      <c r="A469" s="14"/>
      <c r="B469" s="55" t="str">
        <f>IFERROR(__xludf.DUMMYFUNCTION("IFERROR(ROUND(
(COUNTIF(FILTER(Data!O:O, Data!B:B=A469), ""Win"")
+ COUNTIF(FILTER(Data!O:O, Data!B:B=A469), {""Tie"",""Results""}))
/ (COUNTIF(Data!B:B, A469)),
1),"""")"),"")</f>
        <v/>
      </c>
      <c r="C469" s="45" t="str">
        <f>IFERROR((SUMIF(Data!B:B, A469, Data!H:H)
/ (COUNTIF(Data!B:B, A469)
)),"")</f>
        <v/>
      </c>
      <c r="D469" s="45" t="str">
        <f>IFERROR((SUMIF(Data!B:B, A469, Data!G:G)
/ (COUNTIF(Data!B:B, A469)
)),"")</f>
        <v/>
      </c>
      <c r="E469" s="45"/>
      <c r="F469" s="45" t="str">
        <f>IFERROR((SUMIF(Data!B:B, A469, Data!J:J)
/ (COUNTIF(Data!B:B, A469)
)),"")</f>
        <v/>
      </c>
      <c r="G469" s="56" t="str">
        <f>IF(A469="","",IFERROR((((((SUMIF(Data!B:B, A469, Data!H:H)+(SUMIF(Data!B:B, A469,Data!G:G)))/(SUMIF(Data!B:B, A469, Data!J:J)))))),0))</f>
        <v/>
      </c>
      <c r="H469" s="45"/>
      <c r="I469" s="45"/>
      <c r="J469" s="45"/>
      <c r="K469" s="45"/>
      <c r="L469" s="45" t="str">
        <f>IFERROR((SUMIF(Data!B:B, A469, Data!L:L)
/ (COUNTIF(Data!B:B, A469)
)),"")</f>
        <v/>
      </c>
      <c r="M469" s="45" t="str">
        <f>IFERROR((SUMIF(Data!B:B, A469, Data!K:K)
/ (COUNTIF(Data!B:B, A469)
)),"")</f>
        <v/>
      </c>
      <c r="N469" s="56"/>
      <c r="O469" s="56" t="str">
        <f>IF(A469="","",IFERROR((((((SUMIF(Data!B:B, A469, Data!H:H)+(SUMIF(Data!B:B, A469,Data!G:G)+(SUMIF(Data!B:B, A469,Data!L:L)+(SUMIF(Data!B:B, A469,Data!K:K)))))/(SUMIF(Data!B:B, A469, Data!M:M)+(SUMIF(Data!B:B, A469, Data!H:H)+(SUMIF(Data!B:B, A469,Data!G:G)+(SUMIF(Data!B:B, A469,Data!K:K)+(SUMIF(Data!B:B, A469,Data!L:L)))))))))),0))</f>
        <v/>
      </c>
      <c r="P469" s="57" t="str">
        <f>IFERROR(__xludf.DUMMYFUNCTION("IFERROR(((COUNTIF(FILTER(Data!N:N,Data!B:B=A469),""TRAVERSE"")*15)+(COUNTIF(FILTER(Data!N:N,Data!B:B=A469),""HIGH"")*10)+(COUNTIF(FILTER(Data!N:N,Data!B:B=A469),""MIDDLE"")*6)+(COUNTIF(FILTER(Data!N:N,Data!B:B=A469),""LOW"")*4)) / (COUNTIF(Data!B:B, A469)"&amp;"),"""")"),"")</f>
        <v/>
      </c>
      <c r="Q469" s="58"/>
      <c r="R469" s="58"/>
      <c r="S469" s="58" t="str">
        <f>IFERROR(__xludf.DUMMYFUNCTION("IFERROR((((COUNTIF(FILTER(Data!N:N,Data!B:B=A469),""TRAVERSE""))+(COUNTIF(FILTER(Data!N:N,Data!B:B=A469),""HIGH""))+(COUNTIF(FILTER(Data!N:N,Data!B:B=A469),""MIDDLE""))+(COUNTIF(FILTER(Data!N:N,Data!B:B=A469),""LOW"")))) / (((COUNTIF(Data!B:B, A469)))-(CO"&amp;"UNTIF(FILTER(Data!N:N,Data!B:B=A469),""NONE""))),IF(ISBLANK(A469),"""",0))"),"")</f>
        <v/>
      </c>
      <c r="T469" s="56" t="str">
        <f>IFERROR(__xludf.DUMMYFUNCTION("IFERROR((COUNTIF(FILTER(Data!N:N, Data!B:B=A469),""LOW"")) / (COUNTIF(Data!B:B, A469)),"""")"),"")</f>
        <v/>
      </c>
      <c r="U469" s="59" t="str">
        <f>IFERROR(__xludf.DUMMYFUNCTION("IFERROR((COUNTIF(FILTER(Data!N:N, Data!B:B=A469),""MIDDLE"")) / (COUNTIF(Data!B:B, A469)),"""")"),"")</f>
        <v/>
      </c>
      <c r="V469" s="59" t="str">
        <f>IFERROR(__xludf.DUMMYFUNCTION("IFERROR((COUNTIF(FILTER(Data!N:N, Data!B:B=A469),""HIGH"")) / (COUNTIF(Data!B:B, A469)),"""")"),"")</f>
        <v/>
      </c>
      <c r="W469" s="59" t="str">
        <f>IFERROR(__xludf.DUMMYFUNCTION("IFERROR((COUNTIF(FILTER(Data!N:N, Data!B:B=A469),""TRAVERSE"")) / (COUNTIF(Data!B:B, A469)),"""")"),"")</f>
        <v/>
      </c>
      <c r="X469" s="59"/>
      <c r="Y469" s="45" t="str">
        <f t="shared" si="7"/>
        <v/>
      </c>
      <c r="Z469" s="45" t="str">
        <f t="shared" si="8"/>
        <v/>
      </c>
      <c r="AA469" s="16" t="str">
        <f t="shared" si="9"/>
        <v/>
      </c>
      <c r="AB469" s="16"/>
      <c r="AC469" s="16"/>
      <c r="AD469" s="16"/>
      <c r="AE469" s="16" t="str">
        <f t="shared" si="12"/>
        <v/>
      </c>
      <c r="AF469" s="16" t="str">
        <f t="shared" si="13"/>
        <v/>
      </c>
      <c r="AG469" s="44"/>
      <c r="AH469" s="44"/>
      <c r="AI469" s="44" t="str">
        <f>IFERROR(__xludf.DUMMYFUNCTION("TEXTJOIN("", "",TRUE, FILTER(Data!P:P, Data!B:B=A469))"),"")</f>
        <v/>
      </c>
      <c r="AM469" s="61"/>
      <c r="BC469" s="50"/>
    </row>
    <row r="470">
      <c r="A470" s="14"/>
      <c r="B470" s="55" t="str">
        <f>IFERROR(__xludf.DUMMYFUNCTION("IFERROR(ROUND(
(COUNTIF(FILTER(Data!O:O, Data!B:B=A470), ""Win"")
+ COUNTIF(FILTER(Data!O:O, Data!B:B=A470), {""Tie"",""Results""}))
/ (COUNTIF(Data!B:B, A470)),
1),"""")"),"")</f>
        <v/>
      </c>
      <c r="C470" s="45" t="str">
        <f>IFERROR((SUMIF(Data!B:B, A470, Data!H:H)
/ (COUNTIF(Data!B:B, A470)
)),"")</f>
        <v/>
      </c>
      <c r="D470" s="45" t="str">
        <f>IFERROR((SUMIF(Data!B:B, A470, Data!G:G)
/ (COUNTIF(Data!B:B, A470)
)),"")</f>
        <v/>
      </c>
      <c r="E470" s="45"/>
      <c r="F470" s="45" t="str">
        <f>IFERROR((SUMIF(Data!B:B, A470, Data!J:J)
/ (COUNTIF(Data!B:B, A470)
)),"")</f>
        <v/>
      </c>
      <c r="G470" s="56" t="str">
        <f>IF(A470="","",IFERROR((((((SUMIF(Data!B:B, A470, Data!H:H)+(SUMIF(Data!B:B, A470,Data!G:G)))/(SUMIF(Data!B:B, A470, Data!J:J)))))),0))</f>
        <v/>
      </c>
      <c r="H470" s="45"/>
      <c r="I470" s="45"/>
      <c r="J470" s="45"/>
      <c r="K470" s="45"/>
      <c r="L470" s="45" t="str">
        <f>IFERROR((SUMIF(Data!B:B, A470, Data!L:L)
/ (COUNTIF(Data!B:B, A470)
)),"")</f>
        <v/>
      </c>
      <c r="M470" s="45" t="str">
        <f>IFERROR((SUMIF(Data!B:B, A470, Data!K:K)
/ (COUNTIF(Data!B:B, A470)
)),"")</f>
        <v/>
      </c>
      <c r="N470" s="56"/>
      <c r="O470" s="56" t="str">
        <f>IF(A470="","",IFERROR((((((SUMIF(Data!B:B, A470, Data!H:H)+(SUMIF(Data!B:B, A470,Data!G:G)+(SUMIF(Data!B:B, A470,Data!L:L)+(SUMIF(Data!B:B, A470,Data!K:K)))))/(SUMIF(Data!B:B, A470, Data!M:M)+(SUMIF(Data!B:B, A470, Data!H:H)+(SUMIF(Data!B:B, A470,Data!G:G)+(SUMIF(Data!B:B, A470,Data!K:K)+(SUMIF(Data!B:B, A470,Data!L:L)))))))))),0))</f>
        <v/>
      </c>
      <c r="P470" s="57" t="str">
        <f>IFERROR(__xludf.DUMMYFUNCTION("IFERROR(((COUNTIF(FILTER(Data!N:N,Data!B:B=A470),""TRAVERSE"")*15)+(COUNTIF(FILTER(Data!N:N,Data!B:B=A470),""HIGH"")*10)+(COUNTIF(FILTER(Data!N:N,Data!B:B=A470),""MIDDLE"")*6)+(COUNTIF(FILTER(Data!N:N,Data!B:B=A470),""LOW"")*4)) / (COUNTIF(Data!B:B, A470)"&amp;"),"""")"),"")</f>
        <v/>
      </c>
      <c r="Q470" s="58"/>
      <c r="R470" s="58"/>
      <c r="S470" s="58" t="str">
        <f>IFERROR(__xludf.DUMMYFUNCTION("IFERROR((((COUNTIF(FILTER(Data!N:N,Data!B:B=A470),""TRAVERSE""))+(COUNTIF(FILTER(Data!N:N,Data!B:B=A470),""HIGH""))+(COUNTIF(FILTER(Data!N:N,Data!B:B=A470),""MIDDLE""))+(COUNTIF(FILTER(Data!N:N,Data!B:B=A470),""LOW"")))) / (((COUNTIF(Data!B:B, A470)))-(CO"&amp;"UNTIF(FILTER(Data!N:N,Data!B:B=A470),""NONE""))),IF(ISBLANK(A470),"""",0))"),"")</f>
        <v/>
      </c>
      <c r="T470" s="56" t="str">
        <f>IFERROR(__xludf.DUMMYFUNCTION("IFERROR((COUNTIF(FILTER(Data!N:N, Data!B:B=A470),""LOW"")) / (COUNTIF(Data!B:B, A470)),"""")"),"")</f>
        <v/>
      </c>
      <c r="U470" s="59" t="str">
        <f>IFERROR(__xludf.DUMMYFUNCTION("IFERROR((COUNTIF(FILTER(Data!N:N, Data!B:B=A470),""MIDDLE"")) / (COUNTIF(Data!B:B, A470)),"""")"),"")</f>
        <v/>
      </c>
      <c r="V470" s="59" t="str">
        <f>IFERROR(__xludf.DUMMYFUNCTION("IFERROR((COUNTIF(FILTER(Data!N:N, Data!B:B=A470),""HIGH"")) / (COUNTIF(Data!B:B, A470)),"""")"),"")</f>
        <v/>
      </c>
      <c r="W470" s="59" t="str">
        <f>IFERROR(__xludf.DUMMYFUNCTION("IFERROR((COUNTIF(FILTER(Data!N:N, Data!B:B=A470),""TRAVERSE"")) / (COUNTIF(Data!B:B, A470)),"""")"),"")</f>
        <v/>
      </c>
      <c r="X470" s="59"/>
      <c r="Y470" s="45" t="str">
        <f t="shared" si="7"/>
        <v/>
      </c>
      <c r="Z470" s="45" t="str">
        <f t="shared" si="8"/>
        <v/>
      </c>
      <c r="AA470" s="16" t="str">
        <f t="shared" si="9"/>
        <v/>
      </c>
      <c r="AB470" s="16"/>
      <c r="AC470" s="16"/>
      <c r="AD470" s="16"/>
      <c r="AE470" s="16" t="str">
        <f t="shared" si="12"/>
        <v/>
      </c>
      <c r="AF470" s="16" t="str">
        <f t="shared" si="13"/>
        <v/>
      </c>
      <c r="AG470" s="44"/>
      <c r="AH470" s="44"/>
      <c r="AI470" s="44" t="str">
        <f>IFERROR(__xludf.DUMMYFUNCTION("TEXTJOIN("", "",TRUE, FILTER(Data!P:P, Data!B:B=A470))"),"")</f>
        <v/>
      </c>
      <c r="AM470" s="61"/>
      <c r="BC470" s="50"/>
    </row>
    <row r="471">
      <c r="A471" s="14"/>
      <c r="B471" s="55" t="str">
        <f>IFERROR(__xludf.DUMMYFUNCTION("IFERROR(ROUND(
(COUNTIF(FILTER(Data!O:O, Data!B:B=A471), ""Win"")
+ COUNTIF(FILTER(Data!O:O, Data!B:B=A471), {""Tie"",""Results""}))
/ (COUNTIF(Data!B:B, A471)),
1),"""")"),"")</f>
        <v/>
      </c>
      <c r="C471" s="45" t="str">
        <f>IFERROR((SUMIF(Data!B:B, A471, Data!H:H)
/ (COUNTIF(Data!B:B, A471)
)),"")</f>
        <v/>
      </c>
      <c r="D471" s="45" t="str">
        <f>IFERROR((SUMIF(Data!B:B, A471, Data!G:G)
/ (COUNTIF(Data!B:B, A471)
)),"")</f>
        <v/>
      </c>
      <c r="E471" s="45"/>
      <c r="F471" s="45" t="str">
        <f>IFERROR((SUMIF(Data!B:B, A471, Data!J:J)
/ (COUNTIF(Data!B:B, A471)
)),"")</f>
        <v/>
      </c>
      <c r="G471" s="56" t="str">
        <f>IF(A471="","",IFERROR((((((SUMIF(Data!B:B, A471, Data!H:H)+(SUMIF(Data!B:B, A471,Data!G:G)))/(SUMIF(Data!B:B, A471, Data!J:J)))))),0))</f>
        <v/>
      </c>
      <c r="H471" s="45"/>
      <c r="I471" s="45"/>
      <c r="J471" s="45"/>
      <c r="K471" s="45"/>
      <c r="L471" s="45" t="str">
        <f>IFERROR((SUMIF(Data!B:B, A471, Data!L:L)
/ (COUNTIF(Data!B:B, A471)
)),"")</f>
        <v/>
      </c>
      <c r="M471" s="45" t="str">
        <f>IFERROR((SUMIF(Data!B:B, A471, Data!K:K)
/ (COUNTIF(Data!B:B, A471)
)),"")</f>
        <v/>
      </c>
      <c r="N471" s="56"/>
      <c r="O471" s="56" t="str">
        <f>IF(A471="","",IFERROR((((((SUMIF(Data!B:B, A471, Data!H:H)+(SUMIF(Data!B:B, A471,Data!G:G)+(SUMIF(Data!B:B, A471,Data!L:L)+(SUMIF(Data!B:B, A471,Data!K:K)))))/(SUMIF(Data!B:B, A471, Data!M:M)+(SUMIF(Data!B:B, A471, Data!H:H)+(SUMIF(Data!B:B, A471,Data!G:G)+(SUMIF(Data!B:B, A471,Data!K:K)+(SUMIF(Data!B:B, A471,Data!L:L)))))))))),0))</f>
        <v/>
      </c>
      <c r="P471" s="57" t="str">
        <f>IFERROR(__xludf.DUMMYFUNCTION("IFERROR(((COUNTIF(FILTER(Data!N:N,Data!B:B=A471),""TRAVERSE"")*15)+(COUNTIF(FILTER(Data!N:N,Data!B:B=A471),""HIGH"")*10)+(COUNTIF(FILTER(Data!N:N,Data!B:B=A471),""MIDDLE"")*6)+(COUNTIF(FILTER(Data!N:N,Data!B:B=A471),""LOW"")*4)) / (COUNTIF(Data!B:B, A471)"&amp;"),"""")"),"")</f>
        <v/>
      </c>
      <c r="Q471" s="58"/>
      <c r="R471" s="58"/>
      <c r="S471" s="58" t="str">
        <f>IFERROR(__xludf.DUMMYFUNCTION("IFERROR((((COUNTIF(FILTER(Data!N:N,Data!B:B=A471),""TRAVERSE""))+(COUNTIF(FILTER(Data!N:N,Data!B:B=A471),""HIGH""))+(COUNTIF(FILTER(Data!N:N,Data!B:B=A471),""MIDDLE""))+(COUNTIF(FILTER(Data!N:N,Data!B:B=A471),""LOW"")))) / (((COUNTIF(Data!B:B, A471)))-(CO"&amp;"UNTIF(FILTER(Data!N:N,Data!B:B=A471),""NONE""))),IF(ISBLANK(A471),"""",0))"),"")</f>
        <v/>
      </c>
      <c r="T471" s="56" t="str">
        <f>IFERROR(__xludf.DUMMYFUNCTION("IFERROR((COUNTIF(FILTER(Data!N:N, Data!B:B=A471),""LOW"")) / (COUNTIF(Data!B:B, A471)),"""")"),"")</f>
        <v/>
      </c>
      <c r="U471" s="59" t="str">
        <f>IFERROR(__xludf.DUMMYFUNCTION("IFERROR((COUNTIF(FILTER(Data!N:N, Data!B:B=A471),""MIDDLE"")) / (COUNTIF(Data!B:B, A471)),"""")"),"")</f>
        <v/>
      </c>
      <c r="V471" s="59" t="str">
        <f>IFERROR(__xludf.DUMMYFUNCTION("IFERROR((COUNTIF(FILTER(Data!N:N, Data!B:B=A471),""HIGH"")) / (COUNTIF(Data!B:B, A471)),"""")"),"")</f>
        <v/>
      </c>
      <c r="W471" s="59" t="str">
        <f>IFERROR(__xludf.DUMMYFUNCTION("IFERROR((COUNTIF(FILTER(Data!N:N, Data!B:B=A471),""TRAVERSE"")) / (COUNTIF(Data!B:B, A471)),"""")"),"")</f>
        <v/>
      </c>
      <c r="X471" s="59"/>
      <c r="Y471" s="45" t="str">
        <f t="shared" si="7"/>
        <v/>
      </c>
      <c r="Z471" s="45" t="str">
        <f t="shared" si="8"/>
        <v/>
      </c>
      <c r="AA471" s="16" t="str">
        <f t="shared" si="9"/>
        <v/>
      </c>
      <c r="AB471" s="16"/>
      <c r="AC471" s="16"/>
      <c r="AD471" s="16"/>
      <c r="AE471" s="16" t="str">
        <f t="shared" si="12"/>
        <v/>
      </c>
      <c r="AF471" s="16" t="str">
        <f t="shared" si="13"/>
        <v/>
      </c>
      <c r="AG471" s="44"/>
      <c r="AH471" s="44"/>
      <c r="AI471" s="44" t="str">
        <f>IFERROR(__xludf.DUMMYFUNCTION("TEXTJOIN("", "",TRUE, FILTER(Data!P:P, Data!B:B=A471))"),"")</f>
        <v/>
      </c>
      <c r="AM471" s="61"/>
      <c r="BC471" s="50"/>
    </row>
    <row r="472">
      <c r="A472" s="14"/>
      <c r="B472" s="55" t="str">
        <f>IFERROR(__xludf.DUMMYFUNCTION("IFERROR(ROUND(
(COUNTIF(FILTER(Data!O:O, Data!B:B=A472), ""Win"")
+ COUNTIF(FILTER(Data!O:O, Data!B:B=A472), {""Tie"",""Results""}))
/ (COUNTIF(Data!B:B, A472)),
1),"""")"),"")</f>
        <v/>
      </c>
      <c r="C472" s="45" t="str">
        <f>IFERROR((SUMIF(Data!B:B, A472, Data!H:H)
/ (COUNTIF(Data!B:B, A472)
)),"")</f>
        <v/>
      </c>
      <c r="D472" s="45" t="str">
        <f>IFERROR((SUMIF(Data!B:B, A472, Data!G:G)
/ (COUNTIF(Data!B:B, A472)
)),"")</f>
        <v/>
      </c>
      <c r="E472" s="45"/>
      <c r="F472" s="45" t="str">
        <f>IFERROR((SUMIF(Data!B:B, A472, Data!J:J)
/ (COUNTIF(Data!B:B, A472)
)),"")</f>
        <v/>
      </c>
      <c r="G472" s="56" t="str">
        <f>IF(A472="","",IFERROR((((((SUMIF(Data!B:B, A472, Data!H:H)+(SUMIF(Data!B:B, A472,Data!G:G)))/(SUMIF(Data!B:B, A472, Data!J:J)))))),0))</f>
        <v/>
      </c>
      <c r="H472" s="45"/>
      <c r="I472" s="45"/>
      <c r="J472" s="45"/>
      <c r="K472" s="45"/>
      <c r="L472" s="45" t="str">
        <f>IFERROR((SUMIF(Data!B:B, A472, Data!L:L)
/ (COUNTIF(Data!B:B, A472)
)),"")</f>
        <v/>
      </c>
      <c r="M472" s="45" t="str">
        <f>IFERROR((SUMIF(Data!B:B, A472, Data!K:K)
/ (COUNTIF(Data!B:B, A472)
)),"")</f>
        <v/>
      </c>
      <c r="N472" s="56"/>
      <c r="O472" s="56" t="str">
        <f>IF(A472="","",IFERROR((((((SUMIF(Data!B:B, A472, Data!H:H)+(SUMIF(Data!B:B, A472,Data!G:G)+(SUMIF(Data!B:B, A472,Data!L:L)+(SUMIF(Data!B:B, A472,Data!K:K)))))/(SUMIF(Data!B:B, A472, Data!M:M)+(SUMIF(Data!B:B, A472, Data!H:H)+(SUMIF(Data!B:B, A472,Data!G:G)+(SUMIF(Data!B:B, A472,Data!K:K)+(SUMIF(Data!B:B, A472,Data!L:L)))))))))),0))</f>
        <v/>
      </c>
      <c r="P472" s="57" t="str">
        <f>IFERROR(__xludf.DUMMYFUNCTION("IFERROR(((COUNTIF(FILTER(Data!N:N,Data!B:B=A472),""TRAVERSE"")*15)+(COUNTIF(FILTER(Data!N:N,Data!B:B=A472),""HIGH"")*10)+(COUNTIF(FILTER(Data!N:N,Data!B:B=A472),""MIDDLE"")*6)+(COUNTIF(FILTER(Data!N:N,Data!B:B=A472),""LOW"")*4)) / (COUNTIF(Data!B:B, A472)"&amp;"),"""")"),"")</f>
        <v/>
      </c>
      <c r="Q472" s="58"/>
      <c r="R472" s="58"/>
      <c r="S472" s="58" t="str">
        <f>IFERROR(__xludf.DUMMYFUNCTION("IFERROR((((COUNTIF(FILTER(Data!N:N,Data!B:B=A472),""TRAVERSE""))+(COUNTIF(FILTER(Data!N:N,Data!B:B=A472),""HIGH""))+(COUNTIF(FILTER(Data!N:N,Data!B:B=A472),""MIDDLE""))+(COUNTIF(FILTER(Data!N:N,Data!B:B=A472),""LOW"")))) / (((COUNTIF(Data!B:B, A472)))-(CO"&amp;"UNTIF(FILTER(Data!N:N,Data!B:B=A472),""NONE""))),IF(ISBLANK(A472),"""",0))"),"")</f>
        <v/>
      </c>
      <c r="T472" s="56" t="str">
        <f>IFERROR(__xludf.DUMMYFUNCTION("IFERROR((COUNTIF(FILTER(Data!N:N, Data!B:B=A472),""LOW"")) / (COUNTIF(Data!B:B, A472)),"""")"),"")</f>
        <v/>
      </c>
      <c r="U472" s="59" t="str">
        <f>IFERROR(__xludf.DUMMYFUNCTION("IFERROR((COUNTIF(FILTER(Data!N:N, Data!B:B=A472),""MIDDLE"")) / (COUNTIF(Data!B:B, A472)),"""")"),"")</f>
        <v/>
      </c>
      <c r="V472" s="59" t="str">
        <f>IFERROR(__xludf.DUMMYFUNCTION("IFERROR((COUNTIF(FILTER(Data!N:N, Data!B:B=A472),""HIGH"")) / (COUNTIF(Data!B:B, A472)),"""")"),"")</f>
        <v/>
      </c>
      <c r="W472" s="59" t="str">
        <f>IFERROR(__xludf.DUMMYFUNCTION("IFERROR((COUNTIF(FILTER(Data!N:N, Data!B:B=A472),""TRAVERSE"")) / (COUNTIF(Data!B:B, A472)),"""")"),"")</f>
        <v/>
      </c>
      <c r="X472" s="59"/>
      <c r="Y472" s="45" t="str">
        <f t="shared" si="7"/>
        <v/>
      </c>
      <c r="Z472" s="45" t="str">
        <f t="shared" si="8"/>
        <v/>
      </c>
      <c r="AA472" s="16" t="str">
        <f t="shared" si="9"/>
        <v/>
      </c>
      <c r="AB472" s="16"/>
      <c r="AC472" s="16"/>
      <c r="AD472" s="16"/>
      <c r="AE472" s="16" t="str">
        <f t="shared" si="12"/>
        <v/>
      </c>
      <c r="AF472" s="16" t="str">
        <f t="shared" si="13"/>
        <v/>
      </c>
      <c r="AG472" s="44"/>
      <c r="AH472" s="44"/>
      <c r="AI472" s="44" t="str">
        <f>IFERROR(__xludf.DUMMYFUNCTION("TEXTJOIN("", "",TRUE, FILTER(Data!P:P, Data!B:B=A472))"),"")</f>
        <v/>
      </c>
      <c r="AM472" s="61"/>
      <c r="BC472" s="50"/>
    </row>
    <row r="473">
      <c r="A473" s="14"/>
      <c r="B473" s="55" t="str">
        <f>IFERROR(__xludf.DUMMYFUNCTION("IFERROR(ROUND(
(COUNTIF(FILTER(Data!O:O, Data!B:B=A473), ""Win"")
+ COUNTIF(FILTER(Data!O:O, Data!B:B=A473), {""Tie"",""Results""}))
/ (COUNTIF(Data!B:B, A473)),
1),"""")"),"")</f>
        <v/>
      </c>
      <c r="C473" s="45" t="str">
        <f>IFERROR((SUMIF(Data!B:B, A473, Data!H:H)
/ (COUNTIF(Data!B:B, A473)
)),"")</f>
        <v/>
      </c>
      <c r="D473" s="45" t="str">
        <f>IFERROR((SUMIF(Data!B:B, A473, Data!G:G)
/ (COUNTIF(Data!B:B, A473)
)),"")</f>
        <v/>
      </c>
      <c r="E473" s="45"/>
      <c r="F473" s="45" t="str">
        <f>IFERROR((SUMIF(Data!B:B, A473, Data!J:J)
/ (COUNTIF(Data!B:B, A473)
)),"")</f>
        <v/>
      </c>
      <c r="G473" s="56" t="str">
        <f>IF(A473="","",IFERROR((((((SUMIF(Data!B:B, A473, Data!H:H)+(SUMIF(Data!B:B, A473,Data!G:G)))/(SUMIF(Data!B:B, A473, Data!J:J)))))),0))</f>
        <v/>
      </c>
      <c r="H473" s="45"/>
      <c r="I473" s="45"/>
      <c r="J473" s="45"/>
      <c r="K473" s="45"/>
      <c r="L473" s="45" t="str">
        <f>IFERROR((SUMIF(Data!B:B, A473, Data!L:L)
/ (COUNTIF(Data!B:B, A473)
)),"")</f>
        <v/>
      </c>
      <c r="M473" s="45" t="str">
        <f>IFERROR((SUMIF(Data!B:B, A473, Data!K:K)
/ (COUNTIF(Data!B:B, A473)
)),"")</f>
        <v/>
      </c>
      <c r="N473" s="56"/>
      <c r="O473" s="56" t="str">
        <f>IF(A473="","",IFERROR((((((SUMIF(Data!B:B, A473, Data!H:H)+(SUMIF(Data!B:B, A473,Data!G:G)+(SUMIF(Data!B:B, A473,Data!L:L)+(SUMIF(Data!B:B, A473,Data!K:K)))))/(SUMIF(Data!B:B, A473, Data!M:M)+(SUMIF(Data!B:B, A473, Data!H:H)+(SUMIF(Data!B:B, A473,Data!G:G)+(SUMIF(Data!B:B, A473,Data!K:K)+(SUMIF(Data!B:B, A473,Data!L:L)))))))))),0))</f>
        <v/>
      </c>
      <c r="P473" s="57" t="str">
        <f>IFERROR(__xludf.DUMMYFUNCTION("IFERROR(((COUNTIF(FILTER(Data!N:N,Data!B:B=A473),""TRAVERSE"")*15)+(COUNTIF(FILTER(Data!N:N,Data!B:B=A473),""HIGH"")*10)+(COUNTIF(FILTER(Data!N:N,Data!B:B=A473),""MIDDLE"")*6)+(COUNTIF(FILTER(Data!N:N,Data!B:B=A473),""LOW"")*4)) / (COUNTIF(Data!B:B, A473)"&amp;"),"""")"),"")</f>
        <v/>
      </c>
      <c r="Q473" s="58"/>
      <c r="R473" s="58"/>
      <c r="S473" s="58" t="str">
        <f>IFERROR(__xludf.DUMMYFUNCTION("IFERROR((((COUNTIF(FILTER(Data!N:N,Data!B:B=A473),""TRAVERSE""))+(COUNTIF(FILTER(Data!N:N,Data!B:B=A473),""HIGH""))+(COUNTIF(FILTER(Data!N:N,Data!B:B=A473),""MIDDLE""))+(COUNTIF(FILTER(Data!N:N,Data!B:B=A473),""LOW"")))) / (((COUNTIF(Data!B:B, A473)))-(CO"&amp;"UNTIF(FILTER(Data!N:N,Data!B:B=A473),""NONE""))),IF(ISBLANK(A473),"""",0))"),"")</f>
        <v/>
      </c>
      <c r="T473" s="56" t="str">
        <f>IFERROR(__xludf.DUMMYFUNCTION("IFERROR((COUNTIF(FILTER(Data!N:N, Data!B:B=A473),""LOW"")) / (COUNTIF(Data!B:B, A473)),"""")"),"")</f>
        <v/>
      </c>
      <c r="U473" s="59" t="str">
        <f>IFERROR(__xludf.DUMMYFUNCTION("IFERROR((COUNTIF(FILTER(Data!N:N, Data!B:B=A473),""MIDDLE"")) / (COUNTIF(Data!B:B, A473)),"""")"),"")</f>
        <v/>
      </c>
      <c r="V473" s="59" t="str">
        <f>IFERROR(__xludf.DUMMYFUNCTION("IFERROR((COUNTIF(FILTER(Data!N:N, Data!B:B=A473),""HIGH"")) / (COUNTIF(Data!B:B, A473)),"""")"),"")</f>
        <v/>
      </c>
      <c r="W473" s="59" t="str">
        <f>IFERROR(__xludf.DUMMYFUNCTION("IFERROR((COUNTIF(FILTER(Data!N:N, Data!B:B=A473),""TRAVERSE"")) / (COUNTIF(Data!B:B, A473)),"""")"),"")</f>
        <v/>
      </c>
      <c r="X473" s="59"/>
      <c r="Y473" s="45" t="str">
        <f t="shared" si="7"/>
        <v/>
      </c>
      <c r="Z473" s="45" t="str">
        <f t="shared" si="8"/>
        <v/>
      </c>
      <c r="AA473" s="16" t="str">
        <f t="shared" si="9"/>
        <v/>
      </c>
      <c r="AB473" s="16"/>
      <c r="AC473" s="16"/>
      <c r="AD473" s="16"/>
      <c r="AE473" s="16" t="str">
        <f t="shared" si="12"/>
        <v/>
      </c>
      <c r="AF473" s="16" t="str">
        <f t="shared" si="13"/>
        <v/>
      </c>
      <c r="AG473" s="44"/>
      <c r="AH473" s="44"/>
      <c r="AI473" s="44" t="str">
        <f>IFERROR(__xludf.DUMMYFUNCTION("TEXTJOIN("", "",TRUE, FILTER(Data!P:P, Data!B:B=A473))"),"")</f>
        <v/>
      </c>
      <c r="AM473" s="61"/>
      <c r="BC473" s="50"/>
    </row>
    <row r="474">
      <c r="A474" s="14"/>
      <c r="B474" s="55" t="str">
        <f>IFERROR(__xludf.DUMMYFUNCTION("IFERROR(ROUND(
(COUNTIF(FILTER(Data!O:O, Data!B:B=A474), ""Win"")
+ COUNTIF(FILTER(Data!O:O, Data!B:B=A474), {""Tie"",""Results""}))
/ (COUNTIF(Data!B:B, A474)),
1),"""")"),"")</f>
        <v/>
      </c>
      <c r="C474" s="45" t="str">
        <f>IFERROR((SUMIF(Data!B:B, A474, Data!H:H)
/ (COUNTIF(Data!B:B, A474)
)),"")</f>
        <v/>
      </c>
      <c r="D474" s="45" t="str">
        <f>IFERROR((SUMIF(Data!B:B, A474, Data!G:G)
/ (COUNTIF(Data!B:B, A474)
)),"")</f>
        <v/>
      </c>
      <c r="E474" s="45"/>
      <c r="F474" s="45" t="str">
        <f>IFERROR((SUMIF(Data!B:B, A474, Data!J:J)
/ (COUNTIF(Data!B:B, A474)
)),"")</f>
        <v/>
      </c>
      <c r="G474" s="56" t="str">
        <f>IF(A474="","",IFERROR((((((SUMIF(Data!B:B, A474, Data!H:H)+(SUMIF(Data!B:B, A474,Data!G:G)))/(SUMIF(Data!B:B, A474, Data!J:J)))))),0))</f>
        <v/>
      </c>
      <c r="H474" s="45"/>
      <c r="I474" s="45"/>
      <c r="J474" s="45"/>
      <c r="K474" s="45"/>
      <c r="L474" s="45" t="str">
        <f>IFERROR((SUMIF(Data!B:B, A474, Data!L:L)
/ (COUNTIF(Data!B:B, A474)
)),"")</f>
        <v/>
      </c>
      <c r="M474" s="45" t="str">
        <f>IFERROR((SUMIF(Data!B:B, A474, Data!K:K)
/ (COUNTIF(Data!B:B, A474)
)),"")</f>
        <v/>
      </c>
      <c r="N474" s="56"/>
      <c r="O474" s="56" t="str">
        <f>IF(A474="","",IFERROR((((((SUMIF(Data!B:B, A474, Data!H:H)+(SUMIF(Data!B:B, A474,Data!G:G)+(SUMIF(Data!B:B, A474,Data!L:L)+(SUMIF(Data!B:B, A474,Data!K:K)))))/(SUMIF(Data!B:B, A474, Data!M:M)+(SUMIF(Data!B:B, A474, Data!H:H)+(SUMIF(Data!B:B, A474,Data!G:G)+(SUMIF(Data!B:B, A474,Data!K:K)+(SUMIF(Data!B:B, A474,Data!L:L)))))))))),0))</f>
        <v/>
      </c>
      <c r="P474" s="57" t="str">
        <f>IFERROR(__xludf.DUMMYFUNCTION("IFERROR(((COUNTIF(FILTER(Data!N:N,Data!B:B=A474),""TRAVERSE"")*15)+(COUNTIF(FILTER(Data!N:N,Data!B:B=A474),""HIGH"")*10)+(COUNTIF(FILTER(Data!N:N,Data!B:B=A474),""MIDDLE"")*6)+(COUNTIF(FILTER(Data!N:N,Data!B:B=A474),""LOW"")*4)) / (COUNTIF(Data!B:B, A474)"&amp;"),"""")"),"")</f>
        <v/>
      </c>
      <c r="Q474" s="58"/>
      <c r="R474" s="58"/>
      <c r="S474" s="58" t="str">
        <f>IFERROR(__xludf.DUMMYFUNCTION("IFERROR((((COUNTIF(FILTER(Data!N:N,Data!B:B=A474),""TRAVERSE""))+(COUNTIF(FILTER(Data!N:N,Data!B:B=A474),""HIGH""))+(COUNTIF(FILTER(Data!N:N,Data!B:B=A474),""MIDDLE""))+(COUNTIF(FILTER(Data!N:N,Data!B:B=A474),""LOW"")))) / (((COUNTIF(Data!B:B, A474)))-(CO"&amp;"UNTIF(FILTER(Data!N:N,Data!B:B=A474),""NONE""))),IF(ISBLANK(A474),"""",0))"),"")</f>
        <v/>
      </c>
      <c r="T474" s="56" t="str">
        <f>IFERROR(__xludf.DUMMYFUNCTION("IFERROR((COUNTIF(FILTER(Data!N:N, Data!B:B=A474),""LOW"")) / (COUNTIF(Data!B:B, A474)),"""")"),"")</f>
        <v/>
      </c>
      <c r="U474" s="59" t="str">
        <f>IFERROR(__xludf.DUMMYFUNCTION("IFERROR((COUNTIF(FILTER(Data!N:N, Data!B:B=A474),""MIDDLE"")) / (COUNTIF(Data!B:B, A474)),"""")"),"")</f>
        <v/>
      </c>
      <c r="V474" s="59" t="str">
        <f>IFERROR(__xludf.DUMMYFUNCTION("IFERROR((COUNTIF(FILTER(Data!N:N, Data!B:B=A474),""HIGH"")) / (COUNTIF(Data!B:B, A474)),"""")"),"")</f>
        <v/>
      </c>
      <c r="W474" s="59" t="str">
        <f>IFERROR(__xludf.DUMMYFUNCTION("IFERROR((COUNTIF(FILTER(Data!N:N, Data!B:B=A474),""TRAVERSE"")) / (COUNTIF(Data!B:B, A474)),"""")"),"")</f>
        <v/>
      </c>
      <c r="X474" s="59"/>
      <c r="Y474" s="45" t="str">
        <f t="shared" si="7"/>
        <v/>
      </c>
      <c r="Z474" s="45" t="str">
        <f t="shared" si="8"/>
        <v/>
      </c>
      <c r="AA474" s="16" t="str">
        <f t="shared" si="9"/>
        <v/>
      </c>
      <c r="AB474" s="16"/>
      <c r="AC474" s="16"/>
      <c r="AD474" s="16"/>
      <c r="AE474" s="16" t="str">
        <f t="shared" si="12"/>
        <v/>
      </c>
      <c r="AF474" s="16" t="str">
        <f t="shared" si="13"/>
        <v/>
      </c>
      <c r="AG474" s="44"/>
      <c r="AH474" s="44"/>
      <c r="AI474" s="44" t="str">
        <f>IFERROR(__xludf.DUMMYFUNCTION("TEXTJOIN("", "",TRUE, FILTER(Data!P:P, Data!B:B=A474))"),"")</f>
        <v/>
      </c>
      <c r="AM474" s="61"/>
      <c r="BC474" s="50"/>
    </row>
    <row r="475">
      <c r="A475" s="14"/>
      <c r="B475" s="55" t="str">
        <f>IFERROR(__xludf.DUMMYFUNCTION("IFERROR(ROUND(
(COUNTIF(FILTER(Data!O:O, Data!B:B=A475), ""Win"")
+ COUNTIF(FILTER(Data!O:O, Data!B:B=A475), {""Tie"",""Results""}))
/ (COUNTIF(Data!B:B, A475)),
1),"""")"),"")</f>
        <v/>
      </c>
      <c r="C475" s="45" t="str">
        <f>IFERROR((SUMIF(Data!B:B, A475, Data!H:H)
/ (COUNTIF(Data!B:B, A475)
)),"")</f>
        <v/>
      </c>
      <c r="D475" s="45" t="str">
        <f>IFERROR((SUMIF(Data!B:B, A475, Data!G:G)
/ (COUNTIF(Data!B:B, A475)
)),"")</f>
        <v/>
      </c>
      <c r="E475" s="45"/>
      <c r="F475" s="45" t="str">
        <f>IFERROR((SUMIF(Data!B:B, A475, Data!J:J)
/ (COUNTIF(Data!B:B, A475)
)),"")</f>
        <v/>
      </c>
      <c r="G475" s="56" t="str">
        <f>IF(A475="","",IFERROR((((((SUMIF(Data!B:B, A475, Data!H:H)+(SUMIF(Data!B:B, A475,Data!G:G)))/(SUMIF(Data!B:B, A475, Data!J:J)))))),0))</f>
        <v/>
      </c>
      <c r="H475" s="45"/>
      <c r="I475" s="45"/>
      <c r="J475" s="45"/>
      <c r="K475" s="45"/>
      <c r="L475" s="45" t="str">
        <f>IFERROR((SUMIF(Data!B:B, A475, Data!L:L)
/ (COUNTIF(Data!B:B, A475)
)),"")</f>
        <v/>
      </c>
      <c r="M475" s="45" t="str">
        <f>IFERROR((SUMIF(Data!B:B, A475, Data!K:K)
/ (COUNTIF(Data!B:B, A475)
)),"")</f>
        <v/>
      </c>
      <c r="N475" s="56"/>
      <c r="O475" s="56" t="str">
        <f>IF(A475="","",IFERROR((((((SUMIF(Data!B:B, A475, Data!H:H)+(SUMIF(Data!B:B, A475,Data!G:G)+(SUMIF(Data!B:B, A475,Data!L:L)+(SUMIF(Data!B:B, A475,Data!K:K)))))/(SUMIF(Data!B:B, A475, Data!M:M)+(SUMIF(Data!B:B, A475, Data!H:H)+(SUMIF(Data!B:B, A475,Data!G:G)+(SUMIF(Data!B:B, A475,Data!K:K)+(SUMIF(Data!B:B, A475,Data!L:L)))))))))),0))</f>
        <v/>
      </c>
      <c r="P475" s="57" t="str">
        <f>IFERROR(__xludf.DUMMYFUNCTION("IFERROR(((COUNTIF(FILTER(Data!N:N,Data!B:B=A475),""TRAVERSE"")*15)+(COUNTIF(FILTER(Data!N:N,Data!B:B=A475),""HIGH"")*10)+(COUNTIF(FILTER(Data!N:N,Data!B:B=A475),""MIDDLE"")*6)+(COUNTIF(FILTER(Data!N:N,Data!B:B=A475),""LOW"")*4)) / (COUNTIF(Data!B:B, A475)"&amp;"),"""")"),"")</f>
        <v/>
      </c>
      <c r="Q475" s="58"/>
      <c r="R475" s="58"/>
      <c r="S475" s="58" t="str">
        <f>IFERROR(__xludf.DUMMYFUNCTION("IFERROR((((COUNTIF(FILTER(Data!N:N,Data!B:B=A475),""TRAVERSE""))+(COUNTIF(FILTER(Data!N:N,Data!B:B=A475),""HIGH""))+(COUNTIF(FILTER(Data!N:N,Data!B:B=A475),""MIDDLE""))+(COUNTIF(FILTER(Data!N:N,Data!B:B=A475),""LOW"")))) / (((COUNTIF(Data!B:B, A475)))-(CO"&amp;"UNTIF(FILTER(Data!N:N,Data!B:B=A475),""NONE""))),IF(ISBLANK(A475),"""",0))"),"")</f>
        <v/>
      </c>
      <c r="T475" s="56" t="str">
        <f>IFERROR(__xludf.DUMMYFUNCTION("IFERROR((COUNTIF(FILTER(Data!N:N, Data!B:B=A475),""LOW"")) / (COUNTIF(Data!B:B, A475)),"""")"),"")</f>
        <v/>
      </c>
      <c r="U475" s="59" t="str">
        <f>IFERROR(__xludf.DUMMYFUNCTION("IFERROR((COUNTIF(FILTER(Data!N:N, Data!B:B=A475),""MIDDLE"")) / (COUNTIF(Data!B:B, A475)),"""")"),"")</f>
        <v/>
      </c>
      <c r="V475" s="59" t="str">
        <f>IFERROR(__xludf.DUMMYFUNCTION("IFERROR((COUNTIF(FILTER(Data!N:N, Data!B:B=A475),""HIGH"")) / (COUNTIF(Data!B:B, A475)),"""")"),"")</f>
        <v/>
      </c>
      <c r="W475" s="59" t="str">
        <f>IFERROR(__xludf.DUMMYFUNCTION("IFERROR((COUNTIF(FILTER(Data!N:N, Data!B:B=A475),""TRAVERSE"")) / (COUNTIF(Data!B:B, A475)),"""")"),"")</f>
        <v/>
      </c>
      <c r="X475" s="59"/>
      <c r="Y475" s="45" t="str">
        <f t="shared" si="7"/>
        <v/>
      </c>
      <c r="Z475" s="45" t="str">
        <f t="shared" si="8"/>
        <v/>
      </c>
      <c r="AA475" s="16" t="str">
        <f t="shared" si="9"/>
        <v/>
      </c>
      <c r="AB475" s="16"/>
      <c r="AC475" s="16"/>
      <c r="AD475" s="16"/>
      <c r="AE475" s="16" t="str">
        <f t="shared" si="12"/>
        <v/>
      </c>
      <c r="AF475" s="16" t="str">
        <f t="shared" si="13"/>
        <v/>
      </c>
      <c r="AG475" s="44"/>
      <c r="AH475" s="44"/>
      <c r="AI475" s="44" t="str">
        <f>IFERROR(__xludf.DUMMYFUNCTION("TEXTJOIN("", "",TRUE, FILTER(Data!P:P, Data!B:B=A475))"),"")</f>
        <v/>
      </c>
      <c r="AM475" s="61"/>
      <c r="BC475" s="50"/>
    </row>
    <row r="476">
      <c r="A476" s="14"/>
      <c r="B476" s="55" t="str">
        <f>IFERROR(__xludf.DUMMYFUNCTION("IFERROR(ROUND(
(COUNTIF(FILTER(Data!O:O, Data!B:B=A476), ""Win"")
+ COUNTIF(FILTER(Data!O:O, Data!B:B=A476), {""Tie"",""Results""}))
/ (COUNTIF(Data!B:B, A476)),
1),"""")"),"")</f>
        <v/>
      </c>
      <c r="C476" s="45" t="str">
        <f>IFERROR((SUMIF(Data!B:B, A476, Data!H:H)
/ (COUNTIF(Data!B:B, A476)
)),"")</f>
        <v/>
      </c>
      <c r="D476" s="45" t="str">
        <f>IFERROR((SUMIF(Data!B:B, A476, Data!G:G)
/ (COUNTIF(Data!B:B, A476)
)),"")</f>
        <v/>
      </c>
      <c r="E476" s="45"/>
      <c r="F476" s="45" t="str">
        <f>IFERROR((SUMIF(Data!B:B, A476, Data!J:J)
/ (COUNTIF(Data!B:B, A476)
)),"")</f>
        <v/>
      </c>
      <c r="G476" s="56" t="str">
        <f>IF(A476="","",IFERROR((((((SUMIF(Data!B:B, A476, Data!H:H)+(SUMIF(Data!B:B, A476,Data!G:G)))/(SUMIF(Data!B:B, A476, Data!J:J)))))),0))</f>
        <v/>
      </c>
      <c r="H476" s="45"/>
      <c r="I476" s="45"/>
      <c r="J476" s="45"/>
      <c r="K476" s="45"/>
      <c r="L476" s="45" t="str">
        <f>IFERROR((SUMIF(Data!B:B, A476, Data!L:L)
/ (COUNTIF(Data!B:B, A476)
)),"")</f>
        <v/>
      </c>
      <c r="M476" s="45" t="str">
        <f>IFERROR((SUMIF(Data!B:B, A476, Data!K:K)
/ (COUNTIF(Data!B:B, A476)
)),"")</f>
        <v/>
      </c>
      <c r="N476" s="56"/>
      <c r="O476" s="56" t="str">
        <f>IF(A476="","",IFERROR((((((SUMIF(Data!B:B, A476, Data!H:H)+(SUMIF(Data!B:B, A476,Data!G:G)+(SUMIF(Data!B:B, A476,Data!L:L)+(SUMIF(Data!B:B, A476,Data!K:K)))))/(SUMIF(Data!B:B, A476, Data!M:M)+(SUMIF(Data!B:B, A476, Data!H:H)+(SUMIF(Data!B:B, A476,Data!G:G)+(SUMIF(Data!B:B, A476,Data!K:K)+(SUMIF(Data!B:B, A476,Data!L:L)))))))))),0))</f>
        <v/>
      </c>
      <c r="P476" s="57" t="str">
        <f>IFERROR(__xludf.DUMMYFUNCTION("IFERROR(((COUNTIF(FILTER(Data!N:N,Data!B:B=A476),""TRAVERSE"")*15)+(COUNTIF(FILTER(Data!N:N,Data!B:B=A476),""HIGH"")*10)+(COUNTIF(FILTER(Data!N:N,Data!B:B=A476),""MIDDLE"")*6)+(COUNTIF(FILTER(Data!N:N,Data!B:B=A476),""LOW"")*4)) / (COUNTIF(Data!B:B, A476)"&amp;"),"""")"),"")</f>
        <v/>
      </c>
      <c r="Q476" s="58"/>
      <c r="R476" s="58"/>
      <c r="S476" s="58" t="str">
        <f>IFERROR(__xludf.DUMMYFUNCTION("IFERROR((((COUNTIF(FILTER(Data!N:N,Data!B:B=A476),""TRAVERSE""))+(COUNTIF(FILTER(Data!N:N,Data!B:B=A476),""HIGH""))+(COUNTIF(FILTER(Data!N:N,Data!B:B=A476),""MIDDLE""))+(COUNTIF(FILTER(Data!N:N,Data!B:B=A476),""LOW"")))) / (((COUNTIF(Data!B:B, A476)))-(CO"&amp;"UNTIF(FILTER(Data!N:N,Data!B:B=A476),""NONE""))),IF(ISBLANK(A476),"""",0))"),"")</f>
        <v/>
      </c>
      <c r="T476" s="56" t="str">
        <f>IFERROR(__xludf.DUMMYFUNCTION("IFERROR((COUNTIF(FILTER(Data!N:N, Data!B:B=A476),""LOW"")) / (COUNTIF(Data!B:B, A476)),"""")"),"")</f>
        <v/>
      </c>
      <c r="U476" s="59" t="str">
        <f>IFERROR(__xludf.DUMMYFUNCTION("IFERROR((COUNTIF(FILTER(Data!N:N, Data!B:B=A476),""MIDDLE"")) / (COUNTIF(Data!B:B, A476)),"""")"),"")</f>
        <v/>
      </c>
      <c r="V476" s="59" t="str">
        <f>IFERROR(__xludf.DUMMYFUNCTION("IFERROR((COUNTIF(FILTER(Data!N:N, Data!B:B=A476),""HIGH"")) / (COUNTIF(Data!B:B, A476)),"""")"),"")</f>
        <v/>
      </c>
      <c r="W476" s="59" t="str">
        <f>IFERROR(__xludf.DUMMYFUNCTION("IFERROR((COUNTIF(FILTER(Data!N:N, Data!B:B=A476),""TRAVERSE"")) / (COUNTIF(Data!B:B, A476)),"""")"),"")</f>
        <v/>
      </c>
      <c r="X476" s="59"/>
      <c r="Y476" s="45" t="str">
        <f t="shared" si="7"/>
        <v/>
      </c>
      <c r="Z476" s="45" t="str">
        <f t="shared" si="8"/>
        <v/>
      </c>
      <c r="AA476" s="16" t="str">
        <f t="shared" si="9"/>
        <v/>
      </c>
      <c r="AB476" s="16"/>
      <c r="AC476" s="16"/>
      <c r="AD476" s="16"/>
      <c r="AE476" s="16" t="str">
        <f t="shared" si="12"/>
        <v/>
      </c>
      <c r="AF476" s="16" t="str">
        <f t="shared" si="13"/>
        <v/>
      </c>
      <c r="AG476" s="44"/>
      <c r="AH476" s="44"/>
      <c r="AI476" s="44" t="str">
        <f>IFERROR(__xludf.DUMMYFUNCTION("TEXTJOIN("", "",TRUE, FILTER(Data!P:P, Data!B:B=A476))"),"")</f>
        <v/>
      </c>
      <c r="AM476" s="61"/>
      <c r="BC476" s="50"/>
    </row>
    <row r="477">
      <c r="A477" s="14"/>
      <c r="B477" s="55" t="str">
        <f>IFERROR(__xludf.DUMMYFUNCTION("IFERROR(ROUND(
(COUNTIF(FILTER(Data!O:O, Data!B:B=A477), ""Win"")
+ COUNTIF(FILTER(Data!O:O, Data!B:B=A477), {""Tie"",""Results""}))
/ (COUNTIF(Data!B:B, A477)),
1),"""")"),"")</f>
        <v/>
      </c>
      <c r="C477" s="45" t="str">
        <f>IFERROR((SUMIF(Data!B:B, A477, Data!H:H)
/ (COUNTIF(Data!B:B, A477)
)),"")</f>
        <v/>
      </c>
      <c r="D477" s="45" t="str">
        <f>IFERROR((SUMIF(Data!B:B, A477, Data!G:G)
/ (COUNTIF(Data!B:B, A477)
)),"")</f>
        <v/>
      </c>
      <c r="E477" s="45"/>
      <c r="F477" s="45" t="str">
        <f>IFERROR((SUMIF(Data!B:B, A477, Data!J:J)
/ (COUNTIF(Data!B:B, A477)
)),"")</f>
        <v/>
      </c>
      <c r="G477" s="56" t="str">
        <f>IF(A477="","",IFERROR((((((SUMIF(Data!B:B, A477, Data!H:H)+(SUMIF(Data!B:B, A477,Data!G:G)))/(SUMIF(Data!B:B, A477, Data!J:J)))))),0))</f>
        <v/>
      </c>
      <c r="H477" s="45"/>
      <c r="I477" s="45"/>
      <c r="J477" s="45"/>
      <c r="K477" s="45"/>
      <c r="L477" s="45" t="str">
        <f>IFERROR((SUMIF(Data!B:B, A477, Data!L:L)
/ (COUNTIF(Data!B:B, A477)
)),"")</f>
        <v/>
      </c>
      <c r="M477" s="45" t="str">
        <f>IFERROR((SUMIF(Data!B:B, A477, Data!K:K)
/ (COUNTIF(Data!B:B, A477)
)),"")</f>
        <v/>
      </c>
      <c r="N477" s="56"/>
      <c r="O477" s="56" t="str">
        <f>IF(A477="","",IFERROR((((((SUMIF(Data!B:B, A477, Data!H:H)+(SUMIF(Data!B:B, A477,Data!G:G)+(SUMIF(Data!B:B, A477,Data!L:L)+(SUMIF(Data!B:B, A477,Data!K:K)))))/(SUMIF(Data!B:B, A477, Data!M:M)+(SUMIF(Data!B:B, A477, Data!H:H)+(SUMIF(Data!B:B, A477,Data!G:G)+(SUMIF(Data!B:B, A477,Data!K:K)+(SUMIF(Data!B:B, A477,Data!L:L)))))))))),0))</f>
        <v/>
      </c>
      <c r="P477" s="57" t="str">
        <f>IFERROR(__xludf.DUMMYFUNCTION("IFERROR(((COUNTIF(FILTER(Data!N:N,Data!B:B=A477),""TRAVERSE"")*15)+(COUNTIF(FILTER(Data!N:N,Data!B:B=A477),""HIGH"")*10)+(COUNTIF(FILTER(Data!N:N,Data!B:B=A477),""MIDDLE"")*6)+(COUNTIF(FILTER(Data!N:N,Data!B:B=A477),""LOW"")*4)) / (COUNTIF(Data!B:B, A477)"&amp;"),"""")"),"")</f>
        <v/>
      </c>
      <c r="Q477" s="58"/>
      <c r="R477" s="58"/>
      <c r="S477" s="58" t="str">
        <f>IFERROR(__xludf.DUMMYFUNCTION("IFERROR((((COUNTIF(FILTER(Data!N:N,Data!B:B=A477),""TRAVERSE""))+(COUNTIF(FILTER(Data!N:N,Data!B:B=A477),""HIGH""))+(COUNTIF(FILTER(Data!N:N,Data!B:B=A477),""MIDDLE""))+(COUNTIF(FILTER(Data!N:N,Data!B:B=A477),""LOW"")))) / (((COUNTIF(Data!B:B, A477)))-(CO"&amp;"UNTIF(FILTER(Data!N:N,Data!B:B=A477),""NONE""))),IF(ISBLANK(A477),"""",0))"),"")</f>
        <v/>
      </c>
      <c r="T477" s="56" t="str">
        <f>IFERROR(__xludf.DUMMYFUNCTION("IFERROR((COUNTIF(FILTER(Data!N:N, Data!B:B=A477),""LOW"")) / (COUNTIF(Data!B:B, A477)),"""")"),"")</f>
        <v/>
      </c>
      <c r="U477" s="59" t="str">
        <f>IFERROR(__xludf.DUMMYFUNCTION("IFERROR((COUNTIF(FILTER(Data!N:N, Data!B:B=A477),""MIDDLE"")) / (COUNTIF(Data!B:B, A477)),"""")"),"")</f>
        <v/>
      </c>
      <c r="V477" s="59" t="str">
        <f>IFERROR(__xludf.DUMMYFUNCTION("IFERROR((COUNTIF(FILTER(Data!N:N, Data!B:B=A477),""HIGH"")) / (COUNTIF(Data!B:B, A477)),"""")"),"")</f>
        <v/>
      </c>
      <c r="W477" s="59" t="str">
        <f>IFERROR(__xludf.DUMMYFUNCTION("IFERROR((COUNTIF(FILTER(Data!N:N, Data!B:B=A477),""TRAVERSE"")) / (COUNTIF(Data!B:B, A477)),"""")"),"")</f>
        <v/>
      </c>
      <c r="X477" s="59"/>
      <c r="Y477" s="45" t="str">
        <f t="shared" si="7"/>
        <v/>
      </c>
      <c r="Z477" s="45" t="str">
        <f t="shared" si="8"/>
        <v/>
      </c>
      <c r="AA477" s="16" t="str">
        <f t="shared" si="9"/>
        <v/>
      </c>
      <c r="AB477" s="16"/>
      <c r="AC477" s="16"/>
      <c r="AD477" s="16"/>
      <c r="AE477" s="16" t="str">
        <f t="shared" si="12"/>
        <v/>
      </c>
      <c r="AF477" s="16" t="str">
        <f t="shared" si="13"/>
        <v/>
      </c>
      <c r="AG477" s="44"/>
      <c r="AH477" s="44"/>
      <c r="AI477" s="44" t="str">
        <f>IFERROR(__xludf.DUMMYFUNCTION("TEXTJOIN("", "",TRUE, FILTER(Data!P:P, Data!B:B=A477))"),"")</f>
        <v/>
      </c>
      <c r="AM477" s="61"/>
      <c r="BC477" s="50"/>
    </row>
    <row r="478">
      <c r="A478" s="14"/>
      <c r="B478" s="55" t="str">
        <f>IFERROR(__xludf.DUMMYFUNCTION("IFERROR(ROUND(
(COUNTIF(FILTER(Data!O:O, Data!B:B=A478), ""Win"")
+ COUNTIF(FILTER(Data!O:O, Data!B:B=A478), {""Tie"",""Results""}))
/ (COUNTIF(Data!B:B, A478)),
1),"""")"),"")</f>
        <v/>
      </c>
      <c r="C478" s="45" t="str">
        <f>IFERROR((SUMIF(Data!B:B, A478, Data!H:H)
/ (COUNTIF(Data!B:B, A478)
)),"")</f>
        <v/>
      </c>
      <c r="D478" s="45" t="str">
        <f>IFERROR((SUMIF(Data!B:B, A478, Data!G:G)
/ (COUNTIF(Data!B:B, A478)
)),"")</f>
        <v/>
      </c>
      <c r="E478" s="45"/>
      <c r="F478" s="45" t="str">
        <f>IFERROR((SUMIF(Data!B:B, A478, Data!J:J)
/ (COUNTIF(Data!B:B, A478)
)),"")</f>
        <v/>
      </c>
      <c r="G478" s="56" t="str">
        <f>IF(A478="","",IFERROR((((((SUMIF(Data!B:B, A478, Data!H:H)+(SUMIF(Data!B:B, A478,Data!G:G)))/(SUMIF(Data!B:B, A478, Data!J:J)))))),0))</f>
        <v/>
      </c>
      <c r="H478" s="45"/>
      <c r="I478" s="45"/>
      <c r="J478" s="45"/>
      <c r="K478" s="45"/>
      <c r="L478" s="45" t="str">
        <f>IFERROR((SUMIF(Data!B:B, A478, Data!L:L)
/ (COUNTIF(Data!B:B, A478)
)),"")</f>
        <v/>
      </c>
      <c r="M478" s="45" t="str">
        <f>IFERROR((SUMIF(Data!B:B, A478, Data!K:K)
/ (COUNTIF(Data!B:B, A478)
)),"")</f>
        <v/>
      </c>
      <c r="N478" s="56"/>
      <c r="O478" s="56" t="str">
        <f>IF(A478="","",IFERROR((((((SUMIF(Data!B:B, A478, Data!H:H)+(SUMIF(Data!B:B, A478,Data!G:G)+(SUMIF(Data!B:B, A478,Data!L:L)+(SUMIF(Data!B:B, A478,Data!K:K)))))/(SUMIF(Data!B:B, A478, Data!M:M)+(SUMIF(Data!B:B, A478, Data!H:H)+(SUMIF(Data!B:B, A478,Data!G:G)+(SUMIF(Data!B:B, A478,Data!K:K)+(SUMIF(Data!B:B, A478,Data!L:L)))))))))),0))</f>
        <v/>
      </c>
      <c r="P478" s="57" t="str">
        <f>IFERROR(__xludf.DUMMYFUNCTION("IFERROR(((COUNTIF(FILTER(Data!N:N,Data!B:B=A478),""TRAVERSE"")*15)+(COUNTIF(FILTER(Data!N:N,Data!B:B=A478),""HIGH"")*10)+(COUNTIF(FILTER(Data!N:N,Data!B:B=A478),""MIDDLE"")*6)+(COUNTIF(FILTER(Data!N:N,Data!B:B=A478),""LOW"")*4)) / (COUNTIF(Data!B:B, A478)"&amp;"),"""")"),"")</f>
        <v/>
      </c>
      <c r="Q478" s="58"/>
      <c r="R478" s="58"/>
      <c r="S478" s="58" t="str">
        <f>IFERROR(__xludf.DUMMYFUNCTION("IFERROR((((COUNTIF(FILTER(Data!N:N,Data!B:B=A478),""TRAVERSE""))+(COUNTIF(FILTER(Data!N:N,Data!B:B=A478),""HIGH""))+(COUNTIF(FILTER(Data!N:N,Data!B:B=A478),""MIDDLE""))+(COUNTIF(FILTER(Data!N:N,Data!B:B=A478),""LOW"")))) / (((COUNTIF(Data!B:B, A478)))-(CO"&amp;"UNTIF(FILTER(Data!N:N,Data!B:B=A478),""NONE""))),IF(ISBLANK(A478),"""",0))"),"")</f>
        <v/>
      </c>
      <c r="T478" s="56" t="str">
        <f>IFERROR(__xludf.DUMMYFUNCTION("IFERROR((COUNTIF(FILTER(Data!N:N, Data!B:B=A478),""LOW"")) / (COUNTIF(Data!B:B, A478)),"""")"),"")</f>
        <v/>
      </c>
      <c r="U478" s="59" t="str">
        <f>IFERROR(__xludf.DUMMYFUNCTION("IFERROR((COUNTIF(FILTER(Data!N:N, Data!B:B=A478),""MIDDLE"")) / (COUNTIF(Data!B:B, A478)),"""")"),"")</f>
        <v/>
      </c>
      <c r="V478" s="59" t="str">
        <f>IFERROR(__xludf.DUMMYFUNCTION("IFERROR((COUNTIF(FILTER(Data!N:N, Data!B:B=A478),""HIGH"")) / (COUNTIF(Data!B:B, A478)),"""")"),"")</f>
        <v/>
      </c>
      <c r="W478" s="59" t="str">
        <f>IFERROR(__xludf.DUMMYFUNCTION("IFERROR((COUNTIF(FILTER(Data!N:N, Data!B:B=A478),""TRAVERSE"")) / (COUNTIF(Data!B:B, A478)),"""")"),"")</f>
        <v/>
      </c>
      <c r="X478" s="59"/>
      <c r="Y478" s="45" t="str">
        <f t="shared" si="7"/>
        <v/>
      </c>
      <c r="Z478" s="45" t="str">
        <f t="shared" si="8"/>
        <v/>
      </c>
      <c r="AA478" s="16" t="str">
        <f t="shared" si="9"/>
        <v/>
      </c>
      <c r="AB478" s="16"/>
      <c r="AC478" s="16"/>
      <c r="AD478" s="16"/>
      <c r="AE478" s="16" t="str">
        <f t="shared" si="12"/>
        <v/>
      </c>
      <c r="AF478" s="16" t="str">
        <f t="shared" si="13"/>
        <v/>
      </c>
      <c r="AG478" s="44"/>
      <c r="AH478" s="44"/>
      <c r="AI478" s="44" t="str">
        <f>IFERROR(__xludf.DUMMYFUNCTION("TEXTJOIN("", "",TRUE, FILTER(Data!P:P, Data!B:B=A478))"),"")</f>
        <v/>
      </c>
      <c r="AM478" s="61"/>
      <c r="BC478" s="50"/>
    </row>
    <row r="479">
      <c r="A479" s="14"/>
      <c r="B479" s="55" t="str">
        <f>IFERROR(__xludf.DUMMYFUNCTION("IFERROR(ROUND(
(COUNTIF(FILTER(Data!O:O, Data!B:B=A479), ""Win"")
+ COUNTIF(FILTER(Data!O:O, Data!B:B=A479), {""Tie"",""Results""}))
/ (COUNTIF(Data!B:B, A479)),
1),"""")"),"")</f>
        <v/>
      </c>
      <c r="C479" s="45" t="str">
        <f>IFERROR((SUMIF(Data!B:B, A479, Data!H:H)
/ (COUNTIF(Data!B:B, A479)
)),"")</f>
        <v/>
      </c>
      <c r="D479" s="45" t="str">
        <f>IFERROR((SUMIF(Data!B:B, A479, Data!G:G)
/ (COUNTIF(Data!B:B, A479)
)),"")</f>
        <v/>
      </c>
      <c r="E479" s="45"/>
      <c r="F479" s="45" t="str">
        <f>IFERROR((SUMIF(Data!B:B, A479, Data!J:J)
/ (COUNTIF(Data!B:B, A479)
)),"")</f>
        <v/>
      </c>
      <c r="G479" s="56" t="str">
        <f>IF(A479="","",IFERROR((((((SUMIF(Data!B:B, A479, Data!H:H)+(SUMIF(Data!B:B, A479,Data!G:G)))/(SUMIF(Data!B:B, A479, Data!J:J)))))),0))</f>
        <v/>
      </c>
      <c r="H479" s="45"/>
      <c r="I479" s="45"/>
      <c r="J479" s="45"/>
      <c r="K479" s="45"/>
      <c r="L479" s="45" t="str">
        <f>IFERROR((SUMIF(Data!B:B, A479, Data!L:L)
/ (COUNTIF(Data!B:B, A479)
)),"")</f>
        <v/>
      </c>
      <c r="M479" s="45" t="str">
        <f>IFERROR((SUMIF(Data!B:B, A479, Data!K:K)
/ (COUNTIF(Data!B:B, A479)
)),"")</f>
        <v/>
      </c>
      <c r="N479" s="56"/>
      <c r="O479" s="56" t="str">
        <f>IF(A479="","",IFERROR((((((SUMIF(Data!B:B, A479, Data!H:H)+(SUMIF(Data!B:B, A479,Data!G:G)+(SUMIF(Data!B:B, A479,Data!L:L)+(SUMIF(Data!B:B, A479,Data!K:K)))))/(SUMIF(Data!B:B, A479, Data!M:M)+(SUMIF(Data!B:B, A479, Data!H:H)+(SUMIF(Data!B:B, A479,Data!G:G)+(SUMIF(Data!B:B, A479,Data!K:K)+(SUMIF(Data!B:B, A479,Data!L:L)))))))))),0))</f>
        <v/>
      </c>
      <c r="P479" s="57" t="str">
        <f>IFERROR(__xludf.DUMMYFUNCTION("IFERROR(((COUNTIF(FILTER(Data!N:N,Data!B:B=A479),""TRAVERSE"")*15)+(COUNTIF(FILTER(Data!N:N,Data!B:B=A479),""HIGH"")*10)+(COUNTIF(FILTER(Data!N:N,Data!B:B=A479),""MIDDLE"")*6)+(COUNTIF(FILTER(Data!N:N,Data!B:B=A479),""LOW"")*4)) / (COUNTIF(Data!B:B, A479)"&amp;"),"""")"),"")</f>
        <v/>
      </c>
      <c r="Q479" s="58"/>
      <c r="R479" s="58"/>
      <c r="S479" s="58" t="str">
        <f>IFERROR(__xludf.DUMMYFUNCTION("IFERROR((((COUNTIF(FILTER(Data!N:N,Data!B:B=A479),""TRAVERSE""))+(COUNTIF(FILTER(Data!N:N,Data!B:B=A479),""HIGH""))+(COUNTIF(FILTER(Data!N:N,Data!B:B=A479),""MIDDLE""))+(COUNTIF(FILTER(Data!N:N,Data!B:B=A479),""LOW"")))) / (((COUNTIF(Data!B:B, A479)))-(CO"&amp;"UNTIF(FILTER(Data!N:N,Data!B:B=A479),""NONE""))),IF(ISBLANK(A479),"""",0))"),"")</f>
        <v/>
      </c>
      <c r="T479" s="56" t="str">
        <f>IFERROR(__xludf.DUMMYFUNCTION("IFERROR((COUNTIF(FILTER(Data!N:N, Data!B:B=A479),""LOW"")) / (COUNTIF(Data!B:B, A479)),"""")"),"")</f>
        <v/>
      </c>
      <c r="U479" s="59" t="str">
        <f>IFERROR(__xludf.DUMMYFUNCTION("IFERROR((COUNTIF(FILTER(Data!N:N, Data!B:B=A479),""MIDDLE"")) / (COUNTIF(Data!B:B, A479)),"""")"),"")</f>
        <v/>
      </c>
      <c r="V479" s="59" t="str">
        <f>IFERROR(__xludf.DUMMYFUNCTION("IFERROR((COUNTIF(FILTER(Data!N:N, Data!B:B=A479),""HIGH"")) / (COUNTIF(Data!B:B, A479)),"""")"),"")</f>
        <v/>
      </c>
      <c r="W479" s="59" t="str">
        <f>IFERROR(__xludf.DUMMYFUNCTION("IFERROR((COUNTIF(FILTER(Data!N:N, Data!B:B=A479),""TRAVERSE"")) / (COUNTIF(Data!B:B, A479)),"""")"),"")</f>
        <v/>
      </c>
      <c r="X479" s="59"/>
      <c r="Y479" s="45" t="str">
        <f t="shared" si="7"/>
        <v/>
      </c>
      <c r="Z479" s="45" t="str">
        <f t="shared" si="8"/>
        <v/>
      </c>
      <c r="AA479" s="16" t="str">
        <f t="shared" si="9"/>
        <v/>
      </c>
      <c r="AB479" s="16"/>
      <c r="AC479" s="16"/>
      <c r="AD479" s="16"/>
      <c r="AE479" s="16" t="str">
        <f t="shared" si="12"/>
        <v/>
      </c>
      <c r="AF479" s="16" t="str">
        <f t="shared" si="13"/>
        <v/>
      </c>
      <c r="AG479" s="44"/>
      <c r="AH479" s="44"/>
      <c r="AI479" s="44" t="str">
        <f>IFERROR(__xludf.DUMMYFUNCTION("TEXTJOIN("", "",TRUE, FILTER(Data!P:P, Data!B:B=A479))"),"")</f>
        <v/>
      </c>
      <c r="AM479" s="61"/>
      <c r="BC479" s="50"/>
    </row>
    <row r="480">
      <c r="A480" s="14"/>
      <c r="B480" s="55" t="str">
        <f>IFERROR(__xludf.DUMMYFUNCTION("IFERROR(ROUND(
(COUNTIF(FILTER(Data!O:O, Data!B:B=A480), ""Win"")
+ COUNTIF(FILTER(Data!O:O, Data!B:B=A480), {""Tie"",""Results""}))
/ (COUNTIF(Data!B:B, A480)),
1),"""")"),"")</f>
        <v/>
      </c>
      <c r="C480" s="45" t="str">
        <f>IFERROR((SUMIF(Data!B:B, A480, Data!H:H)
/ (COUNTIF(Data!B:B, A480)
)),"")</f>
        <v/>
      </c>
      <c r="D480" s="45" t="str">
        <f>IFERROR((SUMIF(Data!B:B, A480, Data!G:G)
/ (COUNTIF(Data!B:B, A480)
)),"")</f>
        <v/>
      </c>
      <c r="E480" s="45"/>
      <c r="F480" s="45" t="str">
        <f>IFERROR((SUMIF(Data!B:B, A480, Data!J:J)
/ (COUNTIF(Data!B:B, A480)
)),"")</f>
        <v/>
      </c>
      <c r="G480" s="56" t="str">
        <f>IF(A480="","",IFERROR((((((SUMIF(Data!B:B, A480, Data!H:H)+(SUMIF(Data!B:B, A480,Data!G:G)))/(SUMIF(Data!B:B, A480, Data!J:J)))))),0))</f>
        <v/>
      </c>
      <c r="H480" s="45"/>
      <c r="I480" s="45"/>
      <c r="J480" s="45"/>
      <c r="K480" s="45"/>
      <c r="L480" s="45" t="str">
        <f>IFERROR((SUMIF(Data!B:B, A480, Data!L:L)
/ (COUNTIF(Data!B:B, A480)
)),"")</f>
        <v/>
      </c>
      <c r="M480" s="45" t="str">
        <f>IFERROR((SUMIF(Data!B:B, A480, Data!K:K)
/ (COUNTIF(Data!B:B, A480)
)),"")</f>
        <v/>
      </c>
      <c r="N480" s="56"/>
      <c r="O480" s="56" t="str">
        <f>IF(A480="","",IFERROR((((((SUMIF(Data!B:B, A480, Data!H:H)+(SUMIF(Data!B:B, A480,Data!G:G)+(SUMIF(Data!B:B, A480,Data!L:L)+(SUMIF(Data!B:B, A480,Data!K:K)))))/(SUMIF(Data!B:B, A480, Data!M:M)+(SUMIF(Data!B:B, A480, Data!H:H)+(SUMIF(Data!B:B, A480,Data!G:G)+(SUMIF(Data!B:B, A480,Data!K:K)+(SUMIF(Data!B:B, A480,Data!L:L)))))))))),0))</f>
        <v/>
      </c>
      <c r="P480" s="57" t="str">
        <f>IFERROR(__xludf.DUMMYFUNCTION("IFERROR(((COUNTIF(FILTER(Data!N:N,Data!B:B=A480),""TRAVERSE"")*15)+(COUNTIF(FILTER(Data!N:N,Data!B:B=A480),""HIGH"")*10)+(COUNTIF(FILTER(Data!N:N,Data!B:B=A480),""MIDDLE"")*6)+(COUNTIF(FILTER(Data!N:N,Data!B:B=A480),""LOW"")*4)) / (COUNTIF(Data!B:B, A480)"&amp;"),"""")"),"")</f>
        <v/>
      </c>
      <c r="Q480" s="58"/>
      <c r="R480" s="58"/>
      <c r="S480" s="58" t="str">
        <f>IFERROR(__xludf.DUMMYFUNCTION("IFERROR((((COUNTIF(FILTER(Data!N:N,Data!B:B=A480),""TRAVERSE""))+(COUNTIF(FILTER(Data!N:N,Data!B:B=A480),""HIGH""))+(COUNTIF(FILTER(Data!N:N,Data!B:B=A480),""MIDDLE""))+(COUNTIF(FILTER(Data!N:N,Data!B:B=A480),""LOW"")))) / (((COUNTIF(Data!B:B, A480)))-(CO"&amp;"UNTIF(FILTER(Data!N:N,Data!B:B=A480),""NONE""))),IF(ISBLANK(A480),"""",0))"),"")</f>
        <v/>
      </c>
      <c r="T480" s="56" t="str">
        <f>IFERROR(__xludf.DUMMYFUNCTION("IFERROR((COUNTIF(FILTER(Data!N:N, Data!B:B=A480),""LOW"")) / (COUNTIF(Data!B:B, A480)),"""")"),"")</f>
        <v/>
      </c>
      <c r="U480" s="59" t="str">
        <f>IFERROR(__xludf.DUMMYFUNCTION("IFERROR((COUNTIF(FILTER(Data!N:N, Data!B:B=A480),""MIDDLE"")) / (COUNTIF(Data!B:B, A480)),"""")"),"")</f>
        <v/>
      </c>
      <c r="V480" s="59" t="str">
        <f>IFERROR(__xludf.DUMMYFUNCTION("IFERROR((COUNTIF(FILTER(Data!N:N, Data!B:B=A480),""HIGH"")) / (COUNTIF(Data!B:B, A480)),"""")"),"")</f>
        <v/>
      </c>
      <c r="W480" s="59" t="str">
        <f>IFERROR(__xludf.DUMMYFUNCTION("IFERROR((COUNTIF(FILTER(Data!N:N, Data!B:B=A480),""TRAVERSE"")) / (COUNTIF(Data!B:B, A480)),"""")"),"")</f>
        <v/>
      </c>
      <c r="X480" s="59"/>
      <c r="Y480" s="45" t="str">
        <f t="shared" si="7"/>
        <v/>
      </c>
      <c r="Z480" s="45" t="str">
        <f t="shared" si="8"/>
        <v/>
      </c>
      <c r="AA480" s="16" t="str">
        <f t="shared" si="9"/>
        <v/>
      </c>
      <c r="AB480" s="16"/>
      <c r="AC480" s="16"/>
      <c r="AD480" s="16"/>
      <c r="AE480" s="16" t="str">
        <f t="shared" si="12"/>
        <v/>
      </c>
      <c r="AF480" s="16" t="str">
        <f t="shared" si="13"/>
        <v/>
      </c>
      <c r="AG480" s="44"/>
      <c r="AH480" s="44"/>
      <c r="AI480" s="44" t="str">
        <f>IFERROR(__xludf.DUMMYFUNCTION("TEXTJOIN("", "",TRUE, FILTER(Data!P:P, Data!B:B=A480))"),"")</f>
        <v/>
      </c>
      <c r="AM480" s="61"/>
      <c r="BC480" s="50"/>
    </row>
    <row r="481">
      <c r="A481" s="14"/>
      <c r="B481" s="55" t="str">
        <f>IFERROR(__xludf.DUMMYFUNCTION("IFERROR(ROUND(
(COUNTIF(FILTER(Data!O:O, Data!B:B=A481), ""Win"")
+ COUNTIF(FILTER(Data!O:O, Data!B:B=A481), {""Tie"",""Results""}))
/ (COUNTIF(Data!B:B, A481)),
1),"""")"),"")</f>
        <v/>
      </c>
      <c r="C481" s="45" t="str">
        <f>IFERROR((SUMIF(Data!B:B, A481, Data!H:H)
/ (COUNTIF(Data!B:B, A481)
)),"")</f>
        <v/>
      </c>
      <c r="D481" s="45" t="str">
        <f>IFERROR((SUMIF(Data!B:B, A481, Data!G:G)
/ (COUNTIF(Data!B:B, A481)
)),"")</f>
        <v/>
      </c>
      <c r="E481" s="45"/>
      <c r="F481" s="45" t="str">
        <f>IFERROR((SUMIF(Data!B:B, A481, Data!J:J)
/ (COUNTIF(Data!B:B, A481)
)),"")</f>
        <v/>
      </c>
      <c r="G481" s="56" t="str">
        <f>IF(A481="","",IFERROR((((((SUMIF(Data!B:B, A481, Data!H:H)+(SUMIF(Data!B:B, A481,Data!G:G)))/(SUMIF(Data!B:B, A481, Data!J:J)))))),0))</f>
        <v/>
      </c>
      <c r="H481" s="45"/>
      <c r="I481" s="45"/>
      <c r="J481" s="45"/>
      <c r="K481" s="45"/>
      <c r="L481" s="45" t="str">
        <f>IFERROR((SUMIF(Data!B:B, A481, Data!L:L)
/ (COUNTIF(Data!B:B, A481)
)),"")</f>
        <v/>
      </c>
      <c r="M481" s="45" t="str">
        <f>IFERROR((SUMIF(Data!B:B, A481, Data!K:K)
/ (COUNTIF(Data!B:B, A481)
)),"")</f>
        <v/>
      </c>
      <c r="N481" s="56"/>
      <c r="O481" s="56" t="str">
        <f>IF(A481="","",IFERROR((((((SUMIF(Data!B:B, A481, Data!H:H)+(SUMIF(Data!B:B, A481,Data!G:G)+(SUMIF(Data!B:B, A481,Data!L:L)+(SUMIF(Data!B:B, A481,Data!K:K)))))/(SUMIF(Data!B:B, A481, Data!M:M)+(SUMIF(Data!B:B, A481, Data!H:H)+(SUMIF(Data!B:B, A481,Data!G:G)+(SUMIF(Data!B:B, A481,Data!K:K)+(SUMIF(Data!B:B, A481,Data!L:L)))))))))),0))</f>
        <v/>
      </c>
      <c r="P481" s="57" t="str">
        <f>IFERROR(__xludf.DUMMYFUNCTION("IFERROR(((COUNTIF(FILTER(Data!N:N,Data!B:B=A481),""TRAVERSE"")*15)+(COUNTIF(FILTER(Data!N:N,Data!B:B=A481),""HIGH"")*10)+(COUNTIF(FILTER(Data!N:N,Data!B:B=A481),""MIDDLE"")*6)+(COUNTIF(FILTER(Data!N:N,Data!B:B=A481),""LOW"")*4)) / (COUNTIF(Data!B:B, A481)"&amp;"),"""")"),"")</f>
        <v/>
      </c>
      <c r="Q481" s="58"/>
      <c r="R481" s="58"/>
      <c r="S481" s="58" t="str">
        <f>IFERROR(__xludf.DUMMYFUNCTION("IFERROR((((COUNTIF(FILTER(Data!N:N,Data!B:B=A481),""TRAVERSE""))+(COUNTIF(FILTER(Data!N:N,Data!B:B=A481),""HIGH""))+(COUNTIF(FILTER(Data!N:N,Data!B:B=A481),""MIDDLE""))+(COUNTIF(FILTER(Data!N:N,Data!B:B=A481),""LOW"")))) / (((COUNTIF(Data!B:B, A481)))-(CO"&amp;"UNTIF(FILTER(Data!N:N,Data!B:B=A481),""NONE""))),IF(ISBLANK(A481),"""",0))"),"")</f>
        <v/>
      </c>
      <c r="T481" s="56" t="str">
        <f>IFERROR(__xludf.DUMMYFUNCTION("IFERROR((COUNTIF(FILTER(Data!N:N, Data!B:B=A481),""LOW"")) / (COUNTIF(Data!B:B, A481)),"""")"),"")</f>
        <v/>
      </c>
      <c r="U481" s="59" t="str">
        <f>IFERROR(__xludf.DUMMYFUNCTION("IFERROR((COUNTIF(FILTER(Data!N:N, Data!B:B=A481),""MIDDLE"")) / (COUNTIF(Data!B:B, A481)),"""")"),"")</f>
        <v/>
      </c>
      <c r="V481" s="59" t="str">
        <f>IFERROR(__xludf.DUMMYFUNCTION("IFERROR((COUNTIF(FILTER(Data!N:N, Data!B:B=A481),""HIGH"")) / (COUNTIF(Data!B:B, A481)),"""")"),"")</f>
        <v/>
      </c>
      <c r="W481" s="59" t="str">
        <f>IFERROR(__xludf.DUMMYFUNCTION("IFERROR((COUNTIF(FILTER(Data!N:N, Data!B:B=A481),""TRAVERSE"")) / (COUNTIF(Data!B:B, A481)),"""")"),"")</f>
        <v/>
      </c>
      <c r="X481" s="59"/>
      <c r="Y481" s="45" t="str">
        <f t="shared" si="7"/>
        <v/>
      </c>
      <c r="Z481" s="45" t="str">
        <f t="shared" si="8"/>
        <v/>
      </c>
      <c r="AA481" s="16" t="str">
        <f t="shared" si="9"/>
        <v/>
      </c>
      <c r="AB481" s="16"/>
      <c r="AC481" s="16"/>
      <c r="AD481" s="16"/>
      <c r="AE481" s="16" t="str">
        <f t="shared" si="12"/>
        <v/>
      </c>
      <c r="AF481" s="16" t="str">
        <f t="shared" si="13"/>
        <v/>
      </c>
      <c r="AG481" s="44"/>
      <c r="AH481" s="44"/>
      <c r="AI481" s="44" t="str">
        <f>IFERROR(__xludf.DUMMYFUNCTION("TEXTJOIN("", "",TRUE, FILTER(Data!P:P, Data!B:B=A481))"),"")</f>
        <v/>
      </c>
      <c r="AM481" s="61"/>
      <c r="BC481" s="50"/>
    </row>
    <row r="482">
      <c r="A482" s="14"/>
      <c r="B482" s="55" t="str">
        <f>IFERROR(__xludf.DUMMYFUNCTION("IFERROR(ROUND(
(COUNTIF(FILTER(Data!O:O, Data!B:B=A482), ""Win"")
+ COUNTIF(FILTER(Data!O:O, Data!B:B=A482), {""Tie"",""Results""}))
/ (COUNTIF(Data!B:B, A482)),
1),"""")"),"")</f>
        <v/>
      </c>
      <c r="C482" s="45" t="str">
        <f>IFERROR((SUMIF(Data!B:B, A482, Data!H:H)
/ (COUNTIF(Data!B:B, A482)
)),"")</f>
        <v/>
      </c>
      <c r="D482" s="45" t="str">
        <f>IFERROR((SUMIF(Data!B:B, A482, Data!G:G)
/ (COUNTIF(Data!B:B, A482)
)),"")</f>
        <v/>
      </c>
      <c r="E482" s="45"/>
      <c r="F482" s="45" t="str">
        <f>IFERROR((SUMIF(Data!B:B, A482, Data!J:J)
/ (COUNTIF(Data!B:B, A482)
)),"")</f>
        <v/>
      </c>
      <c r="G482" s="56" t="str">
        <f>IF(A482="","",IFERROR((((((SUMIF(Data!B:B, A482, Data!H:H)+(SUMIF(Data!B:B, A482,Data!G:G)))/(SUMIF(Data!B:B, A482, Data!J:J)))))),0))</f>
        <v/>
      </c>
      <c r="H482" s="45"/>
      <c r="I482" s="45"/>
      <c r="J482" s="45"/>
      <c r="K482" s="45"/>
      <c r="L482" s="45" t="str">
        <f>IFERROR((SUMIF(Data!B:B, A482, Data!L:L)
/ (COUNTIF(Data!B:B, A482)
)),"")</f>
        <v/>
      </c>
      <c r="M482" s="45" t="str">
        <f>IFERROR((SUMIF(Data!B:B, A482, Data!K:K)
/ (COUNTIF(Data!B:B, A482)
)),"")</f>
        <v/>
      </c>
      <c r="N482" s="56"/>
      <c r="O482" s="56" t="str">
        <f>IF(A482="","",IFERROR((((((SUMIF(Data!B:B, A482, Data!H:H)+(SUMIF(Data!B:B, A482,Data!G:G)+(SUMIF(Data!B:B, A482,Data!L:L)+(SUMIF(Data!B:B, A482,Data!K:K)))))/(SUMIF(Data!B:B, A482, Data!M:M)+(SUMIF(Data!B:B, A482, Data!H:H)+(SUMIF(Data!B:B, A482,Data!G:G)+(SUMIF(Data!B:B, A482,Data!K:K)+(SUMIF(Data!B:B, A482,Data!L:L)))))))))),0))</f>
        <v/>
      </c>
      <c r="P482" s="57" t="str">
        <f>IFERROR(__xludf.DUMMYFUNCTION("IFERROR(((COUNTIF(FILTER(Data!N:N,Data!B:B=A482),""TRAVERSE"")*15)+(COUNTIF(FILTER(Data!N:N,Data!B:B=A482),""HIGH"")*10)+(COUNTIF(FILTER(Data!N:N,Data!B:B=A482),""MIDDLE"")*6)+(COUNTIF(FILTER(Data!N:N,Data!B:B=A482),""LOW"")*4)) / (COUNTIF(Data!B:B, A482)"&amp;"),"""")"),"")</f>
        <v/>
      </c>
      <c r="Q482" s="58"/>
      <c r="R482" s="58"/>
      <c r="S482" s="58" t="str">
        <f>IFERROR(__xludf.DUMMYFUNCTION("IFERROR((((COUNTIF(FILTER(Data!N:N,Data!B:B=A482),""TRAVERSE""))+(COUNTIF(FILTER(Data!N:N,Data!B:B=A482),""HIGH""))+(COUNTIF(FILTER(Data!N:N,Data!B:B=A482),""MIDDLE""))+(COUNTIF(FILTER(Data!N:N,Data!B:B=A482),""LOW"")))) / (((COUNTIF(Data!B:B, A482)))-(CO"&amp;"UNTIF(FILTER(Data!N:N,Data!B:B=A482),""NONE""))),IF(ISBLANK(A482),"""",0))"),"")</f>
        <v/>
      </c>
      <c r="T482" s="56" t="str">
        <f>IFERROR(__xludf.DUMMYFUNCTION("IFERROR((COUNTIF(FILTER(Data!N:N, Data!B:B=A482),""LOW"")) / (COUNTIF(Data!B:B, A482)),"""")"),"")</f>
        <v/>
      </c>
      <c r="U482" s="59" t="str">
        <f>IFERROR(__xludf.DUMMYFUNCTION("IFERROR((COUNTIF(FILTER(Data!N:N, Data!B:B=A482),""MIDDLE"")) / (COUNTIF(Data!B:B, A482)),"""")"),"")</f>
        <v/>
      </c>
      <c r="V482" s="59" t="str">
        <f>IFERROR(__xludf.DUMMYFUNCTION("IFERROR((COUNTIF(FILTER(Data!N:N, Data!B:B=A482),""HIGH"")) / (COUNTIF(Data!B:B, A482)),"""")"),"")</f>
        <v/>
      </c>
      <c r="W482" s="59" t="str">
        <f>IFERROR(__xludf.DUMMYFUNCTION("IFERROR((COUNTIF(FILTER(Data!N:N, Data!B:B=A482),""TRAVERSE"")) / (COUNTIF(Data!B:B, A482)),"""")"),"")</f>
        <v/>
      </c>
      <c r="X482" s="59"/>
      <c r="Y482" s="45" t="str">
        <f t="shared" si="7"/>
        <v/>
      </c>
      <c r="Z482" s="45" t="str">
        <f t="shared" si="8"/>
        <v/>
      </c>
      <c r="AA482" s="16" t="str">
        <f t="shared" si="9"/>
        <v/>
      </c>
      <c r="AB482" s="16"/>
      <c r="AC482" s="16"/>
      <c r="AD482" s="16"/>
      <c r="AE482" s="16" t="str">
        <f t="shared" si="12"/>
        <v/>
      </c>
      <c r="AF482" s="16" t="str">
        <f t="shared" si="13"/>
        <v/>
      </c>
      <c r="AG482" s="44"/>
      <c r="AH482" s="44"/>
      <c r="AI482" s="44" t="str">
        <f>IFERROR(__xludf.DUMMYFUNCTION("TEXTJOIN("", "",TRUE, FILTER(Data!P:P, Data!B:B=A482))"),"")</f>
        <v/>
      </c>
      <c r="AM482" s="61"/>
      <c r="BC482" s="50"/>
    </row>
    <row r="483">
      <c r="A483" s="14"/>
      <c r="B483" s="55" t="str">
        <f>IFERROR(__xludf.DUMMYFUNCTION("IFERROR(ROUND(
(COUNTIF(FILTER(Data!O:O, Data!B:B=A483), ""Win"")
+ COUNTIF(FILTER(Data!O:O, Data!B:B=A483), {""Tie"",""Results""}))
/ (COUNTIF(Data!B:B, A483)),
1),"""")"),"")</f>
        <v/>
      </c>
      <c r="C483" s="45" t="str">
        <f>IFERROR((SUMIF(Data!B:B, A483, Data!H:H)
/ (COUNTIF(Data!B:B, A483)
)),"")</f>
        <v/>
      </c>
      <c r="D483" s="45" t="str">
        <f>IFERROR((SUMIF(Data!B:B, A483, Data!G:G)
/ (COUNTIF(Data!B:B, A483)
)),"")</f>
        <v/>
      </c>
      <c r="E483" s="45"/>
      <c r="F483" s="45" t="str">
        <f>IFERROR((SUMIF(Data!B:B, A483, Data!J:J)
/ (COUNTIF(Data!B:B, A483)
)),"")</f>
        <v/>
      </c>
      <c r="G483" s="56" t="str">
        <f>IF(A483="","",IFERROR((((((SUMIF(Data!B:B, A483, Data!H:H)+(SUMIF(Data!B:B, A483,Data!G:G)))/(SUMIF(Data!B:B, A483, Data!J:J)))))),0))</f>
        <v/>
      </c>
      <c r="H483" s="45"/>
      <c r="I483" s="45"/>
      <c r="J483" s="45"/>
      <c r="K483" s="45"/>
      <c r="L483" s="45" t="str">
        <f>IFERROR((SUMIF(Data!B:B, A483, Data!L:L)
/ (COUNTIF(Data!B:B, A483)
)),"")</f>
        <v/>
      </c>
      <c r="M483" s="45" t="str">
        <f>IFERROR((SUMIF(Data!B:B, A483, Data!K:K)
/ (COUNTIF(Data!B:B, A483)
)),"")</f>
        <v/>
      </c>
      <c r="N483" s="56"/>
      <c r="O483" s="56" t="str">
        <f>IF(A483="","",IFERROR((((((SUMIF(Data!B:B, A483, Data!H:H)+(SUMIF(Data!B:B, A483,Data!G:G)+(SUMIF(Data!B:B, A483,Data!L:L)+(SUMIF(Data!B:B, A483,Data!K:K)))))/(SUMIF(Data!B:B, A483, Data!M:M)+(SUMIF(Data!B:B, A483, Data!H:H)+(SUMIF(Data!B:B, A483,Data!G:G)+(SUMIF(Data!B:B, A483,Data!K:K)+(SUMIF(Data!B:B, A483,Data!L:L)))))))))),0))</f>
        <v/>
      </c>
      <c r="P483" s="57" t="str">
        <f>IFERROR(__xludf.DUMMYFUNCTION("IFERROR(((COUNTIF(FILTER(Data!N:N,Data!B:B=A483),""TRAVERSE"")*15)+(COUNTIF(FILTER(Data!N:N,Data!B:B=A483),""HIGH"")*10)+(COUNTIF(FILTER(Data!N:N,Data!B:B=A483),""MIDDLE"")*6)+(COUNTIF(FILTER(Data!N:N,Data!B:B=A483),""LOW"")*4)) / (COUNTIF(Data!B:B, A483)"&amp;"),"""")"),"")</f>
        <v/>
      </c>
      <c r="Q483" s="58"/>
      <c r="R483" s="58"/>
      <c r="S483" s="58" t="str">
        <f>IFERROR(__xludf.DUMMYFUNCTION("IFERROR((((COUNTIF(FILTER(Data!N:N,Data!B:B=A483),""TRAVERSE""))+(COUNTIF(FILTER(Data!N:N,Data!B:B=A483),""HIGH""))+(COUNTIF(FILTER(Data!N:N,Data!B:B=A483),""MIDDLE""))+(COUNTIF(FILTER(Data!N:N,Data!B:B=A483),""LOW"")))) / (((COUNTIF(Data!B:B, A483)))-(CO"&amp;"UNTIF(FILTER(Data!N:N,Data!B:B=A483),""NONE""))),IF(ISBLANK(A483),"""",0))"),"")</f>
        <v/>
      </c>
      <c r="T483" s="56" t="str">
        <f>IFERROR(__xludf.DUMMYFUNCTION("IFERROR((COUNTIF(FILTER(Data!N:N, Data!B:B=A483),""LOW"")) / (COUNTIF(Data!B:B, A483)),"""")"),"")</f>
        <v/>
      </c>
      <c r="U483" s="59" t="str">
        <f>IFERROR(__xludf.DUMMYFUNCTION("IFERROR((COUNTIF(FILTER(Data!N:N, Data!B:B=A483),""MIDDLE"")) / (COUNTIF(Data!B:B, A483)),"""")"),"")</f>
        <v/>
      </c>
      <c r="V483" s="59" t="str">
        <f>IFERROR(__xludf.DUMMYFUNCTION("IFERROR((COUNTIF(FILTER(Data!N:N, Data!B:B=A483),""HIGH"")) / (COUNTIF(Data!B:B, A483)),"""")"),"")</f>
        <v/>
      </c>
      <c r="W483" s="59" t="str">
        <f>IFERROR(__xludf.DUMMYFUNCTION("IFERROR((COUNTIF(FILTER(Data!N:N, Data!B:B=A483),""TRAVERSE"")) / (COUNTIF(Data!B:B, A483)),"""")"),"")</f>
        <v/>
      </c>
      <c r="X483" s="59"/>
      <c r="Y483" s="45" t="str">
        <f t="shared" si="7"/>
        <v/>
      </c>
      <c r="Z483" s="45" t="str">
        <f t="shared" si="8"/>
        <v/>
      </c>
      <c r="AA483" s="16" t="str">
        <f t="shared" si="9"/>
        <v/>
      </c>
      <c r="AB483" s="16"/>
      <c r="AC483" s="16"/>
      <c r="AD483" s="16"/>
      <c r="AE483" s="16" t="str">
        <f t="shared" si="12"/>
        <v/>
      </c>
      <c r="AF483" s="16" t="str">
        <f t="shared" si="13"/>
        <v/>
      </c>
      <c r="AG483" s="44"/>
      <c r="AH483" s="44"/>
      <c r="AI483" s="44" t="str">
        <f>IFERROR(__xludf.DUMMYFUNCTION("TEXTJOIN("", "",TRUE, FILTER(Data!P:P, Data!B:B=A483))"),"")</f>
        <v/>
      </c>
      <c r="AM483" s="61"/>
      <c r="BC483" s="50"/>
    </row>
    <row r="484">
      <c r="A484" s="14"/>
      <c r="B484" s="55" t="str">
        <f>IFERROR(__xludf.DUMMYFUNCTION("IFERROR(ROUND(
(COUNTIF(FILTER(Data!O:O, Data!B:B=A484), ""Win"")
+ COUNTIF(FILTER(Data!O:O, Data!B:B=A484), {""Tie"",""Results""}))
/ (COUNTIF(Data!B:B, A484)),
1),"""")"),"")</f>
        <v/>
      </c>
      <c r="C484" s="45" t="str">
        <f>IFERROR((SUMIF(Data!B:B, A484, Data!H:H)
/ (COUNTIF(Data!B:B, A484)
)),"")</f>
        <v/>
      </c>
      <c r="D484" s="45" t="str">
        <f>IFERROR((SUMIF(Data!B:B, A484, Data!G:G)
/ (COUNTIF(Data!B:B, A484)
)),"")</f>
        <v/>
      </c>
      <c r="E484" s="45"/>
      <c r="F484" s="45" t="str">
        <f>IFERROR((SUMIF(Data!B:B, A484, Data!J:J)
/ (COUNTIF(Data!B:B, A484)
)),"")</f>
        <v/>
      </c>
      <c r="G484" s="56" t="str">
        <f>IF(A484="","",IFERROR((((((SUMIF(Data!B:B, A484, Data!H:H)+(SUMIF(Data!B:B, A484,Data!G:G)))/(SUMIF(Data!B:B, A484, Data!J:J)))))),0))</f>
        <v/>
      </c>
      <c r="H484" s="45"/>
      <c r="I484" s="45"/>
      <c r="J484" s="45"/>
      <c r="K484" s="45"/>
      <c r="L484" s="45" t="str">
        <f>IFERROR((SUMIF(Data!B:B, A484, Data!L:L)
/ (COUNTIF(Data!B:B, A484)
)),"")</f>
        <v/>
      </c>
      <c r="M484" s="45" t="str">
        <f>IFERROR((SUMIF(Data!B:B, A484, Data!K:K)
/ (COUNTIF(Data!B:B, A484)
)),"")</f>
        <v/>
      </c>
      <c r="N484" s="56"/>
      <c r="O484" s="56" t="str">
        <f>IF(A484="","",IFERROR((((((SUMIF(Data!B:B, A484, Data!H:H)+(SUMIF(Data!B:B, A484,Data!G:G)+(SUMIF(Data!B:B, A484,Data!L:L)+(SUMIF(Data!B:B, A484,Data!K:K)))))/(SUMIF(Data!B:B, A484, Data!M:M)+(SUMIF(Data!B:B, A484, Data!H:H)+(SUMIF(Data!B:B, A484,Data!G:G)+(SUMIF(Data!B:B, A484,Data!K:K)+(SUMIF(Data!B:B, A484,Data!L:L)))))))))),0))</f>
        <v/>
      </c>
      <c r="P484" s="57" t="str">
        <f>IFERROR(__xludf.DUMMYFUNCTION("IFERROR(((COUNTIF(FILTER(Data!N:N,Data!B:B=A484),""TRAVERSE"")*15)+(COUNTIF(FILTER(Data!N:N,Data!B:B=A484),""HIGH"")*10)+(COUNTIF(FILTER(Data!N:N,Data!B:B=A484),""MIDDLE"")*6)+(COUNTIF(FILTER(Data!N:N,Data!B:B=A484),""LOW"")*4)) / (COUNTIF(Data!B:B, A484)"&amp;"),"""")"),"")</f>
        <v/>
      </c>
      <c r="Q484" s="58"/>
      <c r="R484" s="58"/>
      <c r="S484" s="58" t="str">
        <f>IFERROR(__xludf.DUMMYFUNCTION("IFERROR((((COUNTIF(FILTER(Data!N:N,Data!B:B=A484),""TRAVERSE""))+(COUNTIF(FILTER(Data!N:N,Data!B:B=A484),""HIGH""))+(COUNTIF(FILTER(Data!N:N,Data!B:B=A484),""MIDDLE""))+(COUNTIF(FILTER(Data!N:N,Data!B:B=A484),""LOW"")))) / (((COUNTIF(Data!B:B, A484)))-(CO"&amp;"UNTIF(FILTER(Data!N:N,Data!B:B=A484),""NONE""))),IF(ISBLANK(A484),"""",0))"),"")</f>
        <v/>
      </c>
      <c r="T484" s="56" t="str">
        <f>IFERROR(__xludf.DUMMYFUNCTION("IFERROR((COUNTIF(FILTER(Data!N:N, Data!B:B=A484),""LOW"")) / (COUNTIF(Data!B:B, A484)),"""")"),"")</f>
        <v/>
      </c>
      <c r="U484" s="59" t="str">
        <f>IFERROR(__xludf.DUMMYFUNCTION("IFERROR((COUNTIF(FILTER(Data!N:N, Data!B:B=A484),""MIDDLE"")) / (COUNTIF(Data!B:B, A484)),"""")"),"")</f>
        <v/>
      </c>
      <c r="V484" s="59" t="str">
        <f>IFERROR(__xludf.DUMMYFUNCTION("IFERROR((COUNTIF(FILTER(Data!N:N, Data!B:B=A484),""HIGH"")) / (COUNTIF(Data!B:B, A484)),"""")"),"")</f>
        <v/>
      </c>
      <c r="W484" s="59" t="str">
        <f>IFERROR(__xludf.DUMMYFUNCTION("IFERROR((COUNTIF(FILTER(Data!N:N, Data!B:B=A484),""TRAVERSE"")) / (COUNTIF(Data!B:B, A484)),"""")"),"")</f>
        <v/>
      </c>
      <c r="X484" s="59"/>
      <c r="Y484" s="45" t="str">
        <f t="shared" si="7"/>
        <v/>
      </c>
      <c r="Z484" s="45" t="str">
        <f t="shared" si="8"/>
        <v/>
      </c>
      <c r="AA484" s="16" t="str">
        <f t="shared" si="9"/>
        <v/>
      </c>
      <c r="AB484" s="16"/>
      <c r="AC484" s="16"/>
      <c r="AD484" s="16"/>
      <c r="AE484" s="16" t="str">
        <f t="shared" si="12"/>
        <v/>
      </c>
      <c r="AF484" s="16" t="str">
        <f t="shared" si="13"/>
        <v/>
      </c>
      <c r="AG484" s="44"/>
      <c r="AH484" s="44"/>
      <c r="AI484" s="44" t="str">
        <f>IFERROR(__xludf.DUMMYFUNCTION("TEXTJOIN("", "",TRUE, FILTER(Data!P:P, Data!B:B=A484))"),"")</f>
        <v/>
      </c>
      <c r="AM484" s="61"/>
      <c r="BC484" s="50"/>
    </row>
    <row r="485">
      <c r="A485" s="14"/>
      <c r="B485" s="55" t="str">
        <f>IFERROR(__xludf.DUMMYFUNCTION("IFERROR(ROUND(
(COUNTIF(FILTER(Data!O:O, Data!B:B=A485), ""Win"")
+ COUNTIF(FILTER(Data!O:O, Data!B:B=A485), {""Tie"",""Results""}))
/ (COUNTIF(Data!B:B, A485)),
1),"""")"),"")</f>
        <v/>
      </c>
      <c r="C485" s="45" t="str">
        <f>IFERROR((SUMIF(Data!B:B, A485, Data!H:H)
/ (COUNTIF(Data!B:B, A485)
)),"")</f>
        <v/>
      </c>
      <c r="D485" s="45" t="str">
        <f>IFERROR((SUMIF(Data!B:B, A485, Data!G:G)
/ (COUNTIF(Data!B:B, A485)
)),"")</f>
        <v/>
      </c>
      <c r="E485" s="45"/>
      <c r="F485" s="45" t="str">
        <f>IFERROR((SUMIF(Data!B:B, A485, Data!J:J)
/ (COUNTIF(Data!B:B, A485)
)),"")</f>
        <v/>
      </c>
      <c r="G485" s="56" t="str">
        <f>IF(A485="","",IFERROR((((((SUMIF(Data!B:B, A485, Data!H:H)+(SUMIF(Data!B:B, A485,Data!G:G)))/(SUMIF(Data!B:B, A485, Data!J:J)))))),0))</f>
        <v/>
      </c>
      <c r="H485" s="45"/>
      <c r="I485" s="45"/>
      <c r="J485" s="45"/>
      <c r="K485" s="45"/>
      <c r="L485" s="45" t="str">
        <f>IFERROR((SUMIF(Data!B:B, A485, Data!L:L)
/ (COUNTIF(Data!B:B, A485)
)),"")</f>
        <v/>
      </c>
      <c r="M485" s="45" t="str">
        <f>IFERROR((SUMIF(Data!B:B, A485, Data!K:K)
/ (COUNTIF(Data!B:B, A485)
)),"")</f>
        <v/>
      </c>
      <c r="N485" s="56"/>
      <c r="O485" s="56" t="str">
        <f>IF(A485="","",IFERROR((((((SUMIF(Data!B:B, A485, Data!H:H)+(SUMIF(Data!B:B, A485,Data!G:G)+(SUMIF(Data!B:B, A485,Data!L:L)+(SUMIF(Data!B:B, A485,Data!K:K)))))/(SUMIF(Data!B:B, A485, Data!M:M)+(SUMIF(Data!B:B, A485, Data!H:H)+(SUMIF(Data!B:B, A485,Data!G:G)+(SUMIF(Data!B:B, A485,Data!K:K)+(SUMIF(Data!B:B, A485,Data!L:L)))))))))),0))</f>
        <v/>
      </c>
      <c r="P485" s="57" t="str">
        <f>IFERROR(__xludf.DUMMYFUNCTION("IFERROR(((COUNTIF(FILTER(Data!N:N,Data!B:B=A485),""TRAVERSE"")*15)+(COUNTIF(FILTER(Data!N:N,Data!B:B=A485),""HIGH"")*10)+(COUNTIF(FILTER(Data!N:N,Data!B:B=A485),""MIDDLE"")*6)+(COUNTIF(FILTER(Data!N:N,Data!B:B=A485),""LOW"")*4)) / (COUNTIF(Data!B:B, A485)"&amp;"),"""")"),"")</f>
        <v/>
      </c>
      <c r="Q485" s="58"/>
      <c r="R485" s="58"/>
      <c r="S485" s="58" t="str">
        <f>IFERROR(__xludf.DUMMYFUNCTION("IFERROR((((COUNTIF(FILTER(Data!N:N,Data!B:B=A485),""TRAVERSE""))+(COUNTIF(FILTER(Data!N:N,Data!B:B=A485),""HIGH""))+(COUNTIF(FILTER(Data!N:N,Data!B:B=A485),""MIDDLE""))+(COUNTIF(FILTER(Data!N:N,Data!B:B=A485),""LOW"")))) / (((COUNTIF(Data!B:B, A485)))-(CO"&amp;"UNTIF(FILTER(Data!N:N,Data!B:B=A485),""NONE""))),IF(ISBLANK(A485),"""",0))"),"")</f>
        <v/>
      </c>
      <c r="T485" s="56" t="str">
        <f>IFERROR(__xludf.DUMMYFUNCTION("IFERROR((COUNTIF(FILTER(Data!N:N, Data!B:B=A485),""LOW"")) / (COUNTIF(Data!B:B, A485)),"""")"),"")</f>
        <v/>
      </c>
      <c r="U485" s="59" t="str">
        <f>IFERROR(__xludf.DUMMYFUNCTION("IFERROR((COUNTIF(FILTER(Data!N:N, Data!B:B=A485),""MIDDLE"")) / (COUNTIF(Data!B:B, A485)),"""")"),"")</f>
        <v/>
      </c>
      <c r="V485" s="59" t="str">
        <f>IFERROR(__xludf.DUMMYFUNCTION("IFERROR((COUNTIF(FILTER(Data!N:N, Data!B:B=A485),""HIGH"")) / (COUNTIF(Data!B:B, A485)),"""")"),"")</f>
        <v/>
      </c>
      <c r="W485" s="59" t="str">
        <f>IFERROR(__xludf.DUMMYFUNCTION("IFERROR((COUNTIF(FILTER(Data!N:N, Data!B:B=A485),""TRAVERSE"")) / (COUNTIF(Data!B:B, A485)),"""")"),"")</f>
        <v/>
      </c>
      <c r="X485" s="59"/>
      <c r="Y485" s="45" t="str">
        <f t="shared" si="7"/>
        <v/>
      </c>
      <c r="Z485" s="45" t="str">
        <f t="shared" si="8"/>
        <v/>
      </c>
      <c r="AA485" s="16" t="str">
        <f t="shared" si="9"/>
        <v/>
      </c>
      <c r="AB485" s="16"/>
      <c r="AC485" s="16"/>
      <c r="AD485" s="16"/>
      <c r="AE485" s="16" t="str">
        <f t="shared" si="12"/>
        <v/>
      </c>
      <c r="AF485" s="16" t="str">
        <f t="shared" si="13"/>
        <v/>
      </c>
      <c r="AG485" s="44"/>
      <c r="AH485" s="44"/>
      <c r="AI485" s="44" t="str">
        <f>IFERROR(__xludf.DUMMYFUNCTION("TEXTJOIN("", "",TRUE, FILTER(Data!P:P, Data!B:B=A485))"),"")</f>
        <v/>
      </c>
      <c r="AM485" s="61"/>
      <c r="BC485" s="50"/>
    </row>
    <row r="486">
      <c r="A486" s="14"/>
      <c r="B486" s="55" t="str">
        <f>IFERROR(__xludf.DUMMYFUNCTION("IFERROR(ROUND(
(COUNTIF(FILTER(Data!O:O, Data!B:B=A486), ""Win"")
+ COUNTIF(FILTER(Data!O:O, Data!B:B=A486), {""Tie"",""Results""}))
/ (COUNTIF(Data!B:B, A486)),
1),"""")"),"")</f>
        <v/>
      </c>
      <c r="C486" s="45" t="str">
        <f>IFERROR((SUMIF(Data!B:B, A486, Data!H:H)
/ (COUNTIF(Data!B:B, A486)
)),"")</f>
        <v/>
      </c>
      <c r="D486" s="45" t="str">
        <f>IFERROR((SUMIF(Data!B:B, A486, Data!G:G)
/ (COUNTIF(Data!B:B, A486)
)),"")</f>
        <v/>
      </c>
      <c r="E486" s="45"/>
      <c r="F486" s="45" t="str">
        <f>IFERROR((SUMIF(Data!B:B, A486, Data!J:J)
/ (COUNTIF(Data!B:B, A486)
)),"")</f>
        <v/>
      </c>
      <c r="G486" s="56" t="str">
        <f>IF(A486="","",IFERROR((((((SUMIF(Data!B:B, A486, Data!H:H)+(SUMIF(Data!B:B, A486,Data!G:G)))/(SUMIF(Data!B:B, A486, Data!J:J)))))),0))</f>
        <v/>
      </c>
      <c r="H486" s="45"/>
      <c r="I486" s="45"/>
      <c r="J486" s="45"/>
      <c r="K486" s="45"/>
      <c r="L486" s="45" t="str">
        <f>IFERROR((SUMIF(Data!B:B, A486, Data!L:L)
/ (COUNTIF(Data!B:B, A486)
)),"")</f>
        <v/>
      </c>
      <c r="M486" s="45" t="str">
        <f>IFERROR((SUMIF(Data!B:B, A486, Data!K:K)
/ (COUNTIF(Data!B:B, A486)
)),"")</f>
        <v/>
      </c>
      <c r="N486" s="56"/>
      <c r="O486" s="56" t="str">
        <f>IF(A486="","",IFERROR((((((SUMIF(Data!B:B, A486, Data!H:H)+(SUMIF(Data!B:B, A486,Data!G:G)+(SUMIF(Data!B:B, A486,Data!L:L)+(SUMIF(Data!B:B, A486,Data!K:K)))))/(SUMIF(Data!B:B, A486, Data!M:M)+(SUMIF(Data!B:B, A486, Data!H:H)+(SUMIF(Data!B:B, A486,Data!G:G)+(SUMIF(Data!B:B, A486,Data!K:K)+(SUMIF(Data!B:B, A486,Data!L:L)))))))))),0))</f>
        <v/>
      </c>
      <c r="P486" s="57" t="str">
        <f>IFERROR(__xludf.DUMMYFUNCTION("IFERROR(((COUNTIF(FILTER(Data!N:N,Data!B:B=A486),""TRAVERSE"")*15)+(COUNTIF(FILTER(Data!N:N,Data!B:B=A486),""HIGH"")*10)+(COUNTIF(FILTER(Data!N:N,Data!B:B=A486),""MIDDLE"")*6)+(COUNTIF(FILTER(Data!N:N,Data!B:B=A486),""LOW"")*4)) / (COUNTIF(Data!B:B, A486)"&amp;"),"""")"),"")</f>
        <v/>
      </c>
      <c r="Q486" s="58"/>
      <c r="R486" s="58"/>
      <c r="S486" s="58" t="str">
        <f>IFERROR(__xludf.DUMMYFUNCTION("IFERROR((((COUNTIF(FILTER(Data!N:N,Data!B:B=A486),""TRAVERSE""))+(COUNTIF(FILTER(Data!N:N,Data!B:B=A486),""HIGH""))+(COUNTIF(FILTER(Data!N:N,Data!B:B=A486),""MIDDLE""))+(COUNTIF(FILTER(Data!N:N,Data!B:B=A486),""LOW"")))) / (((COUNTIF(Data!B:B, A486)))-(CO"&amp;"UNTIF(FILTER(Data!N:N,Data!B:B=A486),""NONE""))),IF(ISBLANK(A486),"""",0))"),"")</f>
        <v/>
      </c>
      <c r="T486" s="56" t="str">
        <f>IFERROR(__xludf.DUMMYFUNCTION("IFERROR((COUNTIF(FILTER(Data!N:N, Data!B:B=A486),""LOW"")) / (COUNTIF(Data!B:B, A486)),"""")"),"")</f>
        <v/>
      </c>
      <c r="U486" s="59" t="str">
        <f>IFERROR(__xludf.DUMMYFUNCTION("IFERROR((COUNTIF(FILTER(Data!N:N, Data!B:B=A486),""MIDDLE"")) / (COUNTIF(Data!B:B, A486)),"""")"),"")</f>
        <v/>
      </c>
      <c r="V486" s="59" t="str">
        <f>IFERROR(__xludf.DUMMYFUNCTION("IFERROR((COUNTIF(FILTER(Data!N:N, Data!B:B=A486),""HIGH"")) / (COUNTIF(Data!B:B, A486)),"""")"),"")</f>
        <v/>
      </c>
      <c r="W486" s="59" t="str">
        <f>IFERROR(__xludf.DUMMYFUNCTION("IFERROR((COUNTIF(FILTER(Data!N:N, Data!B:B=A486),""TRAVERSE"")) / (COUNTIF(Data!B:B, A486)),"""")"),"")</f>
        <v/>
      </c>
      <c r="X486" s="59"/>
      <c r="Y486" s="45" t="str">
        <f t="shared" si="7"/>
        <v/>
      </c>
      <c r="Z486" s="45" t="str">
        <f t="shared" si="8"/>
        <v/>
      </c>
      <c r="AA486" s="16" t="str">
        <f t="shared" si="9"/>
        <v/>
      </c>
      <c r="AB486" s="16"/>
      <c r="AC486" s="16"/>
      <c r="AD486" s="16"/>
      <c r="AE486" s="16" t="str">
        <f t="shared" si="12"/>
        <v/>
      </c>
      <c r="AF486" s="16" t="str">
        <f t="shared" si="13"/>
        <v/>
      </c>
      <c r="AG486" s="44"/>
      <c r="AH486" s="44"/>
      <c r="AI486" s="44" t="str">
        <f>IFERROR(__xludf.DUMMYFUNCTION("TEXTJOIN("", "",TRUE, FILTER(Data!P:P, Data!B:B=A486))"),"")</f>
        <v/>
      </c>
      <c r="AM486" s="61"/>
      <c r="BC486" s="50"/>
    </row>
    <row r="487">
      <c r="A487" s="14"/>
      <c r="B487" s="55" t="str">
        <f>IFERROR(__xludf.DUMMYFUNCTION("IFERROR(ROUND(
(COUNTIF(FILTER(Data!O:O, Data!B:B=A487), ""Win"")
+ COUNTIF(FILTER(Data!O:O, Data!B:B=A487), {""Tie"",""Results""}))
/ (COUNTIF(Data!B:B, A487)),
1),"""")"),"")</f>
        <v/>
      </c>
      <c r="C487" s="45" t="str">
        <f>IFERROR((SUMIF(Data!B:B, A487, Data!H:H)
/ (COUNTIF(Data!B:B, A487)
)),"")</f>
        <v/>
      </c>
      <c r="D487" s="45" t="str">
        <f>IFERROR((SUMIF(Data!B:B, A487, Data!G:G)
/ (COUNTIF(Data!B:B, A487)
)),"")</f>
        <v/>
      </c>
      <c r="E487" s="45"/>
      <c r="F487" s="45" t="str">
        <f>IFERROR((SUMIF(Data!B:B, A487, Data!J:J)
/ (COUNTIF(Data!B:B, A487)
)),"")</f>
        <v/>
      </c>
      <c r="G487" s="56" t="str">
        <f>IF(A487="","",IFERROR((((((SUMIF(Data!B:B, A487, Data!H:H)+(SUMIF(Data!B:B, A487,Data!G:G)))/(SUMIF(Data!B:B, A487, Data!J:J)))))),0))</f>
        <v/>
      </c>
      <c r="H487" s="45"/>
      <c r="I487" s="45"/>
      <c r="J487" s="45"/>
      <c r="K487" s="45"/>
      <c r="L487" s="45" t="str">
        <f>IFERROR((SUMIF(Data!B:B, A487, Data!L:L)
/ (COUNTIF(Data!B:B, A487)
)),"")</f>
        <v/>
      </c>
      <c r="M487" s="45" t="str">
        <f>IFERROR((SUMIF(Data!B:B, A487, Data!K:K)
/ (COUNTIF(Data!B:B, A487)
)),"")</f>
        <v/>
      </c>
      <c r="N487" s="56"/>
      <c r="O487" s="56" t="str">
        <f>IF(A487="","",IFERROR((((((SUMIF(Data!B:B, A487, Data!H:H)+(SUMIF(Data!B:B, A487,Data!G:G)+(SUMIF(Data!B:B, A487,Data!L:L)+(SUMIF(Data!B:B, A487,Data!K:K)))))/(SUMIF(Data!B:B, A487, Data!M:M)+(SUMIF(Data!B:B, A487, Data!H:H)+(SUMIF(Data!B:B, A487,Data!G:G)+(SUMIF(Data!B:B, A487,Data!K:K)+(SUMIF(Data!B:B, A487,Data!L:L)))))))))),0))</f>
        <v/>
      </c>
      <c r="P487" s="57" t="str">
        <f>IFERROR(__xludf.DUMMYFUNCTION("IFERROR(((COUNTIF(FILTER(Data!N:N,Data!B:B=A487),""TRAVERSE"")*15)+(COUNTIF(FILTER(Data!N:N,Data!B:B=A487),""HIGH"")*10)+(COUNTIF(FILTER(Data!N:N,Data!B:B=A487),""MIDDLE"")*6)+(COUNTIF(FILTER(Data!N:N,Data!B:B=A487),""LOW"")*4)) / (COUNTIF(Data!B:B, A487)"&amp;"),"""")"),"")</f>
        <v/>
      </c>
      <c r="Q487" s="58"/>
      <c r="R487" s="58"/>
      <c r="S487" s="58" t="str">
        <f>IFERROR(__xludf.DUMMYFUNCTION("IFERROR((((COUNTIF(FILTER(Data!N:N,Data!B:B=A487),""TRAVERSE""))+(COUNTIF(FILTER(Data!N:N,Data!B:B=A487),""HIGH""))+(COUNTIF(FILTER(Data!N:N,Data!B:B=A487),""MIDDLE""))+(COUNTIF(FILTER(Data!N:N,Data!B:B=A487),""LOW"")))) / (((COUNTIF(Data!B:B, A487)))-(CO"&amp;"UNTIF(FILTER(Data!N:N,Data!B:B=A487),""NONE""))),IF(ISBLANK(A487),"""",0))"),"")</f>
        <v/>
      </c>
      <c r="T487" s="56" t="str">
        <f>IFERROR(__xludf.DUMMYFUNCTION("IFERROR((COUNTIF(FILTER(Data!N:N, Data!B:B=A487),""LOW"")) / (COUNTIF(Data!B:B, A487)),"""")"),"")</f>
        <v/>
      </c>
      <c r="U487" s="59" t="str">
        <f>IFERROR(__xludf.DUMMYFUNCTION("IFERROR((COUNTIF(FILTER(Data!N:N, Data!B:B=A487),""MIDDLE"")) / (COUNTIF(Data!B:B, A487)),"""")"),"")</f>
        <v/>
      </c>
      <c r="V487" s="59" t="str">
        <f>IFERROR(__xludf.DUMMYFUNCTION("IFERROR((COUNTIF(FILTER(Data!N:N, Data!B:B=A487),""HIGH"")) / (COUNTIF(Data!B:B, A487)),"""")"),"")</f>
        <v/>
      </c>
      <c r="W487" s="59" t="str">
        <f>IFERROR(__xludf.DUMMYFUNCTION("IFERROR((COUNTIF(FILTER(Data!N:N, Data!B:B=A487),""TRAVERSE"")) / (COUNTIF(Data!B:B, A487)),"""")"),"")</f>
        <v/>
      </c>
      <c r="X487" s="59"/>
      <c r="Y487" s="45" t="str">
        <f t="shared" si="7"/>
        <v/>
      </c>
      <c r="Z487" s="45" t="str">
        <f t="shared" si="8"/>
        <v/>
      </c>
      <c r="AA487" s="16" t="str">
        <f t="shared" si="9"/>
        <v/>
      </c>
      <c r="AB487" s="16"/>
      <c r="AC487" s="16"/>
      <c r="AD487" s="16"/>
      <c r="AE487" s="16" t="str">
        <f t="shared" si="12"/>
        <v/>
      </c>
      <c r="AF487" s="16" t="str">
        <f t="shared" si="13"/>
        <v/>
      </c>
      <c r="AG487" s="44"/>
      <c r="AH487" s="44"/>
      <c r="AI487" s="44" t="str">
        <f>IFERROR(__xludf.DUMMYFUNCTION("TEXTJOIN("", "",TRUE, FILTER(Data!P:P, Data!B:B=A487))"),"")</f>
        <v/>
      </c>
      <c r="AM487" s="61"/>
      <c r="BC487" s="50"/>
    </row>
    <row r="488">
      <c r="A488" s="14"/>
      <c r="B488" s="55" t="str">
        <f>IFERROR(__xludf.DUMMYFUNCTION("IFERROR(ROUND(
(COUNTIF(FILTER(Data!O:O, Data!B:B=A488), ""Win"")
+ COUNTIF(FILTER(Data!O:O, Data!B:B=A488), {""Tie"",""Results""}))
/ (COUNTIF(Data!B:B, A488)),
1),"""")"),"")</f>
        <v/>
      </c>
      <c r="C488" s="45" t="str">
        <f>IFERROR((SUMIF(Data!B:B, A488, Data!H:H)
/ (COUNTIF(Data!B:B, A488)
)),"")</f>
        <v/>
      </c>
      <c r="D488" s="45" t="str">
        <f>IFERROR((SUMIF(Data!B:B, A488, Data!G:G)
/ (COUNTIF(Data!B:B, A488)
)),"")</f>
        <v/>
      </c>
      <c r="E488" s="45"/>
      <c r="F488" s="45" t="str">
        <f>IFERROR((SUMIF(Data!B:B, A488, Data!J:J)
/ (COUNTIF(Data!B:B, A488)
)),"")</f>
        <v/>
      </c>
      <c r="G488" s="56" t="str">
        <f>IF(A488="","",IFERROR((((((SUMIF(Data!B:B, A488, Data!H:H)+(SUMIF(Data!B:B, A488,Data!G:G)))/(SUMIF(Data!B:B, A488, Data!J:J)))))),0))</f>
        <v/>
      </c>
      <c r="H488" s="45"/>
      <c r="I488" s="45"/>
      <c r="J488" s="45"/>
      <c r="K488" s="45"/>
      <c r="L488" s="45" t="str">
        <f>IFERROR((SUMIF(Data!B:B, A488, Data!L:L)
/ (COUNTIF(Data!B:B, A488)
)),"")</f>
        <v/>
      </c>
      <c r="M488" s="45" t="str">
        <f>IFERROR((SUMIF(Data!B:B, A488, Data!K:K)
/ (COUNTIF(Data!B:B, A488)
)),"")</f>
        <v/>
      </c>
      <c r="N488" s="56"/>
      <c r="O488" s="56" t="str">
        <f>IF(A488="","",IFERROR((((((SUMIF(Data!B:B, A488, Data!H:H)+(SUMIF(Data!B:B, A488,Data!G:G)+(SUMIF(Data!B:B, A488,Data!L:L)+(SUMIF(Data!B:B, A488,Data!K:K)))))/(SUMIF(Data!B:B, A488, Data!M:M)+(SUMIF(Data!B:B, A488, Data!H:H)+(SUMIF(Data!B:B, A488,Data!G:G)+(SUMIF(Data!B:B, A488,Data!K:K)+(SUMIF(Data!B:B, A488,Data!L:L)))))))))),0))</f>
        <v/>
      </c>
      <c r="P488" s="57" t="str">
        <f>IFERROR(__xludf.DUMMYFUNCTION("IFERROR(((COUNTIF(FILTER(Data!N:N,Data!B:B=A488),""TRAVERSE"")*15)+(COUNTIF(FILTER(Data!N:N,Data!B:B=A488),""HIGH"")*10)+(COUNTIF(FILTER(Data!N:N,Data!B:B=A488),""MIDDLE"")*6)+(COUNTIF(FILTER(Data!N:N,Data!B:B=A488),""LOW"")*4)) / (COUNTIF(Data!B:B, A488)"&amp;"),"""")"),"")</f>
        <v/>
      </c>
      <c r="Q488" s="58"/>
      <c r="R488" s="58"/>
      <c r="S488" s="58" t="str">
        <f>IFERROR(__xludf.DUMMYFUNCTION("IFERROR((((COUNTIF(FILTER(Data!N:N,Data!B:B=A488),""TRAVERSE""))+(COUNTIF(FILTER(Data!N:N,Data!B:B=A488),""HIGH""))+(COUNTIF(FILTER(Data!N:N,Data!B:B=A488),""MIDDLE""))+(COUNTIF(FILTER(Data!N:N,Data!B:B=A488),""LOW"")))) / (((COUNTIF(Data!B:B, A488)))-(CO"&amp;"UNTIF(FILTER(Data!N:N,Data!B:B=A488),""NONE""))),IF(ISBLANK(A488),"""",0))"),"")</f>
        <v/>
      </c>
      <c r="T488" s="56" t="str">
        <f>IFERROR(__xludf.DUMMYFUNCTION("IFERROR((COUNTIF(FILTER(Data!N:N, Data!B:B=A488),""LOW"")) / (COUNTIF(Data!B:B, A488)),"""")"),"")</f>
        <v/>
      </c>
      <c r="U488" s="59" t="str">
        <f>IFERROR(__xludf.DUMMYFUNCTION("IFERROR((COUNTIF(FILTER(Data!N:N, Data!B:B=A488),""MIDDLE"")) / (COUNTIF(Data!B:B, A488)),"""")"),"")</f>
        <v/>
      </c>
      <c r="V488" s="59" t="str">
        <f>IFERROR(__xludf.DUMMYFUNCTION("IFERROR((COUNTIF(FILTER(Data!N:N, Data!B:B=A488),""HIGH"")) / (COUNTIF(Data!B:B, A488)),"""")"),"")</f>
        <v/>
      </c>
      <c r="W488" s="59" t="str">
        <f>IFERROR(__xludf.DUMMYFUNCTION("IFERROR((COUNTIF(FILTER(Data!N:N, Data!B:B=A488),""TRAVERSE"")) / (COUNTIF(Data!B:B, A488)),"""")"),"")</f>
        <v/>
      </c>
      <c r="X488" s="59"/>
      <c r="Y488" s="45" t="str">
        <f t="shared" si="7"/>
        <v/>
      </c>
      <c r="Z488" s="45" t="str">
        <f t="shared" si="8"/>
        <v/>
      </c>
      <c r="AA488" s="16" t="str">
        <f t="shared" si="9"/>
        <v/>
      </c>
      <c r="AB488" s="16"/>
      <c r="AC488" s="16"/>
      <c r="AD488" s="16"/>
      <c r="AE488" s="16" t="str">
        <f t="shared" si="12"/>
        <v/>
      </c>
      <c r="AF488" s="16" t="str">
        <f t="shared" si="13"/>
        <v/>
      </c>
      <c r="AG488" s="44"/>
      <c r="AH488" s="44"/>
      <c r="AI488" s="44" t="str">
        <f>IFERROR(__xludf.DUMMYFUNCTION("TEXTJOIN("", "",TRUE, FILTER(Data!P:P, Data!B:B=A488))"),"")</f>
        <v/>
      </c>
      <c r="AM488" s="61"/>
      <c r="BC488" s="50"/>
    </row>
    <row r="489">
      <c r="A489" s="14"/>
      <c r="B489" s="55" t="str">
        <f>IFERROR(__xludf.DUMMYFUNCTION("IFERROR(ROUND(
(COUNTIF(FILTER(Data!O:O, Data!B:B=A489), ""Win"")
+ COUNTIF(FILTER(Data!O:O, Data!B:B=A489), {""Tie"",""Results""}))
/ (COUNTIF(Data!B:B, A489)),
1),"""")"),"")</f>
        <v/>
      </c>
      <c r="C489" s="45" t="str">
        <f>IFERROR((SUMIF(Data!B:B, A489, Data!H:H)
/ (COUNTIF(Data!B:B, A489)
)),"")</f>
        <v/>
      </c>
      <c r="D489" s="45" t="str">
        <f>IFERROR((SUMIF(Data!B:B, A489, Data!G:G)
/ (COUNTIF(Data!B:B, A489)
)),"")</f>
        <v/>
      </c>
      <c r="E489" s="45"/>
      <c r="F489" s="45" t="str">
        <f>IFERROR((SUMIF(Data!B:B, A489, Data!J:J)
/ (COUNTIF(Data!B:B, A489)
)),"")</f>
        <v/>
      </c>
      <c r="G489" s="56" t="str">
        <f>IF(A489="","",IFERROR((((((SUMIF(Data!B:B, A489, Data!H:H)+(SUMIF(Data!B:B, A489,Data!G:G)))/(SUMIF(Data!B:B, A489, Data!J:J)))))),0))</f>
        <v/>
      </c>
      <c r="H489" s="45"/>
      <c r="I489" s="45"/>
      <c r="J489" s="45"/>
      <c r="K489" s="45"/>
      <c r="L489" s="45" t="str">
        <f>IFERROR((SUMIF(Data!B:B, A489, Data!L:L)
/ (COUNTIF(Data!B:B, A489)
)),"")</f>
        <v/>
      </c>
      <c r="M489" s="45" t="str">
        <f>IFERROR((SUMIF(Data!B:B, A489, Data!K:K)
/ (COUNTIF(Data!B:B, A489)
)),"")</f>
        <v/>
      </c>
      <c r="N489" s="56"/>
      <c r="O489" s="56" t="str">
        <f>IF(A489="","",IFERROR((((((SUMIF(Data!B:B, A489, Data!H:H)+(SUMIF(Data!B:B, A489,Data!G:G)+(SUMIF(Data!B:B, A489,Data!L:L)+(SUMIF(Data!B:B, A489,Data!K:K)))))/(SUMIF(Data!B:B, A489, Data!M:M)+(SUMIF(Data!B:B, A489, Data!H:H)+(SUMIF(Data!B:B, A489,Data!G:G)+(SUMIF(Data!B:B, A489,Data!K:K)+(SUMIF(Data!B:B, A489,Data!L:L)))))))))),0))</f>
        <v/>
      </c>
      <c r="P489" s="57" t="str">
        <f>IFERROR(__xludf.DUMMYFUNCTION("IFERROR(((COUNTIF(FILTER(Data!N:N,Data!B:B=A489),""TRAVERSE"")*15)+(COUNTIF(FILTER(Data!N:N,Data!B:B=A489),""HIGH"")*10)+(COUNTIF(FILTER(Data!N:N,Data!B:B=A489),""MIDDLE"")*6)+(COUNTIF(FILTER(Data!N:N,Data!B:B=A489),""LOW"")*4)) / (COUNTIF(Data!B:B, A489)"&amp;"),"""")"),"")</f>
        <v/>
      </c>
      <c r="Q489" s="58"/>
      <c r="R489" s="58"/>
      <c r="S489" s="58" t="str">
        <f>IFERROR(__xludf.DUMMYFUNCTION("IFERROR((((COUNTIF(FILTER(Data!N:N,Data!B:B=A489),""TRAVERSE""))+(COUNTIF(FILTER(Data!N:N,Data!B:B=A489),""HIGH""))+(COUNTIF(FILTER(Data!N:N,Data!B:B=A489),""MIDDLE""))+(COUNTIF(FILTER(Data!N:N,Data!B:B=A489),""LOW"")))) / (((COUNTIF(Data!B:B, A489)))-(CO"&amp;"UNTIF(FILTER(Data!N:N,Data!B:B=A489),""NONE""))),IF(ISBLANK(A489),"""",0))"),"")</f>
        <v/>
      </c>
      <c r="T489" s="56" t="str">
        <f>IFERROR(__xludf.DUMMYFUNCTION("IFERROR((COUNTIF(FILTER(Data!N:N, Data!B:B=A489),""LOW"")) / (COUNTIF(Data!B:B, A489)),"""")"),"")</f>
        <v/>
      </c>
      <c r="U489" s="59" t="str">
        <f>IFERROR(__xludf.DUMMYFUNCTION("IFERROR((COUNTIF(FILTER(Data!N:N, Data!B:B=A489),""MIDDLE"")) / (COUNTIF(Data!B:B, A489)),"""")"),"")</f>
        <v/>
      </c>
      <c r="V489" s="59" t="str">
        <f>IFERROR(__xludf.DUMMYFUNCTION("IFERROR((COUNTIF(FILTER(Data!N:N, Data!B:B=A489),""HIGH"")) / (COUNTIF(Data!B:B, A489)),"""")"),"")</f>
        <v/>
      </c>
      <c r="W489" s="59" t="str">
        <f>IFERROR(__xludf.DUMMYFUNCTION("IFERROR((COUNTIF(FILTER(Data!N:N, Data!B:B=A489),""TRAVERSE"")) / (COUNTIF(Data!B:B, A489)),"""")"),"")</f>
        <v/>
      </c>
      <c r="X489" s="59"/>
      <c r="Y489" s="45" t="str">
        <f t="shared" si="7"/>
        <v/>
      </c>
      <c r="Z489" s="45" t="str">
        <f t="shared" si="8"/>
        <v/>
      </c>
      <c r="AA489" s="16" t="str">
        <f t="shared" si="9"/>
        <v/>
      </c>
      <c r="AB489" s="16"/>
      <c r="AC489" s="16"/>
      <c r="AD489" s="16"/>
      <c r="AE489" s="16" t="str">
        <f t="shared" si="12"/>
        <v/>
      </c>
      <c r="AF489" s="16" t="str">
        <f t="shared" si="13"/>
        <v/>
      </c>
      <c r="AG489" s="44"/>
      <c r="AH489" s="44"/>
      <c r="AI489" s="44" t="str">
        <f>IFERROR(__xludf.DUMMYFUNCTION("TEXTJOIN("", "",TRUE, FILTER(Data!P:P, Data!B:B=A489))"),"")</f>
        <v/>
      </c>
      <c r="AM489" s="61"/>
      <c r="BC489" s="50"/>
    </row>
    <row r="490">
      <c r="A490" s="14"/>
      <c r="B490" s="55" t="str">
        <f>IFERROR(__xludf.DUMMYFUNCTION("IFERROR(ROUND(
(COUNTIF(FILTER(Data!O:O, Data!B:B=A490), ""Win"")
+ COUNTIF(FILTER(Data!O:O, Data!B:B=A490), {""Tie"",""Results""}))
/ (COUNTIF(Data!B:B, A490)),
1),"""")"),"")</f>
        <v/>
      </c>
      <c r="C490" s="45" t="str">
        <f>IFERROR((SUMIF(Data!B:B, A490, Data!H:H)
/ (COUNTIF(Data!B:B, A490)
)),"")</f>
        <v/>
      </c>
      <c r="D490" s="45" t="str">
        <f>IFERROR((SUMIF(Data!B:B, A490, Data!G:G)
/ (COUNTIF(Data!B:B, A490)
)),"")</f>
        <v/>
      </c>
      <c r="E490" s="45"/>
      <c r="F490" s="45" t="str">
        <f>IFERROR((SUMIF(Data!B:B, A490, Data!J:J)
/ (COUNTIF(Data!B:B, A490)
)),"")</f>
        <v/>
      </c>
      <c r="G490" s="56" t="str">
        <f>IF(A490="","",IFERROR((((((SUMIF(Data!B:B, A490, Data!H:H)+(SUMIF(Data!B:B, A490,Data!G:G)))/(SUMIF(Data!B:B, A490, Data!J:J)))))),0))</f>
        <v/>
      </c>
      <c r="H490" s="45"/>
      <c r="I490" s="45"/>
      <c r="J490" s="45"/>
      <c r="K490" s="45"/>
      <c r="L490" s="45" t="str">
        <f>IFERROR((SUMIF(Data!B:B, A490, Data!L:L)
/ (COUNTIF(Data!B:B, A490)
)),"")</f>
        <v/>
      </c>
      <c r="M490" s="45" t="str">
        <f>IFERROR((SUMIF(Data!B:B, A490, Data!K:K)
/ (COUNTIF(Data!B:B, A490)
)),"")</f>
        <v/>
      </c>
      <c r="N490" s="56"/>
      <c r="O490" s="56" t="str">
        <f>IF(A490="","",IFERROR((((((SUMIF(Data!B:B, A490, Data!H:H)+(SUMIF(Data!B:B, A490,Data!G:G)+(SUMIF(Data!B:B, A490,Data!L:L)+(SUMIF(Data!B:B, A490,Data!K:K)))))/(SUMIF(Data!B:B, A490, Data!M:M)+(SUMIF(Data!B:B, A490, Data!H:H)+(SUMIF(Data!B:B, A490,Data!G:G)+(SUMIF(Data!B:B, A490,Data!K:K)+(SUMIF(Data!B:B, A490,Data!L:L)))))))))),0))</f>
        <v/>
      </c>
      <c r="P490" s="57" t="str">
        <f>IFERROR(__xludf.DUMMYFUNCTION("IFERROR(((COUNTIF(FILTER(Data!N:N,Data!B:B=A490),""TRAVERSE"")*15)+(COUNTIF(FILTER(Data!N:N,Data!B:B=A490),""HIGH"")*10)+(COUNTIF(FILTER(Data!N:N,Data!B:B=A490),""MIDDLE"")*6)+(COUNTIF(FILTER(Data!N:N,Data!B:B=A490),""LOW"")*4)) / (COUNTIF(Data!B:B, A490)"&amp;"),"""")"),"")</f>
        <v/>
      </c>
      <c r="Q490" s="58"/>
      <c r="R490" s="58"/>
      <c r="S490" s="58" t="str">
        <f>IFERROR(__xludf.DUMMYFUNCTION("IFERROR((((COUNTIF(FILTER(Data!N:N,Data!B:B=A490),""TRAVERSE""))+(COUNTIF(FILTER(Data!N:N,Data!B:B=A490),""HIGH""))+(COUNTIF(FILTER(Data!N:N,Data!B:B=A490),""MIDDLE""))+(COUNTIF(FILTER(Data!N:N,Data!B:B=A490),""LOW"")))) / (((COUNTIF(Data!B:B, A490)))-(CO"&amp;"UNTIF(FILTER(Data!N:N,Data!B:B=A490),""NONE""))),IF(ISBLANK(A490),"""",0))"),"")</f>
        <v/>
      </c>
      <c r="T490" s="56" t="str">
        <f>IFERROR(__xludf.DUMMYFUNCTION("IFERROR((COUNTIF(FILTER(Data!N:N, Data!B:B=A490),""LOW"")) / (COUNTIF(Data!B:B, A490)),"""")"),"")</f>
        <v/>
      </c>
      <c r="U490" s="59" t="str">
        <f>IFERROR(__xludf.DUMMYFUNCTION("IFERROR((COUNTIF(FILTER(Data!N:N, Data!B:B=A490),""MIDDLE"")) / (COUNTIF(Data!B:B, A490)),"""")"),"")</f>
        <v/>
      </c>
      <c r="V490" s="59" t="str">
        <f>IFERROR(__xludf.DUMMYFUNCTION("IFERROR((COUNTIF(FILTER(Data!N:N, Data!B:B=A490),""HIGH"")) / (COUNTIF(Data!B:B, A490)),"""")"),"")</f>
        <v/>
      </c>
      <c r="W490" s="59" t="str">
        <f>IFERROR(__xludf.DUMMYFUNCTION("IFERROR((COUNTIF(FILTER(Data!N:N, Data!B:B=A490),""TRAVERSE"")) / (COUNTIF(Data!B:B, A490)),"""")"),"")</f>
        <v/>
      </c>
      <c r="X490" s="59"/>
      <c r="Y490" s="45" t="str">
        <f t="shared" si="7"/>
        <v/>
      </c>
      <c r="Z490" s="45" t="str">
        <f t="shared" si="8"/>
        <v/>
      </c>
      <c r="AA490" s="16" t="str">
        <f t="shared" si="9"/>
        <v/>
      </c>
      <c r="AB490" s="16"/>
      <c r="AC490" s="16"/>
      <c r="AD490" s="16"/>
      <c r="AE490" s="16" t="str">
        <f t="shared" si="12"/>
        <v/>
      </c>
      <c r="AF490" s="16" t="str">
        <f t="shared" si="13"/>
        <v/>
      </c>
      <c r="AG490" s="44"/>
      <c r="AH490" s="44"/>
      <c r="AI490" s="44" t="str">
        <f>IFERROR(__xludf.DUMMYFUNCTION("TEXTJOIN("", "",TRUE, FILTER(Data!P:P, Data!B:B=A490))"),"")</f>
        <v/>
      </c>
      <c r="AM490" s="61"/>
      <c r="BC490" s="50"/>
    </row>
    <row r="491">
      <c r="A491" s="14"/>
      <c r="B491" s="55" t="str">
        <f>IFERROR(__xludf.DUMMYFUNCTION("IFERROR(ROUND(
(COUNTIF(FILTER(Data!O:O, Data!B:B=A491), ""Win"")
+ COUNTIF(FILTER(Data!O:O, Data!B:B=A491), {""Tie"",""Results""}))
/ (COUNTIF(Data!B:B, A491)),
1),"""")"),"")</f>
        <v/>
      </c>
      <c r="C491" s="45" t="str">
        <f>IFERROR((SUMIF(Data!B:B, A491, Data!H:H)
/ (COUNTIF(Data!B:B, A491)
)),"")</f>
        <v/>
      </c>
      <c r="D491" s="45" t="str">
        <f>IFERROR((SUMIF(Data!B:B, A491, Data!G:G)
/ (COUNTIF(Data!B:B, A491)
)),"")</f>
        <v/>
      </c>
      <c r="E491" s="45"/>
      <c r="F491" s="45" t="str">
        <f>IFERROR((SUMIF(Data!B:B, A491, Data!J:J)
/ (COUNTIF(Data!B:B, A491)
)),"")</f>
        <v/>
      </c>
      <c r="G491" s="56" t="str">
        <f>IF(A491="","",IFERROR((((((SUMIF(Data!B:B, A491, Data!H:H)+(SUMIF(Data!B:B, A491,Data!G:G)))/(SUMIF(Data!B:B, A491, Data!J:J)))))),0))</f>
        <v/>
      </c>
      <c r="H491" s="45"/>
      <c r="I491" s="45"/>
      <c r="J491" s="45"/>
      <c r="K491" s="45"/>
      <c r="L491" s="45" t="str">
        <f>IFERROR((SUMIF(Data!B:B, A491, Data!L:L)
/ (COUNTIF(Data!B:B, A491)
)),"")</f>
        <v/>
      </c>
      <c r="M491" s="45" t="str">
        <f>IFERROR((SUMIF(Data!B:B, A491, Data!K:K)
/ (COUNTIF(Data!B:B, A491)
)),"")</f>
        <v/>
      </c>
      <c r="N491" s="56"/>
      <c r="O491" s="56" t="str">
        <f>IF(A491="","",IFERROR((((((SUMIF(Data!B:B, A491, Data!H:H)+(SUMIF(Data!B:B, A491,Data!G:G)+(SUMIF(Data!B:B, A491,Data!L:L)+(SUMIF(Data!B:B, A491,Data!K:K)))))/(SUMIF(Data!B:B, A491, Data!M:M)+(SUMIF(Data!B:B, A491, Data!H:H)+(SUMIF(Data!B:B, A491,Data!G:G)+(SUMIF(Data!B:B, A491,Data!K:K)+(SUMIF(Data!B:B, A491,Data!L:L)))))))))),0))</f>
        <v/>
      </c>
      <c r="P491" s="57" t="str">
        <f>IFERROR(__xludf.DUMMYFUNCTION("IFERROR(((COUNTIF(FILTER(Data!N:N,Data!B:B=A491),""TRAVERSE"")*15)+(COUNTIF(FILTER(Data!N:N,Data!B:B=A491),""HIGH"")*10)+(COUNTIF(FILTER(Data!N:N,Data!B:B=A491),""MIDDLE"")*6)+(COUNTIF(FILTER(Data!N:N,Data!B:B=A491),""LOW"")*4)) / (COUNTIF(Data!B:B, A491)"&amp;"),"""")"),"")</f>
        <v/>
      </c>
      <c r="Q491" s="58"/>
      <c r="R491" s="58"/>
      <c r="S491" s="58" t="str">
        <f>IFERROR(__xludf.DUMMYFUNCTION("IFERROR((((COUNTIF(FILTER(Data!N:N,Data!B:B=A491),""TRAVERSE""))+(COUNTIF(FILTER(Data!N:N,Data!B:B=A491),""HIGH""))+(COUNTIF(FILTER(Data!N:N,Data!B:B=A491),""MIDDLE""))+(COUNTIF(FILTER(Data!N:N,Data!B:B=A491),""LOW"")))) / (((COUNTIF(Data!B:B, A491)))-(CO"&amp;"UNTIF(FILTER(Data!N:N,Data!B:B=A491),""NONE""))),IF(ISBLANK(A491),"""",0))"),"")</f>
        <v/>
      </c>
      <c r="T491" s="56" t="str">
        <f>IFERROR(__xludf.DUMMYFUNCTION("IFERROR((COUNTIF(FILTER(Data!N:N, Data!B:B=A491),""LOW"")) / (COUNTIF(Data!B:B, A491)),"""")"),"")</f>
        <v/>
      </c>
      <c r="U491" s="59" t="str">
        <f>IFERROR(__xludf.DUMMYFUNCTION("IFERROR((COUNTIF(FILTER(Data!N:N, Data!B:B=A491),""MIDDLE"")) / (COUNTIF(Data!B:B, A491)),"""")"),"")</f>
        <v/>
      </c>
      <c r="V491" s="59" t="str">
        <f>IFERROR(__xludf.DUMMYFUNCTION("IFERROR((COUNTIF(FILTER(Data!N:N, Data!B:B=A491),""HIGH"")) / (COUNTIF(Data!B:B, A491)),"""")"),"")</f>
        <v/>
      </c>
      <c r="W491" s="59" t="str">
        <f>IFERROR(__xludf.DUMMYFUNCTION("IFERROR((COUNTIF(FILTER(Data!N:N, Data!B:B=A491),""TRAVERSE"")) / (COUNTIF(Data!B:B, A491)),"""")"),"")</f>
        <v/>
      </c>
      <c r="X491" s="59"/>
      <c r="Y491" s="45" t="str">
        <f t="shared" si="7"/>
        <v/>
      </c>
      <c r="Z491" s="45" t="str">
        <f t="shared" si="8"/>
        <v/>
      </c>
      <c r="AA491" s="16" t="str">
        <f t="shared" si="9"/>
        <v/>
      </c>
      <c r="AB491" s="16"/>
      <c r="AC491" s="16"/>
      <c r="AD491" s="16"/>
      <c r="AE491" s="16" t="str">
        <f t="shared" si="12"/>
        <v/>
      </c>
      <c r="AF491" s="16" t="str">
        <f t="shared" si="13"/>
        <v/>
      </c>
      <c r="AG491" s="44"/>
      <c r="AH491" s="44"/>
      <c r="AI491" s="44" t="str">
        <f>IFERROR(__xludf.DUMMYFUNCTION("TEXTJOIN("", "",TRUE, FILTER(Data!P:P, Data!B:B=A491))"),"")</f>
        <v/>
      </c>
      <c r="AM491" s="61"/>
      <c r="BC491" s="50"/>
    </row>
    <row r="492">
      <c r="A492" s="14"/>
      <c r="B492" s="55" t="str">
        <f>IFERROR(__xludf.DUMMYFUNCTION("IFERROR(ROUND(
(COUNTIF(FILTER(Data!O:O, Data!B:B=A492), ""Win"")
+ COUNTIF(FILTER(Data!O:O, Data!B:B=A492), {""Tie"",""Results""}))
/ (COUNTIF(Data!B:B, A492)),
1),"""")"),"")</f>
        <v/>
      </c>
      <c r="C492" s="45" t="str">
        <f>IFERROR((SUMIF(Data!B:B, A492, Data!H:H)
/ (COUNTIF(Data!B:B, A492)
)),"")</f>
        <v/>
      </c>
      <c r="D492" s="45" t="str">
        <f>IFERROR((SUMIF(Data!B:B, A492, Data!G:G)
/ (COUNTIF(Data!B:B, A492)
)),"")</f>
        <v/>
      </c>
      <c r="E492" s="45"/>
      <c r="F492" s="45" t="str">
        <f>IFERROR((SUMIF(Data!B:B, A492, Data!J:J)
/ (COUNTIF(Data!B:B, A492)
)),"")</f>
        <v/>
      </c>
      <c r="G492" s="56" t="str">
        <f>IF(A492="","",IFERROR((((((SUMIF(Data!B:B, A492, Data!H:H)+(SUMIF(Data!B:B, A492,Data!G:G)))/(SUMIF(Data!B:B, A492, Data!J:J)))))),0))</f>
        <v/>
      </c>
      <c r="H492" s="45"/>
      <c r="I492" s="45"/>
      <c r="J492" s="45"/>
      <c r="K492" s="45"/>
      <c r="L492" s="45" t="str">
        <f>IFERROR((SUMIF(Data!B:B, A492, Data!L:L)
/ (COUNTIF(Data!B:B, A492)
)),"")</f>
        <v/>
      </c>
      <c r="M492" s="45" t="str">
        <f>IFERROR((SUMIF(Data!B:B, A492, Data!K:K)
/ (COUNTIF(Data!B:B, A492)
)),"")</f>
        <v/>
      </c>
      <c r="N492" s="56"/>
      <c r="O492" s="56" t="str">
        <f>IF(A492="","",IFERROR((((((SUMIF(Data!B:B, A492, Data!H:H)+(SUMIF(Data!B:B, A492,Data!G:G)+(SUMIF(Data!B:B, A492,Data!L:L)+(SUMIF(Data!B:B, A492,Data!K:K)))))/(SUMIF(Data!B:B, A492, Data!M:M)+(SUMIF(Data!B:B, A492, Data!H:H)+(SUMIF(Data!B:B, A492,Data!G:G)+(SUMIF(Data!B:B, A492,Data!K:K)+(SUMIF(Data!B:B, A492,Data!L:L)))))))))),0))</f>
        <v/>
      </c>
      <c r="P492" s="57" t="str">
        <f>IFERROR(__xludf.DUMMYFUNCTION("IFERROR(((COUNTIF(FILTER(Data!N:N,Data!B:B=A492),""TRAVERSE"")*15)+(COUNTIF(FILTER(Data!N:N,Data!B:B=A492),""HIGH"")*10)+(COUNTIF(FILTER(Data!N:N,Data!B:B=A492),""MIDDLE"")*6)+(COUNTIF(FILTER(Data!N:N,Data!B:B=A492),""LOW"")*4)) / (COUNTIF(Data!B:B, A492)"&amp;"),"""")"),"")</f>
        <v/>
      </c>
      <c r="Q492" s="58"/>
      <c r="R492" s="58"/>
      <c r="S492" s="58" t="str">
        <f>IFERROR(__xludf.DUMMYFUNCTION("IFERROR((((COUNTIF(FILTER(Data!N:N,Data!B:B=A492),""TRAVERSE""))+(COUNTIF(FILTER(Data!N:N,Data!B:B=A492),""HIGH""))+(COUNTIF(FILTER(Data!N:N,Data!B:B=A492),""MIDDLE""))+(COUNTIF(FILTER(Data!N:N,Data!B:B=A492),""LOW"")))) / (((COUNTIF(Data!B:B, A492)))-(CO"&amp;"UNTIF(FILTER(Data!N:N,Data!B:B=A492),""NONE""))),IF(ISBLANK(A492),"""",0))"),"")</f>
        <v/>
      </c>
      <c r="T492" s="56" t="str">
        <f>IFERROR(__xludf.DUMMYFUNCTION("IFERROR((COUNTIF(FILTER(Data!N:N, Data!B:B=A492),""LOW"")) / (COUNTIF(Data!B:B, A492)),"""")"),"")</f>
        <v/>
      </c>
      <c r="U492" s="59" t="str">
        <f>IFERROR(__xludf.DUMMYFUNCTION("IFERROR((COUNTIF(FILTER(Data!N:N, Data!B:B=A492),""MIDDLE"")) / (COUNTIF(Data!B:B, A492)),"""")"),"")</f>
        <v/>
      </c>
      <c r="V492" s="59" t="str">
        <f>IFERROR(__xludf.DUMMYFUNCTION("IFERROR((COUNTIF(FILTER(Data!N:N, Data!B:B=A492),""HIGH"")) / (COUNTIF(Data!B:B, A492)),"""")"),"")</f>
        <v/>
      </c>
      <c r="W492" s="59" t="str">
        <f>IFERROR(__xludf.DUMMYFUNCTION("IFERROR((COUNTIF(FILTER(Data!N:N, Data!B:B=A492),""TRAVERSE"")) / (COUNTIF(Data!B:B, A492)),"""")"),"")</f>
        <v/>
      </c>
      <c r="X492" s="59"/>
      <c r="Y492" s="45" t="str">
        <f t="shared" si="7"/>
        <v/>
      </c>
      <c r="Z492" s="45" t="str">
        <f t="shared" si="8"/>
        <v/>
      </c>
      <c r="AA492" s="16" t="str">
        <f t="shared" si="9"/>
        <v/>
      </c>
      <c r="AB492" s="16"/>
      <c r="AC492" s="16"/>
      <c r="AD492" s="16"/>
      <c r="AE492" s="16" t="str">
        <f t="shared" si="12"/>
        <v/>
      </c>
      <c r="AF492" s="16" t="str">
        <f t="shared" si="13"/>
        <v/>
      </c>
      <c r="AG492" s="44"/>
      <c r="AH492" s="44"/>
      <c r="AI492" s="44" t="str">
        <f>IFERROR(__xludf.DUMMYFUNCTION("TEXTJOIN("", "",TRUE, FILTER(Data!P:P, Data!B:B=A492))"),"")</f>
        <v/>
      </c>
      <c r="AM492" s="61"/>
      <c r="BC492" s="50"/>
    </row>
    <row r="493">
      <c r="A493" s="14"/>
      <c r="B493" s="55" t="str">
        <f>IFERROR(__xludf.DUMMYFUNCTION("IFERROR(ROUND(
(COUNTIF(FILTER(Data!O:O, Data!B:B=A493), ""Win"")
+ COUNTIF(FILTER(Data!O:O, Data!B:B=A493), {""Tie"",""Results""}))
/ (COUNTIF(Data!B:B, A493)),
1),"""")"),"")</f>
        <v/>
      </c>
      <c r="C493" s="45" t="str">
        <f>IFERROR((SUMIF(Data!B:B, A493, Data!H:H)
/ (COUNTIF(Data!B:B, A493)
)),"")</f>
        <v/>
      </c>
      <c r="D493" s="45" t="str">
        <f>IFERROR((SUMIF(Data!B:B, A493, Data!G:G)
/ (COUNTIF(Data!B:B, A493)
)),"")</f>
        <v/>
      </c>
      <c r="E493" s="45"/>
      <c r="F493" s="45" t="str">
        <f>IFERROR((SUMIF(Data!B:B, A493, Data!J:J)
/ (COUNTIF(Data!B:B, A493)
)),"")</f>
        <v/>
      </c>
      <c r="G493" s="56" t="str">
        <f>IF(A493="","",IFERROR((((((SUMIF(Data!B:B, A493, Data!H:H)+(SUMIF(Data!B:B, A493,Data!G:G)))/(SUMIF(Data!B:B, A493, Data!J:J)))))),0))</f>
        <v/>
      </c>
      <c r="H493" s="45"/>
      <c r="I493" s="45"/>
      <c r="J493" s="45"/>
      <c r="K493" s="45"/>
      <c r="L493" s="45" t="str">
        <f>IFERROR((SUMIF(Data!B:B, A493, Data!L:L)
/ (COUNTIF(Data!B:B, A493)
)),"")</f>
        <v/>
      </c>
      <c r="M493" s="45" t="str">
        <f>IFERROR((SUMIF(Data!B:B, A493, Data!K:K)
/ (COUNTIF(Data!B:B, A493)
)),"")</f>
        <v/>
      </c>
      <c r="N493" s="56"/>
      <c r="O493" s="56" t="str">
        <f>IF(A493="","",IFERROR((((((SUMIF(Data!B:B, A493, Data!H:H)+(SUMIF(Data!B:B, A493,Data!G:G)+(SUMIF(Data!B:B, A493,Data!L:L)+(SUMIF(Data!B:B, A493,Data!K:K)))))/(SUMIF(Data!B:B, A493, Data!M:M)+(SUMIF(Data!B:B, A493, Data!H:H)+(SUMIF(Data!B:B, A493,Data!G:G)+(SUMIF(Data!B:B, A493,Data!K:K)+(SUMIF(Data!B:B, A493,Data!L:L)))))))))),0))</f>
        <v/>
      </c>
      <c r="P493" s="57" t="str">
        <f>IFERROR(__xludf.DUMMYFUNCTION("IFERROR(((COUNTIF(FILTER(Data!N:N,Data!B:B=A493),""TRAVERSE"")*15)+(COUNTIF(FILTER(Data!N:N,Data!B:B=A493),""HIGH"")*10)+(COUNTIF(FILTER(Data!N:N,Data!B:B=A493),""MIDDLE"")*6)+(COUNTIF(FILTER(Data!N:N,Data!B:B=A493),""LOW"")*4)) / (COUNTIF(Data!B:B, A493)"&amp;"),"""")"),"")</f>
        <v/>
      </c>
      <c r="Q493" s="58"/>
      <c r="R493" s="58"/>
      <c r="S493" s="58" t="str">
        <f>IFERROR(__xludf.DUMMYFUNCTION("IFERROR((((COUNTIF(FILTER(Data!N:N,Data!B:B=A493),""TRAVERSE""))+(COUNTIF(FILTER(Data!N:N,Data!B:B=A493),""HIGH""))+(COUNTIF(FILTER(Data!N:N,Data!B:B=A493),""MIDDLE""))+(COUNTIF(FILTER(Data!N:N,Data!B:B=A493),""LOW"")))) / (((COUNTIF(Data!B:B, A493)))-(CO"&amp;"UNTIF(FILTER(Data!N:N,Data!B:B=A493),""NONE""))),IF(ISBLANK(A493),"""",0))"),"")</f>
        <v/>
      </c>
      <c r="T493" s="56" t="str">
        <f>IFERROR(__xludf.DUMMYFUNCTION("IFERROR((COUNTIF(FILTER(Data!N:N, Data!B:B=A493),""LOW"")) / (COUNTIF(Data!B:B, A493)),"""")"),"")</f>
        <v/>
      </c>
      <c r="U493" s="59" t="str">
        <f>IFERROR(__xludf.DUMMYFUNCTION("IFERROR((COUNTIF(FILTER(Data!N:N, Data!B:B=A493),""MIDDLE"")) / (COUNTIF(Data!B:B, A493)),"""")"),"")</f>
        <v/>
      </c>
      <c r="V493" s="59" t="str">
        <f>IFERROR(__xludf.DUMMYFUNCTION("IFERROR((COUNTIF(FILTER(Data!N:N, Data!B:B=A493),""HIGH"")) / (COUNTIF(Data!B:B, A493)),"""")"),"")</f>
        <v/>
      </c>
      <c r="W493" s="59" t="str">
        <f>IFERROR(__xludf.DUMMYFUNCTION("IFERROR((COUNTIF(FILTER(Data!N:N, Data!B:B=A493),""TRAVERSE"")) / (COUNTIF(Data!B:B, A493)),"""")"),"")</f>
        <v/>
      </c>
      <c r="X493" s="59"/>
      <c r="Y493" s="45" t="str">
        <f t="shared" si="7"/>
        <v/>
      </c>
      <c r="Z493" s="45" t="str">
        <f t="shared" si="8"/>
        <v/>
      </c>
      <c r="AA493" s="16" t="str">
        <f t="shared" si="9"/>
        <v/>
      </c>
      <c r="AB493" s="16"/>
      <c r="AC493" s="16"/>
      <c r="AD493" s="16"/>
      <c r="AE493" s="16" t="str">
        <f t="shared" si="12"/>
        <v/>
      </c>
      <c r="AF493" s="16" t="str">
        <f t="shared" si="13"/>
        <v/>
      </c>
      <c r="AG493" s="44"/>
      <c r="AH493" s="44"/>
      <c r="AI493" s="44" t="str">
        <f>IFERROR(__xludf.DUMMYFUNCTION("TEXTJOIN("", "",TRUE, FILTER(Data!P:P, Data!B:B=A493))"),"")</f>
        <v/>
      </c>
      <c r="AM493" s="61"/>
      <c r="BC493" s="50"/>
    </row>
    <row r="494">
      <c r="A494" s="14"/>
      <c r="B494" s="55" t="str">
        <f>IFERROR(__xludf.DUMMYFUNCTION("IFERROR(ROUND(
(COUNTIF(FILTER(Data!O:O, Data!B:B=A494), ""Win"")
+ COUNTIF(FILTER(Data!O:O, Data!B:B=A494), {""Tie"",""Results""}))
/ (COUNTIF(Data!B:B, A494)),
1),"""")"),"")</f>
        <v/>
      </c>
      <c r="C494" s="45" t="str">
        <f>IFERROR((SUMIF(Data!B:B, A494, Data!H:H)
/ (COUNTIF(Data!B:B, A494)
)),"")</f>
        <v/>
      </c>
      <c r="D494" s="45" t="str">
        <f>IFERROR((SUMIF(Data!B:B, A494, Data!G:G)
/ (COUNTIF(Data!B:B, A494)
)),"")</f>
        <v/>
      </c>
      <c r="E494" s="45"/>
      <c r="F494" s="45" t="str">
        <f>IFERROR((SUMIF(Data!B:B, A494, Data!J:J)
/ (COUNTIF(Data!B:B, A494)
)),"")</f>
        <v/>
      </c>
      <c r="G494" s="56" t="str">
        <f>IF(A494="","",IFERROR((((((SUMIF(Data!B:B, A494, Data!H:H)+(SUMIF(Data!B:B, A494,Data!G:G)))/(SUMIF(Data!B:B, A494, Data!J:J)))))),0))</f>
        <v/>
      </c>
      <c r="H494" s="45"/>
      <c r="I494" s="45"/>
      <c r="J494" s="45"/>
      <c r="K494" s="45"/>
      <c r="L494" s="45" t="str">
        <f>IFERROR((SUMIF(Data!B:B, A494, Data!L:L)
/ (COUNTIF(Data!B:B, A494)
)),"")</f>
        <v/>
      </c>
      <c r="M494" s="45" t="str">
        <f>IFERROR((SUMIF(Data!B:B, A494, Data!K:K)
/ (COUNTIF(Data!B:B, A494)
)),"")</f>
        <v/>
      </c>
      <c r="N494" s="56"/>
      <c r="O494" s="56" t="str">
        <f>IF(A494="","",IFERROR((((((SUMIF(Data!B:B, A494, Data!H:H)+(SUMIF(Data!B:B, A494,Data!G:G)+(SUMIF(Data!B:B, A494,Data!L:L)+(SUMIF(Data!B:B, A494,Data!K:K)))))/(SUMIF(Data!B:B, A494, Data!M:M)+(SUMIF(Data!B:B, A494, Data!H:H)+(SUMIF(Data!B:B, A494,Data!G:G)+(SUMIF(Data!B:B, A494,Data!K:K)+(SUMIF(Data!B:B, A494,Data!L:L)))))))))),0))</f>
        <v/>
      </c>
      <c r="P494" s="57" t="str">
        <f>IFERROR(__xludf.DUMMYFUNCTION("IFERROR(((COUNTIF(FILTER(Data!N:N,Data!B:B=A494),""TRAVERSE"")*15)+(COUNTIF(FILTER(Data!N:N,Data!B:B=A494),""HIGH"")*10)+(COUNTIF(FILTER(Data!N:N,Data!B:B=A494),""MIDDLE"")*6)+(COUNTIF(FILTER(Data!N:N,Data!B:B=A494),""LOW"")*4)) / (COUNTIF(Data!B:B, A494)"&amp;"),"""")"),"")</f>
        <v/>
      </c>
      <c r="Q494" s="58"/>
      <c r="R494" s="58"/>
      <c r="S494" s="58" t="str">
        <f>IFERROR(__xludf.DUMMYFUNCTION("IFERROR((((COUNTIF(FILTER(Data!N:N,Data!B:B=A494),""TRAVERSE""))+(COUNTIF(FILTER(Data!N:N,Data!B:B=A494),""HIGH""))+(COUNTIF(FILTER(Data!N:N,Data!B:B=A494),""MIDDLE""))+(COUNTIF(FILTER(Data!N:N,Data!B:B=A494),""LOW"")))) / (((COUNTIF(Data!B:B, A494)))-(CO"&amp;"UNTIF(FILTER(Data!N:N,Data!B:B=A494),""NONE""))),IF(ISBLANK(A494),"""",0))"),"")</f>
        <v/>
      </c>
      <c r="T494" s="56" t="str">
        <f>IFERROR(__xludf.DUMMYFUNCTION("IFERROR((COUNTIF(FILTER(Data!N:N, Data!B:B=A494),""LOW"")) / (COUNTIF(Data!B:B, A494)),"""")"),"")</f>
        <v/>
      </c>
      <c r="U494" s="59" t="str">
        <f>IFERROR(__xludf.DUMMYFUNCTION("IFERROR((COUNTIF(FILTER(Data!N:N, Data!B:B=A494),""MIDDLE"")) / (COUNTIF(Data!B:B, A494)),"""")"),"")</f>
        <v/>
      </c>
      <c r="V494" s="59" t="str">
        <f>IFERROR(__xludf.DUMMYFUNCTION("IFERROR((COUNTIF(FILTER(Data!N:N, Data!B:B=A494),""HIGH"")) / (COUNTIF(Data!B:B, A494)),"""")"),"")</f>
        <v/>
      </c>
      <c r="W494" s="59" t="str">
        <f>IFERROR(__xludf.DUMMYFUNCTION("IFERROR((COUNTIF(FILTER(Data!N:N, Data!B:B=A494),""TRAVERSE"")) / (COUNTIF(Data!B:B, A494)),"""")"),"")</f>
        <v/>
      </c>
      <c r="X494" s="59"/>
      <c r="Y494" s="45" t="str">
        <f t="shared" si="7"/>
        <v/>
      </c>
      <c r="Z494" s="45" t="str">
        <f t="shared" si="8"/>
        <v/>
      </c>
      <c r="AA494" s="16" t="str">
        <f t="shared" si="9"/>
        <v/>
      </c>
      <c r="AB494" s="16"/>
      <c r="AC494" s="16"/>
      <c r="AD494" s="16"/>
      <c r="AE494" s="16" t="str">
        <f t="shared" si="12"/>
        <v/>
      </c>
      <c r="AF494" s="16" t="str">
        <f t="shared" si="13"/>
        <v/>
      </c>
      <c r="AG494" s="44"/>
      <c r="AH494" s="44"/>
      <c r="AI494" s="44" t="str">
        <f>IFERROR(__xludf.DUMMYFUNCTION("TEXTJOIN("", "",TRUE, FILTER(Data!P:P, Data!B:B=A494))"),"")</f>
        <v/>
      </c>
      <c r="AM494" s="61"/>
      <c r="BC494" s="50"/>
    </row>
    <row r="495">
      <c r="A495" s="14"/>
      <c r="B495" s="55" t="str">
        <f>IFERROR(__xludf.DUMMYFUNCTION("IFERROR(ROUND(
(COUNTIF(FILTER(Data!O:O, Data!B:B=A495), ""Win"")
+ COUNTIF(FILTER(Data!O:O, Data!B:B=A495), {""Tie"",""Results""}))
/ (COUNTIF(Data!B:B, A495)),
1),"""")"),"")</f>
        <v/>
      </c>
      <c r="C495" s="45" t="str">
        <f>IFERROR((SUMIF(Data!B:B, A495, Data!H:H)
/ (COUNTIF(Data!B:B, A495)
)),"")</f>
        <v/>
      </c>
      <c r="D495" s="45" t="str">
        <f>IFERROR((SUMIF(Data!B:B, A495, Data!G:G)
/ (COUNTIF(Data!B:B, A495)
)),"")</f>
        <v/>
      </c>
      <c r="E495" s="45"/>
      <c r="F495" s="45" t="str">
        <f>IFERROR((SUMIF(Data!B:B, A495, Data!J:J)
/ (COUNTIF(Data!B:B, A495)
)),"")</f>
        <v/>
      </c>
      <c r="G495" s="56" t="str">
        <f>IF(A495="","",IFERROR((((((SUMIF(Data!B:B, A495, Data!H:H)+(SUMIF(Data!B:B, A495,Data!G:G)))/(SUMIF(Data!B:B, A495, Data!J:J)))))),0))</f>
        <v/>
      </c>
      <c r="H495" s="45"/>
      <c r="I495" s="45"/>
      <c r="J495" s="45"/>
      <c r="K495" s="45"/>
      <c r="L495" s="45" t="str">
        <f>IFERROR((SUMIF(Data!B:B, A495, Data!L:L)
/ (COUNTIF(Data!B:B, A495)
)),"")</f>
        <v/>
      </c>
      <c r="M495" s="45" t="str">
        <f>IFERROR((SUMIF(Data!B:B, A495, Data!K:K)
/ (COUNTIF(Data!B:B, A495)
)),"")</f>
        <v/>
      </c>
      <c r="N495" s="56"/>
      <c r="O495" s="56" t="str">
        <f>IF(A495="","",IFERROR((((((SUMIF(Data!B:B, A495, Data!H:H)+(SUMIF(Data!B:B, A495,Data!G:G)+(SUMIF(Data!B:B, A495,Data!L:L)+(SUMIF(Data!B:B, A495,Data!K:K)))))/(SUMIF(Data!B:B, A495, Data!M:M)+(SUMIF(Data!B:B, A495, Data!H:H)+(SUMIF(Data!B:B, A495,Data!G:G)+(SUMIF(Data!B:B, A495,Data!K:K)+(SUMIF(Data!B:B, A495,Data!L:L)))))))))),0))</f>
        <v/>
      </c>
      <c r="P495" s="57" t="str">
        <f>IFERROR(__xludf.DUMMYFUNCTION("IFERROR(((COUNTIF(FILTER(Data!N:N,Data!B:B=A495),""TRAVERSE"")*15)+(COUNTIF(FILTER(Data!N:N,Data!B:B=A495),""HIGH"")*10)+(COUNTIF(FILTER(Data!N:N,Data!B:B=A495),""MIDDLE"")*6)+(COUNTIF(FILTER(Data!N:N,Data!B:B=A495),""LOW"")*4)) / (COUNTIF(Data!B:B, A495)"&amp;"),"""")"),"")</f>
        <v/>
      </c>
      <c r="Q495" s="58"/>
      <c r="R495" s="58"/>
      <c r="S495" s="58" t="str">
        <f>IFERROR(__xludf.DUMMYFUNCTION("IFERROR((((COUNTIF(FILTER(Data!N:N,Data!B:B=A495),""TRAVERSE""))+(COUNTIF(FILTER(Data!N:N,Data!B:B=A495),""HIGH""))+(COUNTIF(FILTER(Data!N:N,Data!B:B=A495),""MIDDLE""))+(COUNTIF(FILTER(Data!N:N,Data!B:B=A495),""LOW"")))) / (((COUNTIF(Data!B:B, A495)))-(CO"&amp;"UNTIF(FILTER(Data!N:N,Data!B:B=A495),""NONE""))),IF(ISBLANK(A495),"""",0))"),"")</f>
        <v/>
      </c>
      <c r="T495" s="56" t="str">
        <f>IFERROR(__xludf.DUMMYFUNCTION("IFERROR((COUNTIF(FILTER(Data!N:N, Data!B:B=A495),""LOW"")) / (COUNTIF(Data!B:B, A495)),"""")"),"")</f>
        <v/>
      </c>
      <c r="U495" s="59" t="str">
        <f>IFERROR(__xludf.DUMMYFUNCTION("IFERROR((COUNTIF(FILTER(Data!N:N, Data!B:B=A495),""MIDDLE"")) / (COUNTIF(Data!B:B, A495)),"""")"),"")</f>
        <v/>
      </c>
      <c r="V495" s="59" t="str">
        <f>IFERROR(__xludf.DUMMYFUNCTION("IFERROR((COUNTIF(FILTER(Data!N:N, Data!B:B=A495),""HIGH"")) / (COUNTIF(Data!B:B, A495)),"""")"),"")</f>
        <v/>
      </c>
      <c r="W495" s="59" t="str">
        <f>IFERROR(__xludf.DUMMYFUNCTION("IFERROR((COUNTIF(FILTER(Data!N:N, Data!B:B=A495),""TRAVERSE"")) / (COUNTIF(Data!B:B, A495)),"""")"),"")</f>
        <v/>
      </c>
      <c r="X495" s="59"/>
      <c r="Y495" s="45" t="str">
        <f t="shared" si="7"/>
        <v/>
      </c>
      <c r="Z495" s="45" t="str">
        <f t="shared" si="8"/>
        <v/>
      </c>
      <c r="AA495" s="16" t="str">
        <f t="shared" si="9"/>
        <v/>
      </c>
      <c r="AB495" s="16"/>
      <c r="AC495" s="16"/>
      <c r="AD495" s="16"/>
      <c r="AE495" s="16" t="str">
        <f t="shared" si="12"/>
        <v/>
      </c>
      <c r="AF495" s="16" t="str">
        <f t="shared" si="13"/>
        <v/>
      </c>
      <c r="AG495" s="44"/>
      <c r="AH495" s="44"/>
      <c r="AI495" s="44" t="str">
        <f>IFERROR(__xludf.DUMMYFUNCTION("TEXTJOIN("", "",TRUE, FILTER(Data!P:P, Data!B:B=A495))"),"")</f>
        <v/>
      </c>
      <c r="AM495" s="61"/>
      <c r="BC495" s="50"/>
    </row>
    <row r="496">
      <c r="A496" s="14"/>
      <c r="B496" s="55" t="str">
        <f>IFERROR(__xludf.DUMMYFUNCTION("IFERROR(ROUND(
(COUNTIF(FILTER(Data!O:O, Data!B:B=A496), ""Win"")
+ COUNTIF(FILTER(Data!O:O, Data!B:B=A496), {""Tie"",""Results""}))
/ (COUNTIF(Data!B:B, A496)),
1),"""")"),"")</f>
        <v/>
      </c>
      <c r="C496" s="45" t="str">
        <f>IFERROR((SUMIF(Data!B:B, A496, Data!H:H)
/ (COUNTIF(Data!B:B, A496)
)),"")</f>
        <v/>
      </c>
      <c r="D496" s="45" t="str">
        <f>IFERROR((SUMIF(Data!B:B, A496, Data!G:G)
/ (COUNTIF(Data!B:B, A496)
)),"")</f>
        <v/>
      </c>
      <c r="E496" s="45"/>
      <c r="F496" s="45" t="str">
        <f>IFERROR((SUMIF(Data!B:B, A496, Data!J:J)
/ (COUNTIF(Data!B:B, A496)
)),"")</f>
        <v/>
      </c>
      <c r="G496" s="56" t="str">
        <f>IF(A496="","",IFERROR((((((SUMIF(Data!B:B, A496, Data!H:H)+(SUMIF(Data!B:B, A496,Data!G:G)))/(SUMIF(Data!B:B, A496, Data!J:J)))))),0))</f>
        <v/>
      </c>
      <c r="H496" s="45"/>
      <c r="I496" s="45"/>
      <c r="J496" s="45"/>
      <c r="K496" s="45"/>
      <c r="L496" s="45" t="str">
        <f>IFERROR((SUMIF(Data!B:B, A496, Data!L:L)
/ (COUNTIF(Data!B:B, A496)
)),"")</f>
        <v/>
      </c>
      <c r="M496" s="45" t="str">
        <f>IFERROR((SUMIF(Data!B:B, A496, Data!K:K)
/ (COUNTIF(Data!B:B, A496)
)),"")</f>
        <v/>
      </c>
      <c r="N496" s="56"/>
      <c r="O496" s="56" t="str">
        <f>IF(A496="","",IFERROR((((((SUMIF(Data!B:B, A496, Data!H:H)+(SUMIF(Data!B:B, A496,Data!G:G)+(SUMIF(Data!B:B, A496,Data!L:L)+(SUMIF(Data!B:B, A496,Data!K:K)))))/(SUMIF(Data!B:B, A496, Data!M:M)+(SUMIF(Data!B:B, A496, Data!H:H)+(SUMIF(Data!B:B, A496,Data!G:G)+(SUMIF(Data!B:B, A496,Data!K:K)+(SUMIF(Data!B:B, A496,Data!L:L)))))))))),0))</f>
        <v/>
      </c>
      <c r="P496" s="57" t="str">
        <f>IFERROR(__xludf.DUMMYFUNCTION("IFERROR(((COUNTIF(FILTER(Data!N:N,Data!B:B=A496),""TRAVERSE"")*15)+(COUNTIF(FILTER(Data!N:N,Data!B:B=A496),""HIGH"")*10)+(COUNTIF(FILTER(Data!N:N,Data!B:B=A496),""MIDDLE"")*6)+(COUNTIF(FILTER(Data!N:N,Data!B:B=A496),""LOW"")*4)) / (COUNTIF(Data!B:B, A496)"&amp;"),"""")"),"")</f>
        <v/>
      </c>
      <c r="Q496" s="58"/>
      <c r="R496" s="58"/>
      <c r="S496" s="58" t="str">
        <f>IFERROR(__xludf.DUMMYFUNCTION("IFERROR((((COUNTIF(FILTER(Data!N:N,Data!B:B=A496),""TRAVERSE""))+(COUNTIF(FILTER(Data!N:N,Data!B:B=A496),""HIGH""))+(COUNTIF(FILTER(Data!N:N,Data!B:B=A496),""MIDDLE""))+(COUNTIF(FILTER(Data!N:N,Data!B:B=A496),""LOW"")))) / (((COUNTIF(Data!B:B, A496)))-(CO"&amp;"UNTIF(FILTER(Data!N:N,Data!B:B=A496),""NONE""))),IF(ISBLANK(A496),"""",0))"),"")</f>
        <v/>
      </c>
      <c r="T496" s="56" t="str">
        <f>IFERROR(__xludf.DUMMYFUNCTION("IFERROR((COUNTIF(FILTER(Data!N:N, Data!B:B=A496),""LOW"")) / (COUNTIF(Data!B:B, A496)),"""")"),"")</f>
        <v/>
      </c>
      <c r="U496" s="59" t="str">
        <f>IFERROR(__xludf.DUMMYFUNCTION("IFERROR((COUNTIF(FILTER(Data!N:N, Data!B:B=A496),""MIDDLE"")) / (COUNTIF(Data!B:B, A496)),"""")"),"")</f>
        <v/>
      </c>
      <c r="V496" s="59" t="str">
        <f>IFERROR(__xludf.DUMMYFUNCTION("IFERROR((COUNTIF(FILTER(Data!N:N, Data!B:B=A496),""HIGH"")) / (COUNTIF(Data!B:B, A496)),"""")"),"")</f>
        <v/>
      </c>
      <c r="W496" s="59" t="str">
        <f>IFERROR(__xludf.DUMMYFUNCTION("IFERROR((COUNTIF(FILTER(Data!N:N, Data!B:B=A496),""TRAVERSE"")) / (COUNTIF(Data!B:B, A496)),"""")"),"")</f>
        <v/>
      </c>
      <c r="X496" s="59"/>
      <c r="Y496" s="45" t="str">
        <f t="shared" si="7"/>
        <v/>
      </c>
      <c r="Z496" s="45" t="str">
        <f t="shared" si="8"/>
        <v/>
      </c>
      <c r="AA496" s="16" t="str">
        <f t="shared" si="9"/>
        <v/>
      </c>
      <c r="AB496" s="16"/>
      <c r="AC496" s="16"/>
      <c r="AD496" s="16"/>
      <c r="AE496" s="16" t="str">
        <f t="shared" si="12"/>
        <v/>
      </c>
      <c r="AF496" s="16" t="str">
        <f t="shared" si="13"/>
        <v/>
      </c>
      <c r="AG496" s="44"/>
      <c r="AH496" s="44"/>
      <c r="AI496" s="44" t="str">
        <f>IFERROR(__xludf.DUMMYFUNCTION("TEXTJOIN("", "",TRUE, FILTER(Data!P:P, Data!B:B=A496))"),"")</f>
        <v/>
      </c>
      <c r="AM496" s="61"/>
      <c r="BC496" s="50"/>
    </row>
    <row r="497">
      <c r="A497" s="14"/>
      <c r="B497" s="55" t="str">
        <f>IFERROR(__xludf.DUMMYFUNCTION("IFERROR(ROUND(
(COUNTIF(FILTER(Data!O:O, Data!B:B=A497), ""Win"")
+ COUNTIF(FILTER(Data!O:O, Data!B:B=A497), {""Tie"",""Results""}))
/ (COUNTIF(Data!B:B, A497)),
1),"""")"),"")</f>
        <v/>
      </c>
      <c r="C497" s="45" t="str">
        <f>IFERROR((SUMIF(Data!B:B, A497, Data!H:H)
/ (COUNTIF(Data!B:B, A497)
)),"")</f>
        <v/>
      </c>
      <c r="D497" s="45" t="str">
        <f>IFERROR((SUMIF(Data!B:B, A497, Data!G:G)
/ (COUNTIF(Data!B:B, A497)
)),"")</f>
        <v/>
      </c>
      <c r="E497" s="45"/>
      <c r="F497" s="45" t="str">
        <f>IFERROR((SUMIF(Data!B:B, A497, Data!J:J)
/ (COUNTIF(Data!B:B, A497)
)),"")</f>
        <v/>
      </c>
      <c r="G497" s="56" t="str">
        <f>IF(A497="","",IFERROR((((((SUMIF(Data!B:B, A497, Data!H:H)+(SUMIF(Data!B:B, A497,Data!G:G)))/(SUMIF(Data!B:B, A497, Data!J:J)))))),0))</f>
        <v/>
      </c>
      <c r="H497" s="45"/>
      <c r="I497" s="45"/>
      <c r="J497" s="45"/>
      <c r="K497" s="45"/>
      <c r="L497" s="45" t="str">
        <f>IFERROR((SUMIF(Data!B:B, A497, Data!L:L)
/ (COUNTIF(Data!B:B, A497)
)),"")</f>
        <v/>
      </c>
      <c r="M497" s="45" t="str">
        <f>IFERROR((SUMIF(Data!B:B, A497, Data!K:K)
/ (COUNTIF(Data!B:B, A497)
)),"")</f>
        <v/>
      </c>
      <c r="N497" s="56"/>
      <c r="O497" s="56" t="str">
        <f>IF(A497="","",IFERROR((((((SUMIF(Data!B:B, A497, Data!H:H)+(SUMIF(Data!B:B, A497,Data!G:G)+(SUMIF(Data!B:B, A497,Data!L:L)+(SUMIF(Data!B:B, A497,Data!K:K)))))/(SUMIF(Data!B:B, A497, Data!M:M)+(SUMIF(Data!B:B, A497, Data!H:H)+(SUMIF(Data!B:B, A497,Data!G:G)+(SUMIF(Data!B:B, A497,Data!K:K)+(SUMIF(Data!B:B, A497,Data!L:L)))))))))),0))</f>
        <v/>
      </c>
      <c r="P497" s="57" t="str">
        <f>IFERROR(__xludf.DUMMYFUNCTION("IFERROR(((COUNTIF(FILTER(Data!N:N,Data!B:B=A497),""TRAVERSE"")*15)+(COUNTIF(FILTER(Data!N:N,Data!B:B=A497),""HIGH"")*10)+(COUNTIF(FILTER(Data!N:N,Data!B:B=A497),""MIDDLE"")*6)+(COUNTIF(FILTER(Data!N:N,Data!B:B=A497),""LOW"")*4)) / (COUNTIF(Data!B:B, A497)"&amp;"),"""")"),"")</f>
        <v/>
      </c>
      <c r="Q497" s="58"/>
      <c r="R497" s="58"/>
      <c r="S497" s="58" t="str">
        <f>IFERROR(__xludf.DUMMYFUNCTION("IFERROR((((COUNTIF(FILTER(Data!N:N,Data!B:B=A497),""TRAVERSE""))+(COUNTIF(FILTER(Data!N:N,Data!B:B=A497),""HIGH""))+(COUNTIF(FILTER(Data!N:N,Data!B:B=A497),""MIDDLE""))+(COUNTIF(FILTER(Data!N:N,Data!B:B=A497),""LOW"")))) / (((COUNTIF(Data!B:B, A497)))-(CO"&amp;"UNTIF(FILTER(Data!N:N,Data!B:B=A497),""NONE""))),IF(ISBLANK(A497),"""",0))"),"")</f>
        <v/>
      </c>
      <c r="T497" s="56" t="str">
        <f>IFERROR(__xludf.DUMMYFUNCTION("IFERROR((COUNTIF(FILTER(Data!N:N, Data!B:B=A497),""LOW"")) / (COUNTIF(Data!B:B, A497)),"""")"),"")</f>
        <v/>
      </c>
      <c r="U497" s="59" t="str">
        <f>IFERROR(__xludf.DUMMYFUNCTION("IFERROR((COUNTIF(FILTER(Data!N:N, Data!B:B=A497),""MIDDLE"")) / (COUNTIF(Data!B:B, A497)),"""")"),"")</f>
        <v/>
      </c>
      <c r="V497" s="59" t="str">
        <f>IFERROR(__xludf.DUMMYFUNCTION("IFERROR((COUNTIF(FILTER(Data!N:N, Data!B:B=A497),""HIGH"")) / (COUNTIF(Data!B:B, A497)),"""")"),"")</f>
        <v/>
      </c>
      <c r="W497" s="59" t="str">
        <f>IFERROR(__xludf.DUMMYFUNCTION("IFERROR((COUNTIF(FILTER(Data!N:N, Data!B:B=A497),""TRAVERSE"")) / (COUNTIF(Data!B:B, A497)),"""")"),"")</f>
        <v/>
      </c>
      <c r="X497" s="59"/>
      <c r="Y497" s="45" t="str">
        <f t="shared" si="7"/>
        <v/>
      </c>
      <c r="Z497" s="45" t="str">
        <f t="shared" si="8"/>
        <v/>
      </c>
      <c r="AA497" s="16" t="str">
        <f t="shared" si="9"/>
        <v/>
      </c>
      <c r="AB497" s="16"/>
      <c r="AC497" s="16"/>
      <c r="AD497" s="16"/>
      <c r="AE497" s="16" t="str">
        <f t="shared" si="12"/>
        <v/>
      </c>
      <c r="AF497" s="16" t="str">
        <f t="shared" si="13"/>
        <v/>
      </c>
      <c r="AG497" s="44"/>
      <c r="AH497" s="44"/>
      <c r="AI497" s="44" t="str">
        <f>IFERROR(__xludf.DUMMYFUNCTION("TEXTJOIN("", "",TRUE, FILTER(Data!P:P, Data!B:B=A497))"),"")</f>
        <v/>
      </c>
      <c r="AM497" s="61"/>
      <c r="BC497" s="50"/>
    </row>
    <row r="498">
      <c r="A498" s="14"/>
      <c r="B498" s="55" t="str">
        <f>IFERROR(__xludf.DUMMYFUNCTION("IFERROR(ROUND(
(COUNTIF(FILTER(Data!O:O, Data!B:B=A498), ""Win"")
+ COUNTIF(FILTER(Data!O:O, Data!B:B=A498), {""Tie"",""Results""}))
/ (COUNTIF(Data!B:B, A498)),
1),"""")"),"")</f>
        <v/>
      </c>
      <c r="C498" s="45" t="str">
        <f>IFERROR((SUMIF(Data!B:B, A498, Data!H:H)
/ (COUNTIF(Data!B:B, A498)
)),"")</f>
        <v/>
      </c>
      <c r="D498" s="45" t="str">
        <f>IFERROR((SUMIF(Data!B:B, A498, Data!G:G)
/ (COUNTIF(Data!B:B, A498)
)),"")</f>
        <v/>
      </c>
      <c r="E498" s="45"/>
      <c r="F498" s="45" t="str">
        <f>IFERROR((SUMIF(Data!B:B, A498, Data!J:J)
/ (COUNTIF(Data!B:B, A498)
)),"")</f>
        <v/>
      </c>
      <c r="G498" s="56" t="str">
        <f>IF(A498="","",IFERROR((((((SUMIF(Data!B:B, A498, Data!H:H)+(SUMIF(Data!B:B, A498,Data!G:G)))/(SUMIF(Data!B:B, A498, Data!J:J)))))),0))</f>
        <v/>
      </c>
      <c r="H498" s="45"/>
      <c r="I498" s="45"/>
      <c r="J498" s="45"/>
      <c r="K498" s="45"/>
      <c r="L498" s="45" t="str">
        <f>IFERROR((SUMIF(Data!B:B, A498, Data!L:L)
/ (COUNTIF(Data!B:B, A498)
)),"")</f>
        <v/>
      </c>
      <c r="M498" s="45" t="str">
        <f>IFERROR((SUMIF(Data!B:B, A498, Data!K:K)
/ (COUNTIF(Data!B:B, A498)
)),"")</f>
        <v/>
      </c>
      <c r="N498" s="56"/>
      <c r="O498" s="56" t="str">
        <f>IF(A498="","",IFERROR((((((SUMIF(Data!B:B, A498, Data!H:H)+(SUMIF(Data!B:B, A498,Data!G:G)+(SUMIF(Data!B:B, A498,Data!L:L)+(SUMIF(Data!B:B, A498,Data!K:K)))))/(SUMIF(Data!B:B, A498, Data!M:M)+(SUMIF(Data!B:B, A498, Data!H:H)+(SUMIF(Data!B:B, A498,Data!G:G)+(SUMIF(Data!B:B, A498,Data!K:K)+(SUMIF(Data!B:B, A498,Data!L:L)))))))))),0))</f>
        <v/>
      </c>
      <c r="P498" s="57" t="str">
        <f>IFERROR(__xludf.DUMMYFUNCTION("IFERROR(((COUNTIF(FILTER(Data!N:N,Data!B:B=A498),""TRAVERSE"")*15)+(COUNTIF(FILTER(Data!N:N,Data!B:B=A498),""HIGH"")*10)+(COUNTIF(FILTER(Data!N:N,Data!B:B=A498),""MIDDLE"")*6)+(COUNTIF(FILTER(Data!N:N,Data!B:B=A498),""LOW"")*4)) / (COUNTIF(Data!B:B, A498)"&amp;"),"""")"),"")</f>
        <v/>
      </c>
      <c r="Q498" s="58"/>
      <c r="R498" s="58"/>
      <c r="S498" s="58" t="str">
        <f>IFERROR(__xludf.DUMMYFUNCTION("IFERROR((((COUNTIF(FILTER(Data!N:N,Data!B:B=A498),""TRAVERSE""))+(COUNTIF(FILTER(Data!N:N,Data!B:B=A498),""HIGH""))+(COUNTIF(FILTER(Data!N:N,Data!B:B=A498),""MIDDLE""))+(COUNTIF(FILTER(Data!N:N,Data!B:B=A498),""LOW"")))) / (((COUNTIF(Data!B:B, A498)))-(CO"&amp;"UNTIF(FILTER(Data!N:N,Data!B:B=A498),""NONE""))),IF(ISBLANK(A498),"""",0))"),"")</f>
        <v/>
      </c>
      <c r="T498" s="56" t="str">
        <f>IFERROR(__xludf.DUMMYFUNCTION("IFERROR((COUNTIF(FILTER(Data!N:N, Data!B:B=A498),""LOW"")) / (COUNTIF(Data!B:B, A498)),"""")"),"")</f>
        <v/>
      </c>
      <c r="U498" s="59" t="str">
        <f>IFERROR(__xludf.DUMMYFUNCTION("IFERROR((COUNTIF(FILTER(Data!N:N, Data!B:B=A498),""MIDDLE"")) / (COUNTIF(Data!B:B, A498)),"""")"),"")</f>
        <v/>
      </c>
      <c r="V498" s="59" t="str">
        <f>IFERROR(__xludf.DUMMYFUNCTION("IFERROR((COUNTIF(FILTER(Data!N:N, Data!B:B=A498),""HIGH"")) / (COUNTIF(Data!B:B, A498)),"""")"),"")</f>
        <v/>
      </c>
      <c r="W498" s="59" t="str">
        <f>IFERROR(__xludf.DUMMYFUNCTION("IFERROR((COUNTIF(FILTER(Data!N:N, Data!B:B=A498),""TRAVERSE"")) / (COUNTIF(Data!B:B, A498)),"""")"),"")</f>
        <v/>
      </c>
      <c r="X498" s="59"/>
      <c r="Y498" s="45" t="str">
        <f t="shared" si="7"/>
        <v/>
      </c>
      <c r="Z498" s="45" t="str">
        <f t="shared" si="8"/>
        <v/>
      </c>
      <c r="AA498" s="16" t="str">
        <f t="shared" si="9"/>
        <v/>
      </c>
      <c r="AB498" s="16"/>
      <c r="AC498" s="16"/>
      <c r="AD498" s="16"/>
      <c r="AE498" s="16" t="str">
        <f t="shared" si="12"/>
        <v/>
      </c>
      <c r="AF498" s="16" t="str">
        <f t="shared" si="13"/>
        <v/>
      </c>
      <c r="AG498" s="44"/>
      <c r="AH498" s="44"/>
      <c r="AI498" s="44" t="str">
        <f>IFERROR(__xludf.DUMMYFUNCTION("TEXTJOIN("", "",TRUE, FILTER(Data!P:P, Data!B:B=A498))"),"")</f>
        <v/>
      </c>
      <c r="AM498" s="61"/>
      <c r="BC498" s="50"/>
    </row>
    <row r="499">
      <c r="A499" s="14"/>
      <c r="B499" s="55" t="str">
        <f>IFERROR(__xludf.DUMMYFUNCTION("IFERROR(ROUND(
(COUNTIF(FILTER(Data!O:O, Data!B:B=A499), ""Win"")
+ COUNTIF(FILTER(Data!O:O, Data!B:B=A499), {""Tie"",""Results""}))
/ (COUNTIF(Data!B:B, A499)),
1),"""")"),"")</f>
        <v/>
      </c>
      <c r="C499" s="45" t="str">
        <f>IFERROR((SUMIF(Data!B:B, A499, Data!H:H)
/ (COUNTIF(Data!B:B, A499)
)),"")</f>
        <v/>
      </c>
      <c r="D499" s="45" t="str">
        <f>IFERROR((SUMIF(Data!B:B, A499, Data!G:G)
/ (COUNTIF(Data!B:B, A499)
)),"")</f>
        <v/>
      </c>
      <c r="E499" s="45"/>
      <c r="F499" s="45" t="str">
        <f>IFERROR((SUMIF(Data!B:B, A499, Data!J:J)
/ (COUNTIF(Data!B:B, A499)
)),"")</f>
        <v/>
      </c>
      <c r="G499" s="56" t="str">
        <f>IF(A499="","",IFERROR((((((SUMIF(Data!B:B, A499, Data!H:H)+(SUMIF(Data!B:B, A499,Data!G:G)))/(SUMIF(Data!B:B, A499, Data!J:J)))))),0))</f>
        <v/>
      </c>
      <c r="H499" s="45"/>
      <c r="I499" s="45"/>
      <c r="J499" s="45"/>
      <c r="K499" s="45"/>
      <c r="L499" s="45" t="str">
        <f>IFERROR((SUMIF(Data!B:B, A499, Data!L:L)
/ (COUNTIF(Data!B:B, A499)
)),"")</f>
        <v/>
      </c>
      <c r="M499" s="45" t="str">
        <f>IFERROR((SUMIF(Data!B:B, A499, Data!K:K)
/ (COUNTIF(Data!B:B, A499)
)),"")</f>
        <v/>
      </c>
      <c r="N499" s="56"/>
      <c r="O499" s="56" t="str">
        <f>IF(A499="","",IFERROR((((((SUMIF(Data!B:B, A499, Data!H:H)+(SUMIF(Data!B:B, A499,Data!G:G)+(SUMIF(Data!B:B, A499,Data!L:L)+(SUMIF(Data!B:B, A499,Data!K:K)))))/(SUMIF(Data!B:B, A499, Data!M:M)+(SUMIF(Data!B:B, A499, Data!H:H)+(SUMIF(Data!B:B, A499,Data!G:G)+(SUMIF(Data!B:B, A499,Data!K:K)+(SUMIF(Data!B:B, A499,Data!L:L)))))))))),0))</f>
        <v/>
      </c>
      <c r="P499" s="57" t="str">
        <f>IFERROR(__xludf.DUMMYFUNCTION("IFERROR(((COUNTIF(FILTER(Data!N:N,Data!B:B=A499),""TRAVERSE"")*15)+(COUNTIF(FILTER(Data!N:N,Data!B:B=A499),""HIGH"")*10)+(COUNTIF(FILTER(Data!N:N,Data!B:B=A499),""MIDDLE"")*6)+(COUNTIF(FILTER(Data!N:N,Data!B:B=A499),""LOW"")*4)) / (COUNTIF(Data!B:B, A499)"&amp;"),"""")"),"")</f>
        <v/>
      </c>
      <c r="Q499" s="58"/>
      <c r="R499" s="58"/>
      <c r="S499" s="58" t="str">
        <f>IFERROR(__xludf.DUMMYFUNCTION("IFERROR((((COUNTIF(FILTER(Data!N:N,Data!B:B=A499),""TRAVERSE""))+(COUNTIF(FILTER(Data!N:N,Data!B:B=A499),""HIGH""))+(COUNTIF(FILTER(Data!N:N,Data!B:B=A499),""MIDDLE""))+(COUNTIF(FILTER(Data!N:N,Data!B:B=A499),""LOW"")))) / (((COUNTIF(Data!B:B, A499)))-(CO"&amp;"UNTIF(FILTER(Data!N:N,Data!B:B=A499),""NONE""))),IF(ISBLANK(A499),"""",0))"),"")</f>
        <v/>
      </c>
      <c r="T499" s="56" t="str">
        <f>IFERROR(__xludf.DUMMYFUNCTION("IFERROR((COUNTIF(FILTER(Data!N:N, Data!B:B=A499),""LOW"")) / (COUNTIF(Data!B:B, A499)),"""")"),"")</f>
        <v/>
      </c>
      <c r="U499" s="59" t="str">
        <f>IFERROR(__xludf.DUMMYFUNCTION("IFERROR((COUNTIF(FILTER(Data!N:N, Data!B:B=A499),""MIDDLE"")) / (COUNTIF(Data!B:B, A499)),"""")"),"")</f>
        <v/>
      </c>
      <c r="V499" s="59" t="str">
        <f>IFERROR(__xludf.DUMMYFUNCTION("IFERROR((COUNTIF(FILTER(Data!N:N, Data!B:B=A499),""HIGH"")) / (COUNTIF(Data!B:B, A499)),"""")"),"")</f>
        <v/>
      </c>
      <c r="W499" s="59" t="str">
        <f>IFERROR(__xludf.DUMMYFUNCTION("IFERROR((COUNTIF(FILTER(Data!N:N, Data!B:B=A499),""TRAVERSE"")) / (COUNTIF(Data!B:B, A499)),"""")"),"")</f>
        <v/>
      </c>
      <c r="X499" s="59"/>
      <c r="Y499" s="45" t="str">
        <f t="shared" si="7"/>
        <v/>
      </c>
      <c r="Z499" s="45" t="str">
        <f t="shared" si="8"/>
        <v/>
      </c>
      <c r="AA499" s="16" t="str">
        <f t="shared" si="9"/>
        <v/>
      </c>
      <c r="AB499" s="16"/>
      <c r="AC499" s="16"/>
      <c r="AD499" s="16"/>
      <c r="AE499" s="16" t="str">
        <f t="shared" si="12"/>
        <v/>
      </c>
      <c r="AF499" s="16" t="str">
        <f t="shared" si="13"/>
        <v/>
      </c>
      <c r="AG499" s="44"/>
      <c r="AH499" s="44"/>
      <c r="AI499" s="44" t="str">
        <f>IFERROR(__xludf.DUMMYFUNCTION("TEXTJOIN("", "",TRUE, FILTER(Data!P:P, Data!B:B=A499))"),"")</f>
        <v/>
      </c>
      <c r="AM499" s="61"/>
      <c r="BC499" s="50"/>
    </row>
    <row r="500">
      <c r="A500" s="14"/>
      <c r="B500" s="55" t="str">
        <f>IFERROR(__xludf.DUMMYFUNCTION("IFERROR(ROUND(
(COUNTIF(FILTER(Data!O:O, Data!B:B=A500), ""Win"")
+ COUNTIF(FILTER(Data!O:O, Data!B:B=A500), {""Tie"",""Results""}))
/ (COUNTIF(Data!B:B, A500)),
1),"""")"),"")</f>
        <v/>
      </c>
      <c r="C500" s="45" t="str">
        <f>IFERROR((SUMIF(Data!B:B, A500, Data!H:H)
/ (COUNTIF(Data!B:B, A500)
)),"")</f>
        <v/>
      </c>
      <c r="D500" s="45" t="str">
        <f>IFERROR((SUMIF(Data!B:B, A500, Data!G:G)
/ (COUNTIF(Data!B:B, A500)
)),"")</f>
        <v/>
      </c>
      <c r="E500" s="45"/>
      <c r="F500" s="45" t="str">
        <f>IFERROR((SUMIF(Data!B:B, A500, Data!J:J)
/ (COUNTIF(Data!B:B, A500)
)),"")</f>
        <v/>
      </c>
      <c r="G500" s="56" t="str">
        <f>IF(A500="","",IFERROR((((((SUMIF(Data!B:B, A500, Data!H:H)+(SUMIF(Data!B:B, A500,Data!G:G)))/(SUMIF(Data!B:B, A500, Data!J:J)))))),0))</f>
        <v/>
      </c>
      <c r="H500" s="45"/>
      <c r="I500" s="45"/>
      <c r="J500" s="45"/>
      <c r="K500" s="45"/>
      <c r="L500" s="45" t="str">
        <f>IFERROR((SUMIF(Data!B:B, A500, Data!L:L)
/ (COUNTIF(Data!B:B, A500)
)),"")</f>
        <v/>
      </c>
      <c r="M500" s="45" t="str">
        <f>IFERROR((SUMIF(Data!B:B, A500, Data!K:K)
/ (COUNTIF(Data!B:B, A500)
)),"")</f>
        <v/>
      </c>
      <c r="N500" s="56"/>
      <c r="O500" s="56" t="str">
        <f>IF(A500="","",IFERROR((((((SUMIF(Data!B:B, A500, Data!H:H)+(SUMIF(Data!B:B, A500,Data!G:G)+(SUMIF(Data!B:B, A500,Data!L:L)+(SUMIF(Data!B:B, A500,Data!K:K)))))/(SUMIF(Data!B:B, A500, Data!M:M)+(SUMIF(Data!B:B, A500, Data!H:H)+(SUMIF(Data!B:B, A500,Data!G:G)+(SUMIF(Data!B:B, A500,Data!K:K)+(SUMIF(Data!B:B, A500,Data!L:L)))))))))),0))</f>
        <v/>
      </c>
      <c r="P500" s="57" t="str">
        <f>IFERROR(__xludf.DUMMYFUNCTION("IFERROR(((COUNTIF(FILTER(Data!N:N,Data!B:B=A500),""TRAVERSE"")*15)+(COUNTIF(FILTER(Data!N:N,Data!B:B=A500),""HIGH"")*10)+(COUNTIF(FILTER(Data!N:N,Data!B:B=A500),""MIDDLE"")*6)+(COUNTIF(FILTER(Data!N:N,Data!B:B=A500),""LOW"")*4)) / (COUNTIF(Data!B:B, A500)"&amp;"),"""")"),"")</f>
        <v/>
      </c>
      <c r="Q500" s="58"/>
      <c r="R500" s="58"/>
      <c r="S500" s="58" t="str">
        <f>IFERROR(__xludf.DUMMYFUNCTION("IFERROR((((COUNTIF(FILTER(Data!N:N,Data!B:B=A500),""TRAVERSE""))+(COUNTIF(FILTER(Data!N:N,Data!B:B=A500),""HIGH""))+(COUNTIF(FILTER(Data!N:N,Data!B:B=A500),""MIDDLE""))+(COUNTIF(FILTER(Data!N:N,Data!B:B=A500),""LOW"")))) / (((COUNTIF(Data!B:B, A500)))-(CO"&amp;"UNTIF(FILTER(Data!N:N,Data!B:B=A500),""NONE""))),IF(ISBLANK(A500),"""",0))"),"")</f>
        <v/>
      </c>
      <c r="T500" s="56" t="str">
        <f>IFERROR(__xludf.DUMMYFUNCTION("IFERROR((COUNTIF(FILTER(Data!N:N, Data!B:B=A500),""LOW"")) / (COUNTIF(Data!B:B, A500)),"""")"),"")</f>
        <v/>
      </c>
      <c r="U500" s="59" t="str">
        <f>IFERROR(__xludf.DUMMYFUNCTION("IFERROR((COUNTIF(FILTER(Data!N:N, Data!B:B=A500),""MIDDLE"")) / (COUNTIF(Data!B:B, A500)),"""")"),"")</f>
        <v/>
      </c>
      <c r="V500" s="59" t="str">
        <f>IFERROR(__xludf.DUMMYFUNCTION("IFERROR((COUNTIF(FILTER(Data!N:N, Data!B:B=A500),""HIGH"")) / (COUNTIF(Data!B:B, A500)),"""")"),"")</f>
        <v/>
      </c>
      <c r="W500" s="59" t="str">
        <f>IFERROR(__xludf.DUMMYFUNCTION("IFERROR((COUNTIF(FILTER(Data!N:N, Data!B:B=A500),""TRAVERSE"")) / (COUNTIF(Data!B:B, A500)),"""")"),"")</f>
        <v/>
      </c>
      <c r="X500" s="59"/>
      <c r="Y500" s="45" t="str">
        <f t="shared" si="7"/>
        <v/>
      </c>
      <c r="Z500" s="45" t="str">
        <f t="shared" si="8"/>
        <v/>
      </c>
      <c r="AA500" s="16" t="str">
        <f t="shared" si="9"/>
        <v/>
      </c>
      <c r="AB500" s="16"/>
      <c r="AC500" s="16"/>
      <c r="AD500" s="16"/>
      <c r="AE500" s="16" t="str">
        <f t="shared" si="12"/>
        <v/>
      </c>
      <c r="AF500" s="16" t="str">
        <f t="shared" si="13"/>
        <v/>
      </c>
      <c r="AG500" s="44"/>
      <c r="AH500" s="44"/>
      <c r="AI500" s="44" t="str">
        <f>IFERROR(__xludf.DUMMYFUNCTION("TEXTJOIN("", "",TRUE, FILTER(Data!P:P, Data!B:B=A500))"),"")</f>
        <v/>
      </c>
      <c r="AM500" s="61"/>
      <c r="BC500" s="50"/>
    </row>
    <row r="501">
      <c r="A501" s="14"/>
      <c r="B501" s="55" t="str">
        <f>IFERROR(__xludf.DUMMYFUNCTION("IFERROR(ROUND(
(COUNTIF(FILTER(Data!O:O, Data!B:B=A501), ""Win"")
+ COUNTIF(FILTER(Data!O:O, Data!B:B=A501), {""Tie"",""Results""}))
/ (COUNTIF(Data!B:B, A501)),
1),"""")"),"")</f>
        <v/>
      </c>
      <c r="C501" s="45" t="str">
        <f>IFERROR((SUMIF(Data!B:B, A501, Data!H:H)
/ (COUNTIF(Data!B:B, A501)
)),"")</f>
        <v/>
      </c>
      <c r="D501" s="45" t="str">
        <f>IFERROR((SUMIF(Data!B:B, A501, Data!G:G)
/ (COUNTIF(Data!B:B, A501)
)),"")</f>
        <v/>
      </c>
      <c r="E501" s="45"/>
      <c r="F501" s="45" t="str">
        <f>IFERROR((SUMIF(Data!B:B, A501, Data!J:J)
/ (COUNTIF(Data!B:B, A501)
)),"")</f>
        <v/>
      </c>
      <c r="G501" s="56" t="str">
        <f>IF(A501="","",IFERROR((((((SUMIF(Data!B:B, A501, Data!H:H)+(SUMIF(Data!B:B, A501,Data!G:G)))/(SUMIF(Data!B:B, A501, Data!J:J)))))),0))</f>
        <v/>
      </c>
      <c r="H501" s="45"/>
      <c r="I501" s="45"/>
      <c r="J501" s="45"/>
      <c r="K501" s="45"/>
      <c r="L501" s="45" t="str">
        <f>IFERROR((SUMIF(Data!B:B, A501, Data!L:L)
/ (COUNTIF(Data!B:B, A501)
)),"")</f>
        <v/>
      </c>
      <c r="M501" s="45" t="str">
        <f>IFERROR((SUMIF(Data!B:B, A501, Data!K:K)
/ (COUNTIF(Data!B:B, A501)
)),"")</f>
        <v/>
      </c>
      <c r="N501" s="56"/>
      <c r="O501" s="56" t="str">
        <f>IF(A501="","",IFERROR((((((SUMIF(Data!B:B, A501, Data!H:H)+(SUMIF(Data!B:B, A501,Data!G:G)+(SUMIF(Data!B:B, A501,Data!L:L)+(SUMIF(Data!B:B, A501,Data!K:K)))))/(SUMIF(Data!B:B, A501, Data!M:M)+(SUMIF(Data!B:B, A501, Data!H:H)+(SUMIF(Data!B:B, A501,Data!G:G)+(SUMIF(Data!B:B, A501,Data!K:K)+(SUMIF(Data!B:B, A501,Data!L:L)))))))))),0))</f>
        <v/>
      </c>
      <c r="P501" s="57" t="str">
        <f>IFERROR(__xludf.DUMMYFUNCTION("IFERROR(((COUNTIF(FILTER(Data!N:N,Data!B:B=A501),""TRAVERSE"")*15)+(COUNTIF(FILTER(Data!N:N,Data!B:B=A501),""HIGH"")*10)+(COUNTIF(FILTER(Data!N:N,Data!B:B=A501),""MIDDLE"")*6)+(COUNTIF(FILTER(Data!N:N,Data!B:B=A501),""LOW"")*4)) / (COUNTIF(Data!B:B, A501)"&amp;"),"""")"),"")</f>
        <v/>
      </c>
      <c r="Q501" s="58"/>
      <c r="R501" s="58"/>
      <c r="S501" s="58" t="str">
        <f>IFERROR(__xludf.DUMMYFUNCTION("IFERROR((((COUNTIF(FILTER(Data!N:N,Data!B:B=A501),""TRAVERSE""))+(COUNTIF(FILTER(Data!N:N,Data!B:B=A501),""HIGH""))+(COUNTIF(FILTER(Data!N:N,Data!B:B=A501),""MIDDLE""))+(COUNTIF(FILTER(Data!N:N,Data!B:B=A501),""LOW"")))) / (((COUNTIF(Data!B:B, A501)))-(CO"&amp;"UNTIF(FILTER(Data!N:N,Data!B:B=A501),""NONE""))),IF(ISBLANK(A501),"""",0))"),"")</f>
        <v/>
      </c>
      <c r="T501" s="56" t="str">
        <f>IFERROR(__xludf.DUMMYFUNCTION("IFERROR((COUNTIF(FILTER(Data!N:N, Data!B:B=A501),""LOW"")) / (COUNTIF(Data!B:B, A501)),"""")"),"")</f>
        <v/>
      </c>
      <c r="U501" s="59" t="str">
        <f>IFERROR(__xludf.DUMMYFUNCTION("IFERROR((COUNTIF(FILTER(Data!N:N, Data!B:B=A501),""MIDDLE"")) / (COUNTIF(Data!B:B, A501)),"""")"),"")</f>
        <v/>
      </c>
      <c r="V501" s="59" t="str">
        <f>IFERROR(__xludf.DUMMYFUNCTION("IFERROR((COUNTIF(FILTER(Data!N:N, Data!B:B=A501),""HIGH"")) / (COUNTIF(Data!B:B, A501)),"""")"),"")</f>
        <v/>
      </c>
      <c r="W501" s="59" t="str">
        <f>IFERROR(__xludf.DUMMYFUNCTION("IFERROR((COUNTIF(FILTER(Data!N:N, Data!B:B=A501),""TRAVERSE"")) / (COUNTIF(Data!B:B, A501)),"""")"),"")</f>
        <v/>
      </c>
      <c r="X501" s="59"/>
      <c r="Y501" s="45" t="str">
        <f t="shared" si="7"/>
        <v/>
      </c>
      <c r="Z501" s="45" t="str">
        <f t="shared" si="8"/>
        <v/>
      </c>
      <c r="AA501" s="16" t="str">
        <f t="shared" si="9"/>
        <v/>
      </c>
      <c r="AB501" s="16"/>
      <c r="AC501" s="16"/>
      <c r="AD501" s="16"/>
      <c r="AE501" s="16" t="str">
        <f t="shared" si="12"/>
        <v/>
      </c>
      <c r="AF501" s="16" t="str">
        <f t="shared" si="13"/>
        <v/>
      </c>
      <c r="AG501" s="44"/>
      <c r="AH501" s="44"/>
      <c r="AI501" s="44" t="str">
        <f>IFERROR(__xludf.DUMMYFUNCTION("TEXTJOIN("", "",TRUE, FILTER(Data!P:P, Data!B:B=A501))"),"")</f>
        <v/>
      </c>
      <c r="AM501" s="61"/>
      <c r="BC501" s="50"/>
    </row>
    <row r="502">
      <c r="A502" s="14"/>
      <c r="B502" s="55" t="str">
        <f>IFERROR(__xludf.DUMMYFUNCTION("IFERROR(ROUND(
(COUNTIF(FILTER(Data!O:O, Data!B:B=A502), ""Win"")
+ COUNTIF(FILTER(Data!O:O, Data!B:B=A502), {""Tie"",""Results""}))
/ (COUNTIF(Data!B:B, A502)),
1),"""")"),"")</f>
        <v/>
      </c>
      <c r="C502" s="45" t="str">
        <f>IFERROR((SUMIF(Data!B:B, A502, Data!H:H)
/ (COUNTIF(Data!B:B, A502)
)),"")</f>
        <v/>
      </c>
      <c r="D502" s="45" t="str">
        <f>IFERROR((SUMIF(Data!B:B, A502, Data!G:G)
/ (COUNTIF(Data!B:B, A502)
)),"")</f>
        <v/>
      </c>
      <c r="E502" s="45"/>
      <c r="F502" s="45" t="str">
        <f>IFERROR((SUMIF(Data!B:B, A502, Data!J:J)
/ (COUNTIF(Data!B:B, A502)
)),"")</f>
        <v/>
      </c>
      <c r="G502" s="56" t="str">
        <f>IF(A502="","",IFERROR((((((SUMIF(Data!B:B, A502, Data!H:H)+(SUMIF(Data!B:B, A502,Data!G:G)))/(SUMIF(Data!B:B, A502, Data!J:J)))))),0))</f>
        <v/>
      </c>
      <c r="H502" s="45"/>
      <c r="I502" s="45"/>
      <c r="J502" s="45"/>
      <c r="K502" s="45"/>
      <c r="L502" s="45" t="str">
        <f>IFERROR((SUMIF(Data!B:B, A502, Data!L:L)
/ (COUNTIF(Data!B:B, A502)
)),"")</f>
        <v/>
      </c>
      <c r="M502" s="45" t="str">
        <f>IFERROR((SUMIF(Data!B:B, A502, Data!K:K)
/ (COUNTIF(Data!B:B, A502)
)),"")</f>
        <v/>
      </c>
      <c r="N502" s="56"/>
      <c r="O502" s="56" t="str">
        <f>IF(A502="","",IFERROR((((((SUMIF(Data!B:B, A502, Data!H:H)+(SUMIF(Data!B:B, A502,Data!G:G)+(SUMIF(Data!B:B, A502,Data!L:L)+(SUMIF(Data!B:B, A502,Data!K:K)))))/(SUMIF(Data!B:B, A502, Data!M:M)+(SUMIF(Data!B:B, A502, Data!H:H)+(SUMIF(Data!B:B, A502,Data!G:G)+(SUMIF(Data!B:B, A502,Data!K:K)+(SUMIF(Data!B:B, A502,Data!L:L)))))))))),0))</f>
        <v/>
      </c>
      <c r="P502" s="57" t="str">
        <f>IFERROR(__xludf.DUMMYFUNCTION("IFERROR(((COUNTIF(FILTER(Data!N:N,Data!B:B=A502),""TRAVERSE"")*15)+(COUNTIF(FILTER(Data!N:N,Data!B:B=A502),""HIGH"")*10)+(COUNTIF(FILTER(Data!N:N,Data!B:B=A502),""MIDDLE"")*6)+(COUNTIF(FILTER(Data!N:N,Data!B:B=A502),""LOW"")*4)) / (COUNTIF(Data!B:B, A502)"&amp;"),"""")"),"")</f>
        <v/>
      </c>
      <c r="Q502" s="58"/>
      <c r="R502" s="58"/>
      <c r="S502" s="58" t="str">
        <f>IFERROR(__xludf.DUMMYFUNCTION("IFERROR((((COUNTIF(FILTER(Data!N:N,Data!B:B=A502),""TRAVERSE""))+(COUNTIF(FILTER(Data!N:N,Data!B:B=A502),""HIGH""))+(COUNTIF(FILTER(Data!N:N,Data!B:B=A502),""MIDDLE""))+(COUNTIF(FILTER(Data!N:N,Data!B:B=A502),""LOW"")))) / (((COUNTIF(Data!B:B, A502)))-(CO"&amp;"UNTIF(FILTER(Data!N:N,Data!B:B=A502),""NONE""))),IF(ISBLANK(A502),"""",0))"),"")</f>
        <v/>
      </c>
      <c r="T502" s="56" t="str">
        <f>IFERROR(__xludf.DUMMYFUNCTION("IFERROR((COUNTIF(FILTER(Data!N:N, Data!B:B=A502),""LOW"")) / (COUNTIF(Data!B:B, A502)),"""")"),"")</f>
        <v/>
      </c>
      <c r="U502" s="59" t="str">
        <f>IFERROR(__xludf.DUMMYFUNCTION("IFERROR((COUNTIF(FILTER(Data!N:N, Data!B:B=A502),""MIDDLE"")) / (COUNTIF(Data!B:B, A502)),"""")"),"")</f>
        <v/>
      </c>
      <c r="V502" s="59" t="str">
        <f>IFERROR(__xludf.DUMMYFUNCTION("IFERROR((COUNTIF(FILTER(Data!N:N, Data!B:B=A502),""HIGH"")) / (COUNTIF(Data!B:B, A502)),"""")"),"")</f>
        <v/>
      </c>
      <c r="W502" s="59" t="str">
        <f>IFERROR(__xludf.DUMMYFUNCTION("IFERROR((COUNTIF(FILTER(Data!N:N, Data!B:B=A502),""TRAVERSE"")) / (COUNTIF(Data!B:B, A502)),"""")"),"")</f>
        <v/>
      </c>
      <c r="X502" s="59"/>
      <c r="Y502" s="45" t="str">
        <f t="shared" si="7"/>
        <v/>
      </c>
      <c r="Z502" s="45" t="str">
        <f t="shared" si="8"/>
        <v/>
      </c>
      <c r="AA502" s="16" t="str">
        <f t="shared" si="9"/>
        <v/>
      </c>
      <c r="AB502" s="16"/>
      <c r="AC502" s="16"/>
      <c r="AD502" s="16"/>
      <c r="AE502" s="16" t="str">
        <f t="shared" si="12"/>
        <v/>
      </c>
      <c r="AF502" s="16" t="str">
        <f t="shared" si="13"/>
        <v/>
      </c>
      <c r="AG502" s="44"/>
      <c r="AH502" s="44"/>
      <c r="AI502" s="44" t="str">
        <f>IFERROR(__xludf.DUMMYFUNCTION("TEXTJOIN("", "",TRUE, FILTER(Data!P:P, Data!B:B=A502))"),"")</f>
        <v/>
      </c>
      <c r="AM502" s="61"/>
      <c r="BC502" s="50"/>
    </row>
    <row r="503">
      <c r="A503" s="14"/>
      <c r="B503" s="55" t="str">
        <f>IFERROR(__xludf.DUMMYFUNCTION("IFERROR(ROUND(
(COUNTIF(FILTER(Data!O:O, Data!B:B=A503), ""Win"")
+ COUNTIF(FILTER(Data!O:O, Data!B:B=A503), {""Tie"",""Results""}))
/ (COUNTIF(Data!B:B, A503)),
1),"""")"),"")</f>
        <v/>
      </c>
      <c r="C503" s="45" t="str">
        <f>IFERROR((SUMIF(Data!B:B, A503, Data!H:H)
/ (COUNTIF(Data!B:B, A503)
)),"")</f>
        <v/>
      </c>
      <c r="D503" s="45" t="str">
        <f>IFERROR((SUMIF(Data!B:B, A503, Data!G:G)
/ (COUNTIF(Data!B:B, A503)
)),"")</f>
        <v/>
      </c>
      <c r="E503" s="45"/>
      <c r="F503" s="45" t="str">
        <f>IFERROR((SUMIF(Data!B:B, A503, Data!J:J)
/ (COUNTIF(Data!B:B, A503)
)),"")</f>
        <v/>
      </c>
      <c r="G503" s="56" t="str">
        <f>IF(A503="","",IFERROR((((((SUMIF(Data!B:B, A503, Data!H:H)+(SUMIF(Data!B:B, A503,Data!G:G)))/(SUMIF(Data!B:B, A503, Data!J:J)))))),0))</f>
        <v/>
      </c>
      <c r="H503" s="45"/>
      <c r="I503" s="45"/>
      <c r="J503" s="45"/>
      <c r="K503" s="45"/>
      <c r="L503" s="45" t="str">
        <f>IFERROR((SUMIF(Data!B:B, A503, Data!L:L)
/ (COUNTIF(Data!B:B, A503)
)),"")</f>
        <v/>
      </c>
      <c r="M503" s="45" t="str">
        <f>IFERROR((SUMIF(Data!B:B, A503, Data!K:K)
/ (COUNTIF(Data!B:B, A503)
)),"")</f>
        <v/>
      </c>
      <c r="N503" s="56"/>
      <c r="O503" s="56" t="str">
        <f>IF(A503="","",IFERROR((((((SUMIF(Data!B:B, A503, Data!H:H)+(SUMIF(Data!B:B, A503,Data!G:G)+(SUMIF(Data!B:B, A503,Data!L:L)+(SUMIF(Data!B:B, A503,Data!K:K)))))/(SUMIF(Data!B:B, A503, Data!M:M)+(SUMIF(Data!B:B, A503, Data!H:H)+(SUMIF(Data!B:B, A503,Data!G:G)+(SUMIF(Data!B:B, A503,Data!K:K)+(SUMIF(Data!B:B, A503,Data!L:L)))))))))),0))</f>
        <v/>
      </c>
      <c r="P503" s="57" t="str">
        <f>IFERROR(__xludf.DUMMYFUNCTION("IFERROR(((COUNTIF(FILTER(Data!N:N,Data!B:B=A503),""TRAVERSE"")*15)+(COUNTIF(FILTER(Data!N:N,Data!B:B=A503),""HIGH"")*10)+(COUNTIF(FILTER(Data!N:N,Data!B:B=A503),""MIDDLE"")*6)+(COUNTIF(FILTER(Data!N:N,Data!B:B=A503),""LOW"")*4)) / (COUNTIF(Data!B:B, A503)"&amp;"),"""")"),"")</f>
        <v/>
      </c>
      <c r="Q503" s="58"/>
      <c r="R503" s="58"/>
      <c r="S503" s="58" t="str">
        <f>IFERROR(__xludf.DUMMYFUNCTION("IFERROR((((COUNTIF(FILTER(Data!N:N,Data!B:B=A503),""TRAVERSE""))+(COUNTIF(FILTER(Data!N:N,Data!B:B=A503),""HIGH""))+(COUNTIF(FILTER(Data!N:N,Data!B:B=A503),""MIDDLE""))+(COUNTIF(FILTER(Data!N:N,Data!B:B=A503),""LOW"")))) / (((COUNTIF(Data!B:B, A503)))-(CO"&amp;"UNTIF(FILTER(Data!N:N,Data!B:B=A503),""NONE""))),IF(ISBLANK(A503),"""",0))"),"")</f>
        <v/>
      </c>
      <c r="T503" s="56" t="str">
        <f>IFERROR(__xludf.DUMMYFUNCTION("IFERROR((COUNTIF(FILTER(Data!N:N, Data!B:B=A503),""LOW"")) / (COUNTIF(Data!B:B, A503)),"""")"),"")</f>
        <v/>
      </c>
      <c r="U503" s="59" t="str">
        <f>IFERROR(__xludf.DUMMYFUNCTION("IFERROR((COUNTIF(FILTER(Data!N:N, Data!B:B=A503),""MIDDLE"")) / (COUNTIF(Data!B:B, A503)),"""")"),"")</f>
        <v/>
      </c>
      <c r="V503" s="59" t="str">
        <f>IFERROR(__xludf.DUMMYFUNCTION("IFERROR((COUNTIF(FILTER(Data!N:N, Data!B:B=A503),""HIGH"")) / (COUNTIF(Data!B:B, A503)),"""")"),"")</f>
        <v/>
      </c>
      <c r="W503" s="59" t="str">
        <f>IFERROR(__xludf.DUMMYFUNCTION("IFERROR((COUNTIF(FILTER(Data!N:N, Data!B:B=A503),""TRAVERSE"")) / (COUNTIF(Data!B:B, A503)),"""")"),"")</f>
        <v/>
      </c>
      <c r="X503" s="59"/>
      <c r="Y503" s="45" t="str">
        <f t="shared" si="7"/>
        <v/>
      </c>
      <c r="Z503" s="45" t="str">
        <f t="shared" si="8"/>
        <v/>
      </c>
      <c r="AA503" s="16" t="str">
        <f t="shared" si="9"/>
        <v/>
      </c>
      <c r="AB503" s="16"/>
      <c r="AC503" s="16"/>
      <c r="AD503" s="16"/>
      <c r="AE503" s="16" t="str">
        <f t="shared" si="12"/>
        <v/>
      </c>
      <c r="AF503" s="16" t="str">
        <f t="shared" si="13"/>
        <v/>
      </c>
      <c r="AG503" s="44"/>
      <c r="AH503" s="44"/>
      <c r="AI503" s="44" t="str">
        <f>IFERROR(__xludf.DUMMYFUNCTION("TEXTJOIN("", "",TRUE, FILTER(Data!P:P, Data!B:B=A503))"),"")</f>
        <v/>
      </c>
      <c r="AM503" s="61"/>
      <c r="BC503" s="50"/>
    </row>
    <row r="504">
      <c r="A504" s="14"/>
      <c r="B504" s="55" t="str">
        <f>IFERROR(__xludf.DUMMYFUNCTION("IFERROR(ROUND(
(COUNTIF(FILTER(Data!O:O, Data!B:B=A504), ""Win"")
+ COUNTIF(FILTER(Data!O:O, Data!B:B=A504), {""Tie"",""Results""}))
/ (COUNTIF(Data!B:B, A504)),
1),"""")"),"")</f>
        <v/>
      </c>
      <c r="C504" s="45" t="str">
        <f>IFERROR((SUMIF(Data!B:B, A504, Data!H:H)
/ (COUNTIF(Data!B:B, A504)
)),"")</f>
        <v/>
      </c>
      <c r="D504" s="45" t="str">
        <f>IFERROR((SUMIF(Data!B:B, A504, Data!G:G)
/ (COUNTIF(Data!B:B, A504)
)),"")</f>
        <v/>
      </c>
      <c r="E504" s="45"/>
      <c r="F504" s="45" t="str">
        <f>IFERROR((SUMIF(Data!B:B, A504, Data!J:J)
/ (COUNTIF(Data!B:B, A504)
)),"")</f>
        <v/>
      </c>
      <c r="G504" s="56" t="str">
        <f>IF(A504="","",IFERROR((((((SUMIF(Data!B:B, A504, Data!H:H)+(SUMIF(Data!B:B, A504,Data!G:G)))/(SUMIF(Data!B:B, A504, Data!J:J)))))),0))</f>
        <v/>
      </c>
      <c r="H504" s="45"/>
      <c r="I504" s="45"/>
      <c r="J504" s="45"/>
      <c r="K504" s="45"/>
      <c r="L504" s="45" t="str">
        <f>IFERROR((SUMIF(Data!B:B, A504, Data!L:L)
/ (COUNTIF(Data!B:B, A504)
)),"")</f>
        <v/>
      </c>
      <c r="M504" s="45" t="str">
        <f>IFERROR((SUMIF(Data!B:B, A504, Data!K:K)
/ (COUNTIF(Data!B:B, A504)
)),"")</f>
        <v/>
      </c>
      <c r="N504" s="56"/>
      <c r="O504" s="56" t="str">
        <f>IF(A504="","",IFERROR((((((SUMIF(Data!B:B, A504, Data!H:H)+(SUMIF(Data!B:B, A504,Data!G:G)+(SUMIF(Data!B:B, A504,Data!L:L)+(SUMIF(Data!B:B, A504,Data!K:K)))))/(SUMIF(Data!B:B, A504, Data!M:M)+(SUMIF(Data!B:B, A504, Data!H:H)+(SUMIF(Data!B:B, A504,Data!G:G)+(SUMIF(Data!B:B, A504,Data!K:K)+(SUMIF(Data!B:B, A504,Data!L:L)))))))))),0))</f>
        <v/>
      </c>
      <c r="P504" s="57" t="str">
        <f>IFERROR(__xludf.DUMMYFUNCTION("IFERROR(((COUNTIF(FILTER(Data!N:N,Data!B:B=A504),""TRAVERSE"")*15)+(COUNTIF(FILTER(Data!N:N,Data!B:B=A504),""HIGH"")*10)+(COUNTIF(FILTER(Data!N:N,Data!B:B=A504),""MIDDLE"")*6)+(COUNTIF(FILTER(Data!N:N,Data!B:B=A504),""LOW"")*4)) / (COUNTIF(Data!B:B, A504)"&amp;"),"""")"),"")</f>
        <v/>
      </c>
      <c r="Q504" s="58"/>
      <c r="R504" s="58"/>
      <c r="S504" s="58" t="str">
        <f>IFERROR(__xludf.DUMMYFUNCTION("IFERROR((((COUNTIF(FILTER(Data!N:N,Data!B:B=A504),""TRAVERSE""))+(COUNTIF(FILTER(Data!N:N,Data!B:B=A504),""HIGH""))+(COUNTIF(FILTER(Data!N:N,Data!B:B=A504),""MIDDLE""))+(COUNTIF(FILTER(Data!N:N,Data!B:B=A504),""LOW"")))) / (((COUNTIF(Data!B:B, A504)))-(CO"&amp;"UNTIF(FILTER(Data!N:N,Data!B:B=A504),""NONE""))),IF(ISBLANK(A504),"""",0))"),"")</f>
        <v/>
      </c>
      <c r="T504" s="56" t="str">
        <f>IFERROR(__xludf.DUMMYFUNCTION("IFERROR((COUNTIF(FILTER(Data!N:N, Data!B:B=A504),""LOW"")) / (COUNTIF(Data!B:B, A504)),"""")"),"")</f>
        <v/>
      </c>
      <c r="U504" s="59" t="str">
        <f>IFERROR(__xludf.DUMMYFUNCTION("IFERROR((COUNTIF(FILTER(Data!N:N, Data!B:B=A504),""MIDDLE"")) / (COUNTIF(Data!B:B, A504)),"""")"),"")</f>
        <v/>
      </c>
      <c r="V504" s="59" t="str">
        <f>IFERROR(__xludf.DUMMYFUNCTION("IFERROR((COUNTIF(FILTER(Data!N:N, Data!B:B=A504),""HIGH"")) / (COUNTIF(Data!B:B, A504)),"""")"),"")</f>
        <v/>
      </c>
      <c r="W504" s="59" t="str">
        <f>IFERROR(__xludf.DUMMYFUNCTION("IFERROR((COUNTIF(FILTER(Data!N:N, Data!B:B=A504),""TRAVERSE"")) / (COUNTIF(Data!B:B, A504)),"""")"),"")</f>
        <v/>
      </c>
      <c r="X504" s="59"/>
      <c r="Y504" s="45" t="str">
        <f t="shared" si="7"/>
        <v/>
      </c>
      <c r="Z504" s="45" t="str">
        <f t="shared" si="8"/>
        <v/>
      </c>
      <c r="AA504" s="16" t="str">
        <f t="shared" si="9"/>
        <v/>
      </c>
      <c r="AB504" s="16"/>
      <c r="AC504" s="16"/>
      <c r="AD504" s="16"/>
      <c r="AE504" s="16" t="str">
        <f t="shared" si="12"/>
        <v/>
      </c>
      <c r="AF504" s="16" t="str">
        <f t="shared" si="13"/>
        <v/>
      </c>
      <c r="AG504" s="44"/>
      <c r="AH504" s="44"/>
      <c r="AI504" s="44" t="str">
        <f>IFERROR(__xludf.DUMMYFUNCTION("TEXTJOIN("", "",TRUE, FILTER(Data!P:P, Data!B:B=A504))"),"")</f>
        <v/>
      </c>
      <c r="AM504" s="61"/>
      <c r="BC504" s="50"/>
    </row>
    <row r="505">
      <c r="A505" s="14"/>
      <c r="B505" s="55" t="str">
        <f>IFERROR(__xludf.DUMMYFUNCTION("IFERROR(ROUND(
(COUNTIF(FILTER(Data!O:O, Data!B:B=A505), ""Win"")
+ COUNTIF(FILTER(Data!O:O, Data!B:B=A505), {""Tie"",""Results""}))
/ (COUNTIF(Data!B:B, A505)),
1),"""")"),"")</f>
        <v/>
      </c>
      <c r="C505" s="45" t="str">
        <f>IFERROR((SUMIF(Data!B:B, A505, Data!H:H)
/ (COUNTIF(Data!B:B, A505)
)),"")</f>
        <v/>
      </c>
      <c r="D505" s="45" t="str">
        <f>IFERROR((SUMIF(Data!B:B, A505, Data!G:G)
/ (COUNTIF(Data!B:B, A505)
)),"")</f>
        <v/>
      </c>
      <c r="E505" s="45"/>
      <c r="F505" s="45" t="str">
        <f>IFERROR((SUMIF(Data!B:B, A505, Data!J:J)
/ (COUNTIF(Data!B:B, A505)
)),"")</f>
        <v/>
      </c>
      <c r="G505" s="56" t="str">
        <f>IF(A505="","",IFERROR((((((SUMIF(Data!B:B, A505, Data!H:H)+(SUMIF(Data!B:B, A505,Data!G:G)))/(SUMIF(Data!B:B, A505, Data!J:J)))))),0))</f>
        <v/>
      </c>
      <c r="H505" s="45"/>
      <c r="I505" s="45"/>
      <c r="J505" s="45"/>
      <c r="K505" s="45"/>
      <c r="L505" s="45" t="str">
        <f>IFERROR((SUMIF(Data!B:B, A505, Data!L:L)
/ (COUNTIF(Data!B:B, A505)
)),"")</f>
        <v/>
      </c>
      <c r="M505" s="45" t="str">
        <f>IFERROR((SUMIF(Data!B:B, A505, Data!K:K)
/ (COUNTIF(Data!B:B, A505)
)),"")</f>
        <v/>
      </c>
      <c r="N505" s="56"/>
      <c r="O505" s="56" t="str">
        <f>IF(A505="","",IFERROR((((((SUMIF(Data!B:B, A505, Data!H:H)+(SUMIF(Data!B:B, A505,Data!G:G)+(SUMIF(Data!B:B, A505,Data!L:L)+(SUMIF(Data!B:B, A505,Data!K:K)))))/(SUMIF(Data!B:B, A505, Data!M:M)+(SUMIF(Data!B:B, A505, Data!H:H)+(SUMIF(Data!B:B, A505,Data!G:G)+(SUMIF(Data!B:B, A505,Data!K:K)+(SUMIF(Data!B:B, A505,Data!L:L)))))))))),0))</f>
        <v/>
      </c>
      <c r="P505" s="57" t="str">
        <f>IFERROR(__xludf.DUMMYFUNCTION("IFERROR(((COUNTIF(FILTER(Data!N:N,Data!B:B=A505),""TRAVERSE"")*15)+(COUNTIF(FILTER(Data!N:N,Data!B:B=A505),""HIGH"")*10)+(COUNTIF(FILTER(Data!N:N,Data!B:B=A505),""MIDDLE"")*6)+(COUNTIF(FILTER(Data!N:N,Data!B:B=A505),""LOW"")*4)) / (COUNTIF(Data!B:B, A505)"&amp;"),"""")"),"")</f>
        <v/>
      </c>
      <c r="Q505" s="58"/>
      <c r="R505" s="58"/>
      <c r="S505" s="58" t="str">
        <f>IFERROR(__xludf.DUMMYFUNCTION("IFERROR((((COUNTIF(FILTER(Data!N:N,Data!B:B=A505),""TRAVERSE""))+(COUNTIF(FILTER(Data!N:N,Data!B:B=A505),""HIGH""))+(COUNTIF(FILTER(Data!N:N,Data!B:B=A505),""MIDDLE""))+(COUNTIF(FILTER(Data!N:N,Data!B:B=A505),""LOW"")))) / (((COUNTIF(Data!B:B, A505)))-(CO"&amp;"UNTIF(FILTER(Data!N:N,Data!B:B=A505),""NONE""))),IF(ISBLANK(A505),"""",0))"),"")</f>
        <v/>
      </c>
      <c r="T505" s="56" t="str">
        <f>IFERROR(__xludf.DUMMYFUNCTION("IFERROR((COUNTIF(FILTER(Data!N:N, Data!B:B=A505),""LOW"")) / (COUNTIF(Data!B:B, A505)),"""")"),"")</f>
        <v/>
      </c>
      <c r="U505" s="59" t="str">
        <f>IFERROR(__xludf.DUMMYFUNCTION("IFERROR((COUNTIF(FILTER(Data!N:N, Data!B:B=A505),""MIDDLE"")) / (COUNTIF(Data!B:B, A505)),"""")"),"")</f>
        <v/>
      </c>
      <c r="V505" s="59" t="str">
        <f>IFERROR(__xludf.DUMMYFUNCTION("IFERROR((COUNTIF(FILTER(Data!N:N, Data!B:B=A505),""HIGH"")) / (COUNTIF(Data!B:B, A505)),"""")"),"")</f>
        <v/>
      </c>
      <c r="W505" s="59" t="str">
        <f>IFERROR(__xludf.DUMMYFUNCTION("IFERROR((COUNTIF(FILTER(Data!N:N, Data!B:B=A505),""TRAVERSE"")) / (COUNTIF(Data!B:B, A505)),"""")"),"")</f>
        <v/>
      </c>
      <c r="X505" s="59"/>
      <c r="Y505" s="45" t="str">
        <f t="shared" si="7"/>
        <v/>
      </c>
      <c r="Z505" s="45" t="str">
        <f t="shared" si="8"/>
        <v/>
      </c>
      <c r="AA505" s="16" t="str">
        <f t="shared" si="9"/>
        <v/>
      </c>
      <c r="AB505" s="16"/>
      <c r="AC505" s="16"/>
      <c r="AD505" s="16"/>
      <c r="AE505" s="16" t="str">
        <f t="shared" si="12"/>
        <v/>
      </c>
      <c r="AF505" s="16" t="str">
        <f t="shared" si="13"/>
        <v/>
      </c>
      <c r="AG505" s="44"/>
      <c r="AH505" s="44"/>
      <c r="AI505" s="44" t="str">
        <f>IFERROR(__xludf.DUMMYFUNCTION("TEXTJOIN("", "",TRUE, FILTER(Data!P:P, Data!B:B=A505))"),"")</f>
        <v/>
      </c>
      <c r="AM505" s="61"/>
      <c r="BC505" s="50"/>
    </row>
    <row r="506">
      <c r="A506" s="14"/>
      <c r="B506" s="55" t="str">
        <f>IFERROR(__xludf.DUMMYFUNCTION("IFERROR(ROUND(
(COUNTIF(FILTER(Data!O:O, Data!B:B=A506), ""Win"")
+ COUNTIF(FILTER(Data!O:O, Data!B:B=A506), {""Tie"",""Results""}))
/ (COUNTIF(Data!B:B, A506)),
1),"""")"),"")</f>
        <v/>
      </c>
      <c r="C506" s="45" t="str">
        <f>IFERROR((SUMIF(Data!B:B, A506, Data!H:H)
/ (COUNTIF(Data!B:B, A506)
)),"")</f>
        <v/>
      </c>
      <c r="D506" s="45" t="str">
        <f>IFERROR((SUMIF(Data!B:B, A506, Data!G:G)
/ (COUNTIF(Data!B:B, A506)
)),"")</f>
        <v/>
      </c>
      <c r="E506" s="45"/>
      <c r="F506" s="45" t="str">
        <f>IFERROR((SUMIF(Data!B:B, A506, Data!J:J)
/ (COUNTIF(Data!B:B, A506)
)),"")</f>
        <v/>
      </c>
      <c r="G506" s="56" t="str">
        <f>IF(A506="","",IFERROR((((((SUMIF(Data!B:B, A506, Data!H:H)+(SUMIF(Data!B:B, A506,Data!G:G)))/(SUMIF(Data!B:B, A506, Data!J:J)))))),0))</f>
        <v/>
      </c>
      <c r="H506" s="45"/>
      <c r="I506" s="45"/>
      <c r="J506" s="45"/>
      <c r="K506" s="45"/>
      <c r="L506" s="45" t="str">
        <f>IFERROR((SUMIF(Data!B:B, A506, Data!L:L)
/ (COUNTIF(Data!B:B, A506)
)),"")</f>
        <v/>
      </c>
      <c r="M506" s="45" t="str">
        <f>IFERROR((SUMIF(Data!B:B, A506, Data!K:K)
/ (COUNTIF(Data!B:B, A506)
)),"")</f>
        <v/>
      </c>
      <c r="N506" s="56"/>
      <c r="O506" s="56" t="str">
        <f>IF(A506="","",IFERROR((((((SUMIF(Data!B:B, A506, Data!H:H)+(SUMIF(Data!B:B, A506,Data!G:G)+(SUMIF(Data!B:B, A506,Data!L:L)+(SUMIF(Data!B:B, A506,Data!K:K)))))/(SUMIF(Data!B:B, A506, Data!M:M)+(SUMIF(Data!B:B, A506, Data!H:H)+(SUMIF(Data!B:B, A506,Data!G:G)+(SUMIF(Data!B:B, A506,Data!K:K)+(SUMIF(Data!B:B, A506,Data!L:L)))))))))),0))</f>
        <v/>
      </c>
      <c r="P506" s="57" t="str">
        <f>IFERROR(__xludf.DUMMYFUNCTION("IFERROR(((COUNTIF(FILTER(Data!N:N,Data!B:B=A506),""TRAVERSE"")*15)+(COUNTIF(FILTER(Data!N:N,Data!B:B=A506),""HIGH"")*10)+(COUNTIF(FILTER(Data!N:N,Data!B:B=A506),""MIDDLE"")*6)+(COUNTIF(FILTER(Data!N:N,Data!B:B=A506),""LOW"")*4)) / (COUNTIF(Data!B:B, A506)"&amp;"),"""")"),"")</f>
        <v/>
      </c>
      <c r="Q506" s="58"/>
      <c r="R506" s="58"/>
      <c r="S506" s="58" t="str">
        <f>IFERROR(__xludf.DUMMYFUNCTION("IFERROR((((COUNTIF(FILTER(Data!N:N,Data!B:B=A506),""TRAVERSE""))+(COUNTIF(FILTER(Data!N:N,Data!B:B=A506),""HIGH""))+(COUNTIF(FILTER(Data!N:N,Data!B:B=A506),""MIDDLE""))+(COUNTIF(FILTER(Data!N:N,Data!B:B=A506),""LOW"")))) / (((COUNTIF(Data!B:B, A506)))-(CO"&amp;"UNTIF(FILTER(Data!N:N,Data!B:B=A506),""NONE""))),IF(ISBLANK(A506),"""",0))"),"")</f>
        <v/>
      </c>
      <c r="T506" s="56" t="str">
        <f>IFERROR(__xludf.DUMMYFUNCTION("IFERROR((COUNTIF(FILTER(Data!N:N, Data!B:B=A506),""LOW"")) / (COUNTIF(Data!B:B, A506)),"""")"),"")</f>
        <v/>
      </c>
      <c r="U506" s="59" t="str">
        <f>IFERROR(__xludf.DUMMYFUNCTION("IFERROR((COUNTIF(FILTER(Data!N:N, Data!B:B=A506),""MIDDLE"")) / (COUNTIF(Data!B:B, A506)),"""")"),"")</f>
        <v/>
      </c>
      <c r="V506" s="59" t="str">
        <f>IFERROR(__xludf.DUMMYFUNCTION("IFERROR((COUNTIF(FILTER(Data!N:N, Data!B:B=A506),""HIGH"")) / (COUNTIF(Data!B:B, A506)),"""")"),"")</f>
        <v/>
      </c>
      <c r="W506" s="59" t="str">
        <f>IFERROR(__xludf.DUMMYFUNCTION("IFERROR((COUNTIF(FILTER(Data!N:N, Data!B:B=A506),""TRAVERSE"")) / (COUNTIF(Data!B:B, A506)),"""")"),"")</f>
        <v/>
      </c>
      <c r="X506" s="59"/>
      <c r="Y506" s="45" t="str">
        <f t="shared" si="7"/>
        <v/>
      </c>
      <c r="Z506" s="45" t="str">
        <f t="shared" si="8"/>
        <v/>
      </c>
      <c r="AA506" s="16" t="str">
        <f t="shared" si="9"/>
        <v/>
      </c>
      <c r="AB506" s="16"/>
      <c r="AC506" s="16"/>
      <c r="AD506" s="16"/>
      <c r="AE506" s="16" t="str">
        <f t="shared" si="12"/>
        <v/>
      </c>
      <c r="AF506" s="16" t="str">
        <f t="shared" si="13"/>
        <v/>
      </c>
      <c r="AG506" s="44"/>
      <c r="AH506" s="44"/>
      <c r="AI506" s="44" t="str">
        <f>IFERROR(__xludf.DUMMYFUNCTION("TEXTJOIN("", "",TRUE, FILTER(Data!P:P, Data!B:B=A506))"),"")</f>
        <v/>
      </c>
      <c r="AM506" s="61"/>
      <c r="BC506" s="50"/>
    </row>
    <row r="507">
      <c r="A507" s="14"/>
      <c r="B507" s="55" t="str">
        <f>IFERROR(__xludf.DUMMYFUNCTION("IFERROR(ROUND(
(COUNTIF(FILTER(Data!O:O, Data!B:B=A507), ""Win"")
+ COUNTIF(FILTER(Data!O:O, Data!B:B=A507), {""Tie"",""Results""}))
/ (COUNTIF(Data!B:B, A507)),
1),"""")"),"")</f>
        <v/>
      </c>
      <c r="C507" s="45" t="str">
        <f>IFERROR((SUMIF(Data!B:B, A507, Data!H:H)
/ (COUNTIF(Data!B:B, A507)
)),"")</f>
        <v/>
      </c>
      <c r="D507" s="45" t="str">
        <f>IFERROR((SUMIF(Data!B:B, A507, Data!G:G)
/ (COUNTIF(Data!B:B, A507)
)),"")</f>
        <v/>
      </c>
      <c r="E507" s="45"/>
      <c r="F507" s="45" t="str">
        <f>IFERROR((SUMIF(Data!B:B, A507, Data!J:J)
/ (COUNTIF(Data!B:B, A507)
)),"")</f>
        <v/>
      </c>
      <c r="G507" s="56" t="str">
        <f>IF(A507="","",IFERROR((((((SUMIF(Data!B:B, A507, Data!H:H)+(SUMIF(Data!B:B, A507,Data!G:G)))/(SUMIF(Data!B:B, A507, Data!J:J)))))),0))</f>
        <v/>
      </c>
      <c r="H507" s="45"/>
      <c r="I507" s="45"/>
      <c r="J507" s="45"/>
      <c r="K507" s="45"/>
      <c r="L507" s="45" t="str">
        <f>IFERROR((SUMIF(Data!B:B, A507, Data!L:L)
/ (COUNTIF(Data!B:B, A507)
)),"")</f>
        <v/>
      </c>
      <c r="M507" s="45" t="str">
        <f>IFERROR((SUMIF(Data!B:B, A507, Data!K:K)
/ (COUNTIF(Data!B:B, A507)
)),"")</f>
        <v/>
      </c>
      <c r="N507" s="56"/>
      <c r="O507" s="56" t="str">
        <f>IF(A507="","",IFERROR((((((SUMIF(Data!B:B, A507, Data!H:H)+(SUMIF(Data!B:B, A507,Data!G:G)+(SUMIF(Data!B:B, A507,Data!L:L)+(SUMIF(Data!B:B, A507,Data!K:K)))))/(SUMIF(Data!B:B, A507, Data!M:M)+(SUMIF(Data!B:B, A507, Data!H:H)+(SUMIF(Data!B:B, A507,Data!G:G)+(SUMIF(Data!B:B, A507,Data!K:K)+(SUMIF(Data!B:B, A507,Data!L:L)))))))))),0))</f>
        <v/>
      </c>
      <c r="P507" s="57" t="str">
        <f>IFERROR(__xludf.DUMMYFUNCTION("IFERROR(((COUNTIF(FILTER(Data!N:N,Data!B:B=A507),""TRAVERSE"")*15)+(COUNTIF(FILTER(Data!N:N,Data!B:B=A507),""HIGH"")*10)+(COUNTIF(FILTER(Data!N:N,Data!B:B=A507),""MIDDLE"")*6)+(COUNTIF(FILTER(Data!N:N,Data!B:B=A507),""LOW"")*4)) / (COUNTIF(Data!B:B, A507)"&amp;"),"""")"),"")</f>
        <v/>
      </c>
      <c r="Q507" s="58"/>
      <c r="R507" s="58"/>
      <c r="S507" s="58" t="str">
        <f>IFERROR(__xludf.DUMMYFUNCTION("IFERROR((((COUNTIF(FILTER(Data!N:N,Data!B:B=A507),""TRAVERSE""))+(COUNTIF(FILTER(Data!N:N,Data!B:B=A507),""HIGH""))+(COUNTIF(FILTER(Data!N:N,Data!B:B=A507),""MIDDLE""))+(COUNTIF(FILTER(Data!N:N,Data!B:B=A507),""LOW"")))) / (((COUNTIF(Data!B:B, A507)))-(CO"&amp;"UNTIF(FILTER(Data!N:N,Data!B:B=A507),""NONE""))),IF(ISBLANK(A507),"""",0))"),"")</f>
        <v/>
      </c>
      <c r="T507" s="56" t="str">
        <f>IFERROR(__xludf.DUMMYFUNCTION("IFERROR((COUNTIF(FILTER(Data!N:N, Data!B:B=A507),""LOW"")) / (COUNTIF(Data!B:B, A507)),"""")"),"")</f>
        <v/>
      </c>
      <c r="U507" s="59" t="str">
        <f>IFERROR(__xludf.DUMMYFUNCTION("IFERROR((COUNTIF(FILTER(Data!N:N, Data!B:B=A507),""MIDDLE"")) / (COUNTIF(Data!B:B, A507)),"""")"),"")</f>
        <v/>
      </c>
      <c r="V507" s="59" t="str">
        <f>IFERROR(__xludf.DUMMYFUNCTION("IFERROR((COUNTIF(FILTER(Data!N:N, Data!B:B=A507),""HIGH"")) / (COUNTIF(Data!B:B, A507)),"""")"),"")</f>
        <v/>
      </c>
      <c r="W507" s="59" t="str">
        <f>IFERROR(__xludf.DUMMYFUNCTION("IFERROR((COUNTIF(FILTER(Data!N:N, Data!B:B=A507),""TRAVERSE"")) / (COUNTIF(Data!B:B, A507)),"""")"),"")</f>
        <v/>
      </c>
      <c r="X507" s="59"/>
      <c r="Y507" s="45" t="str">
        <f t="shared" si="7"/>
        <v/>
      </c>
      <c r="Z507" s="45" t="str">
        <f t="shared" si="8"/>
        <v/>
      </c>
      <c r="AA507" s="16" t="str">
        <f t="shared" si="9"/>
        <v/>
      </c>
      <c r="AB507" s="16"/>
      <c r="AC507" s="16"/>
      <c r="AD507" s="16"/>
      <c r="AE507" s="16" t="str">
        <f t="shared" si="12"/>
        <v/>
      </c>
      <c r="AF507" s="16" t="str">
        <f t="shared" si="13"/>
        <v/>
      </c>
      <c r="AG507" s="44"/>
      <c r="AH507" s="44"/>
      <c r="AI507" s="44" t="str">
        <f>IFERROR(__xludf.DUMMYFUNCTION("TEXTJOIN("", "",TRUE, FILTER(Data!P:P, Data!B:B=A507))"),"")</f>
        <v/>
      </c>
      <c r="AM507" s="61"/>
      <c r="BC507" s="50"/>
    </row>
    <row r="508">
      <c r="A508" s="14"/>
      <c r="B508" s="55" t="str">
        <f>IFERROR(__xludf.DUMMYFUNCTION("IFERROR(ROUND(
(COUNTIF(FILTER(Data!O:O, Data!B:B=A508), ""Win"")
+ COUNTIF(FILTER(Data!O:O, Data!B:B=A508), {""Tie"",""Results""}))
/ (COUNTIF(Data!B:B, A508)),
1),"""")"),"")</f>
        <v/>
      </c>
      <c r="C508" s="45" t="str">
        <f>IFERROR((SUMIF(Data!B:B, A508, Data!H:H)
/ (COUNTIF(Data!B:B, A508)
)),"")</f>
        <v/>
      </c>
      <c r="D508" s="45" t="str">
        <f>IFERROR((SUMIF(Data!B:B, A508, Data!G:G)
/ (COUNTIF(Data!B:B, A508)
)),"")</f>
        <v/>
      </c>
      <c r="E508" s="45"/>
      <c r="F508" s="45" t="str">
        <f>IFERROR((SUMIF(Data!B:B, A508, Data!J:J)
/ (COUNTIF(Data!B:B, A508)
)),"")</f>
        <v/>
      </c>
      <c r="G508" s="56" t="str">
        <f>IF(A508="","",IFERROR((((((SUMIF(Data!B:B, A508, Data!H:H)+(SUMIF(Data!B:B, A508,Data!G:G)))/(SUMIF(Data!B:B, A508, Data!J:J)))))),0))</f>
        <v/>
      </c>
      <c r="H508" s="45"/>
      <c r="I508" s="45"/>
      <c r="J508" s="45"/>
      <c r="K508" s="45"/>
      <c r="L508" s="45" t="str">
        <f>IFERROR((SUMIF(Data!B:B, A508, Data!L:L)
/ (COUNTIF(Data!B:B, A508)
)),"")</f>
        <v/>
      </c>
      <c r="M508" s="45" t="str">
        <f>IFERROR((SUMIF(Data!B:B, A508, Data!K:K)
/ (COUNTIF(Data!B:B, A508)
)),"")</f>
        <v/>
      </c>
      <c r="N508" s="56"/>
      <c r="O508" s="56" t="str">
        <f>IF(A508="","",IFERROR((((((SUMIF(Data!B:B, A508, Data!H:H)+(SUMIF(Data!B:B, A508,Data!G:G)+(SUMIF(Data!B:B, A508,Data!L:L)+(SUMIF(Data!B:B, A508,Data!K:K)))))/(SUMIF(Data!B:B, A508, Data!M:M)+(SUMIF(Data!B:B, A508, Data!H:H)+(SUMIF(Data!B:B, A508,Data!G:G)+(SUMIF(Data!B:B, A508,Data!K:K)+(SUMIF(Data!B:B, A508,Data!L:L)))))))))),0))</f>
        <v/>
      </c>
      <c r="P508" s="57" t="str">
        <f>IFERROR(__xludf.DUMMYFUNCTION("IFERROR(((COUNTIF(FILTER(Data!N:N,Data!B:B=A508),""TRAVERSE"")*15)+(COUNTIF(FILTER(Data!N:N,Data!B:B=A508),""HIGH"")*10)+(COUNTIF(FILTER(Data!N:N,Data!B:B=A508),""MIDDLE"")*6)+(COUNTIF(FILTER(Data!N:N,Data!B:B=A508),""LOW"")*4)) / (COUNTIF(Data!B:B, A508)"&amp;"),"""")"),"")</f>
        <v/>
      </c>
      <c r="Q508" s="58"/>
      <c r="R508" s="58"/>
      <c r="S508" s="58" t="str">
        <f>IFERROR(__xludf.DUMMYFUNCTION("IFERROR((((COUNTIF(FILTER(Data!N:N,Data!B:B=A508),""TRAVERSE""))+(COUNTIF(FILTER(Data!N:N,Data!B:B=A508),""HIGH""))+(COUNTIF(FILTER(Data!N:N,Data!B:B=A508),""MIDDLE""))+(COUNTIF(FILTER(Data!N:N,Data!B:B=A508),""LOW"")))) / (((COUNTIF(Data!B:B, A508)))-(CO"&amp;"UNTIF(FILTER(Data!N:N,Data!B:B=A508),""NONE""))),IF(ISBLANK(A508),"""",0))"),"")</f>
        <v/>
      </c>
      <c r="T508" s="56" t="str">
        <f>IFERROR(__xludf.DUMMYFUNCTION("IFERROR((COUNTIF(FILTER(Data!N:N, Data!B:B=A508),""LOW"")) / (COUNTIF(Data!B:B, A508)),"""")"),"")</f>
        <v/>
      </c>
      <c r="U508" s="59" t="str">
        <f>IFERROR(__xludf.DUMMYFUNCTION("IFERROR((COUNTIF(FILTER(Data!N:N, Data!B:B=A508),""MIDDLE"")) / (COUNTIF(Data!B:B, A508)),"""")"),"")</f>
        <v/>
      </c>
      <c r="V508" s="59" t="str">
        <f>IFERROR(__xludf.DUMMYFUNCTION("IFERROR((COUNTIF(FILTER(Data!N:N, Data!B:B=A508),""HIGH"")) / (COUNTIF(Data!B:B, A508)),"""")"),"")</f>
        <v/>
      </c>
      <c r="W508" s="59" t="str">
        <f>IFERROR(__xludf.DUMMYFUNCTION("IFERROR((COUNTIF(FILTER(Data!N:N, Data!B:B=A508),""TRAVERSE"")) / (COUNTIF(Data!B:B, A508)),"""")"),"")</f>
        <v/>
      </c>
      <c r="X508" s="59"/>
      <c r="Y508" s="45" t="str">
        <f t="shared" si="7"/>
        <v/>
      </c>
      <c r="Z508" s="45" t="str">
        <f t="shared" si="8"/>
        <v/>
      </c>
      <c r="AA508" s="16" t="str">
        <f t="shared" si="9"/>
        <v/>
      </c>
      <c r="AB508" s="16"/>
      <c r="AC508" s="16"/>
      <c r="AD508" s="16"/>
      <c r="AE508" s="16" t="str">
        <f t="shared" si="12"/>
        <v/>
      </c>
      <c r="AF508" s="16" t="str">
        <f t="shared" si="13"/>
        <v/>
      </c>
      <c r="AG508" s="44"/>
      <c r="AH508" s="44"/>
      <c r="AI508" s="44" t="str">
        <f>IFERROR(__xludf.DUMMYFUNCTION("TEXTJOIN("", "",TRUE, FILTER(Data!P:P, Data!B:B=A508))"),"")</f>
        <v/>
      </c>
      <c r="AM508" s="61"/>
      <c r="BC508" s="50"/>
    </row>
    <row r="509">
      <c r="A509" s="14"/>
      <c r="B509" s="55" t="str">
        <f>IFERROR(__xludf.DUMMYFUNCTION("IFERROR(ROUND(
(COUNTIF(FILTER(Data!O:O, Data!B:B=A509), ""Win"")
+ COUNTIF(FILTER(Data!O:O, Data!B:B=A509), {""Tie"",""Results""}))
/ (COUNTIF(Data!B:B, A509)),
1),"""")"),"")</f>
        <v/>
      </c>
      <c r="C509" s="45" t="str">
        <f>IFERROR((SUMIF(Data!B:B, A509, Data!H:H)
/ (COUNTIF(Data!B:B, A509)
)),"")</f>
        <v/>
      </c>
      <c r="D509" s="45" t="str">
        <f>IFERROR((SUMIF(Data!B:B, A509, Data!G:G)
/ (COUNTIF(Data!B:B, A509)
)),"")</f>
        <v/>
      </c>
      <c r="E509" s="45"/>
      <c r="F509" s="45" t="str">
        <f>IFERROR((SUMIF(Data!B:B, A509, Data!J:J)
/ (COUNTIF(Data!B:B, A509)
)),"")</f>
        <v/>
      </c>
      <c r="G509" s="56" t="str">
        <f>IF(A509="","",IFERROR((((((SUMIF(Data!B:B, A509, Data!H:H)+(SUMIF(Data!B:B, A509,Data!G:G)))/(SUMIF(Data!B:B, A509, Data!J:J)))))),0))</f>
        <v/>
      </c>
      <c r="H509" s="45"/>
      <c r="I509" s="45"/>
      <c r="J509" s="45"/>
      <c r="K509" s="45"/>
      <c r="L509" s="45" t="str">
        <f>IFERROR((SUMIF(Data!B:B, A509, Data!L:L)
/ (COUNTIF(Data!B:B, A509)
)),"")</f>
        <v/>
      </c>
      <c r="M509" s="45" t="str">
        <f>IFERROR((SUMIF(Data!B:B, A509, Data!K:K)
/ (COUNTIF(Data!B:B, A509)
)),"")</f>
        <v/>
      </c>
      <c r="N509" s="56"/>
      <c r="O509" s="56" t="str">
        <f>IF(A509="","",IFERROR((((((SUMIF(Data!B:B, A509, Data!H:H)+(SUMIF(Data!B:B, A509,Data!G:G)+(SUMIF(Data!B:B, A509,Data!L:L)+(SUMIF(Data!B:B, A509,Data!K:K)))))/(SUMIF(Data!B:B, A509, Data!M:M)+(SUMIF(Data!B:B, A509, Data!H:H)+(SUMIF(Data!B:B, A509,Data!G:G)+(SUMIF(Data!B:B, A509,Data!K:K)+(SUMIF(Data!B:B, A509,Data!L:L)))))))))),0))</f>
        <v/>
      </c>
      <c r="P509" s="57" t="str">
        <f>IFERROR(__xludf.DUMMYFUNCTION("IFERROR(((COUNTIF(FILTER(Data!N:N,Data!B:B=A509),""TRAVERSE"")*15)+(COUNTIF(FILTER(Data!N:N,Data!B:B=A509),""HIGH"")*10)+(COUNTIF(FILTER(Data!N:N,Data!B:B=A509),""MIDDLE"")*6)+(COUNTIF(FILTER(Data!N:N,Data!B:B=A509),""LOW"")*4)) / (COUNTIF(Data!B:B, A509)"&amp;"),"""")"),"")</f>
        <v/>
      </c>
      <c r="Q509" s="58"/>
      <c r="R509" s="58"/>
      <c r="S509" s="58" t="str">
        <f>IFERROR(__xludf.DUMMYFUNCTION("IFERROR((((COUNTIF(FILTER(Data!N:N,Data!B:B=A509),""TRAVERSE""))+(COUNTIF(FILTER(Data!N:N,Data!B:B=A509),""HIGH""))+(COUNTIF(FILTER(Data!N:N,Data!B:B=A509),""MIDDLE""))+(COUNTIF(FILTER(Data!N:N,Data!B:B=A509),""LOW"")))) / (((COUNTIF(Data!B:B, A509)))-(CO"&amp;"UNTIF(FILTER(Data!N:N,Data!B:B=A509),""NONE""))),IF(ISBLANK(A509),"""",0))"),"")</f>
        <v/>
      </c>
      <c r="T509" s="56" t="str">
        <f>IFERROR(__xludf.DUMMYFUNCTION("IFERROR((COUNTIF(FILTER(Data!N:N, Data!B:B=A509),""LOW"")) / (COUNTIF(Data!B:B, A509)),"""")"),"")</f>
        <v/>
      </c>
      <c r="U509" s="59" t="str">
        <f>IFERROR(__xludf.DUMMYFUNCTION("IFERROR((COUNTIF(FILTER(Data!N:N, Data!B:B=A509),""MIDDLE"")) / (COUNTIF(Data!B:B, A509)),"""")"),"")</f>
        <v/>
      </c>
      <c r="V509" s="59" t="str">
        <f>IFERROR(__xludf.DUMMYFUNCTION("IFERROR((COUNTIF(FILTER(Data!N:N, Data!B:B=A509),""HIGH"")) / (COUNTIF(Data!B:B, A509)),"""")"),"")</f>
        <v/>
      </c>
      <c r="W509" s="59" t="str">
        <f>IFERROR(__xludf.DUMMYFUNCTION("IFERROR((COUNTIF(FILTER(Data!N:N, Data!B:B=A509),""TRAVERSE"")) / (COUNTIF(Data!B:B, A509)),"""")"),"")</f>
        <v/>
      </c>
      <c r="X509" s="59"/>
      <c r="Y509" s="45" t="str">
        <f t="shared" si="7"/>
        <v/>
      </c>
      <c r="Z509" s="45" t="str">
        <f t="shared" si="8"/>
        <v/>
      </c>
      <c r="AA509" s="16" t="str">
        <f t="shared" si="9"/>
        <v/>
      </c>
      <c r="AB509" s="16"/>
      <c r="AC509" s="16"/>
      <c r="AD509" s="16"/>
      <c r="AE509" s="16" t="str">
        <f t="shared" si="12"/>
        <v/>
      </c>
      <c r="AF509" s="16" t="str">
        <f t="shared" si="13"/>
        <v/>
      </c>
      <c r="AG509" s="44"/>
      <c r="AH509" s="44"/>
      <c r="AI509" s="44" t="str">
        <f>IFERROR(__xludf.DUMMYFUNCTION("TEXTJOIN("", "",TRUE, FILTER(Data!P:P, Data!B:B=A509))"),"")</f>
        <v/>
      </c>
      <c r="AM509" s="61"/>
      <c r="BC509" s="50"/>
    </row>
    <row r="510">
      <c r="A510" s="14"/>
      <c r="B510" s="55" t="str">
        <f>IFERROR(__xludf.DUMMYFUNCTION("IFERROR(ROUND(
(COUNTIF(FILTER(Data!O:O, Data!B:B=A510), ""Win"")
+ COUNTIF(FILTER(Data!O:O, Data!B:B=A510), {""Tie"",""Results""}))
/ (COUNTIF(Data!B:B, A510)),
1),"""")"),"")</f>
        <v/>
      </c>
      <c r="C510" s="45" t="str">
        <f>IFERROR((SUMIF(Data!B:B, A510, Data!H:H)
/ (COUNTIF(Data!B:B, A510)
)),"")</f>
        <v/>
      </c>
      <c r="D510" s="45" t="str">
        <f>IFERROR((SUMIF(Data!B:B, A510, Data!G:G)
/ (COUNTIF(Data!B:B, A510)
)),"")</f>
        <v/>
      </c>
      <c r="E510" s="45"/>
      <c r="F510" s="45" t="str">
        <f>IFERROR((SUMIF(Data!B:B, A510, Data!J:J)
/ (COUNTIF(Data!B:B, A510)
)),"")</f>
        <v/>
      </c>
      <c r="G510" s="56" t="str">
        <f>IF(A510="","",IFERROR((((((SUMIF(Data!B:B, A510, Data!H:H)+(SUMIF(Data!B:B, A510,Data!G:G)))/(SUMIF(Data!B:B, A510, Data!J:J)))))),0))</f>
        <v/>
      </c>
      <c r="H510" s="45"/>
      <c r="I510" s="45"/>
      <c r="J510" s="45"/>
      <c r="K510" s="45"/>
      <c r="L510" s="45" t="str">
        <f>IFERROR((SUMIF(Data!B:B, A510, Data!L:L)
/ (COUNTIF(Data!B:B, A510)
)),"")</f>
        <v/>
      </c>
      <c r="M510" s="45" t="str">
        <f>IFERROR((SUMIF(Data!B:B, A510, Data!K:K)
/ (COUNTIF(Data!B:B, A510)
)),"")</f>
        <v/>
      </c>
      <c r="N510" s="56"/>
      <c r="O510" s="56" t="str">
        <f>IF(A510="","",IFERROR((((((SUMIF(Data!B:B, A510, Data!H:H)+(SUMIF(Data!B:B, A510,Data!G:G)+(SUMIF(Data!B:B, A510,Data!L:L)+(SUMIF(Data!B:B, A510,Data!K:K)))))/(SUMIF(Data!B:B, A510, Data!M:M)+(SUMIF(Data!B:B, A510, Data!H:H)+(SUMIF(Data!B:B, A510,Data!G:G)+(SUMIF(Data!B:B, A510,Data!K:K)+(SUMIF(Data!B:B, A510,Data!L:L)))))))))),0))</f>
        <v/>
      </c>
      <c r="P510" s="57" t="str">
        <f>IFERROR(__xludf.DUMMYFUNCTION("IFERROR(((COUNTIF(FILTER(Data!N:N,Data!B:B=A510),""TRAVERSE"")*15)+(COUNTIF(FILTER(Data!N:N,Data!B:B=A510),""HIGH"")*10)+(COUNTIF(FILTER(Data!N:N,Data!B:B=A510),""MIDDLE"")*6)+(COUNTIF(FILTER(Data!N:N,Data!B:B=A510),""LOW"")*4)) / (COUNTIF(Data!B:B, A510)"&amp;"),"""")"),"")</f>
        <v/>
      </c>
      <c r="Q510" s="58"/>
      <c r="R510" s="58"/>
      <c r="S510" s="58" t="str">
        <f>IFERROR(__xludf.DUMMYFUNCTION("IFERROR((((COUNTIF(FILTER(Data!N:N,Data!B:B=A510),""TRAVERSE""))+(COUNTIF(FILTER(Data!N:N,Data!B:B=A510),""HIGH""))+(COUNTIF(FILTER(Data!N:N,Data!B:B=A510),""MIDDLE""))+(COUNTIF(FILTER(Data!N:N,Data!B:B=A510),""LOW"")))) / (((COUNTIF(Data!B:B, A510)))-(CO"&amp;"UNTIF(FILTER(Data!N:N,Data!B:B=A510),""NONE""))),IF(ISBLANK(A510),"""",0))"),"")</f>
        <v/>
      </c>
      <c r="T510" s="56" t="str">
        <f>IFERROR(__xludf.DUMMYFUNCTION("IFERROR((COUNTIF(FILTER(Data!N:N, Data!B:B=A510),""LOW"")) / (COUNTIF(Data!B:B, A510)),"""")"),"")</f>
        <v/>
      </c>
      <c r="U510" s="59" t="str">
        <f>IFERROR(__xludf.DUMMYFUNCTION("IFERROR((COUNTIF(FILTER(Data!N:N, Data!B:B=A510),""MIDDLE"")) / (COUNTIF(Data!B:B, A510)),"""")"),"")</f>
        <v/>
      </c>
      <c r="V510" s="59" t="str">
        <f>IFERROR(__xludf.DUMMYFUNCTION("IFERROR((COUNTIF(FILTER(Data!N:N, Data!B:B=A510),""HIGH"")) / (COUNTIF(Data!B:B, A510)),"""")"),"")</f>
        <v/>
      </c>
      <c r="W510" s="59" t="str">
        <f>IFERROR(__xludf.DUMMYFUNCTION("IFERROR((COUNTIF(FILTER(Data!N:N, Data!B:B=A510),""TRAVERSE"")) / (COUNTIF(Data!B:B, A510)),"""")"),"")</f>
        <v/>
      </c>
      <c r="X510" s="59"/>
      <c r="Y510" s="45" t="str">
        <f t="shared" si="7"/>
        <v/>
      </c>
      <c r="Z510" s="45" t="str">
        <f t="shared" si="8"/>
        <v/>
      </c>
      <c r="AA510" s="16" t="str">
        <f t="shared" si="9"/>
        <v/>
      </c>
      <c r="AB510" s="16"/>
      <c r="AC510" s="16"/>
      <c r="AD510" s="16"/>
      <c r="AE510" s="16" t="str">
        <f t="shared" si="12"/>
        <v/>
      </c>
      <c r="AF510" s="16" t="str">
        <f t="shared" si="13"/>
        <v/>
      </c>
      <c r="AG510" s="44"/>
      <c r="AH510" s="44"/>
      <c r="AI510" s="44" t="str">
        <f>IFERROR(__xludf.DUMMYFUNCTION("TEXTJOIN("", "",TRUE, FILTER(Data!P:P, Data!B:B=A510))"),"")</f>
        <v/>
      </c>
      <c r="AM510" s="61"/>
      <c r="BC510" s="50"/>
    </row>
    <row r="511">
      <c r="A511" s="14"/>
      <c r="B511" s="55" t="str">
        <f>IFERROR(__xludf.DUMMYFUNCTION("IFERROR(ROUND(
(COUNTIF(FILTER(Data!O:O, Data!B:B=A511), ""Win"")
+ COUNTIF(FILTER(Data!O:O, Data!B:B=A511), {""Tie"",""Results""}))
/ (COUNTIF(Data!B:B, A511)),
1),"""")"),"")</f>
        <v/>
      </c>
      <c r="C511" s="45" t="str">
        <f>IFERROR((SUMIF(Data!B:B, A511, Data!H:H)
/ (COUNTIF(Data!B:B, A511)
)),"")</f>
        <v/>
      </c>
      <c r="D511" s="45" t="str">
        <f>IFERROR((SUMIF(Data!B:B, A511, Data!G:G)
/ (COUNTIF(Data!B:B, A511)
)),"")</f>
        <v/>
      </c>
      <c r="E511" s="45"/>
      <c r="F511" s="45" t="str">
        <f>IFERROR((SUMIF(Data!B:B, A511, Data!J:J)
/ (COUNTIF(Data!B:B, A511)
)),"")</f>
        <v/>
      </c>
      <c r="G511" s="56" t="str">
        <f>IF(A511="","",IFERROR((((((SUMIF(Data!B:B, A511, Data!H:H)+(SUMIF(Data!B:B, A511,Data!G:G)))/(SUMIF(Data!B:B, A511, Data!J:J)))))),0))</f>
        <v/>
      </c>
      <c r="H511" s="45"/>
      <c r="I511" s="45"/>
      <c r="J511" s="45"/>
      <c r="K511" s="45"/>
      <c r="L511" s="45" t="str">
        <f>IFERROR((SUMIF(Data!B:B, A511, Data!L:L)
/ (COUNTIF(Data!B:B, A511)
)),"")</f>
        <v/>
      </c>
      <c r="M511" s="45" t="str">
        <f>IFERROR((SUMIF(Data!B:B, A511, Data!K:K)
/ (COUNTIF(Data!B:B, A511)
)),"")</f>
        <v/>
      </c>
      <c r="N511" s="56"/>
      <c r="O511" s="56" t="str">
        <f>IF(A511="","",IFERROR((((((SUMIF(Data!B:B, A511, Data!H:H)+(SUMIF(Data!B:B, A511,Data!G:G)+(SUMIF(Data!B:B, A511,Data!L:L)+(SUMIF(Data!B:B, A511,Data!K:K)))))/(SUMIF(Data!B:B, A511, Data!M:M)+(SUMIF(Data!B:B, A511, Data!H:H)+(SUMIF(Data!B:B, A511,Data!G:G)+(SUMIF(Data!B:B, A511,Data!K:K)+(SUMIF(Data!B:B, A511,Data!L:L)))))))))),0))</f>
        <v/>
      </c>
      <c r="P511" s="57" t="str">
        <f>IFERROR(__xludf.DUMMYFUNCTION("IFERROR(((COUNTIF(FILTER(Data!N:N,Data!B:B=A511),""TRAVERSE"")*15)+(COUNTIF(FILTER(Data!N:N,Data!B:B=A511),""HIGH"")*10)+(COUNTIF(FILTER(Data!N:N,Data!B:B=A511),""MIDDLE"")*6)+(COUNTIF(FILTER(Data!N:N,Data!B:B=A511),""LOW"")*4)) / (COUNTIF(Data!B:B, A511)"&amp;"),"""")"),"")</f>
        <v/>
      </c>
      <c r="Q511" s="58"/>
      <c r="R511" s="58"/>
      <c r="S511" s="58" t="str">
        <f>IFERROR(__xludf.DUMMYFUNCTION("IFERROR((((COUNTIF(FILTER(Data!N:N,Data!B:B=A511),""TRAVERSE""))+(COUNTIF(FILTER(Data!N:N,Data!B:B=A511),""HIGH""))+(COUNTIF(FILTER(Data!N:N,Data!B:B=A511),""MIDDLE""))+(COUNTIF(FILTER(Data!N:N,Data!B:B=A511),""LOW"")))) / (((COUNTIF(Data!B:B, A511)))-(CO"&amp;"UNTIF(FILTER(Data!N:N,Data!B:B=A511),""NONE""))),IF(ISBLANK(A511),"""",0))"),"")</f>
        <v/>
      </c>
      <c r="T511" s="56" t="str">
        <f>IFERROR(__xludf.DUMMYFUNCTION("IFERROR((COUNTIF(FILTER(Data!N:N, Data!B:B=A511),""LOW"")) / (COUNTIF(Data!B:B, A511)),"""")"),"")</f>
        <v/>
      </c>
      <c r="U511" s="59" t="str">
        <f>IFERROR(__xludf.DUMMYFUNCTION("IFERROR((COUNTIF(FILTER(Data!N:N, Data!B:B=A511),""MIDDLE"")) / (COUNTIF(Data!B:B, A511)),"""")"),"")</f>
        <v/>
      </c>
      <c r="V511" s="59" t="str">
        <f>IFERROR(__xludf.DUMMYFUNCTION("IFERROR((COUNTIF(FILTER(Data!N:N, Data!B:B=A511),""HIGH"")) / (COUNTIF(Data!B:B, A511)),"""")"),"")</f>
        <v/>
      </c>
      <c r="W511" s="59" t="str">
        <f>IFERROR(__xludf.DUMMYFUNCTION("IFERROR((COUNTIF(FILTER(Data!N:N, Data!B:B=A511),""TRAVERSE"")) / (COUNTIF(Data!B:B, A511)),"""")"),"")</f>
        <v/>
      </c>
      <c r="X511" s="59"/>
      <c r="Y511" s="45" t="str">
        <f t="shared" si="7"/>
        <v/>
      </c>
      <c r="Z511" s="45" t="str">
        <f t="shared" si="8"/>
        <v/>
      </c>
      <c r="AA511" s="16" t="str">
        <f t="shared" si="9"/>
        <v/>
      </c>
      <c r="AB511" s="16"/>
      <c r="AC511" s="16"/>
      <c r="AD511" s="16"/>
      <c r="AE511" s="16" t="str">
        <f t="shared" si="12"/>
        <v/>
      </c>
      <c r="AF511" s="16" t="str">
        <f t="shared" si="13"/>
        <v/>
      </c>
      <c r="AG511" s="44"/>
      <c r="AH511" s="44"/>
      <c r="AI511" s="44" t="str">
        <f>IFERROR(__xludf.DUMMYFUNCTION("TEXTJOIN("", "",TRUE, FILTER(Data!P:P, Data!B:B=A511))"),"")</f>
        <v/>
      </c>
      <c r="AM511" s="61"/>
      <c r="BC511" s="50"/>
    </row>
    <row r="512">
      <c r="A512" s="14"/>
      <c r="B512" s="55" t="str">
        <f>IFERROR(__xludf.DUMMYFUNCTION("IFERROR(ROUND(
(COUNTIF(FILTER(Data!O:O, Data!B:B=A512), ""Win"")
+ COUNTIF(FILTER(Data!O:O, Data!B:B=A512), {""Tie"",""Results""}))
/ (COUNTIF(Data!B:B, A512)),
1),"""")"),"")</f>
        <v/>
      </c>
      <c r="C512" s="45" t="str">
        <f>IFERROR((SUMIF(Data!B:B, A512, Data!H:H)
/ (COUNTIF(Data!B:B, A512)
)),"")</f>
        <v/>
      </c>
      <c r="D512" s="45" t="str">
        <f>IFERROR((SUMIF(Data!B:B, A512, Data!G:G)
/ (COUNTIF(Data!B:B, A512)
)),"")</f>
        <v/>
      </c>
      <c r="E512" s="45"/>
      <c r="F512" s="45" t="str">
        <f>IFERROR((SUMIF(Data!B:B, A512, Data!J:J)
/ (COUNTIF(Data!B:B, A512)
)),"")</f>
        <v/>
      </c>
      <c r="G512" s="56" t="str">
        <f>IF(A512="","",IFERROR((((((SUMIF(Data!B:B, A512, Data!H:H)+(SUMIF(Data!B:B, A512,Data!G:G)))/(SUMIF(Data!B:B, A512, Data!J:J)))))),0))</f>
        <v/>
      </c>
      <c r="H512" s="45"/>
      <c r="I512" s="45"/>
      <c r="J512" s="45"/>
      <c r="K512" s="45"/>
      <c r="L512" s="45" t="str">
        <f>IFERROR((SUMIF(Data!B:B, A512, Data!L:L)
/ (COUNTIF(Data!B:B, A512)
)),"")</f>
        <v/>
      </c>
      <c r="M512" s="45" t="str">
        <f>IFERROR((SUMIF(Data!B:B, A512, Data!K:K)
/ (COUNTIF(Data!B:B, A512)
)),"")</f>
        <v/>
      </c>
      <c r="N512" s="56"/>
      <c r="O512" s="56" t="str">
        <f>IF(A512="","",IFERROR((((((SUMIF(Data!B:B, A512, Data!H:H)+(SUMIF(Data!B:B, A512,Data!G:G)+(SUMIF(Data!B:B, A512,Data!L:L)+(SUMIF(Data!B:B, A512,Data!K:K)))))/(SUMIF(Data!B:B, A512, Data!M:M)+(SUMIF(Data!B:B, A512, Data!H:H)+(SUMIF(Data!B:B, A512,Data!G:G)+(SUMIF(Data!B:B, A512,Data!K:K)+(SUMIF(Data!B:B, A512,Data!L:L)))))))))),0))</f>
        <v/>
      </c>
      <c r="P512" s="57" t="str">
        <f>IFERROR(__xludf.DUMMYFUNCTION("IFERROR(((COUNTIF(FILTER(Data!N:N,Data!B:B=A512),""TRAVERSE"")*15)+(COUNTIF(FILTER(Data!N:N,Data!B:B=A512),""HIGH"")*10)+(COUNTIF(FILTER(Data!N:N,Data!B:B=A512),""MIDDLE"")*6)+(COUNTIF(FILTER(Data!N:N,Data!B:B=A512),""LOW"")*4)) / (COUNTIF(Data!B:B, A512)"&amp;"),"""")"),"")</f>
        <v/>
      </c>
      <c r="Q512" s="58"/>
      <c r="R512" s="58"/>
      <c r="S512" s="58" t="str">
        <f>IFERROR(__xludf.DUMMYFUNCTION("IFERROR((((COUNTIF(FILTER(Data!N:N,Data!B:B=A512),""TRAVERSE""))+(COUNTIF(FILTER(Data!N:N,Data!B:B=A512),""HIGH""))+(COUNTIF(FILTER(Data!N:N,Data!B:B=A512),""MIDDLE""))+(COUNTIF(FILTER(Data!N:N,Data!B:B=A512),""LOW"")))) / (((COUNTIF(Data!B:B, A512)))-(CO"&amp;"UNTIF(FILTER(Data!N:N,Data!B:B=A512),""NONE""))),IF(ISBLANK(A512),"""",0))"),"")</f>
        <v/>
      </c>
      <c r="T512" s="56" t="str">
        <f>IFERROR(__xludf.DUMMYFUNCTION("IFERROR((COUNTIF(FILTER(Data!N:N, Data!B:B=A512),""LOW"")) / (COUNTIF(Data!B:B, A512)),"""")"),"")</f>
        <v/>
      </c>
      <c r="U512" s="59" t="str">
        <f>IFERROR(__xludf.DUMMYFUNCTION("IFERROR((COUNTIF(FILTER(Data!N:N, Data!B:B=A512),""MIDDLE"")) / (COUNTIF(Data!B:B, A512)),"""")"),"")</f>
        <v/>
      </c>
      <c r="V512" s="59" t="str">
        <f>IFERROR(__xludf.DUMMYFUNCTION("IFERROR((COUNTIF(FILTER(Data!N:N, Data!B:B=A512),""HIGH"")) / (COUNTIF(Data!B:B, A512)),"""")"),"")</f>
        <v/>
      </c>
      <c r="W512" s="59" t="str">
        <f>IFERROR(__xludf.DUMMYFUNCTION("IFERROR((COUNTIF(FILTER(Data!N:N, Data!B:B=A512),""TRAVERSE"")) / (COUNTIF(Data!B:B, A512)),"""")"),"")</f>
        <v/>
      </c>
      <c r="X512" s="59"/>
      <c r="Y512" s="45" t="str">
        <f t="shared" si="7"/>
        <v/>
      </c>
      <c r="Z512" s="45" t="str">
        <f t="shared" si="8"/>
        <v/>
      </c>
      <c r="AA512" s="16" t="str">
        <f t="shared" si="9"/>
        <v/>
      </c>
      <c r="AB512" s="16"/>
      <c r="AC512" s="16"/>
      <c r="AD512" s="16"/>
      <c r="AE512" s="16" t="str">
        <f t="shared" si="12"/>
        <v/>
      </c>
      <c r="AF512" s="16" t="str">
        <f t="shared" si="13"/>
        <v/>
      </c>
      <c r="AG512" s="44"/>
      <c r="AH512" s="44"/>
      <c r="AI512" s="44" t="str">
        <f>IFERROR(__xludf.DUMMYFUNCTION("TEXTJOIN("", "",TRUE, FILTER(Data!P:P, Data!B:B=A512))"),"")</f>
        <v/>
      </c>
      <c r="AM512" s="61"/>
      <c r="BC512" s="50"/>
    </row>
    <row r="513">
      <c r="A513" s="14"/>
      <c r="B513" s="55" t="str">
        <f>IFERROR(__xludf.DUMMYFUNCTION("IFERROR(ROUND(
(COUNTIF(FILTER(Data!O:O, Data!B:B=A513), ""Win"")
+ COUNTIF(FILTER(Data!O:O, Data!B:B=A513), {""Tie"",""Results""}))
/ (COUNTIF(Data!B:B, A513)),
1),"""")"),"")</f>
        <v/>
      </c>
      <c r="C513" s="45" t="str">
        <f>IFERROR((SUMIF(Data!B:B, A513, Data!H:H)
/ (COUNTIF(Data!B:B, A513)
)),"")</f>
        <v/>
      </c>
      <c r="D513" s="45" t="str">
        <f>IFERROR((SUMIF(Data!B:B, A513, Data!G:G)
/ (COUNTIF(Data!B:B, A513)
)),"")</f>
        <v/>
      </c>
      <c r="E513" s="45"/>
      <c r="F513" s="45" t="str">
        <f>IFERROR((SUMIF(Data!B:B, A513, Data!J:J)
/ (COUNTIF(Data!B:B, A513)
)),"")</f>
        <v/>
      </c>
      <c r="G513" s="56" t="str">
        <f>IF(A513="","",IFERROR((((((SUMIF(Data!B:B, A513, Data!H:H)+(SUMIF(Data!B:B, A513,Data!G:G)))/(SUMIF(Data!B:B, A513, Data!J:J)))))),0))</f>
        <v/>
      </c>
      <c r="H513" s="45"/>
      <c r="I513" s="45"/>
      <c r="J513" s="45"/>
      <c r="K513" s="45"/>
      <c r="L513" s="45" t="str">
        <f>IFERROR((SUMIF(Data!B:B, A513, Data!L:L)
/ (COUNTIF(Data!B:B, A513)
)),"")</f>
        <v/>
      </c>
      <c r="M513" s="45" t="str">
        <f>IFERROR((SUMIF(Data!B:B, A513, Data!K:K)
/ (COUNTIF(Data!B:B, A513)
)),"")</f>
        <v/>
      </c>
      <c r="N513" s="56"/>
      <c r="O513" s="56" t="str">
        <f>IF(A513="","",IFERROR((((((SUMIF(Data!B:B, A513, Data!H:H)+(SUMIF(Data!B:B, A513,Data!G:G)+(SUMIF(Data!B:B, A513,Data!L:L)+(SUMIF(Data!B:B, A513,Data!K:K)))))/(SUMIF(Data!B:B, A513, Data!M:M)+(SUMIF(Data!B:B, A513, Data!H:H)+(SUMIF(Data!B:B, A513,Data!G:G)+(SUMIF(Data!B:B, A513,Data!K:K)+(SUMIF(Data!B:B, A513,Data!L:L)))))))))),0))</f>
        <v/>
      </c>
      <c r="P513" s="57" t="str">
        <f>IFERROR(__xludf.DUMMYFUNCTION("IFERROR(((COUNTIF(FILTER(Data!N:N,Data!B:B=A513),""TRAVERSE"")*15)+(COUNTIF(FILTER(Data!N:N,Data!B:B=A513),""HIGH"")*10)+(COUNTIF(FILTER(Data!N:N,Data!B:B=A513),""MIDDLE"")*6)+(COUNTIF(FILTER(Data!N:N,Data!B:B=A513),""LOW"")*4)) / (COUNTIF(Data!B:B, A513)"&amp;"),"""")"),"")</f>
        <v/>
      </c>
      <c r="Q513" s="58"/>
      <c r="R513" s="58"/>
      <c r="S513" s="58" t="str">
        <f>IFERROR(__xludf.DUMMYFUNCTION("IFERROR((((COUNTIF(FILTER(Data!N:N,Data!B:B=A513),""TRAVERSE""))+(COUNTIF(FILTER(Data!N:N,Data!B:B=A513),""HIGH""))+(COUNTIF(FILTER(Data!N:N,Data!B:B=A513),""MIDDLE""))+(COUNTIF(FILTER(Data!N:N,Data!B:B=A513),""LOW"")))) / (((COUNTIF(Data!B:B, A513)))-(CO"&amp;"UNTIF(FILTER(Data!N:N,Data!B:B=A513),""NONE""))),IF(ISBLANK(A513),"""",0))"),"")</f>
        <v/>
      </c>
      <c r="T513" s="56" t="str">
        <f>IFERROR(__xludf.DUMMYFUNCTION("IFERROR((COUNTIF(FILTER(Data!N:N, Data!B:B=A513),""LOW"")) / (COUNTIF(Data!B:B, A513)),"""")"),"")</f>
        <v/>
      </c>
      <c r="U513" s="59" t="str">
        <f>IFERROR(__xludf.DUMMYFUNCTION("IFERROR((COUNTIF(FILTER(Data!N:N, Data!B:B=A513),""MIDDLE"")) / (COUNTIF(Data!B:B, A513)),"""")"),"")</f>
        <v/>
      </c>
      <c r="V513" s="59" t="str">
        <f>IFERROR(__xludf.DUMMYFUNCTION("IFERROR((COUNTIF(FILTER(Data!N:N, Data!B:B=A513),""HIGH"")) / (COUNTIF(Data!B:B, A513)),"""")"),"")</f>
        <v/>
      </c>
      <c r="W513" s="59" t="str">
        <f>IFERROR(__xludf.DUMMYFUNCTION("IFERROR((COUNTIF(FILTER(Data!N:N, Data!B:B=A513),""TRAVERSE"")) / (COUNTIF(Data!B:B, A513)),"""")"),"")</f>
        <v/>
      </c>
      <c r="X513" s="59"/>
      <c r="Y513" s="45" t="str">
        <f t="shared" si="7"/>
        <v/>
      </c>
      <c r="Z513" s="45" t="str">
        <f t="shared" si="8"/>
        <v/>
      </c>
      <c r="AA513" s="16" t="str">
        <f t="shared" si="9"/>
        <v/>
      </c>
      <c r="AB513" s="16"/>
      <c r="AC513" s="16"/>
      <c r="AD513" s="16"/>
      <c r="AE513" s="16" t="str">
        <f t="shared" si="12"/>
        <v/>
      </c>
      <c r="AF513" s="16" t="str">
        <f t="shared" si="13"/>
        <v/>
      </c>
      <c r="AG513" s="44"/>
      <c r="AH513" s="44"/>
      <c r="AI513" s="44" t="str">
        <f>IFERROR(__xludf.DUMMYFUNCTION("TEXTJOIN("", "",TRUE, FILTER(Data!P:P, Data!B:B=A513))"),"")</f>
        <v/>
      </c>
      <c r="AM513" s="61"/>
      <c r="BC513" s="50"/>
    </row>
    <row r="514">
      <c r="A514" s="14"/>
      <c r="B514" s="55" t="str">
        <f>IFERROR(__xludf.DUMMYFUNCTION("IFERROR(ROUND(
(COUNTIF(FILTER(Data!O:O, Data!B:B=A514), ""Win"")
+ COUNTIF(FILTER(Data!O:O, Data!B:B=A514), {""Tie"",""Results""}))
/ (COUNTIF(Data!B:B, A514)),
1),"""")"),"")</f>
        <v/>
      </c>
      <c r="C514" s="45" t="str">
        <f>IFERROR((SUMIF(Data!B:B, A514, Data!H:H)
/ (COUNTIF(Data!B:B, A514)
)),"")</f>
        <v/>
      </c>
      <c r="D514" s="45" t="str">
        <f>IFERROR((SUMIF(Data!B:B, A514, Data!G:G)
/ (COUNTIF(Data!B:B, A514)
)),"")</f>
        <v/>
      </c>
      <c r="E514" s="45"/>
      <c r="F514" s="45" t="str">
        <f>IFERROR((SUMIF(Data!B:B, A514, Data!J:J)
/ (COUNTIF(Data!B:B, A514)
)),"")</f>
        <v/>
      </c>
      <c r="G514" s="56" t="str">
        <f>IF(A514="","",IFERROR((((((SUMIF(Data!B:B, A514, Data!H:H)+(SUMIF(Data!B:B, A514,Data!G:G)))/(SUMIF(Data!B:B, A514, Data!J:J)))))),0))</f>
        <v/>
      </c>
      <c r="H514" s="45"/>
      <c r="I514" s="45"/>
      <c r="J514" s="45"/>
      <c r="K514" s="45"/>
      <c r="L514" s="45" t="str">
        <f>IFERROR((SUMIF(Data!B:B, A514, Data!L:L)
/ (COUNTIF(Data!B:B, A514)
)),"")</f>
        <v/>
      </c>
      <c r="M514" s="45" t="str">
        <f>IFERROR((SUMIF(Data!B:B, A514, Data!K:K)
/ (COUNTIF(Data!B:B, A514)
)),"")</f>
        <v/>
      </c>
      <c r="N514" s="56"/>
      <c r="O514" s="56" t="str">
        <f>IF(A514="","",IFERROR((((((SUMIF(Data!B:B, A514, Data!H:H)+(SUMIF(Data!B:B, A514,Data!G:G)+(SUMIF(Data!B:B, A514,Data!L:L)+(SUMIF(Data!B:B, A514,Data!K:K)))))/(SUMIF(Data!B:B, A514, Data!M:M)+(SUMIF(Data!B:B, A514, Data!H:H)+(SUMIF(Data!B:B, A514,Data!G:G)+(SUMIF(Data!B:B, A514,Data!K:K)+(SUMIF(Data!B:B, A514,Data!L:L)))))))))),0))</f>
        <v/>
      </c>
      <c r="P514" s="57" t="str">
        <f>IFERROR(__xludf.DUMMYFUNCTION("IFERROR(((COUNTIF(FILTER(Data!N:N,Data!B:B=A514),""TRAVERSE"")*15)+(COUNTIF(FILTER(Data!N:N,Data!B:B=A514),""HIGH"")*10)+(COUNTIF(FILTER(Data!N:N,Data!B:B=A514),""MIDDLE"")*6)+(COUNTIF(FILTER(Data!N:N,Data!B:B=A514),""LOW"")*4)) / (COUNTIF(Data!B:B, A514)"&amp;"),"""")"),"")</f>
        <v/>
      </c>
      <c r="Q514" s="58"/>
      <c r="R514" s="58"/>
      <c r="S514" s="58" t="str">
        <f>IFERROR(__xludf.DUMMYFUNCTION("IFERROR((((COUNTIF(FILTER(Data!N:N,Data!B:B=A514),""TRAVERSE""))+(COUNTIF(FILTER(Data!N:N,Data!B:B=A514),""HIGH""))+(COUNTIF(FILTER(Data!N:N,Data!B:B=A514),""MIDDLE""))+(COUNTIF(FILTER(Data!N:N,Data!B:B=A514),""LOW"")))) / (((COUNTIF(Data!B:B, A514)))-(CO"&amp;"UNTIF(FILTER(Data!N:N,Data!B:B=A514),""NONE""))),IF(ISBLANK(A514),"""",0))"),"")</f>
        <v/>
      </c>
      <c r="T514" s="56" t="str">
        <f>IFERROR(__xludf.DUMMYFUNCTION("IFERROR((COUNTIF(FILTER(Data!N:N, Data!B:B=A514),""LOW"")) / (COUNTIF(Data!B:B, A514)),"""")"),"")</f>
        <v/>
      </c>
      <c r="U514" s="59" t="str">
        <f>IFERROR(__xludf.DUMMYFUNCTION("IFERROR((COUNTIF(FILTER(Data!N:N, Data!B:B=A514),""MIDDLE"")) / (COUNTIF(Data!B:B, A514)),"""")"),"")</f>
        <v/>
      </c>
      <c r="V514" s="59" t="str">
        <f>IFERROR(__xludf.DUMMYFUNCTION("IFERROR((COUNTIF(FILTER(Data!N:N, Data!B:B=A514),""HIGH"")) / (COUNTIF(Data!B:B, A514)),"""")"),"")</f>
        <v/>
      </c>
      <c r="W514" s="59" t="str">
        <f>IFERROR(__xludf.DUMMYFUNCTION("IFERROR((COUNTIF(FILTER(Data!N:N, Data!B:B=A514),""TRAVERSE"")) / (COUNTIF(Data!B:B, A514)),"""")"),"")</f>
        <v/>
      </c>
      <c r="X514" s="59"/>
      <c r="Y514" s="45" t="str">
        <f t="shared" si="7"/>
        <v/>
      </c>
      <c r="Z514" s="45" t="str">
        <f t="shared" si="8"/>
        <v/>
      </c>
      <c r="AA514" s="16" t="str">
        <f t="shared" si="9"/>
        <v/>
      </c>
      <c r="AB514" s="16"/>
      <c r="AC514" s="16"/>
      <c r="AD514" s="16"/>
      <c r="AE514" s="16" t="str">
        <f t="shared" si="12"/>
        <v/>
      </c>
      <c r="AF514" s="16" t="str">
        <f t="shared" si="13"/>
        <v/>
      </c>
      <c r="AG514" s="44"/>
      <c r="AH514" s="44"/>
      <c r="AI514" s="44" t="str">
        <f>IFERROR(__xludf.DUMMYFUNCTION("TEXTJOIN("", "",TRUE, FILTER(Data!P:P, Data!B:B=A514))"),"")</f>
        <v/>
      </c>
      <c r="AM514" s="61"/>
      <c r="BC514" s="50"/>
    </row>
    <row r="515">
      <c r="A515" s="14"/>
      <c r="B515" s="55" t="str">
        <f>IFERROR(__xludf.DUMMYFUNCTION("IFERROR(ROUND(
(COUNTIF(FILTER(Data!O:O, Data!B:B=A515), ""Win"")
+ COUNTIF(FILTER(Data!O:O, Data!B:B=A515), {""Tie"",""Results""}))
/ (COUNTIF(Data!B:B, A515)),
1),"""")"),"")</f>
        <v/>
      </c>
      <c r="C515" s="45" t="str">
        <f>IFERROR((SUMIF(Data!B:B, A515, Data!H:H)
/ (COUNTIF(Data!B:B, A515)
)),"")</f>
        <v/>
      </c>
      <c r="D515" s="45" t="str">
        <f>IFERROR((SUMIF(Data!B:B, A515, Data!G:G)
/ (COUNTIF(Data!B:B, A515)
)),"")</f>
        <v/>
      </c>
      <c r="E515" s="45"/>
      <c r="F515" s="45" t="str">
        <f>IFERROR((SUMIF(Data!B:B, A515, Data!J:J)
/ (COUNTIF(Data!B:B, A515)
)),"")</f>
        <v/>
      </c>
      <c r="G515" s="56" t="str">
        <f>IF(A515="","",IFERROR((((((SUMIF(Data!B:B, A515, Data!H:H)+(SUMIF(Data!B:B, A515,Data!G:G)))/(SUMIF(Data!B:B, A515, Data!J:J)))))),0))</f>
        <v/>
      </c>
      <c r="H515" s="45"/>
      <c r="I515" s="45"/>
      <c r="J515" s="45"/>
      <c r="K515" s="45"/>
      <c r="L515" s="45" t="str">
        <f>IFERROR((SUMIF(Data!B:B, A515, Data!L:L)
/ (COUNTIF(Data!B:B, A515)
)),"")</f>
        <v/>
      </c>
      <c r="M515" s="45" t="str">
        <f>IFERROR((SUMIF(Data!B:B, A515, Data!K:K)
/ (COUNTIF(Data!B:B, A515)
)),"")</f>
        <v/>
      </c>
      <c r="N515" s="56"/>
      <c r="O515" s="56" t="str">
        <f>IF(A515="","",IFERROR((((((SUMIF(Data!B:B, A515, Data!H:H)+(SUMIF(Data!B:B, A515,Data!G:G)+(SUMIF(Data!B:B, A515,Data!L:L)+(SUMIF(Data!B:B, A515,Data!K:K)))))/(SUMIF(Data!B:B, A515, Data!M:M)+(SUMIF(Data!B:B, A515, Data!H:H)+(SUMIF(Data!B:B, A515,Data!G:G)+(SUMIF(Data!B:B, A515,Data!K:K)+(SUMIF(Data!B:B, A515,Data!L:L)))))))))),0))</f>
        <v/>
      </c>
      <c r="P515" s="57" t="str">
        <f>IFERROR(__xludf.DUMMYFUNCTION("IFERROR(((COUNTIF(FILTER(Data!N:N,Data!B:B=A515),""TRAVERSE"")*15)+(COUNTIF(FILTER(Data!N:N,Data!B:B=A515),""HIGH"")*10)+(COUNTIF(FILTER(Data!N:N,Data!B:B=A515),""MIDDLE"")*6)+(COUNTIF(FILTER(Data!N:N,Data!B:B=A515),""LOW"")*4)) / (COUNTIF(Data!B:B, A515)"&amp;"),"""")"),"")</f>
        <v/>
      </c>
      <c r="Q515" s="58"/>
      <c r="R515" s="58"/>
      <c r="S515" s="58" t="str">
        <f>IFERROR(__xludf.DUMMYFUNCTION("IFERROR((((COUNTIF(FILTER(Data!N:N,Data!B:B=A515),""TRAVERSE""))+(COUNTIF(FILTER(Data!N:N,Data!B:B=A515),""HIGH""))+(COUNTIF(FILTER(Data!N:N,Data!B:B=A515),""MIDDLE""))+(COUNTIF(FILTER(Data!N:N,Data!B:B=A515),""LOW"")))) / (((COUNTIF(Data!B:B, A515)))-(CO"&amp;"UNTIF(FILTER(Data!N:N,Data!B:B=A515),""NONE""))),IF(ISBLANK(A515),"""",0))"),"")</f>
        <v/>
      </c>
      <c r="T515" s="56" t="str">
        <f>IFERROR(__xludf.DUMMYFUNCTION("IFERROR((COUNTIF(FILTER(Data!N:N, Data!B:B=A515),""LOW"")) / (COUNTIF(Data!B:B, A515)),"""")"),"")</f>
        <v/>
      </c>
      <c r="U515" s="59" t="str">
        <f>IFERROR(__xludf.DUMMYFUNCTION("IFERROR((COUNTIF(FILTER(Data!N:N, Data!B:B=A515),""MIDDLE"")) / (COUNTIF(Data!B:B, A515)),"""")"),"")</f>
        <v/>
      </c>
      <c r="V515" s="59" t="str">
        <f>IFERROR(__xludf.DUMMYFUNCTION("IFERROR((COUNTIF(FILTER(Data!N:N, Data!B:B=A515),""HIGH"")) / (COUNTIF(Data!B:B, A515)),"""")"),"")</f>
        <v/>
      </c>
      <c r="W515" s="59" t="str">
        <f>IFERROR(__xludf.DUMMYFUNCTION("IFERROR((COUNTIF(FILTER(Data!N:N, Data!B:B=A515),""TRAVERSE"")) / (COUNTIF(Data!B:B, A515)),"""")"),"")</f>
        <v/>
      </c>
      <c r="X515" s="59"/>
      <c r="Y515" s="45" t="str">
        <f t="shared" si="7"/>
        <v/>
      </c>
      <c r="Z515" s="45" t="str">
        <f t="shared" si="8"/>
        <v/>
      </c>
      <c r="AA515" s="16" t="str">
        <f t="shared" si="9"/>
        <v/>
      </c>
      <c r="AB515" s="16"/>
      <c r="AC515" s="16"/>
      <c r="AD515" s="16"/>
      <c r="AE515" s="16" t="str">
        <f t="shared" si="12"/>
        <v/>
      </c>
      <c r="AF515" s="16" t="str">
        <f t="shared" si="13"/>
        <v/>
      </c>
      <c r="AG515" s="44"/>
      <c r="AH515" s="44"/>
      <c r="AI515" s="44" t="str">
        <f>IFERROR(__xludf.DUMMYFUNCTION("TEXTJOIN("", "",TRUE, FILTER(Data!P:P, Data!B:B=A515))"),"")</f>
        <v/>
      </c>
      <c r="AM515" s="61"/>
      <c r="BC515" s="50"/>
    </row>
    <row r="516">
      <c r="A516" s="14"/>
      <c r="B516" s="55" t="str">
        <f>IFERROR(__xludf.DUMMYFUNCTION("IFERROR(ROUND(
(COUNTIF(FILTER(Data!O:O, Data!B:B=A516), ""Win"")
+ COUNTIF(FILTER(Data!O:O, Data!B:B=A516), {""Tie"",""Results""}))
/ (COUNTIF(Data!B:B, A516)),
1),"""")"),"")</f>
        <v/>
      </c>
      <c r="C516" s="45" t="str">
        <f>IFERROR((SUMIF(Data!B:B, A516, Data!H:H)
/ (COUNTIF(Data!B:B, A516)
)),"")</f>
        <v/>
      </c>
      <c r="D516" s="45" t="str">
        <f>IFERROR((SUMIF(Data!B:B, A516, Data!G:G)
/ (COUNTIF(Data!B:B, A516)
)),"")</f>
        <v/>
      </c>
      <c r="E516" s="45"/>
      <c r="F516" s="45" t="str">
        <f>IFERROR((SUMIF(Data!B:B, A516, Data!J:J)
/ (COUNTIF(Data!B:B, A516)
)),"")</f>
        <v/>
      </c>
      <c r="G516" s="56" t="str">
        <f>IF(A516="","",IFERROR((((((SUMIF(Data!B:B, A516, Data!H:H)+(SUMIF(Data!B:B, A516,Data!G:G)))/(SUMIF(Data!B:B, A516, Data!J:J)))))),0))</f>
        <v/>
      </c>
      <c r="H516" s="45"/>
      <c r="I516" s="45"/>
      <c r="J516" s="45"/>
      <c r="K516" s="45"/>
      <c r="L516" s="45" t="str">
        <f>IFERROR((SUMIF(Data!B:B, A516, Data!L:L)
/ (COUNTIF(Data!B:B, A516)
)),"")</f>
        <v/>
      </c>
      <c r="M516" s="45" t="str">
        <f>IFERROR((SUMIF(Data!B:B, A516, Data!K:K)
/ (COUNTIF(Data!B:B, A516)
)),"")</f>
        <v/>
      </c>
      <c r="N516" s="56"/>
      <c r="O516" s="56" t="str">
        <f>IF(A516="","",IFERROR((((((SUMIF(Data!B:B, A516, Data!H:H)+(SUMIF(Data!B:B, A516,Data!G:G)+(SUMIF(Data!B:B, A516,Data!L:L)+(SUMIF(Data!B:B, A516,Data!K:K)))))/(SUMIF(Data!B:B, A516, Data!M:M)+(SUMIF(Data!B:B, A516, Data!H:H)+(SUMIF(Data!B:B, A516,Data!G:G)+(SUMIF(Data!B:B, A516,Data!K:K)+(SUMIF(Data!B:B, A516,Data!L:L)))))))))),0))</f>
        <v/>
      </c>
      <c r="P516" s="57" t="str">
        <f>IFERROR(__xludf.DUMMYFUNCTION("IFERROR(((COUNTIF(FILTER(Data!N:N,Data!B:B=A516),""TRAVERSE"")*15)+(COUNTIF(FILTER(Data!N:N,Data!B:B=A516),""HIGH"")*10)+(COUNTIF(FILTER(Data!N:N,Data!B:B=A516),""MIDDLE"")*6)+(COUNTIF(FILTER(Data!N:N,Data!B:B=A516),""LOW"")*4)) / (COUNTIF(Data!B:B, A516)"&amp;"),"""")"),"")</f>
        <v/>
      </c>
      <c r="Q516" s="58"/>
      <c r="R516" s="58"/>
      <c r="S516" s="58" t="str">
        <f>IFERROR(__xludf.DUMMYFUNCTION("IFERROR((((COUNTIF(FILTER(Data!N:N,Data!B:B=A516),""TRAVERSE""))+(COUNTIF(FILTER(Data!N:N,Data!B:B=A516),""HIGH""))+(COUNTIF(FILTER(Data!N:N,Data!B:B=A516),""MIDDLE""))+(COUNTIF(FILTER(Data!N:N,Data!B:B=A516),""LOW"")))) / (((COUNTIF(Data!B:B, A516)))-(CO"&amp;"UNTIF(FILTER(Data!N:N,Data!B:B=A516),""NONE""))),IF(ISBLANK(A516),"""",0))"),"")</f>
        <v/>
      </c>
      <c r="T516" s="56" t="str">
        <f>IFERROR(__xludf.DUMMYFUNCTION("IFERROR((COUNTIF(FILTER(Data!N:N, Data!B:B=A516),""LOW"")) / (COUNTIF(Data!B:B, A516)),"""")"),"")</f>
        <v/>
      </c>
      <c r="U516" s="59" t="str">
        <f>IFERROR(__xludf.DUMMYFUNCTION("IFERROR((COUNTIF(FILTER(Data!N:N, Data!B:B=A516),""MIDDLE"")) / (COUNTIF(Data!B:B, A516)),"""")"),"")</f>
        <v/>
      </c>
      <c r="V516" s="59" t="str">
        <f>IFERROR(__xludf.DUMMYFUNCTION("IFERROR((COUNTIF(FILTER(Data!N:N, Data!B:B=A516),""HIGH"")) / (COUNTIF(Data!B:B, A516)),"""")"),"")</f>
        <v/>
      </c>
      <c r="W516" s="59" t="str">
        <f>IFERROR(__xludf.DUMMYFUNCTION("IFERROR((COUNTIF(FILTER(Data!N:N, Data!B:B=A516),""TRAVERSE"")) / (COUNTIF(Data!B:B, A516)),"""")"),"")</f>
        <v/>
      </c>
      <c r="X516" s="59"/>
      <c r="Y516" s="45" t="str">
        <f t="shared" si="7"/>
        <v/>
      </c>
      <c r="Z516" s="45" t="str">
        <f t="shared" si="8"/>
        <v/>
      </c>
      <c r="AA516" s="16" t="str">
        <f t="shared" si="9"/>
        <v/>
      </c>
      <c r="AB516" s="16"/>
      <c r="AC516" s="16"/>
      <c r="AD516" s="16"/>
      <c r="AE516" s="16" t="str">
        <f t="shared" si="12"/>
        <v/>
      </c>
      <c r="AF516" s="16" t="str">
        <f t="shared" si="13"/>
        <v/>
      </c>
      <c r="AG516" s="44"/>
      <c r="AH516" s="44"/>
      <c r="AI516" s="44" t="str">
        <f>IFERROR(__xludf.DUMMYFUNCTION("TEXTJOIN("", "",TRUE, FILTER(Data!P:P, Data!B:B=A516))"),"")</f>
        <v/>
      </c>
      <c r="AM516" s="61"/>
      <c r="BC516" s="50"/>
    </row>
    <row r="517">
      <c r="A517" s="14"/>
      <c r="B517" s="55" t="str">
        <f>IFERROR(__xludf.DUMMYFUNCTION("IFERROR(ROUND(
(COUNTIF(FILTER(Data!O:O, Data!B:B=A517), ""Win"")
+ COUNTIF(FILTER(Data!O:O, Data!B:B=A517), {""Tie"",""Results""}))
/ (COUNTIF(Data!B:B, A517)),
1),"""")"),"")</f>
        <v/>
      </c>
      <c r="C517" s="45" t="str">
        <f>IFERROR((SUMIF(Data!B:B, A517, Data!H:H)
/ (COUNTIF(Data!B:B, A517)
)),"")</f>
        <v/>
      </c>
      <c r="D517" s="45" t="str">
        <f>IFERROR((SUMIF(Data!B:B, A517, Data!G:G)
/ (COUNTIF(Data!B:B, A517)
)),"")</f>
        <v/>
      </c>
      <c r="E517" s="45"/>
      <c r="F517" s="45" t="str">
        <f>IFERROR((SUMIF(Data!B:B, A517, Data!J:J)
/ (COUNTIF(Data!B:B, A517)
)),"")</f>
        <v/>
      </c>
      <c r="G517" s="56" t="str">
        <f>IF(A517="","",IFERROR((((((SUMIF(Data!B:B, A517, Data!H:H)+(SUMIF(Data!B:B, A517,Data!G:G)))/(SUMIF(Data!B:B, A517, Data!J:J)))))),0))</f>
        <v/>
      </c>
      <c r="H517" s="45"/>
      <c r="I517" s="45"/>
      <c r="J517" s="45"/>
      <c r="K517" s="45"/>
      <c r="L517" s="45" t="str">
        <f>IFERROR((SUMIF(Data!B:B, A517, Data!L:L)
/ (COUNTIF(Data!B:B, A517)
)),"")</f>
        <v/>
      </c>
      <c r="M517" s="45" t="str">
        <f>IFERROR((SUMIF(Data!B:B, A517, Data!K:K)
/ (COUNTIF(Data!B:B, A517)
)),"")</f>
        <v/>
      </c>
      <c r="N517" s="56"/>
      <c r="O517" s="56" t="str">
        <f>IF(A517="","",IFERROR((((((SUMIF(Data!B:B, A517, Data!H:H)+(SUMIF(Data!B:B, A517,Data!G:G)+(SUMIF(Data!B:B, A517,Data!L:L)+(SUMIF(Data!B:B, A517,Data!K:K)))))/(SUMIF(Data!B:B, A517, Data!M:M)+(SUMIF(Data!B:B, A517, Data!H:H)+(SUMIF(Data!B:B, A517,Data!G:G)+(SUMIF(Data!B:B, A517,Data!K:K)+(SUMIF(Data!B:B, A517,Data!L:L)))))))))),0))</f>
        <v/>
      </c>
      <c r="P517" s="57" t="str">
        <f>IFERROR(__xludf.DUMMYFUNCTION("IFERROR(((COUNTIF(FILTER(Data!N:N,Data!B:B=A517),""TRAVERSE"")*15)+(COUNTIF(FILTER(Data!N:N,Data!B:B=A517),""HIGH"")*10)+(COUNTIF(FILTER(Data!N:N,Data!B:B=A517),""MIDDLE"")*6)+(COUNTIF(FILTER(Data!N:N,Data!B:B=A517),""LOW"")*4)) / (COUNTIF(Data!B:B, A517)"&amp;"),"""")"),"")</f>
        <v/>
      </c>
      <c r="Q517" s="58"/>
      <c r="R517" s="58"/>
      <c r="S517" s="58" t="str">
        <f>IFERROR(__xludf.DUMMYFUNCTION("IFERROR((((COUNTIF(FILTER(Data!N:N,Data!B:B=A517),""TRAVERSE""))+(COUNTIF(FILTER(Data!N:N,Data!B:B=A517),""HIGH""))+(COUNTIF(FILTER(Data!N:N,Data!B:B=A517),""MIDDLE""))+(COUNTIF(FILTER(Data!N:N,Data!B:B=A517),""LOW"")))) / (((COUNTIF(Data!B:B, A517)))-(CO"&amp;"UNTIF(FILTER(Data!N:N,Data!B:B=A517),""NONE""))),IF(ISBLANK(A517),"""",0))"),"")</f>
        <v/>
      </c>
      <c r="T517" s="56" t="str">
        <f>IFERROR(__xludf.DUMMYFUNCTION("IFERROR((COUNTIF(FILTER(Data!N:N, Data!B:B=A517),""LOW"")) / (COUNTIF(Data!B:B, A517)),"""")"),"")</f>
        <v/>
      </c>
      <c r="U517" s="59" t="str">
        <f>IFERROR(__xludf.DUMMYFUNCTION("IFERROR((COUNTIF(FILTER(Data!N:N, Data!B:B=A517),""MIDDLE"")) / (COUNTIF(Data!B:B, A517)),"""")"),"")</f>
        <v/>
      </c>
      <c r="V517" s="59" t="str">
        <f>IFERROR(__xludf.DUMMYFUNCTION("IFERROR((COUNTIF(FILTER(Data!N:N, Data!B:B=A517),""HIGH"")) / (COUNTIF(Data!B:B, A517)),"""")"),"")</f>
        <v/>
      </c>
      <c r="W517" s="59" t="str">
        <f>IFERROR(__xludf.DUMMYFUNCTION("IFERROR((COUNTIF(FILTER(Data!N:N, Data!B:B=A517),""TRAVERSE"")) / (COUNTIF(Data!B:B, A517)),"""")"),"")</f>
        <v/>
      </c>
      <c r="X517" s="59"/>
      <c r="Y517" s="45" t="str">
        <f t="shared" si="7"/>
        <v/>
      </c>
      <c r="Z517" s="45" t="str">
        <f t="shared" si="8"/>
        <v/>
      </c>
      <c r="AA517" s="16" t="str">
        <f t="shared" si="9"/>
        <v/>
      </c>
      <c r="AB517" s="16"/>
      <c r="AC517" s="16"/>
      <c r="AD517" s="16"/>
      <c r="AE517" s="16" t="str">
        <f t="shared" si="12"/>
        <v/>
      </c>
      <c r="AF517" s="16" t="str">
        <f t="shared" si="13"/>
        <v/>
      </c>
      <c r="AG517" s="44"/>
      <c r="AH517" s="44"/>
      <c r="AI517" s="44" t="str">
        <f>IFERROR(__xludf.DUMMYFUNCTION("TEXTJOIN("", "",TRUE, FILTER(Data!P:P, Data!B:B=A517))"),"")</f>
        <v/>
      </c>
      <c r="AM517" s="61"/>
      <c r="BC517" s="50"/>
    </row>
    <row r="518">
      <c r="A518" s="14"/>
      <c r="B518" s="55" t="str">
        <f>IFERROR(__xludf.DUMMYFUNCTION("IFERROR(ROUND(
(COUNTIF(FILTER(Data!O:O, Data!B:B=A518), ""Win"")
+ COUNTIF(FILTER(Data!O:O, Data!B:B=A518), {""Tie"",""Results""}))
/ (COUNTIF(Data!B:B, A518)),
1),"""")"),"")</f>
        <v/>
      </c>
      <c r="C518" s="45" t="str">
        <f>IFERROR((SUMIF(Data!B:B, A518, Data!H:H)
/ (COUNTIF(Data!B:B, A518)
)),"")</f>
        <v/>
      </c>
      <c r="D518" s="45" t="str">
        <f>IFERROR((SUMIF(Data!B:B, A518, Data!G:G)
/ (COUNTIF(Data!B:B, A518)
)),"")</f>
        <v/>
      </c>
      <c r="E518" s="45"/>
      <c r="F518" s="45" t="str">
        <f>IFERROR((SUMIF(Data!B:B, A518, Data!J:J)
/ (COUNTIF(Data!B:B, A518)
)),"")</f>
        <v/>
      </c>
      <c r="G518" s="56" t="str">
        <f>IF(A518="","",IFERROR((((((SUMIF(Data!B:B, A518, Data!H:H)+(SUMIF(Data!B:B, A518,Data!G:G)))/(SUMIF(Data!B:B, A518, Data!J:J)))))),0))</f>
        <v/>
      </c>
      <c r="H518" s="45"/>
      <c r="I518" s="45"/>
      <c r="J518" s="45"/>
      <c r="K518" s="45"/>
      <c r="L518" s="45" t="str">
        <f>IFERROR((SUMIF(Data!B:B, A518, Data!L:L)
/ (COUNTIF(Data!B:B, A518)
)),"")</f>
        <v/>
      </c>
      <c r="M518" s="45" t="str">
        <f>IFERROR((SUMIF(Data!B:B, A518, Data!K:K)
/ (COUNTIF(Data!B:B, A518)
)),"")</f>
        <v/>
      </c>
      <c r="N518" s="56"/>
      <c r="O518" s="56" t="str">
        <f>IF(A518="","",IFERROR((((((SUMIF(Data!B:B, A518, Data!H:H)+(SUMIF(Data!B:B, A518,Data!G:G)+(SUMIF(Data!B:B, A518,Data!L:L)+(SUMIF(Data!B:B, A518,Data!K:K)))))/(SUMIF(Data!B:B, A518, Data!M:M)+(SUMIF(Data!B:B, A518, Data!H:H)+(SUMIF(Data!B:B, A518,Data!G:G)+(SUMIF(Data!B:B, A518,Data!K:K)+(SUMIF(Data!B:B, A518,Data!L:L)))))))))),0))</f>
        <v/>
      </c>
      <c r="P518" s="57" t="str">
        <f>IFERROR(__xludf.DUMMYFUNCTION("IFERROR(((COUNTIF(FILTER(Data!N:N,Data!B:B=A518),""TRAVERSE"")*15)+(COUNTIF(FILTER(Data!N:N,Data!B:B=A518),""HIGH"")*10)+(COUNTIF(FILTER(Data!N:N,Data!B:B=A518),""MIDDLE"")*6)+(COUNTIF(FILTER(Data!N:N,Data!B:B=A518),""LOW"")*4)) / (COUNTIF(Data!B:B, A518)"&amp;"),"""")"),"")</f>
        <v/>
      </c>
      <c r="Q518" s="58"/>
      <c r="R518" s="58"/>
      <c r="S518" s="58" t="str">
        <f>IFERROR(__xludf.DUMMYFUNCTION("IFERROR((((COUNTIF(FILTER(Data!N:N,Data!B:B=A518),""TRAVERSE""))+(COUNTIF(FILTER(Data!N:N,Data!B:B=A518),""HIGH""))+(COUNTIF(FILTER(Data!N:N,Data!B:B=A518),""MIDDLE""))+(COUNTIF(FILTER(Data!N:N,Data!B:B=A518),""LOW"")))) / (((COUNTIF(Data!B:B, A518)))-(CO"&amp;"UNTIF(FILTER(Data!N:N,Data!B:B=A518),""NONE""))),IF(ISBLANK(A518),"""",0))"),"")</f>
        <v/>
      </c>
      <c r="T518" s="56" t="str">
        <f>IFERROR(__xludf.DUMMYFUNCTION("IFERROR((COUNTIF(FILTER(Data!N:N, Data!B:B=A518),""LOW"")) / (COUNTIF(Data!B:B, A518)),"""")"),"")</f>
        <v/>
      </c>
      <c r="U518" s="59" t="str">
        <f>IFERROR(__xludf.DUMMYFUNCTION("IFERROR((COUNTIF(FILTER(Data!N:N, Data!B:B=A518),""MIDDLE"")) / (COUNTIF(Data!B:B, A518)),"""")"),"")</f>
        <v/>
      </c>
      <c r="V518" s="59" t="str">
        <f>IFERROR(__xludf.DUMMYFUNCTION("IFERROR((COUNTIF(FILTER(Data!N:N, Data!B:B=A518),""HIGH"")) / (COUNTIF(Data!B:B, A518)),"""")"),"")</f>
        <v/>
      </c>
      <c r="W518" s="59" t="str">
        <f>IFERROR(__xludf.DUMMYFUNCTION("IFERROR((COUNTIF(FILTER(Data!N:N, Data!B:B=A518),""TRAVERSE"")) / (COUNTIF(Data!B:B, A518)),"""")"),"")</f>
        <v/>
      </c>
      <c r="X518" s="59"/>
      <c r="Y518" s="45" t="str">
        <f t="shared" si="7"/>
        <v/>
      </c>
      <c r="Z518" s="45" t="str">
        <f t="shared" si="8"/>
        <v/>
      </c>
      <c r="AA518" s="16" t="str">
        <f t="shared" si="9"/>
        <v/>
      </c>
      <c r="AB518" s="16"/>
      <c r="AC518" s="16"/>
      <c r="AD518" s="16"/>
      <c r="AE518" s="16" t="str">
        <f t="shared" si="12"/>
        <v/>
      </c>
      <c r="AF518" s="16" t="str">
        <f t="shared" si="13"/>
        <v/>
      </c>
      <c r="AG518" s="44"/>
      <c r="AH518" s="44"/>
      <c r="AI518" s="44" t="str">
        <f>IFERROR(__xludf.DUMMYFUNCTION("TEXTJOIN("", "",TRUE, FILTER(Data!P:P, Data!B:B=A518))"),"")</f>
        <v/>
      </c>
      <c r="AM518" s="61"/>
      <c r="BC518" s="50"/>
    </row>
    <row r="519">
      <c r="A519" s="14"/>
      <c r="B519" s="55" t="str">
        <f>IFERROR(__xludf.DUMMYFUNCTION("IFERROR(ROUND(
(COUNTIF(FILTER(Data!O:O, Data!B:B=A519), ""Win"")
+ COUNTIF(FILTER(Data!O:O, Data!B:B=A519), {""Tie"",""Results""}))
/ (COUNTIF(Data!B:B, A519)),
1),"""")"),"")</f>
        <v/>
      </c>
      <c r="C519" s="45" t="str">
        <f>IFERROR((SUMIF(Data!B:B, A519, Data!H:H)
/ (COUNTIF(Data!B:B, A519)
)),"")</f>
        <v/>
      </c>
      <c r="D519" s="45" t="str">
        <f>IFERROR((SUMIF(Data!B:B, A519, Data!G:G)
/ (COUNTIF(Data!B:B, A519)
)),"")</f>
        <v/>
      </c>
      <c r="E519" s="45"/>
      <c r="F519" s="45" t="str">
        <f>IFERROR((SUMIF(Data!B:B, A519, Data!J:J)
/ (COUNTIF(Data!B:B, A519)
)),"")</f>
        <v/>
      </c>
      <c r="G519" s="56" t="str">
        <f>IF(A519="","",IFERROR((((((SUMIF(Data!B:B, A519, Data!H:H)+(SUMIF(Data!B:B, A519,Data!G:G)))/(SUMIF(Data!B:B, A519, Data!J:J)))))),0))</f>
        <v/>
      </c>
      <c r="H519" s="45"/>
      <c r="I519" s="45"/>
      <c r="J519" s="45"/>
      <c r="K519" s="45"/>
      <c r="L519" s="45" t="str">
        <f>IFERROR((SUMIF(Data!B:B, A519, Data!L:L)
/ (COUNTIF(Data!B:B, A519)
)),"")</f>
        <v/>
      </c>
      <c r="M519" s="45" t="str">
        <f>IFERROR((SUMIF(Data!B:B, A519, Data!K:K)
/ (COUNTIF(Data!B:B, A519)
)),"")</f>
        <v/>
      </c>
      <c r="N519" s="56"/>
      <c r="O519" s="56" t="str">
        <f>IF(A519="","",IFERROR((((((SUMIF(Data!B:B, A519, Data!H:H)+(SUMIF(Data!B:B, A519,Data!G:G)+(SUMIF(Data!B:B, A519,Data!L:L)+(SUMIF(Data!B:B, A519,Data!K:K)))))/(SUMIF(Data!B:B, A519, Data!M:M)+(SUMIF(Data!B:B, A519, Data!H:H)+(SUMIF(Data!B:B, A519,Data!G:G)+(SUMIF(Data!B:B, A519,Data!K:K)+(SUMIF(Data!B:B, A519,Data!L:L)))))))))),0))</f>
        <v/>
      </c>
      <c r="P519" s="57" t="str">
        <f>IFERROR(__xludf.DUMMYFUNCTION("IFERROR(((COUNTIF(FILTER(Data!N:N,Data!B:B=A519),""TRAVERSE"")*15)+(COUNTIF(FILTER(Data!N:N,Data!B:B=A519),""HIGH"")*10)+(COUNTIF(FILTER(Data!N:N,Data!B:B=A519),""MIDDLE"")*6)+(COUNTIF(FILTER(Data!N:N,Data!B:B=A519),""LOW"")*4)) / (COUNTIF(Data!B:B, A519)"&amp;"),"""")"),"")</f>
        <v/>
      </c>
      <c r="Q519" s="58"/>
      <c r="R519" s="58"/>
      <c r="S519" s="58" t="str">
        <f>IFERROR(__xludf.DUMMYFUNCTION("IFERROR((((COUNTIF(FILTER(Data!N:N,Data!B:B=A519),""TRAVERSE""))+(COUNTIF(FILTER(Data!N:N,Data!B:B=A519),""HIGH""))+(COUNTIF(FILTER(Data!N:N,Data!B:B=A519),""MIDDLE""))+(COUNTIF(FILTER(Data!N:N,Data!B:B=A519),""LOW"")))) / (((COUNTIF(Data!B:B, A519)))-(CO"&amp;"UNTIF(FILTER(Data!N:N,Data!B:B=A519),""NONE""))),IF(ISBLANK(A519),"""",0))"),"")</f>
        <v/>
      </c>
      <c r="T519" s="56" t="str">
        <f>IFERROR(__xludf.DUMMYFUNCTION("IFERROR((COUNTIF(FILTER(Data!N:N, Data!B:B=A519),""LOW"")) / (COUNTIF(Data!B:B, A519)),"""")"),"")</f>
        <v/>
      </c>
      <c r="U519" s="59" t="str">
        <f>IFERROR(__xludf.DUMMYFUNCTION("IFERROR((COUNTIF(FILTER(Data!N:N, Data!B:B=A519),""MIDDLE"")) / (COUNTIF(Data!B:B, A519)),"""")"),"")</f>
        <v/>
      </c>
      <c r="V519" s="59" t="str">
        <f>IFERROR(__xludf.DUMMYFUNCTION("IFERROR((COUNTIF(FILTER(Data!N:N, Data!B:B=A519),""HIGH"")) / (COUNTIF(Data!B:B, A519)),"""")"),"")</f>
        <v/>
      </c>
      <c r="W519" s="59" t="str">
        <f>IFERROR(__xludf.DUMMYFUNCTION("IFERROR((COUNTIF(FILTER(Data!N:N, Data!B:B=A519),""TRAVERSE"")) / (COUNTIF(Data!B:B, A519)),"""")"),"")</f>
        <v/>
      </c>
      <c r="X519" s="59"/>
      <c r="Y519" s="45" t="str">
        <f t="shared" si="7"/>
        <v/>
      </c>
      <c r="Z519" s="45" t="str">
        <f t="shared" si="8"/>
        <v/>
      </c>
      <c r="AA519" s="16" t="str">
        <f t="shared" si="9"/>
        <v/>
      </c>
      <c r="AB519" s="16"/>
      <c r="AC519" s="16"/>
      <c r="AD519" s="16"/>
      <c r="AE519" s="16" t="str">
        <f t="shared" si="12"/>
        <v/>
      </c>
      <c r="AF519" s="16" t="str">
        <f t="shared" si="13"/>
        <v/>
      </c>
      <c r="AG519" s="44"/>
      <c r="AH519" s="44"/>
      <c r="AI519" s="44" t="str">
        <f>IFERROR(__xludf.DUMMYFUNCTION("TEXTJOIN("", "",TRUE, FILTER(Data!P:P, Data!B:B=A519))"),"")</f>
        <v/>
      </c>
      <c r="AM519" s="61"/>
      <c r="BC519" s="50"/>
    </row>
    <row r="520">
      <c r="A520" s="14"/>
      <c r="B520" s="55" t="str">
        <f>IFERROR(__xludf.DUMMYFUNCTION("IFERROR(ROUND(
(COUNTIF(FILTER(Data!O:O, Data!B:B=A520), ""Win"")
+ COUNTIF(FILTER(Data!O:O, Data!B:B=A520), {""Tie"",""Results""}))
/ (COUNTIF(Data!B:B, A520)),
1),"""")"),"")</f>
        <v/>
      </c>
      <c r="C520" s="45" t="str">
        <f>IFERROR((SUMIF(Data!B:B, A520, Data!H:H)
/ (COUNTIF(Data!B:B, A520)
)),"")</f>
        <v/>
      </c>
      <c r="D520" s="45" t="str">
        <f>IFERROR((SUMIF(Data!B:B, A520, Data!G:G)
/ (COUNTIF(Data!B:B, A520)
)),"")</f>
        <v/>
      </c>
      <c r="E520" s="45"/>
      <c r="F520" s="45" t="str">
        <f>IFERROR((SUMIF(Data!B:B, A520, Data!J:J)
/ (COUNTIF(Data!B:B, A520)
)),"")</f>
        <v/>
      </c>
      <c r="G520" s="56" t="str">
        <f>IF(A520="","",IFERROR((((((SUMIF(Data!B:B, A520, Data!H:H)+(SUMIF(Data!B:B, A520,Data!G:G)))/(SUMIF(Data!B:B, A520, Data!J:J)))))),0))</f>
        <v/>
      </c>
      <c r="H520" s="45"/>
      <c r="I520" s="45"/>
      <c r="J520" s="45"/>
      <c r="K520" s="45"/>
      <c r="L520" s="45" t="str">
        <f>IFERROR((SUMIF(Data!B:B, A520, Data!L:L)
/ (COUNTIF(Data!B:B, A520)
)),"")</f>
        <v/>
      </c>
      <c r="M520" s="45" t="str">
        <f>IFERROR((SUMIF(Data!B:B, A520, Data!K:K)
/ (COUNTIF(Data!B:B, A520)
)),"")</f>
        <v/>
      </c>
      <c r="N520" s="56"/>
      <c r="O520" s="56" t="str">
        <f>IF(A520="","",IFERROR((((((SUMIF(Data!B:B, A520, Data!H:H)+(SUMIF(Data!B:B, A520,Data!G:G)+(SUMIF(Data!B:B, A520,Data!L:L)+(SUMIF(Data!B:B, A520,Data!K:K)))))/(SUMIF(Data!B:B, A520, Data!M:M)+(SUMIF(Data!B:B, A520, Data!H:H)+(SUMIF(Data!B:B, A520,Data!G:G)+(SUMIF(Data!B:B, A520,Data!K:K)+(SUMIF(Data!B:B, A520,Data!L:L)))))))))),0))</f>
        <v/>
      </c>
      <c r="P520" s="57" t="str">
        <f>IFERROR(__xludf.DUMMYFUNCTION("IFERROR(((COUNTIF(FILTER(Data!N:N,Data!B:B=A520),""TRAVERSE"")*15)+(COUNTIF(FILTER(Data!N:N,Data!B:B=A520),""HIGH"")*10)+(COUNTIF(FILTER(Data!N:N,Data!B:B=A520),""MIDDLE"")*6)+(COUNTIF(FILTER(Data!N:N,Data!B:B=A520),""LOW"")*4)) / (COUNTIF(Data!B:B, A520)"&amp;"),"""")"),"")</f>
        <v/>
      </c>
      <c r="Q520" s="58"/>
      <c r="R520" s="58"/>
      <c r="S520" s="58" t="str">
        <f>IFERROR(__xludf.DUMMYFUNCTION("IFERROR((((COUNTIF(FILTER(Data!N:N,Data!B:B=A520),""TRAVERSE""))+(COUNTIF(FILTER(Data!N:N,Data!B:B=A520),""HIGH""))+(COUNTIF(FILTER(Data!N:N,Data!B:B=A520),""MIDDLE""))+(COUNTIF(FILTER(Data!N:N,Data!B:B=A520),""LOW"")))) / (((COUNTIF(Data!B:B, A520)))-(CO"&amp;"UNTIF(FILTER(Data!N:N,Data!B:B=A520),""NONE""))),IF(ISBLANK(A520),"""",0))"),"")</f>
        <v/>
      </c>
      <c r="T520" s="56" t="str">
        <f>IFERROR(__xludf.DUMMYFUNCTION("IFERROR((COUNTIF(FILTER(Data!N:N, Data!B:B=A520),""LOW"")) / (COUNTIF(Data!B:B, A520)),"""")"),"")</f>
        <v/>
      </c>
      <c r="U520" s="59" t="str">
        <f>IFERROR(__xludf.DUMMYFUNCTION("IFERROR((COUNTIF(FILTER(Data!N:N, Data!B:B=A520),""MIDDLE"")) / (COUNTIF(Data!B:B, A520)),"""")"),"")</f>
        <v/>
      </c>
      <c r="V520" s="59" t="str">
        <f>IFERROR(__xludf.DUMMYFUNCTION("IFERROR((COUNTIF(FILTER(Data!N:N, Data!B:B=A520),""HIGH"")) / (COUNTIF(Data!B:B, A520)),"""")"),"")</f>
        <v/>
      </c>
      <c r="W520" s="59" t="str">
        <f>IFERROR(__xludf.DUMMYFUNCTION("IFERROR((COUNTIF(FILTER(Data!N:N, Data!B:B=A520),""TRAVERSE"")) / (COUNTIF(Data!B:B, A520)),"""")"),"")</f>
        <v/>
      </c>
      <c r="X520" s="59"/>
      <c r="Y520" s="45" t="str">
        <f t="shared" si="7"/>
        <v/>
      </c>
      <c r="Z520" s="45" t="str">
        <f t="shared" si="8"/>
        <v/>
      </c>
      <c r="AA520" s="16" t="str">
        <f t="shared" si="9"/>
        <v/>
      </c>
      <c r="AB520" s="16"/>
      <c r="AC520" s="16"/>
      <c r="AD520" s="16"/>
      <c r="AE520" s="16" t="str">
        <f t="shared" si="12"/>
        <v/>
      </c>
      <c r="AF520" s="16" t="str">
        <f t="shared" si="13"/>
        <v/>
      </c>
      <c r="AG520" s="44"/>
      <c r="AH520" s="44"/>
      <c r="AI520" s="44" t="str">
        <f>IFERROR(__xludf.DUMMYFUNCTION("TEXTJOIN("", "",TRUE, FILTER(Data!P:P, Data!B:B=A520))"),"")</f>
        <v/>
      </c>
      <c r="AM520" s="61"/>
      <c r="BC520" s="50"/>
    </row>
    <row r="521">
      <c r="A521" s="14"/>
      <c r="B521" s="55" t="str">
        <f>IFERROR(__xludf.DUMMYFUNCTION("IFERROR(ROUND(
(COUNTIF(FILTER(Data!O:O, Data!B:B=A521), ""Win"")
+ COUNTIF(FILTER(Data!O:O, Data!B:B=A521), {""Tie"",""Results""}))
/ (COUNTIF(Data!B:B, A521)),
1),"""")"),"")</f>
        <v/>
      </c>
      <c r="C521" s="45" t="str">
        <f>IFERROR((SUMIF(Data!B:B, A521, Data!H:H)
/ (COUNTIF(Data!B:B, A521)
)),"")</f>
        <v/>
      </c>
      <c r="D521" s="45" t="str">
        <f>IFERROR((SUMIF(Data!B:B, A521, Data!G:G)
/ (COUNTIF(Data!B:B, A521)
)),"")</f>
        <v/>
      </c>
      <c r="E521" s="45"/>
      <c r="F521" s="45" t="str">
        <f>IFERROR((SUMIF(Data!B:B, A521, Data!J:J)
/ (COUNTIF(Data!B:B, A521)
)),"")</f>
        <v/>
      </c>
      <c r="G521" s="56" t="str">
        <f>IF(A521="","",IFERROR((((((SUMIF(Data!B:B, A521, Data!H:H)+(SUMIF(Data!B:B, A521,Data!G:G)))/(SUMIF(Data!B:B, A521, Data!J:J)))))),0))</f>
        <v/>
      </c>
      <c r="H521" s="45"/>
      <c r="I521" s="45"/>
      <c r="J521" s="45"/>
      <c r="K521" s="45"/>
      <c r="L521" s="45" t="str">
        <f>IFERROR((SUMIF(Data!B:B, A521, Data!L:L)
/ (COUNTIF(Data!B:B, A521)
)),"")</f>
        <v/>
      </c>
      <c r="M521" s="45" t="str">
        <f>IFERROR((SUMIF(Data!B:B, A521, Data!K:K)
/ (COUNTIF(Data!B:B, A521)
)),"")</f>
        <v/>
      </c>
      <c r="N521" s="56"/>
      <c r="O521" s="56" t="str">
        <f>IF(A521="","",IFERROR((((((SUMIF(Data!B:B, A521, Data!H:H)+(SUMIF(Data!B:B, A521,Data!G:G)+(SUMIF(Data!B:B, A521,Data!L:L)+(SUMIF(Data!B:B, A521,Data!K:K)))))/(SUMIF(Data!B:B, A521, Data!M:M)+(SUMIF(Data!B:B, A521, Data!H:H)+(SUMIF(Data!B:B, A521,Data!G:G)+(SUMIF(Data!B:B, A521,Data!K:K)+(SUMIF(Data!B:B, A521,Data!L:L)))))))))),0))</f>
        <v/>
      </c>
      <c r="P521" s="57" t="str">
        <f>IFERROR(__xludf.DUMMYFUNCTION("IFERROR(((COUNTIF(FILTER(Data!N:N,Data!B:B=A521),""TRAVERSE"")*15)+(COUNTIF(FILTER(Data!N:N,Data!B:B=A521),""HIGH"")*10)+(COUNTIF(FILTER(Data!N:N,Data!B:B=A521),""MIDDLE"")*6)+(COUNTIF(FILTER(Data!N:N,Data!B:B=A521),""LOW"")*4)) / (COUNTIF(Data!B:B, A521)"&amp;"),"""")"),"")</f>
        <v/>
      </c>
      <c r="Q521" s="58"/>
      <c r="R521" s="58"/>
      <c r="S521" s="58" t="str">
        <f>IFERROR(__xludf.DUMMYFUNCTION("IFERROR((((COUNTIF(FILTER(Data!N:N,Data!B:B=A521),""TRAVERSE""))+(COUNTIF(FILTER(Data!N:N,Data!B:B=A521),""HIGH""))+(COUNTIF(FILTER(Data!N:N,Data!B:B=A521),""MIDDLE""))+(COUNTIF(FILTER(Data!N:N,Data!B:B=A521),""LOW"")))) / (((COUNTIF(Data!B:B, A521)))-(CO"&amp;"UNTIF(FILTER(Data!N:N,Data!B:B=A521),""NONE""))),IF(ISBLANK(A521),"""",0))"),"")</f>
        <v/>
      </c>
      <c r="T521" s="56" t="str">
        <f>IFERROR(__xludf.DUMMYFUNCTION("IFERROR((COUNTIF(FILTER(Data!N:N, Data!B:B=A521),""LOW"")) / (COUNTIF(Data!B:B, A521)),"""")"),"")</f>
        <v/>
      </c>
      <c r="U521" s="59" t="str">
        <f>IFERROR(__xludf.DUMMYFUNCTION("IFERROR((COUNTIF(FILTER(Data!N:N, Data!B:B=A521),""MIDDLE"")) / (COUNTIF(Data!B:B, A521)),"""")"),"")</f>
        <v/>
      </c>
      <c r="V521" s="59" t="str">
        <f>IFERROR(__xludf.DUMMYFUNCTION("IFERROR((COUNTIF(FILTER(Data!N:N, Data!B:B=A521),""HIGH"")) / (COUNTIF(Data!B:B, A521)),"""")"),"")</f>
        <v/>
      </c>
      <c r="W521" s="59" t="str">
        <f>IFERROR(__xludf.DUMMYFUNCTION("IFERROR((COUNTIF(FILTER(Data!N:N, Data!B:B=A521),""TRAVERSE"")) / (COUNTIF(Data!B:B, A521)),"""")"),"")</f>
        <v/>
      </c>
      <c r="X521" s="59"/>
      <c r="Y521" s="45" t="str">
        <f t="shared" si="7"/>
        <v/>
      </c>
      <c r="Z521" s="45" t="str">
        <f t="shared" si="8"/>
        <v/>
      </c>
      <c r="AA521" s="16" t="str">
        <f t="shared" si="9"/>
        <v/>
      </c>
      <c r="AB521" s="16"/>
      <c r="AC521" s="16"/>
      <c r="AD521" s="16"/>
      <c r="AE521" s="16" t="str">
        <f t="shared" si="12"/>
        <v/>
      </c>
      <c r="AF521" s="16" t="str">
        <f t="shared" si="13"/>
        <v/>
      </c>
      <c r="AG521" s="44"/>
      <c r="AH521" s="44"/>
      <c r="AI521" s="44" t="str">
        <f>IFERROR(__xludf.DUMMYFUNCTION("TEXTJOIN("", "",TRUE, FILTER(Data!P:P, Data!B:B=A521))"),"")</f>
        <v/>
      </c>
      <c r="AM521" s="61"/>
      <c r="BC521" s="50"/>
    </row>
    <row r="522">
      <c r="A522" s="14"/>
      <c r="B522" s="55" t="str">
        <f>IFERROR(__xludf.DUMMYFUNCTION("IFERROR(ROUND(
(COUNTIF(FILTER(Data!O:O, Data!B:B=A522), ""Win"")
+ COUNTIF(FILTER(Data!O:O, Data!B:B=A522), {""Tie"",""Results""}))
/ (COUNTIF(Data!B:B, A522)),
1),"""")"),"")</f>
        <v/>
      </c>
      <c r="C522" s="45" t="str">
        <f>IFERROR((SUMIF(Data!B:B, A522, Data!H:H)
/ (COUNTIF(Data!B:B, A522)
)),"")</f>
        <v/>
      </c>
      <c r="D522" s="45" t="str">
        <f>IFERROR((SUMIF(Data!B:B, A522, Data!G:G)
/ (COUNTIF(Data!B:B, A522)
)),"")</f>
        <v/>
      </c>
      <c r="E522" s="45"/>
      <c r="F522" s="45" t="str">
        <f>IFERROR((SUMIF(Data!B:B, A522, Data!J:J)
/ (COUNTIF(Data!B:B, A522)
)),"")</f>
        <v/>
      </c>
      <c r="G522" s="56" t="str">
        <f>IF(A522="","",IFERROR((((((SUMIF(Data!B:B, A522, Data!H:H)+(SUMIF(Data!B:B, A522,Data!G:G)))/(SUMIF(Data!B:B, A522, Data!J:J)))))),0))</f>
        <v/>
      </c>
      <c r="H522" s="45"/>
      <c r="I522" s="45"/>
      <c r="J522" s="45"/>
      <c r="K522" s="45"/>
      <c r="L522" s="45" t="str">
        <f>IFERROR((SUMIF(Data!B:B, A522, Data!L:L)
/ (COUNTIF(Data!B:B, A522)
)),"")</f>
        <v/>
      </c>
      <c r="M522" s="45" t="str">
        <f>IFERROR((SUMIF(Data!B:B, A522, Data!K:K)
/ (COUNTIF(Data!B:B, A522)
)),"")</f>
        <v/>
      </c>
      <c r="N522" s="56"/>
      <c r="O522" s="56" t="str">
        <f>IF(A522="","",IFERROR((((((SUMIF(Data!B:B, A522, Data!H:H)+(SUMIF(Data!B:B, A522,Data!G:G)+(SUMIF(Data!B:B, A522,Data!L:L)+(SUMIF(Data!B:B, A522,Data!K:K)))))/(SUMIF(Data!B:B, A522, Data!M:M)+(SUMIF(Data!B:B, A522, Data!H:H)+(SUMIF(Data!B:B, A522,Data!G:G)+(SUMIF(Data!B:B, A522,Data!K:K)+(SUMIF(Data!B:B, A522,Data!L:L)))))))))),0))</f>
        <v/>
      </c>
      <c r="P522" s="57" t="str">
        <f>IFERROR(__xludf.DUMMYFUNCTION("IFERROR(((COUNTIF(FILTER(Data!N:N,Data!B:B=A522),""TRAVERSE"")*15)+(COUNTIF(FILTER(Data!N:N,Data!B:B=A522),""HIGH"")*10)+(COUNTIF(FILTER(Data!N:N,Data!B:B=A522),""MIDDLE"")*6)+(COUNTIF(FILTER(Data!N:N,Data!B:B=A522),""LOW"")*4)) / (COUNTIF(Data!B:B, A522)"&amp;"),"""")"),"")</f>
        <v/>
      </c>
      <c r="Q522" s="58"/>
      <c r="R522" s="58"/>
      <c r="S522" s="58" t="str">
        <f>IFERROR(__xludf.DUMMYFUNCTION("IFERROR((((COUNTIF(FILTER(Data!N:N,Data!B:B=A522),""TRAVERSE""))+(COUNTIF(FILTER(Data!N:N,Data!B:B=A522),""HIGH""))+(COUNTIF(FILTER(Data!N:N,Data!B:B=A522),""MIDDLE""))+(COUNTIF(FILTER(Data!N:N,Data!B:B=A522),""LOW"")))) / (((COUNTIF(Data!B:B, A522)))-(CO"&amp;"UNTIF(FILTER(Data!N:N,Data!B:B=A522),""NONE""))),IF(ISBLANK(A522),"""",0))"),"")</f>
        <v/>
      </c>
      <c r="T522" s="56" t="str">
        <f>IFERROR(__xludf.DUMMYFUNCTION("IFERROR((COUNTIF(FILTER(Data!N:N, Data!B:B=A522),""LOW"")) / (COUNTIF(Data!B:B, A522)),"""")"),"")</f>
        <v/>
      </c>
      <c r="U522" s="59" t="str">
        <f>IFERROR(__xludf.DUMMYFUNCTION("IFERROR((COUNTIF(FILTER(Data!N:N, Data!B:B=A522),""MIDDLE"")) / (COUNTIF(Data!B:B, A522)),"""")"),"")</f>
        <v/>
      </c>
      <c r="V522" s="59" t="str">
        <f>IFERROR(__xludf.DUMMYFUNCTION("IFERROR((COUNTIF(FILTER(Data!N:N, Data!B:B=A522),""HIGH"")) / (COUNTIF(Data!B:B, A522)),"""")"),"")</f>
        <v/>
      </c>
      <c r="W522" s="59" t="str">
        <f>IFERROR(__xludf.DUMMYFUNCTION("IFERROR((COUNTIF(FILTER(Data!N:N, Data!B:B=A522),""TRAVERSE"")) / (COUNTIF(Data!B:B, A522)),"""")"),"")</f>
        <v/>
      </c>
      <c r="X522" s="59"/>
      <c r="Y522" s="45" t="str">
        <f t="shared" si="7"/>
        <v/>
      </c>
      <c r="Z522" s="45" t="str">
        <f t="shared" si="8"/>
        <v/>
      </c>
      <c r="AA522" s="16" t="str">
        <f t="shared" si="9"/>
        <v/>
      </c>
      <c r="AB522" s="16"/>
      <c r="AC522" s="16"/>
      <c r="AD522" s="16"/>
      <c r="AE522" s="16" t="str">
        <f t="shared" si="12"/>
        <v/>
      </c>
      <c r="AF522" s="16" t="str">
        <f t="shared" si="13"/>
        <v/>
      </c>
      <c r="AG522" s="44"/>
      <c r="AH522" s="44"/>
      <c r="AI522" s="44" t="str">
        <f>IFERROR(__xludf.DUMMYFUNCTION("TEXTJOIN("", "",TRUE, FILTER(Data!P:P, Data!B:B=A522))"),"")</f>
        <v/>
      </c>
      <c r="AM522" s="61"/>
      <c r="BC522" s="50"/>
    </row>
    <row r="523">
      <c r="A523" s="14"/>
      <c r="B523" s="55" t="str">
        <f>IFERROR(__xludf.DUMMYFUNCTION("IFERROR(ROUND(
(COUNTIF(FILTER(Data!O:O, Data!B:B=A523), ""Win"")
+ COUNTIF(FILTER(Data!O:O, Data!B:B=A523), {""Tie"",""Results""}))
/ (COUNTIF(Data!B:B, A523)),
1),"""")"),"")</f>
        <v/>
      </c>
      <c r="C523" s="45" t="str">
        <f>IFERROR((SUMIF(Data!B:B, A523, Data!H:H)
/ (COUNTIF(Data!B:B, A523)
)),"")</f>
        <v/>
      </c>
      <c r="D523" s="45" t="str">
        <f>IFERROR((SUMIF(Data!B:B, A523, Data!G:G)
/ (COUNTIF(Data!B:B, A523)
)),"")</f>
        <v/>
      </c>
      <c r="E523" s="45"/>
      <c r="F523" s="45" t="str">
        <f>IFERROR((SUMIF(Data!B:B, A523, Data!J:J)
/ (COUNTIF(Data!B:B, A523)
)),"")</f>
        <v/>
      </c>
      <c r="G523" s="56" t="str">
        <f>IF(A523="","",IFERROR((((((SUMIF(Data!B:B, A523, Data!H:H)+(SUMIF(Data!B:B, A523,Data!G:G)))/(SUMIF(Data!B:B, A523, Data!J:J)))))),0))</f>
        <v/>
      </c>
      <c r="H523" s="45"/>
      <c r="I523" s="45"/>
      <c r="J523" s="45"/>
      <c r="K523" s="45"/>
      <c r="L523" s="45" t="str">
        <f>IFERROR((SUMIF(Data!B:B, A523, Data!L:L)
/ (COUNTIF(Data!B:B, A523)
)),"")</f>
        <v/>
      </c>
      <c r="M523" s="45" t="str">
        <f>IFERROR((SUMIF(Data!B:B, A523, Data!K:K)
/ (COUNTIF(Data!B:B, A523)
)),"")</f>
        <v/>
      </c>
      <c r="N523" s="56"/>
      <c r="O523" s="56" t="str">
        <f>IF(A523="","",IFERROR((((((SUMIF(Data!B:B, A523, Data!H:H)+(SUMIF(Data!B:B, A523,Data!G:G)+(SUMIF(Data!B:B, A523,Data!L:L)+(SUMIF(Data!B:B, A523,Data!K:K)))))/(SUMIF(Data!B:B, A523, Data!M:M)+(SUMIF(Data!B:B, A523, Data!H:H)+(SUMIF(Data!B:B, A523,Data!G:G)+(SUMIF(Data!B:B, A523,Data!K:K)+(SUMIF(Data!B:B, A523,Data!L:L)))))))))),0))</f>
        <v/>
      </c>
      <c r="P523" s="57" t="str">
        <f>IFERROR(__xludf.DUMMYFUNCTION("IFERROR(((COUNTIF(FILTER(Data!N:N,Data!B:B=A523),""TRAVERSE"")*15)+(COUNTIF(FILTER(Data!N:N,Data!B:B=A523),""HIGH"")*10)+(COUNTIF(FILTER(Data!N:N,Data!B:B=A523),""MIDDLE"")*6)+(COUNTIF(FILTER(Data!N:N,Data!B:B=A523),""LOW"")*4)) / (COUNTIF(Data!B:B, A523)"&amp;"),"""")"),"")</f>
        <v/>
      </c>
      <c r="Q523" s="58"/>
      <c r="R523" s="58"/>
      <c r="S523" s="58" t="str">
        <f>IFERROR(__xludf.DUMMYFUNCTION("IFERROR((((COUNTIF(FILTER(Data!N:N,Data!B:B=A523),""TRAVERSE""))+(COUNTIF(FILTER(Data!N:N,Data!B:B=A523),""HIGH""))+(COUNTIF(FILTER(Data!N:N,Data!B:B=A523),""MIDDLE""))+(COUNTIF(FILTER(Data!N:N,Data!B:B=A523),""LOW"")))) / (((COUNTIF(Data!B:B, A523)))-(CO"&amp;"UNTIF(FILTER(Data!N:N,Data!B:B=A523),""NONE""))),IF(ISBLANK(A523),"""",0))"),"")</f>
        <v/>
      </c>
      <c r="T523" s="56" t="str">
        <f>IFERROR(__xludf.DUMMYFUNCTION("IFERROR((COUNTIF(FILTER(Data!N:N, Data!B:B=A523),""LOW"")) / (COUNTIF(Data!B:B, A523)),"""")"),"")</f>
        <v/>
      </c>
      <c r="U523" s="59" t="str">
        <f>IFERROR(__xludf.DUMMYFUNCTION("IFERROR((COUNTIF(FILTER(Data!N:N, Data!B:B=A523),""MIDDLE"")) / (COUNTIF(Data!B:B, A523)),"""")"),"")</f>
        <v/>
      </c>
      <c r="V523" s="59" t="str">
        <f>IFERROR(__xludf.DUMMYFUNCTION("IFERROR((COUNTIF(FILTER(Data!N:N, Data!B:B=A523),""HIGH"")) / (COUNTIF(Data!B:B, A523)),"""")"),"")</f>
        <v/>
      </c>
      <c r="W523" s="59" t="str">
        <f>IFERROR(__xludf.DUMMYFUNCTION("IFERROR((COUNTIF(FILTER(Data!N:N, Data!B:B=A523),""TRAVERSE"")) / (COUNTIF(Data!B:B, A523)),"""")"),"")</f>
        <v/>
      </c>
      <c r="X523" s="59"/>
      <c r="Y523" s="45" t="str">
        <f t="shared" si="7"/>
        <v/>
      </c>
      <c r="Z523" s="45" t="str">
        <f t="shared" si="8"/>
        <v/>
      </c>
      <c r="AA523" s="16" t="str">
        <f t="shared" si="9"/>
        <v/>
      </c>
      <c r="AB523" s="16"/>
      <c r="AC523" s="16"/>
      <c r="AD523" s="16"/>
      <c r="AE523" s="16" t="str">
        <f t="shared" si="12"/>
        <v/>
      </c>
      <c r="AF523" s="16" t="str">
        <f t="shared" si="13"/>
        <v/>
      </c>
      <c r="AG523" s="44"/>
      <c r="AH523" s="44"/>
      <c r="AI523" s="44" t="str">
        <f>IFERROR(__xludf.DUMMYFUNCTION("TEXTJOIN("", "",TRUE, FILTER(Data!P:P, Data!B:B=A523))"),"")</f>
        <v/>
      </c>
      <c r="AM523" s="61"/>
      <c r="BC523" s="50"/>
    </row>
    <row r="524">
      <c r="A524" s="14"/>
      <c r="B524" s="55" t="str">
        <f>IFERROR(__xludf.DUMMYFUNCTION("IFERROR(ROUND(
(COUNTIF(FILTER(Data!O:O, Data!B:B=A524), ""Win"")
+ COUNTIF(FILTER(Data!O:O, Data!B:B=A524), {""Tie"",""Results""}))
/ (COUNTIF(Data!B:B, A524)),
1),"""")"),"")</f>
        <v/>
      </c>
      <c r="C524" s="45" t="str">
        <f>IFERROR((SUMIF(Data!B:B, A524, Data!H:H)
/ (COUNTIF(Data!B:B, A524)
)),"")</f>
        <v/>
      </c>
      <c r="D524" s="45" t="str">
        <f>IFERROR((SUMIF(Data!B:B, A524, Data!G:G)
/ (COUNTIF(Data!B:B, A524)
)),"")</f>
        <v/>
      </c>
      <c r="E524" s="45"/>
      <c r="F524" s="45" t="str">
        <f>IFERROR((SUMIF(Data!B:B, A524, Data!J:J)
/ (COUNTIF(Data!B:B, A524)
)),"")</f>
        <v/>
      </c>
      <c r="G524" s="56" t="str">
        <f>IF(A524="","",IFERROR((((((SUMIF(Data!B:B, A524, Data!H:H)+(SUMIF(Data!B:B, A524,Data!G:G)))/(SUMIF(Data!B:B, A524, Data!J:J)))))),0))</f>
        <v/>
      </c>
      <c r="H524" s="45"/>
      <c r="I524" s="45"/>
      <c r="J524" s="45"/>
      <c r="K524" s="45"/>
      <c r="L524" s="45" t="str">
        <f>IFERROR((SUMIF(Data!B:B, A524, Data!L:L)
/ (COUNTIF(Data!B:B, A524)
)),"")</f>
        <v/>
      </c>
      <c r="M524" s="45" t="str">
        <f>IFERROR((SUMIF(Data!B:B, A524, Data!K:K)
/ (COUNTIF(Data!B:B, A524)
)),"")</f>
        <v/>
      </c>
      <c r="N524" s="56"/>
      <c r="O524" s="56" t="str">
        <f>IF(A524="","",IFERROR((((((SUMIF(Data!B:B, A524, Data!H:H)+(SUMIF(Data!B:B, A524,Data!G:G)+(SUMIF(Data!B:B, A524,Data!L:L)+(SUMIF(Data!B:B, A524,Data!K:K)))))/(SUMIF(Data!B:B, A524, Data!M:M)+(SUMIF(Data!B:B, A524, Data!H:H)+(SUMIF(Data!B:B, A524,Data!G:G)+(SUMIF(Data!B:B, A524,Data!K:K)+(SUMIF(Data!B:B, A524,Data!L:L)))))))))),0))</f>
        <v/>
      </c>
      <c r="P524" s="57" t="str">
        <f>IFERROR(__xludf.DUMMYFUNCTION("IFERROR(((COUNTIF(FILTER(Data!N:N,Data!B:B=A524),""TRAVERSE"")*15)+(COUNTIF(FILTER(Data!N:N,Data!B:B=A524),""HIGH"")*10)+(COUNTIF(FILTER(Data!N:N,Data!B:B=A524),""MIDDLE"")*6)+(COUNTIF(FILTER(Data!N:N,Data!B:B=A524),""LOW"")*4)) / (COUNTIF(Data!B:B, A524)"&amp;"),"""")"),"")</f>
        <v/>
      </c>
      <c r="Q524" s="58"/>
      <c r="R524" s="58"/>
      <c r="S524" s="58" t="str">
        <f>IFERROR(__xludf.DUMMYFUNCTION("IFERROR((((COUNTIF(FILTER(Data!N:N,Data!B:B=A524),""TRAVERSE""))+(COUNTIF(FILTER(Data!N:N,Data!B:B=A524),""HIGH""))+(COUNTIF(FILTER(Data!N:N,Data!B:B=A524),""MIDDLE""))+(COUNTIF(FILTER(Data!N:N,Data!B:B=A524),""LOW"")))) / (((COUNTIF(Data!B:B, A524)))-(CO"&amp;"UNTIF(FILTER(Data!N:N,Data!B:B=A524),""NONE""))),IF(ISBLANK(A524),"""",0))"),"")</f>
        <v/>
      </c>
      <c r="T524" s="56" t="str">
        <f>IFERROR(__xludf.DUMMYFUNCTION("IFERROR((COUNTIF(FILTER(Data!N:N, Data!B:B=A524),""LOW"")) / (COUNTIF(Data!B:B, A524)),"""")"),"")</f>
        <v/>
      </c>
      <c r="U524" s="59" t="str">
        <f>IFERROR(__xludf.DUMMYFUNCTION("IFERROR((COUNTIF(FILTER(Data!N:N, Data!B:B=A524),""MIDDLE"")) / (COUNTIF(Data!B:B, A524)),"""")"),"")</f>
        <v/>
      </c>
      <c r="V524" s="59" t="str">
        <f>IFERROR(__xludf.DUMMYFUNCTION("IFERROR((COUNTIF(FILTER(Data!N:N, Data!B:B=A524),""HIGH"")) / (COUNTIF(Data!B:B, A524)),"""")"),"")</f>
        <v/>
      </c>
      <c r="W524" s="59" t="str">
        <f>IFERROR(__xludf.DUMMYFUNCTION("IFERROR((COUNTIF(FILTER(Data!N:N, Data!B:B=A524),""TRAVERSE"")) / (COUNTIF(Data!B:B, A524)),"""")"),"")</f>
        <v/>
      </c>
      <c r="X524" s="59"/>
      <c r="Y524" s="45" t="str">
        <f t="shared" si="7"/>
        <v/>
      </c>
      <c r="Z524" s="45" t="str">
        <f t="shared" si="8"/>
        <v/>
      </c>
      <c r="AA524" s="16" t="str">
        <f t="shared" si="9"/>
        <v/>
      </c>
      <c r="AB524" s="16"/>
      <c r="AC524" s="16"/>
      <c r="AD524" s="16"/>
      <c r="AE524" s="16" t="str">
        <f t="shared" si="12"/>
        <v/>
      </c>
      <c r="AF524" s="16" t="str">
        <f t="shared" si="13"/>
        <v/>
      </c>
      <c r="AG524" s="44"/>
      <c r="AH524" s="44"/>
      <c r="AI524" s="44" t="str">
        <f>IFERROR(__xludf.DUMMYFUNCTION("TEXTJOIN("", "",TRUE, FILTER(Data!P:P, Data!B:B=A524))"),"")</f>
        <v/>
      </c>
      <c r="AM524" s="61"/>
      <c r="BC524" s="50"/>
    </row>
    <row r="525">
      <c r="A525" s="14"/>
      <c r="B525" s="55" t="str">
        <f>IFERROR(__xludf.DUMMYFUNCTION("IFERROR(ROUND(
(COUNTIF(FILTER(Data!O:O, Data!B:B=A525), ""Win"")
+ COUNTIF(FILTER(Data!O:O, Data!B:B=A525), {""Tie"",""Results""}))
/ (COUNTIF(Data!B:B, A525)),
1),"""")"),"")</f>
        <v/>
      </c>
      <c r="C525" s="45" t="str">
        <f>IFERROR((SUMIF(Data!B:B, A525, Data!H:H)
/ (COUNTIF(Data!B:B, A525)
)),"")</f>
        <v/>
      </c>
      <c r="D525" s="45" t="str">
        <f>IFERROR((SUMIF(Data!B:B, A525, Data!G:G)
/ (COUNTIF(Data!B:B, A525)
)),"")</f>
        <v/>
      </c>
      <c r="E525" s="45"/>
      <c r="F525" s="45" t="str">
        <f>IFERROR((SUMIF(Data!B:B, A525, Data!J:J)
/ (COUNTIF(Data!B:B, A525)
)),"")</f>
        <v/>
      </c>
      <c r="G525" s="56" t="str">
        <f>IF(A525="","",IFERROR((((((SUMIF(Data!B:B, A525, Data!H:H)+(SUMIF(Data!B:B, A525,Data!G:G)))/(SUMIF(Data!B:B, A525, Data!J:J)))))),0))</f>
        <v/>
      </c>
      <c r="H525" s="45"/>
      <c r="I525" s="45"/>
      <c r="J525" s="45"/>
      <c r="K525" s="45"/>
      <c r="L525" s="45" t="str">
        <f>IFERROR((SUMIF(Data!B:B, A525, Data!L:L)
/ (COUNTIF(Data!B:B, A525)
)),"")</f>
        <v/>
      </c>
      <c r="M525" s="45" t="str">
        <f>IFERROR((SUMIF(Data!B:B, A525, Data!K:K)
/ (COUNTIF(Data!B:B, A525)
)),"")</f>
        <v/>
      </c>
      <c r="N525" s="56"/>
      <c r="O525" s="56" t="str">
        <f>IF(A525="","",IFERROR((((((SUMIF(Data!B:B, A525, Data!H:H)+(SUMIF(Data!B:B, A525,Data!G:G)+(SUMIF(Data!B:B, A525,Data!L:L)+(SUMIF(Data!B:B, A525,Data!K:K)))))/(SUMIF(Data!B:B, A525, Data!M:M)+(SUMIF(Data!B:B, A525, Data!H:H)+(SUMIF(Data!B:B, A525,Data!G:G)+(SUMIF(Data!B:B, A525,Data!K:K)+(SUMIF(Data!B:B, A525,Data!L:L)))))))))),0))</f>
        <v/>
      </c>
      <c r="P525" s="57" t="str">
        <f>IFERROR(__xludf.DUMMYFUNCTION("IFERROR(((COUNTIF(FILTER(Data!N:N,Data!B:B=A525),""TRAVERSE"")*15)+(COUNTIF(FILTER(Data!N:N,Data!B:B=A525),""HIGH"")*10)+(COUNTIF(FILTER(Data!N:N,Data!B:B=A525),""MIDDLE"")*6)+(COUNTIF(FILTER(Data!N:N,Data!B:B=A525),""LOW"")*4)) / (COUNTIF(Data!B:B, A525)"&amp;"),"""")"),"")</f>
        <v/>
      </c>
      <c r="Q525" s="58"/>
      <c r="R525" s="58"/>
      <c r="S525" s="58" t="str">
        <f>IFERROR(__xludf.DUMMYFUNCTION("IFERROR((((COUNTIF(FILTER(Data!N:N,Data!B:B=A525),""TRAVERSE""))+(COUNTIF(FILTER(Data!N:N,Data!B:B=A525),""HIGH""))+(COUNTIF(FILTER(Data!N:N,Data!B:B=A525),""MIDDLE""))+(COUNTIF(FILTER(Data!N:N,Data!B:B=A525),""LOW"")))) / (((COUNTIF(Data!B:B, A525)))-(CO"&amp;"UNTIF(FILTER(Data!N:N,Data!B:B=A525),""NONE""))),IF(ISBLANK(A525),"""",0))"),"")</f>
        <v/>
      </c>
      <c r="T525" s="56" t="str">
        <f>IFERROR(__xludf.DUMMYFUNCTION("IFERROR((COUNTIF(FILTER(Data!N:N, Data!B:B=A525),""LOW"")) / (COUNTIF(Data!B:B, A525)),"""")"),"")</f>
        <v/>
      </c>
      <c r="U525" s="59" t="str">
        <f>IFERROR(__xludf.DUMMYFUNCTION("IFERROR((COUNTIF(FILTER(Data!N:N, Data!B:B=A525),""MIDDLE"")) / (COUNTIF(Data!B:B, A525)),"""")"),"")</f>
        <v/>
      </c>
      <c r="V525" s="59" t="str">
        <f>IFERROR(__xludf.DUMMYFUNCTION("IFERROR((COUNTIF(FILTER(Data!N:N, Data!B:B=A525),""HIGH"")) / (COUNTIF(Data!B:B, A525)),"""")"),"")</f>
        <v/>
      </c>
      <c r="W525" s="59" t="str">
        <f>IFERROR(__xludf.DUMMYFUNCTION("IFERROR((COUNTIF(FILTER(Data!N:N, Data!B:B=A525),""TRAVERSE"")) / (COUNTIF(Data!B:B, A525)),"""")"),"")</f>
        <v/>
      </c>
      <c r="X525" s="59"/>
      <c r="Y525" s="45" t="str">
        <f t="shared" si="7"/>
        <v/>
      </c>
      <c r="Z525" s="45" t="str">
        <f t="shared" si="8"/>
        <v/>
      </c>
      <c r="AA525" s="16" t="str">
        <f t="shared" si="9"/>
        <v/>
      </c>
      <c r="AB525" s="16"/>
      <c r="AC525" s="16"/>
      <c r="AD525" s="16"/>
      <c r="AE525" s="16" t="str">
        <f t="shared" si="12"/>
        <v/>
      </c>
      <c r="AF525" s="16" t="str">
        <f t="shared" si="13"/>
        <v/>
      </c>
      <c r="AG525" s="44"/>
      <c r="AH525" s="44"/>
      <c r="AI525" s="44" t="str">
        <f>IFERROR(__xludf.DUMMYFUNCTION("TEXTJOIN("", "",TRUE, FILTER(Data!P:P, Data!B:B=A525))"),"")</f>
        <v/>
      </c>
      <c r="AM525" s="61"/>
      <c r="BC525" s="50"/>
    </row>
    <row r="526">
      <c r="A526" s="14"/>
      <c r="B526" s="55" t="str">
        <f>IFERROR(__xludf.DUMMYFUNCTION("IFERROR(ROUND(
(COUNTIF(FILTER(Data!O:O, Data!B:B=A526), ""Win"")
+ COUNTIF(FILTER(Data!O:O, Data!B:B=A526), {""Tie"",""Results""}))
/ (COUNTIF(Data!B:B, A526)),
1),"""")"),"")</f>
        <v/>
      </c>
      <c r="C526" s="45" t="str">
        <f>IFERROR((SUMIF(Data!B:B, A526, Data!H:H)
/ (COUNTIF(Data!B:B, A526)
)),"")</f>
        <v/>
      </c>
      <c r="D526" s="45" t="str">
        <f>IFERROR((SUMIF(Data!B:B, A526, Data!G:G)
/ (COUNTIF(Data!B:B, A526)
)),"")</f>
        <v/>
      </c>
      <c r="E526" s="45"/>
      <c r="F526" s="45" t="str">
        <f>IFERROR((SUMIF(Data!B:B, A526, Data!J:J)
/ (COUNTIF(Data!B:B, A526)
)),"")</f>
        <v/>
      </c>
      <c r="G526" s="56" t="str">
        <f>IF(A526="","",IFERROR((((((SUMIF(Data!B:B, A526, Data!H:H)+(SUMIF(Data!B:B, A526,Data!G:G)))/(SUMIF(Data!B:B, A526, Data!J:J)))))),0))</f>
        <v/>
      </c>
      <c r="H526" s="45"/>
      <c r="I526" s="45"/>
      <c r="J526" s="45"/>
      <c r="K526" s="45"/>
      <c r="L526" s="45" t="str">
        <f>IFERROR((SUMIF(Data!B:B, A526, Data!L:L)
/ (COUNTIF(Data!B:B, A526)
)),"")</f>
        <v/>
      </c>
      <c r="M526" s="45" t="str">
        <f>IFERROR((SUMIF(Data!B:B, A526, Data!K:K)
/ (COUNTIF(Data!B:B, A526)
)),"")</f>
        <v/>
      </c>
      <c r="N526" s="56"/>
      <c r="O526" s="56" t="str">
        <f>IF(A526="","",IFERROR((((((SUMIF(Data!B:B, A526, Data!H:H)+(SUMIF(Data!B:B, A526,Data!G:G)+(SUMIF(Data!B:B, A526,Data!L:L)+(SUMIF(Data!B:B, A526,Data!K:K)))))/(SUMIF(Data!B:B, A526, Data!M:M)+(SUMIF(Data!B:B, A526, Data!H:H)+(SUMIF(Data!B:B, A526,Data!G:G)+(SUMIF(Data!B:B, A526,Data!K:K)+(SUMIF(Data!B:B, A526,Data!L:L)))))))))),0))</f>
        <v/>
      </c>
      <c r="P526" s="57" t="str">
        <f>IFERROR(__xludf.DUMMYFUNCTION("IFERROR(((COUNTIF(FILTER(Data!N:N,Data!B:B=A526),""TRAVERSE"")*15)+(COUNTIF(FILTER(Data!N:N,Data!B:B=A526),""HIGH"")*10)+(COUNTIF(FILTER(Data!N:N,Data!B:B=A526),""MIDDLE"")*6)+(COUNTIF(FILTER(Data!N:N,Data!B:B=A526),""LOW"")*4)) / (COUNTIF(Data!B:B, A526)"&amp;"),"""")"),"")</f>
        <v/>
      </c>
      <c r="Q526" s="58"/>
      <c r="R526" s="58"/>
      <c r="S526" s="58" t="str">
        <f>IFERROR(__xludf.DUMMYFUNCTION("IFERROR((((COUNTIF(FILTER(Data!N:N,Data!B:B=A526),""TRAVERSE""))+(COUNTIF(FILTER(Data!N:N,Data!B:B=A526),""HIGH""))+(COUNTIF(FILTER(Data!N:N,Data!B:B=A526),""MIDDLE""))+(COUNTIF(FILTER(Data!N:N,Data!B:B=A526),""LOW"")))) / (((COUNTIF(Data!B:B, A526)))-(CO"&amp;"UNTIF(FILTER(Data!N:N,Data!B:B=A526),""NONE""))),IF(ISBLANK(A526),"""",0))"),"")</f>
        <v/>
      </c>
      <c r="T526" s="56" t="str">
        <f>IFERROR(__xludf.DUMMYFUNCTION("IFERROR((COUNTIF(FILTER(Data!N:N, Data!B:B=A526),""LOW"")) / (COUNTIF(Data!B:B, A526)),"""")"),"")</f>
        <v/>
      </c>
      <c r="U526" s="59" t="str">
        <f>IFERROR(__xludf.DUMMYFUNCTION("IFERROR((COUNTIF(FILTER(Data!N:N, Data!B:B=A526),""MIDDLE"")) / (COUNTIF(Data!B:B, A526)),"""")"),"")</f>
        <v/>
      </c>
      <c r="V526" s="59" t="str">
        <f>IFERROR(__xludf.DUMMYFUNCTION("IFERROR((COUNTIF(FILTER(Data!N:N, Data!B:B=A526),""HIGH"")) / (COUNTIF(Data!B:B, A526)),"""")"),"")</f>
        <v/>
      </c>
      <c r="W526" s="59" t="str">
        <f>IFERROR(__xludf.DUMMYFUNCTION("IFERROR((COUNTIF(FILTER(Data!N:N, Data!B:B=A526),""TRAVERSE"")) / (COUNTIF(Data!B:B, A526)),"""")"),"")</f>
        <v/>
      </c>
      <c r="X526" s="59"/>
      <c r="Y526" s="45" t="str">
        <f t="shared" si="7"/>
        <v/>
      </c>
      <c r="Z526" s="45" t="str">
        <f t="shared" si="8"/>
        <v/>
      </c>
      <c r="AA526" s="16" t="str">
        <f t="shared" si="9"/>
        <v/>
      </c>
      <c r="AB526" s="16"/>
      <c r="AC526" s="16"/>
      <c r="AD526" s="16"/>
      <c r="AE526" s="16" t="str">
        <f t="shared" si="12"/>
        <v/>
      </c>
      <c r="AF526" s="16" t="str">
        <f t="shared" si="13"/>
        <v/>
      </c>
      <c r="AG526" s="44"/>
      <c r="AH526" s="44"/>
      <c r="AI526" s="44" t="str">
        <f>IFERROR(__xludf.DUMMYFUNCTION("TEXTJOIN("", "",TRUE, FILTER(Data!P:P, Data!B:B=A526))"),"")</f>
        <v/>
      </c>
      <c r="AM526" s="61"/>
      <c r="BC526" s="50"/>
    </row>
    <row r="527">
      <c r="A527" s="14"/>
      <c r="B527" s="55" t="str">
        <f>IFERROR(__xludf.DUMMYFUNCTION("IFERROR(ROUND(
(COUNTIF(FILTER(Data!O:O, Data!B:B=A527), ""Win"")
+ COUNTIF(FILTER(Data!O:O, Data!B:B=A527), {""Tie"",""Results""}))
/ (COUNTIF(Data!B:B, A527)),
1),"""")"),"")</f>
        <v/>
      </c>
      <c r="C527" s="45" t="str">
        <f>IFERROR((SUMIF(Data!B:B, A527, Data!H:H)
/ (COUNTIF(Data!B:B, A527)
)),"")</f>
        <v/>
      </c>
      <c r="D527" s="45" t="str">
        <f>IFERROR((SUMIF(Data!B:B, A527, Data!G:G)
/ (COUNTIF(Data!B:B, A527)
)),"")</f>
        <v/>
      </c>
      <c r="E527" s="45"/>
      <c r="F527" s="45" t="str">
        <f>IFERROR((SUMIF(Data!B:B, A527, Data!J:J)
/ (COUNTIF(Data!B:B, A527)
)),"")</f>
        <v/>
      </c>
      <c r="G527" s="56" t="str">
        <f>IF(A527="","",IFERROR((((((SUMIF(Data!B:B, A527, Data!H:H)+(SUMIF(Data!B:B, A527,Data!G:G)))/(SUMIF(Data!B:B, A527, Data!J:J)))))),0))</f>
        <v/>
      </c>
      <c r="H527" s="45"/>
      <c r="I527" s="45"/>
      <c r="J527" s="45"/>
      <c r="K527" s="45"/>
      <c r="L527" s="45" t="str">
        <f>IFERROR((SUMIF(Data!B:B, A527, Data!L:L)
/ (COUNTIF(Data!B:B, A527)
)),"")</f>
        <v/>
      </c>
      <c r="M527" s="45" t="str">
        <f>IFERROR((SUMIF(Data!B:B, A527, Data!K:K)
/ (COUNTIF(Data!B:B, A527)
)),"")</f>
        <v/>
      </c>
      <c r="N527" s="56"/>
      <c r="O527" s="56" t="str">
        <f>IF(A527="","",IFERROR((((((SUMIF(Data!B:B, A527, Data!H:H)+(SUMIF(Data!B:B, A527,Data!G:G)+(SUMIF(Data!B:B, A527,Data!L:L)+(SUMIF(Data!B:B, A527,Data!K:K)))))/(SUMIF(Data!B:B, A527, Data!M:M)+(SUMIF(Data!B:B, A527, Data!H:H)+(SUMIF(Data!B:B, A527,Data!G:G)+(SUMIF(Data!B:B, A527,Data!K:K)+(SUMIF(Data!B:B, A527,Data!L:L)))))))))),0))</f>
        <v/>
      </c>
      <c r="P527" s="57" t="str">
        <f>IFERROR(__xludf.DUMMYFUNCTION("IFERROR(((COUNTIF(FILTER(Data!N:N,Data!B:B=A527),""TRAVERSE"")*15)+(COUNTIF(FILTER(Data!N:N,Data!B:B=A527),""HIGH"")*10)+(COUNTIF(FILTER(Data!N:N,Data!B:B=A527),""MIDDLE"")*6)+(COUNTIF(FILTER(Data!N:N,Data!B:B=A527),""LOW"")*4)) / (COUNTIF(Data!B:B, A527)"&amp;"),"""")"),"")</f>
        <v/>
      </c>
      <c r="Q527" s="58"/>
      <c r="R527" s="58"/>
      <c r="S527" s="58" t="str">
        <f>IFERROR(__xludf.DUMMYFUNCTION("IFERROR((((COUNTIF(FILTER(Data!N:N,Data!B:B=A527),""TRAVERSE""))+(COUNTIF(FILTER(Data!N:N,Data!B:B=A527),""HIGH""))+(COUNTIF(FILTER(Data!N:N,Data!B:B=A527),""MIDDLE""))+(COUNTIF(FILTER(Data!N:N,Data!B:B=A527),""LOW"")))) / (((COUNTIF(Data!B:B, A527)))-(CO"&amp;"UNTIF(FILTER(Data!N:N,Data!B:B=A527),""NONE""))),IF(ISBLANK(A527),"""",0))"),"")</f>
        <v/>
      </c>
      <c r="T527" s="56" t="str">
        <f>IFERROR(__xludf.DUMMYFUNCTION("IFERROR((COUNTIF(FILTER(Data!N:N, Data!B:B=A527),""LOW"")) / (COUNTIF(Data!B:B, A527)),"""")"),"")</f>
        <v/>
      </c>
      <c r="U527" s="59" t="str">
        <f>IFERROR(__xludf.DUMMYFUNCTION("IFERROR((COUNTIF(FILTER(Data!N:N, Data!B:B=A527),""MIDDLE"")) / (COUNTIF(Data!B:B, A527)),"""")"),"")</f>
        <v/>
      </c>
      <c r="V527" s="59" t="str">
        <f>IFERROR(__xludf.DUMMYFUNCTION("IFERROR((COUNTIF(FILTER(Data!N:N, Data!B:B=A527),""HIGH"")) / (COUNTIF(Data!B:B, A527)),"""")"),"")</f>
        <v/>
      </c>
      <c r="W527" s="59" t="str">
        <f>IFERROR(__xludf.DUMMYFUNCTION("IFERROR((COUNTIF(FILTER(Data!N:N, Data!B:B=A527),""TRAVERSE"")) / (COUNTIF(Data!B:B, A527)),"""")"),"")</f>
        <v/>
      </c>
      <c r="X527" s="59"/>
      <c r="Y527" s="45" t="str">
        <f t="shared" si="7"/>
        <v/>
      </c>
      <c r="Z527" s="45" t="str">
        <f t="shared" si="8"/>
        <v/>
      </c>
      <c r="AA527" s="16" t="str">
        <f t="shared" si="9"/>
        <v/>
      </c>
      <c r="AB527" s="16"/>
      <c r="AC527" s="16"/>
      <c r="AD527" s="16"/>
      <c r="AE527" s="16" t="str">
        <f t="shared" si="12"/>
        <v/>
      </c>
      <c r="AF527" s="16" t="str">
        <f t="shared" si="13"/>
        <v/>
      </c>
      <c r="AG527" s="44"/>
      <c r="AH527" s="44"/>
      <c r="AI527" s="44" t="str">
        <f>IFERROR(__xludf.DUMMYFUNCTION("TEXTJOIN("", "",TRUE, FILTER(Data!P:P, Data!B:B=A527))"),"")</f>
        <v/>
      </c>
      <c r="AM527" s="61"/>
      <c r="BC527" s="50"/>
    </row>
    <row r="528">
      <c r="A528" s="14"/>
      <c r="B528" s="55" t="str">
        <f>IFERROR(__xludf.DUMMYFUNCTION("IFERROR(ROUND(
(COUNTIF(FILTER(Data!O:O, Data!B:B=A528), ""Win"")
+ COUNTIF(FILTER(Data!O:O, Data!B:B=A528), {""Tie"",""Results""}))
/ (COUNTIF(Data!B:B, A528)),
1),"""")"),"")</f>
        <v/>
      </c>
      <c r="C528" s="45" t="str">
        <f>IFERROR((SUMIF(Data!B:B, A528, Data!H:H)
/ (COUNTIF(Data!B:B, A528)
)),"")</f>
        <v/>
      </c>
      <c r="D528" s="45" t="str">
        <f>IFERROR((SUMIF(Data!B:B, A528, Data!G:G)
/ (COUNTIF(Data!B:B, A528)
)),"")</f>
        <v/>
      </c>
      <c r="E528" s="45"/>
      <c r="F528" s="45" t="str">
        <f>IFERROR((SUMIF(Data!B:B, A528, Data!J:J)
/ (COUNTIF(Data!B:B, A528)
)),"")</f>
        <v/>
      </c>
      <c r="G528" s="56" t="str">
        <f>IF(A528="","",IFERROR((((((SUMIF(Data!B:B, A528, Data!H:H)+(SUMIF(Data!B:B, A528,Data!G:G)))/(SUMIF(Data!B:B, A528, Data!J:J)))))),0))</f>
        <v/>
      </c>
      <c r="H528" s="45"/>
      <c r="I528" s="45"/>
      <c r="J528" s="45"/>
      <c r="K528" s="45"/>
      <c r="L528" s="45" t="str">
        <f>IFERROR((SUMIF(Data!B:B, A528, Data!L:L)
/ (COUNTIF(Data!B:B, A528)
)),"")</f>
        <v/>
      </c>
      <c r="M528" s="45" t="str">
        <f>IFERROR((SUMIF(Data!B:B, A528, Data!K:K)
/ (COUNTIF(Data!B:B, A528)
)),"")</f>
        <v/>
      </c>
      <c r="N528" s="56"/>
      <c r="O528" s="56" t="str">
        <f>IF(A528="","",IFERROR((((((SUMIF(Data!B:B, A528, Data!H:H)+(SUMIF(Data!B:B, A528,Data!G:G)+(SUMIF(Data!B:B, A528,Data!L:L)+(SUMIF(Data!B:B, A528,Data!K:K)))))/(SUMIF(Data!B:B, A528, Data!M:M)+(SUMIF(Data!B:B, A528, Data!H:H)+(SUMIF(Data!B:B, A528,Data!G:G)+(SUMIF(Data!B:B, A528,Data!K:K)+(SUMIF(Data!B:B, A528,Data!L:L)))))))))),0))</f>
        <v/>
      </c>
      <c r="P528" s="57" t="str">
        <f>IFERROR(__xludf.DUMMYFUNCTION("IFERROR(((COUNTIF(FILTER(Data!N:N,Data!B:B=A528),""TRAVERSE"")*15)+(COUNTIF(FILTER(Data!N:N,Data!B:B=A528),""HIGH"")*10)+(COUNTIF(FILTER(Data!N:N,Data!B:B=A528),""MIDDLE"")*6)+(COUNTIF(FILTER(Data!N:N,Data!B:B=A528),""LOW"")*4)) / (COUNTIF(Data!B:B, A528)"&amp;"),"""")"),"")</f>
        <v/>
      </c>
      <c r="Q528" s="58"/>
      <c r="R528" s="58"/>
      <c r="S528" s="58" t="str">
        <f>IFERROR(__xludf.DUMMYFUNCTION("IFERROR((((COUNTIF(FILTER(Data!N:N,Data!B:B=A528),""TRAVERSE""))+(COUNTIF(FILTER(Data!N:N,Data!B:B=A528),""HIGH""))+(COUNTIF(FILTER(Data!N:N,Data!B:B=A528),""MIDDLE""))+(COUNTIF(FILTER(Data!N:N,Data!B:B=A528),""LOW"")))) / (((COUNTIF(Data!B:B, A528)))-(CO"&amp;"UNTIF(FILTER(Data!N:N,Data!B:B=A528),""NONE""))),IF(ISBLANK(A528),"""",0))"),"")</f>
        <v/>
      </c>
      <c r="T528" s="56" t="str">
        <f>IFERROR(__xludf.DUMMYFUNCTION("IFERROR((COUNTIF(FILTER(Data!N:N, Data!B:B=A528),""LOW"")) / (COUNTIF(Data!B:B, A528)),"""")"),"")</f>
        <v/>
      </c>
      <c r="U528" s="59" t="str">
        <f>IFERROR(__xludf.DUMMYFUNCTION("IFERROR((COUNTIF(FILTER(Data!N:N, Data!B:B=A528),""MIDDLE"")) / (COUNTIF(Data!B:B, A528)),"""")"),"")</f>
        <v/>
      </c>
      <c r="V528" s="59" t="str">
        <f>IFERROR(__xludf.DUMMYFUNCTION("IFERROR((COUNTIF(FILTER(Data!N:N, Data!B:B=A528),""HIGH"")) / (COUNTIF(Data!B:B, A528)),"""")"),"")</f>
        <v/>
      </c>
      <c r="W528" s="59" t="str">
        <f>IFERROR(__xludf.DUMMYFUNCTION("IFERROR((COUNTIF(FILTER(Data!N:N, Data!B:B=A528),""TRAVERSE"")) / (COUNTIF(Data!B:B, A528)),"""")"),"")</f>
        <v/>
      </c>
      <c r="X528" s="59"/>
      <c r="Y528" s="45" t="str">
        <f t="shared" si="7"/>
        <v/>
      </c>
      <c r="Z528" s="45" t="str">
        <f t="shared" si="8"/>
        <v/>
      </c>
      <c r="AA528" s="16" t="str">
        <f t="shared" si="9"/>
        <v/>
      </c>
      <c r="AB528" s="16"/>
      <c r="AC528" s="16"/>
      <c r="AD528" s="16"/>
      <c r="AE528" s="16" t="str">
        <f t="shared" si="12"/>
        <v/>
      </c>
      <c r="AF528" s="16" t="str">
        <f t="shared" si="13"/>
        <v/>
      </c>
      <c r="AG528" s="44"/>
      <c r="AH528" s="44"/>
      <c r="AI528" s="44" t="str">
        <f>IFERROR(__xludf.DUMMYFUNCTION("TEXTJOIN("", "",TRUE, FILTER(Data!P:P, Data!B:B=A528))"),"")</f>
        <v/>
      </c>
      <c r="AM528" s="61"/>
      <c r="BC528" s="50"/>
    </row>
    <row r="529">
      <c r="A529" s="14"/>
      <c r="B529" s="55" t="str">
        <f>IFERROR(__xludf.DUMMYFUNCTION("IFERROR(ROUND(
(COUNTIF(FILTER(Data!O:O, Data!B:B=A529), ""Win"")
+ COUNTIF(FILTER(Data!O:O, Data!B:B=A529), {""Tie"",""Results""}))
/ (COUNTIF(Data!B:B, A529)),
1),"""")"),"")</f>
        <v/>
      </c>
      <c r="C529" s="45" t="str">
        <f>IFERROR((SUMIF(Data!B:B, A529, Data!H:H)
/ (COUNTIF(Data!B:B, A529)
)),"")</f>
        <v/>
      </c>
      <c r="D529" s="45" t="str">
        <f>IFERROR((SUMIF(Data!B:B, A529, Data!G:G)
/ (COUNTIF(Data!B:B, A529)
)),"")</f>
        <v/>
      </c>
      <c r="E529" s="45"/>
      <c r="F529" s="45" t="str">
        <f>IFERROR((SUMIF(Data!B:B, A529, Data!J:J)
/ (COUNTIF(Data!B:B, A529)
)),"")</f>
        <v/>
      </c>
      <c r="G529" s="56" t="str">
        <f>IF(A529="","",IFERROR((((((SUMIF(Data!B:B, A529, Data!H:H)+(SUMIF(Data!B:B, A529,Data!G:G)))/(SUMIF(Data!B:B, A529, Data!J:J)))))),0))</f>
        <v/>
      </c>
      <c r="H529" s="45"/>
      <c r="I529" s="45"/>
      <c r="J529" s="45"/>
      <c r="K529" s="45"/>
      <c r="L529" s="45" t="str">
        <f>IFERROR((SUMIF(Data!B:B, A529, Data!L:L)
/ (COUNTIF(Data!B:B, A529)
)),"")</f>
        <v/>
      </c>
      <c r="M529" s="45" t="str">
        <f>IFERROR((SUMIF(Data!B:B, A529, Data!K:K)
/ (COUNTIF(Data!B:B, A529)
)),"")</f>
        <v/>
      </c>
      <c r="N529" s="56"/>
      <c r="O529" s="56" t="str">
        <f>IF(A529="","",IFERROR((((((SUMIF(Data!B:B, A529, Data!H:H)+(SUMIF(Data!B:B, A529,Data!G:G)+(SUMIF(Data!B:B, A529,Data!L:L)+(SUMIF(Data!B:B, A529,Data!K:K)))))/(SUMIF(Data!B:B, A529, Data!M:M)+(SUMIF(Data!B:B, A529, Data!H:H)+(SUMIF(Data!B:B, A529,Data!G:G)+(SUMIF(Data!B:B, A529,Data!K:K)+(SUMIF(Data!B:B, A529,Data!L:L)))))))))),0))</f>
        <v/>
      </c>
      <c r="P529" s="57" t="str">
        <f>IFERROR(__xludf.DUMMYFUNCTION("IFERROR(((COUNTIF(FILTER(Data!N:N,Data!B:B=A529),""TRAVERSE"")*15)+(COUNTIF(FILTER(Data!N:N,Data!B:B=A529),""HIGH"")*10)+(COUNTIF(FILTER(Data!N:N,Data!B:B=A529),""MIDDLE"")*6)+(COUNTIF(FILTER(Data!N:N,Data!B:B=A529),""LOW"")*4)) / (COUNTIF(Data!B:B, A529)"&amp;"),"""")"),"")</f>
        <v/>
      </c>
      <c r="Q529" s="58"/>
      <c r="R529" s="58"/>
      <c r="S529" s="58" t="str">
        <f>IFERROR(__xludf.DUMMYFUNCTION("IFERROR((((COUNTIF(FILTER(Data!N:N,Data!B:B=A529),""TRAVERSE""))+(COUNTIF(FILTER(Data!N:N,Data!B:B=A529),""HIGH""))+(COUNTIF(FILTER(Data!N:N,Data!B:B=A529),""MIDDLE""))+(COUNTIF(FILTER(Data!N:N,Data!B:B=A529),""LOW"")))) / (((COUNTIF(Data!B:B, A529)))-(CO"&amp;"UNTIF(FILTER(Data!N:N,Data!B:B=A529),""NONE""))),IF(ISBLANK(A529),"""",0))"),"")</f>
        <v/>
      </c>
      <c r="T529" s="56" t="str">
        <f>IFERROR(__xludf.DUMMYFUNCTION("IFERROR((COUNTIF(FILTER(Data!N:N, Data!B:B=A529),""LOW"")) / (COUNTIF(Data!B:B, A529)),"""")"),"")</f>
        <v/>
      </c>
      <c r="U529" s="59" t="str">
        <f>IFERROR(__xludf.DUMMYFUNCTION("IFERROR((COUNTIF(FILTER(Data!N:N, Data!B:B=A529),""MIDDLE"")) / (COUNTIF(Data!B:B, A529)),"""")"),"")</f>
        <v/>
      </c>
      <c r="V529" s="59" t="str">
        <f>IFERROR(__xludf.DUMMYFUNCTION("IFERROR((COUNTIF(FILTER(Data!N:N, Data!B:B=A529),""HIGH"")) / (COUNTIF(Data!B:B, A529)),"""")"),"")</f>
        <v/>
      </c>
      <c r="W529" s="59" t="str">
        <f>IFERROR(__xludf.DUMMYFUNCTION("IFERROR((COUNTIF(FILTER(Data!N:N, Data!B:B=A529),""TRAVERSE"")) / (COUNTIF(Data!B:B, A529)),"""")"),"")</f>
        <v/>
      </c>
      <c r="X529" s="59"/>
      <c r="Y529" s="45" t="str">
        <f t="shared" si="7"/>
        <v/>
      </c>
      <c r="Z529" s="45" t="str">
        <f t="shared" si="8"/>
        <v/>
      </c>
      <c r="AA529" s="16" t="str">
        <f t="shared" si="9"/>
        <v/>
      </c>
      <c r="AB529" s="16"/>
      <c r="AC529" s="16"/>
      <c r="AD529" s="16"/>
      <c r="AE529" s="16" t="str">
        <f t="shared" si="12"/>
        <v/>
      </c>
      <c r="AF529" s="16" t="str">
        <f t="shared" si="13"/>
        <v/>
      </c>
      <c r="AG529" s="44"/>
      <c r="AH529" s="44"/>
      <c r="AI529" s="44" t="str">
        <f>IFERROR(__xludf.DUMMYFUNCTION("TEXTJOIN("", "",TRUE, FILTER(Data!P:P, Data!B:B=A529))"),"")</f>
        <v/>
      </c>
      <c r="AM529" s="61"/>
      <c r="BC529" s="50"/>
    </row>
    <row r="530">
      <c r="A530" s="14"/>
      <c r="B530" s="55" t="str">
        <f>IFERROR(__xludf.DUMMYFUNCTION("IFERROR(ROUND(
(COUNTIF(FILTER(Data!O:O, Data!B:B=A530), ""Win"")
+ COUNTIF(FILTER(Data!O:O, Data!B:B=A530), {""Tie"",""Results""}))
/ (COUNTIF(Data!B:B, A530)),
1),"""")"),"")</f>
        <v/>
      </c>
      <c r="C530" s="45" t="str">
        <f>IFERROR((SUMIF(Data!B:B, A530, Data!H:H)
/ (COUNTIF(Data!B:B, A530)
)),"")</f>
        <v/>
      </c>
      <c r="D530" s="45" t="str">
        <f>IFERROR((SUMIF(Data!B:B, A530, Data!G:G)
/ (COUNTIF(Data!B:B, A530)
)),"")</f>
        <v/>
      </c>
      <c r="E530" s="45"/>
      <c r="F530" s="45" t="str">
        <f>IFERROR((SUMIF(Data!B:B, A530, Data!J:J)
/ (COUNTIF(Data!B:B, A530)
)),"")</f>
        <v/>
      </c>
      <c r="G530" s="56" t="str">
        <f>IF(A530="","",IFERROR((((((SUMIF(Data!B:B, A530, Data!H:H)+(SUMIF(Data!B:B, A530,Data!G:G)))/(SUMIF(Data!B:B, A530, Data!J:J)))))),0))</f>
        <v/>
      </c>
      <c r="H530" s="45"/>
      <c r="I530" s="45"/>
      <c r="J530" s="45"/>
      <c r="K530" s="45"/>
      <c r="L530" s="45" t="str">
        <f>IFERROR((SUMIF(Data!B:B, A530, Data!L:L)
/ (COUNTIF(Data!B:B, A530)
)),"")</f>
        <v/>
      </c>
      <c r="M530" s="45" t="str">
        <f>IFERROR((SUMIF(Data!B:B, A530, Data!K:K)
/ (COUNTIF(Data!B:B, A530)
)),"")</f>
        <v/>
      </c>
      <c r="N530" s="56"/>
      <c r="O530" s="56" t="str">
        <f>IF(A530="","",IFERROR((((((SUMIF(Data!B:B, A530, Data!H:H)+(SUMIF(Data!B:B, A530,Data!G:G)+(SUMIF(Data!B:B, A530,Data!L:L)+(SUMIF(Data!B:B, A530,Data!K:K)))))/(SUMIF(Data!B:B, A530, Data!M:M)+(SUMIF(Data!B:B, A530, Data!H:H)+(SUMIF(Data!B:B, A530,Data!G:G)+(SUMIF(Data!B:B, A530,Data!K:K)+(SUMIF(Data!B:B, A530,Data!L:L)))))))))),0))</f>
        <v/>
      </c>
      <c r="P530" s="57" t="str">
        <f>IFERROR(__xludf.DUMMYFUNCTION("IFERROR(((COUNTIF(FILTER(Data!N:N,Data!B:B=A530),""TRAVERSE"")*15)+(COUNTIF(FILTER(Data!N:N,Data!B:B=A530),""HIGH"")*10)+(COUNTIF(FILTER(Data!N:N,Data!B:B=A530),""MIDDLE"")*6)+(COUNTIF(FILTER(Data!N:N,Data!B:B=A530),""LOW"")*4)) / (COUNTIF(Data!B:B, A530)"&amp;"),"""")"),"")</f>
        <v/>
      </c>
      <c r="Q530" s="58"/>
      <c r="R530" s="58"/>
      <c r="S530" s="58" t="str">
        <f>IFERROR(__xludf.DUMMYFUNCTION("IFERROR((((COUNTIF(FILTER(Data!N:N,Data!B:B=A530),""TRAVERSE""))+(COUNTIF(FILTER(Data!N:N,Data!B:B=A530),""HIGH""))+(COUNTIF(FILTER(Data!N:N,Data!B:B=A530),""MIDDLE""))+(COUNTIF(FILTER(Data!N:N,Data!B:B=A530),""LOW"")))) / (((COUNTIF(Data!B:B, A530)))-(CO"&amp;"UNTIF(FILTER(Data!N:N,Data!B:B=A530),""NONE""))),IF(ISBLANK(A530),"""",0))"),"")</f>
        <v/>
      </c>
      <c r="T530" s="56" t="str">
        <f>IFERROR(__xludf.DUMMYFUNCTION("IFERROR((COUNTIF(FILTER(Data!N:N, Data!B:B=A530),""LOW"")) / (COUNTIF(Data!B:B, A530)),"""")"),"")</f>
        <v/>
      </c>
      <c r="U530" s="59" t="str">
        <f>IFERROR(__xludf.DUMMYFUNCTION("IFERROR((COUNTIF(FILTER(Data!N:N, Data!B:B=A530),""MIDDLE"")) / (COUNTIF(Data!B:B, A530)),"""")"),"")</f>
        <v/>
      </c>
      <c r="V530" s="59" t="str">
        <f>IFERROR(__xludf.DUMMYFUNCTION("IFERROR((COUNTIF(FILTER(Data!N:N, Data!B:B=A530),""HIGH"")) / (COUNTIF(Data!B:B, A530)),"""")"),"")</f>
        <v/>
      </c>
      <c r="W530" s="59" t="str">
        <f>IFERROR(__xludf.DUMMYFUNCTION("IFERROR((COUNTIF(FILTER(Data!N:N, Data!B:B=A530),""TRAVERSE"")) / (COUNTIF(Data!B:B, A530)),"""")"),"")</f>
        <v/>
      </c>
      <c r="X530" s="59"/>
      <c r="Y530" s="45" t="str">
        <f t="shared" si="7"/>
        <v/>
      </c>
      <c r="Z530" s="45" t="str">
        <f t="shared" si="8"/>
        <v/>
      </c>
      <c r="AA530" s="16" t="str">
        <f t="shared" si="9"/>
        <v/>
      </c>
      <c r="AB530" s="16"/>
      <c r="AC530" s="16"/>
      <c r="AD530" s="16"/>
      <c r="AE530" s="16" t="str">
        <f t="shared" si="12"/>
        <v/>
      </c>
      <c r="AF530" s="16" t="str">
        <f t="shared" si="13"/>
        <v/>
      </c>
      <c r="AG530" s="44"/>
      <c r="AH530" s="44"/>
      <c r="AI530" s="44" t="str">
        <f>IFERROR(__xludf.DUMMYFUNCTION("TEXTJOIN("", "",TRUE, FILTER(Data!P:P, Data!B:B=A530))"),"")</f>
        <v/>
      </c>
      <c r="AM530" s="61"/>
      <c r="BC530" s="50"/>
    </row>
    <row r="531">
      <c r="A531" s="14"/>
      <c r="B531" s="55" t="str">
        <f>IFERROR(__xludf.DUMMYFUNCTION("IFERROR(ROUND(
(COUNTIF(FILTER(Data!O:O, Data!B:B=A531), ""Win"")
+ COUNTIF(FILTER(Data!O:O, Data!B:B=A531), {""Tie"",""Results""}))
/ (COUNTIF(Data!B:B, A531)),
1),"""")"),"")</f>
        <v/>
      </c>
      <c r="C531" s="45" t="str">
        <f>IFERROR((SUMIF(Data!B:B, A531, Data!H:H)
/ (COUNTIF(Data!B:B, A531)
)),"")</f>
        <v/>
      </c>
      <c r="D531" s="45" t="str">
        <f>IFERROR((SUMIF(Data!B:B, A531, Data!G:G)
/ (COUNTIF(Data!B:B, A531)
)),"")</f>
        <v/>
      </c>
      <c r="E531" s="45"/>
      <c r="F531" s="45" t="str">
        <f>IFERROR((SUMIF(Data!B:B, A531, Data!J:J)
/ (COUNTIF(Data!B:B, A531)
)),"")</f>
        <v/>
      </c>
      <c r="G531" s="56" t="str">
        <f>IF(A531="","",IFERROR((((((SUMIF(Data!B:B, A531, Data!H:H)+(SUMIF(Data!B:B, A531,Data!G:G)))/(SUMIF(Data!B:B, A531, Data!J:J)))))),0))</f>
        <v/>
      </c>
      <c r="H531" s="45"/>
      <c r="I531" s="45"/>
      <c r="J531" s="45"/>
      <c r="K531" s="45"/>
      <c r="L531" s="45" t="str">
        <f>IFERROR((SUMIF(Data!B:B, A531, Data!L:L)
/ (COUNTIF(Data!B:B, A531)
)),"")</f>
        <v/>
      </c>
      <c r="M531" s="45" t="str">
        <f>IFERROR((SUMIF(Data!B:B, A531, Data!K:K)
/ (COUNTIF(Data!B:B, A531)
)),"")</f>
        <v/>
      </c>
      <c r="N531" s="56"/>
      <c r="O531" s="56" t="str">
        <f>IF(A531="","",IFERROR((((((SUMIF(Data!B:B, A531, Data!H:H)+(SUMIF(Data!B:B, A531,Data!G:G)+(SUMIF(Data!B:B, A531,Data!L:L)+(SUMIF(Data!B:B, A531,Data!K:K)))))/(SUMIF(Data!B:B, A531, Data!M:M)+(SUMIF(Data!B:B, A531, Data!H:H)+(SUMIF(Data!B:B, A531,Data!G:G)+(SUMIF(Data!B:B, A531,Data!K:K)+(SUMIF(Data!B:B, A531,Data!L:L)))))))))),0))</f>
        <v/>
      </c>
      <c r="P531" s="57" t="str">
        <f>IFERROR(__xludf.DUMMYFUNCTION("IFERROR(((COUNTIF(FILTER(Data!N:N,Data!B:B=A531),""TRAVERSE"")*15)+(COUNTIF(FILTER(Data!N:N,Data!B:B=A531),""HIGH"")*10)+(COUNTIF(FILTER(Data!N:N,Data!B:B=A531),""MIDDLE"")*6)+(COUNTIF(FILTER(Data!N:N,Data!B:B=A531),""LOW"")*4)) / (COUNTIF(Data!B:B, A531)"&amp;"),"""")"),"")</f>
        <v/>
      </c>
      <c r="Q531" s="58"/>
      <c r="R531" s="58"/>
      <c r="S531" s="58" t="str">
        <f>IFERROR(__xludf.DUMMYFUNCTION("IFERROR((((COUNTIF(FILTER(Data!N:N,Data!B:B=A531),""TRAVERSE""))+(COUNTIF(FILTER(Data!N:N,Data!B:B=A531),""HIGH""))+(COUNTIF(FILTER(Data!N:N,Data!B:B=A531),""MIDDLE""))+(COUNTIF(FILTER(Data!N:N,Data!B:B=A531),""LOW"")))) / (((COUNTIF(Data!B:B, A531)))-(CO"&amp;"UNTIF(FILTER(Data!N:N,Data!B:B=A531),""NONE""))),IF(ISBLANK(A531),"""",0))"),"")</f>
        <v/>
      </c>
      <c r="T531" s="56" t="str">
        <f>IFERROR(__xludf.DUMMYFUNCTION("IFERROR((COUNTIF(FILTER(Data!N:N, Data!B:B=A531),""LOW"")) / (COUNTIF(Data!B:B, A531)),"""")"),"")</f>
        <v/>
      </c>
      <c r="U531" s="59" t="str">
        <f>IFERROR(__xludf.DUMMYFUNCTION("IFERROR((COUNTIF(FILTER(Data!N:N, Data!B:B=A531),""MIDDLE"")) / (COUNTIF(Data!B:B, A531)),"""")"),"")</f>
        <v/>
      </c>
      <c r="V531" s="59" t="str">
        <f>IFERROR(__xludf.DUMMYFUNCTION("IFERROR((COUNTIF(FILTER(Data!N:N, Data!B:B=A531),""HIGH"")) / (COUNTIF(Data!B:B, A531)),"""")"),"")</f>
        <v/>
      </c>
      <c r="W531" s="59" t="str">
        <f>IFERROR(__xludf.DUMMYFUNCTION("IFERROR((COUNTIF(FILTER(Data!N:N, Data!B:B=A531),""TRAVERSE"")) / (COUNTIF(Data!B:B, A531)),"""")"),"")</f>
        <v/>
      </c>
      <c r="X531" s="59"/>
      <c r="Y531" s="45" t="str">
        <f t="shared" si="7"/>
        <v/>
      </c>
      <c r="Z531" s="45" t="str">
        <f t="shared" si="8"/>
        <v/>
      </c>
      <c r="AA531" s="16" t="str">
        <f t="shared" si="9"/>
        <v/>
      </c>
      <c r="AB531" s="16"/>
      <c r="AC531" s="16"/>
      <c r="AD531" s="16"/>
      <c r="AE531" s="16" t="str">
        <f t="shared" si="12"/>
        <v/>
      </c>
      <c r="AF531" s="16" t="str">
        <f t="shared" si="13"/>
        <v/>
      </c>
      <c r="AG531" s="44"/>
      <c r="AH531" s="44"/>
      <c r="AI531" s="44" t="str">
        <f>IFERROR(__xludf.DUMMYFUNCTION("TEXTJOIN("", "",TRUE, FILTER(Data!P:P, Data!B:B=A531))"),"")</f>
        <v/>
      </c>
      <c r="AM531" s="61"/>
      <c r="BC531" s="50"/>
    </row>
    <row r="532">
      <c r="A532" s="14"/>
      <c r="B532" s="55" t="str">
        <f>IFERROR(__xludf.DUMMYFUNCTION("IFERROR(ROUND(
(COUNTIF(FILTER(Data!O:O, Data!B:B=A532), ""Win"")
+ COUNTIF(FILTER(Data!O:O, Data!B:B=A532), {""Tie"",""Results""}))
/ (COUNTIF(Data!B:B, A532)),
1),"""")"),"")</f>
        <v/>
      </c>
      <c r="C532" s="45" t="str">
        <f>IFERROR((SUMIF(Data!B:B, A532, Data!H:H)
/ (COUNTIF(Data!B:B, A532)
)),"")</f>
        <v/>
      </c>
      <c r="D532" s="45" t="str">
        <f>IFERROR((SUMIF(Data!B:B, A532, Data!G:G)
/ (COUNTIF(Data!B:B, A532)
)),"")</f>
        <v/>
      </c>
      <c r="E532" s="45"/>
      <c r="F532" s="45" t="str">
        <f>IFERROR((SUMIF(Data!B:B, A532, Data!J:J)
/ (COUNTIF(Data!B:B, A532)
)),"")</f>
        <v/>
      </c>
      <c r="G532" s="56" t="str">
        <f>IF(A532="","",IFERROR((((((SUMIF(Data!B:B, A532, Data!H:H)+(SUMIF(Data!B:B, A532,Data!G:G)))/(SUMIF(Data!B:B, A532, Data!J:J)))))),0))</f>
        <v/>
      </c>
      <c r="H532" s="45"/>
      <c r="I532" s="45"/>
      <c r="J532" s="45"/>
      <c r="K532" s="45"/>
      <c r="L532" s="45" t="str">
        <f>IFERROR((SUMIF(Data!B:B, A532, Data!L:L)
/ (COUNTIF(Data!B:B, A532)
)),"")</f>
        <v/>
      </c>
      <c r="M532" s="45" t="str">
        <f>IFERROR((SUMIF(Data!B:B, A532, Data!K:K)
/ (COUNTIF(Data!B:B, A532)
)),"")</f>
        <v/>
      </c>
      <c r="N532" s="56"/>
      <c r="O532" s="56" t="str">
        <f>IF(A532="","",IFERROR((((((SUMIF(Data!B:B, A532, Data!H:H)+(SUMIF(Data!B:B, A532,Data!G:G)+(SUMIF(Data!B:B, A532,Data!L:L)+(SUMIF(Data!B:B, A532,Data!K:K)))))/(SUMIF(Data!B:B, A532, Data!M:M)+(SUMIF(Data!B:B, A532, Data!H:H)+(SUMIF(Data!B:B, A532,Data!G:G)+(SUMIF(Data!B:B, A532,Data!K:K)+(SUMIF(Data!B:B, A532,Data!L:L)))))))))),0))</f>
        <v/>
      </c>
      <c r="P532" s="57" t="str">
        <f>IFERROR(__xludf.DUMMYFUNCTION("IFERROR(((COUNTIF(FILTER(Data!N:N,Data!B:B=A532),""TRAVERSE"")*15)+(COUNTIF(FILTER(Data!N:N,Data!B:B=A532),""HIGH"")*10)+(COUNTIF(FILTER(Data!N:N,Data!B:B=A532),""MIDDLE"")*6)+(COUNTIF(FILTER(Data!N:N,Data!B:B=A532),""LOW"")*4)) / (COUNTIF(Data!B:B, A532)"&amp;"),"""")"),"")</f>
        <v/>
      </c>
      <c r="Q532" s="58"/>
      <c r="R532" s="58"/>
      <c r="S532" s="58" t="str">
        <f>IFERROR(__xludf.DUMMYFUNCTION("IFERROR((((COUNTIF(FILTER(Data!N:N,Data!B:B=A532),""TRAVERSE""))+(COUNTIF(FILTER(Data!N:N,Data!B:B=A532),""HIGH""))+(COUNTIF(FILTER(Data!N:N,Data!B:B=A532),""MIDDLE""))+(COUNTIF(FILTER(Data!N:N,Data!B:B=A532),""LOW"")))) / (((COUNTIF(Data!B:B, A532)))-(CO"&amp;"UNTIF(FILTER(Data!N:N,Data!B:B=A532),""NONE""))),IF(ISBLANK(A532),"""",0))"),"")</f>
        <v/>
      </c>
      <c r="T532" s="56" t="str">
        <f>IFERROR(__xludf.DUMMYFUNCTION("IFERROR((COUNTIF(FILTER(Data!N:N, Data!B:B=A532),""LOW"")) / (COUNTIF(Data!B:B, A532)),"""")"),"")</f>
        <v/>
      </c>
      <c r="U532" s="59" t="str">
        <f>IFERROR(__xludf.DUMMYFUNCTION("IFERROR((COUNTIF(FILTER(Data!N:N, Data!B:B=A532),""MIDDLE"")) / (COUNTIF(Data!B:B, A532)),"""")"),"")</f>
        <v/>
      </c>
      <c r="V532" s="59" t="str">
        <f>IFERROR(__xludf.DUMMYFUNCTION("IFERROR((COUNTIF(FILTER(Data!N:N, Data!B:B=A532),""HIGH"")) / (COUNTIF(Data!B:B, A532)),"""")"),"")</f>
        <v/>
      </c>
      <c r="W532" s="59" t="str">
        <f>IFERROR(__xludf.DUMMYFUNCTION("IFERROR((COUNTIF(FILTER(Data!N:N, Data!B:B=A532),""TRAVERSE"")) / (COUNTIF(Data!B:B, A532)),"""")"),"")</f>
        <v/>
      </c>
      <c r="X532" s="59"/>
      <c r="Y532" s="45" t="str">
        <f t="shared" si="7"/>
        <v/>
      </c>
      <c r="Z532" s="45" t="str">
        <f t="shared" si="8"/>
        <v/>
      </c>
      <c r="AA532" s="16" t="str">
        <f t="shared" si="9"/>
        <v/>
      </c>
      <c r="AB532" s="16"/>
      <c r="AC532" s="16"/>
      <c r="AD532" s="16"/>
      <c r="AE532" s="16" t="str">
        <f t="shared" si="12"/>
        <v/>
      </c>
      <c r="AF532" s="16" t="str">
        <f t="shared" si="13"/>
        <v/>
      </c>
      <c r="AG532" s="44"/>
      <c r="AH532" s="44"/>
      <c r="AI532" s="44" t="str">
        <f>IFERROR(__xludf.DUMMYFUNCTION("TEXTJOIN("", "",TRUE, FILTER(Data!P:P, Data!B:B=A532))"),"")</f>
        <v/>
      </c>
      <c r="AM532" s="61"/>
      <c r="BC532" s="50"/>
    </row>
    <row r="533">
      <c r="A533" s="14"/>
      <c r="B533" s="55" t="str">
        <f>IFERROR(__xludf.DUMMYFUNCTION("IFERROR(ROUND(
(COUNTIF(FILTER(Data!O:O, Data!B:B=A533), ""Win"")
+ COUNTIF(FILTER(Data!O:O, Data!B:B=A533), {""Tie"",""Results""}))
/ (COUNTIF(Data!B:B, A533)),
1),"""")"),"")</f>
        <v/>
      </c>
      <c r="C533" s="45" t="str">
        <f>IFERROR((SUMIF(Data!B:B, A533, Data!H:H)
/ (COUNTIF(Data!B:B, A533)
)),"")</f>
        <v/>
      </c>
      <c r="D533" s="45" t="str">
        <f>IFERROR((SUMIF(Data!B:B, A533, Data!G:G)
/ (COUNTIF(Data!B:B, A533)
)),"")</f>
        <v/>
      </c>
      <c r="E533" s="45"/>
      <c r="F533" s="45" t="str">
        <f>IFERROR((SUMIF(Data!B:B, A533, Data!J:J)
/ (COUNTIF(Data!B:B, A533)
)),"")</f>
        <v/>
      </c>
      <c r="G533" s="56" t="str">
        <f>IF(A533="","",IFERROR((((((SUMIF(Data!B:B, A533, Data!H:H)+(SUMIF(Data!B:B, A533,Data!G:G)))/(SUMIF(Data!B:B, A533, Data!J:J)))))),0))</f>
        <v/>
      </c>
      <c r="H533" s="45"/>
      <c r="I533" s="45"/>
      <c r="J533" s="45"/>
      <c r="K533" s="45"/>
      <c r="L533" s="45" t="str">
        <f>IFERROR((SUMIF(Data!B:B, A533, Data!L:L)
/ (COUNTIF(Data!B:B, A533)
)),"")</f>
        <v/>
      </c>
      <c r="M533" s="45" t="str">
        <f>IFERROR((SUMIF(Data!B:B, A533, Data!K:K)
/ (COUNTIF(Data!B:B, A533)
)),"")</f>
        <v/>
      </c>
      <c r="N533" s="56"/>
      <c r="O533" s="56" t="str">
        <f>IF(A533="","",IFERROR((((((SUMIF(Data!B:B, A533, Data!H:H)+(SUMIF(Data!B:B, A533,Data!G:G)+(SUMIF(Data!B:B, A533,Data!L:L)+(SUMIF(Data!B:B, A533,Data!K:K)))))/(SUMIF(Data!B:B, A533, Data!M:M)+(SUMIF(Data!B:B, A533, Data!H:H)+(SUMIF(Data!B:B, A533,Data!G:G)+(SUMIF(Data!B:B, A533,Data!K:K)+(SUMIF(Data!B:B, A533,Data!L:L)))))))))),0))</f>
        <v/>
      </c>
      <c r="P533" s="57" t="str">
        <f>IFERROR(__xludf.DUMMYFUNCTION("IFERROR(((COUNTIF(FILTER(Data!N:N,Data!B:B=A533),""TRAVERSE"")*15)+(COUNTIF(FILTER(Data!N:N,Data!B:B=A533),""HIGH"")*10)+(COUNTIF(FILTER(Data!N:N,Data!B:B=A533),""MIDDLE"")*6)+(COUNTIF(FILTER(Data!N:N,Data!B:B=A533),""LOW"")*4)) / (COUNTIF(Data!B:B, A533)"&amp;"),"""")"),"")</f>
        <v/>
      </c>
      <c r="Q533" s="58"/>
      <c r="R533" s="58"/>
      <c r="S533" s="58" t="str">
        <f>IFERROR(__xludf.DUMMYFUNCTION("IFERROR((((COUNTIF(FILTER(Data!N:N,Data!B:B=A533),""TRAVERSE""))+(COUNTIF(FILTER(Data!N:N,Data!B:B=A533),""HIGH""))+(COUNTIF(FILTER(Data!N:N,Data!B:B=A533),""MIDDLE""))+(COUNTIF(FILTER(Data!N:N,Data!B:B=A533),""LOW"")))) / (((COUNTIF(Data!B:B, A533)))-(CO"&amp;"UNTIF(FILTER(Data!N:N,Data!B:B=A533),""NONE""))),IF(ISBLANK(A533),"""",0))"),"")</f>
        <v/>
      </c>
      <c r="T533" s="56" t="str">
        <f>IFERROR(__xludf.DUMMYFUNCTION("IFERROR((COUNTIF(FILTER(Data!N:N, Data!B:B=A533),""LOW"")) / (COUNTIF(Data!B:B, A533)),"""")"),"")</f>
        <v/>
      </c>
      <c r="U533" s="59" t="str">
        <f>IFERROR(__xludf.DUMMYFUNCTION("IFERROR((COUNTIF(FILTER(Data!N:N, Data!B:B=A533),""MIDDLE"")) / (COUNTIF(Data!B:B, A533)),"""")"),"")</f>
        <v/>
      </c>
      <c r="V533" s="59" t="str">
        <f>IFERROR(__xludf.DUMMYFUNCTION("IFERROR((COUNTIF(FILTER(Data!N:N, Data!B:B=A533),""HIGH"")) / (COUNTIF(Data!B:B, A533)),"""")"),"")</f>
        <v/>
      </c>
      <c r="W533" s="59" t="str">
        <f>IFERROR(__xludf.DUMMYFUNCTION("IFERROR((COUNTIF(FILTER(Data!N:N, Data!B:B=A533),""TRAVERSE"")) / (COUNTIF(Data!B:B, A533)),"""")"),"")</f>
        <v/>
      </c>
      <c r="X533" s="59"/>
      <c r="Y533" s="45" t="str">
        <f t="shared" si="7"/>
        <v/>
      </c>
      <c r="Z533" s="45" t="str">
        <f t="shared" si="8"/>
        <v/>
      </c>
      <c r="AA533" s="16" t="str">
        <f t="shared" si="9"/>
        <v/>
      </c>
      <c r="AB533" s="16"/>
      <c r="AC533" s="16"/>
      <c r="AD533" s="16"/>
      <c r="AE533" s="16" t="str">
        <f t="shared" si="12"/>
        <v/>
      </c>
      <c r="AF533" s="16" t="str">
        <f t="shared" si="13"/>
        <v/>
      </c>
      <c r="AG533" s="44"/>
      <c r="AH533" s="44"/>
      <c r="AI533" s="44" t="str">
        <f>IFERROR(__xludf.DUMMYFUNCTION("TEXTJOIN("", "",TRUE, FILTER(Data!P:P, Data!B:B=A533))"),"")</f>
        <v/>
      </c>
      <c r="AM533" s="61"/>
      <c r="BC533" s="50"/>
    </row>
    <row r="534">
      <c r="A534" s="14"/>
      <c r="B534" s="55" t="str">
        <f>IFERROR(__xludf.DUMMYFUNCTION("IFERROR(ROUND(
(COUNTIF(FILTER(Data!O:O, Data!B:B=A534), ""Win"")
+ COUNTIF(FILTER(Data!O:O, Data!B:B=A534), {""Tie"",""Results""}))
/ (COUNTIF(Data!B:B, A534)),
1),"""")"),"")</f>
        <v/>
      </c>
      <c r="C534" s="45" t="str">
        <f>IFERROR((SUMIF(Data!B:B, A534, Data!H:H)
/ (COUNTIF(Data!B:B, A534)
)),"")</f>
        <v/>
      </c>
      <c r="D534" s="45" t="str">
        <f>IFERROR((SUMIF(Data!B:B, A534, Data!G:G)
/ (COUNTIF(Data!B:B, A534)
)),"")</f>
        <v/>
      </c>
      <c r="E534" s="45"/>
      <c r="F534" s="45" t="str">
        <f>IFERROR((SUMIF(Data!B:B, A534, Data!J:J)
/ (COUNTIF(Data!B:B, A534)
)),"")</f>
        <v/>
      </c>
      <c r="G534" s="56" t="str">
        <f>IF(A534="","",IFERROR((((((SUMIF(Data!B:B, A534, Data!H:H)+(SUMIF(Data!B:B, A534,Data!G:G)))/(SUMIF(Data!B:B, A534, Data!J:J)))))),0))</f>
        <v/>
      </c>
      <c r="H534" s="45"/>
      <c r="I534" s="45"/>
      <c r="J534" s="45"/>
      <c r="K534" s="45"/>
      <c r="L534" s="45" t="str">
        <f>IFERROR((SUMIF(Data!B:B, A534, Data!L:L)
/ (COUNTIF(Data!B:B, A534)
)),"")</f>
        <v/>
      </c>
      <c r="M534" s="45" t="str">
        <f>IFERROR((SUMIF(Data!B:B, A534, Data!K:K)
/ (COUNTIF(Data!B:B, A534)
)),"")</f>
        <v/>
      </c>
      <c r="N534" s="56"/>
      <c r="O534" s="56" t="str">
        <f>IF(A534="","",IFERROR((((((SUMIF(Data!B:B, A534, Data!H:H)+(SUMIF(Data!B:B, A534,Data!G:G)+(SUMIF(Data!B:B, A534,Data!L:L)+(SUMIF(Data!B:B, A534,Data!K:K)))))/(SUMIF(Data!B:B, A534, Data!M:M)+(SUMIF(Data!B:B, A534, Data!H:H)+(SUMIF(Data!B:B, A534,Data!G:G)+(SUMIF(Data!B:B, A534,Data!K:K)+(SUMIF(Data!B:B, A534,Data!L:L)))))))))),0))</f>
        <v/>
      </c>
      <c r="P534" s="57" t="str">
        <f>IFERROR(__xludf.DUMMYFUNCTION("IFERROR(((COUNTIF(FILTER(Data!N:N,Data!B:B=A534),""TRAVERSE"")*15)+(COUNTIF(FILTER(Data!N:N,Data!B:B=A534),""HIGH"")*10)+(COUNTIF(FILTER(Data!N:N,Data!B:B=A534),""MIDDLE"")*6)+(COUNTIF(FILTER(Data!N:N,Data!B:B=A534),""LOW"")*4)) / (COUNTIF(Data!B:B, A534)"&amp;"),"""")"),"")</f>
        <v/>
      </c>
      <c r="Q534" s="58"/>
      <c r="R534" s="58"/>
      <c r="S534" s="58" t="str">
        <f>IFERROR(__xludf.DUMMYFUNCTION("IFERROR((((COUNTIF(FILTER(Data!N:N,Data!B:B=A534),""TRAVERSE""))+(COUNTIF(FILTER(Data!N:N,Data!B:B=A534),""HIGH""))+(COUNTIF(FILTER(Data!N:N,Data!B:B=A534),""MIDDLE""))+(COUNTIF(FILTER(Data!N:N,Data!B:B=A534),""LOW"")))) / (((COUNTIF(Data!B:B, A534)))-(CO"&amp;"UNTIF(FILTER(Data!N:N,Data!B:B=A534),""NONE""))),IF(ISBLANK(A534),"""",0))"),"")</f>
        <v/>
      </c>
      <c r="T534" s="56" t="str">
        <f>IFERROR(__xludf.DUMMYFUNCTION("IFERROR((COUNTIF(FILTER(Data!N:N, Data!B:B=A534),""LOW"")) / (COUNTIF(Data!B:B, A534)),"""")"),"")</f>
        <v/>
      </c>
      <c r="U534" s="59" t="str">
        <f>IFERROR(__xludf.DUMMYFUNCTION("IFERROR((COUNTIF(FILTER(Data!N:N, Data!B:B=A534),""MIDDLE"")) / (COUNTIF(Data!B:B, A534)),"""")"),"")</f>
        <v/>
      </c>
      <c r="V534" s="59" t="str">
        <f>IFERROR(__xludf.DUMMYFUNCTION("IFERROR((COUNTIF(FILTER(Data!N:N, Data!B:B=A534),""HIGH"")) / (COUNTIF(Data!B:B, A534)),"""")"),"")</f>
        <v/>
      </c>
      <c r="W534" s="59" t="str">
        <f>IFERROR(__xludf.DUMMYFUNCTION("IFERROR((COUNTIF(FILTER(Data!N:N, Data!B:B=A534),""TRAVERSE"")) / (COUNTIF(Data!B:B, A534)),"""")"),"")</f>
        <v/>
      </c>
      <c r="X534" s="59"/>
      <c r="Y534" s="45" t="str">
        <f t="shared" si="7"/>
        <v/>
      </c>
      <c r="Z534" s="45" t="str">
        <f t="shared" si="8"/>
        <v/>
      </c>
      <c r="AA534" s="16" t="str">
        <f t="shared" si="9"/>
        <v/>
      </c>
      <c r="AB534" s="16"/>
      <c r="AC534" s="16"/>
      <c r="AD534" s="16"/>
      <c r="AE534" s="16" t="str">
        <f t="shared" si="12"/>
        <v/>
      </c>
      <c r="AF534" s="16" t="str">
        <f t="shared" si="13"/>
        <v/>
      </c>
      <c r="AG534" s="44"/>
      <c r="AH534" s="44"/>
      <c r="AI534" s="44" t="str">
        <f>IFERROR(__xludf.DUMMYFUNCTION("TEXTJOIN("", "",TRUE, FILTER(Data!P:P, Data!B:B=A534))"),"")</f>
        <v/>
      </c>
      <c r="AM534" s="61"/>
      <c r="BC534" s="50"/>
    </row>
    <row r="535">
      <c r="A535" s="14"/>
      <c r="B535" s="55" t="str">
        <f>IFERROR(__xludf.DUMMYFUNCTION("IFERROR(ROUND(
(COUNTIF(FILTER(Data!O:O, Data!B:B=A535), ""Win"")
+ COUNTIF(FILTER(Data!O:O, Data!B:B=A535), {""Tie"",""Results""}))
/ (COUNTIF(Data!B:B, A535)),
1),"""")"),"")</f>
        <v/>
      </c>
      <c r="C535" s="45" t="str">
        <f>IFERROR((SUMIF(Data!B:B, A535, Data!H:H)
/ (COUNTIF(Data!B:B, A535)
)),"")</f>
        <v/>
      </c>
      <c r="D535" s="45" t="str">
        <f>IFERROR((SUMIF(Data!B:B, A535, Data!G:G)
/ (COUNTIF(Data!B:B, A535)
)),"")</f>
        <v/>
      </c>
      <c r="E535" s="45"/>
      <c r="F535" s="45" t="str">
        <f>IFERROR((SUMIF(Data!B:B, A535, Data!J:J)
/ (COUNTIF(Data!B:B, A535)
)),"")</f>
        <v/>
      </c>
      <c r="G535" s="56" t="str">
        <f>IF(A535="","",IFERROR((((((SUMIF(Data!B:B, A535, Data!H:H)+(SUMIF(Data!B:B, A535,Data!G:G)))/(SUMIF(Data!B:B, A535, Data!J:J)))))),0))</f>
        <v/>
      </c>
      <c r="H535" s="45"/>
      <c r="I535" s="45"/>
      <c r="J535" s="45"/>
      <c r="K535" s="45"/>
      <c r="L535" s="45" t="str">
        <f>IFERROR((SUMIF(Data!B:B, A535, Data!L:L)
/ (COUNTIF(Data!B:B, A535)
)),"")</f>
        <v/>
      </c>
      <c r="M535" s="45" t="str">
        <f>IFERROR((SUMIF(Data!B:B, A535, Data!K:K)
/ (COUNTIF(Data!B:B, A535)
)),"")</f>
        <v/>
      </c>
      <c r="N535" s="56"/>
      <c r="O535" s="56" t="str">
        <f>IF(A535="","",IFERROR((((((SUMIF(Data!B:B, A535, Data!H:H)+(SUMIF(Data!B:B, A535,Data!G:G)+(SUMIF(Data!B:B, A535,Data!L:L)+(SUMIF(Data!B:B, A535,Data!K:K)))))/(SUMIF(Data!B:B, A535, Data!M:M)+(SUMIF(Data!B:B, A535, Data!H:H)+(SUMIF(Data!B:B, A535,Data!G:G)+(SUMIF(Data!B:B, A535,Data!K:K)+(SUMIF(Data!B:B, A535,Data!L:L)))))))))),0))</f>
        <v/>
      </c>
      <c r="P535" s="57" t="str">
        <f>IFERROR(__xludf.DUMMYFUNCTION("IFERROR(((COUNTIF(FILTER(Data!N:N,Data!B:B=A535),""TRAVERSE"")*15)+(COUNTIF(FILTER(Data!N:N,Data!B:B=A535),""HIGH"")*10)+(COUNTIF(FILTER(Data!N:N,Data!B:B=A535),""MIDDLE"")*6)+(COUNTIF(FILTER(Data!N:N,Data!B:B=A535),""LOW"")*4)) / (COUNTIF(Data!B:B, A535)"&amp;"),"""")"),"")</f>
        <v/>
      </c>
      <c r="Q535" s="58"/>
      <c r="R535" s="58"/>
      <c r="S535" s="58" t="str">
        <f>IFERROR(__xludf.DUMMYFUNCTION("IFERROR((((COUNTIF(FILTER(Data!N:N,Data!B:B=A535),""TRAVERSE""))+(COUNTIF(FILTER(Data!N:N,Data!B:B=A535),""HIGH""))+(COUNTIF(FILTER(Data!N:N,Data!B:B=A535),""MIDDLE""))+(COUNTIF(FILTER(Data!N:N,Data!B:B=A535),""LOW"")))) / (((COUNTIF(Data!B:B, A535)))-(CO"&amp;"UNTIF(FILTER(Data!N:N,Data!B:B=A535),""NONE""))),IF(ISBLANK(A535),"""",0))"),"")</f>
        <v/>
      </c>
      <c r="T535" s="56" t="str">
        <f>IFERROR(__xludf.DUMMYFUNCTION("IFERROR((COUNTIF(FILTER(Data!N:N, Data!B:B=A535),""LOW"")) / (COUNTIF(Data!B:B, A535)),"""")"),"")</f>
        <v/>
      </c>
      <c r="U535" s="59" t="str">
        <f>IFERROR(__xludf.DUMMYFUNCTION("IFERROR((COUNTIF(FILTER(Data!N:N, Data!B:B=A535),""MIDDLE"")) / (COUNTIF(Data!B:B, A535)),"""")"),"")</f>
        <v/>
      </c>
      <c r="V535" s="59" t="str">
        <f>IFERROR(__xludf.DUMMYFUNCTION("IFERROR((COUNTIF(FILTER(Data!N:N, Data!B:B=A535),""HIGH"")) / (COUNTIF(Data!B:B, A535)),"""")"),"")</f>
        <v/>
      </c>
      <c r="W535" s="59" t="str">
        <f>IFERROR(__xludf.DUMMYFUNCTION("IFERROR((COUNTIF(FILTER(Data!N:N, Data!B:B=A535),""TRAVERSE"")) / (COUNTIF(Data!B:B, A535)),"""")"),"")</f>
        <v/>
      </c>
      <c r="X535" s="59"/>
      <c r="Y535" s="45" t="str">
        <f t="shared" si="7"/>
        <v/>
      </c>
      <c r="Z535" s="45" t="str">
        <f t="shared" si="8"/>
        <v/>
      </c>
      <c r="AA535" s="16" t="str">
        <f t="shared" si="9"/>
        <v/>
      </c>
      <c r="AB535" s="16"/>
      <c r="AC535" s="16"/>
      <c r="AD535" s="16"/>
      <c r="AE535" s="16" t="str">
        <f t="shared" si="12"/>
        <v/>
      </c>
      <c r="AF535" s="16" t="str">
        <f t="shared" si="13"/>
        <v/>
      </c>
      <c r="AG535" s="44"/>
      <c r="AH535" s="44"/>
      <c r="AI535" s="44" t="str">
        <f>IFERROR(__xludf.DUMMYFUNCTION("TEXTJOIN("", "",TRUE, FILTER(Data!P:P, Data!B:B=A535))"),"")</f>
        <v/>
      </c>
      <c r="AM535" s="61"/>
      <c r="BC535" s="50"/>
    </row>
    <row r="536">
      <c r="A536" s="14"/>
      <c r="B536" s="55" t="str">
        <f>IFERROR(__xludf.DUMMYFUNCTION("IFERROR(ROUND(
(COUNTIF(FILTER(Data!O:O, Data!B:B=A536), ""Win"")
+ COUNTIF(FILTER(Data!O:O, Data!B:B=A536), {""Tie"",""Results""}))
/ (COUNTIF(Data!B:B, A536)),
1),"""")"),"")</f>
        <v/>
      </c>
      <c r="C536" s="45" t="str">
        <f>IFERROR((SUMIF(Data!B:B, A536, Data!H:H)
/ (COUNTIF(Data!B:B, A536)
)),"")</f>
        <v/>
      </c>
      <c r="D536" s="45" t="str">
        <f>IFERROR((SUMIF(Data!B:B, A536, Data!G:G)
/ (COUNTIF(Data!B:B, A536)
)),"")</f>
        <v/>
      </c>
      <c r="E536" s="45"/>
      <c r="F536" s="45" t="str">
        <f>IFERROR((SUMIF(Data!B:B, A536, Data!J:J)
/ (COUNTIF(Data!B:B, A536)
)),"")</f>
        <v/>
      </c>
      <c r="G536" s="56" t="str">
        <f>IF(A536="","",IFERROR((((((SUMIF(Data!B:B, A536, Data!H:H)+(SUMIF(Data!B:B, A536,Data!G:G)))/(SUMIF(Data!B:B, A536, Data!J:J)))))),0))</f>
        <v/>
      </c>
      <c r="H536" s="45"/>
      <c r="I536" s="45"/>
      <c r="J536" s="45"/>
      <c r="K536" s="45"/>
      <c r="L536" s="45" t="str">
        <f>IFERROR((SUMIF(Data!B:B, A536, Data!L:L)
/ (COUNTIF(Data!B:B, A536)
)),"")</f>
        <v/>
      </c>
      <c r="M536" s="45" t="str">
        <f>IFERROR((SUMIF(Data!B:B, A536, Data!K:K)
/ (COUNTIF(Data!B:B, A536)
)),"")</f>
        <v/>
      </c>
      <c r="N536" s="56"/>
      <c r="O536" s="56" t="str">
        <f>IF(A536="","",IFERROR((((((SUMIF(Data!B:B, A536, Data!H:H)+(SUMIF(Data!B:B, A536,Data!G:G)+(SUMIF(Data!B:B, A536,Data!L:L)+(SUMIF(Data!B:B, A536,Data!K:K)))))/(SUMIF(Data!B:B, A536, Data!M:M)+(SUMIF(Data!B:B, A536, Data!H:H)+(SUMIF(Data!B:B, A536,Data!G:G)+(SUMIF(Data!B:B, A536,Data!K:K)+(SUMIF(Data!B:B, A536,Data!L:L)))))))))),0))</f>
        <v/>
      </c>
      <c r="P536" s="57" t="str">
        <f>IFERROR(__xludf.DUMMYFUNCTION("IFERROR(((COUNTIF(FILTER(Data!N:N,Data!B:B=A536),""TRAVERSE"")*15)+(COUNTIF(FILTER(Data!N:N,Data!B:B=A536),""HIGH"")*10)+(COUNTIF(FILTER(Data!N:N,Data!B:B=A536),""MIDDLE"")*6)+(COUNTIF(FILTER(Data!N:N,Data!B:B=A536),""LOW"")*4)) / (COUNTIF(Data!B:B, A536)"&amp;"),"""")"),"")</f>
        <v/>
      </c>
      <c r="Q536" s="58"/>
      <c r="R536" s="58"/>
      <c r="S536" s="58" t="str">
        <f>IFERROR(__xludf.DUMMYFUNCTION("IFERROR((((COUNTIF(FILTER(Data!N:N,Data!B:B=A536),""TRAVERSE""))+(COUNTIF(FILTER(Data!N:N,Data!B:B=A536),""HIGH""))+(COUNTIF(FILTER(Data!N:N,Data!B:B=A536),""MIDDLE""))+(COUNTIF(FILTER(Data!N:N,Data!B:B=A536),""LOW"")))) / (((COUNTIF(Data!B:B, A536)))-(CO"&amp;"UNTIF(FILTER(Data!N:N,Data!B:B=A536),""NONE""))),IF(ISBLANK(A536),"""",0))"),"")</f>
        <v/>
      </c>
      <c r="T536" s="56" t="str">
        <f>IFERROR(__xludf.DUMMYFUNCTION("IFERROR((COUNTIF(FILTER(Data!N:N, Data!B:B=A536),""LOW"")) / (COUNTIF(Data!B:B, A536)),"""")"),"")</f>
        <v/>
      </c>
      <c r="U536" s="59" t="str">
        <f>IFERROR(__xludf.DUMMYFUNCTION("IFERROR((COUNTIF(FILTER(Data!N:N, Data!B:B=A536),""MIDDLE"")) / (COUNTIF(Data!B:B, A536)),"""")"),"")</f>
        <v/>
      </c>
      <c r="V536" s="59" t="str">
        <f>IFERROR(__xludf.DUMMYFUNCTION("IFERROR((COUNTIF(FILTER(Data!N:N, Data!B:B=A536),""HIGH"")) / (COUNTIF(Data!B:B, A536)),"""")"),"")</f>
        <v/>
      </c>
      <c r="W536" s="59" t="str">
        <f>IFERROR(__xludf.DUMMYFUNCTION("IFERROR((COUNTIF(FILTER(Data!N:N, Data!B:B=A536),""TRAVERSE"")) / (COUNTIF(Data!B:B, A536)),"""")"),"")</f>
        <v/>
      </c>
      <c r="X536" s="59"/>
      <c r="Y536" s="45" t="str">
        <f t="shared" si="7"/>
        <v/>
      </c>
      <c r="Z536" s="45" t="str">
        <f t="shared" si="8"/>
        <v/>
      </c>
      <c r="AA536" s="16" t="str">
        <f t="shared" si="9"/>
        <v/>
      </c>
      <c r="AB536" s="16"/>
      <c r="AC536" s="16"/>
      <c r="AD536" s="16"/>
      <c r="AE536" s="16" t="str">
        <f t="shared" si="12"/>
        <v/>
      </c>
      <c r="AF536" s="16" t="str">
        <f t="shared" si="13"/>
        <v/>
      </c>
      <c r="AG536" s="44"/>
      <c r="AH536" s="44"/>
      <c r="AI536" s="44" t="str">
        <f>IFERROR(__xludf.DUMMYFUNCTION("TEXTJOIN("", "",TRUE, FILTER(Data!P:P, Data!B:B=A536))"),"")</f>
        <v/>
      </c>
      <c r="AM536" s="61"/>
      <c r="BC536" s="50"/>
    </row>
    <row r="537">
      <c r="A537" s="14"/>
      <c r="B537" s="55" t="str">
        <f>IFERROR(__xludf.DUMMYFUNCTION("IFERROR(ROUND(
(COUNTIF(FILTER(Data!O:O, Data!B:B=A537), ""Win"")
+ COUNTIF(FILTER(Data!O:O, Data!B:B=A537), {""Tie"",""Results""}))
/ (COUNTIF(Data!B:B, A537)),
1),"""")"),"")</f>
        <v/>
      </c>
      <c r="C537" s="45" t="str">
        <f>IFERROR((SUMIF(Data!B:B, A537, Data!H:H)
/ (COUNTIF(Data!B:B, A537)
)),"")</f>
        <v/>
      </c>
      <c r="D537" s="45" t="str">
        <f>IFERROR((SUMIF(Data!B:B, A537, Data!G:G)
/ (COUNTIF(Data!B:B, A537)
)),"")</f>
        <v/>
      </c>
      <c r="E537" s="45"/>
      <c r="F537" s="45" t="str">
        <f>IFERROR((SUMIF(Data!B:B, A537, Data!J:J)
/ (COUNTIF(Data!B:B, A537)
)),"")</f>
        <v/>
      </c>
      <c r="G537" s="56" t="str">
        <f>IF(A537="","",IFERROR((((((SUMIF(Data!B:B, A537, Data!H:H)+(SUMIF(Data!B:B, A537,Data!G:G)))/(SUMIF(Data!B:B, A537, Data!J:J)))))),0))</f>
        <v/>
      </c>
      <c r="H537" s="45"/>
      <c r="I537" s="45"/>
      <c r="J537" s="45"/>
      <c r="K537" s="45"/>
      <c r="L537" s="45" t="str">
        <f>IFERROR((SUMIF(Data!B:B, A537, Data!L:L)
/ (COUNTIF(Data!B:B, A537)
)),"")</f>
        <v/>
      </c>
      <c r="M537" s="45" t="str">
        <f>IFERROR((SUMIF(Data!B:B, A537, Data!K:K)
/ (COUNTIF(Data!B:B, A537)
)),"")</f>
        <v/>
      </c>
      <c r="N537" s="56"/>
      <c r="O537" s="56" t="str">
        <f>IF(A537="","",IFERROR((((((SUMIF(Data!B:B, A537, Data!H:H)+(SUMIF(Data!B:B, A537,Data!G:G)+(SUMIF(Data!B:B, A537,Data!L:L)+(SUMIF(Data!B:B, A537,Data!K:K)))))/(SUMIF(Data!B:B, A537, Data!M:M)+(SUMIF(Data!B:B, A537, Data!H:H)+(SUMIF(Data!B:B, A537,Data!G:G)+(SUMIF(Data!B:B, A537,Data!K:K)+(SUMIF(Data!B:B, A537,Data!L:L)))))))))),0))</f>
        <v/>
      </c>
      <c r="P537" s="57" t="str">
        <f>IFERROR(__xludf.DUMMYFUNCTION("IFERROR(((COUNTIF(FILTER(Data!N:N,Data!B:B=A537),""TRAVERSE"")*15)+(COUNTIF(FILTER(Data!N:N,Data!B:B=A537),""HIGH"")*10)+(COUNTIF(FILTER(Data!N:N,Data!B:B=A537),""MIDDLE"")*6)+(COUNTIF(FILTER(Data!N:N,Data!B:B=A537),""LOW"")*4)) / (COUNTIF(Data!B:B, A537)"&amp;"),"""")"),"")</f>
        <v/>
      </c>
      <c r="Q537" s="58"/>
      <c r="R537" s="58"/>
      <c r="S537" s="58" t="str">
        <f>IFERROR(__xludf.DUMMYFUNCTION("IFERROR((((COUNTIF(FILTER(Data!N:N,Data!B:B=A537),""TRAVERSE""))+(COUNTIF(FILTER(Data!N:N,Data!B:B=A537),""HIGH""))+(COUNTIF(FILTER(Data!N:N,Data!B:B=A537),""MIDDLE""))+(COUNTIF(FILTER(Data!N:N,Data!B:B=A537),""LOW"")))) / (((COUNTIF(Data!B:B, A537)))-(CO"&amp;"UNTIF(FILTER(Data!N:N,Data!B:B=A537),""NONE""))),IF(ISBLANK(A537),"""",0))"),"")</f>
        <v/>
      </c>
      <c r="T537" s="56" t="str">
        <f>IFERROR(__xludf.DUMMYFUNCTION("IFERROR((COUNTIF(FILTER(Data!N:N, Data!B:B=A537),""LOW"")) / (COUNTIF(Data!B:B, A537)),"""")"),"")</f>
        <v/>
      </c>
      <c r="U537" s="59" t="str">
        <f>IFERROR(__xludf.DUMMYFUNCTION("IFERROR((COUNTIF(FILTER(Data!N:N, Data!B:B=A537),""MIDDLE"")) / (COUNTIF(Data!B:B, A537)),"""")"),"")</f>
        <v/>
      </c>
      <c r="V537" s="59" t="str">
        <f>IFERROR(__xludf.DUMMYFUNCTION("IFERROR((COUNTIF(FILTER(Data!N:N, Data!B:B=A537),""HIGH"")) / (COUNTIF(Data!B:B, A537)),"""")"),"")</f>
        <v/>
      </c>
      <c r="W537" s="59" t="str">
        <f>IFERROR(__xludf.DUMMYFUNCTION("IFERROR((COUNTIF(FILTER(Data!N:N, Data!B:B=A537),""TRAVERSE"")) / (COUNTIF(Data!B:B, A537)),"""")"),"")</f>
        <v/>
      </c>
      <c r="X537" s="59"/>
      <c r="Y537" s="45" t="str">
        <f t="shared" si="7"/>
        <v/>
      </c>
      <c r="Z537" s="45" t="str">
        <f t="shared" si="8"/>
        <v/>
      </c>
      <c r="AA537" s="16" t="str">
        <f t="shared" si="9"/>
        <v/>
      </c>
      <c r="AB537" s="16"/>
      <c r="AC537" s="16"/>
      <c r="AD537" s="16"/>
      <c r="AE537" s="16" t="str">
        <f t="shared" si="12"/>
        <v/>
      </c>
      <c r="AF537" s="16" t="str">
        <f t="shared" si="13"/>
        <v/>
      </c>
      <c r="AG537" s="44"/>
      <c r="AH537" s="44"/>
      <c r="AI537" s="44" t="str">
        <f>IFERROR(__xludf.DUMMYFUNCTION("TEXTJOIN("", "",TRUE, FILTER(Data!P:P, Data!B:B=A537))"),"")</f>
        <v/>
      </c>
      <c r="AM537" s="61"/>
      <c r="BC537" s="50"/>
    </row>
    <row r="538">
      <c r="A538" s="14"/>
      <c r="B538" s="55" t="str">
        <f>IFERROR(__xludf.DUMMYFUNCTION("IFERROR(ROUND(
(COUNTIF(FILTER(Data!O:O, Data!B:B=A538), ""Win"")
+ COUNTIF(FILTER(Data!O:O, Data!B:B=A538), {""Tie"",""Results""}))
/ (COUNTIF(Data!B:B, A538)),
1),"""")"),"")</f>
        <v/>
      </c>
      <c r="C538" s="45" t="str">
        <f>IFERROR((SUMIF(Data!B:B, A538, Data!H:H)
/ (COUNTIF(Data!B:B, A538)
)),"")</f>
        <v/>
      </c>
      <c r="D538" s="45" t="str">
        <f>IFERROR((SUMIF(Data!B:B, A538, Data!G:G)
/ (COUNTIF(Data!B:B, A538)
)),"")</f>
        <v/>
      </c>
      <c r="E538" s="45"/>
      <c r="F538" s="45" t="str">
        <f>IFERROR((SUMIF(Data!B:B, A538, Data!J:J)
/ (COUNTIF(Data!B:B, A538)
)),"")</f>
        <v/>
      </c>
      <c r="G538" s="56" t="str">
        <f>IF(A538="","",IFERROR((((((SUMIF(Data!B:B, A538, Data!H:H)+(SUMIF(Data!B:B, A538,Data!G:G)))/(SUMIF(Data!B:B, A538, Data!J:J)))))),0))</f>
        <v/>
      </c>
      <c r="H538" s="45"/>
      <c r="I538" s="45"/>
      <c r="J538" s="45"/>
      <c r="K538" s="45"/>
      <c r="L538" s="45" t="str">
        <f>IFERROR((SUMIF(Data!B:B, A538, Data!L:L)
/ (COUNTIF(Data!B:B, A538)
)),"")</f>
        <v/>
      </c>
      <c r="M538" s="45" t="str">
        <f>IFERROR((SUMIF(Data!B:B, A538, Data!K:K)
/ (COUNTIF(Data!B:B, A538)
)),"")</f>
        <v/>
      </c>
      <c r="N538" s="56"/>
      <c r="O538" s="56" t="str">
        <f>IF(A538="","",IFERROR((((((SUMIF(Data!B:B, A538, Data!H:H)+(SUMIF(Data!B:B, A538,Data!G:G)+(SUMIF(Data!B:B, A538,Data!L:L)+(SUMIF(Data!B:B, A538,Data!K:K)))))/(SUMIF(Data!B:B, A538, Data!M:M)+(SUMIF(Data!B:B, A538, Data!H:H)+(SUMIF(Data!B:B, A538,Data!G:G)+(SUMIF(Data!B:B, A538,Data!K:K)+(SUMIF(Data!B:B, A538,Data!L:L)))))))))),0))</f>
        <v/>
      </c>
      <c r="P538" s="57" t="str">
        <f>IFERROR(__xludf.DUMMYFUNCTION("IFERROR(((COUNTIF(FILTER(Data!N:N,Data!B:B=A538),""TRAVERSE"")*15)+(COUNTIF(FILTER(Data!N:N,Data!B:B=A538),""HIGH"")*10)+(COUNTIF(FILTER(Data!N:N,Data!B:B=A538),""MIDDLE"")*6)+(COUNTIF(FILTER(Data!N:N,Data!B:B=A538),""LOW"")*4)) / (COUNTIF(Data!B:B, A538)"&amp;"),"""")"),"")</f>
        <v/>
      </c>
      <c r="Q538" s="58"/>
      <c r="R538" s="58"/>
      <c r="S538" s="58" t="str">
        <f>IFERROR(__xludf.DUMMYFUNCTION("IFERROR((((COUNTIF(FILTER(Data!N:N,Data!B:B=A538),""TRAVERSE""))+(COUNTIF(FILTER(Data!N:N,Data!B:B=A538),""HIGH""))+(COUNTIF(FILTER(Data!N:N,Data!B:B=A538),""MIDDLE""))+(COUNTIF(FILTER(Data!N:N,Data!B:B=A538),""LOW"")))) / (((COUNTIF(Data!B:B, A538)))-(CO"&amp;"UNTIF(FILTER(Data!N:N,Data!B:B=A538),""NONE""))),IF(ISBLANK(A538),"""",0))"),"")</f>
        <v/>
      </c>
      <c r="T538" s="56" t="str">
        <f>IFERROR(__xludf.DUMMYFUNCTION("IFERROR((COUNTIF(FILTER(Data!N:N, Data!B:B=A538),""LOW"")) / (COUNTIF(Data!B:B, A538)),"""")"),"")</f>
        <v/>
      </c>
      <c r="U538" s="59" t="str">
        <f>IFERROR(__xludf.DUMMYFUNCTION("IFERROR((COUNTIF(FILTER(Data!N:N, Data!B:B=A538),""MIDDLE"")) / (COUNTIF(Data!B:B, A538)),"""")"),"")</f>
        <v/>
      </c>
      <c r="V538" s="59" t="str">
        <f>IFERROR(__xludf.DUMMYFUNCTION("IFERROR((COUNTIF(FILTER(Data!N:N, Data!B:B=A538),""HIGH"")) / (COUNTIF(Data!B:B, A538)),"""")"),"")</f>
        <v/>
      </c>
      <c r="W538" s="59" t="str">
        <f>IFERROR(__xludf.DUMMYFUNCTION("IFERROR((COUNTIF(FILTER(Data!N:N, Data!B:B=A538),""TRAVERSE"")) / (COUNTIF(Data!B:B, A538)),"""")"),"")</f>
        <v/>
      </c>
      <c r="X538" s="59"/>
      <c r="Y538" s="45" t="str">
        <f t="shared" si="7"/>
        <v/>
      </c>
      <c r="Z538" s="45" t="str">
        <f t="shared" si="8"/>
        <v/>
      </c>
      <c r="AA538" s="16" t="str">
        <f t="shared" si="9"/>
        <v/>
      </c>
      <c r="AB538" s="16"/>
      <c r="AC538" s="16"/>
      <c r="AD538" s="16"/>
      <c r="AE538" s="16" t="str">
        <f t="shared" si="12"/>
        <v/>
      </c>
      <c r="AF538" s="16" t="str">
        <f t="shared" si="13"/>
        <v/>
      </c>
      <c r="AG538" s="44"/>
      <c r="AH538" s="44"/>
      <c r="AI538" s="44" t="str">
        <f>IFERROR(__xludf.DUMMYFUNCTION("TEXTJOIN("", "",TRUE, FILTER(Data!P:P, Data!B:B=A538))"),"")</f>
        <v/>
      </c>
      <c r="AM538" s="61"/>
      <c r="BC538" s="50"/>
    </row>
    <row r="539">
      <c r="A539" s="14"/>
      <c r="B539" s="55" t="str">
        <f>IFERROR(__xludf.DUMMYFUNCTION("IFERROR(ROUND(
(COUNTIF(FILTER(Data!O:O, Data!B:B=A539), ""Win"")
+ COUNTIF(FILTER(Data!O:O, Data!B:B=A539), {""Tie"",""Results""}))
/ (COUNTIF(Data!B:B, A539)),
1),"""")"),"")</f>
        <v/>
      </c>
      <c r="C539" s="45" t="str">
        <f>IFERROR((SUMIF(Data!B:B, A539, Data!H:H)
/ (COUNTIF(Data!B:B, A539)
)),"")</f>
        <v/>
      </c>
      <c r="D539" s="45" t="str">
        <f>IFERROR((SUMIF(Data!B:B, A539, Data!G:G)
/ (COUNTIF(Data!B:B, A539)
)),"")</f>
        <v/>
      </c>
      <c r="E539" s="45"/>
      <c r="F539" s="45" t="str">
        <f>IFERROR((SUMIF(Data!B:B, A539, Data!J:J)
/ (COUNTIF(Data!B:B, A539)
)),"")</f>
        <v/>
      </c>
      <c r="G539" s="56" t="str">
        <f>IF(A539="","",IFERROR((((((SUMIF(Data!B:B, A539, Data!H:H)+(SUMIF(Data!B:B, A539,Data!G:G)))/(SUMIF(Data!B:B, A539, Data!J:J)))))),0))</f>
        <v/>
      </c>
      <c r="H539" s="45"/>
      <c r="I539" s="45"/>
      <c r="J539" s="45"/>
      <c r="K539" s="45"/>
      <c r="L539" s="45" t="str">
        <f>IFERROR((SUMIF(Data!B:B, A539, Data!L:L)
/ (COUNTIF(Data!B:B, A539)
)),"")</f>
        <v/>
      </c>
      <c r="M539" s="45" t="str">
        <f>IFERROR((SUMIF(Data!B:B, A539, Data!K:K)
/ (COUNTIF(Data!B:B, A539)
)),"")</f>
        <v/>
      </c>
      <c r="N539" s="56"/>
      <c r="O539" s="56" t="str">
        <f>IF(A539="","",IFERROR((((((SUMIF(Data!B:B, A539, Data!H:H)+(SUMIF(Data!B:B, A539,Data!G:G)+(SUMIF(Data!B:B, A539,Data!L:L)+(SUMIF(Data!B:B, A539,Data!K:K)))))/(SUMIF(Data!B:B, A539, Data!M:M)+(SUMIF(Data!B:B, A539, Data!H:H)+(SUMIF(Data!B:B, A539,Data!G:G)+(SUMIF(Data!B:B, A539,Data!K:K)+(SUMIF(Data!B:B, A539,Data!L:L)))))))))),0))</f>
        <v/>
      </c>
      <c r="P539" s="57" t="str">
        <f>IFERROR(__xludf.DUMMYFUNCTION("IFERROR(((COUNTIF(FILTER(Data!N:N,Data!B:B=A539),""TRAVERSE"")*15)+(COUNTIF(FILTER(Data!N:N,Data!B:B=A539),""HIGH"")*10)+(COUNTIF(FILTER(Data!N:N,Data!B:B=A539),""MIDDLE"")*6)+(COUNTIF(FILTER(Data!N:N,Data!B:B=A539),""LOW"")*4)) / (COUNTIF(Data!B:B, A539)"&amp;"),"""")"),"")</f>
        <v/>
      </c>
      <c r="Q539" s="58"/>
      <c r="R539" s="58"/>
      <c r="S539" s="58" t="str">
        <f>IFERROR(__xludf.DUMMYFUNCTION("IFERROR((((COUNTIF(FILTER(Data!N:N,Data!B:B=A539),""TRAVERSE""))+(COUNTIF(FILTER(Data!N:N,Data!B:B=A539),""HIGH""))+(COUNTIF(FILTER(Data!N:N,Data!B:B=A539),""MIDDLE""))+(COUNTIF(FILTER(Data!N:N,Data!B:B=A539),""LOW"")))) / (((COUNTIF(Data!B:B, A539)))-(CO"&amp;"UNTIF(FILTER(Data!N:N,Data!B:B=A539),""NONE""))),IF(ISBLANK(A539),"""",0))"),"")</f>
        <v/>
      </c>
      <c r="T539" s="56" t="str">
        <f>IFERROR(__xludf.DUMMYFUNCTION("IFERROR((COUNTIF(FILTER(Data!N:N, Data!B:B=A539),""LOW"")) / (COUNTIF(Data!B:B, A539)),"""")"),"")</f>
        <v/>
      </c>
      <c r="U539" s="59" t="str">
        <f>IFERROR(__xludf.DUMMYFUNCTION("IFERROR((COUNTIF(FILTER(Data!N:N, Data!B:B=A539),""MIDDLE"")) / (COUNTIF(Data!B:B, A539)),"""")"),"")</f>
        <v/>
      </c>
      <c r="V539" s="59" t="str">
        <f>IFERROR(__xludf.DUMMYFUNCTION("IFERROR((COUNTIF(FILTER(Data!N:N, Data!B:B=A539),""HIGH"")) / (COUNTIF(Data!B:B, A539)),"""")"),"")</f>
        <v/>
      </c>
      <c r="W539" s="59" t="str">
        <f>IFERROR(__xludf.DUMMYFUNCTION("IFERROR((COUNTIF(FILTER(Data!N:N, Data!B:B=A539),""TRAVERSE"")) / (COUNTIF(Data!B:B, A539)),"""")"),"")</f>
        <v/>
      </c>
      <c r="X539" s="59"/>
      <c r="Y539" s="45" t="str">
        <f t="shared" si="7"/>
        <v/>
      </c>
      <c r="Z539" s="45" t="str">
        <f t="shared" si="8"/>
        <v/>
      </c>
      <c r="AA539" s="16" t="str">
        <f t="shared" si="9"/>
        <v/>
      </c>
      <c r="AB539" s="16"/>
      <c r="AC539" s="16"/>
      <c r="AD539" s="16"/>
      <c r="AE539" s="16" t="str">
        <f t="shared" si="12"/>
        <v/>
      </c>
      <c r="AF539" s="16" t="str">
        <f t="shared" si="13"/>
        <v/>
      </c>
      <c r="AG539" s="44"/>
      <c r="AH539" s="44"/>
      <c r="AI539" s="44" t="str">
        <f>IFERROR(__xludf.DUMMYFUNCTION("TEXTJOIN("", "",TRUE, FILTER(Data!P:P, Data!B:B=A539))"),"")</f>
        <v/>
      </c>
      <c r="AM539" s="61"/>
      <c r="BC539" s="50"/>
    </row>
    <row r="540">
      <c r="A540" s="14"/>
      <c r="B540" s="55" t="str">
        <f>IFERROR(__xludf.DUMMYFUNCTION("IFERROR(ROUND(
(COUNTIF(FILTER(Data!O:O, Data!B:B=A540), ""Win"")
+ COUNTIF(FILTER(Data!O:O, Data!B:B=A540), {""Tie"",""Results""}))
/ (COUNTIF(Data!B:B, A540)),
1),"""")"),"")</f>
        <v/>
      </c>
      <c r="C540" s="45" t="str">
        <f>IFERROR((SUMIF(Data!B:B, A540, Data!H:H)
/ (COUNTIF(Data!B:B, A540)
)),"")</f>
        <v/>
      </c>
      <c r="D540" s="45" t="str">
        <f>IFERROR((SUMIF(Data!B:B, A540, Data!G:G)
/ (COUNTIF(Data!B:B, A540)
)),"")</f>
        <v/>
      </c>
      <c r="E540" s="45"/>
      <c r="F540" s="45" t="str">
        <f>IFERROR((SUMIF(Data!B:B, A540, Data!J:J)
/ (COUNTIF(Data!B:B, A540)
)),"")</f>
        <v/>
      </c>
      <c r="G540" s="56" t="str">
        <f>IF(A540="","",IFERROR((((((SUMIF(Data!B:B, A540, Data!H:H)+(SUMIF(Data!B:B, A540,Data!G:G)))/(SUMIF(Data!B:B, A540, Data!J:J)))))),0))</f>
        <v/>
      </c>
      <c r="H540" s="45"/>
      <c r="I540" s="45"/>
      <c r="J540" s="45"/>
      <c r="K540" s="45"/>
      <c r="L540" s="45" t="str">
        <f>IFERROR((SUMIF(Data!B:B, A540, Data!L:L)
/ (COUNTIF(Data!B:B, A540)
)),"")</f>
        <v/>
      </c>
      <c r="M540" s="45" t="str">
        <f>IFERROR((SUMIF(Data!B:B, A540, Data!K:K)
/ (COUNTIF(Data!B:B, A540)
)),"")</f>
        <v/>
      </c>
      <c r="N540" s="56"/>
      <c r="O540" s="56" t="str">
        <f>IF(A540="","",IFERROR((((((SUMIF(Data!B:B, A540, Data!H:H)+(SUMIF(Data!B:B, A540,Data!G:G)+(SUMIF(Data!B:B, A540,Data!L:L)+(SUMIF(Data!B:B, A540,Data!K:K)))))/(SUMIF(Data!B:B, A540, Data!M:M)+(SUMIF(Data!B:B, A540, Data!H:H)+(SUMIF(Data!B:B, A540,Data!G:G)+(SUMIF(Data!B:B, A540,Data!K:K)+(SUMIF(Data!B:B, A540,Data!L:L)))))))))),0))</f>
        <v/>
      </c>
      <c r="P540" s="57" t="str">
        <f>IFERROR(__xludf.DUMMYFUNCTION("IFERROR(((COUNTIF(FILTER(Data!N:N,Data!B:B=A540),""TRAVERSE"")*15)+(COUNTIF(FILTER(Data!N:N,Data!B:B=A540),""HIGH"")*10)+(COUNTIF(FILTER(Data!N:N,Data!B:B=A540),""MIDDLE"")*6)+(COUNTIF(FILTER(Data!N:N,Data!B:B=A540),""LOW"")*4)) / (COUNTIF(Data!B:B, A540)"&amp;"),"""")"),"")</f>
        <v/>
      </c>
      <c r="Q540" s="58"/>
      <c r="R540" s="58"/>
      <c r="S540" s="58" t="str">
        <f>IFERROR(__xludf.DUMMYFUNCTION("IFERROR((((COUNTIF(FILTER(Data!N:N,Data!B:B=A540),""TRAVERSE""))+(COUNTIF(FILTER(Data!N:N,Data!B:B=A540),""HIGH""))+(COUNTIF(FILTER(Data!N:N,Data!B:B=A540),""MIDDLE""))+(COUNTIF(FILTER(Data!N:N,Data!B:B=A540),""LOW"")))) / (((COUNTIF(Data!B:B, A540)))-(CO"&amp;"UNTIF(FILTER(Data!N:N,Data!B:B=A540),""NONE""))),IF(ISBLANK(A540),"""",0))"),"")</f>
        <v/>
      </c>
      <c r="T540" s="56" t="str">
        <f>IFERROR(__xludf.DUMMYFUNCTION("IFERROR((COUNTIF(FILTER(Data!N:N, Data!B:B=A540),""LOW"")) / (COUNTIF(Data!B:B, A540)),"""")"),"")</f>
        <v/>
      </c>
      <c r="U540" s="59" t="str">
        <f>IFERROR(__xludf.DUMMYFUNCTION("IFERROR((COUNTIF(FILTER(Data!N:N, Data!B:B=A540),""MIDDLE"")) / (COUNTIF(Data!B:B, A540)),"""")"),"")</f>
        <v/>
      </c>
      <c r="V540" s="59" t="str">
        <f>IFERROR(__xludf.DUMMYFUNCTION("IFERROR((COUNTIF(FILTER(Data!N:N, Data!B:B=A540),""HIGH"")) / (COUNTIF(Data!B:B, A540)),"""")"),"")</f>
        <v/>
      </c>
      <c r="W540" s="59" t="str">
        <f>IFERROR(__xludf.DUMMYFUNCTION("IFERROR((COUNTIF(FILTER(Data!N:N, Data!B:B=A540),""TRAVERSE"")) / (COUNTIF(Data!B:B, A540)),"""")"),"")</f>
        <v/>
      </c>
      <c r="X540" s="59"/>
      <c r="Y540" s="45" t="str">
        <f t="shared" si="7"/>
        <v/>
      </c>
      <c r="Z540" s="45" t="str">
        <f t="shared" si="8"/>
        <v/>
      </c>
      <c r="AA540" s="16" t="str">
        <f t="shared" si="9"/>
        <v/>
      </c>
      <c r="AB540" s="16"/>
      <c r="AC540" s="16"/>
      <c r="AD540" s="16"/>
      <c r="AE540" s="16" t="str">
        <f t="shared" si="12"/>
        <v/>
      </c>
      <c r="AF540" s="16" t="str">
        <f t="shared" si="13"/>
        <v/>
      </c>
      <c r="AG540" s="44"/>
      <c r="AH540" s="44"/>
      <c r="AI540" s="44" t="str">
        <f>IFERROR(__xludf.DUMMYFUNCTION("TEXTJOIN("", "",TRUE, FILTER(Data!P:P, Data!B:B=A540))"),"")</f>
        <v/>
      </c>
      <c r="AM540" s="61"/>
      <c r="BC540" s="50"/>
    </row>
    <row r="541">
      <c r="A541" s="14"/>
      <c r="B541" s="55" t="str">
        <f>IFERROR(__xludf.DUMMYFUNCTION("IFERROR(ROUND(
(COUNTIF(FILTER(Data!O:O, Data!B:B=A541), ""Win"")
+ COUNTIF(FILTER(Data!O:O, Data!B:B=A541), {""Tie"",""Results""}))
/ (COUNTIF(Data!B:B, A541)),
1),"""")"),"")</f>
        <v/>
      </c>
      <c r="C541" s="45" t="str">
        <f>IFERROR((SUMIF(Data!B:B, A541, Data!H:H)
/ (COUNTIF(Data!B:B, A541)
)),"")</f>
        <v/>
      </c>
      <c r="D541" s="45" t="str">
        <f>IFERROR((SUMIF(Data!B:B, A541, Data!G:G)
/ (COUNTIF(Data!B:B, A541)
)),"")</f>
        <v/>
      </c>
      <c r="E541" s="45"/>
      <c r="F541" s="45" t="str">
        <f>IFERROR((SUMIF(Data!B:B, A541, Data!J:J)
/ (COUNTIF(Data!B:B, A541)
)),"")</f>
        <v/>
      </c>
      <c r="G541" s="56" t="str">
        <f>IF(A541="","",IFERROR((((((SUMIF(Data!B:B, A541, Data!H:H)+(SUMIF(Data!B:B, A541,Data!G:G)))/(SUMIF(Data!B:B, A541, Data!J:J)))))),0))</f>
        <v/>
      </c>
      <c r="H541" s="45"/>
      <c r="I541" s="45"/>
      <c r="J541" s="45"/>
      <c r="K541" s="45"/>
      <c r="L541" s="45" t="str">
        <f>IFERROR((SUMIF(Data!B:B, A541, Data!L:L)
/ (COUNTIF(Data!B:B, A541)
)),"")</f>
        <v/>
      </c>
      <c r="M541" s="45" t="str">
        <f>IFERROR((SUMIF(Data!B:B, A541, Data!K:K)
/ (COUNTIF(Data!B:B, A541)
)),"")</f>
        <v/>
      </c>
      <c r="N541" s="56"/>
      <c r="O541" s="56" t="str">
        <f>IF(A541="","",IFERROR((((((SUMIF(Data!B:B, A541, Data!H:H)+(SUMIF(Data!B:B, A541,Data!G:G)+(SUMIF(Data!B:B, A541,Data!L:L)+(SUMIF(Data!B:B, A541,Data!K:K)))))/(SUMIF(Data!B:B, A541, Data!M:M)+(SUMIF(Data!B:B, A541, Data!H:H)+(SUMIF(Data!B:B, A541,Data!G:G)+(SUMIF(Data!B:B, A541,Data!K:K)+(SUMIF(Data!B:B, A541,Data!L:L)))))))))),0))</f>
        <v/>
      </c>
      <c r="P541" s="57" t="str">
        <f>IFERROR(__xludf.DUMMYFUNCTION("IFERROR(((COUNTIF(FILTER(Data!N:N,Data!B:B=A541),""TRAVERSE"")*15)+(COUNTIF(FILTER(Data!N:N,Data!B:B=A541),""HIGH"")*10)+(COUNTIF(FILTER(Data!N:N,Data!B:B=A541),""MIDDLE"")*6)+(COUNTIF(FILTER(Data!N:N,Data!B:B=A541),""LOW"")*4)) / (COUNTIF(Data!B:B, A541)"&amp;"),"""")"),"")</f>
        <v/>
      </c>
      <c r="Q541" s="58"/>
      <c r="R541" s="58"/>
      <c r="S541" s="58" t="str">
        <f>IFERROR(__xludf.DUMMYFUNCTION("IFERROR((((COUNTIF(FILTER(Data!N:N,Data!B:B=A541),""TRAVERSE""))+(COUNTIF(FILTER(Data!N:N,Data!B:B=A541),""HIGH""))+(COUNTIF(FILTER(Data!N:N,Data!B:B=A541),""MIDDLE""))+(COUNTIF(FILTER(Data!N:N,Data!B:B=A541),""LOW"")))) / (((COUNTIF(Data!B:B, A541)))-(CO"&amp;"UNTIF(FILTER(Data!N:N,Data!B:B=A541),""NONE""))),IF(ISBLANK(A541),"""",0))"),"")</f>
        <v/>
      </c>
      <c r="T541" s="56" t="str">
        <f>IFERROR(__xludf.DUMMYFUNCTION("IFERROR((COUNTIF(FILTER(Data!N:N, Data!B:B=A541),""LOW"")) / (COUNTIF(Data!B:B, A541)),"""")"),"")</f>
        <v/>
      </c>
      <c r="U541" s="59" t="str">
        <f>IFERROR(__xludf.DUMMYFUNCTION("IFERROR((COUNTIF(FILTER(Data!N:N, Data!B:B=A541),""MIDDLE"")) / (COUNTIF(Data!B:B, A541)),"""")"),"")</f>
        <v/>
      </c>
      <c r="V541" s="59" t="str">
        <f>IFERROR(__xludf.DUMMYFUNCTION("IFERROR((COUNTIF(FILTER(Data!N:N, Data!B:B=A541),""HIGH"")) / (COUNTIF(Data!B:B, A541)),"""")"),"")</f>
        <v/>
      </c>
      <c r="W541" s="59" t="str">
        <f>IFERROR(__xludf.DUMMYFUNCTION("IFERROR((COUNTIF(FILTER(Data!N:N, Data!B:B=A541),""TRAVERSE"")) / (COUNTIF(Data!B:B, A541)),"""")"),"")</f>
        <v/>
      </c>
      <c r="X541" s="59"/>
      <c r="Y541" s="45" t="str">
        <f t="shared" si="7"/>
        <v/>
      </c>
      <c r="Z541" s="45" t="str">
        <f t="shared" si="8"/>
        <v/>
      </c>
      <c r="AA541" s="16" t="str">
        <f t="shared" si="9"/>
        <v/>
      </c>
      <c r="AB541" s="16"/>
      <c r="AC541" s="16"/>
      <c r="AD541" s="16"/>
      <c r="AE541" s="16" t="str">
        <f t="shared" si="12"/>
        <v/>
      </c>
      <c r="AF541" s="16" t="str">
        <f t="shared" si="13"/>
        <v/>
      </c>
      <c r="AG541" s="44"/>
      <c r="AH541" s="44"/>
      <c r="AI541" s="44" t="str">
        <f>IFERROR(__xludf.DUMMYFUNCTION("TEXTJOIN("", "",TRUE, FILTER(Data!P:P, Data!B:B=A541))"),"")</f>
        <v/>
      </c>
      <c r="AM541" s="61"/>
      <c r="BC541" s="50"/>
    </row>
    <row r="542">
      <c r="A542" s="14"/>
      <c r="B542" s="55" t="str">
        <f>IFERROR(__xludf.DUMMYFUNCTION("IFERROR(ROUND(
(COUNTIF(FILTER(Data!O:O, Data!B:B=A542), ""Win"")
+ COUNTIF(FILTER(Data!O:O, Data!B:B=A542), {""Tie"",""Results""}))
/ (COUNTIF(Data!B:B, A542)),
1),"""")"),"")</f>
        <v/>
      </c>
      <c r="C542" s="45" t="str">
        <f>IFERROR((SUMIF(Data!B:B, A542, Data!H:H)
/ (COUNTIF(Data!B:B, A542)
)),"")</f>
        <v/>
      </c>
      <c r="D542" s="45" t="str">
        <f>IFERROR((SUMIF(Data!B:B, A542, Data!G:G)
/ (COUNTIF(Data!B:B, A542)
)),"")</f>
        <v/>
      </c>
      <c r="E542" s="45"/>
      <c r="F542" s="45" t="str">
        <f>IFERROR((SUMIF(Data!B:B, A542, Data!J:J)
/ (COUNTIF(Data!B:B, A542)
)),"")</f>
        <v/>
      </c>
      <c r="G542" s="56" t="str">
        <f>IF(A542="","",IFERROR((((((SUMIF(Data!B:B, A542, Data!H:H)+(SUMIF(Data!B:B, A542,Data!G:G)))/(SUMIF(Data!B:B, A542, Data!J:J)))))),0))</f>
        <v/>
      </c>
      <c r="H542" s="45"/>
      <c r="I542" s="45"/>
      <c r="J542" s="45"/>
      <c r="K542" s="45"/>
      <c r="L542" s="45" t="str">
        <f>IFERROR((SUMIF(Data!B:B, A542, Data!L:L)
/ (COUNTIF(Data!B:B, A542)
)),"")</f>
        <v/>
      </c>
      <c r="M542" s="45" t="str">
        <f>IFERROR((SUMIF(Data!B:B, A542, Data!K:K)
/ (COUNTIF(Data!B:B, A542)
)),"")</f>
        <v/>
      </c>
      <c r="N542" s="56"/>
      <c r="O542" s="56" t="str">
        <f>IF(A542="","",IFERROR((((((SUMIF(Data!B:B, A542, Data!H:H)+(SUMIF(Data!B:B, A542,Data!G:G)+(SUMIF(Data!B:B, A542,Data!L:L)+(SUMIF(Data!B:B, A542,Data!K:K)))))/(SUMIF(Data!B:B, A542, Data!M:M)+(SUMIF(Data!B:B, A542, Data!H:H)+(SUMIF(Data!B:B, A542,Data!G:G)+(SUMIF(Data!B:B, A542,Data!K:K)+(SUMIF(Data!B:B, A542,Data!L:L)))))))))),0))</f>
        <v/>
      </c>
      <c r="P542" s="57" t="str">
        <f>IFERROR(__xludf.DUMMYFUNCTION("IFERROR(((COUNTIF(FILTER(Data!N:N,Data!B:B=A542),""TRAVERSE"")*15)+(COUNTIF(FILTER(Data!N:N,Data!B:B=A542),""HIGH"")*10)+(COUNTIF(FILTER(Data!N:N,Data!B:B=A542),""MIDDLE"")*6)+(COUNTIF(FILTER(Data!N:N,Data!B:B=A542),""LOW"")*4)) / (COUNTIF(Data!B:B, A542)"&amp;"),"""")"),"")</f>
        <v/>
      </c>
      <c r="Q542" s="58"/>
      <c r="R542" s="58"/>
      <c r="S542" s="58" t="str">
        <f>IFERROR(__xludf.DUMMYFUNCTION("IFERROR((((COUNTIF(FILTER(Data!N:N,Data!B:B=A542),""TRAVERSE""))+(COUNTIF(FILTER(Data!N:N,Data!B:B=A542),""HIGH""))+(COUNTIF(FILTER(Data!N:N,Data!B:B=A542),""MIDDLE""))+(COUNTIF(FILTER(Data!N:N,Data!B:B=A542),""LOW"")))) / (((COUNTIF(Data!B:B, A542)))-(CO"&amp;"UNTIF(FILTER(Data!N:N,Data!B:B=A542),""NONE""))),IF(ISBLANK(A542),"""",0))"),"")</f>
        <v/>
      </c>
      <c r="T542" s="56" t="str">
        <f>IFERROR(__xludf.DUMMYFUNCTION("IFERROR((COUNTIF(FILTER(Data!N:N, Data!B:B=A542),""LOW"")) / (COUNTIF(Data!B:B, A542)),"""")"),"")</f>
        <v/>
      </c>
      <c r="U542" s="59" t="str">
        <f>IFERROR(__xludf.DUMMYFUNCTION("IFERROR((COUNTIF(FILTER(Data!N:N, Data!B:B=A542),""MIDDLE"")) / (COUNTIF(Data!B:B, A542)),"""")"),"")</f>
        <v/>
      </c>
      <c r="V542" s="59" t="str">
        <f>IFERROR(__xludf.DUMMYFUNCTION("IFERROR((COUNTIF(FILTER(Data!N:N, Data!B:B=A542),""HIGH"")) / (COUNTIF(Data!B:B, A542)),"""")"),"")</f>
        <v/>
      </c>
      <c r="W542" s="59" t="str">
        <f>IFERROR(__xludf.DUMMYFUNCTION("IFERROR((COUNTIF(FILTER(Data!N:N, Data!B:B=A542),""TRAVERSE"")) / (COUNTIF(Data!B:B, A542)),"""")"),"")</f>
        <v/>
      </c>
      <c r="X542" s="59"/>
      <c r="Y542" s="45" t="str">
        <f t="shared" si="7"/>
        <v/>
      </c>
      <c r="Z542" s="45" t="str">
        <f t="shared" si="8"/>
        <v/>
      </c>
      <c r="AA542" s="16" t="str">
        <f t="shared" si="9"/>
        <v/>
      </c>
      <c r="AB542" s="16"/>
      <c r="AC542" s="16"/>
      <c r="AD542" s="16"/>
      <c r="AE542" s="16" t="str">
        <f t="shared" si="12"/>
        <v/>
      </c>
      <c r="AF542" s="16" t="str">
        <f t="shared" si="13"/>
        <v/>
      </c>
      <c r="AG542" s="44"/>
      <c r="AH542" s="44"/>
      <c r="AI542" s="44" t="str">
        <f>IFERROR(__xludf.DUMMYFUNCTION("TEXTJOIN("", "",TRUE, FILTER(Data!P:P, Data!B:B=A542))"),"")</f>
        <v/>
      </c>
      <c r="AM542" s="61"/>
      <c r="BC542" s="50"/>
    </row>
    <row r="543">
      <c r="A543" s="14"/>
      <c r="B543" s="55" t="str">
        <f>IFERROR(__xludf.DUMMYFUNCTION("IFERROR(ROUND(
(COUNTIF(FILTER(Data!O:O, Data!B:B=A543), ""Win"")
+ COUNTIF(FILTER(Data!O:O, Data!B:B=A543), {""Tie"",""Results""}))
/ (COUNTIF(Data!B:B, A543)),
1),"""")"),"")</f>
        <v/>
      </c>
      <c r="C543" s="45" t="str">
        <f>IFERROR((SUMIF(Data!B:B, A543, Data!H:H)
/ (COUNTIF(Data!B:B, A543)
)),"")</f>
        <v/>
      </c>
      <c r="D543" s="45" t="str">
        <f>IFERROR((SUMIF(Data!B:B, A543, Data!G:G)
/ (COUNTIF(Data!B:B, A543)
)),"")</f>
        <v/>
      </c>
      <c r="E543" s="45"/>
      <c r="F543" s="45" t="str">
        <f>IFERROR((SUMIF(Data!B:B, A543, Data!J:J)
/ (COUNTIF(Data!B:B, A543)
)),"")</f>
        <v/>
      </c>
      <c r="G543" s="56" t="str">
        <f>IF(A543="","",IFERROR((((((SUMIF(Data!B:B, A543, Data!H:H)+(SUMIF(Data!B:B, A543,Data!G:G)))/(SUMIF(Data!B:B, A543, Data!J:J)))))),0))</f>
        <v/>
      </c>
      <c r="H543" s="45"/>
      <c r="I543" s="45"/>
      <c r="J543" s="45"/>
      <c r="K543" s="45"/>
      <c r="L543" s="45" t="str">
        <f>IFERROR((SUMIF(Data!B:B, A543, Data!L:L)
/ (COUNTIF(Data!B:B, A543)
)),"")</f>
        <v/>
      </c>
      <c r="M543" s="45" t="str">
        <f>IFERROR((SUMIF(Data!B:B, A543, Data!K:K)
/ (COUNTIF(Data!B:B, A543)
)),"")</f>
        <v/>
      </c>
      <c r="N543" s="56"/>
      <c r="O543" s="56" t="str">
        <f>IF(A543="","",IFERROR((((((SUMIF(Data!B:B, A543, Data!H:H)+(SUMIF(Data!B:B, A543,Data!G:G)+(SUMIF(Data!B:B, A543,Data!L:L)+(SUMIF(Data!B:B, A543,Data!K:K)))))/(SUMIF(Data!B:B, A543, Data!M:M)+(SUMIF(Data!B:B, A543, Data!H:H)+(SUMIF(Data!B:B, A543,Data!G:G)+(SUMIF(Data!B:B, A543,Data!K:K)+(SUMIF(Data!B:B, A543,Data!L:L)))))))))),0))</f>
        <v/>
      </c>
      <c r="P543" s="57" t="str">
        <f>IFERROR(__xludf.DUMMYFUNCTION("IFERROR(((COUNTIF(FILTER(Data!N:N,Data!B:B=A543),""TRAVERSE"")*15)+(COUNTIF(FILTER(Data!N:N,Data!B:B=A543),""HIGH"")*10)+(COUNTIF(FILTER(Data!N:N,Data!B:B=A543),""MIDDLE"")*6)+(COUNTIF(FILTER(Data!N:N,Data!B:B=A543),""LOW"")*4)) / (COUNTIF(Data!B:B, A543)"&amp;"),"""")"),"")</f>
        <v/>
      </c>
      <c r="Q543" s="58"/>
      <c r="R543" s="58"/>
      <c r="S543" s="58" t="str">
        <f>IFERROR(__xludf.DUMMYFUNCTION("IFERROR((((COUNTIF(FILTER(Data!N:N,Data!B:B=A543),""TRAVERSE""))+(COUNTIF(FILTER(Data!N:N,Data!B:B=A543),""HIGH""))+(COUNTIF(FILTER(Data!N:N,Data!B:B=A543),""MIDDLE""))+(COUNTIF(FILTER(Data!N:N,Data!B:B=A543),""LOW"")))) / (((COUNTIF(Data!B:B, A543)))-(CO"&amp;"UNTIF(FILTER(Data!N:N,Data!B:B=A543),""NONE""))),IF(ISBLANK(A543),"""",0))"),"")</f>
        <v/>
      </c>
      <c r="T543" s="56" t="str">
        <f>IFERROR(__xludf.DUMMYFUNCTION("IFERROR((COUNTIF(FILTER(Data!N:N, Data!B:B=A543),""LOW"")) / (COUNTIF(Data!B:B, A543)),"""")"),"")</f>
        <v/>
      </c>
      <c r="U543" s="59" t="str">
        <f>IFERROR(__xludf.DUMMYFUNCTION("IFERROR((COUNTIF(FILTER(Data!N:N, Data!B:B=A543),""MIDDLE"")) / (COUNTIF(Data!B:B, A543)),"""")"),"")</f>
        <v/>
      </c>
      <c r="V543" s="59" t="str">
        <f>IFERROR(__xludf.DUMMYFUNCTION("IFERROR((COUNTIF(FILTER(Data!N:N, Data!B:B=A543),""HIGH"")) / (COUNTIF(Data!B:B, A543)),"""")"),"")</f>
        <v/>
      </c>
      <c r="W543" s="59" t="str">
        <f>IFERROR(__xludf.DUMMYFUNCTION("IFERROR((COUNTIF(FILTER(Data!N:N, Data!B:B=A543),""TRAVERSE"")) / (COUNTIF(Data!B:B, A543)),"""")"),"")</f>
        <v/>
      </c>
      <c r="X543" s="59"/>
      <c r="Y543" s="45" t="str">
        <f t="shared" si="7"/>
        <v/>
      </c>
      <c r="Z543" s="45" t="str">
        <f t="shared" si="8"/>
        <v/>
      </c>
      <c r="AA543" s="16" t="str">
        <f t="shared" si="9"/>
        <v/>
      </c>
      <c r="AB543" s="16"/>
      <c r="AC543" s="16"/>
      <c r="AD543" s="16"/>
      <c r="AE543" s="16" t="str">
        <f t="shared" si="12"/>
        <v/>
      </c>
      <c r="AF543" s="16" t="str">
        <f t="shared" si="13"/>
        <v/>
      </c>
      <c r="AG543" s="44"/>
      <c r="AH543" s="44"/>
      <c r="AI543" s="44" t="str">
        <f>IFERROR(__xludf.DUMMYFUNCTION("TEXTJOIN("", "",TRUE, FILTER(Data!P:P, Data!B:B=A543))"),"")</f>
        <v/>
      </c>
      <c r="AM543" s="61"/>
      <c r="BC543" s="50"/>
    </row>
    <row r="544">
      <c r="A544" s="14"/>
      <c r="B544" s="55" t="str">
        <f>IFERROR(__xludf.DUMMYFUNCTION("IFERROR(ROUND(
(COUNTIF(FILTER(Data!O:O, Data!B:B=A544), ""Win"")
+ COUNTIF(FILTER(Data!O:O, Data!B:B=A544), {""Tie"",""Results""}))
/ (COUNTIF(Data!B:B, A544)),
1),"""")"),"")</f>
        <v/>
      </c>
      <c r="C544" s="45" t="str">
        <f>IFERROR((SUMIF(Data!B:B, A544, Data!H:H)
/ (COUNTIF(Data!B:B, A544)
)),"")</f>
        <v/>
      </c>
      <c r="D544" s="45" t="str">
        <f>IFERROR((SUMIF(Data!B:B, A544, Data!G:G)
/ (COUNTIF(Data!B:B, A544)
)),"")</f>
        <v/>
      </c>
      <c r="E544" s="45"/>
      <c r="F544" s="45" t="str">
        <f>IFERROR((SUMIF(Data!B:B, A544, Data!J:J)
/ (COUNTIF(Data!B:B, A544)
)),"")</f>
        <v/>
      </c>
      <c r="G544" s="56" t="str">
        <f>IF(A544="","",IFERROR((((((SUMIF(Data!B:B, A544, Data!H:H)+(SUMIF(Data!B:B, A544,Data!G:G)))/(SUMIF(Data!B:B, A544, Data!J:J)))))),0))</f>
        <v/>
      </c>
      <c r="H544" s="45"/>
      <c r="I544" s="45"/>
      <c r="J544" s="45"/>
      <c r="K544" s="45"/>
      <c r="L544" s="45" t="str">
        <f>IFERROR((SUMIF(Data!B:B, A544, Data!L:L)
/ (COUNTIF(Data!B:B, A544)
)),"")</f>
        <v/>
      </c>
      <c r="M544" s="45" t="str">
        <f>IFERROR((SUMIF(Data!B:B, A544, Data!K:K)
/ (COUNTIF(Data!B:B, A544)
)),"")</f>
        <v/>
      </c>
      <c r="N544" s="56"/>
      <c r="O544" s="56" t="str">
        <f>IF(A544="","",IFERROR((((((SUMIF(Data!B:B, A544, Data!H:H)+(SUMIF(Data!B:B, A544,Data!G:G)+(SUMIF(Data!B:B, A544,Data!L:L)+(SUMIF(Data!B:B, A544,Data!K:K)))))/(SUMIF(Data!B:B, A544, Data!M:M)+(SUMIF(Data!B:B, A544, Data!H:H)+(SUMIF(Data!B:B, A544,Data!G:G)+(SUMIF(Data!B:B, A544,Data!K:K)+(SUMIF(Data!B:B, A544,Data!L:L)))))))))),0))</f>
        <v/>
      </c>
      <c r="P544" s="57" t="str">
        <f>IFERROR(__xludf.DUMMYFUNCTION("IFERROR(((COUNTIF(FILTER(Data!N:N,Data!B:B=A544),""TRAVERSE"")*15)+(COUNTIF(FILTER(Data!N:N,Data!B:B=A544),""HIGH"")*10)+(COUNTIF(FILTER(Data!N:N,Data!B:B=A544),""MIDDLE"")*6)+(COUNTIF(FILTER(Data!N:N,Data!B:B=A544),""LOW"")*4)) / (COUNTIF(Data!B:B, A544)"&amp;"),"""")"),"")</f>
        <v/>
      </c>
      <c r="Q544" s="58"/>
      <c r="R544" s="58"/>
      <c r="S544" s="58" t="str">
        <f>IFERROR(__xludf.DUMMYFUNCTION("IFERROR((((COUNTIF(FILTER(Data!N:N,Data!B:B=A544),""TRAVERSE""))+(COUNTIF(FILTER(Data!N:N,Data!B:B=A544),""HIGH""))+(COUNTIF(FILTER(Data!N:N,Data!B:B=A544),""MIDDLE""))+(COUNTIF(FILTER(Data!N:N,Data!B:B=A544),""LOW"")))) / (((COUNTIF(Data!B:B, A544)))-(CO"&amp;"UNTIF(FILTER(Data!N:N,Data!B:B=A544),""NONE""))),IF(ISBLANK(A544),"""",0))"),"")</f>
        <v/>
      </c>
      <c r="T544" s="56" t="str">
        <f>IFERROR(__xludf.DUMMYFUNCTION("IFERROR((COUNTIF(FILTER(Data!N:N, Data!B:B=A544),""LOW"")) / (COUNTIF(Data!B:B, A544)),"""")"),"")</f>
        <v/>
      </c>
      <c r="U544" s="59" t="str">
        <f>IFERROR(__xludf.DUMMYFUNCTION("IFERROR((COUNTIF(FILTER(Data!N:N, Data!B:B=A544),""MIDDLE"")) / (COUNTIF(Data!B:B, A544)),"""")"),"")</f>
        <v/>
      </c>
      <c r="V544" s="59" t="str">
        <f>IFERROR(__xludf.DUMMYFUNCTION("IFERROR((COUNTIF(FILTER(Data!N:N, Data!B:B=A544),""HIGH"")) / (COUNTIF(Data!B:B, A544)),"""")"),"")</f>
        <v/>
      </c>
      <c r="W544" s="59" t="str">
        <f>IFERROR(__xludf.DUMMYFUNCTION("IFERROR((COUNTIF(FILTER(Data!N:N, Data!B:B=A544),""TRAVERSE"")) / (COUNTIF(Data!B:B, A544)),"""")"),"")</f>
        <v/>
      </c>
      <c r="X544" s="59"/>
      <c r="Y544" s="45" t="str">
        <f t="shared" si="7"/>
        <v/>
      </c>
      <c r="Z544" s="45" t="str">
        <f t="shared" si="8"/>
        <v/>
      </c>
      <c r="AA544" s="16" t="str">
        <f t="shared" si="9"/>
        <v/>
      </c>
      <c r="AB544" s="16"/>
      <c r="AC544" s="16"/>
      <c r="AD544" s="16"/>
      <c r="AE544" s="16" t="str">
        <f t="shared" si="12"/>
        <v/>
      </c>
      <c r="AF544" s="16" t="str">
        <f t="shared" si="13"/>
        <v/>
      </c>
      <c r="AG544" s="44"/>
      <c r="AH544" s="44"/>
      <c r="AI544" s="44" t="str">
        <f>IFERROR(__xludf.DUMMYFUNCTION("TEXTJOIN("", "",TRUE, FILTER(Data!P:P, Data!B:B=A544))"),"")</f>
        <v/>
      </c>
      <c r="AM544" s="61"/>
      <c r="BC544" s="50"/>
    </row>
    <row r="545">
      <c r="A545" s="14"/>
      <c r="B545" s="55" t="str">
        <f>IFERROR(__xludf.DUMMYFUNCTION("IFERROR(ROUND(
(COUNTIF(FILTER(Data!O:O, Data!B:B=A545), ""Win"")
+ COUNTIF(FILTER(Data!O:O, Data!B:B=A545), {""Tie"",""Results""}))
/ (COUNTIF(Data!B:B, A545)),
1),"""")"),"")</f>
        <v/>
      </c>
      <c r="C545" s="45" t="str">
        <f>IFERROR((SUMIF(Data!B:B, A545, Data!H:H)
/ (COUNTIF(Data!B:B, A545)
)),"")</f>
        <v/>
      </c>
      <c r="D545" s="45" t="str">
        <f>IFERROR((SUMIF(Data!B:B, A545, Data!G:G)
/ (COUNTIF(Data!B:B, A545)
)),"")</f>
        <v/>
      </c>
      <c r="E545" s="45"/>
      <c r="F545" s="45" t="str">
        <f>IFERROR((SUMIF(Data!B:B, A545, Data!J:J)
/ (COUNTIF(Data!B:B, A545)
)),"")</f>
        <v/>
      </c>
      <c r="G545" s="56" t="str">
        <f>IF(A545="","",IFERROR((((((SUMIF(Data!B:B, A545, Data!H:H)+(SUMIF(Data!B:B, A545,Data!G:G)))/(SUMIF(Data!B:B, A545, Data!J:J)))))),0))</f>
        <v/>
      </c>
      <c r="H545" s="45"/>
      <c r="I545" s="45"/>
      <c r="J545" s="45"/>
      <c r="K545" s="45"/>
      <c r="L545" s="45" t="str">
        <f>IFERROR((SUMIF(Data!B:B, A545, Data!L:L)
/ (COUNTIF(Data!B:B, A545)
)),"")</f>
        <v/>
      </c>
      <c r="M545" s="45" t="str">
        <f>IFERROR((SUMIF(Data!B:B, A545, Data!K:K)
/ (COUNTIF(Data!B:B, A545)
)),"")</f>
        <v/>
      </c>
      <c r="N545" s="56"/>
      <c r="O545" s="56" t="str">
        <f>IF(A545="","",IFERROR((((((SUMIF(Data!B:B, A545, Data!H:H)+(SUMIF(Data!B:B, A545,Data!G:G)+(SUMIF(Data!B:B, A545,Data!L:L)+(SUMIF(Data!B:B, A545,Data!K:K)))))/(SUMIF(Data!B:B, A545, Data!M:M)+(SUMIF(Data!B:B, A545, Data!H:H)+(SUMIF(Data!B:B, A545,Data!G:G)+(SUMIF(Data!B:B, A545,Data!K:K)+(SUMIF(Data!B:B, A545,Data!L:L)))))))))),0))</f>
        <v/>
      </c>
      <c r="P545" s="57" t="str">
        <f>IFERROR(__xludf.DUMMYFUNCTION("IFERROR(((COUNTIF(FILTER(Data!N:N,Data!B:B=A545),""TRAVERSE"")*15)+(COUNTIF(FILTER(Data!N:N,Data!B:B=A545),""HIGH"")*10)+(COUNTIF(FILTER(Data!N:N,Data!B:B=A545),""MIDDLE"")*6)+(COUNTIF(FILTER(Data!N:N,Data!B:B=A545),""LOW"")*4)) / (COUNTIF(Data!B:B, A545)"&amp;"),"""")"),"")</f>
        <v/>
      </c>
      <c r="Q545" s="58"/>
      <c r="R545" s="58"/>
      <c r="S545" s="58" t="str">
        <f>IFERROR(__xludf.DUMMYFUNCTION("IFERROR((((COUNTIF(FILTER(Data!N:N,Data!B:B=A545),""TRAVERSE""))+(COUNTIF(FILTER(Data!N:N,Data!B:B=A545),""HIGH""))+(COUNTIF(FILTER(Data!N:N,Data!B:B=A545),""MIDDLE""))+(COUNTIF(FILTER(Data!N:N,Data!B:B=A545),""LOW"")))) / (((COUNTIF(Data!B:B, A545)))-(CO"&amp;"UNTIF(FILTER(Data!N:N,Data!B:B=A545),""NONE""))),IF(ISBLANK(A545),"""",0))"),"")</f>
        <v/>
      </c>
      <c r="T545" s="56" t="str">
        <f>IFERROR(__xludf.DUMMYFUNCTION("IFERROR((COUNTIF(FILTER(Data!N:N, Data!B:B=A545),""LOW"")) / (COUNTIF(Data!B:B, A545)),"""")"),"")</f>
        <v/>
      </c>
      <c r="U545" s="59" t="str">
        <f>IFERROR(__xludf.DUMMYFUNCTION("IFERROR((COUNTIF(FILTER(Data!N:N, Data!B:B=A545),""MIDDLE"")) / (COUNTIF(Data!B:B, A545)),"""")"),"")</f>
        <v/>
      </c>
      <c r="V545" s="59" t="str">
        <f>IFERROR(__xludf.DUMMYFUNCTION("IFERROR((COUNTIF(FILTER(Data!N:N, Data!B:B=A545),""HIGH"")) / (COUNTIF(Data!B:B, A545)),"""")"),"")</f>
        <v/>
      </c>
      <c r="W545" s="59" t="str">
        <f>IFERROR(__xludf.DUMMYFUNCTION("IFERROR((COUNTIF(FILTER(Data!N:N, Data!B:B=A545),""TRAVERSE"")) / (COUNTIF(Data!B:B, A545)),"""")"),"")</f>
        <v/>
      </c>
      <c r="X545" s="59"/>
      <c r="Y545" s="45" t="str">
        <f t="shared" si="7"/>
        <v/>
      </c>
      <c r="Z545" s="45" t="str">
        <f t="shared" si="8"/>
        <v/>
      </c>
      <c r="AA545" s="16" t="str">
        <f t="shared" si="9"/>
        <v/>
      </c>
      <c r="AB545" s="16"/>
      <c r="AC545" s="16"/>
      <c r="AD545" s="16"/>
      <c r="AE545" s="16" t="str">
        <f t="shared" si="12"/>
        <v/>
      </c>
      <c r="AF545" s="16" t="str">
        <f t="shared" si="13"/>
        <v/>
      </c>
      <c r="AG545" s="44"/>
      <c r="AH545" s="44"/>
      <c r="AI545" s="44" t="str">
        <f>IFERROR(__xludf.DUMMYFUNCTION("TEXTJOIN("", "",TRUE, FILTER(Data!P:P, Data!B:B=A545))"),"")</f>
        <v/>
      </c>
      <c r="AM545" s="61"/>
      <c r="BC545" s="50"/>
    </row>
    <row r="546">
      <c r="A546" s="14"/>
      <c r="B546" s="55" t="str">
        <f>IFERROR(__xludf.DUMMYFUNCTION("IFERROR(ROUND(
(COUNTIF(FILTER(Data!O:O, Data!B:B=A546), ""Win"")
+ COUNTIF(FILTER(Data!O:O, Data!B:B=A546), {""Tie"",""Results""}))
/ (COUNTIF(Data!B:B, A546)),
1),"""")"),"")</f>
        <v/>
      </c>
      <c r="C546" s="45" t="str">
        <f>IFERROR((SUMIF(Data!B:B, A546, Data!H:H)
/ (COUNTIF(Data!B:B, A546)
)),"")</f>
        <v/>
      </c>
      <c r="D546" s="45" t="str">
        <f>IFERROR((SUMIF(Data!B:B, A546, Data!G:G)
/ (COUNTIF(Data!B:B, A546)
)),"")</f>
        <v/>
      </c>
      <c r="E546" s="45"/>
      <c r="F546" s="45" t="str">
        <f>IFERROR((SUMIF(Data!B:B, A546, Data!J:J)
/ (COUNTIF(Data!B:B, A546)
)),"")</f>
        <v/>
      </c>
      <c r="G546" s="56" t="str">
        <f>IF(A546="","",IFERROR((((((SUMIF(Data!B:B, A546, Data!H:H)+(SUMIF(Data!B:B, A546,Data!G:G)))/(SUMIF(Data!B:B, A546, Data!J:J)))))),0))</f>
        <v/>
      </c>
      <c r="H546" s="45"/>
      <c r="I546" s="45"/>
      <c r="J546" s="45"/>
      <c r="K546" s="45"/>
      <c r="L546" s="45" t="str">
        <f>IFERROR((SUMIF(Data!B:B, A546, Data!L:L)
/ (COUNTIF(Data!B:B, A546)
)),"")</f>
        <v/>
      </c>
      <c r="M546" s="45" t="str">
        <f>IFERROR((SUMIF(Data!B:B, A546, Data!K:K)
/ (COUNTIF(Data!B:B, A546)
)),"")</f>
        <v/>
      </c>
      <c r="N546" s="56"/>
      <c r="O546" s="56" t="str">
        <f>IF(A546="","",IFERROR((((((SUMIF(Data!B:B, A546, Data!H:H)+(SUMIF(Data!B:B, A546,Data!G:G)+(SUMIF(Data!B:B, A546,Data!L:L)+(SUMIF(Data!B:B, A546,Data!K:K)))))/(SUMIF(Data!B:B, A546, Data!M:M)+(SUMIF(Data!B:B, A546, Data!H:H)+(SUMIF(Data!B:B, A546,Data!G:G)+(SUMIF(Data!B:B, A546,Data!K:K)+(SUMIF(Data!B:B, A546,Data!L:L)))))))))),0))</f>
        <v/>
      </c>
      <c r="P546" s="57" t="str">
        <f>IFERROR(__xludf.DUMMYFUNCTION("IFERROR(((COUNTIF(FILTER(Data!N:N,Data!B:B=A546),""TRAVERSE"")*15)+(COUNTIF(FILTER(Data!N:N,Data!B:B=A546),""HIGH"")*10)+(COUNTIF(FILTER(Data!N:N,Data!B:B=A546),""MIDDLE"")*6)+(COUNTIF(FILTER(Data!N:N,Data!B:B=A546),""LOW"")*4)) / (COUNTIF(Data!B:B, A546)"&amp;"),"""")"),"")</f>
        <v/>
      </c>
      <c r="Q546" s="58"/>
      <c r="R546" s="58"/>
      <c r="S546" s="58" t="str">
        <f>IFERROR(__xludf.DUMMYFUNCTION("IFERROR((((COUNTIF(FILTER(Data!N:N,Data!B:B=A546),""TRAVERSE""))+(COUNTIF(FILTER(Data!N:N,Data!B:B=A546),""HIGH""))+(COUNTIF(FILTER(Data!N:N,Data!B:B=A546),""MIDDLE""))+(COUNTIF(FILTER(Data!N:N,Data!B:B=A546),""LOW"")))) / (((COUNTIF(Data!B:B, A546)))-(CO"&amp;"UNTIF(FILTER(Data!N:N,Data!B:B=A546),""NONE""))),IF(ISBLANK(A546),"""",0))"),"")</f>
        <v/>
      </c>
      <c r="T546" s="56" t="str">
        <f>IFERROR(__xludf.DUMMYFUNCTION("IFERROR((COUNTIF(FILTER(Data!N:N, Data!B:B=A546),""LOW"")) / (COUNTIF(Data!B:B, A546)),"""")"),"")</f>
        <v/>
      </c>
      <c r="U546" s="59" t="str">
        <f>IFERROR(__xludf.DUMMYFUNCTION("IFERROR((COUNTIF(FILTER(Data!N:N, Data!B:B=A546),""MIDDLE"")) / (COUNTIF(Data!B:B, A546)),"""")"),"")</f>
        <v/>
      </c>
      <c r="V546" s="59" t="str">
        <f>IFERROR(__xludf.DUMMYFUNCTION("IFERROR((COUNTIF(FILTER(Data!N:N, Data!B:B=A546),""HIGH"")) / (COUNTIF(Data!B:B, A546)),"""")"),"")</f>
        <v/>
      </c>
      <c r="W546" s="59" t="str">
        <f>IFERROR(__xludf.DUMMYFUNCTION("IFERROR((COUNTIF(FILTER(Data!N:N, Data!B:B=A546),""TRAVERSE"")) / (COUNTIF(Data!B:B, A546)),"""")"),"")</f>
        <v/>
      </c>
      <c r="X546" s="59"/>
      <c r="Y546" s="45" t="str">
        <f t="shared" si="7"/>
        <v/>
      </c>
      <c r="Z546" s="45" t="str">
        <f t="shared" si="8"/>
        <v/>
      </c>
      <c r="AA546" s="16" t="str">
        <f t="shared" si="9"/>
        <v/>
      </c>
      <c r="AB546" s="16"/>
      <c r="AC546" s="16"/>
      <c r="AD546" s="16"/>
      <c r="AE546" s="16" t="str">
        <f t="shared" si="12"/>
        <v/>
      </c>
      <c r="AF546" s="16" t="str">
        <f t="shared" si="13"/>
        <v/>
      </c>
      <c r="AG546" s="44"/>
      <c r="AH546" s="44"/>
      <c r="AI546" s="44" t="str">
        <f>IFERROR(__xludf.DUMMYFUNCTION("TEXTJOIN("", "",TRUE, FILTER(Data!P:P, Data!B:B=A546))"),"")</f>
        <v/>
      </c>
      <c r="AM546" s="61"/>
      <c r="BC546" s="50"/>
    </row>
    <row r="547">
      <c r="A547" s="14"/>
      <c r="B547" s="55" t="str">
        <f>IFERROR(__xludf.DUMMYFUNCTION("IFERROR(ROUND(
(COUNTIF(FILTER(Data!O:O, Data!B:B=A547), ""Win"")
+ COUNTIF(FILTER(Data!O:O, Data!B:B=A547), {""Tie"",""Results""}))
/ (COUNTIF(Data!B:B, A547)),
1),"""")"),"")</f>
        <v/>
      </c>
      <c r="C547" s="45" t="str">
        <f>IFERROR((SUMIF(Data!B:B, A547, Data!H:H)
/ (COUNTIF(Data!B:B, A547)
)),"")</f>
        <v/>
      </c>
      <c r="D547" s="45" t="str">
        <f>IFERROR((SUMIF(Data!B:B, A547, Data!G:G)
/ (COUNTIF(Data!B:B, A547)
)),"")</f>
        <v/>
      </c>
      <c r="E547" s="45"/>
      <c r="F547" s="45" t="str">
        <f>IFERROR((SUMIF(Data!B:B, A547, Data!J:J)
/ (COUNTIF(Data!B:B, A547)
)),"")</f>
        <v/>
      </c>
      <c r="G547" s="56" t="str">
        <f>IF(A547="","",IFERROR((((((SUMIF(Data!B:B, A547, Data!H:H)+(SUMIF(Data!B:B, A547,Data!G:G)))/(SUMIF(Data!B:B, A547, Data!J:J)))))),0))</f>
        <v/>
      </c>
      <c r="H547" s="45"/>
      <c r="I547" s="45"/>
      <c r="J547" s="45"/>
      <c r="K547" s="45"/>
      <c r="L547" s="45" t="str">
        <f>IFERROR((SUMIF(Data!B:B, A547, Data!L:L)
/ (COUNTIF(Data!B:B, A547)
)),"")</f>
        <v/>
      </c>
      <c r="M547" s="45" t="str">
        <f>IFERROR((SUMIF(Data!B:B, A547, Data!K:K)
/ (COUNTIF(Data!B:B, A547)
)),"")</f>
        <v/>
      </c>
      <c r="N547" s="56"/>
      <c r="O547" s="56" t="str">
        <f>IF(A547="","",IFERROR((((((SUMIF(Data!B:B, A547, Data!H:H)+(SUMIF(Data!B:B, A547,Data!G:G)+(SUMIF(Data!B:B, A547,Data!L:L)+(SUMIF(Data!B:B, A547,Data!K:K)))))/(SUMIF(Data!B:B, A547, Data!M:M)+(SUMIF(Data!B:B, A547, Data!H:H)+(SUMIF(Data!B:B, A547,Data!G:G)+(SUMIF(Data!B:B, A547,Data!K:K)+(SUMIF(Data!B:B, A547,Data!L:L)))))))))),0))</f>
        <v/>
      </c>
      <c r="P547" s="57" t="str">
        <f>IFERROR(__xludf.DUMMYFUNCTION("IFERROR(((COUNTIF(FILTER(Data!N:N,Data!B:B=A547),""TRAVERSE"")*15)+(COUNTIF(FILTER(Data!N:N,Data!B:B=A547),""HIGH"")*10)+(COUNTIF(FILTER(Data!N:N,Data!B:B=A547),""MIDDLE"")*6)+(COUNTIF(FILTER(Data!N:N,Data!B:B=A547),""LOW"")*4)) / (COUNTIF(Data!B:B, A547)"&amp;"),"""")"),"")</f>
        <v/>
      </c>
      <c r="Q547" s="58"/>
      <c r="R547" s="58"/>
      <c r="S547" s="58" t="str">
        <f>IFERROR(__xludf.DUMMYFUNCTION("IFERROR((((COUNTIF(FILTER(Data!N:N,Data!B:B=A547),""TRAVERSE""))+(COUNTIF(FILTER(Data!N:N,Data!B:B=A547),""HIGH""))+(COUNTIF(FILTER(Data!N:N,Data!B:B=A547),""MIDDLE""))+(COUNTIF(FILTER(Data!N:N,Data!B:B=A547),""LOW"")))) / (((COUNTIF(Data!B:B, A547)))-(CO"&amp;"UNTIF(FILTER(Data!N:N,Data!B:B=A547),""NONE""))),IF(ISBLANK(A547),"""",0))"),"")</f>
        <v/>
      </c>
      <c r="T547" s="56" t="str">
        <f>IFERROR(__xludf.DUMMYFUNCTION("IFERROR((COUNTIF(FILTER(Data!N:N, Data!B:B=A547),""LOW"")) / (COUNTIF(Data!B:B, A547)),"""")"),"")</f>
        <v/>
      </c>
      <c r="U547" s="59" t="str">
        <f>IFERROR(__xludf.DUMMYFUNCTION("IFERROR((COUNTIF(FILTER(Data!N:N, Data!B:B=A547),""MIDDLE"")) / (COUNTIF(Data!B:B, A547)),"""")"),"")</f>
        <v/>
      </c>
      <c r="V547" s="59" t="str">
        <f>IFERROR(__xludf.DUMMYFUNCTION("IFERROR((COUNTIF(FILTER(Data!N:N, Data!B:B=A547),""HIGH"")) / (COUNTIF(Data!B:B, A547)),"""")"),"")</f>
        <v/>
      </c>
      <c r="W547" s="59" t="str">
        <f>IFERROR(__xludf.DUMMYFUNCTION("IFERROR((COUNTIF(FILTER(Data!N:N, Data!B:B=A547),""TRAVERSE"")) / (COUNTIF(Data!B:B, A547)),"""")"),"")</f>
        <v/>
      </c>
      <c r="X547" s="59"/>
      <c r="Y547" s="45" t="str">
        <f t="shared" si="7"/>
        <v/>
      </c>
      <c r="Z547" s="45" t="str">
        <f t="shared" si="8"/>
        <v/>
      </c>
      <c r="AA547" s="16" t="str">
        <f t="shared" si="9"/>
        <v/>
      </c>
      <c r="AB547" s="16"/>
      <c r="AC547" s="16"/>
      <c r="AD547" s="16"/>
      <c r="AE547" s="16" t="str">
        <f t="shared" si="12"/>
        <v/>
      </c>
      <c r="AF547" s="16" t="str">
        <f t="shared" si="13"/>
        <v/>
      </c>
      <c r="AG547" s="44"/>
      <c r="AH547" s="44"/>
      <c r="AI547" s="44" t="str">
        <f>IFERROR(__xludf.DUMMYFUNCTION("TEXTJOIN("", "",TRUE, FILTER(Data!P:P, Data!B:B=A547))"),"")</f>
        <v/>
      </c>
      <c r="AM547" s="61"/>
      <c r="BC547" s="50"/>
    </row>
    <row r="548">
      <c r="A548" s="14"/>
      <c r="B548" s="55" t="str">
        <f>IFERROR(__xludf.DUMMYFUNCTION("IFERROR(ROUND(
(COUNTIF(FILTER(Data!O:O, Data!B:B=A548), ""Win"")
+ COUNTIF(FILTER(Data!O:O, Data!B:B=A548), {""Tie"",""Results""}))
/ (COUNTIF(Data!B:B, A548)),
1),"""")"),"")</f>
        <v/>
      </c>
      <c r="C548" s="45" t="str">
        <f>IFERROR((SUMIF(Data!B:B, A548, Data!H:H)
/ (COUNTIF(Data!B:B, A548)
)),"")</f>
        <v/>
      </c>
      <c r="D548" s="45" t="str">
        <f>IFERROR((SUMIF(Data!B:B, A548, Data!G:G)
/ (COUNTIF(Data!B:B, A548)
)),"")</f>
        <v/>
      </c>
      <c r="E548" s="45"/>
      <c r="F548" s="45" t="str">
        <f>IFERROR((SUMIF(Data!B:B, A548, Data!J:J)
/ (COUNTIF(Data!B:B, A548)
)),"")</f>
        <v/>
      </c>
      <c r="G548" s="56" t="str">
        <f>IF(A548="","",IFERROR((((((SUMIF(Data!B:B, A548, Data!H:H)+(SUMIF(Data!B:B, A548,Data!G:G)))/(SUMIF(Data!B:B, A548, Data!J:J)))))),0))</f>
        <v/>
      </c>
      <c r="H548" s="45"/>
      <c r="I548" s="45"/>
      <c r="J548" s="45"/>
      <c r="K548" s="45"/>
      <c r="L548" s="45" t="str">
        <f>IFERROR((SUMIF(Data!B:B, A548, Data!L:L)
/ (COUNTIF(Data!B:B, A548)
)),"")</f>
        <v/>
      </c>
      <c r="M548" s="45" t="str">
        <f>IFERROR((SUMIF(Data!B:B, A548, Data!K:K)
/ (COUNTIF(Data!B:B, A548)
)),"")</f>
        <v/>
      </c>
      <c r="N548" s="56"/>
      <c r="O548" s="56" t="str">
        <f>IF(A548="","",IFERROR((((((SUMIF(Data!B:B, A548, Data!H:H)+(SUMIF(Data!B:B, A548,Data!G:G)+(SUMIF(Data!B:B, A548,Data!L:L)+(SUMIF(Data!B:B, A548,Data!K:K)))))/(SUMIF(Data!B:B, A548, Data!M:M)+(SUMIF(Data!B:B, A548, Data!H:H)+(SUMIF(Data!B:B, A548,Data!G:G)+(SUMIF(Data!B:B, A548,Data!K:K)+(SUMIF(Data!B:B, A548,Data!L:L)))))))))),0))</f>
        <v/>
      </c>
      <c r="P548" s="57" t="str">
        <f>IFERROR(__xludf.DUMMYFUNCTION("IFERROR(((COUNTIF(FILTER(Data!N:N,Data!B:B=A548),""TRAVERSE"")*15)+(COUNTIF(FILTER(Data!N:N,Data!B:B=A548),""HIGH"")*10)+(COUNTIF(FILTER(Data!N:N,Data!B:B=A548),""MIDDLE"")*6)+(COUNTIF(FILTER(Data!N:N,Data!B:B=A548),""LOW"")*4)) / (COUNTIF(Data!B:B, A548)"&amp;"),"""")"),"")</f>
        <v/>
      </c>
      <c r="Q548" s="58"/>
      <c r="R548" s="58"/>
      <c r="S548" s="58" t="str">
        <f>IFERROR(__xludf.DUMMYFUNCTION("IFERROR((((COUNTIF(FILTER(Data!N:N,Data!B:B=A548),""TRAVERSE""))+(COUNTIF(FILTER(Data!N:N,Data!B:B=A548),""HIGH""))+(COUNTIF(FILTER(Data!N:N,Data!B:B=A548),""MIDDLE""))+(COUNTIF(FILTER(Data!N:N,Data!B:B=A548),""LOW"")))) / (((COUNTIF(Data!B:B, A548)))-(CO"&amp;"UNTIF(FILTER(Data!N:N,Data!B:B=A548),""NONE""))),IF(ISBLANK(A548),"""",0))"),"")</f>
        <v/>
      </c>
      <c r="T548" s="56" t="str">
        <f>IFERROR(__xludf.DUMMYFUNCTION("IFERROR((COUNTIF(FILTER(Data!N:N, Data!B:B=A548),""LOW"")) / (COUNTIF(Data!B:B, A548)),"""")"),"")</f>
        <v/>
      </c>
      <c r="U548" s="59" t="str">
        <f>IFERROR(__xludf.DUMMYFUNCTION("IFERROR((COUNTIF(FILTER(Data!N:N, Data!B:B=A548),""MIDDLE"")) / (COUNTIF(Data!B:B, A548)),"""")"),"")</f>
        <v/>
      </c>
      <c r="V548" s="59" t="str">
        <f>IFERROR(__xludf.DUMMYFUNCTION("IFERROR((COUNTIF(FILTER(Data!N:N, Data!B:B=A548),""HIGH"")) / (COUNTIF(Data!B:B, A548)),"""")"),"")</f>
        <v/>
      </c>
      <c r="W548" s="59" t="str">
        <f>IFERROR(__xludf.DUMMYFUNCTION("IFERROR((COUNTIF(FILTER(Data!N:N, Data!B:B=A548),""TRAVERSE"")) / (COUNTIF(Data!B:B, A548)),"""")"),"")</f>
        <v/>
      </c>
      <c r="X548" s="59"/>
      <c r="Y548" s="45" t="str">
        <f t="shared" si="7"/>
        <v/>
      </c>
      <c r="Z548" s="45" t="str">
        <f t="shared" si="8"/>
        <v/>
      </c>
      <c r="AA548" s="16" t="str">
        <f t="shared" si="9"/>
        <v/>
      </c>
      <c r="AB548" s="16"/>
      <c r="AC548" s="16"/>
      <c r="AD548" s="16"/>
      <c r="AE548" s="16" t="str">
        <f t="shared" si="12"/>
        <v/>
      </c>
      <c r="AF548" s="16" t="str">
        <f t="shared" si="13"/>
        <v/>
      </c>
      <c r="AG548" s="44"/>
      <c r="AH548" s="44"/>
      <c r="AI548" s="44" t="str">
        <f>IFERROR(__xludf.DUMMYFUNCTION("TEXTJOIN("", "",TRUE, FILTER(Data!P:P, Data!B:B=A548))"),"")</f>
        <v/>
      </c>
      <c r="AM548" s="61"/>
      <c r="BC548" s="50"/>
    </row>
    <row r="549">
      <c r="A549" s="14"/>
      <c r="B549" s="55" t="str">
        <f>IFERROR(__xludf.DUMMYFUNCTION("IFERROR(ROUND(
(COUNTIF(FILTER(Data!O:O, Data!B:B=A549), ""Win"")
+ COUNTIF(FILTER(Data!O:O, Data!B:B=A549), {""Tie"",""Results""}))
/ (COUNTIF(Data!B:B, A549)),
1),"""")"),"")</f>
        <v/>
      </c>
      <c r="C549" s="45" t="str">
        <f>IFERROR((SUMIF(Data!B:B, A549, Data!H:H)
/ (COUNTIF(Data!B:B, A549)
)),"")</f>
        <v/>
      </c>
      <c r="D549" s="45" t="str">
        <f>IFERROR((SUMIF(Data!B:B, A549, Data!G:G)
/ (COUNTIF(Data!B:B, A549)
)),"")</f>
        <v/>
      </c>
      <c r="E549" s="45"/>
      <c r="F549" s="45" t="str">
        <f>IFERROR((SUMIF(Data!B:B, A549, Data!J:J)
/ (COUNTIF(Data!B:B, A549)
)),"")</f>
        <v/>
      </c>
      <c r="G549" s="56" t="str">
        <f>IF(A549="","",IFERROR((((((SUMIF(Data!B:B, A549, Data!H:H)+(SUMIF(Data!B:B, A549,Data!G:G)))/(SUMIF(Data!B:B, A549, Data!J:J)))))),0))</f>
        <v/>
      </c>
      <c r="H549" s="45"/>
      <c r="I549" s="45"/>
      <c r="J549" s="45"/>
      <c r="K549" s="45"/>
      <c r="L549" s="45" t="str">
        <f>IFERROR((SUMIF(Data!B:B, A549, Data!L:L)
/ (COUNTIF(Data!B:B, A549)
)),"")</f>
        <v/>
      </c>
      <c r="M549" s="45" t="str">
        <f>IFERROR((SUMIF(Data!B:B, A549, Data!K:K)
/ (COUNTIF(Data!B:B, A549)
)),"")</f>
        <v/>
      </c>
      <c r="N549" s="56"/>
      <c r="O549" s="56" t="str">
        <f>IF(A549="","",IFERROR((((((SUMIF(Data!B:B, A549, Data!H:H)+(SUMIF(Data!B:B, A549,Data!G:G)+(SUMIF(Data!B:B, A549,Data!L:L)+(SUMIF(Data!B:B, A549,Data!K:K)))))/(SUMIF(Data!B:B, A549, Data!M:M)+(SUMIF(Data!B:B, A549, Data!H:H)+(SUMIF(Data!B:B, A549,Data!G:G)+(SUMIF(Data!B:B, A549,Data!K:K)+(SUMIF(Data!B:B, A549,Data!L:L)))))))))),0))</f>
        <v/>
      </c>
      <c r="P549" s="57" t="str">
        <f>IFERROR(__xludf.DUMMYFUNCTION("IFERROR(((COUNTIF(FILTER(Data!N:N,Data!B:B=A549),""TRAVERSE"")*15)+(COUNTIF(FILTER(Data!N:N,Data!B:B=A549),""HIGH"")*10)+(COUNTIF(FILTER(Data!N:N,Data!B:B=A549),""MIDDLE"")*6)+(COUNTIF(FILTER(Data!N:N,Data!B:B=A549),""LOW"")*4)) / (COUNTIF(Data!B:B, A549)"&amp;"),"""")"),"")</f>
        <v/>
      </c>
      <c r="Q549" s="58"/>
      <c r="R549" s="58"/>
      <c r="S549" s="58" t="str">
        <f>IFERROR(__xludf.DUMMYFUNCTION("IFERROR((((COUNTIF(FILTER(Data!N:N,Data!B:B=A549),""TRAVERSE""))+(COUNTIF(FILTER(Data!N:N,Data!B:B=A549),""HIGH""))+(COUNTIF(FILTER(Data!N:N,Data!B:B=A549),""MIDDLE""))+(COUNTIF(FILTER(Data!N:N,Data!B:B=A549),""LOW"")))) / (((COUNTIF(Data!B:B, A549)))-(CO"&amp;"UNTIF(FILTER(Data!N:N,Data!B:B=A549),""NONE""))),IF(ISBLANK(A549),"""",0))"),"")</f>
        <v/>
      </c>
      <c r="T549" s="56" t="str">
        <f>IFERROR(__xludf.DUMMYFUNCTION("IFERROR((COUNTIF(FILTER(Data!N:N, Data!B:B=A549),""LOW"")) / (COUNTIF(Data!B:B, A549)),"""")"),"")</f>
        <v/>
      </c>
      <c r="U549" s="59" t="str">
        <f>IFERROR(__xludf.DUMMYFUNCTION("IFERROR((COUNTIF(FILTER(Data!N:N, Data!B:B=A549),""MIDDLE"")) / (COUNTIF(Data!B:B, A549)),"""")"),"")</f>
        <v/>
      </c>
      <c r="V549" s="59" t="str">
        <f>IFERROR(__xludf.DUMMYFUNCTION("IFERROR((COUNTIF(FILTER(Data!N:N, Data!B:B=A549),""HIGH"")) / (COUNTIF(Data!B:B, A549)),"""")"),"")</f>
        <v/>
      </c>
      <c r="W549" s="59" t="str">
        <f>IFERROR(__xludf.DUMMYFUNCTION("IFERROR((COUNTIF(FILTER(Data!N:N, Data!B:B=A549),""TRAVERSE"")) / (COUNTIF(Data!B:B, A549)),"""")"),"")</f>
        <v/>
      </c>
      <c r="X549" s="59"/>
      <c r="Y549" s="45" t="str">
        <f t="shared" si="7"/>
        <v/>
      </c>
      <c r="Z549" s="45" t="str">
        <f t="shared" si="8"/>
        <v/>
      </c>
      <c r="AA549" s="16" t="str">
        <f t="shared" si="9"/>
        <v/>
      </c>
      <c r="AB549" s="16"/>
      <c r="AC549" s="16"/>
      <c r="AD549" s="16"/>
      <c r="AE549" s="16" t="str">
        <f t="shared" si="12"/>
        <v/>
      </c>
      <c r="AF549" s="16" t="str">
        <f t="shared" si="13"/>
        <v/>
      </c>
      <c r="AG549" s="44"/>
      <c r="AH549" s="44"/>
      <c r="AI549" s="44" t="str">
        <f>IFERROR(__xludf.DUMMYFUNCTION("TEXTJOIN("", "",TRUE, FILTER(Data!P:P, Data!B:B=A549))"),"")</f>
        <v/>
      </c>
      <c r="AM549" s="61"/>
      <c r="BC549" s="50"/>
    </row>
    <row r="550">
      <c r="A550" s="14"/>
      <c r="B550" s="55" t="str">
        <f>IFERROR(__xludf.DUMMYFUNCTION("IFERROR(ROUND(
(COUNTIF(FILTER(Data!O:O, Data!B:B=A550), ""Win"")
+ COUNTIF(FILTER(Data!O:O, Data!B:B=A550), {""Tie"",""Results""}))
/ (COUNTIF(Data!B:B, A550)),
1),"""")"),"")</f>
        <v/>
      </c>
      <c r="C550" s="45" t="str">
        <f>IFERROR((SUMIF(Data!B:B, A550, Data!H:H)
/ (COUNTIF(Data!B:B, A550)
)),"")</f>
        <v/>
      </c>
      <c r="D550" s="45" t="str">
        <f>IFERROR((SUMIF(Data!B:B, A550, Data!G:G)
/ (COUNTIF(Data!B:B, A550)
)),"")</f>
        <v/>
      </c>
      <c r="E550" s="45"/>
      <c r="F550" s="45" t="str">
        <f>IFERROR((SUMIF(Data!B:B, A550, Data!J:J)
/ (COUNTIF(Data!B:B, A550)
)),"")</f>
        <v/>
      </c>
      <c r="G550" s="56" t="str">
        <f>IF(A550="","",IFERROR((((((SUMIF(Data!B:B, A550, Data!H:H)+(SUMIF(Data!B:B, A550,Data!G:G)))/(SUMIF(Data!B:B, A550, Data!J:J)))))),0))</f>
        <v/>
      </c>
      <c r="H550" s="45"/>
      <c r="I550" s="45"/>
      <c r="J550" s="45"/>
      <c r="K550" s="45"/>
      <c r="L550" s="45" t="str">
        <f>IFERROR((SUMIF(Data!B:B, A550, Data!L:L)
/ (COUNTIF(Data!B:B, A550)
)),"")</f>
        <v/>
      </c>
      <c r="M550" s="45" t="str">
        <f>IFERROR((SUMIF(Data!B:B, A550, Data!K:K)
/ (COUNTIF(Data!B:B, A550)
)),"")</f>
        <v/>
      </c>
      <c r="N550" s="56"/>
      <c r="O550" s="56" t="str">
        <f>IF(A550="","",IFERROR((((((SUMIF(Data!B:B, A550, Data!H:H)+(SUMIF(Data!B:B, A550,Data!G:G)+(SUMIF(Data!B:B, A550,Data!L:L)+(SUMIF(Data!B:B, A550,Data!K:K)))))/(SUMIF(Data!B:B, A550, Data!M:M)+(SUMIF(Data!B:B, A550, Data!H:H)+(SUMIF(Data!B:B, A550,Data!G:G)+(SUMIF(Data!B:B, A550,Data!K:K)+(SUMIF(Data!B:B, A550,Data!L:L)))))))))),0))</f>
        <v/>
      </c>
      <c r="P550" s="57" t="str">
        <f>IFERROR(__xludf.DUMMYFUNCTION("IFERROR(((COUNTIF(FILTER(Data!N:N,Data!B:B=A550),""TRAVERSE"")*15)+(COUNTIF(FILTER(Data!N:N,Data!B:B=A550),""HIGH"")*10)+(COUNTIF(FILTER(Data!N:N,Data!B:B=A550),""MIDDLE"")*6)+(COUNTIF(FILTER(Data!N:N,Data!B:B=A550),""LOW"")*4)) / (COUNTIF(Data!B:B, A550)"&amp;"),"""")"),"")</f>
        <v/>
      </c>
      <c r="Q550" s="58"/>
      <c r="R550" s="58"/>
      <c r="S550" s="58" t="str">
        <f>IFERROR(__xludf.DUMMYFUNCTION("IFERROR((((COUNTIF(FILTER(Data!N:N,Data!B:B=A550),""TRAVERSE""))+(COUNTIF(FILTER(Data!N:N,Data!B:B=A550),""HIGH""))+(COUNTIF(FILTER(Data!N:N,Data!B:B=A550),""MIDDLE""))+(COUNTIF(FILTER(Data!N:N,Data!B:B=A550),""LOW"")))) / (((COUNTIF(Data!B:B, A550)))-(CO"&amp;"UNTIF(FILTER(Data!N:N,Data!B:B=A550),""NONE""))),IF(ISBLANK(A550),"""",0))"),"")</f>
        <v/>
      </c>
      <c r="T550" s="56" t="str">
        <f>IFERROR(__xludf.DUMMYFUNCTION("IFERROR((COUNTIF(FILTER(Data!N:N, Data!B:B=A550),""LOW"")) / (COUNTIF(Data!B:B, A550)),"""")"),"")</f>
        <v/>
      </c>
      <c r="U550" s="59" t="str">
        <f>IFERROR(__xludf.DUMMYFUNCTION("IFERROR((COUNTIF(FILTER(Data!N:N, Data!B:B=A550),""MIDDLE"")) / (COUNTIF(Data!B:B, A550)),"""")"),"")</f>
        <v/>
      </c>
      <c r="V550" s="59" t="str">
        <f>IFERROR(__xludf.DUMMYFUNCTION("IFERROR((COUNTIF(FILTER(Data!N:N, Data!B:B=A550),""HIGH"")) / (COUNTIF(Data!B:B, A550)),"""")"),"")</f>
        <v/>
      </c>
      <c r="W550" s="59" t="str">
        <f>IFERROR(__xludf.DUMMYFUNCTION("IFERROR((COUNTIF(FILTER(Data!N:N, Data!B:B=A550),""TRAVERSE"")) / (COUNTIF(Data!B:B, A550)),"""")"),"")</f>
        <v/>
      </c>
      <c r="X550" s="59"/>
      <c r="Y550" s="45" t="str">
        <f t="shared" si="7"/>
        <v/>
      </c>
      <c r="Z550" s="45" t="str">
        <f t="shared" si="8"/>
        <v/>
      </c>
      <c r="AA550" s="16" t="str">
        <f t="shared" si="9"/>
        <v/>
      </c>
      <c r="AB550" s="16"/>
      <c r="AC550" s="16"/>
      <c r="AD550" s="16"/>
      <c r="AE550" s="16" t="str">
        <f t="shared" si="12"/>
        <v/>
      </c>
      <c r="AF550" s="16" t="str">
        <f t="shared" si="13"/>
        <v/>
      </c>
      <c r="AG550" s="44"/>
      <c r="AH550" s="44"/>
      <c r="AI550" s="44" t="str">
        <f>IFERROR(__xludf.DUMMYFUNCTION("TEXTJOIN("", "",TRUE, FILTER(Data!P:P, Data!B:B=A550))"),"")</f>
        <v/>
      </c>
      <c r="AM550" s="61"/>
      <c r="BC550" s="50"/>
    </row>
    <row r="551">
      <c r="A551" s="14"/>
      <c r="B551" s="55" t="str">
        <f>IFERROR(__xludf.DUMMYFUNCTION("IFERROR(ROUND(
(COUNTIF(FILTER(Data!O:O, Data!B:B=A551), ""Win"")
+ COUNTIF(FILTER(Data!O:O, Data!B:B=A551), {""Tie"",""Results""}))
/ (COUNTIF(Data!B:B, A551)),
1),"""")"),"")</f>
        <v/>
      </c>
      <c r="C551" s="45" t="str">
        <f>IFERROR((SUMIF(Data!B:B, A551, Data!H:H)
/ (COUNTIF(Data!B:B, A551)
)),"")</f>
        <v/>
      </c>
      <c r="D551" s="45" t="str">
        <f>IFERROR((SUMIF(Data!B:B, A551, Data!G:G)
/ (COUNTIF(Data!B:B, A551)
)),"")</f>
        <v/>
      </c>
      <c r="E551" s="45"/>
      <c r="F551" s="45" t="str">
        <f>IFERROR((SUMIF(Data!B:B, A551, Data!J:J)
/ (COUNTIF(Data!B:B, A551)
)),"")</f>
        <v/>
      </c>
      <c r="G551" s="56" t="str">
        <f>IF(A551="","",IFERROR((((((SUMIF(Data!B:B, A551, Data!H:H)+(SUMIF(Data!B:B, A551,Data!G:G)))/(SUMIF(Data!B:B, A551, Data!J:J)))))),0))</f>
        <v/>
      </c>
      <c r="H551" s="45"/>
      <c r="I551" s="45"/>
      <c r="J551" s="45"/>
      <c r="K551" s="45"/>
      <c r="L551" s="45" t="str">
        <f>IFERROR((SUMIF(Data!B:B, A551, Data!L:L)
/ (COUNTIF(Data!B:B, A551)
)),"")</f>
        <v/>
      </c>
      <c r="M551" s="45" t="str">
        <f>IFERROR((SUMIF(Data!B:B, A551, Data!K:K)
/ (COUNTIF(Data!B:B, A551)
)),"")</f>
        <v/>
      </c>
      <c r="N551" s="56"/>
      <c r="O551" s="56" t="str">
        <f>IF(A551="","",IFERROR((((((SUMIF(Data!B:B, A551, Data!H:H)+(SUMIF(Data!B:B, A551,Data!G:G)+(SUMIF(Data!B:B, A551,Data!L:L)+(SUMIF(Data!B:B, A551,Data!K:K)))))/(SUMIF(Data!B:B, A551, Data!M:M)+(SUMIF(Data!B:B, A551, Data!H:H)+(SUMIF(Data!B:B, A551,Data!G:G)+(SUMIF(Data!B:B, A551,Data!K:K)+(SUMIF(Data!B:B, A551,Data!L:L)))))))))),0))</f>
        <v/>
      </c>
      <c r="P551" s="57" t="str">
        <f>IFERROR(__xludf.DUMMYFUNCTION("IFERROR(((COUNTIF(FILTER(Data!N:N,Data!B:B=A551),""TRAVERSE"")*15)+(COUNTIF(FILTER(Data!N:N,Data!B:B=A551),""HIGH"")*10)+(COUNTIF(FILTER(Data!N:N,Data!B:B=A551),""MIDDLE"")*6)+(COUNTIF(FILTER(Data!N:N,Data!B:B=A551),""LOW"")*4)) / (COUNTIF(Data!B:B, A551)"&amp;"),"""")"),"")</f>
        <v/>
      </c>
      <c r="Q551" s="58"/>
      <c r="R551" s="58"/>
      <c r="S551" s="58" t="str">
        <f>IFERROR(__xludf.DUMMYFUNCTION("IFERROR((((COUNTIF(FILTER(Data!N:N,Data!B:B=A551),""TRAVERSE""))+(COUNTIF(FILTER(Data!N:N,Data!B:B=A551),""HIGH""))+(COUNTIF(FILTER(Data!N:N,Data!B:B=A551),""MIDDLE""))+(COUNTIF(FILTER(Data!N:N,Data!B:B=A551),""LOW"")))) / (((COUNTIF(Data!B:B, A551)))-(CO"&amp;"UNTIF(FILTER(Data!N:N,Data!B:B=A551),""NONE""))),IF(ISBLANK(A551),"""",0))"),"")</f>
        <v/>
      </c>
      <c r="T551" s="56" t="str">
        <f>IFERROR(__xludf.DUMMYFUNCTION("IFERROR((COUNTIF(FILTER(Data!N:N, Data!B:B=A551),""LOW"")) / (COUNTIF(Data!B:B, A551)),"""")"),"")</f>
        <v/>
      </c>
      <c r="U551" s="59" t="str">
        <f>IFERROR(__xludf.DUMMYFUNCTION("IFERROR((COUNTIF(FILTER(Data!N:N, Data!B:B=A551),""MIDDLE"")) / (COUNTIF(Data!B:B, A551)),"""")"),"")</f>
        <v/>
      </c>
      <c r="V551" s="59" t="str">
        <f>IFERROR(__xludf.DUMMYFUNCTION("IFERROR((COUNTIF(FILTER(Data!N:N, Data!B:B=A551),""HIGH"")) / (COUNTIF(Data!B:B, A551)),"""")"),"")</f>
        <v/>
      </c>
      <c r="W551" s="59" t="str">
        <f>IFERROR(__xludf.DUMMYFUNCTION("IFERROR((COUNTIF(FILTER(Data!N:N, Data!B:B=A551),""TRAVERSE"")) / (COUNTIF(Data!B:B, A551)),"""")"),"")</f>
        <v/>
      </c>
      <c r="X551" s="59"/>
      <c r="Y551" s="45" t="str">
        <f t="shared" si="7"/>
        <v/>
      </c>
      <c r="Z551" s="45" t="str">
        <f t="shared" si="8"/>
        <v/>
      </c>
      <c r="AA551" s="16" t="str">
        <f t="shared" si="9"/>
        <v/>
      </c>
      <c r="AB551" s="16"/>
      <c r="AC551" s="16"/>
      <c r="AD551" s="16"/>
      <c r="AE551" s="16" t="str">
        <f t="shared" si="12"/>
        <v/>
      </c>
      <c r="AF551" s="16" t="str">
        <f t="shared" si="13"/>
        <v/>
      </c>
      <c r="AG551" s="44"/>
      <c r="AH551" s="44"/>
      <c r="AI551" s="44" t="str">
        <f>IFERROR(__xludf.DUMMYFUNCTION("TEXTJOIN("", "",TRUE, FILTER(Data!P:P, Data!B:B=A551))"),"")</f>
        <v/>
      </c>
      <c r="AM551" s="61"/>
      <c r="BC551" s="50"/>
    </row>
    <row r="552">
      <c r="A552" s="14"/>
      <c r="B552" s="55" t="str">
        <f>IFERROR(__xludf.DUMMYFUNCTION("IFERROR(ROUND(
(COUNTIF(FILTER(Data!O:O, Data!B:B=A552), ""Win"")
+ COUNTIF(FILTER(Data!O:O, Data!B:B=A552), {""Tie"",""Results""}))
/ (COUNTIF(Data!B:B, A552)),
1),"""")"),"")</f>
        <v/>
      </c>
      <c r="C552" s="45" t="str">
        <f>IFERROR((SUMIF(Data!B:B, A552, Data!H:H)
/ (COUNTIF(Data!B:B, A552)
)),"")</f>
        <v/>
      </c>
      <c r="D552" s="45" t="str">
        <f>IFERROR((SUMIF(Data!B:B, A552, Data!G:G)
/ (COUNTIF(Data!B:B, A552)
)),"")</f>
        <v/>
      </c>
      <c r="E552" s="45"/>
      <c r="F552" s="45" t="str">
        <f>IFERROR((SUMIF(Data!B:B, A552, Data!J:J)
/ (COUNTIF(Data!B:B, A552)
)),"")</f>
        <v/>
      </c>
      <c r="G552" s="56" t="str">
        <f>IF(A552="","",IFERROR((((((SUMIF(Data!B:B, A552, Data!H:H)+(SUMIF(Data!B:B, A552,Data!G:G)))/(SUMIF(Data!B:B, A552, Data!J:J)))))),0))</f>
        <v/>
      </c>
      <c r="H552" s="45"/>
      <c r="I552" s="45"/>
      <c r="J552" s="45"/>
      <c r="K552" s="45"/>
      <c r="L552" s="45" t="str">
        <f>IFERROR((SUMIF(Data!B:B, A552, Data!L:L)
/ (COUNTIF(Data!B:B, A552)
)),"")</f>
        <v/>
      </c>
      <c r="M552" s="45" t="str">
        <f>IFERROR((SUMIF(Data!B:B, A552, Data!K:K)
/ (COUNTIF(Data!B:B, A552)
)),"")</f>
        <v/>
      </c>
      <c r="N552" s="56"/>
      <c r="O552" s="56" t="str">
        <f>IF(A552="","",IFERROR((((((SUMIF(Data!B:B, A552, Data!H:H)+(SUMIF(Data!B:B, A552,Data!G:G)+(SUMIF(Data!B:B, A552,Data!L:L)+(SUMIF(Data!B:B, A552,Data!K:K)))))/(SUMIF(Data!B:B, A552, Data!M:M)+(SUMIF(Data!B:B, A552, Data!H:H)+(SUMIF(Data!B:B, A552,Data!G:G)+(SUMIF(Data!B:B, A552,Data!K:K)+(SUMIF(Data!B:B, A552,Data!L:L)))))))))),0))</f>
        <v/>
      </c>
      <c r="P552" s="57" t="str">
        <f>IFERROR(__xludf.DUMMYFUNCTION("IFERROR(((COUNTIF(FILTER(Data!N:N,Data!B:B=A552),""TRAVERSE"")*15)+(COUNTIF(FILTER(Data!N:N,Data!B:B=A552),""HIGH"")*10)+(COUNTIF(FILTER(Data!N:N,Data!B:B=A552),""MIDDLE"")*6)+(COUNTIF(FILTER(Data!N:N,Data!B:B=A552),""LOW"")*4)) / (COUNTIF(Data!B:B, A552)"&amp;"),"""")"),"")</f>
        <v/>
      </c>
      <c r="Q552" s="58"/>
      <c r="R552" s="58"/>
      <c r="S552" s="58" t="str">
        <f>IFERROR(__xludf.DUMMYFUNCTION("IFERROR((((COUNTIF(FILTER(Data!N:N,Data!B:B=A552),""TRAVERSE""))+(COUNTIF(FILTER(Data!N:N,Data!B:B=A552),""HIGH""))+(COUNTIF(FILTER(Data!N:N,Data!B:B=A552),""MIDDLE""))+(COUNTIF(FILTER(Data!N:N,Data!B:B=A552),""LOW"")))) / (((COUNTIF(Data!B:B, A552)))-(CO"&amp;"UNTIF(FILTER(Data!N:N,Data!B:B=A552),""NONE""))),IF(ISBLANK(A552),"""",0))"),"")</f>
        <v/>
      </c>
      <c r="T552" s="56" t="str">
        <f>IFERROR(__xludf.DUMMYFUNCTION("IFERROR((COUNTIF(FILTER(Data!N:N, Data!B:B=A552),""LOW"")) / (COUNTIF(Data!B:B, A552)),"""")"),"")</f>
        <v/>
      </c>
      <c r="U552" s="59" t="str">
        <f>IFERROR(__xludf.DUMMYFUNCTION("IFERROR((COUNTIF(FILTER(Data!N:N, Data!B:B=A552),""MIDDLE"")) / (COUNTIF(Data!B:B, A552)),"""")"),"")</f>
        <v/>
      </c>
      <c r="V552" s="59" t="str">
        <f>IFERROR(__xludf.DUMMYFUNCTION("IFERROR((COUNTIF(FILTER(Data!N:N, Data!B:B=A552),""HIGH"")) / (COUNTIF(Data!B:B, A552)),"""")"),"")</f>
        <v/>
      </c>
      <c r="W552" s="59" t="str">
        <f>IFERROR(__xludf.DUMMYFUNCTION("IFERROR((COUNTIF(FILTER(Data!N:N, Data!B:B=A552),""TRAVERSE"")) / (COUNTIF(Data!B:B, A552)),"""")"),"")</f>
        <v/>
      </c>
      <c r="X552" s="59"/>
      <c r="Y552" s="45" t="str">
        <f t="shared" si="7"/>
        <v/>
      </c>
      <c r="Z552" s="45" t="str">
        <f t="shared" si="8"/>
        <v/>
      </c>
      <c r="AA552" s="16" t="str">
        <f t="shared" si="9"/>
        <v/>
      </c>
      <c r="AB552" s="16"/>
      <c r="AC552" s="16"/>
      <c r="AD552" s="16"/>
      <c r="AE552" s="16" t="str">
        <f t="shared" si="12"/>
        <v/>
      </c>
      <c r="AF552" s="16" t="str">
        <f t="shared" si="13"/>
        <v/>
      </c>
      <c r="AG552" s="44"/>
      <c r="AH552" s="44"/>
      <c r="AI552" s="44" t="str">
        <f>IFERROR(__xludf.DUMMYFUNCTION("TEXTJOIN("", "",TRUE, FILTER(Data!P:P, Data!B:B=A552))"),"")</f>
        <v/>
      </c>
      <c r="AM552" s="61"/>
      <c r="BC552" s="50"/>
    </row>
    <row r="553">
      <c r="A553" s="14"/>
      <c r="B553" s="55" t="str">
        <f>IFERROR(__xludf.DUMMYFUNCTION("IFERROR(ROUND(
(COUNTIF(FILTER(Data!O:O, Data!B:B=A553), ""Win"")
+ COUNTIF(FILTER(Data!O:O, Data!B:B=A553), {""Tie"",""Results""}))
/ (COUNTIF(Data!B:B, A553)),
1),"""")"),"")</f>
        <v/>
      </c>
      <c r="C553" s="45" t="str">
        <f>IFERROR((SUMIF(Data!B:B, A553, Data!H:H)
/ (COUNTIF(Data!B:B, A553)
)),"")</f>
        <v/>
      </c>
      <c r="D553" s="45" t="str">
        <f>IFERROR((SUMIF(Data!B:B, A553, Data!G:G)
/ (COUNTIF(Data!B:B, A553)
)),"")</f>
        <v/>
      </c>
      <c r="E553" s="45"/>
      <c r="F553" s="45" t="str">
        <f>IFERROR((SUMIF(Data!B:B, A553, Data!J:J)
/ (COUNTIF(Data!B:B, A553)
)),"")</f>
        <v/>
      </c>
      <c r="G553" s="56" t="str">
        <f>IF(A553="","",IFERROR((((((SUMIF(Data!B:B, A553, Data!H:H)+(SUMIF(Data!B:B, A553,Data!G:G)))/(SUMIF(Data!B:B, A553, Data!J:J)))))),0))</f>
        <v/>
      </c>
      <c r="H553" s="45"/>
      <c r="I553" s="45"/>
      <c r="J553" s="45"/>
      <c r="K553" s="45"/>
      <c r="L553" s="45" t="str">
        <f>IFERROR((SUMIF(Data!B:B, A553, Data!L:L)
/ (COUNTIF(Data!B:B, A553)
)),"")</f>
        <v/>
      </c>
      <c r="M553" s="45" t="str">
        <f>IFERROR((SUMIF(Data!B:B, A553, Data!K:K)
/ (COUNTIF(Data!B:B, A553)
)),"")</f>
        <v/>
      </c>
      <c r="N553" s="56"/>
      <c r="O553" s="56" t="str">
        <f>IF(A553="","",IFERROR((((((SUMIF(Data!B:B, A553, Data!H:H)+(SUMIF(Data!B:B, A553,Data!G:G)+(SUMIF(Data!B:B, A553,Data!L:L)+(SUMIF(Data!B:B, A553,Data!K:K)))))/(SUMIF(Data!B:B, A553, Data!M:M)+(SUMIF(Data!B:B, A553, Data!H:H)+(SUMIF(Data!B:B, A553,Data!G:G)+(SUMIF(Data!B:B, A553,Data!K:K)+(SUMIF(Data!B:B, A553,Data!L:L)))))))))),0))</f>
        <v/>
      </c>
      <c r="P553" s="57" t="str">
        <f>IFERROR(__xludf.DUMMYFUNCTION("IFERROR(((COUNTIF(FILTER(Data!N:N,Data!B:B=A553),""TRAVERSE"")*15)+(COUNTIF(FILTER(Data!N:N,Data!B:B=A553),""HIGH"")*10)+(COUNTIF(FILTER(Data!N:N,Data!B:B=A553),""MIDDLE"")*6)+(COUNTIF(FILTER(Data!N:N,Data!B:B=A553),""LOW"")*4)) / (COUNTIF(Data!B:B, A553)"&amp;"),"""")"),"")</f>
        <v/>
      </c>
      <c r="Q553" s="58"/>
      <c r="R553" s="58"/>
      <c r="S553" s="58" t="str">
        <f>IFERROR(__xludf.DUMMYFUNCTION("IFERROR((((COUNTIF(FILTER(Data!N:N,Data!B:B=A553),""TRAVERSE""))+(COUNTIF(FILTER(Data!N:N,Data!B:B=A553),""HIGH""))+(COUNTIF(FILTER(Data!N:N,Data!B:B=A553),""MIDDLE""))+(COUNTIF(FILTER(Data!N:N,Data!B:B=A553),""LOW"")))) / (((COUNTIF(Data!B:B, A553)))-(CO"&amp;"UNTIF(FILTER(Data!N:N,Data!B:B=A553),""NONE""))),IF(ISBLANK(A553),"""",0))"),"")</f>
        <v/>
      </c>
      <c r="T553" s="56" t="str">
        <f>IFERROR(__xludf.DUMMYFUNCTION("IFERROR((COUNTIF(FILTER(Data!N:N, Data!B:B=A553),""LOW"")) / (COUNTIF(Data!B:B, A553)),"""")"),"")</f>
        <v/>
      </c>
      <c r="U553" s="59" t="str">
        <f>IFERROR(__xludf.DUMMYFUNCTION("IFERROR((COUNTIF(FILTER(Data!N:N, Data!B:B=A553),""MIDDLE"")) / (COUNTIF(Data!B:B, A553)),"""")"),"")</f>
        <v/>
      </c>
      <c r="V553" s="59" t="str">
        <f>IFERROR(__xludf.DUMMYFUNCTION("IFERROR((COUNTIF(FILTER(Data!N:N, Data!B:B=A553),""HIGH"")) / (COUNTIF(Data!B:B, A553)),"""")"),"")</f>
        <v/>
      </c>
      <c r="W553" s="59" t="str">
        <f>IFERROR(__xludf.DUMMYFUNCTION("IFERROR((COUNTIF(FILTER(Data!N:N, Data!B:B=A553),""TRAVERSE"")) / (COUNTIF(Data!B:B, A553)),"""")"),"")</f>
        <v/>
      </c>
      <c r="X553" s="59"/>
      <c r="Y553" s="45" t="str">
        <f t="shared" si="7"/>
        <v/>
      </c>
      <c r="Z553" s="45" t="str">
        <f t="shared" si="8"/>
        <v/>
      </c>
      <c r="AA553" s="16" t="str">
        <f t="shared" si="9"/>
        <v/>
      </c>
      <c r="AB553" s="16"/>
      <c r="AC553" s="16"/>
      <c r="AD553" s="16"/>
      <c r="AE553" s="16" t="str">
        <f t="shared" si="12"/>
        <v/>
      </c>
      <c r="AF553" s="16" t="str">
        <f t="shared" si="13"/>
        <v/>
      </c>
      <c r="AG553" s="44"/>
      <c r="AH553" s="44"/>
      <c r="AI553" s="44" t="str">
        <f>IFERROR(__xludf.DUMMYFUNCTION("TEXTJOIN("", "",TRUE, FILTER(Data!P:P, Data!B:B=A553))"),"")</f>
        <v/>
      </c>
      <c r="AM553" s="61"/>
      <c r="BC553" s="50"/>
    </row>
    <row r="554">
      <c r="A554" s="14"/>
      <c r="B554" s="55" t="str">
        <f>IFERROR(__xludf.DUMMYFUNCTION("IFERROR(ROUND(
(COUNTIF(FILTER(Data!O:O, Data!B:B=A554), ""Win"")
+ COUNTIF(FILTER(Data!O:O, Data!B:B=A554), {""Tie"",""Results""}))
/ (COUNTIF(Data!B:B, A554)),
1),"""")"),"")</f>
        <v/>
      </c>
      <c r="C554" s="45" t="str">
        <f>IFERROR((SUMIF(Data!B:B, A554, Data!H:H)
/ (COUNTIF(Data!B:B, A554)
)),"")</f>
        <v/>
      </c>
      <c r="D554" s="45" t="str">
        <f>IFERROR((SUMIF(Data!B:B, A554, Data!G:G)
/ (COUNTIF(Data!B:B, A554)
)),"")</f>
        <v/>
      </c>
      <c r="E554" s="45"/>
      <c r="F554" s="45" t="str">
        <f>IFERROR((SUMIF(Data!B:B, A554, Data!J:J)
/ (COUNTIF(Data!B:B, A554)
)),"")</f>
        <v/>
      </c>
      <c r="G554" s="56" t="str">
        <f>IF(A554="","",IFERROR((((((SUMIF(Data!B:B, A554, Data!H:H)+(SUMIF(Data!B:B, A554,Data!G:G)))/(SUMIF(Data!B:B, A554, Data!J:J)))))),0))</f>
        <v/>
      </c>
      <c r="H554" s="45"/>
      <c r="I554" s="45"/>
      <c r="J554" s="45"/>
      <c r="K554" s="45"/>
      <c r="L554" s="45" t="str">
        <f>IFERROR((SUMIF(Data!B:B, A554, Data!L:L)
/ (COUNTIF(Data!B:B, A554)
)),"")</f>
        <v/>
      </c>
      <c r="M554" s="45" t="str">
        <f>IFERROR((SUMIF(Data!B:B, A554, Data!K:K)
/ (COUNTIF(Data!B:B, A554)
)),"")</f>
        <v/>
      </c>
      <c r="N554" s="56"/>
      <c r="O554" s="56" t="str">
        <f>IF(A554="","",IFERROR((((((SUMIF(Data!B:B, A554, Data!H:H)+(SUMIF(Data!B:B, A554,Data!G:G)+(SUMIF(Data!B:B, A554,Data!L:L)+(SUMIF(Data!B:B, A554,Data!K:K)))))/(SUMIF(Data!B:B, A554, Data!M:M)+(SUMIF(Data!B:B, A554, Data!H:H)+(SUMIF(Data!B:B, A554,Data!G:G)+(SUMIF(Data!B:B, A554,Data!K:K)+(SUMIF(Data!B:B, A554,Data!L:L)))))))))),0))</f>
        <v/>
      </c>
      <c r="P554" s="57" t="str">
        <f>IFERROR(__xludf.DUMMYFUNCTION("IFERROR(((COUNTIF(FILTER(Data!N:N,Data!B:B=A554),""TRAVERSE"")*15)+(COUNTIF(FILTER(Data!N:N,Data!B:B=A554),""HIGH"")*10)+(COUNTIF(FILTER(Data!N:N,Data!B:B=A554),""MIDDLE"")*6)+(COUNTIF(FILTER(Data!N:N,Data!B:B=A554),""LOW"")*4)) / (COUNTIF(Data!B:B, A554)"&amp;"),"""")"),"")</f>
        <v/>
      </c>
      <c r="Q554" s="58"/>
      <c r="R554" s="58"/>
      <c r="S554" s="58" t="str">
        <f>IFERROR(__xludf.DUMMYFUNCTION("IFERROR((((COUNTIF(FILTER(Data!N:N,Data!B:B=A554),""TRAVERSE""))+(COUNTIF(FILTER(Data!N:N,Data!B:B=A554),""HIGH""))+(COUNTIF(FILTER(Data!N:N,Data!B:B=A554),""MIDDLE""))+(COUNTIF(FILTER(Data!N:N,Data!B:B=A554),""LOW"")))) / (((COUNTIF(Data!B:B, A554)))-(CO"&amp;"UNTIF(FILTER(Data!N:N,Data!B:B=A554),""NONE""))),IF(ISBLANK(A554),"""",0))"),"")</f>
        <v/>
      </c>
      <c r="T554" s="56" t="str">
        <f>IFERROR(__xludf.DUMMYFUNCTION("IFERROR((COUNTIF(FILTER(Data!N:N, Data!B:B=A554),""LOW"")) / (COUNTIF(Data!B:B, A554)),"""")"),"")</f>
        <v/>
      </c>
      <c r="U554" s="59" t="str">
        <f>IFERROR(__xludf.DUMMYFUNCTION("IFERROR((COUNTIF(FILTER(Data!N:N, Data!B:B=A554),""MIDDLE"")) / (COUNTIF(Data!B:B, A554)),"""")"),"")</f>
        <v/>
      </c>
      <c r="V554" s="59" t="str">
        <f>IFERROR(__xludf.DUMMYFUNCTION("IFERROR((COUNTIF(FILTER(Data!N:N, Data!B:B=A554),""HIGH"")) / (COUNTIF(Data!B:B, A554)),"""")"),"")</f>
        <v/>
      </c>
      <c r="W554" s="59" t="str">
        <f>IFERROR(__xludf.DUMMYFUNCTION("IFERROR((COUNTIF(FILTER(Data!N:N, Data!B:B=A554),""TRAVERSE"")) / (COUNTIF(Data!B:B, A554)),"""")"),"")</f>
        <v/>
      </c>
      <c r="X554" s="59"/>
      <c r="Y554" s="45" t="str">
        <f t="shared" si="7"/>
        <v/>
      </c>
      <c r="Z554" s="45" t="str">
        <f t="shared" si="8"/>
        <v/>
      </c>
      <c r="AA554" s="16" t="str">
        <f t="shared" si="9"/>
        <v/>
      </c>
      <c r="AB554" s="16"/>
      <c r="AC554" s="16"/>
      <c r="AD554" s="16"/>
      <c r="AE554" s="16" t="str">
        <f t="shared" si="12"/>
        <v/>
      </c>
      <c r="AF554" s="16" t="str">
        <f t="shared" si="13"/>
        <v/>
      </c>
      <c r="AG554" s="44"/>
      <c r="AH554" s="44"/>
      <c r="AI554" s="44" t="str">
        <f>IFERROR(__xludf.DUMMYFUNCTION("TEXTJOIN("", "",TRUE, FILTER(Data!P:P, Data!B:B=A554))"),"")</f>
        <v/>
      </c>
      <c r="AM554" s="61"/>
      <c r="BC554" s="50"/>
    </row>
    <row r="555">
      <c r="A555" s="14"/>
      <c r="B555" s="55" t="str">
        <f>IFERROR(__xludf.DUMMYFUNCTION("IFERROR(ROUND(
(COUNTIF(FILTER(Data!O:O, Data!B:B=A555), ""Win"")
+ COUNTIF(FILTER(Data!O:O, Data!B:B=A555), {""Tie"",""Results""}))
/ (COUNTIF(Data!B:B, A555)),
1),"""")"),"")</f>
        <v/>
      </c>
      <c r="C555" s="45" t="str">
        <f>IFERROR((SUMIF(Data!B:B, A555, Data!H:H)
/ (COUNTIF(Data!B:B, A555)
)),"")</f>
        <v/>
      </c>
      <c r="D555" s="45" t="str">
        <f>IFERROR((SUMIF(Data!B:B, A555, Data!G:G)
/ (COUNTIF(Data!B:B, A555)
)),"")</f>
        <v/>
      </c>
      <c r="E555" s="45"/>
      <c r="F555" s="45" t="str">
        <f>IFERROR((SUMIF(Data!B:B, A555, Data!J:J)
/ (COUNTIF(Data!B:B, A555)
)),"")</f>
        <v/>
      </c>
      <c r="G555" s="56" t="str">
        <f>IF(A555="","",IFERROR((((((SUMIF(Data!B:B, A555, Data!H:H)+(SUMIF(Data!B:B, A555,Data!G:G)))/(SUMIF(Data!B:B, A555, Data!J:J)))))),0))</f>
        <v/>
      </c>
      <c r="H555" s="45"/>
      <c r="I555" s="45"/>
      <c r="J555" s="45"/>
      <c r="K555" s="45"/>
      <c r="L555" s="45" t="str">
        <f>IFERROR((SUMIF(Data!B:B, A555, Data!L:L)
/ (COUNTIF(Data!B:B, A555)
)),"")</f>
        <v/>
      </c>
      <c r="M555" s="45" t="str">
        <f>IFERROR((SUMIF(Data!B:B, A555, Data!K:K)
/ (COUNTIF(Data!B:B, A555)
)),"")</f>
        <v/>
      </c>
      <c r="N555" s="56"/>
      <c r="O555" s="56" t="str">
        <f>IF(A555="","",IFERROR((((((SUMIF(Data!B:B, A555, Data!H:H)+(SUMIF(Data!B:B, A555,Data!G:G)+(SUMIF(Data!B:B, A555,Data!L:L)+(SUMIF(Data!B:B, A555,Data!K:K)))))/(SUMIF(Data!B:B, A555, Data!M:M)+(SUMIF(Data!B:B, A555, Data!H:H)+(SUMIF(Data!B:B, A555,Data!G:G)+(SUMIF(Data!B:B, A555,Data!K:K)+(SUMIF(Data!B:B, A555,Data!L:L)))))))))),0))</f>
        <v/>
      </c>
      <c r="P555" s="57" t="str">
        <f>IFERROR(__xludf.DUMMYFUNCTION("IFERROR(((COUNTIF(FILTER(Data!N:N,Data!B:B=A555),""TRAVERSE"")*15)+(COUNTIF(FILTER(Data!N:N,Data!B:B=A555),""HIGH"")*10)+(COUNTIF(FILTER(Data!N:N,Data!B:B=A555),""MIDDLE"")*6)+(COUNTIF(FILTER(Data!N:N,Data!B:B=A555),""LOW"")*4)) / (COUNTIF(Data!B:B, A555)"&amp;"),"""")"),"")</f>
        <v/>
      </c>
      <c r="Q555" s="58"/>
      <c r="R555" s="58"/>
      <c r="S555" s="58" t="str">
        <f>IFERROR(__xludf.DUMMYFUNCTION("IFERROR((((COUNTIF(FILTER(Data!N:N,Data!B:B=A555),""TRAVERSE""))+(COUNTIF(FILTER(Data!N:N,Data!B:B=A555),""HIGH""))+(COUNTIF(FILTER(Data!N:N,Data!B:B=A555),""MIDDLE""))+(COUNTIF(FILTER(Data!N:N,Data!B:B=A555),""LOW"")))) / (((COUNTIF(Data!B:B, A555)))-(CO"&amp;"UNTIF(FILTER(Data!N:N,Data!B:B=A555),""NONE""))),IF(ISBLANK(A555),"""",0))"),"")</f>
        <v/>
      </c>
      <c r="T555" s="56" t="str">
        <f>IFERROR(__xludf.DUMMYFUNCTION("IFERROR((COUNTIF(FILTER(Data!N:N, Data!B:B=A555),""LOW"")) / (COUNTIF(Data!B:B, A555)),"""")"),"")</f>
        <v/>
      </c>
      <c r="U555" s="59" t="str">
        <f>IFERROR(__xludf.DUMMYFUNCTION("IFERROR((COUNTIF(FILTER(Data!N:N, Data!B:B=A555),""MIDDLE"")) / (COUNTIF(Data!B:B, A555)),"""")"),"")</f>
        <v/>
      </c>
      <c r="V555" s="59" t="str">
        <f>IFERROR(__xludf.DUMMYFUNCTION("IFERROR((COUNTIF(FILTER(Data!N:N, Data!B:B=A555),""HIGH"")) / (COUNTIF(Data!B:B, A555)),"""")"),"")</f>
        <v/>
      </c>
      <c r="W555" s="59" t="str">
        <f>IFERROR(__xludf.DUMMYFUNCTION("IFERROR((COUNTIF(FILTER(Data!N:N, Data!B:B=A555),""TRAVERSE"")) / (COUNTIF(Data!B:B, A555)),"""")"),"")</f>
        <v/>
      </c>
      <c r="X555" s="59"/>
      <c r="Y555" s="45" t="str">
        <f t="shared" si="7"/>
        <v/>
      </c>
      <c r="Z555" s="45" t="str">
        <f t="shared" si="8"/>
        <v/>
      </c>
      <c r="AA555" s="16" t="str">
        <f t="shared" si="9"/>
        <v/>
      </c>
      <c r="AB555" s="16"/>
      <c r="AC555" s="16"/>
      <c r="AD555" s="16"/>
      <c r="AE555" s="16" t="str">
        <f t="shared" si="12"/>
        <v/>
      </c>
      <c r="AF555" s="16" t="str">
        <f t="shared" si="13"/>
        <v/>
      </c>
      <c r="AG555" s="44"/>
      <c r="AH555" s="44"/>
      <c r="AI555" s="44" t="str">
        <f>IFERROR(__xludf.DUMMYFUNCTION("TEXTJOIN("", "",TRUE, FILTER(Data!P:P, Data!B:B=A555))"),"")</f>
        <v/>
      </c>
      <c r="AM555" s="61"/>
      <c r="BC555" s="50"/>
    </row>
    <row r="556">
      <c r="A556" s="14"/>
      <c r="B556" s="55" t="str">
        <f>IFERROR(__xludf.DUMMYFUNCTION("IFERROR(ROUND(
(COUNTIF(FILTER(Data!O:O, Data!B:B=A556), ""Win"")
+ COUNTIF(FILTER(Data!O:O, Data!B:B=A556), {""Tie"",""Results""}))
/ (COUNTIF(Data!B:B, A556)),
1),"""")"),"")</f>
        <v/>
      </c>
      <c r="C556" s="45" t="str">
        <f>IFERROR((SUMIF(Data!B:B, A556, Data!H:H)
/ (COUNTIF(Data!B:B, A556)
)),"")</f>
        <v/>
      </c>
      <c r="D556" s="45" t="str">
        <f>IFERROR((SUMIF(Data!B:B, A556, Data!G:G)
/ (COUNTIF(Data!B:B, A556)
)),"")</f>
        <v/>
      </c>
      <c r="E556" s="45"/>
      <c r="F556" s="45" t="str">
        <f>IFERROR((SUMIF(Data!B:B, A556, Data!J:J)
/ (COUNTIF(Data!B:B, A556)
)),"")</f>
        <v/>
      </c>
      <c r="G556" s="56" t="str">
        <f>IF(A556="","",IFERROR((((((SUMIF(Data!B:B, A556, Data!H:H)+(SUMIF(Data!B:B, A556,Data!G:G)))/(SUMIF(Data!B:B, A556, Data!J:J)))))),0))</f>
        <v/>
      </c>
      <c r="H556" s="45"/>
      <c r="I556" s="45"/>
      <c r="J556" s="45"/>
      <c r="K556" s="45"/>
      <c r="L556" s="45" t="str">
        <f>IFERROR((SUMIF(Data!B:B, A556, Data!L:L)
/ (COUNTIF(Data!B:B, A556)
)),"")</f>
        <v/>
      </c>
      <c r="M556" s="45" t="str">
        <f>IFERROR((SUMIF(Data!B:B, A556, Data!K:K)
/ (COUNTIF(Data!B:B, A556)
)),"")</f>
        <v/>
      </c>
      <c r="N556" s="56"/>
      <c r="O556" s="56" t="str">
        <f>IF(A556="","",IFERROR((((((SUMIF(Data!B:B, A556, Data!H:H)+(SUMIF(Data!B:B, A556,Data!G:G)+(SUMIF(Data!B:B, A556,Data!L:L)+(SUMIF(Data!B:B, A556,Data!K:K)))))/(SUMIF(Data!B:B, A556, Data!M:M)+(SUMIF(Data!B:B, A556, Data!H:H)+(SUMIF(Data!B:B, A556,Data!G:G)+(SUMIF(Data!B:B, A556,Data!K:K)+(SUMIF(Data!B:B, A556,Data!L:L)))))))))),0))</f>
        <v/>
      </c>
      <c r="P556" s="57" t="str">
        <f>IFERROR(__xludf.DUMMYFUNCTION("IFERROR(((COUNTIF(FILTER(Data!N:N,Data!B:B=A556),""TRAVERSE"")*15)+(COUNTIF(FILTER(Data!N:N,Data!B:B=A556),""HIGH"")*10)+(COUNTIF(FILTER(Data!N:N,Data!B:B=A556),""MIDDLE"")*6)+(COUNTIF(FILTER(Data!N:N,Data!B:B=A556),""LOW"")*4)) / (COUNTIF(Data!B:B, A556)"&amp;"),"""")"),"")</f>
        <v/>
      </c>
      <c r="Q556" s="58"/>
      <c r="R556" s="58"/>
      <c r="S556" s="58" t="str">
        <f>IFERROR(__xludf.DUMMYFUNCTION("IFERROR((((COUNTIF(FILTER(Data!N:N,Data!B:B=A556),""TRAVERSE""))+(COUNTIF(FILTER(Data!N:N,Data!B:B=A556),""HIGH""))+(COUNTIF(FILTER(Data!N:N,Data!B:B=A556),""MIDDLE""))+(COUNTIF(FILTER(Data!N:N,Data!B:B=A556),""LOW"")))) / (((COUNTIF(Data!B:B, A556)))-(CO"&amp;"UNTIF(FILTER(Data!N:N,Data!B:B=A556),""NONE""))),IF(ISBLANK(A556),"""",0))"),"")</f>
        <v/>
      </c>
      <c r="T556" s="56" t="str">
        <f>IFERROR(__xludf.DUMMYFUNCTION("IFERROR((COUNTIF(FILTER(Data!N:N, Data!B:B=A556),""LOW"")) / (COUNTIF(Data!B:B, A556)),"""")"),"")</f>
        <v/>
      </c>
      <c r="U556" s="59" t="str">
        <f>IFERROR(__xludf.DUMMYFUNCTION("IFERROR((COUNTIF(FILTER(Data!N:N, Data!B:B=A556),""MIDDLE"")) / (COUNTIF(Data!B:B, A556)),"""")"),"")</f>
        <v/>
      </c>
      <c r="V556" s="59" t="str">
        <f>IFERROR(__xludf.DUMMYFUNCTION("IFERROR((COUNTIF(FILTER(Data!N:N, Data!B:B=A556),""HIGH"")) / (COUNTIF(Data!B:B, A556)),"""")"),"")</f>
        <v/>
      </c>
      <c r="W556" s="59" t="str">
        <f>IFERROR(__xludf.DUMMYFUNCTION("IFERROR((COUNTIF(FILTER(Data!N:N, Data!B:B=A556),""TRAVERSE"")) / (COUNTIF(Data!B:B, A556)),"""")"),"")</f>
        <v/>
      </c>
      <c r="X556" s="59"/>
      <c r="Y556" s="45" t="str">
        <f t="shared" si="7"/>
        <v/>
      </c>
      <c r="Z556" s="45" t="str">
        <f t="shared" si="8"/>
        <v/>
      </c>
      <c r="AA556" s="16" t="str">
        <f t="shared" si="9"/>
        <v/>
      </c>
      <c r="AB556" s="16"/>
      <c r="AC556" s="16"/>
      <c r="AD556" s="16"/>
      <c r="AE556" s="16" t="str">
        <f t="shared" si="12"/>
        <v/>
      </c>
      <c r="AF556" s="16" t="str">
        <f t="shared" si="13"/>
        <v/>
      </c>
      <c r="AG556" s="44"/>
      <c r="AH556" s="44"/>
      <c r="AI556" s="44" t="str">
        <f>IFERROR(__xludf.DUMMYFUNCTION("TEXTJOIN("", "",TRUE, FILTER(Data!P:P, Data!B:B=A556))"),"")</f>
        <v/>
      </c>
      <c r="AM556" s="61"/>
      <c r="BC556" s="50"/>
    </row>
    <row r="557">
      <c r="A557" s="14"/>
      <c r="B557" s="55" t="str">
        <f>IFERROR(__xludf.DUMMYFUNCTION("IFERROR(ROUND(
(COUNTIF(FILTER(Data!O:O, Data!B:B=A557), ""Win"")
+ COUNTIF(FILTER(Data!O:O, Data!B:B=A557), {""Tie"",""Results""}))
/ (COUNTIF(Data!B:B, A557)),
1),"""")"),"")</f>
        <v/>
      </c>
      <c r="C557" s="45" t="str">
        <f>IFERROR((SUMIF(Data!B:B, A557, Data!H:H)
/ (COUNTIF(Data!B:B, A557)
)),"")</f>
        <v/>
      </c>
      <c r="D557" s="45" t="str">
        <f>IFERROR((SUMIF(Data!B:B, A557, Data!G:G)
/ (COUNTIF(Data!B:B, A557)
)),"")</f>
        <v/>
      </c>
      <c r="E557" s="45"/>
      <c r="F557" s="45" t="str">
        <f>IFERROR((SUMIF(Data!B:B, A557, Data!J:J)
/ (COUNTIF(Data!B:B, A557)
)),"")</f>
        <v/>
      </c>
      <c r="G557" s="56" t="str">
        <f>IF(A557="","",IFERROR((((((SUMIF(Data!B:B, A557, Data!H:H)+(SUMIF(Data!B:B, A557,Data!G:G)))/(SUMIF(Data!B:B, A557, Data!J:J)))))),0))</f>
        <v/>
      </c>
      <c r="H557" s="45"/>
      <c r="I557" s="45"/>
      <c r="J557" s="45"/>
      <c r="K557" s="45"/>
      <c r="L557" s="45" t="str">
        <f>IFERROR((SUMIF(Data!B:B, A557, Data!L:L)
/ (COUNTIF(Data!B:B, A557)
)),"")</f>
        <v/>
      </c>
      <c r="M557" s="45" t="str">
        <f>IFERROR((SUMIF(Data!B:B, A557, Data!K:K)
/ (COUNTIF(Data!B:B, A557)
)),"")</f>
        <v/>
      </c>
      <c r="N557" s="56"/>
      <c r="O557" s="56" t="str">
        <f>IF(A557="","",IFERROR((((((SUMIF(Data!B:B, A557, Data!H:H)+(SUMIF(Data!B:B, A557,Data!G:G)+(SUMIF(Data!B:B, A557,Data!L:L)+(SUMIF(Data!B:B, A557,Data!K:K)))))/(SUMIF(Data!B:B, A557, Data!M:M)+(SUMIF(Data!B:B, A557, Data!H:H)+(SUMIF(Data!B:B, A557,Data!G:G)+(SUMIF(Data!B:B, A557,Data!K:K)+(SUMIF(Data!B:B, A557,Data!L:L)))))))))),0))</f>
        <v/>
      </c>
      <c r="P557" s="57" t="str">
        <f>IFERROR(__xludf.DUMMYFUNCTION("IFERROR(((COUNTIF(FILTER(Data!N:N,Data!B:B=A557),""TRAVERSE"")*15)+(COUNTIF(FILTER(Data!N:N,Data!B:B=A557),""HIGH"")*10)+(COUNTIF(FILTER(Data!N:N,Data!B:B=A557),""MIDDLE"")*6)+(COUNTIF(FILTER(Data!N:N,Data!B:B=A557),""LOW"")*4)) / (COUNTIF(Data!B:B, A557)"&amp;"),"""")"),"")</f>
        <v/>
      </c>
      <c r="Q557" s="58"/>
      <c r="R557" s="58"/>
      <c r="S557" s="58" t="str">
        <f>IFERROR(__xludf.DUMMYFUNCTION("IFERROR((((COUNTIF(FILTER(Data!N:N,Data!B:B=A557),""TRAVERSE""))+(COUNTIF(FILTER(Data!N:N,Data!B:B=A557),""HIGH""))+(COUNTIF(FILTER(Data!N:N,Data!B:B=A557),""MIDDLE""))+(COUNTIF(FILTER(Data!N:N,Data!B:B=A557),""LOW"")))) / (((COUNTIF(Data!B:B, A557)))-(CO"&amp;"UNTIF(FILTER(Data!N:N,Data!B:B=A557),""NONE""))),IF(ISBLANK(A557),"""",0))"),"")</f>
        <v/>
      </c>
      <c r="T557" s="56" t="str">
        <f>IFERROR(__xludf.DUMMYFUNCTION("IFERROR((COUNTIF(FILTER(Data!N:N, Data!B:B=A557),""LOW"")) / (COUNTIF(Data!B:B, A557)),"""")"),"")</f>
        <v/>
      </c>
      <c r="U557" s="59" t="str">
        <f>IFERROR(__xludf.DUMMYFUNCTION("IFERROR((COUNTIF(FILTER(Data!N:N, Data!B:B=A557),""MIDDLE"")) / (COUNTIF(Data!B:B, A557)),"""")"),"")</f>
        <v/>
      </c>
      <c r="V557" s="59" t="str">
        <f>IFERROR(__xludf.DUMMYFUNCTION("IFERROR((COUNTIF(FILTER(Data!N:N, Data!B:B=A557),""HIGH"")) / (COUNTIF(Data!B:B, A557)),"""")"),"")</f>
        <v/>
      </c>
      <c r="W557" s="59" t="str">
        <f>IFERROR(__xludf.DUMMYFUNCTION("IFERROR((COUNTIF(FILTER(Data!N:N, Data!B:B=A557),""TRAVERSE"")) / (COUNTIF(Data!B:B, A557)),"""")"),"")</f>
        <v/>
      </c>
      <c r="X557" s="59"/>
      <c r="Y557" s="45" t="str">
        <f t="shared" si="7"/>
        <v/>
      </c>
      <c r="Z557" s="45" t="str">
        <f t="shared" si="8"/>
        <v/>
      </c>
      <c r="AA557" s="16" t="str">
        <f t="shared" si="9"/>
        <v/>
      </c>
      <c r="AB557" s="16"/>
      <c r="AC557" s="16"/>
      <c r="AD557" s="16"/>
      <c r="AE557" s="16" t="str">
        <f t="shared" si="12"/>
        <v/>
      </c>
      <c r="AF557" s="16" t="str">
        <f t="shared" si="13"/>
        <v/>
      </c>
      <c r="AG557" s="44"/>
      <c r="AH557" s="44"/>
      <c r="AI557" s="44" t="str">
        <f>IFERROR(__xludf.DUMMYFUNCTION("TEXTJOIN("", "",TRUE, FILTER(Data!P:P, Data!B:B=A557))"),"")</f>
        <v/>
      </c>
      <c r="AM557" s="61"/>
      <c r="BC557" s="50"/>
    </row>
    <row r="558">
      <c r="A558" s="14"/>
      <c r="B558" s="55" t="str">
        <f>IFERROR(__xludf.DUMMYFUNCTION("IFERROR(ROUND(
(COUNTIF(FILTER(Data!O:O, Data!B:B=A558), ""Win"")
+ COUNTIF(FILTER(Data!O:O, Data!B:B=A558), {""Tie"",""Results""}))
/ (COUNTIF(Data!B:B, A558)),
1),"""")"),"")</f>
        <v/>
      </c>
      <c r="C558" s="45" t="str">
        <f>IFERROR((SUMIF(Data!B:B, A558, Data!H:H)
/ (COUNTIF(Data!B:B, A558)
)),"")</f>
        <v/>
      </c>
      <c r="D558" s="45" t="str">
        <f>IFERROR((SUMIF(Data!B:B, A558, Data!G:G)
/ (COUNTIF(Data!B:B, A558)
)),"")</f>
        <v/>
      </c>
      <c r="E558" s="45"/>
      <c r="F558" s="45" t="str">
        <f>IFERROR((SUMIF(Data!B:B, A558, Data!J:J)
/ (COUNTIF(Data!B:B, A558)
)),"")</f>
        <v/>
      </c>
      <c r="G558" s="56" t="str">
        <f>IF(A558="","",IFERROR((((((SUMIF(Data!B:B, A558, Data!H:H)+(SUMIF(Data!B:B, A558,Data!G:G)))/(SUMIF(Data!B:B, A558, Data!J:J)))))),0))</f>
        <v/>
      </c>
      <c r="H558" s="45"/>
      <c r="I558" s="45"/>
      <c r="J558" s="45"/>
      <c r="K558" s="45"/>
      <c r="L558" s="45" t="str">
        <f>IFERROR((SUMIF(Data!B:B, A558, Data!L:L)
/ (COUNTIF(Data!B:B, A558)
)),"")</f>
        <v/>
      </c>
      <c r="M558" s="45" t="str">
        <f>IFERROR((SUMIF(Data!B:B, A558, Data!K:K)
/ (COUNTIF(Data!B:B, A558)
)),"")</f>
        <v/>
      </c>
      <c r="N558" s="56"/>
      <c r="O558" s="56" t="str">
        <f>IF(A558="","",IFERROR((((((SUMIF(Data!B:B, A558, Data!H:H)+(SUMIF(Data!B:B, A558,Data!G:G)+(SUMIF(Data!B:B, A558,Data!L:L)+(SUMIF(Data!B:B, A558,Data!K:K)))))/(SUMIF(Data!B:B, A558, Data!M:M)+(SUMIF(Data!B:B, A558, Data!H:H)+(SUMIF(Data!B:B, A558,Data!G:G)+(SUMIF(Data!B:B, A558,Data!K:K)+(SUMIF(Data!B:B, A558,Data!L:L)))))))))),0))</f>
        <v/>
      </c>
      <c r="P558" s="57" t="str">
        <f>IFERROR(__xludf.DUMMYFUNCTION("IFERROR(((COUNTIF(FILTER(Data!N:N,Data!B:B=A558),""TRAVERSE"")*15)+(COUNTIF(FILTER(Data!N:N,Data!B:B=A558),""HIGH"")*10)+(COUNTIF(FILTER(Data!N:N,Data!B:B=A558),""MIDDLE"")*6)+(COUNTIF(FILTER(Data!N:N,Data!B:B=A558),""LOW"")*4)) / (COUNTIF(Data!B:B, A558)"&amp;"),"""")"),"")</f>
        <v/>
      </c>
      <c r="Q558" s="58"/>
      <c r="R558" s="58"/>
      <c r="S558" s="58" t="str">
        <f>IFERROR(__xludf.DUMMYFUNCTION("IFERROR((((COUNTIF(FILTER(Data!N:N,Data!B:B=A558),""TRAVERSE""))+(COUNTIF(FILTER(Data!N:N,Data!B:B=A558),""HIGH""))+(COUNTIF(FILTER(Data!N:N,Data!B:B=A558),""MIDDLE""))+(COUNTIF(FILTER(Data!N:N,Data!B:B=A558),""LOW"")))) / (((COUNTIF(Data!B:B, A558)))-(CO"&amp;"UNTIF(FILTER(Data!N:N,Data!B:B=A558),""NONE""))),IF(ISBLANK(A558),"""",0))"),"")</f>
        <v/>
      </c>
      <c r="T558" s="56" t="str">
        <f>IFERROR(__xludf.DUMMYFUNCTION("IFERROR((COUNTIF(FILTER(Data!N:N, Data!B:B=A558),""LOW"")) / (COUNTIF(Data!B:B, A558)),"""")"),"")</f>
        <v/>
      </c>
      <c r="U558" s="59" t="str">
        <f>IFERROR(__xludf.DUMMYFUNCTION("IFERROR((COUNTIF(FILTER(Data!N:N, Data!B:B=A558),""MIDDLE"")) / (COUNTIF(Data!B:B, A558)),"""")"),"")</f>
        <v/>
      </c>
      <c r="V558" s="59" t="str">
        <f>IFERROR(__xludf.DUMMYFUNCTION("IFERROR((COUNTIF(FILTER(Data!N:N, Data!B:B=A558),""HIGH"")) / (COUNTIF(Data!B:B, A558)),"""")"),"")</f>
        <v/>
      </c>
      <c r="W558" s="59" t="str">
        <f>IFERROR(__xludf.DUMMYFUNCTION("IFERROR((COUNTIF(FILTER(Data!N:N, Data!B:B=A558),""TRAVERSE"")) / (COUNTIF(Data!B:B, A558)),"""")"),"")</f>
        <v/>
      </c>
      <c r="X558" s="59"/>
      <c r="Y558" s="45" t="str">
        <f t="shared" si="7"/>
        <v/>
      </c>
      <c r="Z558" s="45" t="str">
        <f t="shared" si="8"/>
        <v/>
      </c>
      <c r="AA558" s="16" t="str">
        <f t="shared" si="9"/>
        <v/>
      </c>
      <c r="AB558" s="16"/>
      <c r="AC558" s="16"/>
      <c r="AD558" s="16"/>
      <c r="AE558" s="16" t="str">
        <f t="shared" si="12"/>
        <v/>
      </c>
      <c r="AF558" s="16" t="str">
        <f t="shared" si="13"/>
        <v/>
      </c>
      <c r="AG558" s="44"/>
      <c r="AH558" s="44"/>
      <c r="AI558" s="44" t="str">
        <f>IFERROR(__xludf.DUMMYFUNCTION("TEXTJOIN("", "",TRUE, FILTER(Data!P:P, Data!B:B=A558))"),"")</f>
        <v/>
      </c>
      <c r="AM558" s="61"/>
      <c r="BC558" s="50"/>
    </row>
    <row r="559">
      <c r="A559" s="14"/>
      <c r="B559" s="55" t="str">
        <f>IFERROR(__xludf.DUMMYFUNCTION("IFERROR(ROUND(
(COUNTIF(FILTER(Data!O:O, Data!B:B=A559), ""Win"")
+ COUNTIF(FILTER(Data!O:O, Data!B:B=A559), {""Tie"",""Results""}))
/ (COUNTIF(Data!B:B, A559)),
1),"""")"),"")</f>
        <v/>
      </c>
      <c r="C559" s="45" t="str">
        <f>IFERROR((SUMIF(Data!B:B, A559, Data!H:H)
/ (COUNTIF(Data!B:B, A559)
)),"")</f>
        <v/>
      </c>
      <c r="D559" s="45" t="str">
        <f>IFERROR((SUMIF(Data!B:B, A559, Data!G:G)
/ (COUNTIF(Data!B:B, A559)
)),"")</f>
        <v/>
      </c>
      <c r="E559" s="45"/>
      <c r="F559" s="45" t="str">
        <f>IFERROR((SUMIF(Data!B:B, A559, Data!J:J)
/ (COUNTIF(Data!B:B, A559)
)),"")</f>
        <v/>
      </c>
      <c r="G559" s="56" t="str">
        <f>IF(A559="","",IFERROR((((((SUMIF(Data!B:B, A559, Data!H:H)+(SUMIF(Data!B:B, A559,Data!G:G)))/(SUMIF(Data!B:B, A559, Data!J:J)))))),0))</f>
        <v/>
      </c>
      <c r="H559" s="45"/>
      <c r="I559" s="45"/>
      <c r="J559" s="45"/>
      <c r="K559" s="45"/>
      <c r="L559" s="45" t="str">
        <f>IFERROR((SUMIF(Data!B:B, A559, Data!L:L)
/ (COUNTIF(Data!B:B, A559)
)),"")</f>
        <v/>
      </c>
      <c r="M559" s="45" t="str">
        <f>IFERROR((SUMIF(Data!B:B, A559, Data!K:K)
/ (COUNTIF(Data!B:B, A559)
)),"")</f>
        <v/>
      </c>
      <c r="N559" s="56"/>
      <c r="O559" s="56" t="str">
        <f>IF(A559="","",IFERROR((((((SUMIF(Data!B:B, A559, Data!H:H)+(SUMIF(Data!B:B, A559,Data!G:G)+(SUMIF(Data!B:B, A559,Data!L:L)+(SUMIF(Data!B:B, A559,Data!K:K)))))/(SUMIF(Data!B:B, A559, Data!M:M)+(SUMIF(Data!B:B, A559, Data!H:H)+(SUMIF(Data!B:B, A559,Data!G:G)+(SUMIF(Data!B:B, A559,Data!K:K)+(SUMIF(Data!B:B, A559,Data!L:L)))))))))),0))</f>
        <v/>
      </c>
      <c r="P559" s="57" t="str">
        <f>IFERROR(__xludf.DUMMYFUNCTION("IFERROR(((COUNTIF(FILTER(Data!N:N,Data!B:B=A559),""TRAVERSE"")*15)+(COUNTIF(FILTER(Data!N:N,Data!B:B=A559),""HIGH"")*10)+(COUNTIF(FILTER(Data!N:N,Data!B:B=A559),""MIDDLE"")*6)+(COUNTIF(FILTER(Data!N:N,Data!B:B=A559),""LOW"")*4)) / (COUNTIF(Data!B:B, A559)"&amp;"),"""")"),"")</f>
        <v/>
      </c>
      <c r="Q559" s="58"/>
      <c r="R559" s="58"/>
      <c r="S559" s="58" t="str">
        <f>IFERROR(__xludf.DUMMYFUNCTION("IFERROR((((COUNTIF(FILTER(Data!N:N,Data!B:B=A559),""TRAVERSE""))+(COUNTIF(FILTER(Data!N:N,Data!B:B=A559),""HIGH""))+(COUNTIF(FILTER(Data!N:N,Data!B:B=A559),""MIDDLE""))+(COUNTIF(FILTER(Data!N:N,Data!B:B=A559),""LOW"")))) / (((COUNTIF(Data!B:B, A559)))-(CO"&amp;"UNTIF(FILTER(Data!N:N,Data!B:B=A559),""NONE""))),IF(ISBLANK(A559),"""",0))"),"")</f>
        <v/>
      </c>
      <c r="T559" s="56" t="str">
        <f>IFERROR(__xludf.DUMMYFUNCTION("IFERROR((COUNTIF(FILTER(Data!N:N, Data!B:B=A559),""LOW"")) / (COUNTIF(Data!B:B, A559)),"""")"),"")</f>
        <v/>
      </c>
      <c r="U559" s="59" t="str">
        <f>IFERROR(__xludf.DUMMYFUNCTION("IFERROR((COUNTIF(FILTER(Data!N:N, Data!B:B=A559),""MIDDLE"")) / (COUNTIF(Data!B:B, A559)),"""")"),"")</f>
        <v/>
      </c>
      <c r="V559" s="59" t="str">
        <f>IFERROR(__xludf.DUMMYFUNCTION("IFERROR((COUNTIF(FILTER(Data!N:N, Data!B:B=A559),""HIGH"")) / (COUNTIF(Data!B:B, A559)),"""")"),"")</f>
        <v/>
      </c>
      <c r="W559" s="59" t="str">
        <f>IFERROR(__xludf.DUMMYFUNCTION("IFERROR((COUNTIF(FILTER(Data!N:N, Data!B:B=A559),""TRAVERSE"")) / (COUNTIF(Data!B:B, A559)),"""")"),"")</f>
        <v/>
      </c>
      <c r="X559" s="59"/>
      <c r="Y559" s="45" t="str">
        <f t="shared" si="7"/>
        <v/>
      </c>
      <c r="Z559" s="45" t="str">
        <f t="shared" si="8"/>
        <v/>
      </c>
      <c r="AA559" s="16" t="str">
        <f t="shared" si="9"/>
        <v/>
      </c>
      <c r="AB559" s="16"/>
      <c r="AC559" s="16"/>
      <c r="AD559" s="16"/>
      <c r="AE559" s="16" t="str">
        <f t="shared" si="12"/>
        <v/>
      </c>
      <c r="AF559" s="16" t="str">
        <f t="shared" si="13"/>
        <v/>
      </c>
      <c r="AG559" s="44"/>
      <c r="AH559" s="44"/>
      <c r="AI559" s="44" t="str">
        <f>IFERROR(__xludf.DUMMYFUNCTION("TEXTJOIN("", "",TRUE, FILTER(Data!P:P, Data!B:B=A559))"),"")</f>
        <v/>
      </c>
      <c r="AM559" s="61"/>
      <c r="BC559" s="50"/>
    </row>
    <row r="560">
      <c r="A560" s="14"/>
      <c r="B560" s="55" t="str">
        <f>IFERROR(__xludf.DUMMYFUNCTION("IFERROR(ROUND(
(COUNTIF(FILTER(Data!O:O, Data!B:B=A560), ""Win"")
+ COUNTIF(FILTER(Data!O:O, Data!B:B=A560), {""Tie"",""Results""}))
/ (COUNTIF(Data!B:B, A560)),
1),"""")"),"")</f>
        <v/>
      </c>
      <c r="C560" s="45" t="str">
        <f>IFERROR((SUMIF(Data!B:B, A560, Data!H:H)
/ (COUNTIF(Data!B:B, A560)
)),"")</f>
        <v/>
      </c>
      <c r="D560" s="45" t="str">
        <f>IFERROR((SUMIF(Data!B:B, A560, Data!G:G)
/ (COUNTIF(Data!B:B, A560)
)),"")</f>
        <v/>
      </c>
      <c r="E560" s="45"/>
      <c r="F560" s="45" t="str">
        <f>IFERROR((SUMIF(Data!B:B, A560, Data!J:J)
/ (COUNTIF(Data!B:B, A560)
)),"")</f>
        <v/>
      </c>
      <c r="G560" s="56" t="str">
        <f>IF(A560="","",IFERROR((((((SUMIF(Data!B:B, A560, Data!H:H)+(SUMIF(Data!B:B, A560,Data!G:G)))/(SUMIF(Data!B:B, A560, Data!J:J)))))),0))</f>
        <v/>
      </c>
      <c r="H560" s="45"/>
      <c r="I560" s="45"/>
      <c r="J560" s="45"/>
      <c r="K560" s="45"/>
      <c r="L560" s="45" t="str">
        <f>IFERROR((SUMIF(Data!B:B, A560, Data!L:L)
/ (COUNTIF(Data!B:B, A560)
)),"")</f>
        <v/>
      </c>
      <c r="M560" s="45" t="str">
        <f>IFERROR((SUMIF(Data!B:B, A560, Data!K:K)
/ (COUNTIF(Data!B:B, A560)
)),"")</f>
        <v/>
      </c>
      <c r="N560" s="56"/>
      <c r="O560" s="56" t="str">
        <f>IF(A560="","",IFERROR((((((SUMIF(Data!B:B, A560, Data!H:H)+(SUMIF(Data!B:B, A560,Data!G:G)+(SUMIF(Data!B:B, A560,Data!L:L)+(SUMIF(Data!B:B, A560,Data!K:K)))))/(SUMIF(Data!B:B, A560, Data!M:M)+(SUMIF(Data!B:B, A560, Data!H:H)+(SUMIF(Data!B:B, A560,Data!G:G)+(SUMIF(Data!B:B, A560,Data!K:K)+(SUMIF(Data!B:B, A560,Data!L:L)))))))))),0))</f>
        <v/>
      </c>
      <c r="P560" s="57" t="str">
        <f>IFERROR(__xludf.DUMMYFUNCTION("IFERROR(((COUNTIF(FILTER(Data!N:N,Data!B:B=A560),""TRAVERSE"")*15)+(COUNTIF(FILTER(Data!N:N,Data!B:B=A560),""HIGH"")*10)+(COUNTIF(FILTER(Data!N:N,Data!B:B=A560),""MIDDLE"")*6)+(COUNTIF(FILTER(Data!N:N,Data!B:B=A560),""LOW"")*4)) / (COUNTIF(Data!B:B, A560)"&amp;"),"""")"),"")</f>
        <v/>
      </c>
      <c r="Q560" s="58"/>
      <c r="R560" s="58"/>
      <c r="S560" s="58" t="str">
        <f>IFERROR(__xludf.DUMMYFUNCTION("IFERROR((((COUNTIF(FILTER(Data!N:N,Data!B:B=A560),""TRAVERSE""))+(COUNTIF(FILTER(Data!N:N,Data!B:B=A560),""HIGH""))+(COUNTIF(FILTER(Data!N:N,Data!B:B=A560),""MIDDLE""))+(COUNTIF(FILTER(Data!N:N,Data!B:B=A560),""LOW"")))) / (((COUNTIF(Data!B:B, A560)))-(CO"&amp;"UNTIF(FILTER(Data!N:N,Data!B:B=A560),""NONE""))),IF(ISBLANK(A560),"""",0))"),"")</f>
        <v/>
      </c>
      <c r="T560" s="56" t="str">
        <f>IFERROR(__xludf.DUMMYFUNCTION("IFERROR((COUNTIF(FILTER(Data!N:N, Data!B:B=A560),""LOW"")) / (COUNTIF(Data!B:B, A560)),"""")"),"")</f>
        <v/>
      </c>
      <c r="U560" s="59" t="str">
        <f>IFERROR(__xludf.DUMMYFUNCTION("IFERROR((COUNTIF(FILTER(Data!N:N, Data!B:B=A560),""MIDDLE"")) / (COUNTIF(Data!B:B, A560)),"""")"),"")</f>
        <v/>
      </c>
      <c r="V560" s="59" t="str">
        <f>IFERROR(__xludf.DUMMYFUNCTION("IFERROR((COUNTIF(FILTER(Data!N:N, Data!B:B=A560),""HIGH"")) / (COUNTIF(Data!B:B, A560)),"""")"),"")</f>
        <v/>
      </c>
      <c r="W560" s="59" t="str">
        <f>IFERROR(__xludf.DUMMYFUNCTION("IFERROR((COUNTIF(FILTER(Data!N:N, Data!B:B=A560),""TRAVERSE"")) / (COUNTIF(Data!B:B, A560)),"""")"),"")</f>
        <v/>
      </c>
      <c r="X560" s="59"/>
      <c r="Y560" s="45" t="str">
        <f t="shared" si="7"/>
        <v/>
      </c>
      <c r="Z560" s="45" t="str">
        <f t="shared" si="8"/>
        <v/>
      </c>
      <c r="AA560" s="16" t="str">
        <f t="shared" si="9"/>
        <v/>
      </c>
      <c r="AB560" s="16"/>
      <c r="AC560" s="16"/>
      <c r="AD560" s="16"/>
      <c r="AE560" s="16" t="str">
        <f t="shared" si="12"/>
        <v/>
      </c>
      <c r="AF560" s="16" t="str">
        <f t="shared" si="13"/>
        <v/>
      </c>
      <c r="AG560" s="44"/>
      <c r="AH560" s="44"/>
      <c r="AI560" s="44" t="str">
        <f>IFERROR(__xludf.DUMMYFUNCTION("TEXTJOIN("", "",TRUE, FILTER(Data!P:P, Data!B:B=A560))"),"")</f>
        <v/>
      </c>
      <c r="AM560" s="61"/>
      <c r="BC560" s="50"/>
    </row>
    <row r="561">
      <c r="A561" s="14"/>
      <c r="B561" s="55" t="str">
        <f>IFERROR(__xludf.DUMMYFUNCTION("IFERROR(ROUND(
(COUNTIF(FILTER(Data!O:O, Data!B:B=A561), ""Win"")
+ COUNTIF(FILTER(Data!O:O, Data!B:B=A561), {""Tie"",""Results""}))
/ (COUNTIF(Data!B:B, A561)),
1),"""")"),"")</f>
        <v/>
      </c>
      <c r="C561" s="45" t="str">
        <f>IFERROR((SUMIF(Data!B:B, A561, Data!H:H)
/ (COUNTIF(Data!B:B, A561)
)),"")</f>
        <v/>
      </c>
      <c r="D561" s="45" t="str">
        <f>IFERROR((SUMIF(Data!B:B, A561, Data!G:G)
/ (COUNTIF(Data!B:B, A561)
)),"")</f>
        <v/>
      </c>
      <c r="E561" s="45"/>
      <c r="F561" s="45" t="str">
        <f>IFERROR((SUMIF(Data!B:B, A561, Data!J:J)
/ (COUNTIF(Data!B:B, A561)
)),"")</f>
        <v/>
      </c>
      <c r="G561" s="56" t="str">
        <f>IF(A561="","",IFERROR((((((SUMIF(Data!B:B, A561, Data!H:H)+(SUMIF(Data!B:B, A561,Data!G:G)))/(SUMIF(Data!B:B, A561, Data!J:J)))))),0))</f>
        <v/>
      </c>
      <c r="H561" s="45"/>
      <c r="I561" s="45"/>
      <c r="J561" s="45"/>
      <c r="K561" s="45"/>
      <c r="L561" s="45" t="str">
        <f>IFERROR((SUMIF(Data!B:B, A561, Data!L:L)
/ (COUNTIF(Data!B:B, A561)
)),"")</f>
        <v/>
      </c>
      <c r="M561" s="45" t="str">
        <f>IFERROR((SUMIF(Data!B:B, A561, Data!K:K)
/ (COUNTIF(Data!B:B, A561)
)),"")</f>
        <v/>
      </c>
      <c r="N561" s="56"/>
      <c r="O561" s="56" t="str">
        <f>IF(A561="","",IFERROR((((((SUMIF(Data!B:B, A561, Data!H:H)+(SUMIF(Data!B:B, A561,Data!G:G)+(SUMIF(Data!B:B, A561,Data!L:L)+(SUMIF(Data!B:B, A561,Data!K:K)))))/(SUMIF(Data!B:B, A561, Data!M:M)+(SUMIF(Data!B:B, A561, Data!H:H)+(SUMIF(Data!B:B, A561,Data!G:G)+(SUMIF(Data!B:B, A561,Data!K:K)+(SUMIF(Data!B:B, A561,Data!L:L)))))))))),0))</f>
        <v/>
      </c>
      <c r="P561" s="57" t="str">
        <f>IFERROR(__xludf.DUMMYFUNCTION("IFERROR(((COUNTIF(FILTER(Data!N:N,Data!B:B=A561),""TRAVERSE"")*15)+(COUNTIF(FILTER(Data!N:N,Data!B:B=A561),""HIGH"")*10)+(COUNTIF(FILTER(Data!N:N,Data!B:B=A561),""MIDDLE"")*6)+(COUNTIF(FILTER(Data!N:N,Data!B:B=A561),""LOW"")*4)) / (COUNTIF(Data!B:B, A561)"&amp;"),"""")"),"")</f>
        <v/>
      </c>
      <c r="Q561" s="58"/>
      <c r="R561" s="58"/>
      <c r="S561" s="58" t="str">
        <f>IFERROR(__xludf.DUMMYFUNCTION("IFERROR((((COUNTIF(FILTER(Data!N:N,Data!B:B=A561),""TRAVERSE""))+(COUNTIF(FILTER(Data!N:N,Data!B:B=A561),""HIGH""))+(COUNTIF(FILTER(Data!N:N,Data!B:B=A561),""MIDDLE""))+(COUNTIF(FILTER(Data!N:N,Data!B:B=A561),""LOW"")))) / (((COUNTIF(Data!B:B, A561)))-(CO"&amp;"UNTIF(FILTER(Data!N:N,Data!B:B=A561),""NONE""))),IF(ISBLANK(A561),"""",0))"),"")</f>
        <v/>
      </c>
      <c r="T561" s="56" t="str">
        <f>IFERROR(__xludf.DUMMYFUNCTION("IFERROR((COUNTIF(FILTER(Data!N:N, Data!B:B=A561),""LOW"")) / (COUNTIF(Data!B:B, A561)),"""")"),"")</f>
        <v/>
      </c>
      <c r="U561" s="59" t="str">
        <f>IFERROR(__xludf.DUMMYFUNCTION("IFERROR((COUNTIF(FILTER(Data!N:N, Data!B:B=A561),""MIDDLE"")) / (COUNTIF(Data!B:B, A561)),"""")"),"")</f>
        <v/>
      </c>
      <c r="V561" s="59" t="str">
        <f>IFERROR(__xludf.DUMMYFUNCTION("IFERROR((COUNTIF(FILTER(Data!N:N, Data!B:B=A561),""HIGH"")) / (COUNTIF(Data!B:B, A561)),"""")"),"")</f>
        <v/>
      </c>
      <c r="W561" s="59" t="str">
        <f>IFERROR(__xludf.DUMMYFUNCTION("IFERROR((COUNTIF(FILTER(Data!N:N, Data!B:B=A561),""TRAVERSE"")) / (COUNTIF(Data!B:B, A561)),"""")"),"")</f>
        <v/>
      </c>
      <c r="X561" s="59"/>
      <c r="Y561" s="45" t="str">
        <f t="shared" si="7"/>
        <v/>
      </c>
      <c r="Z561" s="45" t="str">
        <f t="shared" si="8"/>
        <v/>
      </c>
      <c r="AA561" s="16" t="str">
        <f t="shared" si="9"/>
        <v/>
      </c>
      <c r="AB561" s="16"/>
      <c r="AC561" s="16"/>
      <c r="AD561" s="16"/>
      <c r="AE561" s="16" t="str">
        <f t="shared" si="12"/>
        <v/>
      </c>
      <c r="AF561" s="16" t="str">
        <f t="shared" si="13"/>
        <v/>
      </c>
      <c r="AG561" s="44"/>
      <c r="AH561" s="44"/>
      <c r="AI561" s="44" t="str">
        <f>IFERROR(__xludf.DUMMYFUNCTION("TEXTJOIN("", "",TRUE, FILTER(Data!P:P, Data!B:B=A561))"),"")</f>
        <v/>
      </c>
      <c r="AM561" s="61"/>
      <c r="BC561" s="50"/>
    </row>
    <row r="562">
      <c r="A562" s="14"/>
      <c r="B562" s="55" t="str">
        <f>IFERROR(__xludf.DUMMYFUNCTION("IFERROR(ROUND(
(COUNTIF(FILTER(Data!O:O, Data!B:B=A562), ""Win"")
+ COUNTIF(FILTER(Data!O:O, Data!B:B=A562), {""Tie"",""Results""}))
/ (COUNTIF(Data!B:B, A562)),
1),"""")"),"")</f>
        <v/>
      </c>
      <c r="C562" s="45" t="str">
        <f>IFERROR((SUMIF(Data!B:B, A562, Data!H:H)
/ (COUNTIF(Data!B:B, A562)
)),"")</f>
        <v/>
      </c>
      <c r="D562" s="45" t="str">
        <f>IFERROR((SUMIF(Data!B:B, A562, Data!G:G)
/ (COUNTIF(Data!B:B, A562)
)),"")</f>
        <v/>
      </c>
      <c r="E562" s="45"/>
      <c r="F562" s="45" t="str">
        <f>IFERROR((SUMIF(Data!B:B, A562, Data!J:J)
/ (COUNTIF(Data!B:B, A562)
)),"")</f>
        <v/>
      </c>
      <c r="G562" s="56" t="str">
        <f>IF(A562="","",IFERROR((((((SUMIF(Data!B:B, A562, Data!H:H)+(SUMIF(Data!B:B, A562,Data!G:G)))/(SUMIF(Data!B:B, A562, Data!J:J)))))),0))</f>
        <v/>
      </c>
      <c r="H562" s="45"/>
      <c r="I562" s="45"/>
      <c r="J562" s="45"/>
      <c r="K562" s="45"/>
      <c r="L562" s="45" t="str">
        <f>IFERROR((SUMIF(Data!B:B, A562, Data!L:L)
/ (COUNTIF(Data!B:B, A562)
)),"")</f>
        <v/>
      </c>
      <c r="M562" s="45" t="str">
        <f>IFERROR((SUMIF(Data!B:B, A562, Data!K:K)
/ (COUNTIF(Data!B:B, A562)
)),"")</f>
        <v/>
      </c>
      <c r="N562" s="56"/>
      <c r="O562" s="56" t="str">
        <f>IF(A562="","",IFERROR((((((SUMIF(Data!B:B, A562, Data!H:H)+(SUMIF(Data!B:B, A562,Data!G:G)+(SUMIF(Data!B:B, A562,Data!L:L)+(SUMIF(Data!B:B, A562,Data!K:K)))))/(SUMIF(Data!B:B, A562, Data!M:M)+(SUMIF(Data!B:B, A562, Data!H:H)+(SUMIF(Data!B:B, A562,Data!G:G)+(SUMIF(Data!B:B, A562,Data!K:K)+(SUMIF(Data!B:B, A562,Data!L:L)))))))))),0))</f>
        <v/>
      </c>
      <c r="P562" s="57" t="str">
        <f>IFERROR(__xludf.DUMMYFUNCTION("IFERROR(((COUNTIF(FILTER(Data!N:N,Data!B:B=A562),""TRAVERSE"")*15)+(COUNTIF(FILTER(Data!N:N,Data!B:B=A562),""HIGH"")*10)+(COUNTIF(FILTER(Data!N:N,Data!B:B=A562),""MIDDLE"")*6)+(COUNTIF(FILTER(Data!N:N,Data!B:B=A562),""LOW"")*4)) / (COUNTIF(Data!B:B, A562)"&amp;"),"""")"),"")</f>
        <v/>
      </c>
      <c r="Q562" s="58"/>
      <c r="R562" s="58"/>
      <c r="S562" s="58" t="str">
        <f>IFERROR(__xludf.DUMMYFUNCTION("IFERROR((((COUNTIF(FILTER(Data!N:N,Data!B:B=A562),""TRAVERSE""))+(COUNTIF(FILTER(Data!N:N,Data!B:B=A562),""HIGH""))+(COUNTIF(FILTER(Data!N:N,Data!B:B=A562),""MIDDLE""))+(COUNTIF(FILTER(Data!N:N,Data!B:B=A562),""LOW"")))) / (((COUNTIF(Data!B:B, A562)))-(CO"&amp;"UNTIF(FILTER(Data!N:N,Data!B:B=A562),""NONE""))),IF(ISBLANK(A562),"""",0))"),"")</f>
        <v/>
      </c>
      <c r="T562" s="56" t="str">
        <f>IFERROR(__xludf.DUMMYFUNCTION("IFERROR((COUNTIF(FILTER(Data!N:N, Data!B:B=A562),""LOW"")) / (COUNTIF(Data!B:B, A562)),"""")"),"")</f>
        <v/>
      </c>
      <c r="U562" s="59" t="str">
        <f>IFERROR(__xludf.DUMMYFUNCTION("IFERROR((COUNTIF(FILTER(Data!N:N, Data!B:B=A562),""MIDDLE"")) / (COUNTIF(Data!B:B, A562)),"""")"),"")</f>
        <v/>
      </c>
      <c r="V562" s="59" t="str">
        <f>IFERROR(__xludf.DUMMYFUNCTION("IFERROR((COUNTIF(FILTER(Data!N:N, Data!B:B=A562),""HIGH"")) / (COUNTIF(Data!B:B, A562)),"""")"),"")</f>
        <v/>
      </c>
      <c r="W562" s="59" t="str">
        <f>IFERROR(__xludf.DUMMYFUNCTION("IFERROR((COUNTIF(FILTER(Data!N:N, Data!B:B=A562),""TRAVERSE"")) / (COUNTIF(Data!B:B, A562)),"""")"),"")</f>
        <v/>
      </c>
      <c r="X562" s="59"/>
      <c r="Y562" s="45" t="str">
        <f t="shared" si="7"/>
        <v/>
      </c>
      <c r="Z562" s="45" t="str">
        <f t="shared" si="8"/>
        <v/>
      </c>
      <c r="AA562" s="16" t="str">
        <f t="shared" si="9"/>
        <v/>
      </c>
      <c r="AB562" s="16"/>
      <c r="AC562" s="16"/>
      <c r="AD562" s="16"/>
      <c r="AE562" s="16" t="str">
        <f t="shared" si="12"/>
        <v/>
      </c>
      <c r="AF562" s="16" t="str">
        <f t="shared" si="13"/>
        <v/>
      </c>
      <c r="AG562" s="44"/>
      <c r="AH562" s="44"/>
      <c r="AI562" s="44" t="str">
        <f>IFERROR(__xludf.DUMMYFUNCTION("TEXTJOIN("", "",TRUE, FILTER(Data!P:P, Data!B:B=A562))"),"")</f>
        <v/>
      </c>
      <c r="AM562" s="61"/>
      <c r="BC562" s="50"/>
    </row>
    <row r="563">
      <c r="A563" s="14"/>
      <c r="B563" s="55" t="str">
        <f>IFERROR(__xludf.DUMMYFUNCTION("IFERROR(ROUND(
(COUNTIF(FILTER(Data!O:O, Data!B:B=A563), ""Win"")
+ COUNTIF(FILTER(Data!O:O, Data!B:B=A563), {""Tie"",""Results""}))
/ (COUNTIF(Data!B:B, A563)),
1),"""")"),"")</f>
        <v/>
      </c>
      <c r="C563" s="45" t="str">
        <f>IFERROR((SUMIF(Data!B:B, A563, Data!H:H)
/ (COUNTIF(Data!B:B, A563)
)),"")</f>
        <v/>
      </c>
      <c r="D563" s="45" t="str">
        <f>IFERROR((SUMIF(Data!B:B, A563, Data!G:G)
/ (COUNTIF(Data!B:B, A563)
)),"")</f>
        <v/>
      </c>
      <c r="E563" s="45"/>
      <c r="F563" s="45" t="str">
        <f>IFERROR((SUMIF(Data!B:B, A563, Data!J:J)
/ (COUNTIF(Data!B:B, A563)
)),"")</f>
        <v/>
      </c>
      <c r="G563" s="56" t="str">
        <f>IF(A563="","",IFERROR((((((SUMIF(Data!B:B, A563, Data!H:H)+(SUMIF(Data!B:B, A563,Data!G:G)))/(SUMIF(Data!B:B, A563, Data!J:J)))))),0))</f>
        <v/>
      </c>
      <c r="H563" s="45"/>
      <c r="I563" s="45"/>
      <c r="J563" s="45"/>
      <c r="K563" s="45"/>
      <c r="L563" s="45" t="str">
        <f>IFERROR((SUMIF(Data!B:B, A563, Data!L:L)
/ (COUNTIF(Data!B:B, A563)
)),"")</f>
        <v/>
      </c>
      <c r="M563" s="45" t="str">
        <f>IFERROR((SUMIF(Data!B:B, A563, Data!K:K)
/ (COUNTIF(Data!B:B, A563)
)),"")</f>
        <v/>
      </c>
      <c r="N563" s="56"/>
      <c r="O563" s="56" t="str">
        <f>IF(A563="","",IFERROR((((((SUMIF(Data!B:B, A563, Data!H:H)+(SUMIF(Data!B:B, A563,Data!G:G)+(SUMIF(Data!B:B, A563,Data!L:L)+(SUMIF(Data!B:B, A563,Data!K:K)))))/(SUMIF(Data!B:B, A563, Data!M:M)+(SUMIF(Data!B:B, A563, Data!H:H)+(SUMIF(Data!B:B, A563,Data!G:G)+(SUMIF(Data!B:B, A563,Data!K:K)+(SUMIF(Data!B:B, A563,Data!L:L)))))))))),0))</f>
        <v/>
      </c>
      <c r="P563" s="57" t="str">
        <f>IFERROR(__xludf.DUMMYFUNCTION("IFERROR(((COUNTIF(FILTER(Data!N:N,Data!B:B=A563),""TRAVERSE"")*15)+(COUNTIF(FILTER(Data!N:N,Data!B:B=A563),""HIGH"")*10)+(COUNTIF(FILTER(Data!N:N,Data!B:B=A563),""MIDDLE"")*6)+(COUNTIF(FILTER(Data!N:N,Data!B:B=A563),""LOW"")*4)) / (COUNTIF(Data!B:B, A563)"&amp;"),"""")"),"")</f>
        <v/>
      </c>
      <c r="Q563" s="58"/>
      <c r="R563" s="58"/>
      <c r="S563" s="58" t="str">
        <f>IFERROR(__xludf.DUMMYFUNCTION("IFERROR((((COUNTIF(FILTER(Data!N:N,Data!B:B=A563),""TRAVERSE""))+(COUNTIF(FILTER(Data!N:N,Data!B:B=A563),""HIGH""))+(COUNTIF(FILTER(Data!N:N,Data!B:B=A563),""MIDDLE""))+(COUNTIF(FILTER(Data!N:N,Data!B:B=A563),""LOW"")))) / (((COUNTIF(Data!B:B, A563)))-(CO"&amp;"UNTIF(FILTER(Data!N:N,Data!B:B=A563),""NONE""))),IF(ISBLANK(A563),"""",0))"),"")</f>
        <v/>
      </c>
      <c r="T563" s="56" t="str">
        <f>IFERROR(__xludf.DUMMYFUNCTION("IFERROR((COUNTIF(FILTER(Data!N:N, Data!B:B=A563),""LOW"")) / (COUNTIF(Data!B:B, A563)),"""")"),"")</f>
        <v/>
      </c>
      <c r="U563" s="59" t="str">
        <f>IFERROR(__xludf.DUMMYFUNCTION("IFERROR((COUNTIF(FILTER(Data!N:N, Data!B:B=A563),""MIDDLE"")) / (COUNTIF(Data!B:B, A563)),"""")"),"")</f>
        <v/>
      </c>
      <c r="V563" s="59" t="str">
        <f>IFERROR(__xludf.DUMMYFUNCTION("IFERROR((COUNTIF(FILTER(Data!N:N, Data!B:B=A563),""HIGH"")) / (COUNTIF(Data!B:B, A563)),"""")"),"")</f>
        <v/>
      </c>
      <c r="W563" s="59" t="str">
        <f>IFERROR(__xludf.DUMMYFUNCTION("IFERROR((COUNTIF(FILTER(Data!N:N, Data!B:B=A563),""TRAVERSE"")) / (COUNTIF(Data!B:B, A563)),"""")"),"")</f>
        <v/>
      </c>
      <c r="X563" s="59"/>
      <c r="Y563" s="45" t="str">
        <f t="shared" si="7"/>
        <v/>
      </c>
      <c r="Z563" s="45" t="str">
        <f t="shared" si="8"/>
        <v/>
      </c>
      <c r="AA563" s="16" t="str">
        <f t="shared" si="9"/>
        <v/>
      </c>
      <c r="AB563" s="16"/>
      <c r="AC563" s="16"/>
      <c r="AD563" s="16"/>
      <c r="AE563" s="16" t="str">
        <f t="shared" si="12"/>
        <v/>
      </c>
      <c r="AF563" s="16" t="str">
        <f t="shared" si="13"/>
        <v/>
      </c>
      <c r="AG563" s="44"/>
      <c r="AH563" s="44"/>
      <c r="AI563" s="44" t="str">
        <f>IFERROR(__xludf.DUMMYFUNCTION("TEXTJOIN("", "",TRUE, FILTER(Data!P:P, Data!B:B=A563))"),"")</f>
        <v/>
      </c>
      <c r="AM563" s="61"/>
      <c r="BC563" s="50"/>
    </row>
    <row r="564">
      <c r="A564" s="14"/>
      <c r="B564" s="55" t="str">
        <f>IFERROR(__xludf.DUMMYFUNCTION("IFERROR(ROUND(
(COUNTIF(FILTER(Data!O:O, Data!B:B=A564), ""Win"")
+ COUNTIF(FILTER(Data!O:O, Data!B:B=A564), {""Tie"",""Results""}))
/ (COUNTIF(Data!B:B, A564)),
1),"""")"),"")</f>
        <v/>
      </c>
      <c r="C564" s="45" t="str">
        <f>IFERROR((SUMIF(Data!B:B, A564, Data!H:H)
/ (COUNTIF(Data!B:B, A564)
)),"")</f>
        <v/>
      </c>
      <c r="D564" s="45" t="str">
        <f>IFERROR((SUMIF(Data!B:B, A564, Data!G:G)
/ (COUNTIF(Data!B:B, A564)
)),"")</f>
        <v/>
      </c>
      <c r="E564" s="45"/>
      <c r="F564" s="45" t="str">
        <f>IFERROR((SUMIF(Data!B:B, A564, Data!J:J)
/ (COUNTIF(Data!B:B, A564)
)),"")</f>
        <v/>
      </c>
      <c r="G564" s="56" t="str">
        <f>IF(A564="","",IFERROR((((((SUMIF(Data!B:B, A564, Data!H:H)+(SUMIF(Data!B:B, A564,Data!G:G)))/(SUMIF(Data!B:B, A564, Data!J:J)))))),0))</f>
        <v/>
      </c>
      <c r="H564" s="45"/>
      <c r="I564" s="45"/>
      <c r="J564" s="45"/>
      <c r="K564" s="45"/>
      <c r="L564" s="45" t="str">
        <f>IFERROR((SUMIF(Data!B:B, A564, Data!L:L)
/ (COUNTIF(Data!B:B, A564)
)),"")</f>
        <v/>
      </c>
      <c r="M564" s="45" t="str">
        <f>IFERROR((SUMIF(Data!B:B, A564, Data!K:K)
/ (COUNTIF(Data!B:B, A564)
)),"")</f>
        <v/>
      </c>
      <c r="N564" s="56"/>
      <c r="O564" s="56" t="str">
        <f>IF(A564="","",IFERROR((((((SUMIF(Data!B:B, A564, Data!H:H)+(SUMIF(Data!B:B, A564,Data!G:G)+(SUMIF(Data!B:B, A564,Data!L:L)+(SUMIF(Data!B:B, A564,Data!K:K)))))/(SUMIF(Data!B:B, A564, Data!M:M)+(SUMIF(Data!B:B, A564, Data!H:H)+(SUMIF(Data!B:B, A564,Data!G:G)+(SUMIF(Data!B:B, A564,Data!K:K)+(SUMIF(Data!B:B, A564,Data!L:L)))))))))),0))</f>
        <v/>
      </c>
      <c r="P564" s="57" t="str">
        <f>IFERROR(__xludf.DUMMYFUNCTION("IFERROR(((COUNTIF(FILTER(Data!N:N,Data!B:B=A564),""TRAVERSE"")*15)+(COUNTIF(FILTER(Data!N:N,Data!B:B=A564),""HIGH"")*10)+(COUNTIF(FILTER(Data!N:N,Data!B:B=A564),""MIDDLE"")*6)+(COUNTIF(FILTER(Data!N:N,Data!B:B=A564),""LOW"")*4)) / (COUNTIF(Data!B:B, A564)"&amp;"),"""")"),"")</f>
        <v/>
      </c>
      <c r="Q564" s="58"/>
      <c r="R564" s="58"/>
      <c r="S564" s="58" t="str">
        <f>IFERROR(__xludf.DUMMYFUNCTION("IFERROR((((COUNTIF(FILTER(Data!N:N,Data!B:B=A564),""TRAVERSE""))+(COUNTIF(FILTER(Data!N:N,Data!B:B=A564),""HIGH""))+(COUNTIF(FILTER(Data!N:N,Data!B:B=A564),""MIDDLE""))+(COUNTIF(FILTER(Data!N:N,Data!B:B=A564),""LOW"")))) / (((COUNTIF(Data!B:B, A564)))-(CO"&amp;"UNTIF(FILTER(Data!N:N,Data!B:B=A564),""NONE""))),IF(ISBLANK(A564),"""",0))"),"")</f>
        <v/>
      </c>
      <c r="T564" s="56" t="str">
        <f>IFERROR(__xludf.DUMMYFUNCTION("IFERROR((COUNTIF(FILTER(Data!N:N, Data!B:B=A564),""LOW"")) / (COUNTIF(Data!B:B, A564)),"""")"),"")</f>
        <v/>
      </c>
      <c r="U564" s="59" t="str">
        <f>IFERROR(__xludf.DUMMYFUNCTION("IFERROR((COUNTIF(FILTER(Data!N:N, Data!B:B=A564),""MIDDLE"")) / (COUNTIF(Data!B:B, A564)),"""")"),"")</f>
        <v/>
      </c>
      <c r="V564" s="59" t="str">
        <f>IFERROR(__xludf.DUMMYFUNCTION("IFERROR((COUNTIF(FILTER(Data!N:N, Data!B:B=A564),""HIGH"")) / (COUNTIF(Data!B:B, A564)),"""")"),"")</f>
        <v/>
      </c>
      <c r="W564" s="59" t="str">
        <f>IFERROR(__xludf.DUMMYFUNCTION("IFERROR((COUNTIF(FILTER(Data!N:N, Data!B:B=A564),""TRAVERSE"")) / (COUNTIF(Data!B:B, A564)),"""")"),"")</f>
        <v/>
      </c>
      <c r="X564" s="59"/>
      <c r="Y564" s="45" t="str">
        <f t="shared" si="7"/>
        <v/>
      </c>
      <c r="Z564" s="45" t="str">
        <f t="shared" si="8"/>
        <v/>
      </c>
      <c r="AA564" s="16" t="str">
        <f t="shared" si="9"/>
        <v/>
      </c>
      <c r="AB564" s="16"/>
      <c r="AC564" s="16"/>
      <c r="AD564" s="16"/>
      <c r="AE564" s="16" t="str">
        <f t="shared" si="12"/>
        <v/>
      </c>
      <c r="AF564" s="16" t="str">
        <f t="shared" si="13"/>
        <v/>
      </c>
      <c r="AG564" s="44"/>
      <c r="AH564" s="44"/>
      <c r="AI564" s="44" t="str">
        <f>IFERROR(__xludf.DUMMYFUNCTION("TEXTJOIN("", "",TRUE, FILTER(Data!P:P, Data!B:B=A564))"),"")</f>
        <v/>
      </c>
      <c r="AM564" s="61"/>
      <c r="BC564" s="50"/>
    </row>
    <row r="565">
      <c r="A565" s="14"/>
      <c r="B565" s="55" t="str">
        <f>IFERROR(__xludf.DUMMYFUNCTION("IFERROR(ROUND(
(COUNTIF(FILTER(Data!O:O, Data!B:B=A565), ""Win"")
+ COUNTIF(FILTER(Data!O:O, Data!B:B=A565), {""Tie"",""Results""}))
/ (COUNTIF(Data!B:B, A565)),
1),"""")"),"")</f>
        <v/>
      </c>
      <c r="C565" s="45" t="str">
        <f>IFERROR((SUMIF(Data!B:B, A565, Data!H:H)
/ (COUNTIF(Data!B:B, A565)
)),"")</f>
        <v/>
      </c>
      <c r="D565" s="45" t="str">
        <f>IFERROR((SUMIF(Data!B:B, A565, Data!G:G)
/ (COUNTIF(Data!B:B, A565)
)),"")</f>
        <v/>
      </c>
      <c r="E565" s="45"/>
      <c r="F565" s="45" t="str">
        <f>IFERROR((SUMIF(Data!B:B, A565, Data!J:J)
/ (COUNTIF(Data!B:B, A565)
)),"")</f>
        <v/>
      </c>
      <c r="G565" s="56" t="str">
        <f>IF(A565="","",IFERROR((((((SUMIF(Data!B:B, A565, Data!H:H)+(SUMIF(Data!B:B, A565,Data!G:G)))/(SUMIF(Data!B:B, A565, Data!J:J)))))),0))</f>
        <v/>
      </c>
      <c r="H565" s="45"/>
      <c r="I565" s="45"/>
      <c r="J565" s="45"/>
      <c r="K565" s="45"/>
      <c r="L565" s="45" t="str">
        <f>IFERROR((SUMIF(Data!B:B, A565, Data!L:L)
/ (COUNTIF(Data!B:B, A565)
)),"")</f>
        <v/>
      </c>
      <c r="M565" s="45" t="str">
        <f>IFERROR((SUMIF(Data!B:B, A565, Data!K:K)
/ (COUNTIF(Data!B:B, A565)
)),"")</f>
        <v/>
      </c>
      <c r="N565" s="56"/>
      <c r="O565" s="56" t="str">
        <f>IF(A565="","",IFERROR((((((SUMIF(Data!B:B, A565, Data!H:H)+(SUMIF(Data!B:B, A565,Data!G:G)+(SUMIF(Data!B:B, A565,Data!L:L)+(SUMIF(Data!B:B, A565,Data!K:K)))))/(SUMIF(Data!B:B, A565, Data!M:M)+(SUMIF(Data!B:B, A565, Data!H:H)+(SUMIF(Data!B:B, A565,Data!G:G)+(SUMIF(Data!B:B, A565,Data!K:K)+(SUMIF(Data!B:B, A565,Data!L:L)))))))))),0))</f>
        <v/>
      </c>
      <c r="P565" s="57" t="str">
        <f>IFERROR(__xludf.DUMMYFUNCTION("IFERROR(((COUNTIF(FILTER(Data!N:N,Data!B:B=A565),""TRAVERSE"")*15)+(COUNTIF(FILTER(Data!N:N,Data!B:B=A565),""HIGH"")*10)+(COUNTIF(FILTER(Data!N:N,Data!B:B=A565),""MIDDLE"")*6)+(COUNTIF(FILTER(Data!N:N,Data!B:B=A565),""LOW"")*4)) / (COUNTIF(Data!B:B, A565)"&amp;"),"""")"),"")</f>
        <v/>
      </c>
      <c r="Q565" s="58"/>
      <c r="R565" s="58"/>
      <c r="S565" s="58" t="str">
        <f>IFERROR(__xludf.DUMMYFUNCTION("IFERROR((((COUNTIF(FILTER(Data!N:N,Data!B:B=A565),""TRAVERSE""))+(COUNTIF(FILTER(Data!N:N,Data!B:B=A565),""HIGH""))+(COUNTIF(FILTER(Data!N:N,Data!B:B=A565),""MIDDLE""))+(COUNTIF(FILTER(Data!N:N,Data!B:B=A565),""LOW"")))) / (((COUNTIF(Data!B:B, A565)))-(CO"&amp;"UNTIF(FILTER(Data!N:N,Data!B:B=A565),""NONE""))),IF(ISBLANK(A565),"""",0))"),"")</f>
        <v/>
      </c>
      <c r="T565" s="56" t="str">
        <f>IFERROR(__xludf.DUMMYFUNCTION("IFERROR((COUNTIF(FILTER(Data!N:N, Data!B:B=A565),""LOW"")) / (COUNTIF(Data!B:B, A565)),"""")"),"")</f>
        <v/>
      </c>
      <c r="U565" s="59" t="str">
        <f>IFERROR(__xludf.DUMMYFUNCTION("IFERROR((COUNTIF(FILTER(Data!N:N, Data!B:B=A565),""MIDDLE"")) / (COUNTIF(Data!B:B, A565)),"""")"),"")</f>
        <v/>
      </c>
      <c r="V565" s="59" t="str">
        <f>IFERROR(__xludf.DUMMYFUNCTION("IFERROR((COUNTIF(FILTER(Data!N:N, Data!B:B=A565),""HIGH"")) / (COUNTIF(Data!B:B, A565)),"""")"),"")</f>
        <v/>
      </c>
      <c r="W565" s="59" t="str">
        <f>IFERROR(__xludf.DUMMYFUNCTION("IFERROR((COUNTIF(FILTER(Data!N:N, Data!B:B=A565),""TRAVERSE"")) / (COUNTIF(Data!B:B, A565)),"""")"),"")</f>
        <v/>
      </c>
      <c r="X565" s="59"/>
      <c r="Y565" s="45" t="str">
        <f t="shared" si="7"/>
        <v/>
      </c>
      <c r="Z565" s="45" t="str">
        <f t="shared" si="8"/>
        <v/>
      </c>
      <c r="AA565" s="16" t="str">
        <f t="shared" si="9"/>
        <v/>
      </c>
      <c r="AB565" s="16"/>
      <c r="AC565" s="16"/>
      <c r="AD565" s="16"/>
      <c r="AE565" s="16" t="str">
        <f t="shared" si="12"/>
        <v/>
      </c>
      <c r="AF565" s="16" t="str">
        <f t="shared" si="13"/>
        <v/>
      </c>
      <c r="AG565" s="44"/>
      <c r="AH565" s="44"/>
      <c r="AI565" s="44" t="str">
        <f>IFERROR(__xludf.DUMMYFUNCTION("TEXTJOIN("", "",TRUE, FILTER(Data!P:P, Data!B:B=A565))"),"")</f>
        <v/>
      </c>
      <c r="AM565" s="61"/>
      <c r="BC565" s="50"/>
    </row>
    <row r="566">
      <c r="A566" s="14"/>
      <c r="B566" s="55" t="str">
        <f>IFERROR(__xludf.DUMMYFUNCTION("IFERROR(ROUND(
(COUNTIF(FILTER(Data!O:O, Data!B:B=A566), ""Win"")
+ COUNTIF(FILTER(Data!O:O, Data!B:B=A566), {""Tie"",""Results""}))
/ (COUNTIF(Data!B:B, A566)),
1),"""")"),"")</f>
        <v/>
      </c>
      <c r="C566" s="45" t="str">
        <f>IFERROR((SUMIF(Data!B:B, A566, Data!H:H)
/ (COUNTIF(Data!B:B, A566)
)),"")</f>
        <v/>
      </c>
      <c r="D566" s="45" t="str">
        <f>IFERROR((SUMIF(Data!B:B, A566, Data!G:G)
/ (COUNTIF(Data!B:B, A566)
)),"")</f>
        <v/>
      </c>
      <c r="E566" s="45"/>
      <c r="F566" s="45" t="str">
        <f>IFERROR((SUMIF(Data!B:B, A566, Data!J:J)
/ (COUNTIF(Data!B:B, A566)
)),"")</f>
        <v/>
      </c>
      <c r="G566" s="56" t="str">
        <f>IF(A566="","",IFERROR((((((SUMIF(Data!B:B, A566, Data!H:H)+(SUMIF(Data!B:B, A566,Data!G:G)))/(SUMIF(Data!B:B, A566, Data!J:J)))))),0))</f>
        <v/>
      </c>
      <c r="H566" s="45"/>
      <c r="I566" s="45"/>
      <c r="J566" s="45"/>
      <c r="K566" s="45"/>
      <c r="L566" s="45" t="str">
        <f>IFERROR((SUMIF(Data!B:B, A566, Data!L:L)
/ (COUNTIF(Data!B:B, A566)
)),"")</f>
        <v/>
      </c>
      <c r="M566" s="45" t="str">
        <f>IFERROR((SUMIF(Data!B:B, A566, Data!K:K)
/ (COUNTIF(Data!B:B, A566)
)),"")</f>
        <v/>
      </c>
      <c r="N566" s="56"/>
      <c r="O566" s="56" t="str">
        <f>IF(A566="","",IFERROR((((((SUMIF(Data!B:B, A566, Data!H:H)+(SUMIF(Data!B:B, A566,Data!G:G)+(SUMIF(Data!B:B, A566,Data!L:L)+(SUMIF(Data!B:B, A566,Data!K:K)))))/(SUMIF(Data!B:B, A566, Data!M:M)+(SUMIF(Data!B:B, A566, Data!H:H)+(SUMIF(Data!B:B, A566,Data!G:G)+(SUMIF(Data!B:B, A566,Data!K:K)+(SUMIF(Data!B:B, A566,Data!L:L)))))))))),0))</f>
        <v/>
      </c>
      <c r="P566" s="57" t="str">
        <f>IFERROR(__xludf.DUMMYFUNCTION("IFERROR(((COUNTIF(FILTER(Data!N:N,Data!B:B=A566),""TRAVERSE"")*15)+(COUNTIF(FILTER(Data!N:N,Data!B:B=A566),""HIGH"")*10)+(COUNTIF(FILTER(Data!N:N,Data!B:B=A566),""MIDDLE"")*6)+(COUNTIF(FILTER(Data!N:N,Data!B:B=A566),""LOW"")*4)) / (COUNTIF(Data!B:B, A566)"&amp;"),"""")"),"")</f>
        <v/>
      </c>
      <c r="Q566" s="58"/>
      <c r="R566" s="58"/>
      <c r="S566" s="58" t="str">
        <f>IFERROR(__xludf.DUMMYFUNCTION("IFERROR((((COUNTIF(FILTER(Data!N:N,Data!B:B=A566),""TRAVERSE""))+(COUNTIF(FILTER(Data!N:N,Data!B:B=A566),""HIGH""))+(COUNTIF(FILTER(Data!N:N,Data!B:B=A566),""MIDDLE""))+(COUNTIF(FILTER(Data!N:N,Data!B:B=A566),""LOW"")))) / (((COUNTIF(Data!B:B, A566)))-(CO"&amp;"UNTIF(FILTER(Data!N:N,Data!B:B=A566),""NONE""))),IF(ISBLANK(A566),"""",0))"),"")</f>
        <v/>
      </c>
      <c r="T566" s="56" t="str">
        <f>IFERROR(__xludf.DUMMYFUNCTION("IFERROR((COUNTIF(FILTER(Data!N:N, Data!B:B=A566),""LOW"")) / (COUNTIF(Data!B:B, A566)),"""")"),"")</f>
        <v/>
      </c>
      <c r="U566" s="59" t="str">
        <f>IFERROR(__xludf.DUMMYFUNCTION("IFERROR((COUNTIF(FILTER(Data!N:N, Data!B:B=A566),""MIDDLE"")) / (COUNTIF(Data!B:B, A566)),"""")"),"")</f>
        <v/>
      </c>
      <c r="V566" s="59" t="str">
        <f>IFERROR(__xludf.DUMMYFUNCTION("IFERROR((COUNTIF(FILTER(Data!N:N, Data!B:B=A566),""HIGH"")) / (COUNTIF(Data!B:B, A566)),"""")"),"")</f>
        <v/>
      </c>
      <c r="W566" s="59" t="str">
        <f>IFERROR(__xludf.DUMMYFUNCTION("IFERROR((COUNTIF(FILTER(Data!N:N, Data!B:B=A566),""TRAVERSE"")) / (COUNTIF(Data!B:B, A566)),"""")"),"")</f>
        <v/>
      </c>
      <c r="X566" s="59"/>
      <c r="Y566" s="45" t="str">
        <f t="shared" si="7"/>
        <v/>
      </c>
      <c r="Z566" s="45" t="str">
        <f t="shared" si="8"/>
        <v/>
      </c>
      <c r="AA566" s="16" t="str">
        <f t="shared" si="9"/>
        <v/>
      </c>
      <c r="AB566" s="16"/>
      <c r="AC566" s="16"/>
      <c r="AD566" s="16"/>
      <c r="AE566" s="16" t="str">
        <f t="shared" si="12"/>
        <v/>
      </c>
      <c r="AF566" s="16" t="str">
        <f t="shared" si="13"/>
        <v/>
      </c>
      <c r="AG566" s="44"/>
      <c r="AH566" s="44"/>
      <c r="AI566" s="44" t="str">
        <f>IFERROR(__xludf.DUMMYFUNCTION("TEXTJOIN("", "",TRUE, FILTER(Data!P:P, Data!B:B=A566))"),"")</f>
        <v/>
      </c>
      <c r="AM566" s="61"/>
      <c r="BC566" s="50"/>
    </row>
    <row r="567">
      <c r="A567" s="14"/>
      <c r="B567" s="55" t="str">
        <f>IFERROR(__xludf.DUMMYFUNCTION("IFERROR(ROUND(
(COUNTIF(FILTER(Data!O:O, Data!B:B=A567), ""Win"")
+ COUNTIF(FILTER(Data!O:O, Data!B:B=A567), {""Tie"",""Results""}))
/ (COUNTIF(Data!B:B, A567)),
1),"""")"),"")</f>
        <v/>
      </c>
      <c r="C567" s="45" t="str">
        <f>IFERROR((SUMIF(Data!B:B, A567, Data!H:H)
/ (COUNTIF(Data!B:B, A567)
)),"")</f>
        <v/>
      </c>
      <c r="D567" s="45" t="str">
        <f>IFERROR((SUMIF(Data!B:B, A567, Data!G:G)
/ (COUNTIF(Data!B:B, A567)
)),"")</f>
        <v/>
      </c>
      <c r="E567" s="45"/>
      <c r="F567" s="45" t="str">
        <f>IFERROR((SUMIF(Data!B:B, A567, Data!J:J)
/ (COUNTIF(Data!B:B, A567)
)),"")</f>
        <v/>
      </c>
      <c r="G567" s="56" t="str">
        <f>IF(A567="","",IFERROR((((((SUMIF(Data!B:B, A567, Data!H:H)+(SUMIF(Data!B:B, A567,Data!G:G)))/(SUMIF(Data!B:B, A567, Data!J:J)))))),0))</f>
        <v/>
      </c>
      <c r="H567" s="45"/>
      <c r="I567" s="45"/>
      <c r="J567" s="45"/>
      <c r="K567" s="45"/>
      <c r="L567" s="45" t="str">
        <f>IFERROR((SUMIF(Data!B:B, A567, Data!L:L)
/ (COUNTIF(Data!B:B, A567)
)),"")</f>
        <v/>
      </c>
      <c r="M567" s="45" t="str">
        <f>IFERROR((SUMIF(Data!B:B, A567, Data!K:K)
/ (COUNTIF(Data!B:B, A567)
)),"")</f>
        <v/>
      </c>
      <c r="N567" s="56"/>
      <c r="O567" s="56" t="str">
        <f>IF(A567="","",IFERROR((((((SUMIF(Data!B:B, A567, Data!H:H)+(SUMIF(Data!B:B, A567,Data!G:G)+(SUMIF(Data!B:B, A567,Data!L:L)+(SUMIF(Data!B:B, A567,Data!K:K)))))/(SUMIF(Data!B:B, A567, Data!M:M)+(SUMIF(Data!B:B, A567, Data!H:H)+(SUMIF(Data!B:B, A567,Data!G:G)+(SUMIF(Data!B:B, A567,Data!K:K)+(SUMIF(Data!B:B, A567,Data!L:L)))))))))),0))</f>
        <v/>
      </c>
      <c r="P567" s="57" t="str">
        <f>IFERROR(__xludf.DUMMYFUNCTION("IFERROR(((COUNTIF(FILTER(Data!N:N,Data!B:B=A567),""TRAVERSE"")*15)+(COUNTIF(FILTER(Data!N:N,Data!B:B=A567),""HIGH"")*10)+(COUNTIF(FILTER(Data!N:N,Data!B:B=A567),""MIDDLE"")*6)+(COUNTIF(FILTER(Data!N:N,Data!B:B=A567),""LOW"")*4)) / (COUNTIF(Data!B:B, A567)"&amp;"),"""")"),"")</f>
        <v/>
      </c>
      <c r="Q567" s="58"/>
      <c r="R567" s="58"/>
      <c r="S567" s="58" t="str">
        <f>IFERROR(__xludf.DUMMYFUNCTION("IFERROR((((COUNTIF(FILTER(Data!N:N,Data!B:B=A567),""TRAVERSE""))+(COUNTIF(FILTER(Data!N:N,Data!B:B=A567),""HIGH""))+(COUNTIF(FILTER(Data!N:N,Data!B:B=A567),""MIDDLE""))+(COUNTIF(FILTER(Data!N:N,Data!B:B=A567),""LOW"")))) / (((COUNTIF(Data!B:B, A567)))-(CO"&amp;"UNTIF(FILTER(Data!N:N,Data!B:B=A567),""NONE""))),IF(ISBLANK(A567),"""",0))"),"")</f>
        <v/>
      </c>
      <c r="T567" s="56" t="str">
        <f>IFERROR(__xludf.DUMMYFUNCTION("IFERROR((COUNTIF(FILTER(Data!N:N, Data!B:B=A567),""LOW"")) / (COUNTIF(Data!B:B, A567)),"""")"),"")</f>
        <v/>
      </c>
      <c r="U567" s="59" t="str">
        <f>IFERROR(__xludf.DUMMYFUNCTION("IFERROR((COUNTIF(FILTER(Data!N:N, Data!B:B=A567),""MIDDLE"")) / (COUNTIF(Data!B:B, A567)),"""")"),"")</f>
        <v/>
      </c>
      <c r="V567" s="59" t="str">
        <f>IFERROR(__xludf.DUMMYFUNCTION("IFERROR((COUNTIF(FILTER(Data!N:N, Data!B:B=A567),""HIGH"")) / (COUNTIF(Data!B:B, A567)),"""")"),"")</f>
        <v/>
      </c>
      <c r="W567" s="59" t="str">
        <f>IFERROR(__xludf.DUMMYFUNCTION("IFERROR((COUNTIF(FILTER(Data!N:N, Data!B:B=A567),""TRAVERSE"")) / (COUNTIF(Data!B:B, A567)),"""")"),"")</f>
        <v/>
      </c>
      <c r="X567" s="59"/>
      <c r="Y567" s="45" t="str">
        <f t="shared" si="7"/>
        <v/>
      </c>
      <c r="Z567" s="45" t="str">
        <f t="shared" si="8"/>
        <v/>
      </c>
      <c r="AA567" s="16" t="str">
        <f t="shared" si="9"/>
        <v/>
      </c>
      <c r="AB567" s="16"/>
      <c r="AC567" s="16"/>
      <c r="AD567" s="16"/>
      <c r="AE567" s="16" t="str">
        <f t="shared" si="12"/>
        <v/>
      </c>
      <c r="AF567" s="16" t="str">
        <f t="shared" si="13"/>
        <v/>
      </c>
      <c r="AG567" s="44"/>
      <c r="AH567" s="44"/>
      <c r="AI567" s="44" t="str">
        <f>IFERROR(__xludf.DUMMYFUNCTION("TEXTJOIN("", "",TRUE, FILTER(Data!P:P, Data!B:B=A567))"),"")</f>
        <v/>
      </c>
      <c r="AM567" s="61"/>
      <c r="BC567" s="50"/>
    </row>
    <row r="568">
      <c r="A568" s="14"/>
      <c r="B568" s="55" t="str">
        <f>IFERROR(__xludf.DUMMYFUNCTION("IFERROR(ROUND(
(COUNTIF(FILTER(Data!O:O, Data!B:B=A568), ""Win"")
+ COUNTIF(FILTER(Data!O:O, Data!B:B=A568), {""Tie"",""Results""}))
/ (COUNTIF(Data!B:B, A568)),
1),"""")"),"")</f>
        <v/>
      </c>
      <c r="C568" s="45" t="str">
        <f>IFERROR((SUMIF(Data!B:B, A568, Data!H:H)
/ (COUNTIF(Data!B:B, A568)
)),"")</f>
        <v/>
      </c>
      <c r="D568" s="45" t="str">
        <f>IFERROR((SUMIF(Data!B:B, A568, Data!G:G)
/ (COUNTIF(Data!B:B, A568)
)),"")</f>
        <v/>
      </c>
      <c r="E568" s="45"/>
      <c r="F568" s="45" t="str">
        <f>IFERROR((SUMIF(Data!B:B, A568, Data!J:J)
/ (COUNTIF(Data!B:B, A568)
)),"")</f>
        <v/>
      </c>
      <c r="G568" s="56" t="str">
        <f>IF(A568="","",IFERROR((((((SUMIF(Data!B:B, A568, Data!H:H)+(SUMIF(Data!B:B, A568,Data!G:G)))/(SUMIF(Data!B:B, A568, Data!J:J)))))),0))</f>
        <v/>
      </c>
      <c r="H568" s="45"/>
      <c r="I568" s="45"/>
      <c r="J568" s="45"/>
      <c r="K568" s="45"/>
      <c r="L568" s="45" t="str">
        <f>IFERROR((SUMIF(Data!B:B, A568, Data!L:L)
/ (COUNTIF(Data!B:B, A568)
)),"")</f>
        <v/>
      </c>
      <c r="M568" s="45" t="str">
        <f>IFERROR((SUMIF(Data!B:B, A568, Data!K:K)
/ (COUNTIF(Data!B:B, A568)
)),"")</f>
        <v/>
      </c>
      <c r="N568" s="56"/>
      <c r="O568" s="56" t="str">
        <f>IF(A568="","",IFERROR((((((SUMIF(Data!B:B, A568, Data!H:H)+(SUMIF(Data!B:B, A568,Data!G:G)+(SUMIF(Data!B:B, A568,Data!L:L)+(SUMIF(Data!B:B, A568,Data!K:K)))))/(SUMIF(Data!B:B, A568, Data!M:M)+(SUMIF(Data!B:B, A568, Data!H:H)+(SUMIF(Data!B:B, A568,Data!G:G)+(SUMIF(Data!B:B, A568,Data!K:K)+(SUMIF(Data!B:B, A568,Data!L:L)))))))))),0))</f>
        <v/>
      </c>
      <c r="P568" s="57" t="str">
        <f>IFERROR(__xludf.DUMMYFUNCTION("IFERROR(((COUNTIF(FILTER(Data!N:N,Data!B:B=A568),""TRAVERSE"")*15)+(COUNTIF(FILTER(Data!N:N,Data!B:B=A568),""HIGH"")*10)+(COUNTIF(FILTER(Data!N:N,Data!B:B=A568),""MIDDLE"")*6)+(COUNTIF(FILTER(Data!N:N,Data!B:B=A568),""LOW"")*4)) / (COUNTIF(Data!B:B, A568)"&amp;"),"""")"),"")</f>
        <v/>
      </c>
      <c r="Q568" s="58"/>
      <c r="R568" s="58"/>
      <c r="S568" s="58" t="str">
        <f>IFERROR(__xludf.DUMMYFUNCTION("IFERROR((((COUNTIF(FILTER(Data!N:N,Data!B:B=A568),""TRAVERSE""))+(COUNTIF(FILTER(Data!N:N,Data!B:B=A568),""HIGH""))+(COUNTIF(FILTER(Data!N:N,Data!B:B=A568),""MIDDLE""))+(COUNTIF(FILTER(Data!N:N,Data!B:B=A568),""LOW"")))) / (((COUNTIF(Data!B:B, A568)))-(CO"&amp;"UNTIF(FILTER(Data!N:N,Data!B:B=A568),""NONE""))),IF(ISBLANK(A568),"""",0))"),"")</f>
        <v/>
      </c>
      <c r="T568" s="56" t="str">
        <f>IFERROR(__xludf.DUMMYFUNCTION("IFERROR((COUNTIF(FILTER(Data!N:N, Data!B:B=A568),""LOW"")) / (COUNTIF(Data!B:B, A568)),"""")"),"")</f>
        <v/>
      </c>
      <c r="U568" s="59" t="str">
        <f>IFERROR(__xludf.DUMMYFUNCTION("IFERROR((COUNTIF(FILTER(Data!N:N, Data!B:B=A568),""MIDDLE"")) / (COUNTIF(Data!B:B, A568)),"""")"),"")</f>
        <v/>
      </c>
      <c r="V568" s="59" t="str">
        <f>IFERROR(__xludf.DUMMYFUNCTION("IFERROR((COUNTIF(FILTER(Data!N:N, Data!B:B=A568),""HIGH"")) / (COUNTIF(Data!B:B, A568)),"""")"),"")</f>
        <v/>
      </c>
      <c r="W568" s="59" t="str">
        <f>IFERROR(__xludf.DUMMYFUNCTION("IFERROR((COUNTIF(FILTER(Data!N:N, Data!B:B=A568),""TRAVERSE"")) / (COUNTIF(Data!B:B, A568)),"""")"),"")</f>
        <v/>
      </c>
      <c r="X568" s="59"/>
      <c r="Y568" s="45" t="str">
        <f t="shared" si="7"/>
        <v/>
      </c>
      <c r="Z568" s="45" t="str">
        <f t="shared" si="8"/>
        <v/>
      </c>
      <c r="AA568" s="16" t="str">
        <f t="shared" si="9"/>
        <v/>
      </c>
      <c r="AB568" s="16"/>
      <c r="AC568" s="16"/>
      <c r="AD568" s="16"/>
      <c r="AE568" s="16" t="str">
        <f t="shared" si="12"/>
        <v/>
      </c>
      <c r="AF568" s="16" t="str">
        <f t="shared" si="13"/>
        <v/>
      </c>
      <c r="AG568" s="44"/>
      <c r="AH568" s="44"/>
      <c r="AI568" s="44" t="str">
        <f>IFERROR(__xludf.DUMMYFUNCTION("TEXTJOIN("", "",TRUE, FILTER(Data!P:P, Data!B:B=A568))"),"")</f>
        <v/>
      </c>
      <c r="AM568" s="61"/>
      <c r="BC568" s="50"/>
    </row>
    <row r="569">
      <c r="A569" s="14"/>
      <c r="B569" s="55" t="str">
        <f>IFERROR(__xludf.DUMMYFUNCTION("IFERROR(ROUND(
(COUNTIF(FILTER(Data!O:O, Data!B:B=A569), ""Win"")
+ COUNTIF(FILTER(Data!O:O, Data!B:B=A569), {""Tie"",""Results""}))
/ (COUNTIF(Data!B:B, A569)),
1),"""")"),"")</f>
        <v/>
      </c>
      <c r="C569" s="45" t="str">
        <f>IFERROR((SUMIF(Data!B:B, A569, Data!H:H)
/ (COUNTIF(Data!B:B, A569)
)),"")</f>
        <v/>
      </c>
      <c r="D569" s="45" t="str">
        <f>IFERROR((SUMIF(Data!B:B, A569, Data!G:G)
/ (COUNTIF(Data!B:B, A569)
)),"")</f>
        <v/>
      </c>
      <c r="E569" s="45"/>
      <c r="F569" s="45" t="str">
        <f>IFERROR((SUMIF(Data!B:B, A569, Data!J:J)
/ (COUNTIF(Data!B:B, A569)
)),"")</f>
        <v/>
      </c>
      <c r="G569" s="56" t="str">
        <f>IF(A569="","",IFERROR((((((SUMIF(Data!B:B, A569, Data!H:H)+(SUMIF(Data!B:B, A569,Data!G:G)))/(SUMIF(Data!B:B, A569, Data!J:J)))))),0))</f>
        <v/>
      </c>
      <c r="H569" s="45"/>
      <c r="I569" s="45"/>
      <c r="J569" s="45"/>
      <c r="K569" s="45"/>
      <c r="L569" s="45" t="str">
        <f>IFERROR((SUMIF(Data!B:B, A569, Data!L:L)
/ (COUNTIF(Data!B:B, A569)
)),"")</f>
        <v/>
      </c>
      <c r="M569" s="45" t="str">
        <f>IFERROR((SUMIF(Data!B:B, A569, Data!K:K)
/ (COUNTIF(Data!B:B, A569)
)),"")</f>
        <v/>
      </c>
      <c r="N569" s="56"/>
      <c r="O569" s="56" t="str">
        <f>IF(A569="","",IFERROR((((((SUMIF(Data!B:B, A569, Data!H:H)+(SUMIF(Data!B:B, A569,Data!G:G)+(SUMIF(Data!B:B, A569,Data!L:L)+(SUMIF(Data!B:B, A569,Data!K:K)))))/(SUMIF(Data!B:B, A569, Data!M:M)+(SUMIF(Data!B:B, A569, Data!H:H)+(SUMIF(Data!B:B, A569,Data!G:G)+(SUMIF(Data!B:B, A569,Data!K:K)+(SUMIF(Data!B:B, A569,Data!L:L)))))))))),0))</f>
        <v/>
      </c>
      <c r="P569" s="57" t="str">
        <f>IFERROR(__xludf.DUMMYFUNCTION("IFERROR(((COUNTIF(FILTER(Data!N:N,Data!B:B=A569),""TRAVERSE"")*15)+(COUNTIF(FILTER(Data!N:N,Data!B:B=A569),""HIGH"")*10)+(COUNTIF(FILTER(Data!N:N,Data!B:B=A569),""MIDDLE"")*6)+(COUNTIF(FILTER(Data!N:N,Data!B:B=A569),""LOW"")*4)) / (COUNTIF(Data!B:B, A569)"&amp;"),"""")"),"")</f>
        <v/>
      </c>
      <c r="Q569" s="58"/>
      <c r="R569" s="58"/>
      <c r="S569" s="58" t="str">
        <f>IFERROR(__xludf.DUMMYFUNCTION("IFERROR((((COUNTIF(FILTER(Data!N:N,Data!B:B=A569),""TRAVERSE""))+(COUNTIF(FILTER(Data!N:N,Data!B:B=A569),""HIGH""))+(COUNTIF(FILTER(Data!N:N,Data!B:B=A569),""MIDDLE""))+(COUNTIF(FILTER(Data!N:N,Data!B:B=A569),""LOW"")))) / (((COUNTIF(Data!B:B, A569)))-(CO"&amp;"UNTIF(FILTER(Data!N:N,Data!B:B=A569),""NONE""))),IF(ISBLANK(A569),"""",0))"),"")</f>
        <v/>
      </c>
      <c r="T569" s="56" t="str">
        <f>IFERROR(__xludf.DUMMYFUNCTION("IFERROR((COUNTIF(FILTER(Data!N:N, Data!B:B=A569),""LOW"")) / (COUNTIF(Data!B:B, A569)),"""")"),"")</f>
        <v/>
      </c>
      <c r="U569" s="59" t="str">
        <f>IFERROR(__xludf.DUMMYFUNCTION("IFERROR((COUNTIF(FILTER(Data!N:N, Data!B:B=A569),""MIDDLE"")) / (COUNTIF(Data!B:B, A569)),"""")"),"")</f>
        <v/>
      </c>
      <c r="V569" s="59" t="str">
        <f>IFERROR(__xludf.DUMMYFUNCTION("IFERROR((COUNTIF(FILTER(Data!N:N, Data!B:B=A569),""HIGH"")) / (COUNTIF(Data!B:B, A569)),"""")"),"")</f>
        <v/>
      </c>
      <c r="W569" s="59" t="str">
        <f>IFERROR(__xludf.DUMMYFUNCTION("IFERROR((COUNTIF(FILTER(Data!N:N, Data!B:B=A569),""TRAVERSE"")) / (COUNTIF(Data!B:B, A569)),"""")"),"")</f>
        <v/>
      </c>
      <c r="X569" s="59"/>
      <c r="Y569" s="45" t="str">
        <f t="shared" si="7"/>
        <v/>
      </c>
      <c r="Z569" s="45" t="str">
        <f t="shared" si="8"/>
        <v/>
      </c>
      <c r="AA569" s="16" t="str">
        <f t="shared" si="9"/>
        <v/>
      </c>
      <c r="AB569" s="16"/>
      <c r="AC569" s="16"/>
      <c r="AD569" s="16"/>
      <c r="AE569" s="16" t="str">
        <f t="shared" si="12"/>
        <v/>
      </c>
      <c r="AF569" s="16" t="str">
        <f t="shared" si="13"/>
        <v/>
      </c>
      <c r="AG569" s="44"/>
      <c r="AH569" s="44"/>
      <c r="AI569" s="44" t="str">
        <f>IFERROR(__xludf.DUMMYFUNCTION("TEXTJOIN("", "",TRUE, FILTER(Data!P:P, Data!B:B=A569))"),"")</f>
        <v/>
      </c>
      <c r="AM569" s="61"/>
      <c r="BC569" s="50"/>
    </row>
    <row r="570">
      <c r="A570" s="14"/>
      <c r="B570" s="55" t="str">
        <f>IFERROR(__xludf.DUMMYFUNCTION("IFERROR(ROUND(
(COUNTIF(FILTER(Data!O:O, Data!B:B=A570), ""Win"")
+ COUNTIF(FILTER(Data!O:O, Data!B:B=A570), {""Tie"",""Results""}))
/ (COUNTIF(Data!B:B, A570)),
1),"""")"),"")</f>
        <v/>
      </c>
      <c r="C570" s="45" t="str">
        <f>IFERROR((SUMIF(Data!B:B, A570, Data!H:H)
/ (COUNTIF(Data!B:B, A570)
)),"")</f>
        <v/>
      </c>
      <c r="D570" s="45" t="str">
        <f>IFERROR((SUMIF(Data!B:B, A570, Data!G:G)
/ (COUNTIF(Data!B:B, A570)
)),"")</f>
        <v/>
      </c>
      <c r="E570" s="45"/>
      <c r="F570" s="45" t="str">
        <f>IFERROR((SUMIF(Data!B:B, A570, Data!J:J)
/ (COUNTIF(Data!B:B, A570)
)),"")</f>
        <v/>
      </c>
      <c r="G570" s="56" t="str">
        <f>IF(A570="","",IFERROR((((((SUMIF(Data!B:B, A570, Data!H:H)+(SUMIF(Data!B:B, A570,Data!G:G)))/(SUMIF(Data!B:B, A570, Data!J:J)))))),0))</f>
        <v/>
      </c>
      <c r="H570" s="45"/>
      <c r="I570" s="45"/>
      <c r="J570" s="45"/>
      <c r="K570" s="45"/>
      <c r="L570" s="45" t="str">
        <f>IFERROR((SUMIF(Data!B:B, A570, Data!L:L)
/ (COUNTIF(Data!B:B, A570)
)),"")</f>
        <v/>
      </c>
      <c r="M570" s="45" t="str">
        <f>IFERROR((SUMIF(Data!B:B, A570, Data!K:K)
/ (COUNTIF(Data!B:B, A570)
)),"")</f>
        <v/>
      </c>
      <c r="N570" s="56"/>
      <c r="O570" s="56" t="str">
        <f>IF(A570="","",IFERROR((((((SUMIF(Data!B:B, A570, Data!H:H)+(SUMIF(Data!B:B, A570,Data!G:G)+(SUMIF(Data!B:B, A570,Data!L:L)+(SUMIF(Data!B:B, A570,Data!K:K)))))/(SUMIF(Data!B:B, A570, Data!M:M)+(SUMIF(Data!B:B, A570, Data!H:H)+(SUMIF(Data!B:B, A570,Data!G:G)+(SUMIF(Data!B:B, A570,Data!K:K)+(SUMIF(Data!B:B, A570,Data!L:L)))))))))),0))</f>
        <v/>
      </c>
      <c r="P570" s="57" t="str">
        <f>IFERROR(__xludf.DUMMYFUNCTION("IFERROR(((COUNTIF(FILTER(Data!N:N,Data!B:B=A570),""TRAVERSE"")*15)+(COUNTIF(FILTER(Data!N:N,Data!B:B=A570),""HIGH"")*10)+(COUNTIF(FILTER(Data!N:N,Data!B:B=A570),""MIDDLE"")*6)+(COUNTIF(FILTER(Data!N:N,Data!B:B=A570),""LOW"")*4)) / (COUNTIF(Data!B:B, A570)"&amp;"),"""")"),"")</f>
        <v/>
      </c>
      <c r="Q570" s="58"/>
      <c r="R570" s="58"/>
      <c r="S570" s="58" t="str">
        <f>IFERROR(__xludf.DUMMYFUNCTION("IFERROR((((COUNTIF(FILTER(Data!N:N,Data!B:B=A570),""TRAVERSE""))+(COUNTIF(FILTER(Data!N:N,Data!B:B=A570),""HIGH""))+(COUNTIF(FILTER(Data!N:N,Data!B:B=A570),""MIDDLE""))+(COUNTIF(FILTER(Data!N:N,Data!B:B=A570),""LOW"")))) / (((COUNTIF(Data!B:B, A570)))-(CO"&amp;"UNTIF(FILTER(Data!N:N,Data!B:B=A570),""NONE""))),IF(ISBLANK(A570),"""",0))"),"")</f>
        <v/>
      </c>
      <c r="T570" s="56" t="str">
        <f>IFERROR(__xludf.DUMMYFUNCTION("IFERROR((COUNTIF(FILTER(Data!N:N, Data!B:B=A570),""LOW"")) / (COUNTIF(Data!B:B, A570)),"""")"),"")</f>
        <v/>
      </c>
      <c r="U570" s="59" t="str">
        <f>IFERROR(__xludf.DUMMYFUNCTION("IFERROR((COUNTIF(FILTER(Data!N:N, Data!B:B=A570),""MIDDLE"")) / (COUNTIF(Data!B:B, A570)),"""")"),"")</f>
        <v/>
      </c>
      <c r="V570" s="59" t="str">
        <f>IFERROR(__xludf.DUMMYFUNCTION("IFERROR((COUNTIF(FILTER(Data!N:N, Data!B:B=A570),""HIGH"")) / (COUNTIF(Data!B:B, A570)),"""")"),"")</f>
        <v/>
      </c>
      <c r="W570" s="59" t="str">
        <f>IFERROR(__xludf.DUMMYFUNCTION("IFERROR((COUNTIF(FILTER(Data!N:N, Data!B:B=A570),""TRAVERSE"")) / (COUNTIF(Data!B:B, A570)),"""")"),"")</f>
        <v/>
      </c>
      <c r="X570" s="59"/>
      <c r="Y570" s="45" t="str">
        <f t="shared" si="7"/>
        <v/>
      </c>
      <c r="Z570" s="45" t="str">
        <f t="shared" si="8"/>
        <v/>
      </c>
      <c r="AA570" s="16" t="str">
        <f t="shared" si="9"/>
        <v/>
      </c>
      <c r="AB570" s="16"/>
      <c r="AC570" s="16"/>
      <c r="AD570" s="16"/>
      <c r="AE570" s="16" t="str">
        <f t="shared" si="12"/>
        <v/>
      </c>
      <c r="AF570" s="16" t="str">
        <f t="shared" si="13"/>
        <v/>
      </c>
      <c r="AG570" s="44"/>
      <c r="AH570" s="44"/>
      <c r="AI570" s="44" t="str">
        <f>IFERROR(__xludf.DUMMYFUNCTION("TEXTJOIN("", "",TRUE, FILTER(Data!P:P, Data!B:B=A570))"),"")</f>
        <v/>
      </c>
      <c r="AM570" s="61"/>
      <c r="BC570" s="50"/>
    </row>
    <row r="571">
      <c r="A571" s="14"/>
      <c r="B571" s="55" t="str">
        <f>IFERROR(__xludf.DUMMYFUNCTION("IFERROR(ROUND(
(COUNTIF(FILTER(Data!O:O, Data!B:B=A571), ""Win"")
+ COUNTIF(FILTER(Data!O:O, Data!B:B=A571), {""Tie"",""Results""}))
/ (COUNTIF(Data!B:B, A571)),
1),"""")"),"")</f>
        <v/>
      </c>
      <c r="C571" s="45" t="str">
        <f>IFERROR((SUMIF(Data!B:B, A571, Data!H:H)
/ (COUNTIF(Data!B:B, A571)
)),"")</f>
        <v/>
      </c>
      <c r="D571" s="45" t="str">
        <f>IFERROR((SUMIF(Data!B:B, A571, Data!G:G)
/ (COUNTIF(Data!B:B, A571)
)),"")</f>
        <v/>
      </c>
      <c r="E571" s="45"/>
      <c r="F571" s="45" t="str">
        <f>IFERROR((SUMIF(Data!B:B, A571, Data!J:J)
/ (COUNTIF(Data!B:B, A571)
)),"")</f>
        <v/>
      </c>
      <c r="G571" s="56" t="str">
        <f>IF(A571="","",IFERROR((((((SUMIF(Data!B:B, A571, Data!H:H)+(SUMIF(Data!B:B, A571,Data!G:G)))/(SUMIF(Data!B:B, A571, Data!J:J)))))),0))</f>
        <v/>
      </c>
      <c r="H571" s="45"/>
      <c r="I571" s="45"/>
      <c r="J571" s="45"/>
      <c r="K571" s="45"/>
      <c r="L571" s="45" t="str">
        <f>IFERROR((SUMIF(Data!B:B, A571, Data!L:L)
/ (COUNTIF(Data!B:B, A571)
)),"")</f>
        <v/>
      </c>
      <c r="M571" s="45" t="str">
        <f>IFERROR((SUMIF(Data!B:B, A571, Data!K:K)
/ (COUNTIF(Data!B:B, A571)
)),"")</f>
        <v/>
      </c>
      <c r="N571" s="56"/>
      <c r="O571" s="56" t="str">
        <f>IF(A571="","",IFERROR((((((SUMIF(Data!B:B, A571, Data!H:H)+(SUMIF(Data!B:B, A571,Data!G:G)+(SUMIF(Data!B:B, A571,Data!L:L)+(SUMIF(Data!B:B, A571,Data!K:K)))))/(SUMIF(Data!B:B, A571, Data!M:M)+(SUMIF(Data!B:B, A571, Data!H:H)+(SUMIF(Data!B:B, A571,Data!G:G)+(SUMIF(Data!B:B, A571,Data!K:K)+(SUMIF(Data!B:B, A571,Data!L:L)))))))))),0))</f>
        <v/>
      </c>
      <c r="P571" s="57" t="str">
        <f>IFERROR(__xludf.DUMMYFUNCTION("IFERROR(((COUNTIF(FILTER(Data!N:N,Data!B:B=A571),""TRAVERSE"")*15)+(COUNTIF(FILTER(Data!N:N,Data!B:B=A571),""HIGH"")*10)+(COUNTIF(FILTER(Data!N:N,Data!B:B=A571),""MIDDLE"")*6)+(COUNTIF(FILTER(Data!N:N,Data!B:B=A571),""LOW"")*4)) / (COUNTIF(Data!B:B, A571)"&amp;"),"""")"),"")</f>
        <v/>
      </c>
      <c r="Q571" s="58"/>
      <c r="R571" s="58"/>
      <c r="S571" s="58" t="str">
        <f>IFERROR(__xludf.DUMMYFUNCTION("IFERROR((((COUNTIF(FILTER(Data!N:N,Data!B:B=A571),""TRAVERSE""))+(COUNTIF(FILTER(Data!N:N,Data!B:B=A571),""HIGH""))+(COUNTIF(FILTER(Data!N:N,Data!B:B=A571),""MIDDLE""))+(COUNTIF(FILTER(Data!N:N,Data!B:B=A571),""LOW"")))) / (((COUNTIF(Data!B:B, A571)))-(CO"&amp;"UNTIF(FILTER(Data!N:N,Data!B:B=A571),""NONE""))),IF(ISBLANK(A571),"""",0))"),"")</f>
        <v/>
      </c>
      <c r="T571" s="56" t="str">
        <f>IFERROR(__xludf.DUMMYFUNCTION("IFERROR((COUNTIF(FILTER(Data!N:N, Data!B:B=A571),""LOW"")) / (COUNTIF(Data!B:B, A571)),"""")"),"")</f>
        <v/>
      </c>
      <c r="U571" s="59" t="str">
        <f>IFERROR(__xludf.DUMMYFUNCTION("IFERROR((COUNTIF(FILTER(Data!N:N, Data!B:B=A571),""MIDDLE"")) / (COUNTIF(Data!B:B, A571)),"""")"),"")</f>
        <v/>
      </c>
      <c r="V571" s="59" t="str">
        <f>IFERROR(__xludf.DUMMYFUNCTION("IFERROR((COUNTIF(FILTER(Data!N:N, Data!B:B=A571),""HIGH"")) / (COUNTIF(Data!B:B, A571)),"""")"),"")</f>
        <v/>
      </c>
      <c r="W571" s="59" t="str">
        <f>IFERROR(__xludf.DUMMYFUNCTION("IFERROR((COUNTIF(FILTER(Data!N:N, Data!B:B=A571),""TRAVERSE"")) / (COUNTIF(Data!B:B, A571)),"""")"),"")</f>
        <v/>
      </c>
      <c r="X571" s="59"/>
      <c r="Y571" s="45" t="str">
        <f t="shared" si="7"/>
        <v/>
      </c>
      <c r="Z571" s="45" t="str">
        <f t="shared" si="8"/>
        <v/>
      </c>
      <c r="AA571" s="16" t="str">
        <f t="shared" si="9"/>
        <v/>
      </c>
      <c r="AB571" s="16"/>
      <c r="AC571" s="16"/>
      <c r="AD571" s="16"/>
      <c r="AE571" s="16" t="str">
        <f t="shared" si="12"/>
        <v/>
      </c>
      <c r="AF571" s="16" t="str">
        <f t="shared" si="13"/>
        <v/>
      </c>
      <c r="AG571" s="44"/>
      <c r="AH571" s="44"/>
      <c r="AI571" s="44" t="str">
        <f>IFERROR(__xludf.DUMMYFUNCTION("TEXTJOIN("", "",TRUE, FILTER(Data!P:P, Data!B:B=A571))"),"")</f>
        <v/>
      </c>
      <c r="AM571" s="61"/>
      <c r="BC571" s="50"/>
    </row>
    <row r="572">
      <c r="A572" s="14"/>
      <c r="B572" s="55" t="str">
        <f>IFERROR(__xludf.DUMMYFUNCTION("IFERROR(ROUND(
(COUNTIF(FILTER(Data!O:O, Data!B:B=A572), ""Win"")
+ COUNTIF(FILTER(Data!O:O, Data!B:B=A572), {""Tie"",""Results""}))
/ (COUNTIF(Data!B:B, A572)),
1),"""")"),"")</f>
        <v/>
      </c>
      <c r="C572" s="45" t="str">
        <f>IFERROR((SUMIF(Data!B:B, A572, Data!H:H)
/ (COUNTIF(Data!B:B, A572)
)),"")</f>
        <v/>
      </c>
      <c r="D572" s="45" t="str">
        <f>IFERROR((SUMIF(Data!B:B, A572, Data!G:G)
/ (COUNTIF(Data!B:B, A572)
)),"")</f>
        <v/>
      </c>
      <c r="E572" s="45"/>
      <c r="F572" s="45" t="str">
        <f>IFERROR((SUMIF(Data!B:B, A572, Data!J:J)
/ (COUNTIF(Data!B:B, A572)
)),"")</f>
        <v/>
      </c>
      <c r="G572" s="56" t="str">
        <f>IF(A572="","",IFERROR((((((SUMIF(Data!B:B, A572, Data!H:H)+(SUMIF(Data!B:B, A572,Data!G:G)))/(SUMIF(Data!B:B, A572, Data!J:J)))))),0))</f>
        <v/>
      </c>
      <c r="H572" s="45"/>
      <c r="I572" s="45"/>
      <c r="J572" s="45"/>
      <c r="K572" s="45"/>
      <c r="L572" s="45" t="str">
        <f>IFERROR((SUMIF(Data!B:B, A572, Data!L:L)
/ (COUNTIF(Data!B:B, A572)
)),"")</f>
        <v/>
      </c>
      <c r="M572" s="45" t="str">
        <f>IFERROR((SUMIF(Data!B:B, A572, Data!K:K)
/ (COUNTIF(Data!B:B, A572)
)),"")</f>
        <v/>
      </c>
      <c r="N572" s="56"/>
      <c r="O572" s="56" t="str">
        <f>IF(A572="","",IFERROR((((((SUMIF(Data!B:B, A572, Data!H:H)+(SUMIF(Data!B:B, A572,Data!G:G)+(SUMIF(Data!B:B, A572,Data!L:L)+(SUMIF(Data!B:B, A572,Data!K:K)))))/(SUMIF(Data!B:B, A572, Data!M:M)+(SUMIF(Data!B:B, A572, Data!H:H)+(SUMIF(Data!B:B, A572,Data!G:G)+(SUMIF(Data!B:B, A572,Data!K:K)+(SUMIF(Data!B:B, A572,Data!L:L)))))))))),0))</f>
        <v/>
      </c>
      <c r="P572" s="57" t="str">
        <f>IFERROR(__xludf.DUMMYFUNCTION("IFERROR(((COUNTIF(FILTER(Data!N:N,Data!B:B=A572),""TRAVERSE"")*15)+(COUNTIF(FILTER(Data!N:N,Data!B:B=A572),""HIGH"")*10)+(COUNTIF(FILTER(Data!N:N,Data!B:B=A572),""MIDDLE"")*6)+(COUNTIF(FILTER(Data!N:N,Data!B:B=A572),""LOW"")*4)) / (COUNTIF(Data!B:B, A572)"&amp;"),"""")"),"")</f>
        <v/>
      </c>
      <c r="Q572" s="58"/>
      <c r="R572" s="58"/>
      <c r="S572" s="58" t="str">
        <f>IFERROR(__xludf.DUMMYFUNCTION("IFERROR((((COUNTIF(FILTER(Data!N:N,Data!B:B=A572),""TRAVERSE""))+(COUNTIF(FILTER(Data!N:N,Data!B:B=A572),""HIGH""))+(COUNTIF(FILTER(Data!N:N,Data!B:B=A572),""MIDDLE""))+(COUNTIF(FILTER(Data!N:N,Data!B:B=A572),""LOW"")))) / (((COUNTIF(Data!B:B, A572)))-(CO"&amp;"UNTIF(FILTER(Data!N:N,Data!B:B=A572),""NONE""))),IF(ISBLANK(A572),"""",0))"),"")</f>
        <v/>
      </c>
      <c r="T572" s="56" t="str">
        <f>IFERROR(__xludf.DUMMYFUNCTION("IFERROR((COUNTIF(FILTER(Data!N:N, Data!B:B=A572),""LOW"")) / (COUNTIF(Data!B:B, A572)),"""")"),"")</f>
        <v/>
      </c>
      <c r="U572" s="59" t="str">
        <f>IFERROR(__xludf.DUMMYFUNCTION("IFERROR((COUNTIF(FILTER(Data!N:N, Data!B:B=A572),""MIDDLE"")) / (COUNTIF(Data!B:B, A572)),"""")"),"")</f>
        <v/>
      </c>
      <c r="V572" s="59" t="str">
        <f>IFERROR(__xludf.DUMMYFUNCTION("IFERROR((COUNTIF(FILTER(Data!N:N, Data!B:B=A572),""HIGH"")) / (COUNTIF(Data!B:B, A572)),"""")"),"")</f>
        <v/>
      </c>
      <c r="W572" s="59" t="str">
        <f>IFERROR(__xludf.DUMMYFUNCTION("IFERROR((COUNTIF(FILTER(Data!N:N, Data!B:B=A572),""TRAVERSE"")) / (COUNTIF(Data!B:B, A572)),"""")"),"")</f>
        <v/>
      </c>
      <c r="X572" s="59"/>
      <c r="Y572" s="45" t="str">
        <f t="shared" si="7"/>
        <v/>
      </c>
      <c r="Z572" s="45" t="str">
        <f t="shared" si="8"/>
        <v/>
      </c>
      <c r="AA572" s="16" t="str">
        <f t="shared" si="9"/>
        <v/>
      </c>
      <c r="AB572" s="16"/>
      <c r="AC572" s="16"/>
      <c r="AD572" s="16"/>
      <c r="AE572" s="16" t="str">
        <f t="shared" si="12"/>
        <v/>
      </c>
      <c r="AF572" s="16" t="str">
        <f t="shared" si="13"/>
        <v/>
      </c>
      <c r="AG572" s="44"/>
      <c r="AH572" s="44"/>
      <c r="AI572" s="44" t="str">
        <f>IFERROR(__xludf.DUMMYFUNCTION("TEXTJOIN("", "",TRUE, FILTER(Data!P:P, Data!B:B=A572))"),"")</f>
        <v/>
      </c>
      <c r="AM572" s="61"/>
      <c r="BC572" s="50"/>
    </row>
    <row r="573">
      <c r="A573" s="14"/>
      <c r="B573" s="55" t="str">
        <f>IFERROR(__xludf.DUMMYFUNCTION("IFERROR(ROUND(
(COUNTIF(FILTER(Data!O:O, Data!B:B=A573), ""Win"")
+ COUNTIF(FILTER(Data!O:O, Data!B:B=A573), {""Tie"",""Results""}))
/ (COUNTIF(Data!B:B, A573)),
1),"""")"),"")</f>
        <v/>
      </c>
      <c r="C573" s="45" t="str">
        <f>IFERROR((SUMIF(Data!B:B, A573, Data!H:H)
/ (COUNTIF(Data!B:B, A573)
)),"")</f>
        <v/>
      </c>
      <c r="D573" s="45" t="str">
        <f>IFERROR((SUMIF(Data!B:B, A573, Data!G:G)
/ (COUNTIF(Data!B:B, A573)
)),"")</f>
        <v/>
      </c>
      <c r="E573" s="45"/>
      <c r="F573" s="45" t="str">
        <f>IFERROR((SUMIF(Data!B:B, A573, Data!J:J)
/ (COUNTIF(Data!B:B, A573)
)),"")</f>
        <v/>
      </c>
      <c r="G573" s="56" t="str">
        <f>IF(A573="","",IFERROR((((((SUMIF(Data!B:B, A573, Data!H:H)+(SUMIF(Data!B:B, A573,Data!G:G)))/(SUMIF(Data!B:B, A573, Data!J:J)))))),0))</f>
        <v/>
      </c>
      <c r="H573" s="45"/>
      <c r="I573" s="45"/>
      <c r="J573" s="45"/>
      <c r="K573" s="45"/>
      <c r="L573" s="45" t="str">
        <f>IFERROR((SUMIF(Data!B:B, A573, Data!L:L)
/ (COUNTIF(Data!B:B, A573)
)),"")</f>
        <v/>
      </c>
      <c r="M573" s="45" t="str">
        <f>IFERROR((SUMIF(Data!B:B, A573, Data!K:K)
/ (COUNTIF(Data!B:B, A573)
)),"")</f>
        <v/>
      </c>
      <c r="N573" s="56"/>
      <c r="O573" s="56" t="str">
        <f>IF(A573="","",IFERROR((((((SUMIF(Data!B:B, A573, Data!H:H)+(SUMIF(Data!B:B, A573,Data!G:G)+(SUMIF(Data!B:B, A573,Data!L:L)+(SUMIF(Data!B:B, A573,Data!K:K)))))/(SUMIF(Data!B:B, A573, Data!M:M)+(SUMIF(Data!B:B, A573, Data!H:H)+(SUMIF(Data!B:B, A573,Data!G:G)+(SUMIF(Data!B:B, A573,Data!K:K)+(SUMIF(Data!B:B, A573,Data!L:L)))))))))),0))</f>
        <v/>
      </c>
      <c r="P573" s="57" t="str">
        <f>IFERROR(__xludf.DUMMYFUNCTION("IFERROR(((COUNTIF(FILTER(Data!N:N,Data!B:B=A573),""TRAVERSE"")*15)+(COUNTIF(FILTER(Data!N:N,Data!B:B=A573),""HIGH"")*10)+(COUNTIF(FILTER(Data!N:N,Data!B:B=A573),""MIDDLE"")*6)+(COUNTIF(FILTER(Data!N:N,Data!B:B=A573),""LOW"")*4)) / (COUNTIF(Data!B:B, A573)"&amp;"),"""")"),"")</f>
        <v/>
      </c>
      <c r="Q573" s="58"/>
      <c r="R573" s="58"/>
      <c r="S573" s="58" t="str">
        <f>IFERROR(__xludf.DUMMYFUNCTION("IFERROR((((COUNTIF(FILTER(Data!N:N,Data!B:B=A573),""TRAVERSE""))+(COUNTIF(FILTER(Data!N:N,Data!B:B=A573),""HIGH""))+(COUNTIF(FILTER(Data!N:N,Data!B:B=A573),""MIDDLE""))+(COUNTIF(FILTER(Data!N:N,Data!B:B=A573),""LOW"")))) / (((COUNTIF(Data!B:B, A573)))-(CO"&amp;"UNTIF(FILTER(Data!N:N,Data!B:B=A573),""NONE""))),IF(ISBLANK(A573),"""",0))"),"")</f>
        <v/>
      </c>
      <c r="T573" s="56" t="str">
        <f>IFERROR(__xludf.DUMMYFUNCTION("IFERROR((COUNTIF(FILTER(Data!N:N, Data!B:B=A573),""LOW"")) / (COUNTIF(Data!B:B, A573)),"""")"),"")</f>
        <v/>
      </c>
      <c r="U573" s="59" t="str">
        <f>IFERROR(__xludf.DUMMYFUNCTION("IFERROR((COUNTIF(FILTER(Data!N:N, Data!B:B=A573),""MIDDLE"")) / (COUNTIF(Data!B:B, A573)),"""")"),"")</f>
        <v/>
      </c>
      <c r="V573" s="59" t="str">
        <f>IFERROR(__xludf.DUMMYFUNCTION("IFERROR((COUNTIF(FILTER(Data!N:N, Data!B:B=A573),""HIGH"")) / (COUNTIF(Data!B:B, A573)),"""")"),"")</f>
        <v/>
      </c>
      <c r="W573" s="59" t="str">
        <f>IFERROR(__xludf.DUMMYFUNCTION("IFERROR((COUNTIF(FILTER(Data!N:N, Data!B:B=A573),""TRAVERSE"")) / (COUNTIF(Data!B:B, A573)),"""")"),"")</f>
        <v/>
      </c>
      <c r="X573" s="59"/>
      <c r="Y573" s="45" t="str">
        <f t="shared" si="7"/>
        <v/>
      </c>
      <c r="Z573" s="45" t="str">
        <f t="shared" si="8"/>
        <v/>
      </c>
      <c r="AA573" s="16" t="str">
        <f t="shared" si="9"/>
        <v/>
      </c>
      <c r="AB573" s="16"/>
      <c r="AC573" s="16"/>
      <c r="AD573" s="16"/>
      <c r="AE573" s="16" t="str">
        <f t="shared" si="12"/>
        <v/>
      </c>
      <c r="AF573" s="16" t="str">
        <f t="shared" si="13"/>
        <v/>
      </c>
      <c r="AG573" s="44"/>
      <c r="AH573" s="44"/>
      <c r="AI573" s="44" t="str">
        <f>IFERROR(__xludf.DUMMYFUNCTION("TEXTJOIN("", "",TRUE, FILTER(Data!P:P, Data!B:B=A573))"),"")</f>
        <v/>
      </c>
      <c r="AM573" s="61"/>
      <c r="BC573" s="50"/>
    </row>
    <row r="574">
      <c r="A574" s="14"/>
      <c r="B574" s="55" t="str">
        <f>IFERROR(__xludf.DUMMYFUNCTION("IFERROR(ROUND(
(COUNTIF(FILTER(Data!O:O, Data!B:B=A574), ""Win"")
+ COUNTIF(FILTER(Data!O:O, Data!B:B=A574), {""Tie"",""Results""}))
/ (COUNTIF(Data!B:B, A574)),
1),"""")"),"")</f>
        <v/>
      </c>
      <c r="C574" s="45" t="str">
        <f>IFERROR((SUMIF(Data!B:B, A574, Data!H:H)
/ (COUNTIF(Data!B:B, A574)
)),"")</f>
        <v/>
      </c>
      <c r="D574" s="45" t="str">
        <f>IFERROR((SUMIF(Data!B:B, A574, Data!G:G)
/ (COUNTIF(Data!B:B, A574)
)),"")</f>
        <v/>
      </c>
      <c r="E574" s="45"/>
      <c r="F574" s="45" t="str">
        <f>IFERROR((SUMIF(Data!B:B, A574, Data!J:J)
/ (COUNTIF(Data!B:B, A574)
)),"")</f>
        <v/>
      </c>
      <c r="G574" s="56" t="str">
        <f>IF(A574="","",IFERROR((((((SUMIF(Data!B:B, A574, Data!H:H)+(SUMIF(Data!B:B, A574,Data!G:G)))/(SUMIF(Data!B:B, A574, Data!J:J)))))),0))</f>
        <v/>
      </c>
      <c r="H574" s="45"/>
      <c r="I574" s="45"/>
      <c r="J574" s="45"/>
      <c r="K574" s="45"/>
      <c r="L574" s="45" t="str">
        <f>IFERROR((SUMIF(Data!B:B, A574, Data!L:L)
/ (COUNTIF(Data!B:B, A574)
)),"")</f>
        <v/>
      </c>
      <c r="M574" s="45" t="str">
        <f>IFERROR((SUMIF(Data!B:B, A574, Data!K:K)
/ (COUNTIF(Data!B:B, A574)
)),"")</f>
        <v/>
      </c>
      <c r="N574" s="56"/>
      <c r="O574" s="56" t="str">
        <f>IF(A574="","",IFERROR((((((SUMIF(Data!B:B, A574, Data!H:H)+(SUMIF(Data!B:B, A574,Data!G:G)+(SUMIF(Data!B:B, A574,Data!L:L)+(SUMIF(Data!B:B, A574,Data!K:K)))))/(SUMIF(Data!B:B, A574, Data!M:M)+(SUMIF(Data!B:B, A574, Data!H:H)+(SUMIF(Data!B:B, A574,Data!G:G)+(SUMIF(Data!B:B, A574,Data!K:K)+(SUMIF(Data!B:B, A574,Data!L:L)))))))))),0))</f>
        <v/>
      </c>
      <c r="P574" s="57" t="str">
        <f>IFERROR(__xludf.DUMMYFUNCTION("IFERROR(((COUNTIF(FILTER(Data!N:N,Data!B:B=A574),""TRAVERSE"")*15)+(COUNTIF(FILTER(Data!N:N,Data!B:B=A574),""HIGH"")*10)+(COUNTIF(FILTER(Data!N:N,Data!B:B=A574),""MIDDLE"")*6)+(COUNTIF(FILTER(Data!N:N,Data!B:B=A574),""LOW"")*4)) / (COUNTIF(Data!B:B, A574)"&amp;"),"""")"),"")</f>
        <v/>
      </c>
      <c r="Q574" s="58"/>
      <c r="R574" s="58"/>
      <c r="S574" s="58" t="str">
        <f>IFERROR(__xludf.DUMMYFUNCTION("IFERROR((((COUNTIF(FILTER(Data!N:N,Data!B:B=A574),""TRAVERSE""))+(COUNTIF(FILTER(Data!N:N,Data!B:B=A574),""HIGH""))+(COUNTIF(FILTER(Data!N:N,Data!B:B=A574),""MIDDLE""))+(COUNTIF(FILTER(Data!N:N,Data!B:B=A574),""LOW"")))) / (((COUNTIF(Data!B:B, A574)))-(CO"&amp;"UNTIF(FILTER(Data!N:N,Data!B:B=A574),""NONE""))),IF(ISBLANK(A574),"""",0))"),"")</f>
        <v/>
      </c>
      <c r="T574" s="56" t="str">
        <f>IFERROR(__xludf.DUMMYFUNCTION("IFERROR((COUNTIF(FILTER(Data!N:N, Data!B:B=A574),""LOW"")) / (COUNTIF(Data!B:B, A574)),"""")"),"")</f>
        <v/>
      </c>
      <c r="U574" s="59" t="str">
        <f>IFERROR(__xludf.DUMMYFUNCTION("IFERROR((COUNTIF(FILTER(Data!N:N, Data!B:B=A574),""MIDDLE"")) / (COUNTIF(Data!B:B, A574)),"""")"),"")</f>
        <v/>
      </c>
      <c r="V574" s="59" t="str">
        <f>IFERROR(__xludf.DUMMYFUNCTION("IFERROR((COUNTIF(FILTER(Data!N:N, Data!B:B=A574),""HIGH"")) / (COUNTIF(Data!B:B, A574)),"""")"),"")</f>
        <v/>
      </c>
      <c r="W574" s="59" t="str">
        <f>IFERROR(__xludf.DUMMYFUNCTION("IFERROR((COUNTIF(FILTER(Data!N:N, Data!B:B=A574),""TRAVERSE"")) / (COUNTIF(Data!B:B, A574)),"""")"),"")</f>
        <v/>
      </c>
      <c r="X574" s="59"/>
      <c r="Y574" s="45" t="str">
        <f t="shared" si="7"/>
        <v/>
      </c>
      <c r="Z574" s="45" t="str">
        <f t="shared" si="8"/>
        <v/>
      </c>
      <c r="AA574" s="16" t="str">
        <f t="shared" si="9"/>
        <v/>
      </c>
      <c r="AB574" s="16"/>
      <c r="AC574" s="16"/>
      <c r="AD574" s="16"/>
      <c r="AE574" s="16" t="str">
        <f t="shared" si="12"/>
        <v/>
      </c>
      <c r="AF574" s="16" t="str">
        <f t="shared" si="13"/>
        <v/>
      </c>
      <c r="AG574" s="44"/>
      <c r="AH574" s="44"/>
      <c r="AI574" s="44" t="str">
        <f>IFERROR(__xludf.DUMMYFUNCTION("TEXTJOIN("", "",TRUE, FILTER(Data!P:P, Data!B:B=A574))"),"")</f>
        <v/>
      </c>
      <c r="AM574" s="61"/>
      <c r="BC574" s="50"/>
    </row>
    <row r="575">
      <c r="A575" s="14"/>
      <c r="B575" s="55" t="str">
        <f>IFERROR(__xludf.DUMMYFUNCTION("IFERROR(ROUND(
(COUNTIF(FILTER(Data!O:O, Data!B:B=A575), ""Win"")
+ COUNTIF(FILTER(Data!O:O, Data!B:B=A575), {""Tie"",""Results""}))
/ (COUNTIF(Data!B:B, A575)),
1),"""")"),"")</f>
        <v/>
      </c>
      <c r="C575" s="45" t="str">
        <f>IFERROR((SUMIF(Data!B:B, A575, Data!H:H)
/ (COUNTIF(Data!B:B, A575)
)),"")</f>
        <v/>
      </c>
      <c r="D575" s="45" t="str">
        <f>IFERROR((SUMIF(Data!B:B, A575, Data!G:G)
/ (COUNTIF(Data!B:B, A575)
)),"")</f>
        <v/>
      </c>
      <c r="E575" s="45"/>
      <c r="F575" s="45" t="str">
        <f>IFERROR((SUMIF(Data!B:B, A575, Data!J:J)
/ (COUNTIF(Data!B:B, A575)
)),"")</f>
        <v/>
      </c>
      <c r="G575" s="56" t="str">
        <f>IF(A575="","",IFERROR((((((SUMIF(Data!B:B, A575, Data!H:H)+(SUMIF(Data!B:B, A575,Data!G:G)))/(SUMIF(Data!B:B, A575, Data!J:J)))))),0))</f>
        <v/>
      </c>
      <c r="H575" s="45"/>
      <c r="I575" s="45"/>
      <c r="J575" s="45"/>
      <c r="K575" s="45"/>
      <c r="L575" s="45" t="str">
        <f>IFERROR((SUMIF(Data!B:B, A575, Data!L:L)
/ (COUNTIF(Data!B:B, A575)
)),"")</f>
        <v/>
      </c>
      <c r="M575" s="45" t="str">
        <f>IFERROR((SUMIF(Data!B:B, A575, Data!K:K)
/ (COUNTIF(Data!B:B, A575)
)),"")</f>
        <v/>
      </c>
      <c r="N575" s="56"/>
      <c r="O575" s="56" t="str">
        <f>IF(A575="","",IFERROR((((((SUMIF(Data!B:B, A575, Data!H:H)+(SUMIF(Data!B:B, A575,Data!G:G)+(SUMIF(Data!B:B, A575,Data!L:L)+(SUMIF(Data!B:B, A575,Data!K:K)))))/(SUMIF(Data!B:B, A575, Data!M:M)+(SUMIF(Data!B:B, A575, Data!H:H)+(SUMIF(Data!B:B, A575,Data!G:G)+(SUMIF(Data!B:B, A575,Data!K:K)+(SUMIF(Data!B:B, A575,Data!L:L)))))))))),0))</f>
        <v/>
      </c>
      <c r="P575" s="57" t="str">
        <f>IFERROR(__xludf.DUMMYFUNCTION("IFERROR(((COUNTIF(FILTER(Data!N:N,Data!B:B=A575),""TRAVERSE"")*15)+(COUNTIF(FILTER(Data!N:N,Data!B:B=A575),""HIGH"")*10)+(COUNTIF(FILTER(Data!N:N,Data!B:B=A575),""MIDDLE"")*6)+(COUNTIF(FILTER(Data!N:N,Data!B:B=A575),""LOW"")*4)) / (COUNTIF(Data!B:B, A575)"&amp;"),"""")"),"")</f>
        <v/>
      </c>
      <c r="Q575" s="58"/>
      <c r="R575" s="58"/>
      <c r="S575" s="58" t="str">
        <f>IFERROR(__xludf.DUMMYFUNCTION("IFERROR((((COUNTIF(FILTER(Data!N:N,Data!B:B=A575),""TRAVERSE""))+(COUNTIF(FILTER(Data!N:N,Data!B:B=A575),""HIGH""))+(COUNTIF(FILTER(Data!N:N,Data!B:B=A575),""MIDDLE""))+(COUNTIF(FILTER(Data!N:N,Data!B:B=A575),""LOW"")))) / (((COUNTIF(Data!B:B, A575)))-(CO"&amp;"UNTIF(FILTER(Data!N:N,Data!B:B=A575),""NONE""))),IF(ISBLANK(A575),"""",0))"),"")</f>
        <v/>
      </c>
      <c r="T575" s="56" t="str">
        <f>IFERROR(__xludf.DUMMYFUNCTION("IFERROR((COUNTIF(FILTER(Data!N:N, Data!B:B=A575),""LOW"")) / (COUNTIF(Data!B:B, A575)),"""")"),"")</f>
        <v/>
      </c>
      <c r="U575" s="59" t="str">
        <f>IFERROR(__xludf.DUMMYFUNCTION("IFERROR((COUNTIF(FILTER(Data!N:N, Data!B:B=A575),""MIDDLE"")) / (COUNTIF(Data!B:B, A575)),"""")"),"")</f>
        <v/>
      </c>
      <c r="V575" s="59" t="str">
        <f>IFERROR(__xludf.DUMMYFUNCTION("IFERROR((COUNTIF(FILTER(Data!N:N, Data!B:B=A575),""HIGH"")) / (COUNTIF(Data!B:B, A575)),"""")"),"")</f>
        <v/>
      </c>
      <c r="W575" s="59" t="str">
        <f>IFERROR(__xludf.DUMMYFUNCTION("IFERROR((COUNTIF(FILTER(Data!N:N, Data!B:B=A575),""TRAVERSE"")) / (COUNTIF(Data!B:B, A575)),"""")"),"")</f>
        <v/>
      </c>
      <c r="X575" s="59"/>
      <c r="Y575" s="45" t="str">
        <f t="shared" si="7"/>
        <v/>
      </c>
      <c r="Z575" s="45" t="str">
        <f t="shared" si="8"/>
        <v/>
      </c>
      <c r="AA575" s="16" t="str">
        <f t="shared" si="9"/>
        <v/>
      </c>
      <c r="AB575" s="16"/>
      <c r="AC575" s="16"/>
      <c r="AD575" s="16"/>
      <c r="AE575" s="16" t="str">
        <f t="shared" si="12"/>
        <v/>
      </c>
      <c r="AF575" s="16" t="str">
        <f t="shared" si="13"/>
        <v/>
      </c>
      <c r="AG575" s="44"/>
      <c r="AH575" s="44"/>
      <c r="AI575" s="44" t="str">
        <f>IFERROR(__xludf.DUMMYFUNCTION("TEXTJOIN("", "",TRUE, FILTER(Data!P:P, Data!B:B=A575))"),"")</f>
        <v/>
      </c>
      <c r="AM575" s="61"/>
      <c r="BC575" s="50"/>
    </row>
    <row r="576">
      <c r="A576" s="14"/>
      <c r="B576" s="55" t="str">
        <f>IFERROR(__xludf.DUMMYFUNCTION("IFERROR(ROUND(
(COUNTIF(FILTER(Data!O:O, Data!B:B=A576), ""Win"")
+ COUNTIF(FILTER(Data!O:O, Data!B:B=A576), {""Tie"",""Results""}))
/ (COUNTIF(Data!B:B, A576)),
1),"""")"),"")</f>
        <v/>
      </c>
      <c r="C576" s="45" t="str">
        <f>IFERROR((SUMIF(Data!B:B, A576, Data!H:H)
/ (COUNTIF(Data!B:B, A576)
)),"")</f>
        <v/>
      </c>
      <c r="D576" s="45" t="str">
        <f>IFERROR((SUMIF(Data!B:B, A576, Data!G:G)
/ (COUNTIF(Data!B:B, A576)
)),"")</f>
        <v/>
      </c>
      <c r="E576" s="45"/>
      <c r="F576" s="45" t="str">
        <f>IFERROR((SUMIF(Data!B:B, A576, Data!J:J)
/ (COUNTIF(Data!B:B, A576)
)),"")</f>
        <v/>
      </c>
      <c r="G576" s="56" t="str">
        <f>IF(A576="","",IFERROR((((((SUMIF(Data!B:B, A576, Data!H:H)+(SUMIF(Data!B:B, A576,Data!G:G)))/(SUMIF(Data!B:B, A576, Data!J:J)))))),0))</f>
        <v/>
      </c>
      <c r="H576" s="45"/>
      <c r="I576" s="45"/>
      <c r="J576" s="45"/>
      <c r="K576" s="45"/>
      <c r="L576" s="45" t="str">
        <f>IFERROR((SUMIF(Data!B:B, A576, Data!L:L)
/ (COUNTIF(Data!B:B, A576)
)),"")</f>
        <v/>
      </c>
      <c r="M576" s="45" t="str">
        <f>IFERROR((SUMIF(Data!B:B, A576, Data!K:K)
/ (COUNTIF(Data!B:B, A576)
)),"")</f>
        <v/>
      </c>
      <c r="N576" s="56"/>
      <c r="O576" s="56" t="str">
        <f>IF(A576="","",IFERROR((((((SUMIF(Data!B:B, A576, Data!H:H)+(SUMIF(Data!B:B, A576,Data!G:G)+(SUMIF(Data!B:B, A576,Data!L:L)+(SUMIF(Data!B:B, A576,Data!K:K)))))/(SUMIF(Data!B:B, A576, Data!M:M)+(SUMIF(Data!B:B, A576, Data!H:H)+(SUMIF(Data!B:B, A576,Data!G:G)+(SUMIF(Data!B:B, A576,Data!K:K)+(SUMIF(Data!B:B, A576,Data!L:L)))))))))),0))</f>
        <v/>
      </c>
      <c r="P576" s="57" t="str">
        <f>IFERROR(__xludf.DUMMYFUNCTION("IFERROR(((COUNTIF(FILTER(Data!N:N,Data!B:B=A576),""TRAVERSE"")*15)+(COUNTIF(FILTER(Data!N:N,Data!B:B=A576),""HIGH"")*10)+(COUNTIF(FILTER(Data!N:N,Data!B:B=A576),""MIDDLE"")*6)+(COUNTIF(FILTER(Data!N:N,Data!B:B=A576),""LOW"")*4)) / (COUNTIF(Data!B:B, A576)"&amp;"),"""")"),"")</f>
        <v/>
      </c>
      <c r="Q576" s="58"/>
      <c r="R576" s="58"/>
      <c r="S576" s="58" t="str">
        <f>IFERROR(__xludf.DUMMYFUNCTION("IFERROR((((COUNTIF(FILTER(Data!N:N,Data!B:B=A576),""TRAVERSE""))+(COUNTIF(FILTER(Data!N:N,Data!B:B=A576),""HIGH""))+(COUNTIF(FILTER(Data!N:N,Data!B:B=A576),""MIDDLE""))+(COUNTIF(FILTER(Data!N:N,Data!B:B=A576),""LOW"")))) / (((COUNTIF(Data!B:B, A576)))-(CO"&amp;"UNTIF(FILTER(Data!N:N,Data!B:B=A576),""NONE""))),IF(ISBLANK(A576),"""",0))"),"")</f>
        <v/>
      </c>
      <c r="T576" s="56" t="str">
        <f>IFERROR(__xludf.DUMMYFUNCTION("IFERROR((COUNTIF(FILTER(Data!N:N, Data!B:B=A576),""LOW"")) / (COUNTIF(Data!B:B, A576)),"""")"),"")</f>
        <v/>
      </c>
      <c r="U576" s="59" t="str">
        <f>IFERROR(__xludf.DUMMYFUNCTION("IFERROR((COUNTIF(FILTER(Data!N:N, Data!B:B=A576),""MIDDLE"")) / (COUNTIF(Data!B:B, A576)),"""")"),"")</f>
        <v/>
      </c>
      <c r="V576" s="59" t="str">
        <f>IFERROR(__xludf.DUMMYFUNCTION("IFERROR((COUNTIF(FILTER(Data!N:N, Data!B:B=A576),""HIGH"")) / (COUNTIF(Data!B:B, A576)),"""")"),"")</f>
        <v/>
      </c>
      <c r="W576" s="59" t="str">
        <f>IFERROR(__xludf.DUMMYFUNCTION("IFERROR((COUNTIF(FILTER(Data!N:N, Data!B:B=A576),""TRAVERSE"")) / (COUNTIF(Data!B:B, A576)),"""")"),"")</f>
        <v/>
      </c>
      <c r="X576" s="59"/>
      <c r="Y576" s="45" t="str">
        <f t="shared" si="7"/>
        <v/>
      </c>
      <c r="Z576" s="45" t="str">
        <f t="shared" si="8"/>
        <v/>
      </c>
      <c r="AA576" s="16" t="str">
        <f t="shared" si="9"/>
        <v/>
      </c>
      <c r="AB576" s="16"/>
      <c r="AC576" s="16"/>
      <c r="AD576" s="16"/>
      <c r="AE576" s="16" t="str">
        <f t="shared" si="12"/>
        <v/>
      </c>
      <c r="AF576" s="16" t="str">
        <f t="shared" si="13"/>
        <v/>
      </c>
      <c r="AG576" s="44"/>
      <c r="AH576" s="44"/>
      <c r="AI576" s="44" t="str">
        <f>IFERROR(__xludf.DUMMYFUNCTION("TEXTJOIN("", "",TRUE, FILTER(Data!P:P, Data!B:B=A576))"),"")</f>
        <v/>
      </c>
      <c r="AM576" s="61"/>
      <c r="BC576" s="50"/>
    </row>
    <row r="577">
      <c r="A577" s="14"/>
      <c r="B577" s="55" t="str">
        <f>IFERROR(__xludf.DUMMYFUNCTION("IFERROR(ROUND(
(COUNTIF(FILTER(Data!O:O, Data!B:B=A577), ""Win"")
+ COUNTIF(FILTER(Data!O:O, Data!B:B=A577), {""Tie"",""Results""}))
/ (COUNTIF(Data!B:B, A577)),
1),"""")"),"")</f>
        <v/>
      </c>
      <c r="C577" s="45" t="str">
        <f>IFERROR((SUMIF(Data!B:B, A577, Data!H:H)
/ (COUNTIF(Data!B:B, A577)
)),"")</f>
        <v/>
      </c>
      <c r="D577" s="45" t="str">
        <f>IFERROR((SUMIF(Data!B:B, A577, Data!G:G)
/ (COUNTIF(Data!B:B, A577)
)),"")</f>
        <v/>
      </c>
      <c r="E577" s="45"/>
      <c r="F577" s="45" t="str">
        <f>IFERROR((SUMIF(Data!B:B, A577, Data!J:J)
/ (COUNTIF(Data!B:B, A577)
)),"")</f>
        <v/>
      </c>
      <c r="G577" s="56" t="str">
        <f>IF(A577="","",IFERROR((((((SUMIF(Data!B:B, A577, Data!H:H)+(SUMIF(Data!B:B, A577,Data!G:G)))/(SUMIF(Data!B:B, A577, Data!J:J)))))),0))</f>
        <v/>
      </c>
      <c r="H577" s="45"/>
      <c r="I577" s="45"/>
      <c r="J577" s="45"/>
      <c r="K577" s="45"/>
      <c r="L577" s="45" t="str">
        <f>IFERROR((SUMIF(Data!B:B, A577, Data!L:L)
/ (COUNTIF(Data!B:B, A577)
)),"")</f>
        <v/>
      </c>
      <c r="M577" s="45" t="str">
        <f>IFERROR((SUMIF(Data!B:B, A577, Data!K:K)
/ (COUNTIF(Data!B:B, A577)
)),"")</f>
        <v/>
      </c>
      <c r="N577" s="56"/>
      <c r="O577" s="56" t="str">
        <f>IF(A577="","",IFERROR((((((SUMIF(Data!B:B, A577, Data!H:H)+(SUMIF(Data!B:B, A577,Data!G:G)+(SUMIF(Data!B:B, A577,Data!L:L)+(SUMIF(Data!B:B, A577,Data!K:K)))))/(SUMIF(Data!B:B, A577, Data!M:M)+(SUMIF(Data!B:B, A577, Data!H:H)+(SUMIF(Data!B:B, A577,Data!G:G)+(SUMIF(Data!B:B, A577,Data!K:K)+(SUMIF(Data!B:B, A577,Data!L:L)))))))))),0))</f>
        <v/>
      </c>
      <c r="P577" s="57" t="str">
        <f>IFERROR(__xludf.DUMMYFUNCTION("IFERROR(((COUNTIF(FILTER(Data!N:N,Data!B:B=A577),""TRAVERSE"")*15)+(COUNTIF(FILTER(Data!N:N,Data!B:B=A577),""HIGH"")*10)+(COUNTIF(FILTER(Data!N:N,Data!B:B=A577),""MIDDLE"")*6)+(COUNTIF(FILTER(Data!N:N,Data!B:B=A577),""LOW"")*4)) / (COUNTIF(Data!B:B, A577)"&amp;"),"""")"),"")</f>
        <v/>
      </c>
      <c r="Q577" s="58"/>
      <c r="R577" s="58"/>
      <c r="S577" s="58" t="str">
        <f>IFERROR(__xludf.DUMMYFUNCTION("IFERROR((((COUNTIF(FILTER(Data!N:N,Data!B:B=A577),""TRAVERSE""))+(COUNTIF(FILTER(Data!N:N,Data!B:B=A577),""HIGH""))+(COUNTIF(FILTER(Data!N:N,Data!B:B=A577),""MIDDLE""))+(COUNTIF(FILTER(Data!N:N,Data!B:B=A577),""LOW"")))) / (((COUNTIF(Data!B:B, A577)))-(CO"&amp;"UNTIF(FILTER(Data!N:N,Data!B:B=A577),""NONE""))),IF(ISBLANK(A577),"""",0))"),"")</f>
        <v/>
      </c>
      <c r="T577" s="56" t="str">
        <f>IFERROR(__xludf.DUMMYFUNCTION("IFERROR((COUNTIF(FILTER(Data!N:N, Data!B:B=A577),""LOW"")) / (COUNTIF(Data!B:B, A577)),"""")"),"")</f>
        <v/>
      </c>
      <c r="U577" s="59" t="str">
        <f>IFERROR(__xludf.DUMMYFUNCTION("IFERROR((COUNTIF(FILTER(Data!N:N, Data!B:B=A577),""MIDDLE"")) / (COUNTIF(Data!B:B, A577)),"""")"),"")</f>
        <v/>
      </c>
      <c r="V577" s="59" t="str">
        <f>IFERROR(__xludf.DUMMYFUNCTION("IFERROR((COUNTIF(FILTER(Data!N:N, Data!B:B=A577),""HIGH"")) / (COUNTIF(Data!B:B, A577)),"""")"),"")</f>
        <v/>
      </c>
      <c r="W577" s="59" t="str">
        <f>IFERROR(__xludf.DUMMYFUNCTION("IFERROR((COUNTIF(FILTER(Data!N:N, Data!B:B=A577),""TRAVERSE"")) / (COUNTIF(Data!B:B, A577)),"""")"),"")</f>
        <v/>
      </c>
      <c r="X577" s="59"/>
      <c r="Y577" s="45" t="str">
        <f t="shared" si="7"/>
        <v/>
      </c>
      <c r="Z577" s="45" t="str">
        <f t="shared" si="8"/>
        <v/>
      </c>
      <c r="AA577" s="16" t="str">
        <f t="shared" si="9"/>
        <v/>
      </c>
      <c r="AB577" s="16"/>
      <c r="AC577" s="16"/>
      <c r="AD577" s="16"/>
      <c r="AE577" s="16" t="str">
        <f t="shared" si="12"/>
        <v/>
      </c>
      <c r="AF577" s="16" t="str">
        <f t="shared" si="13"/>
        <v/>
      </c>
      <c r="AG577" s="44"/>
      <c r="AH577" s="44"/>
      <c r="AI577" s="44" t="str">
        <f>IFERROR(__xludf.DUMMYFUNCTION("TEXTJOIN("", "",TRUE, FILTER(Data!P:P, Data!B:B=A577))"),"")</f>
        <v/>
      </c>
      <c r="AM577" s="61"/>
      <c r="BC577" s="50"/>
    </row>
    <row r="578">
      <c r="A578" s="14"/>
      <c r="B578" s="55" t="str">
        <f>IFERROR(__xludf.DUMMYFUNCTION("IFERROR(ROUND(
(COUNTIF(FILTER(Data!O:O, Data!B:B=A578), ""Win"")
+ COUNTIF(FILTER(Data!O:O, Data!B:B=A578), {""Tie"",""Results""}))
/ (COUNTIF(Data!B:B, A578)),
1),"""")"),"")</f>
        <v/>
      </c>
      <c r="C578" s="45" t="str">
        <f>IFERROR((SUMIF(Data!B:B, A578, Data!H:H)
/ (COUNTIF(Data!B:B, A578)
)),"")</f>
        <v/>
      </c>
      <c r="D578" s="45" t="str">
        <f>IFERROR((SUMIF(Data!B:B, A578, Data!G:G)
/ (COUNTIF(Data!B:B, A578)
)),"")</f>
        <v/>
      </c>
      <c r="E578" s="45"/>
      <c r="F578" s="45" t="str">
        <f>IFERROR((SUMIF(Data!B:B, A578, Data!J:J)
/ (COUNTIF(Data!B:B, A578)
)),"")</f>
        <v/>
      </c>
      <c r="G578" s="56" t="str">
        <f>IF(A578="","",IFERROR((((((SUMIF(Data!B:B, A578, Data!H:H)+(SUMIF(Data!B:B, A578,Data!G:G)))/(SUMIF(Data!B:B, A578, Data!J:J)))))),0))</f>
        <v/>
      </c>
      <c r="H578" s="45"/>
      <c r="I578" s="45"/>
      <c r="J578" s="45"/>
      <c r="K578" s="45"/>
      <c r="L578" s="45" t="str">
        <f>IFERROR((SUMIF(Data!B:B, A578, Data!L:L)
/ (COUNTIF(Data!B:B, A578)
)),"")</f>
        <v/>
      </c>
      <c r="M578" s="45" t="str">
        <f>IFERROR((SUMIF(Data!B:B, A578, Data!K:K)
/ (COUNTIF(Data!B:B, A578)
)),"")</f>
        <v/>
      </c>
      <c r="N578" s="56"/>
      <c r="O578" s="56" t="str">
        <f>IF(A578="","",IFERROR((((((SUMIF(Data!B:B, A578, Data!H:H)+(SUMIF(Data!B:B, A578,Data!G:G)+(SUMIF(Data!B:B, A578,Data!L:L)+(SUMIF(Data!B:B, A578,Data!K:K)))))/(SUMIF(Data!B:B, A578, Data!M:M)+(SUMIF(Data!B:B, A578, Data!H:H)+(SUMIF(Data!B:B, A578,Data!G:G)+(SUMIF(Data!B:B, A578,Data!K:K)+(SUMIF(Data!B:B, A578,Data!L:L)))))))))),0))</f>
        <v/>
      </c>
      <c r="P578" s="57" t="str">
        <f>IFERROR(__xludf.DUMMYFUNCTION("IFERROR(((COUNTIF(FILTER(Data!N:N,Data!B:B=A578),""TRAVERSE"")*15)+(COUNTIF(FILTER(Data!N:N,Data!B:B=A578),""HIGH"")*10)+(COUNTIF(FILTER(Data!N:N,Data!B:B=A578),""MIDDLE"")*6)+(COUNTIF(FILTER(Data!N:N,Data!B:B=A578),""LOW"")*4)) / (COUNTIF(Data!B:B, A578)"&amp;"),"""")"),"")</f>
        <v/>
      </c>
      <c r="Q578" s="58"/>
      <c r="R578" s="58"/>
      <c r="S578" s="58" t="str">
        <f>IFERROR(__xludf.DUMMYFUNCTION("IFERROR((((COUNTIF(FILTER(Data!N:N,Data!B:B=A578),""TRAVERSE""))+(COUNTIF(FILTER(Data!N:N,Data!B:B=A578),""HIGH""))+(COUNTIF(FILTER(Data!N:N,Data!B:B=A578),""MIDDLE""))+(COUNTIF(FILTER(Data!N:N,Data!B:B=A578),""LOW"")))) / (((COUNTIF(Data!B:B, A578)))-(CO"&amp;"UNTIF(FILTER(Data!N:N,Data!B:B=A578),""NONE""))),IF(ISBLANK(A578),"""",0))"),"")</f>
        <v/>
      </c>
      <c r="T578" s="56" t="str">
        <f>IFERROR(__xludf.DUMMYFUNCTION("IFERROR((COUNTIF(FILTER(Data!N:N, Data!B:B=A578),""LOW"")) / (COUNTIF(Data!B:B, A578)),"""")"),"")</f>
        <v/>
      </c>
      <c r="U578" s="59" t="str">
        <f>IFERROR(__xludf.DUMMYFUNCTION("IFERROR((COUNTIF(FILTER(Data!N:N, Data!B:B=A578),""MIDDLE"")) / (COUNTIF(Data!B:B, A578)),"""")"),"")</f>
        <v/>
      </c>
      <c r="V578" s="59" t="str">
        <f>IFERROR(__xludf.DUMMYFUNCTION("IFERROR((COUNTIF(FILTER(Data!N:N, Data!B:B=A578),""HIGH"")) / (COUNTIF(Data!B:B, A578)),"""")"),"")</f>
        <v/>
      </c>
      <c r="W578" s="59" t="str">
        <f>IFERROR(__xludf.DUMMYFUNCTION("IFERROR((COUNTIF(FILTER(Data!N:N, Data!B:B=A578),""TRAVERSE"")) / (COUNTIF(Data!B:B, A578)),"""")"),"")</f>
        <v/>
      </c>
      <c r="X578" s="59"/>
      <c r="Y578" s="45" t="str">
        <f t="shared" si="7"/>
        <v/>
      </c>
      <c r="Z578" s="45" t="str">
        <f t="shared" si="8"/>
        <v/>
      </c>
      <c r="AA578" s="16" t="str">
        <f t="shared" si="9"/>
        <v/>
      </c>
      <c r="AB578" s="16"/>
      <c r="AC578" s="16"/>
      <c r="AD578" s="16"/>
      <c r="AE578" s="16" t="str">
        <f t="shared" si="12"/>
        <v/>
      </c>
      <c r="AF578" s="16" t="str">
        <f t="shared" si="13"/>
        <v/>
      </c>
      <c r="AG578" s="44"/>
      <c r="AH578" s="44"/>
      <c r="AI578" s="44" t="str">
        <f>IFERROR(__xludf.DUMMYFUNCTION("TEXTJOIN("", "",TRUE, FILTER(Data!P:P, Data!B:B=A578))"),"")</f>
        <v/>
      </c>
      <c r="AM578" s="61"/>
      <c r="BC578" s="50"/>
    </row>
    <row r="579">
      <c r="A579" s="14"/>
      <c r="B579" s="55" t="str">
        <f>IFERROR(__xludf.DUMMYFUNCTION("IFERROR(ROUND(
(COUNTIF(FILTER(Data!O:O, Data!B:B=A579), ""Win"")
+ COUNTIF(FILTER(Data!O:O, Data!B:B=A579), {""Tie"",""Results""}))
/ (COUNTIF(Data!B:B, A579)),
1),"""")"),"")</f>
        <v/>
      </c>
      <c r="C579" s="45" t="str">
        <f>IFERROR((SUMIF(Data!B:B, A579, Data!H:H)
/ (COUNTIF(Data!B:B, A579)
)),"")</f>
        <v/>
      </c>
      <c r="D579" s="45" t="str">
        <f>IFERROR((SUMIF(Data!B:B, A579, Data!G:G)
/ (COUNTIF(Data!B:B, A579)
)),"")</f>
        <v/>
      </c>
      <c r="E579" s="45"/>
      <c r="F579" s="45" t="str">
        <f>IFERROR((SUMIF(Data!B:B, A579, Data!J:J)
/ (COUNTIF(Data!B:B, A579)
)),"")</f>
        <v/>
      </c>
      <c r="G579" s="56" t="str">
        <f>IF(A579="","",IFERROR((((((SUMIF(Data!B:B, A579, Data!H:H)+(SUMIF(Data!B:B, A579,Data!G:G)))/(SUMIF(Data!B:B, A579, Data!J:J)))))),0))</f>
        <v/>
      </c>
      <c r="H579" s="45"/>
      <c r="I579" s="45"/>
      <c r="J579" s="45"/>
      <c r="K579" s="45"/>
      <c r="L579" s="45" t="str">
        <f>IFERROR((SUMIF(Data!B:B, A579, Data!L:L)
/ (COUNTIF(Data!B:B, A579)
)),"")</f>
        <v/>
      </c>
      <c r="M579" s="45" t="str">
        <f>IFERROR((SUMIF(Data!B:B, A579, Data!K:K)
/ (COUNTIF(Data!B:B, A579)
)),"")</f>
        <v/>
      </c>
      <c r="N579" s="56"/>
      <c r="O579" s="56" t="str">
        <f>IF(A579="","",IFERROR((((((SUMIF(Data!B:B, A579, Data!H:H)+(SUMIF(Data!B:B, A579,Data!G:G)+(SUMIF(Data!B:B, A579,Data!L:L)+(SUMIF(Data!B:B, A579,Data!K:K)))))/(SUMIF(Data!B:B, A579, Data!M:M)+(SUMIF(Data!B:B, A579, Data!H:H)+(SUMIF(Data!B:B, A579,Data!G:G)+(SUMIF(Data!B:B, A579,Data!K:K)+(SUMIF(Data!B:B, A579,Data!L:L)))))))))),0))</f>
        <v/>
      </c>
      <c r="P579" s="57" t="str">
        <f>IFERROR(__xludf.DUMMYFUNCTION("IFERROR(((COUNTIF(FILTER(Data!N:N,Data!B:B=A579),""TRAVERSE"")*15)+(COUNTIF(FILTER(Data!N:N,Data!B:B=A579),""HIGH"")*10)+(COUNTIF(FILTER(Data!N:N,Data!B:B=A579),""MIDDLE"")*6)+(COUNTIF(FILTER(Data!N:N,Data!B:B=A579),""LOW"")*4)) / (COUNTIF(Data!B:B, A579)"&amp;"),"""")"),"")</f>
        <v/>
      </c>
      <c r="Q579" s="58"/>
      <c r="R579" s="58"/>
      <c r="S579" s="58" t="str">
        <f>IFERROR(__xludf.DUMMYFUNCTION("IFERROR((((COUNTIF(FILTER(Data!N:N,Data!B:B=A579),""TRAVERSE""))+(COUNTIF(FILTER(Data!N:N,Data!B:B=A579),""HIGH""))+(COUNTIF(FILTER(Data!N:N,Data!B:B=A579),""MIDDLE""))+(COUNTIF(FILTER(Data!N:N,Data!B:B=A579),""LOW"")))) / (((COUNTIF(Data!B:B, A579)))-(CO"&amp;"UNTIF(FILTER(Data!N:N,Data!B:B=A579),""NONE""))),IF(ISBLANK(A579),"""",0))"),"")</f>
        <v/>
      </c>
      <c r="T579" s="56" t="str">
        <f>IFERROR(__xludf.DUMMYFUNCTION("IFERROR((COUNTIF(FILTER(Data!N:N, Data!B:B=A579),""LOW"")) / (COUNTIF(Data!B:B, A579)),"""")"),"")</f>
        <v/>
      </c>
      <c r="U579" s="59" t="str">
        <f>IFERROR(__xludf.DUMMYFUNCTION("IFERROR((COUNTIF(FILTER(Data!N:N, Data!B:B=A579),""MIDDLE"")) / (COUNTIF(Data!B:B, A579)),"""")"),"")</f>
        <v/>
      </c>
      <c r="V579" s="59" t="str">
        <f>IFERROR(__xludf.DUMMYFUNCTION("IFERROR((COUNTIF(FILTER(Data!N:N, Data!B:B=A579),""HIGH"")) / (COUNTIF(Data!B:B, A579)),"""")"),"")</f>
        <v/>
      </c>
      <c r="W579" s="59" t="str">
        <f>IFERROR(__xludf.DUMMYFUNCTION("IFERROR((COUNTIF(FILTER(Data!N:N, Data!B:B=A579),""TRAVERSE"")) / (COUNTIF(Data!B:B, A579)),"""")"),"")</f>
        <v/>
      </c>
      <c r="X579" s="59"/>
      <c r="Y579" s="45" t="str">
        <f t="shared" si="7"/>
        <v/>
      </c>
      <c r="Z579" s="45" t="str">
        <f t="shared" si="8"/>
        <v/>
      </c>
      <c r="AA579" s="16" t="str">
        <f t="shared" si="9"/>
        <v/>
      </c>
      <c r="AB579" s="16"/>
      <c r="AC579" s="16"/>
      <c r="AD579" s="16"/>
      <c r="AE579" s="16" t="str">
        <f t="shared" si="12"/>
        <v/>
      </c>
      <c r="AF579" s="16" t="str">
        <f t="shared" si="13"/>
        <v/>
      </c>
      <c r="AG579" s="44"/>
      <c r="AH579" s="44"/>
      <c r="AI579" s="44" t="str">
        <f>IFERROR(__xludf.DUMMYFUNCTION("TEXTJOIN("", "",TRUE, FILTER(Data!P:P, Data!B:B=A579))"),"")</f>
        <v/>
      </c>
      <c r="AM579" s="61"/>
      <c r="BC579" s="50"/>
    </row>
    <row r="580">
      <c r="A580" s="14"/>
      <c r="B580" s="55" t="str">
        <f>IFERROR(__xludf.DUMMYFUNCTION("IFERROR(ROUND(
(COUNTIF(FILTER(Data!O:O, Data!B:B=A580), ""Win"")
+ COUNTIF(FILTER(Data!O:O, Data!B:B=A580), {""Tie"",""Results""}))
/ (COUNTIF(Data!B:B, A580)),
1),"""")"),"")</f>
        <v/>
      </c>
      <c r="C580" s="45" t="str">
        <f>IFERROR((SUMIF(Data!B:B, A580, Data!H:H)
/ (COUNTIF(Data!B:B, A580)
)),"")</f>
        <v/>
      </c>
      <c r="D580" s="45" t="str">
        <f>IFERROR((SUMIF(Data!B:B, A580, Data!G:G)
/ (COUNTIF(Data!B:B, A580)
)),"")</f>
        <v/>
      </c>
      <c r="E580" s="45"/>
      <c r="F580" s="45" t="str">
        <f>IFERROR((SUMIF(Data!B:B, A580, Data!J:J)
/ (COUNTIF(Data!B:B, A580)
)),"")</f>
        <v/>
      </c>
      <c r="G580" s="56" t="str">
        <f>IF(A580="","",IFERROR((((((SUMIF(Data!B:B, A580, Data!H:H)+(SUMIF(Data!B:B, A580,Data!G:G)))/(SUMIF(Data!B:B, A580, Data!J:J)))))),0))</f>
        <v/>
      </c>
      <c r="H580" s="45"/>
      <c r="I580" s="45"/>
      <c r="J580" s="45"/>
      <c r="K580" s="45"/>
      <c r="L580" s="45" t="str">
        <f>IFERROR((SUMIF(Data!B:B, A580, Data!L:L)
/ (COUNTIF(Data!B:B, A580)
)),"")</f>
        <v/>
      </c>
      <c r="M580" s="45" t="str">
        <f>IFERROR((SUMIF(Data!B:B, A580, Data!K:K)
/ (COUNTIF(Data!B:B, A580)
)),"")</f>
        <v/>
      </c>
      <c r="N580" s="56"/>
      <c r="O580" s="56" t="str">
        <f>IF(A580="","",IFERROR((((((SUMIF(Data!B:B, A580, Data!H:H)+(SUMIF(Data!B:B, A580,Data!G:G)+(SUMIF(Data!B:B, A580,Data!L:L)+(SUMIF(Data!B:B, A580,Data!K:K)))))/(SUMIF(Data!B:B, A580, Data!M:M)+(SUMIF(Data!B:B, A580, Data!H:H)+(SUMIF(Data!B:B, A580,Data!G:G)+(SUMIF(Data!B:B, A580,Data!K:K)+(SUMIF(Data!B:B, A580,Data!L:L)))))))))),0))</f>
        <v/>
      </c>
      <c r="P580" s="57" t="str">
        <f>IFERROR(__xludf.DUMMYFUNCTION("IFERROR(((COUNTIF(FILTER(Data!N:N,Data!B:B=A580),""TRAVERSE"")*15)+(COUNTIF(FILTER(Data!N:N,Data!B:B=A580),""HIGH"")*10)+(COUNTIF(FILTER(Data!N:N,Data!B:B=A580),""MIDDLE"")*6)+(COUNTIF(FILTER(Data!N:N,Data!B:B=A580),""LOW"")*4)) / (COUNTIF(Data!B:B, A580)"&amp;"),"""")"),"")</f>
        <v/>
      </c>
      <c r="Q580" s="58"/>
      <c r="R580" s="58"/>
      <c r="S580" s="58" t="str">
        <f>IFERROR(__xludf.DUMMYFUNCTION("IFERROR((((COUNTIF(FILTER(Data!N:N,Data!B:B=A580),""TRAVERSE""))+(COUNTIF(FILTER(Data!N:N,Data!B:B=A580),""HIGH""))+(COUNTIF(FILTER(Data!N:N,Data!B:B=A580),""MIDDLE""))+(COUNTIF(FILTER(Data!N:N,Data!B:B=A580),""LOW"")))) / (((COUNTIF(Data!B:B, A580)))-(CO"&amp;"UNTIF(FILTER(Data!N:N,Data!B:B=A580),""NONE""))),IF(ISBLANK(A580),"""",0))"),"")</f>
        <v/>
      </c>
      <c r="T580" s="56" t="str">
        <f>IFERROR(__xludf.DUMMYFUNCTION("IFERROR((COUNTIF(FILTER(Data!N:N, Data!B:B=A580),""LOW"")) / (COUNTIF(Data!B:B, A580)),"""")"),"")</f>
        <v/>
      </c>
      <c r="U580" s="59" t="str">
        <f>IFERROR(__xludf.DUMMYFUNCTION("IFERROR((COUNTIF(FILTER(Data!N:N, Data!B:B=A580),""MIDDLE"")) / (COUNTIF(Data!B:B, A580)),"""")"),"")</f>
        <v/>
      </c>
      <c r="V580" s="59" t="str">
        <f>IFERROR(__xludf.DUMMYFUNCTION("IFERROR((COUNTIF(FILTER(Data!N:N, Data!B:B=A580),""HIGH"")) / (COUNTIF(Data!B:B, A580)),"""")"),"")</f>
        <v/>
      </c>
      <c r="W580" s="59" t="str">
        <f>IFERROR(__xludf.DUMMYFUNCTION("IFERROR((COUNTIF(FILTER(Data!N:N, Data!B:B=A580),""TRAVERSE"")) / (COUNTIF(Data!B:B, A580)),"""")"),"")</f>
        <v/>
      </c>
      <c r="X580" s="59"/>
      <c r="Y580" s="45" t="str">
        <f t="shared" si="7"/>
        <v/>
      </c>
      <c r="Z580" s="45" t="str">
        <f t="shared" si="8"/>
        <v/>
      </c>
      <c r="AA580" s="16" t="str">
        <f t="shared" si="9"/>
        <v/>
      </c>
      <c r="AB580" s="16"/>
      <c r="AC580" s="16"/>
      <c r="AD580" s="16"/>
      <c r="AE580" s="16" t="str">
        <f t="shared" si="12"/>
        <v/>
      </c>
      <c r="AF580" s="16" t="str">
        <f t="shared" si="13"/>
        <v/>
      </c>
      <c r="AG580" s="44"/>
      <c r="AH580" s="44"/>
      <c r="AI580" s="44" t="str">
        <f>IFERROR(__xludf.DUMMYFUNCTION("TEXTJOIN("", "",TRUE, FILTER(Data!P:P, Data!B:B=A580))"),"")</f>
        <v/>
      </c>
      <c r="AM580" s="61"/>
      <c r="BC580" s="50"/>
    </row>
    <row r="581">
      <c r="A581" s="14"/>
      <c r="B581" s="55" t="str">
        <f>IFERROR(__xludf.DUMMYFUNCTION("IFERROR(ROUND(
(COUNTIF(FILTER(Data!O:O, Data!B:B=A581), ""Win"")
+ COUNTIF(FILTER(Data!O:O, Data!B:B=A581), {""Tie"",""Results""}))
/ (COUNTIF(Data!B:B, A581)),
1),"""")"),"")</f>
        <v/>
      </c>
      <c r="C581" s="45" t="str">
        <f>IFERROR((SUMIF(Data!B:B, A581, Data!H:H)
/ (COUNTIF(Data!B:B, A581)
)),"")</f>
        <v/>
      </c>
      <c r="D581" s="45" t="str">
        <f>IFERROR((SUMIF(Data!B:B, A581, Data!G:G)
/ (COUNTIF(Data!B:B, A581)
)),"")</f>
        <v/>
      </c>
      <c r="E581" s="45"/>
      <c r="F581" s="45" t="str">
        <f>IFERROR((SUMIF(Data!B:B, A581, Data!J:J)
/ (COUNTIF(Data!B:B, A581)
)),"")</f>
        <v/>
      </c>
      <c r="G581" s="56" t="str">
        <f>IF(A581="","",IFERROR((((((SUMIF(Data!B:B, A581, Data!H:H)+(SUMIF(Data!B:B, A581,Data!G:G)))/(SUMIF(Data!B:B, A581, Data!J:J)))))),0))</f>
        <v/>
      </c>
      <c r="H581" s="45"/>
      <c r="I581" s="45"/>
      <c r="J581" s="45"/>
      <c r="K581" s="45"/>
      <c r="L581" s="45" t="str">
        <f>IFERROR((SUMIF(Data!B:B, A581, Data!L:L)
/ (COUNTIF(Data!B:B, A581)
)),"")</f>
        <v/>
      </c>
      <c r="M581" s="45" t="str">
        <f>IFERROR((SUMIF(Data!B:B, A581, Data!K:K)
/ (COUNTIF(Data!B:B, A581)
)),"")</f>
        <v/>
      </c>
      <c r="N581" s="56"/>
      <c r="O581" s="56" t="str">
        <f>IF(A581="","",IFERROR((((((SUMIF(Data!B:B, A581, Data!H:H)+(SUMIF(Data!B:B, A581,Data!G:G)+(SUMIF(Data!B:B, A581,Data!L:L)+(SUMIF(Data!B:B, A581,Data!K:K)))))/(SUMIF(Data!B:B, A581, Data!M:M)+(SUMIF(Data!B:B, A581, Data!H:H)+(SUMIF(Data!B:B, A581,Data!G:G)+(SUMIF(Data!B:B, A581,Data!K:K)+(SUMIF(Data!B:B, A581,Data!L:L)))))))))),0))</f>
        <v/>
      </c>
      <c r="P581" s="57" t="str">
        <f>IFERROR(__xludf.DUMMYFUNCTION("IFERROR(((COUNTIF(FILTER(Data!N:N,Data!B:B=A581),""TRAVERSE"")*15)+(COUNTIF(FILTER(Data!N:N,Data!B:B=A581),""HIGH"")*10)+(COUNTIF(FILTER(Data!N:N,Data!B:B=A581),""MIDDLE"")*6)+(COUNTIF(FILTER(Data!N:N,Data!B:B=A581),""LOW"")*4)) / (COUNTIF(Data!B:B, A581)"&amp;"),"""")"),"")</f>
        <v/>
      </c>
      <c r="Q581" s="58"/>
      <c r="R581" s="58"/>
      <c r="S581" s="58" t="str">
        <f>IFERROR(__xludf.DUMMYFUNCTION("IFERROR((((COUNTIF(FILTER(Data!N:N,Data!B:B=A581),""TRAVERSE""))+(COUNTIF(FILTER(Data!N:N,Data!B:B=A581),""HIGH""))+(COUNTIF(FILTER(Data!N:N,Data!B:B=A581),""MIDDLE""))+(COUNTIF(FILTER(Data!N:N,Data!B:B=A581),""LOW"")))) / (((COUNTIF(Data!B:B, A581)))-(CO"&amp;"UNTIF(FILTER(Data!N:N,Data!B:B=A581),""NONE""))),IF(ISBLANK(A581),"""",0))"),"")</f>
        <v/>
      </c>
      <c r="T581" s="56" t="str">
        <f>IFERROR(__xludf.DUMMYFUNCTION("IFERROR((COUNTIF(FILTER(Data!N:N, Data!B:B=A581),""LOW"")) / (COUNTIF(Data!B:B, A581)),"""")"),"")</f>
        <v/>
      </c>
      <c r="U581" s="59" t="str">
        <f>IFERROR(__xludf.DUMMYFUNCTION("IFERROR((COUNTIF(FILTER(Data!N:N, Data!B:B=A581),""MIDDLE"")) / (COUNTIF(Data!B:B, A581)),"""")"),"")</f>
        <v/>
      </c>
      <c r="V581" s="59" t="str">
        <f>IFERROR(__xludf.DUMMYFUNCTION("IFERROR((COUNTIF(FILTER(Data!N:N, Data!B:B=A581),""HIGH"")) / (COUNTIF(Data!B:B, A581)),"""")"),"")</f>
        <v/>
      </c>
      <c r="W581" s="59" t="str">
        <f>IFERROR(__xludf.DUMMYFUNCTION("IFERROR((COUNTIF(FILTER(Data!N:N, Data!B:B=A581),""TRAVERSE"")) / (COUNTIF(Data!B:B, A581)),"""")"),"")</f>
        <v/>
      </c>
      <c r="X581" s="59"/>
      <c r="Y581" s="45" t="str">
        <f t="shared" si="7"/>
        <v/>
      </c>
      <c r="Z581" s="45" t="str">
        <f t="shared" si="8"/>
        <v/>
      </c>
      <c r="AA581" s="16" t="str">
        <f t="shared" si="9"/>
        <v/>
      </c>
      <c r="AB581" s="16"/>
      <c r="AC581" s="16"/>
      <c r="AD581" s="16"/>
      <c r="AE581" s="16" t="str">
        <f t="shared" si="12"/>
        <v/>
      </c>
      <c r="AF581" s="16" t="str">
        <f t="shared" si="13"/>
        <v/>
      </c>
      <c r="AG581" s="44"/>
      <c r="AH581" s="44"/>
      <c r="AI581" s="44" t="str">
        <f>IFERROR(__xludf.DUMMYFUNCTION("TEXTJOIN("", "",TRUE, FILTER(Data!P:P, Data!B:B=A581))"),"")</f>
        <v/>
      </c>
      <c r="AM581" s="61"/>
      <c r="BC581" s="50"/>
    </row>
    <row r="582">
      <c r="A582" s="14"/>
      <c r="B582" s="55" t="str">
        <f>IFERROR(__xludf.DUMMYFUNCTION("IFERROR(ROUND(
(COUNTIF(FILTER(Data!O:O, Data!B:B=A582), ""Win"")
+ COUNTIF(FILTER(Data!O:O, Data!B:B=A582), {""Tie"",""Results""}))
/ (COUNTIF(Data!B:B, A582)),
1),"""")"),"")</f>
        <v/>
      </c>
      <c r="C582" s="45" t="str">
        <f>IFERROR((SUMIF(Data!B:B, A582, Data!H:H)
/ (COUNTIF(Data!B:B, A582)
)),"")</f>
        <v/>
      </c>
      <c r="D582" s="45" t="str">
        <f>IFERROR((SUMIF(Data!B:B, A582, Data!G:G)
/ (COUNTIF(Data!B:B, A582)
)),"")</f>
        <v/>
      </c>
      <c r="E582" s="45"/>
      <c r="F582" s="45" t="str">
        <f>IFERROR((SUMIF(Data!B:B, A582, Data!J:J)
/ (COUNTIF(Data!B:B, A582)
)),"")</f>
        <v/>
      </c>
      <c r="G582" s="56" t="str">
        <f>IF(A582="","",IFERROR((((((SUMIF(Data!B:B, A582, Data!H:H)+(SUMIF(Data!B:B, A582,Data!G:G)))/(SUMIF(Data!B:B, A582, Data!J:J)))))),0))</f>
        <v/>
      </c>
      <c r="H582" s="45"/>
      <c r="I582" s="45"/>
      <c r="J582" s="45"/>
      <c r="K582" s="45"/>
      <c r="L582" s="45" t="str">
        <f>IFERROR((SUMIF(Data!B:B, A582, Data!L:L)
/ (COUNTIF(Data!B:B, A582)
)),"")</f>
        <v/>
      </c>
      <c r="M582" s="45" t="str">
        <f>IFERROR((SUMIF(Data!B:B, A582, Data!K:K)
/ (COUNTIF(Data!B:B, A582)
)),"")</f>
        <v/>
      </c>
      <c r="N582" s="56"/>
      <c r="O582" s="56" t="str">
        <f>IF(A582="","",IFERROR((((((SUMIF(Data!B:B, A582, Data!H:H)+(SUMIF(Data!B:B, A582,Data!G:G)+(SUMIF(Data!B:B, A582,Data!L:L)+(SUMIF(Data!B:B, A582,Data!K:K)))))/(SUMIF(Data!B:B, A582, Data!M:M)+(SUMIF(Data!B:B, A582, Data!H:H)+(SUMIF(Data!B:B, A582,Data!G:G)+(SUMIF(Data!B:B, A582,Data!K:K)+(SUMIF(Data!B:B, A582,Data!L:L)))))))))),0))</f>
        <v/>
      </c>
      <c r="P582" s="57" t="str">
        <f>IFERROR(__xludf.DUMMYFUNCTION("IFERROR(((COUNTIF(FILTER(Data!N:N,Data!B:B=A582),""TRAVERSE"")*15)+(COUNTIF(FILTER(Data!N:N,Data!B:B=A582),""HIGH"")*10)+(COUNTIF(FILTER(Data!N:N,Data!B:B=A582),""MIDDLE"")*6)+(COUNTIF(FILTER(Data!N:N,Data!B:B=A582),""LOW"")*4)) / (COUNTIF(Data!B:B, A582)"&amp;"),"""")"),"")</f>
        <v/>
      </c>
      <c r="Q582" s="58"/>
      <c r="R582" s="58"/>
      <c r="S582" s="58" t="str">
        <f>IFERROR(__xludf.DUMMYFUNCTION("IFERROR((((COUNTIF(FILTER(Data!N:N,Data!B:B=A582),""TRAVERSE""))+(COUNTIF(FILTER(Data!N:N,Data!B:B=A582),""HIGH""))+(COUNTIF(FILTER(Data!N:N,Data!B:B=A582),""MIDDLE""))+(COUNTIF(FILTER(Data!N:N,Data!B:B=A582),""LOW"")))) / (((COUNTIF(Data!B:B, A582)))-(CO"&amp;"UNTIF(FILTER(Data!N:N,Data!B:B=A582),""NONE""))),IF(ISBLANK(A582),"""",0))"),"")</f>
        <v/>
      </c>
      <c r="T582" s="56" t="str">
        <f>IFERROR(__xludf.DUMMYFUNCTION("IFERROR((COUNTIF(FILTER(Data!N:N, Data!B:B=A582),""LOW"")) / (COUNTIF(Data!B:B, A582)),"""")"),"")</f>
        <v/>
      </c>
      <c r="U582" s="59" t="str">
        <f>IFERROR(__xludf.DUMMYFUNCTION("IFERROR((COUNTIF(FILTER(Data!N:N, Data!B:B=A582),""MIDDLE"")) / (COUNTIF(Data!B:B, A582)),"""")"),"")</f>
        <v/>
      </c>
      <c r="V582" s="59" t="str">
        <f>IFERROR(__xludf.DUMMYFUNCTION("IFERROR((COUNTIF(FILTER(Data!N:N, Data!B:B=A582),""HIGH"")) / (COUNTIF(Data!B:B, A582)),"""")"),"")</f>
        <v/>
      </c>
      <c r="W582" s="59" t="str">
        <f>IFERROR(__xludf.DUMMYFUNCTION("IFERROR((COUNTIF(FILTER(Data!N:N, Data!B:B=A582),""TRAVERSE"")) / (COUNTIF(Data!B:B, A582)),"""")"),"")</f>
        <v/>
      </c>
      <c r="X582" s="59"/>
      <c r="Y582" s="45" t="str">
        <f t="shared" si="7"/>
        <v/>
      </c>
      <c r="Z582" s="45" t="str">
        <f t="shared" si="8"/>
        <v/>
      </c>
      <c r="AA582" s="16" t="str">
        <f t="shared" si="9"/>
        <v/>
      </c>
      <c r="AB582" s="16"/>
      <c r="AC582" s="16"/>
      <c r="AD582" s="16"/>
      <c r="AE582" s="16" t="str">
        <f t="shared" si="12"/>
        <v/>
      </c>
      <c r="AF582" s="16" t="str">
        <f t="shared" si="13"/>
        <v/>
      </c>
      <c r="AG582" s="44"/>
      <c r="AH582" s="44"/>
      <c r="AI582" s="44" t="str">
        <f>IFERROR(__xludf.DUMMYFUNCTION("TEXTJOIN("", "",TRUE, FILTER(Data!P:P, Data!B:B=A582))"),"")</f>
        <v/>
      </c>
      <c r="AM582" s="61"/>
      <c r="BC582" s="50"/>
    </row>
    <row r="583">
      <c r="A583" s="14"/>
      <c r="B583" s="55" t="str">
        <f>IFERROR(__xludf.DUMMYFUNCTION("IFERROR(ROUND(
(COUNTIF(FILTER(Data!O:O, Data!B:B=A583), ""Win"")
+ COUNTIF(FILTER(Data!O:O, Data!B:B=A583), {""Tie"",""Results""}))
/ (COUNTIF(Data!B:B, A583)),
1),"""")"),"")</f>
        <v/>
      </c>
      <c r="C583" s="45" t="str">
        <f>IFERROR((SUMIF(Data!B:B, A583, Data!H:H)
/ (COUNTIF(Data!B:B, A583)
)),"")</f>
        <v/>
      </c>
      <c r="D583" s="45" t="str">
        <f>IFERROR((SUMIF(Data!B:B, A583, Data!G:G)
/ (COUNTIF(Data!B:B, A583)
)),"")</f>
        <v/>
      </c>
      <c r="E583" s="45"/>
      <c r="F583" s="45" t="str">
        <f>IFERROR((SUMIF(Data!B:B, A583, Data!J:J)
/ (COUNTIF(Data!B:B, A583)
)),"")</f>
        <v/>
      </c>
      <c r="G583" s="56" t="str">
        <f>IF(A583="","",IFERROR((((((SUMIF(Data!B:B, A583, Data!H:H)+(SUMIF(Data!B:B, A583,Data!G:G)))/(SUMIF(Data!B:B, A583, Data!J:J)))))),0))</f>
        <v/>
      </c>
      <c r="H583" s="45"/>
      <c r="I583" s="45"/>
      <c r="J583" s="45"/>
      <c r="K583" s="45"/>
      <c r="L583" s="45" t="str">
        <f>IFERROR((SUMIF(Data!B:B, A583, Data!L:L)
/ (COUNTIF(Data!B:B, A583)
)),"")</f>
        <v/>
      </c>
      <c r="M583" s="45" t="str">
        <f>IFERROR((SUMIF(Data!B:B, A583, Data!K:K)
/ (COUNTIF(Data!B:B, A583)
)),"")</f>
        <v/>
      </c>
      <c r="N583" s="56"/>
      <c r="O583" s="56" t="str">
        <f>IF(A583="","",IFERROR((((((SUMIF(Data!B:B, A583, Data!H:H)+(SUMIF(Data!B:B, A583,Data!G:G)+(SUMIF(Data!B:B, A583,Data!L:L)+(SUMIF(Data!B:B, A583,Data!K:K)))))/(SUMIF(Data!B:B, A583, Data!M:M)+(SUMIF(Data!B:B, A583, Data!H:H)+(SUMIF(Data!B:B, A583,Data!G:G)+(SUMIF(Data!B:B, A583,Data!K:K)+(SUMIF(Data!B:B, A583,Data!L:L)))))))))),0))</f>
        <v/>
      </c>
      <c r="P583" s="57" t="str">
        <f>IFERROR(__xludf.DUMMYFUNCTION("IFERROR(((COUNTIF(FILTER(Data!N:N,Data!B:B=A583),""TRAVERSE"")*15)+(COUNTIF(FILTER(Data!N:N,Data!B:B=A583),""HIGH"")*10)+(COUNTIF(FILTER(Data!N:N,Data!B:B=A583),""MIDDLE"")*6)+(COUNTIF(FILTER(Data!N:N,Data!B:B=A583),""LOW"")*4)) / (COUNTIF(Data!B:B, A583)"&amp;"),"""")"),"")</f>
        <v/>
      </c>
      <c r="Q583" s="58"/>
      <c r="R583" s="58"/>
      <c r="S583" s="58" t="str">
        <f>IFERROR(__xludf.DUMMYFUNCTION("IFERROR((((COUNTIF(FILTER(Data!N:N,Data!B:B=A583),""TRAVERSE""))+(COUNTIF(FILTER(Data!N:N,Data!B:B=A583),""HIGH""))+(COUNTIF(FILTER(Data!N:N,Data!B:B=A583),""MIDDLE""))+(COUNTIF(FILTER(Data!N:N,Data!B:B=A583),""LOW"")))) / (((COUNTIF(Data!B:B, A583)))-(CO"&amp;"UNTIF(FILTER(Data!N:N,Data!B:B=A583),""NONE""))),IF(ISBLANK(A583),"""",0))"),"")</f>
        <v/>
      </c>
      <c r="T583" s="56" t="str">
        <f>IFERROR(__xludf.DUMMYFUNCTION("IFERROR((COUNTIF(FILTER(Data!N:N, Data!B:B=A583),""LOW"")) / (COUNTIF(Data!B:B, A583)),"""")"),"")</f>
        <v/>
      </c>
      <c r="U583" s="59" t="str">
        <f>IFERROR(__xludf.DUMMYFUNCTION("IFERROR((COUNTIF(FILTER(Data!N:N, Data!B:B=A583),""MIDDLE"")) / (COUNTIF(Data!B:B, A583)),"""")"),"")</f>
        <v/>
      </c>
      <c r="V583" s="59" t="str">
        <f>IFERROR(__xludf.DUMMYFUNCTION("IFERROR((COUNTIF(FILTER(Data!N:N, Data!B:B=A583),""HIGH"")) / (COUNTIF(Data!B:B, A583)),"""")"),"")</f>
        <v/>
      </c>
      <c r="W583" s="59" t="str">
        <f>IFERROR(__xludf.DUMMYFUNCTION("IFERROR((COUNTIF(FILTER(Data!N:N, Data!B:B=A583),""TRAVERSE"")) / (COUNTIF(Data!B:B, A583)),"""")"),"")</f>
        <v/>
      </c>
      <c r="X583" s="59"/>
      <c r="Y583" s="45" t="str">
        <f t="shared" si="7"/>
        <v/>
      </c>
      <c r="Z583" s="45" t="str">
        <f t="shared" si="8"/>
        <v/>
      </c>
      <c r="AA583" s="16" t="str">
        <f t="shared" si="9"/>
        <v/>
      </c>
      <c r="AB583" s="16"/>
      <c r="AC583" s="16"/>
      <c r="AD583" s="16"/>
      <c r="AE583" s="16" t="str">
        <f t="shared" si="12"/>
        <v/>
      </c>
      <c r="AF583" s="16" t="str">
        <f t="shared" si="13"/>
        <v/>
      </c>
      <c r="AG583" s="44"/>
      <c r="AH583" s="44"/>
      <c r="AI583" s="44" t="str">
        <f>IFERROR(__xludf.DUMMYFUNCTION("TEXTJOIN("", "",TRUE, FILTER(Data!P:P, Data!B:B=A583))"),"")</f>
        <v/>
      </c>
      <c r="AM583" s="61"/>
      <c r="BC583" s="50"/>
    </row>
    <row r="584">
      <c r="A584" s="14"/>
      <c r="B584" s="55" t="str">
        <f>IFERROR(__xludf.DUMMYFUNCTION("IFERROR(ROUND(
(COUNTIF(FILTER(Data!O:O, Data!B:B=A584), ""Win"")
+ COUNTIF(FILTER(Data!O:O, Data!B:B=A584), {""Tie"",""Results""}))
/ (COUNTIF(Data!B:B, A584)),
1),"""")"),"")</f>
        <v/>
      </c>
      <c r="C584" s="45" t="str">
        <f>IFERROR((SUMIF(Data!B:B, A584, Data!H:H)
/ (COUNTIF(Data!B:B, A584)
)),"")</f>
        <v/>
      </c>
      <c r="D584" s="45" t="str">
        <f>IFERROR((SUMIF(Data!B:B, A584, Data!G:G)
/ (COUNTIF(Data!B:B, A584)
)),"")</f>
        <v/>
      </c>
      <c r="E584" s="45"/>
      <c r="F584" s="45" t="str">
        <f>IFERROR((SUMIF(Data!B:B, A584, Data!J:J)
/ (COUNTIF(Data!B:B, A584)
)),"")</f>
        <v/>
      </c>
      <c r="G584" s="56" t="str">
        <f>IF(A584="","",IFERROR((((((SUMIF(Data!B:B, A584, Data!H:H)+(SUMIF(Data!B:B, A584,Data!G:G)))/(SUMIF(Data!B:B, A584, Data!J:J)))))),0))</f>
        <v/>
      </c>
      <c r="H584" s="45"/>
      <c r="I584" s="45"/>
      <c r="J584" s="45"/>
      <c r="K584" s="45"/>
      <c r="L584" s="45" t="str">
        <f>IFERROR((SUMIF(Data!B:B, A584, Data!L:L)
/ (COUNTIF(Data!B:B, A584)
)),"")</f>
        <v/>
      </c>
      <c r="M584" s="45" t="str">
        <f>IFERROR((SUMIF(Data!B:B, A584, Data!K:K)
/ (COUNTIF(Data!B:B, A584)
)),"")</f>
        <v/>
      </c>
      <c r="N584" s="56"/>
      <c r="O584" s="56" t="str">
        <f>IF(A584="","",IFERROR((((((SUMIF(Data!B:B, A584, Data!H:H)+(SUMIF(Data!B:B, A584,Data!G:G)+(SUMIF(Data!B:B, A584,Data!L:L)+(SUMIF(Data!B:B, A584,Data!K:K)))))/(SUMIF(Data!B:B, A584, Data!M:M)+(SUMIF(Data!B:B, A584, Data!H:H)+(SUMIF(Data!B:B, A584,Data!G:G)+(SUMIF(Data!B:B, A584,Data!K:K)+(SUMIF(Data!B:B, A584,Data!L:L)))))))))),0))</f>
        <v/>
      </c>
      <c r="P584" s="57" t="str">
        <f>IFERROR(__xludf.DUMMYFUNCTION("IFERROR(((COUNTIF(FILTER(Data!N:N,Data!B:B=A584),""TRAVERSE"")*15)+(COUNTIF(FILTER(Data!N:N,Data!B:B=A584),""HIGH"")*10)+(COUNTIF(FILTER(Data!N:N,Data!B:B=A584),""MIDDLE"")*6)+(COUNTIF(FILTER(Data!N:N,Data!B:B=A584),""LOW"")*4)) / (COUNTIF(Data!B:B, A584)"&amp;"),"""")"),"")</f>
        <v/>
      </c>
      <c r="Q584" s="58"/>
      <c r="R584" s="58"/>
      <c r="S584" s="58" t="str">
        <f>IFERROR(__xludf.DUMMYFUNCTION("IFERROR((((COUNTIF(FILTER(Data!N:N,Data!B:B=A584),""TRAVERSE""))+(COUNTIF(FILTER(Data!N:N,Data!B:B=A584),""HIGH""))+(COUNTIF(FILTER(Data!N:N,Data!B:B=A584),""MIDDLE""))+(COUNTIF(FILTER(Data!N:N,Data!B:B=A584),""LOW"")))) / (((COUNTIF(Data!B:B, A584)))-(CO"&amp;"UNTIF(FILTER(Data!N:N,Data!B:B=A584),""NONE""))),IF(ISBLANK(A584),"""",0))"),"")</f>
        <v/>
      </c>
      <c r="T584" s="56" t="str">
        <f>IFERROR(__xludf.DUMMYFUNCTION("IFERROR((COUNTIF(FILTER(Data!N:N, Data!B:B=A584),""LOW"")) / (COUNTIF(Data!B:B, A584)),"""")"),"")</f>
        <v/>
      </c>
      <c r="U584" s="59" t="str">
        <f>IFERROR(__xludf.DUMMYFUNCTION("IFERROR((COUNTIF(FILTER(Data!N:N, Data!B:B=A584),""MIDDLE"")) / (COUNTIF(Data!B:B, A584)),"""")"),"")</f>
        <v/>
      </c>
      <c r="V584" s="59" t="str">
        <f>IFERROR(__xludf.DUMMYFUNCTION("IFERROR((COUNTIF(FILTER(Data!N:N, Data!B:B=A584),""HIGH"")) / (COUNTIF(Data!B:B, A584)),"""")"),"")</f>
        <v/>
      </c>
      <c r="W584" s="59" t="str">
        <f>IFERROR(__xludf.DUMMYFUNCTION("IFERROR((COUNTIF(FILTER(Data!N:N, Data!B:B=A584),""TRAVERSE"")) / (COUNTIF(Data!B:B, A584)),"""")"),"")</f>
        <v/>
      </c>
      <c r="X584" s="59"/>
      <c r="Y584" s="45" t="str">
        <f t="shared" si="7"/>
        <v/>
      </c>
      <c r="Z584" s="45" t="str">
        <f t="shared" si="8"/>
        <v/>
      </c>
      <c r="AA584" s="16" t="str">
        <f t="shared" si="9"/>
        <v/>
      </c>
      <c r="AB584" s="16"/>
      <c r="AC584" s="16"/>
      <c r="AD584" s="16"/>
      <c r="AE584" s="16" t="str">
        <f t="shared" si="12"/>
        <v/>
      </c>
      <c r="AF584" s="16" t="str">
        <f t="shared" si="13"/>
        <v/>
      </c>
      <c r="AG584" s="44"/>
      <c r="AH584" s="44"/>
      <c r="AI584" s="44" t="str">
        <f>IFERROR(__xludf.DUMMYFUNCTION("TEXTJOIN("", "",TRUE, FILTER(Data!P:P, Data!B:B=A584))"),"")</f>
        <v/>
      </c>
      <c r="AM584" s="61"/>
      <c r="BC584" s="50"/>
    </row>
    <row r="585">
      <c r="A585" s="14"/>
      <c r="B585" s="55" t="str">
        <f>IFERROR(__xludf.DUMMYFUNCTION("IFERROR(ROUND(
(COUNTIF(FILTER(Data!O:O, Data!B:B=A585), ""Win"")
+ COUNTIF(FILTER(Data!O:O, Data!B:B=A585), {""Tie"",""Results""}))
/ (COUNTIF(Data!B:B, A585)),
1),"""")"),"")</f>
        <v/>
      </c>
      <c r="C585" s="45" t="str">
        <f>IFERROR((SUMIF(Data!B:B, A585, Data!H:H)
/ (COUNTIF(Data!B:B, A585)
)),"")</f>
        <v/>
      </c>
      <c r="D585" s="45" t="str">
        <f>IFERROR((SUMIF(Data!B:B, A585, Data!G:G)
/ (COUNTIF(Data!B:B, A585)
)),"")</f>
        <v/>
      </c>
      <c r="E585" s="45"/>
      <c r="F585" s="45" t="str">
        <f>IFERROR((SUMIF(Data!B:B, A585, Data!J:J)
/ (COUNTIF(Data!B:B, A585)
)),"")</f>
        <v/>
      </c>
      <c r="G585" s="56" t="str">
        <f>IF(A585="","",IFERROR((((((SUMIF(Data!B:B, A585, Data!H:H)+(SUMIF(Data!B:B, A585,Data!G:G)))/(SUMIF(Data!B:B, A585, Data!J:J)))))),0))</f>
        <v/>
      </c>
      <c r="H585" s="45"/>
      <c r="I585" s="45"/>
      <c r="J585" s="45"/>
      <c r="K585" s="45"/>
      <c r="L585" s="45" t="str">
        <f>IFERROR((SUMIF(Data!B:B, A585, Data!L:L)
/ (COUNTIF(Data!B:B, A585)
)),"")</f>
        <v/>
      </c>
      <c r="M585" s="45" t="str">
        <f>IFERROR((SUMIF(Data!B:B, A585, Data!K:K)
/ (COUNTIF(Data!B:B, A585)
)),"")</f>
        <v/>
      </c>
      <c r="N585" s="56"/>
      <c r="O585" s="56" t="str">
        <f>IF(A585="","",IFERROR((((((SUMIF(Data!B:B, A585, Data!H:H)+(SUMIF(Data!B:B, A585,Data!G:G)+(SUMIF(Data!B:B, A585,Data!L:L)+(SUMIF(Data!B:B, A585,Data!K:K)))))/(SUMIF(Data!B:B, A585, Data!M:M)+(SUMIF(Data!B:B, A585, Data!H:H)+(SUMIF(Data!B:B, A585,Data!G:G)+(SUMIF(Data!B:B, A585,Data!K:K)+(SUMIF(Data!B:B, A585,Data!L:L)))))))))),0))</f>
        <v/>
      </c>
      <c r="P585" s="57" t="str">
        <f>IFERROR(__xludf.DUMMYFUNCTION("IFERROR(((COUNTIF(FILTER(Data!N:N,Data!B:B=A585),""TRAVERSE"")*15)+(COUNTIF(FILTER(Data!N:N,Data!B:B=A585),""HIGH"")*10)+(COUNTIF(FILTER(Data!N:N,Data!B:B=A585),""MIDDLE"")*6)+(COUNTIF(FILTER(Data!N:N,Data!B:B=A585),""LOW"")*4)) / (COUNTIF(Data!B:B, A585)"&amp;"),"""")"),"")</f>
        <v/>
      </c>
      <c r="Q585" s="58"/>
      <c r="R585" s="58"/>
      <c r="S585" s="58" t="str">
        <f>IFERROR(__xludf.DUMMYFUNCTION("IFERROR((((COUNTIF(FILTER(Data!N:N,Data!B:B=A585),""TRAVERSE""))+(COUNTIF(FILTER(Data!N:N,Data!B:B=A585),""HIGH""))+(COUNTIF(FILTER(Data!N:N,Data!B:B=A585),""MIDDLE""))+(COUNTIF(FILTER(Data!N:N,Data!B:B=A585),""LOW"")))) / (((COUNTIF(Data!B:B, A585)))-(CO"&amp;"UNTIF(FILTER(Data!N:N,Data!B:B=A585),""NONE""))),IF(ISBLANK(A585),"""",0))"),"")</f>
        <v/>
      </c>
      <c r="T585" s="56" t="str">
        <f>IFERROR(__xludf.DUMMYFUNCTION("IFERROR((COUNTIF(FILTER(Data!N:N, Data!B:B=A585),""LOW"")) / (COUNTIF(Data!B:B, A585)),"""")"),"")</f>
        <v/>
      </c>
      <c r="U585" s="59" t="str">
        <f>IFERROR(__xludf.DUMMYFUNCTION("IFERROR((COUNTIF(FILTER(Data!N:N, Data!B:B=A585),""MIDDLE"")) / (COUNTIF(Data!B:B, A585)),"""")"),"")</f>
        <v/>
      </c>
      <c r="V585" s="59" t="str">
        <f>IFERROR(__xludf.DUMMYFUNCTION("IFERROR((COUNTIF(FILTER(Data!N:N, Data!B:B=A585),""HIGH"")) / (COUNTIF(Data!B:B, A585)),"""")"),"")</f>
        <v/>
      </c>
      <c r="W585" s="59" t="str">
        <f>IFERROR(__xludf.DUMMYFUNCTION("IFERROR((COUNTIF(FILTER(Data!N:N, Data!B:B=A585),""TRAVERSE"")) / (COUNTIF(Data!B:B, A585)),"""")"),"")</f>
        <v/>
      </c>
      <c r="X585" s="59"/>
      <c r="Y585" s="45" t="str">
        <f t="shared" si="7"/>
        <v/>
      </c>
      <c r="Z585" s="45" t="str">
        <f t="shared" si="8"/>
        <v/>
      </c>
      <c r="AA585" s="16" t="str">
        <f t="shared" si="9"/>
        <v/>
      </c>
      <c r="AB585" s="16"/>
      <c r="AC585" s="16"/>
      <c r="AD585" s="16"/>
      <c r="AE585" s="16" t="str">
        <f t="shared" si="12"/>
        <v/>
      </c>
      <c r="AF585" s="16" t="str">
        <f t="shared" si="13"/>
        <v/>
      </c>
      <c r="AG585" s="44"/>
      <c r="AH585" s="44"/>
      <c r="AI585" s="44" t="str">
        <f>IFERROR(__xludf.DUMMYFUNCTION("TEXTJOIN("", "",TRUE, FILTER(Data!P:P, Data!B:B=A585))"),"")</f>
        <v/>
      </c>
      <c r="AM585" s="61"/>
      <c r="BC585" s="50"/>
    </row>
    <row r="586">
      <c r="A586" s="14"/>
      <c r="B586" s="55" t="str">
        <f>IFERROR(__xludf.DUMMYFUNCTION("IFERROR(ROUND(
(COUNTIF(FILTER(Data!O:O, Data!B:B=A586), ""Win"")
+ COUNTIF(FILTER(Data!O:O, Data!B:B=A586), {""Tie"",""Results""}))
/ (COUNTIF(Data!B:B, A586)),
1),"""")"),"")</f>
        <v/>
      </c>
      <c r="C586" s="45" t="str">
        <f>IFERROR((SUMIF(Data!B:B, A586, Data!H:H)
/ (COUNTIF(Data!B:B, A586)
)),"")</f>
        <v/>
      </c>
      <c r="D586" s="45" t="str">
        <f>IFERROR((SUMIF(Data!B:B, A586, Data!G:G)
/ (COUNTIF(Data!B:B, A586)
)),"")</f>
        <v/>
      </c>
      <c r="E586" s="45"/>
      <c r="F586" s="45" t="str">
        <f>IFERROR((SUMIF(Data!B:B, A586, Data!J:J)
/ (COUNTIF(Data!B:B, A586)
)),"")</f>
        <v/>
      </c>
      <c r="G586" s="56" t="str">
        <f>IF(A586="","",IFERROR((((((SUMIF(Data!B:B, A586, Data!H:H)+(SUMIF(Data!B:B, A586,Data!G:G)))/(SUMIF(Data!B:B, A586, Data!J:J)))))),0))</f>
        <v/>
      </c>
      <c r="H586" s="45"/>
      <c r="I586" s="45"/>
      <c r="J586" s="45"/>
      <c r="K586" s="45"/>
      <c r="L586" s="45" t="str">
        <f>IFERROR((SUMIF(Data!B:B, A586, Data!L:L)
/ (COUNTIF(Data!B:B, A586)
)),"")</f>
        <v/>
      </c>
      <c r="M586" s="45" t="str">
        <f>IFERROR((SUMIF(Data!B:B, A586, Data!K:K)
/ (COUNTIF(Data!B:B, A586)
)),"")</f>
        <v/>
      </c>
      <c r="N586" s="56"/>
      <c r="O586" s="56" t="str">
        <f>IF(A586="","",IFERROR((((((SUMIF(Data!B:B, A586, Data!H:H)+(SUMIF(Data!B:B, A586,Data!G:G)+(SUMIF(Data!B:B, A586,Data!L:L)+(SUMIF(Data!B:B, A586,Data!K:K)))))/(SUMIF(Data!B:B, A586, Data!M:M)+(SUMIF(Data!B:B, A586, Data!H:H)+(SUMIF(Data!B:B, A586,Data!G:G)+(SUMIF(Data!B:B, A586,Data!K:K)+(SUMIF(Data!B:B, A586,Data!L:L)))))))))),0))</f>
        <v/>
      </c>
      <c r="P586" s="57" t="str">
        <f>IFERROR(__xludf.DUMMYFUNCTION("IFERROR(((COUNTIF(FILTER(Data!N:N,Data!B:B=A586),""TRAVERSE"")*15)+(COUNTIF(FILTER(Data!N:N,Data!B:B=A586),""HIGH"")*10)+(COUNTIF(FILTER(Data!N:N,Data!B:B=A586),""MIDDLE"")*6)+(COUNTIF(FILTER(Data!N:N,Data!B:B=A586),""LOW"")*4)) / (COUNTIF(Data!B:B, A586)"&amp;"),"""")"),"")</f>
        <v/>
      </c>
      <c r="Q586" s="58"/>
      <c r="R586" s="58"/>
      <c r="S586" s="58" t="str">
        <f>IFERROR(__xludf.DUMMYFUNCTION("IFERROR((((COUNTIF(FILTER(Data!N:N,Data!B:B=A586),""TRAVERSE""))+(COUNTIF(FILTER(Data!N:N,Data!B:B=A586),""HIGH""))+(COUNTIF(FILTER(Data!N:N,Data!B:B=A586),""MIDDLE""))+(COUNTIF(FILTER(Data!N:N,Data!B:B=A586),""LOW"")))) / (((COUNTIF(Data!B:B, A586)))-(CO"&amp;"UNTIF(FILTER(Data!N:N,Data!B:B=A586),""NONE""))),IF(ISBLANK(A586),"""",0))"),"")</f>
        <v/>
      </c>
      <c r="T586" s="56" t="str">
        <f>IFERROR(__xludf.DUMMYFUNCTION("IFERROR((COUNTIF(FILTER(Data!N:N, Data!B:B=A586),""LOW"")) / (COUNTIF(Data!B:B, A586)),"""")"),"")</f>
        <v/>
      </c>
      <c r="U586" s="59" t="str">
        <f>IFERROR(__xludf.DUMMYFUNCTION("IFERROR((COUNTIF(FILTER(Data!N:N, Data!B:B=A586),""MIDDLE"")) / (COUNTIF(Data!B:B, A586)),"""")"),"")</f>
        <v/>
      </c>
      <c r="V586" s="59" t="str">
        <f>IFERROR(__xludf.DUMMYFUNCTION("IFERROR((COUNTIF(FILTER(Data!N:N, Data!B:B=A586),""HIGH"")) / (COUNTIF(Data!B:B, A586)),"""")"),"")</f>
        <v/>
      </c>
      <c r="W586" s="59" t="str">
        <f>IFERROR(__xludf.DUMMYFUNCTION("IFERROR((COUNTIF(FILTER(Data!N:N, Data!B:B=A586),""TRAVERSE"")) / (COUNTIF(Data!B:B, A586)),"""")"),"")</f>
        <v/>
      </c>
      <c r="X586" s="59"/>
      <c r="Y586" s="45" t="str">
        <f t="shared" si="7"/>
        <v/>
      </c>
      <c r="Z586" s="45" t="str">
        <f t="shared" si="8"/>
        <v/>
      </c>
      <c r="AA586" s="16" t="str">
        <f t="shared" si="9"/>
        <v/>
      </c>
      <c r="AB586" s="16"/>
      <c r="AC586" s="16"/>
      <c r="AD586" s="16"/>
      <c r="AE586" s="16" t="str">
        <f t="shared" si="12"/>
        <v/>
      </c>
      <c r="AF586" s="16" t="str">
        <f t="shared" si="13"/>
        <v/>
      </c>
      <c r="AG586" s="44"/>
      <c r="AH586" s="44"/>
      <c r="AI586" s="44" t="str">
        <f>IFERROR(__xludf.DUMMYFUNCTION("TEXTJOIN("", "",TRUE, FILTER(Data!P:P, Data!B:B=A586))"),"")</f>
        <v/>
      </c>
      <c r="AM586" s="61"/>
      <c r="BC586" s="50"/>
    </row>
    <row r="587">
      <c r="A587" s="14"/>
      <c r="B587" s="55" t="str">
        <f>IFERROR(__xludf.DUMMYFUNCTION("IFERROR(ROUND(
(COUNTIF(FILTER(Data!O:O, Data!B:B=A587), ""Win"")
+ COUNTIF(FILTER(Data!O:O, Data!B:B=A587), {""Tie"",""Results""}))
/ (COUNTIF(Data!B:B, A587)),
1),"""")"),"")</f>
        <v/>
      </c>
      <c r="C587" s="45" t="str">
        <f>IFERROR((SUMIF(Data!B:B, A587, Data!H:H)
/ (COUNTIF(Data!B:B, A587)
)),"")</f>
        <v/>
      </c>
      <c r="D587" s="45" t="str">
        <f>IFERROR((SUMIF(Data!B:B, A587, Data!G:G)
/ (COUNTIF(Data!B:B, A587)
)),"")</f>
        <v/>
      </c>
      <c r="E587" s="45"/>
      <c r="F587" s="45" t="str">
        <f>IFERROR((SUMIF(Data!B:B, A587, Data!J:J)
/ (COUNTIF(Data!B:B, A587)
)),"")</f>
        <v/>
      </c>
      <c r="G587" s="56" t="str">
        <f>IF(A587="","",IFERROR((((((SUMIF(Data!B:B, A587, Data!H:H)+(SUMIF(Data!B:B, A587,Data!G:G)))/(SUMIF(Data!B:B, A587, Data!J:J)))))),0))</f>
        <v/>
      </c>
      <c r="H587" s="45"/>
      <c r="I587" s="45"/>
      <c r="J587" s="45"/>
      <c r="K587" s="45"/>
      <c r="L587" s="45" t="str">
        <f>IFERROR((SUMIF(Data!B:B, A587, Data!L:L)
/ (COUNTIF(Data!B:B, A587)
)),"")</f>
        <v/>
      </c>
      <c r="M587" s="45" t="str">
        <f>IFERROR((SUMIF(Data!B:B, A587, Data!K:K)
/ (COUNTIF(Data!B:B, A587)
)),"")</f>
        <v/>
      </c>
      <c r="N587" s="56"/>
      <c r="O587" s="56" t="str">
        <f>IF(A587="","",IFERROR((((((SUMIF(Data!B:B, A587, Data!H:H)+(SUMIF(Data!B:B, A587,Data!G:G)+(SUMIF(Data!B:B, A587,Data!L:L)+(SUMIF(Data!B:B, A587,Data!K:K)))))/(SUMIF(Data!B:B, A587, Data!M:M)+(SUMIF(Data!B:B, A587, Data!H:H)+(SUMIF(Data!B:B, A587,Data!G:G)+(SUMIF(Data!B:B, A587,Data!K:K)+(SUMIF(Data!B:B, A587,Data!L:L)))))))))),0))</f>
        <v/>
      </c>
      <c r="P587" s="57" t="str">
        <f>IFERROR(__xludf.DUMMYFUNCTION("IFERROR(((COUNTIF(FILTER(Data!N:N,Data!B:B=A587),""TRAVERSE"")*15)+(COUNTIF(FILTER(Data!N:N,Data!B:B=A587),""HIGH"")*10)+(COUNTIF(FILTER(Data!N:N,Data!B:B=A587),""MIDDLE"")*6)+(COUNTIF(FILTER(Data!N:N,Data!B:B=A587),""LOW"")*4)) / (COUNTIF(Data!B:B, A587)"&amp;"),"""")"),"")</f>
        <v/>
      </c>
      <c r="Q587" s="58"/>
      <c r="R587" s="58"/>
      <c r="S587" s="58" t="str">
        <f>IFERROR(__xludf.DUMMYFUNCTION("IFERROR((((COUNTIF(FILTER(Data!N:N,Data!B:B=A587),""TRAVERSE""))+(COUNTIF(FILTER(Data!N:N,Data!B:B=A587),""HIGH""))+(COUNTIF(FILTER(Data!N:N,Data!B:B=A587),""MIDDLE""))+(COUNTIF(FILTER(Data!N:N,Data!B:B=A587),""LOW"")))) / (((COUNTIF(Data!B:B, A587)))-(CO"&amp;"UNTIF(FILTER(Data!N:N,Data!B:B=A587),""NONE""))),IF(ISBLANK(A587),"""",0))"),"")</f>
        <v/>
      </c>
      <c r="T587" s="56" t="str">
        <f>IFERROR(__xludf.DUMMYFUNCTION("IFERROR((COUNTIF(FILTER(Data!N:N, Data!B:B=A587),""LOW"")) / (COUNTIF(Data!B:B, A587)),"""")"),"")</f>
        <v/>
      </c>
      <c r="U587" s="59" t="str">
        <f>IFERROR(__xludf.DUMMYFUNCTION("IFERROR((COUNTIF(FILTER(Data!N:N, Data!B:B=A587),""MIDDLE"")) / (COUNTIF(Data!B:B, A587)),"""")"),"")</f>
        <v/>
      </c>
      <c r="V587" s="59" t="str">
        <f>IFERROR(__xludf.DUMMYFUNCTION("IFERROR((COUNTIF(FILTER(Data!N:N, Data!B:B=A587),""HIGH"")) / (COUNTIF(Data!B:B, A587)),"""")"),"")</f>
        <v/>
      </c>
      <c r="W587" s="59" t="str">
        <f>IFERROR(__xludf.DUMMYFUNCTION("IFERROR((COUNTIF(FILTER(Data!N:N, Data!B:B=A587),""TRAVERSE"")) / (COUNTIF(Data!B:B, A587)),"""")"),"")</f>
        <v/>
      </c>
      <c r="X587" s="59"/>
      <c r="Y587" s="45" t="str">
        <f t="shared" si="7"/>
        <v/>
      </c>
      <c r="Z587" s="45" t="str">
        <f t="shared" si="8"/>
        <v/>
      </c>
      <c r="AA587" s="16" t="str">
        <f t="shared" si="9"/>
        <v/>
      </c>
      <c r="AB587" s="16"/>
      <c r="AC587" s="16"/>
      <c r="AD587" s="16"/>
      <c r="AE587" s="16" t="str">
        <f t="shared" si="12"/>
        <v/>
      </c>
      <c r="AF587" s="16" t="str">
        <f t="shared" si="13"/>
        <v/>
      </c>
      <c r="AG587" s="44"/>
      <c r="AH587" s="44"/>
      <c r="AI587" s="44" t="str">
        <f>IFERROR(__xludf.DUMMYFUNCTION("TEXTJOIN("", "",TRUE, FILTER(Data!P:P, Data!B:B=A587))"),"")</f>
        <v/>
      </c>
      <c r="AM587" s="61"/>
      <c r="BC587" s="50"/>
    </row>
    <row r="588">
      <c r="A588" s="14"/>
      <c r="B588" s="55" t="str">
        <f>IFERROR(__xludf.DUMMYFUNCTION("IFERROR(ROUND(
(COUNTIF(FILTER(Data!O:O, Data!B:B=A588), ""Win"")
+ COUNTIF(FILTER(Data!O:O, Data!B:B=A588), {""Tie"",""Results""}))
/ (COUNTIF(Data!B:B, A588)),
1),"""")"),"")</f>
        <v/>
      </c>
      <c r="C588" s="45" t="str">
        <f>IFERROR((SUMIF(Data!B:B, A588, Data!H:H)
/ (COUNTIF(Data!B:B, A588)
)),"")</f>
        <v/>
      </c>
      <c r="D588" s="45" t="str">
        <f>IFERROR((SUMIF(Data!B:B, A588, Data!G:G)
/ (COUNTIF(Data!B:B, A588)
)),"")</f>
        <v/>
      </c>
      <c r="E588" s="45"/>
      <c r="F588" s="45" t="str">
        <f>IFERROR((SUMIF(Data!B:B, A588, Data!J:J)
/ (COUNTIF(Data!B:B, A588)
)),"")</f>
        <v/>
      </c>
      <c r="G588" s="56" t="str">
        <f>IF(A588="","",IFERROR((((((SUMIF(Data!B:B, A588, Data!H:H)+(SUMIF(Data!B:B, A588,Data!G:G)))/(SUMIF(Data!B:B, A588, Data!J:J)))))),0))</f>
        <v/>
      </c>
      <c r="H588" s="45"/>
      <c r="I588" s="45"/>
      <c r="J588" s="45"/>
      <c r="K588" s="45"/>
      <c r="L588" s="45" t="str">
        <f>IFERROR((SUMIF(Data!B:B, A588, Data!L:L)
/ (COUNTIF(Data!B:B, A588)
)),"")</f>
        <v/>
      </c>
      <c r="M588" s="45" t="str">
        <f>IFERROR((SUMIF(Data!B:B, A588, Data!K:K)
/ (COUNTIF(Data!B:B, A588)
)),"")</f>
        <v/>
      </c>
      <c r="N588" s="56"/>
      <c r="O588" s="56" t="str">
        <f>IF(A588="","",IFERROR((((((SUMIF(Data!B:B, A588, Data!H:H)+(SUMIF(Data!B:B, A588,Data!G:G)+(SUMIF(Data!B:B, A588,Data!L:L)+(SUMIF(Data!B:B, A588,Data!K:K)))))/(SUMIF(Data!B:B, A588, Data!M:M)+(SUMIF(Data!B:B, A588, Data!H:H)+(SUMIF(Data!B:B, A588,Data!G:G)+(SUMIF(Data!B:B, A588,Data!K:K)+(SUMIF(Data!B:B, A588,Data!L:L)))))))))),0))</f>
        <v/>
      </c>
      <c r="P588" s="57" t="str">
        <f>IFERROR(__xludf.DUMMYFUNCTION("IFERROR(((COUNTIF(FILTER(Data!N:N,Data!B:B=A588),""TRAVERSE"")*15)+(COUNTIF(FILTER(Data!N:N,Data!B:B=A588),""HIGH"")*10)+(COUNTIF(FILTER(Data!N:N,Data!B:B=A588),""MIDDLE"")*6)+(COUNTIF(FILTER(Data!N:N,Data!B:B=A588),""LOW"")*4)) / (COUNTIF(Data!B:B, A588)"&amp;"),"""")"),"")</f>
        <v/>
      </c>
      <c r="Q588" s="58"/>
      <c r="R588" s="58"/>
      <c r="S588" s="58" t="str">
        <f>IFERROR(__xludf.DUMMYFUNCTION("IFERROR((((COUNTIF(FILTER(Data!N:N,Data!B:B=A588),""TRAVERSE""))+(COUNTIF(FILTER(Data!N:N,Data!B:B=A588),""HIGH""))+(COUNTIF(FILTER(Data!N:N,Data!B:B=A588),""MIDDLE""))+(COUNTIF(FILTER(Data!N:N,Data!B:B=A588),""LOW"")))) / (((COUNTIF(Data!B:B, A588)))-(CO"&amp;"UNTIF(FILTER(Data!N:N,Data!B:B=A588),""NONE""))),IF(ISBLANK(A588),"""",0))"),"")</f>
        <v/>
      </c>
      <c r="T588" s="56" t="str">
        <f>IFERROR(__xludf.DUMMYFUNCTION("IFERROR((COUNTIF(FILTER(Data!N:N, Data!B:B=A588),""LOW"")) / (COUNTIF(Data!B:B, A588)),"""")"),"")</f>
        <v/>
      </c>
      <c r="U588" s="59" t="str">
        <f>IFERROR(__xludf.DUMMYFUNCTION("IFERROR((COUNTIF(FILTER(Data!N:N, Data!B:B=A588),""MIDDLE"")) / (COUNTIF(Data!B:B, A588)),"""")"),"")</f>
        <v/>
      </c>
      <c r="V588" s="59" t="str">
        <f>IFERROR(__xludf.DUMMYFUNCTION("IFERROR((COUNTIF(FILTER(Data!N:N, Data!B:B=A588),""HIGH"")) / (COUNTIF(Data!B:B, A588)),"""")"),"")</f>
        <v/>
      </c>
      <c r="W588" s="59" t="str">
        <f>IFERROR(__xludf.DUMMYFUNCTION("IFERROR((COUNTIF(FILTER(Data!N:N, Data!B:B=A588),""TRAVERSE"")) / (COUNTIF(Data!B:B, A588)),"""")"),"")</f>
        <v/>
      </c>
      <c r="X588" s="59"/>
      <c r="Y588" s="45" t="str">
        <f t="shared" si="7"/>
        <v/>
      </c>
      <c r="Z588" s="45" t="str">
        <f t="shared" si="8"/>
        <v/>
      </c>
      <c r="AA588" s="16" t="str">
        <f t="shared" si="9"/>
        <v/>
      </c>
      <c r="AB588" s="16"/>
      <c r="AC588" s="16"/>
      <c r="AD588" s="16"/>
      <c r="AE588" s="16" t="str">
        <f t="shared" si="12"/>
        <v/>
      </c>
      <c r="AF588" s="16" t="str">
        <f t="shared" si="13"/>
        <v/>
      </c>
      <c r="AG588" s="44"/>
      <c r="AH588" s="44"/>
      <c r="AI588" s="44" t="str">
        <f>IFERROR(__xludf.DUMMYFUNCTION("TEXTJOIN("", "",TRUE, FILTER(Data!P:P, Data!B:B=A588))"),"")</f>
        <v/>
      </c>
      <c r="AM588" s="61"/>
      <c r="BC588" s="50"/>
    </row>
    <row r="589">
      <c r="A589" s="14"/>
      <c r="B589" s="55" t="str">
        <f>IFERROR(__xludf.DUMMYFUNCTION("IFERROR(ROUND(
(COUNTIF(FILTER(Data!O:O, Data!B:B=A589), ""Win"")
+ COUNTIF(FILTER(Data!O:O, Data!B:B=A589), {""Tie"",""Results""}))
/ (COUNTIF(Data!B:B, A589)),
1),"""")"),"")</f>
        <v/>
      </c>
      <c r="C589" s="45" t="str">
        <f>IFERROR((SUMIF(Data!B:B, A589, Data!H:H)
/ (COUNTIF(Data!B:B, A589)
)),"")</f>
        <v/>
      </c>
      <c r="D589" s="45" t="str">
        <f>IFERROR((SUMIF(Data!B:B, A589, Data!G:G)
/ (COUNTIF(Data!B:B, A589)
)),"")</f>
        <v/>
      </c>
      <c r="E589" s="45"/>
      <c r="F589" s="45" t="str">
        <f>IFERROR((SUMIF(Data!B:B, A589, Data!J:J)
/ (COUNTIF(Data!B:B, A589)
)),"")</f>
        <v/>
      </c>
      <c r="G589" s="56" t="str">
        <f>IF(A589="","",IFERROR((((((SUMIF(Data!B:B, A589, Data!H:H)+(SUMIF(Data!B:B, A589,Data!G:G)))/(SUMIF(Data!B:B, A589, Data!J:J)))))),0))</f>
        <v/>
      </c>
      <c r="H589" s="45"/>
      <c r="I589" s="45"/>
      <c r="J589" s="45"/>
      <c r="K589" s="45"/>
      <c r="L589" s="45" t="str">
        <f>IFERROR((SUMIF(Data!B:B, A589, Data!L:L)
/ (COUNTIF(Data!B:B, A589)
)),"")</f>
        <v/>
      </c>
      <c r="M589" s="45" t="str">
        <f>IFERROR((SUMIF(Data!B:B, A589, Data!K:K)
/ (COUNTIF(Data!B:B, A589)
)),"")</f>
        <v/>
      </c>
      <c r="N589" s="56"/>
      <c r="O589" s="56" t="str">
        <f>IF(A589="","",IFERROR((((((SUMIF(Data!B:B, A589, Data!H:H)+(SUMIF(Data!B:B, A589,Data!G:G)+(SUMIF(Data!B:B, A589,Data!L:L)+(SUMIF(Data!B:B, A589,Data!K:K)))))/(SUMIF(Data!B:B, A589, Data!M:M)+(SUMIF(Data!B:B, A589, Data!H:H)+(SUMIF(Data!B:B, A589,Data!G:G)+(SUMIF(Data!B:B, A589,Data!K:K)+(SUMIF(Data!B:B, A589,Data!L:L)))))))))),0))</f>
        <v/>
      </c>
      <c r="P589" s="57" t="str">
        <f>IFERROR(__xludf.DUMMYFUNCTION("IFERROR(((COUNTIF(FILTER(Data!N:N,Data!B:B=A589),""TRAVERSE"")*15)+(COUNTIF(FILTER(Data!N:N,Data!B:B=A589),""HIGH"")*10)+(COUNTIF(FILTER(Data!N:N,Data!B:B=A589),""MIDDLE"")*6)+(COUNTIF(FILTER(Data!N:N,Data!B:B=A589),""LOW"")*4)) / (COUNTIF(Data!B:B, A589)"&amp;"),"""")"),"")</f>
        <v/>
      </c>
      <c r="Q589" s="58"/>
      <c r="R589" s="58"/>
      <c r="S589" s="58" t="str">
        <f>IFERROR(__xludf.DUMMYFUNCTION("IFERROR((((COUNTIF(FILTER(Data!N:N,Data!B:B=A589),""TRAVERSE""))+(COUNTIF(FILTER(Data!N:N,Data!B:B=A589),""HIGH""))+(COUNTIF(FILTER(Data!N:N,Data!B:B=A589),""MIDDLE""))+(COUNTIF(FILTER(Data!N:N,Data!B:B=A589),""LOW"")))) / (((COUNTIF(Data!B:B, A589)))-(CO"&amp;"UNTIF(FILTER(Data!N:N,Data!B:B=A589),""NONE""))),IF(ISBLANK(A589),"""",0))"),"")</f>
        <v/>
      </c>
      <c r="T589" s="56" t="str">
        <f>IFERROR(__xludf.DUMMYFUNCTION("IFERROR((COUNTIF(FILTER(Data!N:N, Data!B:B=A589),""LOW"")) / (COUNTIF(Data!B:B, A589)),"""")"),"")</f>
        <v/>
      </c>
      <c r="U589" s="59" t="str">
        <f>IFERROR(__xludf.DUMMYFUNCTION("IFERROR((COUNTIF(FILTER(Data!N:N, Data!B:B=A589),""MIDDLE"")) / (COUNTIF(Data!B:B, A589)),"""")"),"")</f>
        <v/>
      </c>
      <c r="V589" s="59" t="str">
        <f>IFERROR(__xludf.DUMMYFUNCTION("IFERROR((COUNTIF(FILTER(Data!N:N, Data!B:B=A589),""HIGH"")) / (COUNTIF(Data!B:B, A589)),"""")"),"")</f>
        <v/>
      </c>
      <c r="W589" s="59" t="str">
        <f>IFERROR(__xludf.DUMMYFUNCTION("IFERROR((COUNTIF(FILTER(Data!N:N, Data!B:B=A589),""TRAVERSE"")) / (COUNTIF(Data!B:B, A589)),"""")"),"")</f>
        <v/>
      </c>
      <c r="X589" s="59"/>
      <c r="Y589" s="45" t="str">
        <f t="shared" si="7"/>
        <v/>
      </c>
      <c r="Z589" s="45" t="str">
        <f t="shared" si="8"/>
        <v/>
      </c>
      <c r="AA589" s="16" t="str">
        <f t="shared" si="9"/>
        <v/>
      </c>
      <c r="AB589" s="16"/>
      <c r="AC589" s="16"/>
      <c r="AD589" s="16"/>
      <c r="AE589" s="16" t="str">
        <f t="shared" si="12"/>
        <v/>
      </c>
      <c r="AF589" s="16" t="str">
        <f t="shared" si="13"/>
        <v/>
      </c>
      <c r="AG589" s="44"/>
      <c r="AH589" s="44"/>
      <c r="AI589" s="44" t="str">
        <f>IFERROR(__xludf.DUMMYFUNCTION("TEXTJOIN("", "",TRUE, FILTER(Data!P:P, Data!B:B=A589))"),"")</f>
        <v/>
      </c>
      <c r="AM589" s="61"/>
      <c r="BC589" s="50"/>
    </row>
    <row r="590">
      <c r="A590" s="14"/>
      <c r="B590" s="55" t="str">
        <f>IFERROR(__xludf.DUMMYFUNCTION("IFERROR(ROUND(
(COUNTIF(FILTER(Data!O:O, Data!B:B=A590), ""Win"")
+ COUNTIF(FILTER(Data!O:O, Data!B:B=A590), {""Tie"",""Results""}))
/ (COUNTIF(Data!B:B, A590)),
1),"""")"),"")</f>
        <v/>
      </c>
      <c r="C590" s="45" t="str">
        <f>IFERROR((SUMIF(Data!B:B, A590, Data!H:H)
/ (COUNTIF(Data!B:B, A590)
)),"")</f>
        <v/>
      </c>
      <c r="D590" s="45" t="str">
        <f>IFERROR((SUMIF(Data!B:B, A590, Data!G:G)
/ (COUNTIF(Data!B:B, A590)
)),"")</f>
        <v/>
      </c>
      <c r="E590" s="45"/>
      <c r="F590" s="45" t="str">
        <f>IFERROR((SUMIF(Data!B:B, A590, Data!J:J)
/ (COUNTIF(Data!B:B, A590)
)),"")</f>
        <v/>
      </c>
      <c r="G590" s="56" t="str">
        <f>IF(A590="","",IFERROR((((((SUMIF(Data!B:B, A590, Data!H:H)+(SUMIF(Data!B:B, A590,Data!G:G)))/(SUMIF(Data!B:B, A590, Data!J:J)))))),0))</f>
        <v/>
      </c>
      <c r="H590" s="45"/>
      <c r="I590" s="45"/>
      <c r="J590" s="45"/>
      <c r="K590" s="45"/>
      <c r="L590" s="45" t="str">
        <f>IFERROR((SUMIF(Data!B:B, A590, Data!L:L)
/ (COUNTIF(Data!B:B, A590)
)),"")</f>
        <v/>
      </c>
      <c r="M590" s="45" t="str">
        <f>IFERROR((SUMIF(Data!B:B, A590, Data!K:K)
/ (COUNTIF(Data!B:B, A590)
)),"")</f>
        <v/>
      </c>
      <c r="N590" s="56"/>
      <c r="O590" s="56" t="str">
        <f>IF(A590="","",IFERROR((((((SUMIF(Data!B:B, A590, Data!H:H)+(SUMIF(Data!B:B, A590,Data!G:G)+(SUMIF(Data!B:B, A590,Data!L:L)+(SUMIF(Data!B:B, A590,Data!K:K)))))/(SUMIF(Data!B:B, A590, Data!M:M)+(SUMIF(Data!B:B, A590, Data!H:H)+(SUMIF(Data!B:B, A590,Data!G:G)+(SUMIF(Data!B:B, A590,Data!K:K)+(SUMIF(Data!B:B, A590,Data!L:L)))))))))),0))</f>
        <v/>
      </c>
      <c r="P590" s="57" t="str">
        <f>IFERROR(__xludf.DUMMYFUNCTION("IFERROR(((COUNTIF(FILTER(Data!N:N,Data!B:B=A590),""TRAVERSE"")*15)+(COUNTIF(FILTER(Data!N:N,Data!B:B=A590),""HIGH"")*10)+(COUNTIF(FILTER(Data!N:N,Data!B:B=A590),""MIDDLE"")*6)+(COUNTIF(FILTER(Data!N:N,Data!B:B=A590),""LOW"")*4)) / (COUNTIF(Data!B:B, A590)"&amp;"),"""")"),"")</f>
        <v/>
      </c>
      <c r="Q590" s="58"/>
      <c r="R590" s="58"/>
      <c r="S590" s="58" t="str">
        <f>IFERROR(__xludf.DUMMYFUNCTION("IFERROR((((COUNTIF(FILTER(Data!N:N,Data!B:B=A590),""TRAVERSE""))+(COUNTIF(FILTER(Data!N:N,Data!B:B=A590),""HIGH""))+(COUNTIF(FILTER(Data!N:N,Data!B:B=A590),""MIDDLE""))+(COUNTIF(FILTER(Data!N:N,Data!B:B=A590),""LOW"")))) / (((COUNTIF(Data!B:B, A590)))-(CO"&amp;"UNTIF(FILTER(Data!N:N,Data!B:B=A590),""NONE""))),IF(ISBLANK(A590),"""",0))"),"")</f>
        <v/>
      </c>
      <c r="T590" s="56" t="str">
        <f>IFERROR(__xludf.DUMMYFUNCTION("IFERROR((COUNTIF(FILTER(Data!N:N, Data!B:B=A590),""LOW"")) / (COUNTIF(Data!B:B, A590)),"""")"),"")</f>
        <v/>
      </c>
      <c r="U590" s="59" t="str">
        <f>IFERROR(__xludf.DUMMYFUNCTION("IFERROR((COUNTIF(FILTER(Data!N:N, Data!B:B=A590),""MIDDLE"")) / (COUNTIF(Data!B:B, A590)),"""")"),"")</f>
        <v/>
      </c>
      <c r="V590" s="59" t="str">
        <f>IFERROR(__xludf.DUMMYFUNCTION("IFERROR((COUNTIF(FILTER(Data!N:N, Data!B:B=A590),""HIGH"")) / (COUNTIF(Data!B:B, A590)),"""")"),"")</f>
        <v/>
      </c>
      <c r="W590" s="59" t="str">
        <f>IFERROR(__xludf.DUMMYFUNCTION("IFERROR((COUNTIF(FILTER(Data!N:N, Data!B:B=A590),""TRAVERSE"")) / (COUNTIF(Data!B:B, A590)),"""")"),"")</f>
        <v/>
      </c>
      <c r="X590" s="59"/>
      <c r="Y590" s="45" t="str">
        <f t="shared" si="7"/>
        <v/>
      </c>
      <c r="Z590" s="45" t="str">
        <f t="shared" si="8"/>
        <v/>
      </c>
      <c r="AA590" s="16" t="str">
        <f t="shared" si="9"/>
        <v/>
      </c>
      <c r="AB590" s="16"/>
      <c r="AC590" s="16"/>
      <c r="AD590" s="16"/>
      <c r="AE590" s="16" t="str">
        <f t="shared" si="12"/>
        <v/>
      </c>
      <c r="AF590" s="16" t="str">
        <f t="shared" si="13"/>
        <v/>
      </c>
      <c r="AG590" s="44"/>
      <c r="AH590" s="44"/>
      <c r="AI590" s="44" t="str">
        <f>IFERROR(__xludf.DUMMYFUNCTION("TEXTJOIN("", "",TRUE, FILTER(Data!P:P, Data!B:B=A590))"),"")</f>
        <v/>
      </c>
      <c r="AM590" s="61"/>
      <c r="BC590" s="50"/>
    </row>
    <row r="591">
      <c r="A591" s="14"/>
      <c r="B591" s="55" t="str">
        <f>IFERROR(__xludf.DUMMYFUNCTION("IFERROR(ROUND(
(COUNTIF(FILTER(Data!O:O, Data!B:B=A591), ""Win"")
+ COUNTIF(FILTER(Data!O:O, Data!B:B=A591), {""Tie"",""Results""}))
/ (COUNTIF(Data!B:B, A591)),
1),"""")"),"")</f>
        <v/>
      </c>
      <c r="C591" s="45" t="str">
        <f>IFERROR((SUMIF(Data!B:B, A591, Data!H:H)
/ (COUNTIF(Data!B:B, A591)
)),"")</f>
        <v/>
      </c>
      <c r="D591" s="45" t="str">
        <f>IFERROR((SUMIF(Data!B:B, A591, Data!G:G)
/ (COUNTIF(Data!B:B, A591)
)),"")</f>
        <v/>
      </c>
      <c r="E591" s="45"/>
      <c r="F591" s="45" t="str">
        <f>IFERROR((SUMIF(Data!B:B, A591, Data!J:J)
/ (COUNTIF(Data!B:B, A591)
)),"")</f>
        <v/>
      </c>
      <c r="G591" s="56" t="str">
        <f>IF(A591="","",IFERROR((((((SUMIF(Data!B:B, A591, Data!H:H)+(SUMIF(Data!B:B, A591,Data!G:G)))/(SUMIF(Data!B:B, A591, Data!J:J)))))),0))</f>
        <v/>
      </c>
      <c r="H591" s="45"/>
      <c r="I591" s="45"/>
      <c r="J591" s="45"/>
      <c r="K591" s="45"/>
      <c r="L591" s="45" t="str">
        <f>IFERROR((SUMIF(Data!B:B, A591, Data!L:L)
/ (COUNTIF(Data!B:B, A591)
)),"")</f>
        <v/>
      </c>
      <c r="M591" s="45" t="str">
        <f>IFERROR((SUMIF(Data!B:B, A591, Data!K:K)
/ (COUNTIF(Data!B:B, A591)
)),"")</f>
        <v/>
      </c>
      <c r="N591" s="56"/>
      <c r="O591" s="56" t="str">
        <f>IF(A591="","",IFERROR((((((SUMIF(Data!B:B, A591, Data!H:H)+(SUMIF(Data!B:B, A591,Data!G:G)+(SUMIF(Data!B:B, A591,Data!L:L)+(SUMIF(Data!B:B, A591,Data!K:K)))))/(SUMIF(Data!B:B, A591, Data!M:M)+(SUMIF(Data!B:B, A591, Data!H:H)+(SUMIF(Data!B:B, A591,Data!G:G)+(SUMIF(Data!B:B, A591,Data!K:K)+(SUMIF(Data!B:B, A591,Data!L:L)))))))))),0))</f>
        <v/>
      </c>
      <c r="P591" s="57" t="str">
        <f>IFERROR(__xludf.DUMMYFUNCTION("IFERROR(((COUNTIF(FILTER(Data!N:N,Data!B:B=A591),""TRAVERSE"")*15)+(COUNTIF(FILTER(Data!N:N,Data!B:B=A591),""HIGH"")*10)+(COUNTIF(FILTER(Data!N:N,Data!B:B=A591),""MIDDLE"")*6)+(COUNTIF(FILTER(Data!N:N,Data!B:B=A591),""LOW"")*4)) / (COUNTIF(Data!B:B, A591)"&amp;"),"""")"),"")</f>
        <v/>
      </c>
      <c r="Q591" s="58"/>
      <c r="R591" s="58"/>
      <c r="S591" s="58" t="str">
        <f>IFERROR(__xludf.DUMMYFUNCTION("IFERROR((((COUNTIF(FILTER(Data!N:N,Data!B:B=A591),""TRAVERSE""))+(COUNTIF(FILTER(Data!N:N,Data!B:B=A591),""HIGH""))+(COUNTIF(FILTER(Data!N:N,Data!B:B=A591),""MIDDLE""))+(COUNTIF(FILTER(Data!N:N,Data!B:B=A591),""LOW"")))) / (((COUNTIF(Data!B:B, A591)))-(CO"&amp;"UNTIF(FILTER(Data!N:N,Data!B:B=A591),""NONE""))),IF(ISBLANK(A591),"""",0))"),"")</f>
        <v/>
      </c>
      <c r="T591" s="56" t="str">
        <f>IFERROR(__xludf.DUMMYFUNCTION("IFERROR((COUNTIF(FILTER(Data!N:N, Data!B:B=A591),""LOW"")) / (COUNTIF(Data!B:B, A591)),"""")"),"")</f>
        <v/>
      </c>
      <c r="U591" s="59" t="str">
        <f>IFERROR(__xludf.DUMMYFUNCTION("IFERROR((COUNTIF(FILTER(Data!N:N, Data!B:B=A591),""MIDDLE"")) / (COUNTIF(Data!B:B, A591)),"""")"),"")</f>
        <v/>
      </c>
      <c r="V591" s="59" t="str">
        <f>IFERROR(__xludf.DUMMYFUNCTION("IFERROR((COUNTIF(FILTER(Data!N:N, Data!B:B=A591),""HIGH"")) / (COUNTIF(Data!B:B, A591)),"""")"),"")</f>
        <v/>
      </c>
      <c r="W591" s="59" t="str">
        <f>IFERROR(__xludf.DUMMYFUNCTION("IFERROR((COUNTIF(FILTER(Data!N:N, Data!B:B=A591),""TRAVERSE"")) / (COUNTIF(Data!B:B, A591)),"""")"),"")</f>
        <v/>
      </c>
      <c r="X591" s="59"/>
      <c r="Y591" s="45" t="str">
        <f t="shared" si="7"/>
        <v/>
      </c>
      <c r="Z591" s="45" t="str">
        <f t="shared" si="8"/>
        <v/>
      </c>
      <c r="AA591" s="16" t="str">
        <f t="shared" si="9"/>
        <v/>
      </c>
      <c r="AB591" s="16"/>
      <c r="AC591" s="16"/>
      <c r="AD591" s="16"/>
      <c r="AE591" s="16" t="str">
        <f t="shared" si="12"/>
        <v/>
      </c>
      <c r="AF591" s="16" t="str">
        <f t="shared" si="13"/>
        <v/>
      </c>
      <c r="AG591" s="44"/>
      <c r="AH591" s="44"/>
      <c r="AI591" s="44" t="str">
        <f>IFERROR(__xludf.DUMMYFUNCTION("TEXTJOIN("", "",TRUE, FILTER(Data!P:P, Data!B:B=A591))"),"")</f>
        <v/>
      </c>
      <c r="AM591" s="61"/>
      <c r="BC591" s="50"/>
    </row>
    <row r="592">
      <c r="A592" s="14"/>
      <c r="B592" s="55" t="str">
        <f>IFERROR(__xludf.DUMMYFUNCTION("IFERROR(ROUND(
(COUNTIF(FILTER(Data!O:O, Data!B:B=A592), ""Win"")
+ COUNTIF(FILTER(Data!O:O, Data!B:B=A592), {""Tie"",""Results""}))
/ (COUNTIF(Data!B:B, A592)),
1),"""")"),"")</f>
        <v/>
      </c>
      <c r="C592" s="45" t="str">
        <f>IFERROR((SUMIF(Data!B:B, A592, Data!H:H)
/ (COUNTIF(Data!B:B, A592)
)),"")</f>
        <v/>
      </c>
      <c r="D592" s="45" t="str">
        <f>IFERROR((SUMIF(Data!B:B, A592, Data!G:G)
/ (COUNTIF(Data!B:B, A592)
)),"")</f>
        <v/>
      </c>
      <c r="E592" s="45"/>
      <c r="F592" s="45" t="str">
        <f>IFERROR((SUMIF(Data!B:B, A592, Data!J:J)
/ (COUNTIF(Data!B:B, A592)
)),"")</f>
        <v/>
      </c>
      <c r="G592" s="56" t="str">
        <f>IF(A592="","",IFERROR((((((SUMIF(Data!B:B, A592, Data!H:H)+(SUMIF(Data!B:B, A592,Data!G:G)))/(SUMIF(Data!B:B, A592, Data!J:J)))))),0))</f>
        <v/>
      </c>
      <c r="H592" s="45"/>
      <c r="I592" s="45"/>
      <c r="J592" s="45"/>
      <c r="K592" s="45"/>
      <c r="L592" s="45" t="str">
        <f>IFERROR((SUMIF(Data!B:B, A592, Data!L:L)
/ (COUNTIF(Data!B:B, A592)
)),"")</f>
        <v/>
      </c>
      <c r="M592" s="45" t="str">
        <f>IFERROR((SUMIF(Data!B:B, A592, Data!K:K)
/ (COUNTIF(Data!B:B, A592)
)),"")</f>
        <v/>
      </c>
      <c r="N592" s="56"/>
      <c r="O592" s="56" t="str">
        <f>IF(A592="","",IFERROR((((((SUMIF(Data!B:B, A592, Data!H:H)+(SUMIF(Data!B:B, A592,Data!G:G)+(SUMIF(Data!B:B, A592,Data!L:L)+(SUMIF(Data!B:B, A592,Data!K:K)))))/(SUMIF(Data!B:B, A592, Data!M:M)+(SUMIF(Data!B:B, A592, Data!H:H)+(SUMIF(Data!B:B, A592,Data!G:G)+(SUMIF(Data!B:B, A592,Data!K:K)+(SUMIF(Data!B:B, A592,Data!L:L)))))))))),0))</f>
        <v/>
      </c>
      <c r="P592" s="57" t="str">
        <f>IFERROR(__xludf.DUMMYFUNCTION("IFERROR(((COUNTIF(FILTER(Data!N:N,Data!B:B=A592),""TRAVERSE"")*15)+(COUNTIF(FILTER(Data!N:N,Data!B:B=A592),""HIGH"")*10)+(COUNTIF(FILTER(Data!N:N,Data!B:B=A592),""MIDDLE"")*6)+(COUNTIF(FILTER(Data!N:N,Data!B:B=A592),""LOW"")*4)) / (COUNTIF(Data!B:B, A592)"&amp;"),"""")"),"")</f>
        <v/>
      </c>
      <c r="Q592" s="58"/>
      <c r="R592" s="58"/>
      <c r="S592" s="58" t="str">
        <f>IFERROR(__xludf.DUMMYFUNCTION("IFERROR((((COUNTIF(FILTER(Data!N:N,Data!B:B=A592),""TRAVERSE""))+(COUNTIF(FILTER(Data!N:N,Data!B:B=A592),""HIGH""))+(COUNTIF(FILTER(Data!N:N,Data!B:B=A592),""MIDDLE""))+(COUNTIF(FILTER(Data!N:N,Data!B:B=A592),""LOW"")))) / (((COUNTIF(Data!B:B, A592)))-(CO"&amp;"UNTIF(FILTER(Data!N:N,Data!B:B=A592),""NONE""))),IF(ISBLANK(A592),"""",0))"),"")</f>
        <v/>
      </c>
      <c r="T592" s="56" t="str">
        <f>IFERROR(__xludf.DUMMYFUNCTION("IFERROR((COUNTIF(FILTER(Data!N:N, Data!B:B=A592),""LOW"")) / (COUNTIF(Data!B:B, A592)),"""")"),"")</f>
        <v/>
      </c>
      <c r="U592" s="59" t="str">
        <f>IFERROR(__xludf.DUMMYFUNCTION("IFERROR((COUNTIF(FILTER(Data!N:N, Data!B:B=A592),""MIDDLE"")) / (COUNTIF(Data!B:B, A592)),"""")"),"")</f>
        <v/>
      </c>
      <c r="V592" s="59" t="str">
        <f>IFERROR(__xludf.DUMMYFUNCTION("IFERROR((COUNTIF(FILTER(Data!N:N, Data!B:B=A592),""HIGH"")) / (COUNTIF(Data!B:B, A592)),"""")"),"")</f>
        <v/>
      </c>
      <c r="W592" s="59" t="str">
        <f>IFERROR(__xludf.DUMMYFUNCTION("IFERROR((COUNTIF(FILTER(Data!N:N, Data!B:B=A592),""TRAVERSE"")) / (COUNTIF(Data!B:B, A592)),"""")"),"")</f>
        <v/>
      </c>
      <c r="X592" s="59"/>
      <c r="Y592" s="45" t="str">
        <f t="shared" si="7"/>
        <v/>
      </c>
      <c r="Z592" s="45" t="str">
        <f t="shared" si="8"/>
        <v/>
      </c>
      <c r="AA592" s="16" t="str">
        <f t="shared" si="9"/>
        <v/>
      </c>
      <c r="AB592" s="16"/>
      <c r="AC592" s="16"/>
      <c r="AD592" s="16"/>
      <c r="AE592" s="16" t="str">
        <f t="shared" si="12"/>
        <v/>
      </c>
      <c r="AF592" s="16" t="str">
        <f t="shared" si="13"/>
        <v/>
      </c>
      <c r="AG592" s="44"/>
      <c r="AH592" s="44"/>
      <c r="AI592" s="44" t="str">
        <f>IFERROR(__xludf.DUMMYFUNCTION("TEXTJOIN("", "",TRUE, FILTER(Data!P:P, Data!B:B=A592))"),"")</f>
        <v/>
      </c>
      <c r="AM592" s="61"/>
      <c r="BC592" s="50"/>
    </row>
    <row r="593">
      <c r="A593" s="14"/>
      <c r="B593" s="55" t="str">
        <f>IFERROR(__xludf.DUMMYFUNCTION("IFERROR(ROUND(
(COUNTIF(FILTER(Data!O:O, Data!B:B=A593), ""Win"")
+ COUNTIF(FILTER(Data!O:O, Data!B:B=A593), {""Tie"",""Results""}))
/ (COUNTIF(Data!B:B, A593)),
1),"""")"),"")</f>
        <v/>
      </c>
      <c r="C593" s="45" t="str">
        <f>IFERROR((SUMIF(Data!B:B, A593, Data!H:H)
/ (COUNTIF(Data!B:B, A593)
)),"")</f>
        <v/>
      </c>
      <c r="D593" s="45" t="str">
        <f>IFERROR((SUMIF(Data!B:B, A593, Data!G:G)
/ (COUNTIF(Data!B:B, A593)
)),"")</f>
        <v/>
      </c>
      <c r="E593" s="45"/>
      <c r="F593" s="45" t="str">
        <f>IFERROR((SUMIF(Data!B:B, A593, Data!J:J)
/ (COUNTIF(Data!B:B, A593)
)),"")</f>
        <v/>
      </c>
      <c r="G593" s="56" t="str">
        <f>IF(A593="","",IFERROR((((((SUMIF(Data!B:B, A593, Data!H:H)+(SUMIF(Data!B:B, A593,Data!G:G)))/(SUMIF(Data!B:B, A593, Data!J:J)))))),0))</f>
        <v/>
      </c>
      <c r="H593" s="45"/>
      <c r="I593" s="45"/>
      <c r="J593" s="45"/>
      <c r="K593" s="45"/>
      <c r="L593" s="45" t="str">
        <f>IFERROR((SUMIF(Data!B:B, A593, Data!L:L)
/ (COUNTIF(Data!B:B, A593)
)),"")</f>
        <v/>
      </c>
      <c r="M593" s="45" t="str">
        <f>IFERROR((SUMIF(Data!B:B, A593, Data!K:K)
/ (COUNTIF(Data!B:B, A593)
)),"")</f>
        <v/>
      </c>
      <c r="N593" s="56"/>
      <c r="O593" s="56" t="str">
        <f>IF(A593="","",IFERROR((((((SUMIF(Data!B:B, A593, Data!H:H)+(SUMIF(Data!B:B, A593,Data!G:G)+(SUMIF(Data!B:B, A593,Data!L:L)+(SUMIF(Data!B:B, A593,Data!K:K)))))/(SUMIF(Data!B:B, A593, Data!M:M)+(SUMIF(Data!B:B, A593, Data!H:H)+(SUMIF(Data!B:B, A593,Data!G:G)+(SUMIF(Data!B:B, A593,Data!K:K)+(SUMIF(Data!B:B, A593,Data!L:L)))))))))),0))</f>
        <v/>
      </c>
      <c r="P593" s="57" t="str">
        <f>IFERROR(__xludf.DUMMYFUNCTION("IFERROR(((COUNTIF(FILTER(Data!N:N,Data!B:B=A593),""TRAVERSE"")*15)+(COUNTIF(FILTER(Data!N:N,Data!B:B=A593),""HIGH"")*10)+(COUNTIF(FILTER(Data!N:N,Data!B:B=A593),""MIDDLE"")*6)+(COUNTIF(FILTER(Data!N:N,Data!B:B=A593),""LOW"")*4)) / (COUNTIF(Data!B:B, A593)"&amp;"),"""")"),"")</f>
        <v/>
      </c>
      <c r="Q593" s="58"/>
      <c r="R593" s="58"/>
      <c r="S593" s="58" t="str">
        <f>IFERROR(__xludf.DUMMYFUNCTION("IFERROR((((COUNTIF(FILTER(Data!N:N,Data!B:B=A593),""TRAVERSE""))+(COUNTIF(FILTER(Data!N:N,Data!B:B=A593),""HIGH""))+(COUNTIF(FILTER(Data!N:N,Data!B:B=A593),""MIDDLE""))+(COUNTIF(FILTER(Data!N:N,Data!B:B=A593),""LOW"")))) / (((COUNTIF(Data!B:B, A593)))-(CO"&amp;"UNTIF(FILTER(Data!N:N,Data!B:B=A593),""NONE""))),IF(ISBLANK(A593),"""",0))"),"")</f>
        <v/>
      </c>
      <c r="T593" s="56" t="str">
        <f>IFERROR(__xludf.DUMMYFUNCTION("IFERROR((COUNTIF(FILTER(Data!N:N, Data!B:B=A593),""LOW"")) / (COUNTIF(Data!B:B, A593)),"""")"),"")</f>
        <v/>
      </c>
      <c r="U593" s="59" t="str">
        <f>IFERROR(__xludf.DUMMYFUNCTION("IFERROR((COUNTIF(FILTER(Data!N:N, Data!B:B=A593),""MIDDLE"")) / (COUNTIF(Data!B:B, A593)),"""")"),"")</f>
        <v/>
      </c>
      <c r="V593" s="59" t="str">
        <f>IFERROR(__xludf.DUMMYFUNCTION("IFERROR((COUNTIF(FILTER(Data!N:N, Data!B:B=A593),""HIGH"")) / (COUNTIF(Data!B:B, A593)),"""")"),"")</f>
        <v/>
      </c>
      <c r="W593" s="59" t="str">
        <f>IFERROR(__xludf.DUMMYFUNCTION("IFERROR((COUNTIF(FILTER(Data!N:N, Data!B:B=A593),""TRAVERSE"")) / (COUNTIF(Data!B:B, A593)),"""")"),"")</f>
        <v/>
      </c>
      <c r="X593" s="59"/>
      <c r="Y593" s="45" t="str">
        <f t="shared" si="7"/>
        <v/>
      </c>
      <c r="Z593" s="45" t="str">
        <f t="shared" si="8"/>
        <v/>
      </c>
      <c r="AA593" s="16" t="str">
        <f t="shared" si="9"/>
        <v/>
      </c>
      <c r="AB593" s="16"/>
      <c r="AC593" s="16"/>
      <c r="AD593" s="16"/>
      <c r="AE593" s="16" t="str">
        <f t="shared" si="12"/>
        <v/>
      </c>
      <c r="AF593" s="16" t="str">
        <f t="shared" si="13"/>
        <v/>
      </c>
      <c r="AG593" s="44"/>
      <c r="AH593" s="44"/>
      <c r="AI593" s="44" t="str">
        <f>IFERROR(__xludf.DUMMYFUNCTION("TEXTJOIN("", "",TRUE, FILTER(Data!P:P, Data!B:B=A593))"),"")</f>
        <v/>
      </c>
      <c r="AM593" s="61"/>
      <c r="BC593" s="50"/>
    </row>
    <row r="594">
      <c r="A594" s="14"/>
      <c r="B594" s="55" t="str">
        <f>IFERROR(__xludf.DUMMYFUNCTION("IFERROR(ROUND(
(COUNTIF(FILTER(Data!O:O, Data!B:B=A594), ""Win"")
+ COUNTIF(FILTER(Data!O:O, Data!B:B=A594), {""Tie"",""Results""}))
/ (COUNTIF(Data!B:B, A594)),
1),"""")"),"")</f>
        <v/>
      </c>
      <c r="C594" s="45" t="str">
        <f>IFERROR((SUMIF(Data!B:B, A594, Data!H:H)
/ (COUNTIF(Data!B:B, A594)
)),"")</f>
        <v/>
      </c>
      <c r="D594" s="45" t="str">
        <f>IFERROR((SUMIF(Data!B:B, A594, Data!G:G)
/ (COUNTIF(Data!B:B, A594)
)),"")</f>
        <v/>
      </c>
      <c r="E594" s="45"/>
      <c r="F594" s="45" t="str">
        <f>IFERROR((SUMIF(Data!B:B, A594, Data!J:J)
/ (COUNTIF(Data!B:B, A594)
)),"")</f>
        <v/>
      </c>
      <c r="G594" s="56" t="str">
        <f>IF(A594="","",IFERROR((((((SUMIF(Data!B:B, A594, Data!H:H)+(SUMIF(Data!B:B, A594,Data!G:G)))/(SUMIF(Data!B:B, A594, Data!J:J)))))),0))</f>
        <v/>
      </c>
      <c r="H594" s="45"/>
      <c r="I594" s="45"/>
      <c r="J594" s="45"/>
      <c r="K594" s="45"/>
      <c r="L594" s="45" t="str">
        <f>IFERROR((SUMIF(Data!B:B, A594, Data!L:L)
/ (COUNTIF(Data!B:B, A594)
)),"")</f>
        <v/>
      </c>
      <c r="M594" s="45" t="str">
        <f>IFERROR((SUMIF(Data!B:B, A594, Data!K:K)
/ (COUNTIF(Data!B:B, A594)
)),"")</f>
        <v/>
      </c>
      <c r="N594" s="56"/>
      <c r="O594" s="56" t="str">
        <f>IF(A594="","",IFERROR((((((SUMIF(Data!B:B, A594, Data!H:H)+(SUMIF(Data!B:B, A594,Data!G:G)+(SUMIF(Data!B:B, A594,Data!L:L)+(SUMIF(Data!B:B, A594,Data!K:K)))))/(SUMIF(Data!B:B, A594, Data!M:M)+(SUMIF(Data!B:B, A594, Data!H:H)+(SUMIF(Data!B:B, A594,Data!G:G)+(SUMIF(Data!B:B, A594,Data!K:K)+(SUMIF(Data!B:B, A594,Data!L:L)))))))))),0))</f>
        <v/>
      </c>
      <c r="P594" s="57" t="str">
        <f>IFERROR(__xludf.DUMMYFUNCTION("IFERROR(((COUNTIF(FILTER(Data!N:N,Data!B:B=A594),""TRAVERSE"")*15)+(COUNTIF(FILTER(Data!N:N,Data!B:B=A594),""HIGH"")*10)+(COUNTIF(FILTER(Data!N:N,Data!B:B=A594),""MIDDLE"")*6)+(COUNTIF(FILTER(Data!N:N,Data!B:B=A594),""LOW"")*4)) / (COUNTIF(Data!B:B, A594)"&amp;"),"""")"),"")</f>
        <v/>
      </c>
      <c r="Q594" s="58"/>
      <c r="R594" s="58"/>
      <c r="S594" s="58" t="str">
        <f>IFERROR(__xludf.DUMMYFUNCTION("IFERROR((((COUNTIF(FILTER(Data!N:N,Data!B:B=A594),""TRAVERSE""))+(COUNTIF(FILTER(Data!N:N,Data!B:B=A594),""HIGH""))+(COUNTIF(FILTER(Data!N:N,Data!B:B=A594),""MIDDLE""))+(COUNTIF(FILTER(Data!N:N,Data!B:B=A594),""LOW"")))) / (((COUNTIF(Data!B:B, A594)))-(CO"&amp;"UNTIF(FILTER(Data!N:N,Data!B:B=A594),""NONE""))),IF(ISBLANK(A594),"""",0))"),"")</f>
        <v/>
      </c>
      <c r="T594" s="56" t="str">
        <f>IFERROR(__xludf.DUMMYFUNCTION("IFERROR((COUNTIF(FILTER(Data!N:N, Data!B:B=A594),""LOW"")) / (COUNTIF(Data!B:B, A594)),"""")"),"")</f>
        <v/>
      </c>
      <c r="U594" s="59" t="str">
        <f>IFERROR(__xludf.DUMMYFUNCTION("IFERROR((COUNTIF(FILTER(Data!N:N, Data!B:B=A594),""MIDDLE"")) / (COUNTIF(Data!B:B, A594)),"""")"),"")</f>
        <v/>
      </c>
      <c r="V594" s="59" t="str">
        <f>IFERROR(__xludf.DUMMYFUNCTION("IFERROR((COUNTIF(FILTER(Data!N:N, Data!B:B=A594),""HIGH"")) / (COUNTIF(Data!B:B, A594)),"""")"),"")</f>
        <v/>
      </c>
      <c r="W594" s="59" t="str">
        <f>IFERROR(__xludf.DUMMYFUNCTION("IFERROR((COUNTIF(FILTER(Data!N:N, Data!B:B=A594),""TRAVERSE"")) / (COUNTIF(Data!B:B, A594)),"""")"),"")</f>
        <v/>
      </c>
      <c r="X594" s="59"/>
      <c r="Y594" s="45" t="str">
        <f t="shared" si="7"/>
        <v/>
      </c>
      <c r="Z594" s="45" t="str">
        <f t="shared" si="8"/>
        <v/>
      </c>
      <c r="AA594" s="16" t="str">
        <f t="shared" si="9"/>
        <v/>
      </c>
      <c r="AB594" s="16"/>
      <c r="AC594" s="16"/>
      <c r="AD594" s="16"/>
      <c r="AE594" s="16" t="str">
        <f t="shared" si="12"/>
        <v/>
      </c>
      <c r="AF594" s="16" t="str">
        <f t="shared" si="13"/>
        <v/>
      </c>
      <c r="AG594" s="44"/>
      <c r="AH594" s="44"/>
      <c r="AI594" s="44" t="str">
        <f>IFERROR(__xludf.DUMMYFUNCTION("TEXTJOIN("", "",TRUE, FILTER(Data!P:P, Data!B:B=A594))"),"")</f>
        <v/>
      </c>
      <c r="AM594" s="61"/>
      <c r="BC594" s="50"/>
    </row>
    <row r="595">
      <c r="A595" s="14"/>
      <c r="B595" s="55" t="str">
        <f>IFERROR(__xludf.DUMMYFUNCTION("IFERROR(ROUND(
(COUNTIF(FILTER(Data!O:O, Data!B:B=A595), ""Win"")
+ COUNTIF(FILTER(Data!O:O, Data!B:B=A595), {""Tie"",""Results""}))
/ (COUNTIF(Data!B:B, A595)),
1),"""")"),"")</f>
        <v/>
      </c>
      <c r="C595" s="45" t="str">
        <f>IFERROR((SUMIF(Data!B:B, A595, Data!H:H)
/ (COUNTIF(Data!B:B, A595)
)),"")</f>
        <v/>
      </c>
      <c r="D595" s="45" t="str">
        <f>IFERROR((SUMIF(Data!B:B, A595, Data!G:G)
/ (COUNTIF(Data!B:B, A595)
)),"")</f>
        <v/>
      </c>
      <c r="E595" s="45"/>
      <c r="F595" s="45" t="str">
        <f>IFERROR((SUMIF(Data!B:B, A595, Data!J:J)
/ (COUNTIF(Data!B:B, A595)
)),"")</f>
        <v/>
      </c>
      <c r="G595" s="56" t="str">
        <f>IF(A595="","",IFERROR((((((SUMIF(Data!B:B, A595, Data!H:H)+(SUMIF(Data!B:B, A595,Data!G:G)))/(SUMIF(Data!B:B, A595, Data!J:J)))))),0))</f>
        <v/>
      </c>
      <c r="H595" s="45"/>
      <c r="I595" s="45"/>
      <c r="J595" s="45"/>
      <c r="K595" s="45"/>
      <c r="L595" s="45" t="str">
        <f>IFERROR((SUMIF(Data!B:B, A595, Data!L:L)
/ (COUNTIF(Data!B:B, A595)
)),"")</f>
        <v/>
      </c>
      <c r="M595" s="45" t="str">
        <f>IFERROR((SUMIF(Data!B:B, A595, Data!K:K)
/ (COUNTIF(Data!B:B, A595)
)),"")</f>
        <v/>
      </c>
      <c r="N595" s="56"/>
      <c r="O595" s="56" t="str">
        <f>IF(A595="","",IFERROR((((((SUMIF(Data!B:B, A595, Data!H:H)+(SUMIF(Data!B:B, A595,Data!G:G)+(SUMIF(Data!B:B, A595,Data!L:L)+(SUMIF(Data!B:B, A595,Data!K:K)))))/(SUMIF(Data!B:B, A595, Data!M:M)+(SUMIF(Data!B:B, A595, Data!H:H)+(SUMIF(Data!B:B, A595,Data!G:G)+(SUMIF(Data!B:B, A595,Data!K:K)+(SUMIF(Data!B:B, A595,Data!L:L)))))))))),0))</f>
        <v/>
      </c>
      <c r="P595" s="57" t="str">
        <f>IFERROR(__xludf.DUMMYFUNCTION("IFERROR(((COUNTIF(FILTER(Data!N:N,Data!B:B=A595),""TRAVERSE"")*15)+(COUNTIF(FILTER(Data!N:N,Data!B:B=A595),""HIGH"")*10)+(COUNTIF(FILTER(Data!N:N,Data!B:B=A595),""MIDDLE"")*6)+(COUNTIF(FILTER(Data!N:N,Data!B:B=A595),""LOW"")*4)) / (COUNTIF(Data!B:B, A595)"&amp;"),"""")"),"")</f>
        <v/>
      </c>
      <c r="Q595" s="58"/>
      <c r="R595" s="58"/>
      <c r="S595" s="58" t="str">
        <f>IFERROR(__xludf.DUMMYFUNCTION("IFERROR((((COUNTIF(FILTER(Data!N:N,Data!B:B=A595),""TRAVERSE""))+(COUNTIF(FILTER(Data!N:N,Data!B:B=A595),""HIGH""))+(COUNTIF(FILTER(Data!N:N,Data!B:B=A595),""MIDDLE""))+(COUNTIF(FILTER(Data!N:N,Data!B:B=A595),""LOW"")))) / (((COUNTIF(Data!B:B, A595)))-(CO"&amp;"UNTIF(FILTER(Data!N:N,Data!B:B=A595),""NONE""))),IF(ISBLANK(A595),"""",0))"),"")</f>
        <v/>
      </c>
      <c r="T595" s="56" t="str">
        <f>IFERROR(__xludf.DUMMYFUNCTION("IFERROR((COUNTIF(FILTER(Data!N:N, Data!B:B=A595),""LOW"")) / (COUNTIF(Data!B:B, A595)),"""")"),"")</f>
        <v/>
      </c>
      <c r="U595" s="59" t="str">
        <f>IFERROR(__xludf.DUMMYFUNCTION("IFERROR((COUNTIF(FILTER(Data!N:N, Data!B:B=A595),""MIDDLE"")) / (COUNTIF(Data!B:B, A595)),"""")"),"")</f>
        <v/>
      </c>
      <c r="V595" s="59" t="str">
        <f>IFERROR(__xludf.DUMMYFUNCTION("IFERROR((COUNTIF(FILTER(Data!N:N, Data!B:B=A595),""HIGH"")) / (COUNTIF(Data!B:B, A595)),"""")"),"")</f>
        <v/>
      </c>
      <c r="W595" s="59" t="str">
        <f>IFERROR(__xludf.DUMMYFUNCTION("IFERROR((COUNTIF(FILTER(Data!N:N, Data!B:B=A595),""TRAVERSE"")) / (COUNTIF(Data!B:B, A595)),"""")"),"")</f>
        <v/>
      </c>
      <c r="X595" s="59"/>
      <c r="Y595" s="45" t="str">
        <f t="shared" si="7"/>
        <v/>
      </c>
      <c r="Z595" s="45" t="str">
        <f t="shared" si="8"/>
        <v/>
      </c>
      <c r="AA595" s="16" t="str">
        <f t="shared" si="9"/>
        <v/>
      </c>
      <c r="AB595" s="16"/>
      <c r="AC595" s="16"/>
      <c r="AD595" s="16"/>
      <c r="AE595" s="16" t="str">
        <f t="shared" si="12"/>
        <v/>
      </c>
      <c r="AF595" s="16" t="str">
        <f t="shared" si="13"/>
        <v/>
      </c>
      <c r="AG595" s="44"/>
      <c r="AH595" s="44"/>
      <c r="AI595" s="44" t="str">
        <f>IFERROR(__xludf.DUMMYFUNCTION("TEXTJOIN("", "",TRUE, FILTER(Data!P:P, Data!B:B=A595))"),"")</f>
        <v/>
      </c>
      <c r="AM595" s="61"/>
      <c r="BC595" s="50"/>
    </row>
    <row r="596">
      <c r="A596" s="14"/>
      <c r="B596" s="55" t="str">
        <f>IFERROR(__xludf.DUMMYFUNCTION("IFERROR(ROUND(
(COUNTIF(FILTER(Data!O:O, Data!B:B=A596), ""Win"")
+ COUNTIF(FILTER(Data!O:O, Data!B:B=A596), {""Tie"",""Results""}))
/ (COUNTIF(Data!B:B, A596)),
1),"""")"),"")</f>
        <v/>
      </c>
      <c r="C596" s="45" t="str">
        <f>IFERROR((SUMIF(Data!B:B, A596, Data!H:H)
/ (COUNTIF(Data!B:B, A596)
)),"")</f>
        <v/>
      </c>
      <c r="D596" s="45" t="str">
        <f>IFERROR((SUMIF(Data!B:B, A596, Data!G:G)
/ (COUNTIF(Data!B:B, A596)
)),"")</f>
        <v/>
      </c>
      <c r="E596" s="45"/>
      <c r="F596" s="45" t="str">
        <f>IFERROR((SUMIF(Data!B:B, A596, Data!J:J)
/ (COUNTIF(Data!B:B, A596)
)),"")</f>
        <v/>
      </c>
      <c r="G596" s="56" t="str">
        <f>IF(A596="","",IFERROR((((((SUMIF(Data!B:B, A596, Data!H:H)+(SUMIF(Data!B:B, A596,Data!G:G)))/(SUMIF(Data!B:B, A596, Data!J:J)))))),0))</f>
        <v/>
      </c>
      <c r="H596" s="45"/>
      <c r="I596" s="45"/>
      <c r="J596" s="45"/>
      <c r="K596" s="45"/>
      <c r="L596" s="45" t="str">
        <f>IFERROR((SUMIF(Data!B:B, A596, Data!L:L)
/ (COUNTIF(Data!B:B, A596)
)),"")</f>
        <v/>
      </c>
      <c r="M596" s="45" t="str">
        <f>IFERROR((SUMIF(Data!B:B, A596, Data!K:K)
/ (COUNTIF(Data!B:B, A596)
)),"")</f>
        <v/>
      </c>
      <c r="N596" s="56"/>
      <c r="O596" s="56" t="str">
        <f>IF(A596="","",IFERROR((((((SUMIF(Data!B:B, A596, Data!H:H)+(SUMIF(Data!B:B, A596,Data!G:G)+(SUMIF(Data!B:B, A596,Data!L:L)+(SUMIF(Data!B:B, A596,Data!K:K)))))/(SUMIF(Data!B:B, A596, Data!M:M)+(SUMIF(Data!B:B, A596, Data!H:H)+(SUMIF(Data!B:B, A596,Data!G:G)+(SUMIF(Data!B:B, A596,Data!K:K)+(SUMIF(Data!B:B, A596,Data!L:L)))))))))),0))</f>
        <v/>
      </c>
      <c r="P596" s="57" t="str">
        <f>IFERROR(__xludf.DUMMYFUNCTION("IFERROR(((COUNTIF(FILTER(Data!N:N,Data!B:B=A596),""TRAVERSE"")*15)+(COUNTIF(FILTER(Data!N:N,Data!B:B=A596),""HIGH"")*10)+(COUNTIF(FILTER(Data!N:N,Data!B:B=A596),""MIDDLE"")*6)+(COUNTIF(FILTER(Data!N:N,Data!B:B=A596),""LOW"")*4)) / (COUNTIF(Data!B:B, A596)"&amp;"),"""")"),"")</f>
        <v/>
      </c>
      <c r="Q596" s="58"/>
      <c r="R596" s="58"/>
      <c r="S596" s="58" t="str">
        <f>IFERROR(__xludf.DUMMYFUNCTION("IFERROR((((COUNTIF(FILTER(Data!N:N,Data!B:B=A596),""TRAVERSE""))+(COUNTIF(FILTER(Data!N:N,Data!B:B=A596),""HIGH""))+(COUNTIF(FILTER(Data!N:N,Data!B:B=A596),""MIDDLE""))+(COUNTIF(FILTER(Data!N:N,Data!B:B=A596),""LOW"")))) / (((COUNTIF(Data!B:B, A596)))-(CO"&amp;"UNTIF(FILTER(Data!N:N,Data!B:B=A596),""NONE""))),IF(ISBLANK(A596),"""",0))"),"")</f>
        <v/>
      </c>
      <c r="T596" s="56" t="str">
        <f>IFERROR(__xludf.DUMMYFUNCTION("IFERROR((COUNTIF(FILTER(Data!N:N, Data!B:B=A596),""LOW"")) / (COUNTIF(Data!B:B, A596)),"""")"),"")</f>
        <v/>
      </c>
      <c r="U596" s="59" t="str">
        <f>IFERROR(__xludf.DUMMYFUNCTION("IFERROR((COUNTIF(FILTER(Data!N:N, Data!B:B=A596),""MIDDLE"")) / (COUNTIF(Data!B:B, A596)),"""")"),"")</f>
        <v/>
      </c>
      <c r="V596" s="59" t="str">
        <f>IFERROR(__xludf.DUMMYFUNCTION("IFERROR((COUNTIF(FILTER(Data!N:N, Data!B:B=A596),""HIGH"")) / (COUNTIF(Data!B:B, A596)),"""")"),"")</f>
        <v/>
      </c>
      <c r="W596" s="59" t="str">
        <f>IFERROR(__xludf.DUMMYFUNCTION("IFERROR((COUNTIF(FILTER(Data!N:N, Data!B:B=A596),""TRAVERSE"")) / (COUNTIF(Data!B:B, A596)),"""")"),"")</f>
        <v/>
      </c>
      <c r="X596" s="59"/>
      <c r="Y596" s="45" t="str">
        <f t="shared" si="7"/>
        <v/>
      </c>
      <c r="Z596" s="45" t="str">
        <f t="shared" si="8"/>
        <v/>
      </c>
      <c r="AA596" s="16" t="str">
        <f t="shared" si="9"/>
        <v/>
      </c>
      <c r="AB596" s="16"/>
      <c r="AC596" s="16"/>
      <c r="AD596" s="16"/>
      <c r="AE596" s="16" t="str">
        <f t="shared" si="12"/>
        <v/>
      </c>
      <c r="AF596" s="16" t="str">
        <f t="shared" si="13"/>
        <v/>
      </c>
      <c r="AG596" s="44"/>
      <c r="AH596" s="44"/>
      <c r="AI596" s="44" t="str">
        <f>IFERROR(__xludf.DUMMYFUNCTION("TEXTJOIN("", "",TRUE, FILTER(Data!P:P, Data!B:B=A596))"),"")</f>
        <v/>
      </c>
      <c r="AM596" s="61"/>
      <c r="BC596" s="50"/>
    </row>
    <row r="597">
      <c r="A597" s="14"/>
      <c r="B597" s="55" t="str">
        <f>IFERROR(__xludf.DUMMYFUNCTION("IFERROR(ROUND(
(COUNTIF(FILTER(Data!O:O, Data!B:B=A597), ""Win"")
+ COUNTIF(FILTER(Data!O:O, Data!B:B=A597), {""Tie"",""Results""}))
/ (COUNTIF(Data!B:B, A597)),
1),"""")"),"")</f>
        <v/>
      </c>
      <c r="C597" s="45" t="str">
        <f>IFERROR((SUMIF(Data!B:B, A597, Data!H:H)
/ (COUNTIF(Data!B:B, A597)
)),"")</f>
        <v/>
      </c>
      <c r="D597" s="45" t="str">
        <f>IFERROR((SUMIF(Data!B:B, A597, Data!G:G)
/ (COUNTIF(Data!B:B, A597)
)),"")</f>
        <v/>
      </c>
      <c r="E597" s="45"/>
      <c r="F597" s="45" t="str">
        <f>IFERROR((SUMIF(Data!B:B, A597, Data!J:J)
/ (COUNTIF(Data!B:B, A597)
)),"")</f>
        <v/>
      </c>
      <c r="G597" s="56" t="str">
        <f>IF(A597="","",IFERROR((((((SUMIF(Data!B:B, A597, Data!H:H)+(SUMIF(Data!B:B, A597,Data!G:G)))/(SUMIF(Data!B:B, A597, Data!J:J)))))),0))</f>
        <v/>
      </c>
      <c r="H597" s="45"/>
      <c r="I597" s="45"/>
      <c r="J597" s="45"/>
      <c r="K597" s="45"/>
      <c r="L597" s="45" t="str">
        <f>IFERROR((SUMIF(Data!B:B, A597, Data!L:L)
/ (COUNTIF(Data!B:B, A597)
)),"")</f>
        <v/>
      </c>
      <c r="M597" s="45" t="str">
        <f>IFERROR((SUMIF(Data!B:B, A597, Data!K:K)
/ (COUNTIF(Data!B:B, A597)
)),"")</f>
        <v/>
      </c>
      <c r="N597" s="56"/>
      <c r="O597" s="56" t="str">
        <f>IF(A597="","",IFERROR((((((SUMIF(Data!B:B, A597, Data!H:H)+(SUMIF(Data!B:B, A597,Data!G:G)+(SUMIF(Data!B:B, A597,Data!L:L)+(SUMIF(Data!B:B, A597,Data!K:K)))))/(SUMIF(Data!B:B, A597, Data!M:M)+(SUMIF(Data!B:B, A597, Data!H:H)+(SUMIF(Data!B:B, A597,Data!G:G)+(SUMIF(Data!B:B, A597,Data!K:K)+(SUMIF(Data!B:B, A597,Data!L:L)))))))))),0))</f>
        <v/>
      </c>
      <c r="P597" s="57" t="str">
        <f>IFERROR(__xludf.DUMMYFUNCTION("IFERROR(((COUNTIF(FILTER(Data!N:N,Data!B:B=A597),""TRAVERSE"")*15)+(COUNTIF(FILTER(Data!N:N,Data!B:B=A597),""HIGH"")*10)+(COUNTIF(FILTER(Data!N:N,Data!B:B=A597),""MIDDLE"")*6)+(COUNTIF(FILTER(Data!N:N,Data!B:B=A597),""LOW"")*4)) / (COUNTIF(Data!B:B, A597)"&amp;"),"""")"),"")</f>
        <v/>
      </c>
      <c r="Q597" s="58"/>
      <c r="R597" s="58"/>
      <c r="S597" s="58" t="str">
        <f>IFERROR(__xludf.DUMMYFUNCTION("IFERROR((((COUNTIF(FILTER(Data!N:N,Data!B:B=A597),""TRAVERSE""))+(COUNTIF(FILTER(Data!N:N,Data!B:B=A597),""HIGH""))+(COUNTIF(FILTER(Data!N:N,Data!B:B=A597),""MIDDLE""))+(COUNTIF(FILTER(Data!N:N,Data!B:B=A597),""LOW"")))) / (((COUNTIF(Data!B:B, A597)))-(CO"&amp;"UNTIF(FILTER(Data!N:N,Data!B:B=A597),""NONE""))),IF(ISBLANK(A597),"""",0))"),"")</f>
        <v/>
      </c>
      <c r="T597" s="56" t="str">
        <f>IFERROR(__xludf.DUMMYFUNCTION("IFERROR((COUNTIF(FILTER(Data!N:N, Data!B:B=A597),""LOW"")) / (COUNTIF(Data!B:B, A597)),"""")"),"")</f>
        <v/>
      </c>
      <c r="U597" s="59" t="str">
        <f>IFERROR(__xludf.DUMMYFUNCTION("IFERROR((COUNTIF(FILTER(Data!N:N, Data!B:B=A597),""MIDDLE"")) / (COUNTIF(Data!B:B, A597)),"""")"),"")</f>
        <v/>
      </c>
      <c r="V597" s="59" t="str">
        <f>IFERROR(__xludf.DUMMYFUNCTION("IFERROR((COUNTIF(FILTER(Data!N:N, Data!B:B=A597),""HIGH"")) / (COUNTIF(Data!B:B, A597)),"""")"),"")</f>
        <v/>
      </c>
      <c r="W597" s="59" t="str">
        <f>IFERROR(__xludf.DUMMYFUNCTION("IFERROR((COUNTIF(FILTER(Data!N:N, Data!B:B=A597),""TRAVERSE"")) / (COUNTIF(Data!B:B, A597)),"""")"),"")</f>
        <v/>
      </c>
      <c r="X597" s="59"/>
      <c r="Y597" s="45" t="str">
        <f t="shared" si="7"/>
        <v/>
      </c>
      <c r="Z597" s="45" t="str">
        <f t="shared" si="8"/>
        <v/>
      </c>
      <c r="AA597" s="16" t="str">
        <f t="shared" si="9"/>
        <v/>
      </c>
      <c r="AB597" s="16"/>
      <c r="AC597" s="16"/>
      <c r="AD597" s="16"/>
      <c r="AE597" s="16" t="str">
        <f t="shared" si="12"/>
        <v/>
      </c>
      <c r="AF597" s="16" t="str">
        <f t="shared" si="13"/>
        <v/>
      </c>
      <c r="AG597" s="44"/>
      <c r="AH597" s="44"/>
      <c r="AI597" s="44" t="str">
        <f>IFERROR(__xludf.DUMMYFUNCTION("TEXTJOIN("", "",TRUE, FILTER(Data!P:P, Data!B:B=A597))"),"")</f>
        <v/>
      </c>
      <c r="AM597" s="61"/>
      <c r="BC597" s="50"/>
    </row>
    <row r="598">
      <c r="A598" s="14"/>
      <c r="B598" s="55" t="str">
        <f>IFERROR(__xludf.DUMMYFUNCTION("IFERROR(ROUND(
(COUNTIF(FILTER(Data!O:O, Data!B:B=A598), ""Win"")
+ COUNTIF(FILTER(Data!O:O, Data!B:B=A598), {""Tie"",""Results""}))
/ (COUNTIF(Data!B:B, A598)),
1),"""")"),"")</f>
        <v/>
      </c>
      <c r="C598" s="45" t="str">
        <f>IFERROR((SUMIF(Data!B:B, A598, Data!H:H)
/ (COUNTIF(Data!B:B, A598)
)),"")</f>
        <v/>
      </c>
      <c r="D598" s="45" t="str">
        <f>IFERROR((SUMIF(Data!B:B, A598, Data!G:G)
/ (COUNTIF(Data!B:B, A598)
)),"")</f>
        <v/>
      </c>
      <c r="E598" s="45"/>
      <c r="F598" s="45" t="str">
        <f>IFERROR((SUMIF(Data!B:B, A598, Data!J:J)
/ (COUNTIF(Data!B:B, A598)
)),"")</f>
        <v/>
      </c>
      <c r="G598" s="56" t="str">
        <f>IF(A598="","",IFERROR((((((SUMIF(Data!B:B, A598, Data!H:H)+(SUMIF(Data!B:B, A598,Data!G:G)))/(SUMIF(Data!B:B, A598, Data!J:J)))))),0))</f>
        <v/>
      </c>
      <c r="H598" s="45"/>
      <c r="I598" s="45"/>
      <c r="J598" s="45"/>
      <c r="K598" s="45"/>
      <c r="L598" s="45" t="str">
        <f>IFERROR((SUMIF(Data!B:B, A598, Data!L:L)
/ (COUNTIF(Data!B:B, A598)
)),"")</f>
        <v/>
      </c>
      <c r="M598" s="45" t="str">
        <f>IFERROR((SUMIF(Data!B:B, A598, Data!K:K)
/ (COUNTIF(Data!B:B, A598)
)),"")</f>
        <v/>
      </c>
      <c r="N598" s="56"/>
      <c r="O598" s="56" t="str">
        <f>IF(A598="","",IFERROR((((((SUMIF(Data!B:B, A598, Data!H:H)+(SUMIF(Data!B:B, A598,Data!G:G)+(SUMIF(Data!B:B, A598,Data!L:L)+(SUMIF(Data!B:B, A598,Data!K:K)))))/(SUMIF(Data!B:B, A598, Data!M:M)+(SUMIF(Data!B:B, A598, Data!H:H)+(SUMIF(Data!B:B, A598,Data!G:G)+(SUMIF(Data!B:B, A598,Data!K:K)+(SUMIF(Data!B:B, A598,Data!L:L)))))))))),0))</f>
        <v/>
      </c>
      <c r="P598" s="57" t="str">
        <f>IFERROR(__xludf.DUMMYFUNCTION("IFERROR(((COUNTIF(FILTER(Data!N:N,Data!B:B=A598),""TRAVERSE"")*15)+(COUNTIF(FILTER(Data!N:N,Data!B:B=A598),""HIGH"")*10)+(COUNTIF(FILTER(Data!N:N,Data!B:B=A598),""MIDDLE"")*6)+(COUNTIF(FILTER(Data!N:N,Data!B:B=A598),""LOW"")*4)) / (COUNTIF(Data!B:B, A598)"&amp;"),"""")"),"")</f>
        <v/>
      </c>
      <c r="Q598" s="58"/>
      <c r="R598" s="58"/>
      <c r="S598" s="58" t="str">
        <f>IFERROR(__xludf.DUMMYFUNCTION("IFERROR((((COUNTIF(FILTER(Data!N:N,Data!B:B=A598),""TRAVERSE""))+(COUNTIF(FILTER(Data!N:N,Data!B:B=A598),""HIGH""))+(COUNTIF(FILTER(Data!N:N,Data!B:B=A598),""MIDDLE""))+(COUNTIF(FILTER(Data!N:N,Data!B:B=A598),""LOW"")))) / (((COUNTIF(Data!B:B, A598)))-(CO"&amp;"UNTIF(FILTER(Data!N:N,Data!B:B=A598),""NONE""))),IF(ISBLANK(A598),"""",0))"),"")</f>
        <v/>
      </c>
      <c r="T598" s="56" t="str">
        <f>IFERROR(__xludf.DUMMYFUNCTION("IFERROR((COUNTIF(FILTER(Data!N:N, Data!B:B=A598),""LOW"")) / (COUNTIF(Data!B:B, A598)),"""")"),"")</f>
        <v/>
      </c>
      <c r="U598" s="59" t="str">
        <f>IFERROR(__xludf.DUMMYFUNCTION("IFERROR((COUNTIF(FILTER(Data!N:N, Data!B:B=A598),""MIDDLE"")) / (COUNTIF(Data!B:B, A598)),"""")"),"")</f>
        <v/>
      </c>
      <c r="V598" s="59" t="str">
        <f>IFERROR(__xludf.DUMMYFUNCTION("IFERROR((COUNTIF(FILTER(Data!N:N, Data!B:B=A598),""HIGH"")) / (COUNTIF(Data!B:B, A598)),"""")"),"")</f>
        <v/>
      </c>
      <c r="W598" s="59" t="str">
        <f>IFERROR(__xludf.DUMMYFUNCTION("IFERROR((COUNTIF(FILTER(Data!N:N, Data!B:B=A598),""TRAVERSE"")) / (COUNTIF(Data!B:B, A598)),"""")"),"")</f>
        <v/>
      </c>
      <c r="X598" s="59"/>
      <c r="Y598" s="45" t="str">
        <f t="shared" si="7"/>
        <v/>
      </c>
      <c r="Z598" s="45" t="str">
        <f t="shared" si="8"/>
        <v/>
      </c>
      <c r="AA598" s="16" t="str">
        <f t="shared" si="9"/>
        <v/>
      </c>
      <c r="AB598" s="16"/>
      <c r="AC598" s="16"/>
      <c r="AD598" s="16"/>
      <c r="AE598" s="16" t="str">
        <f t="shared" si="12"/>
        <v/>
      </c>
      <c r="AF598" s="16" t="str">
        <f t="shared" si="13"/>
        <v/>
      </c>
      <c r="AG598" s="44"/>
      <c r="AH598" s="44"/>
      <c r="AI598" s="44" t="str">
        <f>IFERROR(__xludf.DUMMYFUNCTION("TEXTJOIN("", "",TRUE, FILTER(Data!P:P, Data!B:B=A598))"),"")</f>
        <v/>
      </c>
      <c r="AM598" s="61"/>
      <c r="BC598" s="50"/>
    </row>
    <row r="599">
      <c r="A599" s="14"/>
      <c r="B599" s="55" t="str">
        <f>IFERROR(__xludf.DUMMYFUNCTION("IFERROR(ROUND(
(COUNTIF(FILTER(Data!O:O, Data!B:B=A599), ""Win"")
+ COUNTIF(FILTER(Data!O:O, Data!B:B=A599), {""Tie"",""Results""}))
/ (COUNTIF(Data!B:B, A599)),
1),"""")"),"")</f>
        <v/>
      </c>
      <c r="C599" s="45" t="str">
        <f>IFERROR((SUMIF(Data!B:B, A599, Data!H:H)
/ (COUNTIF(Data!B:B, A599)
)),"")</f>
        <v/>
      </c>
      <c r="D599" s="45" t="str">
        <f>IFERROR((SUMIF(Data!B:B, A599, Data!G:G)
/ (COUNTIF(Data!B:B, A599)
)),"")</f>
        <v/>
      </c>
      <c r="E599" s="45"/>
      <c r="F599" s="45" t="str">
        <f>IFERROR((SUMIF(Data!B:B, A599, Data!J:J)
/ (COUNTIF(Data!B:B, A599)
)),"")</f>
        <v/>
      </c>
      <c r="G599" s="56" t="str">
        <f>IF(A599="","",IFERROR((((((SUMIF(Data!B:B, A599, Data!H:H)+(SUMIF(Data!B:B, A599,Data!G:G)))/(SUMIF(Data!B:B, A599, Data!J:J)))))),0))</f>
        <v/>
      </c>
      <c r="H599" s="45"/>
      <c r="I599" s="45"/>
      <c r="J599" s="45"/>
      <c r="K599" s="45"/>
      <c r="L599" s="45" t="str">
        <f>IFERROR((SUMIF(Data!B:B, A599, Data!L:L)
/ (COUNTIF(Data!B:B, A599)
)),"")</f>
        <v/>
      </c>
      <c r="M599" s="45" t="str">
        <f>IFERROR((SUMIF(Data!B:B, A599, Data!K:K)
/ (COUNTIF(Data!B:B, A599)
)),"")</f>
        <v/>
      </c>
      <c r="N599" s="56"/>
      <c r="O599" s="56" t="str">
        <f>IF(A599="","",IFERROR((((((SUMIF(Data!B:B, A599, Data!H:H)+(SUMIF(Data!B:B, A599,Data!G:G)+(SUMIF(Data!B:B, A599,Data!L:L)+(SUMIF(Data!B:B, A599,Data!K:K)))))/(SUMIF(Data!B:B, A599, Data!M:M)+(SUMIF(Data!B:B, A599, Data!H:H)+(SUMIF(Data!B:B, A599,Data!G:G)+(SUMIF(Data!B:B, A599,Data!K:K)+(SUMIF(Data!B:B, A599,Data!L:L)))))))))),0))</f>
        <v/>
      </c>
      <c r="P599" s="57" t="str">
        <f>IFERROR(__xludf.DUMMYFUNCTION("IFERROR(((COUNTIF(FILTER(Data!N:N,Data!B:B=A599),""TRAVERSE"")*15)+(COUNTIF(FILTER(Data!N:N,Data!B:B=A599),""HIGH"")*10)+(COUNTIF(FILTER(Data!N:N,Data!B:B=A599),""MIDDLE"")*6)+(COUNTIF(FILTER(Data!N:N,Data!B:B=A599),""LOW"")*4)) / (COUNTIF(Data!B:B, A599)"&amp;"),"""")"),"")</f>
        <v/>
      </c>
      <c r="Q599" s="58"/>
      <c r="R599" s="58"/>
      <c r="S599" s="58" t="str">
        <f>IFERROR(__xludf.DUMMYFUNCTION("IFERROR((((COUNTIF(FILTER(Data!N:N,Data!B:B=A599),""TRAVERSE""))+(COUNTIF(FILTER(Data!N:N,Data!B:B=A599),""HIGH""))+(COUNTIF(FILTER(Data!N:N,Data!B:B=A599),""MIDDLE""))+(COUNTIF(FILTER(Data!N:N,Data!B:B=A599),""LOW"")))) / (((COUNTIF(Data!B:B, A599)))-(CO"&amp;"UNTIF(FILTER(Data!N:N,Data!B:B=A599),""NONE""))),IF(ISBLANK(A599),"""",0))"),"")</f>
        <v/>
      </c>
      <c r="T599" s="56" t="str">
        <f>IFERROR(__xludf.DUMMYFUNCTION("IFERROR((COUNTIF(FILTER(Data!N:N, Data!B:B=A599),""LOW"")) / (COUNTIF(Data!B:B, A599)),"""")"),"")</f>
        <v/>
      </c>
      <c r="U599" s="59" t="str">
        <f>IFERROR(__xludf.DUMMYFUNCTION("IFERROR((COUNTIF(FILTER(Data!N:N, Data!B:B=A599),""MIDDLE"")) / (COUNTIF(Data!B:B, A599)),"""")"),"")</f>
        <v/>
      </c>
      <c r="V599" s="59" t="str">
        <f>IFERROR(__xludf.DUMMYFUNCTION("IFERROR((COUNTIF(FILTER(Data!N:N, Data!B:B=A599),""HIGH"")) / (COUNTIF(Data!B:B, A599)),"""")"),"")</f>
        <v/>
      </c>
      <c r="W599" s="59" t="str">
        <f>IFERROR(__xludf.DUMMYFUNCTION("IFERROR((COUNTIF(FILTER(Data!N:N, Data!B:B=A599),""TRAVERSE"")) / (COUNTIF(Data!B:B, A599)),"""")"),"")</f>
        <v/>
      </c>
      <c r="X599" s="59"/>
      <c r="Y599" s="45" t="str">
        <f t="shared" si="7"/>
        <v/>
      </c>
      <c r="Z599" s="45" t="str">
        <f t="shared" si="8"/>
        <v/>
      </c>
      <c r="AA599" s="16" t="str">
        <f t="shared" si="9"/>
        <v/>
      </c>
      <c r="AB599" s="16"/>
      <c r="AC599" s="16"/>
      <c r="AD599" s="16"/>
      <c r="AE599" s="16" t="str">
        <f t="shared" si="12"/>
        <v/>
      </c>
      <c r="AF599" s="16" t="str">
        <f t="shared" si="13"/>
        <v/>
      </c>
      <c r="AG599" s="44"/>
      <c r="AH599" s="44"/>
      <c r="AI599" s="44" t="str">
        <f>IFERROR(__xludf.DUMMYFUNCTION("TEXTJOIN("", "",TRUE, FILTER(Data!P:P, Data!B:B=A599))"),"")</f>
        <v/>
      </c>
      <c r="AM599" s="61"/>
      <c r="BC599" s="50"/>
    </row>
    <row r="600">
      <c r="A600" s="14"/>
      <c r="B600" s="55" t="str">
        <f>IFERROR(__xludf.DUMMYFUNCTION("IFERROR(ROUND(
(COUNTIF(FILTER(Data!O:O, Data!B:B=A600), ""Win"")
+ COUNTIF(FILTER(Data!O:O, Data!B:B=A600), {""Tie"",""Results""}))
/ (COUNTIF(Data!B:B, A600)),
1),"""")"),"")</f>
        <v/>
      </c>
      <c r="C600" s="45" t="str">
        <f>IFERROR((SUMIF(Data!B:B, A600, Data!H:H)
/ (COUNTIF(Data!B:B, A600)
)),"")</f>
        <v/>
      </c>
      <c r="D600" s="45" t="str">
        <f>IFERROR((SUMIF(Data!B:B, A600, Data!G:G)
/ (COUNTIF(Data!B:B, A600)
)),"")</f>
        <v/>
      </c>
      <c r="E600" s="45"/>
      <c r="F600" s="45" t="str">
        <f>IFERROR((SUMIF(Data!B:B, A600, Data!J:J)
/ (COUNTIF(Data!B:B, A600)
)),"")</f>
        <v/>
      </c>
      <c r="G600" s="56" t="str">
        <f>IF(A600="","",IFERROR((((((SUMIF(Data!B:B, A600, Data!H:H)+(SUMIF(Data!B:B, A600,Data!G:G)))/(SUMIF(Data!B:B, A600, Data!J:J)))))),0))</f>
        <v/>
      </c>
      <c r="H600" s="45"/>
      <c r="I600" s="45"/>
      <c r="J600" s="45"/>
      <c r="K600" s="45"/>
      <c r="L600" s="45" t="str">
        <f>IFERROR((SUMIF(Data!B:B, A600, Data!L:L)
/ (COUNTIF(Data!B:B, A600)
)),"")</f>
        <v/>
      </c>
      <c r="M600" s="45" t="str">
        <f>IFERROR((SUMIF(Data!B:B, A600, Data!K:K)
/ (COUNTIF(Data!B:B, A600)
)),"")</f>
        <v/>
      </c>
      <c r="N600" s="56"/>
      <c r="O600" s="56" t="str">
        <f>IF(A600="","",IFERROR((((((SUMIF(Data!B:B, A600, Data!H:H)+(SUMIF(Data!B:B, A600,Data!G:G)+(SUMIF(Data!B:B, A600,Data!L:L)+(SUMIF(Data!B:B, A600,Data!K:K)))))/(SUMIF(Data!B:B, A600, Data!M:M)+(SUMIF(Data!B:B, A600, Data!H:H)+(SUMIF(Data!B:B, A600,Data!G:G)+(SUMIF(Data!B:B, A600,Data!K:K)+(SUMIF(Data!B:B, A600,Data!L:L)))))))))),0))</f>
        <v/>
      </c>
      <c r="P600" s="57" t="str">
        <f>IFERROR(__xludf.DUMMYFUNCTION("IFERROR(((COUNTIF(FILTER(Data!N:N,Data!B:B=A600),""TRAVERSE"")*15)+(COUNTIF(FILTER(Data!N:N,Data!B:B=A600),""HIGH"")*10)+(COUNTIF(FILTER(Data!N:N,Data!B:B=A600),""MIDDLE"")*6)+(COUNTIF(FILTER(Data!N:N,Data!B:B=A600),""LOW"")*4)) / (COUNTIF(Data!B:B, A600)"&amp;"),"""")"),"")</f>
        <v/>
      </c>
      <c r="Q600" s="58"/>
      <c r="R600" s="58"/>
      <c r="S600" s="58" t="str">
        <f>IFERROR(__xludf.DUMMYFUNCTION("IFERROR((((COUNTIF(FILTER(Data!N:N,Data!B:B=A600),""TRAVERSE""))+(COUNTIF(FILTER(Data!N:N,Data!B:B=A600),""HIGH""))+(COUNTIF(FILTER(Data!N:N,Data!B:B=A600),""MIDDLE""))+(COUNTIF(FILTER(Data!N:N,Data!B:B=A600),""LOW"")))) / (((COUNTIF(Data!B:B, A600)))-(CO"&amp;"UNTIF(FILTER(Data!N:N,Data!B:B=A600),""NONE""))),IF(ISBLANK(A600),"""",0))"),"")</f>
        <v/>
      </c>
      <c r="T600" s="56" t="str">
        <f>IFERROR(__xludf.DUMMYFUNCTION("IFERROR((COUNTIF(FILTER(Data!N:N, Data!B:B=A600),""LOW"")) / (COUNTIF(Data!B:B, A600)),"""")"),"")</f>
        <v/>
      </c>
      <c r="U600" s="59" t="str">
        <f>IFERROR(__xludf.DUMMYFUNCTION("IFERROR((COUNTIF(FILTER(Data!N:N, Data!B:B=A600),""MIDDLE"")) / (COUNTIF(Data!B:B, A600)),"""")"),"")</f>
        <v/>
      </c>
      <c r="V600" s="59" t="str">
        <f>IFERROR(__xludf.DUMMYFUNCTION("IFERROR((COUNTIF(FILTER(Data!N:N, Data!B:B=A600),""HIGH"")) / (COUNTIF(Data!B:B, A600)),"""")"),"")</f>
        <v/>
      </c>
      <c r="W600" s="59" t="str">
        <f>IFERROR(__xludf.DUMMYFUNCTION("IFERROR((COUNTIF(FILTER(Data!N:N, Data!B:B=A600),""TRAVERSE"")) / (COUNTIF(Data!B:B, A600)),"""")"),"")</f>
        <v/>
      </c>
      <c r="X600" s="59"/>
      <c r="Y600" s="45" t="str">
        <f t="shared" si="7"/>
        <v/>
      </c>
      <c r="Z600" s="45" t="str">
        <f t="shared" si="8"/>
        <v/>
      </c>
      <c r="AA600" s="16" t="str">
        <f t="shared" si="9"/>
        <v/>
      </c>
      <c r="AB600" s="16"/>
      <c r="AC600" s="16"/>
      <c r="AD600" s="16"/>
      <c r="AE600" s="16" t="str">
        <f t="shared" si="12"/>
        <v/>
      </c>
      <c r="AF600" s="16" t="str">
        <f t="shared" si="13"/>
        <v/>
      </c>
      <c r="AG600" s="44"/>
      <c r="AH600" s="44"/>
      <c r="AI600" s="44" t="str">
        <f>IFERROR(__xludf.DUMMYFUNCTION("TEXTJOIN("", "",TRUE, FILTER(Data!P:P, Data!B:B=A600))"),"")</f>
        <v/>
      </c>
      <c r="AM600" s="61"/>
      <c r="BC600" s="50"/>
    </row>
    <row r="601">
      <c r="A601" s="14"/>
      <c r="B601" s="55" t="str">
        <f>IFERROR(__xludf.DUMMYFUNCTION("IFERROR(ROUND(
(COUNTIF(FILTER(Data!O:O, Data!B:B=A601), ""Win"")
+ COUNTIF(FILTER(Data!O:O, Data!B:B=A601), {""Tie"",""Results""}))
/ (COUNTIF(Data!B:B, A601)),
1),"""")"),"")</f>
        <v/>
      </c>
      <c r="C601" s="45" t="str">
        <f>IFERROR((SUMIF(Data!B:B, A601, Data!H:H)
/ (COUNTIF(Data!B:B, A601)
)),"")</f>
        <v/>
      </c>
      <c r="D601" s="45" t="str">
        <f>IFERROR((SUMIF(Data!B:B, A601, Data!G:G)
/ (COUNTIF(Data!B:B, A601)
)),"")</f>
        <v/>
      </c>
      <c r="E601" s="45"/>
      <c r="F601" s="45" t="str">
        <f>IFERROR((SUMIF(Data!B:B, A601, Data!J:J)
/ (COUNTIF(Data!B:B, A601)
)),"")</f>
        <v/>
      </c>
      <c r="G601" s="56" t="str">
        <f>IF(A601="","",IFERROR((((((SUMIF(Data!B:B, A601, Data!H:H)+(SUMIF(Data!B:B, A601,Data!G:G)))/(SUMIF(Data!B:B, A601, Data!J:J)))))),0))</f>
        <v/>
      </c>
      <c r="H601" s="45"/>
      <c r="I601" s="45"/>
      <c r="J601" s="45"/>
      <c r="K601" s="45"/>
      <c r="L601" s="45" t="str">
        <f>IFERROR((SUMIF(Data!B:B, A601, Data!L:L)
/ (COUNTIF(Data!B:B, A601)
)),"")</f>
        <v/>
      </c>
      <c r="M601" s="45" t="str">
        <f>IFERROR((SUMIF(Data!B:B, A601, Data!K:K)
/ (COUNTIF(Data!B:B, A601)
)),"")</f>
        <v/>
      </c>
      <c r="N601" s="56"/>
      <c r="O601" s="56" t="str">
        <f>IF(A601="","",IFERROR((((((SUMIF(Data!B:B, A601, Data!H:H)+(SUMIF(Data!B:B, A601,Data!G:G)+(SUMIF(Data!B:B, A601,Data!L:L)+(SUMIF(Data!B:B, A601,Data!K:K)))))/(SUMIF(Data!B:B, A601, Data!M:M)+(SUMIF(Data!B:B, A601, Data!H:H)+(SUMIF(Data!B:B, A601,Data!G:G)+(SUMIF(Data!B:B, A601,Data!K:K)+(SUMIF(Data!B:B, A601,Data!L:L)))))))))),0))</f>
        <v/>
      </c>
      <c r="P601" s="57" t="str">
        <f>IFERROR(__xludf.DUMMYFUNCTION("IFERROR(((COUNTIF(FILTER(Data!N:N,Data!B:B=A601),""TRAVERSE"")*15)+(COUNTIF(FILTER(Data!N:N,Data!B:B=A601),""HIGH"")*10)+(COUNTIF(FILTER(Data!N:N,Data!B:B=A601),""MIDDLE"")*6)+(COUNTIF(FILTER(Data!N:N,Data!B:B=A601),""LOW"")*4)) / (COUNTIF(Data!B:B, A601)"&amp;"),"""")"),"")</f>
        <v/>
      </c>
      <c r="Q601" s="58"/>
      <c r="R601" s="58"/>
      <c r="S601" s="58" t="str">
        <f>IFERROR(__xludf.DUMMYFUNCTION("IFERROR((((COUNTIF(FILTER(Data!N:N,Data!B:B=A601),""TRAVERSE""))+(COUNTIF(FILTER(Data!N:N,Data!B:B=A601),""HIGH""))+(COUNTIF(FILTER(Data!N:N,Data!B:B=A601),""MIDDLE""))+(COUNTIF(FILTER(Data!N:N,Data!B:B=A601),""LOW"")))) / (((COUNTIF(Data!B:B, A601)))-(CO"&amp;"UNTIF(FILTER(Data!N:N,Data!B:B=A601),""NONE""))),IF(ISBLANK(A601),"""",0))"),"")</f>
        <v/>
      </c>
      <c r="T601" s="56" t="str">
        <f>IFERROR(__xludf.DUMMYFUNCTION("IFERROR((COUNTIF(FILTER(Data!N:N, Data!B:B=A601),""LOW"")) / (COUNTIF(Data!B:B, A601)),"""")"),"")</f>
        <v/>
      </c>
      <c r="U601" s="59" t="str">
        <f>IFERROR(__xludf.DUMMYFUNCTION("IFERROR((COUNTIF(FILTER(Data!N:N, Data!B:B=A601),""MIDDLE"")) / (COUNTIF(Data!B:B, A601)),"""")"),"")</f>
        <v/>
      </c>
      <c r="V601" s="59" t="str">
        <f>IFERROR(__xludf.DUMMYFUNCTION("IFERROR((COUNTIF(FILTER(Data!N:N, Data!B:B=A601),""HIGH"")) / (COUNTIF(Data!B:B, A601)),"""")"),"")</f>
        <v/>
      </c>
      <c r="W601" s="59" t="str">
        <f>IFERROR(__xludf.DUMMYFUNCTION("IFERROR((COUNTIF(FILTER(Data!N:N, Data!B:B=A601),""TRAVERSE"")) / (COUNTIF(Data!B:B, A601)),"""")"),"")</f>
        <v/>
      </c>
      <c r="X601" s="59"/>
      <c r="Y601" s="45" t="str">
        <f t="shared" si="7"/>
        <v/>
      </c>
      <c r="Z601" s="45" t="str">
        <f t="shared" si="8"/>
        <v/>
      </c>
      <c r="AA601" s="16" t="str">
        <f t="shared" si="9"/>
        <v/>
      </c>
      <c r="AB601" s="16"/>
      <c r="AC601" s="16"/>
      <c r="AD601" s="16"/>
      <c r="AE601" s="16" t="str">
        <f t="shared" si="12"/>
        <v/>
      </c>
      <c r="AF601" s="16" t="str">
        <f t="shared" si="13"/>
        <v/>
      </c>
      <c r="AG601" s="44"/>
      <c r="AH601" s="44"/>
      <c r="AI601" s="44" t="str">
        <f>IFERROR(__xludf.DUMMYFUNCTION("TEXTJOIN("", "",TRUE, FILTER(Data!P:P, Data!B:B=A601))"),"")</f>
        <v/>
      </c>
      <c r="AM601" s="61"/>
      <c r="BC601" s="50"/>
    </row>
    <row r="602">
      <c r="A602" s="14"/>
      <c r="B602" s="55" t="str">
        <f>IFERROR(__xludf.DUMMYFUNCTION("IFERROR(ROUND(
(COUNTIF(FILTER(Data!O:O, Data!B:B=A602), ""Win"")
+ COUNTIF(FILTER(Data!O:O, Data!B:B=A602), {""Tie"",""Results""}))
/ (COUNTIF(Data!B:B, A602)),
1),"""")"),"")</f>
        <v/>
      </c>
      <c r="C602" s="45" t="str">
        <f>IFERROR((SUMIF(Data!B:B, A602, Data!H:H)
/ (COUNTIF(Data!B:B, A602)
)),"")</f>
        <v/>
      </c>
      <c r="D602" s="45" t="str">
        <f>IFERROR((SUMIF(Data!B:B, A602, Data!G:G)
/ (COUNTIF(Data!B:B, A602)
)),"")</f>
        <v/>
      </c>
      <c r="E602" s="45"/>
      <c r="F602" s="45" t="str">
        <f>IFERROR((SUMIF(Data!B:B, A602, Data!J:J)
/ (COUNTIF(Data!B:B, A602)
)),"")</f>
        <v/>
      </c>
      <c r="G602" s="56" t="str">
        <f>IF(A602="","",IFERROR((((((SUMIF(Data!B:B, A602, Data!H:H)+(SUMIF(Data!B:B, A602,Data!G:G)))/(SUMIF(Data!B:B, A602, Data!J:J)))))),0))</f>
        <v/>
      </c>
      <c r="H602" s="45"/>
      <c r="I602" s="45"/>
      <c r="J602" s="45"/>
      <c r="K602" s="45"/>
      <c r="L602" s="45" t="str">
        <f>IFERROR((SUMIF(Data!B:B, A602, Data!L:L)
/ (COUNTIF(Data!B:B, A602)
)),"")</f>
        <v/>
      </c>
      <c r="M602" s="45" t="str">
        <f>IFERROR((SUMIF(Data!B:B, A602, Data!K:K)
/ (COUNTIF(Data!B:B, A602)
)),"")</f>
        <v/>
      </c>
      <c r="N602" s="56"/>
      <c r="O602" s="56" t="str">
        <f>IF(A602="","",IFERROR((((((SUMIF(Data!B:B, A602, Data!H:H)+(SUMIF(Data!B:B, A602,Data!G:G)+(SUMIF(Data!B:B, A602,Data!L:L)+(SUMIF(Data!B:B, A602,Data!K:K)))))/(SUMIF(Data!B:B, A602, Data!M:M)+(SUMIF(Data!B:B, A602, Data!H:H)+(SUMIF(Data!B:B, A602,Data!G:G)+(SUMIF(Data!B:B, A602,Data!K:K)+(SUMIF(Data!B:B, A602,Data!L:L)))))))))),0))</f>
        <v/>
      </c>
      <c r="P602" s="57" t="str">
        <f>IFERROR(__xludf.DUMMYFUNCTION("IFERROR(((COUNTIF(FILTER(Data!N:N,Data!B:B=A602),""TRAVERSE"")*15)+(COUNTIF(FILTER(Data!N:N,Data!B:B=A602),""HIGH"")*10)+(COUNTIF(FILTER(Data!N:N,Data!B:B=A602),""MIDDLE"")*6)+(COUNTIF(FILTER(Data!N:N,Data!B:B=A602),""LOW"")*4)) / (COUNTIF(Data!B:B, A602)"&amp;"),"""")"),"")</f>
        <v/>
      </c>
      <c r="Q602" s="58"/>
      <c r="R602" s="58"/>
      <c r="S602" s="58" t="str">
        <f>IFERROR(__xludf.DUMMYFUNCTION("IFERROR((((COUNTIF(FILTER(Data!N:N,Data!B:B=A602),""TRAVERSE""))+(COUNTIF(FILTER(Data!N:N,Data!B:B=A602),""HIGH""))+(COUNTIF(FILTER(Data!N:N,Data!B:B=A602),""MIDDLE""))+(COUNTIF(FILTER(Data!N:N,Data!B:B=A602),""LOW"")))) / (((COUNTIF(Data!B:B, A602)))-(CO"&amp;"UNTIF(FILTER(Data!N:N,Data!B:B=A602),""NONE""))),IF(ISBLANK(A602),"""",0))"),"")</f>
        <v/>
      </c>
      <c r="T602" s="56" t="str">
        <f>IFERROR(__xludf.DUMMYFUNCTION("IFERROR((COUNTIF(FILTER(Data!N:N, Data!B:B=A602),""LOW"")) / (COUNTIF(Data!B:B, A602)),"""")"),"")</f>
        <v/>
      </c>
      <c r="U602" s="59" t="str">
        <f>IFERROR(__xludf.DUMMYFUNCTION("IFERROR((COUNTIF(FILTER(Data!N:N, Data!B:B=A602),""MIDDLE"")) / (COUNTIF(Data!B:B, A602)),"""")"),"")</f>
        <v/>
      </c>
      <c r="V602" s="59" t="str">
        <f>IFERROR(__xludf.DUMMYFUNCTION("IFERROR((COUNTIF(FILTER(Data!N:N, Data!B:B=A602),""HIGH"")) / (COUNTIF(Data!B:B, A602)),"""")"),"")</f>
        <v/>
      </c>
      <c r="W602" s="59" t="str">
        <f>IFERROR(__xludf.DUMMYFUNCTION("IFERROR((COUNTIF(FILTER(Data!N:N, Data!B:B=A602),""TRAVERSE"")) / (COUNTIF(Data!B:B, A602)),"""")"),"")</f>
        <v/>
      </c>
      <c r="X602" s="59"/>
      <c r="Y602" s="45" t="str">
        <f t="shared" si="7"/>
        <v/>
      </c>
      <c r="Z602" s="45" t="str">
        <f t="shared" si="8"/>
        <v/>
      </c>
      <c r="AA602" s="16" t="str">
        <f t="shared" si="9"/>
        <v/>
      </c>
      <c r="AB602" s="16"/>
      <c r="AC602" s="16"/>
      <c r="AD602" s="16"/>
      <c r="AE602" s="16" t="str">
        <f t="shared" si="12"/>
        <v/>
      </c>
      <c r="AF602" s="16" t="str">
        <f t="shared" si="13"/>
        <v/>
      </c>
      <c r="AG602" s="44"/>
      <c r="AH602" s="44"/>
      <c r="AI602" s="44" t="str">
        <f>IFERROR(__xludf.DUMMYFUNCTION("TEXTJOIN("", "",TRUE, FILTER(Data!P:P, Data!B:B=A602))"),"")</f>
        <v/>
      </c>
      <c r="AM602" s="61"/>
      <c r="BC602" s="50"/>
    </row>
    <row r="603">
      <c r="A603" s="14"/>
      <c r="B603" s="55" t="str">
        <f>IFERROR(__xludf.DUMMYFUNCTION("IFERROR(ROUND(
(COUNTIF(FILTER(Data!O:O, Data!B:B=A603), ""Win"")
+ COUNTIF(FILTER(Data!O:O, Data!B:B=A603), {""Tie"",""Results""}))
/ (COUNTIF(Data!B:B, A603)),
1),"""")"),"")</f>
        <v/>
      </c>
      <c r="C603" s="45" t="str">
        <f>IFERROR((SUMIF(Data!B:B, A603, Data!H:H)
/ (COUNTIF(Data!B:B, A603)
)),"")</f>
        <v/>
      </c>
      <c r="D603" s="45" t="str">
        <f>IFERROR((SUMIF(Data!B:B, A603, Data!G:G)
/ (COUNTIF(Data!B:B, A603)
)),"")</f>
        <v/>
      </c>
      <c r="E603" s="45"/>
      <c r="F603" s="45" t="str">
        <f>IFERROR((SUMIF(Data!B:B, A603, Data!J:J)
/ (COUNTIF(Data!B:B, A603)
)),"")</f>
        <v/>
      </c>
      <c r="G603" s="56" t="str">
        <f>IF(A603="","",IFERROR((((((SUMIF(Data!B:B, A603, Data!H:H)+(SUMIF(Data!B:B, A603,Data!G:G)))/(SUMIF(Data!B:B, A603, Data!J:J)))))),0))</f>
        <v/>
      </c>
      <c r="H603" s="45"/>
      <c r="I603" s="45"/>
      <c r="J603" s="45"/>
      <c r="K603" s="45"/>
      <c r="L603" s="45" t="str">
        <f>IFERROR((SUMIF(Data!B:B, A603, Data!L:L)
/ (COUNTIF(Data!B:B, A603)
)),"")</f>
        <v/>
      </c>
      <c r="M603" s="45" t="str">
        <f>IFERROR((SUMIF(Data!B:B, A603, Data!K:K)
/ (COUNTIF(Data!B:B, A603)
)),"")</f>
        <v/>
      </c>
      <c r="N603" s="56"/>
      <c r="O603" s="56" t="str">
        <f>IF(A603="","",IFERROR((((((SUMIF(Data!B:B, A603, Data!H:H)+(SUMIF(Data!B:B, A603,Data!G:G)+(SUMIF(Data!B:B, A603,Data!L:L)+(SUMIF(Data!B:B, A603,Data!K:K)))))/(SUMIF(Data!B:B, A603, Data!M:M)+(SUMIF(Data!B:B, A603, Data!H:H)+(SUMIF(Data!B:B, A603,Data!G:G)+(SUMIF(Data!B:B, A603,Data!K:K)+(SUMIF(Data!B:B, A603,Data!L:L)))))))))),0))</f>
        <v/>
      </c>
      <c r="P603" s="57" t="str">
        <f>IFERROR(__xludf.DUMMYFUNCTION("IFERROR(((COUNTIF(FILTER(Data!N:N,Data!B:B=A603),""TRAVERSE"")*15)+(COUNTIF(FILTER(Data!N:N,Data!B:B=A603),""HIGH"")*10)+(COUNTIF(FILTER(Data!N:N,Data!B:B=A603),""MIDDLE"")*6)+(COUNTIF(FILTER(Data!N:N,Data!B:B=A603),""LOW"")*4)) / (COUNTIF(Data!B:B, A603)"&amp;"),"""")"),"")</f>
        <v/>
      </c>
      <c r="Q603" s="58"/>
      <c r="R603" s="58"/>
      <c r="S603" s="58" t="str">
        <f>IFERROR(__xludf.DUMMYFUNCTION("IFERROR((((COUNTIF(FILTER(Data!N:N,Data!B:B=A603),""TRAVERSE""))+(COUNTIF(FILTER(Data!N:N,Data!B:B=A603),""HIGH""))+(COUNTIF(FILTER(Data!N:N,Data!B:B=A603),""MIDDLE""))+(COUNTIF(FILTER(Data!N:N,Data!B:B=A603),""LOW"")))) / (((COUNTIF(Data!B:B, A603)))-(CO"&amp;"UNTIF(FILTER(Data!N:N,Data!B:B=A603),""NONE""))),IF(ISBLANK(A603),"""",0))"),"")</f>
        <v/>
      </c>
      <c r="T603" s="56" t="str">
        <f>IFERROR(__xludf.DUMMYFUNCTION("IFERROR((COUNTIF(FILTER(Data!N:N, Data!B:B=A603),""LOW"")) / (COUNTIF(Data!B:B, A603)),"""")"),"")</f>
        <v/>
      </c>
      <c r="U603" s="59" t="str">
        <f>IFERROR(__xludf.DUMMYFUNCTION("IFERROR((COUNTIF(FILTER(Data!N:N, Data!B:B=A603),""MIDDLE"")) / (COUNTIF(Data!B:B, A603)),"""")"),"")</f>
        <v/>
      </c>
      <c r="V603" s="59" t="str">
        <f>IFERROR(__xludf.DUMMYFUNCTION("IFERROR((COUNTIF(FILTER(Data!N:N, Data!B:B=A603),""HIGH"")) / (COUNTIF(Data!B:B, A603)),"""")"),"")</f>
        <v/>
      </c>
      <c r="W603" s="59" t="str">
        <f>IFERROR(__xludf.DUMMYFUNCTION("IFERROR((COUNTIF(FILTER(Data!N:N, Data!B:B=A603),""TRAVERSE"")) / (COUNTIF(Data!B:B, A603)),"""")"),"")</f>
        <v/>
      </c>
      <c r="X603" s="59"/>
      <c r="Y603" s="45" t="str">
        <f t="shared" si="7"/>
        <v/>
      </c>
      <c r="Z603" s="45" t="str">
        <f t="shared" si="8"/>
        <v/>
      </c>
      <c r="AA603" s="16" t="str">
        <f t="shared" si="9"/>
        <v/>
      </c>
      <c r="AB603" s="16"/>
      <c r="AC603" s="16"/>
      <c r="AD603" s="16"/>
      <c r="AE603" s="16" t="str">
        <f t="shared" si="12"/>
        <v/>
      </c>
      <c r="AF603" s="16" t="str">
        <f t="shared" si="13"/>
        <v/>
      </c>
      <c r="AG603" s="44"/>
      <c r="AH603" s="44"/>
      <c r="AI603" s="44" t="str">
        <f>IFERROR(__xludf.DUMMYFUNCTION("TEXTJOIN("", "",TRUE, FILTER(Data!P:P, Data!B:B=A603))"),"")</f>
        <v/>
      </c>
      <c r="AM603" s="61"/>
      <c r="BC603" s="50"/>
    </row>
    <row r="604">
      <c r="A604" s="14"/>
      <c r="B604" s="55" t="str">
        <f>IFERROR(__xludf.DUMMYFUNCTION("IFERROR(ROUND(
(COUNTIF(FILTER(Data!O:O, Data!B:B=A604), ""Win"")
+ COUNTIF(FILTER(Data!O:O, Data!B:B=A604), {""Tie"",""Results""}))
/ (COUNTIF(Data!B:B, A604)),
1),"""")"),"")</f>
        <v/>
      </c>
      <c r="C604" s="45" t="str">
        <f>IFERROR((SUMIF(Data!B:B, A604, Data!H:H)
/ (COUNTIF(Data!B:B, A604)
)),"")</f>
        <v/>
      </c>
      <c r="D604" s="45" t="str">
        <f>IFERROR((SUMIF(Data!B:B, A604, Data!G:G)
/ (COUNTIF(Data!B:B, A604)
)),"")</f>
        <v/>
      </c>
      <c r="E604" s="45"/>
      <c r="F604" s="45" t="str">
        <f>IFERROR((SUMIF(Data!B:B, A604, Data!J:J)
/ (COUNTIF(Data!B:B, A604)
)),"")</f>
        <v/>
      </c>
      <c r="G604" s="56" t="str">
        <f>IF(A604="","",IFERROR((((((SUMIF(Data!B:B, A604, Data!H:H)+(SUMIF(Data!B:B, A604,Data!G:G)))/(SUMIF(Data!B:B, A604, Data!J:J)))))),0))</f>
        <v/>
      </c>
      <c r="H604" s="45"/>
      <c r="I604" s="45"/>
      <c r="J604" s="45"/>
      <c r="K604" s="45"/>
      <c r="L604" s="45" t="str">
        <f>IFERROR((SUMIF(Data!B:B, A604, Data!L:L)
/ (COUNTIF(Data!B:B, A604)
)),"")</f>
        <v/>
      </c>
      <c r="M604" s="45" t="str">
        <f>IFERROR((SUMIF(Data!B:B, A604, Data!K:K)
/ (COUNTIF(Data!B:B, A604)
)),"")</f>
        <v/>
      </c>
      <c r="N604" s="56"/>
      <c r="O604" s="56" t="str">
        <f>IF(A604="","",IFERROR((((((SUMIF(Data!B:B, A604, Data!H:H)+(SUMIF(Data!B:B, A604,Data!G:G)+(SUMIF(Data!B:B, A604,Data!L:L)+(SUMIF(Data!B:B, A604,Data!K:K)))))/(SUMIF(Data!B:B, A604, Data!M:M)+(SUMIF(Data!B:B, A604, Data!H:H)+(SUMIF(Data!B:B, A604,Data!G:G)+(SUMIF(Data!B:B, A604,Data!K:K)+(SUMIF(Data!B:B, A604,Data!L:L)))))))))),0))</f>
        <v/>
      </c>
      <c r="P604" s="57" t="str">
        <f>IFERROR(__xludf.DUMMYFUNCTION("IFERROR(((COUNTIF(FILTER(Data!N:N,Data!B:B=A604),""TRAVERSE"")*15)+(COUNTIF(FILTER(Data!N:N,Data!B:B=A604),""HIGH"")*10)+(COUNTIF(FILTER(Data!N:N,Data!B:B=A604),""MIDDLE"")*6)+(COUNTIF(FILTER(Data!N:N,Data!B:B=A604),""LOW"")*4)) / (COUNTIF(Data!B:B, A604)"&amp;"),"""")"),"")</f>
        <v/>
      </c>
      <c r="Q604" s="58"/>
      <c r="R604" s="58"/>
      <c r="S604" s="58" t="str">
        <f>IFERROR(__xludf.DUMMYFUNCTION("IFERROR((((COUNTIF(FILTER(Data!N:N,Data!B:B=A604),""TRAVERSE""))+(COUNTIF(FILTER(Data!N:N,Data!B:B=A604),""HIGH""))+(COUNTIF(FILTER(Data!N:N,Data!B:B=A604),""MIDDLE""))+(COUNTIF(FILTER(Data!N:N,Data!B:B=A604),""LOW"")))) / (((COUNTIF(Data!B:B, A604)))-(CO"&amp;"UNTIF(FILTER(Data!N:N,Data!B:B=A604),""NONE""))),IF(ISBLANK(A604),"""",0))"),"")</f>
        <v/>
      </c>
      <c r="T604" s="56" t="str">
        <f>IFERROR(__xludf.DUMMYFUNCTION("IFERROR((COUNTIF(FILTER(Data!N:N, Data!B:B=A604),""LOW"")) / (COUNTIF(Data!B:B, A604)),"""")"),"")</f>
        <v/>
      </c>
      <c r="U604" s="59" t="str">
        <f>IFERROR(__xludf.DUMMYFUNCTION("IFERROR((COUNTIF(FILTER(Data!N:N, Data!B:B=A604),""MIDDLE"")) / (COUNTIF(Data!B:B, A604)),"""")"),"")</f>
        <v/>
      </c>
      <c r="V604" s="59" t="str">
        <f>IFERROR(__xludf.DUMMYFUNCTION("IFERROR((COUNTIF(FILTER(Data!N:N, Data!B:B=A604),""HIGH"")) / (COUNTIF(Data!B:B, A604)),"""")"),"")</f>
        <v/>
      </c>
      <c r="W604" s="59" t="str">
        <f>IFERROR(__xludf.DUMMYFUNCTION("IFERROR((COUNTIF(FILTER(Data!N:N, Data!B:B=A604),""TRAVERSE"")) / (COUNTIF(Data!B:B, A604)),"""")"),"")</f>
        <v/>
      </c>
      <c r="X604" s="59"/>
      <c r="Y604" s="45" t="str">
        <f t="shared" si="7"/>
        <v/>
      </c>
      <c r="Z604" s="45" t="str">
        <f t="shared" si="8"/>
        <v/>
      </c>
      <c r="AA604" s="16" t="str">
        <f t="shared" si="9"/>
        <v/>
      </c>
      <c r="AB604" s="16"/>
      <c r="AC604" s="16"/>
      <c r="AD604" s="16"/>
      <c r="AE604" s="16" t="str">
        <f t="shared" si="12"/>
        <v/>
      </c>
      <c r="AF604" s="16" t="str">
        <f t="shared" si="13"/>
        <v/>
      </c>
      <c r="AG604" s="44"/>
      <c r="AH604" s="44"/>
      <c r="AI604" s="44" t="str">
        <f>IFERROR(__xludf.DUMMYFUNCTION("TEXTJOIN("", "",TRUE, FILTER(Data!P:P, Data!B:B=A604))"),"")</f>
        <v/>
      </c>
      <c r="AM604" s="61"/>
      <c r="BC604" s="50"/>
    </row>
    <row r="605">
      <c r="A605" s="14"/>
      <c r="B605" s="55" t="str">
        <f>IFERROR(__xludf.DUMMYFUNCTION("IFERROR(ROUND(
(COUNTIF(FILTER(Data!O:O, Data!B:B=A605), ""Win"")
+ COUNTIF(FILTER(Data!O:O, Data!B:B=A605), {""Tie"",""Results""}))
/ (COUNTIF(Data!B:B, A605)),
1),"""")"),"")</f>
        <v/>
      </c>
      <c r="C605" s="45" t="str">
        <f>IFERROR((SUMIF(Data!B:B, A605, Data!H:H)
/ (COUNTIF(Data!B:B, A605)
)),"")</f>
        <v/>
      </c>
      <c r="D605" s="45" t="str">
        <f>IFERROR((SUMIF(Data!B:B, A605, Data!G:G)
/ (COUNTIF(Data!B:B, A605)
)),"")</f>
        <v/>
      </c>
      <c r="E605" s="45"/>
      <c r="F605" s="45" t="str">
        <f>IFERROR((SUMIF(Data!B:B, A605, Data!J:J)
/ (COUNTIF(Data!B:B, A605)
)),"")</f>
        <v/>
      </c>
      <c r="G605" s="56" t="str">
        <f>IF(A605="","",IFERROR((((((SUMIF(Data!B:B, A605, Data!H:H)+(SUMIF(Data!B:B, A605,Data!G:G)))/(SUMIF(Data!B:B, A605, Data!J:J)))))),0))</f>
        <v/>
      </c>
      <c r="H605" s="45"/>
      <c r="I605" s="45"/>
      <c r="J605" s="45"/>
      <c r="K605" s="45"/>
      <c r="L605" s="45" t="str">
        <f>IFERROR((SUMIF(Data!B:B, A605, Data!L:L)
/ (COUNTIF(Data!B:B, A605)
)),"")</f>
        <v/>
      </c>
      <c r="M605" s="45" t="str">
        <f>IFERROR((SUMIF(Data!B:B, A605, Data!K:K)
/ (COUNTIF(Data!B:B, A605)
)),"")</f>
        <v/>
      </c>
      <c r="N605" s="56"/>
      <c r="O605" s="56" t="str">
        <f>IF(A605="","",IFERROR((((((SUMIF(Data!B:B, A605, Data!H:H)+(SUMIF(Data!B:B, A605,Data!G:G)+(SUMIF(Data!B:B, A605,Data!L:L)+(SUMIF(Data!B:B, A605,Data!K:K)))))/(SUMIF(Data!B:B, A605, Data!M:M)+(SUMIF(Data!B:B, A605, Data!H:H)+(SUMIF(Data!B:B, A605,Data!G:G)+(SUMIF(Data!B:B, A605,Data!K:K)+(SUMIF(Data!B:B, A605,Data!L:L)))))))))),0))</f>
        <v/>
      </c>
      <c r="P605" s="57" t="str">
        <f>IFERROR(__xludf.DUMMYFUNCTION("IFERROR(((COUNTIF(FILTER(Data!N:N,Data!B:B=A605),""TRAVERSE"")*15)+(COUNTIF(FILTER(Data!N:N,Data!B:B=A605),""HIGH"")*10)+(COUNTIF(FILTER(Data!N:N,Data!B:B=A605),""MIDDLE"")*6)+(COUNTIF(FILTER(Data!N:N,Data!B:B=A605),""LOW"")*4)) / (COUNTIF(Data!B:B, A605)"&amp;"),"""")"),"")</f>
        <v/>
      </c>
      <c r="Q605" s="58"/>
      <c r="R605" s="58"/>
      <c r="S605" s="58" t="str">
        <f>IFERROR(__xludf.DUMMYFUNCTION("IFERROR((((COUNTIF(FILTER(Data!N:N,Data!B:B=A605),""TRAVERSE""))+(COUNTIF(FILTER(Data!N:N,Data!B:B=A605),""HIGH""))+(COUNTIF(FILTER(Data!N:N,Data!B:B=A605),""MIDDLE""))+(COUNTIF(FILTER(Data!N:N,Data!B:B=A605),""LOW"")))) / (((COUNTIF(Data!B:B, A605)))-(CO"&amp;"UNTIF(FILTER(Data!N:N,Data!B:B=A605),""NONE""))),IF(ISBLANK(A605),"""",0))"),"")</f>
        <v/>
      </c>
      <c r="T605" s="56" t="str">
        <f>IFERROR(__xludf.DUMMYFUNCTION("IFERROR((COUNTIF(FILTER(Data!N:N, Data!B:B=A605),""LOW"")) / (COUNTIF(Data!B:B, A605)),"""")"),"")</f>
        <v/>
      </c>
      <c r="U605" s="59" t="str">
        <f>IFERROR(__xludf.DUMMYFUNCTION("IFERROR((COUNTIF(FILTER(Data!N:N, Data!B:B=A605),""MIDDLE"")) / (COUNTIF(Data!B:B, A605)),"""")"),"")</f>
        <v/>
      </c>
      <c r="V605" s="59" t="str">
        <f>IFERROR(__xludf.DUMMYFUNCTION("IFERROR((COUNTIF(FILTER(Data!N:N, Data!B:B=A605),""HIGH"")) / (COUNTIF(Data!B:B, A605)),"""")"),"")</f>
        <v/>
      </c>
      <c r="W605" s="59" t="str">
        <f>IFERROR(__xludf.DUMMYFUNCTION("IFERROR((COUNTIF(FILTER(Data!N:N, Data!B:B=A605),""TRAVERSE"")) / (COUNTIF(Data!B:B, A605)),"""")"),"")</f>
        <v/>
      </c>
      <c r="X605" s="59"/>
      <c r="Y605" s="45" t="str">
        <f t="shared" si="7"/>
        <v/>
      </c>
      <c r="Z605" s="45" t="str">
        <f t="shared" si="8"/>
        <v/>
      </c>
      <c r="AA605" s="16" t="str">
        <f t="shared" si="9"/>
        <v/>
      </c>
      <c r="AB605" s="16"/>
      <c r="AC605" s="16"/>
      <c r="AD605" s="16"/>
      <c r="AE605" s="16" t="str">
        <f t="shared" si="12"/>
        <v/>
      </c>
      <c r="AF605" s="16" t="str">
        <f t="shared" si="13"/>
        <v/>
      </c>
      <c r="AG605" s="44"/>
      <c r="AH605" s="44"/>
      <c r="AI605" s="44" t="str">
        <f>IFERROR(__xludf.DUMMYFUNCTION("TEXTJOIN("", "",TRUE, FILTER(Data!P:P, Data!B:B=A605))"),"")</f>
        <v/>
      </c>
      <c r="AM605" s="61"/>
      <c r="BC605" s="50"/>
    </row>
    <row r="606">
      <c r="A606" s="14"/>
      <c r="B606" s="55" t="str">
        <f>IFERROR(__xludf.DUMMYFUNCTION("IFERROR(ROUND(
(COUNTIF(FILTER(Data!O:O, Data!B:B=A606), ""Win"")
+ COUNTIF(FILTER(Data!O:O, Data!B:B=A606), {""Tie"",""Results""}))
/ (COUNTIF(Data!B:B, A606)),
1),"""")"),"")</f>
        <v/>
      </c>
      <c r="C606" s="45" t="str">
        <f>IFERROR((SUMIF(Data!B:B, A606, Data!H:H)
/ (COUNTIF(Data!B:B, A606)
)),"")</f>
        <v/>
      </c>
      <c r="D606" s="45" t="str">
        <f>IFERROR((SUMIF(Data!B:B, A606, Data!G:G)
/ (COUNTIF(Data!B:B, A606)
)),"")</f>
        <v/>
      </c>
      <c r="E606" s="45"/>
      <c r="F606" s="45" t="str">
        <f>IFERROR((SUMIF(Data!B:B, A606, Data!J:J)
/ (COUNTIF(Data!B:B, A606)
)),"")</f>
        <v/>
      </c>
      <c r="G606" s="56" t="str">
        <f>IF(A606="","",IFERROR((((((SUMIF(Data!B:B, A606, Data!H:H)+(SUMIF(Data!B:B, A606,Data!G:G)))/(SUMIF(Data!B:B, A606, Data!J:J)))))),0))</f>
        <v/>
      </c>
      <c r="H606" s="45"/>
      <c r="I606" s="45"/>
      <c r="J606" s="45"/>
      <c r="K606" s="45"/>
      <c r="L606" s="45" t="str">
        <f>IFERROR((SUMIF(Data!B:B, A606, Data!L:L)
/ (COUNTIF(Data!B:B, A606)
)),"")</f>
        <v/>
      </c>
      <c r="M606" s="45" t="str">
        <f>IFERROR((SUMIF(Data!B:B, A606, Data!K:K)
/ (COUNTIF(Data!B:B, A606)
)),"")</f>
        <v/>
      </c>
      <c r="N606" s="56"/>
      <c r="O606" s="56" t="str">
        <f>IF(A606="","",IFERROR((((((SUMIF(Data!B:B, A606, Data!H:H)+(SUMIF(Data!B:B, A606,Data!G:G)+(SUMIF(Data!B:B, A606,Data!L:L)+(SUMIF(Data!B:B, A606,Data!K:K)))))/(SUMIF(Data!B:B, A606, Data!M:M)+(SUMIF(Data!B:B, A606, Data!H:H)+(SUMIF(Data!B:B, A606,Data!G:G)+(SUMIF(Data!B:B, A606,Data!K:K)+(SUMIF(Data!B:B, A606,Data!L:L)))))))))),0))</f>
        <v/>
      </c>
      <c r="P606" s="57" t="str">
        <f>IFERROR(__xludf.DUMMYFUNCTION("IFERROR(((COUNTIF(FILTER(Data!N:N,Data!B:B=A606),""TRAVERSE"")*15)+(COUNTIF(FILTER(Data!N:N,Data!B:B=A606),""HIGH"")*10)+(COUNTIF(FILTER(Data!N:N,Data!B:B=A606),""MIDDLE"")*6)+(COUNTIF(FILTER(Data!N:N,Data!B:B=A606),""LOW"")*4)) / (COUNTIF(Data!B:B, A606)"&amp;"),"""")"),"")</f>
        <v/>
      </c>
      <c r="Q606" s="58"/>
      <c r="R606" s="58"/>
      <c r="S606" s="58" t="str">
        <f>IFERROR(__xludf.DUMMYFUNCTION("IFERROR((((COUNTIF(FILTER(Data!N:N,Data!B:B=A606),""TRAVERSE""))+(COUNTIF(FILTER(Data!N:N,Data!B:B=A606),""HIGH""))+(COUNTIF(FILTER(Data!N:N,Data!B:B=A606),""MIDDLE""))+(COUNTIF(FILTER(Data!N:N,Data!B:B=A606),""LOW"")))) / (((COUNTIF(Data!B:B, A606)))-(CO"&amp;"UNTIF(FILTER(Data!N:N,Data!B:B=A606),""NONE""))),IF(ISBLANK(A606),"""",0))"),"")</f>
        <v/>
      </c>
      <c r="T606" s="56" t="str">
        <f>IFERROR(__xludf.DUMMYFUNCTION("IFERROR((COUNTIF(FILTER(Data!N:N, Data!B:B=A606),""LOW"")) / (COUNTIF(Data!B:B, A606)),"""")"),"")</f>
        <v/>
      </c>
      <c r="U606" s="59" t="str">
        <f>IFERROR(__xludf.DUMMYFUNCTION("IFERROR((COUNTIF(FILTER(Data!N:N, Data!B:B=A606),""MIDDLE"")) / (COUNTIF(Data!B:B, A606)),"""")"),"")</f>
        <v/>
      </c>
      <c r="V606" s="59" t="str">
        <f>IFERROR(__xludf.DUMMYFUNCTION("IFERROR((COUNTIF(FILTER(Data!N:N, Data!B:B=A606),""HIGH"")) / (COUNTIF(Data!B:B, A606)),"""")"),"")</f>
        <v/>
      </c>
      <c r="W606" s="59" t="str">
        <f>IFERROR(__xludf.DUMMYFUNCTION("IFERROR((COUNTIF(FILTER(Data!N:N, Data!B:B=A606),""TRAVERSE"")) / (COUNTIF(Data!B:B, A606)),"""")"),"")</f>
        <v/>
      </c>
      <c r="X606" s="59"/>
      <c r="Y606" s="45" t="str">
        <f t="shared" si="7"/>
        <v/>
      </c>
      <c r="Z606" s="45" t="str">
        <f t="shared" si="8"/>
        <v/>
      </c>
      <c r="AA606" s="16" t="str">
        <f t="shared" si="9"/>
        <v/>
      </c>
      <c r="AB606" s="16"/>
      <c r="AC606" s="16"/>
      <c r="AD606" s="16"/>
      <c r="AE606" s="16" t="str">
        <f t="shared" si="12"/>
        <v/>
      </c>
      <c r="AF606" s="16" t="str">
        <f t="shared" si="13"/>
        <v/>
      </c>
      <c r="AG606" s="44"/>
      <c r="AH606" s="44"/>
      <c r="AI606" s="44" t="str">
        <f>IFERROR(__xludf.DUMMYFUNCTION("TEXTJOIN("", "",TRUE, FILTER(Data!P:P, Data!B:B=A606))"),"")</f>
        <v/>
      </c>
      <c r="AM606" s="61"/>
      <c r="BC606" s="50"/>
    </row>
    <row r="607">
      <c r="A607" s="14"/>
      <c r="B607" s="55" t="str">
        <f>IFERROR(__xludf.DUMMYFUNCTION("IFERROR(ROUND(
(COUNTIF(FILTER(Data!O:O, Data!B:B=A607), ""Win"")
+ COUNTIF(FILTER(Data!O:O, Data!B:B=A607), {""Tie"",""Results""}))
/ (COUNTIF(Data!B:B, A607)),
1),"""")"),"")</f>
        <v/>
      </c>
      <c r="C607" s="45" t="str">
        <f>IFERROR((SUMIF(Data!B:B, A607, Data!H:H)
/ (COUNTIF(Data!B:B, A607)
)),"")</f>
        <v/>
      </c>
      <c r="D607" s="45" t="str">
        <f>IFERROR((SUMIF(Data!B:B, A607, Data!G:G)
/ (COUNTIF(Data!B:B, A607)
)),"")</f>
        <v/>
      </c>
      <c r="E607" s="45"/>
      <c r="F607" s="45" t="str">
        <f>IFERROR((SUMIF(Data!B:B, A607, Data!J:J)
/ (COUNTIF(Data!B:B, A607)
)),"")</f>
        <v/>
      </c>
      <c r="G607" s="56" t="str">
        <f>IF(A607="","",IFERROR((((((SUMIF(Data!B:B, A607, Data!H:H)+(SUMIF(Data!B:B, A607,Data!G:G)))/(SUMIF(Data!B:B, A607, Data!J:J)))))),0))</f>
        <v/>
      </c>
      <c r="H607" s="45"/>
      <c r="I607" s="45"/>
      <c r="J607" s="45"/>
      <c r="K607" s="45"/>
      <c r="L607" s="45" t="str">
        <f>IFERROR((SUMIF(Data!B:B, A607, Data!L:L)
/ (COUNTIF(Data!B:B, A607)
)),"")</f>
        <v/>
      </c>
      <c r="M607" s="45" t="str">
        <f>IFERROR((SUMIF(Data!B:B, A607, Data!K:K)
/ (COUNTIF(Data!B:B, A607)
)),"")</f>
        <v/>
      </c>
      <c r="N607" s="56"/>
      <c r="O607" s="56" t="str">
        <f>IF(A607="","",IFERROR((((((SUMIF(Data!B:B, A607, Data!H:H)+(SUMIF(Data!B:B, A607,Data!G:G)+(SUMIF(Data!B:B, A607,Data!L:L)+(SUMIF(Data!B:B, A607,Data!K:K)))))/(SUMIF(Data!B:B, A607, Data!M:M)+(SUMIF(Data!B:B, A607, Data!H:H)+(SUMIF(Data!B:B, A607,Data!G:G)+(SUMIF(Data!B:B, A607,Data!K:K)+(SUMIF(Data!B:B, A607,Data!L:L)))))))))),0))</f>
        <v/>
      </c>
      <c r="P607" s="57" t="str">
        <f>IFERROR(__xludf.DUMMYFUNCTION("IFERROR(((COUNTIF(FILTER(Data!N:N,Data!B:B=A607),""TRAVERSE"")*15)+(COUNTIF(FILTER(Data!N:N,Data!B:B=A607),""HIGH"")*10)+(COUNTIF(FILTER(Data!N:N,Data!B:B=A607),""MIDDLE"")*6)+(COUNTIF(FILTER(Data!N:N,Data!B:B=A607),""LOW"")*4)) / (COUNTIF(Data!B:B, A607)"&amp;"),"""")"),"")</f>
        <v/>
      </c>
      <c r="Q607" s="58"/>
      <c r="R607" s="58"/>
      <c r="S607" s="58" t="str">
        <f>IFERROR(__xludf.DUMMYFUNCTION("IFERROR((((COUNTIF(FILTER(Data!N:N,Data!B:B=A607),""TRAVERSE""))+(COUNTIF(FILTER(Data!N:N,Data!B:B=A607),""HIGH""))+(COUNTIF(FILTER(Data!N:N,Data!B:B=A607),""MIDDLE""))+(COUNTIF(FILTER(Data!N:N,Data!B:B=A607),""LOW"")))) / (((COUNTIF(Data!B:B, A607)))-(CO"&amp;"UNTIF(FILTER(Data!N:N,Data!B:B=A607),""NONE""))),IF(ISBLANK(A607),"""",0))"),"")</f>
        <v/>
      </c>
      <c r="T607" s="56" t="str">
        <f>IFERROR(__xludf.DUMMYFUNCTION("IFERROR((COUNTIF(FILTER(Data!N:N, Data!B:B=A607),""LOW"")) / (COUNTIF(Data!B:B, A607)),"""")"),"")</f>
        <v/>
      </c>
      <c r="U607" s="59" t="str">
        <f>IFERROR(__xludf.DUMMYFUNCTION("IFERROR((COUNTIF(FILTER(Data!N:N, Data!B:B=A607),""MIDDLE"")) / (COUNTIF(Data!B:B, A607)),"""")"),"")</f>
        <v/>
      </c>
      <c r="V607" s="59" t="str">
        <f>IFERROR(__xludf.DUMMYFUNCTION("IFERROR((COUNTIF(FILTER(Data!N:N, Data!B:B=A607),""HIGH"")) / (COUNTIF(Data!B:B, A607)),"""")"),"")</f>
        <v/>
      </c>
      <c r="W607" s="59" t="str">
        <f>IFERROR(__xludf.DUMMYFUNCTION("IFERROR((COUNTIF(FILTER(Data!N:N, Data!B:B=A607),""TRAVERSE"")) / (COUNTIF(Data!B:B, A607)),"""")"),"")</f>
        <v/>
      </c>
      <c r="X607" s="59"/>
      <c r="Y607" s="45" t="str">
        <f t="shared" si="7"/>
        <v/>
      </c>
      <c r="Z607" s="45" t="str">
        <f t="shared" si="8"/>
        <v/>
      </c>
      <c r="AA607" s="16" t="str">
        <f t="shared" si="9"/>
        <v/>
      </c>
      <c r="AB607" s="16"/>
      <c r="AC607" s="16"/>
      <c r="AD607" s="16"/>
      <c r="AE607" s="16" t="str">
        <f t="shared" si="12"/>
        <v/>
      </c>
      <c r="AF607" s="16" t="str">
        <f t="shared" si="13"/>
        <v/>
      </c>
      <c r="AG607" s="44"/>
      <c r="AH607" s="44"/>
      <c r="AI607" s="44" t="str">
        <f>IFERROR(__xludf.DUMMYFUNCTION("TEXTJOIN("", "",TRUE, FILTER(Data!P:P, Data!B:B=A607))"),"")</f>
        <v/>
      </c>
      <c r="AM607" s="61"/>
      <c r="BC607" s="50"/>
    </row>
    <row r="608">
      <c r="A608" s="14"/>
      <c r="B608" s="55" t="str">
        <f>IFERROR(__xludf.DUMMYFUNCTION("IFERROR(ROUND(
(COUNTIF(FILTER(Data!O:O, Data!B:B=A608), ""Win"")
+ COUNTIF(FILTER(Data!O:O, Data!B:B=A608), {""Tie"",""Results""}))
/ (COUNTIF(Data!B:B, A608)),
1),"""")"),"")</f>
        <v/>
      </c>
      <c r="C608" s="45" t="str">
        <f>IFERROR((SUMIF(Data!B:B, A608, Data!H:H)
/ (COUNTIF(Data!B:B, A608)
)),"")</f>
        <v/>
      </c>
      <c r="D608" s="45" t="str">
        <f>IFERROR((SUMIF(Data!B:B, A608, Data!G:G)
/ (COUNTIF(Data!B:B, A608)
)),"")</f>
        <v/>
      </c>
      <c r="E608" s="45"/>
      <c r="F608" s="45" t="str">
        <f>IFERROR((SUMIF(Data!B:B, A608, Data!J:J)
/ (COUNTIF(Data!B:B, A608)
)),"")</f>
        <v/>
      </c>
      <c r="G608" s="56" t="str">
        <f>IF(A608="","",IFERROR((((((SUMIF(Data!B:B, A608, Data!H:H)+(SUMIF(Data!B:B, A608,Data!G:G)))/(SUMIF(Data!B:B, A608, Data!J:J)))))),0))</f>
        <v/>
      </c>
      <c r="H608" s="45"/>
      <c r="I608" s="45"/>
      <c r="J608" s="45"/>
      <c r="K608" s="45"/>
      <c r="L608" s="45" t="str">
        <f>IFERROR((SUMIF(Data!B:B, A608, Data!L:L)
/ (COUNTIF(Data!B:B, A608)
)),"")</f>
        <v/>
      </c>
      <c r="M608" s="45" t="str">
        <f>IFERROR((SUMIF(Data!B:B, A608, Data!K:K)
/ (COUNTIF(Data!B:B, A608)
)),"")</f>
        <v/>
      </c>
      <c r="N608" s="56"/>
      <c r="O608" s="56" t="str">
        <f>IF(A608="","",IFERROR((((((SUMIF(Data!B:B, A608, Data!H:H)+(SUMIF(Data!B:B, A608,Data!G:G)+(SUMIF(Data!B:B, A608,Data!L:L)+(SUMIF(Data!B:B, A608,Data!K:K)))))/(SUMIF(Data!B:B, A608, Data!M:M)+(SUMIF(Data!B:B, A608, Data!H:H)+(SUMIF(Data!B:B, A608,Data!G:G)+(SUMIF(Data!B:B, A608,Data!K:K)+(SUMIF(Data!B:B, A608,Data!L:L)))))))))),0))</f>
        <v/>
      </c>
      <c r="P608" s="57" t="str">
        <f>IFERROR(__xludf.DUMMYFUNCTION("IFERROR(((COUNTIF(FILTER(Data!N:N,Data!B:B=A608),""TRAVERSE"")*15)+(COUNTIF(FILTER(Data!N:N,Data!B:B=A608),""HIGH"")*10)+(COUNTIF(FILTER(Data!N:N,Data!B:B=A608),""MIDDLE"")*6)+(COUNTIF(FILTER(Data!N:N,Data!B:B=A608),""LOW"")*4)) / (COUNTIF(Data!B:B, A608)"&amp;"),"""")"),"")</f>
        <v/>
      </c>
      <c r="Q608" s="58"/>
      <c r="R608" s="58"/>
      <c r="S608" s="58" t="str">
        <f>IFERROR(__xludf.DUMMYFUNCTION("IFERROR((((COUNTIF(FILTER(Data!N:N,Data!B:B=A608),""TRAVERSE""))+(COUNTIF(FILTER(Data!N:N,Data!B:B=A608),""HIGH""))+(COUNTIF(FILTER(Data!N:N,Data!B:B=A608),""MIDDLE""))+(COUNTIF(FILTER(Data!N:N,Data!B:B=A608),""LOW"")))) / (((COUNTIF(Data!B:B, A608)))-(CO"&amp;"UNTIF(FILTER(Data!N:N,Data!B:B=A608),""NONE""))),IF(ISBLANK(A608),"""",0))"),"")</f>
        <v/>
      </c>
      <c r="T608" s="56" t="str">
        <f>IFERROR(__xludf.DUMMYFUNCTION("IFERROR((COUNTIF(FILTER(Data!N:N, Data!B:B=A608),""LOW"")) / (COUNTIF(Data!B:B, A608)),"""")"),"")</f>
        <v/>
      </c>
      <c r="U608" s="59" t="str">
        <f>IFERROR(__xludf.DUMMYFUNCTION("IFERROR((COUNTIF(FILTER(Data!N:N, Data!B:B=A608),""MIDDLE"")) / (COUNTIF(Data!B:B, A608)),"""")"),"")</f>
        <v/>
      </c>
      <c r="V608" s="59" t="str">
        <f>IFERROR(__xludf.DUMMYFUNCTION("IFERROR((COUNTIF(FILTER(Data!N:N, Data!B:B=A608),""HIGH"")) / (COUNTIF(Data!B:B, A608)),"""")"),"")</f>
        <v/>
      </c>
      <c r="W608" s="59" t="str">
        <f>IFERROR(__xludf.DUMMYFUNCTION("IFERROR((COUNTIF(FILTER(Data!N:N, Data!B:B=A608),""TRAVERSE"")) / (COUNTIF(Data!B:B, A608)),"""")"),"")</f>
        <v/>
      </c>
      <c r="X608" s="59"/>
      <c r="Y608" s="45" t="str">
        <f t="shared" si="7"/>
        <v/>
      </c>
      <c r="Z608" s="45" t="str">
        <f t="shared" si="8"/>
        <v/>
      </c>
      <c r="AA608" s="16" t="str">
        <f t="shared" si="9"/>
        <v/>
      </c>
      <c r="AB608" s="16"/>
      <c r="AC608" s="16"/>
      <c r="AD608" s="16"/>
      <c r="AE608" s="16" t="str">
        <f t="shared" si="12"/>
        <v/>
      </c>
      <c r="AF608" s="16" t="str">
        <f t="shared" si="13"/>
        <v/>
      </c>
      <c r="AG608" s="44"/>
      <c r="AH608" s="44"/>
      <c r="AI608" s="44" t="str">
        <f>IFERROR(__xludf.DUMMYFUNCTION("TEXTJOIN("", "",TRUE, FILTER(Data!P:P, Data!B:B=A608))"),"")</f>
        <v/>
      </c>
      <c r="AM608" s="61"/>
      <c r="BC608" s="50"/>
    </row>
    <row r="609">
      <c r="A609" s="14"/>
      <c r="B609" s="55" t="str">
        <f>IFERROR(__xludf.DUMMYFUNCTION("IFERROR(ROUND(
(COUNTIF(FILTER(Data!O:O, Data!B:B=A609), ""Win"")
+ COUNTIF(FILTER(Data!O:O, Data!B:B=A609), {""Tie"",""Results""}))
/ (COUNTIF(Data!B:B, A609)),
1),"""")"),"")</f>
        <v/>
      </c>
      <c r="C609" s="45" t="str">
        <f>IFERROR((SUMIF(Data!B:B, A609, Data!H:H)
/ (COUNTIF(Data!B:B, A609)
)),"")</f>
        <v/>
      </c>
      <c r="D609" s="45" t="str">
        <f>IFERROR((SUMIF(Data!B:B, A609, Data!G:G)
/ (COUNTIF(Data!B:B, A609)
)),"")</f>
        <v/>
      </c>
      <c r="E609" s="45"/>
      <c r="F609" s="45" t="str">
        <f>IFERROR((SUMIF(Data!B:B, A609, Data!J:J)
/ (COUNTIF(Data!B:B, A609)
)),"")</f>
        <v/>
      </c>
      <c r="G609" s="56" t="str">
        <f>IF(A609="","",IFERROR((((((SUMIF(Data!B:B, A609, Data!H:H)+(SUMIF(Data!B:B, A609,Data!G:G)))/(SUMIF(Data!B:B, A609, Data!J:J)))))),0))</f>
        <v/>
      </c>
      <c r="H609" s="45"/>
      <c r="I609" s="45"/>
      <c r="J609" s="45"/>
      <c r="K609" s="45"/>
      <c r="L609" s="45" t="str">
        <f>IFERROR((SUMIF(Data!B:B, A609, Data!L:L)
/ (COUNTIF(Data!B:B, A609)
)),"")</f>
        <v/>
      </c>
      <c r="M609" s="45" t="str">
        <f>IFERROR((SUMIF(Data!B:B, A609, Data!K:K)
/ (COUNTIF(Data!B:B, A609)
)),"")</f>
        <v/>
      </c>
      <c r="N609" s="56"/>
      <c r="O609" s="56" t="str">
        <f>IF(A609="","",IFERROR((((((SUMIF(Data!B:B, A609, Data!H:H)+(SUMIF(Data!B:B, A609,Data!G:G)+(SUMIF(Data!B:B, A609,Data!L:L)+(SUMIF(Data!B:B, A609,Data!K:K)))))/(SUMIF(Data!B:B, A609, Data!M:M)+(SUMIF(Data!B:B, A609, Data!H:H)+(SUMIF(Data!B:B, A609,Data!G:G)+(SUMIF(Data!B:B, A609,Data!K:K)+(SUMIF(Data!B:B, A609,Data!L:L)))))))))),0))</f>
        <v/>
      </c>
      <c r="P609" s="57" t="str">
        <f>IFERROR(__xludf.DUMMYFUNCTION("IFERROR(((COUNTIF(FILTER(Data!N:N,Data!B:B=A609),""TRAVERSE"")*15)+(COUNTIF(FILTER(Data!N:N,Data!B:B=A609),""HIGH"")*10)+(COUNTIF(FILTER(Data!N:N,Data!B:B=A609),""MIDDLE"")*6)+(COUNTIF(FILTER(Data!N:N,Data!B:B=A609),""LOW"")*4)) / (COUNTIF(Data!B:B, A609)"&amp;"),"""")"),"")</f>
        <v/>
      </c>
      <c r="Q609" s="58"/>
      <c r="R609" s="58"/>
      <c r="S609" s="58" t="str">
        <f>IFERROR(__xludf.DUMMYFUNCTION("IFERROR((((COUNTIF(FILTER(Data!N:N,Data!B:B=A609),""TRAVERSE""))+(COUNTIF(FILTER(Data!N:N,Data!B:B=A609),""HIGH""))+(COUNTIF(FILTER(Data!N:N,Data!B:B=A609),""MIDDLE""))+(COUNTIF(FILTER(Data!N:N,Data!B:B=A609),""LOW"")))) / (((COUNTIF(Data!B:B, A609)))-(CO"&amp;"UNTIF(FILTER(Data!N:N,Data!B:B=A609),""NONE""))),IF(ISBLANK(A609),"""",0))"),"")</f>
        <v/>
      </c>
      <c r="T609" s="56" t="str">
        <f>IFERROR(__xludf.DUMMYFUNCTION("IFERROR((COUNTIF(FILTER(Data!N:N, Data!B:B=A609),""LOW"")) / (COUNTIF(Data!B:B, A609)),"""")"),"")</f>
        <v/>
      </c>
      <c r="U609" s="59" t="str">
        <f>IFERROR(__xludf.DUMMYFUNCTION("IFERROR((COUNTIF(FILTER(Data!N:N, Data!B:B=A609),""MIDDLE"")) / (COUNTIF(Data!B:B, A609)),"""")"),"")</f>
        <v/>
      </c>
      <c r="V609" s="59" t="str">
        <f>IFERROR(__xludf.DUMMYFUNCTION("IFERROR((COUNTIF(FILTER(Data!N:N, Data!B:B=A609),""HIGH"")) / (COUNTIF(Data!B:B, A609)),"""")"),"")</f>
        <v/>
      </c>
      <c r="W609" s="59" t="str">
        <f>IFERROR(__xludf.DUMMYFUNCTION("IFERROR((COUNTIF(FILTER(Data!N:N, Data!B:B=A609),""TRAVERSE"")) / (COUNTIF(Data!B:B, A609)),"""")"),"")</f>
        <v/>
      </c>
      <c r="X609" s="59"/>
      <c r="Y609" s="45" t="str">
        <f t="shared" si="7"/>
        <v/>
      </c>
      <c r="Z609" s="45" t="str">
        <f t="shared" si="8"/>
        <v/>
      </c>
      <c r="AA609" s="16" t="str">
        <f t="shared" si="9"/>
        <v/>
      </c>
      <c r="AB609" s="16"/>
      <c r="AC609" s="16"/>
      <c r="AD609" s="16"/>
      <c r="AE609" s="16" t="str">
        <f t="shared" si="12"/>
        <v/>
      </c>
      <c r="AF609" s="16" t="str">
        <f t="shared" si="13"/>
        <v/>
      </c>
      <c r="AG609" s="44"/>
      <c r="AH609" s="44"/>
      <c r="AI609" s="44" t="str">
        <f>IFERROR(__xludf.DUMMYFUNCTION("TEXTJOIN("", "",TRUE, FILTER(Data!P:P, Data!B:B=A609))"),"")</f>
        <v/>
      </c>
      <c r="AM609" s="61"/>
      <c r="BC609" s="50"/>
    </row>
    <row r="610">
      <c r="A610" s="14"/>
      <c r="B610" s="55" t="str">
        <f>IFERROR(__xludf.DUMMYFUNCTION("IFERROR(ROUND(
(COUNTIF(FILTER(Data!O:O, Data!B:B=A610), ""Win"")
+ COUNTIF(FILTER(Data!O:O, Data!B:B=A610), {""Tie"",""Results""}))
/ (COUNTIF(Data!B:B, A610)),
1),"""")"),"")</f>
        <v/>
      </c>
      <c r="C610" s="45" t="str">
        <f>IFERROR((SUMIF(Data!B:B, A610, Data!H:H)
/ (COUNTIF(Data!B:B, A610)
)),"")</f>
        <v/>
      </c>
      <c r="D610" s="45" t="str">
        <f>IFERROR((SUMIF(Data!B:B, A610, Data!G:G)
/ (COUNTIF(Data!B:B, A610)
)),"")</f>
        <v/>
      </c>
      <c r="E610" s="45"/>
      <c r="F610" s="45" t="str">
        <f>IFERROR((SUMIF(Data!B:B, A610, Data!J:J)
/ (COUNTIF(Data!B:B, A610)
)),"")</f>
        <v/>
      </c>
      <c r="G610" s="56" t="str">
        <f>IF(A610="","",IFERROR((((((SUMIF(Data!B:B, A610, Data!H:H)+(SUMIF(Data!B:B, A610,Data!G:G)))/(SUMIF(Data!B:B, A610, Data!J:J)))))),0))</f>
        <v/>
      </c>
      <c r="H610" s="45"/>
      <c r="I610" s="45"/>
      <c r="J610" s="45"/>
      <c r="K610" s="45"/>
      <c r="L610" s="45" t="str">
        <f>IFERROR((SUMIF(Data!B:B, A610, Data!L:L)
/ (COUNTIF(Data!B:B, A610)
)),"")</f>
        <v/>
      </c>
      <c r="M610" s="45" t="str">
        <f>IFERROR((SUMIF(Data!B:B, A610, Data!K:K)
/ (COUNTIF(Data!B:B, A610)
)),"")</f>
        <v/>
      </c>
      <c r="N610" s="56"/>
      <c r="O610" s="56" t="str">
        <f>IF(A610="","",IFERROR((((((SUMIF(Data!B:B, A610, Data!H:H)+(SUMIF(Data!B:B, A610,Data!G:G)+(SUMIF(Data!B:B, A610,Data!L:L)+(SUMIF(Data!B:B, A610,Data!K:K)))))/(SUMIF(Data!B:B, A610, Data!M:M)+(SUMIF(Data!B:B, A610, Data!H:H)+(SUMIF(Data!B:B, A610,Data!G:G)+(SUMIF(Data!B:B, A610,Data!K:K)+(SUMIF(Data!B:B, A610,Data!L:L)))))))))),0))</f>
        <v/>
      </c>
      <c r="P610" s="57" t="str">
        <f>IFERROR(__xludf.DUMMYFUNCTION("IFERROR(((COUNTIF(FILTER(Data!N:N,Data!B:B=A610),""TRAVERSE"")*15)+(COUNTIF(FILTER(Data!N:N,Data!B:B=A610),""HIGH"")*10)+(COUNTIF(FILTER(Data!N:N,Data!B:B=A610),""MIDDLE"")*6)+(COUNTIF(FILTER(Data!N:N,Data!B:B=A610),""LOW"")*4)) / (COUNTIF(Data!B:B, A610)"&amp;"),"""")"),"")</f>
        <v/>
      </c>
      <c r="Q610" s="58"/>
      <c r="R610" s="58"/>
      <c r="S610" s="58" t="str">
        <f>IFERROR(__xludf.DUMMYFUNCTION("IFERROR((((COUNTIF(FILTER(Data!N:N,Data!B:B=A610),""TRAVERSE""))+(COUNTIF(FILTER(Data!N:N,Data!B:B=A610),""HIGH""))+(COUNTIF(FILTER(Data!N:N,Data!B:B=A610),""MIDDLE""))+(COUNTIF(FILTER(Data!N:N,Data!B:B=A610),""LOW"")))) / (((COUNTIF(Data!B:B, A610)))-(CO"&amp;"UNTIF(FILTER(Data!N:N,Data!B:B=A610),""NONE""))),IF(ISBLANK(A610),"""",0))"),"")</f>
        <v/>
      </c>
      <c r="T610" s="56" t="str">
        <f>IFERROR(__xludf.DUMMYFUNCTION("IFERROR((COUNTIF(FILTER(Data!N:N, Data!B:B=A610),""LOW"")) / (COUNTIF(Data!B:B, A610)),"""")"),"")</f>
        <v/>
      </c>
      <c r="U610" s="59" t="str">
        <f>IFERROR(__xludf.DUMMYFUNCTION("IFERROR((COUNTIF(FILTER(Data!N:N, Data!B:B=A610),""MIDDLE"")) / (COUNTIF(Data!B:B, A610)),"""")"),"")</f>
        <v/>
      </c>
      <c r="V610" s="59" t="str">
        <f>IFERROR(__xludf.DUMMYFUNCTION("IFERROR((COUNTIF(FILTER(Data!N:N, Data!B:B=A610),""HIGH"")) / (COUNTIF(Data!B:B, A610)),"""")"),"")</f>
        <v/>
      </c>
      <c r="W610" s="59" t="str">
        <f>IFERROR(__xludf.DUMMYFUNCTION("IFERROR((COUNTIF(FILTER(Data!N:N, Data!B:B=A610),""TRAVERSE"")) / (COUNTIF(Data!B:B, A610)),"""")"),"")</f>
        <v/>
      </c>
      <c r="X610" s="59"/>
      <c r="Y610" s="45" t="str">
        <f t="shared" si="7"/>
        <v/>
      </c>
      <c r="Z610" s="45" t="str">
        <f t="shared" si="8"/>
        <v/>
      </c>
      <c r="AA610" s="16" t="str">
        <f t="shared" si="9"/>
        <v/>
      </c>
      <c r="AB610" s="16"/>
      <c r="AC610" s="16"/>
      <c r="AD610" s="16"/>
      <c r="AE610" s="16" t="str">
        <f t="shared" si="12"/>
        <v/>
      </c>
      <c r="AF610" s="16" t="str">
        <f t="shared" si="13"/>
        <v/>
      </c>
      <c r="AG610" s="44"/>
      <c r="AH610" s="44"/>
      <c r="AI610" s="44" t="str">
        <f>IFERROR(__xludf.DUMMYFUNCTION("TEXTJOIN("", "",TRUE, FILTER(Data!P:P, Data!B:B=A610))"),"")</f>
        <v/>
      </c>
      <c r="AM610" s="61"/>
      <c r="BC610" s="50"/>
    </row>
    <row r="611">
      <c r="A611" s="14"/>
      <c r="B611" s="55" t="str">
        <f>IFERROR(__xludf.DUMMYFUNCTION("IFERROR(ROUND(
(COUNTIF(FILTER(Data!O:O, Data!B:B=A611), ""Win"")
+ COUNTIF(FILTER(Data!O:O, Data!B:B=A611), {""Tie"",""Results""}))
/ (COUNTIF(Data!B:B, A611)),
1),"""")"),"")</f>
        <v/>
      </c>
      <c r="C611" s="45" t="str">
        <f>IFERROR((SUMIF(Data!B:B, A611, Data!H:H)
/ (COUNTIF(Data!B:B, A611)
)),"")</f>
        <v/>
      </c>
      <c r="D611" s="45" t="str">
        <f>IFERROR((SUMIF(Data!B:B, A611, Data!G:G)
/ (COUNTIF(Data!B:B, A611)
)),"")</f>
        <v/>
      </c>
      <c r="E611" s="45"/>
      <c r="F611" s="45" t="str">
        <f>IFERROR((SUMIF(Data!B:B, A611, Data!J:J)
/ (COUNTIF(Data!B:B, A611)
)),"")</f>
        <v/>
      </c>
      <c r="G611" s="56" t="str">
        <f>IF(A611="","",IFERROR((((((SUMIF(Data!B:B, A611, Data!H:H)+(SUMIF(Data!B:B, A611,Data!G:G)))/(SUMIF(Data!B:B, A611, Data!J:J)))))),0))</f>
        <v/>
      </c>
      <c r="H611" s="45"/>
      <c r="I611" s="45"/>
      <c r="J611" s="45"/>
      <c r="K611" s="45"/>
      <c r="L611" s="45" t="str">
        <f>IFERROR((SUMIF(Data!B:B, A611, Data!L:L)
/ (COUNTIF(Data!B:B, A611)
)),"")</f>
        <v/>
      </c>
      <c r="M611" s="45" t="str">
        <f>IFERROR((SUMIF(Data!B:B, A611, Data!K:K)
/ (COUNTIF(Data!B:B, A611)
)),"")</f>
        <v/>
      </c>
      <c r="N611" s="56"/>
      <c r="O611" s="56" t="str">
        <f>IF(A611="","",IFERROR((((((SUMIF(Data!B:B, A611, Data!H:H)+(SUMIF(Data!B:B, A611,Data!G:G)+(SUMIF(Data!B:B, A611,Data!L:L)+(SUMIF(Data!B:B, A611,Data!K:K)))))/(SUMIF(Data!B:B, A611, Data!M:M)+(SUMIF(Data!B:B, A611, Data!H:H)+(SUMIF(Data!B:B, A611,Data!G:G)+(SUMIF(Data!B:B, A611,Data!K:K)+(SUMIF(Data!B:B, A611,Data!L:L)))))))))),0))</f>
        <v/>
      </c>
      <c r="P611" s="57" t="str">
        <f>IFERROR(__xludf.DUMMYFUNCTION("IFERROR(((COUNTIF(FILTER(Data!N:N,Data!B:B=A611),""TRAVERSE"")*15)+(COUNTIF(FILTER(Data!N:N,Data!B:B=A611),""HIGH"")*10)+(COUNTIF(FILTER(Data!N:N,Data!B:B=A611),""MIDDLE"")*6)+(COUNTIF(FILTER(Data!N:N,Data!B:B=A611),""LOW"")*4)) / (COUNTIF(Data!B:B, A611)"&amp;"),"""")"),"")</f>
        <v/>
      </c>
      <c r="Q611" s="58"/>
      <c r="R611" s="58"/>
      <c r="S611" s="58" t="str">
        <f>IFERROR(__xludf.DUMMYFUNCTION("IFERROR((((COUNTIF(FILTER(Data!N:N,Data!B:B=A611),""TRAVERSE""))+(COUNTIF(FILTER(Data!N:N,Data!B:B=A611),""HIGH""))+(COUNTIF(FILTER(Data!N:N,Data!B:B=A611),""MIDDLE""))+(COUNTIF(FILTER(Data!N:N,Data!B:B=A611),""LOW"")))) / (((COUNTIF(Data!B:B, A611)))-(CO"&amp;"UNTIF(FILTER(Data!N:N,Data!B:B=A611),""NONE""))),IF(ISBLANK(A611),"""",0))"),"")</f>
        <v/>
      </c>
      <c r="T611" s="56" t="str">
        <f>IFERROR(__xludf.DUMMYFUNCTION("IFERROR((COUNTIF(FILTER(Data!N:N, Data!B:B=A611),""LOW"")) / (COUNTIF(Data!B:B, A611)),"""")"),"")</f>
        <v/>
      </c>
      <c r="U611" s="59" t="str">
        <f>IFERROR(__xludf.DUMMYFUNCTION("IFERROR((COUNTIF(FILTER(Data!N:N, Data!B:B=A611),""MIDDLE"")) / (COUNTIF(Data!B:B, A611)),"""")"),"")</f>
        <v/>
      </c>
      <c r="V611" s="59" t="str">
        <f>IFERROR(__xludf.DUMMYFUNCTION("IFERROR((COUNTIF(FILTER(Data!N:N, Data!B:B=A611),""HIGH"")) / (COUNTIF(Data!B:B, A611)),"""")"),"")</f>
        <v/>
      </c>
      <c r="W611" s="59" t="str">
        <f>IFERROR(__xludf.DUMMYFUNCTION("IFERROR((COUNTIF(FILTER(Data!N:N, Data!B:B=A611),""TRAVERSE"")) / (COUNTIF(Data!B:B, A611)),"""")"),"")</f>
        <v/>
      </c>
      <c r="X611" s="59"/>
      <c r="Y611" s="45" t="str">
        <f t="shared" si="7"/>
        <v/>
      </c>
      <c r="Z611" s="45" t="str">
        <f t="shared" si="8"/>
        <v/>
      </c>
      <c r="AA611" s="16" t="str">
        <f t="shared" si="9"/>
        <v/>
      </c>
      <c r="AB611" s="16"/>
      <c r="AC611" s="16"/>
      <c r="AD611" s="16"/>
      <c r="AE611" s="16" t="str">
        <f t="shared" si="12"/>
        <v/>
      </c>
      <c r="AF611" s="16" t="str">
        <f t="shared" si="13"/>
        <v/>
      </c>
      <c r="AG611" s="44"/>
      <c r="AH611" s="44"/>
      <c r="AI611" s="44" t="str">
        <f>IFERROR(__xludf.DUMMYFUNCTION("TEXTJOIN("", "",TRUE, FILTER(Data!P:P, Data!B:B=A611))"),"")</f>
        <v/>
      </c>
      <c r="AM611" s="61"/>
      <c r="BC611" s="50"/>
    </row>
    <row r="612">
      <c r="A612" s="14"/>
      <c r="B612" s="55" t="str">
        <f>IFERROR(__xludf.DUMMYFUNCTION("IFERROR(ROUND(
(COUNTIF(FILTER(Data!O:O, Data!B:B=A612), ""Win"")
+ COUNTIF(FILTER(Data!O:O, Data!B:B=A612), {""Tie"",""Results""}))
/ (COUNTIF(Data!B:B, A612)),
1),"""")"),"")</f>
        <v/>
      </c>
      <c r="C612" s="45" t="str">
        <f>IFERROR((SUMIF(Data!B:B, A612, Data!H:H)
/ (COUNTIF(Data!B:B, A612)
)),"")</f>
        <v/>
      </c>
      <c r="D612" s="45" t="str">
        <f>IFERROR((SUMIF(Data!B:B, A612, Data!G:G)
/ (COUNTIF(Data!B:B, A612)
)),"")</f>
        <v/>
      </c>
      <c r="E612" s="45"/>
      <c r="F612" s="45" t="str">
        <f>IFERROR((SUMIF(Data!B:B, A612, Data!J:J)
/ (COUNTIF(Data!B:B, A612)
)),"")</f>
        <v/>
      </c>
      <c r="G612" s="56" t="str">
        <f>IF(A612="","",IFERROR((((((SUMIF(Data!B:B, A612, Data!H:H)+(SUMIF(Data!B:B, A612,Data!G:G)))/(SUMIF(Data!B:B, A612, Data!J:J)))))),0))</f>
        <v/>
      </c>
      <c r="H612" s="45"/>
      <c r="I612" s="45"/>
      <c r="J612" s="45"/>
      <c r="K612" s="45"/>
      <c r="L612" s="45" t="str">
        <f>IFERROR((SUMIF(Data!B:B, A612, Data!L:L)
/ (COUNTIF(Data!B:B, A612)
)),"")</f>
        <v/>
      </c>
      <c r="M612" s="45" t="str">
        <f>IFERROR((SUMIF(Data!B:B, A612, Data!K:K)
/ (COUNTIF(Data!B:B, A612)
)),"")</f>
        <v/>
      </c>
      <c r="N612" s="56"/>
      <c r="O612" s="56" t="str">
        <f>IF(A612="","",IFERROR((((((SUMIF(Data!B:B, A612, Data!H:H)+(SUMIF(Data!B:B, A612,Data!G:G)+(SUMIF(Data!B:B, A612,Data!L:L)+(SUMIF(Data!B:B, A612,Data!K:K)))))/(SUMIF(Data!B:B, A612, Data!M:M)+(SUMIF(Data!B:B, A612, Data!H:H)+(SUMIF(Data!B:B, A612,Data!G:G)+(SUMIF(Data!B:B, A612,Data!K:K)+(SUMIF(Data!B:B, A612,Data!L:L)))))))))),0))</f>
        <v/>
      </c>
      <c r="P612" s="57" t="str">
        <f>IFERROR(__xludf.DUMMYFUNCTION("IFERROR(((COUNTIF(FILTER(Data!N:N,Data!B:B=A612),""TRAVERSE"")*15)+(COUNTIF(FILTER(Data!N:N,Data!B:B=A612),""HIGH"")*10)+(COUNTIF(FILTER(Data!N:N,Data!B:B=A612),""MIDDLE"")*6)+(COUNTIF(FILTER(Data!N:N,Data!B:B=A612),""LOW"")*4)) / (COUNTIF(Data!B:B, A612)"&amp;"),"""")"),"")</f>
        <v/>
      </c>
      <c r="Q612" s="58"/>
      <c r="R612" s="58"/>
      <c r="S612" s="58" t="str">
        <f>IFERROR(__xludf.DUMMYFUNCTION("IFERROR((((COUNTIF(FILTER(Data!N:N,Data!B:B=A612),""TRAVERSE""))+(COUNTIF(FILTER(Data!N:N,Data!B:B=A612),""HIGH""))+(COUNTIF(FILTER(Data!N:N,Data!B:B=A612),""MIDDLE""))+(COUNTIF(FILTER(Data!N:N,Data!B:B=A612),""LOW"")))) / (((COUNTIF(Data!B:B, A612)))-(CO"&amp;"UNTIF(FILTER(Data!N:N,Data!B:B=A612),""NONE""))),IF(ISBLANK(A612),"""",0))"),"")</f>
        <v/>
      </c>
      <c r="T612" s="56" t="str">
        <f>IFERROR(__xludf.DUMMYFUNCTION("IFERROR((COUNTIF(FILTER(Data!N:N, Data!B:B=A612),""LOW"")) / (COUNTIF(Data!B:B, A612)),"""")"),"")</f>
        <v/>
      </c>
      <c r="U612" s="59" t="str">
        <f>IFERROR(__xludf.DUMMYFUNCTION("IFERROR((COUNTIF(FILTER(Data!N:N, Data!B:B=A612),""MIDDLE"")) / (COUNTIF(Data!B:B, A612)),"""")"),"")</f>
        <v/>
      </c>
      <c r="V612" s="59" t="str">
        <f>IFERROR(__xludf.DUMMYFUNCTION("IFERROR((COUNTIF(FILTER(Data!N:N, Data!B:B=A612),""HIGH"")) / (COUNTIF(Data!B:B, A612)),"""")"),"")</f>
        <v/>
      </c>
      <c r="W612" s="59" t="str">
        <f>IFERROR(__xludf.DUMMYFUNCTION("IFERROR((COUNTIF(FILTER(Data!N:N, Data!B:B=A612),""TRAVERSE"")) / (COUNTIF(Data!B:B, A612)),"""")"),"")</f>
        <v/>
      </c>
      <c r="X612" s="59"/>
      <c r="Y612" s="45" t="str">
        <f t="shared" si="7"/>
        <v/>
      </c>
      <c r="Z612" s="45" t="str">
        <f t="shared" si="8"/>
        <v/>
      </c>
      <c r="AA612" s="16" t="str">
        <f t="shared" si="9"/>
        <v/>
      </c>
      <c r="AB612" s="16"/>
      <c r="AC612" s="16"/>
      <c r="AD612" s="16"/>
      <c r="AE612" s="16" t="str">
        <f t="shared" si="12"/>
        <v/>
      </c>
      <c r="AF612" s="16" t="str">
        <f t="shared" si="13"/>
        <v/>
      </c>
      <c r="AG612" s="44"/>
      <c r="AH612" s="44"/>
      <c r="AI612" s="44" t="str">
        <f>IFERROR(__xludf.DUMMYFUNCTION("TEXTJOIN("", "",TRUE, FILTER(Data!P:P, Data!B:B=A612))"),"")</f>
        <v/>
      </c>
      <c r="AM612" s="61"/>
      <c r="BC612" s="50"/>
    </row>
    <row r="613">
      <c r="A613" s="14"/>
      <c r="B613" s="55" t="str">
        <f>IFERROR(__xludf.DUMMYFUNCTION("IFERROR(ROUND(
(COUNTIF(FILTER(Data!O:O, Data!B:B=A613), ""Win"")
+ COUNTIF(FILTER(Data!O:O, Data!B:B=A613), {""Tie"",""Results""}))
/ (COUNTIF(Data!B:B, A613)),
1),"""")"),"")</f>
        <v/>
      </c>
      <c r="C613" s="45" t="str">
        <f>IFERROR((SUMIF(Data!B:B, A613, Data!H:H)
/ (COUNTIF(Data!B:B, A613)
)),"")</f>
        <v/>
      </c>
      <c r="D613" s="45" t="str">
        <f>IFERROR((SUMIF(Data!B:B, A613, Data!G:G)
/ (COUNTIF(Data!B:B, A613)
)),"")</f>
        <v/>
      </c>
      <c r="E613" s="45"/>
      <c r="F613" s="45" t="str">
        <f>IFERROR((SUMIF(Data!B:B, A613, Data!J:J)
/ (COUNTIF(Data!B:B, A613)
)),"")</f>
        <v/>
      </c>
      <c r="G613" s="56" t="str">
        <f>IF(A613="","",IFERROR((((((SUMIF(Data!B:B, A613, Data!H:H)+(SUMIF(Data!B:B, A613,Data!G:G)))/(SUMIF(Data!B:B, A613, Data!J:J)))))),0))</f>
        <v/>
      </c>
      <c r="H613" s="45"/>
      <c r="I613" s="45"/>
      <c r="J613" s="45"/>
      <c r="K613" s="45"/>
      <c r="L613" s="45" t="str">
        <f>IFERROR((SUMIF(Data!B:B, A613, Data!L:L)
/ (COUNTIF(Data!B:B, A613)
)),"")</f>
        <v/>
      </c>
      <c r="M613" s="45" t="str">
        <f>IFERROR((SUMIF(Data!B:B, A613, Data!K:K)
/ (COUNTIF(Data!B:B, A613)
)),"")</f>
        <v/>
      </c>
      <c r="N613" s="56"/>
      <c r="O613" s="56" t="str">
        <f>IF(A613="","",IFERROR((((((SUMIF(Data!B:B, A613, Data!H:H)+(SUMIF(Data!B:B, A613,Data!G:G)+(SUMIF(Data!B:B, A613,Data!L:L)+(SUMIF(Data!B:B, A613,Data!K:K)))))/(SUMIF(Data!B:B, A613, Data!M:M)+(SUMIF(Data!B:B, A613, Data!H:H)+(SUMIF(Data!B:B, A613,Data!G:G)+(SUMIF(Data!B:B, A613,Data!K:K)+(SUMIF(Data!B:B, A613,Data!L:L)))))))))),0))</f>
        <v/>
      </c>
      <c r="P613" s="57" t="str">
        <f>IFERROR(__xludf.DUMMYFUNCTION("IFERROR(((COUNTIF(FILTER(Data!N:N,Data!B:B=A613),""TRAVERSE"")*15)+(COUNTIF(FILTER(Data!N:N,Data!B:B=A613),""HIGH"")*10)+(COUNTIF(FILTER(Data!N:N,Data!B:B=A613),""MIDDLE"")*6)+(COUNTIF(FILTER(Data!N:N,Data!B:B=A613),""LOW"")*4)) / (COUNTIF(Data!B:B, A613)"&amp;"),"""")"),"")</f>
        <v/>
      </c>
      <c r="Q613" s="58"/>
      <c r="R613" s="58"/>
      <c r="S613" s="58" t="str">
        <f>IFERROR(__xludf.DUMMYFUNCTION("IFERROR((((COUNTIF(FILTER(Data!N:N,Data!B:B=A613),""TRAVERSE""))+(COUNTIF(FILTER(Data!N:N,Data!B:B=A613),""HIGH""))+(COUNTIF(FILTER(Data!N:N,Data!B:B=A613),""MIDDLE""))+(COUNTIF(FILTER(Data!N:N,Data!B:B=A613),""LOW"")))) / (((COUNTIF(Data!B:B, A613)))-(CO"&amp;"UNTIF(FILTER(Data!N:N,Data!B:B=A613),""NONE""))),IF(ISBLANK(A613),"""",0))"),"")</f>
        <v/>
      </c>
      <c r="T613" s="56" t="str">
        <f>IFERROR(__xludf.DUMMYFUNCTION("IFERROR((COUNTIF(FILTER(Data!N:N, Data!B:B=A613),""LOW"")) / (COUNTIF(Data!B:B, A613)),"""")"),"")</f>
        <v/>
      </c>
      <c r="U613" s="59" t="str">
        <f>IFERROR(__xludf.DUMMYFUNCTION("IFERROR((COUNTIF(FILTER(Data!N:N, Data!B:B=A613),""MIDDLE"")) / (COUNTIF(Data!B:B, A613)),"""")"),"")</f>
        <v/>
      </c>
      <c r="V613" s="59" t="str">
        <f>IFERROR(__xludf.DUMMYFUNCTION("IFERROR((COUNTIF(FILTER(Data!N:N, Data!B:B=A613),""HIGH"")) / (COUNTIF(Data!B:B, A613)),"""")"),"")</f>
        <v/>
      </c>
      <c r="W613" s="59" t="str">
        <f>IFERROR(__xludf.DUMMYFUNCTION("IFERROR((COUNTIF(FILTER(Data!N:N, Data!B:B=A613),""TRAVERSE"")) / (COUNTIF(Data!B:B, A613)),"""")"),"")</f>
        <v/>
      </c>
      <c r="X613" s="59"/>
      <c r="Y613" s="45" t="str">
        <f t="shared" si="7"/>
        <v/>
      </c>
      <c r="Z613" s="45" t="str">
        <f t="shared" si="8"/>
        <v/>
      </c>
      <c r="AA613" s="16" t="str">
        <f t="shared" si="9"/>
        <v/>
      </c>
      <c r="AB613" s="16"/>
      <c r="AC613" s="16"/>
      <c r="AD613" s="16"/>
      <c r="AE613" s="16" t="str">
        <f t="shared" si="12"/>
        <v/>
      </c>
      <c r="AF613" s="16" t="str">
        <f t="shared" si="13"/>
        <v/>
      </c>
      <c r="AG613" s="44"/>
      <c r="AH613" s="44"/>
      <c r="AI613" s="44" t="str">
        <f>IFERROR(__xludf.DUMMYFUNCTION("TEXTJOIN("", "",TRUE, FILTER(Data!P:P, Data!B:B=A613))"),"")</f>
        <v/>
      </c>
      <c r="AM613" s="61"/>
      <c r="BC613" s="50"/>
    </row>
    <row r="614">
      <c r="A614" s="14"/>
      <c r="B614" s="55" t="str">
        <f>IFERROR(__xludf.DUMMYFUNCTION("IFERROR(ROUND(
(COUNTIF(FILTER(Data!O:O, Data!B:B=A614), ""Win"")
+ COUNTIF(FILTER(Data!O:O, Data!B:B=A614), {""Tie"",""Results""}))
/ (COUNTIF(Data!B:B, A614)),
1),"""")"),"")</f>
        <v/>
      </c>
      <c r="C614" s="45" t="str">
        <f>IFERROR((SUMIF(Data!B:B, A614, Data!H:H)
/ (COUNTIF(Data!B:B, A614)
)),"")</f>
        <v/>
      </c>
      <c r="D614" s="45" t="str">
        <f>IFERROR((SUMIF(Data!B:B, A614, Data!G:G)
/ (COUNTIF(Data!B:B, A614)
)),"")</f>
        <v/>
      </c>
      <c r="E614" s="45"/>
      <c r="F614" s="45" t="str">
        <f>IFERROR((SUMIF(Data!B:B, A614, Data!J:J)
/ (COUNTIF(Data!B:B, A614)
)),"")</f>
        <v/>
      </c>
      <c r="G614" s="56" t="str">
        <f>IF(A614="","",IFERROR((((((SUMIF(Data!B:B, A614, Data!H:H)+(SUMIF(Data!B:B, A614,Data!G:G)))/(SUMIF(Data!B:B, A614, Data!J:J)))))),0))</f>
        <v/>
      </c>
      <c r="H614" s="45"/>
      <c r="I614" s="45"/>
      <c r="J614" s="45"/>
      <c r="K614" s="45"/>
      <c r="L614" s="45" t="str">
        <f>IFERROR((SUMIF(Data!B:B, A614, Data!L:L)
/ (COUNTIF(Data!B:B, A614)
)),"")</f>
        <v/>
      </c>
      <c r="M614" s="45" t="str">
        <f>IFERROR((SUMIF(Data!B:B, A614, Data!K:K)
/ (COUNTIF(Data!B:B, A614)
)),"")</f>
        <v/>
      </c>
      <c r="N614" s="56"/>
      <c r="O614" s="56" t="str">
        <f>IF(A614="","",IFERROR((((((SUMIF(Data!B:B, A614, Data!H:H)+(SUMIF(Data!B:B, A614,Data!G:G)+(SUMIF(Data!B:B, A614,Data!L:L)+(SUMIF(Data!B:B, A614,Data!K:K)))))/(SUMIF(Data!B:B, A614, Data!M:M)+(SUMIF(Data!B:B, A614, Data!H:H)+(SUMIF(Data!B:B, A614,Data!G:G)+(SUMIF(Data!B:B, A614,Data!K:K)+(SUMIF(Data!B:B, A614,Data!L:L)))))))))),0))</f>
        <v/>
      </c>
      <c r="P614" s="57" t="str">
        <f>IFERROR(__xludf.DUMMYFUNCTION("IFERROR(((COUNTIF(FILTER(Data!N:N,Data!B:B=A614),""TRAVERSE"")*15)+(COUNTIF(FILTER(Data!N:N,Data!B:B=A614),""HIGH"")*10)+(COUNTIF(FILTER(Data!N:N,Data!B:B=A614),""MIDDLE"")*6)+(COUNTIF(FILTER(Data!N:N,Data!B:B=A614),""LOW"")*4)) / (COUNTIF(Data!B:B, A614)"&amp;"),"""")"),"")</f>
        <v/>
      </c>
      <c r="Q614" s="58"/>
      <c r="R614" s="58"/>
      <c r="S614" s="58" t="str">
        <f>IFERROR(__xludf.DUMMYFUNCTION("IFERROR((((COUNTIF(FILTER(Data!N:N,Data!B:B=A614),""TRAVERSE""))+(COUNTIF(FILTER(Data!N:N,Data!B:B=A614),""HIGH""))+(COUNTIF(FILTER(Data!N:N,Data!B:B=A614),""MIDDLE""))+(COUNTIF(FILTER(Data!N:N,Data!B:B=A614),""LOW"")))) / (((COUNTIF(Data!B:B, A614)))-(CO"&amp;"UNTIF(FILTER(Data!N:N,Data!B:B=A614),""NONE""))),IF(ISBLANK(A614),"""",0))"),"")</f>
        <v/>
      </c>
      <c r="T614" s="56" t="str">
        <f>IFERROR(__xludf.DUMMYFUNCTION("IFERROR((COUNTIF(FILTER(Data!N:N, Data!B:B=A614),""LOW"")) / (COUNTIF(Data!B:B, A614)),"""")"),"")</f>
        <v/>
      </c>
      <c r="U614" s="59" t="str">
        <f>IFERROR(__xludf.DUMMYFUNCTION("IFERROR((COUNTIF(FILTER(Data!N:N, Data!B:B=A614),""MIDDLE"")) / (COUNTIF(Data!B:B, A614)),"""")"),"")</f>
        <v/>
      </c>
      <c r="V614" s="59" t="str">
        <f>IFERROR(__xludf.DUMMYFUNCTION("IFERROR((COUNTIF(FILTER(Data!N:N, Data!B:B=A614),""HIGH"")) / (COUNTIF(Data!B:B, A614)),"""")"),"")</f>
        <v/>
      </c>
      <c r="W614" s="59" t="str">
        <f>IFERROR(__xludf.DUMMYFUNCTION("IFERROR((COUNTIF(FILTER(Data!N:N, Data!B:B=A614),""TRAVERSE"")) / (COUNTIF(Data!B:B, A614)),"""")"),"")</f>
        <v/>
      </c>
      <c r="X614" s="59"/>
      <c r="Y614" s="45" t="str">
        <f t="shared" si="7"/>
        <v/>
      </c>
      <c r="Z614" s="45" t="str">
        <f t="shared" si="8"/>
        <v/>
      </c>
      <c r="AA614" s="16" t="str">
        <f t="shared" si="9"/>
        <v/>
      </c>
      <c r="AB614" s="16"/>
      <c r="AC614" s="16"/>
      <c r="AD614" s="16"/>
      <c r="AE614" s="16" t="str">
        <f t="shared" si="12"/>
        <v/>
      </c>
      <c r="AF614" s="16" t="str">
        <f t="shared" si="13"/>
        <v/>
      </c>
      <c r="AG614" s="44"/>
      <c r="AH614" s="44"/>
      <c r="AI614" s="44" t="str">
        <f>IFERROR(__xludf.DUMMYFUNCTION("TEXTJOIN("", "",TRUE, FILTER(Data!P:P, Data!B:B=A614))"),"")</f>
        <v/>
      </c>
      <c r="AM614" s="61"/>
      <c r="BC614" s="50"/>
    </row>
    <row r="615">
      <c r="A615" s="14"/>
      <c r="B615" s="55" t="str">
        <f>IFERROR(__xludf.DUMMYFUNCTION("IFERROR(ROUND(
(COUNTIF(FILTER(Data!O:O, Data!B:B=A615), ""Win"")
+ COUNTIF(FILTER(Data!O:O, Data!B:B=A615), {""Tie"",""Results""}))
/ (COUNTIF(Data!B:B, A615)),
1),"""")"),"")</f>
        <v/>
      </c>
      <c r="C615" s="45" t="str">
        <f>IFERROR((SUMIF(Data!B:B, A615, Data!H:H)
/ (COUNTIF(Data!B:B, A615)
)),"")</f>
        <v/>
      </c>
      <c r="D615" s="45" t="str">
        <f>IFERROR((SUMIF(Data!B:B, A615, Data!G:G)
/ (COUNTIF(Data!B:B, A615)
)),"")</f>
        <v/>
      </c>
      <c r="E615" s="45"/>
      <c r="F615" s="45" t="str">
        <f>IFERROR((SUMIF(Data!B:B, A615, Data!J:J)
/ (COUNTIF(Data!B:B, A615)
)),"")</f>
        <v/>
      </c>
      <c r="G615" s="56" t="str">
        <f>IF(A615="","",IFERROR((((((SUMIF(Data!B:B, A615, Data!H:H)+(SUMIF(Data!B:B, A615,Data!G:G)))/(SUMIF(Data!B:B, A615, Data!J:J)))))),0))</f>
        <v/>
      </c>
      <c r="H615" s="45"/>
      <c r="I615" s="45"/>
      <c r="J615" s="45"/>
      <c r="K615" s="45"/>
      <c r="L615" s="45" t="str">
        <f>IFERROR((SUMIF(Data!B:B, A615, Data!L:L)
/ (COUNTIF(Data!B:B, A615)
)),"")</f>
        <v/>
      </c>
      <c r="M615" s="45" t="str">
        <f>IFERROR((SUMIF(Data!B:B, A615, Data!K:K)
/ (COUNTIF(Data!B:B, A615)
)),"")</f>
        <v/>
      </c>
      <c r="N615" s="56"/>
      <c r="O615" s="56" t="str">
        <f>IF(A615="","",IFERROR((((((SUMIF(Data!B:B, A615, Data!H:H)+(SUMIF(Data!B:B, A615,Data!G:G)+(SUMIF(Data!B:B, A615,Data!L:L)+(SUMIF(Data!B:B, A615,Data!K:K)))))/(SUMIF(Data!B:B, A615, Data!M:M)+(SUMIF(Data!B:B, A615, Data!H:H)+(SUMIF(Data!B:B, A615,Data!G:G)+(SUMIF(Data!B:B, A615,Data!K:K)+(SUMIF(Data!B:B, A615,Data!L:L)))))))))),0))</f>
        <v/>
      </c>
      <c r="P615" s="57" t="str">
        <f>IFERROR(__xludf.DUMMYFUNCTION("IFERROR(((COUNTIF(FILTER(Data!N:N,Data!B:B=A615),""TRAVERSE"")*15)+(COUNTIF(FILTER(Data!N:N,Data!B:B=A615),""HIGH"")*10)+(COUNTIF(FILTER(Data!N:N,Data!B:B=A615),""MIDDLE"")*6)+(COUNTIF(FILTER(Data!N:N,Data!B:B=A615),""LOW"")*4)) / (COUNTIF(Data!B:B, A615)"&amp;"),"""")"),"")</f>
        <v/>
      </c>
      <c r="Q615" s="58"/>
      <c r="R615" s="58"/>
      <c r="S615" s="58" t="str">
        <f>IFERROR(__xludf.DUMMYFUNCTION("IFERROR((((COUNTIF(FILTER(Data!N:N,Data!B:B=A615),""TRAVERSE""))+(COUNTIF(FILTER(Data!N:N,Data!B:B=A615),""HIGH""))+(COUNTIF(FILTER(Data!N:N,Data!B:B=A615),""MIDDLE""))+(COUNTIF(FILTER(Data!N:N,Data!B:B=A615),""LOW"")))) / (((COUNTIF(Data!B:B, A615)))-(CO"&amp;"UNTIF(FILTER(Data!N:N,Data!B:B=A615),""NONE""))),IF(ISBLANK(A615),"""",0))"),"")</f>
        <v/>
      </c>
      <c r="T615" s="56" t="str">
        <f>IFERROR(__xludf.DUMMYFUNCTION("IFERROR((COUNTIF(FILTER(Data!N:N, Data!B:B=A615),""LOW"")) / (COUNTIF(Data!B:B, A615)),"""")"),"")</f>
        <v/>
      </c>
      <c r="U615" s="59" t="str">
        <f>IFERROR(__xludf.DUMMYFUNCTION("IFERROR((COUNTIF(FILTER(Data!N:N, Data!B:B=A615),""MIDDLE"")) / (COUNTIF(Data!B:B, A615)),"""")"),"")</f>
        <v/>
      </c>
      <c r="V615" s="59" t="str">
        <f>IFERROR(__xludf.DUMMYFUNCTION("IFERROR((COUNTIF(FILTER(Data!N:N, Data!B:B=A615),""HIGH"")) / (COUNTIF(Data!B:B, A615)),"""")"),"")</f>
        <v/>
      </c>
      <c r="W615" s="59" t="str">
        <f>IFERROR(__xludf.DUMMYFUNCTION("IFERROR((COUNTIF(FILTER(Data!N:N, Data!B:B=A615),""TRAVERSE"")) / (COUNTIF(Data!B:B, A615)),"""")"),"")</f>
        <v/>
      </c>
      <c r="X615" s="59"/>
      <c r="Y615" s="45" t="str">
        <f t="shared" si="7"/>
        <v/>
      </c>
      <c r="Z615" s="45" t="str">
        <f t="shared" si="8"/>
        <v/>
      </c>
      <c r="AA615" s="16" t="str">
        <f t="shared" si="9"/>
        <v/>
      </c>
      <c r="AB615" s="16"/>
      <c r="AC615" s="16"/>
      <c r="AD615" s="16"/>
      <c r="AE615" s="16" t="str">
        <f t="shared" si="12"/>
        <v/>
      </c>
      <c r="AF615" s="16" t="str">
        <f t="shared" si="13"/>
        <v/>
      </c>
      <c r="AG615" s="44"/>
      <c r="AH615" s="44"/>
      <c r="AI615" s="44" t="str">
        <f>IFERROR(__xludf.DUMMYFUNCTION("TEXTJOIN("", "",TRUE, FILTER(Data!P:P, Data!B:B=A615))"),"")</f>
        <v/>
      </c>
      <c r="AM615" s="61"/>
      <c r="BC615" s="50"/>
    </row>
    <row r="616">
      <c r="A616" s="14"/>
      <c r="B616" s="55" t="str">
        <f>IFERROR(__xludf.DUMMYFUNCTION("IFERROR(ROUND(
(COUNTIF(FILTER(Data!O:O, Data!B:B=A616), ""Win"")
+ COUNTIF(FILTER(Data!O:O, Data!B:B=A616), {""Tie"",""Results""}))
/ (COUNTIF(Data!B:B, A616)),
1),"""")"),"")</f>
        <v/>
      </c>
      <c r="C616" s="45" t="str">
        <f>IFERROR((SUMIF(Data!B:B, A616, Data!H:H)
/ (COUNTIF(Data!B:B, A616)
)),"")</f>
        <v/>
      </c>
      <c r="D616" s="45" t="str">
        <f>IFERROR((SUMIF(Data!B:B, A616, Data!G:G)
/ (COUNTIF(Data!B:B, A616)
)),"")</f>
        <v/>
      </c>
      <c r="E616" s="45"/>
      <c r="F616" s="45" t="str">
        <f>IFERROR((SUMIF(Data!B:B, A616, Data!J:J)
/ (COUNTIF(Data!B:B, A616)
)),"")</f>
        <v/>
      </c>
      <c r="G616" s="56" t="str">
        <f>IF(A616="","",IFERROR((((((SUMIF(Data!B:B, A616, Data!H:H)+(SUMIF(Data!B:B, A616,Data!G:G)))/(SUMIF(Data!B:B, A616, Data!J:J)))))),0))</f>
        <v/>
      </c>
      <c r="H616" s="45"/>
      <c r="I616" s="45"/>
      <c r="J616" s="45"/>
      <c r="K616" s="45"/>
      <c r="L616" s="45" t="str">
        <f>IFERROR((SUMIF(Data!B:B, A616, Data!L:L)
/ (COUNTIF(Data!B:B, A616)
)),"")</f>
        <v/>
      </c>
      <c r="M616" s="45" t="str">
        <f>IFERROR((SUMIF(Data!B:B, A616, Data!K:K)
/ (COUNTIF(Data!B:B, A616)
)),"")</f>
        <v/>
      </c>
      <c r="N616" s="56"/>
      <c r="O616" s="56" t="str">
        <f>IF(A616="","",IFERROR((((((SUMIF(Data!B:B, A616, Data!H:H)+(SUMIF(Data!B:B, A616,Data!G:G)+(SUMIF(Data!B:B, A616,Data!L:L)+(SUMIF(Data!B:B, A616,Data!K:K)))))/(SUMIF(Data!B:B, A616, Data!M:M)+(SUMIF(Data!B:B, A616, Data!H:H)+(SUMIF(Data!B:B, A616,Data!G:G)+(SUMIF(Data!B:B, A616,Data!K:K)+(SUMIF(Data!B:B, A616,Data!L:L)))))))))),0))</f>
        <v/>
      </c>
      <c r="P616" s="57" t="str">
        <f>IFERROR(__xludf.DUMMYFUNCTION("IFERROR(((COUNTIF(FILTER(Data!N:N,Data!B:B=A616),""TRAVERSE"")*15)+(COUNTIF(FILTER(Data!N:N,Data!B:B=A616),""HIGH"")*10)+(COUNTIF(FILTER(Data!N:N,Data!B:B=A616),""MIDDLE"")*6)+(COUNTIF(FILTER(Data!N:N,Data!B:B=A616),""LOW"")*4)) / (COUNTIF(Data!B:B, A616)"&amp;"),"""")"),"")</f>
        <v/>
      </c>
      <c r="Q616" s="58"/>
      <c r="R616" s="58"/>
      <c r="S616" s="58" t="str">
        <f>IFERROR(__xludf.DUMMYFUNCTION("IFERROR((((COUNTIF(FILTER(Data!N:N,Data!B:B=A616),""TRAVERSE""))+(COUNTIF(FILTER(Data!N:N,Data!B:B=A616),""HIGH""))+(COUNTIF(FILTER(Data!N:N,Data!B:B=A616),""MIDDLE""))+(COUNTIF(FILTER(Data!N:N,Data!B:B=A616),""LOW"")))) / (((COUNTIF(Data!B:B, A616)))-(CO"&amp;"UNTIF(FILTER(Data!N:N,Data!B:B=A616),""NONE""))),IF(ISBLANK(A616),"""",0))"),"")</f>
        <v/>
      </c>
      <c r="T616" s="56" t="str">
        <f>IFERROR(__xludf.DUMMYFUNCTION("IFERROR((COUNTIF(FILTER(Data!N:N, Data!B:B=A616),""LOW"")) / (COUNTIF(Data!B:B, A616)),"""")"),"")</f>
        <v/>
      </c>
      <c r="U616" s="59" t="str">
        <f>IFERROR(__xludf.DUMMYFUNCTION("IFERROR((COUNTIF(FILTER(Data!N:N, Data!B:B=A616),""MIDDLE"")) / (COUNTIF(Data!B:B, A616)),"""")"),"")</f>
        <v/>
      </c>
      <c r="V616" s="59" t="str">
        <f>IFERROR(__xludf.DUMMYFUNCTION("IFERROR((COUNTIF(FILTER(Data!N:N, Data!B:B=A616),""HIGH"")) / (COUNTIF(Data!B:B, A616)),"""")"),"")</f>
        <v/>
      </c>
      <c r="W616" s="59" t="str">
        <f>IFERROR(__xludf.DUMMYFUNCTION("IFERROR((COUNTIF(FILTER(Data!N:N, Data!B:B=A616),""TRAVERSE"")) / (COUNTIF(Data!B:B, A616)),"""")"),"")</f>
        <v/>
      </c>
      <c r="X616" s="59"/>
      <c r="Y616" s="45" t="str">
        <f t="shared" si="7"/>
        <v/>
      </c>
      <c r="Z616" s="45" t="str">
        <f t="shared" si="8"/>
        <v/>
      </c>
      <c r="AA616" s="16" t="str">
        <f t="shared" si="9"/>
        <v/>
      </c>
      <c r="AB616" s="16"/>
      <c r="AC616" s="16"/>
      <c r="AD616" s="16"/>
      <c r="AE616" s="16" t="str">
        <f t="shared" si="12"/>
        <v/>
      </c>
      <c r="AF616" s="16" t="str">
        <f t="shared" si="13"/>
        <v/>
      </c>
      <c r="AG616" s="44"/>
      <c r="AH616" s="44"/>
      <c r="AI616" s="44" t="str">
        <f>IFERROR(__xludf.DUMMYFUNCTION("TEXTJOIN("", "",TRUE, FILTER(Data!P:P, Data!B:B=A616))"),"")</f>
        <v/>
      </c>
      <c r="AM616" s="61"/>
      <c r="BC616" s="50"/>
    </row>
    <row r="617">
      <c r="A617" s="14"/>
      <c r="B617" s="55" t="str">
        <f>IFERROR(__xludf.DUMMYFUNCTION("IFERROR(ROUND(
(COUNTIF(FILTER(Data!O:O, Data!B:B=A617), ""Win"")
+ COUNTIF(FILTER(Data!O:O, Data!B:B=A617), {""Tie"",""Results""}))
/ (COUNTIF(Data!B:B, A617)),
1),"""")"),"")</f>
        <v/>
      </c>
      <c r="C617" s="45" t="str">
        <f>IFERROR((SUMIF(Data!B:B, A617, Data!H:H)
/ (COUNTIF(Data!B:B, A617)
)),"")</f>
        <v/>
      </c>
      <c r="D617" s="45" t="str">
        <f>IFERROR((SUMIF(Data!B:B, A617, Data!G:G)
/ (COUNTIF(Data!B:B, A617)
)),"")</f>
        <v/>
      </c>
      <c r="E617" s="45"/>
      <c r="F617" s="45" t="str">
        <f>IFERROR((SUMIF(Data!B:B, A617, Data!J:J)
/ (COUNTIF(Data!B:B, A617)
)),"")</f>
        <v/>
      </c>
      <c r="G617" s="56" t="str">
        <f>IF(A617="","",IFERROR((((((SUMIF(Data!B:B, A617, Data!H:H)+(SUMIF(Data!B:B, A617,Data!G:G)))/(SUMIF(Data!B:B, A617, Data!J:J)))))),0))</f>
        <v/>
      </c>
      <c r="H617" s="45"/>
      <c r="I617" s="45"/>
      <c r="J617" s="45"/>
      <c r="K617" s="45"/>
      <c r="L617" s="45" t="str">
        <f>IFERROR((SUMIF(Data!B:B, A617, Data!L:L)
/ (COUNTIF(Data!B:B, A617)
)),"")</f>
        <v/>
      </c>
      <c r="M617" s="45" t="str">
        <f>IFERROR((SUMIF(Data!B:B, A617, Data!K:K)
/ (COUNTIF(Data!B:B, A617)
)),"")</f>
        <v/>
      </c>
      <c r="N617" s="56"/>
      <c r="O617" s="56" t="str">
        <f>IF(A617="","",IFERROR((((((SUMIF(Data!B:B, A617, Data!H:H)+(SUMIF(Data!B:B, A617,Data!G:G)+(SUMIF(Data!B:B, A617,Data!L:L)+(SUMIF(Data!B:B, A617,Data!K:K)))))/(SUMIF(Data!B:B, A617, Data!M:M)+(SUMIF(Data!B:B, A617, Data!H:H)+(SUMIF(Data!B:B, A617,Data!G:G)+(SUMIF(Data!B:B, A617,Data!K:K)+(SUMIF(Data!B:B, A617,Data!L:L)))))))))),0))</f>
        <v/>
      </c>
      <c r="P617" s="57" t="str">
        <f>IFERROR(__xludf.DUMMYFUNCTION("IFERROR(((COUNTIF(FILTER(Data!N:N,Data!B:B=A617),""TRAVERSE"")*15)+(COUNTIF(FILTER(Data!N:N,Data!B:B=A617),""HIGH"")*10)+(COUNTIF(FILTER(Data!N:N,Data!B:B=A617),""MIDDLE"")*6)+(COUNTIF(FILTER(Data!N:N,Data!B:B=A617),""LOW"")*4)) / (COUNTIF(Data!B:B, A617)"&amp;"),"""")"),"")</f>
        <v/>
      </c>
      <c r="Q617" s="58"/>
      <c r="R617" s="58"/>
      <c r="S617" s="58" t="str">
        <f>IFERROR(__xludf.DUMMYFUNCTION("IFERROR((((COUNTIF(FILTER(Data!N:N,Data!B:B=A617),""TRAVERSE""))+(COUNTIF(FILTER(Data!N:N,Data!B:B=A617),""HIGH""))+(COUNTIF(FILTER(Data!N:N,Data!B:B=A617),""MIDDLE""))+(COUNTIF(FILTER(Data!N:N,Data!B:B=A617),""LOW"")))) / (((COUNTIF(Data!B:B, A617)))-(CO"&amp;"UNTIF(FILTER(Data!N:N,Data!B:B=A617),""NONE""))),IF(ISBLANK(A617),"""",0))"),"")</f>
        <v/>
      </c>
      <c r="T617" s="56" t="str">
        <f>IFERROR(__xludf.DUMMYFUNCTION("IFERROR((COUNTIF(FILTER(Data!N:N, Data!B:B=A617),""LOW"")) / (COUNTIF(Data!B:B, A617)),"""")"),"")</f>
        <v/>
      </c>
      <c r="U617" s="59" t="str">
        <f>IFERROR(__xludf.DUMMYFUNCTION("IFERROR((COUNTIF(FILTER(Data!N:N, Data!B:B=A617),""MIDDLE"")) / (COUNTIF(Data!B:B, A617)),"""")"),"")</f>
        <v/>
      </c>
      <c r="V617" s="59" t="str">
        <f>IFERROR(__xludf.DUMMYFUNCTION("IFERROR((COUNTIF(FILTER(Data!N:N, Data!B:B=A617),""HIGH"")) / (COUNTIF(Data!B:B, A617)),"""")"),"")</f>
        <v/>
      </c>
      <c r="W617" s="59" t="str">
        <f>IFERROR(__xludf.DUMMYFUNCTION("IFERROR((COUNTIF(FILTER(Data!N:N, Data!B:B=A617),""TRAVERSE"")) / (COUNTIF(Data!B:B, A617)),"""")"),"")</f>
        <v/>
      </c>
      <c r="X617" s="59"/>
      <c r="Y617" s="45" t="str">
        <f t="shared" si="7"/>
        <v/>
      </c>
      <c r="Z617" s="45" t="str">
        <f t="shared" si="8"/>
        <v/>
      </c>
      <c r="AA617" s="16" t="str">
        <f t="shared" si="9"/>
        <v/>
      </c>
      <c r="AB617" s="16"/>
      <c r="AC617" s="16"/>
      <c r="AD617" s="16"/>
      <c r="AE617" s="16" t="str">
        <f t="shared" si="12"/>
        <v/>
      </c>
      <c r="AF617" s="16" t="str">
        <f t="shared" si="13"/>
        <v/>
      </c>
      <c r="AG617" s="44"/>
      <c r="AH617" s="44"/>
      <c r="AI617" s="44" t="str">
        <f>IFERROR(__xludf.DUMMYFUNCTION("TEXTJOIN("", "",TRUE, FILTER(Data!P:P, Data!B:B=A617))"),"")</f>
        <v/>
      </c>
      <c r="AM617" s="61"/>
      <c r="BC617" s="50"/>
    </row>
    <row r="618">
      <c r="A618" s="14"/>
      <c r="B618" s="55" t="str">
        <f>IFERROR(__xludf.DUMMYFUNCTION("IFERROR(ROUND(
(COUNTIF(FILTER(Data!O:O, Data!B:B=A618), ""Win"")
+ COUNTIF(FILTER(Data!O:O, Data!B:B=A618), {""Tie"",""Results""}))
/ (COUNTIF(Data!B:B, A618)),
1),"""")"),"")</f>
        <v/>
      </c>
      <c r="C618" s="45" t="str">
        <f>IFERROR((SUMIF(Data!B:B, A618, Data!H:H)
/ (COUNTIF(Data!B:B, A618)
)),"")</f>
        <v/>
      </c>
      <c r="D618" s="45" t="str">
        <f>IFERROR((SUMIF(Data!B:B, A618, Data!G:G)
/ (COUNTIF(Data!B:B, A618)
)),"")</f>
        <v/>
      </c>
      <c r="E618" s="45"/>
      <c r="F618" s="45" t="str">
        <f>IFERROR((SUMIF(Data!B:B, A618, Data!J:J)
/ (COUNTIF(Data!B:B, A618)
)),"")</f>
        <v/>
      </c>
      <c r="G618" s="56" t="str">
        <f>IF(A618="","",IFERROR((((((SUMIF(Data!B:B, A618, Data!H:H)+(SUMIF(Data!B:B, A618,Data!G:G)))/(SUMIF(Data!B:B, A618, Data!J:J)))))),0))</f>
        <v/>
      </c>
      <c r="H618" s="45"/>
      <c r="I618" s="45"/>
      <c r="J618" s="45"/>
      <c r="K618" s="45"/>
      <c r="L618" s="45" t="str">
        <f>IFERROR((SUMIF(Data!B:B, A618, Data!L:L)
/ (COUNTIF(Data!B:B, A618)
)),"")</f>
        <v/>
      </c>
      <c r="M618" s="45" t="str">
        <f>IFERROR((SUMIF(Data!B:B, A618, Data!K:K)
/ (COUNTIF(Data!B:B, A618)
)),"")</f>
        <v/>
      </c>
      <c r="N618" s="56"/>
      <c r="O618" s="56" t="str">
        <f>IF(A618="","",IFERROR((((((SUMIF(Data!B:B, A618, Data!H:H)+(SUMIF(Data!B:B, A618,Data!G:G)+(SUMIF(Data!B:B, A618,Data!L:L)+(SUMIF(Data!B:B, A618,Data!K:K)))))/(SUMIF(Data!B:B, A618, Data!M:M)+(SUMIF(Data!B:B, A618, Data!H:H)+(SUMIF(Data!B:B, A618,Data!G:G)+(SUMIF(Data!B:B, A618,Data!K:K)+(SUMIF(Data!B:B, A618,Data!L:L)))))))))),0))</f>
        <v/>
      </c>
      <c r="P618" s="57" t="str">
        <f>IFERROR(__xludf.DUMMYFUNCTION("IFERROR(((COUNTIF(FILTER(Data!N:N,Data!B:B=A618),""TRAVERSE"")*15)+(COUNTIF(FILTER(Data!N:N,Data!B:B=A618),""HIGH"")*10)+(COUNTIF(FILTER(Data!N:N,Data!B:B=A618),""MIDDLE"")*6)+(COUNTIF(FILTER(Data!N:N,Data!B:B=A618),""LOW"")*4)) / (COUNTIF(Data!B:B, A618)"&amp;"),"""")"),"")</f>
        <v/>
      </c>
      <c r="Q618" s="58"/>
      <c r="R618" s="58"/>
      <c r="S618" s="58" t="str">
        <f>IFERROR(__xludf.DUMMYFUNCTION("IFERROR((((COUNTIF(FILTER(Data!N:N,Data!B:B=A618),""TRAVERSE""))+(COUNTIF(FILTER(Data!N:N,Data!B:B=A618),""HIGH""))+(COUNTIF(FILTER(Data!N:N,Data!B:B=A618),""MIDDLE""))+(COUNTIF(FILTER(Data!N:N,Data!B:B=A618),""LOW"")))) / (((COUNTIF(Data!B:B, A618)))-(CO"&amp;"UNTIF(FILTER(Data!N:N,Data!B:B=A618),""NONE""))),IF(ISBLANK(A618),"""",0))"),"")</f>
        <v/>
      </c>
      <c r="T618" s="56" t="str">
        <f>IFERROR(__xludf.DUMMYFUNCTION("IFERROR((COUNTIF(FILTER(Data!N:N, Data!B:B=A618),""LOW"")) / (COUNTIF(Data!B:B, A618)),"""")"),"")</f>
        <v/>
      </c>
      <c r="U618" s="59" t="str">
        <f>IFERROR(__xludf.DUMMYFUNCTION("IFERROR((COUNTIF(FILTER(Data!N:N, Data!B:B=A618),""MIDDLE"")) / (COUNTIF(Data!B:B, A618)),"""")"),"")</f>
        <v/>
      </c>
      <c r="V618" s="59" t="str">
        <f>IFERROR(__xludf.DUMMYFUNCTION("IFERROR((COUNTIF(FILTER(Data!N:N, Data!B:B=A618),""HIGH"")) / (COUNTIF(Data!B:B, A618)),"""")"),"")</f>
        <v/>
      </c>
      <c r="W618" s="59" t="str">
        <f>IFERROR(__xludf.DUMMYFUNCTION("IFERROR((COUNTIF(FILTER(Data!N:N, Data!B:B=A618),""TRAVERSE"")) / (COUNTIF(Data!B:B, A618)),"""")"),"")</f>
        <v/>
      </c>
      <c r="X618" s="59"/>
      <c r="Y618" s="45" t="str">
        <f t="shared" si="7"/>
        <v/>
      </c>
      <c r="Z618" s="45" t="str">
        <f t="shared" si="8"/>
        <v/>
      </c>
      <c r="AA618" s="16" t="str">
        <f t="shared" si="9"/>
        <v/>
      </c>
      <c r="AB618" s="16"/>
      <c r="AC618" s="16"/>
      <c r="AD618" s="16"/>
      <c r="AE618" s="16" t="str">
        <f t="shared" si="12"/>
        <v/>
      </c>
      <c r="AF618" s="16" t="str">
        <f t="shared" si="13"/>
        <v/>
      </c>
      <c r="AG618" s="44"/>
      <c r="AH618" s="44"/>
      <c r="AI618" s="44" t="str">
        <f>IFERROR(__xludf.DUMMYFUNCTION("TEXTJOIN("", "",TRUE, FILTER(Data!P:P, Data!B:B=A618))"),"")</f>
        <v/>
      </c>
      <c r="AM618" s="61"/>
      <c r="BC618" s="50"/>
    </row>
    <row r="619">
      <c r="A619" s="14"/>
      <c r="B619" s="55" t="str">
        <f>IFERROR(__xludf.DUMMYFUNCTION("IFERROR(ROUND(
(COUNTIF(FILTER(Data!O:O, Data!B:B=A619), ""Win"")
+ COUNTIF(FILTER(Data!O:O, Data!B:B=A619), {""Tie"",""Results""}))
/ (COUNTIF(Data!B:B, A619)),
1),"""")"),"")</f>
        <v/>
      </c>
      <c r="C619" s="45" t="str">
        <f>IFERROR((SUMIF(Data!B:B, A619, Data!H:H)
/ (COUNTIF(Data!B:B, A619)
)),"")</f>
        <v/>
      </c>
      <c r="D619" s="45" t="str">
        <f>IFERROR((SUMIF(Data!B:B, A619, Data!G:G)
/ (COUNTIF(Data!B:B, A619)
)),"")</f>
        <v/>
      </c>
      <c r="E619" s="45"/>
      <c r="F619" s="45" t="str">
        <f>IFERROR((SUMIF(Data!B:B, A619, Data!J:J)
/ (COUNTIF(Data!B:B, A619)
)),"")</f>
        <v/>
      </c>
      <c r="G619" s="56" t="str">
        <f>IF(A619="","",IFERROR((((((SUMIF(Data!B:B, A619, Data!H:H)+(SUMIF(Data!B:B, A619,Data!G:G)))/(SUMIF(Data!B:B, A619, Data!J:J)))))),0))</f>
        <v/>
      </c>
      <c r="H619" s="45"/>
      <c r="I619" s="45"/>
      <c r="J619" s="45"/>
      <c r="K619" s="45"/>
      <c r="L619" s="45" t="str">
        <f>IFERROR((SUMIF(Data!B:B, A619, Data!L:L)
/ (COUNTIF(Data!B:B, A619)
)),"")</f>
        <v/>
      </c>
      <c r="M619" s="45" t="str">
        <f>IFERROR((SUMIF(Data!B:B, A619, Data!K:K)
/ (COUNTIF(Data!B:B, A619)
)),"")</f>
        <v/>
      </c>
      <c r="N619" s="56"/>
      <c r="O619" s="56" t="str">
        <f>IF(A619="","",IFERROR((((((SUMIF(Data!B:B, A619, Data!H:H)+(SUMIF(Data!B:B, A619,Data!G:G)+(SUMIF(Data!B:B, A619,Data!L:L)+(SUMIF(Data!B:B, A619,Data!K:K)))))/(SUMIF(Data!B:B, A619, Data!M:M)+(SUMIF(Data!B:B, A619, Data!H:H)+(SUMIF(Data!B:B, A619,Data!G:G)+(SUMIF(Data!B:B, A619,Data!K:K)+(SUMIF(Data!B:B, A619,Data!L:L)))))))))),0))</f>
        <v/>
      </c>
      <c r="P619" s="57" t="str">
        <f>IFERROR(__xludf.DUMMYFUNCTION("IFERROR(((COUNTIF(FILTER(Data!N:N,Data!B:B=A619),""TRAVERSE"")*15)+(COUNTIF(FILTER(Data!N:N,Data!B:B=A619),""HIGH"")*10)+(COUNTIF(FILTER(Data!N:N,Data!B:B=A619),""MIDDLE"")*6)+(COUNTIF(FILTER(Data!N:N,Data!B:B=A619),""LOW"")*4)) / (COUNTIF(Data!B:B, A619)"&amp;"),"""")"),"")</f>
        <v/>
      </c>
      <c r="Q619" s="58"/>
      <c r="R619" s="58"/>
      <c r="S619" s="58" t="str">
        <f>IFERROR(__xludf.DUMMYFUNCTION("IFERROR((((COUNTIF(FILTER(Data!N:N,Data!B:B=A619),""TRAVERSE""))+(COUNTIF(FILTER(Data!N:N,Data!B:B=A619),""HIGH""))+(COUNTIF(FILTER(Data!N:N,Data!B:B=A619),""MIDDLE""))+(COUNTIF(FILTER(Data!N:N,Data!B:B=A619),""LOW"")))) / (((COUNTIF(Data!B:B, A619)))-(CO"&amp;"UNTIF(FILTER(Data!N:N,Data!B:B=A619),""NONE""))),IF(ISBLANK(A619),"""",0))"),"")</f>
        <v/>
      </c>
      <c r="T619" s="56" t="str">
        <f>IFERROR(__xludf.DUMMYFUNCTION("IFERROR((COUNTIF(FILTER(Data!N:N, Data!B:B=A619),""LOW"")) / (COUNTIF(Data!B:B, A619)),"""")"),"")</f>
        <v/>
      </c>
      <c r="U619" s="59" t="str">
        <f>IFERROR(__xludf.DUMMYFUNCTION("IFERROR((COUNTIF(FILTER(Data!N:N, Data!B:B=A619),""MIDDLE"")) / (COUNTIF(Data!B:B, A619)),"""")"),"")</f>
        <v/>
      </c>
      <c r="V619" s="59" t="str">
        <f>IFERROR(__xludf.DUMMYFUNCTION("IFERROR((COUNTIF(FILTER(Data!N:N, Data!B:B=A619),""HIGH"")) / (COUNTIF(Data!B:B, A619)),"""")"),"")</f>
        <v/>
      </c>
      <c r="W619" s="59" t="str">
        <f>IFERROR(__xludf.DUMMYFUNCTION("IFERROR((COUNTIF(FILTER(Data!N:N, Data!B:B=A619),""TRAVERSE"")) / (COUNTIF(Data!B:B, A619)),"""")"),"")</f>
        <v/>
      </c>
      <c r="X619" s="59"/>
      <c r="Y619" s="45" t="str">
        <f t="shared" si="7"/>
        <v/>
      </c>
      <c r="Z619" s="45" t="str">
        <f t="shared" si="8"/>
        <v/>
      </c>
      <c r="AA619" s="16" t="str">
        <f t="shared" si="9"/>
        <v/>
      </c>
      <c r="AB619" s="16"/>
      <c r="AC619" s="16"/>
      <c r="AD619" s="16"/>
      <c r="AE619" s="16" t="str">
        <f t="shared" si="12"/>
        <v/>
      </c>
      <c r="AF619" s="16" t="str">
        <f t="shared" si="13"/>
        <v/>
      </c>
      <c r="AG619" s="44"/>
      <c r="AH619" s="44"/>
      <c r="AI619" s="44" t="str">
        <f>IFERROR(__xludf.DUMMYFUNCTION("TEXTJOIN("", "",TRUE, FILTER(Data!P:P, Data!B:B=A619))"),"")</f>
        <v/>
      </c>
      <c r="AM619" s="61"/>
      <c r="BC619" s="50"/>
    </row>
    <row r="620">
      <c r="A620" s="14"/>
      <c r="B620" s="55" t="str">
        <f>IFERROR(__xludf.DUMMYFUNCTION("IFERROR(ROUND(
(COUNTIF(FILTER(Data!O:O, Data!B:B=A620), ""Win"")
+ COUNTIF(FILTER(Data!O:O, Data!B:B=A620), {""Tie"",""Results""}))
/ (COUNTIF(Data!B:B, A620)),
1),"""")"),"")</f>
        <v/>
      </c>
      <c r="C620" s="45" t="str">
        <f>IFERROR((SUMIF(Data!B:B, A620, Data!H:H)
/ (COUNTIF(Data!B:B, A620)
)),"")</f>
        <v/>
      </c>
      <c r="D620" s="45" t="str">
        <f>IFERROR((SUMIF(Data!B:B, A620, Data!G:G)
/ (COUNTIF(Data!B:B, A620)
)),"")</f>
        <v/>
      </c>
      <c r="E620" s="45"/>
      <c r="F620" s="45" t="str">
        <f>IFERROR((SUMIF(Data!B:B, A620, Data!J:J)
/ (COUNTIF(Data!B:B, A620)
)),"")</f>
        <v/>
      </c>
      <c r="G620" s="56" t="str">
        <f>IF(A620="","",IFERROR((((((SUMIF(Data!B:B, A620, Data!H:H)+(SUMIF(Data!B:B, A620,Data!G:G)))/(SUMIF(Data!B:B, A620, Data!J:J)))))),0))</f>
        <v/>
      </c>
      <c r="H620" s="45"/>
      <c r="I620" s="45"/>
      <c r="J620" s="45"/>
      <c r="K620" s="45"/>
      <c r="L620" s="45" t="str">
        <f>IFERROR((SUMIF(Data!B:B, A620, Data!L:L)
/ (COUNTIF(Data!B:B, A620)
)),"")</f>
        <v/>
      </c>
      <c r="M620" s="45" t="str">
        <f>IFERROR((SUMIF(Data!B:B, A620, Data!K:K)
/ (COUNTIF(Data!B:B, A620)
)),"")</f>
        <v/>
      </c>
      <c r="N620" s="56"/>
      <c r="O620" s="56" t="str">
        <f>IF(A620="","",IFERROR((((((SUMIF(Data!B:B, A620, Data!H:H)+(SUMIF(Data!B:B, A620,Data!G:G)+(SUMIF(Data!B:B, A620,Data!L:L)+(SUMIF(Data!B:B, A620,Data!K:K)))))/(SUMIF(Data!B:B, A620, Data!M:M)+(SUMIF(Data!B:B, A620, Data!H:H)+(SUMIF(Data!B:B, A620,Data!G:G)+(SUMIF(Data!B:B, A620,Data!K:K)+(SUMIF(Data!B:B, A620,Data!L:L)))))))))),0))</f>
        <v/>
      </c>
      <c r="P620" s="57" t="str">
        <f>IFERROR(__xludf.DUMMYFUNCTION("IFERROR(((COUNTIF(FILTER(Data!N:N,Data!B:B=A620),""TRAVERSE"")*15)+(COUNTIF(FILTER(Data!N:N,Data!B:B=A620),""HIGH"")*10)+(COUNTIF(FILTER(Data!N:N,Data!B:B=A620),""MIDDLE"")*6)+(COUNTIF(FILTER(Data!N:N,Data!B:B=A620),""LOW"")*4)) / (COUNTIF(Data!B:B, A620)"&amp;"),"""")"),"")</f>
        <v/>
      </c>
      <c r="Q620" s="58"/>
      <c r="R620" s="58"/>
      <c r="S620" s="58" t="str">
        <f>IFERROR(__xludf.DUMMYFUNCTION("IFERROR((((COUNTIF(FILTER(Data!N:N,Data!B:B=A620),""TRAVERSE""))+(COUNTIF(FILTER(Data!N:N,Data!B:B=A620),""HIGH""))+(COUNTIF(FILTER(Data!N:N,Data!B:B=A620),""MIDDLE""))+(COUNTIF(FILTER(Data!N:N,Data!B:B=A620),""LOW"")))) / (((COUNTIF(Data!B:B, A620)))-(CO"&amp;"UNTIF(FILTER(Data!N:N,Data!B:B=A620),""NONE""))),IF(ISBLANK(A620),"""",0))"),"")</f>
        <v/>
      </c>
      <c r="T620" s="56" t="str">
        <f>IFERROR(__xludf.DUMMYFUNCTION("IFERROR((COUNTIF(FILTER(Data!N:N, Data!B:B=A620),""LOW"")) / (COUNTIF(Data!B:B, A620)),"""")"),"")</f>
        <v/>
      </c>
      <c r="U620" s="59" t="str">
        <f>IFERROR(__xludf.DUMMYFUNCTION("IFERROR((COUNTIF(FILTER(Data!N:N, Data!B:B=A620),""MIDDLE"")) / (COUNTIF(Data!B:B, A620)),"""")"),"")</f>
        <v/>
      </c>
      <c r="V620" s="59" t="str">
        <f>IFERROR(__xludf.DUMMYFUNCTION("IFERROR((COUNTIF(FILTER(Data!N:N, Data!B:B=A620),""HIGH"")) / (COUNTIF(Data!B:B, A620)),"""")"),"")</f>
        <v/>
      </c>
      <c r="W620" s="59" t="str">
        <f>IFERROR(__xludf.DUMMYFUNCTION("IFERROR((COUNTIF(FILTER(Data!N:N, Data!B:B=A620),""TRAVERSE"")) / (COUNTIF(Data!B:B, A620)),"""")"),"")</f>
        <v/>
      </c>
      <c r="X620" s="59"/>
      <c r="Y620" s="45" t="str">
        <f t="shared" si="7"/>
        <v/>
      </c>
      <c r="Z620" s="45" t="str">
        <f t="shared" si="8"/>
        <v/>
      </c>
      <c r="AA620" s="16" t="str">
        <f t="shared" si="9"/>
        <v/>
      </c>
      <c r="AB620" s="16"/>
      <c r="AC620" s="16"/>
      <c r="AD620" s="16"/>
      <c r="AE620" s="16" t="str">
        <f t="shared" si="12"/>
        <v/>
      </c>
      <c r="AF620" s="16" t="str">
        <f t="shared" si="13"/>
        <v/>
      </c>
      <c r="AG620" s="44"/>
      <c r="AH620" s="44"/>
      <c r="AI620" s="44" t="str">
        <f>IFERROR(__xludf.DUMMYFUNCTION("TEXTJOIN("", "",TRUE, FILTER(Data!P:P, Data!B:B=A620))"),"")</f>
        <v/>
      </c>
      <c r="AM620" s="61"/>
      <c r="BC620" s="50"/>
    </row>
    <row r="621">
      <c r="A621" s="14"/>
      <c r="B621" s="55" t="str">
        <f>IFERROR(__xludf.DUMMYFUNCTION("IFERROR(ROUND(
(COUNTIF(FILTER(Data!O:O, Data!B:B=A621), ""Win"")
+ COUNTIF(FILTER(Data!O:O, Data!B:B=A621), {""Tie"",""Results""}))
/ (COUNTIF(Data!B:B, A621)),
1),"""")"),"")</f>
        <v/>
      </c>
      <c r="C621" s="45" t="str">
        <f>IFERROR((SUMIF(Data!B:B, A621, Data!H:H)
/ (COUNTIF(Data!B:B, A621)
)),"")</f>
        <v/>
      </c>
      <c r="D621" s="45" t="str">
        <f>IFERROR((SUMIF(Data!B:B, A621, Data!G:G)
/ (COUNTIF(Data!B:B, A621)
)),"")</f>
        <v/>
      </c>
      <c r="E621" s="45"/>
      <c r="F621" s="45" t="str">
        <f>IFERROR((SUMIF(Data!B:B, A621, Data!J:J)
/ (COUNTIF(Data!B:B, A621)
)),"")</f>
        <v/>
      </c>
      <c r="G621" s="56" t="str">
        <f>IF(A621="","",IFERROR((((((SUMIF(Data!B:B, A621, Data!H:H)+(SUMIF(Data!B:B, A621,Data!G:G)))/(SUMIF(Data!B:B, A621, Data!J:J)))))),0))</f>
        <v/>
      </c>
      <c r="H621" s="45"/>
      <c r="I621" s="45"/>
      <c r="J621" s="45"/>
      <c r="K621" s="45"/>
      <c r="L621" s="45" t="str">
        <f>IFERROR((SUMIF(Data!B:B, A621, Data!L:L)
/ (COUNTIF(Data!B:B, A621)
)),"")</f>
        <v/>
      </c>
      <c r="M621" s="45" t="str">
        <f>IFERROR((SUMIF(Data!B:B, A621, Data!K:K)
/ (COUNTIF(Data!B:B, A621)
)),"")</f>
        <v/>
      </c>
      <c r="N621" s="56"/>
      <c r="O621" s="56" t="str">
        <f>IF(A621="","",IFERROR((((((SUMIF(Data!B:B, A621, Data!H:H)+(SUMIF(Data!B:B, A621,Data!G:G)+(SUMIF(Data!B:B, A621,Data!L:L)+(SUMIF(Data!B:B, A621,Data!K:K)))))/(SUMIF(Data!B:B, A621, Data!M:M)+(SUMIF(Data!B:B, A621, Data!H:H)+(SUMIF(Data!B:B, A621,Data!G:G)+(SUMIF(Data!B:B, A621,Data!K:K)+(SUMIF(Data!B:B, A621,Data!L:L)))))))))),0))</f>
        <v/>
      </c>
      <c r="P621" s="57" t="str">
        <f>IFERROR(__xludf.DUMMYFUNCTION("IFERROR(((COUNTIF(FILTER(Data!N:N,Data!B:B=A621),""TRAVERSE"")*15)+(COUNTIF(FILTER(Data!N:N,Data!B:B=A621),""HIGH"")*10)+(COUNTIF(FILTER(Data!N:N,Data!B:B=A621),""MIDDLE"")*6)+(COUNTIF(FILTER(Data!N:N,Data!B:B=A621),""LOW"")*4)) / (COUNTIF(Data!B:B, A621)"&amp;"),"""")"),"")</f>
        <v/>
      </c>
      <c r="Q621" s="58"/>
      <c r="R621" s="58"/>
      <c r="S621" s="58" t="str">
        <f>IFERROR(__xludf.DUMMYFUNCTION("IFERROR((((COUNTIF(FILTER(Data!N:N,Data!B:B=A621),""TRAVERSE""))+(COUNTIF(FILTER(Data!N:N,Data!B:B=A621),""HIGH""))+(COUNTIF(FILTER(Data!N:N,Data!B:B=A621),""MIDDLE""))+(COUNTIF(FILTER(Data!N:N,Data!B:B=A621),""LOW"")))) / (((COUNTIF(Data!B:B, A621)))-(CO"&amp;"UNTIF(FILTER(Data!N:N,Data!B:B=A621),""NONE""))),IF(ISBLANK(A621),"""",0))"),"")</f>
        <v/>
      </c>
      <c r="T621" s="56" t="str">
        <f>IFERROR(__xludf.DUMMYFUNCTION("IFERROR((COUNTIF(FILTER(Data!N:N, Data!B:B=A621),""LOW"")) / (COUNTIF(Data!B:B, A621)),"""")"),"")</f>
        <v/>
      </c>
      <c r="U621" s="59" t="str">
        <f>IFERROR(__xludf.DUMMYFUNCTION("IFERROR((COUNTIF(FILTER(Data!N:N, Data!B:B=A621),""MIDDLE"")) / (COUNTIF(Data!B:B, A621)),"""")"),"")</f>
        <v/>
      </c>
      <c r="V621" s="59" t="str">
        <f>IFERROR(__xludf.DUMMYFUNCTION("IFERROR((COUNTIF(FILTER(Data!N:N, Data!B:B=A621),""HIGH"")) / (COUNTIF(Data!B:B, A621)),"""")"),"")</f>
        <v/>
      </c>
      <c r="W621" s="59" t="str">
        <f>IFERROR(__xludf.DUMMYFUNCTION("IFERROR((COUNTIF(FILTER(Data!N:N, Data!B:B=A621),""TRAVERSE"")) / (COUNTIF(Data!B:B, A621)),"""")"),"")</f>
        <v/>
      </c>
      <c r="X621" s="59"/>
      <c r="Y621" s="45" t="str">
        <f t="shared" si="7"/>
        <v/>
      </c>
      <c r="Z621" s="45" t="str">
        <f t="shared" si="8"/>
        <v/>
      </c>
      <c r="AA621" s="16" t="str">
        <f t="shared" si="9"/>
        <v/>
      </c>
      <c r="AB621" s="16"/>
      <c r="AC621" s="16"/>
      <c r="AD621" s="16"/>
      <c r="AE621" s="16" t="str">
        <f t="shared" si="12"/>
        <v/>
      </c>
      <c r="AF621" s="16" t="str">
        <f t="shared" si="13"/>
        <v/>
      </c>
      <c r="AG621" s="44"/>
      <c r="AH621" s="44"/>
      <c r="AI621" s="44" t="str">
        <f>IFERROR(__xludf.DUMMYFUNCTION("TEXTJOIN("", "",TRUE, FILTER(Data!P:P, Data!B:B=A621))"),"")</f>
        <v/>
      </c>
      <c r="AM621" s="61"/>
      <c r="BC621" s="50"/>
    </row>
    <row r="622">
      <c r="A622" s="14"/>
      <c r="B622" s="55" t="str">
        <f>IFERROR(__xludf.DUMMYFUNCTION("IFERROR(ROUND(
(COUNTIF(FILTER(Data!O:O, Data!B:B=A622), ""Win"")
+ COUNTIF(FILTER(Data!O:O, Data!B:B=A622), {""Tie"",""Results""}))
/ (COUNTIF(Data!B:B, A622)),
1),"""")"),"")</f>
        <v/>
      </c>
      <c r="C622" s="45" t="str">
        <f>IFERROR((SUMIF(Data!B:B, A622, Data!H:H)
/ (COUNTIF(Data!B:B, A622)
)),"")</f>
        <v/>
      </c>
      <c r="D622" s="45" t="str">
        <f>IFERROR((SUMIF(Data!B:B, A622, Data!G:G)
/ (COUNTIF(Data!B:B, A622)
)),"")</f>
        <v/>
      </c>
      <c r="E622" s="45"/>
      <c r="F622" s="45" t="str">
        <f>IFERROR((SUMIF(Data!B:B, A622, Data!J:J)
/ (COUNTIF(Data!B:B, A622)
)),"")</f>
        <v/>
      </c>
      <c r="G622" s="56" t="str">
        <f>IF(A622="","",IFERROR((((((SUMIF(Data!B:B, A622, Data!H:H)+(SUMIF(Data!B:B, A622,Data!G:G)))/(SUMIF(Data!B:B, A622, Data!J:J)))))),0))</f>
        <v/>
      </c>
      <c r="H622" s="45"/>
      <c r="I622" s="45"/>
      <c r="J622" s="45"/>
      <c r="K622" s="45"/>
      <c r="L622" s="45" t="str">
        <f>IFERROR((SUMIF(Data!B:B, A622, Data!L:L)
/ (COUNTIF(Data!B:B, A622)
)),"")</f>
        <v/>
      </c>
      <c r="M622" s="45" t="str">
        <f>IFERROR((SUMIF(Data!B:B, A622, Data!K:K)
/ (COUNTIF(Data!B:B, A622)
)),"")</f>
        <v/>
      </c>
      <c r="N622" s="56"/>
      <c r="O622" s="56" t="str">
        <f>IF(A622="","",IFERROR((((((SUMIF(Data!B:B, A622, Data!H:H)+(SUMIF(Data!B:B, A622,Data!G:G)+(SUMIF(Data!B:B, A622,Data!L:L)+(SUMIF(Data!B:B, A622,Data!K:K)))))/(SUMIF(Data!B:B, A622, Data!M:M)+(SUMIF(Data!B:B, A622, Data!H:H)+(SUMIF(Data!B:B, A622,Data!G:G)+(SUMIF(Data!B:B, A622,Data!K:K)+(SUMIF(Data!B:B, A622,Data!L:L)))))))))),0))</f>
        <v/>
      </c>
      <c r="P622" s="57" t="str">
        <f>IFERROR(__xludf.DUMMYFUNCTION("IFERROR(((COUNTIF(FILTER(Data!N:N,Data!B:B=A622),""TRAVERSE"")*15)+(COUNTIF(FILTER(Data!N:N,Data!B:B=A622),""HIGH"")*10)+(COUNTIF(FILTER(Data!N:N,Data!B:B=A622),""MIDDLE"")*6)+(COUNTIF(FILTER(Data!N:N,Data!B:B=A622),""LOW"")*4)) / (COUNTIF(Data!B:B, A622)"&amp;"),"""")"),"")</f>
        <v/>
      </c>
      <c r="Q622" s="58"/>
      <c r="R622" s="58"/>
      <c r="S622" s="58" t="str">
        <f>IFERROR(__xludf.DUMMYFUNCTION("IFERROR((((COUNTIF(FILTER(Data!N:N,Data!B:B=A622),""TRAVERSE""))+(COUNTIF(FILTER(Data!N:N,Data!B:B=A622),""HIGH""))+(COUNTIF(FILTER(Data!N:N,Data!B:B=A622),""MIDDLE""))+(COUNTIF(FILTER(Data!N:N,Data!B:B=A622),""LOW"")))) / (((COUNTIF(Data!B:B, A622)))-(CO"&amp;"UNTIF(FILTER(Data!N:N,Data!B:B=A622),""NONE""))),IF(ISBLANK(A622),"""",0))"),"")</f>
        <v/>
      </c>
      <c r="T622" s="56" t="str">
        <f>IFERROR(__xludf.DUMMYFUNCTION("IFERROR((COUNTIF(FILTER(Data!N:N, Data!B:B=A622),""LOW"")) / (COUNTIF(Data!B:B, A622)),"""")"),"")</f>
        <v/>
      </c>
      <c r="U622" s="59" t="str">
        <f>IFERROR(__xludf.DUMMYFUNCTION("IFERROR((COUNTIF(FILTER(Data!N:N, Data!B:B=A622),""MIDDLE"")) / (COUNTIF(Data!B:B, A622)),"""")"),"")</f>
        <v/>
      </c>
      <c r="V622" s="59" t="str">
        <f>IFERROR(__xludf.DUMMYFUNCTION("IFERROR((COUNTIF(FILTER(Data!N:N, Data!B:B=A622),""HIGH"")) / (COUNTIF(Data!B:B, A622)),"""")"),"")</f>
        <v/>
      </c>
      <c r="W622" s="59" t="str">
        <f>IFERROR(__xludf.DUMMYFUNCTION("IFERROR((COUNTIF(FILTER(Data!N:N, Data!B:B=A622),""TRAVERSE"")) / (COUNTIF(Data!B:B, A622)),"""")"),"")</f>
        <v/>
      </c>
      <c r="X622" s="59"/>
      <c r="Y622" s="45" t="str">
        <f t="shared" si="7"/>
        <v/>
      </c>
      <c r="Z622" s="45" t="str">
        <f t="shared" si="8"/>
        <v/>
      </c>
      <c r="AA622" s="16" t="str">
        <f t="shared" si="9"/>
        <v/>
      </c>
      <c r="AB622" s="16"/>
      <c r="AC622" s="16"/>
      <c r="AD622" s="16"/>
      <c r="AE622" s="16" t="str">
        <f t="shared" si="12"/>
        <v/>
      </c>
      <c r="AF622" s="16" t="str">
        <f t="shared" si="13"/>
        <v/>
      </c>
      <c r="AG622" s="44"/>
      <c r="AH622" s="44"/>
      <c r="AI622" s="44" t="str">
        <f>IFERROR(__xludf.DUMMYFUNCTION("TEXTJOIN("", "",TRUE, FILTER(Data!P:P, Data!B:B=A622))"),"")</f>
        <v/>
      </c>
      <c r="AM622" s="61"/>
      <c r="BC622" s="50"/>
    </row>
    <row r="623">
      <c r="A623" s="14"/>
      <c r="B623" s="55" t="str">
        <f>IFERROR(__xludf.DUMMYFUNCTION("IFERROR(ROUND(
(COUNTIF(FILTER(Data!O:O, Data!B:B=A623), ""Win"")
+ COUNTIF(FILTER(Data!O:O, Data!B:B=A623), {""Tie"",""Results""}))
/ (COUNTIF(Data!B:B, A623)),
1),"""")"),"")</f>
        <v/>
      </c>
      <c r="C623" s="45" t="str">
        <f>IFERROR((SUMIF(Data!B:B, A623, Data!H:H)
/ (COUNTIF(Data!B:B, A623)
)),"")</f>
        <v/>
      </c>
      <c r="D623" s="45" t="str">
        <f>IFERROR((SUMIF(Data!B:B, A623, Data!G:G)
/ (COUNTIF(Data!B:B, A623)
)),"")</f>
        <v/>
      </c>
      <c r="E623" s="45"/>
      <c r="F623" s="45" t="str">
        <f>IFERROR((SUMIF(Data!B:B, A623, Data!J:J)
/ (COUNTIF(Data!B:B, A623)
)),"")</f>
        <v/>
      </c>
      <c r="G623" s="56" t="str">
        <f>IF(A623="","",IFERROR((((((SUMIF(Data!B:B, A623, Data!H:H)+(SUMIF(Data!B:B, A623,Data!G:G)))/(SUMIF(Data!B:B, A623, Data!J:J)))))),0))</f>
        <v/>
      </c>
      <c r="H623" s="45"/>
      <c r="I623" s="45"/>
      <c r="J623" s="45"/>
      <c r="K623" s="45"/>
      <c r="L623" s="45" t="str">
        <f>IFERROR((SUMIF(Data!B:B, A623, Data!L:L)
/ (COUNTIF(Data!B:B, A623)
)),"")</f>
        <v/>
      </c>
      <c r="M623" s="45" t="str">
        <f>IFERROR((SUMIF(Data!B:B, A623, Data!K:K)
/ (COUNTIF(Data!B:B, A623)
)),"")</f>
        <v/>
      </c>
      <c r="N623" s="56"/>
      <c r="O623" s="56" t="str">
        <f>IF(A623="","",IFERROR((((((SUMIF(Data!B:B, A623, Data!H:H)+(SUMIF(Data!B:B, A623,Data!G:G)+(SUMIF(Data!B:B, A623,Data!L:L)+(SUMIF(Data!B:B, A623,Data!K:K)))))/(SUMIF(Data!B:B, A623, Data!M:M)+(SUMIF(Data!B:B, A623, Data!H:H)+(SUMIF(Data!B:B, A623,Data!G:G)+(SUMIF(Data!B:B, A623,Data!K:K)+(SUMIF(Data!B:B, A623,Data!L:L)))))))))),0))</f>
        <v/>
      </c>
      <c r="P623" s="57" t="str">
        <f>IFERROR(__xludf.DUMMYFUNCTION("IFERROR(((COUNTIF(FILTER(Data!N:N,Data!B:B=A623),""TRAVERSE"")*15)+(COUNTIF(FILTER(Data!N:N,Data!B:B=A623),""HIGH"")*10)+(COUNTIF(FILTER(Data!N:N,Data!B:B=A623),""MIDDLE"")*6)+(COUNTIF(FILTER(Data!N:N,Data!B:B=A623),""LOW"")*4)) / (COUNTIF(Data!B:B, A623)"&amp;"),"""")"),"")</f>
        <v/>
      </c>
      <c r="Q623" s="58"/>
      <c r="R623" s="58"/>
      <c r="S623" s="58" t="str">
        <f>IFERROR(__xludf.DUMMYFUNCTION("IFERROR((((COUNTIF(FILTER(Data!N:N,Data!B:B=A623),""TRAVERSE""))+(COUNTIF(FILTER(Data!N:N,Data!B:B=A623),""HIGH""))+(COUNTIF(FILTER(Data!N:N,Data!B:B=A623),""MIDDLE""))+(COUNTIF(FILTER(Data!N:N,Data!B:B=A623),""LOW"")))) / (((COUNTIF(Data!B:B, A623)))-(CO"&amp;"UNTIF(FILTER(Data!N:N,Data!B:B=A623),""NONE""))),IF(ISBLANK(A623),"""",0))"),"")</f>
        <v/>
      </c>
      <c r="T623" s="56" t="str">
        <f>IFERROR(__xludf.DUMMYFUNCTION("IFERROR((COUNTIF(FILTER(Data!N:N, Data!B:B=A623),""LOW"")) / (COUNTIF(Data!B:B, A623)),"""")"),"")</f>
        <v/>
      </c>
      <c r="U623" s="59" t="str">
        <f>IFERROR(__xludf.DUMMYFUNCTION("IFERROR((COUNTIF(FILTER(Data!N:N, Data!B:B=A623),""MIDDLE"")) / (COUNTIF(Data!B:B, A623)),"""")"),"")</f>
        <v/>
      </c>
      <c r="V623" s="59" t="str">
        <f>IFERROR(__xludf.DUMMYFUNCTION("IFERROR((COUNTIF(FILTER(Data!N:N, Data!B:B=A623),""HIGH"")) / (COUNTIF(Data!B:B, A623)),"""")"),"")</f>
        <v/>
      </c>
      <c r="W623" s="59" t="str">
        <f>IFERROR(__xludf.DUMMYFUNCTION("IFERROR((COUNTIF(FILTER(Data!N:N, Data!B:B=A623),""TRAVERSE"")) / (COUNTIF(Data!B:B, A623)),"""")"),"")</f>
        <v/>
      </c>
      <c r="X623" s="59"/>
      <c r="Y623" s="45" t="str">
        <f t="shared" si="7"/>
        <v/>
      </c>
      <c r="Z623" s="45" t="str">
        <f t="shared" si="8"/>
        <v/>
      </c>
      <c r="AA623" s="16" t="str">
        <f t="shared" si="9"/>
        <v/>
      </c>
      <c r="AB623" s="16"/>
      <c r="AC623" s="16"/>
      <c r="AD623" s="16"/>
      <c r="AE623" s="16" t="str">
        <f t="shared" si="12"/>
        <v/>
      </c>
      <c r="AF623" s="16" t="str">
        <f t="shared" si="13"/>
        <v/>
      </c>
      <c r="AG623" s="44"/>
      <c r="AH623" s="44"/>
      <c r="AI623" s="44" t="str">
        <f>IFERROR(__xludf.DUMMYFUNCTION("TEXTJOIN("", "",TRUE, FILTER(Data!P:P, Data!B:B=A623))"),"")</f>
        <v/>
      </c>
      <c r="AM623" s="61"/>
      <c r="BC623" s="50"/>
    </row>
    <row r="624">
      <c r="A624" s="14"/>
      <c r="B624" s="55" t="str">
        <f>IFERROR(__xludf.DUMMYFUNCTION("IFERROR(ROUND(
(COUNTIF(FILTER(Data!O:O, Data!B:B=A624), ""Win"")
+ COUNTIF(FILTER(Data!O:O, Data!B:B=A624), {""Tie"",""Results""}))
/ (COUNTIF(Data!B:B, A624)),
1),"""")"),"")</f>
        <v/>
      </c>
      <c r="C624" s="45" t="str">
        <f>IFERROR((SUMIF(Data!B:B, A624, Data!H:H)
/ (COUNTIF(Data!B:B, A624)
)),"")</f>
        <v/>
      </c>
      <c r="D624" s="45" t="str">
        <f>IFERROR((SUMIF(Data!B:B, A624, Data!G:G)
/ (COUNTIF(Data!B:B, A624)
)),"")</f>
        <v/>
      </c>
      <c r="E624" s="45"/>
      <c r="F624" s="45" t="str">
        <f>IFERROR((SUMIF(Data!B:B, A624, Data!J:J)
/ (COUNTIF(Data!B:B, A624)
)),"")</f>
        <v/>
      </c>
      <c r="G624" s="56" t="str">
        <f>IF(A624="","",IFERROR((((((SUMIF(Data!B:B, A624, Data!H:H)+(SUMIF(Data!B:B, A624,Data!G:G)))/(SUMIF(Data!B:B, A624, Data!J:J)))))),0))</f>
        <v/>
      </c>
      <c r="H624" s="45"/>
      <c r="I624" s="45"/>
      <c r="J624" s="45"/>
      <c r="K624" s="45"/>
      <c r="L624" s="45" t="str">
        <f>IFERROR((SUMIF(Data!B:B, A624, Data!L:L)
/ (COUNTIF(Data!B:B, A624)
)),"")</f>
        <v/>
      </c>
      <c r="M624" s="45" t="str">
        <f>IFERROR((SUMIF(Data!B:B, A624, Data!K:K)
/ (COUNTIF(Data!B:B, A624)
)),"")</f>
        <v/>
      </c>
      <c r="N624" s="56"/>
      <c r="O624" s="56" t="str">
        <f>IF(A624="","",IFERROR((((((SUMIF(Data!B:B, A624, Data!H:H)+(SUMIF(Data!B:B, A624,Data!G:G)+(SUMIF(Data!B:B, A624,Data!L:L)+(SUMIF(Data!B:B, A624,Data!K:K)))))/(SUMIF(Data!B:B, A624, Data!M:M)+(SUMIF(Data!B:B, A624, Data!H:H)+(SUMIF(Data!B:B, A624,Data!G:G)+(SUMIF(Data!B:B, A624,Data!K:K)+(SUMIF(Data!B:B, A624,Data!L:L)))))))))),0))</f>
        <v/>
      </c>
      <c r="P624" s="57" t="str">
        <f>IFERROR(__xludf.DUMMYFUNCTION("IFERROR(((COUNTIF(FILTER(Data!N:N,Data!B:B=A624),""TRAVERSE"")*15)+(COUNTIF(FILTER(Data!N:N,Data!B:B=A624),""HIGH"")*10)+(COUNTIF(FILTER(Data!N:N,Data!B:B=A624),""MIDDLE"")*6)+(COUNTIF(FILTER(Data!N:N,Data!B:B=A624),""LOW"")*4)) / (COUNTIF(Data!B:B, A624)"&amp;"),"""")"),"")</f>
        <v/>
      </c>
      <c r="Q624" s="58"/>
      <c r="R624" s="58"/>
      <c r="S624" s="58" t="str">
        <f>IFERROR(__xludf.DUMMYFUNCTION("IFERROR((((COUNTIF(FILTER(Data!N:N,Data!B:B=A624),""TRAVERSE""))+(COUNTIF(FILTER(Data!N:N,Data!B:B=A624),""HIGH""))+(COUNTIF(FILTER(Data!N:N,Data!B:B=A624),""MIDDLE""))+(COUNTIF(FILTER(Data!N:N,Data!B:B=A624),""LOW"")))) / (((COUNTIF(Data!B:B, A624)))-(CO"&amp;"UNTIF(FILTER(Data!N:N,Data!B:B=A624),""NONE""))),IF(ISBLANK(A624),"""",0))"),"")</f>
        <v/>
      </c>
      <c r="T624" s="56" t="str">
        <f>IFERROR(__xludf.DUMMYFUNCTION("IFERROR((COUNTIF(FILTER(Data!N:N, Data!B:B=A624),""LOW"")) / (COUNTIF(Data!B:B, A624)),"""")"),"")</f>
        <v/>
      </c>
      <c r="U624" s="59" t="str">
        <f>IFERROR(__xludf.DUMMYFUNCTION("IFERROR((COUNTIF(FILTER(Data!N:N, Data!B:B=A624),""MIDDLE"")) / (COUNTIF(Data!B:B, A624)),"""")"),"")</f>
        <v/>
      </c>
      <c r="V624" s="59" t="str">
        <f>IFERROR(__xludf.DUMMYFUNCTION("IFERROR((COUNTIF(FILTER(Data!N:N, Data!B:B=A624),""HIGH"")) / (COUNTIF(Data!B:B, A624)),"""")"),"")</f>
        <v/>
      </c>
      <c r="W624" s="59" t="str">
        <f>IFERROR(__xludf.DUMMYFUNCTION("IFERROR((COUNTIF(FILTER(Data!N:N, Data!B:B=A624),""TRAVERSE"")) / (COUNTIF(Data!B:B, A624)),"""")"),"")</f>
        <v/>
      </c>
      <c r="X624" s="59"/>
      <c r="Y624" s="45" t="str">
        <f t="shared" si="7"/>
        <v/>
      </c>
      <c r="Z624" s="45" t="str">
        <f t="shared" si="8"/>
        <v/>
      </c>
      <c r="AA624" s="16" t="str">
        <f t="shared" si="9"/>
        <v/>
      </c>
      <c r="AB624" s="16"/>
      <c r="AC624" s="16"/>
      <c r="AD624" s="16"/>
      <c r="AE624" s="16" t="str">
        <f t="shared" si="12"/>
        <v/>
      </c>
      <c r="AF624" s="16" t="str">
        <f t="shared" si="13"/>
        <v/>
      </c>
      <c r="AG624" s="44"/>
      <c r="AH624" s="44"/>
      <c r="AI624" s="44" t="str">
        <f>IFERROR(__xludf.DUMMYFUNCTION("TEXTJOIN("", "",TRUE, FILTER(Data!P:P, Data!B:B=A624))"),"")</f>
        <v/>
      </c>
      <c r="AM624" s="61"/>
      <c r="BC624" s="50"/>
    </row>
    <row r="625">
      <c r="A625" s="14"/>
      <c r="B625" s="55" t="str">
        <f>IFERROR(__xludf.DUMMYFUNCTION("IFERROR(ROUND(
(COUNTIF(FILTER(Data!O:O, Data!B:B=A625), ""Win"")
+ COUNTIF(FILTER(Data!O:O, Data!B:B=A625), {""Tie"",""Results""}))
/ (COUNTIF(Data!B:B, A625)),
1),"""")"),"")</f>
        <v/>
      </c>
      <c r="C625" s="45" t="str">
        <f>IFERROR((SUMIF(Data!B:B, A625, Data!H:H)
/ (COUNTIF(Data!B:B, A625)
)),"")</f>
        <v/>
      </c>
      <c r="D625" s="45" t="str">
        <f>IFERROR((SUMIF(Data!B:B, A625, Data!G:G)
/ (COUNTIF(Data!B:B, A625)
)),"")</f>
        <v/>
      </c>
      <c r="E625" s="45"/>
      <c r="F625" s="45" t="str">
        <f>IFERROR((SUMIF(Data!B:B, A625, Data!J:J)
/ (COUNTIF(Data!B:B, A625)
)),"")</f>
        <v/>
      </c>
      <c r="G625" s="56" t="str">
        <f>IF(A625="","",IFERROR((((((SUMIF(Data!B:B, A625, Data!H:H)+(SUMIF(Data!B:B, A625,Data!G:G)))/(SUMIF(Data!B:B, A625, Data!J:J)))))),0))</f>
        <v/>
      </c>
      <c r="H625" s="45"/>
      <c r="I625" s="45"/>
      <c r="J625" s="45"/>
      <c r="K625" s="45"/>
      <c r="L625" s="45" t="str">
        <f>IFERROR((SUMIF(Data!B:B, A625, Data!L:L)
/ (COUNTIF(Data!B:B, A625)
)),"")</f>
        <v/>
      </c>
      <c r="M625" s="45" t="str">
        <f>IFERROR((SUMIF(Data!B:B, A625, Data!K:K)
/ (COUNTIF(Data!B:B, A625)
)),"")</f>
        <v/>
      </c>
      <c r="N625" s="56"/>
      <c r="O625" s="56" t="str">
        <f>IF(A625="","",IFERROR((((((SUMIF(Data!B:B, A625, Data!H:H)+(SUMIF(Data!B:B, A625,Data!G:G)+(SUMIF(Data!B:B, A625,Data!L:L)+(SUMIF(Data!B:B, A625,Data!K:K)))))/(SUMIF(Data!B:B, A625, Data!M:M)+(SUMIF(Data!B:B, A625, Data!H:H)+(SUMIF(Data!B:B, A625,Data!G:G)+(SUMIF(Data!B:B, A625,Data!K:K)+(SUMIF(Data!B:B, A625,Data!L:L)))))))))),0))</f>
        <v/>
      </c>
      <c r="P625" s="57" t="str">
        <f>IFERROR(__xludf.DUMMYFUNCTION("IFERROR(((COUNTIF(FILTER(Data!N:N,Data!B:B=A625),""TRAVERSE"")*15)+(COUNTIF(FILTER(Data!N:N,Data!B:B=A625),""HIGH"")*10)+(COUNTIF(FILTER(Data!N:N,Data!B:B=A625),""MIDDLE"")*6)+(COUNTIF(FILTER(Data!N:N,Data!B:B=A625),""LOW"")*4)) / (COUNTIF(Data!B:B, A625)"&amp;"),"""")"),"")</f>
        <v/>
      </c>
      <c r="Q625" s="58"/>
      <c r="R625" s="58"/>
      <c r="S625" s="58" t="str">
        <f>IFERROR(__xludf.DUMMYFUNCTION("IFERROR((((COUNTIF(FILTER(Data!N:N,Data!B:B=A625),""TRAVERSE""))+(COUNTIF(FILTER(Data!N:N,Data!B:B=A625),""HIGH""))+(COUNTIF(FILTER(Data!N:N,Data!B:B=A625),""MIDDLE""))+(COUNTIF(FILTER(Data!N:N,Data!B:B=A625),""LOW"")))) / (((COUNTIF(Data!B:B, A625)))-(CO"&amp;"UNTIF(FILTER(Data!N:N,Data!B:B=A625),""NONE""))),IF(ISBLANK(A625),"""",0))"),"")</f>
        <v/>
      </c>
      <c r="T625" s="56" t="str">
        <f>IFERROR(__xludf.DUMMYFUNCTION("IFERROR((COUNTIF(FILTER(Data!N:N, Data!B:B=A625),""LOW"")) / (COUNTIF(Data!B:B, A625)),"""")"),"")</f>
        <v/>
      </c>
      <c r="U625" s="59" t="str">
        <f>IFERROR(__xludf.DUMMYFUNCTION("IFERROR((COUNTIF(FILTER(Data!N:N, Data!B:B=A625),""MIDDLE"")) / (COUNTIF(Data!B:B, A625)),"""")"),"")</f>
        <v/>
      </c>
      <c r="V625" s="59" t="str">
        <f>IFERROR(__xludf.DUMMYFUNCTION("IFERROR((COUNTIF(FILTER(Data!N:N, Data!B:B=A625),""HIGH"")) / (COUNTIF(Data!B:B, A625)),"""")"),"")</f>
        <v/>
      </c>
      <c r="W625" s="59" t="str">
        <f>IFERROR(__xludf.DUMMYFUNCTION("IFERROR((COUNTIF(FILTER(Data!N:N, Data!B:B=A625),""TRAVERSE"")) / (COUNTIF(Data!B:B, A625)),"""")"),"")</f>
        <v/>
      </c>
      <c r="X625" s="59"/>
      <c r="Y625" s="45" t="str">
        <f t="shared" si="7"/>
        <v/>
      </c>
      <c r="Z625" s="45" t="str">
        <f t="shared" si="8"/>
        <v/>
      </c>
      <c r="AA625" s="16" t="str">
        <f t="shared" si="9"/>
        <v/>
      </c>
      <c r="AB625" s="16"/>
      <c r="AC625" s="16"/>
      <c r="AD625" s="16"/>
      <c r="AE625" s="16" t="str">
        <f t="shared" si="12"/>
        <v/>
      </c>
      <c r="AF625" s="16" t="str">
        <f t="shared" si="13"/>
        <v/>
      </c>
      <c r="AG625" s="44"/>
      <c r="AH625" s="44"/>
      <c r="AI625" s="44" t="str">
        <f>IFERROR(__xludf.DUMMYFUNCTION("TEXTJOIN("", "",TRUE, FILTER(Data!P:P, Data!B:B=A625))"),"")</f>
        <v/>
      </c>
      <c r="AM625" s="61"/>
      <c r="BC625" s="50"/>
    </row>
    <row r="626">
      <c r="A626" s="14"/>
      <c r="B626" s="55" t="str">
        <f>IFERROR(__xludf.DUMMYFUNCTION("IFERROR(ROUND(
(COUNTIF(FILTER(Data!O:O, Data!B:B=A626), ""Win"")
+ COUNTIF(FILTER(Data!O:O, Data!B:B=A626), {""Tie"",""Results""}))
/ (COUNTIF(Data!B:B, A626)),
1),"""")"),"")</f>
        <v/>
      </c>
      <c r="C626" s="45" t="str">
        <f>IFERROR((SUMIF(Data!B:B, A626, Data!H:H)
/ (COUNTIF(Data!B:B, A626)
)),"")</f>
        <v/>
      </c>
      <c r="D626" s="45" t="str">
        <f>IFERROR((SUMIF(Data!B:B, A626, Data!G:G)
/ (COUNTIF(Data!B:B, A626)
)),"")</f>
        <v/>
      </c>
      <c r="E626" s="45"/>
      <c r="F626" s="45" t="str">
        <f>IFERROR((SUMIF(Data!B:B, A626, Data!J:J)
/ (COUNTIF(Data!B:B, A626)
)),"")</f>
        <v/>
      </c>
      <c r="G626" s="56" t="str">
        <f>IF(A626="","",IFERROR((((((SUMIF(Data!B:B, A626, Data!H:H)+(SUMIF(Data!B:B, A626,Data!G:G)))/(SUMIF(Data!B:B, A626, Data!J:J)))))),0))</f>
        <v/>
      </c>
      <c r="H626" s="45"/>
      <c r="I626" s="45"/>
      <c r="J626" s="45"/>
      <c r="K626" s="45"/>
      <c r="L626" s="45" t="str">
        <f>IFERROR((SUMIF(Data!B:B, A626, Data!L:L)
/ (COUNTIF(Data!B:B, A626)
)),"")</f>
        <v/>
      </c>
      <c r="M626" s="45" t="str">
        <f>IFERROR((SUMIF(Data!B:B, A626, Data!K:K)
/ (COUNTIF(Data!B:B, A626)
)),"")</f>
        <v/>
      </c>
      <c r="N626" s="56"/>
      <c r="O626" s="56" t="str">
        <f>IF(A626="","",IFERROR((((((SUMIF(Data!B:B, A626, Data!H:H)+(SUMIF(Data!B:B, A626,Data!G:G)+(SUMIF(Data!B:B, A626,Data!L:L)+(SUMIF(Data!B:B, A626,Data!K:K)))))/(SUMIF(Data!B:B, A626, Data!M:M)+(SUMIF(Data!B:B, A626, Data!H:H)+(SUMIF(Data!B:B, A626,Data!G:G)+(SUMIF(Data!B:B, A626,Data!K:K)+(SUMIF(Data!B:B, A626,Data!L:L)))))))))),0))</f>
        <v/>
      </c>
      <c r="P626" s="57" t="str">
        <f>IFERROR(__xludf.DUMMYFUNCTION("IFERROR(((COUNTIF(FILTER(Data!N:N,Data!B:B=A626),""TRAVERSE"")*15)+(COUNTIF(FILTER(Data!N:N,Data!B:B=A626),""HIGH"")*10)+(COUNTIF(FILTER(Data!N:N,Data!B:B=A626),""MIDDLE"")*6)+(COUNTIF(FILTER(Data!N:N,Data!B:B=A626),""LOW"")*4)) / (COUNTIF(Data!B:B, A626)"&amp;"),"""")"),"")</f>
        <v/>
      </c>
      <c r="Q626" s="58"/>
      <c r="R626" s="58"/>
      <c r="S626" s="58" t="str">
        <f>IFERROR(__xludf.DUMMYFUNCTION("IFERROR((((COUNTIF(FILTER(Data!N:N,Data!B:B=A626),""TRAVERSE""))+(COUNTIF(FILTER(Data!N:N,Data!B:B=A626),""HIGH""))+(COUNTIF(FILTER(Data!N:N,Data!B:B=A626),""MIDDLE""))+(COUNTIF(FILTER(Data!N:N,Data!B:B=A626),""LOW"")))) / (((COUNTIF(Data!B:B, A626)))-(CO"&amp;"UNTIF(FILTER(Data!N:N,Data!B:B=A626),""NONE""))),IF(ISBLANK(A626),"""",0))"),"")</f>
        <v/>
      </c>
      <c r="T626" s="56" t="str">
        <f>IFERROR(__xludf.DUMMYFUNCTION("IFERROR((COUNTIF(FILTER(Data!N:N, Data!B:B=A626),""LOW"")) / (COUNTIF(Data!B:B, A626)),"""")"),"")</f>
        <v/>
      </c>
      <c r="U626" s="59" t="str">
        <f>IFERROR(__xludf.DUMMYFUNCTION("IFERROR((COUNTIF(FILTER(Data!N:N, Data!B:B=A626),""MIDDLE"")) / (COUNTIF(Data!B:B, A626)),"""")"),"")</f>
        <v/>
      </c>
      <c r="V626" s="59" t="str">
        <f>IFERROR(__xludf.DUMMYFUNCTION("IFERROR((COUNTIF(FILTER(Data!N:N, Data!B:B=A626),""HIGH"")) / (COUNTIF(Data!B:B, A626)),"""")"),"")</f>
        <v/>
      </c>
      <c r="W626" s="59" t="str">
        <f>IFERROR(__xludf.DUMMYFUNCTION("IFERROR((COUNTIF(FILTER(Data!N:N, Data!B:B=A626),""TRAVERSE"")) / (COUNTIF(Data!B:B, A626)),"""")"),"")</f>
        <v/>
      </c>
      <c r="X626" s="59"/>
      <c r="Y626" s="45" t="str">
        <f t="shared" si="7"/>
        <v/>
      </c>
      <c r="Z626" s="45" t="str">
        <f t="shared" si="8"/>
        <v/>
      </c>
      <c r="AA626" s="16" t="str">
        <f t="shared" si="9"/>
        <v/>
      </c>
      <c r="AB626" s="16"/>
      <c r="AC626" s="16"/>
      <c r="AD626" s="16"/>
      <c r="AE626" s="16" t="str">
        <f t="shared" si="12"/>
        <v/>
      </c>
      <c r="AF626" s="16" t="str">
        <f t="shared" si="13"/>
        <v/>
      </c>
      <c r="AG626" s="44"/>
      <c r="AH626" s="44"/>
      <c r="AI626" s="44" t="str">
        <f>IFERROR(__xludf.DUMMYFUNCTION("TEXTJOIN("", "",TRUE, FILTER(Data!P:P, Data!B:B=A626))"),"")</f>
        <v/>
      </c>
      <c r="AM626" s="61"/>
      <c r="BC626" s="50"/>
    </row>
    <row r="627">
      <c r="A627" s="14"/>
      <c r="B627" s="55" t="str">
        <f>IFERROR(__xludf.DUMMYFUNCTION("IFERROR(ROUND(
(COUNTIF(FILTER(Data!O:O, Data!B:B=A627), ""Win"")
+ COUNTIF(FILTER(Data!O:O, Data!B:B=A627), {""Tie"",""Results""}))
/ (COUNTIF(Data!B:B, A627)),
1),"""")"),"")</f>
        <v/>
      </c>
      <c r="C627" s="45" t="str">
        <f>IFERROR((SUMIF(Data!B:B, A627, Data!H:H)
/ (COUNTIF(Data!B:B, A627)
)),"")</f>
        <v/>
      </c>
      <c r="D627" s="45" t="str">
        <f>IFERROR((SUMIF(Data!B:B, A627, Data!G:G)
/ (COUNTIF(Data!B:B, A627)
)),"")</f>
        <v/>
      </c>
      <c r="E627" s="45"/>
      <c r="F627" s="45" t="str">
        <f>IFERROR((SUMIF(Data!B:B, A627, Data!J:J)
/ (COUNTIF(Data!B:B, A627)
)),"")</f>
        <v/>
      </c>
      <c r="G627" s="56" t="str">
        <f>IF(A627="","",IFERROR((((((SUMIF(Data!B:B, A627, Data!H:H)+(SUMIF(Data!B:B, A627,Data!G:G)))/(SUMIF(Data!B:B, A627, Data!J:J)))))),0))</f>
        <v/>
      </c>
      <c r="H627" s="45"/>
      <c r="I627" s="45"/>
      <c r="J627" s="45"/>
      <c r="K627" s="45"/>
      <c r="L627" s="45" t="str">
        <f>IFERROR((SUMIF(Data!B:B, A627, Data!L:L)
/ (COUNTIF(Data!B:B, A627)
)),"")</f>
        <v/>
      </c>
      <c r="M627" s="45" t="str">
        <f>IFERROR((SUMIF(Data!B:B, A627, Data!K:K)
/ (COUNTIF(Data!B:B, A627)
)),"")</f>
        <v/>
      </c>
      <c r="N627" s="56"/>
      <c r="O627" s="56" t="str">
        <f>IF(A627="","",IFERROR((((((SUMIF(Data!B:B, A627, Data!H:H)+(SUMIF(Data!B:B, A627,Data!G:G)+(SUMIF(Data!B:B, A627,Data!L:L)+(SUMIF(Data!B:B, A627,Data!K:K)))))/(SUMIF(Data!B:B, A627, Data!M:M)+(SUMIF(Data!B:B, A627, Data!H:H)+(SUMIF(Data!B:B, A627,Data!G:G)+(SUMIF(Data!B:B, A627,Data!K:K)+(SUMIF(Data!B:B, A627,Data!L:L)))))))))),0))</f>
        <v/>
      </c>
      <c r="P627" s="57" t="str">
        <f>IFERROR(__xludf.DUMMYFUNCTION("IFERROR(((COUNTIF(FILTER(Data!N:N,Data!B:B=A627),""TRAVERSE"")*15)+(COUNTIF(FILTER(Data!N:N,Data!B:B=A627),""HIGH"")*10)+(COUNTIF(FILTER(Data!N:N,Data!B:B=A627),""MIDDLE"")*6)+(COUNTIF(FILTER(Data!N:N,Data!B:B=A627),""LOW"")*4)) / (COUNTIF(Data!B:B, A627)"&amp;"),"""")"),"")</f>
        <v/>
      </c>
      <c r="Q627" s="58"/>
      <c r="R627" s="58"/>
      <c r="S627" s="58" t="str">
        <f>IFERROR(__xludf.DUMMYFUNCTION("IFERROR((((COUNTIF(FILTER(Data!N:N,Data!B:B=A627),""TRAVERSE""))+(COUNTIF(FILTER(Data!N:N,Data!B:B=A627),""HIGH""))+(COUNTIF(FILTER(Data!N:N,Data!B:B=A627),""MIDDLE""))+(COUNTIF(FILTER(Data!N:N,Data!B:B=A627),""LOW"")))) / (((COUNTIF(Data!B:B, A627)))-(CO"&amp;"UNTIF(FILTER(Data!N:N,Data!B:B=A627),""NONE""))),IF(ISBLANK(A627),"""",0))"),"")</f>
        <v/>
      </c>
      <c r="T627" s="56" t="str">
        <f>IFERROR(__xludf.DUMMYFUNCTION("IFERROR((COUNTIF(FILTER(Data!N:N, Data!B:B=A627),""LOW"")) / (COUNTIF(Data!B:B, A627)),"""")"),"")</f>
        <v/>
      </c>
      <c r="U627" s="59" t="str">
        <f>IFERROR(__xludf.DUMMYFUNCTION("IFERROR((COUNTIF(FILTER(Data!N:N, Data!B:B=A627),""MIDDLE"")) / (COUNTIF(Data!B:B, A627)),"""")"),"")</f>
        <v/>
      </c>
      <c r="V627" s="59" t="str">
        <f>IFERROR(__xludf.DUMMYFUNCTION("IFERROR((COUNTIF(FILTER(Data!N:N, Data!B:B=A627),""HIGH"")) / (COUNTIF(Data!B:B, A627)),"""")"),"")</f>
        <v/>
      </c>
      <c r="W627" s="59" t="str">
        <f>IFERROR(__xludf.DUMMYFUNCTION("IFERROR((COUNTIF(FILTER(Data!N:N, Data!B:B=A627),""TRAVERSE"")) / (COUNTIF(Data!B:B, A627)),"""")"),"")</f>
        <v/>
      </c>
      <c r="X627" s="59"/>
      <c r="Y627" s="45" t="str">
        <f t="shared" si="7"/>
        <v/>
      </c>
      <c r="Z627" s="45" t="str">
        <f t="shared" si="8"/>
        <v/>
      </c>
      <c r="AA627" s="16" t="str">
        <f t="shared" si="9"/>
        <v/>
      </c>
      <c r="AB627" s="16"/>
      <c r="AC627" s="16"/>
      <c r="AD627" s="16"/>
      <c r="AE627" s="16" t="str">
        <f t="shared" si="12"/>
        <v/>
      </c>
      <c r="AF627" s="16" t="str">
        <f t="shared" si="13"/>
        <v/>
      </c>
      <c r="AG627" s="44"/>
      <c r="AH627" s="44"/>
      <c r="AI627" s="44" t="str">
        <f>IFERROR(__xludf.DUMMYFUNCTION("TEXTJOIN("", "",TRUE, FILTER(Data!P:P, Data!B:B=A627))"),"")</f>
        <v/>
      </c>
      <c r="AM627" s="61"/>
      <c r="BC627" s="50"/>
    </row>
    <row r="628">
      <c r="A628" s="14"/>
      <c r="B628" s="55" t="str">
        <f>IFERROR(__xludf.DUMMYFUNCTION("IFERROR(ROUND(
(COUNTIF(FILTER(Data!O:O, Data!B:B=A628), ""Win"")
+ COUNTIF(FILTER(Data!O:O, Data!B:B=A628), {""Tie"",""Results""}))
/ (COUNTIF(Data!B:B, A628)),
1),"""")"),"")</f>
        <v/>
      </c>
      <c r="C628" s="45" t="str">
        <f>IFERROR((SUMIF(Data!B:B, A628, Data!H:H)
/ (COUNTIF(Data!B:B, A628)
)),"")</f>
        <v/>
      </c>
      <c r="D628" s="45" t="str">
        <f>IFERROR((SUMIF(Data!B:B, A628, Data!G:G)
/ (COUNTIF(Data!B:B, A628)
)),"")</f>
        <v/>
      </c>
      <c r="E628" s="45"/>
      <c r="F628" s="45" t="str">
        <f>IFERROR((SUMIF(Data!B:B, A628, Data!J:J)
/ (COUNTIF(Data!B:B, A628)
)),"")</f>
        <v/>
      </c>
      <c r="G628" s="56" t="str">
        <f>IF(A628="","",IFERROR((((((SUMIF(Data!B:B, A628, Data!H:H)+(SUMIF(Data!B:B, A628,Data!G:G)))/(SUMIF(Data!B:B, A628, Data!J:J)))))),0))</f>
        <v/>
      </c>
      <c r="H628" s="45"/>
      <c r="I628" s="45"/>
      <c r="J628" s="45"/>
      <c r="K628" s="45"/>
      <c r="L628" s="45" t="str">
        <f>IFERROR((SUMIF(Data!B:B, A628, Data!L:L)
/ (COUNTIF(Data!B:B, A628)
)),"")</f>
        <v/>
      </c>
      <c r="M628" s="45" t="str">
        <f>IFERROR((SUMIF(Data!B:B, A628, Data!K:K)
/ (COUNTIF(Data!B:B, A628)
)),"")</f>
        <v/>
      </c>
      <c r="N628" s="56"/>
      <c r="O628" s="56" t="str">
        <f>IF(A628="","",IFERROR((((((SUMIF(Data!B:B, A628, Data!H:H)+(SUMIF(Data!B:B, A628,Data!G:G)+(SUMIF(Data!B:B, A628,Data!L:L)+(SUMIF(Data!B:B, A628,Data!K:K)))))/(SUMIF(Data!B:B, A628, Data!M:M)+(SUMIF(Data!B:B, A628, Data!H:H)+(SUMIF(Data!B:B, A628,Data!G:G)+(SUMIF(Data!B:B, A628,Data!K:K)+(SUMIF(Data!B:B, A628,Data!L:L)))))))))),0))</f>
        <v/>
      </c>
      <c r="P628" s="57" t="str">
        <f>IFERROR(__xludf.DUMMYFUNCTION("IFERROR(((COUNTIF(FILTER(Data!N:N,Data!B:B=A628),""TRAVERSE"")*15)+(COUNTIF(FILTER(Data!N:N,Data!B:B=A628),""HIGH"")*10)+(COUNTIF(FILTER(Data!N:N,Data!B:B=A628),""MIDDLE"")*6)+(COUNTIF(FILTER(Data!N:N,Data!B:B=A628),""LOW"")*4)) / (COUNTIF(Data!B:B, A628)"&amp;"),"""")"),"")</f>
        <v/>
      </c>
      <c r="Q628" s="58"/>
      <c r="R628" s="58"/>
      <c r="S628" s="58" t="str">
        <f>IFERROR(__xludf.DUMMYFUNCTION("IFERROR((((COUNTIF(FILTER(Data!N:N,Data!B:B=A628),""TRAVERSE""))+(COUNTIF(FILTER(Data!N:N,Data!B:B=A628),""HIGH""))+(COUNTIF(FILTER(Data!N:N,Data!B:B=A628),""MIDDLE""))+(COUNTIF(FILTER(Data!N:N,Data!B:B=A628),""LOW"")))) / (((COUNTIF(Data!B:B, A628)))-(CO"&amp;"UNTIF(FILTER(Data!N:N,Data!B:B=A628),""NONE""))),IF(ISBLANK(A628),"""",0))"),"")</f>
        <v/>
      </c>
      <c r="T628" s="56" t="str">
        <f>IFERROR(__xludf.DUMMYFUNCTION("IFERROR((COUNTIF(FILTER(Data!N:N, Data!B:B=A628),""LOW"")) / (COUNTIF(Data!B:B, A628)),"""")"),"")</f>
        <v/>
      </c>
      <c r="U628" s="59" t="str">
        <f>IFERROR(__xludf.DUMMYFUNCTION("IFERROR((COUNTIF(FILTER(Data!N:N, Data!B:B=A628),""MIDDLE"")) / (COUNTIF(Data!B:B, A628)),"""")"),"")</f>
        <v/>
      </c>
      <c r="V628" s="59" t="str">
        <f>IFERROR(__xludf.DUMMYFUNCTION("IFERROR((COUNTIF(FILTER(Data!N:N, Data!B:B=A628),""HIGH"")) / (COUNTIF(Data!B:B, A628)),"""")"),"")</f>
        <v/>
      </c>
      <c r="W628" s="59" t="str">
        <f>IFERROR(__xludf.DUMMYFUNCTION("IFERROR((COUNTIF(FILTER(Data!N:N, Data!B:B=A628),""TRAVERSE"")) / (COUNTIF(Data!B:B, A628)),"""")"),"")</f>
        <v/>
      </c>
      <c r="X628" s="59"/>
      <c r="Y628" s="45" t="str">
        <f t="shared" si="7"/>
        <v/>
      </c>
      <c r="Z628" s="45" t="str">
        <f t="shared" si="8"/>
        <v/>
      </c>
      <c r="AA628" s="16" t="str">
        <f t="shared" si="9"/>
        <v/>
      </c>
      <c r="AB628" s="16"/>
      <c r="AC628" s="16"/>
      <c r="AD628" s="16"/>
      <c r="AE628" s="16" t="str">
        <f t="shared" si="12"/>
        <v/>
      </c>
      <c r="AF628" s="16" t="str">
        <f t="shared" si="13"/>
        <v/>
      </c>
      <c r="AG628" s="44"/>
      <c r="AH628" s="44"/>
      <c r="AI628" s="44" t="str">
        <f>IFERROR(__xludf.DUMMYFUNCTION("TEXTJOIN("", "",TRUE, FILTER(Data!P:P, Data!B:B=A628))"),"")</f>
        <v/>
      </c>
      <c r="AM628" s="61"/>
      <c r="BC628" s="50"/>
    </row>
    <row r="629">
      <c r="A629" s="14"/>
      <c r="B629" s="55" t="str">
        <f>IFERROR(__xludf.DUMMYFUNCTION("IFERROR(ROUND(
(COUNTIF(FILTER(Data!O:O, Data!B:B=A629), ""Win"")
+ COUNTIF(FILTER(Data!O:O, Data!B:B=A629), {""Tie"",""Results""}))
/ (COUNTIF(Data!B:B, A629)),
1),"""")"),"")</f>
        <v/>
      </c>
      <c r="C629" s="45" t="str">
        <f>IFERROR((SUMIF(Data!B:B, A629, Data!H:H)
/ (COUNTIF(Data!B:B, A629)
)),"")</f>
        <v/>
      </c>
      <c r="D629" s="45" t="str">
        <f>IFERROR((SUMIF(Data!B:B, A629, Data!G:G)
/ (COUNTIF(Data!B:B, A629)
)),"")</f>
        <v/>
      </c>
      <c r="E629" s="45"/>
      <c r="F629" s="45" t="str">
        <f>IFERROR((SUMIF(Data!B:B, A629, Data!J:J)
/ (COUNTIF(Data!B:B, A629)
)),"")</f>
        <v/>
      </c>
      <c r="G629" s="56" t="str">
        <f>IF(A629="","",IFERROR((((((SUMIF(Data!B:B, A629, Data!H:H)+(SUMIF(Data!B:B, A629,Data!G:G)))/(SUMIF(Data!B:B, A629, Data!J:J)))))),0))</f>
        <v/>
      </c>
      <c r="H629" s="45"/>
      <c r="I629" s="45"/>
      <c r="J629" s="45"/>
      <c r="K629" s="45"/>
      <c r="L629" s="45" t="str">
        <f>IFERROR((SUMIF(Data!B:B, A629, Data!L:L)
/ (COUNTIF(Data!B:B, A629)
)),"")</f>
        <v/>
      </c>
      <c r="M629" s="45" t="str">
        <f>IFERROR((SUMIF(Data!B:B, A629, Data!K:K)
/ (COUNTIF(Data!B:B, A629)
)),"")</f>
        <v/>
      </c>
      <c r="N629" s="56"/>
      <c r="O629" s="56" t="str">
        <f>IF(A629="","",IFERROR((((((SUMIF(Data!B:B, A629, Data!H:H)+(SUMIF(Data!B:B, A629,Data!G:G)+(SUMIF(Data!B:B, A629,Data!L:L)+(SUMIF(Data!B:B, A629,Data!K:K)))))/(SUMIF(Data!B:B, A629, Data!M:M)+(SUMIF(Data!B:B, A629, Data!H:H)+(SUMIF(Data!B:B, A629,Data!G:G)+(SUMIF(Data!B:B, A629,Data!K:K)+(SUMIF(Data!B:B, A629,Data!L:L)))))))))),0))</f>
        <v/>
      </c>
      <c r="P629" s="57" t="str">
        <f>IFERROR(__xludf.DUMMYFUNCTION("IFERROR(((COUNTIF(FILTER(Data!N:N,Data!B:B=A629),""TRAVERSE"")*15)+(COUNTIF(FILTER(Data!N:N,Data!B:B=A629),""HIGH"")*10)+(COUNTIF(FILTER(Data!N:N,Data!B:B=A629),""MIDDLE"")*6)+(COUNTIF(FILTER(Data!N:N,Data!B:B=A629),""LOW"")*4)) / (COUNTIF(Data!B:B, A629)"&amp;"),"""")"),"")</f>
        <v/>
      </c>
      <c r="Q629" s="58"/>
      <c r="R629" s="58"/>
      <c r="S629" s="58" t="str">
        <f>IFERROR(__xludf.DUMMYFUNCTION("IFERROR((((COUNTIF(FILTER(Data!N:N,Data!B:B=A629),""TRAVERSE""))+(COUNTIF(FILTER(Data!N:N,Data!B:B=A629),""HIGH""))+(COUNTIF(FILTER(Data!N:N,Data!B:B=A629),""MIDDLE""))+(COUNTIF(FILTER(Data!N:N,Data!B:B=A629),""LOW"")))) / (((COUNTIF(Data!B:B, A629)))-(CO"&amp;"UNTIF(FILTER(Data!N:N,Data!B:B=A629),""NONE""))),IF(ISBLANK(A629),"""",0))"),"")</f>
        <v/>
      </c>
      <c r="T629" s="56" t="str">
        <f>IFERROR(__xludf.DUMMYFUNCTION("IFERROR((COUNTIF(FILTER(Data!N:N, Data!B:B=A629),""LOW"")) / (COUNTIF(Data!B:B, A629)),"""")"),"")</f>
        <v/>
      </c>
      <c r="U629" s="59" t="str">
        <f>IFERROR(__xludf.DUMMYFUNCTION("IFERROR((COUNTIF(FILTER(Data!N:N, Data!B:B=A629),""MIDDLE"")) / (COUNTIF(Data!B:B, A629)),"""")"),"")</f>
        <v/>
      </c>
      <c r="V629" s="59" t="str">
        <f>IFERROR(__xludf.DUMMYFUNCTION("IFERROR((COUNTIF(FILTER(Data!N:N, Data!B:B=A629),""HIGH"")) / (COUNTIF(Data!B:B, A629)),"""")"),"")</f>
        <v/>
      </c>
      <c r="W629" s="59" t="str">
        <f>IFERROR(__xludf.DUMMYFUNCTION("IFERROR((COUNTIF(FILTER(Data!N:N, Data!B:B=A629),""TRAVERSE"")) / (COUNTIF(Data!B:B, A629)),"""")"),"")</f>
        <v/>
      </c>
      <c r="X629" s="59"/>
      <c r="Y629" s="45" t="str">
        <f t="shared" si="7"/>
        <v/>
      </c>
      <c r="Z629" s="45" t="str">
        <f t="shared" si="8"/>
        <v/>
      </c>
      <c r="AA629" s="16" t="str">
        <f t="shared" si="9"/>
        <v/>
      </c>
      <c r="AB629" s="16"/>
      <c r="AC629" s="16"/>
      <c r="AD629" s="16"/>
      <c r="AE629" s="16" t="str">
        <f t="shared" si="12"/>
        <v/>
      </c>
      <c r="AF629" s="16" t="str">
        <f t="shared" si="13"/>
        <v/>
      </c>
      <c r="AG629" s="44"/>
      <c r="AH629" s="44"/>
      <c r="AI629" s="44" t="str">
        <f>IFERROR(__xludf.DUMMYFUNCTION("TEXTJOIN("", "",TRUE, FILTER(Data!P:P, Data!B:B=A629))"),"")</f>
        <v/>
      </c>
      <c r="AM629" s="61"/>
      <c r="BC629" s="50"/>
    </row>
    <row r="630">
      <c r="A630" s="14"/>
      <c r="B630" s="55" t="str">
        <f>IFERROR(__xludf.DUMMYFUNCTION("IFERROR(ROUND(
(COUNTIF(FILTER(Data!O:O, Data!B:B=A630), ""Win"")
+ COUNTIF(FILTER(Data!O:O, Data!B:B=A630), {""Tie"",""Results""}))
/ (COUNTIF(Data!B:B, A630)),
1),"""")"),"")</f>
        <v/>
      </c>
      <c r="C630" s="45" t="str">
        <f>IFERROR((SUMIF(Data!B:B, A630, Data!H:H)
/ (COUNTIF(Data!B:B, A630)
)),"")</f>
        <v/>
      </c>
      <c r="D630" s="45" t="str">
        <f>IFERROR((SUMIF(Data!B:B, A630, Data!G:G)
/ (COUNTIF(Data!B:B, A630)
)),"")</f>
        <v/>
      </c>
      <c r="E630" s="45"/>
      <c r="F630" s="45" t="str">
        <f>IFERROR((SUMIF(Data!B:B, A630, Data!J:J)
/ (COUNTIF(Data!B:B, A630)
)),"")</f>
        <v/>
      </c>
      <c r="G630" s="56" t="str">
        <f>IF(A630="","",IFERROR((((((SUMIF(Data!B:B, A630, Data!H:H)+(SUMIF(Data!B:B, A630,Data!G:G)))/(SUMIF(Data!B:B, A630, Data!J:J)))))),0))</f>
        <v/>
      </c>
      <c r="H630" s="45"/>
      <c r="I630" s="45"/>
      <c r="J630" s="45"/>
      <c r="K630" s="45"/>
      <c r="L630" s="45" t="str">
        <f>IFERROR((SUMIF(Data!B:B, A630, Data!L:L)
/ (COUNTIF(Data!B:B, A630)
)),"")</f>
        <v/>
      </c>
      <c r="M630" s="45" t="str">
        <f>IFERROR((SUMIF(Data!B:B, A630, Data!K:K)
/ (COUNTIF(Data!B:B, A630)
)),"")</f>
        <v/>
      </c>
      <c r="N630" s="56"/>
      <c r="O630" s="56" t="str">
        <f>IF(A630="","",IFERROR((((((SUMIF(Data!B:B, A630, Data!H:H)+(SUMIF(Data!B:B, A630,Data!G:G)+(SUMIF(Data!B:B, A630,Data!L:L)+(SUMIF(Data!B:B, A630,Data!K:K)))))/(SUMIF(Data!B:B, A630, Data!M:M)+(SUMIF(Data!B:B, A630, Data!H:H)+(SUMIF(Data!B:B, A630,Data!G:G)+(SUMIF(Data!B:B, A630,Data!K:K)+(SUMIF(Data!B:B, A630,Data!L:L)))))))))),0))</f>
        <v/>
      </c>
      <c r="P630" s="57" t="str">
        <f>IFERROR(__xludf.DUMMYFUNCTION("IFERROR(((COUNTIF(FILTER(Data!N:N,Data!B:B=A630),""TRAVERSE"")*15)+(COUNTIF(FILTER(Data!N:N,Data!B:B=A630),""HIGH"")*10)+(COUNTIF(FILTER(Data!N:N,Data!B:B=A630),""MIDDLE"")*6)+(COUNTIF(FILTER(Data!N:N,Data!B:B=A630),""LOW"")*4)) / (COUNTIF(Data!B:B, A630)"&amp;"),"""")"),"")</f>
        <v/>
      </c>
      <c r="Q630" s="58"/>
      <c r="R630" s="58"/>
      <c r="S630" s="58" t="str">
        <f>IFERROR(__xludf.DUMMYFUNCTION("IFERROR((((COUNTIF(FILTER(Data!N:N,Data!B:B=A630),""TRAVERSE""))+(COUNTIF(FILTER(Data!N:N,Data!B:B=A630),""HIGH""))+(COUNTIF(FILTER(Data!N:N,Data!B:B=A630),""MIDDLE""))+(COUNTIF(FILTER(Data!N:N,Data!B:B=A630),""LOW"")))) / (((COUNTIF(Data!B:B, A630)))-(CO"&amp;"UNTIF(FILTER(Data!N:N,Data!B:B=A630),""NONE""))),IF(ISBLANK(A630),"""",0))"),"")</f>
        <v/>
      </c>
      <c r="T630" s="56" t="str">
        <f>IFERROR(__xludf.DUMMYFUNCTION("IFERROR((COUNTIF(FILTER(Data!N:N, Data!B:B=A630),""LOW"")) / (COUNTIF(Data!B:B, A630)),"""")"),"")</f>
        <v/>
      </c>
      <c r="U630" s="59" t="str">
        <f>IFERROR(__xludf.DUMMYFUNCTION("IFERROR((COUNTIF(FILTER(Data!N:N, Data!B:B=A630),""MIDDLE"")) / (COUNTIF(Data!B:B, A630)),"""")"),"")</f>
        <v/>
      </c>
      <c r="V630" s="59" t="str">
        <f>IFERROR(__xludf.DUMMYFUNCTION("IFERROR((COUNTIF(FILTER(Data!N:N, Data!B:B=A630),""HIGH"")) / (COUNTIF(Data!B:B, A630)),"""")"),"")</f>
        <v/>
      </c>
      <c r="W630" s="59" t="str">
        <f>IFERROR(__xludf.DUMMYFUNCTION("IFERROR((COUNTIF(FILTER(Data!N:N, Data!B:B=A630),""TRAVERSE"")) / (COUNTIF(Data!B:B, A630)),"""")"),"")</f>
        <v/>
      </c>
      <c r="X630" s="59"/>
      <c r="Y630" s="45" t="str">
        <f t="shared" si="7"/>
        <v/>
      </c>
      <c r="Z630" s="45" t="str">
        <f t="shared" si="8"/>
        <v/>
      </c>
      <c r="AA630" s="16" t="str">
        <f t="shared" si="9"/>
        <v/>
      </c>
      <c r="AB630" s="16"/>
      <c r="AC630" s="16"/>
      <c r="AD630" s="16"/>
      <c r="AE630" s="16" t="str">
        <f t="shared" si="12"/>
        <v/>
      </c>
      <c r="AF630" s="16" t="str">
        <f t="shared" si="13"/>
        <v/>
      </c>
      <c r="AG630" s="44"/>
      <c r="AH630" s="44"/>
      <c r="AI630" s="44" t="str">
        <f>IFERROR(__xludf.DUMMYFUNCTION("TEXTJOIN("", "",TRUE, FILTER(Data!P:P, Data!B:B=A630))"),"")</f>
        <v/>
      </c>
      <c r="AM630" s="61"/>
      <c r="BC630" s="50"/>
    </row>
    <row r="631">
      <c r="A631" s="14"/>
      <c r="B631" s="55" t="str">
        <f>IFERROR(__xludf.DUMMYFUNCTION("IFERROR(ROUND(
(COUNTIF(FILTER(Data!O:O, Data!B:B=A631), ""Win"")
+ COUNTIF(FILTER(Data!O:O, Data!B:B=A631), {""Tie"",""Results""}))
/ (COUNTIF(Data!B:B, A631)),
1),"""")"),"")</f>
        <v/>
      </c>
      <c r="C631" s="45" t="str">
        <f>IFERROR((SUMIF(Data!B:B, A631, Data!H:H)
/ (COUNTIF(Data!B:B, A631)
)),"")</f>
        <v/>
      </c>
      <c r="D631" s="45" t="str">
        <f>IFERROR((SUMIF(Data!B:B, A631, Data!G:G)
/ (COUNTIF(Data!B:B, A631)
)),"")</f>
        <v/>
      </c>
      <c r="E631" s="45"/>
      <c r="F631" s="45" t="str">
        <f>IFERROR((SUMIF(Data!B:B, A631, Data!J:J)
/ (COUNTIF(Data!B:B, A631)
)),"")</f>
        <v/>
      </c>
      <c r="G631" s="56" t="str">
        <f>IF(A631="","",IFERROR((((((SUMIF(Data!B:B, A631, Data!H:H)+(SUMIF(Data!B:B, A631,Data!G:G)))/(SUMIF(Data!B:B, A631, Data!J:J)))))),0))</f>
        <v/>
      </c>
      <c r="H631" s="45"/>
      <c r="I631" s="45"/>
      <c r="J631" s="45"/>
      <c r="K631" s="45"/>
      <c r="L631" s="45" t="str">
        <f>IFERROR((SUMIF(Data!B:B, A631, Data!L:L)
/ (COUNTIF(Data!B:B, A631)
)),"")</f>
        <v/>
      </c>
      <c r="M631" s="45" t="str">
        <f>IFERROR((SUMIF(Data!B:B, A631, Data!K:K)
/ (COUNTIF(Data!B:B, A631)
)),"")</f>
        <v/>
      </c>
      <c r="N631" s="56"/>
      <c r="O631" s="56" t="str">
        <f>IF(A631="","",IFERROR((((((SUMIF(Data!B:B, A631, Data!H:H)+(SUMIF(Data!B:B, A631,Data!G:G)+(SUMIF(Data!B:B, A631,Data!L:L)+(SUMIF(Data!B:B, A631,Data!K:K)))))/(SUMIF(Data!B:B, A631, Data!M:M)+(SUMIF(Data!B:B, A631, Data!H:H)+(SUMIF(Data!B:B, A631,Data!G:G)+(SUMIF(Data!B:B, A631,Data!K:K)+(SUMIF(Data!B:B, A631,Data!L:L)))))))))),0))</f>
        <v/>
      </c>
      <c r="P631" s="57" t="str">
        <f>IFERROR(__xludf.DUMMYFUNCTION("IFERROR(((COUNTIF(FILTER(Data!N:N,Data!B:B=A631),""TRAVERSE"")*15)+(COUNTIF(FILTER(Data!N:N,Data!B:B=A631),""HIGH"")*10)+(COUNTIF(FILTER(Data!N:N,Data!B:B=A631),""MIDDLE"")*6)+(COUNTIF(FILTER(Data!N:N,Data!B:B=A631),""LOW"")*4)) / (COUNTIF(Data!B:B, A631)"&amp;"),"""")"),"")</f>
        <v/>
      </c>
      <c r="Q631" s="58"/>
      <c r="R631" s="58"/>
      <c r="S631" s="58" t="str">
        <f>IFERROR(__xludf.DUMMYFUNCTION("IFERROR((((COUNTIF(FILTER(Data!N:N,Data!B:B=A631),""TRAVERSE""))+(COUNTIF(FILTER(Data!N:N,Data!B:B=A631),""HIGH""))+(COUNTIF(FILTER(Data!N:N,Data!B:B=A631),""MIDDLE""))+(COUNTIF(FILTER(Data!N:N,Data!B:B=A631),""LOW"")))) / (((COUNTIF(Data!B:B, A631)))-(CO"&amp;"UNTIF(FILTER(Data!N:N,Data!B:B=A631),""NONE""))),IF(ISBLANK(A631),"""",0))"),"")</f>
        <v/>
      </c>
      <c r="T631" s="56" t="str">
        <f>IFERROR(__xludf.DUMMYFUNCTION("IFERROR((COUNTIF(FILTER(Data!N:N, Data!B:B=A631),""LOW"")) / (COUNTIF(Data!B:B, A631)),"""")"),"")</f>
        <v/>
      </c>
      <c r="U631" s="59" t="str">
        <f>IFERROR(__xludf.DUMMYFUNCTION("IFERROR((COUNTIF(FILTER(Data!N:N, Data!B:B=A631),""MIDDLE"")) / (COUNTIF(Data!B:B, A631)),"""")"),"")</f>
        <v/>
      </c>
      <c r="V631" s="59" t="str">
        <f>IFERROR(__xludf.DUMMYFUNCTION("IFERROR((COUNTIF(FILTER(Data!N:N, Data!B:B=A631),""HIGH"")) / (COUNTIF(Data!B:B, A631)),"""")"),"")</f>
        <v/>
      </c>
      <c r="W631" s="59" t="str">
        <f>IFERROR(__xludf.DUMMYFUNCTION("IFERROR((COUNTIF(FILTER(Data!N:N, Data!B:B=A631),""TRAVERSE"")) / (COUNTIF(Data!B:B, A631)),"""")"),"")</f>
        <v/>
      </c>
      <c r="X631" s="59"/>
      <c r="Y631" s="45" t="str">
        <f t="shared" si="7"/>
        <v/>
      </c>
      <c r="Z631" s="45" t="str">
        <f t="shared" si="8"/>
        <v/>
      </c>
      <c r="AA631" s="16" t="str">
        <f t="shared" si="9"/>
        <v/>
      </c>
      <c r="AB631" s="16"/>
      <c r="AC631" s="16"/>
      <c r="AD631" s="16"/>
      <c r="AE631" s="16" t="str">
        <f t="shared" si="12"/>
        <v/>
      </c>
      <c r="AF631" s="16" t="str">
        <f t="shared" si="13"/>
        <v/>
      </c>
      <c r="AG631" s="44"/>
      <c r="AH631" s="44"/>
      <c r="AI631" s="44" t="str">
        <f>IFERROR(__xludf.DUMMYFUNCTION("TEXTJOIN("", "",TRUE, FILTER(Data!P:P, Data!B:B=A631))"),"")</f>
        <v/>
      </c>
      <c r="AM631" s="61"/>
      <c r="BC631" s="50"/>
    </row>
    <row r="632">
      <c r="A632" s="14"/>
      <c r="B632" s="55" t="str">
        <f>IFERROR(__xludf.DUMMYFUNCTION("IFERROR(ROUND(
(COUNTIF(FILTER(Data!O:O, Data!B:B=A632), ""Win"")
+ COUNTIF(FILTER(Data!O:O, Data!B:B=A632), {""Tie"",""Results""}))
/ (COUNTIF(Data!B:B, A632)),
1),"""")"),"")</f>
        <v/>
      </c>
      <c r="C632" s="45" t="str">
        <f>IFERROR((SUMIF(Data!B:B, A632, Data!H:H)
/ (COUNTIF(Data!B:B, A632)
)),"")</f>
        <v/>
      </c>
      <c r="D632" s="45" t="str">
        <f>IFERROR((SUMIF(Data!B:B, A632, Data!G:G)
/ (COUNTIF(Data!B:B, A632)
)),"")</f>
        <v/>
      </c>
      <c r="E632" s="45"/>
      <c r="F632" s="45" t="str">
        <f>IFERROR((SUMIF(Data!B:B, A632, Data!J:J)
/ (COUNTIF(Data!B:B, A632)
)),"")</f>
        <v/>
      </c>
      <c r="G632" s="56" t="str">
        <f>IF(A632="","",IFERROR((((((SUMIF(Data!B:B, A632, Data!H:H)+(SUMIF(Data!B:B, A632,Data!G:G)))/(SUMIF(Data!B:B, A632, Data!J:J)))))),0))</f>
        <v/>
      </c>
      <c r="H632" s="45"/>
      <c r="I632" s="45"/>
      <c r="J632" s="45"/>
      <c r="K632" s="45"/>
      <c r="L632" s="45" t="str">
        <f>IFERROR((SUMIF(Data!B:B, A632, Data!L:L)
/ (COUNTIF(Data!B:B, A632)
)),"")</f>
        <v/>
      </c>
      <c r="M632" s="45" t="str">
        <f>IFERROR((SUMIF(Data!B:B, A632, Data!K:K)
/ (COUNTIF(Data!B:B, A632)
)),"")</f>
        <v/>
      </c>
      <c r="N632" s="56"/>
      <c r="O632" s="56" t="str">
        <f>IF(A632="","",IFERROR((((((SUMIF(Data!B:B, A632, Data!H:H)+(SUMIF(Data!B:B, A632,Data!G:G)+(SUMIF(Data!B:B, A632,Data!L:L)+(SUMIF(Data!B:B, A632,Data!K:K)))))/(SUMIF(Data!B:B, A632, Data!M:M)+(SUMIF(Data!B:B, A632, Data!H:H)+(SUMIF(Data!B:B, A632,Data!G:G)+(SUMIF(Data!B:B, A632,Data!K:K)+(SUMIF(Data!B:B, A632,Data!L:L)))))))))),0))</f>
        <v/>
      </c>
      <c r="P632" s="57" t="str">
        <f>IFERROR(__xludf.DUMMYFUNCTION("IFERROR(((COUNTIF(FILTER(Data!N:N,Data!B:B=A632),""TRAVERSE"")*15)+(COUNTIF(FILTER(Data!N:N,Data!B:B=A632),""HIGH"")*10)+(COUNTIF(FILTER(Data!N:N,Data!B:B=A632),""MIDDLE"")*6)+(COUNTIF(FILTER(Data!N:N,Data!B:B=A632),""LOW"")*4)) / (COUNTIF(Data!B:B, A632)"&amp;"),"""")"),"")</f>
        <v/>
      </c>
      <c r="Q632" s="58"/>
      <c r="R632" s="58"/>
      <c r="S632" s="58" t="str">
        <f>IFERROR(__xludf.DUMMYFUNCTION("IFERROR((((COUNTIF(FILTER(Data!N:N,Data!B:B=A632),""TRAVERSE""))+(COUNTIF(FILTER(Data!N:N,Data!B:B=A632),""HIGH""))+(COUNTIF(FILTER(Data!N:N,Data!B:B=A632),""MIDDLE""))+(COUNTIF(FILTER(Data!N:N,Data!B:B=A632),""LOW"")))) / (((COUNTIF(Data!B:B, A632)))-(CO"&amp;"UNTIF(FILTER(Data!N:N,Data!B:B=A632),""NONE""))),IF(ISBLANK(A632),"""",0))"),"")</f>
        <v/>
      </c>
      <c r="T632" s="56" t="str">
        <f>IFERROR(__xludf.DUMMYFUNCTION("IFERROR((COUNTIF(FILTER(Data!N:N, Data!B:B=A632),""LOW"")) / (COUNTIF(Data!B:B, A632)),"""")"),"")</f>
        <v/>
      </c>
      <c r="U632" s="59" t="str">
        <f>IFERROR(__xludf.DUMMYFUNCTION("IFERROR((COUNTIF(FILTER(Data!N:N, Data!B:B=A632),""MIDDLE"")) / (COUNTIF(Data!B:B, A632)),"""")"),"")</f>
        <v/>
      </c>
      <c r="V632" s="59" t="str">
        <f>IFERROR(__xludf.DUMMYFUNCTION("IFERROR((COUNTIF(FILTER(Data!N:N, Data!B:B=A632),""HIGH"")) / (COUNTIF(Data!B:B, A632)),"""")"),"")</f>
        <v/>
      </c>
      <c r="W632" s="59" t="str">
        <f>IFERROR(__xludf.DUMMYFUNCTION("IFERROR((COUNTIF(FILTER(Data!N:N, Data!B:B=A632),""TRAVERSE"")) / (COUNTIF(Data!B:B, A632)),"""")"),"")</f>
        <v/>
      </c>
      <c r="X632" s="59"/>
      <c r="Y632" s="45" t="str">
        <f t="shared" si="7"/>
        <v/>
      </c>
      <c r="Z632" s="45" t="str">
        <f t="shared" si="8"/>
        <v/>
      </c>
      <c r="AA632" s="16" t="str">
        <f t="shared" si="9"/>
        <v/>
      </c>
      <c r="AB632" s="16"/>
      <c r="AC632" s="16"/>
      <c r="AD632" s="16"/>
      <c r="AE632" s="16" t="str">
        <f t="shared" si="12"/>
        <v/>
      </c>
      <c r="AF632" s="16" t="str">
        <f t="shared" si="13"/>
        <v/>
      </c>
      <c r="AG632" s="44"/>
      <c r="AH632" s="44"/>
      <c r="AI632" s="44" t="str">
        <f>IFERROR(__xludf.DUMMYFUNCTION("TEXTJOIN("", "",TRUE, FILTER(Data!P:P, Data!B:B=A632))"),"")</f>
        <v/>
      </c>
      <c r="AM632" s="61"/>
      <c r="BC632" s="50"/>
    </row>
    <row r="633">
      <c r="A633" s="14"/>
      <c r="B633" s="55" t="str">
        <f>IFERROR(__xludf.DUMMYFUNCTION("IFERROR(ROUND(
(COUNTIF(FILTER(Data!O:O, Data!B:B=A633), ""Win"")
+ COUNTIF(FILTER(Data!O:O, Data!B:B=A633), {""Tie"",""Results""}))
/ (COUNTIF(Data!B:B, A633)),
1),"""")"),"")</f>
        <v/>
      </c>
      <c r="C633" s="45" t="str">
        <f>IFERROR((SUMIF(Data!B:B, A633, Data!H:H)
/ (COUNTIF(Data!B:B, A633)
)),"")</f>
        <v/>
      </c>
      <c r="D633" s="45" t="str">
        <f>IFERROR((SUMIF(Data!B:B, A633, Data!G:G)
/ (COUNTIF(Data!B:B, A633)
)),"")</f>
        <v/>
      </c>
      <c r="E633" s="45"/>
      <c r="F633" s="45" t="str">
        <f>IFERROR((SUMIF(Data!B:B, A633, Data!J:J)
/ (COUNTIF(Data!B:B, A633)
)),"")</f>
        <v/>
      </c>
      <c r="G633" s="56" t="str">
        <f>IF(A633="","",IFERROR((((((SUMIF(Data!B:B, A633, Data!H:H)+(SUMIF(Data!B:B, A633,Data!G:G)))/(SUMIF(Data!B:B, A633, Data!J:J)))))),0))</f>
        <v/>
      </c>
      <c r="H633" s="45"/>
      <c r="I633" s="45"/>
      <c r="J633" s="45"/>
      <c r="K633" s="45"/>
      <c r="L633" s="45" t="str">
        <f>IFERROR((SUMIF(Data!B:B, A633, Data!L:L)
/ (COUNTIF(Data!B:B, A633)
)),"")</f>
        <v/>
      </c>
      <c r="M633" s="45" t="str">
        <f>IFERROR((SUMIF(Data!B:B, A633, Data!K:K)
/ (COUNTIF(Data!B:B, A633)
)),"")</f>
        <v/>
      </c>
      <c r="N633" s="56"/>
      <c r="O633" s="56" t="str">
        <f>IF(A633="","",IFERROR((((((SUMIF(Data!B:B, A633, Data!H:H)+(SUMIF(Data!B:B, A633,Data!G:G)+(SUMIF(Data!B:B, A633,Data!L:L)+(SUMIF(Data!B:B, A633,Data!K:K)))))/(SUMIF(Data!B:B, A633, Data!M:M)+(SUMIF(Data!B:B, A633, Data!H:H)+(SUMIF(Data!B:B, A633,Data!G:G)+(SUMIF(Data!B:B, A633,Data!K:K)+(SUMIF(Data!B:B, A633,Data!L:L)))))))))),0))</f>
        <v/>
      </c>
      <c r="P633" s="57" t="str">
        <f>IFERROR(__xludf.DUMMYFUNCTION("IFERROR(((COUNTIF(FILTER(Data!N:N,Data!B:B=A633),""TRAVERSE"")*15)+(COUNTIF(FILTER(Data!N:N,Data!B:B=A633),""HIGH"")*10)+(COUNTIF(FILTER(Data!N:N,Data!B:B=A633),""MIDDLE"")*6)+(COUNTIF(FILTER(Data!N:N,Data!B:B=A633),""LOW"")*4)) / (COUNTIF(Data!B:B, A633)"&amp;"),"""")"),"")</f>
        <v/>
      </c>
      <c r="Q633" s="58"/>
      <c r="R633" s="58"/>
      <c r="S633" s="58" t="str">
        <f>IFERROR(__xludf.DUMMYFUNCTION("IFERROR((((COUNTIF(FILTER(Data!N:N,Data!B:B=A633),""TRAVERSE""))+(COUNTIF(FILTER(Data!N:N,Data!B:B=A633),""HIGH""))+(COUNTIF(FILTER(Data!N:N,Data!B:B=A633),""MIDDLE""))+(COUNTIF(FILTER(Data!N:N,Data!B:B=A633),""LOW"")))) / (((COUNTIF(Data!B:B, A633)))-(CO"&amp;"UNTIF(FILTER(Data!N:N,Data!B:B=A633),""NONE""))),IF(ISBLANK(A633),"""",0))"),"")</f>
        <v/>
      </c>
      <c r="T633" s="56" t="str">
        <f>IFERROR(__xludf.DUMMYFUNCTION("IFERROR((COUNTIF(FILTER(Data!N:N, Data!B:B=A633),""LOW"")) / (COUNTIF(Data!B:B, A633)),"""")"),"")</f>
        <v/>
      </c>
      <c r="U633" s="59" t="str">
        <f>IFERROR(__xludf.DUMMYFUNCTION("IFERROR((COUNTIF(FILTER(Data!N:N, Data!B:B=A633),""MIDDLE"")) / (COUNTIF(Data!B:B, A633)),"""")"),"")</f>
        <v/>
      </c>
      <c r="V633" s="59" t="str">
        <f>IFERROR(__xludf.DUMMYFUNCTION("IFERROR((COUNTIF(FILTER(Data!N:N, Data!B:B=A633),""HIGH"")) / (COUNTIF(Data!B:B, A633)),"""")"),"")</f>
        <v/>
      </c>
      <c r="W633" s="59" t="str">
        <f>IFERROR(__xludf.DUMMYFUNCTION("IFERROR((COUNTIF(FILTER(Data!N:N, Data!B:B=A633),""TRAVERSE"")) / (COUNTIF(Data!B:B, A633)),"""")"),"")</f>
        <v/>
      </c>
      <c r="X633" s="59"/>
      <c r="Y633" s="45" t="str">
        <f t="shared" si="7"/>
        <v/>
      </c>
      <c r="Z633" s="45" t="str">
        <f t="shared" si="8"/>
        <v/>
      </c>
      <c r="AA633" s="16" t="str">
        <f t="shared" si="9"/>
        <v/>
      </c>
      <c r="AB633" s="16"/>
      <c r="AC633" s="16"/>
      <c r="AD633" s="16"/>
      <c r="AE633" s="16" t="str">
        <f t="shared" si="12"/>
        <v/>
      </c>
      <c r="AF633" s="16" t="str">
        <f t="shared" si="13"/>
        <v/>
      </c>
      <c r="AG633" s="44"/>
      <c r="AH633" s="44"/>
      <c r="AI633" s="44" t="str">
        <f>IFERROR(__xludf.DUMMYFUNCTION("TEXTJOIN("", "",TRUE, FILTER(Data!P:P, Data!B:B=A633))"),"")</f>
        <v/>
      </c>
      <c r="AM633" s="61"/>
      <c r="BC633" s="50"/>
    </row>
    <row r="634">
      <c r="A634" s="14"/>
      <c r="B634" s="55" t="str">
        <f>IFERROR(__xludf.DUMMYFUNCTION("IFERROR(ROUND(
(COUNTIF(FILTER(Data!O:O, Data!B:B=A634), ""Win"")
+ COUNTIF(FILTER(Data!O:O, Data!B:B=A634), {""Tie"",""Results""}))
/ (COUNTIF(Data!B:B, A634)),
1),"""")"),"")</f>
        <v/>
      </c>
      <c r="C634" s="45" t="str">
        <f>IFERROR((SUMIF(Data!B:B, A634, Data!H:H)
/ (COUNTIF(Data!B:B, A634)
)),"")</f>
        <v/>
      </c>
      <c r="D634" s="45" t="str">
        <f>IFERROR((SUMIF(Data!B:B, A634, Data!G:G)
/ (COUNTIF(Data!B:B, A634)
)),"")</f>
        <v/>
      </c>
      <c r="E634" s="45"/>
      <c r="F634" s="45" t="str">
        <f>IFERROR((SUMIF(Data!B:B, A634, Data!J:J)
/ (COUNTIF(Data!B:B, A634)
)),"")</f>
        <v/>
      </c>
      <c r="G634" s="56" t="str">
        <f>IF(A634="","",IFERROR((((((SUMIF(Data!B:B, A634, Data!H:H)+(SUMIF(Data!B:B, A634,Data!G:G)))/(SUMIF(Data!B:B, A634, Data!J:J)))))),0))</f>
        <v/>
      </c>
      <c r="H634" s="45"/>
      <c r="I634" s="45"/>
      <c r="J634" s="45"/>
      <c r="K634" s="45"/>
      <c r="L634" s="45" t="str">
        <f>IFERROR((SUMIF(Data!B:B, A634, Data!L:L)
/ (COUNTIF(Data!B:B, A634)
)),"")</f>
        <v/>
      </c>
      <c r="M634" s="45" t="str">
        <f>IFERROR((SUMIF(Data!B:B, A634, Data!K:K)
/ (COUNTIF(Data!B:B, A634)
)),"")</f>
        <v/>
      </c>
      <c r="N634" s="56"/>
      <c r="O634" s="56" t="str">
        <f>IF(A634="","",IFERROR((((((SUMIF(Data!B:B, A634, Data!H:H)+(SUMIF(Data!B:B, A634,Data!G:G)+(SUMIF(Data!B:B, A634,Data!L:L)+(SUMIF(Data!B:B, A634,Data!K:K)))))/(SUMIF(Data!B:B, A634, Data!M:M)+(SUMIF(Data!B:B, A634, Data!H:H)+(SUMIF(Data!B:B, A634,Data!G:G)+(SUMIF(Data!B:B, A634,Data!K:K)+(SUMIF(Data!B:B, A634,Data!L:L)))))))))),0))</f>
        <v/>
      </c>
      <c r="P634" s="57" t="str">
        <f>IFERROR(__xludf.DUMMYFUNCTION("IFERROR(((COUNTIF(FILTER(Data!N:N,Data!B:B=A634),""TRAVERSE"")*15)+(COUNTIF(FILTER(Data!N:N,Data!B:B=A634),""HIGH"")*10)+(COUNTIF(FILTER(Data!N:N,Data!B:B=A634),""MIDDLE"")*6)+(COUNTIF(FILTER(Data!N:N,Data!B:B=A634),""LOW"")*4)) / (COUNTIF(Data!B:B, A634)"&amp;"),"""")"),"")</f>
        <v/>
      </c>
      <c r="Q634" s="58"/>
      <c r="R634" s="58"/>
      <c r="S634" s="58" t="str">
        <f>IFERROR(__xludf.DUMMYFUNCTION("IFERROR((((COUNTIF(FILTER(Data!N:N,Data!B:B=A634),""TRAVERSE""))+(COUNTIF(FILTER(Data!N:N,Data!B:B=A634),""HIGH""))+(COUNTIF(FILTER(Data!N:N,Data!B:B=A634),""MIDDLE""))+(COUNTIF(FILTER(Data!N:N,Data!B:B=A634),""LOW"")))) / (((COUNTIF(Data!B:B, A634)))-(CO"&amp;"UNTIF(FILTER(Data!N:N,Data!B:B=A634),""NONE""))),IF(ISBLANK(A634),"""",0))"),"")</f>
        <v/>
      </c>
      <c r="T634" s="56" t="str">
        <f>IFERROR(__xludf.DUMMYFUNCTION("IFERROR((COUNTIF(FILTER(Data!N:N, Data!B:B=A634),""LOW"")) / (COUNTIF(Data!B:B, A634)),"""")"),"")</f>
        <v/>
      </c>
      <c r="U634" s="59" t="str">
        <f>IFERROR(__xludf.DUMMYFUNCTION("IFERROR((COUNTIF(FILTER(Data!N:N, Data!B:B=A634),""MIDDLE"")) / (COUNTIF(Data!B:B, A634)),"""")"),"")</f>
        <v/>
      </c>
      <c r="V634" s="59" t="str">
        <f>IFERROR(__xludf.DUMMYFUNCTION("IFERROR((COUNTIF(FILTER(Data!N:N, Data!B:B=A634),""HIGH"")) / (COUNTIF(Data!B:B, A634)),"""")"),"")</f>
        <v/>
      </c>
      <c r="W634" s="59" t="str">
        <f>IFERROR(__xludf.DUMMYFUNCTION("IFERROR((COUNTIF(FILTER(Data!N:N, Data!B:B=A634),""TRAVERSE"")) / (COUNTIF(Data!B:B, A634)),"""")"),"")</f>
        <v/>
      </c>
      <c r="X634" s="59"/>
      <c r="Y634" s="45" t="str">
        <f t="shared" si="7"/>
        <v/>
      </c>
      <c r="Z634" s="45" t="str">
        <f t="shared" si="8"/>
        <v/>
      </c>
      <c r="AA634" s="16" t="str">
        <f t="shared" si="9"/>
        <v/>
      </c>
      <c r="AB634" s="16"/>
      <c r="AC634" s="16"/>
      <c r="AD634" s="16"/>
      <c r="AE634" s="16" t="str">
        <f t="shared" si="12"/>
        <v/>
      </c>
      <c r="AF634" s="16" t="str">
        <f t="shared" si="13"/>
        <v/>
      </c>
      <c r="AG634" s="44"/>
      <c r="AH634" s="44"/>
      <c r="AI634" s="44" t="str">
        <f>IFERROR(__xludf.DUMMYFUNCTION("TEXTJOIN("", "",TRUE, FILTER(Data!P:P, Data!B:B=A634))"),"")</f>
        <v/>
      </c>
      <c r="AM634" s="61"/>
      <c r="BC634" s="50"/>
    </row>
    <row r="635">
      <c r="A635" s="14"/>
      <c r="B635" s="55" t="str">
        <f>IFERROR(__xludf.DUMMYFUNCTION("IFERROR(ROUND(
(COUNTIF(FILTER(Data!O:O, Data!B:B=A635), ""Win"")
+ COUNTIF(FILTER(Data!O:O, Data!B:B=A635), {""Tie"",""Results""}))
/ (COUNTIF(Data!B:B, A635)),
1),"""")"),"")</f>
        <v/>
      </c>
      <c r="C635" s="45" t="str">
        <f>IFERROR((SUMIF(Data!B:B, A635, Data!H:H)
/ (COUNTIF(Data!B:B, A635)
)),"")</f>
        <v/>
      </c>
      <c r="D635" s="45" t="str">
        <f>IFERROR((SUMIF(Data!B:B, A635, Data!G:G)
/ (COUNTIF(Data!B:B, A635)
)),"")</f>
        <v/>
      </c>
      <c r="E635" s="45"/>
      <c r="F635" s="45" t="str">
        <f>IFERROR((SUMIF(Data!B:B, A635, Data!J:J)
/ (COUNTIF(Data!B:B, A635)
)),"")</f>
        <v/>
      </c>
      <c r="G635" s="56" t="str">
        <f>IF(A635="","",IFERROR((((((SUMIF(Data!B:B, A635, Data!H:H)+(SUMIF(Data!B:B, A635,Data!G:G)))/(SUMIF(Data!B:B, A635, Data!J:J)))))),0))</f>
        <v/>
      </c>
      <c r="H635" s="45"/>
      <c r="I635" s="45"/>
      <c r="J635" s="45"/>
      <c r="K635" s="45"/>
      <c r="L635" s="45" t="str">
        <f>IFERROR((SUMIF(Data!B:B, A635, Data!L:L)
/ (COUNTIF(Data!B:B, A635)
)),"")</f>
        <v/>
      </c>
      <c r="M635" s="45" t="str">
        <f>IFERROR((SUMIF(Data!B:B, A635, Data!K:K)
/ (COUNTIF(Data!B:B, A635)
)),"")</f>
        <v/>
      </c>
      <c r="N635" s="56"/>
      <c r="O635" s="56" t="str">
        <f>IF(A635="","",IFERROR((((((SUMIF(Data!B:B, A635, Data!H:H)+(SUMIF(Data!B:B, A635,Data!G:G)+(SUMIF(Data!B:B, A635,Data!L:L)+(SUMIF(Data!B:B, A635,Data!K:K)))))/(SUMIF(Data!B:B, A635, Data!M:M)+(SUMIF(Data!B:B, A635, Data!H:H)+(SUMIF(Data!B:B, A635,Data!G:G)+(SUMIF(Data!B:B, A635,Data!K:K)+(SUMIF(Data!B:B, A635,Data!L:L)))))))))),0))</f>
        <v/>
      </c>
      <c r="P635" s="57" t="str">
        <f>IFERROR(__xludf.DUMMYFUNCTION("IFERROR(((COUNTIF(FILTER(Data!N:N,Data!B:B=A635),""TRAVERSE"")*15)+(COUNTIF(FILTER(Data!N:N,Data!B:B=A635),""HIGH"")*10)+(COUNTIF(FILTER(Data!N:N,Data!B:B=A635),""MIDDLE"")*6)+(COUNTIF(FILTER(Data!N:N,Data!B:B=A635),""LOW"")*4)) / (COUNTIF(Data!B:B, A635)"&amp;"),"""")"),"")</f>
        <v/>
      </c>
      <c r="Q635" s="58"/>
      <c r="R635" s="58"/>
      <c r="S635" s="58" t="str">
        <f>IFERROR(__xludf.DUMMYFUNCTION("IFERROR((((COUNTIF(FILTER(Data!N:N,Data!B:B=A635),""TRAVERSE""))+(COUNTIF(FILTER(Data!N:N,Data!B:B=A635),""HIGH""))+(COUNTIF(FILTER(Data!N:N,Data!B:B=A635),""MIDDLE""))+(COUNTIF(FILTER(Data!N:N,Data!B:B=A635),""LOW"")))) / (((COUNTIF(Data!B:B, A635)))-(CO"&amp;"UNTIF(FILTER(Data!N:N,Data!B:B=A635),""NONE""))),IF(ISBLANK(A635),"""",0))"),"")</f>
        <v/>
      </c>
      <c r="T635" s="56" t="str">
        <f>IFERROR(__xludf.DUMMYFUNCTION("IFERROR((COUNTIF(FILTER(Data!N:N, Data!B:B=A635),""LOW"")) / (COUNTIF(Data!B:B, A635)),"""")"),"")</f>
        <v/>
      </c>
      <c r="U635" s="59" t="str">
        <f>IFERROR(__xludf.DUMMYFUNCTION("IFERROR((COUNTIF(FILTER(Data!N:N, Data!B:B=A635),""MIDDLE"")) / (COUNTIF(Data!B:B, A635)),"""")"),"")</f>
        <v/>
      </c>
      <c r="V635" s="59" t="str">
        <f>IFERROR(__xludf.DUMMYFUNCTION("IFERROR((COUNTIF(FILTER(Data!N:N, Data!B:B=A635),""HIGH"")) / (COUNTIF(Data!B:B, A635)),"""")"),"")</f>
        <v/>
      </c>
      <c r="W635" s="59" t="str">
        <f>IFERROR(__xludf.DUMMYFUNCTION("IFERROR((COUNTIF(FILTER(Data!N:N, Data!B:B=A635),""TRAVERSE"")) / (COUNTIF(Data!B:B, A635)),"""")"),"")</f>
        <v/>
      </c>
      <c r="X635" s="59"/>
      <c r="Y635" s="45" t="str">
        <f t="shared" si="7"/>
        <v/>
      </c>
      <c r="Z635" s="45" t="str">
        <f t="shared" si="8"/>
        <v/>
      </c>
      <c r="AA635" s="16" t="str">
        <f t="shared" si="9"/>
        <v/>
      </c>
      <c r="AB635" s="16"/>
      <c r="AC635" s="16"/>
      <c r="AD635" s="16"/>
      <c r="AE635" s="16" t="str">
        <f t="shared" si="12"/>
        <v/>
      </c>
      <c r="AF635" s="16" t="str">
        <f t="shared" si="13"/>
        <v/>
      </c>
      <c r="AG635" s="44"/>
      <c r="AH635" s="44"/>
      <c r="AI635" s="44" t="str">
        <f>IFERROR(__xludf.DUMMYFUNCTION("TEXTJOIN("", "",TRUE, FILTER(Data!P:P, Data!B:B=A635))"),"")</f>
        <v/>
      </c>
      <c r="AM635" s="61"/>
      <c r="BC635" s="50"/>
    </row>
    <row r="636">
      <c r="A636" s="14"/>
      <c r="B636" s="55" t="str">
        <f>IFERROR(__xludf.DUMMYFUNCTION("IFERROR(ROUND(
(COUNTIF(FILTER(Data!O:O, Data!B:B=A636), ""Win"")
+ COUNTIF(FILTER(Data!O:O, Data!B:B=A636), {""Tie"",""Results""}))
/ (COUNTIF(Data!B:B, A636)),
1),"""")"),"")</f>
        <v/>
      </c>
      <c r="C636" s="45" t="str">
        <f>IFERROR((SUMIF(Data!B:B, A636, Data!H:H)
/ (COUNTIF(Data!B:B, A636)
)),"")</f>
        <v/>
      </c>
      <c r="D636" s="45" t="str">
        <f>IFERROR((SUMIF(Data!B:B, A636, Data!G:G)
/ (COUNTIF(Data!B:B, A636)
)),"")</f>
        <v/>
      </c>
      <c r="E636" s="45"/>
      <c r="F636" s="45" t="str">
        <f>IFERROR((SUMIF(Data!B:B, A636, Data!J:J)
/ (COUNTIF(Data!B:B, A636)
)),"")</f>
        <v/>
      </c>
      <c r="G636" s="56" t="str">
        <f>IF(A636="","",IFERROR((((((SUMIF(Data!B:B, A636, Data!H:H)+(SUMIF(Data!B:B, A636,Data!G:G)))/(SUMIF(Data!B:B, A636, Data!J:J)))))),0))</f>
        <v/>
      </c>
      <c r="H636" s="45"/>
      <c r="I636" s="45"/>
      <c r="J636" s="45"/>
      <c r="K636" s="45"/>
      <c r="L636" s="45" t="str">
        <f>IFERROR((SUMIF(Data!B:B, A636, Data!L:L)
/ (COUNTIF(Data!B:B, A636)
)),"")</f>
        <v/>
      </c>
      <c r="M636" s="45" t="str">
        <f>IFERROR((SUMIF(Data!B:B, A636, Data!K:K)
/ (COUNTIF(Data!B:B, A636)
)),"")</f>
        <v/>
      </c>
      <c r="N636" s="56"/>
      <c r="O636" s="56" t="str">
        <f>IF(A636="","",IFERROR((((((SUMIF(Data!B:B, A636, Data!H:H)+(SUMIF(Data!B:B, A636,Data!G:G)+(SUMIF(Data!B:B, A636,Data!L:L)+(SUMIF(Data!B:B, A636,Data!K:K)))))/(SUMIF(Data!B:B, A636, Data!M:M)+(SUMIF(Data!B:B, A636, Data!H:H)+(SUMIF(Data!B:B, A636,Data!G:G)+(SUMIF(Data!B:B, A636,Data!K:K)+(SUMIF(Data!B:B, A636,Data!L:L)))))))))),0))</f>
        <v/>
      </c>
      <c r="P636" s="57" t="str">
        <f>IFERROR(__xludf.DUMMYFUNCTION("IFERROR(((COUNTIF(FILTER(Data!N:N,Data!B:B=A636),""TRAVERSE"")*15)+(COUNTIF(FILTER(Data!N:N,Data!B:B=A636),""HIGH"")*10)+(COUNTIF(FILTER(Data!N:N,Data!B:B=A636),""MIDDLE"")*6)+(COUNTIF(FILTER(Data!N:N,Data!B:B=A636),""LOW"")*4)) / (COUNTIF(Data!B:B, A636)"&amp;"),"""")"),"")</f>
        <v/>
      </c>
      <c r="Q636" s="58"/>
      <c r="R636" s="58"/>
      <c r="S636" s="58" t="str">
        <f>IFERROR(__xludf.DUMMYFUNCTION("IFERROR((((COUNTIF(FILTER(Data!N:N,Data!B:B=A636),""TRAVERSE""))+(COUNTIF(FILTER(Data!N:N,Data!B:B=A636),""HIGH""))+(COUNTIF(FILTER(Data!N:N,Data!B:B=A636),""MIDDLE""))+(COUNTIF(FILTER(Data!N:N,Data!B:B=A636),""LOW"")))) / (((COUNTIF(Data!B:B, A636)))-(CO"&amp;"UNTIF(FILTER(Data!N:N,Data!B:B=A636),""NONE""))),IF(ISBLANK(A636),"""",0))"),"")</f>
        <v/>
      </c>
      <c r="T636" s="56" t="str">
        <f>IFERROR(__xludf.DUMMYFUNCTION("IFERROR((COUNTIF(FILTER(Data!N:N, Data!B:B=A636),""LOW"")) / (COUNTIF(Data!B:B, A636)),"""")"),"")</f>
        <v/>
      </c>
      <c r="U636" s="59" t="str">
        <f>IFERROR(__xludf.DUMMYFUNCTION("IFERROR((COUNTIF(FILTER(Data!N:N, Data!B:B=A636),""MIDDLE"")) / (COUNTIF(Data!B:B, A636)),"""")"),"")</f>
        <v/>
      </c>
      <c r="V636" s="59" t="str">
        <f>IFERROR(__xludf.DUMMYFUNCTION("IFERROR((COUNTIF(FILTER(Data!N:N, Data!B:B=A636),""HIGH"")) / (COUNTIF(Data!B:B, A636)),"""")"),"")</f>
        <v/>
      </c>
      <c r="W636" s="59" t="str">
        <f>IFERROR(__xludf.DUMMYFUNCTION("IFERROR((COUNTIF(FILTER(Data!N:N, Data!B:B=A636),""TRAVERSE"")) / (COUNTIF(Data!B:B, A636)),"""")"),"")</f>
        <v/>
      </c>
      <c r="X636" s="59"/>
      <c r="Y636" s="45" t="str">
        <f t="shared" si="7"/>
        <v/>
      </c>
      <c r="Z636" s="45" t="str">
        <f t="shared" si="8"/>
        <v/>
      </c>
      <c r="AA636" s="16" t="str">
        <f t="shared" si="9"/>
        <v/>
      </c>
      <c r="AB636" s="16"/>
      <c r="AC636" s="16"/>
      <c r="AD636" s="16"/>
      <c r="AE636" s="16" t="str">
        <f t="shared" si="12"/>
        <v/>
      </c>
      <c r="AF636" s="16" t="str">
        <f t="shared" si="13"/>
        <v/>
      </c>
      <c r="AG636" s="44"/>
      <c r="AH636" s="44"/>
      <c r="AI636" s="44" t="str">
        <f>IFERROR(__xludf.DUMMYFUNCTION("TEXTJOIN("", "",TRUE, FILTER(Data!P:P, Data!B:B=A636))"),"")</f>
        <v/>
      </c>
      <c r="AM636" s="61"/>
      <c r="BC636" s="50"/>
    </row>
    <row r="637">
      <c r="A637" s="14"/>
      <c r="B637" s="55" t="str">
        <f>IFERROR(__xludf.DUMMYFUNCTION("IFERROR(ROUND(
(COUNTIF(FILTER(Data!O:O, Data!B:B=A637), ""Win"")
+ COUNTIF(FILTER(Data!O:O, Data!B:B=A637), {""Tie"",""Results""}))
/ (COUNTIF(Data!B:B, A637)),
1),"""")"),"")</f>
        <v/>
      </c>
      <c r="C637" s="45" t="str">
        <f>IFERROR((SUMIF(Data!B:B, A637, Data!H:H)
/ (COUNTIF(Data!B:B, A637)
)),"")</f>
        <v/>
      </c>
      <c r="D637" s="45" t="str">
        <f>IFERROR((SUMIF(Data!B:B, A637, Data!G:G)
/ (COUNTIF(Data!B:B, A637)
)),"")</f>
        <v/>
      </c>
      <c r="E637" s="45"/>
      <c r="F637" s="45" t="str">
        <f>IFERROR((SUMIF(Data!B:B, A637, Data!J:J)
/ (COUNTIF(Data!B:B, A637)
)),"")</f>
        <v/>
      </c>
      <c r="G637" s="56" t="str">
        <f>IF(A637="","",IFERROR((((((SUMIF(Data!B:B, A637, Data!H:H)+(SUMIF(Data!B:B, A637,Data!G:G)))/(SUMIF(Data!B:B, A637, Data!J:J)))))),0))</f>
        <v/>
      </c>
      <c r="H637" s="45"/>
      <c r="I637" s="45"/>
      <c r="J637" s="45"/>
      <c r="K637" s="45"/>
      <c r="L637" s="45" t="str">
        <f>IFERROR((SUMIF(Data!B:B, A637, Data!L:L)
/ (COUNTIF(Data!B:B, A637)
)),"")</f>
        <v/>
      </c>
      <c r="M637" s="45" t="str">
        <f>IFERROR((SUMIF(Data!B:B, A637, Data!K:K)
/ (COUNTIF(Data!B:B, A637)
)),"")</f>
        <v/>
      </c>
      <c r="N637" s="56"/>
      <c r="O637" s="56" t="str">
        <f>IF(A637="","",IFERROR((((((SUMIF(Data!B:B, A637, Data!H:H)+(SUMIF(Data!B:B, A637,Data!G:G)+(SUMIF(Data!B:B, A637,Data!L:L)+(SUMIF(Data!B:B, A637,Data!K:K)))))/(SUMIF(Data!B:B, A637, Data!M:M)+(SUMIF(Data!B:B, A637, Data!H:H)+(SUMIF(Data!B:B, A637,Data!G:G)+(SUMIF(Data!B:B, A637,Data!K:K)+(SUMIF(Data!B:B, A637,Data!L:L)))))))))),0))</f>
        <v/>
      </c>
      <c r="P637" s="57" t="str">
        <f>IFERROR(__xludf.DUMMYFUNCTION("IFERROR(((COUNTIF(FILTER(Data!N:N,Data!B:B=A637),""TRAVERSE"")*15)+(COUNTIF(FILTER(Data!N:N,Data!B:B=A637),""HIGH"")*10)+(COUNTIF(FILTER(Data!N:N,Data!B:B=A637),""MIDDLE"")*6)+(COUNTIF(FILTER(Data!N:N,Data!B:B=A637),""LOW"")*4)) / (COUNTIF(Data!B:B, A637)"&amp;"),"""")"),"")</f>
        <v/>
      </c>
      <c r="Q637" s="58"/>
      <c r="R637" s="58"/>
      <c r="S637" s="58" t="str">
        <f>IFERROR(__xludf.DUMMYFUNCTION("IFERROR((((COUNTIF(FILTER(Data!N:N,Data!B:B=A637),""TRAVERSE""))+(COUNTIF(FILTER(Data!N:N,Data!B:B=A637),""HIGH""))+(COUNTIF(FILTER(Data!N:N,Data!B:B=A637),""MIDDLE""))+(COUNTIF(FILTER(Data!N:N,Data!B:B=A637),""LOW"")))) / (((COUNTIF(Data!B:B, A637)))-(CO"&amp;"UNTIF(FILTER(Data!N:N,Data!B:B=A637),""NONE""))),IF(ISBLANK(A637),"""",0))"),"")</f>
        <v/>
      </c>
      <c r="T637" s="56" t="str">
        <f>IFERROR(__xludf.DUMMYFUNCTION("IFERROR((COUNTIF(FILTER(Data!N:N, Data!B:B=A637),""LOW"")) / (COUNTIF(Data!B:B, A637)),"""")"),"")</f>
        <v/>
      </c>
      <c r="U637" s="59" t="str">
        <f>IFERROR(__xludf.DUMMYFUNCTION("IFERROR((COUNTIF(FILTER(Data!N:N, Data!B:B=A637),""MIDDLE"")) / (COUNTIF(Data!B:B, A637)),"""")"),"")</f>
        <v/>
      </c>
      <c r="V637" s="59" t="str">
        <f>IFERROR(__xludf.DUMMYFUNCTION("IFERROR((COUNTIF(FILTER(Data!N:N, Data!B:B=A637),""HIGH"")) / (COUNTIF(Data!B:B, A637)),"""")"),"")</f>
        <v/>
      </c>
      <c r="W637" s="59" t="str">
        <f>IFERROR(__xludf.DUMMYFUNCTION("IFERROR((COUNTIF(FILTER(Data!N:N, Data!B:B=A637),""TRAVERSE"")) / (COUNTIF(Data!B:B, A637)),"""")"),"")</f>
        <v/>
      </c>
      <c r="X637" s="59"/>
      <c r="Y637" s="45" t="str">
        <f t="shared" si="7"/>
        <v/>
      </c>
      <c r="Z637" s="45" t="str">
        <f t="shared" si="8"/>
        <v/>
      </c>
      <c r="AA637" s="16" t="str">
        <f t="shared" si="9"/>
        <v/>
      </c>
      <c r="AB637" s="16"/>
      <c r="AC637" s="16"/>
      <c r="AD637" s="16"/>
      <c r="AE637" s="16" t="str">
        <f t="shared" si="12"/>
        <v/>
      </c>
      <c r="AF637" s="16" t="str">
        <f t="shared" si="13"/>
        <v/>
      </c>
      <c r="AG637" s="44"/>
      <c r="AH637" s="44"/>
      <c r="AI637" s="44" t="str">
        <f>IFERROR(__xludf.DUMMYFUNCTION("TEXTJOIN("", "",TRUE, FILTER(Data!P:P, Data!B:B=A637))"),"")</f>
        <v/>
      </c>
      <c r="AM637" s="61"/>
      <c r="BC637" s="50"/>
    </row>
    <row r="638">
      <c r="A638" s="14"/>
      <c r="B638" s="55" t="str">
        <f>IFERROR(__xludf.DUMMYFUNCTION("IFERROR(ROUND(
(COUNTIF(FILTER(Data!O:O, Data!B:B=A638), ""Win"")
+ COUNTIF(FILTER(Data!O:O, Data!B:B=A638), {""Tie"",""Results""}))
/ (COUNTIF(Data!B:B, A638)),
1),"""")"),"")</f>
        <v/>
      </c>
      <c r="C638" s="45" t="str">
        <f>IFERROR((SUMIF(Data!B:B, A638, Data!H:H)
/ (COUNTIF(Data!B:B, A638)
)),"")</f>
        <v/>
      </c>
      <c r="D638" s="45" t="str">
        <f>IFERROR((SUMIF(Data!B:B, A638, Data!G:G)
/ (COUNTIF(Data!B:B, A638)
)),"")</f>
        <v/>
      </c>
      <c r="E638" s="45"/>
      <c r="F638" s="45" t="str">
        <f>IFERROR((SUMIF(Data!B:B, A638, Data!J:J)
/ (COUNTIF(Data!B:B, A638)
)),"")</f>
        <v/>
      </c>
      <c r="G638" s="56" t="str">
        <f>IF(A638="","",IFERROR((((((SUMIF(Data!B:B, A638, Data!H:H)+(SUMIF(Data!B:B, A638,Data!G:G)))/(SUMIF(Data!B:B, A638, Data!J:J)))))),0))</f>
        <v/>
      </c>
      <c r="H638" s="45"/>
      <c r="I638" s="45"/>
      <c r="J638" s="45"/>
      <c r="K638" s="45"/>
      <c r="L638" s="45" t="str">
        <f>IFERROR((SUMIF(Data!B:B, A638, Data!L:L)
/ (COUNTIF(Data!B:B, A638)
)),"")</f>
        <v/>
      </c>
      <c r="M638" s="45" t="str">
        <f>IFERROR((SUMIF(Data!B:B, A638, Data!K:K)
/ (COUNTIF(Data!B:B, A638)
)),"")</f>
        <v/>
      </c>
      <c r="N638" s="56"/>
      <c r="O638" s="56" t="str">
        <f>IF(A638="","",IFERROR((((((SUMIF(Data!B:B, A638, Data!H:H)+(SUMIF(Data!B:B, A638,Data!G:G)+(SUMIF(Data!B:B, A638,Data!L:L)+(SUMIF(Data!B:B, A638,Data!K:K)))))/(SUMIF(Data!B:B, A638, Data!M:M)+(SUMIF(Data!B:B, A638, Data!H:H)+(SUMIF(Data!B:B, A638,Data!G:G)+(SUMIF(Data!B:B, A638,Data!K:K)+(SUMIF(Data!B:B, A638,Data!L:L)))))))))),0))</f>
        <v/>
      </c>
      <c r="P638" s="57" t="str">
        <f>IFERROR(__xludf.DUMMYFUNCTION("IFERROR(((COUNTIF(FILTER(Data!N:N,Data!B:B=A638),""TRAVERSE"")*15)+(COUNTIF(FILTER(Data!N:N,Data!B:B=A638),""HIGH"")*10)+(COUNTIF(FILTER(Data!N:N,Data!B:B=A638),""MIDDLE"")*6)+(COUNTIF(FILTER(Data!N:N,Data!B:B=A638),""LOW"")*4)) / (COUNTIF(Data!B:B, A638)"&amp;"),"""")"),"")</f>
        <v/>
      </c>
      <c r="Q638" s="58"/>
      <c r="R638" s="58"/>
      <c r="S638" s="58" t="str">
        <f>IFERROR(__xludf.DUMMYFUNCTION("IFERROR((((COUNTIF(FILTER(Data!N:N,Data!B:B=A638),""TRAVERSE""))+(COUNTIF(FILTER(Data!N:N,Data!B:B=A638),""HIGH""))+(COUNTIF(FILTER(Data!N:N,Data!B:B=A638),""MIDDLE""))+(COUNTIF(FILTER(Data!N:N,Data!B:B=A638),""LOW"")))) / (((COUNTIF(Data!B:B, A638)))-(CO"&amp;"UNTIF(FILTER(Data!N:N,Data!B:B=A638),""NONE""))),IF(ISBLANK(A638),"""",0))"),"")</f>
        <v/>
      </c>
      <c r="T638" s="56" t="str">
        <f>IFERROR(__xludf.DUMMYFUNCTION("IFERROR((COUNTIF(FILTER(Data!N:N, Data!B:B=A638),""LOW"")) / (COUNTIF(Data!B:B, A638)),"""")"),"")</f>
        <v/>
      </c>
      <c r="U638" s="59" t="str">
        <f>IFERROR(__xludf.DUMMYFUNCTION("IFERROR((COUNTIF(FILTER(Data!N:N, Data!B:B=A638),""MIDDLE"")) / (COUNTIF(Data!B:B, A638)),"""")"),"")</f>
        <v/>
      </c>
      <c r="V638" s="59" t="str">
        <f>IFERROR(__xludf.DUMMYFUNCTION("IFERROR((COUNTIF(FILTER(Data!N:N, Data!B:B=A638),""HIGH"")) / (COUNTIF(Data!B:B, A638)),"""")"),"")</f>
        <v/>
      </c>
      <c r="W638" s="59" t="str">
        <f>IFERROR(__xludf.DUMMYFUNCTION("IFERROR((COUNTIF(FILTER(Data!N:N, Data!B:B=A638),""TRAVERSE"")) / (COUNTIF(Data!B:B, A638)),"""")"),"")</f>
        <v/>
      </c>
      <c r="X638" s="59"/>
      <c r="Y638" s="45" t="str">
        <f t="shared" si="7"/>
        <v/>
      </c>
      <c r="Z638" s="45" t="str">
        <f t="shared" si="8"/>
        <v/>
      </c>
      <c r="AA638" s="16" t="str">
        <f t="shared" si="9"/>
        <v/>
      </c>
      <c r="AB638" s="16"/>
      <c r="AC638" s="16"/>
      <c r="AD638" s="16"/>
      <c r="AE638" s="16" t="str">
        <f t="shared" si="12"/>
        <v/>
      </c>
      <c r="AF638" s="16" t="str">
        <f t="shared" si="13"/>
        <v/>
      </c>
      <c r="AG638" s="44"/>
      <c r="AH638" s="44"/>
      <c r="AI638" s="44" t="str">
        <f>IFERROR(__xludf.DUMMYFUNCTION("TEXTJOIN("", "",TRUE, FILTER(Data!P:P, Data!B:B=A638))"),"")</f>
        <v/>
      </c>
      <c r="AM638" s="61"/>
      <c r="BC638" s="50"/>
    </row>
    <row r="639">
      <c r="A639" s="14"/>
      <c r="B639" s="55" t="str">
        <f>IFERROR(__xludf.DUMMYFUNCTION("IFERROR(ROUND(
(COUNTIF(FILTER(Data!O:O, Data!B:B=A639), ""Win"")
+ COUNTIF(FILTER(Data!O:O, Data!B:B=A639), {""Tie"",""Results""}))
/ (COUNTIF(Data!B:B, A639)),
1),"""")"),"")</f>
        <v/>
      </c>
      <c r="C639" s="45" t="str">
        <f>IFERROR((SUMIF(Data!B:B, A639, Data!H:H)
/ (COUNTIF(Data!B:B, A639)
)),"")</f>
        <v/>
      </c>
      <c r="D639" s="45" t="str">
        <f>IFERROR((SUMIF(Data!B:B, A639, Data!G:G)
/ (COUNTIF(Data!B:B, A639)
)),"")</f>
        <v/>
      </c>
      <c r="E639" s="45"/>
      <c r="F639" s="45" t="str">
        <f>IFERROR((SUMIF(Data!B:B, A639, Data!J:J)
/ (COUNTIF(Data!B:B, A639)
)),"")</f>
        <v/>
      </c>
      <c r="G639" s="56" t="str">
        <f>IF(A639="","",IFERROR((((((SUMIF(Data!B:B, A639, Data!H:H)+(SUMIF(Data!B:B, A639,Data!G:G)))/(SUMIF(Data!B:B, A639, Data!J:J)))))),0))</f>
        <v/>
      </c>
      <c r="H639" s="45"/>
      <c r="I639" s="45"/>
      <c r="J639" s="45"/>
      <c r="K639" s="45"/>
      <c r="L639" s="45" t="str">
        <f>IFERROR((SUMIF(Data!B:B, A639, Data!L:L)
/ (COUNTIF(Data!B:B, A639)
)),"")</f>
        <v/>
      </c>
      <c r="M639" s="45" t="str">
        <f>IFERROR((SUMIF(Data!B:B, A639, Data!K:K)
/ (COUNTIF(Data!B:B, A639)
)),"")</f>
        <v/>
      </c>
      <c r="N639" s="56"/>
      <c r="O639" s="56" t="str">
        <f>IF(A639="","",IFERROR((((((SUMIF(Data!B:B, A639, Data!H:H)+(SUMIF(Data!B:B, A639,Data!G:G)+(SUMIF(Data!B:B, A639,Data!L:L)+(SUMIF(Data!B:B, A639,Data!K:K)))))/(SUMIF(Data!B:B, A639, Data!M:M)+(SUMIF(Data!B:B, A639, Data!H:H)+(SUMIF(Data!B:B, A639,Data!G:G)+(SUMIF(Data!B:B, A639,Data!K:K)+(SUMIF(Data!B:B, A639,Data!L:L)))))))))),0))</f>
        <v/>
      </c>
      <c r="P639" s="57" t="str">
        <f>IFERROR(__xludf.DUMMYFUNCTION("IFERROR(((COUNTIF(FILTER(Data!N:N,Data!B:B=A639),""TRAVERSE"")*15)+(COUNTIF(FILTER(Data!N:N,Data!B:B=A639),""HIGH"")*10)+(COUNTIF(FILTER(Data!N:N,Data!B:B=A639),""MIDDLE"")*6)+(COUNTIF(FILTER(Data!N:N,Data!B:B=A639),""LOW"")*4)) / (COUNTIF(Data!B:B, A639)"&amp;"),"""")"),"")</f>
        <v/>
      </c>
      <c r="Q639" s="58"/>
      <c r="R639" s="58"/>
      <c r="S639" s="58" t="str">
        <f>IFERROR(__xludf.DUMMYFUNCTION("IFERROR((((COUNTIF(FILTER(Data!N:N,Data!B:B=A639),""TRAVERSE""))+(COUNTIF(FILTER(Data!N:N,Data!B:B=A639),""HIGH""))+(COUNTIF(FILTER(Data!N:N,Data!B:B=A639),""MIDDLE""))+(COUNTIF(FILTER(Data!N:N,Data!B:B=A639),""LOW"")))) / (((COUNTIF(Data!B:B, A639)))-(CO"&amp;"UNTIF(FILTER(Data!N:N,Data!B:B=A639),""NONE""))),IF(ISBLANK(A639),"""",0))"),"")</f>
        <v/>
      </c>
      <c r="T639" s="56" t="str">
        <f>IFERROR(__xludf.DUMMYFUNCTION("IFERROR((COUNTIF(FILTER(Data!N:N, Data!B:B=A639),""LOW"")) / (COUNTIF(Data!B:B, A639)),"""")"),"")</f>
        <v/>
      </c>
      <c r="U639" s="59" t="str">
        <f>IFERROR(__xludf.DUMMYFUNCTION("IFERROR((COUNTIF(FILTER(Data!N:N, Data!B:B=A639),""MIDDLE"")) / (COUNTIF(Data!B:B, A639)),"""")"),"")</f>
        <v/>
      </c>
      <c r="V639" s="59" t="str">
        <f>IFERROR(__xludf.DUMMYFUNCTION("IFERROR((COUNTIF(FILTER(Data!N:N, Data!B:B=A639),""HIGH"")) / (COUNTIF(Data!B:B, A639)),"""")"),"")</f>
        <v/>
      </c>
      <c r="W639" s="59" t="str">
        <f>IFERROR(__xludf.DUMMYFUNCTION("IFERROR((COUNTIF(FILTER(Data!N:N, Data!B:B=A639),""TRAVERSE"")) / (COUNTIF(Data!B:B, A639)),"""")"),"")</f>
        <v/>
      </c>
      <c r="X639" s="59"/>
      <c r="Y639" s="45" t="str">
        <f t="shared" si="7"/>
        <v/>
      </c>
      <c r="Z639" s="45" t="str">
        <f t="shared" si="8"/>
        <v/>
      </c>
      <c r="AA639" s="16" t="str">
        <f t="shared" si="9"/>
        <v/>
      </c>
      <c r="AB639" s="16"/>
      <c r="AC639" s="16"/>
      <c r="AD639" s="16"/>
      <c r="AE639" s="16" t="str">
        <f t="shared" si="12"/>
        <v/>
      </c>
      <c r="AF639" s="16" t="str">
        <f t="shared" si="13"/>
        <v/>
      </c>
      <c r="AG639" s="44"/>
      <c r="AH639" s="44"/>
      <c r="AI639" s="44" t="str">
        <f>IFERROR(__xludf.DUMMYFUNCTION("TEXTJOIN("", "",TRUE, FILTER(Data!P:P, Data!B:B=A639))"),"")</f>
        <v/>
      </c>
      <c r="AM639" s="61"/>
      <c r="BC639" s="50"/>
    </row>
    <row r="640">
      <c r="A640" s="14"/>
      <c r="B640" s="55" t="str">
        <f>IFERROR(__xludf.DUMMYFUNCTION("IFERROR(ROUND(
(COUNTIF(FILTER(Data!O:O, Data!B:B=A640), ""Win"")
+ COUNTIF(FILTER(Data!O:O, Data!B:B=A640), {""Tie"",""Results""}))
/ (COUNTIF(Data!B:B, A640)),
1),"""")"),"")</f>
        <v/>
      </c>
      <c r="C640" s="45" t="str">
        <f>IFERROR((SUMIF(Data!B:B, A640, Data!H:H)
/ (COUNTIF(Data!B:B, A640)
)),"")</f>
        <v/>
      </c>
      <c r="D640" s="45" t="str">
        <f>IFERROR((SUMIF(Data!B:B, A640, Data!G:G)
/ (COUNTIF(Data!B:B, A640)
)),"")</f>
        <v/>
      </c>
      <c r="E640" s="45"/>
      <c r="F640" s="45" t="str">
        <f>IFERROR((SUMIF(Data!B:B, A640, Data!J:J)
/ (COUNTIF(Data!B:B, A640)
)),"")</f>
        <v/>
      </c>
      <c r="G640" s="56" t="str">
        <f>IF(A640="","",IFERROR((((((SUMIF(Data!B:B, A640, Data!H:H)+(SUMIF(Data!B:B, A640,Data!G:G)))/(SUMIF(Data!B:B, A640, Data!J:J)))))),0))</f>
        <v/>
      </c>
      <c r="H640" s="45"/>
      <c r="I640" s="45"/>
      <c r="J640" s="45"/>
      <c r="K640" s="45"/>
      <c r="L640" s="45" t="str">
        <f>IFERROR((SUMIF(Data!B:B, A640, Data!L:L)
/ (COUNTIF(Data!B:B, A640)
)),"")</f>
        <v/>
      </c>
      <c r="M640" s="45" t="str">
        <f>IFERROR((SUMIF(Data!B:B, A640, Data!K:K)
/ (COUNTIF(Data!B:B, A640)
)),"")</f>
        <v/>
      </c>
      <c r="N640" s="56"/>
      <c r="O640" s="56" t="str">
        <f>IF(A640="","",IFERROR((((((SUMIF(Data!B:B, A640, Data!H:H)+(SUMIF(Data!B:B, A640,Data!G:G)+(SUMIF(Data!B:B, A640,Data!L:L)+(SUMIF(Data!B:B, A640,Data!K:K)))))/(SUMIF(Data!B:B, A640, Data!M:M)+(SUMIF(Data!B:B, A640, Data!H:H)+(SUMIF(Data!B:B, A640,Data!G:G)+(SUMIF(Data!B:B, A640,Data!K:K)+(SUMIF(Data!B:B, A640,Data!L:L)))))))))),0))</f>
        <v/>
      </c>
      <c r="P640" s="57" t="str">
        <f>IFERROR(__xludf.DUMMYFUNCTION("IFERROR(((COUNTIF(FILTER(Data!N:N,Data!B:B=A640),""TRAVERSE"")*15)+(COUNTIF(FILTER(Data!N:N,Data!B:B=A640),""HIGH"")*10)+(COUNTIF(FILTER(Data!N:N,Data!B:B=A640),""MIDDLE"")*6)+(COUNTIF(FILTER(Data!N:N,Data!B:B=A640),""LOW"")*4)) / (COUNTIF(Data!B:B, A640)"&amp;"),"""")"),"")</f>
        <v/>
      </c>
      <c r="Q640" s="58"/>
      <c r="R640" s="58"/>
      <c r="S640" s="58" t="str">
        <f>IFERROR(__xludf.DUMMYFUNCTION("IFERROR((((COUNTIF(FILTER(Data!N:N,Data!B:B=A640),""TRAVERSE""))+(COUNTIF(FILTER(Data!N:N,Data!B:B=A640),""HIGH""))+(COUNTIF(FILTER(Data!N:N,Data!B:B=A640),""MIDDLE""))+(COUNTIF(FILTER(Data!N:N,Data!B:B=A640),""LOW"")))) / (((COUNTIF(Data!B:B, A640)))-(CO"&amp;"UNTIF(FILTER(Data!N:N,Data!B:B=A640),""NONE""))),IF(ISBLANK(A640),"""",0))"),"")</f>
        <v/>
      </c>
      <c r="T640" s="56" t="str">
        <f>IFERROR(__xludf.DUMMYFUNCTION("IFERROR((COUNTIF(FILTER(Data!N:N, Data!B:B=A640),""LOW"")) / (COUNTIF(Data!B:B, A640)),"""")"),"")</f>
        <v/>
      </c>
      <c r="U640" s="59" t="str">
        <f>IFERROR(__xludf.DUMMYFUNCTION("IFERROR((COUNTIF(FILTER(Data!N:N, Data!B:B=A640),""MIDDLE"")) / (COUNTIF(Data!B:B, A640)),"""")"),"")</f>
        <v/>
      </c>
      <c r="V640" s="59" t="str">
        <f>IFERROR(__xludf.DUMMYFUNCTION("IFERROR((COUNTIF(FILTER(Data!N:N, Data!B:B=A640),""HIGH"")) / (COUNTIF(Data!B:B, A640)),"""")"),"")</f>
        <v/>
      </c>
      <c r="W640" s="59" t="str">
        <f>IFERROR(__xludf.DUMMYFUNCTION("IFERROR((COUNTIF(FILTER(Data!N:N, Data!B:B=A640),""TRAVERSE"")) / (COUNTIF(Data!B:B, A640)),"""")"),"")</f>
        <v/>
      </c>
      <c r="X640" s="59"/>
      <c r="Y640" s="45" t="str">
        <f t="shared" si="7"/>
        <v/>
      </c>
      <c r="Z640" s="45" t="str">
        <f t="shared" si="8"/>
        <v/>
      </c>
      <c r="AA640" s="16" t="str">
        <f t="shared" si="9"/>
        <v/>
      </c>
      <c r="AB640" s="16"/>
      <c r="AC640" s="16"/>
      <c r="AD640" s="16"/>
      <c r="AE640" s="16" t="str">
        <f t="shared" si="12"/>
        <v/>
      </c>
      <c r="AF640" s="16" t="str">
        <f t="shared" si="13"/>
        <v/>
      </c>
      <c r="AG640" s="44"/>
      <c r="AH640" s="44"/>
      <c r="AI640" s="44" t="str">
        <f>IFERROR(__xludf.DUMMYFUNCTION("TEXTJOIN("", "",TRUE, FILTER(Data!P:P, Data!B:B=A640))"),"")</f>
        <v/>
      </c>
      <c r="AM640" s="61"/>
      <c r="BC640" s="50"/>
    </row>
    <row r="641">
      <c r="A641" s="14"/>
      <c r="B641" s="55" t="str">
        <f>IFERROR(__xludf.DUMMYFUNCTION("IFERROR(ROUND(
(COUNTIF(FILTER(Data!O:O, Data!B:B=A641), ""Win"")
+ COUNTIF(FILTER(Data!O:O, Data!B:B=A641), {""Tie"",""Results""}))
/ (COUNTIF(Data!B:B, A641)),
1),"""")"),"")</f>
        <v/>
      </c>
      <c r="C641" s="45" t="str">
        <f>IFERROR((SUMIF(Data!B:B, A641, Data!H:H)
/ (COUNTIF(Data!B:B, A641)
)),"")</f>
        <v/>
      </c>
      <c r="D641" s="45" t="str">
        <f>IFERROR((SUMIF(Data!B:B, A641, Data!G:G)
/ (COUNTIF(Data!B:B, A641)
)),"")</f>
        <v/>
      </c>
      <c r="E641" s="45"/>
      <c r="F641" s="45" t="str">
        <f>IFERROR((SUMIF(Data!B:B, A641, Data!J:J)
/ (COUNTIF(Data!B:B, A641)
)),"")</f>
        <v/>
      </c>
      <c r="G641" s="56" t="str">
        <f>IF(A641="","",IFERROR((((((SUMIF(Data!B:B, A641, Data!H:H)+(SUMIF(Data!B:B, A641,Data!G:G)))/(SUMIF(Data!B:B, A641, Data!J:J)))))),0))</f>
        <v/>
      </c>
      <c r="H641" s="45"/>
      <c r="I641" s="45"/>
      <c r="J641" s="45"/>
      <c r="K641" s="45"/>
      <c r="L641" s="45" t="str">
        <f>IFERROR((SUMIF(Data!B:B, A641, Data!L:L)
/ (COUNTIF(Data!B:B, A641)
)),"")</f>
        <v/>
      </c>
      <c r="M641" s="45" t="str">
        <f>IFERROR((SUMIF(Data!B:B, A641, Data!K:K)
/ (COUNTIF(Data!B:B, A641)
)),"")</f>
        <v/>
      </c>
      <c r="N641" s="56"/>
      <c r="O641" s="56" t="str">
        <f>IF(A641="","",IFERROR((((((SUMIF(Data!B:B, A641, Data!H:H)+(SUMIF(Data!B:B, A641,Data!G:G)+(SUMIF(Data!B:B, A641,Data!L:L)+(SUMIF(Data!B:B, A641,Data!K:K)))))/(SUMIF(Data!B:B, A641, Data!M:M)+(SUMIF(Data!B:B, A641, Data!H:H)+(SUMIF(Data!B:B, A641,Data!G:G)+(SUMIF(Data!B:B, A641,Data!K:K)+(SUMIF(Data!B:B, A641,Data!L:L)))))))))),0))</f>
        <v/>
      </c>
      <c r="P641" s="57" t="str">
        <f>IFERROR(__xludf.DUMMYFUNCTION("IFERROR(((COUNTIF(FILTER(Data!N:N,Data!B:B=A641),""TRAVERSE"")*15)+(COUNTIF(FILTER(Data!N:N,Data!B:B=A641),""HIGH"")*10)+(COUNTIF(FILTER(Data!N:N,Data!B:B=A641),""MIDDLE"")*6)+(COUNTIF(FILTER(Data!N:N,Data!B:B=A641),""LOW"")*4)) / (COUNTIF(Data!B:B, A641)"&amp;"),"""")"),"")</f>
        <v/>
      </c>
      <c r="Q641" s="58"/>
      <c r="R641" s="58"/>
      <c r="S641" s="58" t="str">
        <f>IFERROR(__xludf.DUMMYFUNCTION("IFERROR((((COUNTIF(FILTER(Data!N:N,Data!B:B=A641),""TRAVERSE""))+(COUNTIF(FILTER(Data!N:N,Data!B:B=A641),""HIGH""))+(COUNTIF(FILTER(Data!N:N,Data!B:B=A641),""MIDDLE""))+(COUNTIF(FILTER(Data!N:N,Data!B:B=A641),""LOW"")))) / (((COUNTIF(Data!B:B, A641)))-(CO"&amp;"UNTIF(FILTER(Data!N:N,Data!B:B=A641),""NONE""))),IF(ISBLANK(A641),"""",0))"),"")</f>
        <v/>
      </c>
      <c r="T641" s="56" t="str">
        <f>IFERROR(__xludf.DUMMYFUNCTION("IFERROR((COUNTIF(FILTER(Data!N:N, Data!B:B=A641),""LOW"")) / (COUNTIF(Data!B:B, A641)),"""")"),"")</f>
        <v/>
      </c>
      <c r="U641" s="59" t="str">
        <f>IFERROR(__xludf.DUMMYFUNCTION("IFERROR((COUNTIF(FILTER(Data!N:N, Data!B:B=A641),""MIDDLE"")) / (COUNTIF(Data!B:B, A641)),"""")"),"")</f>
        <v/>
      </c>
      <c r="V641" s="59" t="str">
        <f>IFERROR(__xludf.DUMMYFUNCTION("IFERROR((COUNTIF(FILTER(Data!N:N, Data!B:B=A641),""HIGH"")) / (COUNTIF(Data!B:B, A641)),"""")"),"")</f>
        <v/>
      </c>
      <c r="W641" s="59" t="str">
        <f>IFERROR(__xludf.DUMMYFUNCTION("IFERROR((COUNTIF(FILTER(Data!N:N, Data!B:B=A641),""TRAVERSE"")) / (COUNTIF(Data!B:B, A641)),"""")"),"")</f>
        <v/>
      </c>
      <c r="X641" s="59"/>
      <c r="Y641" s="45" t="str">
        <f t="shared" si="7"/>
        <v/>
      </c>
      <c r="Z641" s="45" t="str">
        <f t="shared" si="8"/>
        <v/>
      </c>
      <c r="AA641" s="16" t="str">
        <f t="shared" si="9"/>
        <v/>
      </c>
      <c r="AB641" s="16"/>
      <c r="AC641" s="16"/>
      <c r="AD641" s="16"/>
      <c r="AE641" s="16" t="str">
        <f t="shared" si="12"/>
        <v/>
      </c>
      <c r="AF641" s="16" t="str">
        <f t="shared" si="13"/>
        <v/>
      </c>
      <c r="AG641" s="44"/>
      <c r="AH641" s="44"/>
      <c r="AI641" s="44" t="str">
        <f>IFERROR(__xludf.DUMMYFUNCTION("TEXTJOIN("", "",TRUE, FILTER(Data!P:P, Data!B:B=A641))"),"")</f>
        <v/>
      </c>
      <c r="AM641" s="61"/>
      <c r="BC641" s="50"/>
    </row>
    <row r="642">
      <c r="A642" s="14"/>
      <c r="B642" s="55" t="str">
        <f>IFERROR(__xludf.DUMMYFUNCTION("IFERROR(ROUND(
(COUNTIF(FILTER(Data!O:O, Data!B:B=A642), ""Win"")
+ COUNTIF(FILTER(Data!O:O, Data!B:B=A642), {""Tie"",""Results""}))
/ (COUNTIF(Data!B:B, A642)),
1),"""")"),"")</f>
        <v/>
      </c>
      <c r="C642" s="45" t="str">
        <f>IFERROR((SUMIF(Data!B:B, A642, Data!H:H)
/ (COUNTIF(Data!B:B, A642)
)),"")</f>
        <v/>
      </c>
      <c r="D642" s="45" t="str">
        <f>IFERROR((SUMIF(Data!B:B, A642, Data!G:G)
/ (COUNTIF(Data!B:B, A642)
)),"")</f>
        <v/>
      </c>
      <c r="E642" s="45"/>
      <c r="F642" s="45" t="str">
        <f>IFERROR((SUMIF(Data!B:B, A642, Data!J:J)
/ (COUNTIF(Data!B:B, A642)
)),"")</f>
        <v/>
      </c>
      <c r="G642" s="56" t="str">
        <f>IF(A642="","",IFERROR((((((SUMIF(Data!B:B, A642, Data!H:H)+(SUMIF(Data!B:B, A642,Data!G:G)))/(SUMIF(Data!B:B, A642, Data!J:J)))))),0))</f>
        <v/>
      </c>
      <c r="H642" s="45"/>
      <c r="I642" s="45"/>
      <c r="J642" s="45"/>
      <c r="K642" s="45"/>
      <c r="L642" s="45" t="str">
        <f>IFERROR((SUMIF(Data!B:B, A642, Data!L:L)
/ (COUNTIF(Data!B:B, A642)
)),"")</f>
        <v/>
      </c>
      <c r="M642" s="45" t="str">
        <f>IFERROR((SUMIF(Data!B:B, A642, Data!K:K)
/ (COUNTIF(Data!B:B, A642)
)),"")</f>
        <v/>
      </c>
      <c r="N642" s="56"/>
      <c r="O642" s="56" t="str">
        <f>IF(A642="","",IFERROR((((((SUMIF(Data!B:B, A642, Data!H:H)+(SUMIF(Data!B:B, A642,Data!G:G)+(SUMIF(Data!B:B, A642,Data!L:L)+(SUMIF(Data!B:B, A642,Data!K:K)))))/(SUMIF(Data!B:B, A642, Data!M:M)+(SUMIF(Data!B:B, A642, Data!H:H)+(SUMIF(Data!B:B, A642,Data!G:G)+(SUMIF(Data!B:B, A642,Data!K:K)+(SUMIF(Data!B:B, A642,Data!L:L)))))))))),0))</f>
        <v/>
      </c>
      <c r="P642" s="57" t="str">
        <f>IFERROR(__xludf.DUMMYFUNCTION("IFERROR(((COUNTIF(FILTER(Data!N:N,Data!B:B=A642),""TRAVERSE"")*15)+(COUNTIF(FILTER(Data!N:N,Data!B:B=A642),""HIGH"")*10)+(COUNTIF(FILTER(Data!N:N,Data!B:B=A642),""MIDDLE"")*6)+(COUNTIF(FILTER(Data!N:N,Data!B:B=A642),""LOW"")*4)) / (COUNTIF(Data!B:B, A642)"&amp;"),"""")"),"")</f>
        <v/>
      </c>
      <c r="Q642" s="58"/>
      <c r="R642" s="58"/>
      <c r="S642" s="58" t="str">
        <f>IFERROR(__xludf.DUMMYFUNCTION("IFERROR((((COUNTIF(FILTER(Data!N:N,Data!B:B=A642),""TRAVERSE""))+(COUNTIF(FILTER(Data!N:N,Data!B:B=A642),""HIGH""))+(COUNTIF(FILTER(Data!N:N,Data!B:B=A642),""MIDDLE""))+(COUNTIF(FILTER(Data!N:N,Data!B:B=A642),""LOW"")))) / (((COUNTIF(Data!B:B, A642)))-(CO"&amp;"UNTIF(FILTER(Data!N:N,Data!B:B=A642),""NONE""))),IF(ISBLANK(A642),"""",0))"),"")</f>
        <v/>
      </c>
      <c r="T642" s="56" t="str">
        <f>IFERROR(__xludf.DUMMYFUNCTION("IFERROR((COUNTIF(FILTER(Data!N:N, Data!B:B=A642),""LOW"")) / (COUNTIF(Data!B:B, A642)),"""")"),"")</f>
        <v/>
      </c>
      <c r="U642" s="59" t="str">
        <f>IFERROR(__xludf.DUMMYFUNCTION("IFERROR((COUNTIF(FILTER(Data!N:N, Data!B:B=A642),""MIDDLE"")) / (COUNTIF(Data!B:B, A642)),"""")"),"")</f>
        <v/>
      </c>
      <c r="V642" s="59" t="str">
        <f>IFERROR(__xludf.DUMMYFUNCTION("IFERROR((COUNTIF(FILTER(Data!N:N, Data!B:B=A642),""HIGH"")) / (COUNTIF(Data!B:B, A642)),"""")"),"")</f>
        <v/>
      </c>
      <c r="W642" s="59" t="str">
        <f>IFERROR(__xludf.DUMMYFUNCTION("IFERROR((COUNTIF(FILTER(Data!N:N, Data!B:B=A642),""TRAVERSE"")) / (COUNTIF(Data!B:B, A642)),"""")"),"")</f>
        <v/>
      </c>
      <c r="X642" s="59"/>
      <c r="Y642" s="45" t="str">
        <f t="shared" si="7"/>
        <v/>
      </c>
      <c r="Z642" s="45" t="str">
        <f t="shared" si="8"/>
        <v/>
      </c>
      <c r="AA642" s="16" t="str">
        <f t="shared" si="9"/>
        <v/>
      </c>
      <c r="AB642" s="16"/>
      <c r="AC642" s="16"/>
      <c r="AD642" s="16"/>
      <c r="AE642" s="16" t="str">
        <f t="shared" si="12"/>
        <v/>
      </c>
      <c r="AF642" s="16" t="str">
        <f t="shared" si="13"/>
        <v/>
      </c>
      <c r="AG642" s="44"/>
      <c r="AH642" s="44"/>
      <c r="AI642" s="44" t="str">
        <f>IFERROR(__xludf.DUMMYFUNCTION("TEXTJOIN("", "",TRUE, FILTER(Data!P:P, Data!B:B=A642))"),"")</f>
        <v/>
      </c>
      <c r="AM642" s="61"/>
      <c r="BC642" s="50"/>
    </row>
    <row r="643">
      <c r="A643" s="14"/>
      <c r="B643" s="55" t="str">
        <f>IFERROR(__xludf.DUMMYFUNCTION("IFERROR(ROUND(
(COUNTIF(FILTER(Data!O:O, Data!B:B=A643), ""Win"")
+ COUNTIF(FILTER(Data!O:O, Data!B:B=A643), {""Tie"",""Results""}))
/ (COUNTIF(Data!B:B, A643)),
1),"""")"),"")</f>
        <v/>
      </c>
      <c r="C643" s="45" t="str">
        <f>IFERROR((SUMIF(Data!B:B, A643, Data!H:H)
/ (COUNTIF(Data!B:B, A643)
)),"")</f>
        <v/>
      </c>
      <c r="D643" s="45" t="str">
        <f>IFERROR((SUMIF(Data!B:B, A643, Data!G:G)
/ (COUNTIF(Data!B:B, A643)
)),"")</f>
        <v/>
      </c>
      <c r="E643" s="45"/>
      <c r="F643" s="45" t="str">
        <f>IFERROR((SUMIF(Data!B:B, A643, Data!J:J)
/ (COUNTIF(Data!B:B, A643)
)),"")</f>
        <v/>
      </c>
      <c r="G643" s="56" t="str">
        <f>IF(A643="","",IFERROR((((((SUMIF(Data!B:B, A643, Data!H:H)+(SUMIF(Data!B:B, A643,Data!G:G)))/(SUMIF(Data!B:B, A643, Data!J:J)))))),0))</f>
        <v/>
      </c>
      <c r="H643" s="45"/>
      <c r="I643" s="45"/>
      <c r="J643" s="45"/>
      <c r="K643" s="45"/>
      <c r="L643" s="45" t="str">
        <f>IFERROR((SUMIF(Data!B:B, A643, Data!L:L)
/ (COUNTIF(Data!B:B, A643)
)),"")</f>
        <v/>
      </c>
      <c r="M643" s="45" t="str">
        <f>IFERROR((SUMIF(Data!B:B, A643, Data!K:K)
/ (COUNTIF(Data!B:B, A643)
)),"")</f>
        <v/>
      </c>
      <c r="N643" s="56"/>
      <c r="O643" s="56" t="str">
        <f>IF(A643="","",IFERROR((((((SUMIF(Data!B:B, A643, Data!H:H)+(SUMIF(Data!B:B, A643,Data!G:G)+(SUMIF(Data!B:B, A643,Data!L:L)+(SUMIF(Data!B:B, A643,Data!K:K)))))/(SUMIF(Data!B:B, A643, Data!M:M)+(SUMIF(Data!B:B, A643, Data!H:H)+(SUMIF(Data!B:B, A643,Data!G:G)+(SUMIF(Data!B:B, A643,Data!K:K)+(SUMIF(Data!B:B, A643,Data!L:L)))))))))),0))</f>
        <v/>
      </c>
      <c r="P643" s="57" t="str">
        <f>IFERROR(__xludf.DUMMYFUNCTION("IFERROR(((COUNTIF(FILTER(Data!N:N,Data!B:B=A643),""TRAVERSE"")*15)+(COUNTIF(FILTER(Data!N:N,Data!B:B=A643),""HIGH"")*10)+(COUNTIF(FILTER(Data!N:N,Data!B:B=A643),""MIDDLE"")*6)+(COUNTIF(FILTER(Data!N:N,Data!B:B=A643),""LOW"")*4)) / (COUNTIF(Data!B:B, A643)"&amp;"),"""")"),"")</f>
        <v/>
      </c>
      <c r="Q643" s="58"/>
      <c r="R643" s="58"/>
      <c r="S643" s="58" t="str">
        <f>IFERROR(__xludf.DUMMYFUNCTION("IFERROR((((COUNTIF(FILTER(Data!N:N,Data!B:B=A643),""TRAVERSE""))+(COUNTIF(FILTER(Data!N:N,Data!B:B=A643),""HIGH""))+(COUNTIF(FILTER(Data!N:N,Data!B:B=A643),""MIDDLE""))+(COUNTIF(FILTER(Data!N:N,Data!B:B=A643),""LOW"")))) / (((COUNTIF(Data!B:B, A643)))-(CO"&amp;"UNTIF(FILTER(Data!N:N,Data!B:B=A643),""NONE""))),IF(ISBLANK(A643),"""",0))"),"")</f>
        <v/>
      </c>
      <c r="T643" s="56" t="str">
        <f>IFERROR(__xludf.DUMMYFUNCTION("IFERROR((COUNTIF(FILTER(Data!N:N, Data!B:B=A643),""LOW"")) / (COUNTIF(Data!B:B, A643)),"""")"),"")</f>
        <v/>
      </c>
      <c r="U643" s="59" t="str">
        <f>IFERROR(__xludf.DUMMYFUNCTION("IFERROR((COUNTIF(FILTER(Data!N:N, Data!B:B=A643),""MIDDLE"")) / (COUNTIF(Data!B:B, A643)),"""")"),"")</f>
        <v/>
      </c>
      <c r="V643" s="59" t="str">
        <f>IFERROR(__xludf.DUMMYFUNCTION("IFERROR((COUNTIF(FILTER(Data!N:N, Data!B:B=A643),""HIGH"")) / (COUNTIF(Data!B:B, A643)),"""")"),"")</f>
        <v/>
      </c>
      <c r="W643" s="59" t="str">
        <f>IFERROR(__xludf.DUMMYFUNCTION("IFERROR((COUNTIF(FILTER(Data!N:N, Data!B:B=A643),""TRAVERSE"")) / (COUNTIF(Data!B:B, A643)),"""")"),"")</f>
        <v/>
      </c>
      <c r="X643" s="59"/>
      <c r="Y643" s="45" t="str">
        <f t="shared" si="7"/>
        <v/>
      </c>
      <c r="Z643" s="45" t="str">
        <f t="shared" si="8"/>
        <v/>
      </c>
      <c r="AA643" s="16" t="str">
        <f t="shared" si="9"/>
        <v/>
      </c>
      <c r="AB643" s="16"/>
      <c r="AC643" s="16"/>
      <c r="AD643" s="16"/>
      <c r="AE643" s="16" t="str">
        <f t="shared" si="12"/>
        <v/>
      </c>
      <c r="AF643" s="16" t="str">
        <f t="shared" si="13"/>
        <v/>
      </c>
      <c r="AG643" s="44"/>
      <c r="AH643" s="44"/>
      <c r="AI643" s="44" t="str">
        <f>IFERROR(__xludf.DUMMYFUNCTION("TEXTJOIN("", "",TRUE, FILTER(Data!P:P, Data!B:B=A643))"),"")</f>
        <v/>
      </c>
      <c r="AM643" s="61"/>
      <c r="BC643" s="50"/>
    </row>
    <row r="644">
      <c r="A644" s="14"/>
      <c r="B644" s="55" t="str">
        <f>IFERROR(__xludf.DUMMYFUNCTION("IFERROR(ROUND(
(COUNTIF(FILTER(Data!O:O, Data!B:B=A644), ""Win"")
+ COUNTIF(FILTER(Data!O:O, Data!B:B=A644), {""Tie"",""Results""}))
/ (COUNTIF(Data!B:B, A644)),
1),"""")"),"")</f>
        <v/>
      </c>
      <c r="C644" s="45" t="str">
        <f>IFERROR((SUMIF(Data!B:B, A644, Data!H:H)
/ (COUNTIF(Data!B:B, A644)
)),"")</f>
        <v/>
      </c>
      <c r="D644" s="45" t="str">
        <f>IFERROR((SUMIF(Data!B:B, A644, Data!G:G)
/ (COUNTIF(Data!B:B, A644)
)),"")</f>
        <v/>
      </c>
      <c r="E644" s="45"/>
      <c r="F644" s="45" t="str">
        <f>IFERROR((SUMIF(Data!B:B, A644, Data!J:J)
/ (COUNTIF(Data!B:B, A644)
)),"")</f>
        <v/>
      </c>
      <c r="G644" s="56" t="str">
        <f>IF(A644="","",IFERROR((((((SUMIF(Data!B:B, A644, Data!H:H)+(SUMIF(Data!B:B, A644,Data!G:G)))/(SUMIF(Data!B:B, A644, Data!J:J)))))),0))</f>
        <v/>
      </c>
      <c r="H644" s="45"/>
      <c r="I644" s="45"/>
      <c r="J644" s="45"/>
      <c r="K644" s="45"/>
      <c r="L644" s="45" t="str">
        <f>IFERROR((SUMIF(Data!B:B, A644, Data!L:L)
/ (COUNTIF(Data!B:B, A644)
)),"")</f>
        <v/>
      </c>
      <c r="M644" s="45" t="str">
        <f>IFERROR((SUMIF(Data!B:B, A644, Data!K:K)
/ (COUNTIF(Data!B:B, A644)
)),"")</f>
        <v/>
      </c>
      <c r="N644" s="56"/>
      <c r="O644" s="56" t="str">
        <f>IF(A644="","",IFERROR((((((SUMIF(Data!B:B, A644, Data!H:H)+(SUMIF(Data!B:B, A644,Data!G:G)+(SUMIF(Data!B:B, A644,Data!L:L)+(SUMIF(Data!B:B, A644,Data!K:K)))))/(SUMIF(Data!B:B, A644, Data!M:M)+(SUMIF(Data!B:B, A644, Data!H:H)+(SUMIF(Data!B:B, A644,Data!G:G)+(SUMIF(Data!B:B, A644,Data!K:K)+(SUMIF(Data!B:B, A644,Data!L:L)))))))))),0))</f>
        <v/>
      </c>
      <c r="P644" s="57" t="str">
        <f>IFERROR(__xludf.DUMMYFUNCTION("IFERROR(((COUNTIF(FILTER(Data!N:N,Data!B:B=A644),""TRAVERSE"")*15)+(COUNTIF(FILTER(Data!N:N,Data!B:B=A644),""HIGH"")*10)+(COUNTIF(FILTER(Data!N:N,Data!B:B=A644),""MIDDLE"")*6)+(COUNTIF(FILTER(Data!N:N,Data!B:B=A644),""LOW"")*4)) / (COUNTIF(Data!B:B, A644)"&amp;"),"""")"),"")</f>
        <v/>
      </c>
      <c r="Q644" s="58"/>
      <c r="R644" s="58"/>
      <c r="S644" s="58" t="str">
        <f>IFERROR(__xludf.DUMMYFUNCTION("IFERROR((((COUNTIF(FILTER(Data!N:N,Data!B:B=A644),""TRAVERSE""))+(COUNTIF(FILTER(Data!N:N,Data!B:B=A644),""HIGH""))+(COUNTIF(FILTER(Data!N:N,Data!B:B=A644),""MIDDLE""))+(COUNTIF(FILTER(Data!N:N,Data!B:B=A644),""LOW"")))) / (((COUNTIF(Data!B:B, A644)))-(CO"&amp;"UNTIF(FILTER(Data!N:N,Data!B:B=A644),""NONE""))),IF(ISBLANK(A644),"""",0))"),"")</f>
        <v/>
      </c>
      <c r="T644" s="56" t="str">
        <f>IFERROR(__xludf.DUMMYFUNCTION("IFERROR((COUNTIF(FILTER(Data!N:N, Data!B:B=A644),""LOW"")) / (COUNTIF(Data!B:B, A644)),"""")"),"")</f>
        <v/>
      </c>
      <c r="U644" s="59" t="str">
        <f>IFERROR(__xludf.DUMMYFUNCTION("IFERROR((COUNTIF(FILTER(Data!N:N, Data!B:B=A644),""MIDDLE"")) / (COUNTIF(Data!B:B, A644)),"""")"),"")</f>
        <v/>
      </c>
      <c r="V644" s="59" t="str">
        <f>IFERROR(__xludf.DUMMYFUNCTION("IFERROR((COUNTIF(FILTER(Data!N:N, Data!B:B=A644),""HIGH"")) / (COUNTIF(Data!B:B, A644)),"""")"),"")</f>
        <v/>
      </c>
      <c r="W644" s="59" t="str">
        <f>IFERROR(__xludf.DUMMYFUNCTION("IFERROR((COUNTIF(FILTER(Data!N:N, Data!B:B=A644),""TRAVERSE"")) / (COUNTIF(Data!B:B, A644)),"""")"),"")</f>
        <v/>
      </c>
      <c r="X644" s="59"/>
      <c r="Y644" s="45" t="str">
        <f t="shared" si="7"/>
        <v/>
      </c>
      <c r="Z644" s="45" t="str">
        <f t="shared" si="8"/>
        <v/>
      </c>
      <c r="AA644" s="16" t="str">
        <f t="shared" si="9"/>
        <v/>
      </c>
      <c r="AB644" s="16"/>
      <c r="AC644" s="16"/>
      <c r="AD644" s="16"/>
      <c r="AE644" s="16" t="str">
        <f t="shared" si="12"/>
        <v/>
      </c>
      <c r="AF644" s="16" t="str">
        <f t="shared" si="13"/>
        <v/>
      </c>
      <c r="AG644" s="44"/>
      <c r="AH644" s="44"/>
      <c r="AI644" s="44" t="str">
        <f>IFERROR(__xludf.DUMMYFUNCTION("TEXTJOIN("", "",TRUE, FILTER(Data!P:P, Data!B:B=A644))"),"")</f>
        <v/>
      </c>
      <c r="AM644" s="61"/>
      <c r="BC644" s="50"/>
    </row>
    <row r="645">
      <c r="A645" s="14"/>
      <c r="B645" s="55" t="str">
        <f>IFERROR(__xludf.DUMMYFUNCTION("IFERROR(ROUND(
(COUNTIF(FILTER(Data!O:O, Data!B:B=A645), ""Win"")
+ COUNTIF(FILTER(Data!O:O, Data!B:B=A645), {""Tie"",""Results""}))
/ (COUNTIF(Data!B:B, A645)),
1),"""")"),"")</f>
        <v/>
      </c>
      <c r="C645" s="45" t="str">
        <f>IFERROR((SUMIF(Data!B:B, A645, Data!H:H)
/ (COUNTIF(Data!B:B, A645)
)),"")</f>
        <v/>
      </c>
      <c r="D645" s="45" t="str">
        <f>IFERROR((SUMIF(Data!B:B, A645, Data!G:G)
/ (COUNTIF(Data!B:B, A645)
)),"")</f>
        <v/>
      </c>
      <c r="E645" s="45"/>
      <c r="F645" s="45" t="str">
        <f>IFERROR((SUMIF(Data!B:B, A645, Data!J:J)
/ (COUNTIF(Data!B:B, A645)
)),"")</f>
        <v/>
      </c>
      <c r="G645" s="56" t="str">
        <f>IF(A645="","",IFERROR((((((SUMIF(Data!B:B, A645, Data!H:H)+(SUMIF(Data!B:B, A645,Data!G:G)))/(SUMIF(Data!B:B, A645, Data!J:J)))))),0))</f>
        <v/>
      </c>
      <c r="H645" s="45"/>
      <c r="I645" s="45"/>
      <c r="J645" s="45"/>
      <c r="K645" s="45"/>
      <c r="L645" s="45" t="str">
        <f>IFERROR((SUMIF(Data!B:B, A645, Data!L:L)
/ (COUNTIF(Data!B:B, A645)
)),"")</f>
        <v/>
      </c>
      <c r="M645" s="45" t="str">
        <f>IFERROR((SUMIF(Data!B:B, A645, Data!K:K)
/ (COUNTIF(Data!B:B, A645)
)),"")</f>
        <v/>
      </c>
      <c r="N645" s="56"/>
      <c r="O645" s="56" t="str">
        <f>IF(A645="","",IFERROR((((((SUMIF(Data!B:B, A645, Data!H:H)+(SUMIF(Data!B:B, A645,Data!G:G)+(SUMIF(Data!B:B, A645,Data!L:L)+(SUMIF(Data!B:B, A645,Data!K:K)))))/(SUMIF(Data!B:B, A645, Data!M:M)+(SUMIF(Data!B:B, A645, Data!H:H)+(SUMIF(Data!B:B, A645,Data!G:G)+(SUMIF(Data!B:B, A645,Data!K:K)+(SUMIF(Data!B:B, A645,Data!L:L)))))))))),0))</f>
        <v/>
      </c>
      <c r="P645" s="57" t="str">
        <f>IFERROR(__xludf.DUMMYFUNCTION("IFERROR(((COUNTIF(FILTER(Data!N:N,Data!B:B=A645),""TRAVERSE"")*15)+(COUNTIF(FILTER(Data!N:N,Data!B:B=A645),""HIGH"")*10)+(COUNTIF(FILTER(Data!N:N,Data!B:B=A645),""MIDDLE"")*6)+(COUNTIF(FILTER(Data!N:N,Data!B:B=A645),""LOW"")*4)) / (COUNTIF(Data!B:B, A645)"&amp;"),"""")"),"")</f>
        <v/>
      </c>
      <c r="Q645" s="58"/>
      <c r="R645" s="58"/>
      <c r="S645" s="58" t="str">
        <f>IFERROR(__xludf.DUMMYFUNCTION("IFERROR((((COUNTIF(FILTER(Data!N:N,Data!B:B=A645),""TRAVERSE""))+(COUNTIF(FILTER(Data!N:N,Data!B:B=A645),""HIGH""))+(COUNTIF(FILTER(Data!N:N,Data!B:B=A645),""MIDDLE""))+(COUNTIF(FILTER(Data!N:N,Data!B:B=A645),""LOW"")))) / (((COUNTIF(Data!B:B, A645)))-(CO"&amp;"UNTIF(FILTER(Data!N:N,Data!B:B=A645),""NONE""))),IF(ISBLANK(A645),"""",0))"),"")</f>
        <v/>
      </c>
      <c r="T645" s="56" t="str">
        <f>IFERROR(__xludf.DUMMYFUNCTION("IFERROR((COUNTIF(FILTER(Data!N:N, Data!B:B=A645),""LOW"")) / (COUNTIF(Data!B:B, A645)),"""")"),"")</f>
        <v/>
      </c>
      <c r="U645" s="59" t="str">
        <f>IFERROR(__xludf.DUMMYFUNCTION("IFERROR((COUNTIF(FILTER(Data!N:N, Data!B:B=A645),""MIDDLE"")) / (COUNTIF(Data!B:B, A645)),"""")"),"")</f>
        <v/>
      </c>
      <c r="V645" s="59" t="str">
        <f>IFERROR(__xludf.DUMMYFUNCTION("IFERROR((COUNTIF(FILTER(Data!N:N, Data!B:B=A645),""HIGH"")) / (COUNTIF(Data!B:B, A645)),"""")"),"")</f>
        <v/>
      </c>
      <c r="W645" s="59" t="str">
        <f>IFERROR(__xludf.DUMMYFUNCTION("IFERROR((COUNTIF(FILTER(Data!N:N, Data!B:B=A645),""TRAVERSE"")) / (COUNTIF(Data!B:B, A645)),"""")"),"")</f>
        <v/>
      </c>
      <c r="X645" s="59"/>
      <c r="Y645" s="45" t="str">
        <f t="shared" si="7"/>
        <v/>
      </c>
      <c r="Z645" s="45" t="str">
        <f t="shared" si="8"/>
        <v/>
      </c>
      <c r="AA645" s="16" t="str">
        <f t="shared" si="9"/>
        <v/>
      </c>
      <c r="AB645" s="16"/>
      <c r="AC645" s="16"/>
      <c r="AD645" s="16"/>
      <c r="AE645" s="16" t="str">
        <f t="shared" si="12"/>
        <v/>
      </c>
      <c r="AF645" s="16" t="str">
        <f t="shared" si="13"/>
        <v/>
      </c>
      <c r="AG645" s="44"/>
      <c r="AH645" s="44"/>
      <c r="AI645" s="44" t="str">
        <f>IFERROR(__xludf.DUMMYFUNCTION("TEXTJOIN("", "",TRUE, FILTER(Data!P:P, Data!B:B=A645))"),"")</f>
        <v/>
      </c>
      <c r="AM645" s="61"/>
      <c r="BC645" s="50"/>
    </row>
    <row r="646">
      <c r="A646" s="14"/>
      <c r="B646" s="55" t="str">
        <f>IFERROR(__xludf.DUMMYFUNCTION("IFERROR(ROUND(
(COUNTIF(FILTER(Data!O:O, Data!B:B=A646), ""Win"")
+ COUNTIF(FILTER(Data!O:O, Data!B:B=A646), {""Tie"",""Results""}))
/ (COUNTIF(Data!B:B, A646)),
1),"""")"),"")</f>
        <v/>
      </c>
      <c r="C646" s="45" t="str">
        <f>IFERROR((SUMIF(Data!B:B, A646, Data!H:H)
/ (COUNTIF(Data!B:B, A646)
)),"")</f>
        <v/>
      </c>
      <c r="D646" s="45" t="str">
        <f>IFERROR((SUMIF(Data!B:B, A646, Data!G:G)
/ (COUNTIF(Data!B:B, A646)
)),"")</f>
        <v/>
      </c>
      <c r="E646" s="45"/>
      <c r="F646" s="45" t="str">
        <f>IFERROR((SUMIF(Data!B:B, A646, Data!J:J)
/ (COUNTIF(Data!B:B, A646)
)),"")</f>
        <v/>
      </c>
      <c r="G646" s="56" t="str">
        <f>IF(A646="","",IFERROR((((((SUMIF(Data!B:B, A646, Data!H:H)+(SUMIF(Data!B:B, A646,Data!G:G)))/(SUMIF(Data!B:B, A646, Data!J:J)))))),0))</f>
        <v/>
      </c>
      <c r="H646" s="45"/>
      <c r="I646" s="45"/>
      <c r="J646" s="45"/>
      <c r="K646" s="45"/>
      <c r="L646" s="45" t="str">
        <f>IFERROR((SUMIF(Data!B:B, A646, Data!L:L)
/ (COUNTIF(Data!B:B, A646)
)),"")</f>
        <v/>
      </c>
      <c r="M646" s="45" t="str">
        <f>IFERROR((SUMIF(Data!B:B, A646, Data!K:K)
/ (COUNTIF(Data!B:B, A646)
)),"")</f>
        <v/>
      </c>
      <c r="N646" s="56"/>
      <c r="O646" s="56" t="str">
        <f>IF(A646="","",IFERROR((((((SUMIF(Data!B:B, A646, Data!H:H)+(SUMIF(Data!B:B, A646,Data!G:G)+(SUMIF(Data!B:B, A646,Data!L:L)+(SUMIF(Data!B:B, A646,Data!K:K)))))/(SUMIF(Data!B:B, A646, Data!M:M)+(SUMIF(Data!B:B, A646, Data!H:H)+(SUMIF(Data!B:B, A646,Data!G:G)+(SUMIF(Data!B:B, A646,Data!K:K)+(SUMIF(Data!B:B, A646,Data!L:L)))))))))),0))</f>
        <v/>
      </c>
      <c r="P646" s="57" t="str">
        <f>IFERROR(__xludf.DUMMYFUNCTION("IFERROR(((COUNTIF(FILTER(Data!N:N,Data!B:B=A646),""TRAVERSE"")*15)+(COUNTIF(FILTER(Data!N:N,Data!B:B=A646),""HIGH"")*10)+(COUNTIF(FILTER(Data!N:N,Data!B:B=A646),""MIDDLE"")*6)+(COUNTIF(FILTER(Data!N:N,Data!B:B=A646),""LOW"")*4)) / (COUNTIF(Data!B:B, A646)"&amp;"),"""")"),"")</f>
        <v/>
      </c>
      <c r="Q646" s="58"/>
      <c r="R646" s="58"/>
      <c r="S646" s="58" t="str">
        <f>IFERROR(__xludf.DUMMYFUNCTION("IFERROR((((COUNTIF(FILTER(Data!N:N,Data!B:B=A646),""TRAVERSE""))+(COUNTIF(FILTER(Data!N:N,Data!B:B=A646),""HIGH""))+(COUNTIF(FILTER(Data!N:N,Data!B:B=A646),""MIDDLE""))+(COUNTIF(FILTER(Data!N:N,Data!B:B=A646),""LOW"")))) / (((COUNTIF(Data!B:B, A646)))-(CO"&amp;"UNTIF(FILTER(Data!N:N,Data!B:B=A646),""NONE""))),IF(ISBLANK(A646),"""",0))"),"")</f>
        <v/>
      </c>
      <c r="T646" s="56" t="str">
        <f>IFERROR(__xludf.DUMMYFUNCTION("IFERROR((COUNTIF(FILTER(Data!N:N, Data!B:B=A646),""LOW"")) / (COUNTIF(Data!B:B, A646)),"""")"),"")</f>
        <v/>
      </c>
      <c r="U646" s="59" t="str">
        <f>IFERROR(__xludf.DUMMYFUNCTION("IFERROR((COUNTIF(FILTER(Data!N:N, Data!B:B=A646),""MIDDLE"")) / (COUNTIF(Data!B:B, A646)),"""")"),"")</f>
        <v/>
      </c>
      <c r="V646" s="59" t="str">
        <f>IFERROR(__xludf.DUMMYFUNCTION("IFERROR((COUNTIF(FILTER(Data!N:N, Data!B:B=A646),""HIGH"")) / (COUNTIF(Data!B:B, A646)),"""")"),"")</f>
        <v/>
      </c>
      <c r="W646" s="59" t="str">
        <f>IFERROR(__xludf.DUMMYFUNCTION("IFERROR((COUNTIF(FILTER(Data!N:N, Data!B:B=A646),""TRAVERSE"")) / (COUNTIF(Data!B:B, A646)),"""")"),"")</f>
        <v/>
      </c>
      <c r="X646" s="59"/>
      <c r="Y646" s="45" t="str">
        <f t="shared" si="7"/>
        <v/>
      </c>
      <c r="Z646" s="45" t="str">
        <f t="shared" si="8"/>
        <v/>
      </c>
      <c r="AA646" s="16" t="str">
        <f t="shared" si="9"/>
        <v/>
      </c>
      <c r="AB646" s="16"/>
      <c r="AC646" s="16"/>
      <c r="AD646" s="16"/>
      <c r="AE646" s="16" t="str">
        <f t="shared" si="12"/>
        <v/>
      </c>
      <c r="AF646" s="16" t="str">
        <f t="shared" si="13"/>
        <v/>
      </c>
      <c r="AG646" s="44"/>
      <c r="AH646" s="44"/>
      <c r="AI646" s="44" t="str">
        <f>IFERROR(__xludf.DUMMYFUNCTION("TEXTJOIN("", "",TRUE, FILTER(Data!P:P, Data!B:B=A646))"),"")</f>
        <v/>
      </c>
      <c r="AM646" s="61"/>
      <c r="BC646" s="50"/>
    </row>
    <row r="647">
      <c r="A647" s="14"/>
      <c r="B647" s="55" t="str">
        <f>IFERROR(__xludf.DUMMYFUNCTION("IFERROR(ROUND(
(COUNTIF(FILTER(Data!O:O, Data!B:B=A647), ""Win"")
+ COUNTIF(FILTER(Data!O:O, Data!B:B=A647), {""Tie"",""Results""}))
/ (COUNTIF(Data!B:B, A647)),
1),"""")"),"")</f>
        <v/>
      </c>
      <c r="C647" s="45" t="str">
        <f>IFERROR((SUMIF(Data!B:B, A647, Data!H:H)
/ (COUNTIF(Data!B:B, A647)
)),"")</f>
        <v/>
      </c>
      <c r="D647" s="45" t="str">
        <f>IFERROR((SUMIF(Data!B:B, A647, Data!G:G)
/ (COUNTIF(Data!B:B, A647)
)),"")</f>
        <v/>
      </c>
      <c r="E647" s="45"/>
      <c r="F647" s="45" t="str">
        <f>IFERROR((SUMIF(Data!B:B, A647, Data!J:J)
/ (COUNTIF(Data!B:B, A647)
)),"")</f>
        <v/>
      </c>
      <c r="G647" s="56" t="str">
        <f>IF(A647="","",IFERROR((((((SUMIF(Data!B:B, A647, Data!H:H)+(SUMIF(Data!B:B, A647,Data!G:G)))/(SUMIF(Data!B:B, A647, Data!J:J)))))),0))</f>
        <v/>
      </c>
      <c r="H647" s="45"/>
      <c r="I647" s="45"/>
      <c r="J647" s="45"/>
      <c r="K647" s="45"/>
      <c r="L647" s="45" t="str">
        <f>IFERROR((SUMIF(Data!B:B, A647, Data!L:L)
/ (COUNTIF(Data!B:B, A647)
)),"")</f>
        <v/>
      </c>
      <c r="M647" s="45" t="str">
        <f>IFERROR((SUMIF(Data!B:B, A647, Data!K:K)
/ (COUNTIF(Data!B:B, A647)
)),"")</f>
        <v/>
      </c>
      <c r="N647" s="56"/>
      <c r="O647" s="56" t="str">
        <f>IF(A647="","",IFERROR((((((SUMIF(Data!B:B, A647, Data!H:H)+(SUMIF(Data!B:B, A647,Data!G:G)+(SUMIF(Data!B:B, A647,Data!L:L)+(SUMIF(Data!B:B, A647,Data!K:K)))))/(SUMIF(Data!B:B, A647, Data!M:M)+(SUMIF(Data!B:B, A647, Data!H:H)+(SUMIF(Data!B:B, A647,Data!G:G)+(SUMIF(Data!B:B, A647,Data!K:K)+(SUMIF(Data!B:B, A647,Data!L:L)))))))))),0))</f>
        <v/>
      </c>
      <c r="P647" s="57" t="str">
        <f>IFERROR(__xludf.DUMMYFUNCTION("IFERROR(((COUNTIF(FILTER(Data!N:N,Data!B:B=A647),""TRAVERSE"")*15)+(COUNTIF(FILTER(Data!N:N,Data!B:B=A647),""HIGH"")*10)+(COUNTIF(FILTER(Data!N:N,Data!B:B=A647),""MIDDLE"")*6)+(COUNTIF(FILTER(Data!N:N,Data!B:B=A647),""LOW"")*4)) / (COUNTIF(Data!B:B, A647)"&amp;"),"""")"),"")</f>
        <v/>
      </c>
      <c r="Q647" s="58"/>
      <c r="R647" s="58"/>
      <c r="S647" s="58" t="str">
        <f>IFERROR(__xludf.DUMMYFUNCTION("IFERROR((((COUNTIF(FILTER(Data!N:N,Data!B:B=A647),""TRAVERSE""))+(COUNTIF(FILTER(Data!N:N,Data!B:B=A647),""HIGH""))+(COUNTIF(FILTER(Data!N:N,Data!B:B=A647),""MIDDLE""))+(COUNTIF(FILTER(Data!N:N,Data!B:B=A647),""LOW"")))) / (((COUNTIF(Data!B:B, A647)))-(CO"&amp;"UNTIF(FILTER(Data!N:N,Data!B:B=A647),""NONE""))),IF(ISBLANK(A647),"""",0))"),"")</f>
        <v/>
      </c>
      <c r="T647" s="56" t="str">
        <f>IFERROR(__xludf.DUMMYFUNCTION("IFERROR((COUNTIF(FILTER(Data!N:N, Data!B:B=A647),""LOW"")) / (COUNTIF(Data!B:B, A647)),"""")"),"")</f>
        <v/>
      </c>
      <c r="U647" s="59" t="str">
        <f>IFERROR(__xludf.DUMMYFUNCTION("IFERROR((COUNTIF(FILTER(Data!N:N, Data!B:B=A647),""MIDDLE"")) / (COUNTIF(Data!B:B, A647)),"""")"),"")</f>
        <v/>
      </c>
      <c r="V647" s="59" t="str">
        <f>IFERROR(__xludf.DUMMYFUNCTION("IFERROR((COUNTIF(FILTER(Data!N:N, Data!B:B=A647),""HIGH"")) / (COUNTIF(Data!B:B, A647)),"""")"),"")</f>
        <v/>
      </c>
      <c r="W647" s="59" t="str">
        <f>IFERROR(__xludf.DUMMYFUNCTION("IFERROR((COUNTIF(FILTER(Data!N:N, Data!B:B=A647),""TRAVERSE"")) / (COUNTIF(Data!B:B, A647)),"""")"),"")</f>
        <v/>
      </c>
      <c r="X647" s="59"/>
      <c r="Y647" s="45" t="str">
        <f t="shared" si="7"/>
        <v/>
      </c>
      <c r="Z647" s="45" t="str">
        <f t="shared" si="8"/>
        <v/>
      </c>
      <c r="AA647" s="16" t="str">
        <f t="shared" si="9"/>
        <v/>
      </c>
      <c r="AB647" s="16"/>
      <c r="AC647" s="16"/>
      <c r="AD647" s="16"/>
      <c r="AE647" s="16" t="str">
        <f t="shared" si="12"/>
        <v/>
      </c>
      <c r="AF647" s="16" t="str">
        <f t="shared" si="13"/>
        <v/>
      </c>
      <c r="AG647" s="44"/>
      <c r="AH647" s="44"/>
      <c r="AI647" s="44" t="str">
        <f>IFERROR(__xludf.DUMMYFUNCTION("TEXTJOIN("", "",TRUE, FILTER(Data!P:P, Data!B:B=A647))"),"")</f>
        <v/>
      </c>
      <c r="AM647" s="61"/>
      <c r="BC647" s="50"/>
    </row>
    <row r="648">
      <c r="A648" s="14"/>
      <c r="B648" s="55" t="str">
        <f>IFERROR(__xludf.DUMMYFUNCTION("IFERROR(ROUND(
(COUNTIF(FILTER(Data!O:O, Data!B:B=A648), ""Win"")
+ COUNTIF(FILTER(Data!O:O, Data!B:B=A648), {""Tie"",""Results""}))
/ (COUNTIF(Data!B:B, A648)),
1),"""")"),"")</f>
        <v/>
      </c>
      <c r="C648" s="45" t="str">
        <f>IFERROR((SUMIF(Data!B:B, A648, Data!H:H)
/ (COUNTIF(Data!B:B, A648)
)),"")</f>
        <v/>
      </c>
      <c r="D648" s="45" t="str">
        <f>IFERROR((SUMIF(Data!B:B, A648, Data!G:G)
/ (COUNTIF(Data!B:B, A648)
)),"")</f>
        <v/>
      </c>
      <c r="E648" s="45"/>
      <c r="F648" s="45" t="str">
        <f>IFERROR((SUMIF(Data!B:B, A648, Data!J:J)
/ (COUNTIF(Data!B:B, A648)
)),"")</f>
        <v/>
      </c>
      <c r="G648" s="56" t="str">
        <f>IF(A648="","",IFERROR((((((SUMIF(Data!B:B, A648, Data!H:H)+(SUMIF(Data!B:B, A648,Data!G:G)))/(SUMIF(Data!B:B, A648, Data!J:J)))))),0))</f>
        <v/>
      </c>
      <c r="H648" s="45"/>
      <c r="I648" s="45"/>
      <c r="J648" s="45"/>
      <c r="K648" s="45"/>
      <c r="L648" s="45" t="str">
        <f>IFERROR((SUMIF(Data!B:B, A648, Data!L:L)
/ (COUNTIF(Data!B:B, A648)
)),"")</f>
        <v/>
      </c>
      <c r="M648" s="45" t="str">
        <f>IFERROR((SUMIF(Data!B:B, A648, Data!K:K)
/ (COUNTIF(Data!B:B, A648)
)),"")</f>
        <v/>
      </c>
      <c r="N648" s="56"/>
      <c r="O648" s="56" t="str">
        <f>IF(A648="","",IFERROR((((((SUMIF(Data!B:B, A648, Data!H:H)+(SUMIF(Data!B:B, A648,Data!G:G)+(SUMIF(Data!B:B, A648,Data!L:L)+(SUMIF(Data!B:B, A648,Data!K:K)))))/(SUMIF(Data!B:B, A648, Data!M:M)+(SUMIF(Data!B:B, A648, Data!H:H)+(SUMIF(Data!B:B, A648,Data!G:G)+(SUMIF(Data!B:B, A648,Data!K:K)+(SUMIF(Data!B:B, A648,Data!L:L)))))))))),0))</f>
        <v/>
      </c>
      <c r="P648" s="57" t="str">
        <f>IFERROR(__xludf.DUMMYFUNCTION("IFERROR(((COUNTIF(FILTER(Data!N:N,Data!B:B=A648),""TRAVERSE"")*15)+(COUNTIF(FILTER(Data!N:N,Data!B:B=A648),""HIGH"")*10)+(COUNTIF(FILTER(Data!N:N,Data!B:B=A648),""MIDDLE"")*6)+(COUNTIF(FILTER(Data!N:N,Data!B:B=A648),""LOW"")*4)) / (COUNTIF(Data!B:B, A648)"&amp;"),"""")"),"")</f>
        <v/>
      </c>
      <c r="Q648" s="58"/>
      <c r="R648" s="58"/>
      <c r="S648" s="58" t="str">
        <f>IFERROR(__xludf.DUMMYFUNCTION("IFERROR((((COUNTIF(FILTER(Data!N:N,Data!B:B=A648),""TRAVERSE""))+(COUNTIF(FILTER(Data!N:N,Data!B:B=A648),""HIGH""))+(COUNTIF(FILTER(Data!N:N,Data!B:B=A648),""MIDDLE""))+(COUNTIF(FILTER(Data!N:N,Data!B:B=A648),""LOW"")))) / (((COUNTIF(Data!B:B, A648)))-(CO"&amp;"UNTIF(FILTER(Data!N:N,Data!B:B=A648),""NONE""))),IF(ISBLANK(A648),"""",0))"),"")</f>
        <v/>
      </c>
      <c r="T648" s="56" t="str">
        <f>IFERROR(__xludf.DUMMYFUNCTION("IFERROR((COUNTIF(FILTER(Data!N:N, Data!B:B=A648),""LOW"")) / (COUNTIF(Data!B:B, A648)),"""")"),"")</f>
        <v/>
      </c>
      <c r="U648" s="59" t="str">
        <f>IFERROR(__xludf.DUMMYFUNCTION("IFERROR((COUNTIF(FILTER(Data!N:N, Data!B:B=A648),""MIDDLE"")) / (COUNTIF(Data!B:B, A648)),"""")"),"")</f>
        <v/>
      </c>
      <c r="V648" s="59" t="str">
        <f>IFERROR(__xludf.DUMMYFUNCTION("IFERROR((COUNTIF(FILTER(Data!N:N, Data!B:B=A648),""HIGH"")) / (COUNTIF(Data!B:B, A648)),"""")"),"")</f>
        <v/>
      </c>
      <c r="W648" s="59" t="str">
        <f>IFERROR(__xludf.DUMMYFUNCTION("IFERROR((COUNTIF(FILTER(Data!N:N, Data!B:B=A648),""TRAVERSE"")) / (COUNTIF(Data!B:B, A648)),"""")"),"")</f>
        <v/>
      </c>
      <c r="X648" s="59"/>
      <c r="Y648" s="45" t="str">
        <f t="shared" si="7"/>
        <v/>
      </c>
      <c r="Z648" s="45" t="str">
        <f t="shared" si="8"/>
        <v/>
      </c>
      <c r="AA648" s="16" t="str">
        <f t="shared" si="9"/>
        <v/>
      </c>
      <c r="AB648" s="16"/>
      <c r="AC648" s="16"/>
      <c r="AD648" s="16"/>
      <c r="AE648" s="16" t="str">
        <f t="shared" si="12"/>
        <v/>
      </c>
      <c r="AF648" s="16" t="str">
        <f t="shared" si="13"/>
        <v/>
      </c>
      <c r="AG648" s="44"/>
      <c r="AH648" s="44"/>
      <c r="AI648" s="44" t="str">
        <f>IFERROR(__xludf.DUMMYFUNCTION("TEXTJOIN("", "",TRUE, FILTER(Data!P:P, Data!B:B=A648))"),"")</f>
        <v/>
      </c>
      <c r="AM648" s="61"/>
      <c r="BC648" s="50"/>
    </row>
    <row r="649">
      <c r="A649" s="14"/>
      <c r="B649" s="55" t="str">
        <f>IFERROR(__xludf.DUMMYFUNCTION("IFERROR(ROUND(
(COUNTIF(FILTER(Data!O:O, Data!B:B=A649), ""Win"")
+ COUNTIF(FILTER(Data!O:O, Data!B:B=A649), {""Tie"",""Results""}))
/ (COUNTIF(Data!B:B, A649)),
1),"""")"),"")</f>
        <v/>
      </c>
      <c r="C649" s="45" t="str">
        <f>IFERROR((SUMIF(Data!B:B, A649, Data!H:H)
/ (COUNTIF(Data!B:B, A649)
)),"")</f>
        <v/>
      </c>
      <c r="D649" s="45" t="str">
        <f>IFERROR((SUMIF(Data!B:B, A649, Data!G:G)
/ (COUNTIF(Data!B:B, A649)
)),"")</f>
        <v/>
      </c>
      <c r="E649" s="45"/>
      <c r="F649" s="45" t="str">
        <f>IFERROR((SUMIF(Data!B:B, A649, Data!J:J)
/ (COUNTIF(Data!B:B, A649)
)),"")</f>
        <v/>
      </c>
      <c r="G649" s="56" t="str">
        <f>IF(A649="","",IFERROR((((((SUMIF(Data!B:B, A649, Data!H:H)+(SUMIF(Data!B:B, A649,Data!G:G)))/(SUMIF(Data!B:B, A649, Data!J:J)))))),0))</f>
        <v/>
      </c>
      <c r="H649" s="45"/>
      <c r="I649" s="45"/>
      <c r="J649" s="45"/>
      <c r="K649" s="45"/>
      <c r="L649" s="45" t="str">
        <f>IFERROR((SUMIF(Data!B:B, A649, Data!L:L)
/ (COUNTIF(Data!B:B, A649)
)),"")</f>
        <v/>
      </c>
      <c r="M649" s="45" t="str">
        <f>IFERROR((SUMIF(Data!B:B, A649, Data!K:K)
/ (COUNTIF(Data!B:B, A649)
)),"")</f>
        <v/>
      </c>
      <c r="N649" s="56"/>
      <c r="O649" s="56" t="str">
        <f>IF(A649="","",IFERROR((((((SUMIF(Data!B:B, A649, Data!H:H)+(SUMIF(Data!B:B, A649,Data!G:G)+(SUMIF(Data!B:B, A649,Data!L:L)+(SUMIF(Data!B:B, A649,Data!K:K)))))/(SUMIF(Data!B:B, A649, Data!M:M)+(SUMIF(Data!B:B, A649, Data!H:H)+(SUMIF(Data!B:B, A649,Data!G:G)+(SUMIF(Data!B:B, A649,Data!K:K)+(SUMIF(Data!B:B, A649,Data!L:L)))))))))),0))</f>
        <v/>
      </c>
      <c r="P649" s="57" t="str">
        <f>IFERROR(__xludf.DUMMYFUNCTION("IFERROR(((COUNTIF(FILTER(Data!N:N,Data!B:B=A649),""TRAVERSE"")*15)+(COUNTIF(FILTER(Data!N:N,Data!B:B=A649),""HIGH"")*10)+(COUNTIF(FILTER(Data!N:N,Data!B:B=A649),""MIDDLE"")*6)+(COUNTIF(FILTER(Data!N:N,Data!B:B=A649),""LOW"")*4)) / (COUNTIF(Data!B:B, A649)"&amp;"),"""")"),"")</f>
        <v/>
      </c>
      <c r="Q649" s="58"/>
      <c r="R649" s="58"/>
      <c r="S649" s="58" t="str">
        <f>IFERROR(__xludf.DUMMYFUNCTION("IFERROR((((COUNTIF(FILTER(Data!N:N,Data!B:B=A649),""TRAVERSE""))+(COUNTIF(FILTER(Data!N:N,Data!B:B=A649),""HIGH""))+(COUNTIF(FILTER(Data!N:N,Data!B:B=A649),""MIDDLE""))+(COUNTIF(FILTER(Data!N:N,Data!B:B=A649),""LOW"")))) / (((COUNTIF(Data!B:B, A649)))-(CO"&amp;"UNTIF(FILTER(Data!N:N,Data!B:B=A649),""NONE""))),IF(ISBLANK(A649),"""",0))"),"")</f>
        <v/>
      </c>
      <c r="T649" s="56" t="str">
        <f>IFERROR(__xludf.DUMMYFUNCTION("IFERROR((COUNTIF(FILTER(Data!N:N, Data!B:B=A649),""LOW"")) / (COUNTIF(Data!B:B, A649)),"""")"),"")</f>
        <v/>
      </c>
      <c r="U649" s="59" t="str">
        <f>IFERROR(__xludf.DUMMYFUNCTION("IFERROR((COUNTIF(FILTER(Data!N:N, Data!B:B=A649),""MIDDLE"")) / (COUNTIF(Data!B:B, A649)),"""")"),"")</f>
        <v/>
      </c>
      <c r="V649" s="59" t="str">
        <f>IFERROR(__xludf.DUMMYFUNCTION("IFERROR((COUNTIF(FILTER(Data!N:N, Data!B:B=A649),""HIGH"")) / (COUNTIF(Data!B:B, A649)),"""")"),"")</f>
        <v/>
      </c>
      <c r="W649" s="59" t="str">
        <f>IFERROR(__xludf.DUMMYFUNCTION("IFERROR((COUNTIF(FILTER(Data!N:N, Data!B:B=A649),""TRAVERSE"")) / (COUNTIF(Data!B:B, A649)),"""")"),"")</f>
        <v/>
      </c>
      <c r="X649" s="59"/>
      <c r="Y649" s="45" t="str">
        <f t="shared" si="7"/>
        <v/>
      </c>
      <c r="Z649" s="45" t="str">
        <f t="shared" si="8"/>
        <v/>
      </c>
      <c r="AA649" s="16" t="str">
        <f t="shared" si="9"/>
        <v/>
      </c>
      <c r="AB649" s="16"/>
      <c r="AC649" s="16"/>
      <c r="AD649" s="16"/>
      <c r="AE649" s="16" t="str">
        <f t="shared" si="12"/>
        <v/>
      </c>
      <c r="AF649" s="16" t="str">
        <f t="shared" si="13"/>
        <v/>
      </c>
      <c r="AG649" s="44"/>
      <c r="AH649" s="44"/>
      <c r="AI649" s="44" t="str">
        <f>IFERROR(__xludf.DUMMYFUNCTION("TEXTJOIN("", "",TRUE, FILTER(Data!P:P, Data!B:B=A649))"),"")</f>
        <v/>
      </c>
      <c r="AM649" s="61"/>
      <c r="BC649" s="50"/>
    </row>
    <row r="650">
      <c r="A650" s="14"/>
      <c r="B650" s="55" t="str">
        <f>IFERROR(__xludf.DUMMYFUNCTION("IFERROR(ROUND(
(COUNTIF(FILTER(Data!O:O, Data!B:B=A650), ""Win"")
+ COUNTIF(FILTER(Data!O:O, Data!B:B=A650), {""Tie"",""Results""}))
/ (COUNTIF(Data!B:B, A650)),
1),"""")"),"")</f>
        <v/>
      </c>
      <c r="C650" s="45" t="str">
        <f>IFERROR((SUMIF(Data!B:B, A650, Data!H:H)
/ (COUNTIF(Data!B:B, A650)
)),"")</f>
        <v/>
      </c>
      <c r="D650" s="45" t="str">
        <f>IFERROR((SUMIF(Data!B:B, A650, Data!G:G)
/ (COUNTIF(Data!B:B, A650)
)),"")</f>
        <v/>
      </c>
      <c r="E650" s="45"/>
      <c r="F650" s="45" t="str">
        <f>IFERROR((SUMIF(Data!B:B, A650, Data!J:J)
/ (COUNTIF(Data!B:B, A650)
)),"")</f>
        <v/>
      </c>
      <c r="G650" s="56" t="str">
        <f>IF(A650="","",IFERROR((((((SUMIF(Data!B:B, A650, Data!H:H)+(SUMIF(Data!B:B, A650,Data!G:G)))/(SUMIF(Data!B:B, A650, Data!J:J)))))),0))</f>
        <v/>
      </c>
      <c r="H650" s="45"/>
      <c r="I650" s="45"/>
      <c r="J650" s="45"/>
      <c r="K650" s="45"/>
      <c r="L650" s="45" t="str">
        <f>IFERROR((SUMIF(Data!B:B, A650, Data!L:L)
/ (COUNTIF(Data!B:B, A650)
)),"")</f>
        <v/>
      </c>
      <c r="M650" s="45" t="str">
        <f>IFERROR((SUMIF(Data!B:B, A650, Data!K:K)
/ (COUNTIF(Data!B:B, A650)
)),"")</f>
        <v/>
      </c>
      <c r="N650" s="56"/>
      <c r="O650" s="56" t="str">
        <f>IF(A650="","",IFERROR((((((SUMIF(Data!B:B, A650, Data!H:H)+(SUMIF(Data!B:B, A650,Data!G:G)+(SUMIF(Data!B:B, A650,Data!L:L)+(SUMIF(Data!B:B, A650,Data!K:K)))))/(SUMIF(Data!B:B, A650, Data!M:M)+(SUMIF(Data!B:B, A650, Data!H:H)+(SUMIF(Data!B:B, A650,Data!G:G)+(SUMIF(Data!B:B, A650,Data!K:K)+(SUMIF(Data!B:B, A650,Data!L:L)))))))))),0))</f>
        <v/>
      </c>
      <c r="P650" s="57" t="str">
        <f>IFERROR(__xludf.DUMMYFUNCTION("IFERROR(((COUNTIF(FILTER(Data!N:N,Data!B:B=A650),""TRAVERSE"")*15)+(COUNTIF(FILTER(Data!N:N,Data!B:B=A650),""HIGH"")*10)+(COUNTIF(FILTER(Data!N:N,Data!B:B=A650),""MIDDLE"")*6)+(COUNTIF(FILTER(Data!N:N,Data!B:B=A650),""LOW"")*4)) / (COUNTIF(Data!B:B, A650)"&amp;"),"""")"),"")</f>
        <v/>
      </c>
      <c r="Q650" s="58"/>
      <c r="R650" s="58"/>
      <c r="S650" s="58" t="str">
        <f>IFERROR(__xludf.DUMMYFUNCTION("IFERROR((((COUNTIF(FILTER(Data!N:N,Data!B:B=A650),""TRAVERSE""))+(COUNTIF(FILTER(Data!N:N,Data!B:B=A650),""HIGH""))+(COUNTIF(FILTER(Data!N:N,Data!B:B=A650),""MIDDLE""))+(COUNTIF(FILTER(Data!N:N,Data!B:B=A650),""LOW"")))) / (((COUNTIF(Data!B:B, A650)))-(CO"&amp;"UNTIF(FILTER(Data!N:N,Data!B:B=A650),""NONE""))),IF(ISBLANK(A650),"""",0))"),"")</f>
        <v/>
      </c>
      <c r="T650" s="56" t="str">
        <f>IFERROR(__xludf.DUMMYFUNCTION("IFERROR((COUNTIF(FILTER(Data!N:N, Data!B:B=A650),""LOW"")) / (COUNTIF(Data!B:B, A650)),"""")"),"")</f>
        <v/>
      </c>
      <c r="U650" s="59" t="str">
        <f>IFERROR(__xludf.DUMMYFUNCTION("IFERROR((COUNTIF(FILTER(Data!N:N, Data!B:B=A650),""MIDDLE"")) / (COUNTIF(Data!B:B, A650)),"""")"),"")</f>
        <v/>
      </c>
      <c r="V650" s="59" t="str">
        <f>IFERROR(__xludf.DUMMYFUNCTION("IFERROR((COUNTIF(FILTER(Data!N:N, Data!B:B=A650),""HIGH"")) / (COUNTIF(Data!B:B, A650)),"""")"),"")</f>
        <v/>
      </c>
      <c r="W650" s="59" t="str">
        <f>IFERROR(__xludf.DUMMYFUNCTION("IFERROR((COUNTIF(FILTER(Data!N:N, Data!B:B=A650),""TRAVERSE"")) / (COUNTIF(Data!B:B, A650)),"""")"),"")</f>
        <v/>
      </c>
      <c r="X650" s="59"/>
      <c r="Y650" s="45" t="str">
        <f t="shared" si="7"/>
        <v/>
      </c>
      <c r="Z650" s="45" t="str">
        <f t="shared" si="8"/>
        <v/>
      </c>
      <c r="AA650" s="16" t="str">
        <f t="shared" si="9"/>
        <v/>
      </c>
      <c r="AB650" s="16"/>
      <c r="AC650" s="16"/>
      <c r="AD650" s="16"/>
      <c r="AE650" s="16" t="str">
        <f t="shared" si="12"/>
        <v/>
      </c>
      <c r="AF650" s="16" t="str">
        <f t="shared" si="13"/>
        <v/>
      </c>
      <c r="AG650" s="44"/>
      <c r="AH650" s="44"/>
      <c r="AI650" s="44" t="str">
        <f>IFERROR(__xludf.DUMMYFUNCTION("TEXTJOIN("", "",TRUE, FILTER(Data!P:P, Data!B:B=A650))"),"")</f>
        <v/>
      </c>
      <c r="AM650" s="61"/>
      <c r="BC650" s="50"/>
    </row>
    <row r="651">
      <c r="A651" s="14"/>
      <c r="B651" s="55" t="str">
        <f>IFERROR(__xludf.DUMMYFUNCTION("IFERROR(ROUND(
(COUNTIF(FILTER(Data!O:O, Data!B:B=A651), ""Win"")
+ COUNTIF(FILTER(Data!O:O, Data!B:B=A651), {""Tie"",""Results""}))
/ (COUNTIF(Data!B:B, A651)),
1),"""")"),"")</f>
        <v/>
      </c>
      <c r="C651" s="45" t="str">
        <f>IFERROR((SUMIF(Data!B:B, A651, Data!H:H)
/ (COUNTIF(Data!B:B, A651)
)),"")</f>
        <v/>
      </c>
      <c r="D651" s="45" t="str">
        <f>IFERROR((SUMIF(Data!B:B, A651, Data!G:G)
/ (COUNTIF(Data!B:B, A651)
)),"")</f>
        <v/>
      </c>
      <c r="E651" s="45"/>
      <c r="F651" s="45" t="str">
        <f>IFERROR((SUMIF(Data!B:B, A651, Data!J:J)
/ (COUNTIF(Data!B:B, A651)
)),"")</f>
        <v/>
      </c>
      <c r="G651" s="56" t="str">
        <f>IF(A651="","",IFERROR((((((SUMIF(Data!B:B, A651, Data!H:H)+(SUMIF(Data!B:B, A651,Data!G:G)))/(SUMIF(Data!B:B, A651, Data!J:J)))))),0))</f>
        <v/>
      </c>
      <c r="H651" s="45"/>
      <c r="I651" s="45"/>
      <c r="J651" s="45"/>
      <c r="K651" s="45"/>
      <c r="L651" s="45" t="str">
        <f>IFERROR((SUMIF(Data!B:B, A651, Data!L:L)
/ (COUNTIF(Data!B:B, A651)
)),"")</f>
        <v/>
      </c>
      <c r="M651" s="45" t="str">
        <f>IFERROR((SUMIF(Data!B:B, A651, Data!K:K)
/ (COUNTIF(Data!B:B, A651)
)),"")</f>
        <v/>
      </c>
      <c r="N651" s="56"/>
      <c r="O651" s="56" t="str">
        <f>IF(A651="","",IFERROR((((((SUMIF(Data!B:B, A651, Data!H:H)+(SUMIF(Data!B:B, A651,Data!G:G)+(SUMIF(Data!B:B, A651,Data!L:L)+(SUMIF(Data!B:B, A651,Data!K:K)))))/(SUMIF(Data!B:B, A651, Data!M:M)+(SUMIF(Data!B:B, A651, Data!H:H)+(SUMIF(Data!B:B, A651,Data!G:G)+(SUMIF(Data!B:B, A651,Data!K:K)+(SUMIF(Data!B:B, A651,Data!L:L)))))))))),0))</f>
        <v/>
      </c>
      <c r="P651" s="57" t="str">
        <f>IFERROR(__xludf.DUMMYFUNCTION("IFERROR(((COUNTIF(FILTER(Data!N:N,Data!B:B=A651),""TRAVERSE"")*15)+(COUNTIF(FILTER(Data!N:N,Data!B:B=A651),""HIGH"")*10)+(COUNTIF(FILTER(Data!N:N,Data!B:B=A651),""MIDDLE"")*6)+(COUNTIF(FILTER(Data!N:N,Data!B:B=A651),""LOW"")*4)) / (COUNTIF(Data!B:B, A651)"&amp;"),"""")"),"")</f>
        <v/>
      </c>
      <c r="Q651" s="58"/>
      <c r="R651" s="58"/>
      <c r="S651" s="58" t="str">
        <f>IFERROR(__xludf.DUMMYFUNCTION("IFERROR((((COUNTIF(FILTER(Data!N:N,Data!B:B=A651),""TRAVERSE""))+(COUNTIF(FILTER(Data!N:N,Data!B:B=A651),""HIGH""))+(COUNTIF(FILTER(Data!N:N,Data!B:B=A651),""MIDDLE""))+(COUNTIF(FILTER(Data!N:N,Data!B:B=A651),""LOW"")))) / (((COUNTIF(Data!B:B, A651)))-(CO"&amp;"UNTIF(FILTER(Data!N:N,Data!B:B=A651),""NONE""))),IF(ISBLANK(A651),"""",0))"),"")</f>
        <v/>
      </c>
      <c r="T651" s="56" t="str">
        <f>IFERROR(__xludf.DUMMYFUNCTION("IFERROR((COUNTIF(FILTER(Data!N:N, Data!B:B=A651),""LOW"")) / (COUNTIF(Data!B:B, A651)),"""")"),"")</f>
        <v/>
      </c>
      <c r="U651" s="59" t="str">
        <f>IFERROR(__xludf.DUMMYFUNCTION("IFERROR((COUNTIF(FILTER(Data!N:N, Data!B:B=A651),""MIDDLE"")) / (COUNTIF(Data!B:B, A651)),"""")"),"")</f>
        <v/>
      </c>
      <c r="V651" s="59" t="str">
        <f>IFERROR(__xludf.DUMMYFUNCTION("IFERROR((COUNTIF(FILTER(Data!N:N, Data!B:B=A651),""HIGH"")) / (COUNTIF(Data!B:B, A651)),"""")"),"")</f>
        <v/>
      </c>
      <c r="W651" s="59" t="str">
        <f>IFERROR(__xludf.DUMMYFUNCTION("IFERROR((COUNTIF(FILTER(Data!N:N, Data!B:B=A651),""TRAVERSE"")) / (COUNTIF(Data!B:B, A651)),"""")"),"")</f>
        <v/>
      </c>
      <c r="X651" s="59"/>
      <c r="Y651" s="45" t="str">
        <f t="shared" si="7"/>
        <v/>
      </c>
      <c r="Z651" s="45" t="str">
        <f t="shared" si="8"/>
        <v/>
      </c>
      <c r="AA651" s="16" t="str">
        <f t="shared" si="9"/>
        <v/>
      </c>
      <c r="AB651" s="16"/>
      <c r="AC651" s="16"/>
      <c r="AD651" s="16"/>
      <c r="AE651" s="16" t="str">
        <f t="shared" si="12"/>
        <v/>
      </c>
      <c r="AF651" s="16" t="str">
        <f t="shared" si="13"/>
        <v/>
      </c>
      <c r="AG651" s="44"/>
      <c r="AH651" s="44"/>
      <c r="AI651" s="44" t="str">
        <f>IFERROR(__xludf.DUMMYFUNCTION("TEXTJOIN("", "",TRUE, FILTER(Data!P:P, Data!B:B=A651))"),"")</f>
        <v/>
      </c>
      <c r="AM651" s="61"/>
      <c r="BC651" s="50"/>
    </row>
    <row r="652">
      <c r="A652" s="14"/>
      <c r="B652" s="55" t="str">
        <f>IFERROR(__xludf.DUMMYFUNCTION("IFERROR(ROUND(
(COUNTIF(FILTER(Data!O:O, Data!B:B=A652), ""Win"")
+ COUNTIF(FILTER(Data!O:O, Data!B:B=A652), {""Tie"",""Results""}))
/ (COUNTIF(Data!B:B, A652)),
1),"""")"),"")</f>
        <v/>
      </c>
      <c r="C652" s="45" t="str">
        <f>IFERROR((SUMIF(Data!B:B, A652, Data!H:H)
/ (COUNTIF(Data!B:B, A652)
)),"")</f>
        <v/>
      </c>
      <c r="D652" s="45" t="str">
        <f>IFERROR((SUMIF(Data!B:B, A652, Data!G:G)
/ (COUNTIF(Data!B:B, A652)
)),"")</f>
        <v/>
      </c>
      <c r="E652" s="45"/>
      <c r="F652" s="45" t="str">
        <f>IFERROR((SUMIF(Data!B:B, A652, Data!J:J)
/ (COUNTIF(Data!B:B, A652)
)),"")</f>
        <v/>
      </c>
      <c r="G652" s="56" t="str">
        <f>IF(A652="","",IFERROR((((((SUMIF(Data!B:B, A652, Data!H:H)+(SUMIF(Data!B:B, A652,Data!G:G)))/(SUMIF(Data!B:B, A652, Data!J:J)))))),0))</f>
        <v/>
      </c>
      <c r="H652" s="45"/>
      <c r="I652" s="45"/>
      <c r="J652" s="45"/>
      <c r="K652" s="45"/>
      <c r="L652" s="45" t="str">
        <f>IFERROR((SUMIF(Data!B:B, A652, Data!L:L)
/ (COUNTIF(Data!B:B, A652)
)),"")</f>
        <v/>
      </c>
      <c r="M652" s="45" t="str">
        <f>IFERROR((SUMIF(Data!B:B, A652, Data!K:K)
/ (COUNTIF(Data!B:B, A652)
)),"")</f>
        <v/>
      </c>
      <c r="N652" s="56"/>
      <c r="O652" s="56" t="str">
        <f>IF(A652="","",IFERROR((((((SUMIF(Data!B:B, A652, Data!H:H)+(SUMIF(Data!B:B, A652,Data!G:G)+(SUMIF(Data!B:B, A652,Data!L:L)+(SUMIF(Data!B:B, A652,Data!K:K)))))/(SUMIF(Data!B:B, A652, Data!M:M)+(SUMIF(Data!B:B, A652, Data!H:H)+(SUMIF(Data!B:B, A652,Data!G:G)+(SUMIF(Data!B:B, A652,Data!K:K)+(SUMIF(Data!B:B, A652,Data!L:L)))))))))),0))</f>
        <v/>
      </c>
      <c r="P652" s="57" t="str">
        <f>IFERROR(__xludf.DUMMYFUNCTION("IFERROR(((COUNTIF(FILTER(Data!N:N,Data!B:B=A652),""TRAVERSE"")*15)+(COUNTIF(FILTER(Data!N:N,Data!B:B=A652),""HIGH"")*10)+(COUNTIF(FILTER(Data!N:N,Data!B:B=A652),""MIDDLE"")*6)+(COUNTIF(FILTER(Data!N:N,Data!B:B=A652),""LOW"")*4)) / (COUNTIF(Data!B:B, A652)"&amp;"),"""")"),"")</f>
        <v/>
      </c>
      <c r="Q652" s="58"/>
      <c r="R652" s="58"/>
      <c r="S652" s="58" t="str">
        <f>IFERROR(__xludf.DUMMYFUNCTION("IFERROR((((COUNTIF(FILTER(Data!N:N,Data!B:B=A652),""TRAVERSE""))+(COUNTIF(FILTER(Data!N:N,Data!B:B=A652),""HIGH""))+(COUNTIF(FILTER(Data!N:N,Data!B:B=A652),""MIDDLE""))+(COUNTIF(FILTER(Data!N:N,Data!B:B=A652),""LOW"")))) / (((COUNTIF(Data!B:B, A652)))-(CO"&amp;"UNTIF(FILTER(Data!N:N,Data!B:B=A652),""NONE""))),IF(ISBLANK(A652),"""",0))"),"")</f>
        <v/>
      </c>
      <c r="T652" s="56" t="str">
        <f>IFERROR(__xludf.DUMMYFUNCTION("IFERROR((COUNTIF(FILTER(Data!N:N, Data!B:B=A652),""LOW"")) / (COUNTIF(Data!B:B, A652)),"""")"),"")</f>
        <v/>
      </c>
      <c r="U652" s="59" t="str">
        <f>IFERROR(__xludf.DUMMYFUNCTION("IFERROR((COUNTIF(FILTER(Data!N:N, Data!B:B=A652),""MIDDLE"")) / (COUNTIF(Data!B:B, A652)),"""")"),"")</f>
        <v/>
      </c>
      <c r="V652" s="59" t="str">
        <f>IFERROR(__xludf.DUMMYFUNCTION("IFERROR((COUNTIF(FILTER(Data!N:N, Data!B:B=A652),""HIGH"")) / (COUNTIF(Data!B:B, A652)),"""")"),"")</f>
        <v/>
      </c>
      <c r="W652" s="59" t="str">
        <f>IFERROR(__xludf.DUMMYFUNCTION("IFERROR((COUNTIF(FILTER(Data!N:N, Data!B:B=A652),""TRAVERSE"")) / (COUNTIF(Data!B:B, A652)),"""")"),"")</f>
        <v/>
      </c>
      <c r="X652" s="59"/>
      <c r="Y652" s="45" t="str">
        <f t="shared" si="7"/>
        <v/>
      </c>
      <c r="Z652" s="45" t="str">
        <f t="shared" si="8"/>
        <v/>
      </c>
      <c r="AA652" s="16" t="str">
        <f t="shared" si="9"/>
        <v/>
      </c>
      <c r="AB652" s="16"/>
      <c r="AC652" s="16"/>
      <c r="AD652" s="16"/>
      <c r="AE652" s="16" t="str">
        <f t="shared" si="12"/>
        <v/>
      </c>
      <c r="AF652" s="16" t="str">
        <f t="shared" si="13"/>
        <v/>
      </c>
      <c r="AG652" s="44"/>
      <c r="AH652" s="44"/>
      <c r="AI652" s="44" t="str">
        <f>IFERROR(__xludf.DUMMYFUNCTION("TEXTJOIN("", "",TRUE, FILTER(Data!P:P, Data!B:B=A652))"),"")</f>
        <v/>
      </c>
      <c r="AM652" s="61"/>
      <c r="BC652" s="50"/>
    </row>
    <row r="653">
      <c r="A653" s="14"/>
      <c r="B653" s="55" t="str">
        <f>IFERROR(__xludf.DUMMYFUNCTION("IFERROR(ROUND(
(COUNTIF(FILTER(Data!O:O, Data!B:B=A653), ""Win"")
+ COUNTIF(FILTER(Data!O:O, Data!B:B=A653), {""Tie"",""Results""}))
/ (COUNTIF(Data!B:B, A653)),
1),"""")"),"")</f>
        <v/>
      </c>
      <c r="C653" s="45" t="str">
        <f>IFERROR((SUMIF(Data!B:B, A653, Data!H:H)
/ (COUNTIF(Data!B:B, A653)
)),"")</f>
        <v/>
      </c>
      <c r="D653" s="45" t="str">
        <f>IFERROR((SUMIF(Data!B:B, A653, Data!G:G)
/ (COUNTIF(Data!B:B, A653)
)),"")</f>
        <v/>
      </c>
      <c r="E653" s="45"/>
      <c r="F653" s="45" t="str">
        <f>IFERROR((SUMIF(Data!B:B, A653, Data!J:J)
/ (COUNTIF(Data!B:B, A653)
)),"")</f>
        <v/>
      </c>
      <c r="G653" s="56" t="str">
        <f>IF(A653="","",IFERROR((((((SUMIF(Data!B:B, A653, Data!H:H)+(SUMIF(Data!B:B, A653,Data!G:G)))/(SUMIF(Data!B:B, A653, Data!J:J)))))),0))</f>
        <v/>
      </c>
      <c r="H653" s="45"/>
      <c r="I653" s="45"/>
      <c r="J653" s="45"/>
      <c r="K653" s="45"/>
      <c r="L653" s="45" t="str">
        <f>IFERROR((SUMIF(Data!B:B, A653, Data!L:L)
/ (COUNTIF(Data!B:B, A653)
)),"")</f>
        <v/>
      </c>
      <c r="M653" s="45" t="str">
        <f>IFERROR((SUMIF(Data!B:B, A653, Data!K:K)
/ (COUNTIF(Data!B:B, A653)
)),"")</f>
        <v/>
      </c>
      <c r="N653" s="56"/>
      <c r="O653" s="56" t="str">
        <f>IF(A653="","",IFERROR((((((SUMIF(Data!B:B, A653, Data!H:H)+(SUMIF(Data!B:B, A653,Data!G:G)+(SUMIF(Data!B:B, A653,Data!L:L)+(SUMIF(Data!B:B, A653,Data!K:K)))))/(SUMIF(Data!B:B, A653, Data!M:M)+(SUMIF(Data!B:B, A653, Data!H:H)+(SUMIF(Data!B:B, A653,Data!G:G)+(SUMIF(Data!B:B, A653,Data!K:K)+(SUMIF(Data!B:B, A653,Data!L:L)))))))))),0))</f>
        <v/>
      </c>
      <c r="P653" s="57" t="str">
        <f>IFERROR(__xludf.DUMMYFUNCTION("IFERROR(((COUNTIF(FILTER(Data!N:N,Data!B:B=A653),""TRAVERSE"")*15)+(COUNTIF(FILTER(Data!N:N,Data!B:B=A653),""HIGH"")*10)+(COUNTIF(FILTER(Data!N:N,Data!B:B=A653),""MIDDLE"")*6)+(COUNTIF(FILTER(Data!N:N,Data!B:B=A653),""LOW"")*4)) / (COUNTIF(Data!B:B, A653)"&amp;"),"""")"),"")</f>
        <v/>
      </c>
      <c r="Q653" s="58"/>
      <c r="R653" s="58"/>
      <c r="S653" s="58" t="str">
        <f>IFERROR(__xludf.DUMMYFUNCTION("IFERROR((((COUNTIF(FILTER(Data!N:N,Data!B:B=A653),""TRAVERSE""))+(COUNTIF(FILTER(Data!N:N,Data!B:B=A653),""HIGH""))+(COUNTIF(FILTER(Data!N:N,Data!B:B=A653),""MIDDLE""))+(COUNTIF(FILTER(Data!N:N,Data!B:B=A653),""LOW"")))) / (((COUNTIF(Data!B:B, A653)))-(CO"&amp;"UNTIF(FILTER(Data!N:N,Data!B:B=A653),""NONE""))),IF(ISBLANK(A653),"""",0))"),"")</f>
        <v/>
      </c>
      <c r="T653" s="56" t="str">
        <f>IFERROR(__xludf.DUMMYFUNCTION("IFERROR((COUNTIF(FILTER(Data!N:N, Data!B:B=A653),""LOW"")) / (COUNTIF(Data!B:B, A653)),"""")"),"")</f>
        <v/>
      </c>
      <c r="U653" s="59" t="str">
        <f>IFERROR(__xludf.DUMMYFUNCTION("IFERROR((COUNTIF(FILTER(Data!N:N, Data!B:B=A653),""MIDDLE"")) / (COUNTIF(Data!B:B, A653)),"""")"),"")</f>
        <v/>
      </c>
      <c r="V653" s="59" t="str">
        <f>IFERROR(__xludf.DUMMYFUNCTION("IFERROR((COUNTIF(FILTER(Data!N:N, Data!B:B=A653),""HIGH"")) / (COUNTIF(Data!B:B, A653)),"""")"),"")</f>
        <v/>
      </c>
      <c r="W653" s="59" t="str">
        <f>IFERROR(__xludf.DUMMYFUNCTION("IFERROR((COUNTIF(FILTER(Data!N:N, Data!B:B=A653),""TRAVERSE"")) / (COUNTIF(Data!B:B, A653)),"""")"),"")</f>
        <v/>
      </c>
      <c r="X653" s="59"/>
      <c r="Y653" s="45" t="str">
        <f t="shared" si="7"/>
        <v/>
      </c>
      <c r="Z653" s="45" t="str">
        <f t="shared" si="8"/>
        <v/>
      </c>
      <c r="AA653" s="16" t="str">
        <f t="shared" si="9"/>
        <v/>
      </c>
      <c r="AB653" s="16"/>
      <c r="AC653" s="16"/>
      <c r="AD653" s="16"/>
      <c r="AE653" s="16" t="str">
        <f t="shared" si="12"/>
        <v/>
      </c>
      <c r="AF653" s="16" t="str">
        <f t="shared" si="13"/>
        <v/>
      </c>
      <c r="AG653" s="44"/>
      <c r="AH653" s="44"/>
      <c r="AI653" s="44" t="str">
        <f>IFERROR(__xludf.DUMMYFUNCTION("TEXTJOIN("", "",TRUE, FILTER(Data!P:P, Data!B:B=A653))"),"")</f>
        <v/>
      </c>
      <c r="AM653" s="61"/>
      <c r="BC653" s="50"/>
    </row>
    <row r="654">
      <c r="A654" s="14"/>
      <c r="B654" s="55" t="str">
        <f>IFERROR(__xludf.DUMMYFUNCTION("IFERROR(ROUND(
(COUNTIF(FILTER(Data!O:O, Data!B:B=A654), ""Win"")
+ COUNTIF(FILTER(Data!O:O, Data!B:B=A654), {""Tie"",""Results""}))
/ (COUNTIF(Data!B:B, A654)),
1),"""")"),"")</f>
        <v/>
      </c>
      <c r="C654" s="45" t="str">
        <f>IFERROR((SUMIF(Data!B:B, A654, Data!H:H)
/ (COUNTIF(Data!B:B, A654)
)),"")</f>
        <v/>
      </c>
      <c r="D654" s="45" t="str">
        <f>IFERROR((SUMIF(Data!B:B, A654, Data!G:G)
/ (COUNTIF(Data!B:B, A654)
)),"")</f>
        <v/>
      </c>
      <c r="E654" s="45"/>
      <c r="F654" s="45" t="str">
        <f>IFERROR((SUMIF(Data!B:B, A654, Data!J:J)
/ (COUNTIF(Data!B:B, A654)
)),"")</f>
        <v/>
      </c>
      <c r="G654" s="56" t="str">
        <f>IF(A654="","",IFERROR((((((SUMIF(Data!B:B, A654, Data!H:H)+(SUMIF(Data!B:B, A654,Data!G:G)))/(SUMIF(Data!B:B, A654, Data!J:J)))))),0))</f>
        <v/>
      </c>
      <c r="H654" s="45"/>
      <c r="I654" s="45"/>
      <c r="J654" s="45"/>
      <c r="K654" s="45"/>
      <c r="L654" s="45" t="str">
        <f>IFERROR((SUMIF(Data!B:B, A654, Data!L:L)
/ (COUNTIF(Data!B:B, A654)
)),"")</f>
        <v/>
      </c>
      <c r="M654" s="45" t="str">
        <f>IFERROR((SUMIF(Data!B:B, A654, Data!K:K)
/ (COUNTIF(Data!B:B, A654)
)),"")</f>
        <v/>
      </c>
      <c r="N654" s="56"/>
      <c r="O654" s="56" t="str">
        <f>IF(A654="","",IFERROR((((((SUMIF(Data!B:B, A654, Data!H:H)+(SUMIF(Data!B:B, A654,Data!G:G)+(SUMIF(Data!B:B, A654,Data!L:L)+(SUMIF(Data!B:B, A654,Data!K:K)))))/(SUMIF(Data!B:B, A654, Data!M:M)+(SUMIF(Data!B:B, A654, Data!H:H)+(SUMIF(Data!B:B, A654,Data!G:G)+(SUMIF(Data!B:B, A654,Data!K:K)+(SUMIF(Data!B:B, A654,Data!L:L)))))))))),0))</f>
        <v/>
      </c>
      <c r="P654" s="57" t="str">
        <f>IFERROR(__xludf.DUMMYFUNCTION("IFERROR(((COUNTIF(FILTER(Data!N:N,Data!B:B=A654),""TRAVERSE"")*15)+(COUNTIF(FILTER(Data!N:N,Data!B:B=A654),""HIGH"")*10)+(COUNTIF(FILTER(Data!N:N,Data!B:B=A654),""MIDDLE"")*6)+(COUNTIF(FILTER(Data!N:N,Data!B:B=A654),""LOW"")*4)) / (COUNTIF(Data!B:B, A654)"&amp;"),"""")"),"")</f>
        <v/>
      </c>
      <c r="Q654" s="58"/>
      <c r="R654" s="58"/>
      <c r="S654" s="58" t="str">
        <f>IFERROR(__xludf.DUMMYFUNCTION("IFERROR((((COUNTIF(FILTER(Data!N:N,Data!B:B=A654),""TRAVERSE""))+(COUNTIF(FILTER(Data!N:N,Data!B:B=A654),""HIGH""))+(COUNTIF(FILTER(Data!N:N,Data!B:B=A654),""MIDDLE""))+(COUNTIF(FILTER(Data!N:N,Data!B:B=A654),""LOW"")))) / (((COUNTIF(Data!B:B, A654)))-(CO"&amp;"UNTIF(FILTER(Data!N:N,Data!B:B=A654),""NONE""))),IF(ISBLANK(A654),"""",0))"),"")</f>
        <v/>
      </c>
      <c r="T654" s="56" t="str">
        <f>IFERROR(__xludf.DUMMYFUNCTION("IFERROR((COUNTIF(FILTER(Data!N:N, Data!B:B=A654),""LOW"")) / (COUNTIF(Data!B:B, A654)),"""")"),"")</f>
        <v/>
      </c>
      <c r="U654" s="59" t="str">
        <f>IFERROR(__xludf.DUMMYFUNCTION("IFERROR((COUNTIF(FILTER(Data!N:N, Data!B:B=A654),""MIDDLE"")) / (COUNTIF(Data!B:B, A654)),"""")"),"")</f>
        <v/>
      </c>
      <c r="V654" s="59" t="str">
        <f>IFERROR(__xludf.DUMMYFUNCTION("IFERROR((COUNTIF(FILTER(Data!N:N, Data!B:B=A654),""HIGH"")) / (COUNTIF(Data!B:B, A654)),"""")"),"")</f>
        <v/>
      </c>
      <c r="W654" s="59" t="str">
        <f>IFERROR(__xludf.DUMMYFUNCTION("IFERROR((COUNTIF(FILTER(Data!N:N, Data!B:B=A654),""TRAVERSE"")) / (COUNTIF(Data!B:B, A654)),"""")"),"")</f>
        <v/>
      </c>
      <c r="X654" s="59"/>
      <c r="Y654" s="45" t="str">
        <f t="shared" si="7"/>
        <v/>
      </c>
      <c r="Z654" s="45" t="str">
        <f t="shared" si="8"/>
        <v/>
      </c>
      <c r="AA654" s="16" t="str">
        <f t="shared" si="9"/>
        <v/>
      </c>
      <c r="AB654" s="16"/>
      <c r="AC654" s="16"/>
      <c r="AD654" s="16"/>
      <c r="AE654" s="16" t="str">
        <f t="shared" si="12"/>
        <v/>
      </c>
      <c r="AF654" s="16" t="str">
        <f t="shared" si="13"/>
        <v/>
      </c>
      <c r="AG654" s="44"/>
      <c r="AH654" s="44"/>
      <c r="AI654" s="44" t="str">
        <f>IFERROR(__xludf.DUMMYFUNCTION("TEXTJOIN("", "",TRUE, FILTER(Data!P:P, Data!B:B=A654))"),"")</f>
        <v/>
      </c>
      <c r="AM654" s="61"/>
      <c r="BC654" s="50"/>
    </row>
    <row r="655">
      <c r="A655" s="14"/>
      <c r="B655" s="55" t="str">
        <f>IFERROR(__xludf.DUMMYFUNCTION("IFERROR(ROUND(
(COUNTIF(FILTER(Data!O:O, Data!B:B=A655), ""Win"")
+ COUNTIF(FILTER(Data!O:O, Data!B:B=A655), {""Tie"",""Results""}))
/ (COUNTIF(Data!B:B, A655)),
1),"""")"),"")</f>
        <v/>
      </c>
      <c r="C655" s="45" t="str">
        <f>IFERROR((SUMIF(Data!B:B, A655, Data!H:H)
/ (COUNTIF(Data!B:B, A655)
)),"")</f>
        <v/>
      </c>
      <c r="D655" s="45" t="str">
        <f>IFERROR((SUMIF(Data!B:B, A655, Data!G:G)
/ (COUNTIF(Data!B:B, A655)
)),"")</f>
        <v/>
      </c>
      <c r="E655" s="45"/>
      <c r="F655" s="45" t="str">
        <f>IFERROR((SUMIF(Data!B:B, A655, Data!J:J)
/ (COUNTIF(Data!B:B, A655)
)),"")</f>
        <v/>
      </c>
      <c r="G655" s="56" t="str">
        <f>IF(A655="","",IFERROR((((((SUMIF(Data!B:B, A655, Data!H:H)+(SUMIF(Data!B:B, A655,Data!G:G)))/(SUMIF(Data!B:B, A655, Data!J:J)))))),0))</f>
        <v/>
      </c>
      <c r="H655" s="45"/>
      <c r="I655" s="45"/>
      <c r="J655" s="45"/>
      <c r="K655" s="45"/>
      <c r="L655" s="45" t="str">
        <f>IFERROR((SUMIF(Data!B:B, A655, Data!L:L)
/ (COUNTIF(Data!B:B, A655)
)),"")</f>
        <v/>
      </c>
      <c r="M655" s="45" t="str">
        <f>IFERROR((SUMIF(Data!B:B, A655, Data!K:K)
/ (COUNTIF(Data!B:B, A655)
)),"")</f>
        <v/>
      </c>
      <c r="N655" s="56"/>
      <c r="O655" s="56" t="str">
        <f>IF(A655="","",IFERROR((((((SUMIF(Data!B:B, A655, Data!H:H)+(SUMIF(Data!B:B, A655,Data!G:G)+(SUMIF(Data!B:B, A655,Data!L:L)+(SUMIF(Data!B:B, A655,Data!K:K)))))/(SUMIF(Data!B:B, A655, Data!M:M)+(SUMIF(Data!B:B, A655, Data!H:H)+(SUMIF(Data!B:B, A655,Data!G:G)+(SUMIF(Data!B:B, A655,Data!K:K)+(SUMIF(Data!B:B, A655,Data!L:L)))))))))),0))</f>
        <v/>
      </c>
      <c r="P655" s="57" t="str">
        <f>IFERROR(__xludf.DUMMYFUNCTION("IFERROR(((COUNTIF(FILTER(Data!N:N,Data!B:B=A655),""TRAVERSE"")*15)+(COUNTIF(FILTER(Data!N:N,Data!B:B=A655),""HIGH"")*10)+(COUNTIF(FILTER(Data!N:N,Data!B:B=A655),""MIDDLE"")*6)+(COUNTIF(FILTER(Data!N:N,Data!B:B=A655),""LOW"")*4)) / (COUNTIF(Data!B:B, A655)"&amp;"),"""")"),"")</f>
        <v/>
      </c>
      <c r="Q655" s="58"/>
      <c r="R655" s="58"/>
      <c r="S655" s="58" t="str">
        <f>IFERROR(__xludf.DUMMYFUNCTION("IFERROR((((COUNTIF(FILTER(Data!N:N,Data!B:B=A655),""TRAVERSE""))+(COUNTIF(FILTER(Data!N:N,Data!B:B=A655),""HIGH""))+(COUNTIF(FILTER(Data!N:N,Data!B:B=A655),""MIDDLE""))+(COUNTIF(FILTER(Data!N:N,Data!B:B=A655),""LOW"")))) / (((COUNTIF(Data!B:B, A655)))-(CO"&amp;"UNTIF(FILTER(Data!N:N,Data!B:B=A655),""NONE""))),IF(ISBLANK(A655),"""",0))"),"")</f>
        <v/>
      </c>
      <c r="T655" s="56" t="str">
        <f>IFERROR(__xludf.DUMMYFUNCTION("IFERROR((COUNTIF(FILTER(Data!N:N, Data!B:B=A655),""LOW"")) / (COUNTIF(Data!B:B, A655)),"""")"),"")</f>
        <v/>
      </c>
      <c r="U655" s="59" t="str">
        <f>IFERROR(__xludf.DUMMYFUNCTION("IFERROR((COUNTIF(FILTER(Data!N:N, Data!B:B=A655),""MIDDLE"")) / (COUNTIF(Data!B:B, A655)),"""")"),"")</f>
        <v/>
      </c>
      <c r="V655" s="59" t="str">
        <f>IFERROR(__xludf.DUMMYFUNCTION("IFERROR((COUNTIF(FILTER(Data!N:N, Data!B:B=A655),""HIGH"")) / (COUNTIF(Data!B:B, A655)),"""")"),"")</f>
        <v/>
      </c>
      <c r="W655" s="59" t="str">
        <f>IFERROR(__xludf.DUMMYFUNCTION("IFERROR((COUNTIF(FILTER(Data!N:N, Data!B:B=A655),""TRAVERSE"")) / (COUNTIF(Data!B:B, A655)),"""")"),"")</f>
        <v/>
      </c>
      <c r="X655" s="59"/>
      <c r="Y655" s="45" t="str">
        <f t="shared" si="7"/>
        <v/>
      </c>
      <c r="Z655" s="45" t="str">
        <f t="shared" si="8"/>
        <v/>
      </c>
      <c r="AA655" s="16" t="str">
        <f t="shared" si="9"/>
        <v/>
      </c>
      <c r="AB655" s="16"/>
      <c r="AC655" s="16"/>
      <c r="AD655" s="16"/>
      <c r="AE655" s="16" t="str">
        <f t="shared" si="12"/>
        <v/>
      </c>
      <c r="AF655" s="16" t="str">
        <f t="shared" si="13"/>
        <v/>
      </c>
      <c r="AG655" s="44"/>
      <c r="AH655" s="44"/>
      <c r="AI655" s="44" t="str">
        <f>IFERROR(__xludf.DUMMYFUNCTION("TEXTJOIN("", "",TRUE, FILTER(Data!P:P, Data!B:B=A655))"),"")</f>
        <v/>
      </c>
      <c r="AM655" s="61"/>
      <c r="BC655" s="50"/>
    </row>
    <row r="656">
      <c r="A656" s="14"/>
      <c r="B656" s="55" t="str">
        <f>IFERROR(__xludf.DUMMYFUNCTION("IFERROR(ROUND(
(COUNTIF(FILTER(Data!O:O, Data!B:B=A656), ""Win"")
+ COUNTIF(FILTER(Data!O:O, Data!B:B=A656), {""Tie"",""Results""}))
/ (COUNTIF(Data!B:B, A656)),
1),"""")"),"")</f>
        <v/>
      </c>
      <c r="C656" s="45" t="str">
        <f>IFERROR((SUMIF(Data!B:B, A656, Data!H:H)
/ (COUNTIF(Data!B:B, A656)
)),"")</f>
        <v/>
      </c>
      <c r="D656" s="45" t="str">
        <f>IFERROR((SUMIF(Data!B:B, A656, Data!G:G)
/ (COUNTIF(Data!B:B, A656)
)),"")</f>
        <v/>
      </c>
      <c r="E656" s="45"/>
      <c r="F656" s="45" t="str">
        <f>IFERROR((SUMIF(Data!B:B, A656, Data!J:J)
/ (COUNTIF(Data!B:B, A656)
)),"")</f>
        <v/>
      </c>
      <c r="G656" s="56" t="str">
        <f>IF(A656="","",IFERROR((((((SUMIF(Data!B:B, A656, Data!H:H)+(SUMIF(Data!B:B, A656,Data!G:G)))/(SUMIF(Data!B:B, A656, Data!J:J)))))),0))</f>
        <v/>
      </c>
      <c r="H656" s="45"/>
      <c r="I656" s="45"/>
      <c r="J656" s="45"/>
      <c r="K656" s="45"/>
      <c r="L656" s="45" t="str">
        <f>IFERROR((SUMIF(Data!B:B, A656, Data!L:L)
/ (COUNTIF(Data!B:B, A656)
)),"")</f>
        <v/>
      </c>
      <c r="M656" s="45" t="str">
        <f>IFERROR((SUMIF(Data!B:B, A656, Data!K:K)
/ (COUNTIF(Data!B:B, A656)
)),"")</f>
        <v/>
      </c>
      <c r="N656" s="56"/>
      <c r="O656" s="56" t="str">
        <f>IF(A656="","",IFERROR((((((SUMIF(Data!B:B, A656, Data!H:H)+(SUMIF(Data!B:B, A656,Data!G:G)+(SUMIF(Data!B:B, A656,Data!L:L)+(SUMIF(Data!B:B, A656,Data!K:K)))))/(SUMIF(Data!B:B, A656, Data!M:M)+(SUMIF(Data!B:B, A656, Data!H:H)+(SUMIF(Data!B:B, A656,Data!G:G)+(SUMIF(Data!B:B, A656,Data!K:K)+(SUMIF(Data!B:B, A656,Data!L:L)))))))))),0))</f>
        <v/>
      </c>
      <c r="P656" s="57" t="str">
        <f>IFERROR(__xludf.DUMMYFUNCTION("IFERROR(((COUNTIF(FILTER(Data!N:N,Data!B:B=A656),""TRAVERSE"")*15)+(COUNTIF(FILTER(Data!N:N,Data!B:B=A656),""HIGH"")*10)+(COUNTIF(FILTER(Data!N:N,Data!B:B=A656),""MIDDLE"")*6)+(COUNTIF(FILTER(Data!N:N,Data!B:B=A656),""LOW"")*4)) / (COUNTIF(Data!B:B, A656)"&amp;"),"""")"),"")</f>
        <v/>
      </c>
      <c r="Q656" s="58"/>
      <c r="R656" s="58"/>
      <c r="S656" s="58" t="str">
        <f>IFERROR(__xludf.DUMMYFUNCTION("IFERROR((((COUNTIF(FILTER(Data!N:N,Data!B:B=A656),""TRAVERSE""))+(COUNTIF(FILTER(Data!N:N,Data!B:B=A656),""HIGH""))+(COUNTIF(FILTER(Data!N:N,Data!B:B=A656),""MIDDLE""))+(COUNTIF(FILTER(Data!N:N,Data!B:B=A656),""LOW"")))) / (((COUNTIF(Data!B:B, A656)))-(CO"&amp;"UNTIF(FILTER(Data!N:N,Data!B:B=A656),""NONE""))),IF(ISBLANK(A656),"""",0))"),"")</f>
        <v/>
      </c>
      <c r="T656" s="56" t="str">
        <f>IFERROR(__xludf.DUMMYFUNCTION("IFERROR((COUNTIF(FILTER(Data!N:N, Data!B:B=A656),""LOW"")) / (COUNTIF(Data!B:B, A656)),"""")"),"")</f>
        <v/>
      </c>
      <c r="U656" s="59" t="str">
        <f>IFERROR(__xludf.DUMMYFUNCTION("IFERROR((COUNTIF(FILTER(Data!N:N, Data!B:B=A656),""MIDDLE"")) / (COUNTIF(Data!B:B, A656)),"""")"),"")</f>
        <v/>
      </c>
      <c r="V656" s="59" t="str">
        <f>IFERROR(__xludf.DUMMYFUNCTION("IFERROR((COUNTIF(FILTER(Data!N:N, Data!B:B=A656),""HIGH"")) / (COUNTIF(Data!B:B, A656)),"""")"),"")</f>
        <v/>
      </c>
      <c r="W656" s="59" t="str">
        <f>IFERROR(__xludf.DUMMYFUNCTION("IFERROR((COUNTIF(FILTER(Data!N:N, Data!B:B=A656),""TRAVERSE"")) / (COUNTIF(Data!B:B, A656)),"""")"),"")</f>
        <v/>
      </c>
      <c r="X656" s="59"/>
      <c r="Y656" s="45" t="str">
        <f t="shared" si="7"/>
        <v/>
      </c>
      <c r="Z656" s="45" t="str">
        <f t="shared" si="8"/>
        <v/>
      </c>
      <c r="AA656" s="16" t="str">
        <f t="shared" si="9"/>
        <v/>
      </c>
      <c r="AB656" s="16"/>
      <c r="AC656" s="16"/>
      <c r="AD656" s="16"/>
      <c r="AE656" s="16" t="str">
        <f t="shared" si="12"/>
        <v/>
      </c>
      <c r="AF656" s="16" t="str">
        <f t="shared" si="13"/>
        <v/>
      </c>
      <c r="AG656" s="44"/>
      <c r="AH656" s="44"/>
      <c r="AI656" s="44" t="str">
        <f>IFERROR(__xludf.DUMMYFUNCTION("TEXTJOIN("", "",TRUE, FILTER(Data!P:P, Data!B:B=A656))"),"")</f>
        <v/>
      </c>
      <c r="AM656" s="61"/>
      <c r="BC656" s="50"/>
    </row>
    <row r="657">
      <c r="A657" s="14"/>
      <c r="B657" s="55" t="str">
        <f>IFERROR(__xludf.DUMMYFUNCTION("IFERROR(ROUND(
(COUNTIF(FILTER(Data!O:O, Data!B:B=A657), ""Win"")
+ COUNTIF(FILTER(Data!O:O, Data!B:B=A657), {""Tie"",""Results""}))
/ (COUNTIF(Data!B:B, A657)),
1),"""")"),"")</f>
        <v/>
      </c>
      <c r="C657" s="45" t="str">
        <f>IFERROR((SUMIF(Data!B:B, A657, Data!H:H)
/ (COUNTIF(Data!B:B, A657)
)),"")</f>
        <v/>
      </c>
      <c r="D657" s="45" t="str">
        <f>IFERROR((SUMIF(Data!B:B, A657, Data!G:G)
/ (COUNTIF(Data!B:B, A657)
)),"")</f>
        <v/>
      </c>
      <c r="E657" s="45"/>
      <c r="F657" s="45" t="str">
        <f>IFERROR((SUMIF(Data!B:B, A657, Data!J:J)
/ (COUNTIF(Data!B:B, A657)
)),"")</f>
        <v/>
      </c>
      <c r="G657" s="56" t="str">
        <f>IF(A657="","",IFERROR((((((SUMIF(Data!B:B, A657, Data!H:H)+(SUMIF(Data!B:B, A657,Data!G:G)))/(SUMIF(Data!B:B, A657, Data!J:J)))))),0))</f>
        <v/>
      </c>
      <c r="H657" s="45"/>
      <c r="I657" s="45"/>
      <c r="J657" s="45"/>
      <c r="K657" s="45"/>
      <c r="L657" s="45" t="str">
        <f>IFERROR((SUMIF(Data!B:B, A657, Data!L:L)
/ (COUNTIF(Data!B:B, A657)
)),"")</f>
        <v/>
      </c>
      <c r="M657" s="45" t="str">
        <f>IFERROR((SUMIF(Data!B:B, A657, Data!K:K)
/ (COUNTIF(Data!B:B, A657)
)),"")</f>
        <v/>
      </c>
      <c r="N657" s="56"/>
      <c r="O657" s="56" t="str">
        <f>IF(A657="","",IFERROR((((((SUMIF(Data!B:B, A657, Data!H:H)+(SUMIF(Data!B:B, A657,Data!G:G)+(SUMIF(Data!B:B, A657,Data!L:L)+(SUMIF(Data!B:B, A657,Data!K:K)))))/(SUMIF(Data!B:B, A657, Data!M:M)+(SUMIF(Data!B:B, A657, Data!H:H)+(SUMIF(Data!B:B, A657,Data!G:G)+(SUMIF(Data!B:B, A657,Data!K:K)+(SUMIF(Data!B:B, A657,Data!L:L)))))))))),0))</f>
        <v/>
      </c>
      <c r="P657" s="57" t="str">
        <f>IFERROR(__xludf.DUMMYFUNCTION("IFERROR(((COUNTIF(FILTER(Data!N:N,Data!B:B=A657),""TRAVERSE"")*15)+(COUNTIF(FILTER(Data!N:N,Data!B:B=A657),""HIGH"")*10)+(COUNTIF(FILTER(Data!N:N,Data!B:B=A657),""MIDDLE"")*6)+(COUNTIF(FILTER(Data!N:N,Data!B:B=A657),""LOW"")*4)) / (COUNTIF(Data!B:B, A657)"&amp;"),"""")"),"")</f>
        <v/>
      </c>
      <c r="Q657" s="58"/>
      <c r="R657" s="58"/>
      <c r="S657" s="58" t="str">
        <f>IFERROR(__xludf.DUMMYFUNCTION("IFERROR((((COUNTIF(FILTER(Data!N:N,Data!B:B=A657),""TRAVERSE""))+(COUNTIF(FILTER(Data!N:N,Data!B:B=A657),""HIGH""))+(COUNTIF(FILTER(Data!N:N,Data!B:B=A657),""MIDDLE""))+(COUNTIF(FILTER(Data!N:N,Data!B:B=A657),""LOW"")))) / (((COUNTIF(Data!B:B, A657)))-(CO"&amp;"UNTIF(FILTER(Data!N:N,Data!B:B=A657),""NONE""))),IF(ISBLANK(A657),"""",0))"),"")</f>
        <v/>
      </c>
      <c r="T657" s="56" t="str">
        <f>IFERROR(__xludf.DUMMYFUNCTION("IFERROR((COUNTIF(FILTER(Data!N:N, Data!B:B=A657),""LOW"")) / (COUNTIF(Data!B:B, A657)),"""")"),"")</f>
        <v/>
      </c>
      <c r="U657" s="59" t="str">
        <f>IFERROR(__xludf.DUMMYFUNCTION("IFERROR((COUNTIF(FILTER(Data!N:N, Data!B:B=A657),""MIDDLE"")) / (COUNTIF(Data!B:B, A657)),"""")"),"")</f>
        <v/>
      </c>
      <c r="V657" s="59" t="str">
        <f>IFERROR(__xludf.DUMMYFUNCTION("IFERROR((COUNTIF(FILTER(Data!N:N, Data!B:B=A657),""HIGH"")) / (COUNTIF(Data!B:B, A657)),"""")"),"")</f>
        <v/>
      </c>
      <c r="W657" s="59" t="str">
        <f>IFERROR(__xludf.DUMMYFUNCTION("IFERROR((COUNTIF(FILTER(Data!N:N, Data!B:B=A657),""TRAVERSE"")) / (COUNTIF(Data!B:B, A657)),"""")"),"")</f>
        <v/>
      </c>
      <c r="X657" s="59"/>
      <c r="Y657" s="45" t="str">
        <f t="shared" si="7"/>
        <v/>
      </c>
      <c r="Z657" s="45" t="str">
        <f t="shared" si="8"/>
        <v/>
      </c>
      <c r="AA657" s="16" t="str">
        <f t="shared" si="9"/>
        <v/>
      </c>
      <c r="AB657" s="16"/>
      <c r="AC657" s="16"/>
      <c r="AD657" s="16"/>
      <c r="AE657" s="16" t="str">
        <f t="shared" si="12"/>
        <v/>
      </c>
      <c r="AF657" s="16" t="str">
        <f t="shared" si="13"/>
        <v/>
      </c>
      <c r="AG657" s="44"/>
      <c r="AH657" s="44"/>
      <c r="AI657" s="44" t="str">
        <f>IFERROR(__xludf.DUMMYFUNCTION("TEXTJOIN("", "",TRUE, FILTER(Data!P:P, Data!B:B=A657))"),"")</f>
        <v/>
      </c>
      <c r="AM657" s="61"/>
      <c r="BC657" s="50"/>
    </row>
    <row r="658">
      <c r="A658" s="14"/>
      <c r="B658" s="55" t="str">
        <f>IFERROR(__xludf.DUMMYFUNCTION("IFERROR(ROUND(
(COUNTIF(FILTER(Data!O:O, Data!B:B=A658), ""Win"")
+ COUNTIF(FILTER(Data!O:O, Data!B:B=A658), {""Tie"",""Results""}))
/ (COUNTIF(Data!B:B, A658)),
1),"""")"),"")</f>
        <v/>
      </c>
      <c r="C658" s="45" t="str">
        <f>IFERROR((SUMIF(Data!B:B, A658, Data!H:H)
/ (COUNTIF(Data!B:B, A658)
)),"")</f>
        <v/>
      </c>
      <c r="D658" s="45" t="str">
        <f>IFERROR((SUMIF(Data!B:B, A658, Data!G:G)
/ (COUNTIF(Data!B:B, A658)
)),"")</f>
        <v/>
      </c>
      <c r="E658" s="45"/>
      <c r="F658" s="45" t="str">
        <f>IFERROR((SUMIF(Data!B:B, A658, Data!J:J)
/ (COUNTIF(Data!B:B, A658)
)),"")</f>
        <v/>
      </c>
      <c r="G658" s="56" t="str">
        <f>IF(A658="","",IFERROR((((((SUMIF(Data!B:B, A658, Data!H:H)+(SUMIF(Data!B:B, A658,Data!G:G)))/(SUMIF(Data!B:B, A658, Data!J:J)))))),0))</f>
        <v/>
      </c>
      <c r="H658" s="45"/>
      <c r="I658" s="45"/>
      <c r="J658" s="45"/>
      <c r="K658" s="45"/>
      <c r="L658" s="45" t="str">
        <f>IFERROR((SUMIF(Data!B:B, A658, Data!L:L)
/ (COUNTIF(Data!B:B, A658)
)),"")</f>
        <v/>
      </c>
      <c r="M658" s="45" t="str">
        <f>IFERROR((SUMIF(Data!B:B, A658, Data!K:K)
/ (COUNTIF(Data!B:B, A658)
)),"")</f>
        <v/>
      </c>
      <c r="N658" s="56"/>
      <c r="O658" s="56" t="str">
        <f>IF(A658="","",IFERROR((((((SUMIF(Data!B:B, A658, Data!H:H)+(SUMIF(Data!B:B, A658,Data!G:G)+(SUMIF(Data!B:B, A658,Data!L:L)+(SUMIF(Data!B:B, A658,Data!K:K)))))/(SUMIF(Data!B:B, A658, Data!M:M)+(SUMIF(Data!B:B, A658, Data!H:H)+(SUMIF(Data!B:B, A658,Data!G:G)+(SUMIF(Data!B:B, A658,Data!K:K)+(SUMIF(Data!B:B, A658,Data!L:L)))))))))),0))</f>
        <v/>
      </c>
      <c r="P658" s="57" t="str">
        <f>IFERROR(__xludf.DUMMYFUNCTION("IFERROR(((COUNTIF(FILTER(Data!N:N,Data!B:B=A658),""TRAVERSE"")*15)+(COUNTIF(FILTER(Data!N:N,Data!B:B=A658),""HIGH"")*10)+(COUNTIF(FILTER(Data!N:N,Data!B:B=A658),""MIDDLE"")*6)+(COUNTIF(FILTER(Data!N:N,Data!B:B=A658),""LOW"")*4)) / (COUNTIF(Data!B:B, A658)"&amp;"),"""")"),"")</f>
        <v/>
      </c>
      <c r="Q658" s="58"/>
      <c r="R658" s="58"/>
      <c r="S658" s="58" t="str">
        <f>IFERROR(__xludf.DUMMYFUNCTION("IFERROR((((COUNTIF(FILTER(Data!N:N,Data!B:B=A658),""TRAVERSE""))+(COUNTIF(FILTER(Data!N:N,Data!B:B=A658),""HIGH""))+(COUNTIF(FILTER(Data!N:N,Data!B:B=A658),""MIDDLE""))+(COUNTIF(FILTER(Data!N:N,Data!B:B=A658),""LOW"")))) / (((COUNTIF(Data!B:B, A658)))-(CO"&amp;"UNTIF(FILTER(Data!N:N,Data!B:B=A658),""NONE""))),IF(ISBLANK(A658),"""",0))"),"")</f>
        <v/>
      </c>
      <c r="T658" s="56" t="str">
        <f>IFERROR(__xludf.DUMMYFUNCTION("IFERROR((COUNTIF(FILTER(Data!N:N, Data!B:B=A658),""LOW"")) / (COUNTIF(Data!B:B, A658)),"""")"),"")</f>
        <v/>
      </c>
      <c r="U658" s="59" t="str">
        <f>IFERROR(__xludf.DUMMYFUNCTION("IFERROR((COUNTIF(FILTER(Data!N:N, Data!B:B=A658),""MIDDLE"")) / (COUNTIF(Data!B:B, A658)),"""")"),"")</f>
        <v/>
      </c>
      <c r="V658" s="59" t="str">
        <f>IFERROR(__xludf.DUMMYFUNCTION("IFERROR((COUNTIF(FILTER(Data!N:N, Data!B:B=A658),""HIGH"")) / (COUNTIF(Data!B:B, A658)),"""")"),"")</f>
        <v/>
      </c>
      <c r="W658" s="59" t="str">
        <f>IFERROR(__xludf.DUMMYFUNCTION("IFERROR((COUNTIF(FILTER(Data!N:N, Data!B:B=A658),""TRAVERSE"")) / (COUNTIF(Data!B:B, A658)),"""")"),"")</f>
        <v/>
      </c>
      <c r="X658" s="59"/>
      <c r="Y658" s="45" t="str">
        <f t="shared" si="7"/>
        <v/>
      </c>
      <c r="Z658" s="45" t="str">
        <f t="shared" si="8"/>
        <v/>
      </c>
      <c r="AA658" s="16" t="str">
        <f t="shared" si="9"/>
        <v/>
      </c>
      <c r="AB658" s="16"/>
      <c r="AC658" s="16"/>
      <c r="AD658" s="16"/>
      <c r="AE658" s="16" t="str">
        <f t="shared" si="12"/>
        <v/>
      </c>
      <c r="AF658" s="16" t="str">
        <f t="shared" si="13"/>
        <v/>
      </c>
      <c r="AG658" s="44"/>
      <c r="AH658" s="44"/>
      <c r="AI658" s="44" t="str">
        <f>IFERROR(__xludf.DUMMYFUNCTION("TEXTJOIN("", "",TRUE, FILTER(Data!P:P, Data!B:B=A658))"),"")</f>
        <v/>
      </c>
      <c r="AM658" s="61"/>
      <c r="BC658" s="50"/>
    </row>
    <row r="659">
      <c r="A659" s="14"/>
      <c r="B659" s="55" t="str">
        <f>IFERROR(__xludf.DUMMYFUNCTION("IFERROR(ROUND(
(COUNTIF(FILTER(Data!O:O, Data!B:B=A659), ""Win"")
+ COUNTIF(FILTER(Data!O:O, Data!B:B=A659), {""Tie"",""Results""}))
/ (COUNTIF(Data!B:B, A659)),
1),"""")"),"")</f>
        <v/>
      </c>
      <c r="C659" s="45" t="str">
        <f>IFERROR((SUMIF(Data!B:B, A659, Data!H:H)
/ (COUNTIF(Data!B:B, A659)
)),"")</f>
        <v/>
      </c>
      <c r="D659" s="45" t="str">
        <f>IFERROR((SUMIF(Data!B:B, A659, Data!G:G)
/ (COUNTIF(Data!B:B, A659)
)),"")</f>
        <v/>
      </c>
      <c r="E659" s="45"/>
      <c r="F659" s="45" t="str">
        <f>IFERROR((SUMIF(Data!B:B, A659, Data!J:J)
/ (COUNTIF(Data!B:B, A659)
)),"")</f>
        <v/>
      </c>
      <c r="G659" s="56" t="str">
        <f>IF(A659="","",IFERROR((((((SUMIF(Data!B:B, A659, Data!H:H)+(SUMIF(Data!B:B, A659,Data!G:G)))/(SUMIF(Data!B:B, A659, Data!J:J)))))),0))</f>
        <v/>
      </c>
      <c r="H659" s="45"/>
      <c r="I659" s="45"/>
      <c r="J659" s="45"/>
      <c r="K659" s="45"/>
      <c r="L659" s="45" t="str">
        <f>IFERROR((SUMIF(Data!B:B, A659, Data!L:L)
/ (COUNTIF(Data!B:B, A659)
)),"")</f>
        <v/>
      </c>
      <c r="M659" s="45" t="str">
        <f>IFERROR((SUMIF(Data!B:B, A659, Data!K:K)
/ (COUNTIF(Data!B:B, A659)
)),"")</f>
        <v/>
      </c>
      <c r="N659" s="56"/>
      <c r="O659" s="56" t="str">
        <f>IF(A659="","",IFERROR((((((SUMIF(Data!B:B, A659, Data!H:H)+(SUMIF(Data!B:B, A659,Data!G:G)+(SUMIF(Data!B:B, A659,Data!L:L)+(SUMIF(Data!B:B, A659,Data!K:K)))))/(SUMIF(Data!B:B, A659, Data!M:M)+(SUMIF(Data!B:B, A659, Data!H:H)+(SUMIF(Data!B:B, A659,Data!G:G)+(SUMIF(Data!B:B, A659,Data!K:K)+(SUMIF(Data!B:B, A659,Data!L:L)))))))))),0))</f>
        <v/>
      </c>
      <c r="P659" s="57" t="str">
        <f>IFERROR(__xludf.DUMMYFUNCTION("IFERROR(((COUNTIF(FILTER(Data!N:N,Data!B:B=A659),""TRAVERSE"")*15)+(COUNTIF(FILTER(Data!N:N,Data!B:B=A659),""HIGH"")*10)+(COUNTIF(FILTER(Data!N:N,Data!B:B=A659),""MIDDLE"")*6)+(COUNTIF(FILTER(Data!N:N,Data!B:B=A659),""LOW"")*4)) / (COUNTIF(Data!B:B, A659)"&amp;"),"""")"),"")</f>
        <v/>
      </c>
      <c r="Q659" s="58"/>
      <c r="R659" s="58"/>
      <c r="S659" s="58" t="str">
        <f>IFERROR(__xludf.DUMMYFUNCTION("IFERROR((((COUNTIF(FILTER(Data!N:N,Data!B:B=A659),""TRAVERSE""))+(COUNTIF(FILTER(Data!N:N,Data!B:B=A659),""HIGH""))+(COUNTIF(FILTER(Data!N:N,Data!B:B=A659),""MIDDLE""))+(COUNTIF(FILTER(Data!N:N,Data!B:B=A659),""LOW"")))) / (((COUNTIF(Data!B:B, A659)))-(CO"&amp;"UNTIF(FILTER(Data!N:N,Data!B:B=A659),""NONE""))),IF(ISBLANK(A659),"""",0))"),"")</f>
        <v/>
      </c>
      <c r="T659" s="56" t="str">
        <f>IFERROR(__xludf.DUMMYFUNCTION("IFERROR((COUNTIF(FILTER(Data!N:N, Data!B:B=A659),""LOW"")) / (COUNTIF(Data!B:B, A659)),"""")"),"")</f>
        <v/>
      </c>
      <c r="U659" s="59" t="str">
        <f>IFERROR(__xludf.DUMMYFUNCTION("IFERROR((COUNTIF(FILTER(Data!N:N, Data!B:B=A659),""MIDDLE"")) / (COUNTIF(Data!B:B, A659)),"""")"),"")</f>
        <v/>
      </c>
      <c r="V659" s="59" t="str">
        <f>IFERROR(__xludf.DUMMYFUNCTION("IFERROR((COUNTIF(FILTER(Data!N:N, Data!B:B=A659),""HIGH"")) / (COUNTIF(Data!B:B, A659)),"""")"),"")</f>
        <v/>
      </c>
      <c r="W659" s="59" t="str">
        <f>IFERROR(__xludf.DUMMYFUNCTION("IFERROR((COUNTIF(FILTER(Data!N:N, Data!B:B=A659),""TRAVERSE"")) / (COUNTIF(Data!B:B, A659)),"""")"),"")</f>
        <v/>
      </c>
      <c r="X659" s="59"/>
      <c r="Y659" s="45" t="str">
        <f t="shared" si="7"/>
        <v/>
      </c>
      <c r="Z659" s="45" t="str">
        <f t="shared" si="8"/>
        <v/>
      </c>
      <c r="AA659" s="16" t="str">
        <f t="shared" si="9"/>
        <v/>
      </c>
      <c r="AB659" s="16"/>
      <c r="AC659" s="16"/>
      <c r="AD659" s="16"/>
      <c r="AE659" s="16" t="str">
        <f t="shared" si="12"/>
        <v/>
      </c>
      <c r="AF659" s="16" t="str">
        <f t="shared" si="13"/>
        <v/>
      </c>
      <c r="AG659" s="44"/>
      <c r="AH659" s="44"/>
      <c r="AI659" s="44" t="str">
        <f>IFERROR(__xludf.DUMMYFUNCTION("TEXTJOIN("", "",TRUE, FILTER(Data!P:P, Data!B:B=A659))"),"")</f>
        <v/>
      </c>
      <c r="AM659" s="61"/>
      <c r="BC659" s="50"/>
    </row>
    <row r="660">
      <c r="A660" s="14"/>
      <c r="B660" s="55" t="str">
        <f>IFERROR(__xludf.DUMMYFUNCTION("IFERROR(ROUND(
(COUNTIF(FILTER(Data!O:O, Data!B:B=A660), ""Win"")
+ COUNTIF(FILTER(Data!O:O, Data!B:B=A660), {""Tie"",""Results""}))
/ (COUNTIF(Data!B:B, A660)),
1),"""")"),"")</f>
        <v/>
      </c>
      <c r="C660" s="45" t="str">
        <f>IFERROR((SUMIF(Data!B:B, A660, Data!H:H)
/ (COUNTIF(Data!B:B, A660)
)),"")</f>
        <v/>
      </c>
      <c r="D660" s="45" t="str">
        <f>IFERROR((SUMIF(Data!B:B, A660, Data!G:G)
/ (COUNTIF(Data!B:B, A660)
)),"")</f>
        <v/>
      </c>
      <c r="E660" s="45"/>
      <c r="F660" s="45" t="str">
        <f>IFERROR((SUMIF(Data!B:B, A660, Data!J:J)
/ (COUNTIF(Data!B:B, A660)
)),"")</f>
        <v/>
      </c>
      <c r="G660" s="56" t="str">
        <f>IF(A660="","",IFERROR((((((SUMIF(Data!B:B, A660, Data!H:H)+(SUMIF(Data!B:B, A660,Data!G:G)))/(SUMIF(Data!B:B, A660, Data!J:J)))))),0))</f>
        <v/>
      </c>
      <c r="H660" s="45"/>
      <c r="I660" s="45"/>
      <c r="J660" s="45"/>
      <c r="K660" s="45"/>
      <c r="L660" s="45" t="str">
        <f>IFERROR((SUMIF(Data!B:B, A660, Data!L:L)
/ (COUNTIF(Data!B:B, A660)
)),"")</f>
        <v/>
      </c>
      <c r="M660" s="45" t="str">
        <f>IFERROR((SUMIF(Data!B:B, A660, Data!K:K)
/ (COUNTIF(Data!B:B, A660)
)),"")</f>
        <v/>
      </c>
      <c r="N660" s="56"/>
      <c r="O660" s="56" t="str">
        <f>IF(A660="","",IFERROR((((((SUMIF(Data!B:B, A660, Data!H:H)+(SUMIF(Data!B:B, A660,Data!G:G)+(SUMIF(Data!B:B, A660,Data!L:L)+(SUMIF(Data!B:B, A660,Data!K:K)))))/(SUMIF(Data!B:B, A660, Data!M:M)+(SUMIF(Data!B:B, A660, Data!H:H)+(SUMIF(Data!B:B, A660,Data!G:G)+(SUMIF(Data!B:B, A660,Data!K:K)+(SUMIF(Data!B:B, A660,Data!L:L)))))))))),0))</f>
        <v/>
      </c>
      <c r="P660" s="57" t="str">
        <f>IFERROR(__xludf.DUMMYFUNCTION("IFERROR(((COUNTIF(FILTER(Data!N:N,Data!B:B=A660),""TRAVERSE"")*15)+(COUNTIF(FILTER(Data!N:N,Data!B:B=A660),""HIGH"")*10)+(COUNTIF(FILTER(Data!N:N,Data!B:B=A660),""MIDDLE"")*6)+(COUNTIF(FILTER(Data!N:N,Data!B:B=A660),""LOW"")*4)) / (COUNTIF(Data!B:B, A660)"&amp;"),"""")"),"")</f>
        <v/>
      </c>
      <c r="Q660" s="58"/>
      <c r="R660" s="58"/>
      <c r="S660" s="58" t="str">
        <f>IFERROR(__xludf.DUMMYFUNCTION("IFERROR((((COUNTIF(FILTER(Data!N:N,Data!B:B=A660),""TRAVERSE""))+(COUNTIF(FILTER(Data!N:N,Data!B:B=A660),""HIGH""))+(COUNTIF(FILTER(Data!N:N,Data!B:B=A660),""MIDDLE""))+(COUNTIF(FILTER(Data!N:N,Data!B:B=A660),""LOW"")))) / (((COUNTIF(Data!B:B, A660)))-(CO"&amp;"UNTIF(FILTER(Data!N:N,Data!B:B=A660),""NONE""))),IF(ISBLANK(A660),"""",0))"),"")</f>
        <v/>
      </c>
      <c r="T660" s="56" t="str">
        <f>IFERROR(__xludf.DUMMYFUNCTION("IFERROR((COUNTIF(FILTER(Data!N:N, Data!B:B=A660),""LOW"")) / (COUNTIF(Data!B:B, A660)),"""")"),"")</f>
        <v/>
      </c>
      <c r="U660" s="59" t="str">
        <f>IFERROR(__xludf.DUMMYFUNCTION("IFERROR((COUNTIF(FILTER(Data!N:N, Data!B:B=A660),""MIDDLE"")) / (COUNTIF(Data!B:B, A660)),"""")"),"")</f>
        <v/>
      </c>
      <c r="V660" s="59" t="str">
        <f>IFERROR(__xludf.DUMMYFUNCTION("IFERROR((COUNTIF(FILTER(Data!N:N, Data!B:B=A660),""HIGH"")) / (COUNTIF(Data!B:B, A660)),"""")"),"")</f>
        <v/>
      </c>
      <c r="W660" s="59" t="str">
        <f>IFERROR(__xludf.DUMMYFUNCTION("IFERROR((COUNTIF(FILTER(Data!N:N, Data!B:B=A660),""TRAVERSE"")) / (COUNTIF(Data!B:B, A660)),"""")"),"")</f>
        <v/>
      </c>
      <c r="X660" s="59"/>
      <c r="Y660" s="45" t="str">
        <f t="shared" si="7"/>
        <v/>
      </c>
      <c r="Z660" s="45" t="str">
        <f t="shared" si="8"/>
        <v/>
      </c>
      <c r="AA660" s="16" t="str">
        <f t="shared" si="9"/>
        <v/>
      </c>
      <c r="AB660" s="16"/>
      <c r="AC660" s="16"/>
      <c r="AD660" s="16"/>
      <c r="AE660" s="16" t="str">
        <f t="shared" si="12"/>
        <v/>
      </c>
      <c r="AF660" s="16" t="str">
        <f t="shared" si="13"/>
        <v/>
      </c>
      <c r="AG660" s="44"/>
      <c r="AH660" s="44"/>
      <c r="AI660" s="44" t="str">
        <f>IFERROR(__xludf.DUMMYFUNCTION("TEXTJOIN("", "",TRUE, FILTER(Data!P:P, Data!B:B=A660))"),"")</f>
        <v/>
      </c>
      <c r="AM660" s="61"/>
      <c r="BC660" s="50"/>
    </row>
    <row r="661">
      <c r="A661" s="14"/>
      <c r="B661" s="55" t="str">
        <f>IFERROR(__xludf.DUMMYFUNCTION("IFERROR(ROUND(
(COUNTIF(FILTER(Data!O:O, Data!B:B=A661), ""Win"")
+ COUNTIF(FILTER(Data!O:O, Data!B:B=A661), {""Tie"",""Results""}))
/ (COUNTIF(Data!B:B, A661)),
1),"""")"),"")</f>
        <v/>
      </c>
      <c r="C661" s="45" t="str">
        <f>IFERROR((SUMIF(Data!B:B, A661, Data!H:H)
/ (COUNTIF(Data!B:B, A661)
)),"")</f>
        <v/>
      </c>
      <c r="D661" s="45" t="str">
        <f>IFERROR((SUMIF(Data!B:B, A661, Data!G:G)
/ (COUNTIF(Data!B:B, A661)
)),"")</f>
        <v/>
      </c>
      <c r="E661" s="45"/>
      <c r="F661" s="45" t="str">
        <f>IFERROR((SUMIF(Data!B:B, A661, Data!J:J)
/ (COUNTIF(Data!B:B, A661)
)),"")</f>
        <v/>
      </c>
      <c r="G661" s="56" t="str">
        <f>IF(A661="","",IFERROR((((((SUMIF(Data!B:B, A661, Data!H:H)+(SUMIF(Data!B:B, A661,Data!G:G)))/(SUMIF(Data!B:B, A661, Data!J:J)))))),0))</f>
        <v/>
      </c>
      <c r="H661" s="45"/>
      <c r="I661" s="45"/>
      <c r="J661" s="45"/>
      <c r="K661" s="45"/>
      <c r="L661" s="45" t="str">
        <f>IFERROR((SUMIF(Data!B:B, A661, Data!L:L)
/ (COUNTIF(Data!B:B, A661)
)),"")</f>
        <v/>
      </c>
      <c r="M661" s="45" t="str">
        <f>IFERROR((SUMIF(Data!B:B, A661, Data!K:K)
/ (COUNTIF(Data!B:B, A661)
)),"")</f>
        <v/>
      </c>
      <c r="N661" s="56"/>
      <c r="O661" s="56" t="str">
        <f>IF(A661="","",IFERROR((((((SUMIF(Data!B:B, A661, Data!H:H)+(SUMIF(Data!B:B, A661,Data!G:G)+(SUMIF(Data!B:B, A661,Data!L:L)+(SUMIF(Data!B:B, A661,Data!K:K)))))/(SUMIF(Data!B:B, A661, Data!M:M)+(SUMIF(Data!B:B, A661, Data!H:H)+(SUMIF(Data!B:B, A661,Data!G:G)+(SUMIF(Data!B:B, A661,Data!K:K)+(SUMIF(Data!B:B, A661,Data!L:L)))))))))),0))</f>
        <v/>
      </c>
      <c r="P661" s="57" t="str">
        <f>IFERROR(__xludf.DUMMYFUNCTION("IFERROR(((COUNTIF(FILTER(Data!N:N,Data!B:B=A661),""TRAVERSE"")*15)+(COUNTIF(FILTER(Data!N:N,Data!B:B=A661),""HIGH"")*10)+(COUNTIF(FILTER(Data!N:N,Data!B:B=A661),""MIDDLE"")*6)+(COUNTIF(FILTER(Data!N:N,Data!B:B=A661),""LOW"")*4)) / (COUNTIF(Data!B:B, A661)"&amp;"),"""")"),"")</f>
        <v/>
      </c>
      <c r="Q661" s="58"/>
      <c r="R661" s="58"/>
      <c r="S661" s="58" t="str">
        <f>IFERROR(__xludf.DUMMYFUNCTION("IFERROR((((COUNTIF(FILTER(Data!N:N,Data!B:B=A661),""TRAVERSE""))+(COUNTIF(FILTER(Data!N:N,Data!B:B=A661),""HIGH""))+(COUNTIF(FILTER(Data!N:N,Data!B:B=A661),""MIDDLE""))+(COUNTIF(FILTER(Data!N:N,Data!B:B=A661),""LOW"")))) / (((COUNTIF(Data!B:B, A661)))-(CO"&amp;"UNTIF(FILTER(Data!N:N,Data!B:B=A661),""NONE""))),IF(ISBLANK(A661),"""",0))"),"")</f>
        <v/>
      </c>
      <c r="T661" s="56" t="str">
        <f>IFERROR(__xludf.DUMMYFUNCTION("IFERROR((COUNTIF(FILTER(Data!N:N, Data!B:B=A661),""LOW"")) / (COUNTIF(Data!B:B, A661)),"""")"),"")</f>
        <v/>
      </c>
      <c r="U661" s="59" t="str">
        <f>IFERROR(__xludf.DUMMYFUNCTION("IFERROR((COUNTIF(FILTER(Data!N:N, Data!B:B=A661),""MIDDLE"")) / (COUNTIF(Data!B:B, A661)),"""")"),"")</f>
        <v/>
      </c>
      <c r="V661" s="59" t="str">
        <f>IFERROR(__xludf.DUMMYFUNCTION("IFERROR((COUNTIF(FILTER(Data!N:N, Data!B:B=A661),""HIGH"")) / (COUNTIF(Data!B:B, A661)),"""")"),"")</f>
        <v/>
      </c>
      <c r="W661" s="59" t="str">
        <f>IFERROR(__xludf.DUMMYFUNCTION("IFERROR((COUNTIF(FILTER(Data!N:N, Data!B:B=A661),""TRAVERSE"")) / (COUNTIF(Data!B:B, A661)),"""")"),"")</f>
        <v/>
      </c>
      <c r="X661" s="59"/>
      <c r="Y661" s="45" t="str">
        <f t="shared" si="7"/>
        <v/>
      </c>
      <c r="Z661" s="45" t="str">
        <f t="shared" si="8"/>
        <v/>
      </c>
      <c r="AA661" s="16" t="str">
        <f t="shared" si="9"/>
        <v/>
      </c>
      <c r="AB661" s="16"/>
      <c r="AC661" s="16"/>
      <c r="AD661" s="16"/>
      <c r="AE661" s="16" t="str">
        <f t="shared" si="12"/>
        <v/>
      </c>
      <c r="AF661" s="16" t="str">
        <f t="shared" si="13"/>
        <v/>
      </c>
      <c r="AG661" s="44"/>
      <c r="AH661" s="44"/>
      <c r="AI661" s="44" t="str">
        <f>IFERROR(__xludf.DUMMYFUNCTION("TEXTJOIN("", "",TRUE, FILTER(Data!P:P, Data!B:B=A661))"),"")</f>
        <v/>
      </c>
      <c r="AM661" s="61"/>
      <c r="BC661" s="50"/>
    </row>
    <row r="662">
      <c r="A662" s="14"/>
      <c r="B662" s="55" t="str">
        <f>IFERROR(__xludf.DUMMYFUNCTION("IFERROR(ROUND(
(COUNTIF(FILTER(Data!O:O, Data!B:B=A662), ""Win"")
+ COUNTIF(FILTER(Data!O:O, Data!B:B=A662), {""Tie"",""Results""}))
/ (COUNTIF(Data!B:B, A662)),
1),"""")"),"")</f>
        <v/>
      </c>
      <c r="C662" s="45" t="str">
        <f>IFERROR((SUMIF(Data!B:B, A662, Data!H:H)
/ (COUNTIF(Data!B:B, A662)
)),"")</f>
        <v/>
      </c>
      <c r="D662" s="45" t="str">
        <f>IFERROR((SUMIF(Data!B:B, A662, Data!G:G)
/ (COUNTIF(Data!B:B, A662)
)),"")</f>
        <v/>
      </c>
      <c r="E662" s="45"/>
      <c r="F662" s="45" t="str">
        <f>IFERROR((SUMIF(Data!B:B, A662, Data!J:J)
/ (COUNTIF(Data!B:B, A662)
)),"")</f>
        <v/>
      </c>
      <c r="G662" s="56" t="str">
        <f>IF(A662="","",IFERROR((((((SUMIF(Data!B:B, A662, Data!H:H)+(SUMIF(Data!B:B, A662,Data!G:G)))/(SUMIF(Data!B:B, A662, Data!J:J)))))),0))</f>
        <v/>
      </c>
      <c r="H662" s="45"/>
      <c r="I662" s="45"/>
      <c r="J662" s="45"/>
      <c r="K662" s="45"/>
      <c r="L662" s="45" t="str">
        <f>IFERROR((SUMIF(Data!B:B, A662, Data!L:L)
/ (COUNTIF(Data!B:B, A662)
)),"")</f>
        <v/>
      </c>
      <c r="M662" s="45" t="str">
        <f>IFERROR((SUMIF(Data!B:B, A662, Data!K:K)
/ (COUNTIF(Data!B:B, A662)
)),"")</f>
        <v/>
      </c>
      <c r="N662" s="56"/>
      <c r="O662" s="56" t="str">
        <f>IF(A662="","",IFERROR((((((SUMIF(Data!B:B, A662, Data!H:H)+(SUMIF(Data!B:B, A662,Data!G:G)+(SUMIF(Data!B:B, A662,Data!L:L)+(SUMIF(Data!B:B, A662,Data!K:K)))))/(SUMIF(Data!B:B, A662, Data!M:M)+(SUMIF(Data!B:B, A662, Data!H:H)+(SUMIF(Data!B:B, A662,Data!G:G)+(SUMIF(Data!B:B, A662,Data!K:K)+(SUMIF(Data!B:B, A662,Data!L:L)))))))))),0))</f>
        <v/>
      </c>
      <c r="P662" s="57" t="str">
        <f>IFERROR(__xludf.DUMMYFUNCTION("IFERROR(((COUNTIF(FILTER(Data!N:N,Data!B:B=A662),""TRAVERSE"")*15)+(COUNTIF(FILTER(Data!N:N,Data!B:B=A662),""HIGH"")*10)+(COUNTIF(FILTER(Data!N:N,Data!B:B=A662),""MIDDLE"")*6)+(COUNTIF(FILTER(Data!N:N,Data!B:B=A662),""LOW"")*4)) / (COUNTIF(Data!B:B, A662)"&amp;"),"""")"),"")</f>
        <v/>
      </c>
      <c r="Q662" s="58"/>
      <c r="R662" s="58"/>
      <c r="S662" s="58" t="str">
        <f>IFERROR(__xludf.DUMMYFUNCTION("IFERROR((((COUNTIF(FILTER(Data!N:N,Data!B:B=A662),""TRAVERSE""))+(COUNTIF(FILTER(Data!N:N,Data!B:B=A662),""HIGH""))+(COUNTIF(FILTER(Data!N:N,Data!B:B=A662),""MIDDLE""))+(COUNTIF(FILTER(Data!N:N,Data!B:B=A662),""LOW"")))) / (((COUNTIF(Data!B:B, A662)))-(CO"&amp;"UNTIF(FILTER(Data!N:N,Data!B:B=A662),""NONE""))),IF(ISBLANK(A662),"""",0))"),"")</f>
        <v/>
      </c>
      <c r="T662" s="56" t="str">
        <f>IFERROR(__xludf.DUMMYFUNCTION("IFERROR((COUNTIF(FILTER(Data!N:N, Data!B:B=A662),""LOW"")) / (COUNTIF(Data!B:B, A662)),"""")"),"")</f>
        <v/>
      </c>
      <c r="U662" s="59" t="str">
        <f>IFERROR(__xludf.DUMMYFUNCTION("IFERROR((COUNTIF(FILTER(Data!N:N, Data!B:B=A662),""MIDDLE"")) / (COUNTIF(Data!B:B, A662)),"""")"),"")</f>
        <v/>
      </c>
      <c r="V662" s="59" t="str">
        <f>IFERROR(__xludf.DUMMYFUNCTION("IFERROR((COUNTIF(FILTER(Data!N:N, Data!B:B=A662),""HIGH"")) / (COUNTIF(Data!B:B, A662)),"""")"),"")</f>
        <v/>
      </c>
      <c r="W662" s="59" t="str">
        <f>IFERROR(__xludf.DUMMYFUNCTION("IFERROR((COUNTIF(FILTER(Data!N:N, Data!B:B=A662),""TRAVERSE"")) / (COUNTIF(Data!B:B, A662)),"""")"),"")</f>
        <v/>
      </c>
      <c r="X662" s="59"/>
      <c r="Y662" s="45" t="str">
        <f t="shared" si="7"/>
        <v/>
      </c>
      <c r="Z662" s="45" t="str">
        <f t="shared" si="8"/>
        <v/>
      </c>
      <c r="AA662" s="16" t="str">
        <f t="shared" si="9"/>
        <v/>
      </c>
      <c r="AB662" s="16"/>
      <c r="AC662" s="16"/>
      <c r="AD662" s="16"/>
      <c r="AE662" s="16" t="str">
        <f t="shared" si="12"/>
        <v/>
      </c>
      <c r="AF662" s="16" t="str">
        <f t="shared" si="13"/>
        <v/>
      </c>
      <c r="AG662" s="44"/>
      <c r="AH662" s="44"/>
      <c r="AI662" s="44" t="str">
        <f>IFERROR(__xludf.DUMMYFUNCTION("TEXTJOIN("", "",TRUE, FILTER(Data!P:P, Data!B:B=A662))"),"")</f>
        <v/>
      </c>
      <c r="AM662" s="61"/>
      <c r="BC662" s="50"/>
    </row>
    <row r="663">
      <c r="A663" s="14"/>
      <c r="B663" s="55" t="str">
        <f>IFERROR(__xludf.DUMMYFUNCTION("IFERROR(ROUND(
(COUNTIF(FILTER(Data!O:O, Data!B:B=A663), ""Win"")
+ COUNTIF(FILTER(Data!O:O, Data!B:B=A663), {""Tie"",""Results""}))
/ (COUNTIF(Data!B:B, A663)),
1),"""")"),"")</f>
        <v/>
      </c>
      <c r="C663" s="45" t="str">
        <f>IFERROR((SUMIF(Data!B:B, A663, Data!H:H)
/ (COUNTIF(Data!B:B, A663)
)),"")</f>
        <v/>
      </c>
      <c r="D663" s="45" t="str">
        <f>IFERROR((SUMIF(Data!B:B, A663, Data!G:G)
/ (COUNTIF(Data!B:B, A663)
)),"")</f>
        <v/>
      </c>
      <c r="E663" s="45"/>
      <c r="F663" s="45" t="str">
        <f>IFERROR((SUMIF(Data!B:B, A663, Data!J:J)
/ (COUNTIF(Data!B:B, A663)
)),"")</f>
        <v/>
      </c>
      <c r="G663" s="56" t="str">
        <f>IF(A663="","",IFERROR((((((SUMIF(Data!B:B, A663, Data!H:H)+(SUMIF(Data!B:B, A663,Data!G:G)))/(SUMIF(Data!B:B, A663, Data!J:J)))))),0))</f>
        <v/>
      </c>
      <c r="H663" s="45"/>
      <c r="I663" s="45"/>
      <c r="J663" s="45"/>
      <c r="K663" s="45"/>
      <c r="L663" s="45" t="str">
        <f>IFERROR((SUMIF(Data!B:B, A663, Data!L:L)
/ (COUNTIF(Data!B:B, A663)
)),"")</f>
        <v/>
      </c>
      <c r="M663" s="45" t="str">
        <f>IFERROR((SUMIF(Data!B:B, A663, Data!K:K)
/ (COUNTIF(Data!B:B, A663)
)),"")</f>
        <v/>
      </c>
      <c r="N663" s="56"/>
      <c r="O663" s="56" t="str">
        <f>IF(A663="","",IFERROR((((((SUMIF(Data!B:B, A663, Data!H:H)+(SUMIF(Data!B:B, A663,Data!G:G)+(SUMIF(Data!B:B, A663,Data!L:L)+(SUMIF(Data!B:B, A663,Data!K:K)))))/(SUMIF(Data!B:B, A663, Data!M:M)+(SUMIF(Data!B:B, A663, Data!H:H)+(SUMIF(Data!B:B, A663,Data!G:G)+(SUMIF(Data!B:B, A663,Data!K:K)+(SUMIF(Data!B:B, A663,Data!L:L)))))))))),0))</f>
        <v/>
      </c>
      <c r="P663" s="57" t="str">
        <f>IFERROR(__xludf.DUMMYFUNCTION("IFERROR(((COUNTIF(FILTER(Data!N:N,Data!B:B=A663),""TRAVERSE"")*15)+(COUNTIF(FILTER(Data!N:N,Data!B:B=A663),""HIGH"")*10)+(COUNTIF(FILTER(Data!N:N,Data!B:B=A663),""MIDDLE"")*6)+(COUNTIF(FILTER(Data!N:N,Data!B:B=A663),""LOW"")*4)) / (COUNTIF(Data!B:B, A663)"&amp;"),"""")"),"")</f>
        <v/>
      </c>
      <c r="Q663" s="58"/>
      <c r="R663" s="58"/>
      <c r="S663" s="58" t="str">
        <f>IFERROR(__xludf.DUMMYFUNCTION("IFERROR((((COUNTIF(FILTER(Data!N:N,Data!B:B=A663),""TRAVERSE""))+(COUNTIF(FILTER(Data!N:N,Data!B:B=A663),""HIGH""))+(COUNTIF(FILTER(Data!N:N,Data!B:B=A663),""MIDDLE""))+(COUNTIF(FILTER(Data!N:N,Data!B:B=A663),""LOW"")))) / (((COUNTIF(Data!B:B, A663)))-(CO"&amp;"UNTIF(FILTER(Data!N:N,Data!B:B=A663),""NONE""))),IF(ISBLANK(A663),"""",0))"),"")</f>
        <v/>
      </c>
      <c r="T663" s="56" t="str">
        <f>IFERROR(__xludf.DUMMYFUNCTION("IFERROR((COUNTIF(FILTER(Data!N:N, Data!B:B=A663),""LOW"")) / (COUNTIF(Data!B:B, A663)),"""")"),"")</f>
        <v/>
      </c>
      <c r="U663" s="59" t="str">
        <f>IFERROR(__xludf.DUMMYFUNCTION("IFERROR((COUNTIF(FILTER(Data!N:N, Data!B:B=A663),""MIDDLE"")) / (COUNTIF(Data!B:B, A663)),"""")"),"")</f>
        <v/>
      </c>
      <c r="V663" s="59" t="str">
        <f>IFERROR(__xludf.DUMMYFUNCTION("IFERROR((COUNTIF(FILTER(Data!N:N, Data!B:B=A663),""HIGH"")) / (COUNTIF(Data!B:B, A663)),"""")"),"")</f>
        <v/>
      </c>
      <c r="W663" s="59" t="str">
        <f>IFERROR(__xludf.DUMMYFUNCTION("IFERROR((COUNTIF(FILTER(Data!N:N, Data!B:B=A663),""TRAVERSE"")) / (COUNTIF(Data!B:B, A663)),"""")"),"")</f>
        <v/>
      </c>
      <c r="X663" s="59"/>
      <c r="Y663" s="45" t="str">
        <f t="shared" si="7"/>
        <v/>
      </c>
      <c r="Z663" s="45" t="str">
        <f t="shared" si="8"/>
        <v/>
      </c>
      <c r="AA663" s="16" t="str">
        <f t="shared" si="9"/>
        <v/>
      </c>
      <c r="AB663" s="16"/>
      <c r="AC663" s="16"/>
      <c r="AD663" s="16"/>
      <c r="AE663" s="16" t="str">
        <f t="shared" si="12"/>
        <v/>
      </c>
      <c r="AF663" s="16" t="str">
        <f t="shared" si="13"/>
        <v/>
      </c>
      <c r="AG663" s="44"/>
      <c r="AH663" s="44"/>
      <c r="AI663" s="44" t="str">
        <f>IFERROR(__xludf.DUMMYFUNCTION("TEXTJOIN("", "",TRUE, FILTER(Data!P:P, Data!B:B=A663))"),"")</f>
        <v/>
      </c>
      <c r="AM663" s="61"/>
      <c r="BC663" s="50"/>
    </row>
    <row r="664">
      <c r="A664" s="14"/>
      <c r="B664" s="55" t="str">
        <f>IFERROR(__xludf.DUMMYFUNCTION("IFERROR(ROUND(
(COUNTIF(FILTER(Data!O:O, Data!B:B=A664), ""Win"")
+ COUNTIF(FILTER(Data!O:O, Data!B:B=A664), {""Tie"",""Results""}))
/ (COUNTIF(Data!B:B, A664)),
1),"""")"),"")</f>
        <v/>
      </c>
      <c r="C664" s="45" t="str">
        <f>IFERROR((SUMIF(Data!B:B, A664, Data!H:H)
/ (COUNTIF(Data!B:B, A664)
)),"")</f>
        <v/>
      </c>
      <c r="D664" s="45" t="str">
        <f>IFERROR((SUMIF(Data!B:B, A664, Data!G:G)
/ (COUNTIF(Data!B:B, A664)
)),"")</f>
        <v/>
      </c>
      <c r="E664" s="45"/>
      <c r="F664" s="45" t="str">
        <f>IFERROR((SUMIF(Data!B:B, A664, Data!J:J)
/ (COUNTIF(Data!B:B, A664)
)),"")</f>
        <v/>
      </c>
      <c r="G664" s="56" t="str">
        <f>IF(A664="","",IFERROR((((((SUMIF(Data!B:B, A664, Data!H:H)+(SUMIF(Data!B:B, A664,Data!G:G)))/(SUMIF(Data!B:B, A664, Data!J:J)))))),0))</f>
        <v/>
      </c>
      <c r="H664" s="45"/>
      <c r="I664" s="45"/>
      <c r="J664" s="45"/>
      <c r="K664" s="45"/>
      <c r="L664" s="45" t="str">
        <f>IFERROR((SUMIF(Data!B:B, A664, Data!L:L)
/ (COUNTIF(Data!B:B, A664)
)),"")</f>
        <v/>
      </c>
      <c r="M664" s="45" t="str">
        <f>IFERROR((SUMIF(Data!B:B, A664, Data!K:K)
/ (COUNTIF(Data!B:B, A664)
)),"")</f>
        <v/>
      </c>
      <c r="N664" s="56"/>
      <c r="O664" s="56" t="str">
        <f>IF(A664="","",IFERROR((((((SUMIF(Data!B:B, A664, Data!H:H)+(SUMIF(Data!B:B, A664,Data!G:G)+(SUMIF(Data!B:B, A664,Data!L:L)+(SUMIF(Data!B:B, A664,Data!K:K)))))/(SUMIF(Data!B:B, A664, Data!M:M)+(SUMIF(Data!B:B, A664, Data!H:H)+(SUMIF(Data!B:B, A664,Data!G:G)+(SUMIF(Data!B:B, A664,Data!K:K)+(SUMIF(Data!B:B, A664,Data!L:L)))))))))),0))</f>
        <v/>
      </c>
      <c r="P664" s="57" t="str">
        <f>IFERROR(__xludf.DUMMYFUNCTION("IFERROR(((COUNTIF(FILTER(Data!N:N,Data!B:B=A664),""TRAVERSE"")*15)+(COUNTIF(FILTER(Data!N:N,Data!B:B=A664),""HIGH"")*10)+(COUNTIF(FILTER(Data!N:N,Data!B:B=A664),""MIDDLE"")*6)+(COUNTIF(FILTER(Data!N:N,Data!B:B=A664),""LOW"")*4)) / (COUNTIF(Data!B:B, A664)"&amp;"),"""")"),"")</f>
        <v/>
      </c>
      <c r="Q664" s="58"/>
      <c r="R664" s="58"/>
      <c r="S664" s="58" t="str">
        <f>IFERROR(__xludf.DUMMYFUNCTION("IFERROR((((COUNTIF(FILTER(Data!N:N,Data!B:B=A664),""TRAVERSE""))+(COUNTIF(FILTER(Data!N:N,Data!B:B=A664),""HIGH""))+(COUNTIF(FILTER(Data!N:N,Data!B:B=A664),""MIDDLE""))+(COUNTIF(FILTER(Data!N:N,Data!B:B=A664),""LOW"")))) / (((COUNTIF(Data!B:B, A664)))-(CO"&amp;"UNTIF(FILTER(Data!N:N,Data!B:B=A664),""NONE""))),IF(ISBLANK(A664),"""",0))"),"")</f>
        <v/>
      </c>
      <c r="T664" s="56" t="str">
        <f>IFERROR(__xludf.DUMMYFUNCTION("IFERROR((COUNTIF(FILTER(Data!N:N, Data!B:B=A664),""LOW"")) / (COUNTIF(Data!B:B, A664)),"""")"),"")</f>
        <v/>
      </c>
      <c r="U664" s="59" t="str">
        <f>IFERROR(__xludf.DUMMYFUNCTION("IFERROR((COUNTIF(FILTER(Data!N:N, Data!B:B=A664),""MIDDLE"")) / (COUNTIF(Data!B:B, A664)),"""")"),"")</f>
        <v/>
      </c>
      <c r="V664" s="59" t="str">
        <f>IFERROR(__xludf.DUMMYFUNCTION("IFERROR((COUNTIF(FILTER(Data!N:N, Data!B:B=A664),""HIGH"")) / (COUNTIF(Data!B:B, A664)),"""")"),"")</f>
        <v/>
      </c>
      <c r="W664" s="59" t="str">
        <f>IFERROR(__xludf.DUMMYFUNCTION("IFERROR((COUNTIF(FILTER(Data!N:N, Data!B:B=A664),""TRAVERSE"")) / (COUNTIF(Data!B:B, A664)),"""")"),"")</f>
        <v/>
      </c>
      <c r="X664" s="59"/>
      <c r="Y664" s="45" t="str">
        <f t="shared" si="7"/>
        <v/>
      </c>
      <c r="Z664" s="45" t="str">
        <f t="shared" si="8"/>
        <v/>
      </c>
      <c r="AA664" s="16" t="str">
        <f t="shared" si="9"/>
        <v/>
      </c>
      <c r="AB664" s="16"/>
      <c r="AC664" s="16"/>
      <c r="AD664" s="16"/>
      <c r="AE664" s="16" t="str">
        <f t="shared" si="12"/>
        <v/>
      </c>
      <c r="AF664" s="16" t="str">
        <f t="shared" si="13"/>
        <v/>
      </c>
      <c r="AG664" s="44"/>
      <c r="AH664" s="44"/>
      <c r="AI664" s="44" t="str">
        <f>IFERROR(__xludf.DUMMYFUNCTION("TEXTJOIN("", "",TRUE, FILTER(Data!P:P, Data!B:B=A664))"),"")</f>
        <v/>
      </c>
      <c r="AM664" s="61"/>
      <c r="BC664" s="50"/>
    </row>
    <row r="665">
      <c r="A665" s="14"/>
      <c r="B665" s="55" t="str">
        <f>IFERROR(__xludf.DUMMYFUNCTION("IFERROR(ROUND(
(COUNTIF(FILTER(Data!O:O, Data!B:B=A665), ""Win"")
+ COUNTIF(FILTER(Data!O:O, Data!B:B=A665), {""Tie"",""Results""}))
/ (COUNTIF(Data!B:B, A665)),
1),"""")"),"")</f>
        <v/>
      </c>
      <c r="C665" s="45" t="str">
        <f>IFERROR((SUMIF(Data!B:B, A665, Data!H:H)
/ (COUNTIF(Data!B:B, A665)
)),"")</f>
        <v/>
      </c>
      <c r="D665" s="45" t="str">
        <f>IFERROR((SUMIF(Data!B:B, A665, Data!G:G)
/ (COUNTIF(Data!B:B, A665)
)),"")</f>
        <v/>
      </c>
      <c r="E665" s="45"/>
      <c r="F665" s="45" t="str">
        <f>IFERROR((SUMIF(Data!B:B, A665, Data!J:J)
/ (COUNTIF(Data!B:B, A665)
)),"")</f>
        <v/>
      </c>
      <c r="G665" s="56" t="str">
        <f>IF(A665="","",IFERROR((((((SUMIF(Data!B:B, A665, Data!H:H)+(SUMIF(Data!B:B, A665,Data!G:G)))/(SUMIF(Data!B:B, A665, Data!J:J)))))),0))</f>
        <v/>
      </c>
      <c r="H665" s="45"/>
      <c r="I665" s="45"/>
      <c r="J665" s="45"/>
      <c r="K665" s="45"/>
      <c r="L665" s="45" t="str">
        <f>IFERROR((SUMIF(Data!B:B, A665, Data!L:L)
/ (COUNTIF(Data!B:B, A665)
)),"")</f>
        <v/>
      </c>
      <c r="M665" s="45" t="str">
        <f>IFERROR((SUMIF(Data!B:B, A665, Data!K:K)
/ (COUNTIF(Data!B:B, A665)
)),"")</f>
        <v/>
      </c>
      <c r="N665" s="56"/>
      <c r="O665" s="56" t="str">
        <f>IF(A665="","",IFERROR((((((SUMIF(Data!B:B, A665, Data!H:H)+(SUMIF(Data!B:B, A665,Data!G:G)+(SUMIF(Data!B:B, A665,Data!L:L)+(SUMIF(Data!B:B, A665,Data!K:K)))))/(SUMIF(Data!B:B, A665, Data!M:M)+(SUMIF(Data!B:B, A665, Data!H:H)+(SUMIF(Data!B:B, A665,Data!G:G)+(SUMIF(Data!B:B, A665,Data!K:K)+(SUMIF(Data!B:B, A665,Data!L:L)))))))))),0))</f>
        <v/>
      </c>
      <c r="P665" s="57" t="str">
        <f>IFERROR(__xludf.DUMMYFUNCTION("IFERROR(((COUNTIF(FILTER(Data!N:N,Data!B:B=A665),""TRAVERSE"")*15)+(COUNTIF(FILTER(Data!N:N,Data!B:B=A665),""HIGH"")*10)+(COUNTIF(FILTER(Data!N:N,Data!B:B=A665),""MIDDLE"")*6)+(COUNTIF(FILTER(Data!N:N,Data!B:B=A665),""LOW"")*4)) / (COUNTIF(Data!B:B, A665)"&amp;"),"""")"),"")</f>
        <v/>
      </c>
      <c r="Q665" s="58"/>
      <c r="R665" s="58"/>
      <c r="S665" s="58" t="str">
        <f>IFERROR(__xludf.DUMMYFUNCTION("IFERROR((((COUNTIF(FILTER(Data!N:N,Data!B:B=A665),""TRAVERSE""))+(COUNTIF(FILTER(Data!N:N,Data!B:B=A665),""HIGH""))+(COUNTIF(FILTER(Data!N:N,Data!B:B=A665),""MIDDLE""))+(COUNTIF(FILTER(Data!N:N,Data!B:B=A665),""LOW"")))) / (((COUNTIF(Data!B:B, A665)))-(CO"&amp;"UNTIF(FILTER(Data!N:N,Data!B:B=A665),""NONE""))),IF(ISBLANK(A665),"""",0))"),"")</f>
        <v/>
      </c>
      <c r="T665" s="56" t="str">
        <f>IFERROR(__xludf.DUMMYFUNCTION("IFERROR((COUNTIF(FILTER(Data!N:N, Data!B:B=A665),""LOW"")) / (COUNTIF(Data!B:B, A665)),"""")"),"")</f>
        <v/>
      </c>
      <c r="U665" s="59" t="str">
        <f>IFERROR(__xludf.DUMMYFUNCTION("IFERROR((COUNTIF(FILTER(Data!N:N, Data!B:B=A665),""MIDDLE"")) / (COUNTIF(Data!B:B, A665)),"""")"),"")</f>
        <v/>
      </c>
      <c r="V665" s="59" t="str">
        <f>IFERROR(__xludf.DUMMYFUNCTION("IFERROR((COUNTIF(FILTER(Data!N:N, Data!B:B=A665),""HIGH"")) / (COUNTIF(Data!B:B, A665)),"""")"),"")</f>
        <v/>
      </c>
      <c r="W665" s="59" t="str">
        <f>IFERROR(__xludf.DUMMYFUNCTION("IFERROR((COUNTIF(FILTER(Data!N:N, Data!B:B=A665),""TRAVERSE"")) / (COUNTIF(Data!B:B, A665)),"""")"),"")</f>
        <v/>
      </c>
      <c r="X665" s="59"/>
      <c r="Y665" s="45" t="str">
        <f t="shared" si="7"/>
        <v/>
      </c>
      <c r="Z665" s="45" t="str">
        <f t="shared" si="8"/>
        <v/>
      </c>
      <c r="AA665" s="16" t="str">
        <f t="shared" si="9"/>
        <v/>
      </c>
      <c r="AB665" s="16"/>
      <c r="AC665" s="16"/>
      <c r="AD665" s="16"/>
      <c r="AE665" s="16" t="str">
        <f t="shared" si="12"/>
        <v/>
      </c>
      <c r="AF665" s="16" t="str">
        <f t="shared" si="13"/>
        <v/>
      </c>
      <c r="AG665" s="44"/>
      <c r="AH665" s="44"/>
      <c r="AI665" s="44" t="str">
        <f>IFERROR(__xludf.DUMMYFUNCTION("TEXTJOIN("", "",TRUE, FILTER(Data!P:P, Data!B:B=A665))"),"")</f>
        <v/>
      </c>
      <c r="AM665" s="61"/>
      <c r="BC665" s="50"/>
    </row>
    <row r="666">
      <c r="A666" s="14"/>
      <c r="B666" s="55" t="str">
        <f>IFERROR(__xludf.DUMMYFUNCTION("IFERROR(ROUND(
(COUNTIF(FILTER(Data!O:O, Data!B:B=A666), ""Win"")
+ COUNTIF(FILTER(Data!O:O, Data!B:B=A666), {""Tie"",""Results""}))
/ (COUNTIF(Data!B:B, A666)),
1),"""")"),"")</f>
        <v/>
      </c>
      <c r="C666" s="45" t="str">
        <f>IFERROR((SUMIF(Data!B:B, A666, Data!H:H)
/ (COUNTIF(Data!B:B, A666)
)),"")</f>
        <v/>
      </c>
      <c r="D666" s="45" t="str">
        <f>IFERROR((SUMIF(Data!B:B, A666, Data!G:G)
/ (COUNTIF(Data!B:B, A666)
)),"")</f>
        <v/>
      </c>
      <c r="E666" s="45"/>
      <c r="F666" s="45" t="str">
        <f>IFERROR((SUMIF(Data!B:B, A666, Data!J:J)
/ (COUNTIF(Data!B:B, A666)
)),"")</f>
        <v/>
      </c>
      <c r="G666" s="56" t="str">
        <f>IF(A666="","",IFERROR((((((SUMIF(Data!B:B, A666, Data!H:H)+(SUMIF(Data!B:B, A666,Data!G:G)))/(SUMIF(Data!B:B, A666, Data!J:J)))))),0))</f>
        <v/>
      </c>
      <c r="H666" s="45"/>
      <c r="I666" s="45"/>
      <c r="J666" s="45"/>
      <c r="K666" s="45"/>
      <c r="L666" s="45" t="str">
        <f>IFERROR((SUMIF(Data!B:B, A666, Data!L:L)
/ (COUNTIF(Data!B:B, A666)
)),"")</f>
        <v/>
      </c>
      <c r="M666" s="45" t="str">
        <f>IFERROR((SUMIF(Data!B:B, A666, Data!K:K)
/ (COUNTIF(Data!B:B, A666)
)),"")</f>
        <v/>
      </c>
      <c r="N666" s="56"/>
      <c r="O666" s="56" t="str">
        <f>IF(A666="","",IFERROR((((((SUMIF(Data!B:B, A666, Data!H:H)+(SUMIF(Data!B:B, A666,Data!G:G)+(SUMIF(Data!B:B, A666,Data!L:L)+(SUMIF(Data!B:B, A666,Data!K:K)))))/(SUMIF(Data!B:B, A666, Data!M:M)+(SUMIF(Data!B:B, A666, Data!H:H)+(SUMIF(Data!B:B, A666,Data!G:G)+(SUMIF(Data!B:B, A666,Data!K:K)+(SUMIF(Data!B:B, A666,Data!L:L)))))))))),0))</f>
        <v/>
      </c>
      <c r="P666" s="57" t="str">
        <f>IFERROR(__xludf.DUMMYFUNCTION("IFERROR(((COUNTIF(FILTER(Data!N:N,Data!B:B=A666),""TRAVERSE"")*15)+(COUNTIF(FILTER(Data!N:N,Data!B:B=A666),""HIGH"")*10)+(COUNTIF(FILTER(Data!N:N,Data!B:B=A666),""MIDDLE"")*6)+(COUNTIF(FILTER(Data!N:N,Data!B:B=A666),""LOW"")*4)) / (COUNTIF(Data!B:B, A666)"&amp;"),"""")"),"")</f>
        <v/>
      </c>
      <c r="Q666" s="58"/>
      <c r="R666" s="58"/>
      <c r="S666" s="58" t="str">
        <f>IFERROR(__xludf.DUMMYFUNCTION("IFERROR((((COUNTIF(FILTER(Data!N:N,Data!B:B=A666),""TRAVERSE""))+(COUNTIF(FILTER(Data!N:N,Data!B:B=A666),""HIGH""))+(COUNTIF(FILTER(Data!N:N,Data!B:B=A666),""MIDDLE""))+(COUNTIF(FILTER(Data!N:N,Data!B:B=A666),""LOW"")))) / (((COUNTIF(Data!B:B, A666)))-(CO"&amp;"UNTIF(FILTER(Data!N:N,Data!B:B=A666),""NONE""))),IF(ISBLANK(A666),"""",0))"),"")</f>
        <v/>
      </c>
      <c r="T666" s="56" t="str">
        <f>IFERROR(__xludf.DUMMYFUNCTION("IFERROR((COUNTIF(FILTER(Data!N:N, Data!B:B=A666),""LOW"")) / (COUNTIF(Data!B:B, A666)),"""")"),"")</f>
        <v/>
      </c>
      <c r="U666" s="59" t="str">
        <f>IFERROR(__xludf.DUMMYFUNCTION("IFERROR((COUNTIF(FILTER(Data!N:N, Data!B:B=A666),""MIDDLE"")) / (COUNTIF(Data!B:B, A666)),"""")"),"")</f>
        <v/>
      </c>
      <c r="V666" s="59" t="str">
        <f>IFERROR(__xludf.DUMMYFUNCTION("IFERROR((COUNTIF(FILTER(Data!N:N, Data!B:B=A666),""HIGH"")) / (COUNTIF(Data!B:B, A666)),"""")"),"")</f>
        <v/>
      </c>
      <c r="W666" s="59" t="str">
        <f>IFERROR(__xludf.DUMMYFUNCTION("IFERROR((COUNTIF(FILTER(Data!N:N, Data!B:B=A666),""TRAVERSE"")) / (COUNTIF(Data!B:B, A666)),"""")"),"")</f>
        <v/>
      </c>
      <c r="X666" s="59"/>
      <c r="Y666" s="45" t="str">
        <f t="shared" si="7"/>
        <v/>
      </c>
      <c r="Z666" s="45" t="str">
        <f t="shared" si="8"/>
        <v/>
      </c>
      <c r="AA666" s="16" t="str">
        <f t="shared" si="9"/>
        <v/>
      </c>
      <c r="AB666" s="16"/>
      <c r="AC666" s="16"/>
      <c r="AD666" s="16"/>
      <c r="AE666" s="16" t="str">
        <f t="shared" si="12"/>
        <v/>
      </c>
      <c r="AF666" s="16" t="str">
        <f t="shared" si="13"/>
        <v/>
      </c>
      <c r="AG666" s="44"/>
      <c r="AH666" s="44"/>
      <c r="AI666" s="44" t="str">
        <f>IFERROR(__xludf.DUMMYFUNCTION("TEXTJOIN("", "",TRUE, FILTER(Data!P:P, Data!B:B=A666))"),"")</f>
        <v/>
      </c>
      <c r="AM666" s="61"/>
      <c r="BC666" s="50"/>
    </row>
    <row r="667">
      <c r="A667" s="14"/>
      <c r="B667" s="55" t="str">
        <f>IFERROR(__xludf.DUMMYFUNCTION("IFERROR(ROUND(
(COUNTIF(FILTER(Data!O:O, Data!B:B=A667), ""Win"")
+ COUNTIF(FILTER(Data!O:O, Data!B:B=A667), {""Tie"",""Results""}))
/ (COUNTIF(Data!B:B, A667)),
1),"""")"),"")</f>
        <v/>
      </c>
      <c r="C667" s="45" t="str">
        <f>IFERROR((SUMIF(Data!B:B, A667, Data!H:H)
/ (COUNTIF(Data!B:B, A667)
)),"")</f>
        <v/>
      </c>
      <c r="D667" s="45" t="str">
        <f>IFERROR((SUMIF(Data!B:B, A667, Data!G:G)
/ (COUNTIF(Data!B:B, A667)
)),"")</f>
        <v/>
      </c>
      <c r="E667" s="45"/>
      <c r="F667" s="45" t="str">
        <f>IFERROR((SUMIF(Data!B:B, A667, Data!J:J)
/ (COUNTIF(Data!B:B, A667)
)),"")</f>
        <v/>
      </c>
      <c r="G667" s="56" t="str">
        <f>IF(A667="","",IFERROR((((((SUMIF(Data!B:B, A667, Data!H:H)+(SUMIF(Data!B:B, A667,Data!G:G)))/(SUMIF(Data!B:B, A667, Data!J:J)))))),0))</f>
        <v/>
      </c>
      <c r="H667" s="45"/>
      <c r="I667" s="45"/>
      <c r="J667" s="45"/>
      <c r="K667" s="45"/>
      <c r="L667" s="45" t="str">
        <f>IFERROR((SUMIF(Data!B:B, A667, Data!L:L)
/ (COUNTIF(Data!B:B, A667)
)),"")</f>
        <v/>
      </c>
      <c r="M667" s="45" t="str">
        <f>IFERROR((SUMIF(Data!B:B, A667, Data!K:K)
/ (COUNTIF(Data!B:B, A667)
)),"")</f>
        <v/>
      </c>
      <c r="N667" s="56"/>
      <c r="O667" s="56" t="str">
        <f>IF(A667="","",IFERROR((((((SUMIF(Data!B:B, A667, Data!H:H)+(SUMIF(Data!B:B, A667,Data!G:G)+(SUMIF(Data!B:B, A667,Data!L:L)+(SUMIF(Data!B:B, A667,Data!K:K)))))/(SUMIF(Data!B:B, A667, Data!M:M)+(SUMIF(Data!B:B, A667, Data!H:H)+(SUMIF(Data!B:B, A667,Data!G:G)+(SUMIF(Data!B:B, A667,Data!K:K)+(SUMIF(Data!B:B, A667,Data!L:L)))))))))),0))</f>
        <v/>
      </c>
      <c r="P667" s="57" t="str">
        <f>IFERROR(__xludf.DUMMYFUNCTION("IFERROR(((COUNTIF(FILTER(Data!N:N,Data!B:B=A667),""TRAVERSE"")*15)+(COUNTIF(FILTER(Data!N:N,Data!B:B=A667),""HIGH"")*10)+(COUNTIF(FILTER(Data!N:N,Data!B:B=A667),""MIDDLE"")*6)+(COUNTIF(FILTER(Data!N:N,Data!B:B=A667),""LOW"")*4)) / (COUNTIF(Data!B:B, A667)"&amp;"),"""")"),"")</f>
        <v/>
      </c>
      <c r="Q667" s="58"/>
      <c r="R667" s="58"/>
      <c r="S667" s="58" t="str">
        <f>IFERROR(__xludf.DUMMYFUNCTION("IFERROR((((COUNTIF(FILTER(Data!N:N,Data!B:B=A667),""TRAVERSE""))+(COUNTIF(FILTER(Data!N:N,Data!B:B=A667),""HIGH""))+(COUNTIF(FILTER(Data!N:N,Data!B:B=A667),""MIDDLE""))+(COUNTIF(FILTER(Data!N:N,Data!B:B=A667),""LOW"")))) / (((COUNTIF(Data!B:B, A667)))-(CO"&amp;"UNTIF(FILTER(Data!N:N,Data!B:B=A667),""NONE""))),IF(ISBLANK(A667),"""",0))"),"")</f>
        <v/>
      </c>
      <c r="T667" s="56" t="str">
        <f>IFERROR(__xludf.DUMMYFUNCTION("IFERROR((COUNTIF(FILTER(Data!N:N, Data!B:B=A667),""LOW"")) / (COUNTIF(Data!B:B, A667)),"""")"),"")</f>
        <v/>
      </c>
      <c r="U667" s="59" t="str">
        <f>IFERROR(__xludf.DUMMYFUNCTION("IFERROR((COUNTIF(FILTER(Data!N:N, Data!B:B=A667),""MIDDLE"")) / (COUNTIF(Data!B:B, A667)),"""")"),"")</f>
        <v/>
      </c>
      <c r="V667" s="59" t="str">
        <f>IFERROR(__xludf.DUMMYFUNCTION("IFERROR((COUNTIF(FILTER(Data!N:N, Data!B:B=A667),""HIGH"")) / (COUNTIF(Data!B:B, A667)),"""")"),"")</f>
        <v/>
      </c>
      <c r="W667" s="59" t="str">
        <f>IFERROR(__xludf.DUMMYFUNCTION("IFERROR((COUNTIF(FILTER(Data!N:N, Data!B:B=A667),""TRAVERSE"")) / (COUNTIF(Data!B:B, A667)),"""")"),"")</f>
        <v/>
      </c>
      <c r="X667" s="59"/>
      <c r="Y667" s="45" t="str">
        <f t="shared" si="7"/>
        <v/>
      </c>
      <c r="Z667" s="45" t="str">
        <f t="shared" si="8"/>
        <v/>
      </c>
      <c r="AA667" s="16" t="str">
        <f t="shared" si="9"/>
        <v/>
      </c>
      <c r="AB667" s="16"/>
      <c r="AC667" s="16"/>
      <c r="AD667" s="16"/>
      <c r="AE667" s="16" t="str">
        <f t="shared" si="12"/>
        <v/>
      </c>
      <c r="AF667" s="16" t="str">
        <f t="shared" si="13"/>
        <v/>
      </c>
      <c r="AG667" s="44"/>
      <c r="AH667" s="44"/>
      <c r="AI667" s="44" t="str">
        <f>IFERROR(__xludf.DUMMYFUNCTION("TEXTJOIN("", "",TRUE, FILTER(Data!P:P, Data!B:B=A667))"),"")</f>
        <v/>
      </c>
      <c r="AM667" s="61"/>
      <c r="BC667" s="50"/>
    </row>
    <row r="668">
      <c r="A668" s="14"/>
      <c r="B668" s="55" t="str">
        <f>IFERROR(__xludf.DUMMYFUNCTION("IFERROR(ROUND(
(COUNTIF(FILTER(Data!O:O, Data!B:B=A668), ""Win"")
+ COUNTIF(FILTER(Data!O:O, Data!B:B=A668), {""Tie"",""Results""}))
/ (COUNTIF(Data!B:B, A668)),
1),"""")"),"")</f>
        <v/>
      </c>
      <c r="C668" s="45" t="str">
        <f>IFERROR((SUMIF(Data!B:B, A668, Data!H:H)
/ (COUNTIF(Data!B:B, A668)
)),"")</f>
        <v/>
      </c>
      <c r="D668" s="45" t="str">
        <f>IFERROR((SUMIF(Data!B:B, A668, Data!G:G)
/ (COUNTIF(Data!B:B, A668)
)),"")</f>
        <v/>
      </c>
      <c r="E668" s="45"/>
      <c r="F668" s="45" t="str">
        <f>IFERROR((SUMIF(Data!B:B, A668, Data!J:J)
/ (COUNTIF(Data!B:B, A668)
)),"")</f>
        <v/>
      </c>
      <c r="G668" s="56" t="str">
        <f>IF(A668="","",IFERROR((((((SUMIF(Data!B:B, A668, Data!H:H)+(SUMIF(Data!B:B, A668,Data!G:G)))/(SUMIF(Data!B:B, A668, Data!J:J)))))),0))</f>
        <v/>
      </c>
      <c r="H668" s="45"/>
      <c r="I668" s="45"/>
      <c r="J668" s="45"/>
      <c r="K668" s="45"/>
      <c r="L668" s="45" t="str">
        <f>IFERROR((SUMIF(Data!B:B, A668, Data!L:L)
/ (COUNTIF(Data!B:B, A668)
)),"")</f>
        <v/>
      </c>
      <c r="M668" s="45" t="str">
        <f>IFERROR((SUMIF(Data!B:B, A668, Data!K:K)
/ (COUNTIF(Data!B:B, A668)
)),"")</f>
        <v/>
      </c>
      <c r="N668" s="56"/>
      <c r="O668" s="56" t="str">
        <f>IF(A668="","",IFERROR((((((SUMIF(Data!B:B, A668, Data!H:H)+(SUMIF(Data!B:B, A668,Data!G:G)+(SUMIF(Data!B:B, A668,Data!L:L)+(SUMIF(Data!B:B, A668,Data!K:K)))))/(SUMIF(Data!B:B, A668, Data!M:M)+(SUMIF(Data!B:B, A668, Data!H:H)+(SUMIF(Data!B:B, A668,Data!G:G)+(SUMIF(Data!B:B, A668,Data!K:K)+(SUMIF(Data!B:B, A668,Data!L:L)))))))))),0))</f>
        <v/>
      </c>
      <c r="P668" s="57" t="str">
        <f>IFERROR(__xludf.DUMMYFUNCTION("IFERROR(((COUNTIF(FILTER(Data!N:N,Data!B:B=A668),""TRAVERSE"")*15)+(COUNTIF(FILTER(Data!N:N,Data!B:B=A668),""HIGH"")*10)+(COUNTIF(FILTER(Data!N:N,Data!B:B=A668),""MIDDLE"")*6)+(COUNTIF(FILTER(Data!N:N,Data!B:B=A668),""LOW"")*4)) / (COUNTIF(Data!B:B, A668)"&amp;"),"""")"),"")</f>
        <v/>
      </c>
      <c r="Q668" s="58"/>
      <c r="R668" s="58"/>
      <c r="S668" s="58" t="str">
        <f>IFERROR(__xludf.DUMMYFUNCTION("IFERROR((((COUNTIF(FILTER(Data!N:N,Data!B:B=A668),""TRAVERSE""))+(COUNTIF(FILTER(Data!N:N,Data!B:B=A668),""HIGH""))+(COUNTIF(FILTER(Data!N:N,Data!B:B=A668),""MIDDLE""))+(COUNTIF(FILTER(Data!N:N,Data!B:B=A668),""LOW"")))) / (((COUNTIF(Data!B:B, A668)))-(CO"&amp;"UNTIF(FILTER(Data!N:N,Data!B:B=A668),""NONE""))),IF(ISBLANK(A668),"""",0))"),"")</f>
        <v/>
      </c>
      <c r="T668" s="56" t="str">
        <f>IFERROR(__xludf.DUMMYFUNCTION("IFERROR((COUNTIF(FILTER(Data!N:N, Data!B:B=A668),""LOW"")) / (COUNTIF(Data!B:B, A668)),"""")"),"")</f>
        <v/>
      </c>
      <c r="U668" s="59" t="str">
        <f>IFERROR(__xludf.DUMMYFUNCTION("IFERROR((COUNTIF(FILTER(Data!N:N, Data!B:B=A668),""MIDDLE"")) / (COUNTIF(Data!B:B, A668)),"""")"),"")</f>
        <v/>
      </c>
      <c r="V668" s="59" t="str">
        <f>IFERROR(__xludf.DUMMYFUNCTION("IFERROR((COUNTIF(FILTER(Data!N:N, Data!B:B=A668),""HIGH"")) / (COUNTIF(Data!B:B, A668)),"""")"),"")</f>
        <v/>
      </c>
      <c r="W668" s="59" t="str">
        <f>IFERROR(__xludf.DUMMYFUNCTION("IFERROR((COUNTIF(FILTER(Data!N:N, Data!B:B=A668),""TRAVERSE"")) / (COUNTIF(Data!B:B, A668)),"""")"),"")</f>
        <v/>
      </c>
      <c r="X668" s="59"/>
      <c r="Y668" s="45" t="str">
        <f t="shared" si="7"/>
        <v/>
      </c>
      <c r="Z668" s="45" t="str">
        <f t="shared" si="8"/>
        <v/>
      </c>
      <c r="AA668" s="16" t="str">
        <f t="shared" si="9"/>
        <v/>
      </c>
      <c r="AB668" s="16"/>
      <c r="AC668" s="16"/>
      <c r="AD668" s="16"/>
      <c r="AE668" s="16" t="str">
        <f t="shared" si="12"/>
        <v/>
      </c>
      <c r="AF668" s="16" t="str">
        <f t="shared" si="13"/>
        <v/>
      </c>
      <c r="AG668" s="44"/>
      <c r="AH668" s="44"/>
      <c r="AI668" s="44" t="str">
        <f>IFERROR(__xludf.DUMMYFUNCTION("TEXTJOIN("", "",TRUE, FILTER(Data!P:P, Data!B:B=A668))"),"")</f>
        <v/>
      </c>
      <c r="AM668" s="61"/>
      <c r="BC668" s="50"/>
    </row>
    <row r="669">
      <c r="A669" s="14"/>
      <c r="B669" s="55" t="str">
        <f>IFERROR(__xludf.DUMMYFUNCTION("IFERROR(ROUND(
(COUNTIF(FILTER(Data!O:O, Data!B:B=A669), ""Win"")
+ COUNTIF(FILTER(Data!O:O, Data!B:B=A669), {""Tie"",""Results""}))
/ (COUNTIF(Data!B:B, A669)),
1),"""")"),"")</f>
        <v/>
      </c>
      <c r="C669" s="45" t="str">
        <f>IFERROR((SUMIF(Data!B:B, A669, Data!H:H)
/ (COUNTIF(Data!B:B, A669)
)),"")</f>
        <v/>
      </c>
      <c r="D669" s="45" t="str">
        <f>IFERROR((SUMIF(Data!B:B, A669, Data!G:G)
/ (COUNTIF(Data!B:B, A669)
)),"")</f>
        <v/>
      </c>
      <c r="E669" s="45"/>
      <c r="F669" s="45" t="str">
        <f>IFERROR((SUMIF(Data!B:B, A669, Data!J:J)
/ (COUNTIF(Data!B:B, A669)
)),"")</f>
        <v/>
      </c>
      <c r="G669" s="56" t="str">
        <f>IF(A669="","",IFERROR((((((SUMIF(Data!B:B, A669, Data!H:H)+(SUMIF(Data!B:B, A669,Data!G:G)))/(SUMIF(Data!B:B, A669, Data!J:J)))))),0))</f>
        <v/>
      </c>
      <c r="H669" s="45"/>
      <c r="I669" s="45"/>
      <c r="J669" s="45"/>
      <c r="K669" s="45"/>
      <c r="L669" s="45" t="str">
        <f>IFERROR((SUMIF(Data!B:B, A669, Data!L:L)
/ (COUNTIF(Data!B:B, A669)
)),"")</f>
        <v/>
      </c>
      <c r="M669" s="45" t="str">
        <f>IFERROR((SUMIF(Data!B:B, A669, Data!K:K)
/ (COUNTIF(Data!B:B, A669)
)),"")</f>
        <v/>
      </c>
      <c r="N669" s="56"/>
      <c r="O669" s="56" t="str">
        <f>IF(A669="","",IFERROR((((((SUMIF(Data!B:B, A669, Data!H:H)+(SUMIF(Data!B:B, A669,Data!G:G)+(SUMIF(Data!B:B, A669,Data!L:L)+(SUMIF(Data!B:B, A669,Data!K:K)))))/(SUMIF(Data!B:B, A669, Data!M:M)+(SUMIF(Data!B:B, A669, Data!H:H)+(SUMIF(Data!B:B, A669,Data!G:G)+(SUMIF(Data!B:B, A669,Data!K:K)+(SUMIF(Data!B:B, A669,Data!L:L)))))))))),0))</f>
        <v/>
      </c>
      <c r="P669" s="57" t="str">
        <f>IFERROR(__xludf.DUMMYFUNCTION("IFERROR(((COUNTIF(FILTER(Data!N:N,Data!B:B=A669),""TRAVERSE"")*15)+(COUNTIF(FILTER(Data!N:N,Data!B:B=A669),""HIGH"")*10)+(COUNTIF(FILTER(Data!N:N,Data!B:B=A669),""MIDDLE"")*6)+(COUNTIF(FILTER(Data!N:N,Data!B:B=A669),""LOW"")*4)) / (COUNTIF(Data!B:B, A669)"&amp;"),"""")"),"")</f>
        <v/>
      </c>
      <c r="Q669" s="58"/>
      <c r="R669" s="58"/>
      <c r="S669" s="58" t="str">
        <f>IFERROR(__xludf.DUMMYFUNCTION("IFERROR((((COUNTIF(FILTER(Data!N:N,Data!B:B=A669),""TRAVERSE""))+(COUNTIF(FILTER(Data!N:N,Data!B:B=A669),""HIGH""))+(COUNTIF(FILTER(Data!N:N,Data!B:B=A669),""MIDDLE""))+(COUNTIF(FILTER(Data!N:N,Data!B:B=A669),""LOW"")))) / (((COUNTIF(Data!B:B, A669)))-(CO"&amp;"UNTIF(FILTER(Data!N:N,Data!B:B=A669),""NONE""))),IF(ISBLANK(A669),"""",0))"),"")</f>
        <v/>
      </c>
      <c r="T669" s="56" t="str">
        <f>IFERROR(__xludf.DUMMYFUNCTION("IFERROR((COUNTIF(FILTER(Data!N:N, Data!B:B=A669),""LOW"")) / (COUNTIF(Data!B:B, A669)),"""")"),"")</f>
        <v/>
      </c>
      <c r="U669" s="59" t="str">
        <f>IFERROR(__xludf.DUMMYFUNCTION("IFERROR((COUNTIF(FILTER(Data!N:N, Data!B:B=A669),""MIDDLE"")) / (COUNTIF(Data!B:B, A669)),"""")"),"")</f>
        <v/>
      </c>
      <c r="V669" s="59" t="str">
        <f>IFERROR(__xludf.DUMMYFUNCTION("IFERROR((COUNTIF(FILTER(Data!N:N, Data!B:B=A669),""HIGH"")) / (COUNTIF(Data!B:B, A669)),"""")"),"")</f>
        <v/>
      </c>
      <c r="W669" s="59" t="str">
        <f>IFERROR(__xludf.DUMMYFUNCTION("IFERROR((COUNTIF(FILTER(Data!N:N, Data!B:B=A669),""TRAVERSE"")) / (COUNTIF(Data!B:B, A669)),"""")"),"")</f>
        <v/>
      </c>
      <c r="X669" s="59"/>
      <c r="Y669" s="45" t="str">
        <f t="shared" si="7"/>
        <v/>
      </c>
      <c r="Z669" s="45" t="str">
        <f t="shared" si="8"/>
        <v/>
      </c>
      <c r="AA669" s="16" t="str">
        <f t="shared" si="9"/>
        <v/>
      </c>
      <c r="AB669" s="16"/>
      <c r="AC669" s="16"/>
      <c r="AD669" s="16"/>
      <c r="AE669" s="16" t="str">
        <f t="shared" si="12"/>
        <v/>
      </c>
      <c r="AF669" s="16" t="str">
        <f t="shared" si="13"/>
        <v/>
      </c>
      <c r="AG669" s="44"/>
      <c r="AH669" s="44"/>
      <c r="AI669" s="44" t="str">
        <f>IFERROR(__xludf.DUMMYFUNCTION("TEXTJOIN("", "",TRUE, FILTER(Data!P:P, Data!B:B=A669))"),"")</f>
        <v/>
      </c>
      <c r="AM669" s="61"/>
      <c r="BC669" s="50"/>
    </row>
    <row r="670">
      <c r="A670" s="14"/>
      <c r="B670" s="55" t="str">
        <f>IFERROR(__xludf.DUMMYFUNCTION("IFERROR(ROUND(
(COUNTIF(FILTER(Data!O:O, Data!B:B=A670), ""Win"")
+ COUNTIF(FILTER(Data!O:O, Data!B:B=A670), {""Tie"",""Results""}))
/ (COUNTIF(Data!B:B, A670)),
1),"""")"),"")</f>
        <v/>
      </c>
      <c r="C670" s="45" t="str">
        <f>IFERROR((SUMIF(Data!B:B, A670, Data!H:H)
/ (COUNTIF(Data!B:B, A670)
)),"")</f>
        <v/>
      </c>
      <c r="D670" s="45" t="str">
        <f>IFERROR((SUMIF(Data!B:B, A670, Data!G:G)
/ (COUNTIF(Data!B:B, A670)
)),"")</f>
        <v/>
      </c>
      <c r="E670" s="45"/>
      <c r="F670" s="45" t="str">
        <f>IFERROR((SUMIF(Data!B:B, A670, Data!J:J)
/ (COUNTIF(Data!B:B, A670)
)),"")</f>
        <v/>
      </c>
      <c r="G670" s="56" t="str">
        <f>IF(A670="","",IFERROR((((((SUMIF(Data!B:B, A670, Data!H:H)+(SUMIF(Data!B:B, A670,Data!G:G)))/(SUMIF(Data!B:B, A670, Data!J:J)))))),0))</f>
        <v/>
      </c>
      <c r="H670" s="45"/>
      <c r="I670" s="45"/>
      <c r="J670" s="45"/>
      <c r="K670" s="45"/>
      <c r="L670" s="45" t="str">
        <f>IFERROR((SUMIF(Data!B:B, A670, Data!L:L)
/ (COUNTIF(Data!B:B, A670)
)),"")</f>
        <v/>
      </c>
      <c r="M670" s="45" t="str">
        <f>IFERROR((SUMIF(Data!B:B, A670, Data!K:K)
/ (COUNTIF(Data!B:B, A670)
)),"")</f>
        <v/>
      </c>
      <c r="N670" s="56"/>
      <c r="O670" s="56" t="str">
        <f>IF(A670="","",IFERROR((((((SUMIF(Data!B:B, A670, Data!H:H)+(SUMIF(Data!B:B, A670,Data!G:G)+(SUMIF(Data!B:B, A670,Data!L:L)+(SUMIF(Data!B:B, A670,Data!K:K)))))/(SUMIF(Data!B:B, A670, Data!M:M)+(SUMIF(Data!B:B, A670, Data!H:H)+(SUMIF(Data!B:B, A670,Data!G:G)+(SUMIF(Data!B:B, A670,Data!K:K)+(SUMIF(Data!B:B, A670,Data!L:L)))))))))),0))</f>
        <v/>
      </c>
      <c r="P670" s="57" t="str">
        <f>IFERROR(__xludf.DUMMYFUNCTION("IFERROR(((COUNTIF(FILTER(Data!N:N,Data!B:B=A670),""TRAVERSE"")*15)+(COUNTIF(FILTER(Data!N:N,Data!B:B=A670),""HIGH"")*10)+(COUNTIF(FILTER(Data!N:N,Data!B:B=A670),""MIDDLE"")*6)+(COUNTIF(FILTER(Data!N:N,Data!B:B=A670),""LOW"")*4)) / (COUNTIF(Data!B:B, A670)"&amp;"),"""")"),"")</f>
        <v/>
      </c>
      <c r="Q670" s="58"/>
      <c r="R670" s="58"/>
      <c r="S670" s="58" t="str">
        <f>IFERROR(__xludf.DUMMYFUNCTION("IFERROR((((COUNTIF(FILTER(Data!N:N,Data!B:B=A670),""TRAVERSE""))+(COUNTIF(FILTER(Data!N:N,Data!B:B=A670),""HIGH""))+(COUNTIF(FILTER(Data!N:N,Data!B:B=A670),""MIDDLE""))+(COUNTIF(FILTER(Data!N:N,Data!B:B=A670),""LOW"")))) / (((COUNTIF(Data!B:B, A670)))-(CO"&amp;"UNTIF(FILTER(Data!N:N,Data!B:B=A670),""NONE""))),IF(ISBLANK(A670),"""",0))"),"")</f>
        <v/>
      </c>
      <c r="T670" s="56" t="str">
        <f>IFERROR(__xludf.DUMMYFUNCTION("IFERROR((COUNTIF(FILTER(Data!N:N, Data!B:B=A670),""LOW"")) / (COUNTIF(Data!B:B, A670)),"""")"),"")</f>
        <v/>
      </c>
      <c r="U670" s="59" t="str">
        <f>IFERROR(__xludf.DUMMYFUNCTION("IFERROR((COUNTIF(FILTER(Data!N:N, Data!B:B=A670),""MIDDLE"")) / (COUNTIF(Data!B:B, A670)),"""")"),"")</f>
        <v/>
      </c>
      <c r="V670" s="59" t="str">
        <f>IFERROR(__xludf.DUMMYFUNCTION("IFERROR((COUNTIF(FILTER(Data!N:N, Data!B:B=A670),""HIGH"")) / (COUNTIF(Data!B:B, A670)),"""")"),"")</f>
        <v/>
      </c>
      <c r="W670" s="59" t="str">
        <f>IFERROR(__xludf.DUMMYFUNCTION("IFERROR((COUNTIF(FILTER(Data!N:N, Data!B:B=A670),""TRAVERSE"")) / (COUNTIF(Data!B:B, A670)),"""")"),"")</f>
        <v/>
      </c>
      <c r="X670" s="59"/>
      <c r="Y670" s="45" t="str">
        <f t="shared" si="7"/>
        <v/>
      </c>
      <c r="Z670" s="45" t="str">
        <f t="shared" si="8"/>
        <v/>
      </c>
      <c r="AA670" s="16" t="str">
        <f t="shared" si="9"/>
        <v/>
      </c>
      <c r="AB670" s="16"/>
      <c r="AC670" s="16"/>
      <c r="AD670" s="16"/>
      <c r="AE670" s="16" t="str">
        <f t="shared" si="12"/>
        <v/>
      </c>
      <c r="AF670" s="16" t="str">
        <f t="shared" si="13"/>
        <v/>
      </c>
      <c r="AG670" s="44"/>
      <c r="AH670" s="44"/>
      <c r="AI670" s="44" t="str">
        <f>IFERROR(__xludf.DUMMYFUNCTION("TEXTJOIN("", "",TRUE, FILTER(Data!P:P, Data!B:B=A670))"),"")</f>
        <v/>
      </c>
      <c r="AM670" s="61"/>
      <c r="BC670" s="50"/>
    </row>
    <row r="671">
      <c r="A671" s="14"/>
      <c r="B671" s="55" t="str">
        <f>IFERROR(__xludf.DUMMYFUNCTION("IFERROR(ROUND(
(COUNTIF(FILTER(Data!O:O, Data!B:B=A671), ""Win"")
+ COUNTIF(FILTER(Data!O:O, Data!B:B=A671), {""Tie"",""Results""}))
/ (COUNTIF(Data!B:B, A671)),
1),"""")"),"")</f>
        <v/>
      </c>
      <c r="C671" s="45" t="str">
        <f>IFERROR((SUMIF(Data!B:B, A671, Data!H:H)
/ (COUNTIF(Data!B:B, A671)
)),"")</f>
        <v/>
      </c>
      <c r="D671" s="45" t="str">
        <f>IFERROR((SUMIF(Data!B:B, A671, Data!G:G)
/ (COUNTIF(Data!B:B, A671)
)),"")</f>
        <v/>
      </c>
      <c r="E671" s="45"/>
      <c r="F671" s="45" t="str">
        <f>IFERROR((SUMIF(Data!B:B, A671, Data!J:J)
/ (COUNTIF(Data!B:B, A671)
)),"")</f>
        <v/>
      </c>
      <c r="G671" s="56" t="str">
        <f>IF(A671="","",IFERROR((((((SUMIF(Data!B:B, A671, Data!H:H)+(SUMIF(Data!B:B, A671,Data!G:G)))/(SUMIF(Data!B:B, A671, Data!J:J)))))),0))</f>
        <v/>
      </c>
      <c r="H671" s="45"/>
      <c r="I671" s="45"/>
      <c r="J671" s="45"/>
      <c r="K671" s="45"/>
      <c r="L671" s="45" t="str">
        <f>IFERROR((SUMIF(Data!B:B, A671, Data!L:L)
/ (COUNTIF(Data!B:B, A671)
)),"")</f>
        <v/>
      </c>
      <c r="M671" s="45" t="str">
        <f>IFERROR((SUMIF(Data!B:B, A671, Data!K:K)
/ (COUNTIF(Data!B:B, A671)
)),"")</f>
        <v/>
      </c>
      <c r="N671" s="56"/>
      <c r="O671" s="56" t="str">
        <f>IF(A671="","",IFERROR((((((SUMIF(Data!B:B, A671, Data!H:H)+(SUMIF(Data!B:B, A671,Data!G:G)+(SUMIF(Data!B:B, A671,Data!L:L)+(SUMIF(Data!B:B, A671,Data!K:K)))))/(SUMIF(Data!B:B, A671, Data!M:M)+(SUMIF(Data!B:B, A671, Data!H:H)+(SUMIF(Data!B:B, A671,Data!G:G)+(SUMIF(Data!B:B, A671,Data!K:K)+(SUMIF(Data!B:B, A671,Data!L:L)))))))))),0))</f>
        <v/>
      </c>
      <c r="P671" s="57" t="str">
        <f>IFERROR(__xludf.DUMMYFUNCTION("IFERROR(((COUNTIF(FILTER(Data!N:N,Data!B:B=A671),""TRAVERSE"")*15)+(COUNTIF(FILTER(Data!N:N,Data!B:B=A671),""HIGH"")*10)+(COUNTIF(FILTER(Data!N:N,Data!B:B=A671),""MIDDLE"")*6)+(COUNTIF(FILTER(Data!N:N,Data!B:B=A671),""LOW"")*4)) / (COUNTIF(Data!B:B, A671)"&amp;"),"""")"),"")</f>
        <v/>
      </c>
      <c r="Q671" s="58"/>
      <c r="R671" s="58"/>
      <c r="S671" s="58" t="str">
        <f>IFERROR(__xludf.DUMMYFUNCTION("IFERROR((((COUNTIF(FILTER(Data!N:N,Data!B:B=A671),""TRAVERSE""))+(COUNTIF(FILTER(Data!N:N,Data!B:B=A671),""HIGH""))+(COUNTIF(FILTER(Data!N:N,Data!B:B=A671),""MIDDLE""))+(COUNTIF(FILTER(Data!N:N,Data!B:B=A671),""LOW"")))) / (((COUNTIF(Data!B:B, A671)))-(CO"&amp;"UNTIF(FILTER(Data!N:N,Data!B:B=A671),""NONE""))),IF(ISBLANK(A671),"""",0))"),"")</f>
        <v/>
      </c>
      <c r="T671" s="56" t="str">
        <f>IFERROR(__xludf.DUMMYFUNCTION("IFERROR((COUNTIF(FILTER(Data!N:N, Data!B:B=A671),""LOW"")) / (COUNTIF(Data!B:B, A671)),"""")"),"")</f>
        <v/>
      </c>
      <c r="U671" s="59" t="str">
        <f>IFERROR(__xludf.DUMMYFUNCTION("IFERROR((COUNTIF(FILTER(Data!N:N, Data!B:B=A671),""MIDDLE"")) / (COUNTIF(Data!B:B, A671)),"""")"),"")</f>
        <v/>
      </c>
      <c r="V671" s="59" t="str">
        <f>IFERROR(__xludf.DUMMYFUNCTION("IFERROR((COUNTIF(FILTER(Data!N:N, Data!B:B=A671),""HIGH"")) / (COUNTIF(Data!B:B, A671)),"""")"),"")</f>
        <v/>
      </c>
      <c r="W671" s="59" t="str">
        <f>IFERROR(__xludf.DUMMYFUNCTION("IFERROR((COUNTIF(FILTER(Data!N:N, Data!B:B=A671),""TRAVERSE"")) / (COUNTIF(Data!B:B, A671)),"""")"),"")</f>
        <v/>
      </c>
      <c r="X671" s="59"/>
      <c r="Y671" s="45" t="str">
        <f t="shared" si="7"/>
        <v/>
      </c>
      <c r="Z671" s="45" t="str">
        <f t="shared" si="8"/>
        <v/>
      </c>
      <c r="AA671" s="16" t="str">
        <f t="shared" si="9"/>
        <v/>
      </c>
      <c r="AB671" s="16"/>
      <c r="AC671" s="16"/>
      <c r="AD671" s="16"/>
      <c r="AE671" s="16" t="str">
        <f t="shared" si="12"/>
        <v/>
      </c>
      <c r="AF671" s="16" t="str">
        <f t="shared" si="13"/>
        <v/>
      </c>
      <c r="AG671" s="44"/>
      <c r="AH671" s="44"/>
      <c r="AI671" s="44" t="str">
        <f>IFERROR(__xludf.DUMMYFUNCTION("TEXTJOIN("", "",TRUE, FILTER(Data!P:P, Data!B:B=A671))"),"")</f>
        <v/>
      </c>
      <c r="AM671" s="61"/>
      <c r="BC671" s="50"/>
    </row>
    <row r="672">
      <c r="A672" s="14"/>
      <c r="B672" s="55" t="str">
        <f>IFERROR(__xludf.DUMMYFUNCTION("IFERROR(ROUND(
(COUNTIF(FILTER(Data!O:O, Data!B:B=A672), ""Win"")
+ COUNTIF(FILTER(Data!O:O, Data!B:B=A672), {""Tie"",""Results""}))
/ (COUNTIF(Data!B:B, A672)),
1),"""")"),"")</f>
        <v/>
      </c>
      <c r="C672" s="45" t="str">
        <f>IFERROR((SUMIF(Data!B:B, A672, Data!H:H)
/ (COUNTIF(Data!B:B, A672)
)),"")</f>
        <v/>
      </c>
      <c r="D672" s="45" t="str">
        <f>IFERROR((SUMIF(Data!B:B, A672, Data!G:G)
/ (COUNTIF(Data!B:B, A672)
)),"")</f>
        <v/>
      </c>
      <c r="E672" s="45"/>
      <c r="F672" s="45" t="str">
        <f>IFERROR((SUMIF(Data!B:B, A672, Data!J:J)
/ (COUNTIF(Data!B:B, A672)
)),"")</f>
        <v/>
      </c>
      <c r="G672" s="56" t="str">
        <f>IF(A672="","",IFERROR((((((SUMIF(Data!B:B, A672, Data!H:H)+(SUMIF(Data!B:B, A672,Data!G:G)))/(SUMIF(Data!B:B, A672, Data!J:J)))))),0))</f>
        <v/>
      </c>
      <c r="H672" s="45"/>
      <c r="I672" s="45"/>
      <c r="J672" s="45"/>
      <c r="K672" s="45"/>
      <c r="L672" s="45" t="str">
        <f>IFERROR((SUMIF(Data!B:B, A672, Data!L:L)
/ (COUNTIF(Data!B:B, A672)
)),"")</f>
        <v/>
      </c>
      <c r="M672" s="45" t="str">
        <f>IFERROR((SUMIF(Data!B:B, A672, Data!K:K)
/ (COUNTIF(Data!B:B, A672)
)),"")</f>
        <v/>
      </c>
      <c r="N672" s="56"/>
      <c r="O672" s="56" t="str">
        <f>IF(A672="","",IFERROR((((((SUMIF(Data!B:B, A672, Data!H:H)+(SUMIF(Data!B:B, A672,Data!G:G)+(SUMIF(Data!B:B, A672,Data!L:L)+(SUMIF(Data!B:B, A672,Data!K:K)))))/(SUMIF(Data!B:B, A672, Data!M:M)+(SUMIF(Data!B:B, A672, Data!H:H)+(SUMIF(Data!B:B, A672,Data!G:G)+(SUMIF(Data!B:B, A672,Data!K:K)+(SUMIF(Data!B:B, A672,Data!L:L)))))))))),0))</f>
        <v/>
      </c>
      <c r="P672" s="57" t="str">
        <f>IFERROR(__xludf.DUMMYFUNCTION("IFERROR(((COUNTIF(FILTER(Data!N:N,Data!B:B=A672),""TRAVERSE"")*15)+(COUNTIF(FILTER(Data!N:N,Data!B:B=A672),""HIGH"")*10)+(COUNTIF(FILTER(Data!N:N,Data!B:B=A672),""MIDDLE"")*6)+(COUNTIF(FILTER(Data!N:N,Data!B:B=A672),""LOW"")*4)) / (COUNTIF(Data!B:B, A672)"&amp;"),"""")"),"")</f>
        <v/>
      </c>
      <c r="Q672" s="58"/>
      <c r="R672" s="58"/>
      <c r="S672" s="58" t="str">
        <f>IFERROR(__xludf.DUMMYFUNCTION("IFERROR((((COUNTIF(FILTER(Data!N:N,Data!B:B=A672),""TRAVERSE""))+(COUNTIF(FILTER(Data!N:N,Data!B:B=A672),""HIGH""))+(COUNTIF(FILTER(Data!N:N,Data!B:B=A672),""MIDDLE""))+(COUNTIF(FILTER(Data!N:N,Data!B:B=A672),""LOW"")))) / (((COUNTIF(Data!B:B, A672)))-(CO"&amp;"UNTIF(FILTER(Data!N:N,Data!B:B=A672),""NONE""))),IF(ISBLANK(A672),"""",0))"),"")</f>
        <v/>
      </c>
      <c r="T672" s="56" t="str">
        <f>IFERROR(__xludf.DUMMYFUNCTION("IFERROR((COUNTIF(FILTER(Data!N:N, Data!B:B=A672),""LOW"")) / (COUNTIF(Data!B:B, A672)),"""")"),"")</f>
        <v/>
      </c>
      <c r="U672" s="59" t="str">
        <f>IFERROR(__xludf.DUMMYFUNCTION("IFERROR((COUNTIF(FILTER(Data!N:N, Data!B:B=A672),""MIDDLE"")) / (COUNTIF(Data!B:B, A672)),"""")"),"")</f>
        <v/>
      </c>
      <c r="V672" s="59" t="str">
        <f>IFERROR(__xludf.DUMMYFUNCTION("IFERROR((COUNTIF(FILTER(Data!N:N, Data!B:B=A672),""HIGH"")) / (COUNTIF(Data!B:B, A672)),"""")"),"")</f>
        <v/>
      </c>
      <c r="W672" s="59" t="str">
        <f>IFERROR(__xludf.DUMMYFUNCTION("IFERROR((COUNTIF(FILTER(Data!N:N, Data!B:B=A672),""TRAVERSE"")) / (COUNTIF(Data!B:B, A672)),"""")"),"")</f>
        <v/>
      </c>
      <c r="X672" s="59"/>
      <c r="Y672" s="45" t="str">
        <f t="shared" si="7"/>
        <v/>
      </c>
      <c r="Z672" s="45" t="str">
        <f t="shared" si="8"/>
        <v/>
      </c>
      <c r="AA672" s="16" t="str">
        <f t="shared" si="9"/>
        <v/>
      </c>
      <c r="AB672" s="16"/>
      <c r="AC672" s="16"/>
      <c r="AD672" s="16"/>
      <c r="AE672" s="16" t="str">
        <f t="shared" si="12"/>
        <v/>
      </c>
      <c r="AF672" s="16" t="str">
        <f t="shared" si="13"/>
        <v/>
      </c>
      <c r="AG672" s="44"/>
      <c r="AH672" s="44"/>
      <c r="AI672" s="44" t="str">
        <f>IFERROR(__xludf.DUMMYFUNCTION("TEXTJOIN("", "",TRUE, FILTER(Data!P:P, Data!B:B=A672))"),"")</f>
        <v/>
      </c>
      <c r="AM672" s="61"/>
      <c r="BC672" s="50"/>
    </row>
    <row r="673">
      <c r="A673" s="14"/>
      <c r="B673" s="55" t="str">
        <f>IFERROR(__xludf.DUMMYFUNCTION("IFERROR(ROUND(
(COUNTIF(FILTER(Data!O:O, Data!B:B=A673), ""Win"")
+ COUNTIF(FILTER(Data!O:O, Data!B:B=A673), {""Tie"",""Results""}))
/ (COUNTIF(Data!B:B, A673)),
1),"""")"),"")</f>
        <v/>
      </c>
      <c r="C673" s="45" t="str">
        <f>IFERROR((SUMIF(Data!B:B, A673, Data!H:H)
/ (COUNTIF(Data!B:B, A673)
)),"")</f>
        <v/>
      </c>
      <c r="D673" s="45" t="str">
        <f>IFERROR((SUMIF(Data!B:B, A673, Data!G:G)
/ (COUNTIF(Data!B:B, A673)
)),"")</f>
        <v/>
      </c>
      <c r="E673" s="45"/>
      <c r="F673" s="45" t="str">
        <f>IFERROR((SUMIF(Data!B:B, A673, Data!J:J)
/ (COUNTIF(Data!B:B, A673)
)),"")</f>
        <v/>
      </c>
      <c r="G673" s="56" t="str">
        <f>IF(A673="","",IFERROR((((((SUMIF(Data!B:B, A673, Data!H:H)+(SUMIF(Data!B:B, A673,Data!G:G)))/(SUMIF(Data!B:B, A673, Data!J:J)))))),0))</f>
        <v/>
      </c>
      <c r="H673" s="45"/>
      <c r="I673" s="45"/>
      <c r="J673" s="45"/>
      <c r="K673" s="45"/>
      <c r="L673" s="45" t="str">
        <f>IFERROR((SUMIF(Data!B:B, A673, Data!L:L)
/ (COUNTIF(Data!B:B, A673)
)),"")</f>
        <v/>
      </c>
      <c r="M673" s="45" t="str">
        <f>IFERROR((SUMIF(Data!B:B, A673, Data!K:K)
/ (COUNTIF(Data!B:B, A673)
)),"")</f>
        <v/>
      </c>
      <c r="N673" s="56"/>
      <c r="O673" s="56" t="str">
        <f>IF(A673="","",IFERROR((((((SUMIF(Data!B:B, A673, Data!H:H)+(SUMIF(Data!B:B, A673,Data!G:G)+(SUMIF(Data!B:B, A673,Data!L:L)+(SUMIF(Data!B:B, A673,Data!K:K)))))/(SUMIF(Data!B:B, A673, Data!M:M)+(SUMIF(Data!B:B, A673, Data!H:H)+(SUMIF(Data!B:B, A673,Data!G:G)+(SUMIF(Data!B:B, A673,Data!K:K)+(SUMIF(Data!B:B, A673,Data!L:L)))))))))),0))</f>
        <v/>
      </c>
      <c r="P673" s="57" t="str">
        <f>IFERROR(__xludf.DUMMYFUNCTION("IFERROR(((COUNTIF(FILTER(Data!N:N,Data!B:B=A673),""TRAVERSE"")*15)+(COUNTIF(FILTER(Data!N:N,Data!B:B=A673),""HIGH"")*10)+(COUNTIF(FILTER(Data!N:N,Data!B:B=A673),""MIDDLE"")*6)+(COUNTIF(FILTER(Data!N:N,Data!B:B=A673),""LOW"")*4)) / (COUNTIF(Data!B:B, A673)"&amp;"),"""")"),"")</f>
        <v/>
      </c>
      <c r="Q673" s="58"/>
      <c r="R673" s="58"/>
      <c r="S673" s="58" t="str">
        <f>IFERROR(__xludf.DUMMYFUNCTION("IFERROR((((COUNTIF(FILTER(Data!N:N,Data!B:B=A673),""TRAVERSE""))+(COUNTIF(FILTER(Data!N:N,Data!B:B=A673),""HIGH""))+(COUNTIF(FILTER(Data!N:N,Data!B:B=A673),""MIDDLE""))+(COUNTIF(FILTER(Data!N:N,Data!B:B=A673),""LOW"")))) / (((COUNTIF(Data!B:B, A673)))-(CO"&amp;"UNTIF(FILTER(Data!N:N,Data!B:B=A673),""NONE""))),IF(ISBLANK(A673),"""",0))"),"")</f>
        <v/>
      </c>
      <c r="T673" s="56" t="str">
        <f>IFERROR(__xludf.DUMMYFUNCTION("IFERROR((COUNTIF(FILTER(Data!N:N, Data!B:B=A673),""LOW"")) / (COUNTIF(Data!B:B, A673)),"""")"),"")</f>
        <v/>
      </c>
      <c r="U673" s="59" t="str">
        <f>IFERROR(__xludf.DUMMYFUNCTION("IFERROR((COUNTIF(FILTER(Data!N:N, Data!B:B=A673),""MIDDLE"")) / (COUNTIF(Data!B:B, A673)),"""")"),"")</f>
        <v/>
      </c>
      <c r="V673" s="59" t="str">
        <f>IFERROR(__xludf.DUMMYFUNCTION("IFERROR((COUNTIF(FILTER(Data!N:N, Data!B:B=A673),""HIGH"")) / (COUNTIF(Data!B:B, A673)),"""")"),"")</f>
        <v/>
      </c>
      <c r="W673" s="59" t="str">
        <f>IFERROR(__xludf.DUMMYFUNCTION("IFERROR((COUNTIF(FILTER(Data!N:N, Data!B:B=A673),""TRAVERSE"")) / (COUNTIF(Data!B:B, A673)),"""")"),"")</f>
        <v/>
      </c>
      <c r="X673" s="59"/>
      <c r="Y673" s="45" t="str">
        <f t="shared" si="7"/>
        <v/>
      </c>
      <c r="Z673" s="45" t="str">
        <f t="shared" si="8"/>
        <v/>
      </c>
      <c r="AA673" s="16" t="str">
        <f t="shared" si="9"/>
        <v/>
      </c>
      <c r="AB673" s="16"/>
      <c r="AC673" s="16"/>
      <c r="AD673" s="16"/>
      <c r="AE673" s="16" t="str">
        <f t="shared" si="12"/>
        <v/>
      </c>
      <c r="AF673" s="16" t="str">
        <f t="shared" si="13"/>
        <v/>
      </c>
      <c r="AG673" s="44"/>
      <c r="AH673" s="44"/>
      <c r="AI673" s="44" t="str">
        <f>IFERROR(__xludf.DUMMYFUNCTION("TEXTJOIN("", "",TRUE, FILTER(Data!P:P, Data!B:B=A673))"),"")</f>
        <v/>
      </c>
      <c r="AM673" s="61"/>
      <c r="BC673" s="50"/>
    </row>
    <row r="674">
      <c r="A674" s="14"/>
      <c r="B674" s="55" t="str">
        <f>IFERROR(__xludf.DUMMYFUNCTION("IFERROR(ROUND(
(COUNTIF(FILTER(Data!O:O, Data!B:B=A674), ""Win"")
+ COUNTIF(FILTER(Data!O:O, Data!B:B=A674), {""Tie"",""Results""}))
/ (COUNTIF(Data!B:B, A674)),
1),"""")"),"")</f>
        <v/>
      </c>
      <c r="C674" s="45" t="str">
        <f>IFERROR((SUMIF(Data!B:B, A674, Data!H:H)
/ (COUNTIF(Data!B:B, A674)
)),"")</f>
        <v/>
      </c>
      <c r="D674" s="45" t="str">
        <f>IFERROR((SUMIF(Data!B:B, A674, Data!G:G)
/ (COUNTIF(Data!B:B, A674)
)),"")</f>
        <v/>
      </c>
      <c r="E674" s="45"/>
      <c r="F674" s="45" t="str">
        <f>IFERROR((SUMIF(Data!B:B, A674, Data!J:J)
/ (COUNTIF(Data!B:B, A674)
)),"")</f>
        <v/>
      </c>
      <c r="G674" s="56" t="str">
        <f>IF(A674="","",IFERROR((((((SUMIF(Data!B:B, A674, Data!H:H)+(SUMIF(Data!B:B, A674,Data!G:G)))/(SUMIF(Data!B:B, A674, Data!J:J)))))),0))</f>
        <v/>
      </c>
      <c r="H674" s="45"/>
      <c r="I674" s="45"/>
      <c r="J674" s="45"/>
      <c r="K674" s="45"/>
      <c r="L674" s="45" t="str">
        <f>IFERROR((SUMIF(Data!B:B, A674, Data!L:L)
/ (COUNTIF(Data!B:B, A674)
)),"")</f>
        <v/>
      </c>
      <c r="M674" s="45" t="str">
        <f>IFERROR((SUMIF(Data!B:B, A674, Data!K:K)
/ (COUNTIF(Data!B:B, A674)
)),"")</f>
        <v/>
      </c>
      <c r="N674" s="56"/>
      <c r="O674" s="56" t="str">
        <f>IF(A674="","",IFERROR((((((SUMIF(Data!B:B, A674, Data!H:H)+(SUMIF(Data!B:B, A674,Data!G:G)+(SUMIF(Data!B:B, A674,Data!L:L)+(SUMIF(Data!B:B, A674,Data!K:K)))))/(SUMIF(Data!B:B, A674, Data!M:M)+(SUMIF(Data!B:B, A674, Data!H:H)+(SUMIF(Data!B:B, A674,Data!G:G)+(SUMIF(Data!B:B, A674,Data!K:K)+(SUMIF(Data!B:B, A674,Data!L:L)))))))))),0))</f>
        <v/>
      </c>
      <c r="P674" s="57" t="str">
        <f>IFERROR(__xludf.DUMMYFUNCTION("IFERROR(((COUNTIF(FILTER(Data!N:N,Data!B:B=A674),""TRAVERSE"")*15)+(COUNTIF(FILTER(Data!N:N,Data!B:B=A674),""HIGH"")*10)+(COUNTIF(FILTER(Data!N:N,Data!B:B=A674),""MIDDLE"")*6)+(COUNTIF(FILTER(Data!N:N,Data!B:B=A674),""LOW"")*4)) / (COUNTIF(Data!B:B, A674)"&amp;"),"""")"),"")</f>
        <v/>
      </c>
      <c r="Q674" s="58"/>
      <c r="R674" s="58"/>
      <c r="S674" s="58" t="str">
        <f>IFERROR(__xludf.DUMMYFUNCTION("IFERROR((((COUNTIF(FILTER(Data!N:N,Data!B:B=A674),""TRAVERSE""))+(COUNTIF(FILTER(Data!N:N,Data!B:B=A674),""HIGH""))+(COUNTIF(FILTER(Data!N:N,Data!B:B=A674),""MIDDLE""))+(COUNTIF(FILTER(Data!N:N,Data!B:B=A674),""LOW"")))) / (((COUNTIF(Data!B:B, A674)))-(CO"&amp;"UNTIF(FILTER(Data!N:N,Data!B:B=A674),""NONE""))),IF(ISBLANK(A674),"""",0))"),"")</f>
        <v/>
      </c>
      <c r="T674" s="56" t="str">
        <f>IFERROR(__xludf.DUMMYFUNCTION("IFERROR((COUNTIF(FILTER(Data!N:N, Data!B:B=A674),""LOW"")) / (COUNTIF(Data!B:B, A674)),"""")"),"")</f>
        <v/>
      </c>
      <c r="U674" s="59" t="str">
        <f>IFERROR(__xludf.DUMMYFUNCTION("IFERROR((COUNTIF(FILTER(Data!N:N, Data!B:B=A674),""MIDDLE"")) / (COUNTIF(Data!B:B, A674)),"""")"),"")</f>
        <v/>
      </c>
      <c r="V674" s="59" t="str">
        <f>IFERROR(__xludf.DUMMYFUNCTION("IFERROR((COUNTIF(FILTER(Data!N:N, Data!B:B=A674),""HIGH"")) / (COUNTIF(Data!B:B, A674)),"""")"),"")</f>
        <v/>
      </c>
      <c r="W674" s="59" t="str">
        <f>IFERROR(__xludf.DUMMYFUNCTION("IFERROR((COUNTIF(FILTER(Data!N:N, Data!B:B=A674),""TRAVERSE"")) / (COUNTIF(Data!B:B, A674)),"""")"),"")</f>
        <v/>
      </c>
      <c r="X674" s="59"/>
      <c r="Y674" s="45" t="str">
        <f t="shared" si="7"/>
        <v/>
      </c>
      <c r="Z674" s="45" t="str">
        <f t="shared" si="8"/>
        <v/>
      </c>
      <c r="AA674" s="16" t="str">
        <f t="shared" si="9"/>
        <v/>
      </c>
      <c r="AB674" s="16"/>
      <c r="AC674" s="16"/>
      <c r="AD674" s="16"/>
      <c r="AE674" s="16" t="str">
        <f t="shared" si="12"/>
        <v/>
      </c>
      <c r="AF674" s="16" t="str">
        <f t="shared" si="13"/>
        <v/>
      </c>
      <c r="AG674" s="44"/>
      <c r="AH674" s="44"/>
      <c r="AI674" s="44" t="str">
        <f>IFERROR(__xludf.DUMMYFUNCTION("TEXTJOIN("", "",TRUE, FILTER(Data!P:P, Data!B:B=A674))"),"")</f>
        <v/>
      </c>
      <c r="AM674" s="61"/>
      <c r="BC674" s="50"/>
    </row>
    <row r="675">
      <c r="A675" s="14"/>
      <c r="B675" s="55" t="str">
        <f>IFERROR(__xludf.DUMMYFUNCTION("IFERROR(ROUND(
(COUNTIF(FILTER(Data!O:O, Data!B:B=A675), ""Win"")
+ COUNTIF(FILTER(Data!O:O, Data!B:B=A675), {""Tie"",""Results""}))
/ (COUNTIF(Data!B:B, A675)),
1),"""")"),"")</f>
        <v/>
      </c>
      <c r="C675" s="45" t="str">
        <f>IFERROR((SUMIF(Data!B:B, A675, Data!H:H)
/ (COUNTIF(Data!B:B, A675)
)),"")</f>
        <v/>
      </c>
      <c r="D675" s="45" t="str">
        <f>IFERROR((SUMIF(Data!B:B, A675, Data!G:G)
/ (COUNTIF(Data!B:B, A675)
)),"")</f>
        <v/>
      </c>
      <c r="E675" s="45"/>
      <c r="F675" s="45" t="str">
        <f>IFERROR((SUMIF(Data!B:B, A675, Data!J:J)
/ (COUNTIF(Data!B:B, A675)
)),"")</f>
        <v/>
      </c>
      <c r="G675" s="56" t="str">
        <f>IF(A675="","",IFERROR((((((SUMIF(Data!B:B, A675, Data!H:H)+(SUMIF(Data!B:B, A675,Data!G:G)))/(SUMIF(Data!B:B, A675, Data!J:J)))))),0))</f>
        <v/>
      </c>
      <c r="H675" s="45"/>
      <c r="I675" s="45"/>
      <c r="J675" s="45"/>
      <c r="K675" s="45"/>
      <c r="L675" s="45" t="str">
        <f>IFERROR((SUMIF(Data!B:B, A675, Data!L:L)
/ (COUNTIF(Data!B:B, A675)
)),"")</f>
        <v/>
      </c>
      <c r="M675" s="45" t="str">
        <f>IFERROR((SUMIF(Data!B:B, A675, Data!K:K)
/ (COUNTIF(Data!B:B, A675)
)),"")</f>
        <v/>
      </c>
      <c r="N675" s="56"/>
      <c r="O675" s="56" t="str">
        <f>IF(A675="","",IFERROR((((((SUMIF(Data!B:B, A675, Data!H:H)+(SUMIF(Data!B:B, A675,Data!G:G)+(SUMIF(Data!B:B, A675,Data!L:L)+(SUMIF(Data!B:B, A675,Data!K:K)))))/(SUMIF(Data!B:B, A675, Data!M:M)+(SUMIF(Data!B:B, A675, Data!H:H)+(SUMIF(Data!B:B, A675,Data!G:G)+(SUMIF(Data!B:B, A675,Data!K:K)+(SUMIF(Data!B:B, A675,Data!L:L)))))))))),0))</f>
        <v/>
      </c>
      <c r="P675" s="57" t="str">
        <f>IFERROR(__xludf.DUMMYFUNCTION("IFERROR(((COUNTIF(FILTER(Data!N:N,Data!B:B=A675),""TRAVERSE"")*15)+(COUNTIF(FILTER(Data!N:N,Data!B:B=A675),""HIGH"")*10)+(COUNTIF(FILTER(Data!N:N,Data!B:B=A675),""MIDDLE"")*6)+(COUNTIF(FILTER(Data!N:N,Data!B:B=A675),""LOW"")*4)) / (COUNTIF(Data!B:B, A675)"&amp;"),"""")"),"")</f>
        <v/>
      </c>
      <c r="Q675" s="58"/>
      <c r="R675" s="58"/>
      <c r="S675" s="58" t="str">
        <f>IFERROR(__xludf.DUMMYFUNCTION("IFERROR((((COUNTIF(FILTER(Data!N:N,Data!B:B=A675),""TRAVERSE""))+(COUNTIF(FILTER(Data!N:N,Data!B:B=A675),""HIGH""))+(COUNTIF(FILTER(Data!N:N,Data!B:B=A675),""MIDDLE""))+(COUNTIF(FILTER(Data!N:N,Data!B:B=A675),""LOW"")))) / (((COUNTIF(Data!B:B, A675)))-(CO"&amp;"UNTIF(FILTER(Data!N:N,Data!B:B=A675),""NONE""))),IF(ISBLANK(A675),"""",0))"),"")</f>
        <v/>
      </c>
      <c r="T675" s="56" t="str">
        <f>IFERROR(__xludf.DUMMYFUNCTION("IFERROR((COUNTIF(FILTER(Data!N:N, Data!B:B=A675),""LOW"")) / (COUNTIF(Data!B:B, A675)),"""")"),"")</f>
        <v/>
      </c>
      <c r="U675" s="59" t="str">
        <f>IFERROR(__xludf.DUMMYFUNCTION("IFERROR((COUNTIF(FILTER(Data!N:N, Data!B:B=A675),""MIDDLE"")) / (COUNTIF(Data!B:B, A675)),"""")"),"")</f>
        <v/>
      </c>
      <c r="V675" s="59" t="str">
        <f>IFERROR(__xludf.DUMMYFUNCTION("IFERROR((COUNTIF(FILTER(Data!N:N, Data!B:B=A675),""HIGH"")) / (COUNTIF(Data!B:B, A675)),"""")"),"")</f>
        <v/>
      </c>
      <c r="W675" s="59" t="str">
        <f>IFERROR(__xludf.DUMMYFUNCTION("IFERROR((COUNTIF(FILTER(Data!N:N, Data!B:B=A675),""TRAVERSE"")) / (COUNTIF(Data!B:B, A675)),"""")"),"")</f>
        <v/>
      </c>
      <c r="X675" s="59"/>
      <c r="Y675" s="45" t="str">
        <f t="shared" si="7"/>
        <v/>
      </c>
      <c r="Z675" s="45" t="str">
        <f t="shared" si="8"/>
        <v/>
      </c>
      <c r="AA675" s="16" t="str">
        <f t="shared" si="9"/>
        <v/>
      </c>
      <c r="AB675" s="16"/>
      <c r="AC675" s="16"/>
      <c r="AD675" s="16"/>
      <c r="AE675" s="16" t="str">
        <f t="shared" si="12"/>
        <v/>
      </c>
      <c r="AF675" s="16" t="str">
        <f t="shared" si="13"/>
        <v/>
      </c>
      <c r="AG675" s="44"/>
      <c r="AH675" s="44"/>
      <c r="AI675" s="44" t="str">
        <f>IFERROR(__xludf.DUMMYFUNCTION("TEXTJOIN("", "",TRUE, FILTER(Data!P:P, Data!B:B=A675))"),"")</f>
        <v/>
      </c>
      <c r="AM675" s="61"/>
      <c r="BC675" s="50"/>
    </row>
    <row r="676">
      <c r="A676" s="14"/>
      <c r="B676" s="55" t="str">
        <f>IFERROR(__xludf.DUMMYFUNCTION("IFERROR(ROUND(
(COUNTIF(FILTER(Data!O:O, Data!B:B=A676), ""Win"")
+ COUNTIF(FILTER(Data!O:O, Data!B:B=A676), {""Tie"",""Results""}))
/ (COUNTIF(Data!B:B, A676)),
1),"""")"),"")</f>
        <v/>
      </c>
      <c r="C676" s="45" t="str">
        <f>IFERROR((SUMIF(Data!B:B, A676, Data!H:H)
/ (COUNTIF(Data!B:B, A676)
)),"")</f>
        <v/>
      </c>
      <c r="D676" s="45" t="str">
        <f>IFERROR((SUMIF(Data!B:B, A676, Data!G:G)
/ (COUNTIF(Data!B:B, A676)
)),"")</f>
        <v/>
      </c>
      <c r="E676" s="45"/>
      <c r="F676" s="45" t="str">
        <f>IFERROR((SUMIF(Data!B:B, A676, Data!J:J)
/ (COUNTIF(Data!B:B, A676)
)),"")</f>
        <v/>
      </c>
      <c r="G676" s="56" t="str">
        <f>IF(A676="","",IFERROR((((((SUMIF(Data!B:B, A676, Data!H:H)+(SUMIF(Data!B:B, A676,Data!G:G)))/(SUMIF(Data!B:B, A676, Data!J:J)))))),0))</f>
        <v/>
      </c>
      <c r="H676" s="45"/>
      <c r="I676" s="45"/>
      <c r="J676" s="45"/>
      <c r="K676" s="45"/>
      <c r="L676" s="45" t="str">
        <f>IFERROR((SUMIF(Data!B:B, A676, Data!L:L)
/ (COUNTIF(Data!B:B, A676)
)),"")</f>
        <v/>
      </c>
      <c r="M676" s="45" t="str">
        <f>IFERROR((SUMIF(Data!B:B, A676, Data!K:K)
/ (COUNTIF(Data!B:B, A676)
)),"")</f>
        <v/>
      </c>
      <c r="N676" s="56"/>
      <c r="O676" s="56" t="str">
        <f>IF(A676="","",IFERROR((((((SUMIF(Data!B:B, A676, Data!H:H)+(SUMIF(Data!B:B, A676,Data!G:G)+(SUMIF(Data!B:B, A676,Data!L:L)+(SUMIF(Data!B:B, A676,Data!K:K)))))/(SUMIF(Data!B:B, A676, Data!M:M)+(SUMIF(Data!B:B, A676, Data!H:H)+(SUMIF(Data!B:B, A676,Data!G:G)+(SUMIF(Data!B:B, A676,Data!K:K)+(SUMIF(Data!B:B, A676,Data!L:L)))))))))),0))</f>
        <v/>
      </c>
      <c r="P676" s="57" t="str">
        <f>IFERROR(__xludf.DUMMYFUNCTION("IFERROR(((COUNTIF(FILTER(Data!N:N,Data!B:B=A676),""TRAVERSE"")*15)+(COUNTIF(FILTER(Data!N:N,Data!B:B=A676),""HIGH"")*10)+(COUNTIF(FILTER(Data!N:N,Data!B:B=A676),""MIDDLE"")*6)+(COUNTIF(FILTER(Data!N:N,Data!B:B=A676),""LOW"")*4)) / (COUNTIF(Data!B:B, A676)"&amp;"),"""")"),"")</f>
        <v/>
      </c>
      <c r="Q676" s="58"/>
      <c r="R676" s="58"/>
      <c r="S676" s="58" t="str">
        <f>IFERROR(__xludf.DUMMYFUNCTION("IFERROR((((COUNTIF(FILTER(Data!N:N,Data!B:B=A676),""TRAVERSE""))+(COUNTIF(FILTER(Data!N:N,Data!B:B=A676),""HIGH""))+(COUNTIF(FILTER(Data!N:N,Data!B:B=A676),""MIDDLE""))+(COUNTIF(FILTER(Data!N:N,Data!B:B=A676),""LOW"")))) / (((COUNTIF(Data!B:B, A676)))-(CO"&amp;"UNTIF(FILTER(Data!N:N,Data!B:B=A676),""NONE""))),IF(ISBLANK(A676),"""",0))"),"")</f>
        <v/>
      </c>
      <c r="T676" s="56" t="str">
        <f>IFERROR(__xludf.DUMMYFUNCTION("IFERROR((COUNTIF(FILTER(Data!N:N, Data!B:B=A676),""LOW"")) / (COUNTIF(Data!B:B, A676)),"""")"),"")</f>
        <v/>
      </c>
      <c r="U676" s="59" t="str">
        <f>IFERROR(__xludf.DUMMYFUNCTION("IFERROR((COUNTIF(FILTER(Data!N:N, Data!B:B=A676),""MIDDLE"")) / (COUNTIF(Data!B:B, A676)),"""")"),"")</f>
        <v/>
      </c>
      <c r="V676" s="59" t="str">
        <f>IFERROR(__xludf.DUMMYFUNCTION("IFERROR((COUNTIF(FILTER(Data!N:N, Data!B:B=A676),""HIGH"")) / (COUNTIF(Data!B:B, A676)),"""")"),"")</f>
        <v/>
      </c>
      <c r="W676" s="59" t="str">
        <f>IFERROR(__xludf.DUMMYFUNCTION("IFERROR((COUNTIF(FILTER(Data!N:N, Data!B:B=A676),""TRAVERSE"")) / (COUNTIF(Data!B:B, A676)),"""")"),"")</f>
        <v/>
      </c>
      <c r="X676" s="59"/>
      <c r="Y676" s="45" t="str">
        <f t="shared" si="7"/>
        <v/>
      </c>
      <c r="Z676" s="45" t="str">
        <f t="shared" si="8"/>
        <v/>
      </c>
      <c r="AA676" s="16" t="str">
        <f t="shared" si="9"/>
        <v/>
      </c>
      <c r="AB676" s="16"/>
      <c r="AC676" s="16"/>
      <c r="AD676" s="16"/>
      <c r="AE676" s="16" t="str">
        <f t="shared" si="12"/>
        <v/>
      </c>
      <c r="AF676" s="16" t="str">
        <f t="shared" si="13"/>
        <v/>
      </c>
      <c r="AG676" s="44"/>
      <c r="AH676" s="44"/>
      <c r="AI676" s="44" t="str">
        <f>IFERROR(__xludf.DUMMYFUNCTION("TEXTJOIN("", "",TRUE, FILTER(Data!P:P, Data!B:B=A676))"),"")</f>
        <v/>
      </c>
      <c r="AM676" s="61"/>
      <c r="BC676" s="50"/>
    </row>
    <row r="677">
      <c r="A677" s="14"/>
      <c r="B677" s="55" t="str">
        <f>IFERROR(__xludf.DUMMYFUNCTION("IFERROR(ROUND(
(COUNTIF(FILTER(Data!O:O, Data!B:B=A677), ""Win"")
+ COUNTIF(FILTER(Data!O:O, Data!B:B=A677), {""Tie"",""Results""}))
/ (COUNTIF(Data!B:B, A677)),
1),"""")"),"")</f>
        <v/>
      </c>
      <c r="C677" s="45" t="str">
        <f>IFERROR((SUMIF(Data!B:B, A677, Data!H:H)
/ (COUNTIF(Data!B:B, A677)
)),"")</f>
        <v/>
      </c>
      <c r="D677" s="45" t="str">
        <f>IFERROR((SUMIF(Data!B:B, A677, Data!G:G)
/ (COUNTIF(Data!B:B, A677)
)),"")</f>
        <v/>
      </c>
      <c r="E677" s="45"/>
      <c r="F677" s="45" t="str">
        <f>IFERROR((SUMIF(Data!B:B, A677, Data!J:J)
/ (COUNTIF(Data!B:B, A677)
)),"")</f>
        <v/>
      </c>
      <c r="G677" s="56" t="str">
        <f>IF(A677="","",IFERROR((((((SUMIF(Data!B:B, A677, Data!H:H)+(SUMIF(Data!B:B, A677,Data!G:G)))/(SUMIF(Data!B:B, A677, Data!J:J)))))),0))</f>
        <v/>
      </c>
      <c r="H677" s="45"/>
      <c r="I677" s="45"/>
      <c r="J677" s="45"/>
      <c r="K677" s="45"/>
      <c r="L677" s="45" t="str">
        <f>IFERROR((SUMIF(Data!B:B, A677, Data!L:L)
/ (COUNTIF(Data!B:B, A677)
)),"")</f>
        <v/>
      </c>
      <c r="M677" s="45" t="str">
        <f>IFERROR((SUMIF(Data!B:B, A677, Data!K:K)
/ (COUNTIF(Data!B:B, A677)
)),"")</f>
        <v/>
      </c>
      <c r="N677" s="56"/>
      <c r="O677" s="56" t="str">
        <f>IF(A677="","",IFERROR((((((SUMIF(Data!B:B, A677, Data!H:H)+(SUMIF(Data!B:B, A677,Data!G:G)+(SUMIF(Data!B:B, A677,Data!L:L)+(SUMIF(Data!B:B, A677,Data!K:K)))))/(SUMIF(Data!B:B, A677, Data!M:M)+(SUMIF(Data!B:B, A677, Data!H:H)+(SUMIF(Data!B:B, A677,Data!G:G)+(SUMIF(Data!B:B, A677,Data!K:K)+(SUMIF(Data!B:B, A677,Data!L:L)))))))))),0))</f>
        <v/>
      </c>
      <c r="P677" s="57" t="str">
        <f>IFERROR(__xludf.DUMMYFUNCTION("IFERROR(((COUNTIF(FILTER(Data!N:N,Data!B:B=A677),""TRAVERSE"")*15)+(COUNTIF(FILTER(Data!N:N,Data!B:B=A677),""HIGH"")*10)+(COUNTIF(FILTER(Data!N:N,Data!B:B=A677),""MIDDLE"")*6)+(COUNTIF(FILTER(Data!N:N,Data!B:B=A677),""LOW"")*4)) / (COUNTIF(Data!B:B, A677)"&amp;"),"""")"),"")</f>
        <v/>
      </c>
      <c r="Q677" s="58"/>
      <c r="R677" s="58"/>
      <c r="S677" s="58" t="str">
        <f>IFERROR(__xludf.DUMMYFUNCTION("IFERROR((((COUNTIF(FILTER(Data!N:N,Data!B:B=A677),""TRAVERSE""))+(COUNTIF(FILTER(Data!N:N,Data!B:B=A677),""HIGH""))+(COUNTIF(FILTER(Data!N:N,Data!B:B=A677),""MIDDLE""))+(COUNTIF(FILTER(Data!N:N,Data!B:B=A677),""LOW"")))) / (((COUNTIF(Data!B:B, A677)))-(CO"&amp;"UNTIF(FILTER(Data!N:N,Data!B:B=A677),""NONE""))),IF(ISBLANK(A677),"""",0))"),"")</f>
        <v/>
      </c>
      <c r="T677" s="56" t="str">
        <f>IFERROR(__xludf.DUMMYFUNCTION("IFERROR((COUNTIF(FILTER(Data!N:N, Data!B:B=A677),""LOW"")) / (COUNTIF(Data!B:B, A677)),"""")"),"")</f>
        <v/>
      </c>
      <c r="U677" s="59" t="str">
        <f>IFERROR(__xludf.DUMMYFUNCTION("IFERROR((COUNTIF(FILTER(Data!N:N, Data!B:B=A677),""MIDDLE"")) / (COUNTIF(Data!B:B, A677)),"""")"),"")</f>
        <v/>
      </c>
      <c r="V677" s="59" t="str">
        <f>IFERROR(__xludf.DUMMYFUNCTION("IFERROR((COUNTIF(FILTER(Data!N:N, Data!B:B=A677),""HIGH"")) / (COUNTIF(Data!B:B, A677)),"""")"),"")</f>
        <v/>
      </c>
      <c r="W677" s="59" t="str">
        <f>IFERROR(__xludf.DUMMYFUNCTION("IFERROR((COUNTIF(FILTER(Data!N:N, Data!B:B=A677),""TRAVERSE"")) / (COUNTIF(Data!B:B, A677)),"""")"),"")</f>
        <v/>
      </c>
      <c r="X677" s="59"/>
      <c r="Y677" s="45" t="str">
        <f t="shared" si="7"/>
        <v/>
      </c>
      <c r="Z677" s="45" t="str">
        <f t="shared" si="8"/>
        <v/>
      </c>
      <c r="AA677" s="16" t="str">
        <f t="shared" si="9"/>
        <v/>
      </c>
      <c r="AB677" s="16"/>
      <c r="AC677" s="16"/>
      <c r="AD677" s="16"/>
      <c r="AE677" s="16" t="str">
        <f t="shared" si="12"/>
        <v/>
      </c>
      <c r="AF677" s="16" t="str">
        <f t="shared" si="13"/>
        <v/>
      </c>
      <c r="AG677" s="44"/>
      <c r="AH677" s="44"/>
      <c r="AI677" s="44" t="str">
        <f>IFERROR(__xludf.DUMMYFUNCTION("TEXTJOIN("", "",TRUE, FILTER(Data!P:P, Data!B:B=A677))"),"")</f>
        <v/>
      </c>
      <c r="AM677" s="61"/>
      <c r="BC677" s="50"/>
    </row>
    <row r="678">
      <c r="A678" s="14"/>
      <c r="B678" s="55" t="str">
        <f>IFERROR(__xludf.DUMMYFUNCTION("IFERROR(ROUND(
(COUNTIF(FILTER(Data!O:O, Data!B:B=A678), ""Win"")
+ COUNTIF(FILTER(Data!O:O, Data!B:B=A678), {""Tie"",""Results""}))
/ (COUNTIF(Data!B:B, A678)),
1),"""")"),"")</f>
        <v/>
      </c>
      <c r="C678" s="45" t="str">
        <f>IFERROR((SUMIF(Data!B:B, A678, Data!H:H)
/ (COUNTIF(Data!B:B, A678)
)),"")</f>
        <v/>
      </c>
      <c r="D678" s="45" t="str">
        <f>IFERROR((SUMIF(Data!B:B, A678, Data!G:G)
/ (COUNTIF(Data!B:B, A678)
)),"")</f>
        <v/>
      </c>
      <c r="E678" s="45"/>
      <c r="F678" s="45" t="str">
        <f>IFERROR((SUMIF(Data!B:B, A678, Data!J:J)
/ (COUNTIF(Data!B:B, A678)
)),"")</f>
        <v/>
      </c>
      <c r="G678" s="56" t="str">
        <f>IF(A678="","",IFERROR((((((SUMIF(Data!B:B, A678, Data!H:H)+(SUMIF(Data!B:B, A678,Data!G:G)))/(SUMIF(Data!B:B, A678, Data!J:J)))))),0))</f>
        <v/>
      </c>
      <c r="H678" s="45"/>
      <c r="I678" s="45"/>
      <c r="J678" s="45"/>
      <c r="K678" s="45"/>
      <c r="L678" s="45" t="str">
        <f>IFERROR((SUMIF(Data!B:B, A678, Data!L:L)
/ (COUNTIF(Data!B:B, A678)
)),"")</f>
        <v/>
      </c>
      <c r="M678" s="45" t="str">
        <f>IFERROR((SUMIF(Data!B:B, A678, Data!K:K)
/ (COUNTIF(Data!B:B, A678)
)),"")</f>
        <v/>
      </c>
      <c r="N678" s="56"/>
      <c r="O678" s="56" t="str">
        <f>IF(A678="","",IFERROR((((((SUMIF(Data!B:B, A678, Data!H:H)+(SUMIF(Data!B:B, A678,Data!G:G)+(SUMIF(Data!B:B, A678,Data!L:L)+(SUMIF(Data!B:B, A678,Data!K:K)))))/(SUMIF(Data!B:B, A678, Data!M:M)+(SUMIF(Data!B:B, A678, Data!H:H)+(SUMIF(Data!B:B, A678,Data!G:G)+(SUMIF(Data!B:B, A678,Data!K:K)+(SUMIF(Data!B:B, A678,Data!L:L)))))))))),0))</f>
        <v/>
      </c>
      <c r="P678" s="57" t="str">
        <f>IFERROR(__xludf.DUMMYFUNCTION("IFERROR(((COUNTIF(FILTER(Data!N:N,Data!B:B=A678),""TRAVERSE"")*15)+(COUNTIF(FILTER(Data!N:N,Data!B:B=A678),""HIGH"")*10)+(COUNTIF(FILTER(Data!N:N,Data!B:B=A678),""MIDDLE"")*6)+(COUNTIF(FILTER(Data!N:N,Data!B:B=A678),""LOW"")*4)) / (COUNTIF(Data!B:B, A678)"&amp;"),"""")"),"")</f>
        <v/>
      </c>
      <c r="Q678" s="58"/>
      <c r="R678" s="58"/>
      <c r="S678" s="58" t="str">
        <f>IFERROR(__xludf.DUMMYFUNCTION("IFERROR((((COUNTIF(FILTER(Data!N:N,Data!B:B=A678),""TRAVERSE""))+(COUNTIF(FILTER(Data!N:N,Data!B:B=A678),""HIGH""))+(COUNTIF(FILTER(Data!N:N,Data!B:B=A678),""MIDDLE""))+(COUNTIF(FILTER(Data!N:N,Data!B:B=A678),""LOW"")))) / (((COUNTIF(Data!B:B, A678)))-(CO"&amp;"UNTIF(FILTER(Data!N:N,Data!B:B=A678),""NONE""))),IF(ISBLANK(A678),"""",0))"),"")</f>
        <v/>
      </c>
      <c r="T678" s="56" t="str">
        <f>IFERROR(__xludf.DUMMYFUNCTION("IFERROR((COUNTIF(FILTER(Data!N:N, Data!B:B=A678),""LOW"")) / (COUNTIF(Data!B:B, A678)),"""")"),"")</f>
        <v/>
      </c>
      <c r="U678" s="59" t="str">
        <f>IFERROR(__xludf.DUMMYFUNCTION("IFERROR((COUNTIF(FILTER(Data!N:N, Data!B:B=A678),""MIDDLE"")) / (COUNTIF(Data!B:B, A678)),"""")"),"")</f>
        <v/>
      </c>
      <c r="V678" s="59" t="str">
        <f>IFERROR(__xludf.DUMMYFUNCTION("IFERROR((COUNTIF(FILTER(Data!N:N, Data!B:B=A678),""HIGH"")) / (COUNTIF(Data!B:B, A678)),"""")"),"")</f>
        <v/>
      </c>
      <c r="W678" s="59" t="str">
        <f>IFERROR(__xludf.DUMMYFUNCTION("IFERROR((COUNTIF(FILTER(Data!N:N, Data!B:B=A678),""TRAVERSE"")) / (COUNTIF(Data!B:B, A678)),"""")"),"")</f>
        <v/>
      </c>
      <c r="X678" s="59"/>
      <c r="Y678" s="45" t="str">
        <f t="shared" si="7"/>
        <v/>
      </c>
      <c r="Z678" s="45" t="str">
        <f t="shared" si="8"/>
        <v/>
      </c>
      <c r="AA678" s="16" t="str">
        <f t="shared" si="9"/>
        <v/>
      </c>
      <c r="AB678" s="16"/>
      <c r="AC678" s="16"/>
      <c r="AD678" s="16"/>
      <c r="AE678" s="16" t="str">
        <f t="shared" si="12"/>
        <v/>
      </c>
      <c r="AF678" s="16" t="str">
        <f t="shared" si="13"/>
        <v/>
      </c>
      <c r="AG678" s="44"/>
      <c r="AH678" s="44"/>
      <c r="AI678" s="44" t="str">
        <f>IFERROR(__xludf.DUMMYFUNCTION("TEXTJOIN("", "",TRUE, FILTER(Data!P:P, Data!B:B=A678))"),"")</f>
        <v/>
      </c>
      <c r="AM678" s="61"/>
      <c r="BC678" s="50"/>
    </row>
    <row r="679">
      <c r="A679" s="14"/>
      <c r="B679" s="55" t="str">
        <f>IFERROR(__xludf.DUMMYFUNCTION("IFERROR(ROUND(
(COUNTIF(FILTER(Data!O:O, Data!B:B=A679), ""Win"")
+ COUNTIF(FILTER(Data!O:O, Data!B:B=A679), {""Tie"",""Results""}))
/ (COUNTIF(Data!B:B, A679)),
1),"""")"),"")</f>
        <v/>
      </c>
      <c r="C679" s="45" t="str">
        <f>IFERROR((SUMIF(Data!B:B, A679, Data!H:H)
/ (COUNTIF(Data!B:B, A679)
)),"")</f>
        <v/>
      </c>
      <c r="D679" s="45" t="str">
        <f>IFERROR((SUMIF(Data!B:B, A679, Data!G:G)
/ (COUNTIF(Data!B:B, A679)
)),"")</f>
        <v/>
      </c>
      <c r="E679" s="45"/>
      <c r="F679" s="45" t="str">
        <f>IFERROR((SUMIF(Data!B:B, A679, Data!J:J)
/ (COUNTIF(Data!B:B, A679)
)),"")</f>
        <v/>
      </c>
      <c r="G679" s="56" t="str">
        <f>IF(A679="","",IFERROR((((((SUMIF(Data!B:B, A679, Data!H:H)+(SUMIF(Data!B:B, A679,Data!G:G)))/(SUMIF(Data!B:B, A679, Data!J:J)))))),0))</f>
        <v/>
      </c>
      <c r="H679" s="45"/>
      <c r="I679" s="45"/>
      <c r="J679" s="45"/>
      <c r="K679" s="45"/>
      <c r="L679" s="45" t="str">
        <f>IFERROR((SUMIF(Data!B:B, A679, Data!L:L)
/ (COUNTIF(Data!B:B, A679)
)),"")</f>
        <v/>
      </c>
      <c r="M679" s="45" t="str">
        <f>IFERROR((SUMIF(Data!B:B, A679, Data!K:K)
/ (COUNTIF(Data!B:B, A679)
)),"")</f>
        <v/>
      </c>
      <c r="N679" s="56"/>
      <c r="O679" s="56" t="str">
        <f>IF(A679="","",IFERROR((((((SUMIF(Data!B:B, A679, Data!H:H)+(SUMIF(Data!B:B, A679,Data!G:G)+(SUMIF(Data!B:B, A679,Data!L:L)+(SUMIF(Data!B:B, A679,Data!K:K)))))/(SUMIF(Data!B:B, A679, Data!M:M)+(SUMIF(Data!B:B, A679, Data!H:H)+(SUMIF(Data!B:B, A679,Data!G:G)+(SUMIF(Data!B:B, A679,Data!K:K)+(SUMIF(Data!B:B, A679,Data!L:L)))))))))),0))</f>
        <v/>
      </c>
      <c r="P679" s="57" t="str">
        <f>IFERROR(__xludf.DUMMYFUNCTION("IFERROR(((COUNTIF(FILTER(Data!N:N,Data!B:B=A679),""TRAVERSE"")*15)+(COUNTIF(FILTER(Data!N:N,Data!B:B=A679),""HIGH"")*10)+(COUNTIF(FILTER(Data!N:N,Data!B:B=A679),""MIDDLE"")*6)+(COUNTIF(FILTER(Data!N:N,Data!B:B=A679),""LOW"")*4)) / (COUNTIF(Data!B:B, A679)"&amp;"),"""")"),"")</f>
        <v/>
      </c>
      <c r="Q679" s="58"/>
      <c r="R679" s="58"/>
      <c r="S679" s="58" t="str">
        <f>IFERROR(__xludf.DUMMYFUNCTION("IFERROR((((COUNTIF(FILTER(Data!N:N,Data!B:B=A679),""TRAVERSE""))+(COUNTIF(FILTER(Data!N:N,Data!B:B=A679),""HIGH""))+(COUNTIF(FILTER(Data!N:N,Data!B:B=A679),""MIDDLE""))+(COUNTIF(FILTER(Data!N:N,Data!B:B=A679),""LOW"")))) / (((COUNTIF(Data!B:B, A679)))-(CO"&amp;"UNTIF(FILTER(Data!N:N,Data!B:B=A679),""NONE""))),IF(ISBLANK(A679),"""",0))"),"")</f>
        <v/>
      </c>
      <c r="T679" s="56" t="str">
        <f>IFERROR(__xludf.DUMMYFUNCTION("IFERROR((COUNTIF(FILTER(Data!N:N, Data!B:B=A679),""LOW"")) / (COUNTIF(Data!B:B, A679)),"""")"),"")</f>
        <v/>
      </c>
      <c r="U679" s="59" t="str">
        <f>IFERROR(__xludf.DUMMYFUNCTION("IFERROR((COUNTIF(FILTER(Data!N:N, Data!B:B=A679),""MIDDLE"")) / (COUNTIF(Data!B:B, A679)),"""")"),"")</f>
        <v/>
      </c>
      <c r="V679" s="59" t="str">
        <f>IFERROR(__xludf.DUMMYFUNCTION("IFERROR((COUNTIF(FILTER(Data!N:N, Data!B:B=A679),""HIGH"")) / (COUNTIF(Data!B:B, A679)),"""")"),"")</f>
        <v/>
      </c>
      <c r="W679" s="59" t="str">
        <f>IFERROR(__xludf.DUMMYFUNCTION("IFERROR((COUNTIF(FILTER(Data!N:N, Data!B:B=A679),""TRAVERSE"")) / (COUNTIF(Data!B:B, A679)),"""")"),"")</f>
        <v/>
      </c>
      <c r="X679" s="59"/>
      <c r="Y679" s="45" t="str">
        <f t="shared" si="7"/>
        <v/>
      </c>
      <c r="Z679" s="45" t="str">
        <f t="shared" si="8"/>
        <v/>
      </c>
      <c r="AA679" s="16" t="str">
        <f t="shared" si="9"/>
        <v/>
      </c>
      <c r="AB679" s="16"/>
      <c r="AC679" s="16"/>
      <c r="AD679" s="16"/>
      <c r="AE679" s="16" t="str">
        <f t="shared" si="12"/>
        <v/>
      </c>
      <c r="AF679" s="16" t="str">
        <f t="shared" si="13"/>
        <v/>
      </c>
      <c r="AG679" s="44"/>
      <c r="AH679" s="44"/>
      <c r="AI679" s="44" t="str">
        <f>IFERROR(__xludf.DUMMYFUNCTION("TEXTJOIN("", "",TRUE, FILTER(Data!P:P, Data!B:B=A679))"),"")</f>
        <v/>
      </c>
      <c r="AM679" s="61"/>
      <c r="BC679" s="50"/>
    </row>
    <row r="680">
      <c r="A680" s="14"/>
      <c r="B680" s="55" t="str">
        <f>IFERROR(__xludf.DUMMYFUNCTION("IFERROR(ROUND(
(COUNTIF(FILTER(Data!O:O, Data!B:B=A680), ""Win"")
+ COUNTIF(FILTER(Data!O:O, Data!B:B=A680), {""Tie"",""Results""}))
/ (COUNTIF(Data!B:B, A680)),
1),"""")"),"")</f>
        <v/>
      </c>
      <c r="C680" s="45" t="str">
        <f>IFERROR((SUMIF(Data!B:B, A680, Data!H:H)
/ (COUNTIF(Data!B:B, A680)
)),"")</f>
        <v/>
      </c>
      <c r="D680" s="45" t="str">
        <f>IFERROR((SUMIF(Data!B:B, A680, Data!G:G)
/ (COUNTIF(Data!B:B, A680)
)),"")</f>
        <v/>
      </c>
      <c r="E680" s="45"/>
      <c r="F680" s="45" t="str">
        <f>IFERROR((SUMIF(Data!B:B, A680, Data!J:J)
/ (COUNTIF(Data!B:B, A680)
)),"")</f>
        <v/>
      </c>
      <c r="G680" s="56" t="str">
        <f>IF(A680="","",IFERROR((((((SUMIF(Data!B:B, A680, Data!H:H)+(SUMIF(Data!B:B, A680,Data!G:G)))/(SUMIF(Data!B:B, A680, Data!J:J)))))),0))</f>
        <v/>
      </c>
      <c r="H680" s="45"/>
      <c r="I680" s="45"/>
      <c r="J680" s="45"/>
      <c r="K680" s="45"/>
      <c r="L680" s="45" t="str">
        <f>IFERROR((SUMIF(Data!B:B, A680, Data!L:L)
/ (COUNTIF(Data!B:B, A680)
)),"")</f>
        <v/>
      </c>
      <c r="M680" s="45" t="str">
        <f>IFERROR((SUMIF(Data!B:B, A680, Data!K:K)
/ (COUNTIF(Data!B:B, A680)
)),"")</f>
        <v/>
      </c>
      <c r="N680" s="56"/>
      <c r="O680" s="56" t="str">
        <f>IF(A680="","",IFERROR((((((SUMIF(Data!B:B, A680, Data!H:H)+(SUMIF(Data!B:B, A680,Data!G:G)+(SUMIF(Data!B:B, A680,Data!L:L)+(SUMIF(Data!B:B, A680,Data!K:K)))))/(SUMIF(Data!B:B, A680, Data!M:M)+(SUMIF(Data!B:B, A680, Data!H:H)+(SUMIF(Data!B:B, A680,Data!G:G)+(SUMIF(Data!B:B, A680,Data!K:K)+(SUMIF(Data!B:B, A680,Data!L:L)))))))))),0))</f>
        <v/>
      </c>
      <c r="P680" s="57" t="str">
        <f>IFERROR(__xludf.DUMMYFUNCTION("IFERROR(((COUNTIF(FILTER(Data!N:N,Data!B:B=A680),""TRAVERSE"")*15)+(COUNTIF(FILTER(Data!N:N,Data!B:B=A680),""HIGH"")*10)+(COUNTIF(FILTER(Data!N:N,Data!B:B=A680),""MIDDLE"")*6)+(COUNTIF(FILTER(Data!N:N,Data!B:B=A680),""LOW"")*4)) / (COUNTIF(Data!B:B, A680)"&amp;"),"""")"),"")</f>
        <v/>
      </c>
      <c r="Q680" s="58"/>
      <c r="R680" s="58"/>
      <c r="S680" s="58" t="str">
        <f>IFERROR(__xludf.DUMMYFUNCTION("IFERROR((((COUNTIF(FILTER(Data!N:N,Data!B:B=A680),""TRAVERSE""))+(COUNTIF(FILTER(Data!N:N,Data!B:B=A680),""HIGH""))+(COUNTIF(FILTER(Data!N:N,Data!B:B=A680),""MIDDLE""))+(COUNTIF(FILTER(Data!N:N,Data!B:B=A680),""LOW"")))) / (((COUNTIF(Data!B:B, A680)))-(CO"&amp;"UNTIF(FILTER(Data!N:N,Data!B:B=A680),""NONE""))),IF(ISBLANK(A680),"""",0))"),"")</f>
        <v/>
      </c>
      <c r="T680" s="56" t="str">
        <f>IFERROR(__xludf.DUMMYFUNCTION("IFERROR((COUNTIF(FILTER(Data!N:N, Data!B:B=A680),""LOW"")) / (COUNTIF(Data!B:B, A680)),"""")"),"")</f>
        <v/>
      </c>
      <c r="U680" s="59" t="str">
        <f>IFERROR(__xludf.DUMMYFUNCTION("IFERROR((COUNTIF(FILTER(Data!N:N, Data!B:B=A680),""MIDDLE"")) / (COUNTIF(Data!B:B, A680)),"""")"),"")</f>
        <v/>
      </c>
      <c r="V680" s="59" t="str">
        <f>IFERROR(__xludf.DUMMYFUNCTION("IFERROR((COUNTIF(FILTER(Data!N:N, Data!B:B=A680),""HIGH"")) / (COUNTIF(Data!B:B, A680)),"""")"),"")</f>
        <v/>
      </c>
      <c r="W680" s="59" t="str">
        <f>IFERROR(__xludf.DUMMYFUNCTION("IFERROR((COUNTIF(FILTER(Data!N:N, Data!B:B=A680),""TRAVERSE"")) / (COUNTIF(Data!B:B, A680)),"""")"),"")</f>
        <v/>
      </c>
      <c r="X680" s="59"/>
      <c r="Y680" s="45" t="str">
        <f t="shared" si="7"/>
        <v/>
      </c>
      <c r="Z680" s="45" t="str">
        <f t="shared" si="8"/>
        <v/>
      </c>
      <c r="AA680" s="16" t="str">
        <f t="shared" si="9"/>
        <v/>
      </c>
      <c r="AB680" s="16"/>
      <c r="AC680" s="16"/>
      <c r="AD680" s="16"/>
      <c r="AE680" s="16" t="str">
        <f t="shared" si="12"/>
        <v/>
      </c>
      <c r="AF680" s="16" t="str">
        <f t="shared" si="13"/>
        <v/>
      </c>
      <c r="AG680" s="44"/>
      <c r="AH680" s="44"/>
      <c r="AI680" s="44" t="str">
        <f>IFERROR(__xludf.DUMMYFUNCTION("TEXTJOIN("", "",TRUE, FILTER(Data!P:P, Data!B:B=A680))"),"")</f>
        <v/>
      </c>
      <c r="AM680" s="61"/>
      <c r="BC680" s="50"/>
    </row>
    <row r="681">
      <c r="A681" s="14"/>
      <c r="B681" s="55" t="str">
        <f>IFERROR(__xludf.DUMMYFUNCTION("IFERROR(ROUND(
(COUNTIF(FILTER(Data!O:O, Data!B:B=A681), ""Win"")
+ COUNTIF(FILTER(Data!O:O, Data!B:B=A681), {""Tie"",""Results""}))
/ (COUNTIF(Data!B:B, A681)),
1),"""")"),"")</f>
        <v/>
      </c>
      <c r="C681" s="45" t="str">
        <f>IFERROR((SUMIF(Data!B:B, A681, Data!H:H)
/ (COUNTIF(Data!B:B, A681)
)),"")</f>
        <v/>
      </c>
      <c r="D681" s="45" t="str">
        <f>IFERROR((SUMIF(Data!B:B, A681, Data!G:G)
/ (COUNTIF(Data!B:B, A681)
)),"")</f>
        <v/>
      </c>
      <c r="E681" s="45"/>
      <c r="F681" s="45" t="str">
        <f>IFERROR((SUMIF(Data!B:B, A681, Data!J:J)
/ (COUNTIF(Data!B:B, A681)
)),"")</f>
        <v/>
      </c>
      <c r="G681" s="56" t="str">
        <f>IF(A681="","",IFERROR((((((SUMIF(Data!B:B, A681, Data!H:H)+(SUMIF(Data!B:B, A681,Data!G:G)))/(SUMIF(Data!B:B, A681, Data!J:J)))))),0))</f>
        <v/>
      </c>
      <c r="H681" s="45"/>
      <c r="I681" s="45"/>
      <c r="J681" s="45"/>
      <c r="K681" s="45"/>
      <c r="L681" s="45" t="str">
        <f>IFERROR((SUMIF(Data!B:B, A681, Data!L:L)
/ (COUNTIF(Data!B:B, A681)
)),"")</f>
        <v/>
      </c>
      <c r="M681" s="45" t="str">
        <f>IFERROR((SUMIF(Data!B:B, A681, Data!K:K)
/ (COUNTIF(Data!B:B, A681)
)),"")</f>
        <v/>
      </c>
      <c r="N681" s="56"/>
      <c r="O681" s="56" t="str">
        <f>IF(A681="","",IFERROR((((((SUMIF(Data!B:B, A681, Data!H:H)+(SUMIF(Data!B:B, A681,Data!G:G)+(SUMIF(Data!B:B, A681,Data!L:L)+(SUMIF(Data!B:B, A681,Data!K:K)))))/(SUMIF(Data!B:B, A681, Data!M:M)+(SUMIF(Data!B:B, A681, Data!H:H)+(SUMIF(Data!B:B, A681,Data!G:G)+(SUMIF(Data!B:B, A681,Data!K:K)+(SUMIF(Data!B:B, A681,Data!L:L)))))))))),0))</f>
        <v/>
      </c>
      <c r="P681" s="57" t="str">
        <f>IFERROR(__xludf.DUMMYFUNCTION("IFERROR(((COUNTIF(FILTER(Data!N:N,Data!B:B=A681),""TRAVERSE"")*15)+(COUNTIF(FILTER(Data!N:N,Data!B:B=A681),""HIGH"")*10)+(COUNTIF(FILTER(Data!N:N,Data!B:B=A681),""MIDDLE"")*6)+(COUNTIF(FILTER(Data!N:N,Data!B:B=A681),""LOW"")*4)) / (COUNTIF(Data!B:B, A681)"&amp;"),"""")"),"")</f>
        <v/>
      </c>
      <c r="Q681" s="58"/>
      <c r="R681" s="58"/>
      <c r="S681" s="58" t="str">
        <f>IFERROR(__xludf.DUMMYFUNCTION("IFERROR((((COUNTIF(FILTER(Data!N:N,Data!B:B=A681),""TRAVERSE""))+(COUNTIF(FILTER(Data!N:N,Data!B:B=A681),""HIGH""))+(COUNTIF(FILTER(Data!N:N,Data!B:B=A681),""MIDDLE""))+(COUNTIF(FILTER(Data!N:N,Data!B:B=A681),""LOW"")))) / (((COUNTIF(Data!B:B, A681)))-(CO"&amp;"UNTIF(FILTER(Data!N:N,Data!B:B=A681),""NONE""))),IF(ISBLANK(A681),"""",0))"),"")</f>
        <v/>
      </c>
      <c r="T681" s="56" t="str">
        <f>IFERROR(__xludf.DUMMYFUNCTION("IFERROR((COUNTIF(FILTER(Data!N:N, Data!B:B=A681),""LOW"")) / (COUNTIF(Data!B:B, A681)),"""")"),"")</f>
        <v/>
      </c>
      <c r="U681" s="59" t="str">
        <f>IFERROR(__xludf.DUMMYFUNCTION("IFERROR((COUNTIF(FILTER(Data!N:N, Data!B:B=A681),""MIDDLE"")) / (COUNTIF(Data!B:B, A681)),"""")"),"")</f>
        <v/>
      </c>
      <c r="V681" s="59" t="str">
        <f>IFERROR(__xludf.DUMMYFUNCTION("IFERROR((COUNTIF(FILTER(Data!N:N, Data!B:B=A681),""HIGH"")) / (COUNTIF(Data!B:B, A681)),"""")"),"")</f>
        <v/>
      </c>
      <c r="W681" s="59" t="str">
        <f>IFERROR(__xludf.DUMMYFUNCTION("IFERROR((COUNTIF(FILTER(Data!N:N, Data!B:B=A681),""TRAVERSE"")) / (COUNTIF(Data!B:B, A681)),"""")"),"")</f>
        <v/>
      </c>
      <c r="X681" s="59"/>
      <c r="Y681" s="45" t="str">
        <f t="shared" si="7"/>
        <v/>
      </c>
      <c r="Z681" s="45" t="str">
        <f t="shared" si="8"/>
        <v/>
      </c>
      <c r="AA681" s="16" t="str">
        <f t="shared" si="9"/>
        <v/>
      </c>
      <c r="AB681" s="16"/>
      <c r="AC681" s="16"/>
      <c r="AD681" s="16"/>
      <c r="AE681" s="16" t="str">
        <f t="shared" si="12"/>
        <v/>
      </c>
      <c r="AF681" s="16" t="str">
        <f t="shared" si="13"/>
        <v/>
      </c>
      <c r="AG681" s="44"/>
      <c r="AH681" s="44"/>
      <c r="AI681" s="44" t="str">
        <f>IFERROR(__xludf.DUMMYFUNCTION("TEXTJOIN("", "",TRUE, FILTER(Data!P:P, Data!B:B=A681))"),"")</f>
        <v/>
      </c>
      <c r="AM681" s="61"/>
      <c r="BC681" s="50"/>
    </row>
    <row r="682">
      <c r="A682" s="14"/>
      <c r="B682" s="55" t="str">
        <f>IFERROR(__xludf.DUMMYFUNCTION("IFERROR(ROUND(
(COUNTIF(FILTER(Data!O:O, Data!B:B=A682), ""Win"")
+ COUNTIF(FILTER(Data!O:O, Data!B:B=A682), {""Tie"",""Results""}))
/ (COUNTIF(Data!B:B, A682)),
1),"""")"),"")</f>
        <v/>
      </c>
      <c r="C682" s="45" t="str">
        <f>IFERROR((SUMIF(Data!B:B, A682, Data!H:H)
/ (COUNTIF(Data!B:B, A682)
)),"")</f>
        <v/>
      </c>
      <c r="D682" s="45" t="str">
        <f>IFERROR((SUMIF(Data!B:B, A682, Data!G:G)
/ (COUNTIF(Data!B:B, A682)
)),"")</f>
        <v/>
      </c>
      <c r="E682" s="45"/>
      <c r="F682" s="45" t="str">
        <f>IFERROR((SUMIF(Data!B:B, A682, Data!J:J)
/ (COUNTIF(Data!B:B, A682)
)),"")</f>
        <v/>
      </c>
      <c r="G682" s="56" t="str">
        <f>IF(A682="","",IFERROR((((((SUMIF(Data!B:B, A682, Data!H:H)+(SUMIF(Data!B:B, A682,Data!G:G)))/(SUMIF(Data!B:B, A682, Data!J:J)))))),0))</f>
        <v/>
      </c>
      <c r="H682" s="45"/>
      <c r="I682" s="45"/>
      <c r="J682" s="45"/>
      <c r="K682" s="45"/>
      <c r="L682" s="45" t="str">
        <f>IFERROR((SUMIF(Data!B:B, A682, Data!L:L)
/ (COUNTIF(Data!B:B, A682)
)),"")</f>
        <v/>
      </c>
      <c r="M682" s="45" t="str">
        <f>IFERROR((SUMIF(Data!B:B, A682, Data!K:K)
/ (COUNTIF(Data!B:B, A682)
)),"")</f>
        <v/>
      </c>
      <c r="N682" s="56"/>
      <c r="O682" s="56" t="str">
        <f>IF(A682="","",IFERROR((((((SUMIF(Data!B:B, A682, Data!H:H)+(SUMIF(Data!B:B, A682,Data!G:G)+(SUMIF(Data!B:B, A682,Data!L:L)+(SUMIF(Data!B:B, A682,Data!K:K)))))/(SUMIF(Data!B:B, A682, Data!M:M)+(SUMIF(Data!B:B, A682, Data!H:H)+(SUMIF(Data!B:B, A682,Data!G:G)+(SUMIF(Data!B:B, A682,Data!K:K)+(SUMIF(Data!B:B, A682,Data!L:L)))))))))),0))</f>
        <v/>
      </c>
      <c r="P682" s="57" t="str">
        <f>IFERROR(__xludf.DUMMYFUNCTION("IFERROR(((COUNTIF(FILTER(Data!N:N,Data!B:B=A682),""TRAVERSE"")*15)+(COUNTIF(FILTER(Data!N:N,Data!B:B=A682),""HIGH"")*10)+(COUNTIF(FILTER(Data!N:N,Data!B:B=A682),""MIDDLE"")*6)+(COUNTIF(FILTER(Data!N:N,Data!B:B=A682),""LOW"")*4)) / (COUNTIF(Data!B:B, A682)"&amp;"),"""")"),"")</f>
        <v/>
      </c>
      <c r="Q682" s="58"/>
      <c r="R682" s="58"/>
      <c r="S682" s="58" t="str">
        <f>IFERROR(__xludf.DUMMYFUNCTION("IFERROR((((COUNTIF(FILTER(Data!N:N,Data!B:B=A682),""TRAVERSE""))+(COUNTIF(FILTER(Data!N:N,Data!B:B=A682),""HIGH""))+(COUNTIF(FILTER(Data!N:N,Data!B:B=A682),""MIDDLE""))+(COUNTIF(FILTER(Data!N:N,Data!B:B=A682),""LOW"")))) / (((COUNTIF(Data!B:B, A682)))-(CO"&amp;"UNTIF(FILTER(Data!N:N,Data!B:B=A682),""NONE""))),IF(ISBLANK(A682),"""",0))"),"")</f>
        <v/>
      </c>
      <c r="T682" s="56" t="str">
        <f>IFERROR(__xludf.DUMMYFUNCTION("IFERROR((COUNTIF(FILTER(Data!N:N, Data!B:B=A682),""LOW"")) / (COUNTIF(Data!B:B, A682)),"""")"),"")</f>
        <v/>
      </c>
      <c r="U682" s="59" t="str">
        <f>IFERROR(__xludf.DUMMYFUNCTION("IFERROR((COUNTIF(FILTER(Data!N:N, Data!B:B=A682),""MIDDLE"")) / (COUNTIF(Data!B:B, A682)),"""")"),"")</f>
        <v/>
      </c>
      <c r="V682" s="59" t="str">
        <f>IFERROR(__xludf.DUMMYFUNCTION("IFERROR((COUNTIF(FILTER(Data!N:N, Data!B:B=A682),""HIGH"")) / (COUNTIF(Data!B:B, A682)),"""")"),"")</f>
        <v/>
      </c>
      <c r="W682" s="59" t="str">
        <f>IFERROR(__xludf.DUMMYFUNCTION("IFERROR((COUNTIF(FILTER(Data!N:N, Data!B:B=A682),""TRAVERSE"")) / (COUNTIF(Data!B:B, A682)),"""")"),"")</f>
        <v/>
      </c>
      <c r="X682" s="59"/>
      <c r="Y682" s="45" t="str">
        <f t="shared" si="7"/>
        <v/>
      </c>
      <c r="Z682" s="45" t="str">
        <f t="shared" si="8"/>
        <v/>
      </c>
      <c r="AA682" s="16" t="str">
        <f t="shared" si="9"/>
        <v/>
      </c>
      <c r="AB682" s="16"/>
      <c r="AC682" s="16"/>
      <c r="AD682" s="16"/>
      <c r="AE682" s="16" t="str">
        <f t="shared" si="12"/>
        <v/>
      </c>
      <c r="AF682" s="16" t="str">
        <f t="shared" si="13"/>
        <v/>
      </c>
      <c r="AG682" s="44"/>
      <c r="AH682" s="44"/>
      <c r="AI682" s="44" t="str">
        <f>IFERROR(__xludf.DUMMYFUNCTION("TEXTJOIN("", "",TRUE, FILTER(Data!P:P, Data!B:B=A682))"),"")</f>
        <v/>
      </c>
      <c r="AM682" s="61"/>
      <c r="BC682" s="50"/>
    </row>
    <row r="683">
      <c r="A683" s="14"/>
      <c r="B683" s="55" t="str">
        <f>IFERROR(__xludf.DUMMYFUNCTION("IFERROR(ROUND(
(COUNTIF(FILTER(Data!O:O, Data!B:B=A683), ""Win"")
+ COUNTIF(FILTER(Data!O:O, Data!B:B=A683), {""Tie"",""Results""}))
/ (COUNTIF(Data!B:B, A683)),
1),"""")"),"")</f>
        <v/>
      </c>
      <c r="C683" s="45" t="str">
        <f>IFERROR((SUMIF(Data!B:B, A683, Data!H:H)
/ (COUNTIF(Data!B:B, A683)
)),"")</f>
        <v/>
      </c>
      <c r="D683" s="45" t="str">
        <f>IFERROR((SUMIF(Data!B:B, A683, Data!G:G)
/ (COUNTIF(Data!B:B, A683)
)),"")</f>
        <v/>
      </c>
      <c r="E683" s="45"/>
      <c r="F683" s="45" t="str">
        <f>IFERROR((SUMIF(Data!B:B, A683, Data!J:J)
/ (COUNTIF(Data!B:B, A683)
)),"")</f>
        <v/>
      </c>
      <c r="G683" s="56" t="str">
        <f>IF(A683="","",IFERROR((((((SUMIF(Data!B:B, A683, Data!H:H)+(SUMIF(Data!B:B, A683,Data!G:G)))/(SUMIF(Data!B:B, A683, Data!J:J)))))),0))</f>
        <v/>
      </c>
      <c r="H683" s="45"/>
      <c r="I683" s="45"/>
      <c r="J683" s="45"/>
      <c r="K683" s="45"/>
      <c r="L683" s="45" t="str">
        <f>IFERROR((SUMIF(Data!B:B, A683, Data!L:L)
/ (COUNTIF(Data!B:B, A683)
)),"")</f>
        <v/>
      </c>
      <c r="M683" s="45" t="str">
        <f>IFERROR((SUMIF(Data!B:B, A683, Data!K:K)
/ (COUNTIF(Data!B:B, A683)
)),"")</f>
        <v/>
      </c>
      <c r="N683" s="56"/>
      <c r="O683" s="56" t="str">
        <f>IF(A683="","",IFERROR((((((SUMIF(Data!B:B, A683, Data!H:H)+(SUMIF(Data!B:B, A683,Data!G:G)+(SUMIF(Data!B:B, A683,Data!L:L)+(SUMIF(Data!B:B, A683,Data!K:K)))))/(SUMIF(Data!B:B, A683, Data!M:M)+(SUMIF(Data!B:B, A683, Data!H:H)+(SUMIF(Data!B:B, A683,Data!G:G)+(SUMIF(Data!B:B, A683,Data!K:K)+(SUMIF(Data!B:B, A683,Data!L:L)))))))))),0))</f>
        <v/>
      </c>
      <c r="P683" s="57" t="str">
        <f>IFERROR(__xludf.DUMMYFUNCTION("IFERROR(((COUNTIF(FILTER(Data!N:N,Data!B:B=A683),""TRAVERSE"")*15)+(COUNTIF(FILTER(Data!N:N,Data!B:B=A683),""HIGH"")*10)+(COUNTIF(FILTER(Data!N:N,Data!B:B=A683),""MIDDLE"")*6)+(COUNTIF(FILTER(Data!N:N,Data!B:B=A683),""LOW"")*4)) / (COUNTIF(Data!B:B, A683)"&amp;"),"""")"),"")</f>
        <v/>
      </c>
      <c r="Q683" s="58"/>
      <c r="R683" s="58"/>
      <c r="S683" s="58" t="str">
        <f>IFERROR(__xludf.DUMMYFUNCTION("IFERROR((((COUNTIF(FILTER(Data!N:N,Data!B:B=A683),""TRAVERSE""))+(COUNTIF(FILTER(Data!N:N,Data!B:B=A683),""HIGH""))+(COUNTIF(FILTER(Data!N:N,Data!B:B=A683),""MIDDLE""))+(COUNTIF(FILTER(Data!N:N,Data!B:B=A683),""LOW"")))) / (((COUNTIF(Data!B:B, A683)))-(CO"&amp;"UNTIF(FILTER(Data!N:N,Data!B:B=A683),""NONE""))),IF(ISBLANK(A683),"""",0))"),"")</f>
        <v/>
      </c>
      <c r="T683" s="56" t="str">
        <f>IFERROR(__xludf.DUMMYFUNCTION("IFERROR((COUNTIF(FILTER(Data!N:N, Data!B:B=A683),""LOW"")) / (COUNTIF(Data!B:B, A683)),"""")"),"")</f>
        <v/>
      </c>
      <c r="U683" s="59" t="str">
        <f>IFERROR(__xludf.DUMMYFUNCTION("IFERROR((COUNTIF(FILTER(Data!N:N, Data!B:B=A683),""MIDDLE"")) / (COUNTIF(Data!B:B, A683)),"""")"),"")</f>
        <v/>
      </c>
      <c r="V683" s="59" t="str">
        <f>IFERROR(__xludf.DUMMYFUNCTION("IFERROR((COUNTIF(FILTER(Data!N:N, Data!B:B=A683),""HIGH"")) / (COUNTIF(Data!B:B, A683)),"""")"),"")</f>
        <v/>
      </c>
      <c r="W683" s="59" t="str">
        <f>IFERROR(__xludf.DUMMYFUNCTION("IFERROR((COUNTIF(FILTER(Data!N:N, Data!B:B=A683),""TRAVERSE"")) / (COUNTIF(Data!B:B, A683)),"""")"),"")</f>
        <v/>
      </c>
      <c r="X683" s="59"/>
      <c r="Y683" s="45" t="str">
        <f t="shared" si="7"/>
        <v/>
      </c>
      <c r="Z683" s="45" t="str">
        <f t="shared" si="8"/>
        <v/>
      </c>
      <c r="AA683" s="16" t="str">
        <f t="shared" si="9"/>
        <v/>
      </c>
      <c r="AB683" s="16"/>
      <c r="AC683" s="16"/>
      <c r="AD683" s="16"/>
      <c r="AE683" s="16" t="str">
        <f t="shared" si="12"/>
        <v/>
      </c>
      <c r="AF683" s="16" t="str">
        <f t="shared" si="13"/>
        <v/>
      </c>
      <c r="AG683" s="44"/>
      <c r="AH683" s="44"/>
      <c r="AI683" s="44" t="str">
        <f>IFERROR(__xludf.DUMMYFUNCTION("TEXTJOIN("", "",TRUE, FILTER(Data!P:P, Data!B:B=A683))"),"")</f>
        <v/>
      </c>
      <c r="AM683" s="61"/>
      <c r="BC683" s="50"/>
    </row>
    <row r="684">
      <c r="A684" s="14"/>
      <c r="B684" s="55" t="str">
        <f>IFERROR(__xludf.DUMMYFUNCTION("IFERROR(ROUND(
(COUNTIF(FILTER(Data!O:O, Data!B:B=A684), ""Win"")
+ COUNTIF(FILTER(Data!O:O, Data!B:B=A684), {""Tie"",""Results""}))
/ (COUNTIF(Data!B:B, A684)),
1),"""")"),"")</f>
        <v/>
      </c>
      <c r="C684" s="45" t="str">
        <f>IFERROR((SUMIF(Data!B:B, A684, Data!H:H)
/ (COUNTIF(Data!B:B, A684)
)),"")</f>
        <v/>
      </c>
      <c r="D684" s="45" t="str">
        <f>IFERROR((SUMIF(Data!B:B, A684, Data!G:G)
/ (COUNTIF(Data!B:B, A684)
)),"")</f>
        <v/>
      </c>
      <c r="E684" s="45"/>
      <c r="F684" s="45" t="str">
        <f>IFERROR((SUMIF(Data!B:B, A684, Data!J:J)
/ (COUNTIF(Data!B:B, A684)
)),"")</f>
        <v/>
      </c>
      <c r="G684" s="56" t="str">
        <f>IF(A684="","",IFERROR((((((SUMIF(Data!B:B, A684, Data!H:H)+(SUMIF(Data!B:B, A684,Data!G:G)))/(SUMIF(Data!B:B, A684, Data!J:J)))))),0))</f>
        <v/>
      </c>
      <c r="H684" s="45"/>
      <c r="I684" s="45"/>
      <c r="J684" s="45"/>
      <c r="K684" s="45"/>
      <c r="L684" s="45" t="str">
        <f>IFERROR((SUMIF(Data!B:B, A684, Data!L:L)
/ (COUNTIF(Data!B:B, A684)
)),"")</f>
        <v/>
      </c>
      <c r="M684" s="45" t="str">
        <f>IFERROR((SUMIF(Data!B:B, A684, Data!K:K)
/ (COUNTIF(Data!B:B, A684)
)),"")</f>
        <v/>
      </c>
      <c r="N684" s="56"/>
      <c r="O684" s="56" t="str">
        <f>IF(A684="","",IFERROR((((((SUMIF(Data!B:B, A684, Data!H:H)+(SUMIF(Data!B:B, A684,Data!G:G)+(SUMIF(Data!B:B, A684,Data!L:L)+(SUMIF(Data!B:B, A684,Data!K:K)))))/(SUMIF(Data!B:B, A684, Data!M:M)+(SUMIF(Data!B:B, A684, Data!H:H)+(SUMIF(Data!B:B, A684,Data!G:G)+(SUMIF(Data!B:B, A684,Data!K:K)+(SUMIF(Data!B:B, A684,Data!L:L)))))))))),0))</f>
        <v/>
      </c>
      <c r="P684" s="57" t="str">
        <f>IFERROR(__xludf.DUMMYFUNCTION("IFERROR(((COUNTIF(FILTER(Data!N:N,Data!B:B=A684),""TRAVERSE"")*15)+(COUNTIF(FILTER(Data!N:N,Data!B:B=A684),""HIGH"")*10)+(COUNTIF(FILTER(Data!N:N,Data!B:B=A684),""MIDDLE"")*6)+(COUNTIF(FILTER(Data!N:N,Data!B:B=A684),""LOW"")*4)) / (COUNTIF(Data!B:B, A684)"&amp;"),"""")"),"")</f>
        <v/>
      </c>
      <c r="Q684" s="58"/>
      <c r="R684" s="58"/>
      <c r="S684" s="58" t="str">
        <f>IFERROR(__xludf.DUMMYFUNCTION("IFERROR((((COUNTIF(FILTER(Data!N:N,Data!B:B=A684),""TRAVERSE""))+(COUNTIF(FILTER(Data!N:N,Data!B:B=A684),""HIGH""))+(COUNTIF(FILTER(Data!N:N,Data!B:B=A684),""MIDDLE""))+(COUNTIF(FILTER(Data!N:N,Data!B:B=A684),""LOW"")))) / (((COUNTIF(Data!B:B, A684)))-(CO"&amp;"UNTIF(FILTER(Data!N:N,Data!B:B=A684),""NONE""))),IF(ISBLANK(A684),"""",0))"),"")</f>
        <v/>
      </c>
      <c r="T684" s="56" t="str">
        <f>IFERROR(__xludf.DUMMYFUNCTION("IFERROR((COUNTIF(FILTER(Data!N:N, Data!B:B=A684),""LOW"")) / (COUNTIF(Data!B:B, A684)),"""")"),"")</f>
        <v/>
      </c>
      <c r="U684" s="59" t="str">
        <f>IFERROR(__xludf.DUMMYFUNCTION("IFERROR((COUNTIF(FILTER(Data!N:N, Data!B:B=A684),""MIDDLE"")) / (COUNTIF(Data!B:B, A684)),"""")"),"")</f>
        <v/>
      </c>
      <c r="V684" s="59" t="str">
        <f>IFERROR(__xludf.DUMMYFUNCTION("IFERROR((COUNTIF(FILTER(Data!N:N, Data!B:B=A684),""HIGH"")) / (COUNTIF(Data!B:B, A684)),"""")"),"")</f>
        <v/>
      </c>
      <c r="W684" s="59" t="str">
        <f>IFERROR(__xludf.DUMMYFUNCTION("IFERROR((COUNTIF(FILTER(Data!N:N, Data!B:B=A684),""TRAVERSE"")) / (COUNTIF(Data!B:B, A684)),"""")"),"")</f>
        <v/>
      </c>
      <c r="X684" s="59"/>
      <c r="Y684" s="45" t="str">
        <f t="shared" si="7"/>
        <v/>
      </c>
      <c r="Z684" s="45" t="str">
        <f t="shared" si="8"/>
        <v/>
      </c>
      <c r="AA684" s="16" t="str">
        <f t="shared" si="9"/>
        <v/>
      </c>
      <c r="AB684" s="16"/>
      <c r="AC684" s="16"/>
      <c r="AD684" s="16"/>
      <c r="AE684" s="16" t="str">
        <f t="shared" si="12"/>
        <v/>
      </c>
      <c r="AF684" s="16" t="str">
        <f t="shared" si="13"/>
        <v/>
      </c>
      <c r="AG684" s="44"/>
      <c r="AH684" s="44"/>
      <c r="AI684" s="44" t="str">
        <f>IFERROR(__xludf.DUMMYFUNCTION("TEXTJOIN("", "",TRUE, FILTER(Data!P:P, Data!B:B=A684))"),"")</f>
        <v/>
      </c>
      <c r="AM684" s="61"/>
      <c r="BC684" s="50"/>
    </row>
    <row r="685">
      <c r="A685" s="14"/>
      <c r="B685" s="55" t="str">
        <f>IFERROR(__xludf.DUMMYFUNCTION("IFERROR(ROUND(
(COUNTIF(FILTER(Data!O:O, Data!B:B=A685), ""Win"")
+ COUNTIF(FILTER(Data!O:O, Data!B:B=A685), {""Tie"",""Results""}))
/ (COUNTIF(Data!B:B, A685)),
1),"""")"),"")</f>
        <v/>
      </c>
      <c r="C685" s="45" t="str">
        <f>IFERROR((SUMIF(Data!B:B, A685, Data!H:H)
/ (COUNTIF(Data!B:B, A685)
)),"")</f>
        <v/>
      </c>
      <c r="D685" s="45" t="str">
        <f>IFERROR((SUMIF(Data!B:B, A685, Data!G:G)
/ (COUNTIF(Data!B:B, A685)
)),"")</f>
        <v/>
      </c>
      <c r="E685" s="45"/>
      <c r="F685" s="45" t="str">
        <f>IFERROR((SUMIF(Data!B:B, A685, Data!J:J)
/ (COUNTIF(Data!B:B, A685)
)),"")</f>
        <v/>
      </c>
      <c r="G685" s="56" t="str">
        <f>IF(A685="","",IFERROR((((((SUMIF(Data!B:B, A685, Data!H:H)+(SUMIF(Data!B:B, A685,Data!G:G)))/(SUMIF(Data!B:B, A685, Data!J:J)))))),0))</f>
        <v/>
      </c>
      <c r="H685" s="45"/>
      <c r="I685" s="45"/>
      <c r="J685" s="45"/>
      <c r="K685" s="45"/>
      <c r="L685" s="45" t="str">
        <f>IFERROR((SUMIF(Data!B:B, A685, Data!L:L)
/ (COUNTIF(Data!B:B, A685)
)),"")</f>
        <v/>
      </c>
      <c r="M685" s="45" t="str">
        <f>IFERROR((SUMIF(Data!B:B, A685, Data!K:K)
/ (COUNTIF(Data!B:B, A685)
)),"")</f>
        <v/>
      </c>
      <c r="N685" s="56"/>
      <c r="O685" s="56" t="str">
        <f>IF(A685="","",IFERROR((((((SUMIF(Data!B:B, A685, Data!H:H)+(SUMIF(Data!B:B, A685,Data!G:G)+(SUMIF(Data!B:B, A685,Data!L:L)+(SUMIF(Data!B:B, A685,Data!K:K)))))/(SUMIF(Data!B:B, A685, Data!M:M)+(SUMIF(Data!B:B, A685, Data!H:H)+(SUMIF(Data!B:B, A685,Data!G:G)+(SUMIF(Data!B:B, A685,Data!K:K)+(SUMIF(Data!B:B, A685,Data!L:L)))))))))),0))</f>
        <v/>
      </c>
      <c r="P685" s="57" t="str">
        <f>IFERROR(__xludf.DUMMYFUNCTION("IFERROR(((COUNTIF(FILTER(Data!N:N,Data!B:B=A685),""TRAVERSE"")*15)+(COUNTIF(FILTER(Data!N:N,Data!B:B=A685),""HIGH"")*10)+(COUNTIF(FILTER(Data!N:N,Data!B:B=A685),""MIDDLE"")*6)+(COUNTIF(FILTER(Data!N:N,Data!B:B=A685),""LOW"")*4)) / (COUNTIF(Data!B:B, A685)"&amp;"),"""")"),"")</f>
        <v/>
      </c>
      <c r="Q685" s="58"/>
      <c r="R685" s="58"/>
      <c r="S685" s="58" t="str">
        <f>IFERROR(__xludf.DUMMYFUNCTION("IFERROR((((COUNTIF(FILTER(Data!N:N,Data!B:B=A685),""TRAVERSE""))+(COUNTIF(FILTER(Data!N:N,Data!B:B=A685),""HIGH""))+(COUNTIF(FILTER(Data!N:N,Data!B:B=A685),""MIDDLE""))+(COUNTIF(FILTER(Data!N:N,Data!B:B=A685),""LOW"")))) / (((COUNTIF(Data!B:B, A685)))-(CO"&amp;"UNTIF(FILTER(Data!N:N,Data!B:B=A685),""NONE""))),IF(ISBLANK(A685),"""",0))"),"")</f>
        <v/>
      </c>
      <c r="T685" s="56" t="str">
        <f>IFERROR(__xludf.DUMMYFUNCTION("IFERROR((COUNTIF(FILTER(Data!N:N, Data!B:B=A685),""LOW"")) / (COUNTIF(Data!B:B, A685)),"""")"),"")</f>
        <v/>
      </c>
      <c r="U685" s="59" t="str">
        <f>IFERROR(__xludf.DUMMYFUNCTION("IFERROR((COUNTIF(FILTER(Data!N:N, Data!B:B=A685),""MIDDLE"")) / (COUNTIF(Data!B:B, A685)),"""")"),"")</f>
        <v/>
      </c>
      <c r="V685" s="59" t="str">
        <f>IFERROR(__xludf.DUMMYFUNCTION("IFERROR((COUNTIF(FILTER(Data!N:N, Data!B:B=A685),""HIGH"")) / (COUNTIF(Data!B:B, A685)),"""")"),"")</f>
        <v/>
      </c>
      <c r="W685" s="59" t="str">
        <f>IFERROR(__xludf.DUMMYFUNCTION("IFERROR((COUNTIF(FILTER(Data!N:N, Data!B:B=A685),""TRAVERSE"")) / (COUNTIF(Data!B:B, A685)),"""")"),"")</f>
        <v/>
      </c>
      <c r="X685" s="59"/>
      <c r="Y685" s="45" t="str">
        <f t="shared" si="7"/>
        <v/>
      </c>
      <c r="Z685" s="45" t="str">
        <f t="shared" si="8"/>
        <v/>
      </c>
      <c r="AA685" s="16" t="str">
        <f t="shared" si="9"/>
        <v/>
      </c>
      <c r="AB685" s="16"/>
      <c r="AC685" s="16"/>
      <c r="AD685" s="16"/>
      <c r="AE685" s="16" t="str">
        <f t="shared" si="12"/>
        <v/>
      </c>
      <c r="AF685" s="16" t="str">
        <f t="shared" si="13"/>
        <v/>
      </c>
      <c r="AG685" s="44"/>
      <c r="AH685" s="44"/>
      <c r="AI685" s="44" t="str">
        <f>IFERROR(__xludf.DUMMYFUNCTION("TEXTJOIN("", "",TRUE, FILTER(Data!P:P, Data!B:B=A685))"),"")</f>
        <v/>
      </c>
      <c r="AM685" s="61"/>
      <c r="BC685" s="50"/>
    </row>
    <row r="686">
      <c r="A686" s="14"/>
      <c r="B686" s="55" t="str">
        <f>IFERROR(__xludf.DUMMYFUNCTION("IFERROR(ROUND(
(COUNTIF(FILTER(Data!O:O, Data!B:B=A686), ""Win"")
+ COUNTIF(FILTER(Data!O:O, Data!B:B=A686), {""Tie"",""Results""}))
/ (COUNTIF(Data!B:B, A686)),
1),"""")"),"")</f>
        <v/>
      </c>
      <c r="C686" s="45" t="str">
        <f>IFERROR((SUMIF(Data!B:B, A686, Data!H:H)
/ (COUNTIF(Data!B:B, A686)
)),"")</f>
        <v/>
      </c>
      <c r="D686" s="45" t="str">
        <f>IFERROR((SUMIF(Data!B:B, A686, Data!G:G)
/ (COUNTIF(Data!B:B, A686)
)),"")</f>
        <v/>
      </c>
      <c r="E686" s="45"/>
      <c r="F686" s="45" t="str">
        <f>IFERROR((SUMIF(Data!B:B, A686, Data!J:J)
/ (COUNTIF(Data!B:B, A686)
)),"")</f>
        <v/>
      </c>
      <c r="G686" s="56" t="str">
        <f>IF(A686="","",IFERROR((((((SUMIF(Data!B:B, A686, Data!H:H)+(SUMIF(Data!B:B, A686,Data!G:G)))/(SUMIF(Data!B:B, A686, Data!J:J)))))),0))</f>
        <v/>
      </c>
      <c r="H686" s="45"/>
      <c r="I686" s="45"/>
      <c r="J686" s="45"/>
      <c r="K686" s="45"/>
      <c r="L686" s="45" t="str">
        <f>IFERROR((SUMIF(Data!B:B, A686, Data!L:L)
/ (COUNTIF(Data!B:B, A686)
)),"")</f>
        <v/>
      </c>
      <c r="M686" s="45" t="str">
        <f>IFERROR((SUMIF(Data!B:B, A686, Data!K:K)
/ (COUNTIF(Data!B:B, A686)
)),"")</f>
        <v/>
      </c>
      <c r="N686" s="56"/>
      <c r="O686" s="56" t="str">
        <f>IF(A686="","",IFERROR((((((SUMIF(Data!B:B, A686, Data!H:H)+(SUMIF(Data!B:B, A686,Data!G:G)+(SUMIF(Data!B:B, A686,Data!L:L)+(SUMIF(Data!B:B, A686,Data!K:K)))))/(SUMIF(Data!B:B, A686, Data!M:M)+(SUMIF(Data!B:B, A686, Data!H:H)+(SUMIF(Data!B:B, A686,Data!G:G)+(SUMIF(Data!B:B, A686,Data!K:K)+(SUMIF(Data!B:B, A686,Data!L:L)))))))))),0))</f>
        <v/>
      </c>
      <c r="P686" s="57" t="str">
        <f>IFERROR(__xludf.DUMMYFUNCTION("IFERROR(((COUNTIF(FILTER(Data!N:N,Data!B:B=A686),""TRAVERSE"")*15)+(COUNTIF(FILTER(Data!N:N,Data!B:B=A686),""HIGH"")*10)+(COUNTIF(FILTER(Data!N:N,Data!B:B=A686),""MIDDLE"")*6)+(COUNTIF(FILTER(Data!N:N,Data!B:B=A686),""LOW"")*4)) / (COUNTIF(Data!B:B, A686)"&amp;"),"""")"),"")</f>
        <v/>
      </c>
      <c r="Q686" s="58"/>
      <c r="R686" s="58"/>
      <c r="S686" s="58" t="str">
        <f>IFERROR(__xludf.DUMMYFUNCTION("IFERROR((((COUNTIF(FILTER(Data!N:N,Data!B:B=A686),""TRAVERSE""))+(COUNTIF(FILTER(Data!N:N,Data!B:B=A686),""HIGH""))+(COUNTIF(FILTER(Data!N:N,Data!B:B=A686),""MIDDLE""))+(COUNTIF(FILTER(Data!N:N,Data!B:B=A686),""LOW"")))) / (((COUNTIF(Data!B:B, A686)))-(CO"&amp;"UNTIF(FILTER(Data!N:N,Data!B:B=A686),""NONE""))),IF(ISBLANK(A686),"""",0))"),"")</f>
        <v/>
      </c>
      <c r="T686" s="56" t="str">
        <f>IFERROR(__xludf.DUMMYFUNCTION("IFERROR((COUNTIF(FILTER(Data!N:N, Data!B:B=A686),""LOW"")) / (COUNTIF(Data!B:B, A686)),"""")"),"")</f>
        <v/>
      </c>
      <c r="U686" s="59" t="str">
        <f>IFERROR(__xludf.DUMMYFUNCTION("IFERROR((COUNTIF(FILTER(Data!N:N, Data!B:B=A686),""MIDDLE"")) / (COUNTIF(Data!B:B, A686)),"""")"),"")</f>
        <v/>
      </c>
      <c r="V686" s="59" t="str">
        <f>IFERROR(__xludf.DUMMYFUNCTION("IFERROR((COUNTIF(FILTER(Data!N:N, Data!B:B=A686),""HIGH"")) / (COUNTIF(Data!B:B, A686)),"""")"),"")</f>
        <v/>
      </c>
      <c r="W686" s="59" t="str">
        <f>IFERROR(__xludf.DUMMYFUNCTION("IFERROR((COUNTIF(FILTER(Data!N:N, Data!B:B=A686),""TRAVERSE"")) / (COUNTIF(Data!B:B, A686)),"""")"),"")</f>
        <v/>
      </c>
      <c r="X686" s="59"/>
      <c r="Y686" s="45" t="str">
        <f t="shared" si="7"/>
        <v/>
      </c>
      <c r="Z686" s="45" t="str">
        <f t="shared" si="8"/>
        <v/>
      </c>
      <c r="AA686" s="16" t="str">
        <f t="shared" si="9"/>
        <v/>
      </c>
      <c r="AB686" s="16"/>
      <c r="AC686" s="16"/>
      <c r="AD686" s="16"/>
      <c r="AE686" s="16" t="str">
        <f t="shared" si="12"/>
        <v/>
      </c>
      <c r="AF686" s="16" t="str">
        <f t="shared" si="13"/>
        <v/>
      </c>
      <c r="AG686" s="44"/>
      <c r="AH686" s="44"/>
      <c r="AI686" s="44" t="str">
        <f>IFERROR(__xludf.DUMMYFUNCTION("TEXTJOIN("", "",TRUE, FILTER(Data!P:P, Data!B:B=A686))"),"")</f>
        <v/>
      </c>
      <c r="AM686" s="61"/>
      <c r="BC686" s="50"/>
    </row>
    <row r="687">
      <c r="A687" s="14"/>
      <c r="B687" s="55" t="str">
        <f>IFERROR(__xludf.DUMMYFUNCTION("IFERROR(ROUND(
(COUNTIF(FILTER(Data!O:O, Data!B:B=A687), ""Win"")
+ COUNTIF(FILTER(Data!O:O, Data!B:B=A687), {""Tie"",""Results""}))
/ (COUNTIF(Data!B:B, A687)),
1),"""")"),"")</f>
        <v/>
      </c>
      <c r="C687" s="45" t="str">
        <f>IFERROR((SUMIF(Data!B:B, A687, Data!H:H)
/ (COUNTIF(Data!B:B, A687)
)),"")</f>
        <v/>
      </c>
      <c r="D687" s="45" t="str">
        <f>IFERROR((SUMIF(Data!B:B, A687, Data!G:G)
/ (COUNTIF(Data!B:B, A687)
)),"")</f>
        <v/>
      </c>
      <c r="E687" s="45"/>
      <c r="F687" s="45" t="str">
        <f>IFERROR((SUMIF(Data!B:B, A687, Data!J:J)
/ (COUNTIF(Data!B:B, A687)
)),"")</f>
        <v/>
      </c>
      <c r="G687" s="56" t="str">
        <f>IF(A687="","",IFERROR((((((SUMIF(Data!B:B, A687, Data!H:H)+(SUMIF(Data!B:B, A687,Data!G:G)))/(SUMIF(Data!B:B, A687, Data!J:J)))))),0))</f>
        <v/>
      </c>
      <c r="H687" s="45"/>
      <c r="I687" s="45"/>
      <c r="J687" s="45"/>
      <c r="K687" s="45"/>
      <c r="L687" s="45" t="str">
        <f>IFERROR((SUMIF(Data!B:B, A687, Data!L:L)
/ (COUNTIF(Data!B:B, A687)
)),"")</f>
        <v/>
      </c>
      <c r="M687" s="45" t="str">
        <f>IFERROR((SUMIF(Data!B:B, A687, Data!K:K)
/ (COUNTIF(Data!B:B, A687)
)),"")</f>
        <v/>
      </c>
      <c r="N687" s="56"/>
      <c r="O687" s="56" t="str">
        <f>IF(A687="","",IFERROR((((((SUMIF(Data!B:B, A687, Data!H:H)+(SUMIF(Data!B:B, A687,Data!G:G)+(SUMIF(Data!B:B, A687,Data!L:L)+(SUMIF(Data!B:B, A687,Data!K:K)))))/(SUMIF(Data!B:B, A687, Data!M:M)+(SUMIF(Data!B:B, A687, Data!H:H)+(SUMIF(Data!B:B, A687,Data!G:G)+(SUMIF(Data!B:B, A687,Data!K:K)+(SUMIF(Data!B:B, A687,Data!L:L)))))))))),0))</f>
        <v/>
      </c>
      <c r="P687" s="57" t="str">
        <f>IFERROR(__xludf.DUMMYFUNCTION("IFERROR(((COUNTIF(FILTER(Data!N:N,Data!B:B=A687),""TRAVERSE"")*15)+(COUNTIF(FILTER(Data!N:N,Data!B:B=A687),""HIGH"")*10)+(COUNTIF(FILTER(Data!N:N,Data!B:B=A687),""MIDDLE"")*6)+(COUNTIF(FILTER(Data!N:N,Data!B:B=A687),""LOW"")*4)) / (COUNTIF(Data!B:B, A687)"&amp;"),"""")"),"")</f>
        <v/>
      </c>
      <c r="Q687" s="58"/>
      <c r="R687" s="58"/>
      <c r="S687" s="58" t="str">
        <f>IFERROR(__xludf.DUMMYFUNCTION("IFERROR((((COUNTIF(FILTER(Data!N:N,Data!B:B=A687),""TRAVERSE""))+(COUNTIF(FILTER(Data!N:N,Data!B:B=A687),""HIGH""))+(COUNTIF(FILTER(Data!N:N,Data!B:B=A687),""MIDDLE""))+(COUNTIF(FILTER(Data!N:N,Data!B:B=A687),""LOW"")))) / (((COUNTIF(Data!B:B, A687)))-(CO"&amp;"UNTIF(FILTER(Data!N:N,Data!B:B=A687),""NONE""))),IF(ISBLANK(A687),"""",0))"),"")</f>
        <v/>
      </c>
      <c r="T687" s="56" t="str">
        <f>IFERROR(__xludf.DUMMYFUNCTION("IFERROR((COUNTIF(FILTER(Data!N:N, Data!B:B=A687),""LOW"")) / (COUNTIF(Data!B:B, A687)),"""")"),"")</f>
        <v/>
      </c>
      <c r="U687" s="59" t="str">
        <f>IFERROR(__xludf.DUMMYFUNCTION("IFERROR((COUNTIF(FILTER(Data!N:N, Data!B:B=A687),""MIDDLE"")) / (COUNTIF(Data!B:B, A687)),"""")"),"")</f>
        <v/>
      </c>
      <c r="V687" s="59" t="str">
        <f>IFERROR(__xludf.DUMMYFUNCTION("IFERROR((COUNTIF(FILTER(Data!N:N, Data!B:B=A687),""HIGH"")) / (COUNTIF(Data!B:B, A687)),"""")"),"")</f>
        <v/>
      </c>
      <c r="W687" s="59" t="str">
        <f>IFERROR(__xludf.DUMMYFUNCTION("IFERROR((COUNTIF(FILTER(Data!N:N, Data!B:B=A687),""TRAVERSE"")) / (COUNTIF(Data!B:B, A687)),"""")"),"")</f>
        <v/>
      </c>
      <c r="X687" s="59"/>
      <c r="Y687" s="45" t="str">
        <f t="shared" si="7"/>
        <v/>
      </c>
      <c r="Z687" s="45" t="str">
        <f t="shared" si="8"/>
        <v/>
      </c>
      <c r="AA687" s="16" t="str">
        <f t="shared" si="9"/>
        <v/>
      </c>
      <c r="AB687" s="16"/>
      <c r="AC687" s="16"/>
      <c r="AD687" s="16"/>
      <c r="AE687" s="16" t="str">
        <f t="shared" si="12"/>
        <v/>
      </c>
      <c r="AF687" s="16" t="str">
        <f t="shared" si="13"/>
        <v/>
      </c>
      <c r="AG687" s="44"/>
      <c r="AH687" s="44"/>
      <c r="AI687" s="44" t="str">
        <f>IFERROR(__xludf.DUMMYFUNCTION("TEXTJOIN("", "",TRUE, FILTER(Data!P:P, Data!B:B=A687))"),"")</f>
        <v/>
      </c>
      <c r="AM687" s="61"/>
      <c r="BC687" s="50"/>
    </row>
    <row r="688">
      <c r="A688" s="14"/>
      <c r="B688" s="55" t="str">
        <f>IFERROR(__xludf.DUMMYFUNCTION("IFERROR(ROUND(
(COUNTIF(FILTER(Data!O:O, Data!B:B=A688), ""Win"")
+ COUNTIF(FILTER(Data!O:O, Data!B:B=A688), {""Tie"",""Results""}))
/ (COUNTIF(Data!B:B, A688)),
1),"""")"),"")</f>
        <v/>
      </c>
      <c r="C688" s="45" t="str">
        <f>IFERROR((SUMIF(Data!B:B, A688, Data!H:H)
/ (COUNTIF(Data!B:B, A688)
)),"")</f>
        <v/>
      </c>
      <c r="D688" s="45" t="str">
        <f>IFERROR((SUMIF(Data!B:B, A688, Data!G:G)
/ (COUNTIF(Data!B:B, A688)
)),"")</f>
        <v/>
      </c>
      <c r="E688" s="45"/>
      <c r="F688" s="45" t="str">
        <f>IFERROR((SUMIF(Data!B:B, A688, Data!J:J)
/ (COUNTIF(Data!B:B, A688)
)),"")</f>
        <v/>
      </c>
      <c r="G688" s="56" t="str">
        <f>IF(A688="","",IFERROR((((((SUMIF(Data!B:B, A688, Data!H:H)+(SUMIF(Data!B:B, A688,Data!G:G)))/(SUMIF(Data!B:B, A688, Data!J:J)))))),0))</f>
        <v/>
      </c>
      <c r="H688" s="45"/>
      <c r="I688" s="45"/>
      <c r="J688" s="45"/>
      <c r="K688" s="45"/>
      <c r="L688" s="45" t="str">
        <f>IFERROR((SUMIF(Data!B:B, A688, Data!L:L)
/ (COUNTIF(Data!B:B, A688)
)),"")</f>
        <v/>
      </c>
      <c r="M688" s="45" t="str">
        <f>IFERROR((SUMIF(Data!B:B, A688, Data!K:K)
/ (COUNTIF(Data!B:B, A688)
)),"")</f>
        <v/>
      </c>
      <c r="N688" s="56"/>
      <c r="O688" s="56" t="str">
        <f>IF(A688="","",IFERROR((((((SUMIF(Data!B:B, A688, Data!H:H)+(SUMIF(Data!B:B, A688,Data!G:G)+(SUMIF(Data!B:B, A688,Data!L:L)+(SUMIF(Data!B:B, A688,Data!K:K)))))/(SUMIF(Data!B:B, A688, Data!M:M)+(SUMIF(Data!B:B, A688, Data!H:H)+(SUMIF(Data!B:B, A688,Data!G:G)+(SUMIF(Data!B:B, A688,Data!K:K)+(SUMIF(Data!B:B, A688,Data!L:L)))))))))),0))</f>
        <v/>
      </c>
      <c r="P688" s="57" t="str">
        <f>IFERROR(__xludf.DUMMYFUNCTION("IFERROR(((COUNTIF(FILTER(Data!N:N,Data!B:B=A688),""TRAVERSE"")*15)+(COUNTIF(FILTER(Data!N:N,Data!B:B=A688),""HIGH"")*10)+(COUNTIF(FILTER(Data!N:N,Data!B:B=A688),""MIDDLE"")*6)+(COUNTIF(FILTER(Data!N:N,Data!B:B=A688),""LOW"")*4)) / (COUNTIF(Data!B:B, A688)"&amp;"),"""")"),"")</f>
        <v/>
      </c>
      <c r="Q688" s="58"/>
      <c r="R688" s="58"/>
      <c r="S688" s="58" t="str">
        <f>IFERROR(__xludf.DUMMYFUNCTION("IFERROR((((COUNTIF(FILTER(Data!N:N,Data!B:B=A688),""TRAVERSE""))+(COUNTIF(FILTER(Data!N:N,Data!B:B=A688),""HIGH""))+(COUNTIF(FILTER(Data!N:N,Data!B:B=A688),""MIDDLE""))+(COUNTIF(FILTER(Data!N:N,Data!B:B=A688),""LOW"")))) / (((COUNTIF(Data!B:B, A688)))-(CO"&amp;"UNTIF(FILTER(Data!N:N,Data!B:B=A688),""NONE""))),IF(ISBLANK(A688),"""",0))"),"")</f>
        <v/>
      </c>
      <c r="T688" s="56" t="str">
        <f>IFERROR(__xludf.DUMMYFUNCTION("IFERROR((COUNTIF(FILTER(Data!N:N, Data!B:B=A688),""LOW"")) / (COUNTIF(Data!B:B, A688)),"""")"),"")</f>
        <v/>
      </c>
      <c r="U688" s="59" t="str">
        <f>IFERROR(__xludf.DUMMYFUNCTION("IFERROR((COUNTIF(FILTER(Data!N:N, Data!B:B=A688),""MIDDLE"")) / (COUNTIF(Data!B:B, A688)),"""")"),"")</f>
        <v/>
      </c>
      <c r="V688" s="59" t="str">
        <f>IFERROR(__xludf.DUMMYFUNCTION("IFERROR((COUNTIF(FILTER(Data!N:N, Data!B:B=A688),""HIGH"")) / (COUNTIF(Data!B:B, A688)),"""")"),"")</f>
        <v/>
      </c>
      <c r="W688" s="59" t="str">
        <f>IFERROR(__xludf.DUMMYFUNCTION("IFERROR((COUNTIF(FILTER(Data!N:N, Data!B:B=A688),""TRAVERSE"")) / (COUNTIF(Data!B:B, A688)),"""")"),"")</f>
        <v/>
      </c>
      <c r="X688" s="59"/>
      <c r="Y688" s="45" t="str">
        <f t="shared" si="7"/>
        <v/>
      </c>
      <c r="Z688" s="45" t="str">
        <f t="shared" si="8"/>
        <v/>
      </c>
      <c r="AA688" s="16" t="str">
        <f t="shared" si="9"/>
        <v/>
      </c>
      <c r="AB688" s="16"/>
      <c r="AC688" s="16"/>
      <c r="AD688" s="16"/>
      <c r="AE688" s="16" t="str">
        <f t="shared" si="12"/>
        <v/>
      </c>
      <c r="AF688" s="16" t="str">
        <f t="shared" si="13"/>
        <v/>
      </c>
      <c r="AG688" s="44"/>
      <c r="AH688" s="44"/>
      <c r="AI688" s="44" t="str">
        <f>IFERROR(__xludf.DUMMYFUNCTION("TEXTJOIN("", "",TRUE, FILTER(Data!P:P, Data!B:B=A688))"),"")</f>
        <v/>
      </c>
      <c r="AM688" s="61"/>
      <c r="BC688" s="50"/>
    </row>
    <row r="689">
      <c r="A689" s="14"/>
      <c r="B689" s="55" t="str">
        <f>IFERROR(__xludf.DUMMYFUNCTION("IFERROR(ROUND(
(COUNTIF(FILTER(Data!O:O, Data!B:B=A689), ""Win"")
+ COUNTIF(FILTER(Data!O:O, Data!B:B=A689), {""Tie"",""Results""}))
/ (COUNTIF(Data!B:B, A689)),
1),"""")"),"")</f>
        <v/>
      </c>
      <c r="C689" s="45" t="str">
        <f>IFERROR((SUMIF(Data!B:B, A689, Data!H:H)
/ (COUNTIF(Data!B:B, A689)
)),"")</f>
        <v/>
      </c>
      <c r="D689" s="45" t="str">
        <f>IFERROR((SUMIF(Data!B:B, A689, Data!G:G)
/ (COUNTIF(Data!B:B, A689)
)),"")</f>
        <v/>
      </c>
      <c r="E689" s="45"/>
      <c r="F689" s="45" t="str">
        <f>IFERROR((SUMIF(Data!B:B, A689, Data!J:J)
/ (COUNTIF(Data!B:B, A689)
)),"")</f>
        <v/>
      </c>
      <c r="G689" s="56" t="str">
        <f>IF(A689="","",IFERROR((((((SUMIF(Data!B:B, A689, Data!H:H)+(SUMIF(Data!B:B, A689,Data!G:G)))/(SUMIF(Data!B:B, A689, Data!J:J)))))),0))</f>
        <v/>
      </c>
      <c r="H689" s="45"/>
      <c r="I689" s="45"/>
      <c r="J689" s="45"/>
      <c r="K689" s="45"/>
      <c r="L689" s="45" t="str">
        <f>IFERROR((SUMIF(Data!B:B, A689, Data!L:L)
/ (COUNTIF(Data!B:B, A689)
)),"")</f>
        <v/>
      </c>
      <c r="M689" s="45" t="str">
        <f>IFERROR((SUMIF(Data!B:B, A689, Data!K:K)
/ (COUNTIF(Data!B:B, A689)
)),"")</f>
        <v/>
      </c>
      <c r="N689" s="56"/>
      <c r="O689" s="56" t="str">
        <f>IF(A689="","",IFERROR((((((SUMIF(Data!B:B, A689, Data!H:H)+(SUMIF(Data!B:B, A689,Data!G:G)+(SUMIF(Data!B:B, A689,Data!L:L)+(SUMIF(Data!B:B, A689,Data!K:K)))))/(SUMIF(Data!B:B, A689, Data!M:M)+(SUMIF(Data!B:B, A689, Data!H:H)+(SUMIF(Data!B:B, A689,Data!G:G)+(SUMIF(Data!B:B, A689,Data!K:K)+(SUMIF(Data!B:B, A689,Data!L:L)))))))))),0))</f>
        <v/>
      </c>
      <c r="P689" s="57" t="str">
        <f>IFERROR(__xludf.DUMMYFUNCTION("IFERROR(((COUNTIF(FILTER(Data!N:N,Data!B:B=A689),""TRAVERSE"")*15)+(COUNTIF(FILTER(Data!N:N,Data!B:B=A689),""HIGH"")*10)+(COUNTIF(FILTER(Data!N:N,Data!B:B=A689),""MIDDLE"")*6)+(COUNTIF(FILTER(Data!N:N,Data!B:B=A689),""LOW"")*4)) / (COUNTIF(Data!B:B, A689)"&amp;"),"""")"),"")</f>
        <v/>
      </c>
      <c r="Q689" s="58"/>
      <c r="R689" s="58"/>
      <c r="S689" s="58" t="str">
        <f>IFERROR(__xludf.DUMMYFUNCTION("IFERROR((((COUNTIF(FILTER(Data!N:N,Data!B:B=A689),""TRAVERSE""))+(COUNTIF(FILTER(Data!N:N,Data!B:B=A689),""HIGH""))+(COUNTIF(FILTER(Data!N:N,Data!B:B=A689),""MIDDLE""))+(COUNTIF(FILTER(Data!N:N,Data!B:B=A689),""LOW"")))) / (((COUNTIF(Data!B:B, A689)))-(CO"&amp;"UNTIF(FILTER(Data!N:N,Data!B:B=A689),""NONE""))),IF(ISBLANK(A689),"""",0))"),"")</f>
        <v/>
      </c>
      <c r="T689" s="56" t="str">
        <f>IFERROR(__xludf.DUMMYFUNCTION("IFERROR((COUNTIF(FILTER(Data!N:N, Data!B:B=A689),""LOW"")) / (COUNTIF(Data!B:B, A689)),"""")"),"")</f>
        <v/>
      </c>
      <c r="U689" s="59" t="str">
        <f>IFERROR(__xludf.DUMMYFUNCTION("IFERROR((COUNTIF(FILTER(Data!N:N, Data!B:B=A689),""MIDDLE"")) / (COUNTIF(Data!B:B, A689)),"""")"),"")</f>
        <v/>
      </c>
      <c r="V689" s="59" t="str">
        <f>IFERROR(__xludf.DUMMYFUNCTION("IFERROR((COUNTIF(FILTER(Data!N:N, Data!B:B=A689),""HIGH"")) / (COUNTIF(Data!B:B, A689)),"""")"),"")</f>
        <v/>
      </c>
      <c r="W689" s="59" t="str">
        <f>IFERROR(__xludf.DUMMYFUNCTION("IFERROR((COUNTIF(FILTER(Data!N:N, Data!B:B=A689),""TRAVERSE"")) / (COUNTIF(Data!B:B, A689)),"""")"),"")</f>
        <v/>
      </c>
      <c r="X689" s="59"/>
      <c r="Y689" s="45" t="str">
        <f t="shared" si="7"/>
        <v/>
      </c>
      <c r="Z689" s="45" t="str">
        <f t="shared" si="8"/>
        <v/>
      </c>
      <c r="AA689" s="16" t="str">
        <f t="shared" si="9"/>
        <v/>
      </c>
      <c r="AB689" s="16"/>
      <c r="AC689" s="16"/>
      <c r="AD689" s="16"/>
      <c r="AE689" s="16" t="str">
        <f t="shared" si="12"/>
        <v/>
      </c>
      <c r="AF689" s="16" t="str">
        <f t="shared" si="13"/>
        <v/>
      </c>
      <c r="AG689" s="44"/>
      <c r="AH689" s="44"/>
      <c r="AI689" s="44" t="str">
        <f>IFERROR(__xludf.DUMMYFUNCTION("TEXTJOIN("", "",TRUE, FILTER(Data!P:P, Data!B:B=A689))"),"")</f>
        <v/>
      </c>
      <c r="AM689" s="61"/>
      <c r="BC689" s="50"/>
    </row>
    <row r="690">
      <c r="A690" s="14"/>
      <c r="B690" s="55" t="str">
        <f>IFERROR(__xludf.DUMMYFUNCTION("IFERROR(ROUND(
(COUNTIF(FILTER(Data!O:O, Data!B:B=A690), ""Win"")
+ COUNTIF(FILTER(Data!O:O, Data!B:B=A690), {""Tie"",""Results""}))
/ (COUNTIF(Data!B:B, A690)),
1),"""")"),"")</f>
        <v/>
      </c>
      <c r="C690" s="45" t="str">
        <f>IFERROR((SUMIF(Data!B:B, A690, Data!H:H)
/ (COUNTIF(Data!B:B, A690)
)),"")</f>
        <v/>
      </c>
      <c r="D690" s="45" t="str">
        <f>IFERROR((SUMIF(Data!B:B, A690, Data!G:G)
/ (COUNTIF(Data!B:B, A690)
)),"")</f>
        <v/>
      </c>
      <c r="E690" s="45"/>
      <c r="F690" s="45" t="str">
        <f>IFERROR((SUMIF(Data!B:B, A690, Data!J:J)
/ (COUNTIF(Data!B:B, A690)
)),"")</f>
        <v/>
      </c>
      <c r="G690" s="56" t="str">
        <f>IF(A690="","",IFERROR((((((SUMIF(Data!B:B, A690, Data!H:H)+(SUMIF(Data!B:B, A690,Data!G:G)))/(SUMIF(Data!B:B, A690, Data!J:J)))))),0))</f>
        <v/>
      </c>
      <c r="H690" s="45"/>
      <c r="I690" s="45"/>
      <c r="J690" s="45"/>
      <c r="K690" s="45"/>
      <c r="L690" s="45" t="str">
        <f>IFERROR((SUMIF(Data!B:B, A690, Data!L:L)
/ (COUNTIF(Data!B:B, A690)
)),"")</f>
        <v/>
      </c>
      <c r="M690" s="45" t="str">
        <f>IFERROR((SUMIF(Data!B:B, A690, Data!K:K)
/ (COUNTIF(Data!B:B, A690)
)),"")</f>
        <v/>
      </c>
      <c r="N690" s="56"/>
      <c r="O690" s="56" t="str">
        <f>IF(A690="","",IFERROR((((((SUMIF(Data!B:B, A690, Data!H:H)+(SUMIF(Data!B:B, A690,Data!G:G)+(SUMIF(Data!B:B, A690,Data!L:L)+(SUMIF(Data!B:B, A690,Data!K:K)))))/(SUMIF(Data!B:B, A690, Data!M:M)+(SUMIF(Data!B:B, A690, Data!H:H)+(SUMIF(Data!B:B, A690,Data!G:G)+(SUMIF(Data!B:B, A690,Data!K:K)+(SUMIF(Data!B:B, A690,Data!L:L)))))))))),0))</f>
        <v/>
      </c>
      <c r="P690" s="57" t="str">
        <f>IFERROR(__xludf.DUMMYFUNCTION("IFERROR(((COUNTIF(FILTER(Data!N:N,Data!B:B=A690),""TRAVERSE"")*15)+(COUNTIF(FILTER(Data!N:N,Data!B:B=A690),""HIGH"")*10)+(COUNTIF(FILTER(Data!N:N,Data!B:B=A690),""MIDDLE"")*6)+(COUNTIF(FILTER(Data!N:N,Data!B:B=A690),""LOW"")*4)) / (COUNTIF(Data!B:B, A690)"&amp;"),"""")"),"")</f>
        <v/>
      </c>
      <c r="Q690" s="58"/>
      <c r="R690" s="58"/>
      <c r="S690" s="58" t="str">
        <f>IFERROR(__xludf.DUMMYFUNCTION("IFERROR((((COUNTIF(FILTER(Data!N:N,Data!B:B=A690),""TRAVERSE""))+(COUNTIF(FILTER(Data!N:N,Data!B:B=A690),""HIGH""))+(COUNTIF(FILTER(Data!N:N,Data!B:B=A690),""MIDDLE""))+(COUNTIF(FILTER(Data!N:N,Data!B:B=A690),""LOW"")))) / (((COUNTIF(Data!B:B, A690)))-(CO"&amp;"UNTIF(FILTER(Data!N:N,Data!B:B=A690),""NONE""))),IF(ISBLANK(A690),"""",0))"),"")</f>
        <v/>
      </c>
      <c r="T690" s="56" t="str">
        <f>IFERROR(__xludf.DUMMYFUNCTION("IFERROR((COUNTIF(FILTER(Data!N:N, Data!B:B=A690),""LOW"")) / (COUNTIF(Data!B:B, A690)),"""")"),"")</f>
        <v/>
      </c>
      <c r="U690" s="59" t="str">
        <f>IFERROR(__xludf.DUMMYFUNCTION("IFERROR((COUNTIF(FILTER(Data!N:N, Data!B:B=A690),""MIDDLE"")) / (COUNTIF(Data!B:B, A690)),"""")"),"")</f>
        <v/>
      </c>
      <c r="V690" s="59" t="str">
        <f>IFERROR(__xludf.DUMMYFUNCTION("IFERROR((COUNTIF(FILTER(Data!N:N, Data!B:B=A690),""HIGH"")) / (COUNTIF(Data!B:B, A690)),"""")"),"")</f>
        <v/>
      </c>
      <c r="W690" s="59" t="str">
        <f>IFERROR(__xludf.DUMMYFUNCTION("IFERROR((COUNTIF(FILTER(Data!N:N, Data!B:B=A690),""TRAVERSE"")) / (COUNTIF(Data!B:B, A690)),"""")"),"")</f>
        <v/>
      </c>
      <c r="X690" s="59"/>
      <c r="Y690" s="45" t="str">
        <f t="shared" si="7"/>
        <v/>
      </c>
      <c r="Z690" s="45" t="str">
        <f t="shared" si="8"/>
        <v/>
      </c>
      <c r="AA690" s="16" t="str">
        <f t="shared" si="9"/>
        <v/>
      </c>
      <c r="AB690" s="16"/>
      <c r="AC690" s="16"/>
      <c r="AD690" s="16"/>
      <c r="AE690" s="16" t="str">
        <f t="shared" si="12"/>
        <v/>
      </c>
      <c r="AF690" s="16" t="str">
        <f t="shared" si="13"/>
        <v/>
      </c>
      <c r="AG690" s="44"/>
      <c r="AH690" s="44"/>
      <c r="AI690" s="44" t="str">
        <f>IFERROR(__xludf.DUMMYFUNCTION("TEXTJOIN("", "",TRUE, FILTER(Data!P:P, Data!B:B=A690))"),"")</f>
        <v/>
      </c>
      <c r="AM690" s="61"/>
      <c r="BC690" s="50"/>
    </row>
    <row r="691">
      <c r="A691" s="14"/>
      <c r="B691" s="55" t="str">
        <f>IFERROR(__xludf.DUMMYFUNCTION("IFERROR(ROUND(
(COUNTIF(FILTER(Data!O:O, Data!B:B=A691), ""Win"")
+ COUNTIF(FILTER(Data!O:O, Data!B:B=A691), {""Tie"",""Results""}))
/ (COUNTIF(Data!B:B, A691)),
1),"""")"),"")</f>
        <v/>
      </c>
      <c r="C691" s="45" t="str">
        <f>IFERROR((SUMIF(Data!B:B, A691, Data!H:H)
/ (COUNTIF(Data!B:B, A691)
)),"")</f>
        <v/>
      </c>
      <c r="D691" s="45" t="str">
        <f>IFERROR((SUMIF(Data!B:B, A691, Data!G:G)
/ (COUNTIF(Data!B:B, A691)
)),"")</f>
        <v/>
      </c>
      <c r="E691" s="45"/>
      <c r="F691" s="45" t="str">
        <f>IFERROR((SUMIF(Data!B:B, A691, Data!J:J)
/ (COUNTIF(Data!B:B, A691)
)),"")</f>
        <v/>
      </c>
      <c r="G691" s="56" t="str">
        <f>IF(A691="","",IFERROR((((((SUMIF(Data!B:B, A691, Data!H:H)+(SUMIF(Data!B:B, A691,Data!G:G)))/(SUMIF(Data!B:B, A691, Data!J:J)))))),0))</f>
        <v/>
      </c>
      <c r="H691" s="45"/>
      <c r="I691" s="45"/>
      <c r="J691" s="45"/>
      <c r="K691" s="45"/>
      <c r="L691" s="45" t="str">
        <f>IFERROR((SUMIF(Data!B:B, A691, Data!L:L)
/ (COUNTIF(Data!B:B, A691)
)),"")</f>
        <v/>
      </c>
      <c r="M691" s="45" t="str">
        <f>IFERROR((SUMIF(Data!B:B, A691, Data!K:K)
/ (COUNTIF(Data!B:B, A691)
)),"")</f>
        <v/>
      </c>
      <c r="N691" s="56"/>
      <c r="O691" s="56" t="str">
        <f>IF(A691="","",IFERROR((((((SUMIF(Data!B:B, A691, Data!H:H)+(SUMIF(Data!B:B, A691,Data!G:G)+(SUMIF(Data!B:B, A691,Data!L:L)+(SUMIF(Data!B:B, A691,Data!K:K)))))/(SUMIF(Data!B:B, A691, Data!M:M)+(SUMIF(Data!B:B, A691, Data!H:H)+(SUMIF(Data!B:B, A691,Data!G:G)+(SUMIF(Data!B:B, A691,Data!K:K)+(SUMIF(Data!B:B, A691,Data!L:L)))))))))),0))</f>
        <v/>
      </c>
      <c r="P691" s="57" t="str">
        <f>IFERROR(__xludf.DUMMYFUNCTION("IFERROR(((COUNTIF(FILTER(Data!N:N,Data!B:B=A691),""TRAVERSE"")*15)+(COUNTIF(FILTER(Data!N:N,Data!B:B=A691),""HIGH"")*10)+(COUNTIF(FILTER(Data!N:N,Data!B:B=A691),""MIDDLE"")*6)+(COUNTIF(FILTER(Data!N:N,Data!B:B=A691),""LOW"")*4)) / (COUNTIF(Data!B:B, A691)"&amp;"),"""")"),"")</f>
        <v/>
      </c>
      <c r="Q691" s="58"/>
      <c r="R691" s="58"/>
      <c r="S691" s="58" t="str">
        <f>IFERROR(__xludf.DUMMYFUNCTION("IFERROR((((COUNTIF(FILTER(Data!N:N,Data!B:B=A691),""TRAVERSE""))+(COUNTIF(FILTER(Data!N:N,Data!B:B=A691),""HIGH""))+(COUNTIF(FILTER(Data!N:N,Data!B:B=A691),""MIDDLE""))+(COUNTIF(FILTER(Data!N:N,Data!B:B=A691),""LOW"")))) / (((COUNTIF(Data!B:B, A691)))-(CO"&amp;"UNTIF(FILTER(Data!N:N,Data!B:B=A691),""NONE""))),IF(ISBLANK(A691),"""",0))"),"")</f>
        <v/>
      </c>
      <c r="T691" s="56" t="str">
        <f>IFERROR(__xludf.DUMMYFUNCTION("IFERROR((COUNTIF(FILTER(Data!N:N, Data!B:B=A691),""LOW"")) / (COUNTIF(Data!B:B, A691)),"""")"),"")</f>
        <v/>
      </c>
      <c r="U691" s="59" t="str">
        <f>IFERROR(__xludf.DUMMYFUNCTION("IFERROR((COUNTIF(FILTER(Data!N:N, Data!B:B=A691),""MIDDLE"")) / (COUNTIF(Data!B:B, A691)),"""")"),"")</f>
        <v/>
      </c>
      <c r="V691" s="59" t="str">
        <f>IFERROR(__xludf.DUMMYFUNCTION("IFERROR((COUNTIF(FILTER(Data!N:N, Data!B:B=A691),""HIGH"")) / (COUNTIF(Data!B:B, A691)),"""")"),"")</f>
        <v/>
      </c>
      <c r="W691" s="59" t="str">
        <f>IFERROR(__xludf.DUMMYFUNCTION("IFERROR((COUNTIF(FILTER(Data!N:N, Data!B:B=A691),""TRAVERSE"")) / (COUNTIF(Data!B:B, A691)),"""")"),"")</f>
        <v/>
      </c>
      <c r="X691" s="59"/>
      <c r="Y691" s="45" t="str">
        <f t="shared" si="7"/>
        <v/>
      </c>
      <c r="Z691" s="45" t="str">
        <f t="shared" si="8"/>
        <v/>
      </c>
      <c r="AA691" s="16" t="str">
        <f t="shared" si="9"/>
        <v/>
      </c>
      <c r="AB691" s="16"/>
      <c r="AC691" s="16"/>
      <c r="AD691" s="16"/>
      <c r="AE691" s="16" t="str">
        <f t="shared" si="12"/>
        <v/>
      </c>
      <c r="AF691" s="16" t="str">
        <f t="shared" si="13"/>
        <v/>
      </c>
      <c r="AG691" s="44"/>
      <c r="AH691" s="44"/>
      <c r="AI691" s="44" t="str">
        <f>IFERROR(__xludf.DUMMYFUNCTION("TEXTJOIN("", "",TRUE, FILTER(Data!P:P, Data!B:B=A691))"),"")</f>
        <v/>
      </c>
      <c r="AM691" s="61"/>
      <c r="BC691" s="50"/>
    </row>
    <row r="692">
      <c r="A692" s="14"/>
      <c r="B692" s="55" t="str">
        <f>IFERROR(__xludf.DUMMYFUNCTION("IFERROR(ROUND(
(COUNTIF(FILTER(Data!O:O, Data!B:B=A692), ""Win"")
+ COUNTIF(FILTER(Data!O:O, Data!B:B=A692), {""Tie"",""Results""}))
/ (COUNTIF(Data!B:B, A692)),
1),"""")"),"")</f>
        <v/>
      </c>
      <c r="C692" s="45" t="str">
        <f>IFERROR((SUMIF(Data!B:B, A692, Data!H:H)
/ (COUNTIF(Data!B:B, A692)
)),"")</f>
        <v/>
      </c>
      <c r="D692" s="45" t="str">
        <f>IFERROR((SUMIF(Data!B:B, A692, Data!G:G)
/ (COUNTIF(Data!B:B, A692)
)),"")</f>
        <v/>
      </c>
      <c r="E692" s="45"/>
      <c r="F692" s="45" t="str">
        <f>IFERROR((SUMIF(Data!B:B, A692, Data!J:J)
/ (COUNTIF(Data!B:B, A692)
)),"")</f>
        <v/>
      </c>
      <c r="G692" s="56" t="str">
        <f>IF(A692="","",IFERROR((((((SUMIF(Data!B:B, A692, Data!H:H)+(SUMIF(Data!B:B, A692,Data!G:G)))/(SUMIF(Data!B:B, A692, Data!J:J)))))),0))</f>
        <v/>
      </c>
      <c r="H692" s="45"/>
      <c r="I692" s="45"/>
      <c r="J692" s="45"/>
      <c r="K692" s="45"/>
      <c r="L692" s="45" t="str">
        <f>IFERROR((SUMIF(Data!B:B, A692, Data!L:L)
/ (COUNTIF(Data!B:B, A692)
)),"")</f>
        <v/>
      </c>
      <c r="M692" s="45" t="str">
        <f>IFERROR((SUMIF(Data!B:B, A692, Data!K:K)
/ (COUNTIF(Data!B:B, A692)
)),"")</f>
        <v/>
      </c>
      <c r="N692" s="56"/>
      <c r="O692" s="56" t="str">
        <f>IF(A692="","",IFERROR((((((SUMIF(Data!B:B, A692, Data!H:H)+(SUMIF(Data!B:B, A692,Data!G:G)+(SUMIF(Data!B:B, A692,Data!L:L)+(SUMIF(Data!B:B, A692,Data!K:K)))))/(SUMIF(Data!B:B, A692, Data!M:M)+(SUMIF(Data!B:B, A692, Data!H:H)+(SUMIF(Data!B:B, A692,Data!G:G)+(SUMIF(Data!B:B, A692,Data!K:K)+(SUMIF(Data!B:B, A692,Data!L:L)))))))))),0))</f>
        <v/>
      </c>
      <c r="P692" s="57" t="str">
        <f>IFERROR(__xludf.DUMMYFUNCTION("IFERROR(((COUNTIF(FILTER(Data!N:N,Data!B:B=A692),""TRAVERSE"")*15)+(COUNTIF(FILTER(Data!N:N,Data!B:B=A692),""HIGH"")*10)+(COUNTIF(FILTER(Data!N:N,Data!B:B=A692),""MIDDLE"")*6)+(COUNTIF(FILTER(Data!N:N,Data!B:B=A692),""LOW"")*4)) / (COUNTIF(Data!B:B, A692)"&amp;"),"""")"),"")</f>
        <v/>
      </c>
      <c r="Q692" s="58"/>
      <c r="R692" s="58"/>
      <c r="S692" s="58" t="str">
        <f>IFERROR(__xludf.DUMMYFUNCTION("IFERROR((((COUNTIF(FILTER(Data!N:N,Data!B:B=A692),""TRAVERSE""))+(COUNTIF(FILTER(Data!N:N,Data!B:B=A692),""HIGH""))+(COUNTIF(FILTER(Data!N:N,Data!B:B=A692),""MIDDLE""))+(COUNTIF(FILTER(Data!N:N,Data!B:B=A692),""LOW"")))) / (((COUNTIF(Data!B:B, A692)))-(CO"&amp;"UNTIF(FILTER(Data!N:N,Data!B:B=A692),""NONE""))),IF(ISBLANK(A692),"""",0))"),"")</f>
        <v/>
      </c>
      <c r="T692" s="56" t="str">
        <f>IFERROR(__xludf.DUMMYFUNCTION("IFERROR((COUNTIF(FILTER(Data!N:N, Data!B:B=A692),""LOW"")) / (COUNTIF(Data!B:B, A692)),"""")"),"")</f>
        <v/>
      </c>
      <c r="U692" s="59" t="str">
        <f>IFERROR(__xludf.DUMMYFUNCTION("IFERROR((COUNTIF(FILTER(Data!N:N, Data!B:B=A692),""MIDDLE"")) / (COUNTIF(Data!B:B, A692)),"""")"),"")</f>
        <v/>
      </c>
      <c r="V692" s="59" t="str">
        <f>IFERROR(__xludf.DUMMYFUNCTION("IFERROR((COUNTIF(FILTER(Data!N:N, Data!B:B=A692),""HIGH"")) / (COUNTIF(Data!B:B, A692)),"""")"),"")</f>
        <v/>
      </c>
      <c r="W692" s="59" t="str">
        <f>IFERROR(__xludf.DUMMYFUNCTION("IFERROR((COUNTIF(FILTER(Data!N:N, Data!B:B=A692),""TRAVERSE"")) / (COUNTIF(Data!B:B, A692)),"""")"),"")</f>
        <v/>
      </c>
      <c r="X692" s="59"/>
      <c r="Y692" s="45" t="str">
        <f t="shared" si="7"/>
        <v/>
      </c>
      <c r="Z692" s="45" t="str">
        <f t="shared" si="8"/>
        <v/>
      </c>
      <c r="AA692" s="16" t="str">
        <f t="shared" si="9"/>
        <v/>
      </c>
      <c r="AB692" s="16"/>
      <c r="AC692" s="16"/>
      <c r="AD692" s="16"/>
      <c r="AE692" s="16" t="str">
        <f t="shared" si="12"/>
        <v/>
      </c>
      <c r="AF692" s="16" t="str">
        <f t="shared" si="13"/>
        <v/>
      </c>
      <c r="AG692" s="44"/>
      <c r="AH692" s="44"/>
      <c r="AI692" s="44" t="str">
        <f>IFERROR(__xludf.DUMMYFUNCTION("TEXTJOIN("", "",TRUE, FILTER(Data!P:P, Data!B:B=A692))"),"")</f>
        <v/>
      </c>
      <c r="AM692" s="61"/>
      <c r="BC692" s="50"/>
    </row>
    <row r="693">
      <c r="A693" s="14"/>
      <c r="B693" s="55" t="str">
        <f>IFERROR(__xludf.DUMMYFUNCTION("IFERROR(ROUND(
(COUNTIF(FILTER(Data!O:O, Data!B:B=A693), ""Win"")
+ COUNTIF(FILTER(Data!O:O, Data!B:B=A693), {""Tie"",""Results""}))
/ (COUNTIF(Data!B:B, A693)),
1),"""")"),"")</f>
        <v/>
      </c>
      <c r="C693" s="45" t="str">
        <f>IFERROR((SUMIF(Data!B:B, A693, Data!H:H)
/ (COUNTIF(Data!B:B, A693)
)),"")</f>
        <v/>
      </c>
      <c r="D693" s="45" t="str">
        <f>IFERROR((SUMIF(Data!B:B, A693, Data!G:G)
/ (COUNTIF(Data!B:B, A693)
)),"")</f>
        <v/>
      </c>
      <c r="E693" s="45"/>
      <c r="F693" s="45" t="str">
        <f>IFERROR((SUMIF(Data!B:B, A693, Data!J:J)
/ (COUNTIF(Data!B:B, A693)
)),"")</f>
        <v/>
      </c>
      <c r="G693" s="56" t="str">
        <f>IF(A693="","",IFERROR((((((SUMIF(Data!B:B, A693, Data!H:H)+(SUMIF(Data!B:B, A693,Data!G:G)))/(SUMIF(Data!B:B, A693, Data!J:J)))))),0))</f>
        <v/>
      </c>
      <c r="H693" s="45"/>
      <c r="I693" s="45"/>
      <c r="J693" s="45"/>
      <c r="K693" s="45"/>
      <c r="L693" s="45" t="str">
        <f>IFERROR((SUMIF(Data!B:B, A693, Data!L:L)
/ (COUNTIF(Data!B:B, A693)
)),"")</f>
        <v/>
      </c>
      <c r="M693" s="45" t="str">
        <f>IFERROR((SUMIF(Data!B:B, A693, Data!K:K)
/ (COUNTIF(Data!B:B, A693)
)),"")</f>
        <v/>
      </c>
      <c r="N693" s="56"/>
      <c r="O693" s="56" t="str">
        <f>IF(A693="","",IFERROR((((((SUMIF(Data!B:B, A693, Data!H:H)+(SUMIF(Data!B:B, A693,Data!G:G)+(SUMIF(Data!B:B, A693,Data!L:L)+(SUMIF(Data!B:B, A693,Data!K:K)))))/(SUMIF(Data!B:B, A693, Data!M:M)+(SUMIF(Data!B:B, A693, Data!H:H)+(SUMIF(Data!B:B, A693,Data!G:G)+(SUMIF(Data!B:B, A693,Data!K:K)+(SUMIF(Data!B:B, A693,Data!L:L)))))))))),0))</f>
        <v/>
      </c>
      <c r="P693" s="57" t="str">
        <f>IFERROR(__xludf.DUMMYFUNCTION("IFERROR(((COUNTIF(FILTER(Data!N:N,Data!B:B=A693),""TRAVERSE"")*15)+(COUNTIF(FILTER(Data!N:N,Data!B:B=A693),""HIGH"")*10)+(COUNTIF(FILTER(Data!N:N,Data!B:B=A693),""MIDDLE"")*6)+(COUNTIF(FILTER(Data!N:N,Data!B:B=A693),""LOW"")*4)) / (COUNTIF(Data!B:B, A693)"&amp;"),"""")"),"")</f>
        <v/>
      </c>
      <c r="Q693" s="58"/>
      <c r="R693" s="58"/>
      <c r="S693" s="58" t="str">
        <f>IFERROR(__xludf.DUMMYFUNCTION("IFERROR((((COUNTIF(FILTER(Data!N:N,Data!B:B=A693),""TRAVERSE""))+(COUNTIF(FILTER(Data!N:N,Data!B:B=A693),""HIGH""))+(COUNTIF(FILTER(Data!N:N,Data!B:B=A693),""MIDDLE""))+(COUNTIF(FILTER(Data!N:N,Data!B:B=A693),""LOW"")))) / (((COUNTIF(Data!B:B, A693)))-(CO"&amp;"UNTIF(FILTER(Data!N:N,Data!B:B=A693),""NONE""))),IF(ISBLANK(A693),"""",0))"),"")</f>
        <v/>
      </c>
      <c r="T693" s="56" t="str">
        <f>IFERROR(__xludf.DUMMYFUNCTION("IFERROR((COUNTIF(FILTER(Data!N:N, Data!B:B=A693),""LOW"")) / (COUNTIF(Data!B:B, A693)),"""")"),"")</f>
        <v/>
      </c>
      <c r="U693" s="59" t="str">
        <f>IFERROR(__xludf.DUMMYFUNCTION("IFERROR((COUNTIF(FILTER(Data!N:N, Data!B:B=A693),""MIDDLE"")) / (COUNTIF(Data!B:B, A693)),"""")"),"")</f>
        <v/>
      </c>
      <c r="V693" s="59" t="str">
        <f>IFERROR(__xludf.DUMMYFUNCTION("IFERROR((COUNTIF(FILTER(Data!N:N, Data!B:B=A693),""HIGH"")) / (COUNTIF(Data!B:B, A693)),"""")"),"")</f>
        <v/>
      </c>
      <c r="W693" s="59" t="str">
        <f>IFERROR(__xludf.DUMMYFUNCTION("IFERROR((COUNTIF(FILTER(Data!N:N, Data!B:B=A693),""TRAVERSE"")) / (COUNTIF(Data!B:B, A693)),"""")"),"")</f>
        <v/>
      </c>
      <c r="X693" s="59"/>
      <c r="Y693" s="45" t="str">
        <f t="shared" si="7"/>
        <v/>
      </c>
      <c r="Z693" s="45" t="str">
        <f t="shared" si="8"/>
        <v/>
      </c>
      <c r="AA693" s="16" t="str">
        <f t="shared" si="9"/>
        <v/>
      </c>
      <c r="AB693" s="16"/>
      <c r="AC693" s="16"/>
      <c r="AD693" s="16"/>
      <c r="AE693" s="16" t="str">
        <f t="shared" si="12"/>
        <v/>
      </c>
      <c r="AF693" s="16" t="str">
        <f t="shared" si="13"/>
        <v/>
      </c>
      <c r="AG693" s="44"/>
      <c r="AH693" s="44"/>
      <c r="AI693" s="44" t="str">
        <f>IFERROR(__xludf.DUMMYFUNCTION("TEXTJOIN("", "",TRUE, FILTER(Data!P:P, Data!B:B=A693))"),"")</f>
        <v/>
      </c>
      <c r="AM693" s="61"/>
      <c r="BC693" s="50"/>
    </row>
    <row r="694">
      <c r="A694" s="14"/>
      <c r="B694" s="55" t="str">
        <f>IFERROR(__xludf.DUMMYFUNCTION("IFERROR(ROUND(
(COUNTIF(FILTER(Data!O:O, Data!B:B=A694), ""Win"")
+ COUNTIF(FILTER(Data!O:O, Data!B:B=A694), {""Tie"",""Results""}))
/ (COUNTIF(Data!B:B, A694)),
1),"""")"),"")</f>
        <v/>
      </c>
      <c r="C694" s="45" t="str">
        <f>IFERROR((SUMIF(Data!B:B, A694, Data!H:H)
/ (COUNTIF(Data!B:B, A694)
)),"")</f>
        <v/>
      </c>
      <c r="D694" s="45" t="str">
        <f>IFERROR((SUMIF(Data!B:B, A694, Data!G:G)
/ (COUNTIF(Data!B:B, A694)
)),"")</f>
        <v/>
      </c>
      <c r="E694" s="45"/>
      <c r="F694" s="45" t="str">
        <f>IFERROR((SUMIF(Data!B:B, A694, Data!J:J)
/ (COUNTIF(Data!B:B, A694)
)),"")</f>
        <v/>
      </c>
      <c r="G694" s="56" t="str">
        <f>IF(A694="","",IFERROR((((((SUMIF(Data!B:B, A694, Data!H:H)+(SUMIF(Data!B:B, A694,Data!G:G)))/(SUMIF(Data!B:B, A694, Data!J:J)))))),0))</f>
        <v/>
      </c>
      <c r="H694" s="45"/>
      <c r="I694" s="45"/>
      <c r="J694" s="45"/>
      <c r="K694" s="45"/>
      <c r="L694" s="45" t="str">
        <f>IFERROR((SUMIF(Data!B:B, A694, Data!L:L)
/ (COUNTIF(Data!B:B, A694)
)),"")</f>
        <v/>
      </c>
      <c r="M694" s="45" t="str">
        <f>IFERROR((SUMIF(Data!B:B, A694, Data!K:K)
/ (COUNTIF(Data!B:B, A694)
)),"")</f>
        <v/>
      </c>
      <c r="N694" s="56"/>
      <c r="O694" s="56" t="str">
        <f>IF(A694="","",IFERROR((((((SUMIF(Data!B:B, A694, Data!H:H)+(SUMIF(Data!B:B, A694,Data!G:G)+(SUMIF(Data!B:B, A694,Data!L:L)+(SUMIF(Data!B:B, A694,Data!K:K)))))/(SUMIF(Data!B:B, A694, Data!M:M)+(SUMIF(Data!B:B, A694, Data!H:H)+(SUMIF(Data!B:B, A694,Data!G:G)+(SUMIF(Data!B:B, A694,Data!K:K)+(SUMIF(Data!B:B, A694,Data!L:L)))))))))),0))</f>
        <v/>
      </c>
      <c r="P694" s="57" t="str">
        <f>IFERROR(__xludf.DUMMYFUNCTION("IFERROR(((COUNTIF(FILTER(Data!N:N,Data!B:B=A694),""TRAVERSE"")*15)+(COUNTIF(FILTER(Data!N:N,Data!B:B=A694),""HIGH"")*10)+(COUNTIF(FILTER(Data!N:N,Data!B:B=A694),""MIDDLE"")*6)+(COUNTIF(FILTER(Data!N:N,Data!B:B=A694),""LOW"")*4)) / (COUNTIF(Data!B:B, A694)"&amp;"),"""")"),"")</f>
        <v/>
      </c>
      <c r="Q694" s="58"/>
      <c r="R694" s="58"/>
      <c r="S694" s="58" t="str">
        <f>IFERROR(__xludf.DUMMYFUNCTION("IFERROR((((COUNTIF(FILTER(Data!N:N,Data!B:B=A694),""TRAVERSE""))+(COUNTIF(FILTER(Data!N:N,Data!B:B=A694),""HIGH""))+(COUNTIF(FILTER(Data!N:N,Data!B:B=A694),""MIDDLE""))+(COUNTIF(FILTER(Data!N:N,Data!B:B=A694),""LOW"")))) / (((COUNTIF(Data!B:B, A694)))-(CO"&amp;"UNTIF(FILTER(Data!N:N,Data!B:B=A694),""NONE""))),IF(ISBLANK(A694),"""",0))"),"")</f>
        <v/>
      </c>
      <c r="T694" s="56" t="str">
        <f>IFERROR(__xludf.DUMMYFUNCTION("IFERROR((COUNTIF(FILTER(Data!N:N, Data!B:B=A694),""LOW"")) / (COUNTIF(Data!B:B, A694)),"""")"),"")</f>
        <v/>
      </c>
      <c r="U694" s="59" t="str">
        <f>IFERROR(__xludf.DUMMYFUNCTION("IFERROR((COUNTIF(FILTER(Data!N:N, Data!B:B=A694),""MIDDLE"")) / (COUNTIF(Data!B:B, A694)),"""")"),"")</f>
        <v/>
      </c>
      <c r="V694" s="59" t="str">
        <f>IFERROR(__xludf.DUMMYFUNCTION("IFERROR((COUNTIF(FILTER(Data!N:N, Data!B:B=A694),""HIGH"")) / (COUNTIF(Data!B:B, A694)),"""")"),"")</f>
        <v/>
      </c>
      <c r="W694" s="59" t="str">
        <f>IFERROR(__xludf.DUMMYFUNCTION("IFERROR((COUNTIF(FILTER(Data!N:N, Data!B:B=A694),""TRAVERSE"")) / (COUNTIF(Data!B:B, A694)),"""")"),"")</f>
        <v/>
      </c>
      <c r="X694" s="59"/>
      <c r="Y694" s="45" t="str">
        <f t="shared" si="7"/>
        <v/>
      </c>
      <c r="Z694" s="45" t="str">
        <f t="shared" si="8"/>
        <v/>
      </c>
      <c r="AA694" s="16" t="str">
        <f t="shared" si="9"/>
        <v/>
      </c>
      <c r="AB694" s="16"/>
      <c r="AC694" s="16"/>
      <c r="AD694" s="16"/>
      <c r="AE694" s="16" t="str">
        <f t="shared" si="12"/>
        <v/>
      </c>
      <c r="AF694" s="16" t="str">
        <f t="shared" si="13"/>
        <v/>
      </c>
      <c r="AG694" s="44"/>
      <c r="AH694" s="44"/>
      <c r="AI694" s="44" t="str">
        <f>IFERROR(__xludf.DUMMYFUNCTION("TEXTJOIN("", "",TRUE, FILTER(Data!P:P, Data!B:B=A694))"),"")</f>
        <v/>
      </c>
      <c r="AM694" s="61"/>
      <c r="BC694" s="50"/>
    </row>
    <row r="695">
      <c r="A695" s="14"/>
      <c r="B695" s="55" t="str">
        <f>IFERROR(__xludf.DUMMYFUNCTION("IFERROR(ROUND(
(COUNTIF(FILTER(Data!O:O, Data!B:B=A695), ""Win"")
+ COUNTIF(FILTER(Data!O:O, Data!B:B=A695), {""Tie"",""Results""}))
/ (COUNTIF(Data!B:B, A695)),
1),"""")"),"")</f>
        <v/>
      </c>
      <c r="C695" s="45" t="str">
        <f>IFERROR((SUMIF(Data!B:B, A695, Data!H:H)
/ (COUNTIF(Data!B:B, A695)
)),"")</f>
        <v/>
      </c>
      <c r="D695" s="45" t="str">
        <f>IFERROR((SUMIF(Data!B:B, A695, Data!G:G)
/ (COUNTIF(Data!B:B, A695)
)),"")</f>
        <v/>
      </c>
      <c r="E695" s="45"/>
      <c r="F695" s="45" t="str">
        <f>IFERROR((SUMIF(Data!B:B, A695, Data!J:J)
/ (COUNTIF(Data!B:B, A695)
)),"")</f>
        <v/>
      </c>
      <c r="G695" s="56" t="str">
        <f>IF(A695="","",IFERROR((((((SUMIF(Data!B:B, A695, Data!H:H)+(SUMIF(Data!B:B, A695,Data!G:G)))/(SUMIF(Data!B:B, A695, Data!J:J)))))),0))</f>
        <v/>
      </c>
      <c r="H695" s="45"/>
      <c r="I695" s="45"/>
      <c r="J695" s="45"/>
      <c r="K695" s="45"/>
      <c r="L695" s="45" t="str">
        <f>IFERROR((SUMIF(Data!B:B, A695, Data!L:L)
/ (COUNTIF(Data!B:B, A695)
)),"")</f>
        <v/>
      </c>
      <c r="M695" s="45" t="str">
        <f>IFERROR((SUMIF(Data!B:B, A695, Data!K:K)
/ (COUNTIF(Data!B:B, A695)
)),"")</f>
        <v/>
      </c>
      <c r="N695" s="56"/>
      <c r="O695" s="56" t="str">
        <f>IF(A695="","",IFERROR((((((SUMIF(Data!B:B, A695, Data!H:H)+(SUMIF(Data!B:B, A695,Data!G:G)+(SUMIF(Data!B:B, A695,Data!L:L)+(SUMIF(Data!B:B, A695,Data!K:K)))))/(SUMIF(Data!B:B, A695, Data!M:M)+(SUMIF(Data!B:B, A695, Data!H:H)+(SUMIF(Data!B:B, A695,Data!G:G)+(SUMIF(Data!B:B, A695,Data!K:K)+(SUMIF(Data!B:B, A695,Data!L:L)))))))))),0))</f>
        <v/>
      </c>
      <c r="P695" s="57" t="str">
        <f>IFERROR(__xludf.DUMMYFUNCTION("IFERROR(((COUNTIF(FILTER(Data!N:N,Data!B:B=A695),""TRAVERSE"")*15)+(COUNTIF(FILTER(Data!N:N,Data!B:B=A695),""HIGH"")*10)+(COUNTIF(FILTER(Data!N:N,Data!B:B=A695),""MIDDLE"")*6)+(COUNTIF(FILTER(Data!N:N,Data!B:B=A695),""LOW"")*4)) / (COUNTIF(Data!B:B, A695)"&amp;"),"""")"),"")</f>
        <v/>
      </c>
      <c r="Q695" s="58"/>
      <c r="R695" s="58"/>
      <c r="S695" s="58" t="str">
        <f>IFERROR(__xludf.DUMMYFUNCTION("IFERROR((((COUNTIF(FILTER(Data!N:N,Data!B:B=A695),""TRAVERSE""))+(COUNTIF(FILTER(Data!N:N,Data!B:B=A695),""HIGH""))+(COUNTIF(FILTER(Data!N:N,Data!B:B=A695),""MIDDLE""))+(COUNTIF(FILTER(Data!N:N,Data!B:B=A695),""LOW"")))) / (((COUNTIF(Data!B:B, A695)))-(CO"&amp;"UNTIF(FILTER(Data!N:N,Data!B:B=A695),""NONE""))),IF(ISBLANK(A695),"""",0))"),"")</f>
        <v/>
      </c>
      <c r="T695" s="56" t="str">
        <f>IFERROR(__xludf.DUMMYFUNCTION("IFERROR((COUNTIF(FILTER(Data!N:N, Data!B:B=A695),""LOW"")) / (COUNTIF(Data!B:B, A695)),"""")"),"")</f>
        <v/>
      </c>
      <c r="U695" s="59" t="str">
        <f>IFERROR(__xludf.DUMMYFUNCTION("IFERROR((COUNTIF(FILTER(Data!N:N, Data!B:B=A695),""MIDDLE"")) / (COUNTIF(Data!B:B, A695)),"""")"),"")</f>
        <v/>
      </c>
      <c r="V695" s="59" t="str">
        <f>IFERROR(__xludf.DUMMYFUNCTION("IFERROR((COUNTIF(FILTER(Data!N:N, Data!B:B=A695),""HIGH"")) / (COUNTIF(Data!B:B, A695)),"""")"),"")</f>
        <v/>
      </c>
      <c r="W695" s="59" t="str">
        <f>IFERROR(__xludf.DUMMYFUNCTION("IFERROR((COUNTIF(FILTER(Data!N:N, Data!B:B=A695),""TRAVERSE"")) / (COUNTIF(Data!B:B, A695)),"""")"),"")</f>
        <v/>
      </c>
      <c r="X695" s="59"/>
      <c r="Y695" s="45" t="str">
        <f t="shared" si="7"/>
        <v/>
      </c>
      <c r="Z695" s="45" t="str">
        <f t="shared" si="8"/>
        <v/>
      </c>
      <c r="AA695" s="16" t="str">
        <f t="shared" si="9"/>
        <v/>
      </c>
      <c r="AB695" s="16"/>
      <c r="AC695" s="16"/>
      <c r="AD695" s="16"/>
      <c r="AE695" s="16" t="str">
        <f t="shared" si="12"/>
        <v/>
      </c>
      <c r="AF695" s="16" t="str">
        <f t="shared" si="13"/>
        <v/>
      </c>
      <c r="AG695" s="44"/>
      <c r="AH695" s="44"/>
      <c r="AI695" s="44" t="str">
        <f>IFERROR(__xludf.DUMMYFUNCTION("TEXTJOIN("", "",TRUE, FILTER(Data!P:P, Data!B:B=A695))"),"")</f>
        <v/>
      </c>
      <c r="AM695" s="61"/>
      <c r="BC695" s="50"/>
    </row>
    <row r="696">
      <c r="A696" s="14"/>
      <c r="B696" s="55" t="str">
        <f>IFERROR(__xludf.DUMMYFUNCTION("IFERROR(ROUND(
(COUNTIF(FILTER(Data!O:O, Data!B:B=A696), ""Win"")
+ COUNTIF(FILTER(Data!O:O, Data!B:B=A696), {""Tie"",""Results""}))
/ (COUNTIF(Data!B:B, A696)),
1),"""")"),"")</f>
        <v/>
      </c>
      <c r="C696" s="45" t="str">
        <f>IFERROR((SUMIF(Data!B:B, A696, Data!H:H)
/ (COUNTIF(Data!B:B, A696)
)),"")</f>
        <v/>
      </c>
      <c r="D696" s="45" t="str">
        <f>IFERROR((SUMIF(Data!B:B, A696, Data!G:G)
/ (COUNTIF(Data!B:B, A696)
)),"")</f>
        <v/>
      </c>
      <c r="E696" s="45"/>
      <c r="F696" s="45" t="str">
        <f>IFERROR((SUMIF(Data!B:B, A696, Data!J:J)
/ (COUNTIF(Data!B:B, A696)
)),"")</f>
        <v/>
      </c>
      <c r="G696" s="56" t="str">
        <f>IF(A696="","",IFERROR((((((SUMIF(Data!B:B, A696, Data!H:H)+(SUMIF(Data!B:B, A696,Data!G:G)))/(SUMIF(Data!B:B, A696, Data!J:J)))))),0))</f>
        <v/>
      </c>
      <c r="H696" s="45"/>
      <c r="I696" s="45"/>
      <c r="J696" s="45"/>
      <c r="K696" s="45"/>
      <c r="L696" s="45" t="str">
        <f>IFERROR((SUMIF(Data!B:B, A696, Data!L:L)
/ (COUNTIF(Data!B:B, A696)
)),"")</f>
        <v/>
      </c>
      <c r="M696" s="45" t="str">
        <f>IFERROR((SUMIF(Data!B:B, A696, Data!K:K)
/ (COUNTIF(Data!B:B, A696)
)),"")</f>
        <v/>
      </c>
      <c r="N696" s="56"/>
      <c r="O696" s="56" t="str">
        <f>IF(A696="","",IFERROR((((((SUMIF(Data!B:B, A696, Data!H:H)+(SUMIF(Data!B:B, A696,Data!G:G)+(SUMIF(Data!B:B, A696,Data!L:L)+(SUMIF(Data!B:B, A696,Data!K:K)))))/(SUMIF(Data!B:B, A696, Data!M:M)+(SUMIF(Data!B:B, A696, Data!H:H)+(SUMIF(Data!B:B, A696,Data!G:G)+(SUMIF(Data!B:B, A696,Data!K:K)+(SUMIF(Data!B:B, A696,Data!L:L)))))))))),0))</f>
        <v/>
      </c>
      <c r="P696" s="57" t="str">
        <f>IFERROR(__xludf.DUMMYFUNCTION("IFERROR(((COUNTIF(FILTER(Data!N:N,Data!B:B=A696),""TRAVERSE"")*15)+(COUNTIF(FILTER(Data!N:N,Data!B:B=A696),""HIGH"")*10)+(COUNTIF(FILTER(Data!N:N,Data!B:B=A696),""MIDDLE"")*6)+(COUNTIF(FILTER(Data!N:N,Data!B:B=A696),""LOW"")*4)) / (COUNTIF(Data!B:B, A696)"&amp;"),"""")"),"")</f>
        <v/>
      </c>
      <c r="Q696" s="58"/>
      <c r="R696" s="58"/>
      <c r="S696" s="58" t="str">
        <f>IFERROR(__xludf.DUMMYFUNCTION("IFERROR((((COUNTIF(FILTER(Data!N:N,Data!B:B=A696),""TRAVERSE""))+(COUNTIF(FILTER(Data!N:N,Data!B:B=A696),""HIGH""))+(COUNTIF(FILTER(Data!N:N,Data!B:B=A696),""MIDDLE""))+(COUNTIF(FILTER(Data!N:N,Data!B:B=A696),""LOW"")))) / (((COUNTIF(Data!B:B, A696)))-(CO"&amp;"UNTIF(FILTER(Data!N:N,Data!B:B=A696),""NONE""))),IF(ISBLANK(A696),"""",0))"),"")</f>
        <v/>
      </c>
      <c r="T696" s="56" t="str">
        <f>IFERROR(__xludf.DUMMYFUNCTION("IFERROR((COUNTIF(FILTER(Data!N:N, Data!B:B=A696),""LOW"")) / (COUNTIF(Data!B:B, A696)),"""")"),"")</f>
        <v/>
      </c>
      <c r="U696" s="59" t="str">
        <f>IFERROR(__xludf.DUMMYFUNCTION("IFERROR((COUNTIF(FILTER(Data!N:N, Data!B:B=A696),""MIDDLE"")) / (COUNTIF(Data!B:B, A696)),"""")"),"")</f>
        <v/>
      </c>
      <c r="V696" s="59" t="str">
        <f>IFERROR(__xludf.DUMMYFUNCTION("IFERROR((COUNTIF(FILTER(Data!N:N, Data!B:B=A696),""HIGH"")) / (COUNTIF(Data!B:B, A696)),"""")"),"")</f>
        <v/>
      </c>
      <c r="W696" s="59" t="str">
        <f>IFERROR(__xludf.DUMMYFUNCTION("IFERROR((COUNTIF(FILTER(Data!N:N, Data!B:B=A696),""TRAVERSE"")) / (COUNTIF(Data!B:B, A696)),"""")"),"")</f>
        <v/>
      </c>
      <c r="X696" s="59"/>
      <c r="Y696" s="45" t="str">
        <f t="shared" si="7"/>
        <v/>
      </c>
      <c r="Z696" s="45" t="str">
        <f t="shared" si="8"/>
        <v/>
      </c>
      <c r="AA696" s="16" t="str">
        <f t="shared" si="9"/>
        <v/>
      </c>
      <c r="AB696" s="16"/>
      <c r="AC696" s="16"/>
      <c r="AD696" s="16"/>
      <c r="AE696" s="16" t="str">
        <f t="shared" si="12"/>
        <v/>
      </c>
      <c r="AF696" s="16" t="str">
        <f t="shared" si="13"/>
        <v/>
      </c>
      <c r="AG696" s="44"/>
      <c r="AH696" s="44"/>
      <c r="AI696" s="44" t="str">
        <f>IFERROR(__xludf.DUMMYFUNCTION("TEXTJOIN("", "",TRUE, FILTER(Data!P:P, Data!B:B=A696))"),"")</f>
        <v/>
      </c>
      <c r="AM696" s="61"/>
      <c r="BC696" s="50"/>
    </row>
    <row r="697">
      <c r="A697" s="14"/>
      <c r="B697" s="55" t="str">
        <f>IFERROR(__xludf.DUMMYFUNCTION("IFERROR(ROUND(
(COUNTIF(FILTER(Data!O:O, Data!B:B=A697), ""Win"")
+ COUNTIF(FILTER(Data!O:O, Data!B:B=A697), {""Tie"",""Results""}))
/ (COUNTIF(Data!B:B, A697)),
1),"""")"),"")</f>
        <v/>
      </c>
      <c r="C697" s="45" t="str">
        <f>IFERROR((SUMIF(Data!B:B, A697, Data!H:H)
/ (COUNTIF(Data!B:B, A697)
)),"")</f>
        <v/>
      </c>
      <c r="D697" s="45" t="str">
        <f>IFERROR((SUMIF(Data!B:B, A697, Data!G:G)
/ (COUNTIF(Data!B:B, A697)
)),"")</f>
        <v/>
      </c>
      <c r="E697" s="45"/>
      <c r="F697" s="45" t="str">
        <f>IFERROR((SUMIF(Data!B:B, A697, Data!J:J)
/ (COUNTIF(Data!B:B, A697)
)),"")</f>
        <v/>
      </c>
      <c r="G697" s="56" t="str">
        <f>IF(A697="","",IFERROR((((((SUMIF(Data!B:B, A697, Data!H:H)+(SUMIF(Data!B:B, A697,Data!G:G)))/(SUMIF(Data!B:B, A697, Data!J:J)))))),0))</f>
        <v/>
      </c>
      <c r="H697" s="45"/>
      <c r="I697" s="45"/>
      <c r="J697" s="45"/>
      <c r="K697" s="45"/>
      <c r="L697" s="45" t="str">
        <f>IFERROR((SUMIF(Data!B:B, A697, Data!L:L)
/ (COUNTIF(Data!B:B, A697)
)),"")</f>
        <v/>
      </c>
      <c r="M697" s="45" t="str">
        <f>IFERROR((SUMIF(Data!B:B, A697, Data!K:K)
/ (COUNTIF(Data!B:B, A697)
)),"")</f>
        <v/>
      </c>
      <c r="N697" s="56"/>
      <c r="O697" s="56" t="str">
        <f>IF(A697="","",IFERROR((((((SUMIF(Data!B:B, A697, Data!H:H)+(SUMIF(Data!B:B, A697,Data!G:G)+(SUMIF(Data!B:B, A697,Data!L:L)+(SUMIF(Data!B:B, A697,Data!K:K)))))/(SUMIF(Data!B:B, A697, Data!M:M)+(SUMIF(Data!B:B, A697, Data!H:H)+(SUMIF(Data!B:B, A697,Data!G:G)+(SUMIF(Data!B:B, A697,Data!K:K)+(SUMIF(Data!B:B, A697,Data!L:L)))))))))),0))</f>
        <v/>
      </c>
      <c r="P697" s="57" t="str">
        <f>IFERROR(__xludf.DUMMYFUNCTION("IFERROR(((COUNTIF(FILTER(Data!N:N,Data!B:B=A697),""TRAVERSE"")*15)+(COUNTIF(FILTER(Data!N:N,Data!B:B=A697),""HIGH"")*10)+(COUNTIF(FILTER(Data!N:N,Data!B:B=A697),""MIDDLE"")*6)+(COUNTIF(FILTER(Data!N:N,Data!B:B=A697),""LOW"")*4)) / (COUNTIF(Data!B:B, A697)"&amp;"),"""")"),"")</f>
        <v/>
      </c>
      <c r="Q697" s="58"/>
      <c r="R697" s="58"/>
      <c r="S697" s="58" t="str">
        <f>IFERROR(__xludf.DUMMYFUNCTION("IFERROR((((COUNTIF(FILTER(Data!N:N,Data!B:B=A697),""TRAVERSE""))+(COUNTIF(FILTER(Data!N:N,Data!B:B=A697),""HIGH""))+(COUNTIF(FILTER(Data!N:N,Data!B:B=A697),""MIDDLE""))+(COUNTIF(FILTER(Data!N:N,Data!B:B=A697),""LOW"")))) / (((COUNTIF(Data!B:B, A697)))-(CO"&amp;"UNTIF(FILTER(Data!N:N,Data!B:B=A697),""NONE""))),IF(ISBLANK(A697),"""",0))"),"")</f>
        <v/>
      </c>
      <c r="T697" s="56" t="str">
        <f>IFERROR(__xludf.DUMMYFUNCTION("IFERROR((COUNTIF(FILTER(Data!N:N, Data!B:B=A697),""LOW"")) / (COUNTIF(Data!B:B, A697)),"""")"),"")</f>
        <v/>
      </c>
      <c r="U697" s="59" t="str">
        <f>IFERROR(__xludf.DUMMYFUNCTION("IFERROR((COUNTIF(FILTER(Data!N:N, Data!B:B=A697),""MIDDLE"")) / (COUNTIF(Data!B:B, A697)),"""")"),"")</f>
        <v/>
      </c>
      <c r="V697" s="59" t="str">
        <f>IFERROR(__xludf.DUMMYFUNCTION("IFERROR((COUNTIF(FILTER(Data!N:N, Data!B:B=A697),""HIGH"")) / (COUNTIF(Data!B:B, A697)),"""")"),"")</f>
        <v/>
      </c>
      <c r="W697" s="59" t="str">
        <f>IFERROR(__xludf.DUMMYFUNCTION("IFERROR((COUNTIF(FILTER(Data!N:N, Data!B:B=A697),""TRAVERSE"")) / (COUNTIF(Data!B:B, A697)),"""")"),"")</f>
        <v/>
      </c>
      <c r="X697" s="59"/>
      <c r="Y697" s="45" t="str">
        <f t="shared" si="7"/>
        <v/>
      </c>
      <c r="Z697" s="45" t="str">
        <f t="shared" si="8"/>
        <v/>
      </c>
      <c r="AA697" s="16" t="str">
        <f t="shared" si="9"/>
        <v/>
      </c>
      <c r="AB697" s="16"/>
      <c r="AC697" s="16"/>
      <c r="AD697" s="16"/>
      <c r="AE697" s="16" t="str">
        <f t="shared" si="12"/>
        <v/>
      </c>
      <c r="AF697" s="16" t="str">
        <f t="shared" si="13"/>
        <v/>
      </c>
      <c r="AG697" s="44"/>
      <c r="AH697" s="44"/>
      <c r="AI697" s="44" t="str">
        <f>IFERROR(__xludf.DUMMYFUNCTION("TEXTJOIN("", "",TRUE, FILTER(Data!P:P, Data!B:B=A697))"),"")</f>
        <v/>
      </c>
      <c r="AM697" s="61"/>
      <c r="BC697" s="50"/>
    </row>
    <row r="698">
      <c r="A698" s="14"/>
      <c r="B698" s="55" t="str">
        <f>IFERROR(__xludf.DUMMYFUNCTION("IFERROR(ROUND(
(COUNTIF(FILTER(Data!O:O, Data!B:B=A698), ""Win"")
+ COUNTIF(FILTER(Data!O:O, Data!B:B=A698), {""Tie"",""Results""}))
/ (COUNTIF(Data!B:B, A698)),
1),"""")"),"")</f>
        <v/>
      </c>
      <c r="C698" s="45" t="str">
        <f>IFERROR((SUMIF(Data!B:B, A698, Data!H:H)
/ (COUNTIF(Data!B:B, A698)
)),"")</f>
        <v/>
      </c>
      <c r="D698" s="45" t="str">
        <f>IFERROR((SUMIF(Data!B:B, A698, Data!G:G)
/ (COUNTIF(Data!B:B, A698)
)),"")</f>
        <v/>
      </c>
      <c r="E698" s="45"/>
      <c r="F698" s="45" t="str">
        <f>IFERROR((SUMIF(Data!B:B, A698, Data!J:J)
/ (COUNTIF(Data!B:B, A698)
)),"")</f>
        <v/>
      </c>
      <c r="G698" s="56" t="str">
        <f>IF(A698="","",IFERROR((((((SUMIF(Data!B:B, A698, Data!H:H)+(SUMIF(Data!B:B, A698,Data!G:G)))/(SUMIF(Data!B:B, A698, Data!J:J)))))),0))</f>
        <v/>
      </c>
      <c r="H698" s="45"/>
      <c r="I698" s="45"/>
      <c r="J698" s="45"/>
      <c r="K698" s="45"/>
      <c r="L698" s="45" t="str">
        <f>IFERROR((SUMIF(Data!B:B, A698, Data!L:L)
/ (COUNTIF(Data!B:B, A698)
)),"")</f>
        <v/>
      </c>
      <c r="M698" s="45" t="str">
        <f>IFERROR((SUMIF(Data!B:B, A698, Data!K:K)
/ (COUNTIF(Data!B:B, A698)
)),"")</f>
        <v/>
      </c>
      <c r="N698" s="56"/>
      <c r="O698" s="56" t="str">
        <f>IF(A698="","",IFERROR((((((SUMIF(Data!B:B, A698, Data!H:H)+(SUMIF(Data!B:B, A698,Data!G:G)+(SUMIF(Data!B:B, A698,Data!L:L)+(SUMIF(Data!B:B, A698,Data!K:K)))))/(SUMIF(Data!B:B, A698, Data!M:M)+(SUMIF(Data!B:B, A698, Data!H:H)+(SUMIF(Data!B:B, A698,Data!G:G)+(SUMIF(Data!B:B, A698,Data!K:K)+(SUMIF(Data!B:B, A698,Data!L:L)))))))))),0))</f>
        <v/>
      </c>
      <c r="P698" s="57" t="str">
        <f>IFERROR(__xludf.DUMMYFUNCTION("IFERROR(((COUNTIF(FILTER(Data!N:N,Data!B:B=A698),""TRAVERSE"")*15)+(COUNTIF(FILTER(Data!N:N,Data!B:B=A698),""HIGH"")*10)+(COUNTIF(FILTER(Data!N:N,Data!B:B=A698),""MIDDLE"")*6)+(COUNTIF(FILTER(Data!N:N,Data!B:B=A698),""LOW"")*4)) / (COUNTIF(Data!B:B, A698)"&amp;"),"""")"),"")</f>
        <v/>
      </c>
      <c r="Q698" s="58"/>
      <c r="R698" s="58"/>
      <c r="S698" s="58" t="str">
        <f>IFERROR(__xludf.DUMMYFUNCTION("IFERROR((((COUNTIF(FILTER(Data!N:N,Data!B:B=A698),""TRAVERSE""))+(COUNTIF(FILTER(Data!N:N,Data!B:B=A698),""HIGH""))+(COUNTIF(FILTER(Data!N:N,Data!B:B=A698),""MIDDLE""))+(COUNTIF(FILTER(Data!N:N,Data!B:B=A698),""LOW"")))) / (((COUNTIF(Data!B:B, A698)))-(CO"&amp;"UNTIF(FILTER(Data!N:N,Data!B:B=A698),""NONE""))),IF(ISBLANK(A698),"""",0))"),"")</f>
        <v/>
      </c>
      <c r="T698" s="56" t="str">
        <f>IFERROR(__xludf.DUMMYFUNCTION("IFERROR((COUNTIF(FILTER(Data!N:N, Data!B:B=A698),""LOW"")) / (COUNTIF(Data!B:B, A698)),"""")"),"")</f>
        <v/>
      </c>
      <c r="U698" s="59" t="str">
        <f>IFERROR(__xludf.DUMMYFUNCTION("IFERROR((COUNTIF(FILTER(Data!N:N, Data!B:B=A698),""MIDDLE"")) / (COUNTIF(Data!B:B, A698)),"""")"),"")</f>
        <v/>
      </c>
      <c r="V698" s="59" t="str">
        <f>IFERROR(__xludf.DUMMYFUNCTION("IFERROR((COUNTIF(FILTER(Data!N:N, Data!B:B=A698),""HIGH"")) / (COUNTIF(Data!B:B, A698)),"""")"),"")</f>
        <v/>
      </c>
      <c r="W698" s="59" t="str">
        <f>IFERROR(__xludf.DUMMYFUNCTION("IFERROR((COUNTIF(FILTER(Data!N:N, Data!B:B=A698),""TRAVERSE"")) / (COUNTIF(Data!B:B, A698)),"""")"),"")</f>
        <v/>
      </c>
      <c r="X698" s="59"/>
      <c r="Y698" s="45" t="str">
        <f t="shared" si="7"/>
        <v/>
      </c>
      <c r="Z698" s="45" t="str">
        <f t="shared" si="8"/>
        <v/>
      </c>
      <c r="AA698" s="16" t="str">
        <f t="shared" si="9"/>
        <v/>
      </c>
      <c r="AB698" s="16"/>
      <c r="AC698" s="16"/>
      <c r="AD698" s="16"/>
      <c r="AE698" s="16" t="str">
        <f t="shared" si="12"/>
        <v/>
      </c>
      <c r="AF698" s="16" t="str">
        <f t="shared" si="13"/>
        <v/>
      </c>
      <c r="AG698" s="44"/>
      <c r="AH698" s="44"/>
      <c r="AI698" s="44" t="str">
        <f>IFERROR(__xludf.DUMMYFUNCTION("TEXTJOIN("", "",TRUE, FILTER(Data!P:P, Data!B:B=A698))"),"")</f>
        <v/>
      </c>
      <c r="AM698" s="61"/>
      <c r="BC698" s="50"/>
    </row>
    <row r="699">
      <c r="A699" s="14"/>
      <c r="B699" s="55" t="str">
        <f>IFERROR(__xludf.DUMMYFUNCTION("IFERROR(ROUND(
(COUNTIF(FILTER(Data!O:O, Data!B:B=A699), ""Win"")
+ COUNTIF(FILTER(Data!O:O, Data!B:B=A699), {""Tie"",""Results""}))
/ (COUNTIF(Data!B:B, A699)),
1),"""")"),"")</f>
        <v/>
      </c>
      <c r="C699" s="45" t="str">
        <f>IFERROR((SUMIF(Data!B:B, A699, Data!H:H)
/ (COUNTIF(Data!B:B, A699)
)),"")</f>
        <v/>
      </c>
      <c r="D699" s="45" t="str">
        <f>IFERROR((SUMIF(Data!B:B, A699, Data!G:G)
/ (COUNTIF(Data!B:B, A699)
)),"")</f>
        <v/>
      </c>
      <c r="E699" s="45"/>
      <c r="F699" s="45" t="str">
        <f>IFERROR((SUMIF(Data!B:B, A699, Data!J:J)
/ (COUNTIF(Data!B:B, A699)
)),"")</f>
        <v/>
      </c>
      <c r="G699" s="56" t="str">
        <f>IF(A699="","",IFERROR((((((SUMIF(Data!B:B, A699, Data!H:H)+(SUMIF(Data!B:B, A699,Data!G:G)))/(SUMIF(Data!B:B, A699, Data!J:J)))))),0))</f>
        <v/>
      </c>
      <c r="H699" s="45"/>
      <c r="I699" s="45"/>
      <c r="J699" s="45"/>
      <c r="K699" s="45"/>
      <c r="L699" s="45" t="str">
        <f>IFERROR((SUMIF(Data!B:B, A699, Data!L:L)
/ (COUNTIF(Data!B:B, A699)
)),"")</f>
        <v/>
      </c>
      <c r="M699" s="45" t="str">
        <f>IFERROR((SUMIF(Data!B:B, A699, Data!K:K)
/ (COUNTIF(Data!B:B, A699)
)),"")</f>
        <v/>
      </c>
      <c r="N699" s="56"/>
      <c r="O699" s="56" t="str">
        <f>IF(A699="","",IFERROR((((((SUMIF(Data!B:B, A699, Data!H:H)+(SUMIF(Data!B:B, A699,Data!G:G)+(SUMIF(Data!B:B, A699,Data!L:L)+(SUMIF(Data!B:B, A699,Data!K:K)))))/(SUMIF(Data!B:B, A699, Data!M:M)+(SUMIF(Data!B:B, A699, Data!H:H)+(SUMIF(Data!B:B, A699,Data!G:G)+(SUMIF(Data!B:B, A699,Data!K:K)+(SUMIF(Data!B:B, A699,Data!L:L)))))))))),0))</f>
        <v/>
      </c>
      <c r="P699" s="57" t="str">
        <f>IFERROR(__xludf.DUMMYFUNCTION("IFERROR(((COUNTIF(FILTER(Data!N:N,Data!B:B=A699),""TRAVERSE"")*15)+(COUNTIF(FILTER(Data!N:N,Data!B:B=A699),""HIGH"")*10)+(COUNTIF(FILTER(Data!N:N,Data!B:B=A699),""MIDDLE"")*6)+(COUNTIF(FILTER(Data!N:N,Data!B:B=A699),""LOW"")*4)) / (COUNTIF(Data!B:B, A699)"&amp;"),"""")"),"")</f>
        <v/>
      </c>
      <c r="Q699" s="58"/>
      <c r="R699" s="58"/>
      <c r="S699" s="58" t="str">
        <f>IFERROR(__xludf.DUMMYFUNCTION("IFERROR((((COUNTIF(FILTER(Data!N:N,Data!B:B=A699),""TRAVERSE""))+(COUNTIF(FILTER(Data!N:N,Data!B:B=A699),""HIGH""))+(COUNTIF(FILTER(Data!N:N,Data!B:B=A699),""MIDDLE""))+(COUNTIF(FILTER(Data!N:N,Data!B:B=A699),""LOW"")))) / (((COUNTIF(Data!B:B, A699)))-(CO"&amp;"UNTIF(FILTER(Data!N:N,Data!B:B=A699),""NONE""))),IF(ISBLANK(A699),"""",0))"),"")</f>
        <v/>
      </c>
      <c r="T699" s="56" t="str">
        <f>IFERROR(__xludf.DUMMYFUNCTION("IFERROR((COUNTIF(FILTER(Data!N:N, Data!B:B=A699),""LOW"")) / (COUNTIF(Data!B:B, A699)),"""")"),"")</f>
        <v/>
      </c>
      <c r="U699" s="59" t="str">
        <f>IFERROR(__xludf.DUMMYFUNCTION("IFERROR((COUNTIF(FILTER(Data!N:N, Data!B:B=A699),""MIDDLE"")) / (COUNTIF(Data!B:B, A699)),"""")"),"")</f>
        <v/>
      </c>
      <c r="V699" s="59" t="str">
        <f>IFERROR(__xludf.DUMMYFUNCTION("IFERROR((COUNTIF(FILTER(Data!N:N, Data!B:B=A699),""HIGH"")) / (COUNTIF(Data!B:B, A699)),"""")"),"")</f>
        <v/>
      </c>
      <c r="W699" s="59" t="str">
        <f>IFERROR(__xludf.DUMMYFUNCTION("IFERROR((COUNTIF(FILTER(Data!N:N, Data!B:B=A699),""TRAVERSE"")) / (COUNTIF(Data!B:B, A699)),"""")"),"")</f>
        <v/>
      </c>
      <c r="X699" s="59"/>
      <c r="Y699" s="45" t="str">
        <f t="shared" si="7"/>
        <v/>
      </c>
      <c r="Z699" s="45" t="str">
        <f t="shared" si="8"/>
        <v/>
      </c>
      <c r="AA699" s="16" t="str">
        <f t="shared" si="9"/>
        <v/>
      </c>
      <c r="AB699" s="16"/>
      <c r="AC699" s="16"/>
      <c r="AD699" s="16"/>
      <c r="AE699" s="16" t="str">
        <f t="shared" si="12"/>
        <v/>
      </c>
      <c r="AF699" s="16" t="str">
        <f t="shared" si="13"/>
        <v/>
      </c>
      <c r="AG699" s="44"/>
      <c r="AH699" s="44"/>
      <c r="AI699" s="44" t="str">
        <f>IFERROR(__xludf.DUMMYFUNCTION("TEXTJOIN("", "",TRUE, FILTER(Data!P:P, Data!B:B=A699))"),"")</f>
        <v/>
      </c>
      <c r="AM699" s="61"/>
      <c r="BC699" s="50"/>
    </row>
    <row r="700">
      <c r="A700" s="14"/>
      <c r="B700" s="55" t="str">
        <f>IFERROR(__xludf.DUMMYFUNCTION("IFERROR(ROUND(
(COUNTIF(FILTER(Data!O:O, Data!B:B=A700), ""Win"")
+ COUNTIF(FILTER(Data!O:O, Data!B:B=A700), {""Tie"",""Results""}))
/ (COUNTIF(Data!B:B, A700)),
1),"""")"),"")</f>
        <v/>
      </c>
      <c r="C700" s="45" t="str">
        <f>IFERROR((SUMIF(Data!B:B, A700, Data!H:H)
/ (COUNTIF(Data!B:B, A700)
)),"")</f>
        <v/>
      </c>
      <c r="D700" s="45" t="str">
        <f>IFERROR((SUMIF(Data!B:B, A700, Data!G:G)
/ (COUNTIF(Data!B:B, A700)
)),"")</f>
        <v/>
      </c>
      <c r="E700" s="45"/>
      <c r="F700" s="45" t="str">
        <f>IFERROR((SUMIF(Data!B:B, A700, Data!J:J)
/ (COUNTIF(Data!B:B, A700)
)),"")</f>
        <v/>
      </c>
      <c r="G700" s="56" t="str">
        <f>IF(A700="","",IFERROR((((((SUMIF(Data!B:B, A700, Data!H:H)+(SUMIF(Data!B:B, A700,Data!G:G)))/(SUMIF(Data!B:B, A700, Data!J:J)))))),0))</f>
        <v/>
      </c>
      <c r="H700" s="45"/>
      <c r="I700" s="45"/>
      <c r="J700" s="45"/>
      <c r="K700" s="45"/>
      <c r="L700" s="45" t="str">
        <f>IFERROR((SUMIF(Data!B:B, A700, Data!L:L)
/ (COUNTIF(Data!B:B, A700)
)),"")</f>
        <v/>
      </c>
      <c r="M700" s="45" t="str">
        <f>IFERROR((SUMIF(Data!B:B, A700, Data!K:K)
/ (COUNTIF(Data!B:B, A700)
)),"")</f>
        <v/>
      </c>
      <c r="N700" s="56"/>
      <c r="O700" s="56" t="str">
        <f>IF(A700="","",IFERROR((((((SUMIF(Data!B:B, A700, Data!H:H)+(SUMIF(Data!B:B, A700,Data!G:G)+(SUMIF(Data!B:B, A700,Data!L:L)+(SUMIF(Data!B:B, A700,Data!K:K)))))/(SUMIF(Data!B:B, A700, Data!M:M)+(SUMIF(Data!B:B, A700, Data!H:H)+(SUMIF(Data!B:B, A700,Data!G:G)+(SUMIF(Data!B:B, A700,Data!K:K)+(SUMIF(Data!B:B, A700,Data!L:L)))))))))),0))</f>
        <v/>
      </c>
      <c r="P700" s="57" t="str">
        <f>IFERROR(__xludf.DUMMYFUNCTION("IFERROR(((COUNTIF(FILTER(Data!N:N,Data!B:B=A700),""TRAVERSE"")*15)+(COUNTIF(FILTER(Data!N:N,Data!B:B=A700),""HIGH"")*10)+(COUNTIF(FILTER(Data!N:N,Data!B:B=A700),""MIDDLE"")*6)+(COUNTIF(FILTER(Data!N:N,Data!B:B=A700),""LOW"")*4)) / (COUNTIF(Data!B:B, A700)"&amp;"),"""")"),"")</f>
        <v/>
      </c>
      <c r="Q700" s="58"/>
      <c r="R700" s="58"/>
      <c r="S700" s="58" t="str">
        <f>IFERROR(__xludf.DUMMYFUNCTION("IFERROR((((COUNTIF(FILTER(Data!N:N,Data!B:B=A700),""TRAVERSE""))+(COUNTIF(FILTER(Data!N:N,Data!B:B=A700),""HIGH""))+(COUNTIF(FILTER(Data!N:N,Data!B:B=A700),""MIDDLE""))+(COUNTIF(FILTER(Data!N:N,Data!B:B=A700),""LOW"")))) / (((COUNTIF(Data!B:B, A700)))-(CO"&amp;"UNTIF(FILTER(Data!N:N,Data!B:B=A700),""NONE""))),IF(ISBLANK(A700),"""",0))"),"")</f>
        <v/>
      </c>
      <c r="T700" s="56" t="str">
        <f>IFERROR(__xludf.DUMMYFUNCTION("IFERROR((COUNTIF(FILTER(Data!N:N, Data!B:B=A700),""LOW"")) / (COUNTIF(Data!B:B, A700)),"""")"),"")</f>
        <v/>
      </c>
      <c r="U700" s="59" t="str">
        <f>IFERROR(__xludf.DUMMYFUNCTION("IFERROR((COUNTIF(FILTER(Data!N:N, Data!B:B=A700),""MIDDLE"")) / (COUNTIF(Data!B:B, A700)),"""")"),"")</f>
        <v/>
      </c>
      <c r="V700" s="59" t="str">
        <f>IFERROR(__xludf.DUMMYFUNCTION("IFERROR((COUNTIF(FILTER(Data!N:N, Data!B:B=A700),""HIGH"")) / (COUNTIF(Data!B:B, A700)),"""")"),"")</f>
        <v/>
      </c>
      <c r="W700" s="59" t="str">
        <f>IFERROR(__xludf.DUMMYFUNCTION("IFERROR((COUNTIF(FILTER(Data!N:N, Data!B:B=A700),""TRAVERSE"")) / (COUNTIF(Data!B:B, A700)),"""")"),"")</f>
        <v/>
      </c>
      <c r="X700" s="59"/>
      <c r="Y700" s="45" t="str">
        <f t="shared" si="7"/>
        <v/>
      </c>
      <c r="Z700" s="45" t="str">
        <f t="shared" si="8"/>
        <v/>
      </c>
      <c r="AA700" s="16" t="str">
        <f t="shared" si="9"/>
        <v/>
      </c>
      <c r="AB700" s="16"/>
      <c r="AC700" s="16"/>
      <c r="AD700" s="16"/>
      <c r="AE700" s="16" t="str">
        <f t="shared" si="12"/>
        <v/>
      </c>
      <c r="AF700" s="16" t="str">
        <f t="shared" si="13"/>
        <v/>
      </c>
      <c r="AG700" s="44"/>
      <c r="AH700" s="44"/>
      <c r="AI700" s="44" t="str">
        <f>IFERROR(__xludf.DUMMYFUNCTION("TEXTJOIN("", "",TRUE, FILTER(Data!P:P, Data!B:B=A700))"),"")</f>
        <v/>
      </c>
      <c r="AM700" s="61"/>
      <c r="BC700" s="50"/>
    </row>
    <row r="701">
      <c r="A701" s="14"/>
      <c r="B701" s="55" t="str">
        <f>IFERROR(__xludf.DUMMYFUNCTION("IFERROR(ROUND(
(COUNTIF(FILTER(Data!O:O, Data!B:B=A701), ""Win"")
+ COUNTIF(FILTER(Data!O:O, Data!B:B=A701), {""Tie"",""Results""}))
/ (COUNTIF(Data!B:B, A701)),
1),"""")"),"")</f>
        <v/>
      </c>
      <c r="C701" s="45" t="str">
        <f>IFERROR((SUMIF(Data!B:B, A701, Data!H:H)
/ (COUNTIF(Data!B:B, A701)
)),"")</f>
        <v/>
      </c>
      <c r="D701" s="45" t="str">
        <f>IFERROR((SUMIF(Data!B:B, A701, Data!G:G)
/ (COUNTIF(Data!B:B, A701)
)),"")</f>
        <v/>
      </c>
      <c r="E701" s="45"/>
      <c r="F701" s="45" t="str">
        <f>IFERROR((SUMIF(Data!B:B, A701, Data!J:J)
/ (COUNTIF(Data!B:B, A701)
)),"")</f>
        <v/>
      </c>
      <c r="G701" s="56" t="str">
        <f>IF(A701="","",IFERROR((((((SUMIF(Data!B:B, A701, Data!H:H)+(SUMIF(Data!B:B, A701,Data!G:G)))/(SUMIF(Data!B:B, A701, Data!J:J)))))),0))</f>
        <v/>
      </c>
      <c r="H701" s="45"/>
      <c r="I701" s="45"/>
      <c r="J701" s="45"/>
      <c r="K701" s="45"/>
      <c r="L701" s="45" t="str">
        <f>IFERROR((SUMIF(Data!B:B, A701, Data!L:L)
/ (COUNTIF(Data!B:B, A701)
)),"")</f>
        <v/>
      </c>
      <c r="M701" s="45" t="str">
        <f>IFERROR((SUMIF(Data!B:B, A701, Data!K:K)
/ (COUNTIF(Data!B:B, A701)
)),"")</f>
        <v/>
      </c>
      <c r="N701" s="56"/>
      <c r="O701" s="56" t="str">
        <f>IF(A701="","",IFERROR((((((SUMIF(Data!B:B, A701, Data!H:H)+(SUMIF(Data!B:B, A701,Data!G:G)+(SUMIF(Data!B:B, A701,Data!L:L)+(SUMIF(Data!B:B, A701,Data!K:K)))))/(SUMIF(Data!B:B, A701, Data!M:M)+(SUMIF(Data!B:B, A701, Data!H:H)+(SUMIF(Data!B:B, A701,Data!G:G)+(SUMIF(Data!B:B, A701,Data!K:K)+(SUMIF(Data!B:B, A701,Data!L:L)))))))))),0))</f>
        <v/>
      </c>
      <c r="P701" s="57" t="str">
        <f>IFERROR(__xludf.DUMMYFUNCTION("IFERROR(((COUNTIF(FILTER(Data!N:N,Data!B:B=A701),""TRAVERSE"")*15)+(COUNTIF(FILTER(Data!N:N,Data!B:B=A701),""HIGH"")*10)+(COUNTIF(FILTER(Data!N:N,Data!B:B=A701),""MIDDLE"")*6)+(COUNTIF(FILTER(Data!N:N,Data!B:B=A701),""LOW"")*4)) / (COUNTIF(Data!B:B, A701)"&amp;"),"""")"),"")</f>
        <v/>
      </c>
      <c r="Q701" s="58"/>
      <c r="R701" s="58"/>
      <c r="S701" s="58" t="str">
        <f>IFERROR(__xludf.DUMMYFUNCTION("IFERROR((((COUNTIF(FILTER(Data!N:N,Data!B:B=A701),""TRAVERSE""))+(COUNTIF(FILTER(Data!N:N,Data!B:B=A701),""HIGH""))+(COUNTIF(FILTER(Data!N:N,Data!B:B=A701),""MIDDLE""))+(COUNTIF(FILTER(Data!N:N,Data!B:B=A701),""LOW"")))) / (((COUNTIF(Data!B:B, A701)))-(CO"&amp;"UNTIF(FILTER(Data!N:N,Data!B:B=A701),""NONE""))),IF(ISBLANK(A701),"""",0))"),"")</f>
        <v/>
      </c>
      <c r="T701" s="56" t="str">
        <f>IFERROR(__xludf.DUMMYFUNCTION("IFERROR((COUNTIF(FILTER(Data!N:N, Data!B:B=A701),""LOW"")) / (COUNTIF(Data!B:B, A701)),"""")"),"")</f>
        <v/>
      </c>
      <c r="U701" s="59" t="str">
        <f>IFERROR(__xludf.DUMMYFUNCTION("IFERROR((COUNTIF(FILTER(Data!N:N, Data!B:B=A701),""MIDDLE"")) / (COUNTIF(Data!B:B, A701)),"""")"),"")</f>
        <v/>
      </c>
      <c r="V701" s="59" t="str">
        <f>IFERROR(__xludf.DUMMYFUNCTION("IFERROR((COUNTIF(FILTER(Data!N:N, Data!B:B=A701),""HIGH"")) / (COUNTIF(Data!B:B, A701)),"""")"),"")</f>
        <v/>
      </c>
      <c r="W701" s="59" t="str">
        <f>IFERROR(__xludf.DUMMYFUNCTION("IFERROR((COUNTIF(FILTER(Data!N:N, Data!B:B=A701),""TRAVERSE"")) / (COUNTIF(Data!B:B, A701)),"""")"),"")</f>
        <v/>
      </c>
      <c r="X701" s="59"/>
      <c r="Y701" s="45" t="str">
        <f t="shared" si="7"/>
        <v/>
      </c>
      <c r="Z701" s="45" t="str">
        <f t="shared" si="8"/>
        <v/>
      </c>
      <c r="AA701" s="16" t="str">
        <f t="shared" si="9"/>
        <v/>
      </c>
      <c r="AB701" s="16"/>
      <c r="AC701" s="16"/>
      <c r="AD701" s="16"/>
      <c r="AE701" s="16" t="str">
        <f t="shared" si="12"/>
        <v/>
      </c>
      <c r="AF701" s="16" t="str">
        <f t="shared" si="13"/>
        <v/>
      </c>
      <c r="AG701" s="44"/>
      <c r="AH701" s="44"/>
      <c r="AI701" s="44" t="str">
        <f>IFERROR(__xludf.DUMMYFUNCTION("TEXTJOIN("", "",TRUE, FILTER(Data!P:P, Data!B:B=A701))"),"")</f>
        <v/>
      </c>
      <c r="AM701" s="61"/>
      <c r="BC701" s="50"/>
    </row>
    <row r="702">
      <c r="A702" s="14"/>
      <c r="B702" s="55" t="str">
        <f>IFERROR(__xludf.DUMMYFUNCTION("IFERROR(ROUND(
(COUNTIF(FILTER(Data!O:O, Data!B:B=A702), ""Win"")
+ COUNTIF(FILTER(Data!O:O, Data!B:B=A702), {""Tie"",""Results""}))
/ (COUNTIF(Data!B:B, A702)),
1),"""")"),"")</f>
        <v/>
      </c>
      <c r="C702" s="45" t="str">
        <f>IFERROR((SUMIF(Data!B:B, A702, Data!H:H)
/ (COUNTIF(Data!B:B, A702)
)),"")</f>
        <v/>
      </c>
      <c r="D702" s="45" t="str">
        <f>IFERROR((SUMIF(Data!B:B, A702, Data!G:G)
/ (COUNTIF(Data!B:B, A702)
)),"")</f>
        <v/>
      </c>
      <c r="E702" s="45"/>
      <c r="F702" s="45" t="str">
        <f>IFERROR((SUMIF(Data!B:B, A702, Data!J:J)
/ (COUNTIF(Data!B:B, A702)
)),"")</f>
        <v/>
      </c>
      <c r="G702" s="56" t="str">
        <f>IF(A702="","",IFERROR((((((SUMIF(Data!B:B, A702, Data!H:H)+(SUMIF(Data!B:B, A702,Data!G:G)))/(SUMIF(Data!B:B, A702, Data!J:J)))))),0))</f>
        <v/>
      </c>
      <c r="H702" s="45"/>
      <c r="I702" s="45"/>
      <c r="J702" s="45"/>
      <c r="K702" s="45"/>
      <c r="L702" s="45" t="str">
        <f>IFERROR((SUMIF(Data!B:B, A702, Data!L:L)
/ (COUNTIF(Data!B:B, A702)
)),"")</f>
        <v/>
      </c>
      <c r="M702" s="45" t="str">
        <f>IFERROR((SUMIF(Data!B:B, A702, Data!K:K)
/ (COUNTIF(Data!B:B, A702)
)),"")</f>
        <v/>
      </c>
      <c r="N702" s="56"/>
      <c r="O702" s="56" t="str">
        <f>IF(A702="","",IFERROR((((((SUMIF(Data!B:B, A702, Data!H:H)+(SUMIF(Data!B:B, A702,Data!G:G)+(SUMIF(Data!B:B, A702,Data!L:L)+(SUMIF(Data!B:B, A702,Data!K:K)))))/(SUMIF(Data!B:B, A702, Data!M:M)+(SUMIF(Data!B:B, A702, Data!H:H)+(SUMIF(Data!B:B, A702,Data!G:G)+(SUMIF(Data!B:B, A702,Data!K:K)+(SUMIF(Data!B:B, A702,Data!L:L)))))))))),0))</f>
        <v/>
      </c>
      <c r="P702" s="57" t="str">
        <f>IFERROR(__xludf.DUMMYFUNCTION("IFERROR(((COUNTIF(FILTER(Data!N:N,Data!B:B=A702),""TRAVERSE"")*15)+(COUNTIF(FILTER(Data!N:N,Data!B:B=A702),""HIGH"")*10)+(COUNTIF(FILTER(Data!N:N,Data!B:B=A702),""MIDDLE"")*6)+(COUNTIF(FILTER(Data!N:N,Data!B:B=A702),""LOW"")*4)) / (COUNTIF(Data!B:B, A702)"&amp;"),"""")"),"")</f>
        <v/>
      </c>
      <c r="Q702" s="58"/>
      <c r="R702" s="58"/>
      <c r="S702" s="58" t="str">
        <f>IFERROR(__xludf.DUMMYFUNCTION("IFERROR((((COUNTIF(FILTER(Data!N:N,Data!B:B=A702),""TRAVERSE""))+(COUNTIF(FILTER(Data!N:N,Data!B:B=A702),""HIGH""))+(COUNTIF(FILTER(Data!N:N,Data!B:B=A702),""MIDDLE""))+(COUNTIF(FILTER(Data!N:N,Data!B:B=A702),""LOW"")))) / (((COUNTIF(Data!B:B, A702)))-(CO"&amp;"UNTIF(FILTER(Data!N:N,Data!B:B=A702),""NONE""))),IF(ISBLANK(A702),"""",0))"),"")</f>
        <v/>
      </c>
      <c r="T702" s="56" t="str">
        <f>IFERROR(__xludf.DUMMYFUNCTION("IFERROR((COUNTIF(FILTER(Data!N:N, Data!B:B=A702),""LOW"")) / (COUNTIF(Data!B:B, A702)),"""")"),"")</f>
        <v/>
      </c>
      <c r="U702" s="59" t="str">
        <f>IFERROR(__xludf.DUMMYFUNCTION("IFERROR((COUNTIF(FILTER(Data!N:N, Data!B:B=A702),""MIDDLE"")) / (COUNTIF(Data!B:B, A702)),"""")"),"")</f>
        <v/>
      </c>
      <c r="V702" s="59" t="str">
        <f>IFERROR(__xludf.DUMMYFUNCTION("IFERROR((COUNTIF(FILTER(Data!N:N, Data!B:B=A702),""HIGH"")) / (COUNTIF(Data!B:B, A702)),"""")"),"")</f>
        <v/>
      </c>
      <c r="W702" s="59" t="str">
        <f>IFERROR(__xludf.DUMMYFUNCTION("IFERROR((COUNTIF(FILTER(Data!N:N, Data!B:B=A702),""TRAVERSE"")) / (COUNTIF(Data!B:B, A702)),"""")"),"")</f>
        <v/>
      </c>
      <c r="X702" s="59"/>
      <c r="Y702" s="45" t="str">
        <f t="shared" si="7"/>
        <v/>
      </c>
      <c r="Z702" s="45" t="str">
        <f t="shared" si="8"/>
        <v/>
      </c>
      <c r="AA702" s="16" t="str">
        <f t="shared" si="9"/>
        <v/>
      </c>
      <c r="AB702" s="16"/>
      <c r="AC702" s="16"/>
      <c r="AD702" s="16"/>
      <c r="AE702" s="16" t="str">
        <f t="shared" si="12"/>
        <v/>
      </c>
      <c r="AF702" s="16" t="str">
        <f t="shared" si="13"/>
        <v/>
      </c>
      <c r="AG702" s="44"/>
      <c r="AH702" s="44"/>
      <c r="AI702" s="44" t="str">
        <f>IFERROR(__xludf.DUMMYFUNCTION("TEXTJOIN("", "",TRUE, FILTER(Data!P:P, Data!B:B=A702))"),"")</f>
        <v/>
      </c>
      <c r="AM702" s="61"/>
      <c r="BC702" s="50"/>
    </row>
    <row r="703">
      <c r="A703" s="14"/>
      <c r="B703" s="55" t="str">
        <f>IFERROR(__xludf.DUMMYFUNCTION("IFERROR(ROUND(
(COUNTIF(FILTER(Data!O:O, Data!B:B=A703), ""Win"")
+ COUNTIF(FILTER(Data!O:O, Data!B:B=A703), {""Tie"",""Results""}))
/ (COUNTIF(Data!B:B, A703)),
1),"""")"),"")</f>
        <v/>
      </c>
      <c r="C703" s="45" t="str">
        <f>IFERROR((SUMIF(Data!B:B, A703, Data!H:H)
/ (COUNTIF(Data!B:B, A703)
)),"")</f>
        <v/>
      </c>
      <c r="D703" s="45" t="str">
        <f>IFERROR((SUMIF(Data!B:B, A703, Data!G:G)
/ (COUNTIF(Data!B:B, A703)
)),"")</f>
        <v/>
      </c>
      <c r="E703" s="45"/>
      <c r="F703" s="45" t="str">
        <f>IFERROR((SUMIF(Data!B:B, A703, Data!J:J)
/ (COUNTIF(Data!B:B, A703)
)),"")</f>
        <v/>
      </c>
      <c r="G703" s="56" t="str">
        <f>IF(A703="","",IFERROR((((((SUMIF(Data!B:B, A703, Data!H:H)+(SUMIF(Data!B:B, A703,Data!G:G)))/(SUMIF(Data!B:B, A703, Data!J:J)))))),0))</f>
        <v/>
      </c>
      <c r="H703" s="45"/>
      <c r="I703" s="45"/>
      <c r="J703" s="45"/>
      <c r="K703" s="45"/>
      <c r="L703" s="45" t="str">
        <f>IFERROR((SUMIF(Data!B:B, A703, Data!L:L)
/ (COUNTIF(Data!B:B, A703)
)),"")</f>
        <v/>
      </c>
      <c r="M703" s="45" t="str">
        <f>IFERROR((SUMIF(Data!B:B, A703, Data!K:K)
/ (COUNTIF(Data!B:B, A703)
)),"")</f>
        <v/>
      </c>
      <c r="N703" s="56"/>
      <c r="O703" s="56" t="str">
        <f>IF(A703="","",IFERROR((((((SUMIF(Data!B:B, A703, Data!H:H)+(SUMIF(Data!B:B, A703,Data!G:G)+(SUMIF(Data!B:B, A703,Data!L:L)+(SUMIF(Data!B:B, A703,Data!K:K)))))/(SUMIF(Data!B:B, A703, Data!M:M)+(SUMIF(Data!B:B, A703, Data!H:H)+(SUMIF(Data!B:B, A703,Data!G:G)+(SUMIF(Data!B:B, A703,Data!K:K)+(SUMIF(Data!B:B, A703,Data!L:L)))))))))),0))</f>
        <v/>
      </c>
      <c r="P703" s="57" t="str">
        <f>IFERROR(__xludf.DUMMYFUNCTION("IFERROR(((COUNTIF(FILTER(Data!N:N,Data!B:B=A703),""TRAVERSE"")*15)+(COUNTIF(FILTER(Data!N:N,Data!B:B=A703),""HIGH"")*10)+(COUNTIF(FILTER(Data!N:N,Data!B:B=A703),""MIDDLE"")*6)+(COUNTIF(FILTER(Data!N:N,Data!B:B=A703),""LOW"")*4)) / (COUNTIF(Data!B:B, A703)"&amp;"),"""")"),"")</f>
        <v/>
      </c>
      <c r="Q703" s="58"/>
      <c r="R703" s="58"/>
      <c r="S703" s="58" t="str">
        <f>IFERROR(__xludf.DUMMYFUNCTION("IFERROR((((COUNTIF(FILTER(Data!N:N,Data!B:B=A703),""TRAVERSE""))+(COUNTIF(FILTER(Data!N:N,Data!B:B=A703),""HIGH""))+(COUNTIF(FILTER(Data!N:N,Data!B:B=A703),""MIDDLE""))+(COUNTIF(FILTER(Data!N:N,Data!B:B=A703),""LOW"")))) / (((COUNTIF(Data!B:B, A703)))-(CO"&amp;"UNTIF(FILTER(Data!N:N,Data!B:B=A703),""NONE""))),IF(ISBLANK(A703),"""",0))"),"")</f>
        <v/>
      </c>
      <c r="T703" s="56" t="str">
        <f>IFERROR(__xludf.DUMMYFUNCTION("IFERROR((COUNTIF(FILTER(Data!N:N, Data!B:B=A703),""LOW"")) / (COUNTIF(Data!B:B, A703)),"""")"),"")</f>
        <v/>
      </c>
      <c r="U703" s="59" t="str">
        <f>IFERROR(__xludf.DUMMYFUNCTION("IFERROR((COUNTIF(FILTER(Data!N:N, Data!B:B=A703),""MIDDLE"")) / (COUNTIF(Data!B:B, A703)),"""")"),"")</f>
        <v/>
      </c>
      <c r="V703" s="59" t="str">
        <f>IFERROR(__xludf.DUMMYFUNCTION("IFERROR((COUNTIF(FILTER(Data!N:N, Data!B:B=A703),""HIGH"")) / (COUNTIF(Data!B:B, A703)),"""")"),"")</f>
        <v/>
      </c>
      <c r="W703" s="59" t="str">
        <f>IFERROR(__xludf.DUMMYFUNCTION("IFERROR((COUNTIF(FILTER(Data!N:N, Data!B:B=A703),""TRAVERSE"")) / (COUNTIF(Data!B:B, A703)),"""")"),"")</f>
        <v/>
      </c>
      <c r="X703" s="59"/>
      <c r="Y703" s="45" t="str">
        <f t="shared" si="7"/>
        <v/>
      </c>
      <c r="Z703" s="45" t="str">
        <f t="shared" si="8"/>
        <v/>
      </c>
      <c r="AA703" s="16" t="str">
        <f t="shared" si="9"/>
        <v/>
      </c>
      <c r="AB703" s="16"/>
      <c r="AC703" s="16"/>
      <c r="AD703" s="16"/>
      <c r="AE703" s="16" t="str">
        <f t="shared" si="12"/>
        <v/>
      </c>
      <c r="AF703" s="16" t="str">
        <f t="shared" si="13"/>
        <v/>
      </c>
      <c r="AG703" s="44"/>
      <c r="AH703" s="44"/>
      <c r="AI703" s="44" t="str">
        <f>IFERROR(__xludf.DUMMYFUNCTION("TEXTJOIN("", "",TRUE, FILTER(Data!P:P, Data!B:B=A703))"),"")</f>
        <v/>
      </c>
      <c r="AM703" s="61"/>
      <c r="BC703" s="50"/>
    </row>
    <row r="704">
      <c r="A704" s="14"/>
      <c r="B704" s="55" t="str">
        <f>IFERROR(__xludf.DUMMYFUNCTION("IFERROR(ROUND(
(COUNTIF(FILTER(Data!O:O, Data!B:B=A704), ""Win"")
+ COUNTIF(FILTER(Data!O:O, Data!B:B=A704), {""Tie"",""Results""}))
/ (COUNTIF(Data!B:B, A704)),
1),"""")"),"")</f>
        <v/>
      </c>
      <c r="C704" s="45" t="str">
        <f>IFERROR((SUMIF(Data!B:B, A704, Data!H:H)
/ (COUNTIF(Data!B:B, A704)
)),"")</f>
        <v/>
      </c>
      <c r="D704" s="45" t="str">
        <f>IFERROR((SUMIF(Data!B:B, A704, Data!G:G)
/ (COUNTIF(Data!B:B, A704)
)),"")</f>
        <v/>
      </c>
      <c r="E704" s="45"/>
      <c r="F704" s="45" t="str">
        <f>IFERROR((SUMIF(Data!B:B, A704, Data!J:J)
/ (COUNTIF(Data!B:B, A704)
)),"")</f>
        <v/>
      </c>
      <c r="G704" s="56" t="str">
        <f>IF(A704="","",IFERROR((((((SUMIF(Data!B:B, A704, Data!H:H)+(SUMIF(Data!B:B, A704,Data!G:G)))/(SUMIF(Data!B:B, A704, Data!J:J)))))),0))</f>
        <v/>
      </c>
      <c r="H704" s="45"/>
      <c r="I704" s="45"/>
      <c r="J704" s="45"/>
      <c r="K704" s="45"/>
      <c r="L704" s="45" t="str">
        <f>IFERROR((SUMIF(Data!B:B, A704, Data!L:L)
/ (COUNTIF(Data!B:B, A704)
)),"")</f>
        <v/>
      </c>
      <c r="M704" s="45" t="str">
        <f>IFERROR((SUMIF(Data!B:B, A704, Data!K:K)
/ (COUNTIF(Data!B:B, A704)
)),"")</f>
        <v/>
      </c>
      <c r="N704" s="56"/>
      <c r="O704" s="56" t="str">
        <f>IF(A704="","",IFERROR((((((SUMIF(Data!B:B, A704, Data!H:H)+(SUMIF(Data!B:B, A704,Data!G:G)+(SUMIF(Data!B:B, A704,Data!L:L)+(SUMIF(Data!B:B, A704,Data!K:K)))))/(SUMIF(Data!B:B, A704, Data!M:M)+(SUMIF(Data!B:B, A704, Data!H:H)+(SUMIF(Data!B:B, A704,Data!G:G)+(SUMIF(Data!B:B, A704,Data!K:K)+(SUMIF(Data!B:B, A704,Data!L:L)))))))))),0))</f>
        <v/>
      </c>
      <c r="P704" s="57" t="str">
        <f>IFERROR(__xludf.DUMMYFUNCTION("IFERROR(((COUNTIF(FILTER(Data!N:N,Data!B:B=A704),""TRAVERSE"")*15)+(COUNTIF(FILTER(Data!N:N,Data!B:B=A704),""HIGH"")*10)+(COUNTIF(FILTER(Data!N:N,Data!B:B=A704),""MIDDLE"")*6)+(COUNTIF(FILTER(Data!N:N,Data!B:B=A704),""LOW"")*4)) / (COUNTIF(Data!B:B, A704)"&amp;"),"""")"),"")</f>
        <v/>
      </c>
      <c r="Q704" s="58"/>
      <c r="R704" s="58"/>
      <c r="S704" s="58" t="str">
        <f>IFERROR(__xludf.DUMMYFUNCTION("IFERROR((((COUNTIF(FILTER(Data!N:N,Data!B:B=A704),""TRAVERSE""))+(COUNTIF(FILTER(Data!N:N,Data!B:B=A704),""HIGH""))+(COUNTIF(FILTER(Data!N:N,Data!B:B=A704),""MIDDLE""))+(COUNTIF(FILTER(Data!N:N,Data!B:B=A704),""LOW"")))) / (((COUNTIF(Data!B:B, A704)))-(CO"&amp;"UNTIF(FILTER(Data!N:N,Data!B:B=A704),""NONE""))),IF(ISBLANK(A704),"""",0))"),"")</f>
        <v/>
      </c>
      <c r="T704" s="56" t="str">
        <f>IFERROR(__xludf.DUMMYFUNCTION("IFERROR((COUNTIF(FILTER(Data!N:N, Data!B:B=A704),""LOW"")) / (COUNTIF(Data!B:B, A704)),"""")"),"")</f>
        <v/>
      </c>
      <c r="U704" s="59" t="str">
        <f>IFERROR(__xludf.DUMMYFUNCTION("IFERROR((COUNTIF(FILTER(Data!N:N, Data!B:B=A704),""MIDDLE"")) / (COUNTIF(Data!B:B, A704)),"""")"),"")</f>
        <v/>
      </c>
      <c r="V704" s="59" t="str">
        <f>IFERROR(__xludf.DUMMYFUNCTION("IFERROR((COUNTIF(FILTER(Data!N:N, Data!B:B=A704),""HIGH"")) / (COUNTIF(Data!B:B, A704)),"""")"),"")</f>
        <v/>
      </c>
      <c r="W704" s="59" t="str">
        <f>IFERROR(__xludf.DUMMYFUNCTION("IFERROR((COUNTIF(FILTER(Data!N:N, Data!B:B=A704),""TRAVERSE"")) / (COUNTIF(Data!B:B, A704)),"""")"),"")</f>
        <v/>
      </c>
      <c r="X704" s="59"/>
      <c r="Y704" s="45" t="str">
        <f t="shared" si="7"/>
        <v/>
      </c>
      <c r="Z704" s="45" t="str">
        <f t="shared" si="8"/>
        <v/>
      </c>
      <c r="AA704" s="16" t="str">
        <f t="shared" si="9"/>
        <v/>
      </c>
      <c r="AB704" s="16"/>
      <c r="AC704" s="16"/>
      <c r="AD704" s="16"/>
      <c r="AE704" s="16" t="str">
        <f t="shared" si="12"/>
        <v/>
      </c>
      <c r="AF704" s="16" t="str">
        <f t="shared" si="13"/>
        <v/>
      </c>
      <c r="AG704" s="44"/>
      <c r="AH704" s="44"/>
      <c r="AI704" s="44" t="str">
        <f>IFERROR(__xludf.DUMMYFUNCTION("TEXTJOIN("", "",TRUE, FILTER(Data!P:P, Data!B:B=A704))"),"")</f>
        <v/>
      </c>
      <c r="AM704" s="61"/>
      <c r="BC704" s="50"/>
    </row>
    <row r="705">
      <c r="A705" s="14"/>
      <c r="B705" s="55" t="str">
        <f>IFERROR(__xludf.DUMMYFUNCTION("IFERROR(ROUND(
(COUNTIF(FILTER(Data!O:O, Data!B:B=A705), ""Win"")
+ COUNTIF(FILTER(Data!O:O, Data!B:B=A705), {""Tie"",""Results""}))
/ (COUNTIF(Data!B:B, A705)),
1),"""")"),"")</f>
        <v/>
      </c>
      <c r="C705" s="45" t="str">
        <f>IFERROR((SUMIF(Data!B:B, A705, Data!H:H)
/ (COUNTIF(Data!B:B, A705)
)),"")</f>
        <v/>
      </c>
      <c r="D705" s="45" t="str">
        <f>IFERROR((SUMIF(Data!B:B, A705, Data!G:G)
/ (COUNTIF(Data!B:B, A705)
)),"")</f>
        <v/>
      </c>
      <c r="E705" s="45"/>
      <c r="F705" s="45" t="str">
        <f>IFERROR((SUMIF(Data!B:B, A705, Data!J:J)
/ (COUNTIF(Data!B:B, A705)
)),"")</f>
        <v/>
      </c>
      <c r="G705" s="56" t="str">
        <f>IF(A705="","",IFERROR((((((SUMIF(Data!B:B, A705, Data!H:H)+(SUMIF(Data!B:B, A705,Data!G:G)))/(SUMIF(Data!B:B, A705, Data!J:J)))))),0))</f>
        <v/>
      </c>
      <c r="H705" s="45"/>
      <c r="I705" s="45"/>
      <c r="J705" s="45"/>
      <c r="K705" s="45"/>
      <c r="L705" s="45" t="str">
        <f>IFERROR((SUMIF(Data!B:B, A705, Data!L:L)
/ (COUNTIF(Data!B:B, A705)
)),"")</f>
        <v/>
      </c>
      <c r="M705" s="45" t="str">
        <f>IFERROR((SUMIF(Data!B:B, A705, Data!K:K)
/ (COUNTIF(Data!B:B, A705)
)),"")</f>
        <v/>
      </c>
      <c r="N705" s="56"/>
      <c r="O705" s="56" t="str">
        <f>IF(A705="","",IFERROR((((((SUMIF(Data!B:B, A705, Data!H:H)+(SUMIF(Data!B:B, A705,Data!G:G)+(SUMIF(Data!B:B, A705,Data!L:L)+(SUMIF(Data!B:B, A705,Data!K:K)))))/(SUMIF(Data!B:B, A705, Data!M:M)+(SUMIF(Data!B:B, A705, Data!H:H)+(SUMIF(Data!B:B, A705,Data!G:G)+(SUMIF(Data!B:B, A705,Data!K:K)+(SUMIF(Data!B:B, A705,Data!L:L)))))))))),0))</f>
        <v/>
      </c>
      <c r="P705" s="57" t="str">
        <f>IFERROR(__xludf.DUMMYFUNCTION("IFERROR(((COUNTIF(FILTER(Data!N:N,Data!B:B=A705),""TRAVERSE"")*15)+(COUNTIF(FILTER(Data!N:N,Data!B:B=A705),""HIGH"")*10)+(COUNTIF(FILTER(Data!N:N,Data!B:B=A705),""MIDDLE"")*6)+(COUNTIF(FILTER(Data!N:N,Data!B:B=A705),""LOW"")*4)) / (COUNTIF(Data!B:B, A705)"&amp;"),"""")"),"")</f>
        <v/>
      </c>
      <c r="Q705" s="58"/>
      <c r="R705" s="58"/>
      <c r="S705" s="58" t="str">
        <f>IFERROR(__xludf.DUMMYFUNCTION("IFERROR((((COUNTIF(FILTER(Data!N:N,Data!B:B=A705),""TRAVERSE""))+(COUNTIF(FILTER(Data!N:N,Data!B:B=A705),""HIGH""))+(COUNTIF(FILTER(Data!N:N,Data!B:B=A705),""MIDDLE""))+(COUNTIF(FILTER(Data!N:N,Data!B:B=A705),""LOW"")))) / (((COUNTIF(Data!B:B, A705)))-(CO"&amp;"UNTIF(FILTER(Data!N:N,Data!B:B=A705),""NONE""))),IF(ISBLANK(A705),"""",0))"),"")</f>
        <v/>
      </c>
      <c r="T705" s="56" t="str">
        <f>IFERROR(__xludf.DUMMYFUNCTION("IFERROR((COUNTIF(FILTER(Data!N:N, Data!B:B=A705),""LOW"")) / (COUNTIF(Data!B:B, A705)),"""")"),"")</f>
        <v/>
      </c>
      <c r="U705" s="59" t="str">
        <f>IFERROR(__xludf.DUMMYFUNCTION("IFERROR((COUNTIF(FILTER(Data!N:N, Data!B:B=A705),""MIDDLE"")) / (COUNTIF(Data!B:B, A705)),"""")"),"")</f>
        <v/>
      </c>
      <c r="V705" s="59" t="str">
        <f>IFERROR(__xludf.DUMMYFUNCTION("IFERROR((COUNTIF(FILTER(Data!N:N, Data!B:B=A705),""HIGH"")) / (COUNTIF(Data!B:B, A705)),"""")"),"")</f>
        <v/>
      </c>
      <c r="W705" s="59" t="str">
        <f>IFERROR(__xludf.DUMMYFUNCTION("IFERROR((COUNTIF(FILTER(Data!N:N, Data!B:B=A705),""TRAVERSE"")) / (COUNTIF(Data!B:B, A705)),"""")"),"")</f>
        <v/>
      </c>
      <c r="X705" s="59"/>
      <c r="Y705" s="45" t="str">
        <f t="shared" si="7"/>
        <v/>
      </c>
      <c r="Z705" s="45" t="str">
        <f t="shared" si="8"/>
        <v/>
      </c>
      <c r="AA705" s="16" t="str">
        <f t="shared" si="9"/>
        <v/>
      </c>
      <c r="AB705" s="16"/>
      <c r="AC705" s="16"/>
      <c r="AD705" s="16"/>
      <c r="AE705" s="16" t="str">
        <f t="shared" si="12"/>
        <v/>
      </c>
      <c r="AF705" s="16" t="str">
        <f t="shared" si="13"/>
        <v/>
      </c>
      <c r="AG705" s="44"/>
      <c r="AH705" s="44"/>
      <c r="AI705" s="44" t="str">
        <f>IFERROR(__xludf.DUMMYFUNCTION("TEXTJOIN("", "",TRUE, FILTER(Data!P:P, Data!B:B=A705))"),"")</f>
        <v/>
      </c>
      <c r="AM705" s="61"/>
      <c r="BC705" s="50"/>
    </row>
    <row r="706">
      <c r="A706" s="14"/>
      <c r="B706" s="55" t="str">
        <f>IFERROR(__xludf.DUMMYFUNCTION("IFERROR(ROUND(
(COUNTIF(FILTER(Data!O:O, Data!B:B=A706), ""Win"")
+ COUNTIF(FILTER(Data!O:O, Data!B:B=A706), {""Tie"",""Results""}))
/ (COUNTIF(Data!B:B, A706)),
1),"""")"),"")</f>
        <v/>
      </c>
      <c r="C706" s="45" t="str">
        <f>IFERROR((SUMIF(Data!B:B, A706, Data!H:H)
/ (COUNTIF(Data!B:B, A706)
)),"")</f>
        <v/>
      </c>
      <c r="D706" s="45" t="str">
        <f>IFERROR((SUMIF(Data!B:B, A706, Data!G:G)
/ (COUNTIF(Data!B:B, A706)
)),"")</f>
        <v/>
      </c>
      <c r="E706" s="45"/>
      <c r="F706" s="45" t="str">
        <f>IFERROR((SUMIF(Data!B:B, A706, Data!J:J)
/ (COUNTIF(Data!B:B, A706)
)),"")</f>
        <v/>
      </c>
      <c r="G706" s="56" t="str">
        <f>IF(A706="","",IFERROR((((((SUMIF(Data!B:B, A706, Data!H:H)+(SUMIF(Data!B:B, A706,Data!G:G)))/(SUMIF(Data!B:B, A706, Data!J:J)))))),0))</f>
        <v/>
      </c>
      <c r="H706" s="45"/>
      <c r="I706" s="45"/>
      <c r="J706" s="45"/>
      <c r="K706" s="45"/>
      <c r="L706" s="45" t="str">
        <f>IFERROR((SUMIF(Data!B:B, A706, Data!L:L)
/ (COUNTIF(Data!B:B, A706)
)),"")</f>
        <v/>
      </c>
      <c r="M706" s="45" t="str">
        <f>IFERROR((SUMIF(Data!B:B, A706, Data!K:K)
/ (COUNTIF(Data!B:B, A706)
)),"")</f>
        <v/>
      </c>
      <c r="N706" s="56"/>
      <c r="O706" s="56" t="str">
        <f>IF(A706="","",IFERROR((((((SUMIF(Data!B:B, A706, Data!H:H)+(SUMIF(Data!B:B, A706,Data!G:G)+(SUMIF(Data!B:B, A706,Data!L:L)+(SUMIF(Data!B:B, A706,Data!K:K)))))/(SUMIF(Data!B:B, A706, Data!M:M)+(SUMIF(Data!B:B, A706, Data!H:H)+(SUMIF(Data!B:B, A706,Data!G:G)+(SUMIF(Data!B:B, A706,Data!K:K)+(SUMIF(Data!B:B, A706,Data!L:L)))))))))),0))</f>
        <v/>
      </c>
      <c r="P706" s="57" t="str">
        <f>IFERROR(__xludf.DUMMYFUNCTION("IFERROR(((COUNTIF(FILTER(Data!N:N,Data!B:B=A706),""TRAVERSE"")*15)+(COUNTIF(FILTER(Data!N:N,Data!B:B=A706),""HIGH"")*10)+(COUNTIF(FILTER(Data!N:N,Data!B:B=A706),""MIDDLE"")*6)+(COUNTIF(FILTER(Data!N:N,Data!B:B=A706),""LOW"")*4)) / (COUNTIF(Data!B:B, A706)"&amp;"),"""")"),"")</f>
        <v/>
      </c>
      <c r="Q706" s="58"/>
      <c r="R706" s="58"/>
      <c r="S706" s="58" t="str">
        <f>IFERROR(__xludf.DUMMYFUNCTION("IFERROR((((COUNTIF(FILTER(Data!N:N,Data!B:B=A706),""TRAVERSE""))+(COUNTIF(FILTER(Data!N:N,Data!B:B=A706),""HIGH""))+(COUNTIF(FILTER(Data!N:N,Data!B:B=A706),""MIDDLE""))+(COUNTIF(FILTER(Data!N:N,Data!B:B=A706),""LOW"")))) / (((COUNTIF(Data!B:B, A706)))-(CO"&amp;"UNTIF(FILTER(Data!N:N,Data!B:B=A706),""NONE""))),IF(ISBLANK(A706),"""",0))"),"")</f>
        <v/>
      </c>
      <c r="T706" s="56" t="str">
        <f>IFERROR(__xludf.DUMMYFUNCTION("IFERROR((COUNTIF(FILTER(Data!N:N, Data!B:B=A706),""LOW"")) / (COUNTIF(Data!B:B, A706)),"""")"),"")</f>
        <v/>
      </c>
      <c r="U706" s="59" t="str">
        <f>IFERROR(__xludf.DUMMYFUNCTION("IFERROR((COUNTIF(FILTER(Data!N:N, Data!B:B=A706),""MIDDLE"")) / (COUNTIF(Data!B:B, A706)),"""")"),"")</f>
        <v/>
      </c>
      <c r="V706" s="59" t="str">
        <f>IFERROR(__xludf.DUMMYFUNCTION("IFERROR((COUNTIF(FILTER(Data!N:N, Data!B:B=A706),""HIGH"")) / (COUNTIF(Data!B:B, A706)),"""")"),"")</f>
        <v/>
      </c>
      <c r="W706" s="59" t="str">
        <f>IFERROR(__xludf.DUMMYFUNCTION("IFERROR((COUNTIF(FILTER(Data!N:N, Data!B:B=A706),""TRAVERSE"")) / (COUNTIF(Data!B:B, A706)),"""")"),"")</f>
        <v/>
      </c>
      <c r="X706" s="59"/>
      <c r="Y706" s="45" t="str">
        <f t="shared" si="7"/>
        <v/>
      </c>
      <c r="Z706" s="45" t="str">
        <f t="shared" si="8"/>
        <v/>
      </c>
      <c r="AA706" s="16" t="str">
        <f t="shared" si="9"/>
        <v/>
      </c>
      <c r="AB706" s="16"/>
      <c r="AC706" s="16"/>
      <c r="AD706" s="16"/>
      <c r="AE706" s="16" t="str">
        <f t="shared" si="12"/>
        <v/>
      </c>
      <c r="AF706" s="16" t="str">
        <f t="shared" si="13"/>
        <v/>
      </c>
      <c r="AG706" s="44"/>
      <c r="AH706" s="44"/>
      <c r="AI706" s="44" t="str">
        <f>IFERROR(__xludf.DUMMYFUNCTION("TEXTJOIN("", "",TRUE, FILTER(Data!P:P, Data!B:B=A706))"),"")</f>
        <v/>
      </c>
      <c r="AM706" s="61"/>
      <c r="BC706" s="50"/>
    </row>
    <row r="707">
      <c r="A707" s="14"/>
      <c r="B707" s="55" t="str">
        <f>IFERROR(__xludf.DUMMYFUNCTION("IFERROR(ROUND(
(COUNTIF(FILTER(Data!O:O, Data!B:B=A707), ""Win"")
+ COUNTIF(FILTER(Data!O:O, Data!B:B=A707), {""Tie"",""Results""}))
/ (COUNTIF(Data!B:B, A707)),
1),"""")"),"")</f>
        <v/>
      </c>
      <c r="C707" s="45" t="str">
        <f>IFERROR((SUMIF(Data!B:B, A707, Data!H:H)
/ (COUNTIF(Data!B:B, A707)
)),"")</f>
        <v/>
      </c>
      <c r="D707" s="45" t="str">
        <f>IFERROR((SUMIF(Data!B:B, A707, Data!G:G)
/ (COUNTIF(Data!B:B, A707)
)),"")</f>
        <v/>
      </c>
      <c r="E707" s="45"/>
      <c r="F707" s="45" t="str">
        <f>IFERROR((SUMIF(Data!B:B, A707, Data!J:J)
/ (COUNTIF(Data!B:B, A707)
)),"")</f>
        <v/>
      </c>
      <c r="G707" s="56" t="str">
        <f>IF(A707="","",IFERROR((((((SUMIF(Data!B:B, A707, Data!H:H)+(SUMIF(Data!B:B, A707,Data!G:G)))/(SUMIF(Data!B:B, A707, Data!J:J)))))),0))</f>
        <v/>
      </c>
      <c r="H707" s="45"/>
      <c r="I707" s="45"/>
      <c r="J707" s="45"/>
      <c r="K707" s="45"/>
      <c r="L707" s="45" t="str">
        <f>IFERROR((SUMIF(Data!B:B, A707, Data!L:L)
/ (COUNTIF(Data!B:B, A707)
)),"")</f>
        <v/>
      </c>
      <c r="M707" s="45" t="str">
        <f>IFERROR((SUMIF(Data!B:B, A707, Data!K:K)
/ (COUNTIF(Data!B:B, A707)
)),"")</f>
        <v/>
      </c>
      <c r="N707" s="56"/>
      <c r="O707" s="56" t="str">
        <f>IF(A707="","",IFERROR((((((SUMIF(Data!B:B, A707, Data!H:H)+(SUMIF(Data!B:B, A707,Data!G:G)+(SUMIF(Data!B:B, A707,Data!L:L)+(SUMIF(Data!B:B, A707,Data!K:K)))))/(SUMIF(Data!B:B, A707, Data!M:M)+(SUMIF(Data!B:B, A707, Data!H:H)+(SUMIF(Data!B:B, A707,Data!G:G)+(SUMIF(Data!B:B, A707,Data!K:K)+(SUMIF(Data!B:B, A707,Data!L:L)))))))))),0))</f>
        <v/>
      </c>
      <c r="P707" s="57" t="str">
        <f>IFERROR(__xludf.DUMMYFUNCTION("IFERROR(((COUNTIF(FILTER(Data!N:N,Data!B:B=A707),""TRAVERSE"")*15)+(COUNTIF(FILTER(Data!N:N,Data!B:B=A707),""HIGH"")*10)+(COUNTIF(FILTER(Data!N:N,Data!B:B=A707),""MIDDLE"")*6)+(COUNTIF(FILTER(Data!N:N,Data!B:B=A707),""LOW"")*4)) / (COUNTIF(Data!B:B, A707)"&amp;"),"""")"),"")</f>
        <v/>
      </c>
      <c r="Q707" s="58"/>
      <c r="R707" s="58"/>
      <c r="S707" s="58" t="str">
        <f>IFERROR(__xludf.DUMMYFUNCTION("IFERROR((((COUNTIF(FILTER(Data!N:N,Data!B:B=A707),""TRAVERSE""))+(COUNTIF(FILTER(Data!N:N,Data!B:B=A707),""HIGH""))+(COUNTIF(FILTER(Data!N:N,Data!B:B=A707),""MIDDLE""))+(COUNTIF(FILTER(Data!N:N,Data!B:B=A707),""LOW"")))) / (((COUNTIF(Data!B:B, A707)))-(CO"&amp;"UNTIF(FILTER(Data!N:N,Data!B:B=A707),""NONE""))),IF(ISBLANK(A707),"""",0))"),"")</f>
        <v/>
      </c>
      <c r="T707" s="56" t="str">
        <f>IFERROR(__xludf.DUMMYFUNCTION("IFERROR((COUNTIF(FILTER(Data!N:N, Data!B:B=A707),""LOW"")) / (COUNTIF(Data!B:B, A707)),"""")"),"")</f>
        <v/>
      </c>
      <c r="U707" s="59" t="str">
        <f>IFERROR(__xludf.DUMMYFUNCTION("IFERROR((COUNTIF(FILTER(Data!N:N, Data!B:B=A707),""MIDDLE"")) / (COUNTIF(Data!B:B, A707)),"""")"),"")</f>
        <v/>
      </c>
      <c r="V707" s="59" t="str">
        <f>IFERROR(__xludf.DUMMYFUNCTION("IFERROR((COUNTIF(FILTER(Data!N:N, Data!B:B=A707),""HIGH"")) / (COUNTIF(Data!B:B, A707)),"""")"),"")</f>
        <v/>
      </c>
      <c r="W707" s="59" t="str">
        <f>IFERROR(__xludf.DUMMYFUNCTION("IFERROR((COUNTIF(FILTER(Data!N:N, Data!B:B=A707),""TRAVERSE"")) / (COUNTIF(Data!B:B, A707)),"""")"),"")</f>
        <v/>
      </c>
      <c r="X707" s="59"/>
      <c r="Y707" s="45" t="str">
        <f t="shared" si="7"/>
        <v/>
      </c>
      <c r="Z707" s="45" t="str">
        <f t="shared" si="8"/>
        <v/>
      </c>
      <c r="AA707" s="16" t="str">
        <f t="shared" si="9"/>
        <v/>
      </c>
      <c r="AB707" s="16"/>
      <c r="AC707" s="16"/>
      <c r="AD707" s="16"/>
      <c r="AE707" s="16" t="str">
        <f t="shared" si="12"/>
        <v/>
      </c>
      <c r="AF707" s="16" t="str">
        <f t="shared" si="13"/>
        <v/>
      </c>
      <c r="AG707" s="44"/>
      <c r="AH707" s="44"/>
      <c r="AI707" s="44" t="str">
        <f>IFERROR(__xludf.DUMMYFUNCTION("TEXTJOIN("", "",TRUE, FILTER(Data!P:P, Data!B:B=A707))"),"")</f>
        <v/>
      </c>
      <c r="AM707" s="61"/>
      <c r="BC707" s="50"/>
    </row>
    <row r="708">
      <c r="A708" s="14"/>
      <c r="B708" s="55" t="str">
        <f>IFERROR(__xludf.DUMMYFUNCTION("IFERROR(ROUND(
(COUNTIF(FILTER(Data!O:O, Data!B:B=A708), ""Win"")
+ COUNTIF(FILTER(Data!O:O, Data!B:B=A708), {""Tie"",""Results""}))
/ (COUNTIF(Data!B:B, A708)),
1),"""")"),"")</f>
        <v/>
      </c>
      <c r="C708" s="45" t="str">
        <f>IFERROR((SUMIF(Data!B:B, A708, Data!H:H)
/ (COUNTIF(Data!B:B, A708)
)),"")</f>
        <v/>
      </c>
      <c r="D708" s="45" t="str">
        <f>IFERROR((SUMIF(Data!B:B, A708, Data!G:G)
/ (COUNTIF(Data!B:B, A708)
)),"")</f>
        <v/>
      </c>
      <c r="E708" s="45"/>
      <c r="F708" s="45" t="str">
        <f>IFERROR((SUMIF(Data!B:B, A708, Data!J:J)
/ (COUNTIF(Data!B:B, A708)
)),"")</f>
        <v/>
      </c>
      <c r="G708" s="56" t="str">
        <f>IF(A708="","",IFERROR((((((SUMIF(Data!B:B, A708, Data!H:H)+(SUMIF(Data!B:B, A708,Data!G:G)))/(SUMIF(Data!B:B, A708, Data!J:J)))))),0))</f>
        <v/>
      </c>
      <c r="H708" s="45"/>
      <c r="I708" s="45"/>
      <c r="J708" s="45"/>
      <c r="K708" s="45"/>
      <c r="L708" s="45" t="str">
        <f>IFERROR((SUMIF(Data!B:B, A708, Data!L:L)
/ (COUNTIF(Data!B:B, A708)
)),"")</f>
        <v/>
      </c>
      <c r="M708" s="45" t="str">
        <f>IFERROR((SUMIF(Data!B:B, A708, Data!K:K)
/ (COUNTIF(Data!B:B, A708)
)),"")</f>
        <v/>
      </c>
      <c r="N708" s="56"/>
      <c r="O708" s="56" t="str">
        <f>IF(A708="","",IFERROR((((((SUMIF(Data!B:B, A708, Data!H:H)+(SUMIF(Data!B:B, A708,Data!G:G)+(SUMIF(Data!B:B, A708,Data!L:L)+(SUMIF(Data!B:B, A708,Data!K:K)))))/(SUMIF(Data!B:B, A708, Data!M:M)+(SUMIF(Data!B:B, A708, Data!H:H)+(SUMIF(Data!B:B, A708,Data!G:G)+(SUMIF(Data!B:B, A708,Data!K:K)+(SUMIF(Data!B:B, A708,Data!L:L)))))))))),0))</f>
        <v/>
      </c>
      <c r="P708" s="57" t="str">
        <f>IFERROR(__xludf.DUMMYFUNCTION("IFERROR(((COUNTIF(FILTER(Data!N:N,Data!B:B=A708),""TRAVERSE"")*15)+(COUNTIF(FILTER(Data!N:N,Data!B:B=A708),""HIGH"")*10)+(COUNTIF(FILTER(Data!N:N,Data!B:B=A708),""MIDDLE"")*6)+(COUNTIF(FILTER(Data!N:N,Data!B:B=A708),""LOW"")*4)) / (COUNTIF(Data!B:B, A708)"&amp;"),"""")"),"")</f>
        <v/>
      </c>
      <c r="Q708" s="58"/>
      <c r="R708" s="58"/>
      <c r="S708" s="58" t="str">
        <f>IFERROR(__xludf.DUMMYFUNCTION("IFERROR((((COUNTIF(FILTER(Data!N:N,Data!B:B=A708),""TRAVERSE""))+(COUNTIF(FILTER(Data!N:N,Data!B:B=A708),""HIGH""))+(COUNTIF(FILTER(Data!N:N,Data!B:B=A708),""MIDDLE""))+(COUNTIF(FILTER(Data!N:N,Data!B:B=A708),""LOW"")))) / (((COUNTIF(Data!B:B, A708)))-(CO"&amp;"UNTIF(FILTER(Data!N:N,Data!B:B=A708),""NONE""))),IF(ISBLANK(A708),"""",0))"),"")</f>
        <v/>
      </c>
      <c r="T708" s="56" t="str">
        <f>IFERROR(__xludf.DUMMYFUNCTION("IFERROR((COUNTIF(FILTER(Data!N:N, Data!B:B=A708),""LOW"")) / (COUNTIF(Data!B:B, A708)),"""")"),"")</f>
        <v/>
      </c>
      <c r="U708" s="59" t="str">
        <f>IFERROR(__xludf.DUMMYFUNCTION("IFERROR((COUNTIF(FILTER(Data!N:N, Data!B:B=A708),""MIDDLE"")) / (COUNTIF(Data!B:B, A708)),"""")"),"")</f>
        <v/>
      </c>
      <c r="V708" s="59" t="str">
        <f>IFERROR(__xludf.DUMMYFUNCTION("IFERROR((COUNTIF(FILTER(Data!N:N, Data!B:B=A708),""HIGH"")) / (COUNTIF(Data!B:B, A708)),"""")"),"")</f>
        <v/>
      </c>
      <c r="W708" s="59" t="str">
        <f>IFERROR(__xludf.DUMMYFUNCTION("IFERROR((COUNTIF(FILTER(Data!N:N, Data!B:B=A708),""TRAVERSE"")) / (COUNTIF(Data!B:B, A708)),"""")"),"")</f>
        <v/>
      </c>
      <c r="X708" s="59"/>
      <c r="Y708" s="45" t="str">
        <f t="shared" si="7"/>
        <v/>
      </c>
      <c r="Z708" s="45" t="str">
        <f t="shared" si="8"/>
        <v/>
      </c>
      <c r="AA708" s="16" t="str">
        <f t="shared" si="9"/>
        <v/>
      </c>
      <c r="AB708" s="16"/>
      <c r="AC708" s="16"/>
      <c r="AD708" s="16"/>
      <c r="AE708" s="16" t="str">
        <f t="shared" si="12"/>
        <v/>
      </c>
      <c r="AF708" s="16" t="str">
        <f t="shared" si="13"/>
        <v/>
      </c>
      <c r="AG708" s="44"/>
      <c r="AH708" s="44"/>
      <c r="AI708" s="44" t="str">
        <f>IFERROR(__xludf.DUMMYFUNCTION("TEXTJOIN("", "",TRUE, FILTER(Data!P:P, Data!B:B=A708))"),"")</f>
        <v/>
      </c>
      <c r="AM708" s="61"/>
      <c r="BC708" s="50"/>
    </row>
    <row r="709">
      <c r="A709" s="14"/>
      <c r="B709" s="55" t="str">
        <f>IFERROR(__xludf.DUMMYFUNCTION("IFERROR(ROUND(
(COUNTIF(FILTER(Data!O:O, Data!B:B=A709), ""Win"")
+ COUNTIF(FILTER(Data!O:O, Data!B:B=A709), {""Tie"",""Results""}))
/ (COUNTIF(Data!B:B, A709)),
1),"""")"),"")</f>
        <v/>
      </c>
      <c r="C709" s="45" t="str">
        <f>IFERROR((SUMIF(Data!B:B, A709, Data!H:H)
/ (COUNTIF(Data!B:B, A709)
)),"")</f>
        <v/>
      </c>
      <c r="D709" s="45" t="str">
        <f>IFERROR((SUMIF(Data!B:B, A709, Data!G:G)
/ (COUNTIF(Data!B:B, A709)
)),"")</f>
        <v/>
      </c>
      <c r="E709" s="45"/>
      <c r="F709" s="45" t="str">
        <f>IFERROR((SUMIF(Data!B:B, A709, Data!J:J)
/ (COUNTIF(Data!B:B, A709)
)),"")</f>
        <v/>
      </c>
      <c r="G709" s="56" t="str">
        <f>IF(A709="","",IFERROR((((((SUMIF(Data!B:B, A709, Data!H:H)+(SUMIF(Data!B:B, A709,Data!G:G)))/(SUMIF(Data!B:B, A709, Data!J:J)))))),0))</f>
        <v/>
      </c>
      <c r="H709" s="45"/>
      <c r="I709" s="45"/>
      <c r="J709" s="45"/>
      <c r="K709" s="45"/>
      <c r="L709" s="45" t="str">
        <f>IFERROR((SUMIF(Data!B:B, A709, Data!L:L)
/ (COUNTIF(Data!B:B, A709)
)),"")</f>
        <v/>
      </c>
      <c r="M709" s="45" t="str">
        <f>IFERROR((SUMIF(Data!B:B, A709, Data!K:K)
/ (COUNTIF(Data!B:B, A709)
)),"")</f>
        <v/>
      </c>
      <c r="N709" s="56"/>
      <c r="O709" s="56" t="str">
        <f>IF(A709="","",IFERROR((((((SUMIF(Data!B:B, A709, Data!H:H)+(SUMIF(Data!B:B, A709,Data!G:G)+(SUMIF(Data!B:B, A709,Data!L:L)+(SUMIF(Data!B:B, A709,Data!K:K)))))/(SUMIF(Data!B:B, A709, Data!M:M)+(SUMIF(Data!B:B, A709, Data!H:H)+(SUMIF(Data!B:B, A709,Data!G:G)+(SUMIF(Data!B:B, A709,Data!K:K)+(SUMIF(Data!B:B, A709,Data!L:L)))))))))),0))</f>
        <v/>
      </c>
      <c r="P709" s="57" t="str">
        <f>IFERROR(__xludf.DUMMYFUNCTION("IFERROR(((COUNTIF(FILTER(Data!N:N,Data!B:B=A709),""TRAVERSE"")*15)+(COUNTIF(FILTER(Data!N:N,Data!B:B=A709),""HIGH"")*10)+(COUNTIF(FILTER(Data!N:N,Data!B:B=A709),""MIDDLE"")*6)+(COUNTIF(FILTER(Data!N:N,Data!B:B=A709),""LOW"")*4)) / (COUNTIF(Data!B:B, A709)"&amp;"),"""")"),"")</f>
        <v/>
      </c>
      <c r="Q709" s="58"/>
      <c r="R709" s="58"/>
      <c r="S709" s="58" t="str">
        <f>IFERROR(__xludf.DUMMYFUNCTION("IFERROR((((COUNTIF(FILTER(Data!N:N,Data!B:B=A709),""TRAVERSE""))+(COUNTIF(FILTER(Data!N:N,Data!B:B=A709),""HIGH""))+(COUNTIF(FILTER(Data!N:N,Data!B:B=A709),""MIDDLE""))+(COUNTIF(FILTER(Data!N:N,Data!B:B=A709),""LOW"")))) / (((COUNTIF(Data!B:B, A709)))-(CO"&amp;"UNTIF(FILTER(Data!N:N,Data!B:B=A709),""NONE""))),IF(ISBLANK(A709),"""",0))"),"")</f>
        <v/>
      </c>
      <c r="T709" s="56" t="str">
        <f>IFERROR(__xludf.DUMMYFUNCTION("IFERROR((COUNTIF(FILTER(Data!N:N, Data!B:B=A709),""LOW"")) / (COUNTIF(Data!B:B, A709)),"""")"),"")</f>
        <v/>
      </c>
      <c r="U709" s="59" t="str">
        <f>IFERROR(__xludf.DUMMYFUNCTION("IFERROR((COUNTIF(FILTER(Data!N:N, Data!B:B=A709),""MIDDLE"")) / (COUNTIF(Data!B:B, A709)),"""")"),"")</f>
        <v/>
      </c>
      <c r="V709" s="59" t="str">
        <f>IFERROR(__xludf.DUMMYFUNCTION("IFERROR((COUNTIF(FILTER(Data!N:N, Data!B:B=A709),""HIGH"")) / (COUNTIF(Data!B:B, A709)),"""")"),"")</f>
        <v/>
      </c>
      <c r="W709" s="59" t="str">
        <f>IFERROR(__xludf.DUMMYFUNCTION("IFERROR((COUNTIF(FILTER(Data!N:N, Data!B:B=A709),""TRAVERSE"")) / (COUNTIF(Data!B:B, A709)),"""")"),"")</f>
        <v/>
      </c>
      <c r="X709" s="59"/>
      <c r="Y709" s="45" t="str">
        <f t="shared" si="7"/>
        <v/>
      </c>
      <c r="Z709" s="45" t="str">
        <f t="shared" si="8"/>
        <v/>
      </c>
      <c r="AA709" s="16" t="str">
        <f t="shared" si="9"/>
        <v/>
      </c>
      <c r="AB709" s="16"/>
      <c r="AC709" s="16"/>
      <c r="AD709" s="16"/>
      <c r="AE709" s="16" t="str">
        <f t="shared" si="12"/>
        <v/>
      </c>
      <c r="AF709" s="16" t="str">
        <f t="shared" si="13"/>
        <v/>
      </c>
      <c r="AG709" s="44"/>
      <c r="AH709" s="44"/>
      <c r="AI709" s="44" t="str">
        <f>IFERROR(__xludf.DUMMYFUNCTION("TEXTJOIN("", "",TRUE, FILTER(Data!P:P, Data!B:B=A709))"),"")</f>
        <v/>
      </c>
      <c r="AM709" s="61"/>
      <c r="BC709" s="50"/>
    </row>
    <row r="710">
      <c r="A710" s="14"/>
      <c r="B710" s="55" t="str">
        <f>IFERROR(__xludf.DUMMYFUNCTION("IFERROR(ROUND(
(COUNTIF(FILTER(Data!O:O, Data!B:B=A710), ""Win"")
+ COUNTIF(FILTER(Data!O:O, Data!B:B=A710), {""Tie"",""Results""}))
/ (COUNTIF(Data!B:B, A710)),
1),"""")"),"")</f>
        <v/>
      </c>
      <c r="C710" s="45" t="str">
        <f>IFERROR((SUMIF(Data!B:B, A710, Data!H:H)
/ (COUNTIF(Data!B:B, A710)
)),"")</f>
        <v/>
      </c>
      <c r="D710" s="45" t="str">
        <f>IFERROR((SUMIF(Data!B:B, A710, Data!G:G)
/ (COUNTIF(Data!B:B, A710)
)),"")</f>
        <v/>
      </c>
      <c r="E710" s="45"/>
      <c r="F710" s="45" t="str">
        <f>IFERROR((SUMIF(Data!B:B, A710, Data!J:J)
/ (COUNTIF(Data!B:B, A710)
)),"")</f>
        <v/>
      </c>
      <c r="G710" s="56" t="str">
        <f>IF(A710="","",IFERROR((((((SUMIF(Data!B:B, A710, Data!H:H)+(SUMIF(Data!B:B, A710,Data!G:G)))/(SUMIF(Data!B:B, A710, Data!J:J)))))),0))</f>
        <v/>
      </c>
      <c r="H710" s="45"/>
      <c r="I710" s="45"/>
      <c r="J710" s="45"/>
      <c r="K710" s="45"/>
      <c r="L710" s="45" t="str">
        <f>IFERROR((SUMIF(Data!B:B, A710, Data!L:L)
/ (COUNTIF(Data!B:B, A710)
)),"")</f>
        <v/>
      </c>
      <c r="M710" s="45" t="str">
        <f>IFERROR((SUMIF(Data!B:B, A710, Data!K:K)
/ (COUNTIF(Data!B:B, A710)
)),"")</f>
        <v/>
      </c>
      <c r="N710" s="56"/>
      <c r="O710" s="56" t="str">
        <f>IF(A710="","",IFERROR((((((SUMIF(Data!B:B, A710, Data!H:H)+(SUMIF(Data!B:B, A710,Data!G:G)+(SUMIF(Data!B:B, A710,Data!L:L)+(SUMIF(Data!B:B, A710,Data!K:K)))))/(SUMIF(Data!B:B, A710, Data!M:M)+(SUMIF(Data!B:B, A710, Data!H:H)+(SUMIF(Data!B:B, A710,Data!G:G)+(SUMIF(Data!B:B, A710,Data!K:K)+(SUMIF(Data!B:B, A710,Data!L:L)))))))))),0))</f>
        <v/>
      </c>
      <c r="P710" s="57" t="str">
        <f>IFERROR(__xludf.DUMMYFUNCTION("IFERROR(((COUNTIF(FILTER(Data!N:N,Data!B:B=A710),""TRAVERSE"")*15)+(COUNTIF(FILTER(Data!N:N,Data!B:B=A710),""HIGH"")*10)+(COUNTIF(FILTER(Data!N:N,Data!B:B=A710),""MIDDLE"")*6)+(COUNTIF(FILTER(Data!N:N,Data!B:B=A710),""LOW"")*4)) / (COUNTIF(Data!B:B, A710)"&amp;"),"""")"),"")</f>
        <v/>
      </c>
      <c r="Q710" s="58"/>
      <c r="R710" s="58"/>
      <c r="S710" s="58" t="str">
        <f>IFERROR(__xludf.DUMMYFUNCTION("IFERROR((((COUNTIF(FILTER(Data!N:N,Data!B:B=A710),""TRAVERSE""))+(COUNTIF(FILTER(Data!N:N,Data!B:B=A710),""HIGH""))+(COUNTIF(FILTER(Data!N:N,Data!B:B=A710),""MIDDLE""))+(COUNTIF(FILTER(Data!N:N,Data!B:B=A710),""LOW"")))) / (((COUNTIF(Data!B:B, A710)))-(CO"&amp;"UNTIF(FILTER(Data!N:N,Data!B:B=A710),""NONE""))),IF(ISBLANK(A710),"""",0))"),"")</f>
        <v/>
      </c>
      <c r="T710" s="56" t="str">
        <f>IFERROR(__xludf.DUMMYFUNCTION("IFERROR((COUNTIF(FILTER(Data!N:N, Data!B:B=A710),""LOW"")) / (COUNTIF(Data!B:B, A710)),"""")"),"")</f>
        <v/>
      </c>
      <c r="U710" s="59" t="str">
        <f>IFERROR(__xludf.DUMMYFUNCTION("IFERROR((COUNTIF(FILTER(Data!N:N, Data!B:B=A710),""MIDDLE"")) / (COUNTIF(Data!B:B, A710)),"""")"),"")</f>
        <v/>
      </c>
      <c r="V710" s="59" t="str">
        <f>IFERROR(__xludf.DUMMYFUNCTION("IFERROR((COUNTIF(FILTER(Data!N:N, Data!B:B=A710),""HIGH"")) / (COUNTIF(Data!B:B, A710)),"""")"),"")</f>
        <v/>
      </c>
      <c r="W710" s="59" t="str">
        <f>IFERROR(__xludf.DUMMYFUNCTION("IFERROR((COUNTIF(FILTER(Data!N:N, Data!B:B=A710),""TRAVERSE"")) / (COUNTIF(Data!B:B, A710)),"""")"),"")</f>
        <v/>
      </c>
      <c r="X710" s="59"/>
      <c r="Y710" s="45" t="str">
        <f t="shared" si="7"/>
        <v/>
      </c>
      <c r="Z710" s="45" t="str">
        <f t="shared" si="8"/>
        <v/>
      </c>
      <c r="AA710" s="16" t="str">
        <f t="shared" si="9"/>
        <v/>
      </c>
      <c r="AB710" s="16"/>
      <c r="AC710" s="16"/>
      <c r="AD710" s="16"/>
      <c r="AE710" s="16" t="str">
        <f t="shared" si="12"/>
        <v/>
      </c>
      <c r="AF710" s="16" t="str">
        <f t="shared" si="13"/>
        <v/>
      </c>
      <c r="AG710" s="44"/>
      <c r="AH710" s="44"/>
      <c r="AI710" s="44" t="str">
        <f>IFERROR(__xludf.DUMMYFUNCTION("TEXTJOIN("", "",TRUE, FILTER(Data!P:P, Data!B:B=A710))"),"")</f>
        <v/>
      </c>
      <c r="AM710" s="61"/>
      <c r="BC710" s="50"/>
    </row>
    <row r="711">
      <c r="A711" s="14"/>
      <c r="B711" s="55" t="str">
        <f>IFERROR(__xludf.DUMMYFUNCTION("IFERROR(ROUND(
(COUNTIF(FILTER(Data!O:O, Data!B:B=A711), ""Win"")
+ COUNTIF(FILTER(Data!O:O, Data!B:B=A711), {""Tie"",""Results""}))
/ (COUNTIF(Data!B:B, A711)),
1),"""")"),"")</f>
        <v/>
      </c>
      <c r="C711" s="45" t="str">
        <f>IFERROR((SUMIF(Data!B:B, A711, Data!H:H)
/ (COUNTIF(Data!B:B, A711)
)),"")</f>
        <v/>
      </c>
      <c r="D711" s="45" t="str">
        <f>IFERROR((SUMIF(Data!B:B, A711, Data!G:G)
/ (COUNTIF(Data!B:B, A711)
)),"")</f>
        <v/>
      </c>
      <c r="E711" s="45"/>
      <c r="F711" s="45" t="str">
        <f>IFERROR((SUMIF(Data!B:B, A711, Data!J:J)
/ (COUNTIF(Data!B:B, A711)
)),"")</f>
        <v/>
      </c>
      <c r="G711" s="56" t="str">
        <f>IF(A711="","",IFERROR((((((SUMIF(Data!B:B, A711, Data!H:H)+(SUMIF(Data!B:B, A711,Data!G:G)))/(SUMIF(Data!B:B, A711, Data!J:J)))))),0))</f>
        <v/>
      </c>
      <c r="H711" s="45"/>
      <c r="I711" s="45"/>
      <c r="J711" s="45"/>
      <c r="K711" s="45"/>
      <c r="L711" s="45" t="str">
        <f>IFERROR((SUMIF(Data!B:B, A711, Data!L:L)
/ (COUNTIF(Data!B:B, A711)
)),"")</f>
        <v/>
      </c>
      <c r="M711" s="45" t="str">
        <f>IFERROR((SUMIF(Data!B:B, A711, Data!K:K)
/ (COUNTIF(Data!B:B, A711)
)),"")</f>
        <v/>
      </c>
      <c r="N711" s="56"/>
      <c r="O711" s="56" t="str">
        <f>IF(A711="","",IFERROR((((((SUMIF(Data!B:B, A711, Data!H:H)+(SUMIF(Data!B:B, A711,Data!G:G)+(SUMIF(Data!B:B, A711,Data!L:L)+(SUMIF(Data!B:B, A711,Data!K:K)))))/(SUMIF(Data!B:B, A711, Data!M:M)+(SUMIF(Data!B:B, A711, Data!H:H)+(SUMIF(Data!B:B, A711,Data!G:G)+(SUMIF(Data!B:B, A711,Data!K:K)+(SUMIF(Data!B:B, A711,Data!L:L)))))))))),0))</f>
        <v/>
      </c>
      <c r="P711" s="57" t="str">
        <f>IFERROR(__xludf.DUMMYFUNCTION("IFERROR(((COUNTIF(FILTER(Data!N:N,Data!B:B=A711),""TRAVERSE"")*15)+(COUNTIF(FILTER(Data!N:N,Data!B:B=A711),""HIGH"")*10)+(COUNTIF(FILTER(Data!N:N,Data!B:B=A711),""MIDDLE"")*6)+(COUNTIF(FILTER(Data!N:N,Data!B:B=A711),""LOW"")*4)) / (COUNTIF(Data!B:B, A711)"&amp;"),"""")"),"")</f>
        <v/>
      </c>
      <c r="Q711" s="58"/>
      <c r="R711" s="58"/>
      <c r="S711" s="58" t="str">
        <f>IFERROR(__xludf.DUMMYFUNCTION("IFERROR((((COUNTIF(FILTER(Data!N:N,Data!B:B=A711),""TRAVERSE""))+(COUNTIF(FILTER(Data!N:N,Data!B:B=A711),""HIGH""))+(COUNTIF(FILTER(Data!N:N,Data!B:B=A711),""MIDDLE""))+(COUNTIF(FILTER(Data!N:N,Data!B:B=A711),""LOW"")))) / (((COUNTIF(Data!B:B, A711)))-(CO"&amp;"UNTIF(FILTER(Data!N:N,Data!B:B=A711),""NONE""))),IF(ISBLANK(A711),"""",0))"),"")</f>
        <v/>
      </c>
      <c r="T711" s="56" t="str">
        <f>IFERROR(__xludf.DUMMYFUNCTION("IFERROR((COUNTIF(FILTER(Data!N:N, Data!B:B=A711),""LOW"")) / (COUNTIF(Data!B:B, A711)),"""")"),"")</f>
        <v/>
      </c>
      <c r="U711" s="59" t="str">
        <f>IFERROR(__xludf.DUMMYFUNCTION("IFERROR((COUNTIF(FILTER(Data!N:N, Data!B:B=A711),""MIDDLE"")) / (COUNTIF(Data!B:B, A711)),"""")"),"")</f>
        <v/>
      </c>
      <c r="V711" s="59" t="str">
        <f>IFERROR(__xludf.DUMMYFUNCTION("IFERROR((COUNTIF(FILTER(Data!N:N, Data!B:B=A711),""HIGH"")) / (COUNTIF(Data!B:B, A711)),"""")"),"")</f>
        <v/>
      </c>
      <c r="W711" s="59" t="str">
        <f>IFERROR(__xludf.DUMMYFUNCTION("IFERROR((COUNTIF(FILTER(Data!N:N, Data!B:B=A711),""TRAVERSE"")) / (COUNTIF(Data!B:B, A711)),"""")"),"")</f>
        <v/>
      </c>
      <c r="X711" s="59"/>
      <c r="Y711" s="45" t="str">
        <f t="shared" si="7"/>
        <v/>
      </c>
      <c r="Z711" s="45" t="str">
        <f t="shared" si="8"/>
        <v/>
      </c>
      <c r="AA711" s="16" t="str">
        <f t="shared" si="9"/>
        <v/>
      </c>
      <c r="AB711" s="16"/>
      <c r="AC711" s="16"/>
      <c r="AD711" s="16"/>
      <c r="AE711" s="16" t="str">
        <f t="shared" si="12"/>
        <v/>
      </c>
      <c r="AF711" s="16" t="str">
        <f t="shared" si="13"/>
        <v/>
      </c>
      <c r="AG711" s="44"/>
      <c r="AH711" s="44"/>
      <c r="AI711" s="44" t="str">
        <f>IFERROR(__xludf.DUMMYFUNCTION("TEXTJOIN("", "",TRUE, FILTER(Data!P:P, Data!B:B=A711))"),"")</f>
        <v/>
      </c>
      <c r="AM711" s="61"/>
      <c r="BC711" s="50"/>
    </row>
    <row r="712">
      <c r="A712" s="14"/>
      <c r="B712" s="55" t="str">
        <f>IFERROR(__xludf.DUMMYFUNCTION("IFERROR(ROUND(
(COUNTIF(FILTER(Data!O:O, Data!B:B=A712), ""Win"")
+ COUNTIF(FILTER(Data!O:O, Data!B:B=A712), {""Tie"",""Results""}))
/ (COUNTIF(Data!B:B, A712)),
1),"""")"),"")</f>
        <v/>
      </c>
      <c r="C712" s="45" t="str">
        <f>IFERROR((SUMIF(Data!B:B, A712, Data!H:H)
/ (COUNTIF(Data!B:B, A712)
)),"")</f>
        <v/>
      </c>
      <c r="D712" s="45" t="str">
        <f>IFERROR((SUMIF(Data!B:B, A712, Data!G:G)
/ (COUNTIF(Data!B:B, A712)
)),"")</f>
        <v/>
      </c>
      <c r="E712" s="45"/>
      <c r="F712" s="45" t="str">
        <f>IFERROR((SUMIF(Data!B:B, A712, Data!J:J)
/ (COUNTIF(Data!B:B, A712)
)),"")</f>
        <v/>
      </c>
      <c r="G712" s="56" t="str">
        <f>IF(A712="","",IFERROR((((((SUMIF(Data!B:B, A712, Data!H:H)+(SUMIF(Data!B:B, A712,Data!G:G)))/(SUMIF(Data!B:B, A712, Data!J:J)))))),0))</f>
        <v/>
      </c>
      <c r="H712" s="45"/>
      <c r="I712" s="45"/>
      <c r="J712" s="45"/>
      <c r="K712" s="45"/>
      <c r="L712" s="45" t="str">
        <f>IFERROR((SUMIF(Data!B:B, A712, Data!L:L)
/ (COUNTIF(Data!B:B, A712)
)),"")</f>
        <v/>
      </c>
      <c r="M712" s="45" t="str">
        <f>IFERROR((SUMIF(Data!B:B, A712, Data!K:K)
/ (COUNTIF(Data!B:B, A712)
)),"")</f>
        <v/>
      </c>
      <c r="N712" s="56"/>
      <c r="O712" s="56" t="str">
        <f>IF(A712="","",IFERROR((((((SUMIF(Data!B:B, A712, Data!H:H)+(SUMIF(Data!B:B, A712,Data!G:G)+(SUMIF(Data!B:B, A712,Data!L:L)+(SUMIF(Data!B:B, A712,Data!K:K)))))/(SUMIF(Data!B:B, A712, Data!M:M)+(SUMIF(Data!B:B, A712, Data!H:H)+(SUMIF(Data!B:B, A712,Data!G:G)+(SUMIF(Data!B:B, A712,Data!K:K)+(SUMIF(Data!B:B, A712,Data!L:L)))))))))),0))</f>
        <v/>
      </c>
      <c r="P712" s="57" t="str">
        <f>IFERROR(__xludf.DUMMYFUNCTION("IFERROR(((COUNTIF(FILTER(Data!N:N,Data!B:B=A712),""TRAVERSE"")*15)+(COUNTIF(FILTER(Data!N:N,Data!B:B=A712),""HIGH"")*10)+(COUNTIF(FILTER(Data!N:N,Data!B:B=A712),""MIDDLE"")*6)+(COUNTIF(FILTER(Data!N:N,Data!B:B=A712),""LOW"")*4)) / (COUNTIF(Data!B:B, A712)"&amp;"),"""")"),"")</f>
        <v/>
      </c>
      <c r="Q712" s="58"/>
      <c r="R712" s="58"/>
      <c r="S712" s="58" t="str">
        <f>IFERROR(__xludf.DUMMYFUNCTION("IFERROR((((COUNTIF(FILTER(Data!N:N,Data!B:B=A712),""TRAVERSE""))+(COUNTIF(FILTER(Data!N:N,Data!B:B=A712),""HIGH""))+(COUNTIF(FILTER(Data!N:N,Data!B:B=A712),""MIDDLE""))+(COUNTIF(FILTER(Data!N:N,Data!B:B=A712),""LOW"")))) / (((COUNTIF(Data!B:B, A712)))-(CO"&amp;"UNTIF(FILTER(Data!N:N,Data!B:B=A712),""NONE""))),IF(ISBLANK(A712),"""",0))"),"")</f>
        <v/>
      </c>
      <c r="T712" s="56" t="str">
        <f>IFERROR(__xludf.DUMMYFUNCTION("IFERROR((COUNTIF(FILTER(Data!N:N, Data!B:B=A712),""LOW"")) / (COUNTIF(Data!B:B, A712)),"""")"),"")</f>
        <v/>
      </c>
      <c r="U712" s="59" t="str">
        <f>IFERROR(__xludf.DUMMYFUNCTION("IFERROR((COUNTIF(FILTER(Data!N:N, Data!B:B=A712),""MIDDLE"")) / (COUNTIF(Data!B:B, A712)),"""")"),"")</f>
        <v/>
      </c>
      <c r="V712" s="59" t="str">
        <f>IFERROR(__xludf.DUMMYFUNCTION("IFERROR((COUNTIF(FILTER(Data!N:N, Data!B:B=A712),""HIGH"")) / (COUNTIF(Data!B:B, A712)),"""")"),"")</f>
        <v/>
      </c>
      <c r="W712" s="59" t="str">
        <f>IFERROR(__xludf.DUMMYFUNCTION("IFERROR((COUNTIF(FILTER(Data!N:N, Data!B:B=A712),""TRAVERSE"")) / (COUNTIF(Data!B:B, A712)),"""")"),"")</f>
        <v/>
      </c>
      <c r="X712" s="59"/>
      <c r="Y712" s="45" t="str">
        <f t="shared" si="7"/>
        <v/>
      </c>
      <c r="Z712" s="45" t="str">
        <f t="shared" si="8"/>
        <v/>
      </c>
      <c r="AA712" s="16" t="str">
        <f t="shared" si="9"/>
        <v/>
      </c>
      <c r="AB712" s="16"/>
      <c r="AC712" s="16"/>
      <c r="AD712" s="16"/>
      <c r="AE712" s="16" t="str">
        <f t="shared" si="12"/>
        <v/>
      </c>
      <c r="AF712" s="16" t="str">
        <f t="shared" si="13"/>
        <v/>
      </c>
      <c r="AG712" s="44"/>
      <c r="AH712" s="44"/>
      <c r="AI712" s="44" t="str">
        <f>IFERROR(__xludf.DUMMYFUNCTION("TEXTJOIN("", "",TRUE, FILTER(Data!P:P, Data!B:B=A712))"),"")</f>
        <v/>
      </c>
      <c r="AM712" s="61"/>
      <c r="BC712" s="50"/>
    </row>
    <row r="713">
      <c r="A713" s="14"/>
      <c r="B713" s="55" t="str">
        <f>IFERROR(__xludf.DUMMYFUNCTION("IFERROR(ROUND(
(COUNTIF(FILTER(Data!O:O, Data!B:B=A713), ""Win"")
+ COUNTIF(FILTER(Data!O:O, Data!B:B=A713), {""Tie"",""Results""}))
/ (COUNTIF(Data!B:B, A713)),
1),"""")"),"")</f>
        <v/>
      </c>
      <c r="C713" s="45" t="str">
        <f>IFERROR((SUMIF(Data!B:B, A713, Data!H:H)
/ (COUNTIF(Data!B:B, A713)
)),"")</f>
        <v/>
      </c>
      <c r="D713" s="45" t="str">
        <f>IFERROR((SUMIF(Data!B:B, A713, Data!G:G)
/ (COUNTIF(Data!B:B, A713)
)),"")</f>
        <v/>
      </c>
      <c r="E713" s="45"/>
      <c r="F713" s="45" t="str">
        <f>IFERROR((SUMIF(Data!B:B, A713, Data!J:J)
/ (COUNTIF(Data!B:B, A713)
)),"")</f>
        <v/>
      </c>
      <c r="G713" s="56" t="str">
        <f>IF(A713="","",IFERROR((((((SUMIF(Data!B:B, A713, Data!H:H)+(SUMIF(Data!B:B, A713,Data!G:G)))/(SUMIF(Data!B:B, A713, Data!J:J)))))),0))</f>
        <v/>
      </c>
      <c r="H713" s="45"/>
      <c r="I713" s="45"/>
      <c r="J713" s="45"/>
      <c r="K713" s="45"/>
      <c r="L713" s="45" t="str">
        <f>IFERROR((SUMIF(Data!B:B, A713, Data!L:L)
/ (COUNTIF(Data!B:B, A713)
)),"")</f>
        <v/>
      </c>
      <c r="M713" s="45" t="str">
        <f>IFERROR((SUMIF(Data!B:B, A713, Data!K:K)
/ (COUNTIF(Data!B:B, A713)
)),"")</f>
        <v/>
      </c>
      <c r="N713" s="56"/>
      <c r="O713" s="56" t="str">
        <f>IF(A713="","",IFERROR((((((SUMIF(Data!B:B, A713, Data!H:H)+(SUMIF(Data!B:B, A713,Data!G:G)+(SUMIF(Data!B:B, A713,Data!L:L)+(SUMIF(Data!B:B, A713,Data!K:K)))))/(SUMIF(Data!B:B, A713, Data!M:M)+(SUMIF(Data!B:B, A713, Data!H:H)+(SUMIF(Data!B:B, A713,Data!G:G)+(SUMIF(Data!B:B, A713,Data!K:K)+(SUMIF(Data!B:B, A713,Data!L:L)))))))))),0))</f>
        <v/>
      </c>
      <c r="P713" s="57" t="str">
        <f>IFERROR(__xludf.DUMMYFUNCTION("IFERROR(((COUNTIF(FILTER(Data!N:N,Data!B:B=A713),""TRAVERSE"")*15)+(COUNTIF(FILTER(Data!N:N,Data!B:B=A713),""HIGH"")*10)+(COUNTIF(FILTER(Data!N:N,Data!B:B=A713),""MIDDLE"")*6)+(COUNTIF(FILTER(Data!N:N,Data!B:B=A713),""LOW"")*4)) / (COUNTIF(Data!B:B, A713)"&amp;"),"""")"),"")</f>
        <v/>
      </c>
      <c r="Q713" s="58"/>
      <c r="R713" s="58"/>
      <c r="S713" s="58" t="str">
        <f>IFERROR(__xludf.DUMMYFUNCTION("IFERROR((((COUNTIF(FILTER(Data!N:N,Data!B:B=A713),""TRAVERSE""))+(COUNTIF(FILTER(Data!N:N,Data!B:B=A713),""HIGH""))+(COUNTIF(FILTER(Data!N:N,Data!B:B=A713),""MIDDLE""))+(COUNTIF(FILTER(Data!N:N,Data!B:B=A713),""LOW"")))) / (((COUNTIF(Data!B:B, A713)))-(CO"&amp;"UNTIF(FILTER(Data!N:N,Data!B:B=A713),""NONE""))),IF(ISBLANK(A713),"""",0))"),"")</f>
        <v/>
      </c>
      <c r="T713" s="56" t="str">
        <f>IFERROR(__xludf.DUMMYFUNCTION("IFERROR((COUNTIF(FILTER(Data!N:N, Data!B:B=A713),""LOW"")) / (COUNTIF(Data!B:B, A713)),"""")"),"")</f>
        <v/>
      </c>
      <c r="U713" s="59" t="str">
        <f>IFERROR(__xludf.DUMMYFUNCTION("IFERROR((COUNTIF(FILTER(Data!N:N, Data!B:B=A713),""MIDDLE"")) / (COUNTIF(Data!B:B, A713)),"""")"),"")</f>
        <v/>
      </c>
      <c r="V713" s="59" t="str">
        <f>IFERROR(__xludf.DUMMYFUNCTION("IFERROR((COUNTIF(FILTER(Data!N:N, Data!B:B=A713),""HIGH"")) / (COUNTIF(Data!B:B, A713)),"""")"),"")</f>
        <v/>
      </c>
      <c r="W713" s="59" t="str">
        <f>IFERROR(__xludf.DUMMYFUNCTION("IFERROR((COUNTIF(FILTER(Data!N:N, Data!B:B=A713),""TRAVERSE"")) / (COUNTIF(Data!B:B, A713)),"""")"),"")</f>
        <v/>
      </c>
      <c r="X713" s="59"/>
      <c r="Y713" s="45" t="str">
        <f t="shared" si="7"/>
        <v/>
      </c>
      <c r="Z713" s="45" t="str">
        <f t="shared" si="8"/>
        <v/>
      </c>
      <c r="AA713" s="16" t="str">
        <f t="shared" si="9"/>
        <v/>
      </c>
      <c r="AB713" s="16"/>
      <c r="AC713" s="16"/>
      <c r="AD713" s="16"/>
      <c r="AE713" s="16" t="str">
        <f t="shared" si="12"/>
        <v/>
      </c>
      <c r="AF713" s="16" t="str">
        <f t="shared" si="13"/>
        <v/>
      </c>
      <c r="AG713" s="44"/>
      <c r="AH713" s="44"/>
      <c r="AI713" s="44" t="str">
        <f>IFERROR(__xludf.DUMMYFUNCTION("TEXTJOIN("", "",TRUE, FILTER(Data!P:P, Data!B:B=A713))"),"")</f>
        <v/>
      </c>
      <c r="AM713" s="61"/>
      <c r="BC713" s="50"/>
    </row>
    <row r="714">
      <c r="A714" s="14"/>
      <c r="B714" s="55" t="str">
        <f>IFERROR(__xludf.DUMMYFUNCTION("IFERROR(ROUND(
(COUNTIF(FILTER(Data!O:O, Data!B:B=A714), ""Win"")
+ COUNTIF(FILTER(Data!O:O, Data!B:B=A714), {""Tie"",""Results""}))
/ (COUNTIF(Data!B:B, A714)),
1),"""")"),"")</f>
        <v/>
      </c>
      <c r="C714" s="45" t="str">
        <f>IFERROR((SUMIF(Data!B:B, A714, Data!H:H)
/ (COUNTIF(Data!B:B, A714)
)),"")</f>
        <v/>
      </c>
      <c r="D714" s="45" t="str">
        <f>IFERROR((SUMIF(Data!B:B, A714, Data!G:G)
/ (COUNTIF(Data!B:B, A714)
)),"")</f>
        <v/>
      </c>
      <c r="E714" s="45"/>
      <c r="F714" s="45" t="str">
        <f>IFERROR((SUMIF(Data!B:B, A714, Data!J:J)
/ (COUNTIF(Data!B:B, A714)
)),"")</f>
        <v/>
      </c>
      <c r="G714" s="56" t="str">
        <f>IF(A714="","",IFERROR((((((SUMIF(Data!B:B, A714, Data!H:H)+(SUMIF(Data!B:B, A714,Data!G:G)))/(SUMIF(Data!B:B, A714, Data!J:J)))))),0))</f>
        <v/>
      </c>
      <c r="H714" s="45"/>
      <c r="I714" s="45"/>
      <c r="J714" s="45"/>
      <c r="K714" s="45"/>
      <c r="L714" s="45" t="str">
        <f>IFERROR((SUMIF(Data!B:B, A714, Data!L:L)
/ (COUNTIF(Data!B:B, A714)
)),"")</f>
        <v/>
      </c>
      <c r="M714" s="45" t="str">
        <f>IFERROR((SUMIF(Data!B:B, A714, Data!K:K)
/ (COUNTIF(Data!B:B, A714)
)),"")</f>
        <v/>
      </c>
      <c r="N714" s="56"/>
      <c r="O714" s="56" t="str">
        <f>IF(A714="","",IFERROR((((((SUMIF(Data!B:B, A714, Data!H:H)+(SUMIF(Data!B:B, A714,Data!G:G)+(SUMIF(Data!B:B, A714,Data!L:L)+(SUMIF(Data!B:B, A714,Data!K:K)))))/(SUMIF(Data!B:B, A714, Data!M:M)+(SUMIF(Data!B:B, A714, Data!H:H)+(SUMIF(Data!B:B, A714,Data!G:G)+(SUMIF(Data!B:B, A714,Data!K:K)+(SUMIF(Data!B:B, A714,Data!L:L)))))))))),0))</f>
        <v/>
      </c>
      <c r="P714" s="57" t="str">
        <f>IFERROR(__xludf.DUMMYFUNCTION("IFERROR(((COUNTIF(FILTER(Data!N:N,Data!B:B=A714),""TRAVERSE"")*15)+(COUNTIF(FILTER(Data!N:N,Data!B:B=A714),""HIGH"")*10)+(COUNTIF(FILTER(Data!N:N,Data!B:B=A714),""MIDDLE"")*6)+(COUNTIF(FILTER(Data!N:N,Data!B:B=A714),""LOW"")*4)) / (COUNTIF(Data!B:B, A714)"&amp;"),"""")"),"")</f>
        <v/>
      </c>
      <c r="Q714" s="58"/>
      <c r="R714" s="58"/>
      <c r="S714" s="58" t="str">
        <f>IFERROR(__xludf.DUMMYFUNCTION("IFERROR((((COUNTIF(FILTER(Data!N:N,Data!B:B=A714),""TRAVERSE""))+(COUNTIF(FILTER(Data!N:N,Data!B:B=A714),""HIGH""))+(COUNTIF(FILTER(Data!N:N,Data!B:B=A714),""MIDDLE""))+(COUNTIF(FILTER(Data!N:N,Data!B:B=A714),""LOW"")))) / (((COUNTIF(Data!B:B, A714)))-(CO"&amp;"UNTIF(FILTER(Data!N:N,Data!B:B=A714),""NONE""))),IF(ISBLANK(A714),"""",0))"),"")</f>
        <v/>
      </c>
      <c r="T714" s="56" t="str">
        <f>IFERROR(__xludf.DUMMYFUNCTION("IFERROR((COUNTIF(FILTER(Data!N:N, Data!B:B=A714),""LOW"")) / (COUNTIF(Data!B:B, A714)),"""")"),"")</f>
        <v/>
      </c>
      <c r="U714" s="59" t="str">
        <f>IFERROR(__xludf.DUMMYFUNCTION("IFERROR((COUNTIF(FILTER(Data!N:N, Data!B:B=A714),""MIDDLE"")) / (COUNTIF(Data!B:B, A714)),"""")"),"")</f>
        <v/>
      </c>
      <c r="V714" s="59" t="str">
        <f>IFERROR(__xludf.DUMMYFUNCTION("IFERROR((COUNTIF(FILTER(Data!N:N, Data!B:B=A714),""HIGH"")) / (COUNTIF(Data!B:B, A714)),"""")"),"")</f>
        <v/>
      </c>
      <c r="W714" s="59" t="str">
        <f>IFERROR(__xludf.DUMMYFUNCTION("IFERROR((COUNTIF(FILTER(Data!N:N, Data!B:B=A714),""TRAVERSE"")) / (COUNTIF(Data!B:B, A714)),"""")"),"")</f>
        <v/>
      </c>
      <c r="X714" s="59"/>
      <c r="Y714" s="45" t="str">
        <f t="shared" si="7"/>
        <v/>
      </c>
      <c r="Z714" s="45" t="str">
        <f t="shared" si="8"/>
        <v/>
      </c>
      <c r="AA714" s="16" t="str">
        <f t="shared" si="9"/>
        <v/>
      </c>
      <c r="AB714" s="16"/>
      <c r="AC714" s="16"/>
      <c r="AD714" s="16"/>
      <c r="AE714" s="16" t="str">
        <f t="shared" si="12"/>
        <v/>
      </c>
      <c r="AF714" s="16" t="str">
        <f t="shared" si="13"/>
        <v/>
      </c>
      <c r="AG714" s="44"/>
      <c r="AH714" s="44"/>
      <c r="AI714" s="44" t="str">
        <f>IFERROR(__xludf.DUMMYFUNCTION("TEXTJOIN("", "",TRUE, FILTER(Data!P:P, Data!B:B=A714))"),"")</f>
        <v/>
      </c>
      <c r="AM714" s="61"/>
      <c r="BC714" s="50"/>
    </row>
    <row r="715">
      <c r="A715" s="14"/>
      <c r="B715" s="55" t="str">
        <f>IFERROR(__xludf.DUMMYFUNCTION("IFERROR(ROUND(
(COUNTIF(FILTER(Data!O:O, Data!B:B=A715), ""Win"")
+ COUNTIF(FILTER(Data!O:O, Data!B:B=A715), {""Tie"",""Results""}))
/ (COUNTIF(Data!B:B, A715)),
1),"""")"),"")</f>
        <v/>
      </c>
      <c r="C715" s="45" t="str">
        <f>IFERROR((SUMIF(Data!B:B, A715, Data!H:H)
/ (COUNTIF(Data!B:B, A715)
)),"")</f>
        <v/>
      </c>
      <c r="D715" s="45" t="str">
        <f>IFERROR((SUMIF(Data!B:B, A715, Data!G:G)
/ (COUNTIF(Data!B:B, A715)
)),"")</f>
        <v/>
      </c>
      <c r="E715" s="45"/>
      <c r="F715" s="45" t="str">
        <f>IFERROR((SUMIF(Data!B:B, A715, Data!J:J)
/ (COUNTIF(Data!B:B, A715)
)),"")</f>
        <v/>
      </c>
      <c r="G715" s="56" t="str">
        <f>IF(A715="","",IFERROR((((((SUMIF(Data!B:B, A715, Data!H:H)+(SUMIF(Data!B:B, A715,Data!G:G)))/(SUMIF(Data!B:B, A715, Data!J:J)))))),0))</f>
        <v/>
      </c>
      <c r="H715" s="45"/>
      <c r="I715" s="45"/>
      <c r="J715" s="45"/>
      <c r="K715" s="45"/>
      <c r="L715" s="45" t="str">
        <f>IFERROR((SUMIF(Data!B:B, A715, Data!L:L)
/ (COUNTIF(Data!B:B, A715)
)),"")</f>
        <v/>
      </c>
      <c r="M715" s="45" t="str">
        <f>IFERROR((SUMIF(Data!B:B, A715, Data!K:K)
/ (COUNTIF(Data!B:B, A715)
)),"")</f>
        <v/>
      </c>
      <c r="N715" s="56"/>
      <c r="O715" s="56" t="str">
        <f>IF(A715="","",IFERROR((((((SUMIF(Data!B:B, A715, Data!H:H)+(SUMIF(Data!B:B, A715,Data!G:G)+(SUMIF(Data!B:B, A715,Data!L:L)+(SUMIF(Data!B:B, A715,Data!K:K)))))/(SUMIF(Data!B:B, A715, Data!M:M)+(SUMIF(Data!B:B, A715, Data!H:H)+(SUMIF(Data!B:B, A715,Data!G:G)+(SUMIF(Data!B:B, A715,Data!K:K)+(SUMIF(Data!B:B, A715,Data!L:L)))))))))),0))</f>
        <v/>
      </c>
      <c r="P715" s="57" t="str">
        <f>IFERROR(__xludf.DUMMYFUNCTION("IFERROR(((COUNTIF(FILTER(Data!N:N,Data!B:B=A715),""TRAVERSE"")*15)+(COUNTIF(FILTER(Data!N:N,Data!B:B=A715),""HIGH"")*10)+(COUNTIF(FILTER(Data!N:N,Data!B:B=A715),""MIDDLE"")*6)+(COUNTIF(FILTER(Data!N:N,Data!B:B=A715),""LOW"")*4)) / (COUNTIF(Data!B:B, A715)"&amp;"),"""")"),"")</f>
        <v/>
      </c>
      <c r="Q715" s="58"/>
      <c r="R715" s="58"/>
      <c r="S715" s="58" t="str">
        <f>IFERROR(__xludf.DUMMYFUNCTION("IFERROR((((COUNTIF(FILTER(Data!N:N,Data!B:B=A715),""TRAVERSE""))+(COUNTIF(FILTER(Data!N:N,Data!B:B=A715),""HIGH""))+(COUNTIF(FILTER(Data!N:N,Data!B:B=A715),""MIDDLE""))+(COUNTIF(FILTER(Data!N:N,Data!B:B=A715),""LOW"")))) / (((COUNTIF(Data!B:B, A715)))-(CO"&amp;"UNTIF(FILTER(Data!N:N,Data!B:B=A715),""NONE""))),IF(ISBLANK(A715),"""",0))"),"")</f>
        <v/>
      </c>
      <c r="T715" s="56" t="str">
        <f>IFERROR(__xludf.DUMMYFUNCTION("IFERROR((COUNTIF(FILTER(Data!N:N, Data!B:B=A715),""LOW"")) / (COUNTIF(Data!B:B, A715)),"""")"),"")</f>
        <v/>
      </c>
      <c r="U715" s="59" t="str">
        <f>IFERROR(__xludf.DUMMYFUNCTION("IFERROR((COUNTIF(FILTER(Data!N:N, Data!B:B=A715),""MIDDLE"")) / (COUNTIF(Data!B:B, A715)),"""")"),"")</f>
        <v/>
      </c>
      <c r="V715" s="59" t="str">
        <f>IFERROR(__xludf.DUMMYFUNCTION("IFERROR((COUNTIF(FILTER(Data!N:N, Data!B:B=A715),""HIGH"")) / (COUNTIF(Data!B:B, A715)),"""")"),"")</f>
        <v/>
      </c>
      <c r="W715" s="59" t="str">
        <f>IFERROR(__xludf.DUMMYFUNCTION("IFERROR((COUNTIF(FILTER(Data!N:N, Data!B:B=A715),""TRAVERSE"")) / (COUNTIF(Data!B:B, A715)),"""")"),"")</f>
        <v/>
      </c>
      <c r="X715" s="59"/>
      <c r="Y715" s="45" t="str">
        <f t="shared" si="7"/>
        <v/>
      </c>
      <c r="Z715" s="45" t="str">
        <f t="shared" si="8"/>
        <v/>
      </c>
      <c r="AA715" s="16" t="str">
        <f t="shared" si="9"/>
        <v/>
      </c>
      <c r="AB715" s="16"/>
      <c r="AC715" s="16"/>
      <c r="AD715" s="16"/>
      <c r="AE715" s="16" t="str">
        <f t="shared" si="12"/>
        <v/>
      </c>
      <c r="AF715" s="16" t="str">
        <f t="shared" si="13"/>
        <v/>
      </c>
      <c r="AG715" s="44"/>
      <c r="AH715" s="44"/>
      <c r="AI715" s="44" t="str">
        <f>IFERROR(__xludf.DUMMYFUNCTION("TEXTJOIN("", "",TRUE, FILTER(Data!P:P, Data!B:B=A715))"),"")</f>
        <v/>
      </c>
      <c r="AM715" s="61"/>
      <c r="BC715" s="50"/>
    </row>
    <row r="716">
      <c r="A716" s="14"/>
      <c r="B716" s="55" t="str">
        <f>IFERROR(__xludf.DUMMYFUNCTION("IFERROR(ROUND(
(COUNTIF(FILTER(Data!O:O, Data!B:B=A716), ""Win"")
+ COUNTIF(FILTER(Data!O:O, Data!B:B=A716), {""Tie"",""Results""}))
/ (COUNTIF(Data!B:B, A716)),
1),"""")"),"")</f>
        <v/>
      </c>
      <c r="C716" s="45" t="str">
        <f>IFERROR((SUMIF(Data!B:B, A716, Data!H:H)
/ (COUNTIF(Data!B:B, A716)
)),"")</f>
        <v/>
      </c>
      <c r="D716" s="45" t="str">
        <f>IFERROR((SUMIF(Data!B:B, A716, Data!G:G)
/ (COUNTIF(Data!B:B, A716)
)),"")</f>
        <v/>
      </c>
      <c r="E716" s="45"/>
      <c r="F716" s="45" t="str">
        <f>IFERROR((SUMIF(Data!B:B, A716, Data!J:J)
/ (COUNTIF(Data!B:B, A716)
)),"")</f>
        <v/>
      </c>
      <c r="G716" s="56" t="str">
        <f>IF(A716="","",IFERROR((((((SUMIF(Data!B:B, A716, Data!H:H)+(SUMIF(Data!B:B, A716,Data!G:G)))/(SUMIF(Data!B:B, A716, Data!J:J)))))),0))</f>
        <v/>
      </c>
      <c r="H716" s="45"/>
      <c r="I716" s="45"/>
      <c r="J716" s="45"/>
      <c r="K716" s="45"/>
      <c r="L716" s="45" t="str">
        <f>IFERROR((SUMIF(Data!B:B, A716, Data!L:L)
/ (COUNTIF(Data!B:B, A716)
)),"")</f>
        <v/>
      </c>
      <c r="M716" s="45" t="str">
        <f>IFERROR((SUMIF(Data!B:B, A716, Data!K:K)
/ (COUNTIF(Data!B:B, A716)
)),"")</f>
        <v/>
      </c>
      <c r="N716" s="56"/>
      <c r="O716" s="56" t="str">
        <f>IF(A716="","",IFERROR((((((SUMIF(Data!B:B, A716, Data!H:H)+(SUMIF(Data!B:B, A716,Data!G:G)+(SUMIF(Data!B:B, A716,Data!L:L)+(SUMIF(Data!B:B, A716,Data!K:K)))))/(SUMIF(Data!B:B, A716, Data!M:M)+(SUMIF(Data!B:B, A716, Data!H:H)+(SUMIF(Data!B:B, A716,Data!G:G)+(SUMIF(Data!B:B, A716,Data!K:K)+(SUMIF(Data!B:B, A716,Data!L:L)))))))))),0))</f>
        <v/>
      </c>
      <c r="P716" s="57" t="str">
        <f>IFERROR(__xludf.DUMMYFUNCTION("IFERROR(((COUNTIF(FILTER(Data!N:N,Data!B:B=A716),""TRAVERSE"")*15)+(COUNTIF(FILTER(Data!N:N,Data!B:B=A716),""HIGH"")*10)+(COUNTIF(FILTER(Data!N:N,Data!B:B=A716),""MIDDLE"")*6)+(COUNTIF(FILTER(Data!N:N,Data!B:B=A716),""LOW"")*4)) / (COUNTIF(Data!B:B, A716)"&amp;"),"""")"),"")</f>
        <v/>
      </c>
      <c r="Q716" s="58"/>
      <c r="R716" s="58"/>
      <c r="S716" s="58" t="str">
        <f>IFERROR(__xludf.DUMMYFUNCTION("IFERROR((((COUNTIF(FILTER(Data!N:N,Data!B:B=A716),""TRAVERSE""))+(COUNTIF(FILTER(Data!N:N,Data!B:B=A716),""HIGH""))+(COUNTIF(FILTER(Data!N:N,Data!B:B=A716),""MIDDLE""))+(COUNTIF(FILTER(Data!N:N,Data!B:B=A716),""LOW"")))) / (((COUNTIF(Data!B:B, A716)))-(CO"&amp;"UNTIF(FILTER(Data!N:N,Data!B:B=A716),""NONE""))),IF(ISBLANK(A716),"""",0))"),"")</f>
        <v/>
      </c>
      <c r="T716" s="56" t="str">
        <f>IFERROR(__xludf.DUMMYFUNCTION("IFERROR((COUNTIF(FILTER(Data!N:N, Data!B:B=A716),""LOW"")) / (COUNTIF(Data!B:B, A716)),"""")"),"")</f>
        <v/>
      </c>
      <c r="U716" s="59" t="str">
        <f>IFERROR(__xludf.DUMMYFUNCTION("IFERROR((COUNTIF(FILTER(Data!N:N, Data!B:B=A716),""MIDDLE"")) / (COUNTIF(Data!B:B, A716)),"""")"),"")</f>
        <v/>
      </c>
      <c r="V716" s="59" t="str">
        <f>IFERROR(__xludf.DUMMYFUNCTION("IFERROR((COUNTIF(FILTER(Data!N:N, Data!B:B=A716),""HIGH"")) / (COUNTIF(Data!B:B, A716)),"""")"),"")</f>
        <v/>
      </c>
      <c r="W716" s="59" t="str">
        <f>IFERROR(__xludf.DUMMYFUNCTION("IFERROR((COUNTIF(FILTER(Data!N:N, Data!B:B=A716),""TRAVERSE"")) / (COUNTIF(Data!B:B, A716)),"""")"),"")</f>
        <v/>
      </c>
      <c r="X716" s="59"/>
      <c r="Y716" s="45" t="str">
        <f t="shared" si="7"/>
        <v/>
      </c>
      <c r="Z716" s="45" t="str">
        <f t="shared" si="8"/>
        <v/>
      </c>
      <c r="AA716" s="16" t="str">
        <f t="shared" si="9"/>
        <v/>
      </c>
      <c r="AB716" s="16"/>
      <c r="AC716" s="16"/>
      <c r="AD716" s="16"/>
      <c r="AE716" s="16" t="str">
        <f t="shared" si="12"/>
        <v/>
      </c>
      <c r="AF716" s="16" t="str">
        <f t="shared" si="13"/>
        <v/>
      </c>
      <c r="AG716" s="44"/>
      <c r="AH716" s="44"/>
      <c r="AI716" s="44" t="str">
        <f>IFERROR(__xludf.DUMMYFUNCTION("TEXTJOIN("", "",TRUE, FILTER(Data!P:P, Data!B:B=A716))"),"")</f>
        <v/>
      </c>
      <c r="AM716" s="61"/>
      <c r="BC716" s="50"/>
    </row>
    <row r="717">
      <c r="A717" s="14"/>
      <c r="B717" s="55" t="str">
        <f>IFERROR(__xludf.DUMMYFUNCTION("IFERROR(ROUND(
(COUNTIF(FILTER(Data!O:O, Data!B:B=A717), ""Win"")
+ COUNTIF(FILTER(Data!O:O, Data!B:B=A717), {""Tie"",""Results""}))
/ (COUNTIF(Data!B:B, A717)),
1),"""")"),"")</f>
        <v/>
      </c>
      <c r="C717" s="45" t="str">
        <f>IFERROR((SUMIF(Data!B:B, A717, Data!H:H)
/ (COUNTIF(Data!B:B, A717)
)),"")</f>
        <v/>
      </c>
      <c r="D717" s="45" t="str">
        <f>IFERROR((SUMIF(Data!B:B, A717, Data!G:G)
/ (COUNTIF(Data!B:B, A717)
)),"")</f>
        <v/>
      </c>
      <c r="E717" s="45"/>
      <c r="F717" s="45" t="str">
        <f>IFERROR((SUMIF(Data!B:B, A717, Data!J:J)
/ (COUNTIF(Data!B:B, A717)
)),"")</f>
        <v/>
      </c>
      <c r="G717" s="56" t="str">
        <f>IF(A717="","",IFERROR((((((SUMIF(Data!B:B, A717, Data!H:H)+(SUMIF(Data!B:B, A717,Data!G:G)))/(SUMIF(Data!B:B, A717, Data!J:J)))))),0))</f>
        <v/>
      </c>
      <c r="H717" s="45"/>
      <c r="I717" s="45"/>
      <c r="J717" s="45"/>
      <c r="K717" s="45"/>
      <c r="L717" s="45" t="str">
        <f>IFERROR((SUMIF(Data!B:B, A717, Data!L:L)
/ (COUNTIF(Data!B:B, A717)
)),"")</f>
        <v/>
      </c>
      <c r="M717" s="45" t="str">
        <f>IFERROR((SUMIF(Data!B:B, A717, Data!K:K)
/ (COUNTIF(Data!B:B, A717)
)),"")</f>
        <v/>
      </c>
      <c r="N717" s="56"/>
      <c r="O717" s="56" t="str">
        <f>IF(A717="","",IFERROR((((((SUMIF(Data!B:B, A717, Data!H:H)+(SUMIF(Data!B:B, A717,Data!G:G)+(SUMIF(Data!B:B, A717,Data!L:L)+(SUMIF(Data!B:B, A717,Data!K:K)))))/(SUMIF(Data!B:B, A717, Data!M:M)+(SUMIF(Data!B:B, A717, Data!H:H)+(SUMIF(Data!B:B, A717,Data!G:G)+(SUMIF(Data!B:B, A717,Data!K:K)+(SUMIF(Data!B:B, A717,Data!L:L)))))))))),0))</f>
        <v/>
      </c>
      <c r="P717" s="57" t="str">
        <f>IFERROR(__xludf.DUMMYFUNCTION("IFERROR(((COUNTIF(FILTER(Data!N:N,Data!B:B=A717),""TRAVERSE"")*15)+(COUNTIF(FILTER(Data!N:N,Data!B:B=A717),""HIGH"")*10)+(COUNTIF(FILTER(Data!N:N,Data!B:B=A717),""MIDDLE"")*6)+(COUNTIF(FILTER(Data!N:N,Data!B:B=A717),""LOW"")*4)) / (COUNTIF(Data!B:B, A717)"&amp;"),"""")"),"")</f>
        <v/>
      </c>
      <c r="Q717" s="58"/>
      <c r="R717" s="58"/>
      <c r="S717" s="58" t="str">
        <f>IFERROR(__xludf.DUMMYFUNCTION("IFERROR((((COUNTIF(FILTER(Data!N:N,Data!B:B=A717),""TRAVERSE""))+(COUNTIF(FILTER(Data!N:N,Data!B:B=A717),""HIGH""))+(COUNTIF(FILTER(Data!N:N,Data!B:B=A717),""MIDDLE""))+(COUNTIF(FILTER(Data!N:N,Data!B:B=A717),""LOW"")))) / (((COUNTIF(Data!B:B, A717)))-(CO"&amp;"UNTIF(FILTER(Data!N:N,Data!B:B=A717),""NONE""))),IF(ISBLANK(A717),"""",0))"),"")</f>
        <v/>
      </c>
      <c r="T717" s="56" t="str">
        <f>IFERROR(__xludf.DUMMYFUNCTION("IFERROR((COUNTIF(FILTER(Data!N:N, Data!B:B=A717),""LOW"")) / (COUNTIF(Data!B:B, A717)),"""")"),"")</f>
        <v/>
      </c>
      <c r="U717" s="59" t="str">
        <f>IFERROR(__xludf.DUMMYFUNCTION("IFERROR((COUNTIF(FILTER(Data!N:N, Data!B:B=A717),""MIDDLE"")) / (COUNTIF(Data!B:B, A717)),"""")"),"")</f>
        <v/>
      </c>
      <c r="V717" s="59" t="str">
        <f>IFERROR(__xludf.DUMMYFUNCTION("IFERROR((COUNTIF(FILTER(Data!N:N, Data!B:B=A717),""HIGH"")) / (COUNTIF(Data!B:B, A717)),"""")"),"")</f>
        <v/>
      </c>
      <c r="W717" s="59" t="str">
        <f>IFERROR(__xludf.DUMMYFUNCTION("IFERROR((COUNTIF(FILTER(Data!N:N, Data!B:B=A717),""TRAVERSE"")) / (COUNTIF(Data!B:B, A717)),"""")"),"")</f>
        <v/>
      </c>
      <c r="X717" s="59"/>
      <c r="Y717" s="45" t="str">
        <f t="shared" si="7"/>
        <v/>
      </c>
      <c r="Z717" s="45" t="str">
        <f t="shared" si="8"/>
        <v/>
      </c>
      <c r="AA717" s="16" t="str">
        <f t="shared" si="9"/>
        <v/>
      </c>
      <c r="AB717" s="16"/>
      <c r="AC717" s="16"/>
      <c r="AD717" s="16"/>
      <c r="AE717" s="16" t="str">
        <f t="shared" si="12"/>
        <v/>
      </c>
      <c r="AF717" s="16" t="str">
        <f t="shared" si="13"/>
        <v/>
      </c>
      <c r="AG717" s="44"/>
      <c r="AH717" s="44"/>
      <c r="AI717" s="44" t="str">
        <f>IFERROR(__xludf.DUMMYFUNCTION("TEXTJOIN("", "",TRUE, FILTER(Data!P:P, Data!B:B=A717))"),"")</f>
        <v/>
      </c>
      <c r="AM717" s="61"/>
      <c r="BC717" s="50"/>
    </row>
    <row r="718">
      <c r="A718" s="14"/>
      <c r="B718" s="55" t="str">
        <f>IFERROR(__xludf.DUMMYFUNCTION("IFERROR(ROUND(
(COUNTIF(FILTER(Data!O:O, Data!B:B=A718), ""Win"")
+ COUNTIF(FILTER(Data!O:O, Data!B:B=A718), {""Tie"",""Results""}))
/ (COUNTIF(Data!B:B, A718)),
1),"""")"),"")</f>
        <v/>
      </c>
      <c r="C718" s="45" t="str">
        <f>IFERROR((SUMIF(Data!B:B, A718, Data!H:H)
/ (COUNTIF(Data!B:B, A718)
)),"")</f>
        <v/>
      </c>
      <c r="D718" s="45" t="str">
        <f>IFERROR((SUMIF(Data!B:B, A718, Data!G:G)
/ (COUNTIF(Data!B:B, A718)
)),"")</f>
        <v/>
      </c>
      <c r="E718" s="45"/>
      <c r="F718" s="45" t="str">
        <f>IFERROR((SUMIF(Data!B:B, A718, Data!J:J)
/ (COUNTIF(Data!B:B, A718)
)),"")</f>
        <v/>
      </c>
      <c r="G718" s="56" t="str">
        <f>IF(A718="","",IFERROR((((((SUMIF(Data!B:B, A718, Data!H:H)+(SUMIF(Data!B:B, A718,Data!G:G)))/(SUMIF(Data!B:B, A718, Data!J:J)))))),0))</f>
        <v/>
      </c>
      <c r="H718" s="45"/>
      <c r="I718" s="45"/>
      <c r="J718" s="45"/>
      <c r="K718" s="45"/>
      <c r="L718" s="45" t="str">
        <f>IFERROR((SUMIF(Data!B:B, A718, Data!L:L)
/ (COUNTIF(Data!B:B, A718)
)),"")</f>
        <v/>
      </c>
      <c r="M718" s="45" t="str">
        <f>IFERROR((SUMIF(Data!B:B, A718, Data!K:K)
/ (COUNTIF(Data!B:B, A718)
)),"")</f>
        <v/>
      </c>
      <c r="N718" s="56"/>
      <c r="O718" s="56" t="str">
        <f>IF(A718="","",IFERROR((((((SUMIF(Data!B:B, A718, Data!H:H)+(SUMIF(Data!B:B, A718,Data!G:G)+(SUMIF(Data!B:B, A718,Data!L:L)+(SUMIF(Data!B:B, A718,Data!K:K)))))/(SUMIF(Data!B:B, A718, Data!M:M)+(SUMIF(Data!B:B, A718, Data!H:H)+(SUMIF(Data!B:B, A718,Data!G:G)+(SUMIF(Data!B:B, A718,Data!K:K)+(SUMIF(Data!B:B, A718,Data!L:L)))))))))),0))</f>
        <v/>
      </c>
      <c r="P718" s="57" t="str">
        <f>IFERROR(__xludf.DUMMYFUNCTION("IFERROR(((COUNTIF(FILTER(Data!N:N,Data!B:B=A718),""TRAVERSE"")*15)+(COUNTIF(FILTER(Data!N:N,Data!B:B=A718),""HIGH"")*10)+(COUNTIF(FILTER(Data!N:N,Data!B:B=A718),""MIDDLE"")*6)+(COUNTIF(FILTER(Data!N:N,Data!B:B=A718),""LOW"")*4)) / (COUNTIF(Data!B:B, A718)"&amp;"),"""")"),"")</f>
        <v/>
      </c>
      <c r="Q718" s="58"/>
      <c r="R718" s="58"/>
      <c r="S718" s="58" t="str">
        <f>IFERROR(__xludf.DUMMYFUNCTION("IFERROR((((COUNTIF(FILTER(Data!N:N,Data!B:B=A718),""TRAVERSE""))+(COUNTIF(FILTER(Data!N:N,Data!B:B=A718),""HIGH""))+(COUNTIF(FILTER(Data!N:N,Data!B:B=A718),""MIDDLE""))+(COUNTIF(FILTER(Data!N:N,Data!B:B=A718),""LOW"")))) / (((COUNTIF(Data!B:B, A718)))-(CO"&amp;"UNTIF(FILTER(Data!N:N,Data!B:B=A718),""NONE""))),IF(ISBLANK(A718),"""",0))"),"")</f>
        <v/>
      </c>
      <c r="T718" s="56" t="str">
        <f>IFERROR(__xludf.DUMMYFUNCTION("IFERROR((COUNTIF(FILTER(Data!N:N, Data!B:B=A718),""LOW"")) / (COUNTIF(Data!B:B, A718)),"""")"),"")</f>
        <v/>
      </c>
      <c r="U718" s="59" t="str">
        <f>IFERROR(__xludf.DUMMYFUNCTION("IFERROR((COUNTIF(FILTER(Data!N:N, Data!B:B=A718),""MIDDLE"")) / (COUNTIF(Data!B:B, A718)),"""")"),"")</f>
        <v/>
      </c>
      <c r="V718" s="59" t="str">
        <f>IFERROR(__xludf.DUMMYFUNCTION("IFERROR((COUNTIF(FILTER(Data!N:N, Data!B:B=A718),""HIGH"")) / (COUNTIF(Data!B:B, A718)),"""")"),"")</f>
        <v/>
      </c>
      <c r="W718" s="59" t="str">
        <f>IFERROR(__xludf.DUMMYFUNCTION("IFERROR((COUNTIF(FILTER(Data!N:N, Data!B:B=A718),""TRAVERSE"")) / (COUNTIF(Data!B:B, A718)),"""")"),"")</f>
        <v/>
      </c>
      <c r="X718" s="59"/>
      <c r="Y718" s="45" t="str">
        <f t="shared" si="7"/>
        <v/>
      </c>
      <c r="Z718" s="45" t="str">
        <f t="shared" si="8"/>
        <v/>
      </c>
      <c r="AA718" s="16" t="str">
        <f t="shared" si="9"/>
        <v/>
      </c>
      <c r="AB718" s="16"/>
      <c r="AC718" s="16"/>
      <c r="AD718" s="16"/>
      <c r="AE718" s="16" t="str">
        <f t="shared" si="12"/>
        <v/>
      </c>
      <c r="AF718" s="16" t="str">
        <f t="shared" si="13"/>
        <v/>
      </c>
      <c r="AG718" s="44"/>
      <c r="AH718" s="44"/>
      <c r="AI718" s="44" t="str">
        <f>IFERROR(__xludf.DUMMYFUNCTION("TEXTJOIN("", "",TRUE, FILTER(Data!P:P, Data!B:B=A718))"),"")</f>
        <v/>
      </c>
      <c r="AM718" s="61"/>
      <c r="BC718" s="50"/>
    </row>
    <row r="719">
      <c r="A719" s="14"/>
      <c r="B719" s="55" t="str">
        <f>IFERROR(__xludf.DUMMYFUNCTION("IFERROR(ROUND(
(COUNTIF(FILTER(Data!O:O, Data!B:B=A719), ""Win"")
+ COUNTIF(FILTER(Data!O:O, Data!B:B=A719), {""Tie"",""Results""}))
/ (COUNTIF(Data!B:B, A719)),
1),"""")"),"")</f>
        <v/>
      </c>
      <c r="C719" s="45" t="str">
        <f>IFERROR((SUMIF(Data!B:B, A719, Data!H:H)
/ (COUNTIF(Data!B:B, A719)
)),"")</f>
        <v/>
      </c>
      <c r="D719" s="45" t="str">
        <f>IFERROR((SUMIF(Data!B:B, A719, Data!G:G)
/ (COUNTIF(Data!B:B, A719)
)),"")</f>
        <v/>
      </c>
      <c r="E719" s="45"/>
      <c r="F719" s="45" t="str">
        <f>IFERROR((SUMIF(Data!B:B, A719, Data!J:J)
/ (COUNTIF(Data!B:B, A719)
)),"")</f>
        <v/>
      </c>
      <c r="G719" s="56" t="str">
        <f>IF(A719="","",IFERROR((((((SUMIF(Data!B:B, A719, Data!H:H)+(SUMIF(Data!B:B, A719,Data!G:G)))/(SUMIF(Data!B:B, A719, Data!J:J)))))),0))</f>
        <v/>
      </c>
      <c r="H719" s="45"/>
      <c r="I719" s="45"/>
      <c r="J719" s="45"/>
      <c r="K719" s="45"/>
      <c r="L719" s="45" t="str">
        <f>IFERROR((SUMIF(Data!B:B, A719, Data!L:L)
/ (COUNTIF(Data!B:B, A719)
)),"")</f>
        <v/>
      </c>
      <c r="M719" s="45" t="str">
        <f>IFERROR((SUMIF(Data!B:B, A719, Data!K:K)
/ (COUNTIF(Data!B:B, A719)
)),"")</f>
        <v/>
      </c>
      <c r="N719" s="56"/>
      <c r="O719" s="56" t="str">
        <f>IF(A719="","",IFERROR((((((SUMIF(Data!B:B, A719, Data!H:H)+(SUMIF(Data!B:B, A719,Data!G:G)+(SUMIF(Data!B:B, A719,Data!L:L)+(SUMIF(Data!B:B, A719,Data!K:K)))))/(SUMIF(Data!B:B, A719, Data!M:M)+(SUMIF(Data!B:B, A719, Data!H:H)+(SUMIF(Data!B:B, A719,Data!G:G)+(SUMIF(Data!B:B, A719,Data!K:K)+(SUMIF(Data!B:B, A719,Data!L:L)))))))))),0))</f>
        <v/>
      </c>
      <c r="P719" s="57" t="str">
        <f>IFERROR(__xludf.DUMMYFUNCTION("IFERROR(((COUNTIF(FILTER(Data!N:N,Data!B:B=A719),""TRAVERSE"")*15)+(COUNTIF(FILTER(Data!N:N,Data!B:B=A719),""HIGH"")*10)+(COUNTIF(FILTER(Data!N:N,Data!B:B=A719),""MIDDLE"")*6)+(COUNTIF(FILTER(Data!N:N,Data!B:B=A719),""LOW"")*4)) / (COUNTIF(Data!B:B, A719)"&amp;"),"""")"),"")</f>
        <v/>
      </c>
      <c r="Q719" s="58"/>
      <c r="R719" s="58"/>
      <c r="S719" s="58" t="str">
        <f>IFERROR(__xludf.DUMMYFUNCTION("IFERROR((((COUNTIF(FILTER(Data!N:N,Data!B:B=A719),""TRAVERSE""))+(COUNTIF(FILTER(Data!N:N,Data!B:B=A719),""HIGH""))+(COUNTIF(FILTER(Data!N:N,Data!B:B=A719),""MIDDLE""))+(COUNTIF(FILTER(Data!N:N,Data!B:B=A719),""LOW"")))) / (((COUNTIF(Data!B:B, A719)))-(CO"&amp;"UNTIF(FILTER(Data!N:N,Data!B:B=A719),""NONE""))),IF(ISBLANK(A719),"""",0))"),"")</f>
        <v/>
      </c>
      <c r="T719" s="56" t="str">
        <f>IFERROR(__xludf.DUMMYFUNCTION("IFERROR((COUNTIF(FILTER(Data!N:N, Data!B:B=A719),""LOW"")) / (COUNTIF(Data!B:B, A719)),"""")"),"")</f>
        <v/>
      </c>
      <c r="U719" s="59" t="str">
        <f>IFERROR(__xludf.DUMMYFUNCTION("IFERROR((COUNTIF(FILTER(Data!N:N, Data!B:B=A719),""MIDDLE"")) / (COUNTIF(Data!B:B, A719)),"""")"),"")</f>
        <v/>
      </c>
      <c r="V719" s="59" t="str">
        <f>IFERROR(__xludf.DUMMYFUNCTION("IFERROR((COUNTIF(FILTER(Data!N:N, Data!B:B=A719),""HIGH"")) / (COUNTIF(Data!B:B, A719)),"""")"),"")</f>
        <v/>
      </c>
      <c r="W719" s="59" t="str">
        <f>IFERROR(__xludf.DUMMYFUNCTION("IFERROR((COUNTIF(FILTER(Data!N:N, Data!B:B=A719),""TRAVERSE"")) / (COUNTIF(Data!B:B, A719)),"""")"),"")</f>
        <v/>
      </c>
      <c r="X719" s="59"/>
      <c r="Y719" s="45" t="str">
        <f t="shared" si="7"/>
        <v/>
      </c>
      <c r="Z719" s="45" t="str">
        <f t="shared" si="8"/>
        <v/>
      </c>
      <c r="AA719" s="16" t="str">
        <f t="shared" si="9"/>
        <v/>
      </c>
      <c r="AB719" s="16"/>
      <c r="AC719" s="16"/>
      <c r="AD719" s="16"/>
      <c r="AE719" s="16" t="str">
        <f t="shared" si="12"/>
        <v/>
      </c>
      <c r="AF719" s="16" t="str">
        <f t="shared" si="13"/>
        <v/>
      </c>
      <c r="AG719" s="44"/>
      <c r="AH719" s="44"/>
      <c r="AI719" s="44" t="str">
        <f>IFERROR(__xludf.DUMMYFUNCTION("TEXTJOIN("", "",TRUE, FILTER(Data!P:P, Data!B:B=A719))"),"")</f>
        <v/>
      </c>
      <c r="AM719" s="61"/>
      <c r="BC719" s="50"/>
    </row>
    <row r="720">
      <c r="A720" s="14"/>
      <c r="B720" s="55" t="str">
        <f>IFERROR(__xludf.DUMMYFUNCTION("IFERROR(ROUND(
(COUNTIF(FILTER(Data!O:O, Data!B:B=A720), ""Win"")
+ COUNTIF(FILTER(Data!O:O, Data!B:B=A720), {""Tie"",""Results""}))
/ (COUNTIF(Data!B:B, A720)),
1),"""")"),"")</f>
        <v/>
      </c>
      <c r="C720" s="45" t="str">
        <f>IFERROR((SUMIF(Data!B:B, A720, Data!H:H)
/ (COUNTIF(Data!B:B, A720)
)),"")</f>
        <v/>
      </c>
      <c r="D720" s="45" t="str">
        <f>IFERROR((SUMIF(Data!B:B, A720, Data!G:G)
/ (COUNTIF(Data!B:B, A720)
)),"")</f>
        <v/>
      </c>
      <c r="E720" s="45"/>
      <c r="F720" s="45" t="str">
        <f>IFERROR((SUMIF(Data!B:B, A720, Data!J:J)
/ (COUNTIF(Data!B:B, A720)
)),"")</f>
        <v/>
      </c>
      <c r="G720" s="56" t="str">
        <f>IF(A720="","",IFERROR((((((SUMIF(Data!B:B, A720, Data!H:H)+(SUMIF(Data!B:B, A720,Data!G:G)))/(SUMIF(Data!B:B, A720, Data!J:J)))))),0))</f>
        <v/>
      </c>
      <c r="H720" s="45"/>
      <c r="I720" s="45"/>
      <c r="J720" s="45"/>
      <c r="K720" s="45"/>
      <c r="L720" s="45" t="str">
        <f>IFERROR((SUMIF(Data!B:B, A720, Data!L:L)
/ (COUNTIF(Data!B:B, A720)
)),"")</f>
        <v/>
      </c>
      <c r="M720" s="45" t="str">
        <f>IFERROR((SUMIF(Data!B:B, A720, Data!K:K)
/ (COUNTIF(Data!B:B, A720)
)),"")</f>
        <v/>
      </c>
      <c r="N720" s="56"/>
      <c r="O720" s="56" t="str">
        <f>IF(A720="","",IFERROR((((((SUMIF(Data!B:B, A720, Data!H:H)+(SUMIF(Data!B:B, A720,Data!G:G)+(SUMIF(Data!B:B, A720,Data!L:L)+(SUMIF(Data!B:B, A720,Data!K:K)))))/(SUMIF(Data!B:B, A720, Data!M:M)+(SUMIF(Data!B:B, A720, Data!H:H)+(SUMIF(Data!B:B, A720,Data!G:G)+(SUMIF(Data!B:B, A720,Data!K:K)+(SUMIF(Data!B:B, A720,Data!L:L)))))))))),0))</f>
        <v/>
      </c>
      <c r="P720" s="57" t="str">
        <f>IFERROR(__xludf.DUMMYFUNCTION("IFERROR(((COUNTIF(FILTER(Data!N:N,Data!B:B=A720),""TRAVERSE"")*15)+(COUNTIF(FILTER(Data!N:N,Data!B:B=A720),""HIGH"")*10)+(COUNTIF(FILTER(Data!N:N,Data!B:B=A720),""MIDDLE"")*6)+(COUNTIF(FILTER(Data!N:N,Data!B:B=A720),""LOW"")*4)) / (COUNTIF(Data!B:B, A720)"&amp;"),"""")"),"")</f>
        <v/>
      </c>
      <c r="Q720" s="58"/>
      <c r="R720" s="58"/>
      <c r="S720" s="58" t="str">
        <f>IFERROR(__xludf.DUMMYFUNCTION("IFERROR((((COUNTIF(FILTER(Data!N:N,Data!B:B=A720),""TRAVERSE""))+(COUNTIF(FILTER(Data!N:N,Data!B:B=A720),""HIGH""))+(COUNTIF(FILTER(Data!N:N,Data!B:B=A720),""MIDDLE""))+(COUNTIF(FILTER(Data!N:N,Data!B:B=A720),""LOW"")))) / (((COUNTIF(Data!B:B, A720)))-(CO"&amp;"UNTIF(FILTER(Data!N:N,Data!B:B=A720),""NONE""))),IF(ISBLANK(A720),"""",0))"),"")</f>
        <v/>
      </c>
      <c r="T720" s="56" t="str">
        <f>IFERROR(__xludf.DUMMYFUNCTION("IFERROR((COUNTIF(FILTER(Data!N:N, Data!B:B=A720),""LOW"")) / (COUNTIF(Data!B:B, A720)),"""")"),"")</f>
        <v/>
      </c>
      <c r="U720" s="59" t="str">
        <f>IFERROR(__xludf.DUMMYFUNCTION("IFERROR((COUNTIF(FILTER(Data!N:N, Data!B:B=A720),""MIDDLE"")) / (COUNTIF(Data!B:B, A720)),"""")"),"")</f>
        <v/>
      </c>
      <c r="V720" s="59" t="str">
        <f>IFERROR(__xludf.DUMMYFUNCTION("IFERROR((COUNTIF(FILTER(Data!N:N, Data!B:B=A720),""HIGH"")) / (COUNTIF(Data!B:B, A720)),"""")"),"")</f>
        <v/>
      </c>
      <c r="W720" s="59" t="str">
        <f>IFERROR(__xludf.DUMMYFUNCTION("IFERROR((COUNTIF(FILTER(Data!N:N, Data!B:B=A720),""TRAVERSE"")) / (COUNTIF(Data!B:B, A720)),"""")"),"")</f>
        <v/>
      </c>
      <c r="X720" s="59"/>
      <c r="Y720" s="45" t="str">
        <f t="shared" si="7"/>
        <v/>
      </c>
      <c r="Z720" s="45" t="str">
        <f t="shared" si="8"/>
        <v/>
      </c>
      <c r="AA720" s="16" t="str">
        <f t="shared" si="9"/>
        <v/>
      </c>
      <c r="AB720" s="16"/>
      <c r="AC720" s="16"/>
      <c r="AD720" s="16"/>
      <c r="AE720" s="16" t="str">
        <f t="shared" si="12"/>
        <v/>
      </c>
      <c r="AF720" s="16" t="str">
        <f t="shared" si="13"/>
        <v/>
      </c>
      <c r="AG720" s="44"/>
      <c r="AH720" s="44"/>
      <c r="AI720" s="44" t="str">
        <f>IFERROR(__xludf.DUMMYFUNCTION("TEXTJOIN("", "",TRUE, FILTER(Data!P:P, Data!B:B=A720))"),"")</f>
        <v/>
      </c>
      <c r="AM720" s="61"/>
      <c r="BC720" s="50"/>
    </row>
    <row r="721">
      <c r="A721" s="14"/>
      <c r="B721" s="55" t="str">
        <f>IFERROR(__xludf.DUMMYFUNCTION("IFERROR(ROUND(
(COUNTIF(FILTER(Data!O:O, Data!B:B=A721), ""Win"")
+ COUNTIF(FILTER(Data!O:O, Data!B:B=A721), {""Tie"",""Results""}))
/ (COUNTIF(Data!B:B, A721)),
1),"""")"),"")</f>
        <v/>
      </c>
      <c r="C721" s="45" t="str">
        <f>IFERROR((SUMIF(Data!B:B, A721, Data!H:H)
/ (COUNTIF(Data!B:B, A721)
)),"")</f>
        <v/>
      </c>
      <c r="D721" s="45" t="str">
        <f>IFERROR((SUMIF(Data!B:B, A721, Data!G:G)
/ (COUNTIF(Data!B:B, A721)
)),"")</f>
        <v/>
      </c>
      <c r="E721" s="45"/>
      <c r="F721" s="45" t="str">
        <f>IFERROR((SUMIF(Data!B:B, A721, Data!J:J)
/ (COUNTIF(Data!B:B, A721)
)),"")</f>
        <v/>
      </c>
      <c r="G721" s="56" t="str">
        <f>IF(A721="","",IFERROR((((((SUMIF(Data!B:B, A721, Data!H:H)+(SUMIF(Data!B:B, A721,Data!G:G)))/(SUMIF(Data!B:B, A721, Data!J:J)))))),0))</f>
        <v/>
      </c>
      <c r="H721" s="45"/>
      <c r="I721" s="45"/>
      <c r="J721" s="45"/>
      <c r="K721" s="45"/>
      <c r="L721" s="45" t="str">
        <f>IFERROR((SUMIF(Data!B:B, A721, Data!L:L)
/ (COUNTIF(Data!B:B, A721)
)),"")</f>
        <v/>
      </c>
      <c r="M721" s="45" t="str">
        <f>IFERROR((SUMIF(Data!B:B, A721, Data!K:K)
/ (COUNTIF(Data!B:B, A721)
)),"")</f>
        <v/>
      </c>
      <c r="N721" s="56"/>
      <c r="O721" s="56" t="str">
        <f>IF(A721="","",IFERROR((((((SUMIF(Data!B:B, A721, Data!H:H)+(SUMIF(Data!B:B, A721,Data!G:G)+(SUMIF(Data!B:B, A721,Data!L:L)+(SUMIF(Data!B:B, A721,Data!K:K)))))/(SUMIF(Data!B:B, A721, Data!M:M)+(SUMIF(Data!B:B, A721, Data!H:H)+(SUMIF(Data!B:B, A721,Data!G:G)+(SUMIF(Data!B:B, A721,Data!K:K)+(SUMIF(Data!B:B, A721,Data!L:L)))))))))),0))</f>
        <v/>
      </c>
      <c r="P721" s="57" t="str">
        <f>IFERROR(__xludf.DUMMYFUNCTION("IFERROR(((COUNTIF(FILTER(Data!N:N,Data!B:B=A721),""TRAVERSE"")*15)+(COUNTIF(FILTER(Data!N:N,Data!B:B=A721),""HIGH"")*10)+(COUNTIF(FILTER(Data!N:N,Data!B:B=A721),""MIDDLE"")*6)+(COUNTIF(FILTER(Data!N:N,Data!B:B=A721),""LOW"")*4)) / (COUNTIF(Data!B:B, A721)"&amp;"),"""")"),"")</f>
        <v/>
      </c>
      <c r="Q721" s="58"/>
      <c r="R721" s="58"/>
      <c r="S721" s="58" t="str">
        <f>IFERROR(__xludf.DUMMYFUNCTION("IFERROR((((COUNTIF(FILTER(Data!N:N,Data!B:B=A721),""TRAVERSE""))+(COUNTIF(FILTER(Data!N:N,Data!B:B=A721),""HIGH""))+(COUNTIF(FILTER(Data!N:N,Data!B:B=A721),""MIDDLE""))+(COUNTIF(FILTER(Data!N:N,Data!B:B=A721),""LOW"")))) / (((COUNTIF(Data!B:B, A721)))-(CO"&amp;"UNTIF(FILTER(Data!N:N,Data!B:B=A721),""NONE""))),IF(ISBLANK(A721),"""",0))"),"")</f>
        <v/>
      </c>
      <c r="T721" s="56" t="str">
        <f>IFERROR(__xludf.DUMMYFUNCTION("IFERROR((COUNTIF(FILTER(Data!N:N, Data!B:B=A721),""LOW"")) / (COUNTIF(Data!B:B, A721)),"""")"),"")</f>
        <v/>
      </c>
      <c r="U721" s="59" t="str">
        <f>IFERROR(__xludf.DUMMYFUNCTION("IFERROR((COUNTIF(FILTER(Data!N:N, Data!B:B=A721),""MIDDLE"")) / (COUNTIF(Data!B:B, A721)),"""")"),"")</f>
        <v/>
      </c>
      <c r="V721" s="59" t="str">
        <f>IFERROR(__xludf.DUMMYFUNCTION("IFERROR((COUNTIF(FILTER(Data!N:N, Data!B:B=A721),""HIGH"")) / (COUNTIF(Data!B:B, A721)),"""")"),"")</f>
        <v/>
      </c>
      <c r="W721" s="59" t="str">
        <f>IFERROR(__xludf.DUMMYFUNCTION("IFERROR((COUNTIF(FILTER(Data!N:N, Data!B:B=A721),""TRAVERSE"")) / (COUNTIF(Data!B:B, A721)),"""")"),"")</f>
        <v/>
      </c>
      <c r="X721" s="59"/>
      <c r="Y721" s="45" t="str">
        <f t="shared" si="7"/>
        <v/>
      </c>
      <c r="Z721" s="45" t="str">
        <f t="shared" si="8"/>
        <v/>
      </c>
      <c r="AA721" s="16" t="str">
        <f t="shared" si="9"/>
        <v/>
      </c>
      <c r="AB721" s="16"/>
      <c r="AC721" s="16"/>
      <c r="AD721" s="16"/>
      <c r="AE721" s="16" t="str">
        <f t="shared" si="12"/>
        <v/>
      </c>
      <c r="AF721" s="16" t="str">
        <f t="shared" si="13"/>
        <v/>
      </c>
      <c r="AG721" s="44"/>
      <c r="AH721" s="44"/>
      <c r="AI721" s="44" t="str">
        <f>IFERROR(__xludf.DUMMYFUNCTION("TEXTJOIN("", "",TRUE, FILTER(Data!P:P, Data!B:B=A721))"),"")</f>
        <v/>
      </c>
      <c r="AM721" s="61"/>
      <c r="BC721" s="50"/>
    </row>
    <row r="722">
      <c r="A722" s="14"/>
      <c r="B722" s="55" t="str">
        <f>IFERROR(__xludf.DUMMYFUNCTION("IFERROR(ROUND(
(COUNTIF(FILTER(Data!O:O, Data!B:B=A722), ""Win"")
+ COUNTIF(FILTER(Data!O:O, Data!B:B=A722), {""Tie"",""Results""}))
/ (COUNTIF(Data!B:B, A722)),
1),"""")"),"")</f>
        <v/>
      </c>
      <c r="C722" s="45" t="str">
        <f>IFERROR((SUMIF(Data!B:B, A722, Data!H:H)
/ (COUNTIF(Data!B:B, A722)
)),"")</f>
        <v/>
      </c>
      <c r="D722" s="45" t="str">
        <f>IFERROR((SUMIF(Data!B:B, A722, Data!G:G)
/ (COUNTIF(Data!B:B, A722)
)),"")</f>
        <v/>
      </c>
      <c r="E722" s="45"/>
      <c r="F722" s="45" t="str">
        <f>IFERROR((SUMIF(Data!B:B, A722, Data!J:J)
/ (COUNTIF(Data!B:B, A722)
)),"")</f>
        <v/>
      </c>
      <c r="G722" s="56" t="str">
        <f>IF(A722="","",IFERROR((((((SUMIF(Data!B:B, A722, Data!H:H)+(SUMIF(Data!B:B, A722,Data!G:G)))/(SUMIF(Data!B:B, A722, Data!J:J)))))),0))</f>
        <v/>
      </c>
      <c r="H722" s="45"/>
      <c r="I722" s="45"/>
      <c r="J722" s="45"/>
      <c r="K722" s="45"/>
      <c r="L722" s="45" t="str">
        <f>IFERROR((SUMIF(Data!B:B, A722, Data!L:L)
/ (COUNTIF(Data!B:B, A722)
)),"")</f>
        <v/>
      </c>
      <c r="M722" s="45" t="str">
        <f>IFERROR((SUMIF(Data!B:B, A722, Data!K:K)
/ (COUNTIF(Data!B:B, A722)
)),"")</f>
        <v/>
      </c>
      <c r="N722" s="56"/>
      <c r="O722" s="56" t="str">
        <f>IF(A722="","",IFERROR((((((SUMIF(Data!B:B, A722, Data!H:H)+(SUMIF(Data!B:B, A722,Data!G:G)+(SUMIF(Data!B:B, A722,Data!L:L)+(SUMIF(Data!B:B, A722,Data!K:K)))))/(SUMIF(Data!B:B, A722, Data!M:M)+(SUMIF(Data!B:B, A722, Data!H:H)+(SUMIF(Data!B:B, A722,Data!G:G)+(SUMIF(Data!B:B, A722,Data!K:K)+(SUMIF(Data!B:B, A722,Data!L:L)))))))))),0))</f>
        <v/>
      </c>
      <c r="P722" s="57" t="str">
        <f>IFERROR(__xludf.DUMMYFUNCTION("IFERROR(((COUNTIF(FILTER(Data!N:N,Data!B:B=A722),""TRAVERSE"")*15)+(COUNTIF(FILTER(Data!N:N,Data!B:B=A722),""HIGH"")*10)+(COUNTIF(FILTER(Data!N:N,Data!B:B=A722),""MIDDLE"")*6)+(COUNTIF(FILTER(Data!N:N,Data!B:B=A722),""LOW"")*4)) / (COUNTIF(Data!B:B, A722)"&amp;"),"""")"),"")</f>
        <v/>
      </c>
      <c r="Q722" s="58"/>
      <c r="R722" s="58"/>
      <c r="S722" s="58" t="str">
        <f>IFERROR(__xludf.DUMMYFUNCTION("IFERROR((((COUNTIF(FILTER(Data!N:N,Data!B:B=A722),""TRAVERSE""))+(COUNTIF(FILTER(Data!N:N,Data!B:B=A722),""HIGH""))+(COUNTIF(FILTER(Data!N:N,Data!B:B=A722),""MIDDLE""))+(COUNTIF(FILTER(Data!N:N,Data!B:B=A722),""LOW"")))) / (((COUNTIF(Data!B:B, A722)))-(CO"&amp;"UNTIF(FILTER(Data!N:N,Data!B:B=A722),""NONE""))),IF(ISBLANK(A722),"""",0))"),"")</f>
        <v/>
      </c>
      <c r="T722" s="56" t="str">
        <f>IFERROR(__xludf.DUMMYFUNCTION("IFERROR((COUNTIF(FILTER(Data!N:N, Data!B:B=A722),""LOW"")) / (COUNTIF(Data!B:B, A722)),"""")"),"")</f>
        <v/>
      </c>
      <c r="U722" s="59" t="str">
        <f>IFERROR(__xludf.DUMMYFUNCTION("IFERROR((COUNTIF(FILTER(Data!N:N, Data!B:B=A722),""MIDDLE"")) / (COUNTIF(Data!B:B, A722)),"""")"),"")</f>
        <v/>
      </c>
      <c r="V722" s="59" t="str">
        <f>IFERROR(__xludf.DUMMYFUNCTION("IFERROR((COUNTIF(FILTER(Data!N:N, Data!B:B=A722),""HIGH"")) / (COUNTIF(Data!B:B, A722)),"""")"),"")</f>
        <v/>
      </c>
      <c r="W722" s="59" t="str">
        <f>IFERROR(__xludf.DUMMYFUNCTION("IFERROR((COUNTIF(FILTER(Data!N:N, Data!B:B=A722),""TRAVERSE"")) / (COUNTIF(Data!B:B, A722)),"""")"),"")</f>
        <v/>
      </c>
      <c r="X722" s="59"/>
      <c r="Y722" s="45" t="str">
        <f t="shared" si="7"/>
        <v/>
      </c>
      <c r="Z722" s="45" t="str">
        <f t="shared" si="8"/>
        <v/>
      </c>
      <c r="AA722" s="16" t="str">
        <f t="shared" si="9"/>
        <v/>
      </c>
      <c r="AB722" s="16"/>
      <c r="AC722" s="16"/>
      <c r="AD722" s="16"/>
      <c r="AE722" s="16" t="str">
        <f t="shared" si="12"/>
        <v/>
      </c>
      <c r="AF722" s="16" t="str">
        <f t="shared" si="13"/>
        <v/>
      </c>
      <c r="AG722" s="44"/>
      <c r="AH722" s="44"/>
      <c r="AI722" s="44" t="str">
        <f>IFERROR(__xludf.DUMMYFUNCTION("TEXTJOIN("", "",TRUE, FILTER(Data!P:P, Data!B:B=A722))"),"")</f>
        <v/>
      </c>
      <c r="AM722" s="61"/>
      <c r="BC722" s="50"/>
    </row>
    <row r="723">
      <c r="A723" s="14"/>
      <c r="B723" s="55" t="str">
        <f>IFERROR(__xludf.DUMMYFUNCTION("IFERROR(ROUND(
(COUNTIF(FILTER(Data!O:O, Data!B:B=A723), ""Win"")
+ COUNTIF(FILTER(Data!O:O, Data!B:B=A723), {""Tie"",""Results""}))
/ (COUNTIF(Data!B:B, A723)),
1),"""")"),"")</f>
        <v/>
      </c>
      <c r="C723" s="45" t="str">
        <f>IFERROR((SUMIF(Data!B:B, A723, Data!H:H)
/ (COUNTIF(Data!B:B, A723)
)),"")</f>
        <v/>
      </c>
      <c r="D723" s="45" t="str">
        <f>IFERROR((SUMIF(Data!B:B, A723, Data!G:G)
/ (COUNTIF(Data!B:B, A723)
)),"")</f>
        <v/>
      </c>
      <c r="E723" s="45"/>
      <c r="F723" s="45" t="str">
        <f>IFERROR((SUMIF(Data!B:B, A723, Data!J:J)
/ (COUNTIF(Data!B:B, A723)
)),"")</f>
        <v/>
      </c>
      <c r="G723" s="56" t="str">
        <f>IF(A723="","",IFERROR((((((SUMIF(Data!B:B, A723, Data!H:H)+(SUMIF(Data!B:B, A723,Data!G:G)))/(SUMIF(Data!B:B, A723, Data!J:J)))))),0))</f>
        <v/>
      </c>
      <c r="H723" s="45"/>
      <c r="I723" s="45"/>
      <c r="J723" s="45"/>
      <c r="K723" s="45"/>
      <c r="L723" s="45" t="str">
        <f>IFERROR((SUMIF(Data!B:B, A723, Data!L:L)
/ (COUNTIF(Data!B:B, A723)
)),"")</f>
        <v/>
      </c>
      <c r="M723" s="45" t="str">
        <f>IFERROR((SUMIF(Data!B:B, A723, Data!K:K)
/ (COUNTIF(Data!B:B, A723)
)),"")</f>
        <v/>
      </c>
      <c r="N723" s="56"/>
      <c r="O723" s="56" t="str">
        <f>IF(A723="","",IFERROR((((((SUMIF(Data!B:B, A723, Data!H:H)+(SUMIF(Data!B:B, A723,Data!G:G)+(SUMIF(Data!B:B, A723,Data!L:L)+(SUMIF(Data!B:B, A723,Data!K:K)))))/(SUMIF(Data!B:B, A723, Data!M:M)+(SUMIF(Data!B:B, A723, Data!H:H)+(SUMIF(Data!B:B, A723,Data!G:G)+(SUMIF(Data!B:B, A723,Data!K:K)+(SUMIF(Data!B:B, A723,Data!L:L)))))))))),0))</f>
        <v/>
      </c>
      <c r="P723" s="57" t="str">
        <f>IFERROR(__xludf.DUMMYFUNCTION("IFERROR(((COUNTIF(FILTER(Data!N:N,Data!B:B=A723),""TRAVERSE"")*15)+(COUNTIF(FILTER(Data!N:N,Data!B:B=A723),""HIGH"")*10)+(COUNTIF(FILTER(Data!N:N,Data!B:B=A723),""MIDDLE"")*6)+(COUNTIF(FILTER(Data!N:N,Data!B:B=A723),""LOW"")*4)) / (COUNTIF(Data!B:B, A723)"&amp;"),"""")"),"")</f>
        <v/>
      </c>
      <c r="Q723" s="58"/>
      <c r="R723" s="58"/>
      <c r="S723" s="58" t="str">
        <f>IFERROR(__xludf.DUMMYFUNCTION("IFERROR((((COUNTIF(FILTER(Data!N:N,Data!B:B=A723),""TRAVERSE""))+(COUNTIF(FILTER(Data!N:N,Data!B:B=A723),""HIGH""))+(COUNTIF(FILTER(Data!N:N,Data!B:B=A723),""MIDDLE""))+(COUNTIF(FILTER(Data!N:N,Data!B:B=A723),""LOW"")))) / (((COUNTIF(Data!B:B, A723)))-(CO"&amp;"UNTIF(FILTER(Data!N:N,Data!B:B=A723),""NONE""))),IF(ISBLANK(A723),"""",0))"),"")</f>
        <v/>
      </c>
      <c r="T723" s="56" t="str">
        <f>IFERROR(__xludf.DUMMYFUNCTION("IFERROR((COUNTIF(FILTER(Data!N:N, Data!B:B=A723),""LOW"")) / (COUNTIF(Data!B:B, A723)),"""")"),"")</f>
        <v/>
      </c>
      <c r="U723" s="59" t="str">
        <f>IFERROR(__xludf.DUMMYFUNCTION("IFERROR((COUNTIF(FILTER(Data!N:N, Data!B:B=A723),""MIDDLE"")) / (COUNTIF(Data!B:B, A723)),"""")"),"")</f>
        <v/>
      </c>
      <c r="V723" s="59" t="str">
        <f>IFERROR(__xludf.DUMMYFUNCTION("IFERROR((COUNTIF(FILTER(Data!N:N, Data!B:B=A723),""HIGH"")) / (COUNTIF(Data!B:B, A723)),"""")"),"")</f>
        <v/>
      </c>
      <c r="W723" s="59" t="str">
        <f>IFERROR(__xludf.DUMMYFUNCTION("IFERROR((COUNTIF(FILTER(Data!N:N, Data!B:B=A723),""TRAVERSE"")) / (COUNTIF(Data!B:B, A723)),"""")"),"")</f>
        <v/>
      </c>
      <c r="X723" s="59"/>
      <c r="Y723" s="45" t="str">
        <f t="shared" si="7"/>
        <v/>
      </c>
      <c r="Z723" s="45" t="str">
        <f t="shared" si="8"/>
        <v/>
      </c>
      <c r="AA723" s="16" t="str">
        <f t="shared" si="9"/>
        <v/>
      </c>
      <c r="AB723" s="16"/>
      <c r="AC723" s="16"/>
      <c r="AD723" s="16"/>
      <c r="AE723" s="16" t="str">
        <f t="shared" si="12"/>
        <v/>
      </c>
      <c r="AF723" s="16" t="str">
        <f t="shared" si="13"/>
        <v/>
      </c>
      <c r="AG723" s="44"/>
      <c r="AH723" s="44"/>
      <c r="AI723" s="44" t="str">
        <f>IFERROR(__xludf.DUMMYFUNCTION("TEXTJOIN("", "",TRUE, FILTER(Data!P:P, Data!B:B=A723))"),"")</f>
        <v/>
      </c>
      <c r="AM723" s="61"/>
      <c r="BC723" s="50"/>
    </row>
    <row r="724">
      <c r="A724" s="14"/>
      <c r="B724" s="55" t="str">
        <f>IFERROR(__xludf.DUMMYFUNCTION("IFERROR(ROUND(
(COUNTIF(FILTER(Data!O:O, Data!B:B=A724), ""Win"")
+ COUNTIF(FILTER(Data!O:O, Data!B:B=A724), {""Tie"",""Results""}))
/ (COUNTIF(Data!B:B, A724)),
1),"""")"),"")</f>
        <v/>
      </c>
      <c r="C724" s="45" t="str">
        <f>IFERROR((SUMIF(Data!B:B, A724, Data!H:H)
/ (COUNTIF(Data!B:B, A724)
)),"")</f>
        <v/>
      </c>
      <c r="D724" s="45" t="str">
        <f>IFERROR((SUMIF(Data!B:B, A724, Data!G:G)
/ (COUNTIF(Data!B:B, A724)
)),"")</f>
        <v/>
      </c>
      <c r="E724" s="45"/>
      <c r="F724" s="45" t="str">
        <f>IFERROR((SUMIF(Data!B:B, A724, Data!J:J)
/ (COUNTIF(Data!B:B, A724)
)),"")</f>
        <v/>
      </c>
      <c r="G724" s="56" t="str">
        <f>IF(A724="","",IFERROR((((((SUMIF(Data!B:B, A724, Data!H:H)+(SUMIF(Data!B:B, A724,Data!G:G)))/(SUMIF(Data!B:B, A724, Data!J:J)))))),0))</f>
        <v/>
      </c>
      <c r="H724" s="45"/>
      <c r="I724" s="45"/>
      <c r="J724" s="45"/>
      <c r="K724" s="45"/>
      <c r="L724" s="45" t="str">
        <f>IFERROR((SUMIF(Data!B:B, A724, Data!L:L)
/ (COUNTIF(Data!B:B, A724)
)),"")</f>
        <v/>
      </c>
      <c r="M724" s="45" t="str">
        <f>IFERROR((SUMIF(Data!B:B, A724, Data!K:K)
/ (COUNTIF(Data!B:B, A724)
)),"")</f>
        <v/>
      </c>
      <c r="N724" s="56"/>
      <c r="O724" s="56" t="str">
        <f>IF(A724="","",IFERROR((((((SUMIF(Data!B:B, A724, Data!H:H)+(SUMIF(Data!B:B, A724,Data!G:G)+(SUMIF(Data!B:B, A724,Data!L:L)+(SUMIF(Data!B:B, A724,Data!K:K)))))/(SUMIF(Data!B:B, A724, Data!M:M)+(SUMIF(Data!B:B, A724, Data!H:H)+(SUMIF(Data!B:B, A724,Data!G:G)+(SUMIF(Data!B:B, A724,Data!K:K)+(SUMIF(Data!B:B, A724,Data!L:L)))))))))),0))</f>
        <v/>
      </c>
      <c r="P724" s="57" t="str">
        <f>IFERROR(__xludf.DUMMYFUNCTION("IFERROR(((COUNTIF(FILTER(Data!N:N,Data!B:B=A724),""TRAVERSE"")*15)+(COUNTIF(FILTER(Data!N:N,Data!B:B=A724),""HIGH"")*10)+(COUNTIF(FILTER(Data!N:N,Data!B:B=A724),""MIDDLE"")*6)+(COUNTIF(FILTER(Data!N:N,Data!B:B=A724),""LOW"")*4)) / (COUNTIF(Data!B:B, A724)"&amp;"),"""")"),"")</f>
        <v/>
      </c>
      <c r="Q724" s="58"/>
      <c r="R724" s="58"/>
      <c r="S724" s="58" t="str">
        <f>IFERROR(__xludf.DUMMYFUNCTION("IFERROR((((COUNTIF(FILTER(Data!N:N,Data!B:B=A724),""TRAVERSE""))+(COUNTIF(FILTER(Data!N:N,Data!B:B=A724),""HIGH""))+(COUNTIF(FILTER(Data!N:N,Data!B:B=A724),""MIDDLE""))+(COUNTIF(FILTER(Data!N:N,Data!B:B=A724),""LOW"")))) / (((COUNTIF(Data!B:B, A724)))-(CO"&amp;"UNTIF(FILTER(Data!N:N,Data!B:B=A724),""NONE""))),IF(ISBLANK(A724),"""",0))"),"")</f>
        <v/>
      </c>
      <c r="T724" s="56" t="str">
        <f>IFERROR(__xludf.DUMMYFUNCTION("IFERROR((COUNTIF(FILTER(Data!N:N, Data!B:B=A724),""LOW"")) / (COUNTIF(Data!B:B, A724)),"""")"),"")</f>
        <v/>
      </c>
      <c r="U724" s="59" t="str">
        <f>IFERROR(__xludf.DUMMYFUNCTION("IFERROR((COUNTIF(FILTER(Data!N:N, Data!B:B=A724),""MIDDLE"")) / (COUNTIF(Data!B:B, A724)),"""")"),"")</f>
        <v/>
      </c>
      <c r="V724" s="59" t="str">
        <f>IFERROR(__xludf.DUMMYFUNCTION("IFERROR((COUNTIF(FILTER(Data!N:N, Data!B:B=A724),""HIGH"")) / (COUNTIF(Data!B:B, A724)),"""")"),"")</f>
        <v/>
      </c>
      <c r="W724" s="59" t="str">
        <f>IFERROR(__xludf.DUMMYFUNCTION("IFERROR((COUNTIF(FILTER(Data!N:N, Data!B:B=A724),""TRAVERSE"")) / (COUNTIF(Data!B:B, A724)),"""")"),"")</f>
        <v/>
      </c>
      <c r="X724" s="59"/>
      <c r="Y724" s="45" t="str">
        <f t="shared" si="7"/>
        <v/>
      </c>
      <c r="Z724" s="45" t="str">
        <f t="shared" si="8"/>
        <v/>
      </c>
      <c r="AA724" s="16" t="str">
        <f t="shared" si="9"/>
        <v/>
      </c>
      <c r="AB724" s="16"/>
      <c r="AC724" s="16"/>
      <c r="AD724" s="16"/>
      <c r="AE724" s="16" t="str">
        <f t="shared" si="12"/>
        <v/>
      </c>
      <c r="AF724" s="16" t="str">
        <f t="shared" si="13"/>
        <v/>
      </c>
      <c r="AG724" s="44"/>
      <c r="AH724" s="44"/>
      <c r="AI724" s="44" t="str">
        <f>IFERROR(__xludf.DUMMYFUNCTION("TEXTJOIN("", "",TRUE, FILTER(Data!P:P, Data!B:B=A724))"),"")</f>
        <v/>
      </c>
      <c r="AM724" s="61"/>
      <c r="BC724" s="50"/>
    </row>
    <row r="725">
      <c r="A725" s="14"/>
      <c r="B725" s="55" t="str">
        <f>IFERROR(__xludf.DUMMYFUNCTION("IFERROR(ROUND(
(COUNTIF(FILTER(Data!O:O, Data!B:B=A725), ""Win"")
+ COUNTIF(FILTER(Data!O:O, Data!B:B=A725), {""Tie"",""Results""}))
/ (COUNTIF(Data!B:B, A725)),
1),"""")"),"")</f>
        <v/>
      </c>
      <c r="C725" s="45" t="str">
        <f>IFERROR((SUMIF(Data!B:B, A725, Data!H:H)
/ (COUNTIF(Data!B:B, A725)
)),"")</f>
        <v/>
      </c>
      <c r="D725" s="45" t="str">
        <f>IFERROR((SUMIF(Data!B:B, A725, Data!G:G)
/ (COUNTIF(Data!B:B, A725)
)),"")</f>
        <v/>
      </c>
      <c r="E725" s="45"/>
      <c r="F725" s="45" t="str">
        <f>IFERROR((SUMIF(Data!B:B, A725, Data!J:J)
/ (COUNTIF(Data!B:B, A725)
)),"")</f>
        <v/>
      </c>
      <c r="G725" s="56" t="str">
        <f>IF(A725="","",IFERROR((((((SUMIF(Data!B:B, A725, Data!H:H)+(SUMIF(Data!B:B, A725,Data!G:G)))/(SUMIF(Data!B:B, A725, Data!J:J)))))),0))</f>
        <v/>
      </c>
      <c r="H725" s="45"/>
      <c r="I725" s="45"/>
      <c r="J725" s="45"/>
      <c r="K725" s="45"/>
      <c r="L725" s="45" t="str">
        <f>IFERROR((SUMIF(Data!B:B, A725, Data!L:L)
/ (COUNTIF(Data!B:B, A725)
)),"")</f>
        <v/>
      </c>
      <c r="M725" s="45" t="str">
        <f>IFERROR((SUMIF(Data!B:B, A725, Data!K:K)
/ (COUNTIF(Data!B:B, A725)
)),"")</f>
        <v/>
      </c>
      <c r="N725" s="56"/>
      <c r="O725" s="56" t="str">
        <f>IF(A725="","",IFERROR((((((SUMIF(Data!B:B, A725, Data!H:H)+(SUMIF(Data!B:B, A725,Data!G:G)+(SUMIF(Data!B:B, A725,Data!L:L)+(SUMIF(Data!B:B, A725,Data!K:K)))))/(SUMIF(Data!B:B, A725, Data!M:M)+(SUMIF(Data!B:B, A725, Data!H:H)+(SUMIF(Data!B:B, A725,Data!G:G)+(SUMIF(Data!B:B, A725,Data!K:K)+(SUMIF(Data!B:B, A725,Data!L:L)))))))))),0))</f>
        <v/>
      </c>
      <c r="P725" s="57" t="str">
        <f>IFERROR(__xludf.DUMMYFUNCTION("IFERROR(((COUNTIF(FILTER(Data!N:N,Data!B:B=A725),""TRAVERSE"")*15)+(COUNTIF(FILTER(Data!N:N,Data!B:B=A725),""HIGH"")*10)+(COUNTIF(FILTER(Data!N:N,Data!B:B=A725),""MIDDLE"")*6)+(COUNTIF(FILTER(Data!N:N,Data!B:B=A725),""LOW"")*4)) / (COUNTIF(Data!B:B, A725)"&amp;"),"""")"),"")</f>
        <v/>
      </c>
      <c r="Q725" s="58"/>
      <c r="R725" s="58"/>
      <c r="S725" s="58" t="str">
        <f>IFERROR(__xludf.DUMMYFUNCTION("IFERROR((((COUNTIF(FILTER(Data!N:N,Data!B:B=A725),""TRAVERSE""))+(COUNTIF(FILTER(Data!N:N,Data!B:B=A725),""HIGH""))+(COUNTIF(FILTER(Data!N:N,Data!B:B=A725),""MIDDLE""))+(COUNTIF(FILTER(Data!N:N,Data!B:B=A725),""LOW"")))) / (((COUNTIF(Data!B:B, A725)))-(CO"&amp;"UNTIF(FILTER(Data!N:N,Data!B:B=A725),""NONE""))),IF(ISBLANK(A725),"""",0))"),"")</f>
        <v/>
      </c>
      <c r="T725" s="56" t="str">
        <f>IFERROR(__xludf.DUMMYFUNCTION("IFERROR((COUNTIF(FILTER(Data!N:N, Data!B:B=A725),""LOW"")) / (COUNTIF(Data!B:B, A725)),"""")"),"")</f>
        <v/>
      </c>
      <c r="U725" s="59" t="str">
        <f>IFERROR(__xludf.DUMMYFUNCTION("IFERROR((COUNTIF(FILTER(Data!N:N, Data!B:B=A725),""MIDDLE"")) / (COUNTIF(Data!B:B, A725)),"""")"),"")</f>
        <v/>
      </c>
      <c r="V725" s="59" t="str">
        <f>IFERROR(__xludf.DUMMYFUNCTION("IFERROR((COUNTIF(FILTER(Data!N:N, Data!B:B=A725),""HIGH"")) / (COUNTIF(Data!B:B, A725)),"""")"),"")</f>
        <v/>
      </c>
      <c r="W725" s="59" t="str">
        <f>IFERROR(__xludf.DUMMYFUNCTION("IFERROR((COUNTIF(FILTER(Data!N:N, Data!B:B=A725),""TRAVERSE"")) / (COUNTIF(Data!B:B, A725)),"""")"),"")</f>
        <v/>
      </c>
      <c r="X725" s="59"/>
      <c r="Y725" s="45" t="str">
        <f t="shared" si="7"/>
        <v/>
      </c>
      <c r="Z725" s="45" t="str">
        <f t="shared" si="8"/>
        <v/>
      </c>
      <c r="AA725" s="16" t="str">
        <f t="shared" si="9"/>
        <v/>
      </c>
      <c r="AB725" s="16"/>
      <c r="AC725" s="16"/>
      <c r="AD725" s="16"/>
      <c r="AE725" s="16" t="str">
        <f t="shared" si="12"/>
        <v/>
      </c>
      <c r="AF725" s="16" t="str">
        <f t="shared" si="13"/>
        <v/>
      </c>
      <c r="AG725" s="44"/>
      <c r="AH725" s="44"/>
      <c r="AI725" s="44" t="str">
        <f>IFERROR(__xludf.DUMMYFUNCTION("TEXTJOIN("", "",TRUE, FILTER(Data!P:P, Data!B:B=A725))"),"")</f>
        <v/>
      </c>
      <c r="AM725" s="61"/>
      <c r="BC725" s="50"/>
    </row>
    <row r="726">
      <c r="A726" s="14"/>
      <c r="B726" s="55" t="str">
        <f>IFERROR(__xludf.DUMMYFUNCTION("IFERROR(ROUND(
(COUNTIF(FILTER(Data!O:O, Data!B:B=A726), ""Win"")
+ COUNTIF(FILTER(Data!O:O, Data!B:B=A726), {""Tie"",""Results""}))
/ (COUNTIF(Data!B:B, A726)),
1),"""")"),"")</f>
        <v/>
      </c>
      <c r="C726" s="45" t="str">
        <f>IFERROR((SUMIF(Data!B:B, A726, Data!H:H)
/ (COUNTIF(Data!B:B, A726)
)),"")</f>
        <v/>
      </c>
      <c r="D726" s="45" t="str">
        <f>IFERROR((SUMIF(Data!B:B, A726, Data!G:G)
/ (COUNTIF(Data!B:B, A726)
)),"")</f>
        <v/>
      </c>
      <c r="E726" s="45"/>
      <c r="F726" s="45" t="str">
        <f>IFERROR((SUMIF(Data!B:B, A726, Data!J:J)
/ (COUNTIF(Data!B:B, A726)
)),"")</f>
        <v/>
      </c>
      <c r="G726" s="56" t="str">
        <f>IF(A726="","",IFERROR((((((SUMIF(Data!B:B, A726, Data!H:H)+(SUMIF(Data!B:B, A726,Data!G:G)))/(SUMIF(Data!B:B, A726, Data!J:J)))))),0))</f>
        <v/>
      </c>
      <c r="H726" s="45"/>
      <c r="I726" s="45"/>
      <c r="J726" s="45"/>
      <c r="K726" s="45"/>
      <c r="L726" s="45" t="str">
        <f>IFERROR((SUMIF(Data!B:B, A726, Data!L:L)
/ (COUNTIF(Data!B:B, A726)
)),"")</f>
        <v/>
      </c>
      <c r="M726" s="45" t="str">
        <f>IFERROR((SUMIF(Data!B:B, A726, Data!K:K)
/ (COUNTIF(Data!B:B, A726)
)),"")</f>
        <v/>
      </c>
      <c r="N726" s="56"/>
      <c r="O726" s="56" t="str">
        <f>IF(A726="","",IFERROR((((((SUMIF(Data!B:B, A726, Data!H:H)+(SUMIF(Data!B:B, A726,Data!G:G)+(SUMIF(Data!B:B, A726,Data!L:L)+(SUMIF(Data!B:B, A726,Data!K:K)))))/(SUMIF(Data!B:B, A726, Data!M:M)+(SUMIF(Data!B:B, A726, Data!H:H)+(SUMIF(Data!B:B, A726,Data!G:G)+(SUMIF(Data!B:B, A726,Data!K:K)+(SUMIF(Data!B:B, A726,Data!L:L)))))))))),0))</f>
        <v/>
      </c>
      <c r="P726" s="57" t="str">
        <f>IFERROR(__xludf.DUMMYFUNCTION("IFERROR(((COUNTIF(FILTER(Data!N:N,Data!B:B=A726),""TRAVERSE"")*15)+(COUNTIF(FILTER(Data!N:N,Data!B:B=A726),""HIGH"")*10)+(COUNTIF(FILTER(Data!N:N,Data!B:B=A726),""MIDDLE"")*6)+(COUNTIF(FILTER(Data!N:N,Data!B:B=A726),""LOW"")*4)) / (COUNTIF(Data!B:B, A726)"&amp;"),"""")"),"")</f>
        <v/>
      </c>
      <c r="Q726" s="58"/>
      <c r="R726" s="58"/>
      <c r="S726" s="58" t="str">
        <f>IFERROR(__xludf.DUMMYFUNCTION("IFERROR((((COUNTIF(FILTER(Data!N:N,Data!B:B=A726),""TRAVERSE""))+(COUNTIF(FILTER(Data!N:N,Data!B:B=A726),""HIGH""))+(COUNTIF(FILTER(Data!N:N,Data!B:B=A726),""MIDDLE""))+(COUNTIF(FILTER(Data!N:N,Data!B:B=A726),""LOW"")))) / (((COUNTIF(Data!B:B, A726)))-(CO"&amp;"UNTIF(FILTER(Data!N:N,Data!B:B=A726),""NONE""))),IF(ISBLANK(A726),"""",0))"),"")</f>
        <v/>
      </c>
      <c r="T726" s="56" t="str">
        <f>IFERROR(__xludf.DUMMYFUNCTION("IFERROR((COUNTIF(FILTER(Data!N:N, Data!B:B=A726),""LOW"")) / (COUNTIF(Data!B:B, A726)),"""")"),"")</f>
        <v/>
      </c>
      <c r="U726" s="59" t="str">
        <f>IFERROR(__xludf.DUMMYFUNCTION("IFERROR((COUNTIF(FILTER(Data!N:N, Data!B:B=A726),""MIDDLE"")) / (COUNTIF(Data!B:B, A726)),"""")"),"")</f>
        <v/>
      </c>
      <c r="V726" s="59" t="str">
        <f>IFERROR(__xludf.DUMMYFUNCTION("IFERROR((COUNTIF(FILTER(Data!N:N, Data!B:B=A726),""HIGH"")) / (COUNTIF(Data!B:B, A726)),"""")"),"")</f>
        <v/>
      </c>
      <c r="W726" s="59" t="str">
        <f>IFERROR(__xludf.DUMMYFUNCTION("IFERROR((COUNTIF(FILTER(Data!N:N, Data!B:B=A726),""TRAVERSE"")) / (COUNTIF(Data!B:B, A726)),"""")"),"")</f>
        <v/>
      </c>
      <c r="X726" s="59"/>
      <c r="Y726" s="45" t="str">
        <f t="shared" si="7"/>
        <v/>
      </c>
      <c r="Z726" s="45" t="str">
        <f t="shared" si="8"/>
        <v/>
      </c>
      <c r="AA726" s="16" t="str">
        <f t="shared" si="9"/>
        <v/>
      </c>
      <c r="AB726" s="16"/>
      <c r="AC726" s="16"/>
      <c r="AD726" s="16"/>
      <c r="AE726" s="16" t="str">
        <f t="shared" si="12"/>
        <v/>
      </c>
      <c r="AF726" s="16" t="str">
        <f t="shared" si="13"/>
        <v/>
      </c>
      <c r="AG726" s="44"/>
      <c r="AH726" s="44"/>
      <c r="AI726" s="44" t="str">
        <f>IFERROR(__xludf.DUMMYFUNCTION("TEXTJOIN("", "",TRUE, FILTER(Data!P:P, Data!B:B=A726))"),"")</f>
        <v/>
      </c>
      <c r="AM726" s="61"/>
      <c r="BC726" s="50"/>
    </row>
    <row r="727">
      <c r="A727" s="14"/>
      <c r="B727" s="55" t="str">
        <f>IFERROR(__xludf.DUMMYFUNCTION("IFERROR(ROUND(
(COUNTIF(FILTER(Data!O:O, Data!B:B=A727), ""Win"")
+ COUNTIF(FILTER(Data!O:O, Data!B:B=A727), {""Tie"",""Results""}))
/ (COUNTIF(Data!B:B, A727)),
1),"""")"),"")</f>
        <v/>
      </c>
      <c r="C727" s="45" t="str">
        <f>IFERROR((SUMIF(Data!B:B, A727, Data!H:H)
/ (COUNTIF(Data!B:B, A727)
)),"")</f>
        <v/>
      </c>
      <c r="D727" s="45" t="str">
        <f>IFERROR((SUMIF(Data!B:B, A727, Data!G:G)
/ (COUNTIF(Data!B:B, A727)
)),"")</f>
        <v/>
      </c>
      <c r="E727" s="45"/>
      <c r="F727" s="45" t="str">
        <f>IFERROR((SUMIF(Data!B:B, A727, Data!J:J)
/ (COUNTIF(Data!B:B, A727)
)),"")</f>
        <v/>
      </c>
      <c r="G727" s="56" t="str">
        <f>IF(A727="","",IFERROR((((((SUMIF(Data!B:B, A727, Data!H:H)+(SUMIF(Data!B:B, A727,Data!G:G)))/(SUMIF(Data!B:B, A727, Data!J:J)))))),0))</f>
        <v/>
      </c>
      <c r="H727" s="45"/>
      <c r="I727" s="45"/>
      <c r="J727" s="45"/>
      <c r="K727" s="45"/>
      <c r="L727" s="45" t="str">
        <f>IFERROR((SUMIF(Data!B:B, A727, Data!L:L)
/ (COUNTIF(Data!B:B, A727)
)),"")</f>
        <v/>
      </c>
      <c r="M727" s="45" t="str">
        <f>IFERROR((SUMIF(Data!B:B, A727, Data!K:K)
/ (COUNTIF(Data!B:B, A727)
)),"")</f>
        <v/>
      </c>
      <c r="N727" s="56"/>
      <c r="O727" s="56" t="str">
        <f>IF(A727="","",IFERROR((((((SUMIF(Data!B:B, A727, Data!H:H)+(SUMIF(Data!B:B, A727,Data!G:G)+(SUMIF(Data!B:B, A727,Data!L:L)+(SUMIF(Data!B:B, A727,Data!K:K)))))/(SUMIF(Data!B:B, A727, Data!M:M)+(SUMIF(Data!B:B, A727, Data!H:H)+(SUMIF(Data!B:B, A727,Data!G:G)+(SUMIF(Data!B:B, A727,Data!K:K)+(SUMIF(Data!B:B, A727,Data!L:L)))))))))),0))</f>
        <v/>
      </c>
      <c r="P727" s="57" t="str">
        <f>IFERROR(__xludf.DUMMYFUNCTION("IFERROR(((COUNTIF(FILTER(Data!N:N,Data!B:B=A727),""TRAVERSE"")*15)+(COUNTIF(FILTER(Data!N:N,Data!B:B=A727),""HIGH"")*10)+(COUNTIF(FILTER(Data!N:N,Data!B:B=A727),""MIDDLE"")*6)+(COUNTIF(FILTER(Data!N:N,Data!B:B=A727),""LOW"")*4)) / (COUNTIF(Data!B:B, A727)"&amp;"),"""")"),"")</f>
        <v/>
      </c>
      <c r="Q727" s="58"/>
      <c r="R727" s="58"/>
      <c r="S727" s="58" t="str">
        <f>IFERROR(__xludf.DUMMYFUNCTION("IFERROR((((COUNTIF(FILTER(Data!N:N,Data!B:B=A727),""TRAVERSE""))+(COUNTIF(FILTER(Data!N:N,Data!B:B=A727),""HIGH""))+(COUNTIF(FILTER(Data!N:N,Data!B:B=A727),""MIDDLE""))+(COUNTIF(FILTER(Data!N:N,Data!B:B=A727),""LOW"")))) / (((COUNTIF(Data!B:B, A727)))-(CO"&amp;"UNTIF(FILTER(Data!N:N,Data!B:B=A727),""NONE""))),IF(ISBLANK(A727),"""",0))"),"")</f>
        <v/>
      </c>
      <c r="T727" s="56" t="str">
        <f>IFERROR(__xludf.DUMMYFUNCTION("IFERROR((COUNTIF(FILTER(Data!N:N, Data!B:B=A727),""LOW"")) / (COUNTIF(Data!B:B, A727)),"""")"),"")</f>
        <v/>
      </c>
      <c r="U727" s="59" t="str">
        <f>IFERROR(__xludf.DUMMYFUNCTION("IFERROR((COUNTIF(FILTER(Data!N:N, Data!B:B=A727),""MIDDLE"")) / (COUNTIF(Data!B:B, A727)),"""")"),"")</f>
        <v/>
      </c>
      <c r="V727" s="59" t="str">
        <f>IFERROR(__xludf.DUMMYFUNCTION("IFERROR((COUNTIF(FILTER(Data!N:N, Data!B:B=A727),""HIGH"")) / (COUNTIF(Data!B:B, A727)),"""")"),"")</f>
        <v/>
      </c>
      <c r="W727" s="59" t="str">
        <f>IFERROR(__xludf.DUMMYFUNCTION("IFERROR((COUNTIF(FILTER(Data!N:N, Data!B:B=A727),""TRAVERSE"")) / (COUNTIF(Data!B:B, A727)),"""")"),"")</f>
        <v/>
      </c>
      <c r="X727" s="59"/>
      <c r="Y727" s="45" t="str">
        <f t="shared" si="7"/>
        <v/>
      </c>
      <c r="Z727" s="45" t="str">
        <f t="shared" si="8"/>
        <v/>
      </c>
      <c r="AA727" s="16" t="str">
        <f t="shared" si="9"/>
        <v/>
      </c>
      <c r="AB727" s="16"/>
      <c r="AC727" s="16"/>
      <c r="AD727" s="16"/>
      <c r="AE727" s="16" t="str">
        <f t="shared" si="12"/>
        <v/>
      </c>
      <c r="AF727" s="16" t="str">
        <f t="shared" si="13"/>
        <v/>
      </c>
      <c r="AG727" s="44"/>
      <c r="AH727" s="44"/>
      <c r="AI727" s="44" t="str">
        <f>IFERROR(__xludf.DUMMYFUNCTION("TEXTJOIN("", "",TRUE, FILTER(Data!P:P, Data!B:B=A727))"),"")</f>
        <v/>
      </c>
      <c r="AM727" s="61"/>
      <c r="BC727" s="50"/>
    </row>
    <row r="728">
      <c r="A728" s="14"/>
      <c r="B728" s="55" t="str">
        <f>IFERROR(__xludf.DUMMYFUNCTION("IFERROR(ROUND(
(COUNTIF(FILTER(Data!O:O, Data!B:B=A728), ""Win"")
+ COUNTIF(FILTER(Data!O:O, Data!B:B=A728), {""Tie"",""Results""}))
/ (COUNTIF(Data!B:B, A728)),
1),"""")"),"")</f>
        <v/>
      </c>
      <c r="C728" s="45" t="str">
        <f>IFERROR((SUMIF(Data!B:B, A728, Data!H:H)
/ (COUNTIF(Data!B:B, A728)
)),"")</f>
        <v/>
      </c>
      <c r="D728" s="45" t="str">
        <f>IFERROR((SUMIF(Data!B:B, A728, Data!G:G)
/ (COUNTIF(Data!B:B, A728)
)),"")</f>
        <v/>
      </c>
      <c r="E728" s="45"/>
      <c r="F728" s="45" t="str">
        <f>IFERROR((SUMIF(Data!B:B, A728, Data!J:J)
/ (COUNTIF(Data!B:B, A728)
)),"")</f>
        <v/>
      </c>
      <c r="G728" s="56" t="str">
        <f>IF(A728="","",IFERROR((((((SUMIF(Data!B:B, A728, Data!H:H)+(SUMIF(Data!B:B, A728,Data!G:G)))/(SUMIF(Data!B:B, A728, Data!J:J)))))),0))</f>
        <v/>
      </c>
      <c r="H728" s="45"/>
      <c r="I728" s="45"/>
      <c r="J728" s="45"/>
      <c r="K728" s="45"/>
      <c r="L728" s="45" t="str">
        <f>IFERROR((SUMIF(Data!B:B, A728, Data!L:L)
/ (COUNTIF(Data!B:B, A728)
)),"")</f>
        <v/>
      </c>
      <c r="M728" s="45" t="str">
        <f>IFERROR((SUMIF(Data!B:B, A728, Data!K:K)
/ (COUNTIF(Data!B:B, A728)
)),"")</f>
        <v/>
      </c>
      <c r="N728" s="56"/>
      <c r="O728" s="56" t="str">
        <f>IF(A728="","",IFERROR((((((SUMIF(Data!B:B, A728, Data!H:H)+(SUMIF(Data!B:B, A728,Data!G:G)+(SUMIF(Data!B:B, A728,Data!L:L)+(SUMIF(Data!B:B, A728,Data!K:K)))))/(SUMIF(Data!B:B, A728, Data!M:M)+(SUMIF(Data!B:B, A728, Data!H:H)+(SUMIF(Data!B:B, A728,Data!G:G)+(SUMIF(Data!B:B, A728,Data!K:K)+(SUMIF(Data!B:B, A728,Data!L:L)))))))))),0))</f>
        <v/>
      </c>
      <c r="P728" s="57" t="str">
        <f>IFERROR(__xludf.DUMMYFUNCTION("IFERROR(((COUNTIF(FILTER(Data!N:N,Data!B:B=A728),""TRAVERSE"")*15)+(COUNTIF(FILTER(Data!N:N,Data!B:B=A728),""HIGH"")*10)+(COUNTIF(FILTER(Data!N:N,Data!B:B=A728),""MIDDLE"")*6)+(COUNTIF(FILTER(Data!N:N,Data!B:B=A728),""LOW"")*4)) / (COUNTIF(Data!B:B, A728)"&amp;"),"""")"),"")</f>
        <v/>
      </c>
      <c r="Q728" s="58"/>
      <c r="R728" s="58"/>
      <c r="S728" s="58" t="str">
        <f>IFERROR(__xludf.DUMMYFUNCTION("IFERROR((((COUNTIF(FILTER(Data!N:N,Data!B:B=A728),""TRAVERSE""))+(COUNTIF(FILTER(Data!N:N,Data!B:B=A728),""HIGH""))+(COUNTIF(FILTER(Data!N:N,Data!B:B=A728),""MIDDLE""))+(COUNTIF(FILTER(Data!N:N,Data!B:B=A728),""LOW"")))) / (((COUNTIF(Data!B:B, A728)))-(CO"&amp;"UNTIF(FILTER(Data!N:N,Data!B:B=A728),""NONE""))),IF(ISBLANK(A728),"""",0))"),"")</f>
        <v/>
      </c>
      <c r="T728" s="56" t="str">
        <f>IFERROR(__xludf.DUMMYFUNCTION("IFERROR((COUNTIF(FILTER(Data!N:N, Data!B:B=A728),""LOW"")) / (COUNTIF(Data!B:B, A728)),"""")"),"")</f>
        <v/>
      </c>
      <c r="U728" s="59" t="str">
        <f>IFERROR(__xludf.DUMMYFUNCTION("IFERROR((COUNTIF(FILTER(Data!N:N, Data!B:B=A728),""MIDDLE"")) / (COUNTIF(Data!B:B, A728)),"""")"),"")</f>
        <v/>
      </c>
      <c r="V728" s="59" t="str">
        <f>IFERROR(__xludf.DUMMYFUNCTION("IFERROR((COUNTIF(FILTER(Data!N:N, Data!B:B=A728),""HIGH"")) / (COUNTIF(Data!B:B, A728)),"""")"),"")</f>
        <v/>
      </c>
      <c r="W728" s="59" t="str">
        <f>IFERROR(__xludf.DUMMYFUNCTION("IFERROR((COUNTIF(FILTER(Data!N:N, Data!B:B=A728),""TRAVERSE"")) / (COUNTIF(Data!B:B, A728)),"""")"),"")</f>
        <v/>
      </c>
      <c r="X728" s="59"/>
      <c r="Y728" s="45" t="str">
        <f t="shared" si="7"/>
        <v/>
      </c>
      <c r="Z728" s="45" t="str">
        <f t="shared" si="8"/>
        <v/>
      </c>
      <c r="AA728" s="16" t="str">
        <f t="shared" si="9"/>
        <v/>
      </c>
      <c r="AB728" s="16"/>
      <c r="AC728" s="16"/>
      <c r="AD728" s="16"/>
      <c r="AE728" s="16" t="str">
        <f t="shared" si="12"/>
        <v/>
      </c>
      <c r="AF728" s="16" t="str">
        <f t="shared" si="13"/>
        <v/>
      </c>
      <c r="AG728" s="44"/>
      <c r="AH728" s="44"/>
      <c r="AI728" s="44" t="str">
        <f>IFERROR(__xludf.DUMMYFUNCTION("TEXTJOIN("", "",TRUE, FILTER(Data!P:P, Data!B:B=A728))"),"")</f>
        <v/>
      </c>
      <c r="AM728" s="61"/>
      <c r="BC728" s="50"/>
    </row>
    <row r="729">
      <c r="A729" s="14"/>
      <c r="B729" s="55" t="str">
        <f>IFERROR(__xludf.DUMMYFUNCTION("IFERROR(ROUND(
(COUNTIF(FILTER(Data!O:O, Data!B:B=A729), ""Win"")
+ COUNTIF(FILTER(Data!O:O, Data!B:B=A729), {""Tie"",""Results""}))
/ (COUNTIF(Data!B:B, A729)),
1),"""")"),"")</f>
        <v/>
      </c>
      <c r="C729" s="45" t="str">
        <f>IFERROR((SUMIF(Data!B:B, A729, Data!H:H)
/ (COUNTIF(Data!B:B, A729)
)),"")</f>
        <v/>
      </c>
      <c r="D729" s="45" t="str">
        <f>IFERROR((SUMIF(Data!B:B, A729, Data!G:G)
/ (COUNTIF(Data!B:B, A729)
)),"")</f>
        <v/>
      </c>
      <c r="E729" s="45"/>
      <c r="F729" s="45" t="str">
        <f>IFERROR((SUMIF(Data!B:B, A729, Data!J:J)
/ (COUNTIF(Data!B:B, A729)
)),"")</f>
        <v/>
      </c>
      <c r="G729" s="56" t="str">
        <f>IF(A729="","",IFERROR((((((SUMIF(Data!B:B, A729, Data!H:H)+(SUMIF(Data!B:B, A729,Data!G:G)))/(SUMIF(Data!B:B, A729, Data!J:J)))))),0))</f>
        <v/>
      </c>
      <c r="H729" s="45"/>
      <c r="I729" s="45"/>
      <c r="J729" s="45"/>
      <c r="K729" s="45"/>
      <c r="L729" s="45" t="str">
        <f>IFERROR((SUMIF(Data!B:B, A729, Data!L:L)
/ (COUNTIF(Data!B:B, A729)
)),"")</f>
        <v/>
      </c>
      <c r="M729" s="45" t="str">
        <f>IFERROR((SUMIF(Data!B:B, A729, Data!K:K)
/ (COUNTIF(Data!B:B, A729)
)),"")</f>
        <v/>
      </c>
      <c r="N729" s="56"/>
      <c r="O729" s="56" t="str">
        <f>IF(A729="","",IFERROR((((((SUMIF(Data!B:B, A729, Data!H:H)+(SUMIF(Data!B:B, A729,Data!G:G)+(SUMIF(Data!B:B, A729,Data!L:L)+(SUMIF(Data!B:B, A729,Data!K:K)))))/(SUMIF(Data!B:B, A729, Data!M:M)+(SUMIF(Data!B:B, A729, Data!H:H)+(SUMIF(Data!B:B, A729,Data!G:G)+(SUMIF(Data!B:B, A729,Data!K:K)+(SUMIF(Data!B:B, A729,Data!L:L)))))))))),0))</f>
        <v/>
      </c>
      <c r="P729" s="57" t="str">
        <f>IFERROR(__xludf.DUMMYFUNCTION("IFERROR(((COUNTIF(FILTER(Data!N:N,Data!B:B=A729),""TRAVERSE"")*15)+(COUNTIF(FILTER(Data!N:N,Data!B:B=A729),""HIGH"")*10)+(COUNTIF(FILTER(Data!N:N,Data!B:B=A729),""MIDDLE"")*6)+(COUNTIF(FILTER(Data!N:N,Data!B:B=A729),""LOW"")*4)) / (COUNTIF(Data!B:B, A729)"&amp;"),"""")"),"")</f>
        <v/>
      </c>
      <c r="Q729" s="58"/>
      <c r="R729" s="58"/>
      <c r="S729" s="58" t="str">
        <f>IFERROR(__xludf.DUMMYFUNCTION("IFERROR((((COUNTIF(FILTER(Data!N:N,Data!B:B=A729),""TRAVERSE""))+(COUNTIF(FILTER(Data!N:N,Data!B:B=A729),""HIGH""))+(COUNTIF(FILTER(Data!N:N,Data!B:B=A729),""MIDDLE""))+(COUNTIF(FILTER(Data!N:N,Data!B:B=A729),""LOW"")))) / (((COUNTIF(Data!B:B, A729)))-(CO"&amp;"UNTIF(FILTER(Data!N:N,Data!B:B=A729),""NONE""))),IF(ISBLANK(A729),"""",0))"),"")</f>
        <v/>
      </c>
      <c r="T729" s="56" t="str">
        <f>IFERROR(__xludf.DUMMYFUNCTION("IFERROR((COUNTIF(FILTER(Data!N:N, Data!B:B=A729),""LOW"")) / (COUNTIF(Data!B:B, A729)),"""")"),"")</f>
        <v/>
      </c>
      <c r="U729" s="59" t="str">
        <f>IFERROR(__xludf.DUMMYFUNCTION("IFERROR((COUNTIF(FILTER(Data!N:N, Data!B:B=A729),""MIDDLE"")) / (COUNTIF(Data!B:B, A729)),"""")"),"")</f>
        <v/>
      </c>
      <c r="V729" s="59" t="str">
        <f>IFERROR(__xludf.DUMMYFUNCTION("IFERROR((COUNTIF(FILTER(Data!N:N, Data!B:B=A729),""HIGH"")) / (COUNTIF(Data!B:B, A729)),"""")"),"")</f>
        <v/>
      </c>
      <c r="W729" s="59" t="str">
        <f>IFERROR(__xludf.DUMMYFUNCTION("IFERROR((COUNTIF(FILTER(Data!N:N, Data!B:B=A729),""TRAVERSE"")) / (COUNTIF(Data!B:B, A729)),"""")"),"")</f>
        <v/>
      </c>
      <c r="X729" s="59"/>
      <c r="Y729" s="45" t="str">
        <f t="shared" si="7"/>
        <v/>
      </c>
      <c r="Z729" s="45" t="str">
        <f t="shared" si="8"/>
        <v/>
      </c>
      <c r="AA729" s="16" t="str">
        <f t="shared" si="9"/>
        <v/>
      </c>
      <c r="AB729" s="16"/>
      <c r="AC729" s="16"/>
      <c r="AD729" s="16"/>
      <c r="AE729" s="16" t="str">
        <f t="shared" si="12"/>
        <v/>
      </c>
      <c r="AF729" s="16" t="str">
        <f t="shared" si="13"/>
        <v/>
      </c>
      <c r="AG729" s="44"/>
      <c r="AH729" s="44"/>
      <c r="AI729" s="44" t="str">
        <f>IFERROR(__xludf.DUMMYFUNCTION("TEXTJOIN("", "",TRUE, FILTER(Data!P:P, Data!B:B=A729))"),"")</f>
        <v/>
      </c>
      <c r="AM729" s="61"/>
      <c r="BC729" s="50"/>
    </row>
    <row r="730">
      <c r="A730" s="14"/>
      <c r="B730" s="55" t="str">
        <f>IFERROR(__xludf.DUMMYFUNCTION("IFERROR(ROUND(
(COUNTIF(FILTER(Data!O:O, Data!B:B=A730), ""Win"")
+ COUNTIF(FILTER(Data!O:O, Data!B:B=A730), {""Tie"",""Results""}))
/ (COUNTIF(Data!B:B, A730)),
1),"""")"),"")</f>
        <v/>
      </c>
      <c r="C730" s="45" t="str">
        <f>IFERROR((SUMIF(Data!B:B, A730, Data!H:H)
/ (COUNTIF(Data!B:B, A730)
)),"")</f>
        <v/>
      </c>
      <c r="D730" s="45" t="str">
        <f>IFERROR((SUMIF(Data!B:B, A730, Data!G:G)
/ (COUNTIF(Data!B:B, A730)
)),"")</f>
        <v/>
      </c>
      <c r="E730" s="45"/>
      <c r="F730" s="45" t="str">
        <f>IFERROR((SUMIF(Data!B:B, A730, Data!J:J)
/ (COUNTIF(Data!B:B, A730)
)),"")</f>
        <v/>
      </c>
      <c r="G730" s="56" t="str">
        <f>IF(A730="","",IFERROR((((((SUMIF(Data!B:B, A730, Data!H:H)+(SUMIF(Data!B:B, A730,Data!G:G)))/(SUMIF(Data!B:B, A730, Data!J:J)))))),0))</f>
        <v/>
      </c>
      <c r="H730" s="45"/>
      <c r="I730" s="45"/>
      <c r="J730" s="45"/>
      <c r="K730" s="45"/>
      <c r="L730" s="45" t="str">
        <f>IFERROR((SUMIF(Data!B:B, A730, Data!L:L)
/ (COUNTIF(Data!B:B, A730)
)),"")</f>
        <v/>
      </c>
      <c r="M730" s="45" t="str">
        <f>IFERROR((SUMIF(Data!B:B, A730, Data!K:K)
/ (COUNTIF(Data!B:B, A730)
)),"")</f>
        <v/>
      </c>
      <c r="N730" s="56"/>
      <c r="O730" s="56" t="str">
        <f>IF(A730="","",IFERROR((((((SUMIF(Data!B:B, A730, Data!H:H)+(SUMIF(Data!B:B, A730,Data!G:G)+(SUMIF(Data!B:B, A730,Data!L:L)+(SUMIF(Data!B:B, A730,Data!K:K)))))/(SUMIF(Data!B:B, A730, Data!M:M)+(SUMIF(Data!B:B, A730, Data!H:H)+(SUMIF(Data!B:B, A730,Data!G:G)+(SUMIF(Data!B:B, A730,Data!K:K)+(SUMIF(Data!B:B, A730,Data!L:L)))))))))),0))</f>
        <v/>
      </c>
      <c r="P730" s="57" t="str">
        <f>IFERROR(__xludf.DUMMYFUNCTION("IFERROR(((COUNTIF(FILTER(Data!N:N,Data!B:B=A730),""TRAVERSE"")*15)+(COUNTIF(FILTER(Data!N:N,Data!B:B=A730),""HIGH"")*10)+(COUNTIF(FILTER(Data!N:N,Data!B:B=A730),""MIDDLE"")*6)+(COUNTIF(FILTER(Data!N:N,Data!B:B=A730),""LOW"")*4)) / (COUNTIF(Data!B:B, A730)"&amp;"),"""")"),"")</f>
        <v/>
      </c>
      <c r="Q730" s="58"/>
      <c r="R730" s="58"/>
      <c r="S730" s="58" t="str">
        <f>IFERROR(__xludf.DUMMYFUNCTION("IFERROR((((COUNTIF(FILTER(Data!N:N,Data!B:B=A730),""TRAVERSE""))+(COUNTIF(FILTER(Data!N:N,Data!B:B=A730),""HIGH""))+(COUNTIF(FILTER(Data!N:N,Data!B:B=A730),""MIDDLE""))+(COUNTIF(FILTER(Data!N:N,Data!B:B=A730),""LOW"")))) / (((COUNTIF(Data!B:B, A730)))-(CO"&amp;"UNTIF(FILTER(Data!N:N,Data!B:B=A730),""NONE""))),IF(ISBLANK(A730),"""",0))"),"")</f>
        <v/>
      </c>
      <c r="T730" s="56" t="str">
        <f>IFERROR(__xludf.DUMMYFUNCTION("IFERROR((COUNTIF(FILTER(Data!N:N, Data!B:B=A730),""LOW"")) / (COUNTIF(Data!B:B, A730)),"""")"),"")</f>
        <v/>
      </c>
      <c r="U730" s="59" t="str">
        <f>IFERROR(__xludf.DUMMYFUNCTION("IFERROR((COUNTIF(FILTER(Data!N:N, Data!B:B=A730),""MIDDLE"")) / (COUNTIF(Data!B:B, A730)),"""")"),"")</f>
        <v/>
      </c>
      <c r="V730" s="59" t="str">
        <f>IFERROR(__xludf.DUMMYFUNCTION("IFERROR((COUNTIF(FILTER(Data!N:N, Data!B:B=A730),""HIGH"")) / (COUNTIF(Data!B:B, A730)),"""")"),"")</f>
        <v/>
      </c>
      <c r="W730" s="59" t="str">
        <f>IFERROR(__xludf.DUMMYFUNCTION("IFERROR((COUNTIF(FILTER(Data!N:N, Data!B:B=A730),""TRAVERSE"")) / (COUNTIF(Data!B:B, A730)),"""")"),"")</f>
        <v/>
      </c>
      <c r="X730" s="59"/>
      <c r="Y730" s="45" t="str">
        <f t="shared" si="7"/>
        <v/>
      </c>
      <c r="Z730" s="45" t="str">
        <f t="shared" si="8"/>
        <v/>
      </c>
      <c r="AA730" s="16" t="str">
        <f t="shared" si="9"/>
        <v/>
      </c>
      <c r="AB730" s="16"/>
      <c r="AC730" s="16"/>
      <c r="AD730" s="16"/>
      <c r="AE730" s="16" t="str">
        <f t="shared" si="12"/>
        <v/>
      </c>
      <c r="AF730" s="16" t="str">
        <f t="shared" si="13"/>
        <v/>
      </c>
      <c r="AG730" s="44"/>
      <c r="AH730" s="44"/>
      <c r="AI730" s="44" t="str">
        <f>IFERROR(__xludf.DUMMYFUNCTION("TEXTJOIN("", "",TRUE, FILTER(Data!P:P, Data!B:B=A730))"),"")</f>
        <v/>
      </c>
      <c r="AM730" s="61"/>
      <c r="BC730" s="50"/>
    </row>
    <row r="731">
      <c r="A731" s="14"/>
      <c r="B731" s="55" t="str">
        <f>IFERROR(__xludf.DUMMYFUNCTION("IFERROR(ROUND(
(COUNTIF(FILTER(Data!O:O, Data!B:B=A731), ""Win"")
+ COUNTIF(FILTER(Data!O:O, Data!B:B=A731), {""Tie"",""Results""}))
/ (COUNTIF(Data!B:B, A731)),
1),"""")"),"")</f>
        <v/>
      </c>
      <c r="C731" s="45" t="str">
        <f>IFERROR((SUMIF(Data!B:B, A731, Data!H:H)
/ (COUNTIF(Data!B:B, A731)
)),"")</f>
        <v/>
      </c>
      <c r="D731" s="45" t="str">
        <f>IFERROR((SUMIF(Data!B:B, A731, Data!G:G)
/ (COUNTIF(Data!B:B, A731)
)),"")</f>
        <v/>
      </c>
      <c r="E731" s="45"/>
      <c r="F731" s="45" t="str">
        <f>IFERROR((SUMIF(Data!B:B, A731, Data!J:J)
/ (COUNTIF(Data!B:B, A731)
)),"")</f>
        <v/>
      </c>
      <c r="G731" s="56" t="str">
        <f>IF(A731="","",IFERROR((((((SUMIF(Data!B:B, A731, Data!H:H)+(SUMIF(Data!B:B, A731,Data!G:G)))/(SUMIF(Data!B:B, A731, Data!J:J)))))),0))</f>
        <v/>
      </c>
      <c r="H731" s="45"/>
      <c r="I731" s="45"/>
      <c r="J731" s="45"/>
      <c r="K731" s="45"/>
      <c r="L731" s="45" t="str">
        <f>IFERROR((SUMIF(Data!B:B, A731, Data!L:L)
/ (COUNTIF(Data!B:B, A731)
)),"")</f>
        <v/>
      </c>
      <c r="M731" s="45" t="str">
        <f>IFERROR((SUMIF(Data!B:B, A731, Data!K:K)
/ (COUNTIF(Data!B:B, A731)
)),"")</f>
        <v/>
      </c>
      <c r="N731" s="56"/>
      <c r="O731" s="56" t="str">
        <f>IF(A731="","",IFERROR((((((SUMIF(Data!B:B, A731, Data!H:H)+(SUMIF(Data!B:B, A731,Data!G:G)+(SUMIF(Data!B:B, A731,Data!L:L)+(SUMIF(Data!B:B, A731,Data!K:K)))))/(SUMIF(Data!B:B, A731, Data!M:M)+(SUMIF(Data!B:B, A731, Data!H:H)+(SUMIF(Data!B:B, A731,Data!G:G)+(SUMIF(Data!B:B, A731,Data!K:K)+(SUMIF(Data!B:B, A731,Data!L:L)))))))))),0))</f>
        <v/>
      </c>
      <c r="P731" s="57" t="str">
        <f>IFERROR(__xludf.DUMMYFUNCTION("IFERROR(((COUNTIF(FILTER(Data!N:N,Data!B:B=A731),""TRAVERSE"")*15)+(COUNTIF(FILTER(Data!N:N,Data!B:B=A731),""HIGH"")*10)+(COUNTIF(FILTER(Data!N:N,Data!B:B=A731),""MIDDLE"")*6)+(COUNTIF(FILTER(Data!N:N,Data!B:B=A731),""LOW"")*4)) / (COUNTIF(Data!B:B, A731)"&amp;"),"""")"),"")</f>
        <v/>
      </c>
      <c r="Q731" s="58"/>
      <c r="R731" s="58"/>
      <c r="S731" s="58" t="str">
        <f>IFERROR(__xludf.DUMMYFUNCTION("IFERROR((((COUNTIF(FILTER(Data!N:N,Data!B:B=A731),""TRAVERSE""))+(COUNTIF(FILTER(Data!N:N,Data!B:B=A731),""HIGH""))+(COUNTIF(FILTER(Data!N:N,Data!B:B=A731),""MIDDLE""))+(COUNTIF(FILTER(Data!N:N,Data!B:B=A731),""LOW"")))) / (((COUNTIF(Data!B:B, A731)))-(CO"&amp;"UNTIF(FILTER(Data!N:N,Data!B:B=A731),""NONE""))),IF(ISBLANK(A731),"""",0))"),"")</f>
        <v/>
      </c>
      <c r="T731" s="56" t="str">
        <f>IFERROR(__xludf.DUMMYFUNCTION("IFERROR((COUNTIF(FILTER(Data!N:N, Data!B:B=A731),""LOW"")) / (COUNTIF(Data!B:B, A731)),"""")"),"")</f>
        <v/>
      </c>
      <c r="U731" s="59" t="str">
        <f>IFERROR(__xludf.DUMMYFUNCTION("IFERROR((COUNTIF(FILTER(Data!N:N, Data!B:B=A731),""MIDDLE"")) / (COUNTIF(Data!B:B, A731)),"""")"),"")</f>
        <v/>
      </c>
      <c r="V731" s="59" t="str">
        <f>IFERROR(__xludf.DUMMYFUNCTION("IFERROR((COUNTIF(FILTER(Data!N:N, Data!B:B=A731),""HIGH"")) / (COUNTIF(Data!B:B, A731)),"""")"),"")</f>
        <v/>
      </c>
      <c r="W731" s="59" t="str">
        <f>IFERROR(__xludf.DUMMYFUNCTION("IFERROR((COUNTIF(FILTER(Data!N:N, Data!B:B=A731),""TRAVERSE"")) / (COUNTIF(Data!B:B, A731)),"""")"),"")</f>
        <v/>
      </c>
      <c r="X731" s="59"/>
      <c r="Y731" s="45" t="str">
        <f t="shared" si="7"/>
        <v/>
      </c>
      <c r="Z731" s="45" t="str">
        <f t="shared" si="8"/>
        <v/>
      </c>
      <c r="AA731" s="16" t="str">
        <f t="shared" si="9"/>
        <v/>
      </c>
      <c r="AB731" s="16"/>
      <c r="AC731" s="16"/>
      <c r="AD731" s="16"/>
      <c r="AE731" s="16" t="str">
        <f t="shared" si="12"/>
        <v/>
      </c>
      <c r="AF731" s="16" t="str">
        <f t="shared" si="13"/>
        <v/>
      </c>
      <c r="AG731" s="44"/>
      <c r="AH731" s="44"/>
      <c r="AI731" s="44" t="str">
        <f>IFERROR(__xludf.DUMMYFUNCTION("TEXTJOIN("", "",TRUE, FILTER(Data!P:P, Data!B:B=A731))"),"")</f>
        <v/>
      </c>
      <c r="AM731" s="61"/>
      <c r="BC731" s="50"/>
    </row>
    <row r="732">
      <c r="A732" s="14"/>
      <c r="B732" s="55" t="str">
        <f>IFERROR(__xludf.DUMMYFUNCTION("IFERROR(ROUND(
(COUNTIF(FILTER(Data!O:O, Data!B:B=A732), ""Win"")
+ COUNTIF(FILTER(Data!O:O, Data!B:B=A732), {""Tie"",""Results""}))
/ (COUNTIF(Data!B:B, A732)),
1),"""")"),"")</f>
        <v/>
      </c>
      <c r="C732" s="45" t="str">
        <f>IFERROR((SUMIF(Data!B:B, A732, Data!H:H)
/ (COUNTIF(Data!B:B, A732)
)),"")</f>
        <v/>
      </c>
      <c r="D732" s="45" t="str">
        <f>IFERROR((SUMIF(Data!B:B, A732, Data!G:G)
/ (COUNTIF(Data!B:B, A732)
)),"")</f>
        <v/>
      </c>
      <c r="E732" s="45"/>
      <c r="F732" s="45" t="str">
        <f>IFERROR((SUMIF(Data!B:B, A732, Data!J:J)
/ (COUNTIF(Data!B:B, A732)
)),"")</f>
        <v/>
      </c>
      <c r="G732" s="56" t="str">
        <f>IF(A732="","",IFERROR((((((SUMIF(Data!B:B, A732, Data!H:H)+(SUMIF(Data!B:B, A732,Data!G:G)))/(SUMIF(Data!B:B, A732, Data!J:J)))))),0))</f>
        <v/>
      </c>
      <c r="H732" s="45"/>
      <c r="I732" s="45"/>
      <c r="J732" s="45"/>
      <c r="K732" s="45"/>
      <c r="L732" s="45" t="str">
        <f>IFERROR((SUMIF(Data!B:B, A732, Data!L:L)
/ (COUNTIF(Data!B:B, A732)
)),"")</f>
        <v/>
      </c>
      <c r="M732" s="45" t="str">
        <f>IFERROR((SUMIF(Data!B:B, A732, Data!K:K)
/ (COUNTIF(Data!B:B, A732)
)),"")</f>
        <v/>
      </c>
      <c r="N732" s="56"/>
      <c r="O732" s="56" t="str">
        <f>IF(A732="","",IFERROR((((((SUMIF(Data!B:B, A732, Data!H:H)+(SUMIF(Data!B:B, A732,Data!G:G)+(SUMIF(Data!B:B, A732,Data!L:L)+(SUMIF(Data!B:B, A732,Data!K:K)))))/(SUMIF(Data!B:B, A732, Data!M:M)+(SUMIF(Data!B:B, A732, Data!H:H)+(SUMIF(Data!B:B, A732,Data!G:G)+(SUMIF(Data!B:B, A732,Data!K:K)+(SUMIF(Data!B:B, A732,Data!L:L)))))))))),0))</f>
        <v/>
      </c>
      <c r="P732" s="57" t="str">
        <f>IFERROR(__xludf.DUMMYFUNCTION("IFERROR(((COUNTIF(FILTER(Data!N:N,Data!B:B=A732),""TRAVERSE"")*15)+(COUNTIF(FILTER(Data!N:N,Data!B:B=A732),""HIGH"")*10)+(COUNTIF(FILTER(Data!N:N,Data!B:B=A732),""MIDDLE"")*6)+(COUNTIF(FILTER(Data!N:N,Data!B:B=A732),""LOW"")*4)) / (COUNTIF(Data!B:B, A732)"&amp;"),"""")"),"")</f>
        <v/>
      </c>
      <c r="Q732" s="58"/>
      <c r="R732" s="58"/>
      <c r="S732" s="58" t="str">
        <f>IFERROR(__xludf.DUMMYFUNCTION("IFERROR((((COUNTIF(FILTER(Data!N:N,Data!B:B=A732),""TRAVERSE""))+(COUNTIF(FILTER(Data!N:N,Data!B:B=A732),""HIGH""))+(COUNTIF(FILTER(Data!N:N,Data!B:B=A732),""MIDDLE""))+(COUNTIF(FILTER(Data!N:N,Data!B:B=A732),""LOW"")))) / (((COUNTIF(Data!B:B, A732)))-(CO"&amp;"UNTIF(FILTER(Data!N:N,Data!B:B=A732),""NONE""))),IF(ISBLANK(A732),"""",0))"),"")</f>
        <v/>
      </c>
      <c r="T732" s="56" t="str">
        <f>IFERROR(__xludf.DUMMYFUNCTION("IFERROR((COUNTIF(FILTER(Data!N:N, Data!B:B=A732),""LOW"")) / (COUNTIF(Data!B:B, A732)),"""")"),"")</f>
        <v/>
      </c>
      <c r="U732" s="59" t="str">
        <f>IFERROR(__xludf.DUMMYFUNCTION("IFERROR((COUNTIF(FILTER(Data!N:N, Data!B:B=A732),""MIDDLE"")) / (COUNTIF(Data!B:B, A732)),"""")"),"")</f>
        <v/>
      </c>
      <c r="V732" s="59" t="str">
        <f>IFERROR(__xludf.DUMMYFUNCTION("IFERROR((COUNTIF(FILTER(Data!N:N, Data!B:B=A732),""HIGH"")) / (COUNTIF(Data!B:B, A732)),"""")"),"")</f>
        <v/>
      </c>
      <c r="W732" s="59" t="str">
        <f>IFERROR(__xludf.DUMMYFUNCTION("IFERROR((COUNTIF(FILTER(Data!N:N, Data!B:B=A732),""TRAVERSE"")) / (COUNTIF(Data!B:B, A732)),"""")"),"")</f>
        <v/>
      </c>
      <c r="X732" s="59"/>
      <c r="Y732" s="45" t="str">
        <f t="shared" si="7"/>
        <v/>
      </c>
      <c r="Z732" s="45" t="str">
        <f t="shared" si="8"/>
        <v/>
      </c>
      <c r="AA732" s="16" t="str">
        <f t="shared" si="9"/>
        <v/>
      </c>
      <c r="AB732" s="16"/>
      <c r="AC732" s="16"/>
      <c r="AD732" s="16"/>
      <c r="AE732" s="16" t="str">
        <f t="shared" si="12"/>
        <v/>
      </c>
      <c r="AF732" s="16" t="str">
        <f t="shared" si="13"/>
        <v/>
      </c>
      <c r="AG732" s="44"/>
      <c r="AH732" s="44"/>
      <c r="AI732" s="44" t="str">
        <f>IFERROR(__xludf.DUMMYFUNCTION("TEXTJOIN("", "",TRUE, FILTER(Data!P:P, Data!B:B=A732))"),"")</f>
        <v/>
      </c>
      <c r="AM732" s="61"/>
      <c r="BC732" s="50"/>
    </row>
    <row r="733">
      <c r="A733" s="14"/>
      <c r="B733" s="55" t="str">
        <f>IFERROR(__xludf.DUMMYFUNCTION("IFERROR(ROUND(
(COUNTIF(FILTER(Data!O:O, Data!B:B=A733), ""Win"")
+ COUNTIF(FILTER(Data!O:O, Data!B:B=A733), {""Tie"",""Results""}))
/ (COUNTIF(Data!B:B, A733)),
1),"""")"),"")</f>
        <v/>
      </c>
      <c r="C733" s="45" t="str">
        <f>IFERROR((SUMIF(Data!B:B, A733, Data!H:H)
/ (COUNTIF(Data!B:B, A733)
)),"")</f>
        <v/>
      </c>
      <c r="D733" s="45" t="str">
        <f>IFERROR((SUMIF(Data!B:B, A733, Data!G:G)
/ (COUNTIF(Data!B:B, A733)
)),"")</f>
        <v/>
      </c>
      <c r="E733" s="45"/>
      <c r="F733" s="45" t="str">
        <f>IFERROR((SUMIF(Data!B:B, A733, Data!J:J)
/ (COUNTIF(Data!B:B, A733)
)),"")</f>
        <v/>
      </c>
      <c r="G733" s="56" t="str">
        <f>IF(A733="","",IFERROR((((((SUMIF(Data!B:B, A733, Data!H:H)+(SUMIF(Data!B:B, A733,Data!G:G)))/(SUMIF(Data!B:B, A733, Data!J:J)))))),0))</f>
        <v/>
      </c>
      <c r="H733" s="45"/>
      <c r="I733" s="45"/>
      <c r="J733" s="45"/>
      <c r="K733" s="45"/>
      <c r="L733" s="45" t="str">
        <f>IFERROR((SUMIF(Data!B:B, A733, Data!L:L)
/ (COUNTIF(Data!B:B, A733)
)),"")</f>
        <v/>
      </c>
      <c r="M733" s="45" t="str">
        <f>IFERROR((SUMIF(Data!B:B, A733, Data!K:K)
/ (COUNTIF(Data!B:B, A733)
)),"")</f>
        <v/>
      </c>
      <c r="N733" s="56"/>
      <c r="O733" s="56" t="str">
        <f>IF(A733="","",IFERROR((((((SUMIF(Data!B:B, A733, Data!H:H)+(SUMIF(Data!B:B, A733,Data!G:G)+(SUMIF(Data!B:B, A733,Data!L:L)+(SUMIF(Data!B:B, A733,Data!K:K)))))/(SUMIF(Data!B:B, A733, Data!M:M)+(SUMIF(Data!B:B, A733, Data!H:H)+(SUMIF(Data!B:B, A733,Data!G:G)+(SUMIF(Data!B:B, A733,Data!K:K)+(SUMIF(Data!B:B, A733,Data!L:L)))))))))),0))</f>
        <v/>
      </c>
      <c r="P733" s="57" t="str">
        <f>IFERROR(__xludf.DUMMYFUNCTION("IFERROR(((COUNTIF(FILTER(Data!N:N,Data!B:B=A733),""TRAVERSE"")*15)+(COUNTIF(FILTER(Data!N:N,Data!B:B=A733),""HIGH"")*10)+(COUNTIF(FILTER(Data!N:N,Data!B:B=A733),""MIDDLE"")*6)+(COUNTIF(FILTER(Data!N:N,Data!B:B=A733),""LOW"")*4)) / (COUNTIF(Data!B:B, A733)"&amp;"),"""")"),"")</f>
        <v/>
      </c>
      <c r="Q733" s="58"/>
      <c r="R733" s="58"/>
      <c r="S733" s="58" t="str">
        <f>IFERROR(__xludf.DUMMYFUNCTION("IFERROR((((COUNTIF(FILTER(Data!N:N,Data!B:B=A733),""TRAVERSE""))+(COUNTIF(FILTER(Data!N:N,Data!B:B=A733),""HIGH""))+(COUNTIF(FILTER(Data!N:N,Data!B:B=A733),""MIDDLE""))+(COUNTIF(FILTER(Data!N:N,Data!B:B=A733),""LOW"")))) / (((COUNTIF(Data!B:B, A733)))-(CO"&amp;"UNTIF(FILTER(Data!N:N,Data!B:B=A733),""NONE""))),IF(ISBLANK(A733),"""",0))"),"")</f>
        <v/>
      </c>
      <c r="T733" s="56" t="str">
        <f>IFERROR(__xludf.DUMMYFUNCTION("IFERROR((COUNTIF(FILTER(Data!N:N, Data!B:B=A733),""LOW"")) / (COUNTIF(Data!B:B, A733)),"""")"),"")</f>
        <v/>
      </c>
      <c r="U733" s="59" t="str">
        <f>IFERROR(__xludf.DUMMYFUNCTION("IFERROR((COUNTIF(FILTER(Data!N:N, Data!B:B=A733),""MIDDLE"")) / (COUNTIF(Data!B:B, A733)),"""")"),"")</f>
        <v/>
      </c>
      <c r="V733" s="59" t="str">
        <f>IFERROR(__xludf.DUMMYFUNCTION("IFERROR((COUNTIF(FILTER(Data!N:N, Data!B:B=A733),""HIGH"")) / (COUNTIF(Data!B:B, A733)),"""")"),"")</f>
        <v/>
      </c>
      <c r="W733" s="59" t="str">
        <f>IFERROR(__xludf.DUMMYFUNCTION("IFERROR((COUNTIF(FILTER(Data!N:N, Data!B:B=A733),""TRAVERSE"")) / (COUNTIF(Data!B:B, A733)),"""")"),"")</f>
        <v/>
      </c>
      <c r="X733" s="59"/>
      <c r="Y733" s="45" t="str">
        <f t="shared" si="7"/>
        <v/>
      </c>
      <c r="Z733" s="45" t="str">
        <f t="shared" si="8"/>
        <v/>
      </c>
      <c r="AA733" s="16" t="str">
        <f t="shared" si="9"/>
        <v/>
      </c>
      <c r="AB733" s="16"/>
      <c r="AC733" s="16"/>
      <c r="AD733" s="16"/>
      <c r="AE733" s="16" t="str">
        <f t="shared" si="12"/>
        <v/>
      </c>
      <c r="AF733" s="16" t="str">
        <f t="shared" si="13"/>
        <v/>
      </c>
      <c r="AG733" s="44"/>
      <c r="AH733" s="44"/>
      <c r="AI733" s="44" t="str">
        <f>IFERROR(__xludf.DUMMYFUNCTION("TEXTJOIN("", "",TRUE, FILTER(Data!P:P, Data!B:B=A733))"),"")</f>
        <v/>
      </c>
      <c r="AM733" s="61"/>
      <c r="BC733" s="50"/>
    </row>
    <row r="734">
      <c r="A734" s="14"/>
      <c r="B734" s="55" t="str">
        <f>IFERROR(__xludf.DUMMYFUNCTION("IFERROR(ROUND(
(COUNTIF(FILTER(Data!O:O, Data!B:B=A734), ""Win"")
+ COUNTIF(FILTER(Data!O:O, Data!B:B=A734), {""Tie"",""Results""}))
/ (COUNTIF(Data!B:B, A734)),
1),"""")"),"")</f>
        <v/>
      </c>
      <c r="C734" s="45" t="str">
        <f>IFERROR((SUMIF(Data!B:B, A734, Data!H:H)
/ (COUNTIF(Data!B:B, A734)
)),"")</f>
        <v/>
      </c>
      <c r="D734" s="45" t="str">
        <f>IFERROR((SUMIF(Data!B:B, A734, Data!G:G)
/ (COUNTIF(Data!B:B, A734)
)),"")</f>
        <v/>
      </c>
      <c r="E734" s="45"/>
      <c r="F734" s="45" t="str">
        <f>IFERROR((SUMIF(Data!B:B, A734, Data!J:J)
/ (COUNTIF(Data!B:B, A734)
)),"")</f>
        <v/>
      </c>
      <c r="G734" s="56" t="str">
        <f>IF(A734="","",IFERROR((((((SUMIF(Data!B:B, A734, Data!H:H)+(SUMIF(Data!B:B, A734,Data!G:G)))/(SUMIF(Data!B:B, A734, Data!J:J)))))),0))</f>
        <v/>
      </c>
      <c r="H734" s="45"/>
      <c r="I734" s="45"/>
      <c r="J734" s="45"/>
      <c r="K734" s="45"/>
      <c r="L734" s="45" t="str">
        <f>IFERROR((SUMIF(Data!B:B, A734, Data!L:L)
/ (COUNTIF(Data!B:B, A734)
)),"")</f>
        <v/>
      </c>
      <c r="M734" s="45" t="str">
        <f>IFERROR((SUMIF(Data!B:B, A734, Data!K:K)
/ (COUNTIF(Data!B:B, A734)
)),"")</f>
        <v/>
      </c>
      <c r="N734" s="56"/>
      <c r="O734" s="56" t="str">
        <f>IF(A734="","",IFERROR((((((SUMIF(Data!B:B, A734, Data!H:H)+(SUMIF(Data!B:B, A734,Data!G:G)+(SUMIF(Data!B:B, A734,Data!L:L)+(SUMIF(Data!B:B, A734,Data!K:K)))))/(SUMIF(Data!B:B, A734, Data!M:M)+(SUMIF(Data!B:B, A734, Data!H:H)+(SUMIF(Data!B:B, A734,Data!G:G)+(SUMIF(Data!B:B, A734,Data!K:K)+(SUMIF(Data!B:B, A734,Data!L:L)))))))))),0))</f>
        <v/>
      </c>
      <c r="P734" s="57" t="str">
        <f>IFERROR(__xludf.DUMMYFUNCTION("IFERROR(((COUNTIF(FILTER(Data!N:N,Data!B:B=A734),""TRAVERSE"")*15)+(COUNTIF(FILTER(Data!N:N,Data!B:B=A734),""HIGH"")*10)+(COUNTIF(FILTER(Data!N:N,Data!B:B=A734),""MIDDLE"")*6)+(COUNTIF(FILTER(Data!N:N,Data!B:B=A734),""LOW"")*4)) / (COUNTIF(Data!B:B, A734)"&amp;"),"""")"),"")</f>
        <v/>
      </c>
      <c r="Q734" s="58"/>
      <c r="R734" s="58"/>
      <c r="S734" s="58" t="str">
        <f>IFERROR(__xludf.DUMMYFUNCTION("IFERROR((((COUNTIF(FILTER(Data!N:N,Data!B:B=A734),""TRAVERSE""))+(COUNTIF(FILTER(Data!N:N,Data!B:B=A734),""HIGH""))+(COUNTIF(FILTER(Data!N:N,Data!B:B=A734),""MIDDLE""))+(COUNTIF(FILTER(Data!N:N,Data!B:B=A734),""LOW"")))) / (((COUNTIF(Data!B:B, A734)))-(CO"&amp;"UNTIF(FILTER(Data!N:N,Data!B:B=A734),""NONE""))),IF(ISBLANK(A734),"""",0))"),"")</f>
        <v/>
      </c>
      <c r="T734" s="56" t="str">
        <f>IFERROR(__xludf.DUMMYFUNCTION("IFERROR((COUNTIF(FILTER(Data!N:N, Data!B:B=A734),""LOW"")) / (COUNTIF(Data!B:B, A734)),"""")"),"")</f>
        <v/>
      </c>
      <c r="U734" s="59" t="str">
        <f>IFERROR(__xludf.DUMMYFUNCTION("IFERROR((COUNTIF(FILTER(Data!N:N, Data!B:B=A734),""MIDDLE"")) / (COUNTIF(Data!B:B, A734)),"""")"),"")</f>
        <v/>
      </c>
      <c r="V734" s="59" t="str">
        <f>IFERROR(__xludf.DUMMYFUNCTION("IFERROR((COUNTIF(FILTER(Data!N:N, Data!B:B=A734),""HIGH"")) / (COUNTIF(Data!B:B, A734)),"""")"),"")</f>
        <v/>
      </c>
      <c r="W734" s="59" t="str">
        <f>IFERROR(__xludf.DUMMYFUNCTION("IFERROR((COUNTIF(FILTER(Data!N:N, Data!B:B=A734),""TRAVERSE"")) / (COUNTIF(Data!B:B, A734)),"""")"),"")</f>
        <v/>
      </c>
      <c r="X734" s="59"/>
      <c r="Y734" s="45" t="str">
        <f t="shared" si="7"/>
        <v/>
      </c>
      <c r="Z734" s="45" t="str">
        <f t="shared" si="8"/>
        <v/>
      </c>
      <c r="AA734" s="16" t="str">
        <f t="shared" si="9"/>
        <v/>
      </c>
      <c r="AB734" s="16"/>
      <c r="AC734" s="16"/>
      <c r="AD734" s="16"/>
      <c r="AE734" s="16" t="str">
        <f t="shared" si="12"/>
        <v/>
      </c>
      <c r="AF734" s="16" t="str">
        <f t="shared" si="13"/>
        <v/>
      </c>
      <c r="AG734" s="44"/>
      <c r="AH734" s="44"/>
      <c r="AI734" s="44" t="str">
        <f>IFERROR(__xludf.DUMMYFUNCTION("TEXTJOIN("", "",TRUE, FILTER(Data!P:P, Data!B:B=A734))"),"")</f>
        <v/>
      </c>
      <c r="AM734" s="61"/>
      <c r="BC734" s="50"/>
    </row>
    <row r="735">
      <c r="A735" s="14"/>
      <c r="B735" s="55" t="str">
        <f>IFERROR(__xludf.DUMMYFUNCTION("IFERROR(ROUND(
(COUNTIF(FILTER(Data!O:O, Data!B:B=A735), ""Win"")
+ COUNTIF(FILTER(Data!O:O, Data!B:B=A735), {""Tie"",""Results""}))
/ (COUNTIF(Data!B:B, A735)),
1),"""")"),"")</f>
        <v/>
      </c>
      <c r="C735" s="45" t="str">
        <f>IFERROR((SUMIF(Data!B:B, A735, Data!H:H)
/ (COUNTIF(Data!B:B, A735)
)),"")</f>
        <v/>
      </c>
      <c r="D735" s="45" t="str">
        <f>IFERROR((SUMIF(Data!B:B, A735, Data!G:G)
/ (COUNTIF(Data!B:B, A735)
)),"")</f>
        <v/>
      </c>
      <c r="E735" s="45"/>
      <c r="F735" s="45" t="str">
        <f>IFERROR((SUMIF(Data!B:B, A735, Data!J:J)
/ (COUNTIF(Data!B:B, A735)
)),"")</f>
        <v/>
      </c>
      <c r="G735" s="56" t="str">
        <f>IF(A735="","",IFERROR((((((SUMIF(Data!B:B, A735, Data!H:H)+(SUMIF(Data!B:B, A735,Data!G:G)))/(SUMIF(Data!B:B, A735, Data!J:J)))))),0))</f>
        <v/>
      </c>
      <c r="H735" s="45"/>
      <c r="I735" s="45"/>
      <c r="J735" s="45"/>
      <c r="K735" s="45"/>
      <c r="L735" s="45" t="str">
        <f>IFERROR((SUMIF(Data!B:B, A735, Data!L:L)
/ (COUNTIF(Data!B:B, A735)
)),"")</f>
        <v/>
      </c>
      <c r="M735" s="45" t="str">
        <f>IFERROR((SUMIF(Data!B:B, A735, Data!K:K)
/ (COUNTIF(Data!B:B, A735)
)),"")</f>
        <v/>
      </c>
      <c r="N735" s="56"/>
      <c r="O735" s="56" t="str">
        <f>IF(A735="","",IFERROR((((((SUMIF(Data!B:B, A735, Data!H:H)+(SUMIF(Data!B:B, A735,Data!G:G)+(SUMIF(Data!B:B, A735,Data!L:L)+(SUMIF(Data!B:B, A735,Data!K:K)))))/(SUMIF(Data!B:B, A735, Data!M:M)+(SUMIF(Data!B:B, A735, Data!H:H)+(SUMIF(Data!B:B, A735,Data!G:G)+(SUMIF(Data!B:B, A735,Data!K:K)+(SUMIF(Data!B:B, A735,Data!L:L)))))))))),0))</f>
        <v/>
      </c>
      <c r="P735" s="57" t="str">
        <f>IFERROR(__xludf.DUMMYFUNCTION("IFERROR(((COUNTIF(FILTER(Data!N:N,Data!B:B=A735),""TRAVERSE"")*15)+(COUNTIF(FILTER(Data!N:N,Data!B:B=A735),""HIGH"")*10)+(COUNTIF(FILTER(Data!N:N,Data!B:B=A735),""MIDDLE"")*6)+(COUNTIF(FILTER(Data!N:N,Data!B:B=A735),""LOW"")*4)) / (COUNTIF(Data!B:B, A735)"&amp;"),"""")"),"")</f>
        <v/>
      </c>
      <c r="Q735" s="58"/>
      <c r="R735" s="58"/>
      <c r="S735" s="58" t="str">
        <f>IFERROR(__xludf.DUMMYFUNCTION("IFERROR((((COUNTIF(FILTER(Data!N:N,Data!B:B=A735),""TRAVERSE""))+(COUNTIF(FILTER(Data!N:N,Data!B:B=A735),""HIGH""))+(COUNTIF(FILTER(Data!N:N,Data!B:B=A735),""MIDDLE""))+(COUNTIF(FILTER(Data!N:N,Data!B:B=A735),""LOW"")))) / (((COUNTIF(Data!B:B, A735)))-(CO"&amp;"UNTIF(FILTER(Data!N:N,Data!B:B=A735),""NONE""))),IF(ISBLANK(A735),"""",0))"),"")</f>
        <v/>
      </c>
      <c r="T735" s="56" t="str">
        <f>IFERROR(__xludf.DUMMYFUNCTION("IFERROR((COUNTIF(FILTER(Data!N:N, Data!B:B=A735),""LOW"")) / (COUNTIF(Data!B:B, A735)),"""")"),"")</f>
        <v/>
      </c>
      <c r="U735" s="59" t="str">
        <f>IFERROR(__xludf.DUMMYFUNCTION("IFERROR((COUNTIF(FILTER(Data!N:N, Data!B:B=A735),""MIDDLE"")) / (COUNTIF(Data!B:B, A735)),"""")"),"")</f>
        <v/>
      </c>
      <c r="V735" s="59" t="str">
        <f>IFERROR(__xludf.DUMMYFUNCTION("IFERROR((COUNTIF(FILTER(Data!N:N, Data!B:B=A735),""HIGH"")) / (COUNTIF(Data!B:B, A735)),"""")"),"")</f>
        <v/>
      </c>
      <c r="W735" s="59" t="str">
        <f>IFERROR(__xludf.DUMMYFUNCTION("IFERROR((COUNTIF(FILTER(Data!N:N, Data!B:B=A735),""TRAVERSE"")) / (COUNTIF(Data!B:B, A735)),"""")"),"")</f>
        <v/>
      </c>
      <c r="X735" s="59"/>
      <c r="Y735" s="45" t="str">
        <f t="shared" si="7"/>
        <v/>
      </c>
      <c r="Z735" s="45" t="str">
        <f t="shared" si="8"/>
        <v/>
      </c>
      <c r="AA735" s="16" t="str">
        <f t="shared" si="9"/>
        <v/>
      </c>
      <c r="AB735" s="16"/>
      <c r="AC735" s="16"/>
      <c r="AD735" s="16"/>
      <c r="AE735" s="16" t="str">
        <f t="shared" si="12"/>
        <v/>
      </c>
      <c r="AF735" s="16" t="str">
        <f t="shared" si="13"/>
        <v/>
      </c>
      <c r="AG735" s="44"/>
      <c r="AH735" s="44"/>
      <c r="AI735" s="44" t="str">
        <f>IFERROR(__xludf.DUMMYFUNCTION("TEXTJOIN("", "",TRUE, FILTER(Data!P:P, Data!B:B=A735))"),"")</f>
        <v/>
      </c>
      <c r="AM735" s="61"/>
      <c r="BC735" s="50"/>
    </row>
    <row r="736">
      <c r="A736" s="14"/>
      <c r="B736" s="55" t="str">
        <f>IFERROR(__xludf.DUMMYFUNCTION("IFERROR(ROUND(
(COUNTIF(FILTER(Data!O:O, Data!B:B=A736), ""Win"")
+ COUNTIF(FILTER(Data!O:O, Data!B:B=A736), {""Tie"",""Results""}))
/ (COUNTIF(Data!B:B, A736)),
1),"""")"),"")</f>
        <v/>
      </c>
      <c r="C736" s="45" t="str">
        <f>IFERROR((SUMIF(Data!B:B, A736, Data!H:H)
/ (COUNTIF(Data!B:B, A736)
)),"")</f>
        <v/>
      </c>
      <c r="D736" s="45" t="str">
        <f>IFERROR((SUMIF(Data!B:B, A736, Data!G:G)
/ (COUNTIF(Data!B:B, A736)
)),"")</f>
        <v/>
      </c>
      <c r="E736" s="45"/>
      <c r="F736" s="45" t="str">
        <f>IFERROR((SUMIF(Data!B:B, A736, Data!J:J)
/ (COUNTIF(Data!B:B, A736)
)),"")</f>
        <v/>
      </c>
      <c r="G736" s="56" t="str">
        <f>IF(A736="","",IFERROR((((((SUMIF(Data!B:B, A736, Data!H:H)+(SUMIF(Data!B:B, A736,Data!G:G)))/(SUMIF(Data!B:B, A736, Data!J:J)))))),0))</f>
        <v/>
      </c>
      <c r="H736" s="45"/>
      <c r="I736" s="45"/>
      <c r="J736" s="45"/>
      <c r="K736" s="45"/>
      <c r="L736" s="45" t="str">
        <f>IFERROR((SUMIF(Data!B:B, A736, Data!L:L)
/ (COUNTIF(Data!B:B, A736)
)),"")</f>
        <v/>
      </c>
      <c r="M736" s="45" t="str">
        <f>IFERROR((SUMIF(Data!B:B, A736, Data!K:K)
/ (COUNTIF(Data!B:B, A736)
)),"")</f>
        <v/>
      </c>
      <c r="N736" s="56"/>
      <c r="O736" s="56" t="str">
        <f>IF(A736="","",IFERROR((((((SUMIF(Data!B:B, A736, Data!H:H)+(SUMIF(Data!B:B, A736,Data!G:G)+(SUMIF(Data!B:B, A736,Data!L:L)+(SUMIF(Data!B:B, A736,Data!K:K)))))/(SUMIF(Data!B:B, A736, Data!M:M)+(SUMIF(Data!B:B, A736, Data!H:H)+(SUMIF(Data!B:B, A736,Data!G:G)+(SUMIF(Data!B:B, A736,Data!K:K)+(SUMIF(Data!B:B, A736,Data!L:L)))))))))),0))</f>
        <v/>
      </c>
      <c r="P736" s="57" t="str">
        <f>IFERROR(__xludf.DUMMYFUNCTION("IFERROR(((COUNTIF(FILTER(Data!N:N,Data!B:B=A736),""TRAVERSE"")*15)+(COUNTIF(FILTER(Data!N:N,Data!B:B=A736),""HIGH"")*10)+(COUNTIF(FILTER(Data!N:N,Data!B:B=A736),""MIDDLE"")*6)+(COUNTIF(FILTER(Data!N:N,Data!B:B=A736),""LOW"")*4)) / (COUNTIF(Data!B:B, A736)"&amp;"),"""")"),"")</f>
        <v/>
      </c>
      <c r="Q736" s="58"/>
      <c r="R736" s="58"/>
      <c r="S736" s="58" t="str">
        <f>IFERROR(__xludf.DUMMYFUNCTION("IFERROR((((COUNTIF(FILTER(Data!N:N,Data!B:B=A736),""TRAVERSE""))+(COUNTIF(FILTER(Data!N:N,Data!B:B=A736),""HIGH""))+(COUNTIF(FILTER(Data!N:N,Data!B:B=A736),""MIDDLE""))+(COUNTIF(FILTER(Data!N:N,Data!B:B=A736),""LOW"")))) / (((COUNTIF(Data!B:B, A736)))-(CO"&amp;"UNTIF(FILTER(Data!N:N,Data!B:B=A736),""NONE""))),IF(ISBLANK(A736),"""",0))"),"")</f>
        <v/>
      </c>
      <c r="T736" s="56" t="str">
        <f>IFERROR(__xludf.DUMMYFUNCTION("IFERROR((COUNTIF(FILTER(Data!N:N, Data!B:B=A736),""LOW"")) / (COUNTIF(Data!B:B, A736)),"""")"),"")</f>
        <v/>
      </c>
      <c r="U736" s="59" t="str">
        <f>IFERROR(__xludf.DUMMYFUNCTION("IFERROR((COUNTIF(FILTER(Data!N:N, Data!B:B=A736),""MIDDLE"")) / (COUNTIF(Data!B:B, A736)),"""")"),"")</f>
        <v/>
      </c>
      <c r="V736" s="59" t="str">
        <f>IFERROR(__xludf.DUMMYFUNCTION("IFERROR((COUNTIF(FILTER(Data!N:N, Data!B:B=A736),""HIGH"")) / (COUNTIF(Data!B:B, A736)),"""")"),"")</f>
        <v/>
      </c>
      <c r="W736" s="59" t="str">
        <f>IFERROR(__xludf.DUMMYFUNCTION("IFERROR((COUNTIF(FILTER(Data!N:N, Data!B:B=A736),""TRAVERSE"")) / (COUNTIF(Data!B:B, A736)),"""")"),"")</f>
        <v/>
      </c>
      <c r="X736" s="59"/>
      <c r="Y736" s="45" t="str">
        <f t="shared" si="7"/>
        <v/>
      </c>
      <c r="Z736" s="45" t="str">
        <f t="shared" si="8"/>
        <v/>
      </c>
      <c r="AA736" s="16" t="str">
        <f t="shared" si="9"/>
        <v/>
      </c>
      <c r="AB736" s="16"/>
      <c r="AC736" s="16"/>
      <c r="AD736" s="16"/>
      <c r="AE736" s="16" t="str">
        <f t="shared" si="12"/>
        <v/>
      </c>
      <c r="AF736" s="16" t="str">
        <f t="shared" si="13"/>
        <v/>
      </c>
      <c r="AG736" s="44"/>
      <c r="AH736" s="44"/>
      <c r="AI736" s="44" t="str">
        <f>IFERROR(__xludf.DUMMYFUNCTION("TEXTJOIN("", "",TRUE, FILTER(Data!P:P, Data!B:B=A736))"),"")</f>
        <v/>
      </c>
      <c r="AM736" s="61"/>
      <c r="BC736" s="50"/>
    </row>
    <row r="737">
      <c r="A737" s="14"/>
      <c r="B737" s="55" t="str">
        <f>IFERROR(__xludf.DUMMYFUNCTION("IFERROR(ROUND(
(COUNTIF(FILTER(Data!O:O, Data!B:B=A737), ""Win"")
+ COUNTIF(FILTER(Data!O:O, Data!B:B=A737), {""Tie"",""Results""}))
/ (COUNTIF(Data!B:B, A737)),
1),"""")"),"")</f>
        <v/>
      </c>
      <c r="C737" s="45" t="str">
        <f>IFERROR((SUMIF(Data!B:B, A737, Data!H:H)
/ (COUNTIF(Data!B:B, A737)
)),"")</f>
        <v/>
      </c>
      <c r="D737" s="45" t="str">
        <f>IFERROR((SUMIF(Data!B:B, A737, Data!G:G)
/ (COUNTIF(Data!B:B, A737)
)),"")</f>
        <v/>
      </c>
      <c r="E737" s="45"/>
      <c r="F737" s="45" t="str">
        <f>IFERROR((SUMIF(Data!B:B, A737, Data!J:J)
/ (COUNTIF(Data!B:B, A737)
)),"")</f>
        <v/>
      </c>
      <c r="G737" s="56" t="str">
        <f>IF(A737="","",IFERROR((((((SUMIF(Data!B:B, A737, Data!H:H)+(SUMIF(Data!B:B, A737,Data!G:G)))/(SUMIF(Data!B:B, A737, Data!J:J)))))),0))</f>
        <v/>
      </c>
      <c r="H737" s="45"/>
      <c r="I737" s="45"/>
      <c r="J737" s="45"/>
      <c r="K737" s="45"/>
      <c r="L737" s="45" t="str">
        <f>IFERROR((SUMIF(Data!B:B, A737, Data!L:L)
/ (COUNTIF(Data!B:B, A737)
)),"")</f>
        <v/>
      </c>
      <c r="M737" s="45" t="str">
        <f>IFERROR((SUMIF(Data!B:B, A737, Data!K:K)
/ (COUNTIF(Data!B:B, A737)
)),"")</f>
        <v/>
      </c>
      <c r="N737" s="56"/>
      <c r="O737" s="56" t="str">
        <f>IF(A737="","",IFERROR((((((SUMIF(Data!B:B, A737, Data!H:H)+(SUMIF(Data!B:B, A737,Data!G:G)+(SUMIF(Data!B:B, A737,Data!L:L)+(SUMIF(Data!B:B, A737,Data!K:K)))))/(SUMIF(Data!B:B, A737, Data!M:M)+(SUMIF(Data!B:B, A737, Data!H:H)+(SUMIF(Data!B:B, A737,Data!G:G)+(SUMIF(Data!B:B, A737,Data!K:K)+(SUMIF(Data!B:B, A737,Data!L:L)))))))))),0))</f>
        <v/>
      </c>
      <c r="P737" s="57" t="str">
        <f>IFERROR(__xludf.DUMMYFUNCTION("IFERROR(((COUNTIF(FILTER(Data!N:N,Data!B:B=A737),""TRAVERSE"")*15)+(COUNTIF(FILTER(Data!N:N,Data!B:B=A737),""HIGH"")*10)+(COUNTIF(FILTER(Data!N:N,Data!B:B=A737),""MIDDLE"")*6)+(COUNTIF(FILTER(Data!N:N,Data!B:B=A737),""LOW"")*4)) / (COUNTIF(Data!B:B, A737)"&amp;"),"""")"),"")</f>
        <v/>
      </c>
      <c r="Q737" s="58"/>
      <c r="R737" s="58"/>
      <c r="S737" s="58" t="str">
        <f>IFERROR(__xludf.DUMMYFUNCTION("IFERROR((((COUNTIF(FILTER(Data!N:N,Data!B:B=A737),""TRAVERSE""))+(COUNTIF(FILTER(Data!N:N,Data!B:B=A737),""HIGH""))+(COUNTIF(FILTER(Data!N:N,Data!B:B=A737),""MIDDLE""))+(COUNTIF(FILTER(Data!N:N,Data!B:B=A737),""LOW"")))) / (((COUNTIF(Data!B:B, A737)))-(CO"&amp;"UNTIF(FILTER(Data!N:N,Data!B:B=A737),""NONE""))),IF(ISBLANK(A737),"""",0))"),"")</f>
        <v/>
      </c>
      <c r="T737" s="56" t="str">
        <f>IFERROR(__xludf.DUMMYFUNCTION("IFERROR((COUNTIF(FILTER(Data!N:N, Data!B:B=A737),""LOW"")) / (COUNTIF(Data!B:B, A737)),"""")"),"")</f>
        <v/>
      </c>
      <c r="U737" s="59" t="str">
        <f>IFERROR(__xludf.DUMMYFUNCTION("IFERROR((COUNTIF(FILTER(Data!N:N, Data!B:B=A737),""MIDDLE"")) / (COUNTIF(Data!B:B, A737)),"""")"),"")</f>
        <v/>
      </c>
      <c r="V737" s="59" t="str">
        <f>IFERROR(__xludf.DUMMYFUNCTION("IFERROR((COUNTIF(FILTER(Data!N:N, Data!B:B=A737),""HIGH"")) / (COUNTIF(Data!B:B, A737)),"""")"),"")</f>
        <v/>
      </c>
      <c r="W737" s="59" t="str">
        <f>IFERROR(__xludf.DUMMYFUNCTION("IFERROR((COUNTIF(FILTER(Data!N:N, Data!B:B=A737),""TRAVERSE"")) / (COUNTIF(Data!B:B, A737)),"""")"),"")</f>
        <v/>
      </c>
      <c r="X737" s="59"/>
      <c r="Y737" s="45" t="str">
        <f t="shared" si="7"/>
        <v/>
      </c>
      <c r="Z737" s="45" t="str">
        <f t="shared" si="8"/>
        <v/>
      </c>
      <c r="AA737" s="16" t="str">
        <f t="shared" si="9"/>
        <v/>
      </c>
      <c r="AB737" s="16"/>
      <c r="AC737" s="16"/>
      <c r="AD737" s="16"/>
      <c r="AE737" s="16" t="str">
        <f t="shared" si="12"/>
        <v/>
      </c>
      <c r="AF737" s="16" t="str">
        <f t="shared" si="13"/>
        <v/>
      </c>
      <c r="AG737" s="44"/>
      <c r="AH737" s="44"/>
      <c r="AI737" s="44" t="str">
        <f>IFERROR(__xludf.DUMMYFUNCTION("TEXTJOIN("", "",TRUE, FILTER(Data!P:P, Data!B:B=A737))"),"")</f>
        <v/>
      </c>
      <c r="AM737" s="61"/>
      <c r="BC737" s="50"/>
    </row>
    <row r="738">
      <c r="A738" s="14"/>
      <c r="B738" s="55" t="str">
        <f>IFERROR(__xludf.DUMMYFUNCTION("IFERROR(ROUND(
(COUNTIF(FILTER(Data!O:O, Data!B:B=A738), ""Win"")
+ COUNTIF(FILTER(Data!O:O, Data!B:B=A738), {""Tie"",""Results""}))
/ (COUNTIF(Data!B:B, A738)),
1),"""")"),"")</f>
        <v/>
      </c>
      <c r="C738" s="45" t="str">
        <f>IFERROR((SUMIF(Data!B:B, A738, Data!H:H)
/ (COUNTIF(Data!B:B, A738)
)),"")</f>
        <v/>
      </c>
      <c r="D738" s="45" t="str">
        <f>IFERROR((SUMIF(Data!B:B, A738, Data!G:G)
/ (COUNTIF(Data!B:B, A738)
)),"")</f>
        <v/>
      </c>
      <c r="E738" s="45"/>
      <c r="F738" s="45" t="str">
        <f>IFERROR((SUMIF(Data!B:B, A738, Data!J:J)
/ (COUNTIF(Data!B:B, A738)
)),"")</f>
        <v/>
      </c>
      <c r="G738" s="56" t="str">
        <f>IF(A738="","",IFERROR((((((SUMIF(Data!B:B, A738, Data!H:H)+(SUMIF(Data!B:B, A738,Data!G:G)))/(SUMIF(Data!B:B, A738, Data!J:J)))))),0))</f>
        <v/>
      </c>
      <c r="H738" s="45"/>
      <c r="I738" s="45"/>
      <c r="J738" s="45"/>
      <c r="K738" s="45"/>
      <c r="L738" s="45" t="str">
        <f>IFERROR((SUMIF(Data!B:B, A738, Data!L:L)
/ (COUNTIF(Data!B:B, A738)
)),"")</f>
        <v/>
      </c>
      <c r="M738" s="45" t="str">
        <f>IFERROR((SUMIF(Data!B:B, A738, Data!K:K)
/ (COUNTIF(Data!B:B, A738)
)),"")</f>
        <v/>
      </c>
      <c r="N738" s="56"/>
      <c r="O738" s="56" t="str">
        <f>IF(A738="","",IFERROR((((((SUMIF(Data!B:B, A738, Data!H:H)+(SUMIF(Data!B:B, A738,Data!G:G)+(SUMIF(Data!B:B, A738,Data!L:L)+(SUMIF(Data!B:B, A738,Data!K:K)))))/(SUMIF(Data!B:B, A738, Data!M:M)+(SUMIF(Data!B:B, A738, Data!H:H)+(SUMIF(Data!B:B, A738,Data!G:G)+(SUMIF(Data!B:B, A738,Data!K:K)+(SUMIF(Data!B:B, A738,Data!L:L)))))))))),0))</f>
        <v/>
      </c>
      <c r="P738" s="57" t="str">
        <f>IFERROR(__xludf.DUMMYFUNCTION("IFERROR(((COUNTIF(FILTER(Data!N:N,Data!B:B=A738),""TRAVERSE"")*15)+(COUNTIF(FILTER(Data!N:N,Data!B:B=A738),""HIGH"")*10)+(COUNTIF(FILTER(Data!N:N,Data!B:B=A738),""MIDDLE"")*6)+(COUNTIF(FILTER(Data!N:N,Data!B:B=A738),""LOW"")*4)) / (COUNTIF(Data!B:B, A738)"&amp;"),"""")"),"")</f>
        <v/>
      </c>
      <c r="Q738" s="58"/>
      <c r="R738" s="58"/>
      <c r="S738" s="58" t="str">
        <f>IFERROR(__xludf.DUMMYFUNCTION("IFERROR((((COUNTIF(FILTER(Data!N:N,Data!B:B=A738),""TRAVERSE""))+(COUNTIF(FILTER(Data!N:N,Data!B:B=A738),""HIGH""))+(COUNTIF(FILTER(Data!N:N,Data!B:B=A738),""MIDDLE""))+(COUNTIF(FILTER(Data!N:N,Data!B:B=A738),""LOW"")))) / (((COUNTIF(Data!B:B, A738)))-(CO"&amp;"UNTIF(FILTER(Data!N:N,Data!B:B=A738),""NONE""))),IF(ISBLANK(A738),"""",0))"),"")</f>
        <v/>
      </c>
      <c r="T738" s="56" t="str">
        <f>IFERROR(__xludf.DUMMYFUNCTION("IFERROR((COUNTIF(FILTER(Data!N:N, Data!B:B=A738),""LOW"")) / (COUNTIF(Data!B:B, A738)),"""")"),"")</f>
        <v/>
      </c>
      <c r="U738" s="59" t="str">
        <f>IFERROR(__xludf.DUMMYFUNCTION("IFERROR((COUNTIF(FILTER(Data!N:N, Data!B:B=A738),""MIDDLE"")) / (COUNTIF(Data!B:B, A738)),"""")"),"")</f>
        <v/>
      </c>
      <c r="V738" s="59" t="str">
        <f>IFERROR(__xludf.DUMMYFUNCTION("IFERROR((COUNTIF(FILTER(Data!N:N, Data!B:B=A738),""HIGH"")) / (COUNTIF(Data!B:B, A738)),"""")"),"")</f>
        <v/>
      </c>
      <c r="W738" s="59" t="str">
        <f>IFERROR(__xludf.DUMMYFUNCTION("IFERROR((COUNTIF(FILTER(Data!N:N, Data!B:B=A738),""TRAVERSE"")) / (COUNTIF(Data!B:B, A738)),"""")"),"")</f>
        <v/>
      </c>
      <c r="X738" s="59"/>
      <c r="Y738" s="45" t="str">
        <f t="shared" si="7"/>
        <v/>
      </c>
      <c r="Z738" s="45" t="str">
        <f t="shared" si="8"/>
        <v/>
      </c>
      <c r="AA738" s="16" t="str">
        <f t="shared" si="9"/>
        <v/>
      </c>
      <c r="AB738" s="16"/>
      <c r="AC738" s="16"/>
      <c r="AD738" s="16"/>
      <c r="AE738" s="16" t="str">
        <f t="shared" si="12"/>
        <v/>
      </c>
      <c r="AF738" s="16" t="str">
        <f t="shared" si="13"/>
        <v/>
      </c>
      <c r="AG738" s="44"/>
      <c r="AH738" s="44"/>
      <c r="AI738" s="44" t="str">
        <f>IFERROR(__xludf.DUMMYFUNCTION("TEXTJOIN("", "",TRUE, FILTER(Data!P:P, Data!B:B=A738))"),"")</f>
        <v/>
      </c>
      <c r="AM738" s="61"/>
      <c r="BC738" s="50"/>
    </row>
    <row r="739">
      <c r="A739" s="14"/>
      <c r="B739" s="55" t="str">
        <f>IFERROR(__xludf.DUMMYFUNCTION("IFERROR(ROUND(
(COUNTIF(FILTER(Data!O:O, Data!B:B=A739), ""Win"")
+ COUNTIF(FILTER(Data!O:O, Data!B:B=A739), {""Tie"",""Results""}))
/ (COUNTIF(Data!B:B, A739)),
1),"""")"),"")</f>
        <v/>
      </c>
      <c r="C739" s="45" t="str">
        <f>IFERROR((SUMIF(Data!B:B, A739, Data!H:H)
/ (COUNTIF(Data!B:B, A739)
)),"")</f>
        <v/>
      </c>
      <c r="D739" s="45" t="str">
        <f>IFERROR((SUMIF(Data!B:B, A739, Data!G:G)
/ (COUNTIF(Data!B:B, A739)
)),"")</f>
        <v/>
      </c>
      <c r="E739" s="45"/>
      <c r="F739" s="45" t="str">
        <f>IFERROR((SUMIF(Data!B:B, A739, Data!J:J)
/ (COUNTIF(Data!B:B, A739)
)),"")</f>
        <v/>
      </c>
      <c r="G739" s="56" t="str">
        <f>IF(A739="","",IFERROR((((((SUMIF(Data!B:B, A739, Data!H:H)+(SUMIF(Data!B:B, A739,Data!G:G)))/(SUMIF(Data!B:B, A739, Data!J:J)))))),0))</f>
        <v/>
      </c>
      <c r="H739" s="45"/>
      <c r="I739" s="45"/>
      <c r="J739" s="45"/>
      <c r="K739" s="45"/>
      <c r="L739" s="45" t="str">
        <f>IFERROR((SUMIF(Data!B:B, A739, Data!L:L)
/ (COUNTIF(Data!B:B, A739)
)),"")</f>
        <v/>
      </c>
      <c r="M739" s="45" t="str">
        <f>IFERROR((SUMIF(Data!B:B, A739, Data!K:K)
/ (COUNTIF(Data!B:B, A739)
)),"")</f>
        <v/>
      </c>
      <c r="N739" s="56"/>
      <c r="O739" s="56" t="str">
        <f>IF(A739="","",IFERROR((((((SUMIF(Data!B:B, A739, Data!H:H)+(SUMIF(Data!B:B, A739,Data!G:G)+(SUMIF(Data!B:B, A739,Data!L:L)+(SUMIF(Data!B:B, A739,Data!K:K)))))/(SUMIF(Data!B:B, A739, Data!M:M)+(SUMIF(Data!B:B, A739, Data!H:H)+(SUMIF(Data!B:B, A739,Data!G:G)+(SUMIF(Data!B:B, A739,Data!K:K)+(SUMIF(Data!B:B, A739,Data!L:L)))))))))),0))</f>
        <v/>
      </c>
      <c r="P739" s="57" t="str">
        <f>IFERROR(__xludf.DUMMYFUNCTION("IFERROR(((COUNTIF(FILTER(Data!N:N,Data!B:B=A739),""TRAVERSE"")*15)+(COUNTIF(FILTER(Data!N:N,Data!B:B=A739),""HIGH"")*10)+(COUNTIF(FILTER(Data!N:N,Data!B:B=A739),""MIDDLE"")*6)+(COUNTIF(FILTER(Data!N:N,Data!B:B=A739),""LOW"")*4)) / (COUNTIF(Data!B:B, A739)"&amp;"),"""")"),"")</f>
        <v/>
      </c>
      <c r="Q739" s="58"/>
      <c r="R739" s="58"/>
      <c r="S739" s="58" t="str">
        <f>IFERROR(__xludf.DUMMYFUNCTION("IFERROR((((COUNTIF(FILTER(Data!N:N,Data!B:B=A739),""TRAVERSE""))+(COUNTIF(FILTER(Data!N:N,Data!B:B=A739),""HIGH""))+(COUNTIF(FILTER(Data!N:N,Data!B:B=A739),""MIDDLE""))+(COUNTIF(FILTER(Data!N:N,Data!B:B=A739),""LOW"")))) / (((COUNTIF(Data!B:B, A739)))-(CO"&amp;"UNTIF(FILTER(Data!N:N,Data!B:B=A739),""NONE""))),IF(ISBLANK(A739),"""",0))"),"")</f>
        <v/>
      </c>
      <c r="T739" s="56" t="str">
        <f>IFERROR(__xludf.DUMMYFUNCTION("IFERROR((COUNTIF(FILTER(Data!N:N, Data!B:B=A739),""LOW"")) / (COUNTIF(Data!B:B, A739)),"""")"),"")</f>
        <v/>
      </c>
      <c r="U739" s="59" t="str">
        <f>IFERROR(__xludf.DUMMYFUNCTION("IFERROR((COUNTIF(FILTER(Data!N:N, Data!B:B=A739),""MIDDLE"")) / (COUNTIF(Data!B:B, A739)),"""")"),"")</f>
        <v/>
      </c>
      <c r="V739" s="59" t="str">
        <f>IFERROR(__xludf.DUMMYFUNCTION("IFERROR((COUNTIF(FILTER(Data!N:N, Data!B:B=A739),""HIGH"")) / (COUNTIF(Data!B:B, A739)),"""")"),"")</f>
        <v/>
      </c>
      <c r="W739" s="59" t="str">
        <f>IFERROR(__xludf.DUMMYFUNCTION("IFERROR((COUNTIF(FILTER(Data!N:N, Data!B:B=A739),""TRAVERSE"")) / (COUNTIF(Data!B:B, A739)),"""")"),"")</f>
        <v/>
      </c>
      <c r="X739" s="59"/>
      <c r="Y739" s="45" t="str">
        <f t="shared" si="7"/>
        <v/>
      </c>
      <c r="Z739" s="45" t="str">
        <f t="shared" si="8"/>
        <v/>
      </c>
      <c r="AA739" s="16" t="str">
        <f t="shared" si="9"/>
        <v/>
      </c>
      <c r="AB739" s="16"/>
      <c r="AC739" s="16"/>
      <c r="AD739" s="16"/>
      <c r="AE739" s="16" t="str">
        <f t="shared" si="12"/>
        <v/>
      </c>
      <c r="AF739" s="16" t="str">
        <f t="shared" si="13"/>
        <v/>
      </c>
      <c r="AG739" s="44"/>
      <c r="AH739" s="44"/>
      <c r="AI739" s="44" t="str">
        <f>IFERROR(__xludf.DUMMYFUNCTION("TEXTJOIN("", "",TRUE, FILTER(Data!P:P, Data!B:B=A739))"),"")</f>
        <v/>
      </c>
      <c r="AM739" s="61"/>
      <c r="BC739" s="50"/>
    </row>
    <row r="740">
      <c r="A740" s="14"/>
      <c r="B740" s="55" t="str">
        <f>IFERROR(__xludf.DUMMYFUNCTION("IFERROR(ROUND(
(COUNTIF(FILTER(Data!O:O, Data!B:B=A740), ""Win"")
+ COUNTIF(FILTER(Data!O:O, Data!B:B=A740), {""Tie"",""Results""}))
/ (COUNTIF(Data!B:B, A740)),
1),"""")"),"")</f>
        <v/>
      </c>
      <c r="C740" s="45" t="str">
        <f>IFERROR((SUMIF(Data!B:B, A740, Data!H:H)
/ (COUNTIF(Data!B:B, A740)
)),"")</f>
        <v/>
      </c>
      <c r="D740" s="45" t="str">
        <f>IFERROR((SUMIF(Data!B:B, A740, Data!G:G)
/ (COUNTIF(Data!B:B, A740)
)),"")</f>
        <v/>
      </c>
      <c r="E740" s="45"/>
      <c r="F740" s="45" t="str">
        <f>IFERROR((SUMIF(Data!B:B, A740, Data!J:J)
/ (COUNTIF(Data!B:B, A740)
)),"")</f>
        <v/>
      </c>
      <c r="G740" s="56" t="str">
        <f>IF(A740="","",IFERROR((((((SUMIF(Data!B:B, A740, Data!H:H)+(SUMIF(Data!B:B, A740,Data!G:G)))/(SUMIF(Data!B:B, A740, Data!J:J)))))),0))</f>
        <v/>
      </c>
      <c r="H740" s="45"/>
      <c r="I740" s="45"/>
      <c r="J740" s="45"/>
      <c r="K740" s="45"/>
      <c r="L740" s="45" t="str">
        <f>IFERROR((SUMIF(Data!B:B, A740, Data!L:L)
/ (COUNTIF(Data!B:B, A740)
)),"")</f>
        <v/>
      </c>
      <c r="M740" s="45" t="str">
        <f>IFERROR((SUMIF(Data!B:B, A740, Data!K:K)
/ (COUNTIF(Data!B:B, A740)
)),"")</f>
        <v/>
      </c>
      <c r="N740" s="56"/>
      <c r="O740" s="56" t="str">
        <f>IF(A740="","",IFERROR((((((SUMIF(Data!B:B, A740, Data!H:H)+(SUMIF(Data!B:B, A740,Data!G:G)+(SUMIF(Data!B:B, A740,Data!L:L)+(SUMIF(Data!B:B, A740,Data!K:K)))))/(SUMIF(Data!B:B, A740, Data!M:M)+(SUMIF(Data!B:B, A740, Data!H:H)+(SUMIF(Data!B:B, A740,Data!G:G)+(SUMIF(Data!B:B, A740,Data!K:K)+(SUMIF(Data!B:B, A740,Data!L:L)))))))))),0))</f>
        <v/>
      </c>
      <c r="P740" s="57" t="str">
        <f>IFERROR(__xludf.DUMMYFUNCTION("IFERROR(((COUNTIF(FILTER(Data!N:N,Data!B:B=A740),""TRAVERSE"")*15)+(COUNTIF(FILTER(Data!N:N,Data!B:B=A740),""HIGH"")*10)+(COUNTIF(FILTER(Data!N:N,Data!B:B=A740),""MIDDLE"")*6)+(COUNTIF(FILTER(Data!N:N,Data!B:B=A740),""LOW"")*4)) / (COUNTIF(Data!B:B, A740)"&amp;"),"""")"),"")</f>
        <v/>
      </c>
      <c r="Q740" s="58"/>
      <c r="R740" s="58"/>
      <c r="S740" s="58" t="str">
        <f>IFERROR(__xludf.DUMMYFUNCTION("IFERROR((((COUNTIF(FILTER(Data!N:N,Data!B:B=A740),""TRAVERSE""))+(COUNTIF(FILTER(Data!N:N,Data!B:B=A740),""HIGH""))+(COUNTIF(FILTER(Data!N:N,Data!B:B=A740),""MIDDLE""))+(COUNTIF(FILTER(Data!N:N,Data!B:B=A740),""LOW"")))) / (((COUNTIF(Data!B:B, A740)))-(CO"&amp;"UNTIF(FILTER(Data!N:N,Data!B:B=A740),""NONE""))),IF(ISBLANK(A740),"""",0))"),"")</f>
        <v/>
      </c>
      <c r="T740" s="56" t="str">
        <f>IFERROR(__xludf.DUMMYFUNCTION("IFERROR((COUNTIF(FILTER(Data!N:N, Data!B:B=A740),""LOW"")) / (COUNTIF(Data!B:B, A740)),"""")"),"")</f>
        <v/>
      </c>
      <c r="U740" s="59" t="str">
        <f>IFERROR(__xludf.DUMMYFUNCTION("IFERROR((COUNTIF(FILTER(Data!N:N, Data!B:B=A740),""MIDDLE"")) / (COUNTIF(Data!B:B, A740)),"""")"),"")</f>
        <v/>
      </c>
      <c r="V740" s="59" t="str">
        <f>IFERROR(__xludf.DUMMYFUNCTION("IFERROR((COUNTIF(FILTER(Data!N:N, Data!B:B=A740),""HIGH"")) / (COUNTIF(Data!B:B, A740)),"""")"),"")</f>
        <v/>
      </c>
      <c r="W740" s="59" t="str">
        <f>IFERROR(__xludf.DUMMYFUNCTION("IFERROR((COUNTIF(FILTER(Data!N:N, Data!B:B=A740),""TRAVERSE"")) / (COUNTIF(Data!B:B, A740)),"""")"),"")</f>
        <v/>
      </c>
      <c r="X740" s="59"/>
      <c r="Y740" s="45" t="str">
        <f t="shared" si="7"/>
        <v/>
      </c>
      <c r="Z740" s="45" t="str">
        <f t="shared" si="8"/>
        <v/>
      </c>
      <c r="AA740" s="16" t="str">
        <f t="shared" si="9"/>
        <v/>
      </c>
      <c r="AB740" s="16"/>
      <c r="AC740" s="16"/>
      <c r="AD740" s="16"/>
      <c r="AE740" s="16" t="str">
        <f t="shared" si="12"/>
        <v/>
      </c>
      <c r="AF740" s="16" t="str">
        <f t="shared" si="13"/>
        <v/>
      </c>
      <c r="AG740" s="44"/>
      <c r="AH740" s="44"/>
      <c r="AI740" s="44" t="str">
        <f>IFERROR(__xludf.DUMMYFUNCTION("TEXTJOIN("", "",TRUE, FILTER(Data!P:P, Data!B:B=A740))"),"")</f>
        <v/>
      </c>
      <c r="AM740" s="61"/>
      <c r="BC740" s="50"/>
    </row>
    <row r="741">
      <c r="A741" s="14"/>
      <c r="B741" s="55" t="str">
        <f>IFERROR(__xludf.DUMMYFUNCTION("IFERROR(ROUND(
(COUNTIF(FILTER(Data!O:O, Data!B:B=A741), ""Win"")
+ COUNTIF(FILTER(Data!O:O, Data!B:B=A741), {""Tie"",""Results""}))
/ (COUNTIF(Data!B:B, A741)),
1),"""")"),"")</f>
        <v/>
      </c>
      <c r="C741" s="45" t="str">
        <f>IFERROR((SUMIF(Data!B:B, A741, Data!H:H)
/ (COUNTIF(Data!B:B, A741)
)),"")</f>
        <v/>
      </c>
      <c r="D741" s="45" t="str">
        <f>IFERROR((SUMIF(Data!B:B, A741, Data!G:G)
/ (COUNTIF(Data!B:B, A741)
)),"")</f>
        <v/>
      </c>
      <c r="E741" s="45"/>
      <c r="F741" s="45" t="str">
        <f>IFERROR((SUMIF(Data!B:B, A741, Data!J:J)
/ (COUNTIF(Data!B:B, A741)
)),"")</f>
        <v/>
      </c>
      <c r="G741" s="56" t="str">
        <f>IF(A741="","",IFERROR((((((SUMIF(Data!B:B, A741, Data!H:H)+(SUMIF(Data!B:B, A741,Data!G:G)))/(SUMIF(Data!B:B, A741, Data!J:J)))))),0))</f>
        <v/>
      </c>
      <c r="H741" s="45"/>
      <c r="I741" s="45"/>
      <c r="J741" s="45"/>
      <c r="K741" s="45"/>
      <c r="L741" s="45" t="str">
        <f>IFERROR((SUMIF(Data!B:B, A741, Data!L:L)
/ (COUNTIF(Data!B:B, A741)
)),"")</f>
        <v/>
      </c>
      <c r="M741" s="45" t="str">
        <f>IFERROR((SUMIF(Data!B:B, A741, Data!K:K)
/ (COUNTIF(Data!B:B, A741)
)),"")</f>
        <v/>
      </c>
      <c r="N741" s="56"/>
      <c r="O741" s="56" t="str">
        <f>IF(A741="","",IFERROR((((((SUMIF(Data!B:B, A741, Data!H:H)+(SUMIF(Data!B:B, A741,Data!G:G)+(SUMIF(Data!B:B, A741,Data!L:L)+(SUMIF(Data!B:B, A741,Data!K:K)))))/(SUMIF(Data!B:B, A741, Data!M:M)+(SUMIF(Data!B:B, A741, Data!H:H)+(SUMIF(Data!B:B, A741,Data!G:G)+(SUMIF(Data!B:B, A741,Data!K:K)+(SUMIF(Data!B:B, A741,Data!L:L)))))))))),0))</f>
        <v/>
      </c>
      <c r="P741" s="57" t="str">
        <f>IFERROR(__xludf.DUMMYFUNCTION("IFERROR(((COUNTIF(FILTER(Data!N:N,Data!B:B=A741),""TRAVERSE"")*15)+(COUNTIF(FILTER(Data!N:N,Data!B:B=A741),""HIGH"")*10)+(COUNTIF(FILTER(Data!N:N,Data!B:B=A741),""MIDDLE"")*6)+(COUNTIF(FILTER(Data!N:N,Data!B:B=A741),""LOW"")*4)) / (COUNTIF(Data!B:B, A741)"&amp;"),"""")"),"")</f>
        <v/>
      </c>
      <c r="Q741" s="58"/>
      <c r="R741" s="58"/>
      <c r="S741" s="58" t="str">
        <f>IFERROR(__xludf.DUMMYFUNCTION("IFERROR((((COUNTIF(FILTER(Data!N:N,Data!B:B=A741),""TRAVERSE""))+(COUNTIF(FILTER(Data!N:N,Data!B:B=A741),""HIGH""))+(COUNTIF(FILTER(Data!N:N,Data!B:B=A741),""MIDDLE""))+(COUNTIF(FILTER(Data!N:N,Data!B:B=A741),""LOW"")))) / (((COUNTIF(Data!B:B, A741)))-(CO"&amp;"UNTIF(FILTER(Data!N:N,Data!B:B=A741),""NONE""))),IF(ISBLANK(A741),"""",0))"),"")</f>
        <v/>
      </c>
      <c r="T741" s="56" t="str">
        <f>IFERROR(__xludf.DUMMYFUNCTION("IFERROR((COUNTIF(FILTER(Data!N:N, Data!B:B=A741),""LOW"")) / (COUNTIF(Data!B:B, A741)),"""")"),"")</f>
        <v/>
      </c>
      <c r="U741" s="59" t="str">
        <f>IFERROR(__xludf.DUMMYFUNCTION("IFERROR((COUNTIF(FILTER(Data!N:N, Data!B:B=A741),""MIDDLE"")) / (COUNTIF(Data!B:B, A741)),"""")"),"")</f>
        <v/>
      </c>
      <c r="V741" s="59" t="str">
        <f>IFERROR(__xludf.DUMMYFUNCTION("IFERROR((COUNTIF(FILTER(Data!N:N, Data!B:B=A741),""HIGH"")) / (COUNTIF(Data!B:B, A741)),"""")"),"")</f>
        <v/>
      </c>
      <c r="W741" s="59" t="str">
        <f>IFERROR(__xludf.DUMMYFUNCTION("IFERROR((COUNTIF(FILTER(Data!N:N, Data!B:B=A741),""TRAVERSE"")) / (COUNTIF(Data!B:B, A741)),"""")"),"")</f>
        <v/>
      </c>
      <c r="X741" s="59"/>
      <c r="Y741" s="45" t="str">
        <f t="shared" si="7"/>
        <v/>
      </c>
      <c r="Z741" s="45" t="str">
        <f t="shared" si="8"/>
        <v/>
      </c>
      <c r="AA741" s="16" t="str">
        <f t="shared" si="9"/>
        <v/>
      </c>
      <c r="AB741" s="16"/>
      <c r="AC741" s="16"/>
      <c r="AD741" s="16"/>
      <c r="AE741" s="16" t="str">
        <f t="shared" si="12"/>
        <v/>
      </c>
      <c r="AF741" s="16" t="str">
        <f t="shared" si="13"/>
        <v/>
      </c>
      <c r="AG741" s="44"/>
      <c r="AH741" s="44"/>
      <c r="AI741" s="44" t="str">
        <f>IFERROR(__xludf.DUMMYFUNCTION("TEXTJOIN("", "",TRUE, FILTER(Data!P:P, Data!B:B=A741))"),"")</f>
        <v/>
      </c>
      <c r="AM741" s="61"/>
      <c r="BC741" s="50"/>
    </row>
    <row r="742">
      <c r="A742" s="14"/>
      <c r="B742" s="55" t="str">
        <f>IFERROR(__xludf.DUMMYFUNCTION("IFERROR(ROUND(
(COUNTIF(FILTER(Data!O:O, Data!B:B=A742), ""Win"")
+ COUNTIF(FILTER(Data!O:O, Data!B:B=A742), {""Tie"",""Results""}))
/ (COUNTIF(Data!B:B, A742)),
1),"""")"),"")</f>
        <v/>
      </c>
      <c r="C742" s="45" t="str">
        <f>IFERROR((SUMIF(Data!B:B, A742, Data!H:H)
/ (COUNTIF(Data!B:B, A742)
)),"")</f>
        <v/>
      </c>
      <c r="D742" s="45" t="str">
        <f>IFERROR((SUMIF(Data!B:B, A742, Data!G:G)
/ (COUNTIF(Data!B:B, A742)
)),"")</f>
        <v/>
      </c>
      <c r="E742" s="45"/>
      <c r="F742" s="45" t="str">
        <f>IFERROR((SUMIF(Data!B:B, A742, Data!J:J)
/ (COUNTIF(Data!B:B, A742)
)),"")</f>
        <v/>
      </c>
      <c r="G742" s="56" t="str">
        <f>IF(A742="","",IFERROR((((((SUMIF(Data!B:B, A742, Data!H:H)+(SUMIF(Data!B:B, A742,Data!G:G)))/(SUMIF(Data!B:B, A742, Data!J:J)))))),0))</f>
        <v/>
      </c>
      <c r="H742" s="45"/>
      <c r="I742" s="45"/>
      <c r="J742" s="45"/>
      <c r="K742" s="45"/>
      <c r="L742" s="45" t="str">
        <f>IFERROR((SUMIF(Data!B:B, A742, Data!L:L)
/ (COUNTIF(Data!B:B, A742)
)),"")</f>
        <v/>
      </c>
      <c r="M742" s="45" t="str">
        <f>IFERROR((SUMIF(Data!B:B, A742, Data!K:K)
/ (COUNTIF(Data!B:B, A742)
)),"")</f>
        <v/>
      </c>
      <c r="N742" s="56"/>
      <c r="O742" s="56" t="str">
        <f>IF(A742="","",IFERROR((((((SUMIF(Data!B:B, A742, Data!H:H)+(SUMIF(Data!B:B, A742,Data!G:G)+(SUMIF(Data!B:B, A742,Data!L:L)+(SUMIF(Data!B:B, A742,Data!K:K)))))/(SUMIF(Data!B:B, A742, Data!M:M)+(SUMIF(Data!B:B, A742, Data!H:H)+(SUMIF(Data!B:B, A742,Data!G:G)+(SUMIF(Data!B:B, A742,Data!K:K)+(SUMIF(Data!B:B, A742,Data!L:L)))))))))),0))</f>
        <v/>
      </c>
      <c r="P742" s="57" t="str">
        <f>IFERROR(__xludf.DUMMYFUNCTION("IFERROR(((COUNTIF(FILTER(Data!N:N,Data!B:B=A742),""TRAVERSE"")*15)+(COUNTIF(FILTER(Data!N:N,Data!B:B=A742),""HIGH"")*10)+(COUNTIF(FILTER(Data!N:N,Data!B:B=A742),""MIDDLE"")*6)+(COUNTIF(FILTER(Data!N:N,Data!B:B=A742),""LOW"")*4)) / (COUNTIF(Data!B:B, A742)"&amp;"),"""")"),"")</f>
        <v/>
      </c>
      <c r="Q742" s="58"/>
      <c r="R742" s="58"/>
      <c r="S742" s="58" t="str">
        <f>IFERROR(__xludf.DUMMYFUNCTION("IFERROR((((COUNTIF(FILTER(Data!N:N,Data!B:B=A742),""TRAVERSE""))+(COUNTIF(FILTER(Data!N:N,Data!B:B=A742),""HIGH""))+(COUNTIF(FILTER(Data!N:N,Data!B:B=A742),""MIDDLE""))+(COUNTIF(FILTER(Data!N:N,Data!B:B=A742),""LOW"")))) / (((COUNTIF(Data!B:B, A742)))-(CO"&amp;"UNTIF(FILTER(Data!N:N,Data!B:B=A742),""NONE""))),IF(ISBLANK(A742),"""",0))"),"")</f>
        <v/>
      </c>
      <c r="T742" s="56" t="str">
        <f>IFERROR(__xludf.DUMMYFUNCTION("IFERROR((COUNTIF(FILTER(Data!N:N, Data!B:B=A742),""LOW"")) / (COUNTIF(Data!B:B, A742)),"""")"),"")</f>
        <v/>
      </c>
      <c r="U742" s="59" t="str">
        <f>IFERROR(__xludf.DUMMYFUNCTION("IFERROR((COUNTIF(FILTER(Data!N:N, Data!B:B=A742),""MIDDLE"")) / (COUNTIF(Data!B:B, A742)),"""")"),"")</f>
        <v/>
      </c>
      <c r="V742" s="59" t="str">
        <f>IFERROR(__xludf.DUMMYFUNCTION("IFERROR((COUNTIF(FILTER(Data!N:N, Data!B:B=A742),""HIGH"")) / (COUNTIF(Data!B:B, A742)),"""")"),"")</f>
        <v/>
      </c>
      <c r="W742" s="59" t="str">
        <f>IFERROR(__xludf.DUMMYFUNCTION("IFERROR((COUNTIF(FILTER(Data!N:N, Data!B:B=A742),""TRAVERSE"")) / (COUNTIF(Data!B:B, A742)),"""")"),"")</f>
        <v/>
      </c>
      <c r="X742" s="59"/>
      <c r="Y742" s="45" t="str">
        <f t="shared" si="7"/>
        <v/>
      </c>
      <c r="Z742" s="45" t="str">
        <f t="shared" si="8"/>
        <v/>
      </c>
      <c r="AA742" s="16" t="str">
        <f t="shared" si="9"/>
        <v/>
      </c>
      <c r="AB742" s="16"/>
      <c r="AC742" s="16"/>
      <c r="AD742" s="16"/>
      <c r="AE742" s="16" t="str">
        <f t="shared" si="12"/>
        <v/>
      </c>
      <c r="AF742" s="16" t="str">
        <f t="shared" si="13"/>
        <v/>
      </c>
      <c r="AG742" s="44"/>
      <c r="AH742" s="44"/>
      <c r="AI742" s="44" t="str">
        <f>IFERROR(__xludf.DUMMYFUNCTION("TEXTJOIN("", "",TRUE, FILTER(Data!P:P, Data!B:B=A742))"),"")</f>
        <v/>
      </c>
      <c r="AM742" s="61"/>
      <c r="BC742" s="50"/>
    </row>
    <row r="743">
      <c r="A743" s="14"/>
      <c r="B743" s="55" t="str">
        <f>IFERROR(__xludf.DUMMYFUNCTION("IFERROR(ROUND(
(COUNTIF(FILTER(Data!O:O, Data!B:B=A743), ""Win"")
+ COUNTIF(FILTER(Data!O:O, Data!B:B=A743), {""Tie"",""Results""}))
/ (COUNTIF(Data!B:B, A743)),
1),"""")"),"")</f>
        <v/>
      </c>
      <c r="C743" s="45" t="str">
        <f>IFERROR((SUMIF(Data!B:B, A743, Data!H:H)
/ (COUNTIF(Data!B:B, A743)
)),"")</f>
        <v/>
      </c>
      <c r="D743" s="45" t="str">
        <f>IFERROR((SUMIF(Data!B:B, A743, Data!G:G)
/ (COUNTIF(Data!B:B, A743)
)),"")</f>
        <v/>
      </c>
      <c r="E743" s="45"/>
      <c r="F743" s="45" t="str">
        <f>IFERROR((SUMIF(Data!B:B, A743, Data!J:J)
/ (COUNTIF(Data!B:B, A743)
)),"")</f>
        <v/>
      </c>
      <c r="G743" s="56" t="str">
        <f>IF(A743="","",IFERROR((((((SUMIF(Data!B:B, A743, Data!H:H)+(SUMIF(Data!B:B, A743,Data!G:G)))/(SUMIF(Data!B:B, A743, Data!J:J)))))),0))</f>
        <v/>
      </c>
      <c r="H743" s="45"/>
      <c r="I743" s="45"/>
      <c r="J743" s="45"/>
      <c r="K743" s="45"/>
      <c r="L743" s="45" t="str">
        <f>IFERROR((SUMIF(Data!B:B, A743, Data!L:L)
/ (COUNTIF(Data!B:B, A743)
)),"")</f>
        <v/>
      </c>
      <c r="M743" s="45" t="str">
        <f>IFERROR((SUMIF(Data!B:B, A743, Data!K:K)
/ (COUNTIF(Data!B:B, A743)
)),"")</f>
        <v/>
      </c>
      <c r="N743" s="56"/>
      <c r="O743" s="56" t="str">
        <f>IF(A743="","",IFERROR((((((SUMIF(Data!B:B, A743, Data!H:H)+(SUMIF(Data!B:B, A743,Data!G:G)+(SUMIF(Data!B:B, A743,Data!L:L)+(SUMIF(Data!B:B, A743,Data!K:K)))))/(SUMIF(Data!B:B, A743, Data!M:M)+(SUMIF(Data!B:B, A743, Data!H:H)+(SUMIF(Data!B:B, A743,Data!G:G)+(SUMIF(Data!B:B, A743,Data!K:K)+(SUMIF(Data!B:B, A743,Data!L:L)))))))))),0))</f>
        <v/>
      </c>
      <c r="P743" s="57" t="str">
        <f>IFERROR(__xludf.DUMMYFUNCTION("IFERROR(((COUNTIF(FILTER(Data!N:N,Data!B:B=A743),""TRAVERSE"")*15)+(COUNTIF(FILTER(Data!N:N,Data!B:B=A743),""HIGH"")*10)+(COUNTIF(FILTER(Data!N:N,Data!B:B=A743),""MIDDLE"")*6)+(COUNTIF(FILTER(Data!N:N,Data!B:B=A743),""LOW"")*4)) / (COUNTIF(Data!B:B, A743)"&amp;"),"""")"),"")</f>
        <v/>
      </c>
      <c r="Q743" s="58"/>
      <c r="R743" s="58"/>
      <c r="S743" s="58" t="str">
        <f>IFERROR(__xludf.DUMMYFUNCTION("IFERROR((((COUNTIF(FILTER(Data!N:N,Data!B:B=A743),""TRAVERSE""))+(COUNTIF(FILTER(Data!N:N,Data!B:B=A743),""HIGH""))+(COUNTIF(FILTER(Data!N:N,Data!B:B=A743),""MIDDLE""))+(COUNTIF(FILTER(Data!N:N,Data!B:B=A743),""LOW"")))) / (((COUNTIF(Data!B:B, A743)))-(CO"&amp;"UNTIF(FILTER(Data!N:N,Data!B:B=A743),""NONE""))),IF(ISBLANK(A743),"""",0))"),"")</f>
        <v/>
      </c>
      <c r="T743" s="56" t="str">
        <f>IFERROR(__xludf.DUMMYFUNCTION("IFERROR((COUNTIF(FILTER(Data!N:N, Data!B:B=A743),""LOW"")) / (COUNTIF(Data!B:B, A743)),"""")"),"")</f>
        <v/>
      </c>
      <c r="U743" s="59" t="str">
        <f>IFERROR(__xludf.DUMMYFUNCTION("IFERROR((COUNTIF(FILTER(Data!N:N, Data!B:B=A743),""MIDDLE"")) / (COUNTIF(Data!B:B, A743)),"""")"),"")</f>
        <v/>
      </c>
      <c r="V743" s="59" t="str">
        <f>IFERROR(__xludf.DUMMYFUNCTION("IFERROR((COUNTIF(FILTER(Data!N:N, Data!B:B=A743),""HIGH"")) / (COUNTIF(Data!B:B, A743)),"""")"),"")</f>
        <v/>
      </c>
      <c r="W743" s="59" t="str">
        <f>IFERROR(__xludf.DUMMYFUNCTION("IFERROR((COUNTIF(FILTER(Data!N:N, Data!B:B=A743),""TRAVERSE"")) / (COUNTIF(Data!B:B, A743)),"""")"),"")</f>
        <v/>
      </c>
      <c r="X743" s="59"/>
      <c r="Y743" s="45" t="str">
        <f t="shared" si="7"/>
        <v/>
      </c>
      <c r="Z743" s="45" t="str">
        <f t="shared" si="8"/>
        <v/>
      </c>
      <c r="AA743" s="16" t="str">
        <f t="shared" si="9"/>
        <v/>
      </c>
      <c r="AB743" s="16"/>
      <c r="AC743" s="16"/>
      <c r="AD743" s="16"/>
      <c r="AE743" s="16" t="str">
        <f t="shared" si="12"/>
        <v/>
      </c>
      <c r="AF743" s="16" t="str">
        <f t="shared" si="13"/>
        <v/>
      </c>
      <c r="AG743" s="44"/>
      <c r="AH743" s="44"/>
      <c r="AI743" s="44" t="str">
        <f>IFERROR(__xludf.DUMMYFUNCTION("TEXTJOIN("", "",TRUE, FILTER(Data!P:P, Data!B:B=A743))"),"")</f>
        <v/>
      </c>
      <c r="AM743" s="61"/>
      <c r="BC743" s="50"/>
    </row>
    <row r="744">
      <c r="A744" s="14"/>
      <c r="B744" s="55" t="str">
        <f>IFERROR(__xludf.DUMMYFUNCTION("IFERROR(ROUND(
(COUNTIF(FILTER(Data!O:O, Data!B:B=A744), ""Win"")
+ COUNTIF(FILTER(Data!O:O, Data!B:B=A744), {""Tie"",""Results""}))
/ (COUNTIF(Data!B:B, A744)),
1),"""")"),"")</f>
        <v/>
      </c>
      <c r="C744" s="45" t="str">
        <f>IFERROR((SUMIF(Data!B:B, A744, Data!H:H)
/ (COUNTIF(Data!B:B, A744)
)),"")</f>
        <v/>
      </c>
      <c r="D744" s="45" t="str">
        <f>IFERROR((SUMIF(Data!B:B, A744, Data!G:G)
/ (COUNTIF(Data!B:B, A744)
)),"")</f>
        <v/>
      </c>
      <c r="E744" s="45"/>
      <c r="F744" s="45" t="str">
        <f>IFERROR((SUMIF(Data!B:B, A744, Data!J:J)
/ (COUNTIF(Data!B:B, A744)
)),"")</f>
        <v/>
      </c>
      <c r="G744" s="56" t="str">
        <f>IF(A744="","",IFERROR((((((SUMIF(Data!B:B, A744, Data!H:H)+(SUMIF(Data!B:B, A744,Data!G:G)))/(SUMIF(Data!B:B, A744, Data!J:J)))))),0))</f>
        <v/>
      </c>
      <c r="H744" s="45"/>
      <c r="I744" s="45"/>
      <c r="J744" s="45"/>
      <c r="K744" s="45"/>
      <c r="L744" s="45" t="str">
        <f>IFERROR((SUMIF(Data!B:B, A744, Data!L:L)
/ (COUNTIF(Data!B:B, A744)
)),"")</f>
        <v/>
      </c>
      <c r="M744" s="45" t="str">
        <f>IFERROR((SUMIF(Data!B:B, A744, Data!K:K)
/ (COUNTIF(Data!B:B, A744)
)),"")</f>
        <v/>
      </c>
      <c r="N744" s="56"/>
      <c r="O744" s="56" t="str">
        <f>IF(A744="","",IFERROR((((((SUMIF(Data!B:B, A744, Data!H:H)+(SUMIF(Data!B:B, A744,Data!G:G)+(SUMIF(Data!B:B, A744,Data!L:L)+(SUMIF(Data!B:B, A744,Data!K:K)))))/(SUMIF(Data!B:B, A744, Data!M:M)+(SUMIF(Data!B:B, A744, Data!H:H)+(SUMIF(Data!B:B, A744,Data!G:G)+(SUMIF(Data!B:B, A744,Data!K:K)+(SUMIF(Data!B:B, A744,Data!L:L)))))))))),0))</f>
        <v/>
      </c>
      <c r="P744" s="57" t="str">
        <f>IFERROR(__xludf.DUMMYFUNCTION("IFERROR(((COUNTIF(FILTER(Data!N:N,Data!B:B=A744),""TRAVERSE"")*15)+(COUNTIF(FILTER(Data!N:N,Data!B:B=A744),""HIGH"")*10)+(COUNTIF(FILTER(Data!N:N,Data!B:B=A744),""MIDDLE"")*6)+(COUNTIF(FILTER(Data!N:N,Data!B:B=A744),""LOW"")*4)) / (COUNTIF(Data!B:B, A744)"&amp;"),"""")"),"")</f>
        <v/>
      </c>
      <c r="Q744" s="58"/>
      <c r="R744" s="58"/>
      <c r="S744" s="58" t="str">
        <f>IFERROR(__xludf.DUMMYFUNCTION("IFERROR((((COUNTIF(FILTER(Data!N:N,Data!B:B=A744),""TRAVERSE""))+(COUNTIF(FILTER(Data!N:N,Data!B:B=A744),""HIGH""))+(COUNTIF(FILTER(Data!N:N,Data!B:B=A744),""MIDDLE""))+(COUNTIF(FILTER(Data!N:N,Data!B:B=A744),""LOW"")))) / (((COUNTIF(Data!B:B, A744)))-(CO"&amp;"UNTIF(FILTER(Data!N:N,Data!B:B=A744),""NONE""))),IF(ISBLANK(A744),"""",0))"),"")</f>
        <v/>
      </c>
      <c r="T744" s="56" t="str">
        <f>IFERROR(__xludf.DUMMYFUNCTION("IFERROR((COUNTIF(FILTER(Data!N:N, Data!B:B=A744),""LOW"")) / (COUNTIF(Data!B:B, A744)),"""")"),"")</f>
        <v/>
      </c>
      <c r="U744" s="59" t="str">
        <f>IFERROR(__xludf.DUMMYFUNCTION("IFERROR((COUNTIF(FILTER(Data!N:N, Data!B:B=A744),""MIDDLE"")) / (COUNTIF(Data!B:B, A744)),"""")"),"")</f>
        <v/>
      </c>
      <c r="V744" s="59" t="str">
        <f>IFERROR(__xludf.DUMMYFUNCTION("IFERROR((COUNTIF(FILTER(Data!N:N, Data!B:B=A744),""HIGH"")) / (COUNTIF(Data!B:B, A744)),"""")"),"")</f>
        <v/>
      </c>
      <c r="W744" s="59" t="str">
        <f>IFERROR(__xludf.DUMMYFUNCTION("IFERROR((COUNTIF(FILTER(Data!N:N, Data!B:B=A744),""TRAVERSE"")) / (COUNTIF(Data!B:B, A744)),"""")"),"")</f>
        <v/>
      </c>
      <c r="X744" s="59"/>
      <c r="Y744" s="45" t="str">
        <f t="shared" si="7"/>
        <v/>
      </c>
      <c r="Z744" s="45" t="str">
        <f t="shared" si="8"/>
        <v/>
      </c>
      <c r="AA744" s="16" t="str">
        <f t="shared" si="9"/>
        <v/>
      </c>
      <c r="AB744" s="16"/>
      <c r="AC744" s="16"/>
      <c r="AD744" s="16"/>
      <c r="AE744" s="16" t="str">
        <f t="shared" si="12"/>
        <v/>
      </c>
      <c r="AF744" s="16" t="str">
        <f t="shared" si="13"/>
        <v/>
      </c>
      <c r="AG744" s="44"/>
      <c r="AH744" s="44"/>
      <c r="AI744" s="44" t="str">
        <f>IFERROR(__xludf.DUMMYFUNCTION("TEXTJOIN("", "",TRUE, FILTER(Data!P:P, Data!B:B=A744))"),"")</f>
        <v/>
      </c>
      <c r="AM744" s="61"/>
      <c r="BC744" s="50"/>
    </row>
    <row r="745">
      <c r="A745" s="14"/>
      <c r="B745" s="55" t="str">
        <f>IFERROR(__xludf.DUMMYFUNCTION("IFERROR(ROUND(
(COUNTIF(FILTER(Data!O:O, Data!B:B=A745), ""Win"")
+ COUNTIF(FILTER(Data!O:O, Data!B:B=A745), {""Tie"",""Results""}))
/ (COUNTIF(Data!B:B, A745)),
1),"""")"),"")</f>
        <v/>
      </c>
      <c r="C745" s="45" t="str">
        <f>IFERROR((SUMIF(Data!B:B, A745, Data!H:H)
/ (COUNTIF(Data!B:B, A745)
)),"")</f>
        <v/>
      </c>
      <c r="D745" s="45" t="str">
        <f>IFERROR((SUMIF(Data!B:B, A745, Data!G:G)
/ (COUNTIF(Data!B:B, A745)
)),"")</f>
        <v/>
      </c>
      <c r="E745" s="45"/>
      <c r="F745" s="45" t="str">
        <f>IFERROR((SUMIF(Data!B:B, A745, Data!J:J)
/ (COUNTIF(Data!B:B, A745)
)),"")</f>
        <v/>
      </c>
      <c r="G745" s="56" t="str">
        <f>IF(A745="","",IFERROR((((((SUMIF(Data!B:B, A745, Data!H:H)+(SUMIF(Data!B:B, A745,Data!G:G)))/(SUMIF(Data!B:B, A745, Data!J:J)))))),0))</f>
        <v/>
      </c>
      <c r="H745" s="45"/>
      <c r="I745" s="45"/>
      <c r="J745" s="45"/>
      <c r="K745" s="45"/>
      <c r="L745" s="45" t="str">
        <f>IFERROR((SUMIF(Data!B:B, A745, Data!L:L)
/ (COUNTIF(Data!B:B, A745)
)),"")</f>
        <v/>
      </c>
      <c r="M745" s="45" t="str">
        <f>IFERROR((SUMIF(Data!B:B, A745, Data!K:K)
/ (COUNTIF(Data!B:B, A745)
)),"")</f>
        <v/>
      </c>
      <c r="N745" s="56"/>
      <c r="O745" s="56" t="str">
        <f>IF(A745="","",IFERROR((((((SUMIF(Data!B:B, A745, Data!H:H)+(SUMIF(Data!B:B, A745,Data!G:G)+(SUMIF(Data!B:B, A745,Data!L:L)+(SUMIF(Data!B:B, A745,Data!K:K)))))/(SUMIF(Data!B:B, A745, Data!M:M)+(SUMIF(Data!B:B, A745, Data!H:H)+(SUMIF(Data!B:B, A745,Data!G:G)+(SUMIF(Data!B:B, A745,Data!K:K)+(SUMIF(Data!B:B, A745,Data!L:L)))))))))),0))</f>
        <v/>
      </c>
      <c r="P745" s="57" t="str">
        <f>IFERROR(__xludf.DUMMYFUNCTION("IFERROR(((COUNTIF(FILTER(Data!N:N,Data!B:B=A745),""TRAVERSE"")*15)+(COUNTIF(FILTER(Data!N:N,Data!B:B=A745),""HIGH"")*10)+(COUNTIF(FILTER(Data!N:N,Data!B:B=A745),""MIDDLE"")*6)+(COUNTIF(FILTER(Data!N:N,Data!B:B=A745),""LOW"")*4)) / (COUNTIF(Data!B:B, A745)"&amp;"),"""")"),"")</f>
        <v/>
      </c>
      <c r="Q745" s="58"/>
      <c r="R745" s="58"/>
      <c r="S745" s="58" t="str">
        <f>IFERROR(__xludf.DUMMYFUNCTION("IFERROR((((COUNTIF(FILTER(Data!N:N,Data!B:B=A745),""TRAVERSE""))+(COUNTIF(FILTER(Data!N:N,Data!B:B=A745),""HIGH""))+(COUNTIF(FILTER(Data!N:N,Data!B:B=A745),""MIDDLE""))+(COUNTIF(FILTER(Data!N:N,Data!B:B=A745),""LOW"")))) / (((COUNTIF(Data!B:B, A745)))-(CO"&amp;"UNTIF(FILTER(Data!N:N,Data!B:B=A745),""NONE""))),IF(ISBLANK(A745),"""",0))"),"")</f>
        <v/>
      </c>
      <c r="T745" s="56" t="str">
        <f>IFERROR(__xludf.DUMMYFUNCTION("IFERROR((COUNTIF(FILTER(Data!N:N, Data!B:B=A745),""LOW"")) / (COUNTIF(Data!B:B, A745)),"""")"),"")</f>
        <v/>
      </c>
      <c r="U745" s="59" t="str">
        <f>IFERROR(__xludf.DUMMYFUNCTION("IFERROR((COUNTIF(FILTER(Data!N:N, Data!B:B=A745),""MIDDLE"")) / (COUNTIF(Data!B:B, A745)),"""")"),"")</f>
        <v/>
      </c>
      <c r="V745" s="59" t="str">
        <f>IFERROR(__xludf.DUMMYFUNCTION("IFERROR((COUNTIF(FILTER(Data!N:N, Data!B:B=A745),""HIGH"")) / (COUNTIF(Data!B:B, A745)),"""")"),"")</f>
        <v/>
      </c>
      <c r="W745" s="59" t="str">
        <f>IFERROR(__xludf.DUMMYFUNCTION("IFERROR((COUNTIF(FILTER(Data!N:N, Data!B:B=A745),""TRAVERSE"")) / (COUNTIF(Data!B:B, A745)),"""")"),"")</f>
        <v/>
      </c>
      <c r="X745" s="59"/>
      <c r="Y745" s="45" t="str">
        <f t="shared" si="7"/>
        <v/>
      </c>
      <c r="Z745" s="45" t="str">
        <f t="shared" si="8"/>
        <v/>
      </c>
      <c r="AA745" s="16" t="str">
        <f t="shared" si="9"/>
        <v/>
      </c>
      <c r="AB745" s="16"/>
      <c r="AC745" s="16"/>
      <c r="AD745" s="16"/>
      <c r="AE745" s="16" t="str">
        <f t="shared" si="12"/>
        <v/>
      </c>
      <c r="AF745" s="16" t="str">
        <f t="shared" si="13"/>
        <v/>
      </c>
      <c r="AG745" s="44"/>
      <c r="AH745" s="44"/>
      <c r="AI745" s="44" t="str">
        <f>IFERROR(__xludf.DUMMYFUNCTION("TEXTJOIN("", "",TRUE, FILTER(Data!P:P, Data!B:B=A745))"),"")</f>
        <v/>
      </c>
      <c r="AM745" s="61"/>
      <c r="BC745" s="50"/>
    </row>
    <row r="746">
      <c r="A746" s="14"/>
      <c r="B746" s="55" t="str">
        <f>IFERROR(__xludf.DUMMYFUNCTION("IFERROR(ROUND(
(COUNTIF(FILTER(Data!O:O, Data!B:B=A746), ""Win"")
+ COUNTIF(FILTER(Data!O:O, Data!B:B=A746), {""Tie"",""Results""}))
/ (COUNTIF(Data!B:B, A746)),
1),"""")"),"")</f>
        <v/>
      </c>
      <c r="C746" s="45" t="str">
        <f>IFERROR((SUMIF(Data!B:B, A746, Data!H:H)
/ (COUNTIF(Data!B:B, A746)
)),"")</f>
        <v/>
      </c>
      <c r="D746" s="45" t="str">
        <f>IFERROR((SUMIF(Data!B:B, A746, Data!G:G)
/ (COUNTIF(Data!B:B, A746)
)),"")</f>
        <v/>
      </c>
      <c r="E746" s="45"/>
      <c r="F746" s="45" t="str">
        <f>IFERROR((SUMIF(Data!B:B, A746, Data!J:J)
/ (COUNTIF(Data!B:B, A746)
)),"")</f>
        <v/>
      </c>
      <c r="G746" s="56" t="str">
        <f>IF(A746="","",IFERROR((((((SUMIF(Data!B:B, A746, Data!H:H)+(SUMIF(Data!B:B, A746,Data!G:G)))/(SUMIF(Data!B:B, A746, Data!J:J)))))),0))</f>
        <v/>
      </c>
      <c r="H746" s="45"/>
      <c r="I746" s="45"/>
      <c r="J746" s="45"/>
      <c r="K746" s="45"/>
      <c r="L746" s="45" t="str">
        <f>IFERROR((SUMIF(Data!B:B, A746, Data!L:L)
/ (COUNTIF(Data!B:B, A746)
)),"")</f>
        <v/>
      </c>
      <c r="M746" s="45" t="str">
        <f>IFERROR((SUMIF(Data!B:B, A746, Data!K:K)
/ (COUNTIF(Data!B:B, A746)
)),"")</f>
        <v/>
      </c>
      <c r="N746" s="56"/>
      <c r="O746" s="56" t="str">
        <f>IF(A746="","",IFERROR((((((SUMIF(Data!B:B, A746, Data!H:H)+(SUMIF(Data!B:B, A746,Data!G:G)+(SUMIF(Data!B:B, A746,Data!L:L)+(SUMIF(Data!B:B, A746,Data!K:K)))))/(SUMIF(Data!B:B, A746, Data!M:M)+(SUMIF(Data!B:B, A746, Data!H:H)+(SUMIF(Data!B:B, A746,Data!G:G)+(SUMIF(Data!B:B, A746,Data!K:K)+(SUMIF(Data!B:B, A746,Data!L:L)))))))))),0))</f>
        <v/>
      </c>
      <c r="P746" s="57" t="str">
        <f>IFERROR(__xludf.DUMMYFUNCTION("IFERROR(((COUNTIF(FILTER(Data!N:N,Data!B:B=A746),""TRAVERSE"")*15)+(COUNTIF(FILTER(Data!N:N,Data!B:B=A746),""HIGH"")*10)+(COUNTIF(FILTER(Data!N:N,Data!B:B=A746),""MIDDLE"")*6)+(COUNTIF(FILTER(Data!N:N,Data!B:B=A746),""LOW"")*4)) / (COUNTIF(Data!B:B, A746)"&amp;"),"""")"),"")</f>
        <v/>
      </c>
      <c r="Q746" s="58"/>
      <c r="R746" s="58"/>
      <c r="S746" s="58" t="str">
        <f>IFERROR(__xludf.DUMMYFUNCTION("IFERROR((((COUNTIF(FILTER(Data!N:N,Data!B:B=A746),""TRAVERSE""))+(COUNTIF(FILTER(Data!N:N,Data!B:B=A746),""HIGH""))+(COUNTIF(FILTER(Data!N:N,Data!B:B=A746),""MIDDLE""))+(COUNTIF(FILTER(Data!N:N,Data!B:B=A746),""LOW"")))) / (((COUNTIF(Data!B:B, A746)))-(CO"&amp;"UNTIF(FILTER(Data!N:N,Data!B:B=A746),""NONE""))),IF(ISBLANK(A746),"""",0))"),"")</f>
        <v/>
      </c>
      <c r="T746" s="56" t="str">
        <f>IFERROR(__xludf.DUMMYFUNCTION("IFERROR((COUNTIF(FILTER(Data!N:N, Data!B:B=A746),""LOW"")) / (COUNTIF(Data!B:B, A746)),"""")"),"")</f>
        <v/>
      </c>
      <c r="U746" s="59" t="str">
        <f>IFERROR(__xludf.DUMMYFUNCTION("IFERROR((COUNTIF(FILTER(Data!N:N, Data!B:B=A746),""MIDDLE"")) / (COUNTIF(Data!B:B, A746)),"""")"),"")</f>
        <v/>
      </c>
      <c r="V746" s="59" t="str">
        <f>IFERROR(__xludf.DUMMYFUNCTION("IFERROR((COUNTIF(FILTER(Data!N:N, Data!B:B=A746),""HIGH"")) / (COUNTIF(Data!B:B, A746)),"""")"),"")</f>
        <v/>
      </c>
      <c r="W746" s="59" t="str">
        <f>IFERROR(__xludf.DUMMYFUNCTION("IFERROR((COUNTIF(FILTER(Data!N:N, Data!B:B=A746),""TRAVERSE"")) / (COUNTIF(Data!B:B, A746)),"""")"),"")</f>
        <v/>
      </c>
      <c r="X746" s="59"/>
      <c r="Y746" s="45" t="str">
        <f t="shared" si="7"/>
        <v/>
      </c>
      <c r="Z746" s="45" t="str">
        <f t="shared" si="8"/>
        <v/>
      </c>
      <c r="AA746" s="16" t="str">
        <f t="shared" si="9"/>
        <v/>
      </c>
      <c r="AB746" s="16"/>
      <c r="AC746" s="16"/>
      <c r="AD746" s="16"/>
      <c r="AE746" s="16" t="str">
        <f t="shared" si="12"/>
        <v/>
      </c>
      <c r="AF746" s="16" t="str">
        <f t="shared" si="13"/>
        <v/>
      </c>
      <c r="AG746" s="44"/>
      <c r="AH746" s="44"/>
      <c r="AI746" s="44" t="str">
        <f>IFERROR(__xludf.DUMMYFUNCTION("TEXTJOIN("", "",TRUE, FILTER(Data!P:P, Data!B:B=A746))"),"")</f>
        <v/>
      </c>
      <c r="AM746" s="61"/>
      <c r="BC746" s="50"/>
    </row>
    <row r="747">
      <c r="A747" s="14"/>
      <c r="B747" s="55" t="str">
        <f>IFERROR(__xludf.DUMMYFUNCTION("IFERROR(ROUND(
(COUNTIF(FILTER(Data!O:O, Data!B:B=A747), ""Win"")
+ COUNTIF(FILTER(Data!O:O, Data!B:B=A747), {""Tie"",""Results""}))
/ (COUNTIF(Data!B:B, A747)),
1),"""")"),"")</f>
        <v/>
      </c>
      <c r="C747" s="45" t="str">
        <f>IFERROR((SUMIF(Data!B:B, A747, Data!H:H)
/ (COUNTIF(Data!B:B, A747)
)),"")</f>
        <v/>
      </c>
      <c r="D747" s="45" t="str">
        <f>IFERROR((SUMIF(Data!B:B, A747, Data!G:G)
/ (COUNTIF(Data!B:B, A747)
)),"")</f>
        <v/>
      </c>
      <c r="E747" s="45"/>
      <c r="F747" s="45" t="str">
        <f>IFERROR((SUMIF(Data!B:B, A747, Data!J:J)
/ (COUNTIF(Data!B:B, A747)
)),"")</f>
        <v/>
      </c>
      <c r="G747" s="56" t="str">
        <f>IF(A747="","",IFERROR((((((SUMIF(Data!B:B, A747, Data!H:H)+(SUMIF(Data!B:B, A747,Data!G:G)))/(SUMIF(Data!B:B, A747, Data!J:J)))))),0))</f>
        <v/>
      </c>
      <c r="H747" s="45"/>
      <c r="I747" s="45"/>
      <c r="J747" s="45"/>
      <c r="K747" s="45"/>
      <c r="L747" s="45" t="str">
        <f>IFERROR((SUMIF(Data!B:B, A747, Data!L:L)
/ (COUNTIF(Data!B:B, A747)
)),"")</f>
        <v/>
      </c>
      <c r="M747" s="45" t="str">
        <f>IFERROR((SUMIF(Data!B:B, A747, Data!K:K)
/ (COUNTIF(Data!B:B, A747)
)),"")</f>
        <v/>
      </c>
      <c r="N747" s="56"/>
      <c r="O747" s="56" t="str">
        <f>IF(A747="","",IFERROR((((((SUMIF(Data!B:B, A747, Data!H:H)+(SUMIF(Data!B:B, A747,Data!G:G)+(SUMIF(Data!B:B, A747,Data!L:L)+(SUMIF(Data!B:B, A747,Data!K:K)))))/(SUMIF(Data!B:B, A747, Data!M:M)+(SUMIF(Data!B:B, A747, Data!H:H)+(SUMIF(Data!B:B, A747,Data!G:G)+(SUMIF(Data!B:B, A747,Data!K:K)+(SUMIF(Data!B:B, A747,Data!L:L)))))))))),0))</f>
        <v/>
      </c>
      <c r="P747" s="57" t="str">
        <f>IFERROR(__xludf.DUMMYFUNCTION("IFERROR(((COUNTIF(FILTER(Data!N:N,Data!B:B=A747),""TRAVERSE"")*15)+(COUNTIF(FILTER(Data!N:N,Data!B:B=A747),""HIGH"")*10)+(COUNTIF(FILTER(Data!N:N,Data!B:B=A747),""MIDDLE"")*6)+(COUNTIF(FILTER(Data!N:N,Data!B:B=A747),""LOW"")*4)) / (COUNTIF(Data!B:B, A747)"&amp;"),"""")"),"")</f>
        <v/>
      </c>
      <c r="Q747" s="58"/>
      <c r="R747" s="58"/>
      <c r="S747" s="58" t="str">
        <f>IFERROR(__xludf.DUMMYFUNCTION("IFERROR((((COUNTIF(FILTER(Data!N:N,Data!B:B=A747),""TRAVERSE""))+(COUNTIF(FILTER(Data!N:N,Data!B:B=A747),""HIGH""))+(COUNTIF(FILTER(Data!N:N,Data!B:B=A747),""MIDDLE""))+(COUNTIF(FILTER(Data!N:N,Data!B:B=A747),""LOW"")))) / (((COUNTIF(Data!B:B, A747)))-(CO"&amp;"UNTIF(FILTER(Data!N:N,Data!B:B=A747),""NONE""))),IF(ISBLANK(A747),"""",0))"),"")</f>
        <v/>
      </c>
      <c r="T747" s="56" t="str">
        <f>IFERROR(__xludf.DUMMYFUNCTION("IFERROR((COUNTIF(FILTER(Data!N:N, Data!B:B=A747),""LOW"")) / (COUNTIF(Data!B:B, A747)),"""")"),"")</f>
        <v/>
      </c>
      <c r="U747" s="59" t="str">
        <f>IFERROR(__xludf.DUMMYFUNCTION("IFERROR((COUNTIF(FILTER(Data!N:N, Data!B:B=A747),""MIDDLE"")) / (COUNTIF(Data!B:B, A747)),"""")"),"")</f>
        <v/>
      </c>
      <c r="V747" s="59" t="str">
        <f>IFERROR(__xludf.DUMMYFUNCTION("IFERROR((COUNTIF(FILTER(Data!N:N, Data!B:B=A747),""HIGH"")) / (COUNTIF(Data!B:B, A747)),"""")"),"")</f>
        <v/>
      </c>
      <c r="W747" s="59" t="str">
        <f>IFERROR(__xludf.DUMMYFUNCTION("IFERROR((COUNTIF(FILTER(Data!N:N, Data!B:B=A747),""TRAVERSE"")) / (COUNTIF(Data!B:B, A747)),"""")"),"")</f>
        <v/>
      </c>
      <c r="X747" s="59"/>
      <c r="Y747" s="45" t="str">
        <f t="shared" si="7"/>
        <v/>
      </c>
      <c r="Z747" s="45" t="str">
        <f t="shared" si="8"/>
        <v/>
      </c>
      <c r="AA747" s="16" t="str">
        <f t="shared" si="9"/>
        <v/>
      </c>
      <c r="AB747" s="16"/>
      <c r="AC747" s="16"/>
      <c r="AD747" s="16"/>
      <c r="AE747" s="16" t="str">
        <f t="shared" si="12"/>
        <v/>
      </c>
      <c r="AF747" s="16" t="str">
        <f t="shared" si="13"/>
        <v/>
      </c>
      <c r="AG747" s="44"/>
      <c r="AH747" s="44"/>
      <c r="AI747" s="44" t="str">
        <f>IFERROR(__xludf.DUMMYFUNCTION("TEXTJOIN("", "",TRUE, FILTER(Data!P:P, Data!B:B=A747))"),"")</f>
        <v/>
      </c>
      <c r="AM747" s="61"/>
      <c r="BC747" s="50"/>
    </row>
    <row r="748">
      <c r="A748" s="14"/>
      <c r="B748" s="55" t="str">
        <f>IFERROR(__xludf.DUMMYFUNCTION("IFERROR(ROUND(
(COUNTIF(FILTER(Data!O:O, Data!B:B=A748), ""Win"")
+ COUNTIF(FILTER(Data!O:O, Data!B:B=A748), {""Tie"",""Results""}))
/ (COUNTIF(Data!B:B, A748)),
1),"""")"),"")</f>
        <v/>
      </c>
      <c r="C748" s="45" t="str">
        <f>IFERROR((SUMIF(Data!B:B, A748, Data!H:H)
/ (COUNTIF(Data!B:B, A748)
)),"")</f>
        <v/>
      </c>
      <c r="D748" s="45" t="str">
        <f>IFERROR((SUMIF(Data!B:B, A748, Data!G:G)
/ (COUNTIF(Data!B:B, A748)
)),"")</f>
        <v/>
      </c>
      <c r="E748" s="45"/>
      <c r="F748" s="45" t="str">
        <f>IFERROR((SUMIF(Data!B:B, A748, Data!J:J)
/ (COUNTIF(Data!B:B, A748)
)),"")</f>
        <v/>
      </c>
      <c r="G748" s="56" t="str">
        <f>IF(A748="","",IFERROR((((((SUMIF(Data!B:B, A748, Data!H:H)+(SUMIF(Data!B:B, A748,Data!G:G)))/(SUMIF(Data!B:B, A748, Data!J:J)))))),0))</f>
        <v/>
      </c>
      <c r="H748" s="45"/>
      <c r="I748" s="45"/>
      <c r="J748" s="45"/>
      <c r="K748" s="45"/>
      <c r="L748" s="45" t="str">
        <f>IFERROR((SUMIF(Data!B:B, A748, Data!L:L)
/ (COUNTIF(Data!B:B, A748)
)),"")</f>
        <v/>
      </c>
      <c r="M748" s="45" t="str">
        <f>IFERROR((SUMIF(Data!B:B, A748, Data!K:K)
/ (COUNTIF(Data!B:B, A748)
)),"")</f>
        <v/>
      </c>
      <c r="N748" s="56"/>
      <c r="O748" s="56" t="str">
        <f>IF(A748="","",IFERROR((((((SUMIF(Data!B:B, A748, Data!H:H)+(SUMIF(Data!B:B, A748,Data!G:G)+(SUMIF(Data!B:B, A748,Data!L:L)+(SUMIF(Data!B:B, A748,Data!K:K)))))/(SUMIF(Data!B:B, A748, Data!M:M)+(SUMIF(Data!B:B, A748, Data!H:H)+(SUMIF(Data!B:B, A748,Data!G:G)+(SUMIF(Data!B:B, A748,Data!K:K)+(SUMIF(Data!B:B, A748,Data!L:L)))))))))),0))</f>
        <v/>
      </c>
      <c r="P748" s="57" t="str">
        <f>IFERROR(__xludf.DUMMYFUNCTION("IFERROR(((COUNTIF(FILTER(Data!N:N,Data!B:B=A748),""TRAVERSE"")*15)+(COUNTIF(FILTER(Data!N:N,Data!B:B=A748),""HIGH"")*10)+(COUNTIF(FILTER(Data!N:N,Data!B:B=A748),""MIDDLE"")*6)+(COUNTIF(FILTER(Data!N:N,Data!B:B=A748),""LOW"")*4)) / (COUNTIF(Data!B:B, A748)"&amp;"),"""")"),"")</f>
        <v/>
      </c>
      <c r="Q748" s="58"/>
      <c r="R748" s="58"/>
      <c r="S748" s="58" t="str">
        <f>IFERROR(__xludf.DUMMYFUNCTION("IFERROR((((COUNTIF(FILTER(Data!N:N,Data!B:B=A748),""TRAVERSE""))+(COUNTIF(FILTER(Data!N:N,Data!B:B=A748),""HIGH""))+(COUNTIF(FILTER(Data!N:N,Data!B:B=A748),""MIDDLE""))+(COUNTIF(FILTER(Data!N:N,Data!B:B=A748),""LOW"")))) / (((COUNTIF(Data!B:B, A748)))-(CO"&amp;"UNTIF(FILTER(Data!N:N,Data!B:B=A748),""NONE""))),IF(ISBLANK(A748),"""",0))"),"")</f>
        <v/>
      </c>
      <c r="T748" s="56" t="str">
        <f>IFERROR(__xludf.DUMMYFUNCTION("IFERROR((COUNTIF(FILTER(Data!N:N, Data!B:B=A748),""LOW"")) / (COUNTIF(Data!B:B, A748)),"""")"),"")</f>
        <v/>
      </c>
      <c r="U748" s="59" t="str">
        <f>IFERROR(__xludf.DUMMYFUNCTION("IFERROR((COUNTIF(FILTER(Data!N:N, Data!B:B=A748),""MIDDLE"")) / (COUNTIF(Data!B:B, A748)),"""")"),"")</f>
        <v/>
      </c>
      <c r="V748" s="59" t="str">
        <f>IFERROR(__xludf.DUMMYFUNCTION("IFERROR((COUNTIF(FILTER(Data!N:N, Data!B:B=A748),""HIGH"")) / (COUNTIF(Data!B:B, A748)),"""")"),"")</f>
        <v/>
      </c>
      <c r="W748" s="59" t="str">
        <f>IFERROR(__xludf.DUMMYFUNCTION("IFERROR((COUNTIF(FILTER(Data!N:N, Data!B:B=A748),""TRAVERSE"")) / (COUNTIF(Data!B:B, A748)),"""")"),"")</f>
        <v/>
      </c>
      <c r="X748" s="59"/>
      <c r="Y748" s="45" t="str">
        <f t="shared" si="7"/>
        <v/>
      </c>
      <c r="Z748" s="45" t="str">
        <f t="shared" si="8"/>
        <v/>
      </c>
      <c r="AA748" s="16" t="str">
        <f t="shared" si="9"/>
        <v/>
      </c>
      <c r="AB748" s="16"/>
      <c r="AC748" s="16"/>
      <c r="AD748" s="16"/>
      <c r="AE748" s="16" t="str">
        <f t="shared" si="12"/>
        <v/>
      </c>
      <c r="AF748" s="16" t="str">
        <f t="shared" si="13"/>
        <v/>
      </c>
      <c r="AG748" s="44"/>
      <c r="AH748" s="44"/>
      <c r="AI748" s="44" t="str">
        <f>IFERROR(__xludf.DUMMYFUNCTION("TEXTJOIN("", "",TRUE, FILTER(Data!P:P, Data!B:B=A748))"),"")</f>
        <v/>
      </c>
      <c r="AM748" s="61"/>
      <c r="BC748" s="50"/>
    </row>
    <row r="749">
      <c r="A749" s="14"/>
      <c r="B749" s="55" t="str">
        <f>IFERROR(__xludf.DUMMYFUNCTION("IFERROR(ROUND(
(COUNTIF(FILTER(Data!O:O, Data!B:B=A749), ""Win"")
+ COUNTIF(FILTER(Data!O:O, Data!B:B=A749), {""Tie"",""Results""}))
/ (COUNTIF(Data!B:B, A749)),
1),"""")"),"")</f>
        <v/>
      </c>
      <c r="C749" s="45" t="str">
        <f>IFERROR((SUMIF(Data!B:B, A749, Data!H:H)
/ (COUNTIF(Data!B:B, A749)
)),"")</f>
        <v/>
      </c>
      <c r="D749" s="45" t="str">
        <f>IFERROR((SUMIF(Data!B:B, A749, Data!G:G)
/ (COUNTIF(Data!B:B, A749)
)),"")</f>
        <v/>
      </c>
      <c r="E749" s="45"/>
      <c r="F749" s="45" t="str">
        <f>IFERROR((SUMIF(Data!B:B, A749, Data!J:J)
/ (COUNTIF(Data!B:B, A749)
)),"")</f>
        <v/>
      </c>
      <c r="G749" s="56" t="str">
        <f>IF(A749="","",IFERROR((((((SUMIF(Data!B:B, A749, Data!H:H)+(SUMIF(Data!B:B, A749,Data!G:G)))/(SUMIF(Data!B:B, A749, Data!J:J)))))),0))</f>
        <v/>
      </c>
      <c r="H749" s="45"/>
      <c r="I749" s="45"/>
      <c r="J749" s="45"/>
      <c r="K749" s="45"/>
      <c r="L749" s="45" t="str">
        <f>IFERROR((SUMIF(Data!B:B, A749, Data!L:L)
/ (COUNTIF(Data!B:B, A749)
)),"")</f>
        <v/>
      </c>
      <c r="M749" s="45" t="str">
        <f>IFERROR((SUMIF(Data!B:B, A749, Data!K:K)
/ (COUNTIF(Data!B:B, A749)
)),"")</f>
        <v/>
      </c>
      <c r="N749" s="56"/>
      <c r="O749" s="56" t="str">
        <f>IF(A749="","",IFERROR((((((SUMIF(Data!B:B, A749, Data!H:H)+(SUMIF(Data!B:B, A749,Data!G:G)+(SUMIF(Data!B:B, A749,Data!L:L)+(SUMIF(Data!B:B, A749,Data!K:K)))))/(SUMIF(Data!B:B, A749, Data!M:M)+(SUMIF(Data!B:B, A749, Data!H:H)+(SUMIF(Data!B:B, A749,Data!G:G)+(SUMIF(Data!B:B, A749,Data!K:K)+(SUMIF(Data!B:B, A749,Data!L:L)))))))))),0))</f>
        <v/>
      </c>
      <c r="P749" s="57" t="str">
        <f>IFERROR(__xludf.DUMMYFUNCTION("IFERROR(((COUNTIF(FILTER(Data!N:N,Data!B:B=A749),""TRAVERSE"")*15)+(COUNTIF(FILTER(Data!N:N,Data!B:B=A749),""HIGH"")*10)+(COUNTIF(FILTER(Data!N:N,Data!B:B=A749),""MIDDLE"")*6)+(COUNTIF(FILTER(Data!N:N,Data!B:B=A749),""LOW"")*4)) / (COUNTIF(Data!B:B, A749)"&amp;"),"""")"),"")</f>
        <v/>
      </c>
      <c r="Q749" s="58"/>
      <c r="R749" s="58"/>
      <c r="S749" s="58" t="str">
        <f>IFERROR(__xludf.DUMMYFUNCTION("IFERROR((((COUNTIF(FILTER(Data!N:N,Data!B:B=A749),""TRAVERSE""))+(COUNTIF(FILTER(Data!N:N,Data!B:B=A749),""HIGH""))+(COUNTIF(FILTER(Data!N:N,Data!B:B=A749),""MIDDLE""))+(COUNTIF(FILTER(Data!N:N,Data!B:B=A749),""LOW"")))) / (((COUNTIF(Data!B:B, A749)))-(CO"&amp;"UNTIF(FILTER(Data!N:N,Data!B:B=A749),""NONE""))),IF(ISBLANK(A749),"""",0))"),"")</f>
        <v/>
      </c>
      <c r="T749" s="56" t="str">
        <f>IFERROR(__xludf.DUMMYFUNCTION("IFERROR((COUNTIF(FILTER(Data!N:N, Data!B:B=A749),""LOW"")) / (COUNTIF(Data!B:B, A749)),"""")"),"")</f>
        <v/>
      </c>
      <c r="U749" s="59" t="str">
        <f>IFERROR(__xludf.DUMMYFUNCTION("IFERROR((COUNTIF(FILTER(Data!N:N, Data!B:B=A749),""MIDDLE"")) / (COUNTIF(Data!B:B, A749)),"""")"),"")</f>
        <v/>
      </c>
      <c r="V749" s="59" t="str">
        <f>IFERROR(__xludf.DUMMYFUNCTION("IFERROR((COUNTIF(FILTER(Data!N:N, Data!B:B=A749),""HIGH"")) / (COUNTIF(Data!B:B, A749)),"""")"),"")</f>
        <v/>
      </c>
      <c r="W749" s="59" t="str">
        <f>IFERROR(__xludf.DUMMYFUNCTION("IFERROR((COUNTIF(FILTER(Data!N:N, Data!B:B=A749),""TRAVERSE"")) / (COUNTIF(Data!B:B, A749)),"""")"),"")</f>
        <v/>
      </c>
      <c r="X749" s="59"/>
      <c r="Y749" s="45" t="str">
        <f t="shared" si="7"/>
        <v/>
      </c>
      <c r="Z749" s="45" t="str">
        <f t="shared" si="8"/>
        <v/>
      </c>
      <c r="AA749" s="16" t="str">
        <f t="shared" si="9"/>
        <v/>
      </c>
      <c r="AB749" s="16"/>
      <c r="AC749" s="16"/>
      <c r="AD749" s="16"/>
      <c r="AE749" s="16" t="str">
        <f t="shared" si="12"/>
        <v/>
      </c>
      <c r="AF749" s="16" t="str">
        <f t="shared" si="13"/>
        <v/>
      </c>
      <c r="AG749" s="44"/>
      <c r="AH749" s="44"/>
      <c r="AI749" s="44" t="str">
        <f>IFERROR(__xludf.DUMMYFUNCTION("TEXTJOIN("", "",TRUE, FILTER(Data!P:P, Data!B:B=A749))"),"")</f>
        <v/>
      </c>
      <c r="AM749" s="61"/>
      <c r="BC749" s="50"/>
    </row>
    <row r="750">
      <c r="A750" s="14"/>
      <c r="B750" s="55" t="str">
        <f>IFERROR(__xludf.DUMMYFUNCTION("IFERROR(ROUND(
(COUNTIF(FILTER(Data!O:O, Data!B:B=A750), ""Win"")
+ COUNTIF(FILTER(Data!O:O, Data!B:B=A750), {""Tie"",""Results""}))
/ (COUNTIF(Data!B:B, A750)),
1),"""")"),"")</f>
        <v/>
      </c>
      <c r="C750" s="45" t="str">
        <f>IFERROR((SUMIF(Data!B:B, A750, Data!H:H)
/ (COUNTIF(Data!B:B, A750)
)),"")</f>
        <v/>
      </c>
      <c r="D750" s="45" t="str">
        <f>IFERROR((SUMIF(Data!B:B, A750, Data!G:G)
/ (COUNTIF(Data!B:B, A750)
)),"")</f>
        <v/>
      </c>
      <c r="E750" s="45"/>
      <c r="F750" s="45" t="str">
        <f>IFERROR((SUMIF(Data!B:B, A750, Data!J:J)
/ (COUNTIF(Data!B:B, A750)
)),"")</f>
        <v/>
      </c>
      <c r="G750" s="56" t="str">
        <f>IF(A750="","",IFERROR((((((SUMIF(Data!B:B, A750, Data!H:H)+(SUMIF(Data!B:B, A750,Data!G:G)))/(SUMIF(Data!B:B, A750, Data!J:J)))))),0))</f>
        <v/>
      </c>
      <c r="H750" s="45"/>
      <c r="I750" s="45"/>
      <c r="J750" s="45"/>
      <c r="K750" s="45"/>
      <c r="L750" s="45" t="str">
        <f>IFERROR((SUMIF(Data!B:B, A750, Data!L:L)
/ (COUNTIF(Data!B:B, A750)
)),"")</f>
        <v/>
      </c>
      <c r="M750" s="45" t="str">
        <f>IFERROR((SUMIF(Data!B:B, A750, Data!K:K)
/ (COUNTIF(Data!B:B, A750)
)),"")</f>
        <v/>
      </c>
      <c r="N750" s="56"/>
      <c r="O750" s="56" t="str">
        <f>IF(A750="","",IFERROR((((((SUMIF(Data!B:B, A750, Data!H:H)+(SUMIF(Data!B:B, A750,Data!G:G)+(SUMIF(Data!B:B, A750,Data!L:L)+(SUMIF(Data!B:B, A750,Data!K:K)))))/(SUMIF(Data!B:B, A750, Data!M:M)+(SUMIF(Data!B:B, A750, Data!H:H)+(SUMIF(Data!B:B, A750,Data!G:G)+(SUMIF(Data!B:B, A750,Data!K:K)+(SUMIF(Data!B:B, A750,Data!L:L)))))))))),0))</f>
        <v/>
      </c>
      <c r="P750" s="57" t="str">
        <f>IFERROR(__xludf.DUMMYFUNCTION("IFERROR(((COUNTIF(FILTER(Data!N:N,Data!B:B=A750),""TRAVERSE"")*15)+(COUNTIF(FILTER(Data!N:N,Data!B:B=A750),""HIGH"")*10)+(COUNTIF(FILTER(Data!N:N,Data!B:B=A750),""MIDDLE"")*6)+(COUNTIF(FILTER(Data!N:N,Data!B:B=A750),""LOW"")*4)) / (COUNTIF(Data!B:B, A750)"&amp;"),"""")"),"")</f>
        <v/>
      </c>
      <c r="Q750" s="58"/>
      <c r="R750" s="58"/>
      <c r="S750" s="58" t="str">
        <f>IFERROR(__xludf.DUMMYFUNCTION("IFERROR((((COUNTIF(FILTER(Data!N:N,Data!B:B=A750),""TRAVERSE""))+(COUNTIF(FILTER(Data!N:N,Data!B:B=A750),""HIGH""))+(COUNTIF(FILTER(Data!N:N,Data!B:B=A750),""MIDDLE""))+(COUNTIF(FILTER(Data!N:N,Data!B:B=A750),""LOW"")))) / (((COUNTIF(Data!B:B, A750)))-(CO"&amp;"UNTIF(FILTER(Data!N:N,Data!B:B=A750),""NONE""))),IF(ISBLANK(A750),"""",0))"),"")</f>
        <v/>
      </c>
      <c r="T750" s="56" t="str">
        <f>IFERROR(__xludf.DUMMYFUNCTION("IFERROR((COUNTIF(FILTER(Data!N:N, Data!B:B=A750),""LOW"")) / (COUNTIF(Data!B:B, A750)),"""")"),"")</f>
        <v/>
      </c>
      <c r="U750" s="59" t="str">
        <f>IFERROR(__xludf.DUMMYFUNCTION("IFERROR((COUNTIF(FILTER(Data!N:N, Data!B:B=A750),""MIDDLE"")) / (COUNTIF(Data!B:B, A750)),"""")"),"")</f>
        <v/>
      </c>
      <c r="V750" s="59" t="str">
        <f>IFERROR(__xludf.DUMMYFUNCTION("IFERROR((COUNTIF(FILTER(Data!N:N, Data!B:B=A750),""HIGH"")) / (COUNTIF(Data!B:B, A750)),"""")"),"")</f>
        <v/>
      </c>
      <c r="W750" s="59" t="str">
        <f>IFERROR(__xludf.DUMMYFUNCTION("IFERROR((COUNTIF(FILTER(Data!N:N, Data!B:B=A750),""TRAVERSE"")) / (COUNTIF(Data!B:B, A750)),"""")"),"")</f>
        <v/>
      </c>
      <c r="X750" s="59"/>
      <c r="Y750" s="45" t="str">
        <f t="shared" si="7"/>
        <v/>
      </c>
      <c r="Z750" s="45" t="str">
        <f t="shared" si="8"/>
        <v/>
      </c>
      <c r="AA750" s="16" t="str">
        <f t="shared" si="9"/>
        <v/>
      </c>
      <c r="AB750" s="16"/>
      <c r="AC750" s="16"/>
      <c r="AD750" s="16"/>
      <c r="AE750" s="16" t="str">
        <f t="shared" si="12"/>
        <v/>
      </c>
      <c r="AF750" s="16" t="str">
        <f t="shared" si="13"/>
        <v/>
      </c>
      <c r="AG750" s="44"/>
      <c r="AH750" s="44"/>
      <c r="AI750" s="44" t="str">
        <f>IFERROR(__xludf.DUMMYFUNCTION("TEXTJOIN("", "",TRUE, FILTER(Data!P:P, Data!B:B=A750))"),"")</f>
        <v/>
      </c>
      <c r="AM750" s="61"/>
      <c r="BC750" s="50"/>
    </row>
    <row r="751">
      <c r="A751" s="14"/>
      <c r="B751" s="55" t="str">
        <f>IFERROR(__xludf.DUMMYFUNCTION("IFERROR(ROUND(
(COUNTIF(FILTER(Data!O:O, Data!B:B=A751), ""Win"")
+ COUNTIF(FILTER(Data!O:O, Data!B:B=A751), {""Tie"",""Results""}))
/ (COUNTIF(Data!B:B, A751)),
1),"""")"),"")</f>
        <v/>
      </c>
      <c r="C751" s="45" t="str">
        <f>IFERROR((SUMIF(Data!B:B, A751, Data!H:H)
/ (COUNTIF(Data!B:B, A751)
)),"")</f>
        <v/>
      </c>
      <c r="D751" s="45" t="str">
        <f>IFERROR((SUMIF(Data!B:B, A751, Data!G:G)
/ (COUNTIF(Data!B:B, A751)
)),"")</f>
        <v/>
      </c>
      <c r="E751" s="45"/>
      <c r="F751" s="45" t="str">
        <f>IFERROR((SUMIF(Data!B:B, A751, Data!J:J)
/ (COUNTIF(Data!B:B, A751)
)),"")</f>
        <v/>
      </c>
      <c r="G751" s="56" t="str">
        <f>IF(A751="","",IFERROR((((((SUMIF(Data!B:B, A751, Data!H:H)+(SUMIF(Data!B:B, A751,Data!G:G)))/(SUMIF(Data!B:B, A751, Data!J:J)))))),0))</f>
        <v/>
      </c>
      <c r="H751" s="45"/>
      <c r="I751" s="45"/>
      <c r="J751" s="45"/>
      <c r="K751" s="45"/>
      <c r="L751" s="45" t="str">
        <f>IFERROR((SUMIF(Data!B:B, A751, Data!L:L)
/ (COUNTIF(Data!B:B, A751)
)),"")</f>
        <v/>
      </c>
      <c r="M751" s="45" t="str">
        <f>IFERROR((SUMIF(Data!B:B, A751, Data!K:K)
/ (COUNTIF(Data!B:B, A751)
)),"")</f>
        <v/>
      </c>
      <c r="N751" s="56"/>
      <c r="O751" s="56" t="str">
        <f>IF(A751="","",IFERROR((((((SUMIF(Data!B:B, A751, Data!H:H)+(SUMIF(Data!B:B, A751,Data!G:G)+(SUMIF(Data!B:B, A751,Data!L:L)+(SUMIF(Data!B:B, A751,Data!K:K)))))/(SUMIF(Data!B:B, A751, Data!M:M)+(SUMIF(Data!B:B, A751, Data!H:H)+(SUMIF(Data!B:B, A751,Data!G:G)+(SUMIF(Data!B:B, A751,Data!K:K)+(SUMIF(Data!B:B, A751,Data!L:L)))))))))),0))</f>
        <v/>
      </c>
      <c r="P751" s="57" t="str">
        <f>IFERROR(__xludf.DUMMYFUNCTION("IFERROR(((COUNTIF(FILTER(Data!N:N,Data!B:B=A751),""TRAVERSE"")*15)+(COUNTIF(FILTER(Data!N:N,Data!B:B=A751),""HIGH"")*10)+(COUNTIF(FILTER(Data!N:N,Data!B:B=A751),""MIDDLE"")*6)+(COUNTIF(FILTER(Data!N:N,Data!B:B=A751),""LOW"")*4)) / (COUNTIF(Data!B:B, A751)"&amp;"),"""")"),"")</f>
        <v/>
      </c>
      <c r="Q751" s="58"/>
      <c r="R751" s="58"/>
      <c r="S751" s="58" t="str">
        <f>IFERROR(__xludf.DUMMYFUNCTION("IFERROR((((COUNTIF(FILTER(Data!N:N,Data!B:B=A751),""TRAVERSE""))+(COUNTIF(FILTER(Data!N:N,Data!B:B=A751),""HIGH""))+(COUNTIF(FILTER(Data!N:N,Data!B:B=A751),""MIDDLE""))+(COUNTIF(FILTER(Data!N:N,Data!B:B=A751),""LOW"")))) / (((COUNTIF(Data!B:B, A751)))-(CO"&amp;"UNTIF(FILTER(Data!N:N,Data!B:B=A751),""NONE""))),IF(ISBLANK(A751),"""",0))"),"")</f>
        <v/>
      </c>
      <c r="T751" s="56" t="str">
        <f>IFERROR(__xludf.DUMMYFUNCTION("IFERROR((COUNTIF(FILTER(Data!N:N, Data!B:B=A751),""LOW"")) / (COUNTIF(Data!B:B, A751)),"""")"),"")</f>
        <v/>
      </c>
      <c r="U751" s="59" t="str">
        <f>IFERROR(__xludf.DUMMYFUNCTION("IFERROR((COUNTIF(FILTER(Data!N:N, Data!B:B=A751),""MIDDLE"")) / (COUNTIF(Data!B:B, A751)),"""")"),"")</f>
        <v/>
      </c>
      <c r="V751" s="59" t="str">
        <f>IFERROR(__xludf.DUMMYFUNCTION("IFERROR((COUNTIF(FILTER(Data!N:N, Data!B:B=A751),""HIGH"")) / (COUNTIF(Data!B:B, A751)),"""")"),"")</f>
        <v/>
      </c>
      <c r="W751" s="59" t="str">
        <f>IFERROR(__xludf.DUMMYFUNCTION("IFERROR((COUNTIF(FILTER(Data!N:N, Data!B:B=A751),""TRAVERSE"")) / (COUNTIF(Data!B:B, A751)),"""")"),"")</f>
        <v/>
      </c>
      <c r="X751" s="59"/>
      <c r="Y751" s="45" t="str">
        <f t="shared" si="7"/>
        <v/>
      </c>
      <c r="Z751" s="45" t="str">
        <f t="shared" si="8"/>
        <v/>
      </c>
      <c r="AA751" s="16" t="str">
        <f t="shared" si="9"/>
        <v/>
      </c>
      <c r="AB751" s="16"/>
      <c r="AC751" s="16"/>
      <c r="AD751" s="16"/>
      <c r="AE751" s="16" t="str">
        <f t="shared" si="12"/>
        <v/>
      </c>
      <c r="AF751" s="16" t="str">
        <f t="shared" si="13"/>
        <v/>
      </c>
      <c r="AG751" s="44"/>
      <c r="AH751" s="44"/>
      <c r="AI751" s="44" t="str">
        <f>IFERROR(__xludf.DUMMYFUNCTION("TEXTJOIN("", "",TRUE, FILTER(Data!P:P, Data!B:B=A751))"),"")</f>
        <v/>
      </c>
      <c r="AM751" s="61"/>
      <c r="BC751" s="50"/>
    </row>
    <row r="752">
      <c r="A752" s="14"/>
      <c r="B752" s="55" t="str">
        <f>IFERROR(__xludf.DUMMYFUNCTION("IFERROR(ROUND(
(COUNTIF(FILTER(Data!O:O, Data!B:B=A752), ""Win"")
+ COUNTIF(FILTER(Data!O:O, Data!B:B=A752), {""Tie"",""Results""}))
/ (COUNTIF(Data!B:B, A752)),
1),"""")"),"")</f>
        <v/>
      </c>
      <c r="C752" s="45" t="str">
        <f>IFERROR((SUMIF(Data!B:B, A752, Data!H:H)
/ (COUNTIF(Data!B:B, A752)
)),"")</f>
        <v/>
      </c>
      <c r="D752" s="45" t="str">
        <f>IFERROR((SUMIF(Data!B:B, A752, Data!G:G)
/ (COUNTIF(Data!B:B, A752)
)),"")</f>
        <v/>
      </c>
      <c r="E752" s="45"/>
      <c r="F752" s="45" t="str">
        <f>IFERROR((SUMIF(Data!B:B, A752, Data!J:J)
/ (COUNTIF(Data!B:B, A752)
)),"")</f>
        <v/>
      </c>
      <c r="G752" s="56" t="str">
        <f>IF(A752="","",IFERROR((((((SUMIF(Data!B:B, A752, Data!H:H)+(SUMIF(Data!B:B, A752,Data!G:G)))/(SUMIF(Data!B:B, A752, Data!J:J)))))),0))</f>
        <v/>
      </c>
      <c r="H752" s="45"/>
      <c r="I752" s="45"/>
      <c r="J752" s="45"/>
      <c r="K752" s="45"/>
      <c r="L752" s="45" t="str">
        <f>IFERROR((SUMIF(Data!B:B, A752, Data!L:L)
/ (COUNTIF(Data!B:B, A752)
)),"")</f>
        <v/>
      </c>
      <c r="M752" s="45" t="str">
        <f>IFERROR((SUMIF(Data!B:B, A752, Data!K:K)
/ (COUNTIF(Data!B:B, A752)
)),"")</f>
        <v/>
      </c>
      <c r="N752" s="56"/>
      <c r="O752" s="56" t="str">
        <f>IF(A752="","",IFERROR((((((SUMIF(Data!B:B, A752, Data!H:H)+(SUMIF(Data!B:B, A752,Data!G:G)+(SUMIF(Data!B:B, A752,Data!L:L)+(SUMIF(Data!B:B, A752,Data!K:K)))))/(SUMIF(Data!B:B, A752, Data!M:M)+(SUMIF(Data!B:B, A752, Data!H:H)+(SUMIF(Data!B:B, A752,Data!G:G)+(SUMIF(Data!B:B, A752,Data!K:K)+(SUMIF(Data!B:B, A752,Data!L:L)))))))))),0))</f>
        <v/>
      </c>
      <c r="P752" s="57" t="str">
        <f>IFERROR(__xludf.DUMMYFUNCTION("IFERROR(((COUNTIF(FILTER(Data!N:N,Data!B:B=A752),""TRAVERSE"")*15)+(COUNTIF(FILTER(Data!N:N,Data!B:B=A752),""HIGH"")*10)+(COUNTIF(FILTER(Data!N:N,Data!B:B=A752),""MIDDLE"")*6)+(COUNTIF(FILTER(Data!N:N,Data!B:B=A752),""LOW"")*4)) / (COUNTIF(Data!B:B, A752)"&amp;"),"""")"),"")</f>
        <v/>
      </c>
      <c r="Q752" s="58"/>
      <c r="R752" s="58"/>
      <c r="S752" s="58" t="str">
        <f>IFERROR(__xludf.DUMMYFUNCTION("IFERROR((((COUNTIF(FILTER(Data!N:N,Data!B:B=A752),""TRAVERSE""))+(COUNTIF(FILTER(Data!N:N,Data!B:B=A752),""HIGH""))+(COUNTIF(FILTER(Data!N:N,Data!B:B=A752),""MIDDLE""))+(COUNTIF(FILTER(Data!N:N,Data!B:B=A752),""LOW"")))) / (((COUNTIF(Data!B:B, A752)))-(CO"&amp;"UNTIF(FILTER(Data!N:N,Data!B:B=A752),""NONE""))),IF(ISBLANK(A752),"""",0))"),"")</f>
        <v/>
      </c>
      <c r="T752" s="56" t="str">
        <f>IFERROR(__xludf.DUMMYFUNCTION("IFERROR((COUNTIF(FILTER(Data!N:N, Data!B:B=A752),""LOW"")) / (COUNTIF(Data!B:B, A752)),"""")"),"")</f>
        <v/>
      </c>
      <c r="U752" s="59" t="str">
        <f>IFERROR(__xludf.DUMMYFUNCTION("IFERROR((COUNTIF(FILTER(Data!N:N, Data!B:B=A752),""MIDDLE"")) / (COUNTIF(Data!B:B, A752)),"""")"),"")</f>
        <v/>
      </c>
      <c r="V752" s="59" t="str">
        <f>IFERROR(__xludf.DUMMYFUNCTION("IFERROR((COUNTIF(FILTER(Data!N:N, Data!B:B=A752),""HIGH"")) / (COUNTIF(Data!B:B, A752)),"""")"),"")</f>
        <v/>
      </c>
      <c r="W752" s="59" t="str">
        <f>IFERROR(__xludf.DUMMYFUNCTION("IFERROR((COUNTIF(FILTER(Data!N:N, Data!B:B=A752),""TRAVERSE"")) / (COUNTIF(Data!B:B, A752)),"""")"),"")</f>
        <v/>
      </c>
      <c r="X752" s="59"/>
      <c r="Y752" s="45" t="str">
        <f t="shared" si="7"/>
        <v/>
      </c>
      <c r="Z752" s="45" t="str">
        <f t="shared" si="8"/>
        <v/>
      </c>
      <c r="AA752" s="16" t="str">
        <f t="shared" si="9"/>
        <v/>
      </c>
      <c r="AB752" s="16"/>
      <c r="AC752" s="16"/>
      <c r="AD752" s="16"/>
      <c r="AE752" s="16" t="str">
        <f t="shared" si="12"/>
        <v/>
      </c>
      <c r="AF752" s="16" t="str">
        <f t="shared" si="13"/>
        <v/>
      </c>
      <c r="AG752" s="44"/>
      <c r="AH752" s="44"/>
      <c r="AI752" s="44" t="str">
        <f>IFERROR(__xludf.DUMMYFUNCTION("TEXTJOIN("", "",TRUE, FILTER(Data!P:P, Data!B:B=A752))"),"")</f>
        <v/>
      </c>
      <c r="AM752" s="61"/>
      <c r="BC752" s="50"/>
    </row>
    <row r="753">
      <c r="A753" s="14"/>
      <c r="B753" s="55" t="str">
        <f>IFERROR(__xludf.DUMMYFUNCTION("IFERROR(ROUND(
(COUNTIF(FILTER(Data!O:O, Data!B:B=A753), ""Win"")
+ COUNTIF(FILTER(Data!O:O, Data!B:B=A753), {""Tie"",""Results""}))
/ (COUNTIF(Data!B:B, A753)),
1),"""")"),"")</f>
        <v/>
      </c>
      <c r="C753" s="45" t="str">
        <f>IFERROR((SUMIF(Data!B:B, A753, Data!H:H)
/ (COUNTIF(Data!B:B, A753)
)),"")</f>
        <v/>
      </c>
      <c r="D753" s="45" t="str">
        <f>IFERROR((SUMIF(Data!B:B, A753, Data!G:G)
/ (COUNTIF(Data!B:B, A753)
)),"")</f>
        <v/>
      </c>
      <c r="E753" s="45"/>
      <c r="F753" s="45" t="str">
        <f>IFERROR((SUMIF(Data!B:B, A753, Data!J:J)
/ (COUNTIF(Data!B:B, A753)
)),"")</f>
        <v/>
      </c>
      <c r="G753" s="56" t="str">
        <f>IF(A753="","",IFERROR((((((SUMIF(Data!B:B, A753, Data!H:H)+(SUMIF(Data!B:B, A753,Data!G:G)))/(SUMIF(Data!B:B, A753, Data!J:J)))))),0))</f>
        <v/>
      </c>
      <c r="H753" s="45"/>
      <c r="I753" s="45"/>
      <c r="J753" s="45"/>
      <c r="K753" s="45"/>
      <c r="L753" s="45" t="str">
        <f>IFERROR((SUMIF(Data!B:B, A753, Data!L:L)
/ (COUNTIF(Data!B:B, A753)
)),"")</f>
        <v/>
      </c>
      <c r="M753" s="45" t="str">
        <f>IFERROR((SUMIF(Data!B:B, A753, Data!K:K)
/ (COUNTIF(Data!B:B, A753)
)),"")</f>
        <v/>
      </c>
      <c r="N753" s="56"/>
      <c r="O753" s="56" t="str">
        <f>IF(A753="","",IFERROR((((((SUMIF(Data!B:B, A753, Data!H:H)+(SUMIF(Data!B:B, A753,Data!G:G)+(SUMIF(Data!B:B, A753,Data!L:L)+(SUMIF(Data!B:B, A753,Data!K:K)))))/(SUMIF(Data!B:B, A753, Data!M:M)+(SUMIF(Data!B:B, A753, Data!H:H)+(SUMIF(Data!B:B, A753,Data!G:G)+(SUMIF(Data!B:B, A753,Data!K:K)+(SUMIF(Data!B:B, A753,Data!L:L)))))))))),0))</f>
        <v/>
      </c>
      <c r="P753" s="57" t="str">
        <f>IFERROR(__xludf.DUMMYFUNCTION("IFERROR(((COUNTIF(FILTER(Data!N:N,Data!B:B=A753),""TRAVERSE"")*15)+(COUNTIF(FILTER(Data!N:N,Data!B:B=A753),""HIGH"")*10)+(COUNTIF(FILTER(Data!N:N,Data!B:B=A753),""MIDDLE"")*6)+(COUNTIF(FILTER(Data!N:N,Data!B:B=A753),""LOW"")*4)) / (COUNTIF(Data!B:B, A753)"&amp;"),"""")"),"")</f>
        <v/>
      </c>
      <c r="Q753" s="58"/>
      <c r="R753" s="58"/>
      <c r="S753" s="58" t="str">
        <f>IFERROR(__xludf.DUMMYFUNCTION("IFERROR((((COUNTIF(FILTER(Data!N:N,Data!B:B=A753),""TRAVERSE""))+(COUNTIF(FILTER(Data!N:N,Data!B:B=A753),""HIGH""))+(COUNTIF(FILTER(Data!N:N,Data!B:B=A753),""MIDDLE""))+(COUNTIF(FILTER(Data!N:N,Data!B:B=A753),""LOW"")))) / (((COUNTIF(Data!B:B, A753)))-(CO"&amp;"UNTIF(FILTER(Data!N:N,Data!B:B=A753),""NONE""))),IF(ISBLANK(A753),"""",0))"),"")</f>
        <v/>
      </c>
      <c r="T753" s="56" t="str">
        <f>IFERROR(__xludf.DUMMYFUNCTION("IFERROR((COUNTIF(FILTER(Data!N:N, Data!B:B=A753),""LOW"")) / (COUNTIF(Data!B:B, A753)),"""")"),"")</f>
        <v/>
      </c>
      <c r="U753" s="59" t="str">
        <f>IFERROR(__xludf.DUMMYFUNCTION("IFERROR((COUNTIF(FILTER(Data!N:N, Data!B:B=A753),""MIDDLE"")) / (COUNTIF(Data!B:B, A753)),"""")"),"")</f>
        <v/>
      </c>
      <c r="V753" s="59" t="str">
        <f>IFERROR(__xludf.DUMMYFUNCTION("IFERROR((COUNTIF(FILTER(Data!N:N, Data!B:B=A753),""HIGH"")) / (COUNTIF(Data!B:B, A753)),"""")"),"")</f>
        <v/>
      </c>
      <c r="W753" s="59" t="str">
        <f>IFERROR(__xludf.DUMMYFUNCTION("IFERROR((COUNTIF(FILTER(Data!N:N, Data!B:B=A753),""TRAVERSE"")) / (COUNTIF(Data!B:B, A753)),"""")"),"")</f>
        <v/>
      </c>
      <c r="X753" s="59"/>
      <c r="Y753" s="45" t="str">
        <f t="shared" si="7"/>
        <v/>
      </c>
      <c r="Z753" s="45" t="str">
        <f t="shared" si="8"/>
        <v/>
      </c>
      <c r="AA753" s="16" t="str">
        <f t="shared" si="9"/>
        <v/>
      </c>
      <c r="AB753" s="16"/>
      <c r="AC753" s="16"/>
      <c r="AD753" s="16"/>
      <c r="AE753" s="16" t="str">
        <f t="shared" si="12"/>
        <v/>
      </c>
      <c r="AF753" s="16" t="str">
        <f t="shared" si="13"/>
        <v/>
      </c>
      <c r="AG753" s="44"/>
      <c r="AH753" s="44"/>
      <c r="AI753" s="44" t="str">
        <f>IFERROR(__xludf.DUMMYFUNCTION("TEXTJOIN("", "",TRUE, FILTER(Data!P:P, Data!B:B=A753))"),"")</f>
        <v/>
      </c>
      <c r="AM753" s="61"/>
      <c r="BC753" s="50"/>
    </row>
    <row r="754">
      <c r="A754" s="14"/>
      <c r="B754" s="55" t="str">
        <f>IFERROR(__xludf.DUMMYFUNCTION("IFERROR(ROUND(
(COUNTIF(FILTER(Data!O:O, Data!B:B=A754), ""Win"")
+ COUNTIF(FILTER(Data!O:O, Data!B:B=A754), {""Tie"",""Results""}))
/ (COUNTIF(Data!B:B, A754)),
1),"""")"),"")</f>
        <v/>
      </c>
      <c r="C754" s="45" t="str">
        <f>IFERROR((SUMIF(Data!B:B, A754, Data!H:H)
/ (COUNTIF(Data!B:B, A754)
)),"")</f>
        <v/>
      </c>
      <c r="D754" s="45" t="str">
        <f>IFERROR((SUMIF(Data!B:B, A754, Data!G:G)
/ (COUNTIF(Data!B:B, A754)
)),"")</f>
        <v/>
      </c>
      <c r="E754" s="45"/>
      <c r="F754" s="45" t="str">
        <f>IFERROR((SUMIF(Data!B:B, A754, Data!J:J)
/ (COUNTIF(Data!B:B, A754)
)),"")</f>
        <v/>
      </c>
      <c r="G754" s="56" t="str">
        <f>IF(A754="","",IFERROR((((((SUMIF(Data!B:B, A754, Data!H:H)+(SUMIF(Data!B:B, A754,Data!G:G)))/(SUMIF(Data!B:B, A754, Data!J:J)))))),0))</f>
        <v/>
      </c>
      <c r="H754" s="45"/>
      <c r="I754" s="45"/>
      <c r="J754" s="45"/>
      <c r="K754" s="45"/>
      <c r="L754" s="45" t="str">
        <f>IFERROR((SUMIF(Data!B:B, A754, Data!L:L)
/ (COUNTIF(Data!B:B, A754)
)),"")</f>
        <v/>
      </c>
      <c r="M754" s="45" t="str">
        <f>IFERROR((SUMIF(Data!B:B, A754, Data!K:K)
/ (COUNTIF(Data!B:B, A754)
)),"")</f>
        <v/>
      </c>
      <c r="N754" s="56"/>
      <c r="O754" s="56" t="str">
        <f>IF(A754="","",IFERROR((((((SUMIF(Data!B:B, A754, Data!H:H)+(SUMIF(Data!B:B, A754,Data!G:G)+(SUMIF(Data!B:B, A754,Data!L:L)+(SUMIF(Data!B:B, A754,Data!K:K)))))/(SUMIF(Data!B:B, A754, Data!M:M)+(SUMIF(Data!B:B, A754, Data!H:H)+(SUMIF(Data!B:B, A754,Data!G:G)+(SUMIF(Data!B:B, A754,Data!K:K)+(SUMIF(Data!B:B, A754,Data!L:L)))))))))),0))</f>
        <v/>
      </c>
      <c r="P754" s="57" t="str">
        <f>IFERROR(__xludf.DUMMYFUNCTION("IFERROR(((COUNTIF(FILTER(Data!N:N,Data!B:B=A754),""TRAVERSE"")*15)+(COUNTIF(FILTER(Data!N:N,Data!B:B=A754),""HIGH"")*10)+(COUNTIF(FILTER(Data!N:N,Data!B:B=A754),""MIDDLE"")*6)+(COUNTIF(FILTER(Data!N:N,Data!B:B=A754),""LOW"")*4)) / (COUNTIF(Data!B:B, A754)"&amp;"),"""")"),"")</f>
        <v/>
      </c>
      <c r="Q754" s="58"/>
      <c r="R754" s="58"/>
      <c r="S754" s="58" t="str">
        <f>IFERROR(__xludf.DUMMYFUNCTION("IFERROR((((COUNTIF(FILTER(Data!N:N,Data!B:B=A754),""TRAVERSE""))+(COUNTIF(FILTER(Data!N:N,Data!B:B=A754),""HIGH""))+(COUNTIF(FILTER(Data!N:N,Data!B:B=A754),""MIDDLE""))+(COUNTIF(FILTER(Data!N:N,Data!B:B=A754),""LOW"")))) / (((COUNTIF(Data!B:B, A754)))-(CO"&amp;"UNTIF(FILTER(Data!N:N,Data!B:B=A754),""NONE""))),IF(ISBLANK(A754),"""",0))"),"")</f>
        <v/>
      </c>
      <c r="T754" s="56" t="str">
        <f>IFERROR(__xludf.DUMMYFUNCTION("IFERROR((COUNTIF(FILTER(Data!N:N, Data!B:B=A754),""LOW"")) / (COUNTIF(Data!B:B, A754)),"""")"),"")</f>
        <v/>
      </c>
      <c r="U754" s="59" t="str">
        <f>IFERROR(__xludf.DUMMYFUNCTION("IFERROR((COUNTIF(FILTER(Data!N:N, Data!B:B=A754),""MIDDLE"")) / (COUNTIF(Data!B:B, A754)),"""")"),"")</f>
        <v/>
      </c>
      <c r="V754" s="59" t="str">
        <f>IFERROR(__xludf.DUMMYFUNCTION("IFERROR((COUNTIF(FILTER(Data!N:N, Data!B:B=A754),""HIGH"")) / (COUNTIF(Data!B:B, A754)),"""")"),"")</f>
        <v/>
      </c>
      <c r="W754" s="59" t="str">
        <f>IFERROR(__xludf.DUMMYFUNCTION("IFERROR((COUNTIF(FILTER(Data!N:N, Data!B:B=A754),""TRAVERSE"")) / (COUNTIF(Data!B:B, A754)),"""")"),"")</f>
        <v/>
      </c>
      <c r="X754" s="59"/>
      <c r="Y754" s="45" t="str">
        <f t="shared" si="7"/>
        <v/>
      </c>
      <c r="Z754" s="45" t="str">
        <f t="shared" si="8"/>
        <v/>
      </c>
      <c r="AA754" s="16" t="str">
        <f t="shared" si="9"/>
        <v/>
      </c>
      <c r="AB754" s="16"/>
      <c r="AC754" s="16"/>
      <c r="AD754" s="16"/>
      <c r="AE754" s="16" t="str">
        <f t="shared" si="12"/>
        <v/>
      </c>
      <c r="AF754" s="16" t="str">
        <f t="shared" si="13"/>
        <v/>
      </c>
      <c r="AG754" s="44"/>
      <c r="AH754" s="44"/>
      <c r="AI754" s="44" t="str">
        <f>IFERROR(__xludf.DUMMYFUNCTION("TEXTJOIN("", "",TRUE, FILTER(Data!P:P, Data!B:B=A754))"),"")</f>
        <v/>
      </c>
      <c r="AM754" s="61"/>
      <c r="BC754" s="50"/>
    </row>
    <row r="755">
      <c r="A755" s="14"/>
      <c r="B755" s="55" t="str">
        <f>IFERROR(__xludf.DUMMYFUNCTION("IFERROR(ROUND(
(COUNTIF(FILTER(Data!O:O, Data!B:B=A755), ""Win"")
+ COUNTIF(FILTER(Data!O:O, Data!B:B=A755), {""Tie"",""Results""}))
/ (COUNTIF(Data!B:B, A755)),
1),"""")"),"")</f>
        <v/>
      </c>
      <c r="C755" s="45" t="str">
        <f>IFERROR((SUMIF(Data!B:B, A755, Data!H:H)
/ (COUNTIF(Data!B:B, A755)
)),"")</f>
        <v/>
      </c>
      <c r="D755" s="45" t="str">
        <f>IFERROR((SUMIF(Data!B:B, A755, Data!G:G)
/ (COUNTIF(Data!B:B, A755)
)),"")</f>
        <v/>
      </c>
      <c r="E755" s="45"/>
      <c r="F755" s="45" t="str">
        <f>IFERROR((SUMIF(Data!B:B, A755, Data!J:J)
/ (COUNTIF(Data!B:B, A755)
)),"")</f>
        <v/>
      </c>
      <c r="G755" s="56" t="str">
        <f>IF(A755="","",IFERROR((((((SUMIF(Data!B:B, A755, Data!H:H)+(SUMIF(Data!B:B, A755,Data!G:G)))/(SUMIF(Data!B:B, A755, Data!J:J)))))),0))</f>
        <v/>
      </c>
      <c r="H755" s="45"/>
      <c r="I755" s="45"/>
      <c r="J755" s="45"/>
      <c r="K755" s="45"/>
      <c r="L755" s="45" t="str">
        <f>IFERROR((SUMIF(Data!B:B, A755, Data!L:L)
/ (COUNTIF(Data!B:B, A755)
)),"")</f>
        <v/>
      </c>
      <c r="M755" s="45" t="str">
        <f>IFERROR((SUMIF(Data!B:B, A755, Data!K:K)
/ (COUNTIF(Data!B:B, A755)
)),"")</f>
        <v/>
      </c>
      <c r="N755" s="56"/>
      <c r="O755" s="56" t="str">
        <f>IF(A755="","",IFERROR((((((SUMIF(Data!B:B, A755, Data!H:H)+(SUMIF(Data!B:B, A755,Data!G:G)+(SUMIF(Data!B:B, A755,Data!L:L)+(SUMIF(Data!B:B, A755,Data!K:K)))))/(SUMIF(Data!B:B, A755, Data!M:M)+(SUMIF(Data!B:B, A755, Data!H:H)+(SUMIF(Data!B:B, A755,Data!G:G)+(SUMIF(Data!B:B, A755,Data!K:K)+(SUMIF(Data!B:B, A755,Data!L:L)))))))))),0))</f>
        <v/>
      </c>
      <c r="P755" s="57" t="str">
        <f>IFERROR(__xludf.DUMMYFUNCTION("IFERROR(((COUNTIF(FILTER(Data!N:N,Data!B:B=A755),""TRAVERSE"")*15)+(COUNTIF(FILTER(Data!N:N,Data!B:B=A755),""HIGH"")*10)+(COUNTIF(FILTER(Data!N:N,Data!B:B=A755),""MIDDLE"")*6)+(COUNTIF(FILTER(Data!N:N,Data!B:B=A755),""LOW"")*4)) / (COUNTIF(Data!B:B, A755)"&amp;"),"""")"),"")</f>
        <v/>
      </c>
      <c r="Q755" s="58"/>
      <c r="R755" s="58"/>
      <c r="S755" s="58" t="str">
        <f>IFERROR(__xludf.DUMMYFUNCTION("IFERROR((((COUNTIF(FILTER(Data!N:N,Data!B:B=A755),""TRAVERSE""))+(COUNTIF(FILTER(Data!N:N,Data!B:B=A755),""HIGH""))+(COUNTIF(FILTER(Data!N:N,Data!B:B=A755),""MIDDLE""))+(COUNTIF(FILTER(Data!N:N,Data!B:B=A755),""LOW"")))) / (((COUNTIF(Data!B:B, A755)))-(CO"&amp;"UNTIF(FILTER(Data!N:N,Data!B:B=A755),""NONE""))),IF(ISBLANK(A755),"""",0))"),"")</f>
        <v/>
      </c>
      <c r="T755" s="56" t="str">
        <f>IFERROR(__xludf.DUMMYFUNCTION("IFERROR((COUNTIF(FILTER(Data!N:N, Data!B:B=A755),""LOW"")) / (COUNTIF(Data!B:B, A755)),"""")"),"")</f>
        <v/>
      </c>
      <c r="U755" s="59" t="str">
        <f>IFERROR(__xludf.DUMMYFUNCTION("IFERROR((COUNTIF(FILTER(Data!N:N, Data!B:B=A755),""MIDDLE"")) / (COUNTIF(Data!B:B, A755)),"""")"),"")</f>
        <v/>
      </c>
      <c r="V755" s="59" t="str">
        <f>IFERROR(__xludf.DUMMYFUNCTION("IFERROR((COUNTIF(FILTER(Data!N:N, Data!B:B=A755),""HIGH"")) / (COUNTIF(Data!B:B, A755)),"""")"),"")</f>
        <v/>
      </c>
      <c r="W755" s="59" t="str">
        <f>IFERROR(__xludf.DUMMYFUNCTION("IFERROR((COUNTIF(FILTER(Data!N:N, Data!B:B=A755),""TRAVERSE"")) / (COUNTIF(Data!B:B, A755)),"""")"),"")</f>
        <v/>
      </c>
      <c r="X755" s="59"/>
      <c r="Y755" s="45" t="str">
        <f t="shared" si="7"/>
        <v/>
      </c>
      <c r="Z755" s="45" t="str">
        <f t="shared" si="8"/>
        <v/>
      </c>
      <c r="AA755" s="16" t="str">
        <f t="shared" si="9"/>
        <v/>
      </c>
      <c r="AB755" s="16"/>
      <c r="AC755" s="16"/>
      <c r="AD755" s="16"/>
      <c r="AE755" s="16" t="str">
        <f t="shared" si="12"/>
        <v/>
      </c>
      <c r="AF755" s="16" t="str">
        <f t="shared" si="13"/>
        <v/>
      </c>
      <c r="AG755" s="44"/>
      <c r="AH755" s="44"/>
      <c r="AI755" s="44" t="str">
        <f>IFERROR(__xludf.DUMMYFUNCTION("TEXTJOIN("", "",TRUE, FILTER(Data!P:P, Data!B:B=A755))"),"")</f>
        <v/>
      </c>
      <c r="AM755" s="61"/>
      <c r="BC755" s="50"/>
    </row>
    <row r="756">
      <c r="A756" s="14"/>
      <c r="B756" s="55" t="str">
        <f>IFERROR(__xludf.DUMMYFUNCTION("IFERROR(ROUND(
(COUNTIF(FILTER(Data!O:O, Data!B:B=A756), ""Win"")
+ COUNTIF(FILTER(Data!O:O, Data!B:B=A756), {""Tie"",""Results""}))
/ (COUNTIF(Data!B:B, A756)),
1),"""")"),"")</f>
        <v/>
      </c>
      <c r="C756" s="45" t="str">
        <f>IFERROR((SUMIF(Data!B:B, A756, Data!H:H)
/ (COUNTIF(Data!B:B, A756)
)),"")</f>
        <v/>
      </c>
      <c r="D756" s="45" t="str">
        <f>IFERROR((SUMIF(Data!B:B, A756, Data!G:G)
/ (COUNTIF(Data!B:B, A756)
)),"")</f>
        <v/>
      </c>
      <c r="E756" s="45"/>
      <c r="F756" s="45" t="str">
        <f>IFERROR((SUMIF(Data!B:B, A756, Data!J:J)
/ (COUNTIF(Data!B:B, A756)
)),"")</f>
        <v/>
      </c>
      <c r="G756" s="56" t="str">
        <f>IF(A756="","",IFERROR((((((SUMIF(Data!B:B, A756, Data!H:H)+(SUMIF(Data!B:B, A756,Data!G:G)))/(SUMIF(Data!B:B, A756, Data!J:J)))))),0))</f>
        <v/>
      </c>
      <c r="H756" s="45"/>
      <c r="I756" s="45"/>
      <c r="J756" s="45"/>
      <c r="K756" s="45"/>
      <c r="L756" s="45" t="str">
        <f>IFERROR((SUMIF(Data!B:B, A756, Data!L:L)
/ (COUNTIF(Data!B:B, A756)
)),"")</f>
        <v/>
      </c>
      <c r="M756" s="45" t="str">
        <f>IFERROR((SUMIF(Data!B:B, A756, Data!K:K)
/ (COUNTIF(Data!B:B, A756)
)),"")</f>
        <v/>
      </c>
      <c r="N756" s="56"/>
      <c r="O756" s="56" t="str">
        <f>IF(A756="","",IFERROR((((((SUMIF(Data!B:B, A756, Data!H:H)+(SUMIF(Data!B:B, A756,Data!G:G)+(SUMIF(Data!B:B, A756,Data!L:L)+(SUMIF(Data!B:B, A756,Data!K:K)))))/(SUMIF(Data!B:B, A756, Data!M:M)+(SUMIF(Data!B:B, A756, Data!H:H)+(SUMIF(Data!B:B, A756,Data!G:G)+(SUMIF(Data!B:B, A756,Data!K:K)+(SUMIF(Data!B:B, A756,Data!L:L)))))))))),0))</f>
        <v/>
      </c>
      <c r="P756" s="57" t="str">
        <f>IFERROR(__xludf.DUMMYFUNCTION("IFERROR(((COUNTIF(FILTER(Data!N:N,Data!B:B=A756),""TRAVERSE"")*15)+(COUNTIF(FILTER(Data!N:N,Data!B:B=A756),""HIGH"")*10)+(COUNTIF(FILTER(Data!N:N,Data!B:B=A756),""MIDDLE"")*6)+(COUNTIF(FILTER(Data!N:N,Data!B:B=A756),""LOW"")*4)) / (COUNTIF(Data!B:B, A756)"&amp;"),"""")"),"")</f>
        <v/>
      </c>
      <c r="Q756" s="58"/>
      <c r="R756" s="58"/>
      <c r="S756" s="58" t="str">
        <f>IFERROR(__xludf.DUMMYFUNCTION("IFERROR((((COUNTIF(FILTER(Data!N:N,Data!B:B=A756),""TRAVERSE""))+(COUNTIF(FILTER(Data!N:N,Data!B:B=A756),""HIGH""))+(COUNTIF(FILTER(Data!N:N,Data!B:B=A756),""MIDDLE""))+(COUNTIF(FILTER(Data!N:N,Data!B:B=A756),""LOW"")))) / (((COUNTIF(Data!B:B, A756)))-(CO"&amp;"UNTIF(FILTER(Data!N:N,Data!B:B=A756),""NONE""))),IF(ISBLANK(A756),"""",0))"),"")</f>
        <v/>
      </c>
      <c r="T756" s="56" t="str">
        <f>IFERROR(__xludf.DUMMYFUNCTION("IFERROR((COUNTIF(FILTER(Data!N:N, Data!B:B=A756),""LOW"")) / (COUNTIF(Data!B:B, A756)),"""")"),"")</f>
        <v/>
      </c>
      <c r="U756" s="59" t="str">
        <f>IFERROR(__xludf.DUMMYFUNCTION("IFERROR((COUNTIF(FILTER(Data!N:N, Data!B:B=A756),""MIDDLE"")) / (COUNTIF(Data!B:B, A756)),"""")"),"")</f>
        <v/>
      </c>
      <c r="V756" s="59" t="str">
        <f>IFERROR(__xludf.DUMMYFUNCTION("IFERROR((COUNTIF(FILTER(Data!N:N, Data!B:B=A756),""HIGH"")) / (COUNTIF(Data!B:B, A756)),"""")"),"")</f>
        <v/>
      </c>
      <c r="W756" s="59" t="str">
        <f>IFERROR(__xludf.DUMMYFUNCTION("IFERROR((COUNTIF(FILTER(Data!N:N, Data!B:B=A756),""TRAVERSE"")) / (COUNTIF(Data!B:B, A756)),"""")"),"")</f>
        <v/>
      </c>
      <c r="X756" s="59"/>
      <c r="Y756" s="45" t="str">
        <f t="shared" si="7"/>
        <v/>
      </c>
      <c r="Z756" s="45" t="str">
        <f t="shared" si="8"/>
        <v/>
      </c>
      <c r="AA756" s="16" t="str">
        <f t="shared" si="9"/>
        <v/>
      </c>
      <c r="AB756" s="16"/>
      <c r="AC756" s="16"/>
      <c r="AD756" s="16"/>
      <c r="AE756" s="16" t="str">
        <f t="shared" si="12"/>
        <v/>
      </c>
      <c r="AF756" s="16" t="str">
        <f t="shared" si="13"/>
        <v/>
      </c>
      <c r="AG756" s="44"/>
      <c r="AH756" s="44"/>
      <c r="AI756" s="44" t="str">
        <f>IFERROR(__xludf.DUMMYFUNCTION("TEXTJOIN("", "",TRUE, FILTER(Data!P:P, Data!B:B=A756))"),"")</f>
        <v/>
      </c>
      <c r="AM756" s="61"/>
      <c r="BC756" s="50"/>
    </row>
    <row r="757">
      <c r="A757" s="14"/>
      <c r="B757" s="55" t="str">
        <f>IFERROR(__xludf.DUMMYFUNCTION("IFERROR(ROUND(
(COUNTIF(FILTER(Data!O:O, Data!B:B=A757), ""Win"")
+ COUNTIF(FILTER(Data!O:O, Data!B:B=A757), {""Tie"",""Results""}))
/ (COUNTIF(Data!B:B, A757)),
1),"""")"),"")</f>
        <v/>
      </c>
      <c r="C757" s="45" t="str">
        <f>IFERROR((SUMIF(Data!B:B, A757, Data!H:H)
/ (COUNTIF(Data!B:B, A757)
)),"")</f>
        <v/>
      </c>
      <c r="D757" s="45" t="str">
        <f>IFERROR((SUMIF(Data!B:B, A757, Data!G:G)
/ (COUNTIF(Data!B:B, A757)
)),"")</f>
        <v/>
      </c>
      <c r="E757" s="45"/>
      <c r="F757" s="45" t="str">
        <f>IFERROR((SUMIF(Data!B:B, A757, Data!J:J)
/ (COUNTIF(Data!B:B, A757)
)),"")</f>
        <v/>
      </c>
      <c r="G757" s="56" t="str">
        <f>IF(A757="","",IFERROR((((((SUMIF(Data!B:B, A757, Data!H:H)+(SUMIF(Data!B:B, A757,Data!G:G)))/(SUMIF(Data!B:B, A757, Data!J:J)))))),0))</f>
        <v/>
      </c>
      <c r="H757" s="45"/>
      <c r="I757" s="45"/>
      <c r="J757" s="45"/>
      <c r="K757" s="45"/>
      <c r="L757" s="45" t="str">
        <f>IFERROR((SUMIF(Data!B:B, A757, Data!L:L)
/ (COUNTIF(Data!B:B, A757)
)),"")</f>
        <v/>
      </c>
      <c r="M757" s="45" t="str">
        <f>IFERROR((SUMIF(Data!B:B, A757, Data!K:K)
/ (COUNTIF(Data!B:B, A757)
)),"")</f>
        <v/>
      </c>
      <c r="N757" s="56"/>
      <c r="O757" s="56" t="str">
        <f>IF(A757="","",IFERROR((((((SUMIF(Data!B:B, A757, Data!H:H)+(SUMIF(Data!B:B, A757,Data!G:G)+(SUMIF(Data!B:B, A757,Data!L:L)+(SUMIF(Data!B:B, A757,Data!K:K)))))/(SUMIF(Data!B:B, A757, Data!M:M)+(SUMIF(Data!B:B, A757, Data!H:H)+(SUMIF(Data!B:B, A757,Data!G:G)+(SUMIF(Data!B:B, A757,Data!K:K)+(SUMIF(Data!B:B, A757,Data!L:L)))))))))),0))</f>
        <v/>
      </c>
      <c r="P757" s="57" t="str">
        <f>IFERROR(__xludf.DUMMYFUNCTION("IFERROR(((COUNTIF(FILTER(Data!N:N,Data!B:B=A757),""TRAVERSE"")*15)+(COUNTIF(FILTER(Data!N:N,Data!B:B=A757),""HIGH"")*10)+(COUNTIF(FILTER(Data!N:N,Data!B:B=A757),""MIDDLE"")*6)+(COUNTIF(FILTER(Data!N:N,Data!B:B=A757),""LOW"")*4)) / (COUNTIF(Data!B:B, A757)"&amp;"),"""")"),"")</f>
        <v/>
      </c>
      <c r="Q757" s="58"/>
      <c r="R757" s="58"/>
      <c r="S757" s="58" t="str">
        <f>IFERROR(__xludf.DUMMYFUNCTION("IFERROR((((COUNTIF(FILTER(Data!N:N,Data!B:B=A757),""TRAVERSE""))+(COUNTIF(FILTER(Data!N:N,Data!B:B=A757),""HIGH""))+(COUNTIF(FILTER(Data!N:N,Data!B:B=A757),""MIDDLE""))+(COUNTIF(FILTER(Data!N:N,Data!B:B=A757),""LOW"")))) / (((COUNTIF(Data!B:B, A757)))-(CO"&amp;"UNTIF(FILTER(Data!N:N,Data!B:B=A757),""NONE""))),IF(ISBLANK(A757),"""",0))"),"")</f>
        <v/>
      </c>
      <c r="T757" s="56" t="str">
        <f>IFERROR(__xludf.DUMMYFUNCTION("IFERROR((COUNTIF(FILTER(Data!N:N, Data!B:B=A757),""LOW"")) / (COUNTIF(Data!B:B, A757)),"""")"),"")</f>
        <v/>
      </c>
      <c r="U757" s="59" t="str">
        <f>IFERROR(__xludf.DUMMYFUNCTION("IFERROR((COUNTIF(FILTER(Data!N:N, Data!B:B=A757),""MIDDLE"")) / (COUNTIF(Data!B:B, A757)),"""")"),"")</f>
        <v/>
      </c>
      <c r="V757" s="59" t="str">
        <f>IFERROR(__xludf.DUMMYFUNCTION("IFERROR((COUNTIF(FILTER(Data!N:N, Data!B:B=A757),""HIGH"")) / (COUNTIF(Data!B:B, A757)),"""")"),"")</f>
        <v/>
      </c>
      <c r="W757" s="59" t="str">
        <f>IFERROR(__xludf.DUMMYFUNCTION("IFERROR((COUNTIF(FILTER(Data!N:N, Data!B:B=A757),""TRAVERSE"")) / (COUNTIF(Data!B:B, A757)),"""")"),"")</f>
        <v/>
      </c>
      <c r="X757" s="59"/>
      <c r="Y757" s="45" t="str">
        <f t="shared" si="7"/>
        <v/>
      </c>
      <c r="Z757" s="45" t="str">
        <f t="shared" si="8"/>
        <v/>
      </c>
      <c r="AA757" s="16" t="str">
        <f t="shared" si="9"/>
        <v/>
      </c>
      <c r="AB757" s="16"/>
      <c r="AC757" s="16"/>
      <c r="AD757" s="16"/>
      <c r="AE757" s="16" t="str">
        <f t="shared" si="12"/>
        <v/>
      </c>
      <c r="AF757" s="16" t="str">
        <f t="shared" si="13"/>
        <v/>
      </c>
      <c r="AG757" s="44"/>
      <c r="AH757" s="44"/>
      <c r="AI757" s="44" t="str">
        <f>IFERROR(__xludf.DUMMYFUNCTION("TEXTJOIN("", "",TRUE, FILTER(Data!P:P, Data!B:B=A757))"),"")</f>
        <v/>
      </c>
      <c r="AM757" s="61"/>
      <c r="BC757" s="50"/>
    </row>
    <row r="758">
      <c r="A758" s="14"/>
      <c r="B758" s="55" t="str">
        <f>IFERROR(__xludf.DUMMYFUNCTION("IFERROR(ROUND(
(COUNTIF(FILTER(Data!O:O, Data!B:B=A758), ""Win"")
+ COUNTIF(FILTER(Data!O:O, Data!B:B=A758), {""Tie"",""Results""}))
/ (COUNTIF(Data!B:B, A758)),
1),"""")"),"")</f>
        <v/>
      </c>
      <c r="C758" s="45" t="str">
        <f>IFERROR((SUMIF(Data!B:B, A758, Data!H:H)
/ (COUNTIF(Data!B:B, A758)
)),"")</f>
        <v/>
      </c>
      <c r="D758" s="45" t="str">
        <f>IFERROR((SUMIF(Data!B:B, A758, Data!G:G)
/ (COUNTIF(Data!B:B, A758)
)),"")</f>
        <v/>
      </c>
      <c r="E758" s="45"/>
      <c r="F758" s="45" t="str">
        <f>IFERROR((SUMIF(Data!B:B, A758, Data!J:J)
/ (COUNTIF(Data!B:B, A758)
)),"")</f>
        <v/>
      </c>
      <c r="G758" s="56" t="str">
        <f>IF(A758="","",IFERROR((((((SUMIF(Data!B:B, A758, Data!H:H)+(SUMIF(Data!B:B, A758,Data!G:G)))/(SUMIF(Data!B:B, A758, Data!J:J)))))),0))</f>
        <v/>
      </c>
      <c r="H758" s="45"/>
      <c r="I758" s="45"/>
      <c r="J758" s="45"/>
      <c r="K758" s="45"/>
      <c r="L758" s="45" t="str">
        <f>IFERROR((SUMIF(Data!B:B, A758, Data!L:L)
/ (COUNTIF(Data!B:B, A758)
)),"")</f>
        <v/>
      </c>
      <c r="M758" s="45" t="str">
        <f>IFERROR((SUMIF(Data!B:B, A758, Data!K:K)
/ (COUNTIF(Data!B:B, A758)
)),"")</f>
        <v/>
      </c>
      <c r="N758" s="56"/>
      <c r="O758" s="56" t="str">
        <f>IF(A758="","",IFERROR((((((SUMIF(Data!B:B, A758, Data!H:H)+(SUMIF(Data!B:B, A758,Data!G:G)+(SUMIF(Data!B:B, A758,Data!L:L)+(SUMIF(Data!B:B, A758,Data!K:K)))))/(SUMIF(Data!B:B, A758, Data!M:M)+(SUMIF(Data!B:B, A758, Data!H:H)+(SUMIF(Data!B:B, A758,Data!G:G)+(SUMIF(Data!B:B, A758,Data!K:K)+(SUMIF(Data!B:B, A758,Data!L:L)))))))))),0))</f>
        <v/>
      </c>
      <c r="P758" s="57" t="str">
        <f>IFERROR(__xludf.DUMMYFUNCTION("IFERROR(((COUNTIF(FILTER(Data!N:N,Data!B:B=A758),""TRAVERSE"")*15)+(COUNTIF(FILTER(Data!N:N,Data!B:B=A758),""HIGH"")*10)+(COUNTIF(FILTER(Data!N:N,Data!B:B=A758),""MIDDLE"")*6)+(COUNTIF(FILTER(Data!N:N,Data!B:B=A758),""LOW"")*4)) / (COUNTIF(Data!B:B, A758)"&amp;"),"""")"),"")</f>
        <v/>
      </c>
      <c r="Q758" s="58"/>
      <c r="R758" s="58"/>
      <c r="S758" s="58" t="str">
        <f>IFERROR(__xludf.DUMMYFUNCTION("IFERROR((((COUNTIF(FILTER(Data!N:N,Data!B:B=A758),""TRAVERSE""))+(COUNTIF(FILTER(Data!N:N,Data!B:B=A758),""HIGH""))+(COUNTIF(FILTER(Data!N:N,Data!B:B=A758),""MIDDLE""))+(COUNTIF(FILTER(Data!N:N,Data!B:B=A758),""LOW"")))) / (((COUNTIF(Data!B:B, A758)))-(CO"&amp;"UNTIF(FILTER(Data!N:N,Data!B:B=A758),""NONE""))),IF(ISBLANK(A758),"""",0))"),"")</f>
        <v/>
      </c>
      <c r="T758" s="56" t="str">
        <f>IFERROR(__xludf.DUMMYFUNCTION("IFERROR((COUNTIF(FILTER(Data!N:N, Data!B:B=A758),""LOW"")) / (COUNTIF(Data!B:B, A758)),"""")"),"")</f>
        <v/>
      </c>
      <c r="U758" s="59" t="str">
        <f>IFERROR(__xludf.DUMMYFUNCTION("IFERROR((COUNTIF(FILTER(Data!N:N, Data!B:B=A758),""MIDDLE"")) / (COUNTIF(Data!B:B, A758)),"""")"),"")</f>
        <v/>
      </c>
      <c r="V758" s="59" t="str">
        <f>IFERROR(__xludf.DUMMYFUNCTION("IFERROR((COUNTIF(FILTER(Data!N:N, Data!B:B=A758),""HIGH"")) / (COUNTIF(Data!B:B, A758)),"""")"),"")</f>
        <v/>
      </c>
      <c r="W758" s="59" t="str">
        <f>IFERROR(__xludf.DUMMYFUNCTION("IFERROR((COUNTIF(FILTER(Data!N:N, Data!B:B=A758),""TRAVERSE"")) / (COUNTIF(Data!B:B, A758)),"""")"),"")</f>
        <v/>
      </c>
      <c r="X758" s="59"/>
      <c r="Y758" s="45" t="str">
        <f t="shared" si="7"/>
        <v/>
      </c>
      <c r="Z758" s="45" t="str">
        <f t="shared" si="8"/>
        <v/>
      </c>
      <c r="AA758" s="16" t="str">
        <f t="shared" si="9"/>
        <v/>
      </c>
      <c r="AB758" s="16"/>
      <c r="AC758" s="16"/>
      <c r="AD758" s="16"/>
      <c r="AE758" s="16" t="str">
        <f t="shared" si="12"/>
        <v/>
      </c>
      <c r="AF758" s="16" t="str">
        <f t="shared" si="13"/>
        <v/>
      </c>
      <c r="AG758" s="44"/>
      <c r="AH758" s="44"/>
      <c r="AI758" s="44" t="str">
        <f>IFERROR(__xludf.DUMMYFUNCTION("TEXTJOIN("", "",TRUE, FILTER(Data!P:P, Data!B:B=A758))"),"")</f>
        <v/>
      </c>
      <c r="AM758" s="61"/>
      <c r="BC758" s="50"/>
    </row>
    <row r="759">
      <c r="A759" s="14"/>
      <c r="B759" s="55" t="str">
        <f>IFERROR(__xludf.DUMMYFUNCTION("IFERROR(ROUND(
(COUNTIF(FILTER(Data!O:O, Data!B:B=A759), ""Win"")
+ COUNTIF(FILTER(Data!O:O, Data!B:B=A759), {""Tie"",""Results""}))
/ (COUNTIF(Data!B:B, A759)),
1),"""")"),"")</f>
        <v/>
      </c>
      <c r="C759" s="45" t="str">
        <f>IFERROR((SUMIF(Data!B:B, A759, Data!H:H)
/ (COUNTIF(Data!B:B, A759)
)),"")</f>
        <v/>
      </c>
      <c r="D759" s="45" t="str">
        <f>IFERROR((SUMIF(Data!B:B, A759, Data!G:G)
/ (COUNTIF(Data!B:B, A759)
)),"")</f>
        <v/>
      </c>
      <c r="E759" s="45"/>
      <c r="F759" s="45" t="str">
        <f>IFERROR((SUMIF(Data!B:B, A759, Data!J:J)
/ (COUNTIF(Data!B:B, A759)
)),"")</f>
        <v/>
      </c>
      <c r="G759" s="56" t="str">
        <f>IF(A759="","",IFERROR((((((SUMIF(Data!B:B, A759, Data!H:H)+(SUMIF(Data!B:B, A759,Data!G:G)))/(SUMIF(Data!B:B, A759, Data!J:J)))))),0))</f>
        <v/>
      </c>
      <c r="H759" s="45"/>
      <c r="I759" s="45"/>
      <c r="J759" s="45"/>
      <c r="K759" s="45"/>
      <c r="L759" s="45" t="str">
        <f>IFERROR((SUMIF(Data!B:B, A759, Data!L:L)
/ (COUNTIF(Data!B:B, A759)
)),"")</f>
        <v/>
      </c>
      <c r="M759" s="45" t="str">
        <f>IFERROR((SUMIF(Data!B:B, A759, Data!K:K)
/ (COUNTIF(Data!B:B, A759)
)),"")</f>
        <v/>
      </c>
      <c r="N759" s="56"/>
      <c r="O759" s="56" t="str">
        <f>IF(A759="","",IFERROR((((((SUMIF(Data!B:B, A759, Data!H:H)+(SUMIF(Data!B:B, A759,Data!G:G)+(SUMIF(Data!B:B, A759,Data!L:L)+(SUMIF(Data!B:B, A759,Data!K:K)))))/(SUMIF(Data!B:B, A759, Data!M:M)+(SUMIF(Data!B:B, A759, Data!H:H)+(SUMIF(Data!B:B, A759,Data!G:G)+(SUMIF(Data!B:B, A759,Data!K:K)+(SUMIF(Data!B:B, A759,Data!L:L)))))))))),0))</f>
        <v/>
      </c>
      <c r="P759" s="57" t="str">
        <f>IFERROR(__xludf.DUMMYFUNCTION("IFERROR(((COUNTIF(FILTER(Data!N:N,Data!B:B=A759),""TRAVERSE"")*15)+(COUNTIF(FILTER(Data!N:N,Data!B:B=A759),""HIGH"")*10)+(COUNTIF(FILTER(Data!N:N,Data!B:B=A759),""MIDDLE"")*6)+(COUNTIF(FILTER(Data!N:N,Data!B:B=A759),""LOW"")*4)) / (COUNTIF(Data!B:B, A759)"&amp;"),"""")"),"")</f>
        <v/>
      </c>
      <c r="Q759" s="58"/>
      <c r="R759" s="58"/>
      <c r="S759" s="58" t="str">
        <f>IFERROR(__xludf.DUMMYFUNCTION("IFERROR((((COUNTIF(FILTER(Data!N:N,Data!B:B=A759),""TRAVERSE""))+(COUNTIF(FILTER(Data!N:N,Data!B:B=A759),""HIGH""))+(COUNTIF(FILTER(Data!N:N,Data!B:B=A759),""MIDDLE""))+(COUNTIF(FILTER(Data!N:N,Data!B:B=A759),""LOW"")))) / (((COUNTIF(Data!B:B, A759)))-(CO"&amp;"UNTIF(FILTER(Data!N:N,Data!B:B=A759),""NONE""))),IF(ISBLANK(A759),"""",0))"),"")</f>
        <v/>
      </c>
      <c r="T759" s="56" t="str">
        <f>IFERROR(__xludf.DUMMYFUNCTION("IFERROR((COUNTIF(FILTER(Data!N:N, Data!B:B=A759),""LOW"")) / (COUNTIF(Data!B:B, A759)),"""")"),"")</f>
        <v/>
      </c>
      <c r="U759" s="59" t="str">
        <f>IFERROR(__xludf.DUMMYFUNCTION("IFERROR((COUNTIF(FILTER(Data!N:N, Data!B:B=A759),""MIDDLE"")) / (COUNTIF(Data!B:B, A759)),"""")"),"")</f>
        <v/>
      </c>
      <c r="V759" s="59" t="str">
        <f>IFERROR(__xludf.DUMMYFUNCTION("IFERROR((COUNTIF(FILTER(Data!N:N, Data!B:B=A759),""HIGH"")) / (COUNTIF(Data!B:B, A759)),"""")"),"")</f>
        <v/>
      </c>
      <c r="W759" s="59" t="str">
        <f>IFERROR(__xludf.DUMMYFUNCTION("IFERROR((COUNTIF(FILTER(Data!N:N, Data!B:B=A759),""TRAVERSE"")) / (COUNTIF(Data!B:B, A759)),"""")"),"")</f>
        <v/>
      </c>
      <c r="X759" s="59"/>
      <c r="Y759" s="45" t="str">
        <f t="shared" si="7"/>
        <v/>
      </c>
      <c r="Z759" s="45" t="str">
        <f t="shared" si="8"/>
        <v/>
      </c>
      <c r="AA759" s="16" t="str">
        <f t="shared" si="9"/>
        <v/>
      </c>
      <c r="AB759" s="16"/>
      <c r="AC759" s="16"/>
      <c r="AD759" s="16"/>
      <c r="AE759" s="16" t="str">
        <f t="shared" si="12"/>
        <v/>
      </c>
      <c r="AF759" s="16" t="str">
        <f t="shared" si="13"/>
        <v/>
      </c>
      <c r="AG759" s="44"/>
      <c r="AH759" s="44"/>
      <c r="AI759" s="44" t="str">
        <f>IFERROR(__xludf.DUMMYFUNCTION("TEXTJOIN("", "",TRUE, FILTER(Data!P:P, Data!B:B=A759))"),"")</f>
        <v/>
      </c>
      <c r="AM759" s="61"/>
      <c r="BC759" s="50"/>
    </row>
    <row r="760">
      <c r="A760" s="14"/>
      <c r="B760" s="55" t="str">
        <f>IFERROR(__xludf.DUMMYFUNCTION("IFERROR(ROUND(
(COUNTIF(FILTER(Data!O:O, Data!B:B=A760), ""Win"")
+ COUNTIF(FILTER(Data!O:O, Data!B:B=A760), {""Tie"",""Results""}))
/ (COUNTIF(Data!B:B, A760)),
1),"""")"),"")</f>
        <v/>
      </c>
      <c r="C760" s="45" t="str">
        <f>IFERROR((SUMIF(Data!B:B, A760, Data!H:H)
/ (COUNTIF(Data!B:B, A760)
)),"")</f>
        <v/>
      </c>
      <c r="D760" s="45" t="str">
        <f>IFERROR((SUMIF(Data!B:B, A760, Data!G:G)
/ (COUNTIF(Data!B:B, A760)
)),"")</f>
        <v/>
      </c>
      <c r="E760" s="45"/>
      <c r="F760" s="45" t="str">
        <f>IFERROR((SUMIF(Data!B:B, A760, Data!J:J)
/ (COUNTIF(Data!B:B, A760)
)),"")</f>
        <v/>
      </c>
      <c r="G760" s="56" t="str">
        <f>IF(A760="","",IFERROR((((((SUMIF(Data!B:B, A760, Data!H:H)+(SUMIF(Data!B:B, A760,Data!G:G)))/(SUMIF(Data!B:B, A760, Data!J:J)))))),0))</f>
        <v/>
      </c>
      <c r="H760" s="45"/>
      <c r="I760" s="45"/>
      <c r="J760" s="45"/>
      <c r="K760" s="45"/>
      <c r="L760" s="45" t="str">
        <f>IFERROR((SUMIF(Data!B:B, A760, Data!L:L)
/ (COUNTIF(Data!B:B, A760)
)),"")</f>
        <v/>
      </c>
      <c r="M760" s="45" t="str">
        <f>IFERROR((SUMIF(Data!B:B, A760, Data!K:K)
/ (COUNTIF(Data!B:B, A760)
)),"")</f>
        <v/>
      </c>
      <c r="N760" s="56"/>
      <c r="O760" s="56" t="str">
        <f>IF(A760="","",IFERROR((((((SUMIF(Data!B:B, A760, Data!H:H)+(SUMIF(Data!B:B, A760,Data!G:G)+(SUMIF(Data!B:B, A760,Data!L:L)+(SUMIF(Data!B:B, A760,Data!K:K)))))/(SUMIF(Data!B:B, A760, Data!M:M)+(SUMIF(Data!B:B, A760, Data!H:H)+(SUMIF(Data!B:B, A760,Data!G:G)+(SUMIF(Data!B:B, A760,Data!K:K)+(SUMIF(Data!B:B, A760,Data!L:L)))))))))),0))</f>
        <v/>
      </c>
      <c r="P760" s="57" t="str">
        <f>IFERROR(__xludf.DUMMYFUNCTION("IFERROR(((COUNTIF(FILTER(Data!N:N,Data!B:B=A760),""TRAVERSE"")*15)+(COUNTIF(FILTER(Data!N:N,Data!B:B=A760),""HIGH"")*10)+(COUNTIF(FILTER(Data!N:N,Data!B:B=A760),""MIDDLE"")*6)+(COUNTIF(FILTER(Data!N:N,Data!B:B=A760),""LOW"")*4)) / (COUNTIF(Data!B:B, A760)"&amp;"),"""")"),"")</f>
        <v/>
      </c>
      <c r="Q760" s="58"/>
      <c r="R760" s="58"/>
      <c r="S760" s="58" t="str">
        <f>IFERROR(__xludf.DUMMYFUNCTION("IFERROR((((COUNTIF(FILTER(Data!N:N,Data!B:B=A760),""TRAVERSE""))+(COUNTIF(FILTER(Data!N:N,Data!B:B=A760),""HIGH""))+(COUNTIF(FILTER(Data!N:N,Data!B:B=A760),""MIDDLE""))+(COUNTIF(FILTER(Data!N:N,Data!B:B=A760),""LOW"")))) / (((COUNTIF(Data!B:B, A760)))-(CO"&amp;"UNTIF(FILTER(Data!N:N,Data!B:B=A760),""NONE""))),IF(ISBLANK(A760),"""",0))"),"")</f>
        <v/>
      </c>
      <c r="T760" s="56" t="str">
        <f>IFERROR(__xludf.DUMMYFUNCTION("IFERROR((COUNTIF(FILTER(Data!N:N, Data!B:B=A760),""LOW"")) / (COUNTIF(Data!B:B, A760)),"""")"),"")</f>
        <v/>
      </c>
      <c r="U760" s="59" t="str">
        <f>IFERROR(__xludf.DUMMYFUNCTION("IFERROR((COUNTIF(FILTER(Data!N:N, Data!B:B=A760),""MIDDLE"")) / (COUNTIF(Data!B:B, A760)),"""")"),"")</f>
        <v/>
      </c>
      <c r="V760" s="59" t="str">
        <f>IFERROR(__xludf.DUMMYFUNCTION("IFERROR((COUNTIF(FILTER(Data!N:N, Data!B:B=A760),""HIGH"")) / (COUNTIF(Data!B:B, A760)),"""")"),"")</f>
        <v/>
      </c>
      <c r="W760" s="59" t="str">
        <f>IFERROR(__xludf.DUMMYFUNCTION("IFERROR((COUNTIF(FILTER(Data!N:N, Data!B:B=A760),""TRAVERSE"")) / (COUNTIF(Data!B:B, A760)),"""")"),"")</f>
        <v/>
      </c>
      <c r="X760" s="59"/>
      <c r="Y760" s="45" t="str">
        <f t="shared" si="7"/>
        <v/>
      </c>
      <c r="Z760" s="45" t="str">
        <f t="shared" si="8"/>
        <v/>
      </c>
      <c r="AA760" s="16" t="str">
        <f t="shared" si="9"/>
        <v/>
      </c>
      <c r="AB760" s="16"/>
      <c r="AC760" s="16"/>
      <c r="AD760" s="16"/>
      <c r="AE760" s="16" t="str">
        <f t="shared" si="12"/>
        <v/>
      </c>
      <c r="AF760" s="16" t="str">
        <f t="shared" si="13"/>
        <v/>
      </c>
      <c r="AG760" s="44"/>
      <c r="AH760" s="44"/>
      <c r="AI760" s="44" t="str">
        <f>IFERROR(__xludf.DUMMYFUNCTION("TEXTJOIN("", "",TRUE, FILTER(Data!P:P, Data!B:B=A760))"),"")</f>
        <v/>
      </c>
      <c r="AM760" s="61"/>
      <c r="BC760" s="50"/>
    </row>
    <row r="761">
      <c r="A761" s="14"/>
      <c r="B761" s="55" t="str">
        <f>IFERROR(__xludf.DUMMYFUNCTION("IFERROR(ROUND(
(COUNTIF(FILTER(Data!O:O, Data!B:B=A761), ""Win"")
+ COUNTIF(FILTER(Data!O:O, Data!B:B=A761), {""Tie"",""Results""}))
/ (COUNTIF(Data!B:B, A761)),
1),"""")"),"")</f>
        <v/>
      </c>
      <c r="C761" s="45" t="str">
        <f>IFERROR((SUMIF(Data!B:B, A761, Data!H:H)
/ (COUNTIF(Data!B:B, A761)
)),"")</f>
        <v/>
      </c>
      <c r="D761" s="45" t="str">
        <f>IFERROR((SUMIF(Data!B:B, A761, Data!G:G)
/ (COUNTIF(Data!B:B, A761)
)),"")</f>
        <v/>
      </c>
      <c r="E761" s="45"/>
      <c r="F761" s="45" t="str">
        <f>IFERROR((SUMIF(Data!B:B, A761, Data!J:J)
/ (COUNTIF(Data!B:B, A761)
)),"")</f>
        <v/>
      </c>
      <c r="G761" s="56" t="str">
        <f>IF(A761="","",IFERROR((((((SUMIF(Data!B:B, A761, Data!H:H)+(SUMIF(Data!B:B, A761,Data!G:G)))/(SUMIF(Data!B:B, A761, Data!J:J)))))),0))</f>
        <v/>
      </c>
      <c r="H761" s="45"/>
      <c r="I761" s="45"/>
      <c r="J761" s="45"/>
      <c r="K761" s="45"/>
      <c r="L761" s="45" t="str">
        <f>IFERROR((SUMIF(Data!B:B, A761, Data!L:L)
/ (COUNTIF(Data!B:B, A761)
)),"")</f>
        <v/>
      </c>
      <c r="M761" s="45" t="str">
        <f>IFERROR((SUMIF(Data!B:B, A761, Data!K:K)
/ (COUNTIF(Data!B:B, A761)
)),"")</f>
        <v/>
      </c>
      <c r="N761" s="56"/>
      <c r="O761" s="56" t="str">
        <f>IF(A761="","",IFERROR((((((SUMIF(Data!B:B, A761, Data!H:H)+(SUMIF(Data!B:B, A761,Data!G:G)+(SUMIF(Data!B:B, A761,Data!L:L)+(SUMIF(Data!B:B, A761,Data!K:K)))))/(SUMIF(Data!B:B, A761, Data!M:M)+(SUMIF(Data!B:B, A761, Data!H:H)+(SUMIF(Data!B:B, A761,Data!G:G)+(SUMIF(Data!B:B, A761,Data!K:K)+(SUMIF(Data!B:B, A761,Data!L:L)))))))))),0))</f>
        <v/>
      </c>
      <c r="P761" s="57" t="str">
        <f>IFERROR(__xludf.DUMMYFUNCTION("IFERROR(((COUNTIF(FILTER(Data!N:N,Data!B:B=A761),""TRAVERSE"")*15)+(COUNTIF(FILTER(Data!N:N,Data!B:B=A761),""HIGH"")*10)+(COUNTIF(FILTER(Data!N:N,Data!B:B=A761),""MIDDLE"")*6)+(COUNTIF(FILTER(Data!N:N,Data!B:B=A761),""LOW"")*4)) / (COUNTIF(Data!B:B, A761)"&amp;"),"""")"),"")</f>
        <v/>
      </c>
      <c r="Q761" s="58"/>
      <c r="R761" s="58"/>
      <c r="S761" s="58" t="str">
        <f>IFERROR(__xludf.DUMMYFUNCTION("IFERROR((((COUNTIF(FILTER(Data!N:N,Data!B:B=A761),""TRAVERSE""))+(COUNTIF(FILTER(Data!N:N,Data!B:B=A761),""HIGH""))+(COUNTIF(FILTER(Data!N:N,Data!B:B=A761),""MIDDLE""))+(COUNTIF(FILTER(Data!N:N,Data!B:B=A761),""LOW"")))) / (((COUNTIF(Data!B:B, A761)))-(CO"&amp;"UNTIF(FILTER(Data!N:N,Data!B:B=A761),""NONE""))),IF(ISBLANK(A761),"""",0))"),"")</f>
        <v/>
      </c>
      <c r="T761" s="56" t="str">
        <f>IFERROR(__xludf.DUMMYFUNCTION("IFERROR((COUNTIF(FILTER(Data!N:N, Data!B:B=A761),""LOW"")) / (COUNTIF(Data!B:B, A761)),"""")"),"")</f>
        <v/>
      </c>
      <c r="U761" s="59" t="str">
        <f>IFERROR(__xludf.DUMMYFUNCTION("IFERROR((COUNTIF(FILTER(Data!N:N, Data!B:B=A761),""MIDDLE"")) / (COUNTIF(Data!B:B, A761)),"""")"),"")</f>
        <v/>
      </c>
      <c r="V761" s="59" t="str">
        <f>IFERROR(__xludf.DUMMYFUNCTION("IFERROR((COUNTIF(FILTER(Data!N:N, Data!B:B=A761),""HIGH"")) / (COUNTIF(Data!B:B, A761)),"""")"),"")</f>
        <v/>
      </c>
      <c r="W761" s="59" t="str">
        <f>IFERROR(__xludf.DUMMYFUNCTION("IFERROR((COUNTIF(FILTER(Data!N:N, Data!B:B=A761),""TRAVERSE"")) / (COUNTIF(Data!B:B, A761)),"""")"),"")</f>
        <v/>
      </c>
      <c r="X761" s="59"/>
      <c r="Y761" s="45" t="str">
        <f t="shared" si="7"/>
        <v/>
      </c>
      <c r="Z761" s="45" t="str">
        <f t="shared" si="8"/>
        <v/>
      </c>
      <c r="AA761" s="16" t="str">
        <f t="shared" si="9"/>
        <v/>
      </c>
      <c r="AB761" s="16"/>
      <c r="AC761" s="16"/>
      <c r="AD761" s="16"/>
      <c r="AE761" s="16" t="str">
        <f t="shared" si="12"/>
        <v/>
      </c>
      <c r="AF761" s="16" t="str">
        <f t="shared" si="13"/>
        <v/>
      </c>
      <c r="AG761" s="44"/>
      <c r="AH761" s="44"/>
      <c r="AI761" s="44" t="str">
        <f>IFERROR(__xludf.DUMMYFUNCTION("TEXTJOIN("", "",TRUE, FILTER(Data!P:P, Data!B:B=A761))"),"")</f>
        <v/>
      </c>
      <c r="AM761" s="61"/>
      <c r="BC761" s="50"/>
    </row>
    <row r="762">
      <c r="A762" s="14"/>
      <c r="B762" s="55" t="str">
        <f>IFERROR(__xludf.DUMMYFUNCTION("IFERROR(ROUND(
(COUNTIF(FILTER(Data!O:O, Data!B:B=A762), ""Win"")
+ COUNTIF(FILTER(Data!O:O, Data!B:B=A762), {""Tie"",""Results""}))
/ (COUNTIF(Data!B:B, A762)),
1),"""")"),"")</f>
        <v/>
      </c>
      <c r="C762" s="45" t="str">
        <f>IFERROR((SUMIF(Data!B:B, A762, Data!H:H)
/ (COUNTIF(Data!B:B, A762)
)),"")</f>
        <v/>
      </c>
      <c r="D762" s="45" t="str">
        <f>IFERROR((SUMIF(Data!B:B, A762, Data!G:G)
/ (COUNTIF(Data!B:B, A762)
)),"")</f>
        <v/>
      </c>
      <c r="E762" s="45"/>
      <c r="F762" s="45" t="str">
        <f>IFERROR((SUMIF(Data!B:B, A762, Data!J:J)
/ (COUNTIF(Data!B:B, A762)
)),"")</f>
        <v/>
      </c>
      <c r="G762" s="56" t="str">
        <f>IF(A762="","",IFERROR((((((SUMIF(Data!B:B, A762, Data!H:H)+(SUMIF(Data!B:B, A762,Data!G:G)))/(SUMIF(Data!B:B, A762, Data!J:J)))))),0))</f>
        <v/>
      </c>
      <c r="H762" s="45"/>
      <c r="I762" s="45"/>
      <c r="J762" s="45"/>
      <c r="K762" s="45"/>
      <c r="L762" s="45" t="str">
        <f>IFERROR((SUMIF(Data!B:B, A762, Data!L:L)
/ (COUNTIF(Data!B:B, A762)
)),"")</f>
        <v/>
      </c>
      <c r="M762" s="45" t="str">
        <f>IFERROR((SUMIF(Data!B:B, A762, Data!K:K)
/ (COUNTIF(Data!B:B, A762)
)),"")</f>
        <v/>
      </c>
      <c r="N762" s="56"/>
      <c r="O762" s="56" t="str">
        <f>IF(A762="","",IFERROR((((((SUMIF(Data!B:B, A762, Data!H:H)+(SUMIF(Data!B:B, A762,Data!G:G)+(SUMIF(Data!B:B, A762,Data!L:L)+(SUMIF(Data!B:B, A762,Data!K:K)))))/(SUMIF(Data!B:B, A762, Data!M:M)+(SUMIF(Data!B:B, A762, Data!H:H)+(SUMIF(Data!B:B, A762,Data!G:G)+(SUMIF(Data!B:B, A762,Data!K:K)+(SUMIF(Data!B:B, A762,Data!L:L)))))))))),0))</f>
        <v/>
      </c>
      <c r="P762" s="57" t="str">
        <f>IFERROR(__xludf.DUMMYFUNCTION("IFERROR(((COUNTIF(FILTER(Data!N:N,Data!B:B=A762),""TRAVERSE"")*15)+(COUNTIF(FILTER(Data!N:N,Data!B:B=A762),""HIGH"")*10)+(COUNTIF(FILTER(Data!N:N,Data!B:B=A762),""MIDDLE"")*6)+(COUNTIF(FILTER(Data!N:N,Data!B:B=A762),""LOW"")*4)) / (COUNTIF(Data!B:B, A762)"&amp;"),"""")"),"")</f>
        <v/>
      </c>
      <c r="Q762" s="58"/>
      <c r="R762" s="58"/>
      <c r="S762" s="58" t="str">
        <f>IFERROR(__xludf.DUMMYFUNCTION("IFERROR((((COUNTIF(FILTER(Data!N:N,Data!B:B=A762),""TRAVERSE""))+(COUNTIF(FILTER(Data!N:N,Data!B:B=A762),""HIGH""))+(COUNTIF(FILTER(Data!N:N,Data!B:B=A762),""MIDDLE""))+(COUNTIF(FILTER(Data!N:N,Data!B:B=A762),""LOW"")))) / (((COUNTIF(Data!B:B, A762)))-(CO"&amp;"UNTIF(FILTER(Data!N:N,Data!B:B=A762),""NONE""))),IF(ISBLANK(A762),"""",0))"),"")</f>
        <v/>
      </c>
      <c r="T762" s="56" t="str">
        <f>IFERROR(__xludf.DUMMYFUNCTION("IFERROR((COUNTIF(FILTER(Data!N:N, Data!B:B=A762),""LOW"")) / (COUNTIF(Data!B:B, A762)),"""")"),"")</f>
        <v/>
      </c>
      <c r="U762" s="59" t="str">
        <f>IFERROR(__xludf.DUMMYFUNCTION("IFERROR((COUNTIF(FILTER(Data!N:N, Data!B:B=A762),""MIDDLE"")) / (COUNTIF(Data!B:B, A762)),"""")"),"")</f>
        <v/>
      </c>
      <c r="V762" s="59" t="str">
        <f>IFERROR(__xludf.DUMMYFUNCTION("IFERROR((COUNTIF(FILTER(Data!N:N, Data!B:B=A762),""HIGH"")) / (COUNTIF(Data!B:B, A762)),"""")"),"")</f>
        <v/>
      </c>
      <c r="W762" s="59" t="str">
        <f>IFERROR(__xludf.DUMMYFUNCTION("IFERROR((COUNTIF(FILTER(Data!N:N, Data!B:B=A762),""TRAVERSE"")) / (COUNTIF(Data!B:B, A762)),"""")"),"")</f>
        <v/>
      </c>
      <c r="X762" s="59"/>
      <c r="Y762" s="45" t="str">
        <f t="shared" si="7"/>
        <v/>
      </c>
      <c r="Z762" s="45" t="str">
        <f t="shared" si="8"/>
        <v/>
      </c>
      <c r="AA762" s="16" t="str">
        <f t="shared" si="9"/>
        <v/>
      </c>
      <c r="AB762" s="16"/>
      <c r="AC762" s="16"/>
      <c r="AD762" s="16"/>
      <c r="AE762" s="16" t="str">
        <f t="shared" si="12"/>
        <v/>
      </c>
      <c r="AF762" s="16" t="str">
        <f t="shared" si="13"/>
        <v/>
      </c>
      <c r="AG762" s="44"/>
      <c r="AH762" s="44"/>
      <c r="AI762" s="44" t="str">
        <f>IFERROR(__xludf.DUMMYFUNCTION("TEXTJOIN("", "",TRUE, FILTER(Data!P:P, Data!B:B=A762))"),"")</f>
        <v/>
      </c>
      <c r="AM762" s="61"/>
      <c r="BC762" s="50"/>
    </row>
    <row r="763">
      <c r="A763" s="14"/>
      <c r="B763" s="55" t="str">
        <f>IFERROR(__xludf.DUMMYFUNCTION("IFERROR(ROUND(
(COUNTIF(FILTER(Data!O:O, Data!B:B=A763), ""Win"")
+ COUNTIF(FILTER(Data!O:O, Data!B:B=A763), {""Tie"",""Results""}))
/ (COUNTIF(Data!B:B, A763)),
1),"""")"),"")</f>
        <v/>
      </c>
      <c r="C763" s="45" t="str">
        <f>IFERROR((SUMIF(Data!B:B, A763, Data!H:H)
/ (COUNTIF(Data!B:B, A763)
)),"")</f>
        <v/>
      </c>
      <c r="D763" s="45" t="str">
        <f>IFERROR((SUMIF(Data!B:B, A763, Data!G:G)
/ (COUNTIF(Data!B:B, A763)
)),"")</f>
        <v/>
      </c>
      <c r="E763" s="45"/>
      <c r="F763" s="45" t="str">
        <f>IFERROR((SUMIF(Data!B:B, A763, Data!J:J)
/ (COUNTIF(Data!B:B, A763)
)),"")</f>
        <v/>
      </c>
      <c r="G763" s="56" t="str">
        <f>IF(A763="","",IFERROR((((((SUMIF(Data!B:B, A763, Data!H:H)+(SUMIF(Data!B:B, A763,Data!G:G)))/(SUMIF(Data!B:B, A763, Data!J:J)))))),0))</f>
        <v/>
      </c>
      <c r="H763" s="45"/>
      <c r="I763" s="45"/>
      <c r="J763" s="45"/>
      <c r="K763" s="45"/>
      <c r="L763" s="45" t="str">
        <f>IFERROR((SUMIF(Data!B:B, A763, Data!L:L)
/ (COUNTIF(Data!B:B, A763)
)),"")</f>
        <v/>
      </c>
      <c r="M763" s="45" t="str">
        <f>IFERROR((SUMIF(Data!B:B, A763, Data!K:K)
/ (COUNTIF(Data!B:B, A763)
)),"")</f>
        <v/>
      </c>
      <c r="N763" s="56"/>
      <c r="O763" s="56" t="str">
        <f>IF(A763="","",IFERROR((((((SUMIF(Data!B:B, A763, Data!H:H)+(SUMIF(Data!B:B, A763,Data!G:G)+(SUMIF(Data!B:B, A763,Data!L:L)+(SUMIF(Data!B:B, A763,Data!K:K)))))/(SUMIF(Data!B:B, A763, Data!M:M)+(SUMIF(Data!B:B, A763, Data!H:H)+(SUMIF(Data!B:B, A763,Data!G:G)+(SUMIF(Data!B:B, A763,Data!K:K)+(SUMIF(Data!B:B, A763,Data!L:L)))))))))),0))</f>
        <v/>
      </c>
      <c r="P763" s="57" t="str">
        <f>IFERROR(__xludf.DUMMYFUNCTION("IFERROR(((COUNTIF(FILTER(Data!N:N,Data!B:B=A763),""TRAVERSE"")*15)+(COUNTIF(FILTER(Data!N:N,Data!B:B=A763),""HIGH"")*10)+(COUNTIF(FILTER(Data!N:N,Data!B:B=A763),""MIDDLE"")*6)+(COUNTIF(FILTER(Data!N:N,Data!B:B=A763),""LOW"")*4)) / (COUNTIF(Data!B:B, A763)"&amp;"),"""")"),"")</f>
        <v/>
      </c>
      <c r="Q763" s="58"/>
      <c r="R763" s="58"/>
      <c r="S763" s="58" t="str">
        <f>IFERROR(__xludf.DUMMYFUNCTION("IFERROR((((COUNTIF(FILTER(Data!N:N,Data!B:B=A763),""TRAVERSE""))+(COUNTIF(FILTER(Data!N:N,Data!B:B=A763),""HIGH""))+(COUNTIF(FILTER(Data!N:N,Data!B:B=A763),""MIDDLE""))+(COUNTIF(FILTER(Data!N:N,Data!B:B=A763),""LOW"")))) / (((COUNTIF(Data!B:B, A763)))-(CO"&amp;"UNTIF(FILTER(Data!N:N,Data!B:B=A763),""NONE""))),IF(ISBLANK(A763),"""",0))"),"")</f>
        <v/>
      </c>
      <c r="T763" s="56" t="str">
        <f>IFERROR(__xludf.DUMMYFUNCTION("IFERROR((COUNTIF(FILTER(Data!N:N, Data!B:B=A763),""LOW"")) / (COUNTIF(Data!B:B, A763)),"""")"),"")</f>
        <v/>
      </c>
      <c r="U763" s="59" t="str">
        <f>IFERROR(__xludf.DUMMYFUNCTION("IFERROR((COUNTIF(FILTER(Data!N:N, Data!B:B=A763),""MIDDLE"")) / (COUNTIF(Data!B:B, A763)),"""")"),"")</f>
        <v/>
      </c>
      <c r="V763" s="59" t="str">
        <f>IFERROR(__xludf.DUMMYFUNCTION("IFERROR((COUNTIF(FILTER(Data!N:N, Data!B:B=A763),""HIGH"")) / (COUNTIF(Data!B:B, A763)),"""")"),"")</f>
        <v/>
      </c>
      <c r="W763" s="59" t="str">
        <f>IFERROR(__xludf.DUMMYFUNCTION("IFERROR((COUNTIF(FILTER(Data!N:N, Data!B:B=A763),""TRAVERSE"")) / (COUNTIF(Data!B:B, A763)),"""")"),"")</f>
        <v/>
      </c>
      <c r="X763" s="59"/>
      <c r="Y763" s="45" t="str">
        <f t="shared" si="7"/>
        <v/>
      </c>
      <c r="Z763" s="45" t="str">
        <f t="shared" si="8"/>
        <v/>
      </c>
      <c r="AA763" s="16" t="str">
        <f t="shared" si="9"/>
        <v/>
      </c>
      <c r="AB763" s="16"/>
      <c r="AC763" s="16"/>
      <c r="AD763" s="16"/>
      <c r="AE763" s="16" t="str">
        <f t="shared" si="12"/>
        <v/>
      </c>
      <c r="AF763" s="16" t="str">
        <f t="shared" si="13"/>
        <v/>
      </c>
      <c r="AG763" s="44"/>
      <c r="AH763" s="44"/>
      <c r="AI763" s="44" t="str">
        <f>IFERROR(__xludf.DUMMYFUNCTION("TEXTJOIN("", "",TRUE, FILTER(Data!P:P, Data!B:B=A763))"),"")</f>
        <v/>
      </c>
      <c r="AM763" s="61"/>
      <c r="BC763" s="50"/>
    </row>
    <row r="764">
      <c r="A764" s="14"/>
      <c r="B764" s="55" t="str">
        <f>IFERROR(__xludf.DUMMYFUNCTION("IFERROR(ROUND(
(COUNTIF(FILTER(Data!O:O, Data!B:B=A764), ""Win"")
+ COUNTIF(FILTER(Data!O:O, Data!B:B=A764), {""Tie"",""Results""}))
/ (COUNTIF(Data!B:B, A764)),
1),"""")"),"")</f>
        <v/>
      </c>
      <c r="C764" s="45" t="str">
        <f>IFERROR((SUMIF(Data!B:B, A764, Data!H:H)
/ (COUNTIF(Data!B:B, A764)
)),"")</f>
        <v/>
      </c>
      <c r="D764" s="45" t="str">
        <f>IFERROR((SUMIF(Data!B:B, A764, Data!G:G)
/ (COUNTIF(Data!B:B, A764)
)),"")</f>
        <v/>
      </c>
      <c r="E764" s="45"/>
      <c r="F764" s="45" t="str">
        <f>IFERROR((SUMIF(Data!B:B, A764, Data!J:J)
/ (COUNTIF(Data!B:B, A764)
)),"")</f>
        <v/>
      </c>
      <c r="G764" s="56" t="str">
        <f>IF(A764="","",IFERROR((((((SUMIF(Data!B:B, A764, Data!H:H)+(SUMIF(Data!B:B, A764,Data!G:G)))/(SUMIF(Data!B:B, A764, Data!J:J)))))),0))</f>
        <v/>
      </c>
      <c r="H764" s="45"/>
      <c r="I764" s="45"/>
      <c r="J764" s="45"/>
      <c r="K764" s="45"/>
      <c r="L764" s="45" t="str">
        <f>IFERROR((SUMIF(Data!B:B, A764, Data!L:L)
/ (COUNTIF(Data!B:B, A764)
)),"")</f>
        <v/>
      </c>
      <c r="M764" s="45" t="str">
        <f>IFERROR((SUMIF(Data!B:B, A764, Data!K:K)
/ (COUNTIF(Data!B:B, A764)
)),"")</f>
        <v/>
      </c>
      <c r="N764" s="56"/>
      <c r="O764" s="56" t="str">
        <f>IF(A764="","",IFERROR((((((SUMIF(Data!B:B, A764, Data!H:H)+(SUMIF(Data!B:B, A764,Data!G:G)+(SUMIF(Data!B:B, A764,Data!L:L)+(SUMIF(Data!B:B, A764,Data!K:K)))))/(SUMIF(Data!B:B, A764, Data!M:M)+(SUMIF(Data!B:B, A764, Data!H:H)+(SUMIF(Data!B:B, A764,Data!G:G)+(SUMIF(Data!B:B, A764,Data!K:K)+(SUMIF(Data!B:B, A764,Data!L:L)))))))))),0))</f>
        <v/>
      </c>
      <c r="P764" s="57" t="str">
        <f>IFERROR(__xludf.DUMMYFUNCTION("IFERROR(((COUNTIF(FILTER(Data!N:N,Data!B:B=A764),""TRAVERSE"")*15)+(COUNTIF(FILTER(Data!N:N,Data!B:B=A764),""HIGH"")*10)+(COUNTIF(FILTER(Data!N:N,Data!B:B=A764),""MIDDLE"")*6)+(COUNTIF(FILTER(Data!N:N,Data!B:B=A764),""LOW"")*4)) / (COUNTIF(Data!B:B, A764)"&amp;"),"""")"),"")</f>
        <v/>
      </c>
      <c r="Q764" s="58"/>
      <c r="R764" s="58"/>
      <c r="S764" s="58" t="str">
        <f>IFERROR(__xludf.DUMMYFUNCTION("IFERROR((((COUNTIF(FILTER(Data!N:N,Data!B:B=A764),""TRAVERSE""))+(COUNTIF(FILTER(Data!N:N,Data!B:B=A764),""HIGH""))+(COUNTIF(FILTER(Data!N:N,Data!B:B=A764),""MIDDLE""))+(COUNTIF(FILTER(Data!N:N,Data!B:B=A764),""LOW"")))) / (((COUNTIF(Data!B:B, A764)))-(CO"&amp;"UNTIF(FILTER(Data!N:N,Data!B:B=A764),""NONE""))),IF(ISBLANK(A764),"""",0))"),"")</f>
        <v/>
      </c>
      <c r="T764" s="56" t="str">
        <f>IFERROR(__xludf.DUMMYFUNCTION("IFERROR((COUNTIF(FILTER(Data!N:N, Data!B:B=A764),""LOW"")) / (COUNTIF(Data!B:B, A764)),"""")"),"")</f>
        <v/>
      </c>
      <c r="U764" s="59" t="str">
        <f>IFERROR(__xludf.DUMMYFUNCTION("IFERROR((COUNTIF(FILTER(Data!N:N, Data!B:B=A764),""MIDDLE"")) / (COUNTIF(Data!B:B, A764)),"""")"),"")</f>
        <v/>
      </c>
      <c r="V764" s="59" t="str">
        <f>IFERROR(__xludf.DUMMYFUNCTION("IFERROR((COUNTIF(FILTER(Data!N:N, Data!B:B=A764),""HIGH"")) / (COUNTIF(Data!B:B, A764)),"""")"),"")</f>
        <v/>
      </c>
      <c r="W764" s="59" t="str">
        <f>IFERROR(__xludf.DUMMYFUNCTION("IFERROR((COUNTIF(FILTER(Data!N:N, Data!B:B=A764),""TRAVERSE"")) / (COUNTIF(Data!B:B, A764)),"""")"),"")</f>
        <v/>
      </c>
      <c r="X764" s="59"/>
      <c r="Y764" s="45" t="str">
        <f t="shared" si="7"/>
        <v/>
      </c>
      <c r="Z764" s="45" t="str">
        <f t="shared" si="8"/>
        <v/>
      </c>
      <c r="AA764" s="16" t="str">
        <f t="shared" si="9"/>
        <v/>
      </c>
      <c r="AB764" s="16"/>
      <c r="AC764" s="16"/>
      <c r="AD764" s="16"/>
      <c r="AE764" s="16" t="str">
        <f t="shared" si="12"/>
        <v/>
      </c>
      <c r="AF764" s="16" t="str">
        <f t="shared" si="13"/>
        <v/>
      </c>
      <c r="AG764" s="44"/>
      <c r="AH764" s="44"/>
      <c r="AI764" s="44" t="str">
        <f>IFERROR(__xludf.DUMMYFUNCTION("TEXTJOIN("", "",TRUE, FILTER(Data!P:P, Data!B:B=A764))"),"")</f>
        <v/>
      </c>
      <c r="AM764" s="61"/>
      <c r="BC764" s="50"/>
    </row>
    <row r="765">
      <c r="A765" s="14"/>
      <c r="B765" s="55" t="str">
        <f>IFERROR(__xludf.DUMMYFUNCTION("IFERROR(ROUND(
(COUNTIF(FILTER(Data!O:O, Data!B:B=A765), ""Win"")
+ COUNTIF(FILTER(Data!O:O, Data!B:B=A765), {""Tie"",""Results""}))
/ (COUNTIF(Data!B:B, A765)),
1),"""")"),"")</f>
        <v/>
      </c>
      <c r="C765" s="45" t="str">
        <f>IFERROR((SUMIF(Data!B:B, A765, Data!H:H)
/ (COUNTIF(Data!B:B, A765)
)),"")</f>
        <v/>
      </c>
      <c r="D765" s="45" t="str">
        <f>IFERROR((SUMIF(Data!B:B, A765, Data!G:G)
/ (COUNTIF(Data!B:B, A765)
)),"")</f>
        <v/>
      </c>
      <c r="E765" s="45"/>
      <c r="F765" s="45" t="str">
        <f>IFERROR((SUMIF(Data!B:B, A765, Data!J:J)
/ (COUNTIF(Data!B:B, A765)
)),"")</f>
        <v/>
      </c>
      <c r="G765" s="56" t="str">
        <f>IF(A765="","",IFERROR((((((SUMIF(Data!B:B, A765, Data!H:H)+(SUMIF(Data!B:B, A765,Data!G:G)))/(SUMIF(Data!B:B, A765, Data!J:J)))))),0))</f>
        <v/>
      </c>
      <c r="H765" s="45"/>
      <c r="I765" s="45"/>
      <c r="J765" s="45"/>
      <c r="K765" s="45"/>
      <c r="L765" s="45" t="str">
        <f>IFERROR((SUMIF(Data!B:B, A765, Data!L:L)
/ (COUNTIF(Data!B:B, A765)
)),"")</f>
        <v/>
      </c>
      <c r="M765" s="45" t="str">
        <f>IFERROR((SUMIF(Data!B:B, A765, Data!K:K)
/ (COUNTIF(Data!B:B, A765)
)),"")</f>
        <v/>
      </c>
      <c r="N765" s="56"/>
      <c r="O765" s="56" t="str">
        <f>IF(A765="","",IFERROR((((((SUMIF(Data!B:B, A765, Data!H:H)+(SUMIF(Data!B:B, A765,Data!G:G)+(SUMIF(Data!B:B, A765,Data!L:L)+(SUMIF(Data!B:B, A765,Data!K:K)))))/(SUMIF(Data!B:B, A765, Data!M:M)+(SUMIF(Data!B:B, A765, Data!H:H)+(SUMIF(Data!B:B, A765,Data!G:G)+(SUMIF(Data!B:B, A765,Data!K:K)+(SUMIF(Data!B:B, A765,Data!L:L)))))))))),0))</f>
        <v/>
      </c>
      <c r="P765" s="57" t="str">
        <f>IFERROR(__xludf.DUMMYFUNCTION("IFERROR(((COUNTIF(FILTER(Data!N:N,Data!B:B=A765),""TRAVERSE"")*15)+(COUNTIF(FILTER(Data!N:N,Data!B:B=A765),""HIGH"")*10)+(COUNTIF(FILTER(Data!N:N,Data!B:B=A765),""MIDDLE"")*6)+(COUNTIF(FILTER(Data!N:N,Data!B:B=A765),""LOW"")*4)) / (COUNTIF(Data!B:B, A765)"&amp;"),"""")"),"")</f>
        <v/>
      </c>
      <c r="Q765" s="58"/>
      <c r="R765" s="58"/>
      <c r="S765" s="58" t="str">
        <f>IFERROR(__xludf.DUMMYFUNCTION("IFERROR((((COUNTIF(FILTER(Data!N:N,Data!B:B=A765),""TRAVERSE""))+(COUNTIF(FILTER(Data!N:N,Data!B:B=A765),""HIGH""))+(COUNTIF(FILTER(Data!N:N,Data!B:B=A765),""MIDDLE""))+(COUNTIF(FILTER(Data!N:N,Data!B:B=A765),""LOW"")))) / (((COUNTIF(Data!B:B, A765)))-(CO"&amp;"UNTIF(FILTER(Data!N:N,Data!B:B=A765),""NONE""))),IF(ISBLANK(A765),"""",0))"),"")</f>
        <v/>
      </c>
      <c r="T765" s="56" t="str">
        <f>IFERROR(__xludf.DUMMYFUNCTION("IFERROR((COUNTIF(FILTER(Data!N:N, Data!B:B=A765),""LOW"")) / (COUNTIF(Data!B:B, A765)),"""")"),"")</f>
        <v/>
      </c>
      <c r="U765" s="59" t="str">
        <f>IFERROR(__xludf.DUMMYFUNCTION("IFERROR((COUNTIF(FILTER(Data!N:N, Data!B:B=A765),""MIDDLE"")) / (COUNTIF(Data!B:B, A765)),"""")"),"")</f>
        <v/>
      </c>
      <c r="V765" s="59" t="str">
        <f>IFERROR(__xludf.DUMMYFUNCTION("IFERROR((COUNTIF(FILTER(Data!N:N, Data!B:B=A765),""HIGH"")) / (COUNTIF(Data!B:B, A765)),"""")"),"")</f>
        <v/>
      </c>
      <c r="W765" s="59" t="str">
        <f>IFERROR(__xludf.DUMMYFUNCTION("IFERROR((COUNTIF(FILTER(Data!N:N, Data!B:B=A765),""TRAVERSE"")) / (COUNTIF(Data!B:B, A765)),"""")"),"")</f>
        <v/>
      </c>
      <c r="X765" s="59"/>
      <c r="Y765" s="45" t="str">
        <f t="shared" si="7"/>
        <v/>
      </c>
      <c r="Z765" s="45" t="str">
        <f t="shared" si="8"/>
        <v/>
      </c>
      <c r="AA765" s="16" t="str">
        <f t="shared" si="9"/>
        <v/>
      </c>
      <c r="AB765" s="16"/>
      <c r="AC765" s="16"/>
      <c r="AD765" s="16"/>
      <c r="AE765" s="16" t="str">
        <f t="shared" si="12"/>
        <v/>
      </c>
      <c r="AF765" s="16" t="str">
        <f t="shared" si="13"/>
        <v/>
      </c>
      <c r="AG765" s="44"/>
      <c r="AH765" s="44"/>
      <c r="AI765" s="44" t="str">
        <f>IFERROR(__xludf.DUMMYFUNCTION("TEXTJOIN("", "",TRUE, FILTER(Data!P:P, Data!B:B=A765))"),"")</f>
        <v/>
      </c>
      <c r="AM765" s="61"/>
      <c r="BC765" s="50"/>
    </row>
    <row r="766">
      <c r="A766" s="14"/>
      <c r="B766" s="55" t="str">
        <f>IFERROR(__xludf.DUMMYFUNCTION("IFERROR(ROUND(
(COUNTIF(FILTER(Data!O:O, Data!B:B=A766), ""Win"")
+ COUNTIF(FILTER(Data!O:O, Data!B:B=A766), {""Tie"",""Results""}))
/ (COUNTIF(Data!B:B, A766)),
1),"""")"),"")</f>
        <v/>
      </c>
      <c r="C766" s="45" t="str">
        <f>IFERROR((SUMIF(Data!B:B, A766, Data!H:H)
/ (COUNTIF(Data!B:B, A766)
)),"")</f>
        <v/>
      </c>
      <c r="D766" s="45" t="str">
        <f>IFERROR((SUMIF(Data!B:B, A766, Data!G:G)
/ (COUNTIF(Data!B:B, A766)
)),"")</f>
        <v/>
      </c>
      <c r="E766" s="45"/>
      <c r="F766" s="45" t="str">
        <f>IFERROR((SUMIF(Data!B:B, A766, Data!J:J)
/ (COUNTIF(Data!B:B, A766)
)),"")</f>
        <v/>
      </c>
      <c r="G766" s="56" t="str">
        <f>IF(A766="","",IFERROR((((((SUMIF(Data!B:B, A766, Data!H:H)+(SUMIF(Data!B:B, A766,Data!G:G)))/(SUMIF(Data!B:B, A766, Data!J:J)))))),0))</f>
        <v/>
      </c>
      <c r="H766" s="45"/>
      <c r="I766" s="45"/>
      <c r="J766" s="45"/>
      <c r="K766" s="45"/>
      <c r="L766" s="45" t="str">
        <f>IFERROR((SUMIF(Data!B:B, A766, Data!L:L)
/ (COUNTIF(Data!B:B, A766)
)),"")</f>
        <v/>
      </c>
      <c r="M766" s="45" t="str">
        <f>IFERROR((SUMIF(Data!B:B, A766, Data!K:K)
/ (COUNTIF(Data!B:B, A766)
)),"")</f>
        <v/>
      </c>
      <c r="N766" s="56"/>
      <c r="O766" s="56" t="str">
        <f>IF(A766="","",IFERROR((((((SUMIF(Data!B:B, A766, Data!H:H)+(SUMIF(Data!B:B, A766,Data!G:G)+(SUMIF(Data!B:B, A766,Data!L:L)+(SUMIF(Data!B:B, A766,Data!K:K)))))/(SUMIF(Data!B:B, A766, Data!M:M)+(SUMIF(Data!B:B, A766, Data!H:H)+(SUMIF(Data!B:B, A766,Data!G:G)+(SUMIF(Data!B:B, A766,Data!K:K)+(SUMIF(Data!B:B, A766,Data!L:L)))))))))),0))</f>
        <v/>
      </c>
      <c r="P766" s="57" t="str">
        <f>IFERROR(__xludf.DUMMYFUNCTION("IFERROR(((COUNTIF(FILTER(Data!N:N,Data!B:B=A766),""TRAVERSE"")*15)+(COUNTIF(FILTER(Data!N:N,Data!B:B=A766),""HIGH"")*10)+(COUNTIF(FILTER(Data!N:N,Data!B:B=A766),""MIDDLE"")*6)+(COUNTIF(FILTER(Data!N:N,Data!B:B=A766),""LOW"")*4)) / (COUNTIF(Data!B:B, A766)"&amp;"),"""")"),"")</f>
        <v/>
      </c>
      <c r="Q766" s="58"/>
      <c r="R766" s="58"/>
      <c r="S766" s="58" t="str">
        <f>IFERROR(__xludf.DUMMYFUNCTION("IFERROR((((COUNTIF(FILTER(Data!N:N,Data!B:B=A766),""TRAVERSE""))+(COUNTIF(FILTER(Data!N:N,Data!B:B=A766),""HIGH""))+(COUNTIF(FILTER(Data!N:N,Data!B:B=A766),""MIDDLE""))+(COUNTIF(FILTER(Data!N:N,Data!B:B=A766),""LOW"")))) / (((COUNTIF(Data!B:B, A766)))-(CO"&amp;"UNTIF(FILTER(Data!N:N,Data!B:B=A766),""NONE""))),IF(ISBLANK(A766),"""",0))"),"")</f>
        <v/>
      </c>
      <c r="T766" s="56" t="str">
        <f>IFERROR(__xludf.DUMMYFUNCTION("IFERROR((COUNTIF(FILTER(Data!N:N, Data!B:B=A766),""LOW"")) / (COUNTIF(Data!B:B, A766)),"""")"),"")</f>
        <v/>
      </c>
      <c r="U766" s="59" t="str">
        <f>IFERROR(__xludf.DUMMYFUNCTION("IFERROR((COUNTIF(FILTER(Data!N:N, Data!B:B=A766),""MIDDLE"")) / (COUNTIF(Data!B:B, A766)),"""")"),"")</f>
        <v/>
      </c>
      <c r="V766" s="59" t="str">
        <f>IFERROR(__xludf.DUMMYFUNCTION("IFERROR((COUNTIF(FILTER(Data!N:N, Data!B:B=A766),""HIGH"")) / (COUNTIF(Data!B:B, A766)),"""")"),"")</f>
        <v/>
      </c>
      <c r="W766" s="59" t="str">
        <f>IFERROR(__xludf.DUMMYFUNCTION("IFERROR((COUNTIF(FILTER(Data!N:N, Data!B:B=A766),""TRAVERSE"")) / (COUNTIF(Data!B:B, A766)),"""")"),"")</f>
        <v/>
      </c>
      <c r="X766" s="59"/>
      <c r="Y766" s="45" t="str">
        <f t="shared" si="7"/>
        <v/>
      </c>
      <c r="Z766" s="45" t="str">
        <f t="shared" si="8"/>
        <v/>
      </c>
      <c r="AA766" s="16" t="str">
        <f t="shared" si="9"/>
        <v/>
      </c>
      <c r="AB766" s="16"/>
      <c r="AC766" s="16"/>
      <c r="AD766" s="16"/>
      <c r="AE766" s="16" t="str">
        <f t="shared" si="12"/>
        <v/>
      </c>
      <c r="AF766" s="16" t="str">
        <f t="shared" si="13"/>
        <v/>
      </c>
      <c r="AG766" s="44"/>
      <c r="AH766" s="44"/>
      <c r="AI766" s="44" t="str">
        <f>IFERROR(__xludf.DUMMYFUNCTION("TEXTJOIN("", "",TRUE, FILTER(Data!P:P, Data!B:B=A766))"),"")</f>
        <v/>
      </c>
      <c r="AM766" s="61"/>
      <c r="BC766" s="50"/>
    </row>
    <row r="767">
      <c r="A767" s="14"/>
      <c r="B767" s="55" t="str">
        <f>IFERROR(__xludf.DUMMYFUNCTION("IFERROR(ROUND(
(COUNTIF(FILTER(Data!O:O, Data!B:B=A767), ""Win"")
+ COUNTIF(FILTER(Data!O:O, Data!B:B=A767), {""Tie"",""Results""}))
/ (COUNTIF(Data!B:B, A767)),
1),"""")"),"")</f>
        <v/>
      </c>
      <c r="C767" s="45" t="str">
        <f>IFERROR((SUMIF(Data!B:B, A767, Data!H:H)
/ (COUNTIF(Data!B:B, A767)
)),"")</f>
        <v/>
      </c>
      <c r="D767" s="45" t="str">
        <f>IFERROR((SUMIF(Data!B:B, A767, Data!G:G)
/ (COUNTIF(Data!B:B, A767)
)),"")</f>
        <v/>
      </c>
      <c r="E767" s="45"/>
      <c r="F767" s="45" t="str">
        <f>IFERROR((SUMIF(Data!B:B, A767, Data!J:J)
/ (COUNTIF(Data!B:B, A767)
)),"")</f>
        <v/>
      </c>
      <c r="G767" s="56" t="str">
        <f>IF(A767="","",IFERROR((((((SUMIF(Data!B:B, A767, Data!H:H)+(SUMIF(Data!B:B, A767,Data!G:G)))/(SUMIF(Data!B:B, A767, Data!J:J)))))),0))</f>
        <v/>
      </c>
      <c r="H767" s="45"/>
      <c r="I767" s="45"/>
      <c r="J767" s="45"/>
      <c r="K767" s="45"/>
      <c r="L767" s="45" t="str">
        <f>IFERROR((SUMIF(Data!B:B, A767, Data!L:L)
/ (COUNTIF(Data!B:B, A767)
)),"")</f>
        <v/>
      </c>
      <c r="M767" s="45" t="str">
        <f>IFERROR((SUMIF(Data!B:B, A767, Data!K:K)
/ (COUNTIF(Data!B:B, A767)
)),"")</f>
        <v/>
      </c>
      <c r="N767" s="56"/>
      <c r="O767" s="56" t="str">
        <f>IF(A767="","",IFERROR((((((SUMIF(Data!B:B, A767, Data!H:H)+(SUMIF(Data!B:B, A767,Data!G:G)+(SUMIF(Data!B:B, A767,Data!L:L)+(SUMIF(Data!B:B, A767,Data!K:K)))))/(SUMIF(Data!B:B, A767, Data!M:M)+(SUMIF(Data!B:B, A767, Data!H:H)+(SUMIF(Data!B:B, A767,Data!G:G)+(SUMIF(Data!B:B, A767,Data!K:K)+(SUMIF(Data!B:B, A767,Data!L:L)))))))))),0))</f>
        <v/>
      </c>
      <c r="P767" s="57" t="str">
        <f>IFERROR(__xludf.DUMMYFUNCTION("IFERROR(((COUNTIF(FILTER(Data!N:N,Data!B:B=A767),""TRAVERSE"")*15)+(COUNTIF(FILTER(Data!N:N,Data!B:B=A767),""HIGH"")*10)+(COUNTIF(FILTER(Data!N:N,Data!B:B=A767),""MIDDLE"")*6)+(COUNTIF(FILTER(Data!N:N,Data!B:B=A767),""LOW"")*4)) / (COUNTIF(Data!B:B, A767)"&amp;"),"""")"),"")</f>
        <v/>
      </c>
      <c r="Q767" s="58"/>
      <c r="R767" s="58"/>
      <c r="S767" s="58" t="str">
        <f>IFERROR(__xludf.DUMMYFUNCTION("IFERROR((((COUNTIF(FILTER(Data!N:N,Data!B:B=A767),""TRAVERSE""))+(COUNTIF(FILTER(Data!N:N,Data!B:B=A767),""HIGH""))+(COUNTIF(FILTER(Data!N:N,Data!B:B=A767),""MIDDLE""))+(COUNTIF(FILTER(Data!N:N,Data!B:B=A767),""LOW"")))) / (((COUNTIF(Data!B:B, A767)))-(CO"&amp;"UNTIF(FILTER(Data!N:N,Data!B:B=A767),""NONE""))),IF(ISBLANK(A767),"""",0))"),"")</f>
        <v/>
      </c>
      <c r="T767" s="56" t="str">
        <f>IFERROR(__xludf.DUMMYFUNCTION("IFERROR((COUNTIF(FILTER(Data!N:N, Data!B:B=A767),""LOW"")) / (COUNTIF(Data!B:B, A767)),"""")"),"")</f>
        <v/>
      </c>
      <c r="U767" s="59" t="str">
        <f>IFERROR(__xludf.DUMMYFUNCTION("IFERROR((COUNTIF(FILTER(Data!N:N, Data!B:B=A767),""MIDDLE"")) / (COUNTIF(Data!B:B, A767)),"""")"),"")</f>
        <v/>
      </c>
      <c r="V767" s="59" t="str">
        <f>IFERROR(__xludf.DUMMYFUNCTION("IFERROR((COUNTIF(FILTER(Data!N:N, Data!B:B=A767),""HIGH"")) / (COUNTIF(Data!B:B, A767)),"""")"),"")</f>
        <v/>
      </c>
      <c r="W767" s="59" t="str">
        <f>IFERROR(__xludf.DUMMYFUNCTION("IFERROR((COUNTIF(FILTER(Data!N:N, Data!B:B=A767),""TRAVERSE"")) / (COUNTIF(Data!B:B, A767)),"""")"),"")</f>
        <v/>
      </c>
      <c r="X767" s="59"/>
      <c r="Y767" s="45" t="str">
        <f t="shared" si="7"/>
        <v/>
      </c>
      <c r="Z767" s="45" t="str">
        <f t="shared" si="8"/>
        <v/>
      </c>
      <c r="AA767" s="16" t="str">
        <f t="shared" si="9"/>
        <v/>
      </c>
      <c r="AB767" s="16"/>
      <c r="AC767" s="16"/>
      <c r="AD767" s="16"/>
      <c r="AE767" s="16" t="str">
        <f t="shared" si="12"/>
        <v/>
      </c>
      <c r="AF767" s="16" t="str">
        <f t="shared" si="13"/>
        <v/>
      </c>
      <c r="AG767" s="44"/>
      <c r="AH767" s="44"/>
      <c r="AI767" s="44" t="str">
        <f>IFERROR(__xludf.DUMMYFUNCTION("TEXTJOIN("", "",TRUE, FILTER(Data!P:P, Data!B:B=A767))"),"")</f>
        <v/>
      </c>
      <c r="AM767" s="61"/>
      <c r="BC767" s="50"/>
    </row>
    <row r="768">
      <c r="A768" s="14"/>
      <c r="B768" s="55" t="str">
        <f>IFERROR(__xludf.DUMMYFUNCTION("IFERROR(ROUND(
(COUNTIF(FILTER(Data!O:O, Data!B:B=A768), ""Win"")
+ COUNTIF(FILTER(Data!O:O, Data!B:B=A768), {""Tie"",""Results""}))
/ (COUNTIF(Data!B:B, A768)),
1),"""")"),"")</f>
        <v/>
      </c>
      <c r="C768" s="45" t="str">
        <f>IFERROR((SUMIF(Data!B:B, A768, Data!H:H)
/ (COUNTIF(Data!B:B, A768)
)),"")</f>
        <v/>
      </c>
      <c r="D768" s="45" t="str">
        <f>IFERROR((SUMIF(Data!B:B, A768, Data!G:G)
/ (COUNTIF(Data!B:B, A768)
)),"")</f>
        <v/>
      </c>
      <c r="E768" s="45"/>
      <c r="F768" s="45" t="str">
        <f>IFERROR((SUMIF(Data!B:B, A768, Data!J:J)
/ (COUNTIF(Data!B:B, A768)
)),"")</f>
        <v/>
      </c>
      <c r="G768" s="56" t="str">
        <f>IF(A768="","",IFERROR((((((SUMIF(Data!B:B, A768, Data!H:H)+(SUMIF(Data!B:B, A768,Data!G:G)))/(SUMIF(Data!B:B, A768, Data!J:J)))))),0))</f>
        <v/>
      </c>
      <c r="H768" s="45"/>
      <c r="I768" s="45"/>
      <c r="J768" s="45"/>
      <c r="K768" s="45"/>
      <c r="L768" s="45" t="str">
        <f>IFERROR((SUMIF(Data!B:B, A768, Data!L:L)
/ (COUNTIF(Data!B:B, A768)
)),"")</f>
        <v/>
      </c>
      <c r="M768" s="45" t="str">
        <f>IFERROR((SUMIF(Data!B:B, A768, Data!K:K)
/ (COUNTIF(Data!B:B, A768)
)),"")</f>
        <v/>
      </c>
      <c r="N768" s="56"/>
      <c r="O768" s="56" t="str">
        <f>IF(A768="","",IFERROR((((((SUMIF(Data!B:B, A768, Data!H:H)+(SUMIF(Data!B:B, A768,Data!G:G)+(SUMIF(Data!B:B, A768,Data!L:L)+(SUMIF(Data!B:B, A768,Data!K:K)))))/(SUMIF(Data!B:B, A768, Data!M:M)+(SUMIF(Data!B:B, A768, Data!H:H)+(SUMIF(Data!B:B, A768,Data!G:G)+(SUMIF(Data!B:B, A768,Data!K:K)+(SUMIF(Data!B:B, A768,Data!L:L)))))))))),0))</f>
        <v/>
      </c>
      <c r="P768" s="57" t="str">
        <f>IFERROR(__xludf.DUMMYFUNCTION("IFERROR(((COUNTIF(FILTER(Data!N:N,Data!B:B=A768),""TRAVERSE"")*15)+(COUNTIF(FILTER(Data!N:N,Data!B:B=A768),""HIGH"")*10)+(COUNTIF(FILTER(Data!N:N,Data!B:B=A768),""MIDDLE"")*6)+(COUNTIF(FILTER(Data!N:N,Data!B:B=A768),""LOW"")*4)) / (COUNTIF(Data!B:B, A768)"&amp;"),"""")"),"")</f>
        <v/>
      </c>
      <c r="Q768" s="58"/>
      <c r="R768" s="58"/>
      <c r="S768" s="58" t="str">
        <f>IFERROR(__xludf.DUMMYFUNCTION("IFERROR((((COUNTIF(FILTER(Data!N:N,Data!B:B=A768),""TRAVERSE""))+(COUNTIF(FILTER(Data!N:N,Data!B:B=A768),""HIGH""))+(COUNTIF(FILTER(Data!N:N,Data!B:B=A768),""MIDDLE""))+(COUNTIF(FILTER(Data!N:N,Data!B:B=A768),""LOW"")))) / (((COUNTIF(Data!B:B, A768)))-(CO"&amp;"UNTIF(FILTER(Data!N:N,Data!B:B=A768),""NONE""))),IF(ISBLANK(A768),"""",0))"),"")</f>
        <v/>
      </c>
      <c r="T768" s="56" t="str">
        <f>IFERROR(__xludf.DUMMYFUNCTION("IFERROR((COUNTIF(FILTER(Data!N:N, Data!B:B=A768),""LOW"")) / (COUNTIF(Data!B:B, A768)),"""")"),"")</f>
        <v/>
      </c>
      <c r="U768" s="59" t="str">
        <f>IFERROR(__xludf.DUMMYFUNCTION("IFERROR((COUNTIF(FILTER(Data!N:N, Data!B:B=A768),""MIDDLE"")) / (COUNTIF(Data!B:B, A768)),"""")"),"")</f>
        <v/>
      </c>
      <c r="V768" s="59" t="str">
        <f>IFERROR(__xludf.DUMMYFUNCTION("IFERROR((COUNTIF(FILTER(Data!N:N, Data!B:B=A768),""HIGH"")) / (COUNTIF(Data!B:B, A768)),"""")"),"")</f>
        <v/>
      </c>
      <c r="W768" s="59" t="str">
        <f>IFERROR(__xludf.DUMMYFUNCTION("IFERROR((COUNTIF(FILTER(Data!N:N, Data!B:B=A768),""TRAVERSE"")) / (COUNTIF(Data!B:B, A768)),"""")"),"")</f>
        <v/>
      </c>
      <c r="X768" s="59"/>
      <c r="Y768" s="45" t="str">
        <f t="shared" si="7"/>
        <v/>
      </c>
      <c r="Z768" s="45" t="str">
        <f t="shared" si="8"/>
        <v/>
      </c>
      <c r="AA768" s="16" t="str">
        <f t="shared" si="9"/>
        <v/>
      </c>
      <c r="AB768" s="16"/>
      <c r="AC768" s="16"/>
      <c r="AD768" s="16"/>
      <c r="AE768" s="16" t="str">
        <f t="shared" si="12"/>
        <v/>
      </c>
      <c r="AF768" s="16" t="str">
        <f t="shared" si="13"/>
        <v/>
      </c>
      <c r="AG768" s="44"/>
      <c r="AH768" s="44"/>
      <c r="AI768" s="44" t="str">
        <f>IFERROR(__xludf.DUMMYFUNCTION("TEXTJOIN("", "",TRUE, FILTER(Data!P:P, Data!B:B=A768))"),"")</f>
        <v/>
      </c>
      <c r="AM768" s="61"/>
      <c r="BC768" s="50"/>
    </row>
    <row r="769">
      <c r="A769" s="14"/>
      <c r="B769" s="55" t="str">
        <f>IFERROR(__xludf.DUMMYFUNCTION("IFERROR(ROUND(
(COUNTIF(FILTER(Data!O:O, Data!B:B=A769), ""Win"")
+ COUNTIF(FILTER(Data!O:O, Data!B:B=A769), {""Tie"",""Results""}))
/ (COUNTIF(Data!B:B, A769)),
1),"""")"),"")</f>
        <v/>
      </c>
      <c r="C769" s="45" t="str">
        <f>IFERROR((SUMIF(Data!B:B, A769, Data!H:H)
/ (COUNTIF(Data!B:B, A769)
)),"")</f>
        <v/>
      </c>
      <c r="D769" s="45" t="str">
        <f>IFERROR((SUMIF(Data!B:B, A769, Data!G:G)
/ (COUNTIF(Data!B:B, A769)
)),"")</f>
        <v/>
      </c>
      <c r="E769" s="45"/>
      <c r="F769" s="45" t="str">
        <f>IFERROR((SUMIF(Data!B:B, A769, Data!J:J)
/ (COUNTIF(Data!B:B, A769)
)),"")</f>
        <v/>
      </c>
      <c r="G769" s="56" t="str">
        <f>IF(A769="","",IFERROR((((((SUMIF(Data!B:B, A769, Data!H:H)+(SUMIF(Data!B:B, A769,Data!G:G)))/(SUMIF(Data!B:B, A769, Data!J:J)))))),0))</f>
        <v/>
      </c>
      <c r="H769" s="45"/>
      <c r="I769" s="45"/>
      <c r="J769" s="45"/>
      <c r="K769" s="45"/>
      <c r="L769" s="45" t="str">
        <f>IFERROR((SUMIF(Data!B:B, A769, Data!L:L)
/ (COUNTIF(Data!B:B, A769)
)),"")</f>
        <v/>
      </c>
      <c r="M769" s="45" t="str">
        <f>IFERROR((SUMIF(Data!B:B, A769, Data!K:K)
/ (COUNTIF(Data!B:B, A769)
)),"")</f>
        <v/>
      </c>
      <c r="N769" s="56"/>
      <c r="O769" s="56" t="str">
        <f>IF(A769="","",IFERROR((((((SUMIF(Data!B:B, A769, Data!H:H)+(SUMIF(Data!B:B, A769,Data!G:G)+(SUMIF(Data!B:B, A769,Data!L:L)+(SUMIF(Data!B:B, A769,Data!K:K)))))/(SUMIF(Data!B:B, A769, Data!M:M)+(SUMIF(Data!B:B, A769, Data!H:H)+(SUMIF(Data!B:B, A769,Data!G:G)+(SUMIF(Data!B:B, A769,Data!K:K)+(SUMIF(Data!B:B, A769,Data!L:L)))))))))),0))</f>
        <v/>
      </c>
      <c r="P769" s="57" t="str">
        <f>IFERROR(__xludf.DUMMYFUNCTION("IFERROR(((COUNTIF(FILTER(Data!N:N,Data!B:B=A769),""TRAVERSE"")*15)+(COUNTIF(FILTER(Data!N:N,Data!B:B=A769),""HIGH"")*10)+(COUNTIF(FILTER(Data!N:N,Data!B:B=A769),""MIDDLE"")*6)+(COUNTIF(FILTER(Data!N:N,Data!B:B=A769),""LOW"")*4)) / (COUNTIF(Data!B:B, A769)"&amp;"),"""")"),"")</f>
        <v/>
      </c>
      <c r="Q769" s="58"/>
      <c r="R769" s="58"/>
      <c r="S769" s="58" t="str">
        <f>IFERROR(__xludf.DUMMYFUNCTION("IFERROR((((COUNTIF(FILTER(Data!N:N,Data!B:B=A769),""TRAVERSE""))+(COUNTIF(FILTER(Data!N:N,Data!B:B=A769),""HIGH""))+(COUNTIF(FILTER(Data!N:N,Data!B:B=A769),""MIDDLE""))+(COUNTIF(FILTER(Data!N:N,Data!B:B=A769),""LOW"")))) / (((COUNTIF(Data!B:B, A769)))-(CO"&amp;"UNTIF(FILTER(Data!N:N,Data!B:B=A769),""NONE""))),IF(ISBLANK(A769),"""",0))"),"")</f>
        <v/>
      </c>
      <c r="T769" s="56" t="str">
        <f>IFERROR(__xludf.DUMMYFUNCTION("IFERROR((COUNTIF(FILTER(Data!N:N, Data!B:B=A769),""LOW"")) / (COUNTIF(Data!B:B, A769)),"""")"),"")</f>
        <v/>
      </c>
      <c r="U769" s="59" t="str">
        <f>IFERROR(__xludf.DUMMYFUNCTION("IFERROR((COUNTIF(FILTER(Data!N:N, Data!B:B=A769),""MIDDLE"")) / (COUNTIF(Data!B:B, A769)),"""")"),"")</f>
        <v/>
      </c>
      <c r="V769" s="59" t="str">
        <f>IFERROR(__xludf.DUMMYFUNCTION("IFERROR((COUNTIF(FILTER(Data!N:N, Data!B:B=A769),""HIGH"")) / (COUNTIF(Data!B:B, A769)),"""")"),"")</f>
        <v/>
      </c>
      <c r="W769" s="59" t="str">
        <f>IFERROR(__xludf.DUMMYFUNCTION("IFERROR((COUNTIF(FILTER(Data!N:N, Data!B:B=A769),""TRAVERSE"")) / (COUNTIF(Data!B:B, A769)),"""")"),"")</f>
        <v/>
      </c>
      <c r="X769" s="59"/>
      <c r="Y769" s="45" t="str">
        <f t="shared" si="7"/>
        <v/>
      </c>
      <c r="Z769" s="45" t="str">
        <f t="shared" si="8"/>
        <v/>
      </c>
      <c r="AA769" s="16" t="str">
        <f t="shared" si="9"/>
        <v/>
      </c>
      <c r="AB769" s="16"/>
      <c r="AC769" s="16"/>
      <c r="AD769" s="16"/>
      <c r="AE769" s="16" t="str">
        <f t="shared" si="12"/>
        <v/>
      </c>
      <c r="AF769" s="16" t="str">
        <f t="shared" si="13"/>
        <v/>
      </c>
      <c r="AG769" s="44"/>
      <c r="AH769" s="44"/>
      <c r="AI769" s="44" t="str">
        <f>IFERROR(__xludf.DUMMYFUNCTION("TEXTJOIN("", "",TRUE, FILTER(Data!P:P, Data!B:B=A769))"),"")</f>
        <v/>
      </c>
      <c r="AM769" s="61"/>
      <c r="BC769" s="50"/>
    </row>
    <row r="770">
      <c r="A770" s="14"/>
      <c r="B770" s="55" t="str">
        <f>IFERROR(__xludf.DUMMYFUNCTION("IFERROR(ROUND(
(COUNTIF(FILTER(Data!O:O, Data!B:B=A770), ""Win"")
+ COUNTIF(FILTER(Data!O:O, Data!B:B=A770), {""Tie"",""Results""}))
/ (COUNTIF(Data!B:B, A770)),
1),"""")"),"")</f>
        <v/>
      </c>
      <c r="C770" s="45" t="str">
        <f>IFERROR((SUMIF(Data!B:B, A770, Data!H:H)
/ (COUNTIF(Data!B:B, A770)
)),"")</f>
        <v/>
      </c>
      <c r="D770" s="45" t="str">
        <f>IFERROR((SUMIF(Data!B:B, A770, Data!G:G)
/ (COUNTIF(Data!B:B, A770)
)),"")</f>
        <v/>
      </c>
      <c r="E770" s="45"/>
      <c r="F770" s="45" t="str">
        <f>IFERROR((SUMIF(Data!B:B, A770, Data!J:J)
/ (COUNTIF(Data!B:B, A770)
)),"")</f>
        <v/>
      </c>
      <c r="G770" s="56" t="str">
        <f>IF(A770="","",IFERROR((((((SUMIF(Data!B:B, A770, Data!H:H)+(SUMIF(Data!B:B, A770,Data!G:G)))/(SUMIF(Data!B:B, A770, Data!J:J)))))),0))</f>
        <v/>
      </c>
      <c r="H770" s="45"/>
      <c r="I770" s="45"/>
      <c r="J770" s="45"/>
      <c r="K770" s="45"/>
      <c r="L770" s="45" t="str">
        <f>IFERROR((SUMIF(Data!B:B, A770, Data!L:L)
/ (COUNTIF(Data!B:B, A770)
)),"")</f>
        <v/>
      </c>
      <c r="M770" s="45" t="str">
        <f>IFERROR((SUMIF(Data!B:B, A770, Data!K:K)
/ (COUNTIF(Data!B:B, A770)
)),"")</f>
        <v/>
      </c>
      <c r="N770" s="56"/>
      <c r="O770" s="56" t="str">
        <f>IF(A770="","",IFERROR((((((SUMIF(Data!B:B, A770, Data!H:H)+(SUMIF(Data!B:B, A770,Data!G:G)+(SUMIF(Data!B:B, A770,Data!L:L)+(SUMIF(Data!B:B, A770,Data!K:K)))))/(SUMIF(Data!B:B, A770, Data!M:M)+(SUMIF(Data!B:B, A770, Data!H:H)+(SUMIF(Data!B:B, A770,Data!G:G)+(SUMIF(Data!B:B, A770,Data!K:K)+(SUMIF(Data!B:B, A770,Data!L:L)))))))))),0))</f>
        <v/>
      </c>
      <c r="P770" s="57" t="str">
        <f>IFERROR(__xludf.DUMMYFUNCTION("IFERROR(((COUNTIF(FILTER(Data!N:N,Data!B:B=A770),""TRAVERSE"")*15)+(COUNTIF(FILTER(Data!N:N,Data!B:B=A770),""HIGH"")*10)+(COUNTIF(FILTER(Data!N:N,Data!B:B=A770),""MIDDLE"")*6)+(COUNTIF(FILTER(Data!N:N,Data!B:B=A770),""LOW"")*4)) / (COUNTIF(Data!B:B, A770)"&amp;"),"""")"),"")</f>
        <v/>
      </c>
      <c r="Q770" s="58"/>
      <c r="R770" s="58"/>
      <c r="S770" s="58" t="str">
        <f>IFERROR(__xludf.DUMMYFUNCTION("IFERROR((((COUNTIF(FILTER(Data!N:N,Data!B:B=A770),""TRAVERSE""))+(COUNTIF(FILTER(Data!N:N,Data!B:B=A770),""HIGH""))+(COUNTIF(FILTER(Data!N:N,Data!B:B=A770),""MIDDLE""))+(COUNTIF(FILTER(Data!N:N,Data!B:B=A770),""LOW"")))) / (((COUNTIF(Data!B:B, A770)))-(CO"&amp;"UNTIF(FILTER(Data!N:N,Data!B:B=A770),""NONE""))),IF(ISBLANK(A770),"""",0))"),"")</f>
        <v/>
      </c>
      <c r="T770" s="56" t="str">
        <f>IFERROR(__xludf.DUMMYFUNCTION("IFERROR((COUNTIF(FILTER(Data!N:N, Data!B:B=A770),""LOW"")) / (COUNTIF(Data!B:B, A770)),"""")"),"")</f>
        <v/>
      </c>
      <c r="U770" s="59" t="str">
        <f>IFERROR(__xludf.DUMMYFUNCTION("IFERROR((COUNTIF(FILTER(Data!N:N, Data!B:B=A770),""MIDDLE"")) / (COUNTIF(Data!B:B, A770)),"""")"),"")</f>
        <v/>
      </c>
      <c r="V770" s="59" t="str">
        <f>IFERROR(__xludf.DUMMYFUNCTION("IFERROR((COUNTIF(FILTER(Data!N:N, Data!B:B=A770),""HIGH"")) / (COUNTIF(Data!B:B, A770)),"""")"),"")</f>
        <v/>
      </c>
      <c r="W770" s="59" t="str">
        <f>IFERROR(__xludf.DUMMYFUNCTION("IFERROR((COUNTIF(FILTER(Data!N:N, Data!B:B=A770),""TRAVERSE"")) / (COUNTIF(Data!B:B, A770)),"""")"),"")</f>
        <v/>
      </c>
      <c r="X770" s="59"/>
      <c r="Y770" s="45" t="str">
        <f t="shared" si="7"/>
        <v/>
      </c>
      <c r="Z770" s="45" t="str">
        <f t="shared" si="8"/>
        <v/>
      </c>
      <c r="AA770" s="16" t="str">
        <f t="shared" si="9"/>
        <v/>
      </c>
      <c r="AB770" s="16"/>
      <c r="AC770" s="16"/>
      <c r="AD770" s="16"/>
      <c r="AE770" s="16" t="str">
        <f t="shared" si="12"/>
        <v/>
      </c>
      <c r="AF770" s="16" t="str">
        <f t="shared" si="13"/>
        <v/>
      </c>
      <c r="AG770" s="44"/>
      <c r="AH770" s="44"/>
      <c r="AI770" s="44" t="str">
        <f>IFERROR(__xludf.DUMMYFUNCTION("TEXTJOIN("", "",TRUE, FILTER(Data!P:P, Data!B:B=A770))"),"")</f>
        <v/>
      </c>
      <c r="AM770" s="61"/>
      <c r="BC770" s="50"/>
    </row>
    <row r="771">
      <c r="A771" s="14"/>
      <c r="B771" s="55" t="str">
        <f>IFERROR(__xludf.DUMMYFUNCTION("IFERROR(ROUND(
(COUNTIF(FILTER(Data!O:O, Data!B:B=A771), ""Win"")
+ COUNTIF(FILTER(Data!O:O, Data!B:B=A771), {""Tie"",""Results""}))
/ (COUNTIF(Data!B:B, A771)),
1),"""")"),"")</f>
        <v/>
      </c>
      <c r="C771" s="45" t="str">
        <f>IFERROR((SUMIF(Data!B:B, A771, Data!H:H)
/ (COUNTIF(Data!B:B, A771)
)),"")</f>
        <v/>
      </c>
      <c r="D771" s="45" t="str">
        <f>IFERROR((SUMIF(Data!B:B, A771, Data!G:G)
/ (COUNTIF(Data!B:B, A771)
)),"")</f>
        <v/>
      </c>
      <c r="E771" s="45"/>
      <c r="F771" s="45" t="str">
        <f>IFERROR((SUMIF(Data!B:B, A771, Data!J:J)
/ (COUNTIF(Data!B:B, A771)
)),"")</f>
        <v/>
      </c>
      <c r="G771" s="56" t="str">
        <f>IF(A771="","",IFERROR((((((SUMIF(Data!B:B, A771, Data!H:H)+(SUMIF(Data!B:B, A771,Data!G:G)))/(SUMIF(Data!B:B, A771, Data!J:J)))))),0))</f>
        <v/>
      </c>
      <c r="H771" s="45"/>
      <c r="I771" s="45"/>
      <c r="J771" s="45"/>
      <c r="K771" s="45"/>
      <c r="L771" s="45" t="str">
        <f>IFERROR((SUMIF(Data!B:B, A771, Data!L:L)
/ (COUNTIF(Data!B:B, A771)
)),"")</f>
        <v/>
      </c>
      <c r="M771" s="45" t="str">
        <f>IFERROR((SUMIF(Data!B:B, A771, Data!K:K)
/ (COUNTIF(Data!B:B, A771)
)),"")</f>
        <v/>
      </c>
      <c r="N771" s="56"/>
      <c r="O771" s="56" t="str">
        <f>IF(A771="","",IFERROR((((((SUMIF(Data!B:B, A771, Data!H:H)+(SUMIF(Data!B:B, A771,Data!G:G)+(SUMIF(Data!B:B, A771,Data!L:L)+(SUMIF(Data!B:B, A771,Data!K:K)))))/(SUMIF(Data!B:B, A771, Data!M:M)+(SUMIF(Data!B:B, A771, Data!H:H)+(SUMIF(Data!B:B, A771,Data!G:G)+(SUMIF(Data!B:B, A771,Data!K:K)+(SUMIF(Data!B:B, A771,Data!L:L)))))))))),0))</f>
        <v/>
      </c>
      <c r="P771" s="57" t="str">
        <f>IFERROR(__xludf.DUMMYFUNCTION("IFERROR(((COUNTIF(FILTER(Data!N:N,Data!B:B=A771),""TRAVERSE"")*15)+(COUNTIF(FILTER(Data!N:N,Data!B:B=A771),""HIGH"")*10)+(COUNTIF(FILTER(Data!N:N,Data!B:B=A771),""MIDDLE"")*6)+(COUNTIF(FILTER(Data!N:N,Data!B:B=A771),""LOW"")*4)) / (COUNTIF(Data!B:B, A771)"&amp;"),"""")"),"")</f>
        <v/>
      </c>
      <c r="Q771" s="58"/>
      <c r="R771" s="58"/>
      <c r="S771" s="58" t="str">
        <f>IFERROR(__xludf.DUMMYFUNCTION("IFERROR((((COUNTIF(FILTER(Data!N:N,Data!B:B=A771),""TRAVERSE""))+(COUNTIF(FILTER(Data!N:N,Data!B:B=A771),""HIGH""))+(COUNTIF(FILTER(Data!N:N,Data!B:B=A771),""MIDDLE""))+(COUNTIF(FILTER(Data!N:N,Data!B:B=A771),""LOW"")))) / (((COUNTIF(Data!B:B, A771)))-(CO"&amp;"UNTIF(FILTER(Data!N:N,Data!B:B=A771),""NONE""))),IF(ISBLANK(A771),"""",0))"),"")</f>
        <v/>
      </c>
      <c r="T771" s="56" t="str">
        <f>IFERROR(__xludf.DUMMYFUNCTION("IFERROR((COUNTIF(FILTER(Data!N:N, Data!B:B=A771),""LOW"")) / (COUNTIF(Data!B:B, A771)),"""")"),"")</f>
        <v/>
      </c>
      <c r="U771" s="59" t="str">
        <f>IFERROR(__xludf.DUMMYFUNCTION("IFERROR((COUNTIF(FILTER(Data!N:N, Data!B:B=A771),""MIDDLE"")) / (COUNTIF(Data!B:B, A771)),"""")"),"")</f>
        <v/>
      </c>
      <c r="V771" s="59" t="str">
        <f>IFERROR(__xludf.DUMMYFUNCTION("IFERROR((COUNTIF(FILTER(Data!N:N, Data!B:B=A771),""HIGH"")) / (COUNTIF(Data!B:B, A771)),"""")"),"")</f>
        <v/>
      </c>
      <c r="W771" s="59" t="str">
        <f>IFERROR(__xludf.DUMMYFUNCTION("IFERROR((COUNTIF(FILTER(Data!N:N, Data!B:B=A771),""TRAVERSE"")) / (COUNTIF(Data!B:B, A771)),"""")"),"")</f>
        <v/>
      </c>
      <c r="X771" s="59"/>
      <c r="Y771" s="45" t="str">
        <f t="shared" si="7"/>
        <v/>
      </c>
      <c r="Z771" s="45" t="str">
        <f t="shared" si="8"/>
        <v/>
      </c>
      <c r="AA771" s="16" t="str">
        <f t="shared" si="9"/>
        <v/>
      </c>
      <c r="AB771" s="16"/>
      <c r="AC771" s="16"/>
      <c r="AD771" s="16"/>
      <c r="AE771" s="16" t="str">
        <f t="shared" si="12"/>
        <v/>
      </c>
      <c r="AF771" s="16" t="str">
        <f t="shared" si="13"/>
        <v/>
      </c>
      <c r="AG771" s="44"/>
      <c r="AH771" s="44"/>
      <c r="AI771" s="44" t="str">
        <f>IFERROR(__xludf.DUMMYFUNCTION("TEXTJOIN("", "",TRUE, FILTER(Data!P:P, Data!B:B=A771))"),"")</f>
        <v/>
      </c>
      <c r="AM771" s="61"/>
      <c r="BC771" s="50"/>
    </row>
    <row r="772">
      <c r="A772" s="14"/>
      <c r="B772" s="55" t="str">
        <f>IFERROR(__xludf.DUMMYFUNCTION("IFERROR(ROUND(
(COUNTIF(FILTER(Data!O:O, Data!B:B=A772), ""Win"")
+ COUNTIF(FILTER(Data!O:O, Data!B:B=A772), {""Tie"",""Results""}))
/ (COUNTIF(Data!B:B, A772)),
1),"""")"),"")</f>
        <v/>
      </c>
      <c r="C772" s="45" t="str">
        <f>IFERROR((SUMIF(Data!B:B, A772, Data!H:H)
/ (COUNTIF(Data!B:B, A772)
)),"")</f>
        <v/>
      </c>
      <c r="D772" s="45" t="str">
        <f>IFERROR((SUMIF(Data!B:B, A772, Data!G:G)
/ (COUNTIF(Data!B:B, A772)
)),"")</f>
        <v/>
      </c>
      <c r="E772" s="45"/>
      <c r="F772" s="45" t="str">
        <f>IFERROR((SUMIF(Data!B:B, A772, Data!J:J)
/ (COUNTIF(Data!B:B, A772)
)),"")</f>
        <v/>
      </c>
      <c r="G772" s="56" t="str">
        <f>IF(A772="","",IFERROR((((((SUMIF(Data!B:B, A772, Data!H:H)+(SUMIF(Data!B:B, A772,Data!G:G)))/(SUMIF(Data!B:B, A772, Data!J:J)))))),0))</f>
        <v/>
      </c>
      <c r="H772" s="45"/>
      <c r="I772" s="45"/>
      <c r="J772" s="45"/>
      <c r="K772" s="45"/>
      <c r="L772" s="45" t="str">
        <f>IFERROR((SUMIF(Data!B:B, A772, Data!L:L)
/ (COUNTIF(Data!B:B, A772)
)),"")</f>
        <v/>
      </c>
      <c r="M772" s="45" t="str">
        <f>IFERROR((SUMIF(Data!B:B, A772, Data!K:K)
/ (COUNTIF(Data!B:B, A772)
)),"")</f>
        <v/>
      </c>
      <c r="N772" s="56"/>
      <c r="O772" s="56" t="str">
        <f>IF(A772="","",IFERROR((((((SUMIF(Data!B:B, A772, Data!H:H)+(SUMIF(Data!B:B, A772,Data!G:G)+(SUMIF(Data!B:B, A772,Data!L:L)+(SUMIF(Data!B:B, A772,Data!K:K)))))/(SUMIF(Data!B:B, A772, Data!M:M)+(SUMIF(Data!B:B, A772, Data!H:H)+(SUMIF(Data!B:B, A772,Data!G:G)+(SUMIF(Data!B:B, A772,Data!K:K)+(SUMIF(Data!B:B, A772,Data!L:L)))))))))),0))</f>
        <v/>
      </c>
      <c r="P772" s="57" t="str">
        <f>IFERROR(__xludf.DUMMYFUNCTION("IFERROR(((COUNTIF(FILTER(Data!N:N,Data!B:B=A772),""TRAVERSE"")*15)+(COUNTIF(FILTER(Data!N:N,Data!B:B=A772),""HIGH"")*10)+(COUNTIF(FILTER(Data!N:N,Data!B:B=A772),""MIDDLE"")*6)+(COUNTIF(FILTER(Data!N:N,Data!B:B=A772),""LOW"")*4)) / (COUNTIF(Data!B:B, A772)"&amp;"),"""")"),"")</f>
        <v/>
      </c>
      <c r="Q772" s="58"/>
      <c r="R772" s="58"/>
      <c r="S772" s="58" t="str">
        <f>IFERROR(__xludf.DUMMYFUNCTION("IFERROR((((COUNTIF(FILTER(Data!N:N,Data!B:B=A772),""TRAVERSE""))+(COUNTIF(FILTER(Data!N:N,Data!B:B=A772),""HIGH""))+(COUNTIF(FILTER(Data!N:N,Data!B:B=A772),""MIDDLE""))+(COUNTIF(FILTER(Data!N:N,Data!B:B=A772),""LOW"")))) / (((COUNTIF(Data!B:B, A772)))-(CO"&amp;"UNTIF(FILTER(Data!N:N,Data!B:B=A772),""NONE""))),IF(ISBLANK(A772),"""",0))"),"")</f>
        <v/>
      </c>
      <c r="T772" s="56" t="str">
        <f>IFERROR(__xludf.DUMMYFUNCTION("IFERROR((COUNTIF(FILTER(Data!N:N, Data!B:B=A772),""LOW"")) / (COUNTIF(Data!B:B, A772)),"""")"),"")</f>
        <v/>
      </c>
      <c r="U772" s="59" t="str">
        <f>IFERROR(__xludf.DUMMYFUNCTION("IFERROR((COUNTIF(FILTER(Data!N:N, Data!B:B=A772),""MIDDLE"")) / (COUNTIF(Data!B:B, A772)),"""")"),"")</f>
        <v/>
      </c>
      <c r="V772" s="59" t="str">
        <f>IFERROR(__xludf.DUMMYFUNCTION("IFERROR((COUNTIF(FILTER(Data!N:N, Data!B:B=A772),""HIGH"")) / (COUNTIF(Data!B:B, A772)),"""")"),"")</f>
        <v/>
      </c>
      <c r="W772" s="59" t="str">
        <f>IFERROR(__xludf.DUMMYFUNCTION("IFERROR((COUNTIF(FILTER(Data!N:N, Data!B:B=A772),""TRAVERSE"")) / (COUNTIF(Data!B:B, A772)),"""")"),"")</f>
        <v/>
      </c>
      <c r="X772" s="59"/>
      <c r="Y772" s="45" t="str">
        <f t="shared" si="7"/>
        <v/>
      </c>
      <c r="Z772" s="45" t="str">
        <f t="shared" si="8"/>
        <v/>
      </c>
      <c r="AA772" s="16" t="str">
        <f t="shared" si="9"/>
        <v/>
      </c>
      <c r="AB772" s="16"/>
      <c r="AC772" s="16"/>
      <c r="AD772" s="16"/>
      <c r="AE772" s="16" t="str">
        <f t="shared" si="12"/>
        <v/>
      </c>
      <c r="AF772" s="16" t="str">
        <f t="shared" si="13"/>
        <v/>
      </c>
      <c r="AG772" s="44"/>
      <c r="AH772" s="44"/>
      <c r="AI772" s="44" t="str">
        <f>IFERROR(__xludf.DUMMYFUNCTION("TEXTJOIN("", "",TRUE, FILTER(Data!P:P, Data!B:B=A772))"),"")</f>
        <v/>
      </c>
      <c r="AM772" s="61"/>
      <c r="BC772" s="50"/>
    </row>
    <row r="773">
      <c r="A773" s="14"/>
      <c r="B773" s="55" t="str">
        <f>IFERROR(__xludf.DUMMYFUNCTION("IFERROR(ROUND(
(COUNTIF(FILTER(Data!O:O, Data!B:B=A773), ""Win"")
+ COUNTIF(FILTER(Data!O:O, Data!B:B=A773), {""Tie"",""Results""}))
/ (COUNTIF(Data!B:B, A773)),
1),"""")"),"")</f>
        <v/>
      </c>
      <c r="C773" s="45" t="str">
        <f>IFERROR((SUMIF(Data!B:B, A773, Data!H:H)
/ (COUNTIF(Data!B:B, A773)
)),"")</f>
        <v/>
      </c>
      <c r="D773" s="45" t="str">
        <f>IFERROR((SUMIF(Data!B:B, A773, Data!G:G)
/ (COUNTIF(Data!B:B, A773)
)),"")</f>
        <v/>
      </c>
      <c r="E773" s="45"/>
      <c r="F773" s="45" t="str">
        <f>IFERROR((SUMIF(Data!B:B, A773, Data!J:J)
/ (COUNTIF(Data!B:B, A773)
)),"")</f>
        <v/>
      </c>
      <c r="G773" s="56" t="str">
        <f>IF(A773="","",IFERROR((((((SUMIF(Data!B:B, A773, Data!H:H)+(SUMIF(Data!B:B, A773,Data!G:G)))/(SUMIF(Data!B:B, A773, Data!J:J)))))),0))</f>
        <v/>
      </c>
      <c r="H773" s="45"/>
      <c r="I773" s="45"/>
      <c r="J773" s="45"/>
      <c r="K773" s="45"/>
      <c r="L773" s="45" t="str">
        <f>IFERROR((SUMIF(Data!B:B, A773, Data!L:L)
/ (COUNTIF(Data!B:B, A773)
)),"")</f>
        <v/>
      </c>
      <c r="M773" s="45" t="str">
        <f>IFERROR((SUMIF(Data!B:B, A773, Data!K:K)
/ (COUNTIF(Data!B:B, A773)
)),"")</f>
        <v/>
      </c>
      <c r="N773" s="56"/>
      <c r="O773" s="56" t="str">
        <f>IF(A773="","",IFERROR((((((SUMIF(Data!B:B, A773, Data!H:H)+(SUMIF(Data!B:B, A773,Data!G:G)+(SUMIF(Data!B:B, A773,Data!L:L)+(SUMIF(Data!B:B, A773,Data!K:K)))))/(SUMIF(Data!B:B, A773, Data!M:M)+(SUMIF(Data!B:B, A773, Data!H:H)+(SUMIF(Data!B:B, A773,Data!G:G)+(SUMIF(Data!B:B, A773,Data!K:K)+(SUMIF(Data!B:B, A773,Data!L:L)))))))))),0))</f>
        <v/>
      </c>
      <c r="P773" s="57" t="str">
        <f>IFERROR(__xludf.DUMMYFUNCTION("IFERROR(((COUNTIF(FILTER(Data!N:N,Data!B:B=A773),""TRAVERSE"")*15)+(COUNTIF(FILTER(Data!N:N,Data!B:B=A773),""HIGH"")*10)+(COUNTIF(FILTER(Data!N:N,Data!B:B=A773),""MIDDLE"")*6)+(COUNTIF(FILTER(Data!N:N,Data!B:B=A773),""LOW"")*4)) / (COUNTIF(Data!B:B, A773)"&amp;"),"""")"),"")</f>
        <v/>
      </c>
      <c r="Q773" s="58"/>
      <c r="R773" s="58"/>
      <c r="S773" s="58" t="str">
        <f>IFERROR(__xludf.DUMMYFUNCTION("IFERROR((((COUNTIF(FILTER(Data!N:N,Data!B:B=A773),""TRAVERSE""))+(COUNTIF(FILTER(Data!N:N,Data!B:B=A773),""HIGH""))+(COUNTIF(FILTER(Data!N:N,Data!B:B=A773),""MIDDLE""))+(COUNTIF(FILTER(Data!N:N,Data!B:B=A773),""LOW"")))) / (((COUNTIF(Data!B:B, A773)))-(CO"&amp;"UNTIF(FILTER(Data!N:N,Data!B:B=A773),""NONE""))),IF(ISBLANK(A773),"""",0))"),"")</f>
        <v/>
      </c>
      <c r="T773" s="56" t="str">
        <f>IFERROR(__xludf.DUMMYFUNCTION("IFERROR((COUNTIF(FILTER(Data!N:N, Data!B:B=A773),""LOW"")) / (COUNTIF(Data!B:B, A773)),"""")"),"")</f>
        <v/>
      </c>
      <c r="U773" s="59" t="str">
        <f>IFERROR(__xludf.DUMMYFUNCTION("IFERROR((COUNTIF(FILTER(Data!N:N, Data!B:B=A773),""MIDDLE"")) / (COUNTIF(Data!B:B, A773)),"""")"),"")</f>
        <v/>
      </c>
      <c r="V773" s="59" t="str">
        <f>IFERROR(__xludf.DUMMYFUNCTION("IFERROR((COUNTIF(FILTER(Data!N:N, Data!B:B=A773),""HIGH"")) / (COUNTIF(Data!B:B, A773)),"""")"),"")</f>
        <v/>
      </c>
      <c r="W773" s="59" t="str">
        <f>IFERROR(__xludf.DUMMYFUNCTION("IFERROR((COUNTIF(FILTER(Data!N:N, Data!B:B=A773),""TRAVERSE"")) / (COUNTIF(Data!B:B, A773)),"""")"),"")</f>
        <v/>
      </c>
      <c r="X773" s="59"/>
      <c r="Y773" s="45" t="str">
        <f t="shared" si="7"/>
        <v/>
      </c>
      <c r="Z773" s="45" t="str">
        <f t="shared" si="8"/>
        <v/>
      </c>
      <c r="AA773" s="16" t="str">
        <f t="shared" si="9"/>
        <v/>
      </c>
      <c r="AB773" s="16"/>
      <c r="AC773" s="16"/>
      <c r="AD773" s="16"/>
      <c r="AE773" s="16" t="str">
        <f t="shared" si="12"/>
        <v/>
      </c>
      <c r="AF773" s="16" t="str">
        <f t="shared" si="13"/>
        <v/>
      </c>
      <c r="AG773" s="44"/>
      <c r="AH773" s="44"/>
      <c r="AI773" s="44" t="str">
        <f>IFERROR(__xludf.DUMMYFUNCTION("TEXTJOIN("", "",TRUE, FILTER(Data!P:P, Data!B:B=A773))"),"")</f>
        <v/>
      </c>
      <c r="AM773" s="61"/>
      <c r="BC773" s="50"/>
    </row>
    <row r="774">
      <c r="A774" s="14"/>
      <c r="B774" s="55" t="str">
        <f>IFERROR(__xludf.DUMMYFUNCTION("IFERROR(ROUND(
(COUNTIF(FILTER(Data!O:O, Data!B:B=A774), ""Win"")
+ COUNTIF(FILTER(Data!O:O, Data!B:B=A774), {""Tie"",""Results""}))
/ (COUNTIF(Data!B:B, A774)),
1),"""")"),"")</f>
        <v/>
      </c>
      <c r="C774" s="45" t="str">
        <f>IFERROR((SUMIF(Data!B:B, A774, Data!H:H)
/ (COUNTIF(Data!B:B, A774)
)),"")</f>
        <v/>
      </c>
      <c r="D774" s="45" t="str">
        <f>IFERROR((SUMIF(Data!B:B, A774, Data!G:G)
/ (COUNTIF(Data!B:B, A774)
)),"")</f>
        <v/>
      </c>
      <c r="E774" s="45"/>
      <c r="F774" s="45" t="str">
        <f>IFERROR((SUMIF(Data!B:B, A774, Data!J:J)
/ (COUNTIF(Data!B:B, A774)
)),"")</f>
        <v/>
      </c>
      <c r="G774" s="56" t="str">
        <f>IF(A774="","",IFERROR((((((SUMIF(Data!B:B, A774, Data!H:H)+(SUMIF(Data!B:B, A774,Data!G:G)))/(SUMIF(Data!B:B, A774, Data!J:J)))))),0))</f>
        <v/>
      </c>
      <c r="H774" s="45"/>
      <c r="I774" s="45"/>
      <c r="J774" s="45"/>
      <c r="K774" s="45"/>
      <c r="L774" s="45" t="str">
        <f>IFERROR((SUMIF(Data!B:B, A774, Data!L:L)
/ (COUNTIF(Data!B:B, A774)
)),"")</f>
        <v/>
      </c>
      <c r="M774" s="45" t="str">
        <f>IFERROR((SUMIF(Data!B:B, A774, Data!K:K)
/ (COUNTIF(Data!B:B, A774)
)),"")</f>
        <v/>
      </c>
      <c r="N774" s="56"/>
      <c r="O774" s="56" t="str">
        <f>IF(A774="","",IFERROR((((((SUMIF(Data!B:B, A774, Data!H:H)+(SUMIF(Data!B:B, A774,Data!G:G)+(SUMIF(Data!B:B, A774,Data!L:L)+(SUMIF(Data!B:B, A774,Data!K:K)))))/(SUMIF(Data!B:B, A774, Data!M:M)+(SUMIF(Data!B:B, A774, Data!H:H)+(SUMIF(Data!B:B, A774,Data!G:G)+(SUMIF(Data!B:B, A774,Data!K:K)+(SUMIF(Data!B:B, A774,Data!L:L)))))))))),0))</f>
        <v/>
      </c>
      <c r="P774" s="57" t="str">
        <f>IFERROR(__xludf.DUMMYFUNCTION("IFERROR(((COUNTIF(FILTER(Data!N:N,Data!B:B=A774),""TRAVERSE"")*15)+(COUNTIF(FILTER(Data!N:N,Data!B:B=A774),""HIGH"")*10)+(COUNTIF(FILTER(Data!N:N,Data!B:B=A774),""MIDDLE"")*6)+(COUNTIF(FILTER(Data!N:N,Data!B:B=A774),""LOW"")*4)) / (COUNTIF(Data!B:B, A774)"&amp;"),"""")"),"")</f>
        <v/>
      </c>
      <c r="Q774" s="58"/>
      <c r="R774" s="58"/>
      <c r="S774" s="58" t="str">
        <f>IFERROR(__xludf.DUMMYFUNCTION("IFERROR((((COUNTIF(FILTER(Data!N:N,Data!B:B=A774),""TRAVERSE""))+(COUNTIF(FILTER(Data!N:N,Data!B:B=A774),""HIGH""))+(COUNTIF(FILTER(Data!N:N,Data!B:B=A774),""MIDDLE""))+(COUNTIF(FILTER(Data!N:N,Data!B:B=A774),""LOW"")))) / (((COUNTIF(Data!B:B, A774)))-(CO"&amp;"UNTIF(FILTER(Data!N:N,Data!B:B=A774),""NONE""))),IF(ISBLANK(A774),"""",0))"),"")</f>
        <v/>
      </c>
      <c r="T774" s="56" t="str">
        <f>IFERROR(__xludf.DUMMYFUNCTION("IFERROR((COUNTIF(FILTER(Data!N:N, Data!B:B=A774),""LOW"")) / (COUNTIF(Data!B:B, A774)),"""")"),"")</f>
        <v/>
      </c>
      <c r="U774" s="59" t="str">
        <f>IFERROR(__xludf.DUMMYFUNCTION("IFERROR((COUNTIF(FILTER(Data!N:N, Data!B:B=A774),""MIDDLE"")) / (COUNTIF(Data!B:B, A774)),"""")"),"")</f>
        <v/>
      </c>
      <c r="V774" s="59" t="str">
        <f>IFERROR(__xludf.DUMMYFUNCTION("IFERROR((COUNTIF(FILTER(Data!N:N, Data!B:B=A774),""HIGH"")) / (COUNTIF(Data!B:B, A774)),"""")"),"")</f>
        <v/>
      </c>
      <c r="W774" s="59" t="str">
        <f>IFERROR(__xludf.DUMMYFUNCTION("IFERROR((COUNTIF(FILTER(Data!N:N, Data!B:B=A774),""TRAVERSE"")) / (COUNTIF(Data!B:B, A774)),"""")"),"")</f>
        <v/>
      </c>
      <c r="X774" s="59"/>
      <c r="Y774" s="45" t="str">
        <f t="shared" si="7"/>
        <v/>
      </c>
      <c r="Z774" s="45" t="str">
        <f t="shared" si="8"/>
        <v/>
      </c>
      <c r="AA774" s="16" t="str">
        <f t="shared" si="9"/>
        <v/>
      </c>
      <c r="AB774" s="16"/>
      <c r="AC774" s="16"/>
      <c r="AD774" s="16"/>
      <c r="AE774" s="16" t="str">
        <f t="shared" si="12"/>
        <v/>
      </c>
      <c r="AF774" s="16" t="str">
        <f t="shared" si="13"/>
        <v/>
      </c>
      <c r="AG774" s="44"/>
      <c r="AH774" s="44"/>
      <c r="AI774" s="44" t="str">
        <f>IFERROR(__xludf.DUMMYFUNCTION("TEXTJOIN("", "",TRUE, FILTER(Data!P:P, Data!B:B=A774))"),"")</f>
        <v/>
      </c>
      <c r="AM774" s="61"/>
      <c r="BC774" s="50"/>
    </row>
    <row r="775">
      <c r="A775" s="14"/>
      <c r="B775" s="55" t="str">
        <f>IFERROR(__xludf.DUMMYFUNCTION("IFERROR(ROUND(
(COUNTIF(FILTER(Data!O:O, Data!B:B=A775), ""Win"")
+ COUNTIF(FILTER(Data!O:O, Data!B:B=A775), {""Tie"",""Results""}))
/ (COUNTIF(Data!B:B, A775)),
1),"""")"),"")</f>
        <v/>
      </c>
      <c r="C775" s="45" t="str">
        <f>IFERROR((SUMIF(Data!B:B, A775, Data!H:H)
/ (COUNTIF(Data!B:B, A775)
)),"")</f>
        <v/>
      </c>
      <c r="D775" s="45" t="str">
        <f>IFERROR((SUMIF(Data!B:B, A775, Data!G:G)
/ (COUNTIF(Data!B:B, A775)
)),"")</f>
        <v/>
      </c>
      <c r="E775" s="45"/>
      <c r="F775" s="45" t="str">
        <f>IFERROR((SUMIF(Data!B:B, A775, Data!J:J)
/ (COUNTIF(Data!B:B, A775)
)),"")</f>
        <v/>
      </c>
      <c r="G775" s="56" t="str">
        <f>IF(A775="","",IFERROR((((((SUMIF(Data!B:B, A775, Data!H:H)+(SUMIF(Data!B:B, A775,Data!G:G)))/(SUMIF(Data!B:B, A775, Data!J:J)))))),0))</f>
        <v/>
      </c>
      <c r="H775" s="45"/>
      <c r="I775" s="45"/>
      <c r="J775" s="45"/>
      <c r="K775" s="45"/>
      <c r="L775" s="45" t="str">
        <f>IFERROR((SUMIF(Data!B:B, A775, Data!L:L)
/ (COUNTIF(Data!B:B, A775)
)),"")</f>
        <v/>
      </c>
      <c r="M775" s="45" t="str">
        <f>IFERROR((SUMIF(Data!B:B, A775, Data!K:K)
/ (COUNTIF(Data!B:B, A775)
)),"")</f>
        <v/>
      </c>
      <c r="N775" s="56"/>
      <c r="O775" s="56" t="str">
        <f>IF(A775="","",IFERROR((((((SUMIF(Data!B:B, A775, Data!H:H)+(SUMIF(Data!B:B, A775,Data!G:G)+(SUMIF(Data!B:B, A775,Data!L:L)+(SUMIF(Data!B:B, A775,Data!K:K)))))/(SUMIF(Data!B:B, A775, Data!M:M)+(SUMIF(Data!B:B, A775, Data!H:H)+(SUMIF(Data!B:B, A775,Data!G:G)+(SUMIF(Data!B:B, A775,Data!K:K)+(SUMIF(Data!B:B, A775,Data!L:L)))))))))),0))</f>
        <v/>
      </c>
      <c r="P775" s="57" t="str">
        <f>IFERROR(__xludf.DUMMYFUNCTION("IFERROR(((COUNTIF(FILTER(Data!N:N,Data!B:B=A775),""TRAVERSE"")*15)+(COUNTIF(FILTER(Data!N:N,Data!B:B=A775),""HIGH"")*10)+(COUNTIF(FILTER(Data!N:N,Data!B:B=A775),""MIDDLE"")*6)+(COUNTIF(FILTER(Data!N:N,Data!B:B=A775),""LOW"")*4)) / (COUNTIF(Data!B:B, A775)"&amp;"),"""")"),"")</f>
        <v/>
      </c>
      <c r="Q775" s="58"/>
      <c r="R775" s="58"/>
      <c r="S775" s="58" t="str">
        <f>IFERROR(__xludf.DUMMYFUNCTION("IFERROR((((COUNTIF(FILTER(Data!N:N,Data!B:B=A775),""TRAVERSE""))+(COUNTIF(FILTER(Data!N:N,Data!B:B=A775),""HIGH""))+(COUNTIF(FILTER(Data!N:N,Data!B:B=A775),""MIDDLE""))+(COUNTIF(FILTER(Data!N:N,Data!B:B=A775),""LOW"")))) / (((COUNTIF(Data!B:B, A775)))-(CO"&amp;"UNTIF(FILTER(Data!N:N,Data!B:B=A775),""NONE""))),IF(ISBLANK(A775),"""",0))"),"")</f>
        <v/>
      </c>
      <c r="T775" s="56" t="str">
        <f>IFERROR(__xludf.DUMMYFUNCTION("IFERROR((COUNTIF(FILTER(Data!N:N, Data!B:B=A775),""LOW"")) / (COUNTIF(Data!B:B, A775)),"""")"),"")</f>
        <v/>
      </c>
      <c r="U775" s="59" t="str">
        <f>IFERROR(__xludf.DUMMYFUNCTION("IFERROR((COUNTIF(FILTER(Data!N:N, Data!B:B=A775),""MIDDLE"")) / (COUNTIF(Data!B:B, A775)),"""")"),"")</f>
        <v/>
      </c>
      <c r="V775" s="59" t="str">
        <f>IFERROR(__xludf.DUMMYFUNCTION("IFERROR((COUNTIF(FILTER(Data!N:N, Data!B:B=A775),""HIGH"")) / (COUNTIF(Data!B:B, A775)),"""")"),"")</f>
        <v/>
      </c>
      <c r="W775" s="59" t="str">
        <f>IFERROR(__xludf.DUMMYFUNCTION("IFERROR((COUNTIF(FILTER(Data!N:N, Data!B:B=A775),""TRAVERSE"")) / (COUNTIF(Data!B:B, A775)),"""")"),"")</f>
        <v/>
      </c>
      <c r="X775" s="59"/>
      <c r="Y775" s="45" t="str">
        <f t="shared" si="7"/>
        <v/>
      </c>
      <c r="Z775" s="45" t="str">
        <f t="shared" si="8"/>
        <v/>
      </c>
      <c r="AA775" s="16" t="str">
        <f t="shared" si="9"/>
        <v/>
      </c>
      <c r="AB775" s="16"/>
      <c r="AC775" s="16"/>
      <c r="AD775" s="16"/>
      <c r="AE775" s="16" t="str">
        <f t="shared" si="12"/>
        <v/>
      </c>
      <c r="AF775" s="16" t="str">
        <f t="shared" si="13"/>
        <v/>
      </c>
      <c r="AG775" s="44"/>
      <c r="AH775" s="44"/>
      <c r="AI775" s="44" t="str">
        <f>IFERROR(__xludf.DUMMYFUNCTION("TEXTJOIN("", "",TRUE, FILTER(Data!P:P, Data!B:B=A775))"),"")</f>
        <v/>
      </c>
      <c r="AM775" s="61"/>
      <c r="BC775" s="50"/>
    </row>
    <row r="776">
      <c r="A776" s="14"/>
      <c r="B776" s="55" t="str">
        <f>IFERROR(__xludf.DUMMYFUNCTION("IFERROR(ROUND(
(COUNTIF(FILTER(Data!O:O, Data!B:B=A776), ""Win"")
+ COUNTIF(FILTER(Data!O:O, Data!B:B=A776), {""Tie"",""Results""}))
/ (COUNTIF(Data!B:B, A776)),
1),"""")"),"")</f>
        <v/>
      </c>
      <c r="C776" s="45" t="str">
        <f>IFERROR((SUMIF(Data!B:B, A776, Data!H:H)
/ (COUNTIF(Data!B:B, A776)
)),"")</f>
        <v/>
      </c>
      <c r="D776" s="45" t="str">
        <f>IFERROR((SUMIF(Data!B:B, A776, Data!G:G)
/ (COUNTIF(Data!B:B, A776)
)),"")</f>
        <v/>
      </c>
      <c r="E776" s="45"/>
      <c r="F776" s="45" t="str">
        <f>IFERROR((SUMIF(Data!B:B, A776, Data!J:J)
/ (COUNTIF(Data!B:B, A776)
)),"")</f>
        <v/>
      </c>
      <c r="G776" s="56" t="str">
        <f>IF(A776="","",IFERROR((((((SUMIF(Data!B:B, A776, Data!H:H)+(SUMIF(Data!B:B, A776,Data!G:G)))/(SUMIF(Data!B:B, A776, Data!J:J)))))),0))</f>
        <v/>
      </c>
      <c r="H776" s="45"/>
      <c r="I776" s="45"/>
      <c r="J776" s="45"/>
      <c r="K776" s="45"/>
      <c r="L776" s="45" t="str">
        <f>IFERROR((SUMIF(Data!B:B, A776, Data!L:L)
/ (COUNTIF(Data!B:B, A776)
)),"")</f>
        <v/>
      </c>
      <c r="M776" s="45" t="str">
        <f>IFERROR((SUMIF(Data!B:B, A776, Data!K:K)
/ (COUNTIF(Data!B:B, A776)
)),"")</f>
        <v/>
      </c>
      <c r="N776" s="56"/>
      <c r="O776" s="56" t="str">
        <f>IF(A776="","",IFERROR((((((SUMIF(Data!B:B, A776, Data!H:H)+(SUMIF(Data!B:B, A776,Data!G:G)+(SUMIF(Data!B:B, A776,Data!L:L)+(SUMIF(Data!B:B, A776,Data!K:K)))))/(SUMIF(Data!B:B, A776, Data!M:M)+(SUMIF(Data!B:B, A776, Data!H:H)+(SUMIF(Data!B:B, A776,Data!G:G)+(SUMIF(Data!B:B, A776,Data!K:K)+(SUMIF(Data!B:B, A776,Data!L:L)))))))))),0))</f>
        <v/>
      </c>
      <c r="P776" s="57" t="str">
        <f>IFERROR(__xludf.DUMMYFUNCTION("IFERROR(((COUNTIF(FILTER(Data!N:N,Data!B:B=A776),""TRAVERSE"")*15)+(COUNTIF(FILTER(Data!N:N,Data!B:B=A776),""HIGH"")*10)+(COUNTIF(FILTER(Data!N:N,Data!B:B=A776),""MIDDLE"")*6)+(COUNTIF(FILTER(Data!N:N,Data!B:B=A776),""LOW"")*4)) / (COUNTIF(Data!B:B, A776)"&amp;"),"""")"),"")</f>
        <v/>
      </c>
      <c r="Q776" s="58"/>
      <c r="R776" s="58"/>
      <c r="S776" s="58" t="str">
        <f>IFERROR(__xludf.DUMMYFUNCTION("IFERROR((((COUNTIF(FILTER(Data!N:N,Data!B:B=A776),""TRAVERSE""))+(COUNTIF(FILTER(Data!N:N,Data!B:B=A776),""HIGH""))+(COUNTIF(FILTER(Data!N:N,Data!B:B=A776),""MIDDLE""))+(COUNTIF(FILTER(Data!N:N,Data!B:B=A776),""LOW"")))) / (((COUNTIF(Data!B:B, A776)))-(CO"&amp;"UNTIF(FILTER(Data!N:N,Data!B:B=A776),""NONE""))),IF(ISBLANK(A776),"""",0))"),"")</f>
        <v/>
      </c>
      <c r="T776" s="56" t="str">
        <f>IFERROR(__xludf.DUMMYFUNCTION("IFERROR((COUNTIF(FILTER(Data!N:N, Data!B:B=A776),""LOW"")) / (COUNTIF(Data!B:B, A776)),"""")"),"")</f>
        <v/>
      </c>
      <c r="U776" s="59" t="str">
        <f>IFERROR(__xludf.DUMMYFUNCTION("IFERROR((COUNTIF(FILTER(Data!N:N, Data!B:B=A776),""MIDDLE"")) / (COUNTIF(Data!B:B, A776)),"""")"),"")</f>
        <v/>
      </c>
      <c r="V776" s="59" t="str">
        <f>IFERROR(__xludf.DUMMYFUNCTION("IFERROR((COUNTIF(FILTER(Data!N:N, Data!B:B=A776),""HIGH"")) / (COUNTIF(Data!B:B, A776)),"""")"),"")</f>
        <v/>
      </c>
      <c r="W776" s="59" t="str">
        <f>IFERROR(__xludf.DUMMYFUNCTION("IFERROR((COUNTIF(FILTER(Data!N:N, Data!B:B=A776),""TRAVERSE"")) / (COUNTIF(Data!B:B, A776)),"""")"),"")</f>
        <v/>
      </c>
      <c r="X776" s="59"/>
      <c r="Y776" s="45" t="str">
        <f t="shared" si="7"/>
        <v/>
      </c>
      <c r="Z776" s="45" t="str">
        <f t="shared" si="8"/>
        <v/>
      </c>
      <c r="AA776" s="16" t="str">
        <f t="shared" si="9"/>
        <v/>
      </c>
      <c r="AB776" s="16"/>
      <c r="AC776" s="16"/>
      <c r="AD776" s="16"/>
      <c r="AE776" s="16" t="str">
        <f t="shared" si="12"/>
        <v/>
      </c>
      <c r="AF776" s="16" t="str">
        <f t="shared" si="13"/>
        <v/>
      </c>
      <c r="AG776" s="44"/>
      <c r="AH776" s="44"/>
      <c r="AI776" s="44" t="str">
        <f>IFERROR(__xludf.DUMMYFUNCTION("TEXTJOIN("", "",TRUE, FILTER(Data!P:P, Data!B:B=A776))"),"")</f>
        <v/>
      </c>
      <c r="AM776" s="61"/>
      <c r="BC776" s="50"/>
    </row>
    <row r="777">
      <c r="A777" s="14"/>
      <c r="B777" s="55" t="str">
        <f>IFERROR(__xludf.DUMMYFUNCTION("IFERROR(ROUND(
(COUNTIF(FILTER(Data!O:O, Data!B:B=A777), ""Win"")
+ COUNTIF(FILTER(Data!O:O, Data!B:B=A777), {""Tie"",""Results""}))
/ (COUNTIF(Data!B:B, A777)),
1),"""")"),"")</f>
        <v/>
      </c>
      <c r="C777" s="45" t="str">
        <f>IFERROR((SUMIF(Data!B:B, A777, Data!H:H)
/ (COUNTIF(Data!B:B, A777)
)),"")</f>
        <v/>
      </c>
      <c r="D777" s="45" t="str">
        <f>IFERROR((SUMIF(Data!B:B, A777, Data!G:G)
/ (COUNTIF(Data!B:B, A777)
)),"")</f>
        <v/>
      </c>
      <c r="E777" s="45"/>
      <c r="F777" s="45" t="str">
        <f>IFERROR((SUMIF(Data!B:B, A777, Data!J:J)
/ (COUNTIF(Data!B:B, A777)
)),"")</f>
        <v/>
      </c>
      <c r="G777" s="56" t="str">
        <f>IF(A777="","",IFERROR((((((SUMIF(Data!B:B, A777, Data!H:H)+(SUMIF(Data!B:B, A777,Data!G:G)))/(SUMIF(Data!B:B, A777, Data!J:J)))))),0))</f>
        <v/>
      </c>
      <c r="H777" s="45"/>
      <c r="I777" s="45"/>
      <c r="J777" s="45"/>
      <c r="K777" s="45"/>
      <c r="L777" s="45" t="str">
        <f>IFERROR((SUMIF(Data!B:B, A777, Data!L:L)
/ (COUNTIF(Data!B:B, A777)
)),"")</f>
        <v/>
      </c>
      <c r="M777" s="45" t="str">
        <f>IFERROR((SUMIF(Data!B:B, A777, Data!K:K)
/ (COUNTIF(Data!B:B, A777)
)),"")</f>
        <v/>
      </c>
      <c r="N777" s="56"/>
      <c r="O777" s="56" t="str">
        <f>IF(A777="","",IFERROR((((((SUMIF(Data!B:B, A777, Data!H:H)+(SUMIF(Data!B:B, A777,Data!G:G)+(SUMIF(Data!B:B, A777,Data!L:L)+(SUMIF(Data!B:B, A777,Data!K:K)))))/(SUMIF(Data!B:B, A777, Data!M:M)+(SUMIF(Data!B:B, A777, Data!H:H)+(SUMIF(Data!B:B, A777,Data!G:G)+(SUMIF(Data!B:B, A777,Data!K:K)+(SUMIF(Data!B:B, A777,Data!L:L)))))))))),0))</f>
        <v/>
      </c>
      <c r="P777" s="57" t="str">
        <f>IFERROR(__xludf.DUMMYFUNCTION("IFERROR(((COUNTIF(FILTER(Data!N:N,Data!B:B=A777),""TRAVERSE"")*15)+(COUNTIF(FILTER(Data!N:N,Data!B:B=A777),""HIGH"")*10)+(COUNTIF(FILTER(Data!N:N,Data!B:B=A777),""MIDDLE"")*6)+(COUNTIF(FILTER(Data!N:N,Data!B:B=A777),""LOW"")*4)) / (COUNTIF(Data!B:B, A777)"&amp;"),"""")"),"")</f>
        <v/>
      </c>
      <c r="Q777" s="58"/>
      <c r="R777" s="58"/>
      <c r="S777" s="58" t="str">
        <f>IFERROR(__xludf.DUMMYFUNCTION("IFERROR((((COUNTIF(FILTER(Data!N:N,Data!B:B=A777),""TRAVERSE""))+(COUNTIF(FILTER(Data!N:N,Data!B:B=A777),""HIGH""))+(COUNTIF(FILTER(Data!N:N,Data!B:B=A777),""MIDDLE""))+(COUNTIF(FILTER(Data!N:N,Data!B:B=A777),""LOW"")))) / (((COUNTIF(Data!B:B, A777)))-(CO"&amp;"UNTIF(FILTER(Data!N:N,Data!B:B=A777),""NONE""))),IF(ISBLANK(A777),"""",0))"),"")</f>
        <v/>
      </c>
      <c r="T777" s="56" t="str">
        <f>IFERROR(__xludf.DUMMYFUNCTION("IFERROR((COUNTIF(FILTER(Data!N:N, Data!B:B=A777),""LOW"")) / (COUNTIF(Data!B:B, A777)),"""")"),"")</f>
        <v/>
      </c>
      <c r="U777" s="59" t="str">
        <f>IFERROR(__xludf.DUMMYFUNCTION("IFERROR((COUNTIF(FILTER(Data!N:N, Data!B:B=A777),""MIDDLE"")) / (COUNTIF(Data!B:B, A777)),"""")"),"")</f>
        <v/>
      </c>
      <c r="V777" s="59" t="str">
        <f>IFERROR(__xludf.DUMMYFUNCTION("IFERROR((COUNTIF(FILTER(Data!N:N, Data!B:B=A777),""HIGH"")) / (COUNTIF(Data!B:B, A777)),"""")"),"")</f>
        <v/>
      </c>
      <c r="W777" s="59" t="str">
        <f>IFERROR(__xludf.DUMMYFUNCTION("IFERROR((COUNTIF(FILTER(Data!N:N, Data!B:B=A777),""TRAVERSE"")) / (COUNTIF(Data!B:B, A777)),"""")"),"")</f>
        <v/>
      </c>
      <c r="X777" s="59"/>
      <c r="Y777" s="45" t="str">
        <f t="shared" si="7"/>
        <v/>
      </c>
      <c r="Z777" s="45" t="str">
        <f t="shared" si="8"/>
        <v/>
      </c>
      <c r="AA777" s="16" t="str">
        <f t="shared" si="9"/>
        <v/>
      </c>
      <c r="AB777" s="16"/>
      <c r="AC777" s="16"/>
      <c r="AD777" s="16"/>
      <c r="AE777" s="16" t="str">
        <f t="shared" si="12"/>
        <v/>
      </c>
      <c r="AF777" s="16" t="str">
        <f t="shared" si="13"/>
        <v/>
      </c>
      <c r="AG777" s="44"/>
      <c r="AH777" s="44"/>
      <c r="AI777" s="44" t="str">
        <f>IFERROR(__xludf.DUMMYFUNCTION("TEXTJOIN("", "",TRUE, FILTER(Data!P:P, Data!B:B=A777))"),"")</f>
        <v/>
      </c>
      <c r="AM777" s="61"/>
      <c r="BC777" s="50"/>
    </row>
    <row r="778">
      <c r="A778" s="14"/>
      <c r="B778" s="55" t="str">
        <f>IFERROR(__xludf.DUMMYFUNCTION("IFERROR(ROUND(
(COUNTIF(FILTER(Data!O:O, Data!B:B=A778), ""Win"")
+ COUNTIF(FILTER(Data!O:O, Data!B:B=A778), {""Tie"",""Results""}))
/ (COUNTIF(Data!B:B, A778)),
1),"""")"),"")</f>
        <v/>
      </c>
      <c r="C778" s="45" t="str">
        <f>IFERROR((SUMIF(Data!B:B, A778, Data!H:H)
/ (COUNTIF(Data!B:B, A778)
)),"")</f>
        <v/>
      </c>
      <c r="D778" s="45" t="str">
        <f>IFERROR((SUMIF(Data!B:B, A778, Data!G:G)
/ (COUNTIF(Data!B:B, A778)
)),"")</f>
        <v/>
      </c>
      <c r="E778" s="45"/>
      <c r="F778" s="45" t="str">
        <f>IFERROR((SUMIF(Data!B:B, A778, Data!J:J)
/ (COUNTIF(Data!B:B, A778)
)),"")</f>
        <v/>
      </c>
      <c r="G778" s="56" t="str">
        <f>IF(A778="","",IFERROR((((((SUMIF(Data!B:B, A778, Data!H:H)+(SUMIF(Data!B:B, A778,Data!G:G)))/(SUMIF(Data!B:B, A778, Data!J:J)))))),0))</f>
        <v/>
      </c>
      <c r="H778" s="45"/>
      <c r="I778" s="45"/>
      <c r="J778" s="45"/>
      <c r="K778" s="45"/>
      <c r="L778" s="45" t="str">
        <f>IFERROR((SUMIF(Data!B:B, A778, Data!L:L)
/ (COUNTIF(Data!B:B, A778)
)),"")</f>
        <v/>
      </c>
      <c r="M778" s="45" t="str">
        <f>IFERROR((SUMIF(Data!B:B, A778, Data!K:K)
/ (COUNTIF(Data!B:B, A778)
)),"")</f>
        <v/>
      </c>
      <c r="N778" s="56"/>
      <c r="O778" s="56" t="str">
        <f>IF(A778="","",IFERROR((((((SUMIF(Data!B:B, A778, Data!H:H)+(SUMIF(Data!B:B, A778,Data!G:G)+(SUMIF(Data!B:B, A778,Data!L:L)+(SUMIF(Data!B:B, A778,Data!K:K)))))/(SUMIF(Data!B:B, A778, Data!M:M)+(SUMIF(Data!B:B, A778, Data!H:H)+(SUMIF(Data!B:B, A778,Data!G:G)+(SUMIF(Data!B:B, A778,Data!K:K)+(SUMIF(Data!B:B, A778,Data!L:L)))))))))),0))</f>
        <v/>
      </c>
      <c r="P778" s="57" t="str">
        <f>IFERROR(__xludf.DUMMYFUNCTION("IFERROR(((COUNTIF(FILTER(Data!N:N,Data!B:B=A778),""TRAVERSE"")*15)+(COUNTIF(FILTER(Data!N:N,Data!B:B=A778),""HIGH"")*10)+(COUNTIF(FILTER(Data!N:N,Data!B:B=A778),""MIDDLE"")*6)+(COUNTIF(FILTER(Data!N:N,Data!B:B=A778),""LOW"")*4)) / (COUNTIF(Data!B:B, A778)"&amp;"),"""")"),"")</f>
        <v/>
      </c>
      <c r="Q778" s="58"/>
      <c r="R778" s="58"/>
      <c r="S778" s="58" t="str">
        <f>IFERROR(__xludf.DUMMYFUNCTION("IFERROR((((COUNTIF(FILTER(Data!N:N,Data!B:B=A778),""TRAVERSE""))+(COUNTIF(FILTER(Data!N:N,Data!B:B=A778),""HIGH""))+(COUNTIF(FILTER(Data!N:N,Data!B:B=A778),""MIDDLE""))+(COUNTIF(FILTER(Data!N:N,Data!B:B=A778),""LOW"")))) / (((COUNTIF(Data!B:B, A778)))-(CO"&amp;"UNTIF(FILTER(Data!N:N,Data!B:B=A778),""NONE""))),IF(ISBLANK(A778),"""",0))"),"")</f>
        <v/>
      </c>
      <c r="T778" s="56" t="str">
        <f>IFERROR(__xludf.DUMMYFUNCTION("IFERROR((COUNTIF(FILTER(Data!N:N, Data!B:B=A778),""LOW"")) / (COUNTIF(Data!B:B, A778)),"""")"),"")</f>
        <v/>
      </c>
      <c r="U778" s="59" t="str">
        <f>IFERROR(__xludf.DUMMYFUNCTION("IFERROR((COUNTIF(FILTER(Data!N:N, Data!B:B=A778),""MIDDLE"")) / (COUNTIF(Data!B:B, A778)),"""")"),"")</f>
        <v/>
      </c>
      <c r="V778" s="59" t="str">
        <f>IFERROR(__xludf.DUMMYFUNCTION("IFERROR((COUNTIF(FILTER(Data!N:N, Data!B:B=A778),""HIGH"")) / (COUNTIF(Data!B:B, A778)),"""")"),"")</f>
        <v/>
      </c>
      <c r="W778" s="59" t="str">
        <f>IFERROR(__xludf.DUMMYFUNCTION("IFERROR((COUNTIF(FILTER(Data!N:N, Data!B:B=A778),""TRAVERSE"")) / (COUNTIF(Data!B:B, A778)),"""")"),"")</f>
        <v/>
      </c>
      <c r="X778" s="59"/>
      <c r="Y778" s="45" t="str">
        <f t="shared" si="7"/>
        <v/>
      </c>
      <c r="Z778" s="45" t="str">
        <f t="shared" si="8"/>
        <v/>
      </c>
      <c r="AA778" s="16" t="str">
        <f t="shared" si="9"/>
        <v/>
      </c>
      <c r="AB778" s="16"/>
      <c r="AC778" s="16"/>
      <c r="AD778" s="16"/>
      <c r="AE778" s="16" t="str">
        <f t="shared" si="12"/>
        <v/>
      </c>
      <c r="AF778" s="16" t="str">
        <f t="shared" si="13"/>
        <v/>
      </c>
      <c r="AG778" s="44"/>
      <c r="AH778" s="44"/>
      <c r="AI778" s="44" t="str">
        <f>IFERROR(__xludf.DUMMYFUNCTION("TEXTJOIN("", "",TRUE, FILTER(Data!P:P, Data!B:B=A778))"),"")</f>
        <v/>
      </c>
      <c r="AM778" s="61"/>
      <c r="BC778" s="50"/>
    </row>
    <row r="779">
      <c r="A779" s="14"/>
      <c r="B779" s="55" t="str">
        <f>IFERROR(__xludf.DUMMYFUNCTION("IFERROR(ROUND(
(COUNTIF(FILTER(Data!O:O, Data!B:B=A779), ""Win"")
+ COUNTIF(FILTER(Data!O:O, Data!B:B=A779), {""Tie"",""Results""}))
/ (COUNTIF(Data!B:B, A779)),
1),"""")"),"")</f>
        <v/>
      </c>
      <c r="C779" s="45" t="str">
        <f>IFERROR((SUMIF(Data!B:B, A779, Data!H:H)
/ (COUNTIF(Data!B:B, A779)
)),"")</f>
        <v/>
      </c>
      <c r="D779" s="45" t="str">
        <f>IFERROR((SUMIF(Data!B:B, A779, Data!G:G)
/ (COUNTIF(Data!B:B, A779)
)),"")</f>
        <v/>
      </c>
      <c r="E779" s="45"/>
      <c r="F779" s="45" t="str">
        <f>IFERROR((SUMIF(Data!B:B, A779, Data!J:J)
/ (COUNTIF(Data!B:B, A779)
)),"")</f>
        <v/>
      </c>
      <c r="G779" s="56" t="str">
        <f>IF(A779="","",IFERROR((((((SUMIF(Data!B:B, A779, Data!H:H)+(SUMIF(Data!B:B, A779,Data!G:G)))/(SUMIF(Data!B:B, A779, Data!J:J)))))),0))</f>
        <v/>
      </c>
      <c r="H779" s="45"/>
      <c r="I779" s="45"/>
      <c r="J779" s="45"/>
      <c r="K779" s="45"/>
      <c r="L779" s="45" t="str">
        <f>IFERROR((SUMIF(Data!B:B, A779, Data!L:L)
/ (COUNTIF(Data!B:B, A779)
)),"")</f>
        <v/>
      </c>
      <c r="M779" s="45" t="str">
        <f>IFERROR((SUMIF(Data!B:B, A779, Data!K:K)
/ (COUNTIF(Data!B:B, A779)
)),"")</f>
        <v/>
      </c>
      <c r="N779" s="56"/>
      <c r="O779" s="56" t="str">
        <f>IF(A779="","",IFERROR((((((SUMIF(Data!B:B, A779, Data!H:H)+(SUMIF(Data!B:B, A779,Data!G:G)+(SUMIF(Data!B:B, A779,Data!L:L)+(SUMIF(Data!B:B, A779,Data!K:K)))))/(SUMIF(Data!B:B, A779, Data!M:M)+(SUMIF(Data!B:B, A779, Data!H:H)+(SUMIF(Data!B:B, A779,Data!G:G)+(SUMIF(Data!B:B, A779,Data!K:K)+(SUMIF(Data!B:B, A779,Data!L:L)))))))))),0))</f>
        <v/>
      </c>
      <c r="P779" s="57" t="str">
        <f>IFERROR(__xludf.DUMMYFUNCTION("IFERROR(((COUNTIF(FILTER(Data!N:N,Data!B:B=A779),""TRAVERSE"")*15)+(COUNTIF(FILTER(Data!N:N,Data!B:B=A779),""HIGH"")*10)+(COUNTIF(FILTER(Data!N:N,Data!B:B=A779),""MIDDLE"")*6)+(COUNTIF(FILTER(Data!N:N,Data!B:B=A779),""LOW"")*4)) / (COUNTIF(Data!B:B, A779)"&amp;"),"""")"),"")</f>
        <v/>
      </c>
      <c r="Q779" s="58"/>
      <c r="R779" s="58"/>
      <c r="S779" s="58" t="str">
        <f>IFERROR(__xludf.DUMMYFUNCTION("IFERROR((((COUNTIF(FILTER(Data!N:N,Data!B:B=A779),""TRAVERSE""))+(COUNTIF(FILTER(Data!N:N,Data!B:B=A779),""HIGH""))+(COUNTIF(FILTER(Data!N:N,Data!B:B=A779),""MIDDLE""))+(COUNTIF(FILTER(Data!N:N,Data!B:B=A779),""LOW"")))) / (((COUNTIF(Data!B:B, A779)))-(CO"&amp;"UNTIF(FILTER(Data!N:N,Data!B:B=A779),""NONE""))),IF(ISBLANK(A779),"""",0))"),"")</f>
        <v/>
      </c>
      <c r="T779" s="56" t="str">
        <f>IFERROR(__xludf.DUMMYFUNCTION("IFERROR((COUNTIF(FILTER(Data!N:N, Data!B:B=A779),""LOW"")) / (COUNTIF(Data!B:B, A779)),"""")"),"")</f>
        <v/>
      </c>
      <c r="U779" s="59" t="str">
        <f>IFERROR(__xludf.DUMMYFUNCTION("IFERROR((COUNTIF(FILTER(Data!N:N, Data!B:B=A779),""MIDDLE"")) / (COUNTIF(Data!B:B, A779)),"""")"),"")</f>
        <v/>
      </c>
      <c r="V779" s="59" t="str">
        <f>IFERROR(__xludf.DUMMYFUNCTION("IFERROR((COUNTIF(FILTER(Data!N:N, Data!B:B=A779),""HIGH"")) / (COUNTIF(Data!B:B, A779)),"""")"),"")</f>
        <v/>
      </c>
      <c r="W779" s="59" t="str">
        <f>IFERROR(__xludf.DUMMYFUNCTION("IFERROR((COUNTIF(FILTER(Data!N:N, Data!B:B=A779),""TRAVERSE"")) / (COUNTIF(Data!B:B, A779)),"""")"),"")</f>
        <v/>
      </c>
      <c r="X779" s="59"/>
      <c r="Y779" s="45" t="str">
        <f t="shared" si="7"/>
        <v/>
      </c>
      <c r="Z779" s="45" t="str">
        <f t="shared" si="8"/>
        <v/>
      </c>
      <c r="AA779" s="16" t="str">
        <f t="shared" si="9"/>
        <v/>
      </c>
      <c r="AB779" s="16"/>
      <c r="AC779" s="16"/>
      <c r="AD779" s="16"/>
      <c r="AE779" s="16" t="str">
        <f t="shared" si="12"/>
        <v/>
      </c>
      <c r="AF779" s="16" t="str">
        <f t="shared" si="13"/>
        <v/>
      </c>
      <c r="AG779" s="44"/>
      <c r="AH779" s="44"/>
      <c r="AI779" s="44" t="str">
        <f>IFERROR(__xludf.DUMMYFUNCTION("TEXTJOIN("", "",TRUE, FILTER(Data!P:P, Data!B:B=A779))"),"")</f>
        <v/>
      </c>
      <c r="AM779" s="61"/>
      <c r="BC779" s="50"/>
    </row>
    <row r="780">
      <c r="A780" s="14"/>
      <c r="B780" s="55" t="str">
        <f>IFERROR(__xludf.DUMMYFUNCTION("IFERROR(ROUND(
(COUNTIF(FILTER(Data!O:O, Data!B:B=A780), ""Win"")
+ COUNTIF(FILTER(Data!O:O, Data!B:B=A780), {""Tie"",""Results""}))
/ (COUNTIF(Data!B:B, A780)),
1),"""")"),"")</f>
        <v/>
      </c>
      <c r="C780" s="45" t="str">
        <f>IFERROR((SUMIF(Data!B:B, A780, Data!H:H)
/ (COUNTIF(Data!B:B, A780)
)),"")</f>
        <v/>
      </c>
      <c r="D780" s="45" t="str">
        <f>IFERROR((SUMIF(Data!B:B, A780, Data!G:G)
/ (COUNTIF(Data!B:B, A780)
)),"")</f>
        <v/>
      </c>
      <c r="E780" s="45"/>
      <c r="F780" s="45" t="str">
        <f>IFERROR((SUMIF(Data!B:B, A780, Data!J:J)
/ (COUNTIF(Data!B:B, A780)
)),"")</f>
        <v/>
      </c>
      <c r="G780" s="56" t="str">
        <f>IF(A780="","",IFERROR((((((SUMIF(Data!B:B, A780, Data!H:H)+(SUMIF(Data!B:B, A780,Data!G:G)))/(SUMIF(Data!B:B, A780, Data!J:J)))))),0))</f>
        <v/>
      </c>
      <c r="H780" s="45"/>
      <c r="I780" s="45"/>
      <c r="J780" s="45"/>
      <c r="K780" s="45"/>
      <c r="L780" s="45" t="str">
        <f>IFERROR((SUMIF(Data!B:B, A780, Data!L:L)
/ (COUNTIF(Data!B:B, A780)
)),"")</f>
        <v/>
      </c>
      <c r="M780" s="45" t="str">
        <f>IFERROR((SUMIF(Data!B:B, A780, Data!K:K)
/ (COUNTIF(Data!B:B, A780)
)),"")</f>
        <v/>
      </c>
      <c r="N780" s="56"/>
      <c r="O780" s="56" t="str">
        <f>IF(A780="","",IFERROR((((((SUMIF(Data!B:B, A780, Data!H:H)+(SUMIF(Data!B:B, A780,Data!G:G)+(SUMIF(Data!B:B, A780,Data!L:L)+(SUMIF(Data!B:B, A780,Data!K:K)))))/(SUMIF(Data!B:B, A780, Data!M:M)+(SUMIF(Data!B:B, A780, Data!H:H)+(SUMIF(Data!B:B, A780,Data!G:G)+(SUMIF(Data!B:B, A780,Data!K:K)+(SUMIF(Data!B:B, A780,Data!L:L)))))))))),0))</f>
        <v/>
      </c>
      <c r="P780" s="57" t="str">
        <f>IFERROR(__xludf.DUMMYFUNCTION("IFERROR(((COUNTIF(FILTER(Data!N:N,Data!B:B=A780),""TRAVERSE"")*15)+(COUNTIF(FILTER(Data!N:N,Data!B:B=A780),""HIGH"")*10)+(COUNTIF(FILTER(Data!N:N,Data!B:B=A780),""MIDDLE"")*6)+(COUNTIF(FILTER(Data!N:N,Data!B:B=A780),""LOW"")*4)) / (COUNTIF(Data!B:B, A780)"&amp;"),"""")"),"")</f>
        <v/>
      </c>
      <c r="Q780" s="58"/>
      <c r="R780" s="58"/>
      <c r="S780" s="58" t="str">
        <f>IFERROR(__xludf.DUMMYFUNCTION("IFERROR((((COUNTIF(FILTER(Data!N:N,Data!B:B=A780),""TRAVERSE""))+(COUNTIF(FILTER(Data!N:N,Data!B:B=A780),""HIGH""))+(COUNTIF(FILTER(Data!N:N,Data!B:B=A780),""MIDDLE""))+(COUNTIF(FILTER(Data!N:N,Data!B:B=A780),""LOW"")))) / (((COUNTIF(Data!B:B, A780)))-(CO"&amp;"UNTIF(FILTER(Data!N:N,Data!B:B=A780),""NONE""))),IF(ISBLANK(A780),"""",0))"),"")</f>
        <v/>
      </c>
      <c r="T780" s="56" t="str">
        <f>IFERROR(__xludf.DUMMYFUNCTION("IFERROR((COUNTIF(FILTER(Data!N:N, Data!B:B=A780),""LOW"")) / (COUNTIF(Data!B:B, A780)),"""")"),"")</f>
        <v/>
      </c>
      <c r="U780" s="59" t="str">
        <f>IFERROR(__xludf.DUMMYFUNCTION("IFERROR((COUNTIF(FILTER(Data!N:N, Data!B:B=A780),""MIDDLE"")) / (COUNTIF(Data!B:B, A780)),"""")"),"")</f>
        <v/>
      </c>
      <c r="V780" s="59" t="str">
        <f>IFERROR(__xludf.DUMMYFUNCTION("IFERROR((COUNTIF(FILTER(Data!N:N, Data!B:B=A780),""HIGH"")) / (COUNTIF(Data!B:B, A780)),"""")"),"")</f>
        <v/>
      </c>
      <c r="W780" s="59" t="str">
        <f>IFERROR(__xludf.DUMMYFUNCTION("IFERROR((COUNTIF(FILTER(Data!N:N, Data!B:B=A780),""TRAVERSE"")) / (COUNTIF(Data!B:B, A780)),"""")"),"")</f>
        <v/>
      </c>
      <c r="X780" s="59"/>
      <c r="Y780" s="45" t="str">
        <f t="shared" si="7"/>
        <v/>
      </c>
      <c r="Z780" s="45" t="str">
        <f t="shared" si="8"/>
        <v/>
      </c>
      <c r="AA780" s="16" t="str">
        <f t="shared" si="9"/>
        <v/>
      </c>
      <c r="AB780" s="16"/>
      <c r="AC780" s="16"/>
      <c r="AD780" s="16"/>
      <c r="AE780" s="16" t="str">
        <f t="shared" si="12"/>
        <v/>
      </c>
      <c r="AF780" s="16" t="str">
        <f t="shared" si="13"/>
        <v/>
      </c>
      <c r="AG780" s="44"/>
      <c r="AH780" s="44"/>
      <c r="AI780" s="44" t="str">
        <f>IFERROR(__xludf.DUMMYFUNCTION("TEXTJOIN("", "",TRUE, FILTER(Data!P:P, Data!B:B=A780))"),"")</f>
        <v/>
      </c>
      <c r="AM780" s="61"/>
      <c r="BC780" s="50"/>
    </row>
    <row r="781">
      <c r="A781" s="14"/>
      <c r="B781" s="55" t="str">
        <f>IFERROR(__xludf.DUMMYFUNCTION("IFERROR(ROUND(
(COUNTIF(FILTER(Data!O:O, Data!B:B=A781), ""Win"")
+ COUNTIF(FILTER(Data!O:O, Data!B:B=A781), {""Tie"",""Results""}))
/ (COUNTIF(Data!B:B, A781)),
1),"""")"),"")</f>
        <v/>
      </c>
      <c r="C781" s="45" t="str">
        <f>IFERROR((SUMIF(Data!B:B, A781, Data!H:H)
/ (COUNTIF(Data!B:B, A781)
)),"")</f>
        <v/>
      </c>
      <c r="D781" s="45" t="str">
        <f>IFERROR((SUMIF(Data!B:B, A781, Data!G:G)
/ (COUNTIF(Data!B:B, A781)
)),"")</f>
        <v/>
      </c>
      <c r="E781" s="45"/>
      <c r="F781" s="45" t="str">
        <f>IFERROR((SUMIF(Data!B:B, A781, Data!J:J)
/ (COUNTIF(Data!B:B, A781)
)),"")</f>
        <v/>
      </c>
      <c r="G781" s="56" t="str">
        <f>IF(A781="","",IFERROR((((((SUMIF(Data!B:B, A781, Data!H:H)+(SUMIF(Data!B:B, A781,Data!G:G)))/(SUMIF(Data!B:B, A781, Data!J:J)))))),0))</f>
        <v/>
      </c>
      <c r="H781" s="45"/>
      <c r="I781" s="45"/>
      <c r="J781" s="45"/>
      <c r="K781" s="45"/>
      <c r="L781" s="45" t="str">
        <f>IFERROR((SUMIF(Data!B:B, A781, Data!L:L)
/ (COUNTIF(Data!B:B, A781)
)),"")</f>
        <v/>
      </c>
      <c r="M781" s="45" t="str">
        <f>IFERROR((SUMIF(Data!B:B, A781, Data!K:K)
/ (COUNTIF(Data!B:B, A781)
)),"")</f>
        <v/>
      </c>
      <c r="N781" s="56"/>
      <c r="O781" s="56" t="str">
        <f>IF(A781="","",IFERROR((((((SUMIF(Data!B:B, A781, Data!H:H)+(SUMIF(Data!B:B, A781,Data!G:G)+(SUMIF(Data!B:B, A781,Data!L:L)+(SUMIF(Data!B:B, A781,Data!K:K)))))/(SUMIF(Data!B:B, A781, Data!M:M)+(SUMIF(Data!B:B, A781, Data!H:H)+(SUMIF(Data!B:B, A781,Data!G:G)+(SUMIF(Data!B:B, A781,Data!K:K)+(SUMIF(Data!B:B, A781,Data!L:L)))))))))),0))</f>
        <v/>
      </c>
      <c r="P781" s="57" t="str">
        <f>IFERROR(__xludf.DUMMYFUNCTION("IFERROR(((COUNTIF(FILTER(Data!N:N,Data!B:B=A781),""TRAVERSE"")*15)+(COUNTIF(FILTER(Data!N:N,Data!B:B=A781),""HIGH"")*10)+(COUNTIF(FILTER(Data!N:N,Data!B:B=A781),""MIDDLE"")*6)+(COUNTIF(FILTER(Data!N:N,Data!B:B=A781),""LOW"")*4)) / (COUNTIF(Data!B:B, A781)"&amp;"),"""")"),"")</f>
        <v/>
      </c>
      <c r="Q781" s="58"/>
      <c r="R781" s="58"/>
      <c r="S781" s="58" t="str">
        <f>IFERROR(__xludf.DUMMYFUNCTION("IFERROR((((COUNTIF(FILTER(Data!N:N,Data!B:B=A781),""TRAVERSE""))+(COUNTIF(FILTER(Data!N:N,Data!B:B=A781),""HIGH""))+(COUNTIF(FILTER(Data!N:N,Data!B:B=A781),""MIDDLE""))+(COUNTIF(FILTER(Data!N:N,Data!B:B=A781),""LOW"")))) / (((COUNTIF(Data!B:B, A781)))-(CO"&amp;"UNTIF(FILTER(Data!N:N,Data!B:B=A781),""NONE""))),IF(ISBLANK(A781),"""",0))"),"")</f>
        <v/>
      </c>
      <c r="T781" s="56" t="str">
        <f>IFERROR(__xludf.DUMMYFUNCTION("IFERROR((COUNTIF(FILTER(Data!N:N, Data!B:B=A781),""LOW"")) / (COUNTIF(Data!B:B, A781)),"""")"),"")</f>
        <v/>
      </c>
      <c r="U781" s="59" t="str">
        <f>IFERROR(__xludf.DUMMYFUNCTION("IFERROR((COUNTIF(FILTER(Data!N:N, Data!B:B=A781),""MIDDLE"")) / (COUNTIF(Data!B:B, A781)),"""")"),"")</f>
        <v/>
      </c>
      <c r="V781" s="59" t="str">
        <f>IFERROR(__xludf.DUMMYFUNCTION("IFERROR((COUNTIF(FILTER(Data!N:N, Data!B:B=A781),""HIGH"")) / (COUNTIF(Data!B:B, A781)),"""")"),"")</f>
        <v/>
      </c>
      <c r="W781" s="59" t="str">
        <f>IFERROR(__xludf.DUMMYFUNCTION("IFERROR((COUNTIF(FILTER(Data!N:N, Data!B:B=A781),""TRAVERSE"")) / (COUNTIF(Data!B:B, A781)),"""")"),"")</f>
        <v/>
      </c>
      <c r="X781" s="59"/>
      <c r="Y781" s="45" t="str">
        <f t="shared" si="7"/>
        <v/>
      </c>
      <c r="Z781" s="45" t="str">
        <f t="shared" si="8"/>
        <v/>
      </c>
      <c r="AA781" s="16" t="str">
        <f t="shared" si="9"/>
        <v/>
      </c>
      <c r="AB781" s="16"/>
      <c r="AC781" s="16"/>
      <c r="AD781" s="16"/>
      <c r="AE781" s="16" t="str">
        <f t="shared" si="12"/>
        <v/>
      </c>
      <c r="AF781" s="16" t="str">
        <f t="shared" si="13"/>
        <v/>
      </c>
      <c r="AG781" s="44"/>
      <c r="AH781" s="44"/>
      <c r="AI781" s="44" t="str">
        <f>IFERROR(__xludf.DUMMYFUNCTION("TEXTJOIN("", "",TRUE, FILTER(Data!P:P, Data!B:B=A781))"),"")</f>
        <v/>
      </c>
      <c r="AM781" s="61"/>
      <c r="BC781" s="50"/>
    </row>
    <row r="782">
      <c r="A782" s="14"/>
      <c r="B782" s="55" t="str">
        <f>IFERROR(__xludf.DUMMYFUNCTION("IFERROR(ROUND(
(COUNTIF(FILTER(Data!O:O, Data!B:B=A782), ""Win"")
+ COUNTIF(FILTER(Data!O:O, Data!B:B=A782), {""Tie"",""Results""}))
/ (COUNTIF(Data!B:B, A782)),
1),"""")"),"")</f>
        <v/>
      </c>
      <c r="C782" s="45" t="str">
        <f>IFERROR((SUMIF(Data!B:B, A782, Data!H:H)
/ (COUNTIF(Data!B:B, A782)
)),"")</f>
        <v/>
      </c>
      <c r="D782" s="45" t="str">
        <f>IFERROR((SUMIF(Data!B:B, A782, Data!G:G)
/ (COUNTIF(Data!B:B, A782)
)),"")</f>
        <v/>
      </c>
      <c r="E782" s="45"/>
      <c r="F782" s="45" t="str">
        <f>IFERROR((SUMIF(Data!B:B, A782, Data!J:J)
/ (COUNTIF(Data!B:B, A782)
)),"")</f>
        <v/>
      </c>
      <c r="G782" s="56" t="str">
        <f>IF(A782="","",IFERROR((((((SUMIF(Data!B:B, A782, Data!H:H)+(SUMIF(Data!B:B, A782,Data!G:G)))/(SUMIF(Data!B:B, A782, Data!J:J)))))),0))</f>
        <v/>
      </c>
      <c r="H782" s="45"/>
      <c r="I782" s="45"/>
      <c r="J782" s="45"/>
      <c r="K782" s="45"/>
      <c r="L782" s="45" t="str">
        <f>IFERROR((SUMIF(Data!B:B, A782, Data!L:L)
/ (COUNTIF(Data!B:B, A782)
)),"")</f>
        <v/>
      </c>
      <c r="M782" s="45" t="str">
        <f>IFERROR((SUMIF(Data!B:B, A782, Data!K:K)
/ (COUNTIF(Data!B:B, A782)
)),"")</f>
        <v/>
      </c>
      <c r="N782" s="56"/>
      <c r="O782" s="56" t="str">
        <f>IF(A782="","",IFERROR((((((SUMIF(Data!B:B, A782, Data!H:H)+(SUMIF(Data!B:B, A782,Data!G:G)+(SUMIF(Data!B:B, A782,Data!L:L)+(SUMIF(Data!B:B, A782,Data!K:K)))))/(SUMIF(Data!B:B, A782, Data!M:M)+(SUMIF(Data!B:B, A782, Data!H:H)+(SUMIF(Data!B:B, A782,Data!G:G)+(SUMIF(Data!B:B, A782,Data!K:K)+(SUMIF(Data!B:B, A782,Data!L:L)))))))))),0))</f>
        <v/>
      </c>
      <c r="P782" s="57" t="str">
        <f>IFERROR(__xludf.DUMMYFUNCTION("IFERROR(((COUNTIF(FILTER(Data!N:N,Data!B:B=A782),""TRAVERSE"")*15)+(COUNTIF(FILTER(Data!N:N,Data!B:B=A782),""HIGH"")*10)+(COUNTIF(FILTER(Data!N:N,Data!B:B=A782),""MIDDLE"")*6)+(COUNTIF(FILTER(Data!N:N,Data!B:B=A782),""LOW"")*4)) / (COUNTIF(Data!B:B, A782)"&amp;"),"""")"),"")</f>
        <v/>
      </c>
      <c r="Q782" s="58"/>
      <c r="R782" s="58"/>
      <c r="S782" s="58" t="str">
        <f>IFERROR(__xludf.DUMMYFUNCTION("IFERROR((((COUNTIF(FILTER(Data!N:N,Data!B:B=A782),""TRAVERSE""))+(COUNTIF(FILTER(Data!N:N,Data!B:B=A782),""HIGH""))+(COUNTIF(FILTER(Data!N:N,Data!B:B=A782),""MIDDLE""))+(COUNTIF(FILTER(Data!N:N,Data!B:B=A782),""LOW"")))) / (((COUNTIF(Data!B:B, A782)))-(CO"&amp;"UNTIF(FILTER(Data!N:N,Data!B:B=A782),""NONE""))),IF(ISBLANK(A782),"""",0))"),"")</f>
        <v/>
      </c>
      <c r="T782" s="56" t="str">
        <f>IFERROR(__xludf.DUMMYFUNCTION("IFERROR((COUNTIF(FILTER(Data!N:N, Data!B:B=A782),""LOW"")) / (COUNTIF(Data!B:B, A782)),"""")"),"")</f>
        <v/>
      </c>
      <c r="U782" s="59" t="str">
        <f>IFERROR(__xludf.DUMMYFUNCTION("IFERROR((COUNTIF(FILTER(Data!N:N, Data!B:B=A782),""MIDDLE"")) / (COUNTIF(Data!B:B, A782)),"""")"),"")</f>
        <v/>
      </c>
      <c r="V782" s="59" t="str">
        <f>IFERROR(__xludf.DUMMYFUNCTION("IFERROR((COUNTIF(FILTER(Data!N:N, Data!B:B=A782),""HIGH"")) / (COUNTIF(Data!B:B, A782)),"""")"),"")</f>
        <v/>
      </c>
      <c r="W782" s="59" t="str">
        <f>IFERROR(__xludf.DUMMYFUNCTION("IFERROR((COUNTIF(FILTER(Data!N:N, Data!B:B=A782),""TRAVERSE"")) / (COUNTIF(Data!B:B, A782)),"""")"),"")</f>
        <v/>
      </c>
      <c r="X782" s="59"/>
      <c r="Y782" s="45" t="str">
        <f t="shared" si="7"/>
        <v/>
      </c>
      <c r="Z782" s="45" t="str">
        <f t="shared" si="8"/>
        <v/>
      </c>
      <c r="AA782" s="16" t="str">
        <f t="shared" si="9"/>
        <v/>
      </c>
      <c r="AB782" s="16"/>
      <c r="AC782" s="16"/>
      <c r="AD782" s="16"/>
      <c r="AE782" s="16" t="str">
        <f t="shared" si="12"/>
        <v/>
      </c>
      <c r="AF782" s="16" t="str">
        <f t="shared" si="13"/>
        <v/>
      </c>
      <c r="AG782" s="44"/>
      <c r="AH782" s="44"/>
      <c r="AI782" s="44" t="str">
        <f>IFERROR(__xludf.DUMMYFUNCTION("TEXTJOIN("", "",TRUE, FILTER(Data!P:P, Data!B:B=A782))"),"")</f>
        <v/>
      </c>
      <c r="AM782" s="61"/>
      <c r="BC782" s="50"/>
    </row>
    <row r="783">
      <c r="A783" s="14"/>
      <c r="B783" s="55" t="str">
        <f>IFERROR(__xludf.DUMMYFUNCTION("IFERROR(ROUND(
(COUNTIF(FILTER(Data!O:O, Data!B:B=A783), ""Win"")
+ COUNTIF(FILTER(Data!O:O, Data!B:B=A783), {""Tie"",""Results""}))
/ (COUNTIF(Data!B:B, A783)),
1),"""")"),"")</f>
        <v/>
      </c>
      <c r="C783" s="45" t="str">
        <f>IFERROR((SUMIF(Data!B:B, A783, Data!H:H)
/ (COUNTIF(Data!B:B, A783)
)),"")</f>
        <v/>
      </c>
      <c r="D783" s="45" t="str">
        <f>IFERROR((SUMIF(Data!B:B, A783, Data!G:G)
/ (COUNTIF(Data!B:B, A783)
)),"")</f>
        <v/>
      </c>
      <c r="E783" s="45"/>
      <c r="F783" s="45" t="str">
        <f>IFERROR((SUMIF(Data!B:B, A783, Data!J:J)
/ (COUNTIF(Data!B:B, A783)
)),"")</f>
        <v/>
      </c>
      <c r="G783" s="56" t="str">
        <f>IF(A783="","",IFERROR((((((SUMIF(Data!B:B, A783, Data!H:H)+(SUMIF(Data!B:B, A783,Data!G:G)))/(SUMIF(Data!B:B, A783, Data!J:J)))))),0))</f>
        <v/>
      </c>
      <c r="H783" s="45"/>
      <c r="I783" s="45"/>
      <c r="J783" s="45"/>
      <c r="K783" s="45"/>
      <c r="L783" s="45" t="str">
        <f>IFERROR((SUMIF(Data!B:B, A783, Data!L:L)
/ (COUNTIF(Data!B:B, A783)
)),"")</f>
        <v/>
      </c>
      <c r="M783" s="45" t="str">
        <f>IFERROR((SUMIF(Data!B:B, A783, Data!K:K)
/ (COUNTIF(Data!B:B, A783)
)),"")</f>
        <v/>
      </c>
      <c r="N783" s="56"/>
      <c r="O783" s="56" t="str">
        <f>IF(A783="","",IFERROR((((((SUMIF(Data!B:B, A783, Data!H:H)+(SUMIF(Data!B:B, A783,Data!G:G)+(SUMIF(Data!B:B, A783,Data!L:L)+(SUMIF(Data!B:B, A783,Data!K:K)))))/(SUMIF(Data!B:B, A783, Data!M:M)+(SUMIF(Data!B:B, A783, Data!H:H)+(SUMIF(Data!B:B, A783,Data!G:G)+(SUMIF(Data!B:B, A783,Data!K:K)+(SUMIF(Data!B:B, A783,Data!L:L)))))))))),0))</f>
        <v/>
      </c>
      <c r="P783" s="57" t="str">
        <f>IFERROR(__xludf.DUMMYFUNCTION("IFERROR(((COUNTIF(FILTER(Data!N:N,Data!B:B=A783),""TRAVERSE"")*15)+(COUNTIF(FILTER(Data!N:N,Data!B:B=A783),""HIGH"")*10)+(COUNTIF(FILTER(Data!N:N,Data!B:B=A783),""MIDDLE"")*6)+(COUNTIF(FILTER(Data!N:N,Data!B:B=A783),""LOW"")*4)) / (COUNTIF(Data!B:B, A783)"&amp;"),"""")"),"")</f>
        <v/>
      </c>
      <c r="Q783" s="58"/>
      <c r="R783" s="58"/>
      <c r="S783" s="58" t="str">
        <f>IFERROR(__xludf.DUMMYFUNCTION("IFERROR((((COUNTIF(FILTER(Data!N:N,Data!B:B=A783),""TRAVERSE""))+(COUNTIF(FILTER(Data!N:N,Data!B:B=A783),""HIGH""))+(COUNTIF(FILTER(Data!N:N,Data!B:B=A783),""MIDDLE""))+(COUNTIF(FILTER(Data!N:N,Data!B:B=A783),""LOW"")))) / (((COUNTIF(Data!B:B, A783)))-(CO"&amp;"UNTIF(FILTER(Data!N:N,Data!B:B=A783),""NONE""))),IF(ISBLANK(A783),"""",0))"),"")</f>
        <v/>
      </c>
      <c r="T783" s="56" t="str">
        <f>IFERROR(__xludf.DUMMYFUNCTION("IFERROR((COUNTIF(FILTER(Data!N:N, Data!B:B=A783),""LOW"")) / (COUNTIF(Data!B:B, A783)),"""")"),"")</f>
        <v/>
      </c>
      <c r="U783" s="59" t="str">
        <f>IFERROR(__xludf.DUMMYFUNCTION("IFERROR((COUNTIF(FILTER(Data!N:N, Data!B:B=A783),""MIDDLE"")) / (COUNTIF(Data!B:B, A783)),"""")"),"")</f>
        <v/>
      </c>
      <c r="V783" s="59" t="str">
        <f>IFERROR(__xludf.DUMMYFUNCTION("IFERROR((COUNTIF(FILTER(Data!N:N, Data!B:B=A783),""HIGH"")) / (COUNTIF(Data!B:B, A783)),"""")"),"")</f>
        <v/>
      </c>
      <c r="W783" s="59" t="str">
        <f>IFERROR(__xludf.DUMMYFUNCTION("IFERROR((COUNTIF(FILTER(Data!N:N, Data!B:B=A783),""TRAVERSE"")) / (COUNTIF(Data!B:B, A783)),"""")"),"")</f>
        <v/>
      </c>
      <c r="X783" s="59"/>
      <c r="Y783" s="45" t="str">
        <f t="shared" si="7"/>
        <v/>
      </c>
      <c r="Z783" s="45" t="str">
        <f t="shared" si="8"/>
        <v/>
      </c>
      <c r="AA783" s="16" t="str">
        <f t="shared" si="9"/>
        <v/>
      </c>
      <c r="AB783" s="16"/>
      <c r="AC783" s="16"/>
      <c r="AD783" s="16"/>
      <c r="AE783" s="16" t="str">
        <f t="shared" si="12"/>
        <v/>
      </c>
      <c r="AF783" s="16" t="str">
        <f t="shared" si="13"/>
        <v/>
      </c>
      <c r="AG783" s="44"/>
      <c r="AH783" s="44"/>
      <c r="AI783" s="44" t="str">
        <f>IFERROR(__xludf.DUMMYFUNCTION("TEXTJOIN("", "",TRUE, FILTER(Data!P:P, Data!B:B=A783))"),"")</f>
        <v/>
      </c>
      <c r="AM783" s="61"/>
      <c r="BC783" s="50"/>
    </row>
    <row r="784">
      <c r="A784" s="14"/>
      <c r="B784" s="55" t="str">
        <f>IFERROR(__xludf.DUMMYFUNCTION("IFERROR(ROUND(
(COUNTIF(FILTER(Data!O:O, Data!B:B=A784), ""Win"")
+ COUNTIF(FILTER(Data!O:O, Data!B:B=A784), {""Tie"",""Results""}))
/ (COUNTIF(Data!B:B, A784)),
1),"""")"),"")</f>
        <v/>
      </c>
      <c r="C784" s="45" t="str">
        <f>IFERROR((SUMIF(Data!B:B, A784, Data!H:H)
/ (COUNTIF(Data!B:B, A784)
)),"")</f>
        <v/>
      </c>
      <c r="D784" s="45" t="str">
        <f>IFERROR((SUMIF(Data!B:B, A784, Data!G:G)
/ (COUNTIF(Data!B:B, A784)
)),"")</f>
        <v/>
      </c>
      <c r="E784" s="45"/>
      <c r="F784" s="45" t="str">
        <f>IFERROR((SUMIF(Data!B:B, A784, Data!J:J)
/ (COUNTIF(Data!B:B, A784)
)),"")</f>
        <v/>
      </c>
      <c r="G784" s="56" t="str">
        <f>IF(A784="","",IFERROR((((((SUMIF(Data!B:B, A784, Data!H:H)+(SUMIF(Data!B:B, A784,Data!G:G)))/(SUMIF(Data!B:B, A784, Data!J:J)))))),0))</f>
        <v/>
      </c>
      <c r="H784" s="45"/>
      <c r="I784" s="45"/>
      <c r="J784" s="45"/>
      <c r="K784" s="45"/>
      <c r="L784" s="45" t="str">
        <f>IFERROR((SUMIF(Data!B:B, A784, Data!L:L)
/ (COUNTIF(Data!B:B, A784)
)),"")</f>
        <v/>
      </c>
      <c r="M784" s="45" t="str">
        <f>IFERROR((SUMIF(Data!B:B, A784, Data!K:K)
/ (COUNTIF(Data!B:B, A784)
)),"")</f>
        <v/>
      </c>
      <c r="N784" s="56"/>
      <c r="O784" s="56" t="str">
        <f>IF(A784="","",IFERROR((((((SUMIF(Data!B:B, A784, Data!H:H)+(SUMIF(Data!B:B, A784,Data!G:G)+(SUMIF(Data!B:B, A784,Data!L:L)+(SUMIF(Data!B:B, A784,Data!K:K)))))/(SUMIF(Data!B:B, A784, Data!M:M)+(SUMIF(Data!B:B, A784, Data!H:H)+(SUMIF(Data!B:B, A784,Data!G:G)+(SUMIF(Data!B:B, A784,Data!K:K)+(SUMIF(Data!B:B, A784,Data!L:L)))))))))),0))</f>
        <v/>
      </c>
      <c r="P784" s="57" t="str">
        <f>IFERROR(__xludf.DUMMYFUNCTION("IFERROR(((COUNTIF(FILTER(Data!N:N,Data!B:B=A784),""TRAVERSE"")*15)+(COUNTIF(FILTER(Data!N:N,Data!B:B=A784),""HIGH"")*10)+(COUNTIF(FILTER(Data!N:N,Data!B:B=A784),""MIDDLE"")*6)+(COUNTIF(FILTER(Data!N:N,Data!B:B=A784),""LOW"")*4)) / (COUNTIF(Data!B:B, A784)"&amp;"),"""")"),"")</f>
        <v/>
      </c>
      <c r="Q784" s="58"/>
      <c r="R784" s="58"/>
      <c r="S784" s="58" t="str">
        <f>IFERROR(__xludf.DUMMYFUNCTION("IFERROR((((COUNTIF(FILTER(Data!N:N,Data!B:B=A784),""TRAVERSE""))+(COUNTIF(FILTER(Data!N:N,Data!B:B=A784),""HIGH""))+(COUNTIF(FILTER(Data!N:N,Data!B:B=A784),""MIDDLE""))+(COUNTIF(FILTER(Data!N:N,Data!B:B=A784),""LOW"")))) / (((COUNTIF(Data!B:B, A784)))-(CO"&amp;"UNTIF(FILTER(Data!N:N,Data!B:B=A784),""NONE""))),IF(ISBLANK(A784),"""",0))"),"")</f>
        <v/>
      </c>
      <c r="T784" s="56" t="str">
        <f>IFERROR(__xludf.DUMMYFUNCTION("IFERROR((COUNTIF(FILTER(Data!N:N, Data!B:B=A784),""LOW"")) / (COUNTIF(Data!B:B, A784)),"""")"),"")</f>
        <v/>
      </c>
      <c r="U784" s="59" t="str">
        <f>IFERROR(__xludf.DUMMYFUNCTION("IFERROR((COUNTIF(FILTER(Data!N:N, Data!B:B=A784),""MIDDLE"")) / (COUNTIF(Data!B:B, A784)),"""")"),"")</f>
        <v/>
      </c>
      <c r="V784" s="59" t="str">
        <f>IFERROR(__xludf.DUMMYFUNCTION("IFERROR((COUNTIF(FILTER(Data!N:N, Data!B:B=A784),""HIGH"")) / (COUNTIF(Data!B:B, A784)),"""")"),"")</f>
        <v/>
      </c>
      <c r="W784" s="59" t="str">
        <f>IFERROR(__xludf.DUMMYFUNCTION("IFERROR((COUNTIF(FILTER(Data!N:N, Data!B:B=A784),""TRAVERSE"")) / (COUNTIF(Data!B:B, A784)),"""")"),"")</f>
        <v/>
      </c>
      <c r="X784" s="59"/>
      <c r="Y784" s="45" t="str">
        <f t="shared" si="7"/>
        <v/>
      </c>
      <c r="Z784" s="45" t="str">
        <f t="shared" si="8"/>
        <v/>
      </c>
      <c r="AA784" s="16" t="str">
        <f t="shared" si="9"/>
        <v/>
      </c>
      <c r="AB784" s="16"/>
      <c r="AC784" s="16"/>
      <c r="AD784" s="16"/>
      <c r="AE784" s="16" t="str">
        <f t="shared" si="12"/>
        <v/>
      </c>
      <c r="AF784" s="16" t="str">
        <f t="shared" si="13"/>
        <v/>
      </c>
      <c r="AG784" s="44"/>
      <c r="AH784" s="44"/>
      <c r="AI784" s="44" t="str">
        <f>IFERROR(__xludf.DUMMYFUNCTION("TEXTJOIN("", "",TRUE, FILTER(Data!P:P, Data!B:B=A784))"),"")</f>
        <v/>
      </c>
      <c r="AM784" s="61"/>
      <c r="BC784" s="50"/>
    </row>
    <row r="785">
      <c r="A785" s="14"/>
      <c r="B785" s="55" t="str">
        <f>IFERROR(__xludf.DUMMYFUNCTION("IFERROR(ROUND(
(COUNTIF(FILTER(Data!O:O, Data!B:B=A785), ""Win"")
+ COUNTIF(FILTER(Data!O:O, Data!B:B=A785), {""Tie"",""Results""}))
/ (COUNTIF(Data!B:B, A785)),
1),"""")"),"")</f>
        <v/>
      </c>
      <c r="C785" s="45" t="str">
        <f>IFERROR((SUMIF(Data!B:B, A785, Data!H:H)
/ (COUNTIF(Data!B:B, A785)
)),"")</f>
        <v/>
      </c>
      <c r="D785" s="45" t="str">
        <f>IFERROR((SUMIF(Data!B:B, A785, Data!G:G)
/ (COUNTIF(Data!B:B, A785)
)),"")</f>
        <v/>
      </c>
      <c r="E785" s="45"/>
      <c r="F785" s="45" t="str">
        <f>IFERROR((SUMIF(Data!B:B, A785, Data!J:J)
/ (COUNTIF(Data!B:B, A785)
)),"")</f>
        <v/>
      </c>
      <c r="G785" s="56" t="str">
        <f>IF(A785="","",IFERROR((((((SUMIF(Data!B:B, A785, Data!H:H)+(SUMIF(Data!B:B, A785,Data!G:G)))/(SUMIF(Data!B:B, A785, Data!J:J)))))),0))</f>
        <v/>
      </c>
      <c r="H785" s="45"/>
      <c r="I785" s="45"/>
      <c r="J785" s="45"/>
      <c r="K785" s="45"/>
      <c r="L785" s="45" t="str">
        <f>IFERROR((SUMIF(Data!B:B, A785, Data!L:L)
/ (COUNTIF(Data!B:B, A785)
)),"")</f>
        <v/>
      </c>
      <c r="M785" s="45" t="str">
        <f>IFERROR((SUMIF(Data!B:B, A785, Data!K:K)
/ (COUNTIF(Data!B:B, A785)
)),"")</f>
        <v/>
      </c>
      <c r="N785" s="56"/>
      <c r="O785" s="56" t="str">
        <f>IF(A785="","",IFERROR((((((SUMIF(Data!B:B, A785, Data!H:H)+(SUMIF(Data!B:B, A785,Data!G:G)+(SUMIF(Data!B:B, A785,Data!L:L)+(SUMIF(Data!B:B, A785,Data!K:K)))))/(SUMIF(Data!B:B, A785, Data!M:M)+(SUMIF(Data!B:B, A785, Data!H:H)+(SUMIF(Data!B:B, A785,Data!G:G)+(SUMIF(Data!B:B, A785,Data!K:K)+(SUMIF(Data!B:B, A785,Data!L:L)))))))))),0))</f>
        <v/>
      </c>
      <c r="P785" s="57" t="str">
        <f>IFERROR(__xludf.DUMMYFUNCTION("IFERROR(((COUNTIF(FILTER(Data!N:N,Data!B:B=A785),""TRAVERSE"")*15)+(COUNTIF(FILTER(Data!N:N,Data!B:B=A785),""HIGH"")*10)+(COUNTIF(FILTER(Data!N:N,Data!B:B=A785),""MIDDLE"")*6)+(COUNTIF(FILTER(Data!N:N,Data!B:B=A785),""LOW"")*4)) / (COUNTIF(Data!B:B, A785)"&amp;"),"""")"),"")</f>
        <v/>
      </c>
      <c r="Q785" s="58"/>
      <c r="R785" s="58"/>
      <c r="S785" s="58" t="str">
        <f>IFERROR(__xludf.DUMMYFUNCTION("IFERROR((((COUNTIF(FILTER(Data!N:N,Data!B:B=A785),""TRAVERSE""))+(COUNTIF(FILTER(Data!N:N,Data!B:B=A785),""HIGH""))+(COUNTIF(FILTER(Data!N:N,Data!B:B=A785),""MIDDLE""))+(COUNTIF(FILTER(Data!N:N,Data!B:B=A785),""LOW"")))) / (((COUNTIF(Data!B:B, A785)))-(CO"&amp;"UNTIF(FILTER(Data!N:N,Data!B:B=A785),""NONE""))),IF(ISBLANK(A785),"""",0))"),"")</f>
        <v/>
      </c>
      <c r="T785" s="56" t="str">
        <f>IFERROR(__xludf.DUMMYFUNCTION("IFERROR((COUNTIF(FILTER(Data!N:N, Data!B:B=A785),""LOW"")) / (COUNTIF(Data!B:B, A785)),"""")"),"")</f>
        <v/>
      </c>
      <c r="U785" s="59" t="str">
        <f>IFERROR(__xludf.DUMMYFUNCTION("IFERROR((COUNTIF(FILTER(Data!N:N, Data!B:B=A785),""MIDDLE"")) / (COUNTIF(Data!B:B, A785)),"""")"),"")</f>
        <v/>
      </c>
      <c r="V785" s="59" t="str">
        <f>IFERROR(__xludf.DUMMYFUNCTION("IFERROR((COUNTIF(FILTER(Data!N:N, Data!B:B=A785),""HIGH"")) / (COUNTIF(Data!B:B, A785)),"""")"),"")</f>
        <v/>
      </c>
      <c r="W785" s="59" t="str">
        <f>IFERROR(__xludf.DUMMYFUNCTION("IFERROR((COUNTIF(FILTER(Data!N:N, Data!B:B=A785),""TRAVERSE"")) / (COUNTIF(Data!B:B, A785)),"""")"),"")</f>
        <v/>
      </c>
      <c r="X785" s="59"/>
      <c r="Y785" s="45" t="str">
        <f t="shared" si="7"/>
        <v/>
      </c>
      <c r="Z785" s="45" t="str">
        <f t="shared" si="8"/>
        <v/>
      </c>
      <c r="AA785" s="16" t="str">
        <f t="shared" si="9"/>
        <v/>
      </c>
      <c r="AB785" s="16"/>
      <c r="AC785" s="16"/>
      <c r="AD785" s="16"/>
      <c r="AE785" s="16" t="str">
        <f t="shared" si="12"/>
        <v/>
      </c>
      <c r="AF785" s="16" t="str">
        <f t="shared" si="13"/>
        <v/>
      </c>
      <c r="AG785" s="44"/>
      <c r="AH785" s="44"/>
      <c r="AI785" s="44" t="str">
        <f>IFERROR(__xludf.DUMMYFUNCTION("TEXTJOIN("", "",TRUE, FILTER(Data!P:P, Data!B:B=A785))"),"")</f>
        <v/>
      </c>
      <c r="AM785" s="61"/>
      <c r="BC785" s="50"/>
    </row>
    <row r="786">
      <c r="A786" s="14"/>
      <c r="B786" s="55" t="str">
        <f>IFERROR(__xludf.DUMMYFUNCTION("IFERROR(ROUND(
(COUNTIF(FILTER(Data!O:O, Data!B:B=A786), ""Win"")
+ COUNTIF(FILTER(Data!O:O, Data!B:B=A786), {""Tie"",""Results""}))
/ (COUNTIF(Data!B:B, A786)),
1),"""")"),"")</f>
        <v/>
      </c>
      <c r="C786" s="45" t="str">
        <f>IFERROR((SUMIF(Data!B:B, A786, Data!H:H)
/ (COUNTIF(Data!B:B, A786)
)),"")</f>
        <v/>
      </c>
      <c r="D786" s="45" t="str">
        <f>IFERROR((SUMIF(Data!B:B, A786, Data!G:G)
/ (COUNTIF(Data!B:B, A786)
)),"")</f>
        <v/>
      </c>
      <c r="E786" s="45"/>
      <c r="F786" s="45" t="str">
        <f>IFERROR((SUMIF(Data!B:B, A786, Data!J:J)
/ (COUNTIF(Data!B:B, A786)
)),"")</f>
        <v/>
      </c>
      <c r="G786" s="56" t="str">
        <f>IF(A786="","",IFERROR((((((SUMIF(Data!B:B, A786, Data!H:H)+(SUMIF(Data!B:B, A786,Data!G:G)))/(SUMIF(Data!B:B, A786, Data!J:J)))))),0))</f>
        <v/>
      </c>
      <c r="H786" s="45"/>
      <c r="I786" s="45"/>
      <c r="J786" s="45"/>
      <c r="K786" s="45"/>
      <c r="L786" s="45" t="str">
        <f>IFERROR((SUMIF(Data!B:B, A786, Data!L:L)
/ (COUNTIF(Data!B:B, A786)
)),"")</f>
        <v/>
      </c>
      <c r="M786" s="45" t="str">
        <f>IFERROR((SUMIF(Data!B:B, A786, Data!K:K)
/ (COUNTIF(Data!B:B, A786)
)),"")</f>
        <v/>
      </c>
      <c r="N786" s="56"/>
      <c r="O786" s="56" t="str">
        <f>IF(A786="","",IFERROR((((((SUMIF(Data!B:B, A786, Data!H:H)+(SUMIF(Data!B:B, A786,Data!G:G)+(SUMIF(Data!B:B, A786,Data!L:L)+(SUMIF(Data!B:B, A786,Data!K:K)))))/(SUMIF(Data!B:B, A786, Data!M:M)+(SUMIF(Data!B:B, A786, Data!H:H)+(SUMIF(Data!B:B, A786,Data!G:G)+(SUMIF(Data!B:B, A786,Data!K:K)+(SUMIF(Data!B:B, A786,Data!L:L)))))))))),0))</f>
        <v/>
      </c>
      <c r="P786" s="57" t="str">
        <f>IFERROR(__xludf.DUMMYFUNCTION("IFERROR(((COUNTIF(FILTER(Data!N:N,Data!B:B=A786),""TRAVERSE"")*15)+(COUNTIF(FILTER(Data!N:N,Data!B:B=A786),""HIGH"")*10)+(COUNTIF(FILTER(Data!N:N,Data!B:B=A786),""MIDDLE"")*6)+(COUNTIF(FILTER(Data!N:N,Data!B:B=A786),""LOW"")*4)) / (COUNTIF(Data!B:B, A786)"&amp;"),"""")"),"")</f>
        <v/>
      </c>
      <c r="Q786" s="58"/>
      <c r="R786" s="58"/>
      <c r="S786" s="58" t="str">
        <f>IFERROR(__xludf.DUMMYFUNCTION("IFERROR((((COUNTIF(FILTER(Data!N:N,Data!B:B=A786),""TRAVERSE""))+(COUNTIF(FILTER(Data!N:N,Data!B:B=A786),""HIGH""))+(COUNTIF(FILTER(Data!N:N,Data!B:B=A786),""MIDDLE""))+(COUNTIF(FILTER(Data!N:N,Data!B:B=A786),""LOW"")))) / (((COUNTIF(Data!B:B, A786)))-(CO"&amp;"UNTIF(FILTER(Data!N:N,Data!B:B=A786),""NONE""))),IF(ISBLANK(A786),"""",0))"),"")</f>
        <v/>
      </c>
      <c r="T786" s="56" t="str">
        <f>IFERROR(__xludf.DUMMYFUNCTION("IFERROR((COUNTIF(FILTER(Data!N:N, Data!B:B=A786),""LOW"")) / (COUNTIF(Data!B:B, A786)),"""")"),"")</f>
        <v/>
      </c>
      <c r="U786" s="59" t="str">
        <f>IFERROR(__xludf.DUMMYFUNCTION("IFERROR((COUNTIF(FILTER(Data!N:N, Data!B:B=A786),""MIDDLE"")) / (COUNTIF(Data!B:B, A786)),"""")"),"")</f>
        <v/>
      </c>
      <c r="V786" s="59" t="str">
        <f>IFERROR(__xludf.DUMMYFUNCTION("IFERROR((COUNTIF(FILTER(Data!N:N, Data!B:B=A786),""HIGH"")) / (COUNTIF(Data!B:B, A786)),"""")"),"")</f>
        <v/>
      </c>
      <c r="W786" s="59" t="str">
        <f>IFERROR(__xludf.DUMMYFUNCTION("IFERROR((COUNTIF(FILTER(Data!N:N, Data!B:B=A786),""TRAVERSE"")) / (COUNTIF(Data!B:B, A786)),"""")"),"")</f>
        <v/>
      </c>
      <c r="X786" s="59"/>
      <c r="Y786" s="45" t="str">
        <f t="shared" si="7"/>
        <v/>
      </c>
      <c r="Z786" s="45" t="str">
        <f t="shared" si="8"/>
        <v/>
      </c>
      <c r="AA786" s="16" t="str">
        <f t="shared" si="9"/>
        <v/>
      </c>
      <c r="AB786" s="16"/>
      <c r="AC786" s="16"/>
      <c r="AD786" s="16"/>
      <c r="AE786" s="16" t="str">
        <f t="shared" si="12"/>
        <v/>
      </c>
      <c r="AF786" s="16" t="str">
        <f t="shared" si="13"/>
        <v/>
      </c>
      <c r="AG786" s="44"/>
      <c r="AH786" s="44"/>
      <c r="AI786" s="44" t="str">
        <f>IFERROR(__xludf.DUMMYFUNCTION("TEXTJOIN("", "",TRUE, FILTER(Data!P:P, Data!B:B=A786))"),"")</f>
        <v/>
      </c>
      <c r="AM786" s="61"/>
      <c r="BC786" s="50"/>
    </row>
    <row r="787">
      <c r="A787" s="14"/>
      <c r="B787" s="55" t="str">
        <f>IFERROR(__xludf.DUMMYFUNCTION("IFERROR(ROUND(
(COUNTIF(FILTER(Data!O:O, Data!B:B=A787), ""Win"")
+ COUNTIF(FILTER(Data!O:O, Data!B:B=A787), {""Tie"",""Results""}))
/ (COUNTIF(Data!B:B, A787)),
1),"""")"),"")</f>
        <v/>
      </c>
      <c r="C787" s="45" t="str">
        <f>IFERROR((SUMIF(Data!B:B, A787, Data!H:H)
/ (COUNTIF(Data!B:B, A787)
)),"")</f>
        <v/>
      </c>
      <c r="D787" s="45" t="str">
        <f>IFERROR((SUMIF(Data!B:B, A787, Data!G:G)
/ (COUNTIF(Data!B:B, A787)
)),"")</f>
        <v/>
      </c>
      <c r="E787" s="45"/>
      <c r="F787" s="45" t="str">
        <f>IFERROR((SUMIF(Data!B:B, A787, Data!J:J)
/ (COUNTIF(Data!B:B, A787)
)),"")</f>
        <v/>
      </c>
      <c r="G787" s="56" t="str">
        <f>IF(A787="","",IFERROR((((((SUMIF(Data!B:B, A787, Data!H:H)+(SUMIF(Data!B:B, A787,Data!G:G)))/(SUMIF(Data!B:B, A787, Data!J:J)))))),0))</f>
        <v/>
      </c>
      <c r="H787" s="45"/>
      <c r="I787" s="45"/>
      <c r="J787" s="45"/>
      <c r="K787" s="45"/>
      <c r="L787" s="45" t="str">
        <f>IFERROR((SUMIF(Data!B:B, A787, Data!L:L)
/ (COUNTIF(Data!B:B, A787)
)),"")</f>
        <v/>
      </c>
      <c r="M787" s="45" t="str">
        <f>IFERROR((SUMIF(Data!B:B, A787, Data!K:K)
/ (COUNTIF(Data!B:B, A787)
)),"")</f>
        <v/>
      </c>
      <c r="N787" s="56"/>
      <c r="O787" s="56" t="str">
        <f>IF(A787="","",IFERROR((((((SUMIF(Data!B:B, A787, Data!H:H)+(SUMIF(Data!B:B, A787,Data!G:G)+(SUMIF(Data!B:B, A787,Data!L:L)+(SUMIF(Data!B:B, A787,Data!K:K)))))/(SUMIF(Data!B:B, A787, Data!M:M)+(SUMIF(Data!B:B, A787, Data!H:H)+(SUMIF(Data!B:B, A787,Data!G:G)+(SUMIF(Data!B:B, A787,Data!K:K)+(SUMIF(Data!B:B, A787,Data!L:L)))))))))),0))</f>
        <v/>
      </c>
      <c r="P787" s="57" t="str">
        <f>IFERROR(__xludf.DUMMYFUNCTION("IFERROR(((COUNTIF(FILTER(Data!N:N,Data!B:B=A787),""TRAVERSE"")*15)+(COUNTIF(FILTER(Data!N:N,Data!B:B=A787),""HIGH"")*10)+(COUNTIF(FILTER(Data!N:N,Data!B:B=A787),""MIDDLE"")*6)+(COUNTIF(FILTER(Data!N:N,Data!B:B=A787),""LOW"")*4)) / (COUNTIF(Data!B:B, A787)"&amp;"),"""")"),"")</f>
        <v/>
      </c>
      <c r="Q787" s="58"/>
      <c r="R787" s="58"/>
      <c r="S787" s="58" t="str">
        <f>IFERROR(__xludf.DUMMYFUNCTION("IFERROR((((COUNTIF(FILTER(Data!N:N,Data!B:B=A787),""TRAVERSE""))+(COUNTIF(FILTER(Data!N:N,Data!B:B=A787),""HIGH""))+(COUNTIF(FILTER(Data!N:N,Data!B:B=A787),""MIDDLE""))+(COUNTIF(FILTER(Data!N:N,Data!B:B=A787),""LOW"")))) / (((COUNTIF(Data!B:B, A787)))-(CO"&amp;"UNTIF(FILTER(Data!N:N,Data!B:B=A787),""NONE""))),IF(ISBLANK(A787),"""",0))"),"")</f>
        <v/>
      </c>
      <c r="T787" s="56" t="str">
        <f>IFERROR(__xludf.DUMMYFUNCTION("IFERROR((COUNTIF(FILTER(Data!N:N, Data!B:B=A787),""LOW"")) / (COUNTIF(Data!B:B, A787)),"""")"),"")</f>
        <v/>
      </c>
      <c r="U787" s="59" t="str">
        <f>IFERROR(__xludf.DUMMYFUNCTION("IFERROR((COUNTIF(FILTER(Data!N:N, Data!B:B=A787),""MIDDLE"")) / (COUNTIF(Data!B:B, A787)),"""")"),"")</f>
        <v/>
      </c>
      <c r="V787" s="59" t="str">
        <f>IFERROR(__xludf.DUMMYFUNCTION("IFERROR((COUNTIF(FILTER(Data!N:N, Data!B:B=A787),""HIGH"")) / (COUNTIF(Data!B:B, A787)),"""")"),"")</f>
        <v/>
      </c>
      <c r="W787" s="59" t="str">
        <f>IFERROR(__xludf.DUMMYFUNCTION("IFERROR((COUNTIF(FILTER(Data!N:N, Data!B:B=A787),""TRAVERSE"")) / (COUNTIF(Data!B:B, A787)),"""")"),"")</f>
        <v/>
      </c>
      <c r="X787" s="59"/>
      <c r="Y787" s="45" t="str">
        <f t="shared" si="7"/>
        <v/>
      </c>
      <c r="Z787" s="45" t="str">
        <f t="shared" si="8"/>
        <v/>
      </c>
      <c r="AA787" s="16" t="str">
        <f t="shared" si="9"/>
        <v/>
      </c>
      <c r="AB787" s="16"/>
      <c r="AC787" s="16"/>
      <c r="AD787" s="16"/>
      <c r="AE787" s="16" t="str">
        <f t="shared" si="12"/>
        <v/>
      </c>
      <c r="AF787" s="16" t="str">
        <f t="shared" si="13"/>
        <v/>
      </c>
      <c r="AG787" s="44"/>
      <c r="AH787" s="44"/>
      <c r="AI787" s="44" t="str">
        <f>IFERROR(__xludf.DUMMYFUNCTION("TEXTJOIN("", "",TRUE, FILTER(Data!P:P, Data!B:B=A787))"),"")</f>
        <v/>
      </c>
      <c r="AM787" s="61"/>
      <c r="BC787" s="50"/>
    </row>
    <row r="788">
      <c r="A788" s="14"/>
      <c r="B788" s="55" t="str">
        <f>IFERROR(__xludf.DUMMYFUNCTION("IFERROR(ROUND(
(COUNTIF(FILTER(Data!O:O, Data!B:B=A788), ""Win"")
+ COUNTIF(FILTER(Data!O:O, Data!B:B=A788), {""Tie"",""Results""}))
/ (COUNTIF(Data!B:B, A788)),
1),"""")"),"")</f>
        <v/>
      </c>
      <c r="C788" s="45" t="str">
        <f>IFERROR((SUMIF(Data!B:B, A788, Data!H:H)
/ (COUNTIF(Data!B:B, A788)
)),"")</f>
        <v/>
      </c>
      <c r="D788" s="45" t="str">
        <f>IFERROR((SUMIF(Data!B:B, A788, Data!G:G)
/ (COUNTIF(Data!B:B, A788)
)),"")</f>
        <v/>
      </c>
      <c r="E788" s="45"/>
      <c r="F788" s="45" t="str">
        <f>IFERROR((SUMIF(Data!B:B, A788, Data!J:J)
/ (COUNTIF(Data!B:B, A788)
)),"")</f>
        <v/>
      </c>
      <c r="G788" s="56" t="str">
        <f>IF(A788="","",IFERROR((((((SUMIF(Data!B:B, A788, Data!H:H)+(SUMIF(Data!B:B, A788,Data!G:G)))/(SUMIF(Data!B:B, A788, Data!J:J)))))),0))</f>
        <v/>
      </c>
      <c r="H788" s="45"/>
      <c r="I788" s="45"/>
      <c r="J788" s="45"/>
      <c r="K788" s="45"/>
      <c r="L788" s="45" t="str">
        <f>IFERROR((SUMIF(Data!B:B, A788, Data!L:L)
/ (COUNTIF(Data!B:B, A788)
)),"")</f>
        <v/>
      </c>
      <c r="M788" s="45" t="str">
        <f>IFERROR((SUMIF(Data!B:B, A788, Data!K:K)
/ (COUNTIF(Data!B:B, A788)
)),"")</f>
        <v/>
      </c>
      <c r="N788" s="56"/>
      <c r="O788" s="56" t="str">
        <f>IF(A788="","",IFERROR((((((SUMIF(Data!B:B, A788, Data!H:H)+(SUMIF(Data!B:B, A788,Data!G:G)+(SUMIF(Data!B:B, A788,Data!L:L)+(SUMIF(Data!B:B, A788,Data!K:K)))))/(SUMIF(Data!B:B, A788, Data!M:M)+(SUMIF(Data!B:B, A788, Data!H:H)+(SUMIF(Data!B:B, A788,Data!G:G)+(SUMIF(Data!B:B, A788,Data!K:K)+(SUMIF(Data!B:B, A788,Data!L:L)))))))))),0))</f>
        <v/>
      </c>
      <c r="P788" s="57" t="str">
        <f>IFERROR(__xludf.DUMMYFUNCTION("IFERROR(((COUNTIF(FILTER(Data!N:N,Data!B:B=A788),""TRAVERSE"")*15)+(COUNTIF(FILTER(Data!N:N,Data!B:B=A788),""HIGH"")*10)+(COUNTIF(FILTER(Data!N:N,Data!B:B=A788),""MIDDLE"")*6)+(COUNTIF(FILTER(Data!N:N,Data!B:B=A788),""LOW"")*4)) / (COUNTIF(Data!B:B, A788)"&amp;"),"""")"),"")</f>
        <v/>
      </c>
      <c r="Q788" s="58"/>
      <c r="R788" s="58"/>
      <c r="S788" s="58" t="str">
        <f>IFERROR(__xludf.DUMMYFUNCTION("IFERROR((((COUNTIF(FILTER(Data!N:N,Data!B:B=A788),""TRAVERSE""))+(COUNTIF(FILTER(Data!N:N,Data!B:B=A788),""HIGH""))+(COUNTIF(FILTER(Data!N:N,Data!B:B=A788),""MIDDLE""))+(COUNTIF(FILTER(Data!N:N,Data!B:B=A788),""LOW"")))) / (((COUNTIF(Data!B:B, A788)))-(CO"&amp;"UNTIF(FILTER(Data!N:N,Data!B:B=A788),""NONE""))),IF(ISBLANK(A788),"""",0))"),"")</f>
        <v/>
      </c>
      <c r="T788" s="56" t="str">
        <f>IFERROR(__xludf.DUMMYFUNCTION("IFERROR((COUNTIF(FILTER(Data!N:N, Data!B:B=A788),""LOW"")) / (COUNTIF(Data!B:B, A788)),"""")"),"")</f>
        <v/>
      </c>
      <c r="U788" s="59" t="str">
        <f>IFERROR(__xludf.DUMMYFUNCTION("IFERROR((COUNTIF(FILTER(Data!N:N, Data!B:B=A788),""MIDDLE"")) / (COUNTIF(Data!B:B, A788)),"""")"),"")</f>
        <v/>
      </c>
      <c r="V788" s="59" t="str">
        <f>IFERROR(__xludf.DUMMYFUNCTION("IFERROR((COUNTIF(FILTER(Data!N:N, Data!B:B=A788),""HIGH"")) / (COUNTIF(Data!B:B, A788)),"""")"),"")</f>
        <v/>
      </c>
      <c r="W788" s="59" t="str">
        <f>IFERROR(__xludf.DUMMYFUNCTION("IFERROR((COUNTIF(FILTER(Data!N:N, Data!B:B=A788),""TRAVERSE"")) / (COUNTIF(Data!B:B, A788)),"""")"),"")</f>
        <v/>
      </c>
      <c r="X788" s="59"/>
      <c r="Y788" s="45" t="str">
        <f t="shared" si="7"/>
        <v/>
      </c>
      <c r="Z788" s="45" t="str">
        <f t="shared" si="8"/>
        <v/>
      </c>
      <c r="AA788" s="16" t="str">
        <f t="shared" si="9"/>
        <v/>
      </c>
      <c r="AB788" s="16"/>
      <c r="AC788" s="16"/>
      <c r="AD788" s="16"/>
      <c r="AE788" s="16" t="str">
        <f t="shared" si="12"/>
        <v/>
      </c>
      <c r="AF788" s="16" t="str">
        <f t="shared" si="13"/>
        <v/>
      </c>
      <c r="AG788" s="44"/>
      <c r="AH788" s="44"/>
      <c r="AI788" s="44" t="str">
        <f>IFERROR(__xludf.DUMMYFUNCTION("TEXTJOIN("", "",TRUE, FILTER(Data!P:P, Data!B:B=A788))"),"")</f>
        <v/>
      </c>
      <c r="AM788" s="61"/>
      <c r="BC788" s="50"/>
    </row>
    <row r="789">
      <c r="A789" s="14"/>
      <c r="B789" s="55" t="str">
        <f>IFERROR(__xludf.DUMMYFUNCTION("IFERROR(ROUND(
(COUNTIF(FILTER(Data!O:O, Data!B:B=A789), ""Win"")
+ COUNTIF(FILTER(Data!O:O, Data!B:B=A789), {""Tie"",""Results""}))
/ (COUNTIF(Data!B:B, A789)),
1),"""")"),"")</f>
        <v/>
      </c>
      <c r="C789" s="45" t="str">
        <f>IFERROR((SUMIF(Data!B:B, A789, Data!H:H)
/ (COUNTIF(Data!B:B, A789)
)),"")</f>
        <v/>
      </c>
      <c r="D789" s="45" t="str">
        <f>IFERROR((SUMIF(Data!B:B, A789, Data!G:G)
/ (COUNTIF(Data!B:B, A789)
)),"")</f>
        <v/>
      </c>
      <c r="E789" s="45"/>
      <c r="F789" s="45" t="str">
        <f>IFERROR((SUMIF(Data!B:B, A789, Data!J:J)
/ (COUNTIF(Data!B:B, A789)
)),"")</f>
        <v/>
      </c>
      <c r="G789" s="56" t="str">
        <f>IF(A789="","",IFERROR((((((SUMIF(Data!B:B, A789, Data!H:H)+(SUMIF(Data!B:B, A789,Data!G:G)))/(SUMIF(Data!B:B, A789, Data!J:J)))))),0))</f>
        <v/>
      </c>
      <c r="H789" s="45"/>
      <c r="I789" s="45"/>
      <c r="J789" s="45"/>
      <c r="K789" s="45"/>
      <c r="L789" s="45" t="str">
        <f>IFERROR((SUMIF(Data!B:B, A789, Data!L:L)
/ (COUNTIF(Data!B:B, A789)
)),"")</f>
        <v/>
      </c>
      <c r="M789" s="45" t="str">
        <f>IFERROR((SUMIF(Data!B:B, A789, Data!K:K)
/ (COUNTIF(Data!B:B, A789)
)),"")</f>
        <v/>
      </c>
      <c r="N789" s="56"/>
      <c r="O789" s="56" t="str">
        <f>IF(A789="","",IFERROR((((((SUMIF(Data!B:B, A789, Data!H:H)+(SUMIF(Data!B:B, A789,Data!G:G)+(SUMIF(Data!B:B, A789,Data!L:L)+(SUMIF(Data!B:B, A789,Data!K:K)))))/(SUMIF(Data!B:B, A789, Data!M:M)+(SUMIF(Data!B:B, A789, Data!H:H)+(SUMIF(Data!B:B, A789,Data!G:G)+(SUMIF(Data!B:B, A789,Data!K:K)+(SUMIF(Data!B:B, A789,Data!L:L)))))))))),0))</f>
        <v/>
      </c>
      <c r="P789" s="57" t="str">
        <f>IFERROR(__xludf.DUMMYFUNCTION("IFERROR(((COUNTIF(FILTER(Data!N:N,Data!B:B=A789),""TRAVERSE"")*15)+(COUNTIF(FILTER(Data!N:N,Data!B:B=A789),""HIGH"")*10)+(COUNTIF(FILTER(Data!N:N,Data!B:B=A789),""MIDDLE"")*6)+(COUNTIF(FILTER(Data!N:N,Data!B:B=A789),""LOW"")*4)) / (COUNTIF(Data!B:B, A789)"&amp;"),"""")"),"")</f>
        <v/>
      </c>
      <c r="Q789" s="58"/>
      <c r="R789" s="58"/>
      <c r="S789" s="58" t="str">
        <f>IFERROR(__xludf.DUMMYFUNCTION("IFERROR((((COUNTIF(FILTER(Data!N:N,Data!B:B=A789),""TRAVERSE""))+(COUNTIF(FILTER(Data!N:N,Data!B:B=A789),""HIGH""))+(COUNTIF(FILTER(Data!N:N,Data!B:B=A789),""MIDDLE""))+(COUNTIF(FILTER(Data!N:N,Data!B:B=A789),""LOW"")))) / (((COUNTIF(Data!B:B, A789)))-(CO"&amp;"UNTIF(FILTER(Data!N:N,Data!B:B=A789),""NONE""))),IF(ISBLANK(A789),"""",0))"),"")</f>
        <v/>
      </c>
      <c r="T789" s="56" t="str">
        <f>IFERROR(__xludf.DUMMYFUNCTION("IFERROR((COUNTIF(FILTER(Data!N:N, Data!B:B=A789),""LOW"")) / (COUNTIF(Data!B:B, A789)),"""")"),"")</f>
        <v/>
      </c>
      <c r="U789" s="59" t="str">
        <f>IFERROR(__xludf.DUMMYFUNCTION("IFERROR((COUNTIF(FILTER(Data!N:N, Data!B:B=A789),""MIDDLE"")) / (COUNTIF(Data!B:B, A789)),"""")"),"")</f>
        <v/>
      </c>
      <c r="V789" s="59" t="str">
        <f>IFERROR(__xludf.DUMMYFUNCTION("IFERROR((COUNTIF(FILTER(Data!N:N, Data!B:B=A789),""HIGH"")) / (COUNTIF(Data!B:B, A789)),"""")"),"")</f>
        <v/>
      </c>
      <c r="W789" s="59" t="str">
        <f>IFERROR(__xludf.DUMMYFUNCTION("IFERROR((COUNTIF(FILTER(Data!N:N, Data!B:B=A789),""TRAVERSE"")) / (COUNTIF(Data!B:B, A789)),"""")"),"")</f>
        <v/>
      </c>
      <c r="X789" s="59"/>
      <c r="Y789" s="45" t="str">
        <f t="shared" si="7"/>
        <v/>
      </c>
      <c r="Z789" s="45" t="str">
        <f t="shared" si="8"/>
        <v/>
      </c>
      <c r="AA789" s="16" t="str">
        <f t="shared" si="9"/>
        <v/>
      </c>
      <c r="AB789" s="16"/>
      <c r="AC789" s="16"/>
      <c r="AD789" s="16"/>
      <c r="AE789" s="16" t="str">
        <f t="shared" si="12"/>
        <v/>
      </c>
      <c r="AF789" s="16" t="str">
        <f t="shared" si="13"/>
        <v/>
      </c>
      <c r="AG789" s="44"/>
      <c r="AH789" s="44"/>
      <c r="AI789" s="44" t="str">
        <f>IFERROR(__xludf.DUMMYFUNCTION("TEXTJOIN("", "",TRUE, FILTER(Data!P:P, Data!B:B=A789))"),"")</f>
        <v/>
      </c>
      <c r="AM789" s="61"/>
      <c r="BC789" s="50"/>
    </row>
    <row r="790">
      <c r="A790" s="14"/>
      <c r="B790" s="55" t="str">
        <f>IFERROR(__xludf.DUMMYFUNCTION("IFERROR(ROUND(
(COUNTIF(FILTER(Data!O:O, Data!B:B=A790), ""Win"")
+ COUNTIF(FILTER(Data!O:O, Data!B:B=A790), {""Tie"",""Results""}))
/ (COUNTIF(Data!B:B, A790)),
1),"""")"),"")</f>
        <v/>
      </c>
      <c r="C790" s="45" t="str">
        <f>IFERROR((SUMIF(Data!B:B, A790, Data!H:H)
/ (COUNTIF(Data!B:B, A790)
)),"")</f>
        <v/>
      </c>
      <c r="D790" s="45" t="str">
        <f>IFERROR((SUMIF(Data!B:B, A790, Data!G:G)
/ (COUNTIF(Data!B:B, A790)
)),"")</f>
        <v/>
      </c>
      <c r="E790" s="45"/>
      <c r="F790" s="45" t="str">
        <f>IFERROR((SUMIF(Data!B:B, A790, Data!J:J)
/ (COUNTIF(Data!B:B, A790)
)),"")</f>
        <v/>
      </c>
      <c r="G790" s="56" t="str">
        <f>IF(A790="","",IFERROR((((((SUMIF(Data!B:B, A790, Data!H:H)+(SUMIF(Data!B:B, A790,Data!G:G)))/(SUMIF(Data!B:B, A790, Data!J:J)))))),0))</f>
        <v/>
      </c>
      <c r="H790" s="45"/>
      <c r="I790" s="45"/>
      <c r="J790" s="45"/>
      <c r="K790" s="45"/>
      <c r="L790" s="45" t="str">
        <f>IFERROR((SUMIF(Data!B:B, A790, Data!L:L)
/ (COUNTIF(Data!B:B, A790)
)),"")</f>
        <v/>
      </c>
      <c r="M790" s="45" t="str">
        <f>IFERROR((SUMIF(Data!B:B, A790, Data!K:K)
/ (COUNTIF(Data!B:B, A790)
)),"")</f>
        <v/>
      </c>
      <c r="N790" s="56"/>
      <c r="O790" s="56" t="str">
        <f>IF(A790="","",IFERROR((((((SUMIF(Data!B:B, A790, Data!H:H)+(SUMIF(Data!B:B, A790,Data!G:G)+(SUMIF(Data!B:B, A790,Data!L:L)+(SUMIF(Data!B:B, A790,Data!K:K)))))/(SUMIF(Data!B:B, A790, Data!M:M)+(SUMIF(Data!B:B, A790, Data!H:H)+(SUMIF(Data!B:B, A790,Data!G:G)+(SUMIF(Data!B:B, A790,Data!K:K)+(SUMIF(Data!B:B, A790,Data!L:L)))))))))),0))</f>
        <v/>
      </c>
      <c r="P790" s="57" t="str">
        <f>IFERROR(__xludf.DUMMYFUNCTION("IFERROR(((COUNTIF(FILTER(Data!N:N,Data!B:B=A790),""TRAVERSE"")*15)+(COUNTIF(FILTER(Data!N:N,Data!B:B=A790),""HIGH"")*10)+(COUNTIF(FILTER(Data!N:N,Data!B:B=A790),""MIDDLE"")*6)+(COUNTIF(FILTER(Data!N:N,Data!B:B=A790),""LOW"")*4)) / (COUNTIF(Data!B:B, A790)"&amp;"),"""")"),"")</f>
        <v/>
      </c>
      <c r="Q790" s="58"/>
      <c r="R790" s="58"/>
      <c r="S790" s="58" t="str">
        <f>IFERROR(__xludf.DUMMYFUNCTION("IFERROR((((COUNTIF(FILTER(Data!N:N,Data!B:B=A790),""TRAVERSE""))+(COUNTIF(FILTER(Data!N:N,Data!B:B=A790),""HIGH""))+(COUNTIF(FILTER(Data!N:N,Data!B:B=A790),""MIDDLE""))+(COUNTIF(FILTER(Data!N:N,Data!B:B=A790),""LOW"")))) / (((COUNTIF(Data!B:B, A790)))-(CO"&amp;"UNTIF(FILTER(Data!N:N,Data!B:B=A790),""NONE""))),IF(ISBLANK(A790),"""",0))"),"")</f>
        <v/>
      </c>
      <c r="T790" s="56" t="str">
        <f>IFERROR(__xludf.DUMMYFUNCTION("IFERROR((COUNTIF(FILTER(Data!N:N, Data!B:B=A790),""LOW"")) / (COUNTIF(Data!B:B, A790)),"""")"),"")</f>
        <v/>
      </c>
      <c r="U790" s="59" t="str">
        <f>IFERROR(__xludf.DUMMYFUNCTION("IFERROR((COUNTIF(FILTER(Data!N:N, Data!B:B=A790),""MIDDLE"")) / (COUNTIF(Data!B:B, A790)),"""")"),"")</f>
        <v/>
      </c>
      <c r="V790" s="59" t="str">
        <f>IFERROR(__xludf.DUMMYFUNCTION("IFERROR((COUNTIF(FILTER(Data!N:N, Data!B:B=A790),""HIGH"")) / (COUNTIF(Data!B:B, A790)),"""")"),"")</f>
        <v/>
      </c>
      <c r="W790" s="59" t="str">
        <f>IFERROR(__xludf.DUMMYFUNCTION("IFERROR((COUNTIF(FILTER(Data!N:N, Data!B:B=A790),""TRAVERSE"")) / (COUNTIF(Data!B:B, A790)),"""")"),"")</f>
        <v/>
      </c>
      <c r="X790" s="59"/>
      <c r="Y790" s="45" t="str">
        <f t="shared" si="7"/>
        <v/>
      </c>
      <c r="Z790" s="45" t="str">
        <f t="shared" si="8"/>
        <v/>
      </c>
      <c r="AA790" s="16" t="str">
        <f t="shared" si="9"/>
        <v/>
      </c>
      <c r="AB790" s="16"/>
      <c r="AC790" s="16"/>
      <c r="AD790" s="16"/>
      <c r="AE790" s="16" t="str">
        <f t="shared" si="12"/>
        <v/>
      </c>
      <c r="AF790" s="16" t="str">
        <f t="shared" si="13"/>
        <v/>
      </c>
      <c r="AG790" s="44"/>
      <c r="AH790" s="44"/>
      <c r="AI790" s="44" t="str">
        <f>IFERROR(__xludf.DUMMYFUNCTION("TEXTJOIN("", "",TRUE, FILTER(Data!P:P, Data!B:B=A790))"),"")</f>
        <v/>
      </c>
      <c r="AM790" s="61"/>
      <c r="BC790" s="50"/>
    </row>
    <row r="791">
      <c r="A791" s="14"/>
      <c r="B791" s="55" t="str">
        <f>IFERROR(__xludf.DUMMYFUNCTION("IFERROR(ROUND(
(COUNTIF(FILTER(Data!O:O, Data!B:B=A791), ""Win"")
+ COUNTIF(FILTER(Data!O:O, Data!B:B=A791), {""Tie"",""Results""}))
/ (COUNTIF(Data!B:B, A791)),
1),"""")"),"")</f>
        <v/>
      </c>
      <c r="C791" s="45" t="str">
        <f>IFERROR((SUMIF(Data!B:B, A791, Data!H:H)
/ (COUNTIF(Data!B:B, A791)
)),"")</f>
        <v/>
      </c>
      <c r="D791" s="45" t="str">
        <f>IFERROR((SUMIF(Data!B:B, A791, Data!G:G)
/ (COUNTIF(Data!B:B, A791)
)),"")</f>
        <v/>
      </c>
      <c r="E791" s="45"/>
      <c r="F791" s="45" t="str">
        <f>IFERROR((SUMIF(Data!B:B, A791, Data!J:J)
/ (COUNTIF(Data!B:B, A791)
)),"")</f>
        <v/>
      </c>
      <c r="G791" s="56" t="str">
        <f>IF(A791="","",IFERROR((((((SUMIF(Data!B:B, A791, Data!H:H)+(SUMIF(Data!B:B, A791,Data!G:G)))/(SUMIF(Data!B:B, A791, Data!J:J)))))),0))</f>
        <v/>
      </c>
      <c r="H791" s="45"/>
      <c r="I791" s="45"/>
      <c r="J791" s="45"/>
      <c r="K791" s="45"/>
      <c r="L791" s="45" t="str">
        <f>IFERROR((SUMIF(Data!B:B, A791, Data!L:L)
/ (COUNTIF(Data!B:B, A791)
)),"")</f>
        <v/>
      </c>
      <c r="M791" s="45" t="str">
        <f>IFERROR((SUMIF(Data!B:B, A791, Data!K:K)
/ (COUNTIF(Data!B:B, A791)
)),"")</f>
        <v/>
      </c>
      <c r="N791" s="56"/>
      <c r="O791" s="56" t="str">
        <f>IF(A791="","",IFERROR((((((SUMIF(Data!B:B, A791, Data!H:H)+(SUMIF(Data!B:B, A791,Data!G:G)+(SUMIF(Data!B:B, A791,Data!L:L)+(SUMIF(Data!B:B, A791,Data!K:K)))))/(SUMIF(Data!B:B, A791, Data!M:M)+(SUMIF(Data!B:B, A791, Data!H:H)+(SUMIF(Data!B:B, A791,Data!G:G)+(SUMIF(Data!B:B, A791,Data!K:K)+(SUMIF(Data!B:B, A791,Data!L:L)))))))))),0))</f>
        <v/>
      </c>
      <c r="P791" s="57" t="str">
        <f>IFERROR(__xludf.DUMMYFUNCTION("IFERROR(((COUNTIF(FILTER(Data!N:N,Data!B:B=A791),""TRAVERSE"")*15)+(COUNTIF(FILTER(Data!N:N,Data!B:B=A791),""HIGH"")*10)+(COUNTIF(FILTER(Data!N:N,Data!B:B=A791),""MIDDLE"")*6)+(COUNTIF(FILTER(Data!N:N,Data!B:B=A791),""LOW"")*4)) / (COUNTIF(Data!B:B, A791)"&amp;"),"""")"),"")</f>
        <v/>
      </c>
      <c r="Q791" s="58"/>
      <c r="R791" s="58"/>
      <c r="S791" s="58" t="str">
        <f>IFERROR(__xludf.DUMMYFUNCTION("IFERROR((((COUNTIF(FILTER(Data!N:N,Data!B:B=A791),""TRAVERSE""))+(COUNTIF(FILTER(Data!N:N,Data!B:B=A791),""HIGH""))+(COUNTIF(FILTER(Data!N:N,Data!B:B=A791),""MIDDLE""))+(COUNTIF(FILTER(Data!N:N,Data!B:B=A791),""LOW"")))) / (((COUNTIF(Data!B:B, A791)))-(CO"&amp;"UNTIF(FILTER(Data!N:N,Data!B:B=A791),""NONE""))),IF(ISBLANK(A791),"""",0))"),"")</f>
        <v/>
      </c>
      <c r="T791" s="56" t="str">
        <f>IFERROR(__xludf.DUMMYFUNCTION("IFERROR((COUNTIF(FILTER(Data!N:N, Data!B:B=A791),""LOW"")) / (COUNTIF(Data!B:B, A791)),"""")"),"")</f>
        <v/>
      </c>
      <c r="U791" s="59" t="str">
        <f>IFERROR(__xludf.DUMMYFUNCTION("IFERROR((COUNTIF(FILTER(Data!N:N, Data!B:B=A791),""MIDDLE"")) / (COUNTIF(Data!B:B, A791)),"""")"),"")</f>
        <v/>
      </c>
      <c r="V791" s="59" t="str">
        <f>IFERROR(__xludf.DUMMYFUNCTION("IFERROR((COUNTIF(FILTER(Data!N:N, Data!B:B=A791),""HIGH"")) / (COUNTIF(Data!B:B, A791)),"""")"),"")</f>
        <v/>
      </c>
      <c r="W791" s="59" t="str">
        <f>IFERROR(__xludf.DUMMYFUNCTION("IFERROR((COUNTIF(FILTER(Data!N:N, Data!B:B=A791),""TRAVERSE"")) / (COUNTIF(Data!B:B, A791)),"""")"),"")</f>
        <v/>
      </c>
      <c r="X791" s="59"/>
      <c r="Y791" s="45" t="str">
        <f t="shared" si="7"/>
        <v/>
      </c>
      <c r="Z791" s="45" t="str">
        <f t="shared" si="8"/>
        <v/>
      </c>
      <c r="AA791" s="16" t="str">
        <f t="shared" si="9"/>
        <v/>
      </c>
      <c r="AB791" s="16"/>
      <c r="AC791" s="16"/>
      <c r="AD791" s="16"/>
      <c r="AE791" s="16" t="str">
        <f t="shared" si="12"/>
        <v/>
      </c>
      <c r="AF791" s="16" t="str">
        <f t="shared" si="13"/>
        <v/>
      </c>
      <c r="AG791" s="44"/>
      <c r="AH791" s="44"/>
      <c r="AI791" s="44" t="str">
        <f>IFERROR(__xludf.DUMMYFUNCTION("TEXTJOIN("", "",TRUE, FILTER(Data!P:P, Data!B:B=A791))"),"")</f>
        <v/>
      </c>
      <c r="AM791" s="61"/>
      <c r="BC791" s="50"/>
    </row>
    <row r="792">
      <c r="A792" s="14"/>
      <c r="B792" s="55" t="str">
        <f>IFERROR(__xludf.DUMMYFUNCTION("IFERROR(ROUND(
(COUNTIF(FILTER(Data!O:O, Data!B:B=A792), ""Win"")
+ COUNTIF(FILTER(Data!O:O, Data!B:B=A792), {""Tie"",""Results""}))
/ (COUNTIF(Data!B:B, A792)),
1),"""")"),"")</f>
        <v/>
      </c>
      <c r="C792" s="45" t="str">
        <f>IFERROR((SUMIF(Data!B:B, A792, Data!H:H)
/ (COUNTIF(Data!B:B, A792)
)),"")</f>
        <v/>
      </c>
      <c r="D792" s="45" t="str">
        <f>IFERROR((SUMIF(Data!B:B, A792, Data!G:G)
/ (COUNTIF(Data!B:B, A792)
)),"")</f>
        <v/>
      </c>
      <c r="E792" s="45"/>
      <c r="F792" s="45" t="str">
        <f>IFERROR((SUMIF(Data!B:B, A792, Data!J:J)
/ (COUNTIF(Data!B:B, A792)
)),"")</f>
        <v/>
      </c>
      <c r="G792" s="56" t="str">
        <f>IF(A792="","",IFERROR((((((SUMIF(Data!B:B, A792, Data!H:H)+(SUMIF(Data!B:B, A792,Data!G:G)))/(SUMIF(Data!B:B, A792, Data!J:J)))))),0))</f>
        <v/>
      </c>
      <c r="H792" s="45"/>
      <c r="I792" s="45"/>
      <c r="J792" s="45"/>
      <c r="K792" s="45"/>
      <c r="L792" s="45" t="str">
        <f>IFERROR((SUMIF(Data!B:B, A792, Data!L:L)
/ (COUNTIF(Data!B:B, A792)
)),"")</f>
        <v/>
      </c>
      <c r="M792" s="45" t="str">
        <f>IFERROR((SUMIF(Data!B:B, A792, Data!K:K)
/ (COUNTIF(Data!B:B, A792)
)),"")</f>
        <v/>
      </c>
      <c r="N792" s="56"/>
      <c r="O792" s="56" t="str">
        <f>IF(A792="","",IFERROR((((((SUMIF(Data!B:B, A792, Data!H:H)+(SUMIF(Data!B:B, A792,Data!G:G)+(SUMIF(Data!B:B, A792,Data!L:L)+(SUMIF(Data!B:B, A792,Data!K:K)))))/(SUMIF(Data!B:B, A792, Data!M:M)+(SUMIF(Data!B:B, A792, Data!H:H)+(SUMIF(Data!B:B, A792,Data!G:G)+(SUMIF(Data!B:B, A792,Data!K:K)+(SUMIF(Data!B:B, A792,Data!L:L)))))))))),0))</f>
        <v/>
      </c>
      <c r="P792" s="57" t="str">
        <f>IFERROR(__xludf.DUMMYFUNCTION("IFERROR(((COUNTIF(FILTER(Data!N:N,Data!B:B=A792),""TRAVERSE"")*15)+(COUNTIF(FILTER(Data!N:N,Data!B:B=A792),""HIGH"")*10)+(COUNTIF(FILTER(Data!N:N,Data!B:B=A792),""MIDDLE"")*6)+(COUNTIF(FILTER(Data!N:N,Data!B:B=A792),""LOW"")*4)) / (COUNTIF(Data!B:B, A792)"&amp;"),"""")"),"")</f>
        <v/>
      </c>
      <c r="Q792" s="58"/>
      <c r="R792" s="58"/>
      <c r="S792" s="58" t="str">
        <f>IFERROR(__xludf.DUMMYFUNCTION("IFERROR((((COUNTIF(FILTER(Data!N:N,Data!B:B=A792),""TRAVERSE""))+(COUNTIF(FILTER(Data!N:N,Data!B:B=A792),""HIGH""))+(COUNTIF(FILTER(Data!N:N,Data!B:B=A792),""MIDDLE""))+(COUNTIF(FILTER(Data!N:N,Data!B:B=A792),""LOW"")))) / (((COUNTIF(Data!B:B, A792)))-(CO"&amp;"UNTIF(FILTER(Data!N:N,Data!B:B=A792),""NONE""))),IF(ISBLANK(A792),"""",0))"),"")</f>
        <v/>
      </c>
      <c r="T792" s="56" t="str">
        <f>IFERROR(__xludf.DUMMYFUNCTION("IFERROR((COUNTIF(FILTER(Data!N:N, Data!B:B=A792),""LOW"")) / (COUNTIF(Data!B:B, A792)),"""")"),"")</f>
        <v/>
      </c>
      <c r="U792" s="59" t="str">
        <f>IFERROR(__xludf.DUMMYFUNCTION("IFERROR((COUNTIF(FILTER(Data!N:N, Data!B:B=A792),""MIDDLE"")) / (COUNTIF(Data!B:B, A792)),"""")"),"")</f>
        <v/>
      </c>
      <c r="V792" s="59" t="str">
        <f>IFERROR(__xludf.DUMMYFUNCTION("IFERROR((COUNTIF(FILTER(Data!N:N, Data!B:B=A792),""HIGH"")) / (COUNTIF(Data!B:B, A792)),"""")"),"")</f>
        <v/>
      </c>
      <c r="W792" s="59" t="str">
        <f>IFERROR(__xludf.DUMMYFUNCTION("IFERROR((COUNTIF(FILTER(Data!N:N, Data!B:B=A792),""TRAVERSE"")) / (COUNTIF(Data!B:B, A792)),"""")"),"")</f>
        <v/>
      </c>
      <c r="X792" s="59"/>
      <c r="Y792" s="45" t="str">
        <f t="shared" si="7"/>
        <v/>
      </c>
      <c r="Z792" s="45" t="str">
        <f t="shared" si="8"/>
        <v/>
      </c>
      <c r="AA792" s="16" t="str">
        <f t="shared" si="9"/>
        <v/>
      </c>
      <c r="AB792" s="16"/>
      <c r="AC792" s="16"/>
      <c r="AD792" s="16"/>
      <c r="AE792" s="16" t="str">
        <f t="shared" si="12"/>
        <v/>
      </c>
      <c r="AF792" s="16" t="str">
        <f t="shared" si="13"/>
        <v/>
      </c>
      <c r="AG792" s="44"/>
      <c r="AH792" s="44"/>
      <c r="AI792" s="44" t="str">
        <f>IFERROR(__xludf.DUMMYFUNCTION("TEXTJOIN("", "",TRUE, FILTER(Data!P:P, Data!B:B=A792))"),"")</f>
        <v/>
      </c>
      <c r="AM792" s="61"/>
      <c r="BC792" s="50"/>
    </row>
    <row r="793">
      <c r="A793" s="14"/>
      <c r="B793" s="55" t="str">
        <f>IFERROR(__xludf.DUMMYFUNCTION("IFERROR(ROUND(
(COUNTIF(FILTER(Data!O:O, Data!B:B=A793), ""Win"")
+ COUNTIF(FILTER(Data!O:O, Data!B:B=A793), {""Tie"",""Results""}))
/ (COUNTIF(Data!B:B, A793)),
1),"""")"),"")</f>
        <v/>
      </c>
      <c r="C793" s="45" t="str">
        <f>IFERROR((SUMIF(Data!B:B, A793, Data!H:H)
/ (COUNTIF(Data!B:B, A793)
)),"")</f>
        <v/>
      </c>
      <c r="D793" s="45" t="str">
        <f>IFERROR((SUMIF(Data!B:B, A793, Data!G:G)
/ (COUNTIF(Data!B:B, A793)
)),"")</f>
        <v/>
      </c>
      <c r="E793" s="45"/>
      <c r="F793" s="45" t="str">
        <f>IFERROR((SUMIF(Data!B:B, A793, Data!J:J)
/ (COUNTIF(Data!B:B, A793)
)),"")</f>
        <v/>
      </c>
      <c r="G793" s="56" t="str">
        <f>IF(A793="","",IFERROR((((((SUMIF(Data!B:B, A793, Data!H:H)+(SUMIF(Data!B:B, A793,Data!G:G)))/(SUMIF(Data!B:B, A793, Data!J:J)))))),0))</f>
        <v/>
      </c>
      <c r="H793" s="45"/>
      <c r="I793" s="45"/>
      <c r="J793" s="45"/>
      <c r="K793" s="45"/>
      <c r="L793" s="45" t="str">
        <f>IFERROR((SUMIF(Data!B:B, A793, Data!L:L)
/ (COUNTIF(Data!B:B, A793)
)),"")</f>
        <v/>
      </c>
      <c r="M793" s="45" t="str">
        <f>IFERROR((SUMIF(Data!B:B, A793, Data!K:K)
/ (COUNTIF(Data!B:B, A793)
)),"")</f>
        <v/>
      </c>
      <c r="N793" s="56"/>
      <c r="O793" s="56" t="str">
        <f>IF(A793="","",IFERROR((((((SUMIF(Data!B:B, A793, Data!H:H)+(SUMIF(Data!B:B, A793,Data!G:G)+(SUMIF(Data!B:B, A793,Data!L:L)+(SUMIF(Data!B:B, A793,Data!K:K)))))/(SUMIF(Data!B:B, A793, Data!M:M)+(SUMIF(Data!B:B, A793, Data!H:H)+(SUMIF(Data!B:B, A793,Data!G:G)+(SUMIF(Data!B:B, A793,Data!K:K)+(SUMIF(Data!B:B, A793,Data!L:L)))))))))),0))</f>
        <v/>
      </c>
      <c r="P793" s="57" t="str">
        <f>IFERROR(__xludf.DUMMYFUNCTION("IFERROR(((COUNTIF(FILTER(Data!N:N,Data!B:B=A793),""TRAVERSE"")*15)+(COUNTIF(FILTER(Data!N:N,Data!B:B=A793),""HIGH"")*10)+(COUNTIF(FILTER(Data!N:N,Data!B:B=A793),""MIDDLE"")*6)+(COUNTIF(FILTER(Data!N:N,Data!B:B=A793),""LOW"")*4)) / (COUNTIF(Data!B:B, A793)"&amp;"),"""")"),"")</f>
        <v/>
      </c>
      <c r="Q793" s="58"/>
      <c r="R793" s="58"/>
      <c r="S793" s="58" t="str">
        <f>IFERROR(__xludf.DUMMYFUNCTION("IFERROR((((COUNTIF(FILTER(Data!N:N,Data!B:B=A793),""TRAVERSE""))+(COUNTIF(FILTER(Data!N:N,Data!B:B=A793),""HIGH""))+(COUNTIF(FILTER(Data!N:N,Data!B:B=A793),""MIDDLE""))+(COUNTIF(FILTER(Data!N:N,Data!B:B=A793),""LOW"")))) / (((COUNTIF(Data!B:B, A793)))-(CO"&amp;"UNTIF(FILTER(Data!N:N,Data!B:B=A793),""NONE""))),IF(ISBLANK(A793),"""",0))"),"")</f>
        <v/>
      </c>
      <c r="T793" s="56" t="str">
        <f>IFERROR(__xludf.DUMMYFUNCTION("IFERROR((COUNTIF(FILTER(Data!N:N, Data!B:B=A793),""LOW"")) / (COUNTIF(Data!B:B, A793)),"""")"),"")</f>
        <v/>
      </c>
      <c r="U793" s="59" t="str">
        <f>IFERROR(__xludf.DUMMYFUNCTION("IFERROR((COUNTIF(FILTER(Data!N:N, Data!B:B=A793),""MIDDLE"")) / (COUNTIF(Data!B:B, A793)),"""")"),"")</f>
        <v/>
      </c>
      <c r="V793" s="59" t="str">
        <f>IFERROR(__xludf.DUMMYFUNCTION("IFERROR((COUNTIF(FILTER(Data!N:N, Data!B:B=A793),""HIGH"")) / (COUNTIF(Data!B:B, A793)),"""")"),"")</f>
        <v/>
      </c>
      <c r="W793" s="59" t="str">
        <f>IFERROR(__xludf.DUMMYFUNCTION("IFERROR((COUNTIF(FILTER(Data!N:N, Data!B:B=A793),""TRAVERSE"")) / (COUNTIF(Data!B:B, A793)),"""")"),"")</f>
        <v/>
      </c>
      <c r="X793" s="59"/>
      <c r="Y793" s="45" t="str">
        <f t="shared" si="7"/>
        <v/>
      </c>
      <c r="Z793" s="45" t="str">
        <f t="shared" si="8"/>
        <v/>
      </c>
      <c r="AA793" s="16" t="str">
        <f t="shared" si="9"/>
        <v/>
      </c>
      <c r="AB793" s="16"/>
      <c r="AC793" s="16"/>
      <c r="AD793" s="16"/>
      <c r="AE793" s="16" t="str">
        <f t="shared" si="12"/>
        <v/>
      </c>
      <c r="AF793" s="16" t="str">
        <f t="shared" si="13"/>
        <v/>
      </c>
      <c r="AG793" s="44"/>
      <c r="AH793" s="44"/>
      <c r="AI793" s="44" t="str">
        <f>IFERROR(__xludf.DUMMYFUNCTION("TEXTJOIN("", "",TRUE, FILTER(Data!P:P, Data!B:B=A793))"),"")</f>
        <v/>
      </c>
      <c r="AM793" s="61"/>
      <c r="BC793" s="50"/>
    </row>
    <row r="794">
      <c r="A794" s="14"/>
      <c r="B794" s="55" t="str">
        <f>IFERROR(__xludf.DUMMYFUNCTION("IFERROR(ROUND(
(COUNTIF(FILTER(Data!O:O, Data!B:B=A794), ""Win"")
+ COUNTIF(FILTER(Data!O:O, Data!B:B=A794), {""Tie"",""Results""}))
/ (COUNTIF(Data!B:B, A794)),
1),"""")"),"")</f>
        <v/>
      </c>
      <c r="C794" s="45" t="str">
        <f>IFERROR((SUMIF(Data!B:B, A794, Data!H:H)
/ (COUNTIF(Data!B:B, A794)
)),"")</f>
        <v/>
      </c>
      <c r="D794" s="45" t="str">
        <f>IFERROR((SUMIF(Data!B:B, A794, Data!G:G)
/ (COUNTIF(Data!B:B, A794)
)),"")</f>
        <v/>
      </c>
      <c r="E794" s="45"/>
      <c r="F794" s="45" t="str">
        <f>IFERROR((SUMIF(Data!B:B, A794, Data!J:J)
/ (COUNTIF(Data!B:B, A794)
)),"")</f>
        <v/>
      </c>
      <c r="G794" s="56" t="str">
        <f>IF(A794="","",IFERROR((((((SUMIF(Data!B:B, A794, Data!H:H)+(SUMIF(Data!B:B, A794,Data!G:G)))/(SUMIF(Data!B:B, A794, Data!J:J)))))),0))</f>
        <v/>
      </c>
      <c r="H794" s="45"/>
      <c r="I794" s="45"/>
      <c r="J794" s="45"/>
      <c r="K794" s="45"/>
      <c r="L794" s="45" t="str">
        <f>IFERROR((SUMIF(Data!B:B, A794, Data!L:L)
/ (COUNTIF(Data!B:B, A794)
)),"")</f>
        <v/>
      </c>
      <c r="M794" s="45" t="str">
        <f>IFERROR((SUMIF(Data!B:B, A794, Data!K:K)
/ (COUNTIF(Data!B:B, A794)
)),"")</f>
        <v/>
      </c>
      <c r="N794" s="56"/>
      <c r="O794" s="56" t="str">
        <f>IF(A794="","",IFERROR((((((SUMIF(Data!B:B, A794, Data!H:H)+(SUMIF(Data!B:B, A794,Data!G:G)+(SUMIF(Data!B:B, A794,Data!L:L)+(SUMIF(Data!B:B, A794,Data!K:K)))))/(SUMIF(Data!B:B, A794, Data!M:M)+(SUMIF(Data!B:B, A794, Data!H:H)+(SUMIF(Data!B:B, A794,Data!G:G)+(SUMIF(Data!B:B, A794,Data!K:K)+(SUMIF(Data!B:B, A794,Data!L:L)))))))))),0))</f>
        <v/>
      </c>
      <c r="P794" s="57" t="str">
        <f>IFERROR(__xludf.DUMMYFUNCTION("IFERROR(((COUNTIF(FILTER(Data!N:N,Data!B:B=A794),""TRAVERSE"")*15)+(COUNTIF(FILTER(Data!N:N,Data!B:B=A794),""HIGH"")*10)+(COUNTIF(FILTER(Data!N:N,Data!B:B=A794),""MIDDLE"")*6)+(COUNTIF(FILTER(Data!N:N,Data!B:B=A794),""LOW"")*4)) / (COUNTIF(Data!B:B, A794)"&amp;"),"""")"),"")</f>
        <v/>
      </c>
      <c r="Q794" s="58"/>
      <c r="R794" s="58"/>
      <c r="S794" s="58" t="str">
        <f>IFERROR(__xludf.DUMMYFUNCTION("IFERROR((((COUNTIF(FILTER(Data!N:N,Data!B:B=A794),""TRAVERSE""))+(COUNTIF(FILTER(Data!N:N,Data!B:B=A794),""HIGH""))+(COUNTIF(FILTER(Data!N:N,Data!B:B=A794),""MIDDLE""))+(COUNTIF(FILTER(Data!N:N,Data!B:B=A794),""LOW"")))) / (((COUNTIF(Data!B:B, A794)))-(CO"&amp;"UNTIF(FILTER(Data!N:N,Data!B:B=A794),""NONE""))),IF(ISBLANK(A794),"""",0))"),"")</f>
        <v/>
      </c>
      <c r="T794" s="56" t="str">
        <f>IFERROR(__xludf.DUMMYFUNCTION("IFERROR((COUNTIF(FILTER(Data!N:N, Data!B:B=A794),""LOW"")) / (COUNTIF(Data!B:B, A794)),"""")"),"")</f>
        <v/>
      </c>
      <c r="U794" s="59" t="str">
        <f>IFERROR(__xludf.DUMMYFUNCTION("IFERROR((COUNTIF(FILTER(Data!N:N, Data!B:B=A794),""MIDDLE"")) / (COUNTIF(Data!B:B, A794)),"""")"),"")</f>
        <v/>
      </c>
      <c r="V794" s="59" t="str">
        <f>IFERROR(__xludf.DUMMYFUNCTION("IFERROR((COUNTIF(FILTER(Data!N:N, Data!B:B=A794),""HIGH"")) / (COUNTIF(Data!B:B, A794)),"""")"),"")</f>
        <v/>
      </c>
      <c r="W794" s="59" t="str">
        <f>IFERROR(__xludf.DUMMYFUNCTION("IFERROR((COUNTIF(FILTER(Data!N:N, Data!B:B=A794),""TRAVERSE"")) / (COUNTIF(Data!B:B, A794)),"""")"),"")</f>
        <v/>
      </c>
      <c r="X794" s="59"/>
      <c r="Y794" s="45" t="str">
        <f t="shared" si="7"/>
        <v/>
      </c>
      <c r="Z794" s="45" t="str">
        <f t="shared" si="8"/>
        <v/>
      </c>
      <c r="AA794" s="16" t="str">
        <f t="shared" si="9"/>
        <v/>
      </c>
      <c r="AB794" s="16"/>
      <c r="AC794" s="16"/>
      <c r="AD794" s="16"/>
      <c r="AE794" s="16" t="str">
        <f t="shared" si="12"/>
        <v/>
      </c>
      <c r="AF794" s="16" t="str">
        <f t="shared" si="13"/>
        <v/>
      </c>
      <c r="AG794" s="44"/>
      <c r="AH794" s="44"/>
      <c r="AI794" s="44" t="str">
        <f>IFERROR(__xludf.DUMMYFUNCTION("TEXTJOIN("", "",TRUE, FILTER(Data!P:P, Data!B:B=A794))"),"")</f>
        <v/>
      </c>
      <c r="AM794" s="61"/>
      <c r="BC794" s="50"/>
    </row>
    <row r="795">
      <c r="A795" s="14"/>
      <c r="B795" s="55" t="str">
        <f>IFERROR(__xludf.DUMMYFUNCTION("IFERROR(ROUND(
(COUNTIF(FILTER(Data!O:O, Data!B:B=A795), ""Win"")
+ COUNTIF(FILTER(Data!O:O, Data!B:B=A795), {""Tie"",""Results""}))
/ (COUNTIF(Data!B:B, A795)),
1),"""")"),"")</f>
        <v/>
      </c>
      <c r="C795" s="45" t="str">
        <f>IFERROR((SUMIF(Data!B:B, A795, Data!H:H)
/ (COUNTIF(Data!B:B, A795)
)),"")</f>
        <v/>
      </c>
      <c r="D795" s="45" t="str">
        <f>IFERROR((SUMIF(Data!B:B, A795, Data!G:G)
/ (COUNTIF(Data!B:B, A795)
)),"")</f>
        <v/>
      </c>
      <c r="E795" s="45"/>
      <c r="F795" s="45" t="str">
        <f>IFERROR((SUMIF(Data!B:B, A795, Data!J:J)
/ (COUNTIF(Data!B:B, A795)
)),"")</f>
        <v/>
      </c>
      <c r="G795" s="56" t="str">
        <f>IF(A795="","",IFERROR((((((SUMIF(Data!B:B, A795, Data!H:H)+(SUMIF(Data!B:B, A795,Data!G:G)))/(SUMIF(Data!B:B, A795, Data!J:J)))))),0))</f>
        <v/>
      </c>
      <c r="H795" s="45"/>
      <c r="I795" s="45"/>
      <c r="J795" s="45"/>
      <c r="K795" s="45"/>
      <c r="L795" s="45" t="str">
        <f>IFERROR((SUMIF(Data!B:B, A795, Data!L:L)
/ (COUNTIF(Data!B:B, A795)
)),"")</f>
        <v/>
      </c>
      <c r="M795" s="45" t="str">
        <f>IFERROR((SUMIF(Data!B:B, A795, Data!K:K)
/ (COUNTIF(Data!B:B, A795)
)),"")</f>
        <v/>
      </c>
      <c r="N795" s="56"/>
      <c r="O795" s="56" t="str">
        <f>IF(A795="","",IFERROR((((((SUMIF(Data!B:B, A795, Data!H:H)+(SUMIF(Data!B:B, A795,Data!G:G)+(SUMIF(Data!B:B, A795,Data!L:L)+(SUMIF(Data!B:B, A795,Data!K:K)))))/(SUMIF(Data!B:B, A795, Data!M:M)+(SUMIF(Data!B:B, A795, Data!H:H)+(SUMIF(Data!B:B, A795,Data!G:G)+(SUMIF(Data!B:B, A795,Data!K:K)+(SUMIF(Data!B:B, A795,Data!L:L)))))))))),0))</f>
        <v/>
      </c>
      <c r="P795" s="57" t="str">
        <f>IFERROR(__xludf.DUMMYFUNCTION("IFERROR(((COUNTIF(FILTER(Data!N:N,Data!B:B=A795),""TRAVERSE"")*15)+(COUNTIF(FILTER(Data!N:N,Data!B:B=A795),""HIGH"")*10)+(COUNTIF(FILTER(Data!N:N,Data!B:B=A795),""MIDDLE"")*6)+(COUNTIF(FILTER(Data!N:N,Data!B:B=A795),""LOW"")*4)) / (COUNTIF(Data!B:B, A795)"&amp;"),"""")"),"")</f>
        <v/>
      </c>
      <c r="Q795" s="58"/>
      <c r="R795" s="58"/>
      <c r="S795" s="58" t="str">
        <f>IFERROR(__xludf.DUMMYFUNCTION("IFERROR((((COUNTIF(FILTER(Data!N:N,Data!B:B=A795),""TRAVERSE""))+(COUNTIF(FILTER(Data!N:N,Data!B:B=A795),""HIGH""))+(COUNTIF(FILTER(Data!N:N,Data!B:B=A795),""MIDDLE""))+(COUNTIF(FILTER(Data!N:N,Data!B:B=A795),""LOW"")))) / (((COUNTIF(Data!B:B, A795)))-(CO"&amp;"UNTIF(FILTER(Data!N:N,Data!B:B=A795),""NONE""))),IF(ISBLANK(A795),"""",0))"),"")</f>
        <v/>
      </c>
      <c r="T795" s="56" t="str">
        <f>IFERROR(__xludf.DUMMYFUNCTION("IFERROR((COUNTIF(FILTER(Data!N:N, Data!B:B=A795),""LOW"")) / (COUNTIF(Data!B:B, A795)),"""")"),"")</f>
        <v/>
      </c>
      <c r="U795" s="59" t="str">
        <f>IFERROR(__xludf.DUMMYFUNCTION("IFERROR((COUNTIF(FILTER(Data!N:N, Data!B:B=A795),""MIDDLE"")) / (COUNTIF(Data!B:B, A795)),"""")"),"")</f>
        <v/>
      </c>
      <c r="V795" s="59" t="str">
        <f>IFERROR(__xludf.DUMMYFUNCTION("IFERROR((COUNTIF(FILTER(Data!N:N, Data!B:B=A795),""HIGH"")) / (COUNTIF(Data!B:B, A795)),"""")"),"")</f>
        <v/>
      </c>
      <c r="W795" s="59" t="str">
        <f>IFERROR(__xludf.DUMMYFUNCTION("IFERROR((COUNTIF(FILTER(Data!N:N, Data!B:B=A795),""TRAVERSE"")) / (COUNTIF(Data!B:B, A795)),"""")"),"")</f>
        <v/>
      </c>
      <c r="X795" s="59"/>
      <c r="Y795" s="45" t="str">
        <f t="shared" si="7"/>
        <v/>
      </c>
      <c r="Z795" s="45" t="str">
        <f t="shared" si="8"/>
        <v/>
      </c>
      <c r="AA795" s="16" t="str">
        <f t="shared" si="9"/>
        <v/>
      </c>
      <c r="AB795" s="16"/>
      <c r="AC795" s="16"/>
      <c r="AD795" s="16"/>
      <c r="AE795" s="16" t="str">
        <f t="shared" si="12"/>
        <v/>
      </c>
      <c r="AF795" s="16" t="str">
        <f t="shared" si="13"/>
        <v/>
      </c>
      <c r="AG795" s="44"/>
      <c r="AH795" s="44"/>
      <c r="AI795" s="44" t="str">
        <f>IFERROR(__xludf.DUMMYFUNCTION("TEXTJOIN("", "",TRUE, FILTER(Data!P:P, Data!B:B=A795))"),"")</f>
        <v/>
      </c>
      <c r="AM795" s="61"/>
      <c r="BC795" s="50"/>
    </row>
    <row r="796">
      <c r="A796" s="14"/>
      <c r="B796" s="55" t="str">
        <f>IFERROR(__xludf.DUMMYFUNCTION("IFERROR(ROUND(
(COUNTIF(FILTER(Data!O:O, Data!B:B=A796), ""Win"")
+ COUNTIF(FILTER(Data!O:O, Data!B:B=A796), {""Tie"",""Results""}))
/ (COUNTIF(Data!B:B, A796)),
1),"""")"),"")</f>
        <v/>
      </c>
      <c r="C796" s="45" t="str">
        <f>IFERROR((SUMIF(Data!B:B, A796, Data!H:H)
/ (COUNTIF(Data!B:B, A796)
)),"")</f>
        <v/>
      </c>
      <c r="D796" s="45" t="str">
        <f>IFERROR((SUMIF(Data!B:B, A796, Data!G:G)
/ (COUNTIF(Data!B:B, A796)
)),"")</f>
        <v/>
      </c>
      <c r="E796" s="45"/>
      <c r="F796" s="45" t="str">
        <f>IFERROR((SUMIF(Data!B:B, A796, Data!J:J)
/ (COUNTIF(Data!B:B, A796)
)),"")</f>
        <v/>
      </c>
      <c r="G796" s="56" t="str">
        <f>IF(A796="","",IFERROR((((((SUMIF(Data!B:B, A796, Data!H:H)+(SUMIF(Data!B:B, A796,Data!G:G)))/(SUMIF(Data!B:B, A796, Data!J:J)))))),0))</f>
        <v/>
      </c>
      <c r="H796" s="45"/>
      <c r="I796" s="45"/>
      <c r="J796" s="45"/>
      <c r="K796" s="45"/>
      <c r="L796" s="45" t="str">
        <f>IFERROR((SUMIF(Data!B:B, A796, Data!L:L)
/ (COUNTIF(Data!B:B, A796)
)),"")</f>
        <v/>
      </c>
      <c r="M796" s="45" t="str">
        <f>IFERROR((SUMIF(Data!B:B, A796, Data!K:K)
/ (COUNTIF(Data!B:B, A796)
)),"")</f>
        <v/>
      </c>
      <c r="N796" s="56"/>
      <c r="O796" s="56" t="str">
        <f>IF(A796="","",IFERROR((((((SUMIF(Data!B:B, A796, Data!H:H)+(SUMIF(Data!B:B, A796,Data!G:G)+(SUMIF(Data!B:B, A796,Data!L:L)+(SUMIF(Data!B:B, A796,Data!K:K)))))/(SUMIF(Data!B:B, A796, Data!M:M)+(SUMIF(Data!B:B, A796, Data!H:H)+(SUMIF(Data!B:B, A796,Data!G:G)+(SUMIF(Data!B:B, A796,Data!K:K)+(SUMIF(Data!B:B, A796,Data!L:L)))))))))),0))</f>
        <v/>
      </c>
      <c r="P796" s="57" t="str">
        <f>IFERROR(__xludf.DUMMYFUNCTION("IFERROR(((COUNTIF(FILTER(Data!N:N,Data!B:B=A796),""TRAVERSE"")*15)+(COUNTIF(FILTER(Data!N:N,Data!B:B=A796),""HIGH"")*10)+(COUNTIF(FILTER(Data!N:N,Data!B:B=A796),""MIDDLE"")*6)+(COUNTIF(FILTER(Data!N:N,Data!B:B=A796),""LOW"")*4)) / (COUNTIF(Data!B:B, A796)"&amp;"),"""")"),"")</f>
        <v/>
      </c>
      <c r="Q796" s="58"/>
      <c r="R796" s="58"/>
      <c r="S796" s="58" t="str">
        <f>IFERROR(__xludf.DUMMYFUNCTION("IFERROR((((COUNTIF(FILTER(Data!N:N,Data!B:B=A796),""TRAVERSE""))+(COUNTIF(FILTER(Data!N:N,Data!B:B=A796),""HIGH""))+(COUNTIF(FILTER(Data!N:N,Data!B:B=A796),""MIDDLE""))+(COUNTIF(FILTER(Data!N:N,Data!B:B=A796),""LOW"")))) / (((COUNTIF(Data!B:B, A796)))-(CO"&amp;"UNTIF(FILTER(Data!N:N,Data!B:B=A796),""NONE""))),IF(ISBLANK(A796),"""",0))"),"")</f>
        <v/>
      </c>
      <c r="T796" s="56" t="str">
        <f>IFERROR(__xludf.DUMMYFUNCTION("IFERROR((COUNTIF(FILTER(Data!N:N, Data!B:B=A796),""LOW"")) / (COUNTIF(Data!B:B, A796)),"""")"),"")</f>
        <v/>
      </c>
      <c r="U796" s="59" t="str">
        <f>IFERROR(__xludf.DUMMYFUNCTION("IFERROR((COUNTIF(FILTER(Data!N:N, Data!B:B=A796),""MIDDLE"")) / (COUNTIF(Data!B:B, A796)),"""")"),"")</f>
        <v/>
      </c>
      <c r="V796" s="59" t="str">
        <f>IFERROR(__xludf.DUMMYFUNCTION("IFERROR((COUNTIF(FILTER(Data!N:N, Data!B:B=A796),""HIGH"")) / (COUNTIF(Data!B:B, A796)),"""")"),"")</f>
        <v/>
      </c>
      <c r="W796" s="59" t="str">
        <f>IFERROR(__xludf.DUMMYFUNCTION("IFERROR((COUNTIF(FILTER(Data!N:N, Data!B:B=A796),""TRAVERSE"")) / (COUNTIF(Data!B:B, A796)),"""")"),"")</f>
        <v/>
      </c>
      <c r="X796" s="59"/>
      <c r="Y796" s="45" t="str">
        <f t="shared" si="7"/>
        <v/>
      </c>
      <c r="Z796" s="45" t="str">
        <f t="shared" si="8"/>
        <v/>
      </c>
      <c r="AA796" s="16" t="str">
        <f t="shared" si="9"/>
        <v/>
      </c>
      <c r="AB796" s="16"/>
      <c r="AC796" s="16"/>
      <c r="AD796" s="16"/>
      <c r="AE796" s="16" t="str">
        <f t="shared" si="12"/>
        <v/>
      </c>
      <c r="AF796" s="16" t="str">
        <f t="shared" si="13"/>
        <v/>
      </c>
      <c r="AG796" s="44"/>
      <c r="AH796" s="44"/>
      <c r="AI796" s="44" t="str">
        <f>IFERROR(__xludf.DUMMYFUNCTION("TEXTJOIN("", "",TRUE, FILTER(Data!P:P, Data!B:B=A796))"),"")</f>
        <v/>
      </c>
      <c r="AM796" s="61"/>
      <c r="BC796" s="50"/>
    </row>
    <row r="797">
      <c r="A797" s="14"/>
      <c r="B797" s="55" t="str">
        <f>IFERROR(__xludf.DUMMYFUNCTION("IFERROR(ROUND(
(COUNTIF(FILTER(Data!O:O, Data!B:B=A797), ""Win"")
+ COUNTIF(FILTER(Data!O:O, Data!B:B=A797), {""Tie"",""Results""}))
/ (COUNTIF(Data!B:B, A797)),
1),"""")"),"")</f>
        <v/>
      </c>
      <c r="C797" s="45" t="str">
        <f>IFERROR((SUMIF(Data!B:B, A797, Data!H:H)
/ (COUNTIF(Data!B:B, A797)
)),"")</f>
        <v/>
      </c>
      <c r="D797" s="45" t="str">
        <f>IFERROR((SUMIF(Data!B:B, A797, Data!G:G)
/ (COUNTIF(Data!B:B, A797)
)),"")</f>
        <v/>
      </c>
      <c r="E797" s="45"/>
      <c r="F797" s="45" t="str">
        <f>IFERROR((SUMIF(Data!B:B, A797, Data!J:J)
/ (COUNTIF(Data!B:B, A797)
)),"")</f>
        <v/>
      </c>
      <c r="G797" s="56" t="str">
        <f>IF(A797="","",IFERROR((((((SUMIF(Data!B:B, A797, Data!H:H)+(SUMIF(Data!B:B, A797,Data!G:G)))/(SUMIF(Data!B:B, A797, Data!J:J)))))),0))</f>
        <v/>
      </c>
      <c r="H797" s="45"/>
      <c r="I797" s="45"/>
      <c r="J797" s="45"/>
      <c r="K797" s="45"/>
      <c r="L797" s="45" t="str">
        <f>IFERROR((SUMIF(Data!B:B, A797, Data!L:L)
/ (COUNTIF(Data!B:B, A797)
)),"")</f>
        <v/>
      </c>
      <c r="M797" s="45" t="str">
        <f>IFERROR((SUMIF(Data!B:B, A797, Data!K:K)
/ (COUNTIF(Data!B:B, A797)
)),"")</f>
        <v/>
      </c>
      <c r="N797" s="56"/>
      <c r="O797" s="56" t="str">
        <f>IF(A797="","",IFERROR((((((SUMIF(Data!B:B, A797, Data!H:H)+(SUMIF(Data!B:B, A797,Data!G:G)+(SUMIF(Data!B:B, A797,Data!L:L)+(SUMIF(Data!B:B, A797,Data!K:K)))))/(SUMIF(Data!B:B, A797, Data!M:M)+(SUMIF(Data!B:B, A797, Data!H:H)+(SUMIF(Data!B:B, A797,Data!G:G)+(SUMIF(Data!B:B, A797,Data!K:K)+(SUMIF(Data!B:B, A797,Data!L:L)))))))))),0))</f>
        <v/>
      </c>
      <c r="P797" s="57" t="str">
        <f>IFERROR(__xludf.DUMMYFUNCTION("IFERROR(((COUNTIF(FILTER(Data!N:N,Data!B:B=A797),""TRAVERSE"")*15)+(COUNTIF(FILTER(Data!N:N,Data!B:B=A797),""HIGH"")*10)+(COUNTIF(FILTER(Data!N:N,Data!B:B=A797),""MIDDLE"")*6)+(COUNTIF(FILTER(Data!N:N,Data!B:B=A797),""LOW"")*4)) / (COUNTIF(Data!B:B, A797)"&amp;"),"""")"),"")</f>
        <v/>
      </c>
      <c r="Q797" s="58"/>
      <c r="R797" s="58"/>
      <c r="S797" s="58" t="str">
        <f>IFERROR(__xludf.DUMMYFUNCTION("IFERROR((((COUNTIF(FILTER(Data!N:N,Data!B:B=A797),""TRAVERSE""))+(COUNTIF(FILTER(Data!N:N,Data!B:B=A797),""HIGH""))+(COUNTIF(FILTER(Data!N:N,Data!B:B=A797),""MIDDLE""))+(COUNTIF(FILTER(Data!N:N,Data!B:B=A797),""LOW"")))) / (((COUNTIF(Data!B:B, A797)))-(CO"&amp;"UNTIF(FILTER(Data!N:N,Data!B:B=A797),""NONE""))),IF(ISBLANK(A797),"""",0))"),"")</f>
        <v/>
      </c>
      <c r="T797" s="56" t="str">
        <f>IFERROR(__xludf.DUMMYFUNCTION("IFERROR((COUNTIF(FILTER(Data!N:N, Data!B:B=A797),""LOW"")) / (COUNTIF(Data!B:B, A797)),"""")"),"")</f>
        <v/>
      </c>
      <c r="U797" s="59" t="str">
        <f>IFERROR(__xludf.DUMMYFUNCTION("IFERROR((COUNTIF(FILTER(Data!N:N, Data!B:B=A797),""MIDDLE"")) / (COUNTIF(Data!B:B, A797)),"""")"),"")</f>
        <v/>
      </c>
      <c r="V797" s="59" t="str">
        <f>IFERROR(__xludf.DUMMYFUNCTION("IFERROR((COUNTIF(FILTER(Data!N:N, Data!B:B=A797),""HIGH"")) / (COUNTIF(Data!B:B, A797)),"""")"),"")</f>
        <v/>
      </c>
      <c r="W797" s="59" t="str">
        <f>IFERROR(__xludf.DUMMYFUNCTION("IFERROR((COUNTIF(FILTER(Data!N:N, Data!B:B=A797),""TRAVERSE"")) / (COUNTIF(Data!B:B, A797)),"""")"),"")</f>
        <v/>
      </c>
      <c r="X797" s="59"/>
      <c r="Y797" s="45" t="str">
        <f t="shared" si="7"/>
        <v/>
      </c>
      <c r="Z797" s="45" t="str">
        <f t="shared" si="8"/>
        <v/>
      </c>
      <c r="AA797" s="16" t="str">
        <f t="shared" si="9"/>
        <v/>
      </c>
      <c r="AB797" s="16"/>
      <c r="AC797" s="16"/>
      <c r="AD797" s="16"/>
      <c r="AE797" s="16" t="str">
        <f t="shared" si="12"/>
        <v/>
      </c>
      <c r="AF797" s="16" t="str">
        <f t="shared" si="13"/>
        <v/>
      </c>
      <c r="AG797" s="44"/>
      <c r="AH797" s="44"/>
      <c r="AI797" s="44" t="str">
        <f>IFERROR(__xludf.DUMMYFUNCTION("TEXTJOIN("", "",TRUE, FILTER(Data!P:P, Data!B:B=A797))"),"")</f>
        <v/>
      </c>
      <c r="AM797" s="61"/>
      <c r="BC797" s="50"/>
    </row>
    <row r="798">
      <c r="A798" s="14"/>
      <c r="B798" s="55" t="str">
        <f>IFERROR(__xludf.DUMMYFUNCTION("IFERROR(ROUND(
(COUNTIF(FILTER(Data!O:O, Data!B:B=A798), ""Win"")
+ COUNTIF(FILTER(Data!O:O, Data!B:B=A798), {""Tie"",""Results""}))
/ (COUNTIF(Data!B:B, A798)),
1),"""")"),"")</f>
        <v/>
      </c>
      <c r="C798" s="45" t="str">
        <f>IFERROR((SUMIF(Data!B:B, A798, Data!H:H)
/ (COUNTIF(Data!B:B, A798)
)),"")</f>
        <v/>
      </c>
      <c r="D798" s="45" t="str">
        <f>IFERROR((SUMIF(Data!B:B, A798, Data!G:G)
/ (COUNTIF(Data!B:B, A798)
)),"")</f>
        <v/>
      </c>
      <c r="E798" s="45"/>
      <c r="F798" s="45" t="str">
        <f>IFERROR((SUMIF(Data!B:B, A798, Data!J:J)
/ (COUNTIF(Data!B:B, A798)
)),"")</f>
        <v/>
      </c>
      <c r="G798" s="56" t="str">
        <f>IF(A798="","",IFERROR((((((SUMIF(Data!B:B, A798, Data!H:H)+(SUMIF(Data!B:B, A798,Data!G:G)))/(SUMIF(Data!B:B, A798, Data!J:J)))))),0))</f>
        <v/>
      </c>
      <c r="H798" s="45"/>
      <c r="I798" s="45"/>
      <c r="J798" s="45"/>
      <c r="K798" s="45"/>
      <c r="L798" s="45" t="str">
        <f>IFERROR((SUMIF(Data!B:B, A798, Data!L:L)
/ (COUNTIF(Data!B:B, A798)
)),"")</f>
        <v/>
      </c>
      <c r="M798" s="45" t="str">
        <f>IFERROR((SUMIF(Data!B:B, A798, Data!K:K)
/ (COUNTIF(Data!B:B, A798)
)),"")</f>
        <v/>
      </c>
      <c r="N798" s="56"/>
      <c r="O798" s="56" t="str">
        <f>IF(A798="","",IFERROR((((((SUMIF(Data!B:B, A798, Data!H:H)+(SUMIF(Data!B:B, A798,Data!G:G)+(SUMIF(Data!B:B, A798,Data!L:L)+(SUMIF(Data!B:B, A798,Data!K:K)))))/(SUMIF(Data!B:B, A798, Data!M:M)+(SUMIF(Data!B:B, A798, Data!H:H)+(SUMIF(Data!B:B, A798,Data!G:G)+(SUMIF(Data!B:B, A798,Data!K:K)+(SUMIF(Data!B:B, A798,Data!L:L)))))))))),0))</f>
        <v/>
      </c>
      <c r="P798" s="57" t="str">
        <f>IFERROR(__xludf.DUMMYFUNCTION("IFERROR(((COUNTIF(FILTER(Data!N:N,Data!B:B=A798),""TRAVERSE"")*15)+(COUNTIF(FILTER(Data!N:N,Data!B:B=A798),""HIGH"")*10)+(COUNTIF(FILTER(Data!N:N,Data!B:B=A798),""MIDDLE"")*6)+(COUNTIF(FILTER(Data!N:N,Data!B:B=A798),""LOW"")*4)) / (COUNTIF(Data!B:B, A798)"&amp;"),"""")"),"")</f>
        <v/>
      </c>
      <c r="Q798" s="58"/>
      <c r="R798" s="58"/>
      <c r="S798" s="58" t="str">
        <f>IFERROR(__xludf.DUMMYFUNCTION("IFERROR((((COUNTIF(FILTER(Data!N:N,Data!B:B=A798),""TRAVERSE""))+(COUNTIF(FILTER(Data!N:N,Data!B:B=A798),""HIGH""))+(COUNTIF(FILTER(Data!N:N,Data!B:B=A798),""MIDDLE""))+(COUNTIF(FILTER(Data!N:N,Data!B:B=A798),""LOW"")))) / (((COUNTIF(Data!B:B, A798)))-(CO"&amp;"UNTIF(FILTER(Data!N:N,Data!B:B=A798),""NONE""))),IF(ISBLANK(A798),"""",0))"),"")</f>
        <v/>
      </c>
      <c r="T798" s="56" t="str">
        <f>IFERROR(__xludf.DUMMYFUNCTION("IFERROR((COUNTIF(FILTER(Data!N:N, Data!B:B=A798),""LOW"")) / (COUNTIF(Data!B:B, A798)),"""")"),"")</f>
        <v/>
      </c>
      <c r="U798" s="59" t="str">
        <f>IFERROR(__xludf.DUMMYFUNCTION("IFERROR((COUNTIF(FILTER(Data!N:N, Data!B:B=A798),""MIDDLE"")) / (COUNTIF(Data!B:B, A798)),"""")"),"")</f>
        <v/>
      </c>
      <c r="V798" s="59" t="str">
        <f>IFERROR(__xludf.DUMMYFUNCTION("IFERROR((COUNTIF(FILTER(Data!N:N, Data!B:B=A798),""HIGH"")) / (COUNTIF(Data!B:B, A798)),"""")"),"")</f>
        <v/>
      </c>
      <c r="W798" s="59" t="str">
        <f>IFERROR(__xludf.DUMMYFUNCTION("IFERROR((COUNTIF(FILTER(Data!N:N, Data!B:B=A798),""TRAVERSE"")) / (COUNTIF(Data!B:B, A798)),"""")"),"")</f>
        <v/>
      </c>
      <c r="X798" s="59"/>
      <c r="Y798" s="45" t="str">
        <f t="shared" si="7"/>
        <v/>
      </c>
      <c r="Z798" s="45" t="str">
        <f t="shared" si="8"/>
        <v/>
      </c>
      <c r="AA798" s="16" t="str">
        <f t="shared" si="9"/>
        <v/>
      </c>
      <c r="AB798" s="16"/>
      <c r="AC798" s="16"/>
      <c r="AD798" s="16"/>
      <c r="AE798" s="16" t="str">
        <f t="shared" si="12"/>
        <v/>
      </c>
      <c r="AF798" s="16" t="str">
        <f t="shared" si="13"/>
        <v/>
      </c>
      <c r="AG798" s="44"/>
      <c r="AH798" s="44"/>
      <c r="AI798" s="44" t="str">
        <f>IFERROR(__xludf.DUMMYFUNCTION("TEXTJOIN("", "",TRUE, FILTER(Data!P:P, Data!B:B=A798))"),"")</f>
        <v/>
      </c>
      <c r="AM798" s="61"/>
      <c r="BC798" s="50"/>
    </row>
    <row r="799">
      <c r="A799" s="14"/>
      <c r="B799" s="55" t="str">
        <f>IFERROR(__xludf.DUMMYFUNCTION("IFERROR(ROUND(
(COUNTIF(FILTER(Data!O:O, Data!B:B=A799), ""Win"")
+ COUNTIF(FILTER(Data!O:O, Data!B:B=A799), {""Tie"",""Results""}))
/ (COUNTIF(Data!B:B, A799)),
1),"""")"),"")</f>
        <v/>
      </c>
      <c r="C799" s="45" t="str">
        <f>IFERROR((SUMIF(Data!B:B, A799, Data!H:H)
/ (COUNTIF(Data!B:B, A799)
)),"")</f>
        <v/>
      </c>
      <c r="D799" s="45" t="str">
        <f>IFERROR((SUMIF(Data!B:B, A799, Data!G:G)
/ (COUNTIF(Data!B:B, A799)
)),"")</f>
        <v/>
      </c>
      <c r="E799" s="45"/>
      <c r="F799" s="45" t="str">
        <f>IFERROR((SUMIF(Data!B:B, A799, Data!J:J)
/ (COUNTIF(Data!B:B, A799)
)),"")</f>
        <v/>
      </c>
      <c r="G799" s="56" t="str">
        <f>IF(A799="","",IFERROR((((((SUMIF(Data!B:B, A799, Data!H:H)+(SUMIF(Data!B:B, A799,Data!G:G)))/(SUMIF(Data!B:B, A799, Data!J:J)))))),0))</f>
        <v/>
      </c>
      <c r="H799" s="45"/>
      <c r="I799" s="45"/>
      <c r="J799" s="45"/>
      <c r="K799" s="45"/>
      <c r="L799" s="45" t="str">
        <f>IFERROR((SUMIF(Data!B:B, A799, Data!L:L)
/ (COUNTIF(Data!B:B, A799)
)),"")</f>
        <v/>
      </c>
      <c r="M799" s="45" t="str">
        <f>IFERROR((SUMIF(Data!B:B, A799, Data!K:K)
/ (COUNTIF(Data!B:B, A799)
)),"")</f>
        <v/>
      </c>
      <c r="N799" s="56"/>
      <c r="O799" s="56" t="str">
        <f>IF(A799="","",IFERROR((((((SUMIF(Data!B:B, A799, Data!H:H)+(SUMIF(Data!B:B, A799,Data!G:G)+(SUMIF(Data!B:B, A799,Data!L:L)+(SUMIF(Data!B:B, A799,Data!K:K)))))/(SUMIF(Data!B:B, A799, Data!M:M)+(SUMIF(Data!B:B, A799, Data!H:H)+(SUMIF(Data!B:B, A799,Data!G:G)+(SUMIF(Data!B:B, A799,Data!K:K)+(SUMIF(Data!B:B, A799,Data!L:L)))))))))),0))</f>
        <v/>
      </c>
      <c r="P799" s="57" t="str">
        <f>IFERROR(__xludf.DUMMYFUNCTION("IFERROR(((COUNTIF(FILTER(Data!N:N,Data!B:B=A799),""TRAVERSE"")*15)+(COUNTIF(FILTER(Data!N:N,Data!B:B=A799),""HIGH"")*10)+(COUNTIF(FILTER(Data!N:N,Data!B:B=A799),""MIDDLE"")*6)+(COUNTIF(FILTER(Data!N:N,Data!B:B=A799),""LOW"")*4)) / (COUNTIF(Data!B:B, A799)"&amp;"),"""")"),"")</f>
        <v/>
      </c>
      <c r="Q799" s="58"/>
      <c r="R799" s="58"/>
      <c r="S799" s="58" t="str">
        <f>IFERROR(__xludf.DUMMYFUNCTION("IFERROR((((COUNTIF(FILTER(Data!N:N,Data!B:B=A799),""TRAVERSE""))+(COUNTIF(FILTER(Data!N:N,Data!B:B=A799),""HIGH""))+(COUNTIF(FILTER(Data!N:N,Data!B:B=A799),""MIDDLE""))+(COUNTIF(FILTER(Data!N:N,Data!B:B=A799),""LOW"")))) / (((COUNTIF(Data!B:B, A799)))-(CO"&amp;"UNTIF(FILTER(Data!N:N,Data!B:B=A799),""NONE""))),IF(ISBLANK(A799),"""",0))"),"")</f>
        <v/>
      </c>
      <c r="T799" s="56" t="str">
        <f>IFERROR(__xludf.DUMMYFUNCTION("IFERROR((COUNTIF(FILTER(Data!N:N, Data!B:B=A799),""LOW"")) / (COUNTIF(Data!B:B, A799)),"""")"),"")</f>
        <v/>
      </c>
      <c r="U799" s="59" t="str">
        <f>IFERROR(__xludf.DUMMYFUNCTION("IFERROR((COUNTIF(FILTER(Data!N:N, Data!B:B=A799),""MIDDLE"")) / (COUNTIF(Data!B:B, A799)),"""")"),"")</f>
        <v/>
      </c>
      <c r="V799" s="59" t="str">
        <f>IFERROR(__xludf.DUMMYFUNCTION("IFERROR((COUNTIF(FILTER(Data!N:N, Data!B:B=A799),""HIGH"")) / (COUNTIF(Data!B:B, A799)),"""")"),"")</f>
        <v/>
      </c>
      <c r="W799" s="59" t="str">
        <f>IFERROR(__xludf.DUMMYFUNCTION("IFERROR((COUNTIF(FILTER(Data!N:N, Data!B:B=A799),""TRAVERSE"")) / (COUNTIF(Data!B:B, A799)),"""")"),"")</f>
        <v/>
      </c>
      <c r="X799" s="59"/>
      <c r="Y799" s="45" t="str">
        <f t="shared" si="7"/>
        <v/>
      </c>
      <c r="Z799" s="45" t="str">
        <f t="shared" si="8"/>
        <v/>
      </c>
      <c r="AA799" s="16" t="str">
        <f t="shared" si="9"/>
        <v/>
      </c>
      <c r="AB799" s="16"/>
      <c r="AC799" s="16"/>
      <c r="AD799" s="16"/>
      <c r="AE799" s="16" t="str">
        <f t="shared" si="12"/>
        <v/>
      </c>
      <c r="AF799" s="16" t="str">
        <f t="shared" si="13"/>
        <v/>
      </c>
      <c r="AG799" s="44"/>
      <c r="AH799" s="44"/>
      <c r="AI799" s="44" t="str">
        <f>IFERROR(__xludf.DUMMYFUNCTION("TEXTJOIN("", "",TRUE, FILTER(Data!P:P, Data!B:B=A799))"),"")</f>
        <v/>
      </c>
      <c r="AM799" s="61"/>
      <c r="BC799" s="50"/>
    </row>
    <row r="800">
      <c r="A800" s="14"/>
      <c r="B800" s="55" t="str">
        <f>IFERROR(__xludf.DUMMYFUNCTION("IFERROR(ROUND(
(COUNTIF(FILTER(Data!O:O, Data!B:B=A800), ""Win"")
+ COUNTIF(FILTER(Data!O:O, Data!B:B=A800), {""Tie"",""Results""}))
/ (COUNTIF(Data!B:B, A800)),
1),"""")"),"")</f>
        <v/>
      </c>
      <c r="C800" s="45" t="str">
        <f>IFERROR((SUMIF(Data!B:B, A800, Data!H:H)
/ (COUNTIF(Data!B:B, A800)
)),"")</f>
        <v/>
      </c>
      <c r="D800" s="45" t="str">
        <f>IFERROR((SUMIF(Data!B:B, A800, Data!G:G)
/ (COUNTIF(Data!B:B, A800)
)),"")</f>
        <v/>
      </c>
      <c r="E800" s="45"/>
      <c r="F800" s="45" t="str">
        <f>IFERROR((SUMIF(Data!B:B, A800, Data!J:J)
/ (COUNTIF(Data!B:B, A800)
)),"")</f>
        <v/>
      </c>
      <c r="G800" s="56" t="str">
        <f>IF(A800="","",IFERROR((((((SUMIF(Data!B:B, A800, Data!H:H)+(SUMIF(Data!B:B, A800,Data!G:G)))/(SUMIF(Data!B:B, A800, Data!J:J)))))),0))</f>
        <v/>
      </c>
      <c r="H800" s="45"/>
      <c r="I800" s="45"/>
      <c r="J800" s="45"/>
      <c r="K800" s="45"/>
      <c r="L800" s="45" t="str">
        <f>IFERROR((SUMIF(Data!B:B, A800, Data!L:L)
/ (COUNTIF(Data!B:B, A800)
)),"")</f>
        <v/>
      </c>
      <c r="M800" s="45" t="str">
        <f>IFERROR((SUMIF(Data!B:B, A800, Data!K:K)
/ (COUNTIF(Data!B:B, A800)
)),"")</f>
        <v/>
      </c>
      <c r="N800" s="56"/>
      <c r="O800" s="56" t="str">
        <f>IF(A800="","",IFERROR((((((SUMIF(Data!B:B, A800, Data!H:H)+(SUMIF(Data!B:B, A800,Data!G:G)+(SUMIF(Data!B:B, A800,Data!L:L)+(SUMIF(Data!B:B, A800,Data!K:K)))))/(SUMIF(Data!B:B, A800, Data!M:M)+(SUMIF(Data!B:B, A800, Data!H:H)+(SUMIF(Data!B:B, A800,Data!G:G)+(SUMIF(Data!B:B, A800,Data!K:K)+(SUMIF(Data!B:B, A800,Data!L:L)))))))))),0))</f>
        <v/>
      </c>
      <c r="P800" s="57" t="str">
        <f>IFERROR(__xludf.DUMMYFUNCTION("IFERROR(((COUNTIF(FILTER(Data!N:N,Data!B:B=A800),""TRAVERSE"")*15)+(COUNTIF(FILTER(Data!N:N,Data!B:B=A800),""HIGH"")*10)+(COUNTIF(FILTER(Data!N:N,Data!B:B=A800),""MIDDLE"")*6)+(COUNTIF(FILTER(Data!N:N,Data!B:B=A800),""LOW"")*4)) / (COUNTIF(Data!B:B, A800)"&amp;"),"""")"),"")</f>
        <v/>
      </c>
      <c r="Q800" s="58"/>
      <c r="R800" s="58"/>
      <c r="S800" s="58" t="str">
        <f>IFERROR(__xludf.DUMMYFUNCTION("IFERROR((((COUNTIF(FILTER(Data!N:N,Data!B:B=A800),""TRAVERSE""))+(COUNTIF(FILTER(Data!N:N,Data!B:B=A800),""HIGH""))+(COUNTIF(FILTER(Data!N:N,Data!B:B=A800),""MIDDLE""))+(COUNTIF(FILTER(Data!N:N,Data!B:B=A800),""LOW"")))) / (((COUNTIF(Data!B:B, A800)))-(CO"&amp;"UNTIF(FILTER(Data!N:N,Data!B:B=A800),""NONE""))),IF(ISBLANK(A800),"""",0))"),"")</f>
        <v/>
      </c>
      <c r="T800" s="56" t="str">
        <f>IFERROR(__xludf.DUMMYFUNCTION("IFERROR((COUNTIF(FILTER(Data!N:N, Data!B:B=A800),""LOW"")) / (COUNTIF(Data!B:B, A800)),"""")"),"")</f>
        <v/>
      </c>
      <c r="U800" s="59" t="str">
        <f>IFERROR(__xludf.DUMMYFUNCTION("IFERROR((COUNTIF(FILTER(Data!N:N, Data!B:B=A800),""MIDDLE"")) / (COUNTIF(Data!B:B, A800)),"""")"),"")</f>
        <v/>
      </c>
      <c r="V800" s="59" t="str">
        <f>IFERROR(__xludf.DUMMYFUNCTION("IFERROR((COUNTIF(FILTER(Data!N:N, Data!B:B=A800),""HIGH"")) / (COUNTIF(Data!B:B, A800)),"""")"),"")</f>
        <v/>
      </c>
      <c r="W800" s="59" t="str">
        <f>IFERROR(__xludf.DUMMYFUNCTION("IFERROR((COUNTIF(FILTER(Data!N:N, Data!B:B=A800),""TRAVERSE"")) / (COUNTIF(Data!B:B, A800)),"""")"),"")</f>
        <v/>
      </c>
      <c r="X800" s="59"/>
      <c r="Y800" s="45" t="str">
        <f t="shared" si="7"/>
        <v/>
      </c>
      <c r="Z800" s="45" t="str">
        <f t="shared" si="8"/>
        <v/>
      </c>
      <c r="AA800" s="16" t="str">
        <f t="shared" si="9"/>
        <v/>
      </c>
      <c r="AB800" s="16"/>
      <c r="AC800" s="16"/>
      <c r="AD800" s="16"/>
      <c r="AE800" s="16" t="str">
        <f t="shared" si="12"/>
        <v/>
      </c>
      <c r="AF800" s="16" t="str">
        <f t="shared" si="13"/>
        <v/>
      </c>
      <c r="AG800" s="44"/>
      <c r="AH800" s="44"/>
      <c r="AI800" s="44" t="str">
        <f>IFERROR(__xludf.DUMMYFUNCTION("TEXTJOIN("", "",TRUE, FILTER(Data!P:P, Data!B:B=A800))"),"")</f>
        <v/>
      </c>
      <c r="AM800" s="61"/>
      <c r="BC800" s="50"/>
    </row>
    <row r="801">
      <c r="A801" s="14"/>
      <c r="B801" s="55" t="str">
        <f>IFERROR(__xludf.DUMMYFUNCTION("IFERROR(ROUND(
(COUNTIF(FILTER(Data!O:O, Data!B:B=A801), ""Win"")
+ COUNTIF(FILTER(Data!O:O, Data!B:B=A801), {""Tie"",""Results""}))
/ (COUNTIF(Data!B:B, A801)),
1),"""")"),"")</f>
        <v/>
      </c>
      <c r="C801" s="45" t="str">
        <f>IFERROR((SUMIF(Data!B:B, A801, Data!H:H)
/ (COUNTIF(Data!B:B, A801)
)),"")</f>
        <v/>
      </c>
      <c r="D801" s="45" t="str">
        <f>IFERROR((SUMIF(Data!B:B, A801, Data!G:G)
/ (COUNTIF(Data!B:B, A801)
)),"")</f>
        <v/>
      </c>
      <c r="E801" s="45"/>
      <c r="F801" s="45" t="str">
        <f>IFERROR((SUMIF(Data!B:B, A801, Data!J:J)
/ (COUNTIF(Data!B:B, A801)
)),"")</f>
        <v/>
      </c>
      <c r="G801" s="56" t="str">
        <f>IF(A801="","",IFERROR((((((SUMIF(Data!B:B, A801, Data!H:H)+(SUMIF(Data!B:B, A801,Data!G:G)))/(SUMIF(Data!B:B, A801, Data!J:J)))))),0))</f>
        <v/>
      </c>
      <c r="H801" s="45"/>
      <c r="I801" s="45"/>
      <c r="J801" s="45"/>
      <c r="K801" s="45"/>
      <c r="L801" s="45" t="str">
        <f>IFERROR((SUMIF(Data!B:B, A801, Data!L:L)
/ (COUNTIF(Data!B:B, A801)
)),"")</f>
        <v/>
      </c>
      <c r="M801" s="45" t="str">
        <f>IFERROR((SUMIF(Data!B:B, A801, Data!K:K)
/ (COUNTIF(Data!B:B, A801)
)),"")</f>
        <v/>
      </c>
      <c r="N801" s="56"/>
      <c r="O801" s="56" t="str">
        <f>IF(A801="","",IFERROR((((((SUMIF(Data!B:B, A801, Data!H:H)+(SUMIF(Data!B:B, A801,Data!G:G)+(SUMIF(Data!B:B, A801,Data!L:L)+(SUMIF(Data!B:B, A801,Data!K:K)))))/(SUMIF(Data!B:B, A801, Data!M:M)+(SUMIF(Data!B:B, A801, Data!H:H)+(SUMIF(Data!B:B, A801,Data!G:G)+(SUMIF(Data!B:B, A801,Data!K:K)+(SUMIF(Data!B:B, A801,Data!L:L)))))))))),0))</f>
        <v/>
      </c>
      <c r="P801" s="57" t="str">
        <f>IFERROR(__xludf.DUMMYFUNCTION("IFERROR(((COUNTIF(FILTER(Data!N:N,Data!B:B=A801),""TRAVERSE"")*15)+(COUNTIF(FILTER(Data!N:N,Data!B:B=A801),""HIGH"")*10)+(COUNTIF(FILTER(Data!N:N,Data!B:B=A801),""MIDDLE"")*6)+(COUNTIF(FILTER(Data!N:N,Data!B:B=A801),""LOW"")*4)) / (COUNTIF(Data!B:B, A801)"&amp;"),"""")"),"")</f>
        <v/>
      </c>
      <c r="Q801" s="58"/>
      <c r="R801" s="58"/>
      <c r="S801" s="58" t="str">
        <f>IFERROR(__xludf.DUMMYFUNCTION("IFERROR((((COUNTIF(FILTER(Data!N:N,Data!B:B=A801),""TRAVERSE""))+(COUNTIF(FILTER(Data!N:N,Data!B:B=A801),""HIGH""))+(COUNTIF(FILTER(Data!N:N,Data!B:B=A801),""MIDDLE""))+(COUNTIF(FILTER(Data!N:N,Data!B:B=A801),""LOW"")))) / (((COUNTIF(Data!B:B, A801)))-(CO"&amp;"UNTIF(FILTER(Data!N:N,Data!B:B=A801),""NONE""))),IF(ISBLANK(A801),"""",0))"),"")</f>
        <v/>
      </c>
      <c r="T801" s="56" t="str">
        <f>IFERROR(__xludf.DUMMYFUNCTION("IFERROR((COUNTIF(FILTER(Data!N:N, Data!B:B=A801),""LOW"")) / (COUNTIF(Data!B:B, A801)),"""")"),"")</f>
        <v/>
      </c>
      <c r="U801" s="59" t="str">
        <f>IFERROR(__xludf.DUMMYFUNCTION("IFERROR((COUNTIF(FILTER(Data!N:N, Data!B:B=A801),""MIDDLE"")) / (COUNTIF(Data!B:B, A801)),"""")"),"")</f>
        <v/>
      </c>
      <c r="V801" s="59" t="str">
        <f>IFERROR(__xludf.DUMMYFUNCTION("IFERROR((COUNTIF(FILTER(Data!N:N, Data!B:B=A801),""HIGH"")) / (COUNTIF(Data!B:B, A801)),"""")"),"")</f>
        <v/>
      </c>
      <c r="W801" s="59" t="str">
        <f>IFERROR(__xludf.DUMMYFUNCTION("IFERROR((COUNTIF(FILTER(Data!N:N, Data!B:B=A801),""TRAVERSE"")) / (COUNTIF(Data!B:B, A801)),"""")"),"")</f>
        <v/>
      </c>
      <c r="X801" s="59"/>
      <c r="Y801" s="45" t="str">
        <f t="shared" si="7"/>
        <v/>
      </c>
      <c r="Z801" s="45" t="str">
        <f t="shared" si="8"/>
        <v/>
      </c>
      <c r="AA801" s="16" t="str">
        <f t="shared" si="9"/>
        <v/>
      </c>
      <c r="AB801" s="16"/>
      <c r="AC801" s="16"/>
      <c r="AD801" s="16"/>
      <c r="AE801" s="16" t="str">
        <f t="shared" si="12"/>
        <v/>
      </c>
      <c r="AF801" s="16" t="str">
        <f t="shared" si="13"/>
        <v/>
      </c>
      <c r="AG801" s="44"/>
      <c r="AH801" s="44"/>
      <c r="AI801" s="44" t="str">
        <f>IFERROR(__xludf.DUMMYFUNCTION("TEXTJOIN("", "",TRUE, FILTER(Data!P:P, Data!B:B=A801))"),"")</f>
        <v/>
      </c>
      <c r="AM801" s="61"/>
      <c r="BC801" s="50"/>
    </row>
    <row r="802">
      <c r="A802" s="14"/>
      <c r="B802" s="55" t="str">
        <f>IFERROR(__xludf.DUMMYFUNCTION("IFERROR(ROUND(
(COUNTIF(FILTER(Data!O:O, Data!B:B=A802), ""Win"")
+ COUNTIF(FILTER(Data!O:O, Data!B:B=A802), {""Tie"",""Results""}))
/ (COUNTIF(Data!B:B, A802)),
1),"""")"),"")</f>
        <v/>
      </c>
      <c r="C802" s="45" t="str">
        <f>IFERROR((SUMIF(Data!B:B, A802, Data!H:H)
/ (COUNTIF(Data!B:B, A802)
)),"")</f>
        <v/>
      </c>
      <c r="D802" s="45" t="str">
        <f>IFERROR((SUMIF(Data!B:B, A802, Data!G:G)
/ (COUNTIF(Data!B:B, A802)
)),"")</f>
        <v/>
      </c>
      <c r="E802" s="45"/>
      <c r="F802" s="45" t="str">
        <f>IFERROR((SUMIF(Data!B:B, A802, Data!J:J)
/ (COUNTIF(Data!B:B, A802)
)),"")</f>
        <v/>
      </c>
      <c r="G802" s="56" t="str">
        <f>IF(A802="","",IFERROR((((((SUMIF(Data!B:B, A802, Data!H:H)+(SUMIF(Data!B:B, A802,Data!G:G)))/(SUMIF(Data!B:B, A802, Data!J:J)))))),0))</f>
        <v/>
      </c>
      <c r="H802" s="45"/>
      <c r="I802" s="45"/>
      <c r="J802" s="45"/>
      <c r="K802" s="45"/>
      <c r="L802" s="45" t="str">
        <f>IFERROR((SUMIF(Data!B:B, A802, Data!L:L)
/ (COUNTIF(Data!B:B, A802)
)),"")</f>
        <v/>
      </c>
      <c r="M802" s="45" t="str">
        <f>IFERROR((SUMIF(Data!B:B, A802, Data!K:K)
/ (COUNTIF(Data!B:B, A802)
)),"")</f>
        <v/>
      </c>
      <c r="N802" s="56"/>
      <c r="O802" s="56" t="str">
        <f>IF(A802="","",IFERROR((((((SUMIF(Data!B:B, A802, Data!H:H)+(SUMIF(Data!B:B, A802,Data!G:G)+(SUMIF(Data!B:B, A802,Data!L:L)+(SUMIF(Data!B:B, A802,Data!K:K)))))/(SUMIF(Data!B:B, A802, Data!M:M)+(SUMIF(Data!B:B, A802, Data!H:H)+(SUMIF(Data!B:B, A802,Data!G:G)+(SUMIF(Data!B:B, A802,Data!K:K)+(SUMIF(Data!B:B, A802,Data!L:L)))))))))),0))</f>
        <v/>
      </c>
      <c r="P802" s="57" t="str">
        <f>IFERROR(__xludf.DUMMYFUNCTION("IFERROR(((COUNTIF(FILTER(Data!N:N,Data!B:B=A802),""TRAVERSE"")*15)+(COUNTIF(FILTER(Data!N:N,Data!B:B=A802),""HIGH"")*10)+(COUNTIF(FILTER(Data!N:N,Data!B:B=A802),""MIDDLE"")*6)+(COUNTIF(FILTER(Data!N:N,Data!B:B=A802),""LOW"")*4)) / (COUNTIF(Data!B:B, A802)"&amp;"),"""")"),"")</f>
        <v/>
      </c>
      <c r="Q802" s="58"/>
      <c r="R802" s="58"/>
      <c r="S802" s="58" t="str">
        <f>IFERROR(__xludf.DUMMYFUNCTION("IFERROR((((COUNTIF(FILTER(Data!N:N,Data!B:B=A802),""TRAVERSE""))+(COUNTIF(FILTER(Data!N:N,Data!B:B=A802),""HIGH""))+(COUNTIF(FILTER(Data!N:N,Data!B:B=A802),""MIDDLE""))+(COUNTIF(FILTER(Data!N:N,Data!B:B=A802),""LOW"")))) / (((COUNTIF(Data!B:B, A802)))-(CO"&amp;"UNTIF(FILTER(Data!N:N,Data!B:B=A802),""NONE""))),IF(ISBLANK(A802),"""",0))"),"")</f>
        <v/>
      </c>
      <c r="T802" s="56" t="str">
        <f>IFERROR(__xludf.DUMMYFUNCTION("IFERROR((COUNTIF(FILTER(Data!N:N, Data!B:B=A802),""LOW"")) / (COUNTIF(Data!B:B, A802)),"""")"),"")</f>
        <v/>
      </c>
      <c r="U802" s="59" t="str">
        <f>IFERROR(__xludf.DUMMYFUNCTION("IFERROR((COUNTIF(FILTER(Data!N:N, Data!B:B=A802),""MIDDLE"")) / (COUNTIF(Data!B:B, A802)),"""")"),"")</f>
        <v/>
      </c>
      <c r="V802" s="59" t="str">
        <f>IFERROR(__xludf.DUMMYFUNCTION("IFERROR((COUNTIF(FILTER(Data!N:N, Data!B:B=A802),""HIGH"")) / (COUNTIF(Data!B:B, A802)),"""")"),"")</f>
        <v/>
      </c>
      <c r="W802" s="59" t="str">
        <f>IFERROR(__xludf.DUMMYFUNCTION("IFERROR((COUNTIF(FILTER(Data!N:N, Data!B:B=A802),""TRAVERSE"")) / (COUNTIF(Data!B:B, A802)),"""")"),"")</f>
        <v/>
      </c>
      <c r="X802" s="59"/>
      <c r="Y802" s="45" t="str">
        <f t="shared" si="7"/>
        <v/>
      </c>
      <c r="Z802" s="45" t="str">
        <f t="shared" si="8"/>
        <v/>
      </c>
      <c r="AA802" s="16" t="str">
        <f t="shared" si="9"/>
        <v/>
      </c>
      <c r="AB802" s="16"/>
      <c r="AC802" s="16"/>
      <c r="AD802" s="16"/>
      <c r="AE802" s="16" t="str">
        <f t="shared" si="12"/>
        <v/>
      </c>
      <c r="AF802" s="16" t="str">
        <f t="shared" si="13"/>
        <v/>
      </c>
      <c r="AG802" s="44"/>
      <c r="AH802" s="44"/>
      <c r="AI802" s="44" t="str">
        <f>IFERROR(__xludf.DUMMYFUNCTION("TEXTJOIN("", "",TRUE, FILTER(Data!P:P, Data!B:B=A802))"),"")</f>
        <v/>
      </c>
      <c r="AM802" s="61"/>
      <c r="BC802" s="50"/>
    </row>
    <row r="803">
      <c r="A803" s="14"/>
      <c r="B803" s="55" t="str">
        <f>IFERROR(__xludf.DUMMYFUNCTION("IFERROR(ROUND(
(COUNTIF(FILTER(Data!O:O, Data!B:B=A803), ""Win"")
+ COUNTIF(FILTER(Data!O:O, Data!B:B=A803), {""Tie"",""Results""}))
/ (COUNTIF(Data!B:B, A803)),
1),"""")"),"")</f>
        <v/>
      </c>
      <c r="C803" s="45" t="str">
        <f>IFERROR((SUMIF(Data!B:B, A803, Data!H:H)
/ (COUNTIF(Data!B:B, A803)
)),"")</f>
        <v/>
      </c>
      <c r="D803" s="45" t="str">
        <f>IFERROR((SUMIF(Data!B:B, A803, Data!G:G)
/ (COUNTIF(Data!B:B, A803)
)),"")</f>
        <v/>
      </c>
      <c r="E803" s="45"/>
      <c r="F803" s="45" t="str">
        <f>IFERROR((SUMIF(Data!B:B, A803, Data!J:J)
/ (COUNTIF(Data!B:B, A803)
)),"")</f>
        <v/>
      </c>
      <c r="G803" s="56" t="str">
        <f>IF(A803="","",IFERROR((((((SUMIF(Data!B:B, A803, Data!H:H)+(SUMIF(Data!B:B, A803,Data!G:G)))/(SUMIF(Data!B:B, A803, Data!J:J)))))),0))</f>
        <v/>
      </c>
      <c r="H803" s="45"/>
      <c r="I803" s="45"/>
      <c r="J803" s="45"/>
      <c r="K803" s="45"/>
      <c r="L803" s="45" t="str">
        <f>IFERROR((SUMIF(Data!B:B, A803, Data!L:L)
/ (COUNTIF(Data!B:B, A803)
)),"")</f>
        <v/>
      </c>
      <c r="M803" s="45" t="str">
        <f>IFERROR((SUMIF(Data!B:B, A803, Data!K:K)
/ (COUNTIF(Data!B:B, A803)
)),"")</f>
        <v/>
      </c>
      <c r="N803" s="56"/>
      <c r="O803" s="56" t="str">
        <f>IF(A803="","",IFERROR((((((SUMIF(Data!B:B, A803, Data!H:H)+(SUMIF(Data!B:B, A803,Data!G:G)+(SUMIF(Data!B:B, A803,Data!L:L)+(SUMIF(Data!B:B, A803,Data!K:K)))))/(SUMIF(Data!B:B, A803, Data!M:M)+(SUMIF(Data!B:B, A803, Data!H:H)+(SUMIF(Data!B:B, A803,Data!G:G)+(SUMIF(Data!B:B, A803,Data!K:K)+(SUMIF(Data!B:B, A803,Data!L:L)))))))))),0))</f>
        <v/>
      </c>
      <c r="P803" s="57" t="str">
        <f>IFERROR(__xludf.DUMMYFUNCTION("IFERROR(((COUNTIF(FILTER(Data!N:N,Data!B:B=A803),""TRAVERSE"")*15)+(COUNTIF(FILTER(Data!N:N,Data!B:B=A803),""HIGH"")*10)+(COUNTIF(FILTER(Data!N:N,Data!B:B=A803),""MIDDLE"")*6)+(COUNTIF(FILTER(Data!N:N,Data!B:B=A803),""LOW"")*4)) / (COUNTIF(Data!B:B, A803)"&amp;"),"""")"),"")</f>
        <v/>
      </c>
      <c r="Q803" s="58"/>
      <c r="R803" s="58"/>
      <c r="S803" s="58" t="str">
        <f>IFERROR(__xludf.DUMMYFUNCTION("IFERROR((((COUNTIF(FILTER(Data!N:N,Data!B:B=A803),""TRAVERSE""))+(COUNTIF(FILTER(Data!N:N,Data!B:B=A803),""HIGH""))+(COUNTIF(FILTER(Data!N:N,Data!B:B=A803),""MIDDLE""))+(COUNTIF(FILTER(Data!N:N,Data!B:B=A803),""LOW"")))) / (((COUNTIF(Data!B:B, A803)))-(CO"&amp;"UNTIF(FILTER(Data!N:N,Data!B:B=A803),""NONE""))),IF(ISBLANK(A803),"""",0))"),"")</f>
        <v/>
      </c>
      <c r="T803" s="56" t="str">
        <f>IFERROR(__xludf.DUMMYFUNCTION("IFERROR((COUNTIF(FILTER(Data!N:N, Data!B:B=A803),""LOW"")) / (COUNTIF(Data!B:B, A803)),"""")"),"")</f>
        <v/>
      </c>
      <c r="U803" s="59" t="str">
        <f>IFERROR(__xludf.DUMMYFUNCTION("IFERROR((COUNTIF(FILTER(Data!N:N, Data!B:B=A803),""MIDDLE"")) / (COUNTIF(Data!B:B, A803)),"""")"),"")</f>
        <v/>
      </c>
      <c r="V803" s="59" t="str">
        <f>IFERROR(__xludf.DUMMYFUNCTION("IFERROR((COUNTIF(FILTER(Data!N:N, Data!B:B=A803),""HIGH"")) / (COUNTIF(Data!B:B, A803)),"""")"),"")</f>
        <v/>
      </c>
      <c r="W803" s="59" t="str">
        <f>IFERROR(__xludf.DUMMYFUNCTION("IFERROR((COUNTIF(FILTER(Data!N:N, Data!B:B=A803),""TRAVERSE"")) / (COUNTIF(Data!B:B, A803)),"""")"),"")</f>
        <v/>
      </c>
      <c r="X803" s="59"/>
      <c r="Y803" s="45" t="str">
        <f t="shared" si="7"/>
        <v/>
      </c>
      <c r="Z803" s="45" t="str">
        <f t="shared" si="8"/>
        <v/>
      </c>
      <c r="AA803" s="16" t="str">
        <f t="shared" si="9"/>
        <v/>
      </c>
      <c r="AB803" s="16"/>
      <c r="AC803" s="16"/>
      <c r="AD803" s="16"/>
      <c r="AE803" s="16" t="str">
        <f t="shared" si="12"/>
        <v/>
      </c>
      <c r="AF803" s="16" t="str">
        <f t="shared" si="13"/>
        <v/>
      </c>
      <c r="AG803" s="44"/>
      <c r="AH803" s="44"/>
      <c r="AI803" s="44" t="str">
        <f>IFERROR(__xludf.DUMMYFUNCTION("TEXTJOIN("", "",TRUE, FILTER(Data!P:P, Data!B:B=A803))"),"")</f>
        <v/>
      </c>
      <c r="AM803" s="61"/>
      <c r="BC803" s="50"/>
    </row>
    <row r="804">
      <c r="A804" s="14"/>
      <c r="B804" s="62"/>
      <c r="F804" s="45" t="str">
        <f>IFERROR((SUMIF(Data!B:B, A804, Data!J:J)
/ (COUNTIF(Data!B:B, A804)
)),"")</f>
        <v/>
      </c>
      <c r="G804" s="45" t="str">
        <f>IF(A804="","",IFERROR((((((SUMIF(Data!B:B, A804, Data!H:H)+(SUMIF(Data!B:B, A804,Data!G:G)))/(SUMIF(Data!B:B, A804, Data!J:J)))))),0))</f>
        <v/>
      </c>
      <c r="AG804" s="12"/>
      <c r="AH804" s="12"/>
      <c r="AI804" s="12"/>
      <c r="AM804" s="61"/>
      <c r="BC804" s="50"/>
    </row>
    <row r="805">
      <c r="A805" s="14"/>
      <c r="B805" s="62"/>
      <c r="F805" s="45" t="str">
        <f>IFERROR((SUMIF(Data!B:B, A805, Data!J:J)
/ (COUNTIF(Data!B:B, A805)
)),"")</f>
        <v/>
      </c>
      <c r="G805" s="45" t="str">
        <f>IF(A805="","",IFERROR((((((SUMIF(Data!B:B, A805, Data!H:H)+(SUMIF(Data!B:B, A805,Data!G:G)))/(SUMIF(Data!B:B, A805, Data!J:J)))))),0))</f>
        <v/>
      </c>
      <c r="AG805" s="12"/>
      <c r="AH805" s="12"/>
      <c r="AI805" s="12"/>
      <c r="AM805" s="61"/>
      <c r="BC805" s="50"/>
    </row>
    <row r="806">
      <c r="A806" s="14"/>
      <c r="B806" s="62"/>
      <c r="F806" s="45" t="str">
        <f>IFERROR((SUMIF(Data!B:B, A806, Data!J:J)
/ (COUNTIF(Data!B:B, A806)
)),"")</f>
        <v/>
      </c>
      <c r="G806" s="45" t="str">
        <f>IF(A806="","",IFERROR((((((SUMIF(Data!B:B, A806, Data!H:H)+(SUMIF(Data!B:B, A806,Data!G:G)))/(SUMIF(Data!B:B, A806, Data!J:J)))))),0))</f>
        <v/>
      </c>
      <c r="AG806" s="12"/>
      <c r="AH806" s="12"/>
      <c r="AI806" s="12"/>
      <c r="AM806" s="61"/>
      <c r="BC806" s="50"/>
    </row>
    <row r="807">
      <c r="A807" s="14"/>
      <c r="B807" s="62"/>
      <c r="F807" s="45" t="str">
        <f>IFERROR((SUMIF(Data!B:B, A807, Data!J:J)
/ (COUNTIF(Data!B:B, A807)
)),"")</f>
        <v/>
      </c>
      <c r="G807" s="45" t="str">
        <f>IF(A807="","",IFERROR((((((SUMIF(Data!B:B, A807, Data!H:H)+(SUMIF(Data!B:B, A807,Data!G:G)))/(SUMIF(Data!B:B, A807, Data!J:J)))))),0))</f>
        <v/>
      </c>
      <c r="AG807" s="12"/>
      <c r="AH807" s="12"/>
      <c r="AI807" s="12"/>
      <c r="AM807" s="61"/>
      <c r="BC807" s="50"/>
    </row>
    <row r="808">
      <c r="A808" s="14"/>
      <c r="B808" s="62"/>
      <c r="F808" s="45" t="str">
        <f>IFERROR((SUMIF(Data!B:B, A808, Data!J:J)
/ (COUNTIF(Data!B:B, A808)
)),"")</f>
        <v/>
      </c>
      <c r="G808" s="45" t="str">
        <f>IF(A808="","",IFERROR((((((SUMIF(Data!B:B, A808, Data!H:H)+(SUMIF(Data!B:B, A808,Data!G:G)))/(SUMIF(Data!B:B, A808, Data!J:J)))))),0))</f>
        <v/>
      </c>
      <c r="AG808" s="12"/>
      <c r="AH808" s="12"/>
      <c r="AI808" s="12"/>
      <c r="AM808" s="61"/>
      <c r="BC808" s="50"/>
    </row>
    <row r="809">
      <c r="A809" s="14"/>
      <c r="B809" s="62"/>
      <c r="F809" s="45" t="str">
        <f>IFERROR((SUMIF(Data!B:B, A809, Data!J:J)
/ (COUNTIF(Data!B:B, A809)
)),"")</f>
        <v/>
      </c>
      <c r="G809" s="45" t="str">
        <f>IF(A809="","",IFERROR((((((SUMIF(Data!B:B, A809, Data!H:H)+(SUMIF(Data!B:B, A809,Data!G:G)))/(SUMIF(Data!B:B, A809, Data!J:J)))))),0))</f>
        <v/>
      </c>
      <c r="AG809" s="12"/>
      <c r="AH809" s="12"/>
      <c r="AI809" s="12"/>
      <c r="AM809" s="61"/>
      <c r="BC809" s="50"/>
    </row>
    <row r="810">
      <c r="A810" s="14"/>
      <c r="B810" s="62"/>
      <c r="F810" s="45" t="str">
        <f>IFERROR((SUMIF(Data!B:B, A810, Data!J:J)
/ (COUNTIF(Data!B:B, A810)
)),"")</f>
        <v/>
      </c>
      <c r="G810" s="45" t="str">
        <f>IF(A810="","",IFERROR((((((SUMIF(Data!B:B, A810, Data!H:H)+(SUMIF(Data!B:B, A810,Data!G:G)))/(SUMIF(Data!B:B, A810, Data!J:J)))))),0))</f>
        <v/>
      </c>
      <c r="AG810" s="12"/>
      <c r="AH810" s="12"/>
      <c r="AI810" s="12"/>
      <c r="AM810" s="61"/>
      <c r="BC810" s="50"/>
    </row>
    <row r="811">
      <c r="A811" s="14"/>
      <c r="B811" s="62"/>
      <c r="F811" s="45" t="str">
        <f>IFERROR((SUMIF(Data!B:B, A811, Data!J:J)
/ (COUNTIF(Data!B:B, A811)
)),"")</f>
        <v/>
      </c>
      <c r="G811" s="45" t="str">
        <f>IF(A811="","",IFERROR((((((SUMIF(Data!B:B, A811, Data!H:H)+(SUMIF(Data!B:B, A811,Data!G:G)))/(SUMIF(Data!B:B, A811, Data!J:J)))))),0))</f>
        <v/>
      </c>
      <c r="AG811" s="12"/>
      <c r="AH811" s="12"/>
      <c r="AI811" s="12"/>
      <c r="AM811" s="61"/>
      <c r="BC811" s="50"/>
    </row>
    <row r="812">
      <c r="A812" s="14"/>
      <c r="B812" s="62"/>
      <c r="F812" s="45" t="str">
        <f>IFERROR((SUMIF(Data!B:B, A812, Data!J:J)
/ (COUNTIF(Data!B:B, A812)
)),"")</f>
        <v/>
      </c>
      <c r="G812" s="45" t="str">
        <f>IF(A812="","",IFERROR((((((SUMIF(Data!B:B, A812, Data!H:H)+(SUMIF(Data!B:B, A812,Data!G:G)))/(SUMIF(Data!B:B, A812, Data!J:J)))))),0))</f>
        <v/>
      </c>
      <c r="AG812" s="12"/>
      <c r="AH812" s="12"/>
      <c r="AI812" s="12"/>
      <c r="AM812" s="61"/>
      <c r="BC812" s="50"/>
    </row>
    <row r="813">
      <c r="A813" s="14"/>
      <c r="B813" s="62"/>
      <c r="F813" s="45" t="str">
        <f>IFERROR((SUMIF(Data!B:B, A813, Data!J:J)
/ (COUNTIF(Data!B:B, A813)
)),"")</f>
        <v/>
      </c>
      <c r="G813" s="45" t="str">
        <f>IF(A813="","",IFERROR((((((SUMIF(Data!B:B, A813, Data!H:H)+(SUMIF(Data!B:B, A813,Data!G:G)))/(SUMIF(Data!B:B, A813, Data!J:J)))))),0))</f>
        <v/>
      </c>
      <c r="AG813" s="12"/>
      <c r="AH813" s="12"/>
      <c r="AI813" s="12"/>
      <c r="AM813" s="61"/>
      <c r="BC813" s="50"/>
    </row>
    <row r="814">
      <c r="A814" s="14"/>
      <c r="B814" s="62"/>
      <c r="F814" s="45" t="str">
        <f>IFERROR((SUMIF(Data!B:B, A814, Data!J:J)
/ (COUNTIF(Data!B:B, A814)
)),"")</f>
        <v/>
      </c>
      <c r="G814" s="45" t="str">
        <f>IF(A814="","",IFERROR((((((SUMIF(Data!B:B, A814, Data!H:H)+(SUMIF(Data!B:B, A814,Data!G:G)))/(SUMIF(Data!B:B, A814, Data!J:J)))))),0))</f>
        <v/>
      </c>
      <c r="AG814" s="12"/>
      <c r="AH814" s="12"/>
      <c r="AI814" s="12"/>
      <c r="AM814" s="61"/>
      <c r="BC814" s="50"/>
    </row>
    <row r="815">
      <c r="A815" s="14"/>
      <c r="B815" s="62"/>
      <c r="F815" s="45" t="str">
        <f>IFERROR((SUMIF(Data!B:B, A815, Data!J:J)
/ (COUNTIF(Data!B:B, A815)
)),"")</f>
        <v/>
      </c>
      <c r="G815" s="45" t="str">
        <f>IF(A815="","",IFERROR((((((SUMIF(Data!B:B, A815, Data!H:H)+(SUMIF(Data!B:B, A815,Data!G:G)))/(SUMIF(Data!B:B, A815, Data!J:J)))))),0))</f>
        <v/>
      </c>
      <c r="AG815" s="12"/>
      <c r="AH815" s="12"/>
      <c r="AI815" s="12"/>
      <c r="AM815" s="61"/>
      <c r="BC815" s="50"/>
    </row>
    <row r="816">
      <c r="A816" s="14"/>
      <c r="B816" s="62"/>
      <c r="F816" s="45" t="str">
        <f>IFERROR((SUMIF(Data!B:B, A816, Data!J:J)
/ (COUNTIF(Data!B:B, A816)
)),"")</f>
        <v/>
      </c>
      <c r="G816" s="45" t="str">
        <f>IF(A816="","",IFERROR((((((SUMIF(Data!B:B, A816, Data!H:H)+(SUMIF(Data!B:B, A816,Data!G:G)))/(SUMIF(Data!B:B, A816, Data!J:J)))))),0))</f>
        <v/>
      </c>
      <c r="AG816" s="12"/>
      <c r="AH816" s="12"/>
      <c r="AI816" s="12"/>
      <c r="AM816" s="61"/>
      <c r="BC816" s="50"/>
    </row>
    <row r="817">
      <c r="A817" s="14"/>
      <c r="B817" s="62"/>
      <c r="F817" s="45" t="str">
        <f>IFERROR((SUMIF(Data!B:B, A817, Data!J:J)
/ (COUNTIF(Data!B:B, A817)
)),"")</f>
        <v/>
      </c>
      <c r="G817" s="45" t="str">
        <f>IF(A817="","",IFERROR((((((SUMIF(Data!B:B, A817, Data!H:H)+(SUMIF(Data!B:B, A817,Data!G:G)))/(SUMIF(Data!B:B, A817, Data!J:J)))))),0))</f>
        <v/>
      </c>
      <c r="AG817" s="12"/>
      <c r="AH817" s="12"/>
      <c r="AI817" s="12"/>
      <c r="AM817" s="61"/>
      <c r="BC817" s="50"/>
    </row>
    <row r="818">
      <c r="A818" s="14"/>
      <c r="B818" s="62"/>
      <c r="F818" s="45" t="str">
        <f>IFERROR((SUMIF(Data!B:B, A818, Data!J:J)
/ (COUNTIF(Data!B:B, A818)
)),"")</f>
        <v/>
      </c>
      <c r="G818" s="45" t="str">
        <f>IF(A818="","",IFERROR((((((SUMIF(Data!B:B, A818, Data!H:H)+(SUMIF(Data!B:B, A818,Data!G:G)))/(SUMIF(Data!B:B, A818, Data!J:J)))))),0))</f>
        <v/>
      </c>
      <c r="AG818" s="12"/>
      <c r="AH818" s="12"/>
      <c r="AI818" s="12"/>
      <c r="AM818" s="61"/>
      <c r="BC818" s="50"/>
    </row>
    <row r="819">
      <c r="A819" s="14"/>
      <c r="B819" s="62"/>
      <c r="F819" s="45" t="str">
        <f>IFERROR((SUMIF(Data!B:B, A819, Data!J:J)
/ (COUNTIF(Data!B:B, A819)
)),"")</f>
        <v/>
      </c>
      <c r="G819" s="45" t="str">
        <f>IF(A819="","",IFERROR((((((SUMIF(Data!B:B, A819, Data!H:H)+(SUMIF(Data!B:B, A819,Data!G:G)))/(SUMIF(Data!B:B, A819, Data!J:J)))))),0))</f>
        <v/>
      </c>
      <c r="AG819" s="12"/>
      <c r="AH819" s="12"/>
      <c r="AI819" s="12"/>
      <c r="AM819" s="61"/>
      <c r="BC819" s="50"/>
    </row>
    <row r="820">
      <c r="A820" s="14"/>
      <c r="B820" s="62"/>
      <c r="F820" s="45" t="str">
        <f>IFERROR((SUMIF(Data!B:B, A820, Data!J:J)
/ (COUNTIF(Data!B:B, A820)
)),"")</f>
        <v/>
      </c>
      <c r="G820" s="45" t="str">
        <f>IF(A820="","",IFERROR((((((SUMIF(Data!B:B, A820, Data!H:H)+(SUMIF(Data!B:B, A820,Data!G:G)))/(SUMIF(Data!B:B, A820, Data!J:J)))))),0))</f>
        <v/>
      </c>
      <c r="AG820" s="12"/>
      <c r="AH820" s="12"/>
      <c r="AI820" s="12"/>
      <c r="AM820" s="61"/>
      <c r="BC820" s="50"/>
    </row>
    <row r="821">
      <c r="A821" s="14"/>
      <c r="B821" s="62"/>
      <c r="F821" s="45" t="str">
        <f>IFERROR((SUMIF(Data!B:B, A821, Data!J:J)
/ (COUNTIF(Data!B:B, A821)
)),"")</f>
        <v/>
      </c>
      <c r="G821" s="45" t="str">
        <f>IF(A821="","",IFERROR((((((SUMIF(Data!B:B, A821, Data!H:H)+(SUMIF(Data!B:B, A821,Data!G:G)))/(SUMIF(Data!B:B, A821, Data!J:J)))))),0))</f>
        <v/>
      </c>
      <c r="AG821" s="12"/>
      <c r="AH821" s="12"/>
      <c r="AI821" s="12"/>
      <c r="AM821" s="61"/>
      <c r="BC821" s="50"/>
    </row>
    <row r="822">
      <c r="A822" s="14"/>
      <c r="B822" s="62"/>
      <c r="F822" s="45" t="str">
        <f>IFERROR((SUMIF(Data!B:B, A822, Data!J:J)
/ (COUNTIF(Data!B:B, A822)
)),"")</f>
        <v/>
      </c>
      <c r="G822" s="45" t="str">
        <f>IF(A822="","",IFERROR((((((SUMIF(Data!B:B, A822, Data!H:H)+(SUMIF(Data!B:B, A822,Data!G:G)))/(SUMIF(Data!B:B, A822, Data!J:J)))))),0))</f>
        <v/>
      </c>
      <c r="AG822" s="12"/>
      <c r="AH822" s="12"/>
      <c r="AI822" s="12"/>
      <c r="AM822" s="61"/>
      <c r="BC822" s="50"/>
    </row>
    <row r="823">
      <c r="A823" s="14"/>
      <c r="B823" s="62"/>
      <c r="F823" s="45" t="str">
        <f>IFERROR((SUMIF(Data!B:B, A823, Data!J:J)
/ (COUNTIF(Data!B:B, A823)
)),"")</f>
        <v/>
      </c>
      <c r="G823" s="45" t="str">
        <f>IF(A823="","",IFERROR((((((SUMIF(Data!B:B, A823, Data!H:H)+(SUMIF(Data!B:B, A823,Data!G:G)))/(SUMIF(Data!B:B, A823, Data!J:J)))))),0))</f>
        <v/>
      </c>
      <c r="AG823" s="12"/>
      <c r="AH823" s="12"/>
      <c r="AI823" s="12"/>
      <c r="AM823" s="61"/>
      <c r="BC823" s="50"/>
    </row>
    <row r="824">
      <c r="A824" s="14"/>
      <c r="B824" s="62"/>
      <c r="F824" s="45" t="str">
        <f>IFERROR((SUMIF(Data!B:B, A824, Data!J:J)
/ (COUNTIF(Data!B:B, A824)
)),"")</f>
        <v/>
      </c>
      <c r="G824" s="45" t="str">
        <f>IF(A824="","",IFERROR((((((SUMIF(Data!B:B, A824, Data!H:H)+(SUMIF(Data!B:B, A824,Data!G:G)))/(SUMIF(Data!B:B, A824, Data!J:J)))))),0))</f>
        <v/>
      </c>
      <c r="AG824" s="12"/>
      <c r="AH824" s="12"/>
      <c r="AI824" s="12"/>
      <c r="AM824" s="61"/>
      <c r="BC824" s="50"/>
    </row>
    <row r="825">
      <c r="A825" s="14"/>
      <c r="B825" s="62"/>
      <c r="F825" s="45" t="str">
        <f>IFERROR((SUMIF(Data!B:B, A825, Data!J:J)
/ (COUNTIF(Data!B:B, A825)
)),"")</f>
        <v/>
      </c>
      <c r="G825" s="45" t="str">
        <f>IF(A825="","",IFERROR((((((SUMIF(Data!B:B, A825, Data!H:H)+(SUMIF(Data!B:B, A825,Data!G:G)))/(SUMIF(Data!B:B, A825, Data!J:J)))))),0))</f>
        <v/>
      </c>
      <c r="AG825" s="12"/>
      <c r="AH825" s="12"/>
      <c r="AI825" s="12"/>
      <c r="AM825" s="61"/>
      <c r="BC825" s="50"/>
    </row>
    <row r="826">
      <c r="A826" s="14"/>
      <c r="B826" s="62"/>
      <c r="F826" s="45" t="str">
        <f>IFERROR((SUMIF(Data!B:B, A826, Data!J:J)
/ (COUNTIF(Data!B:B, A826)
)),"")</f>
        <v/>
      </c>
      <c r="G826" s="45" t="str">
        <f>IF(A826="","",IFERROR((((((SUMIF(Data!B:B, A826, Data!H:H)+(SUMIF(Data!B:B, A826,Data!G:G)))/(SUMIF(Data!B:B, A826, Data!J:J)))))),0))</f>
        <v/>
      </c>
      <c r="AG826" s="12"/>
      <c r="AH826" s="12"/>
      <c r="AI826" s="12"/>
      <c r="AM826" s="61"/>
      <c r="BC826" s="50"/>
    </row>
    <row r="827">
      <c r="A827" s="14"/>
      <c r="B827" s="62"/>
      <c r="F827" s="45" t="str">
        <f>IFERROR((SUMIF(Data!B:B, A827, Data!J:J)
/ (COUNTIF(Data!B:B, A827)
)),"")</f>
        <v/>
      </c>
      <c r="G827" s="45" t="str">
        <f>IF(A827="","",IFERROR((((((SUMIF(Data!B:B, A827, Data!H:H)+(SUMIF(Data!B:B, A827,Data!G:G)))/(SUMIF(Data!B:B, A827, Data!J:J)))))),0))</f>
        <v/>
      </c>
      <c r="AG827" s="12"/>
      <c r="AH827" s="12"/>
      <c r="AI827" s="12"/>
      <c r="AM827" s="61"/>
      <c r="BC827" s="50"/>
    </row>
    <row r="828">
      <c r="A828" s="14"/>
      <c r="B828" s="62"/>
      <c r="F828" s="45" t="str">
        <f>IFERROR((SUMIF(Data!B:B, A828, Data!J:J)
/ (COUNTIF(Data!B:B, A828)
)),"")</f>
        <v/>
      </c>
      <c r="G828" s="45" t="str">
        <f>IF(A828="","",IFERROR((((((SUMIF(Data!B:B, A828, Data!H:H)+(SUMIF(Data!B:B, A828,Data!G:G)))/(SUMIF(Data!B:B, A828, Data!J:J)))))),0))</f>
        <v/>
      </c>
      <c r="AG828" s="12"/>
      <c r="AH828" s="12"/>
      <c r="AI828" s="12"/>
      <c r="AM828" s="61"/>
      <c r="BC828" s="50"/>
    </row>
    <row r="829">
      <c r="A829" s="14"/>
      <c r="B829" s="62"/>
      <c r="F829" s="45" t="str">
        <f>IFERROR((SUMIF(Data!B:B, A829, Data!J:J)
/ (COUNTIF(Data!B:B, A829)
)),"")</f>
        <v/>
      </c>
      <c r="G829" s="45" t="str">
        <f>IF(A829="","",IFERROR((((((SUMIF(Data!B:B, A829, Data!H:H)+(SUMIF(Data!B:B, A829,Data!G:G)))/(SUMIF(Data!B:B, A829, Data!J:J)))))),0))</f>
        <v/>
      </c>
      <c r="AG829" s="12"/>
      <c r="AH829" s="12"/>
      <c r="AI829" s="12"/>
      <c r="AM829" s="61"/>
      <c r="BC829" s="50"/>
    </row>
    <row r="830">
      <c r="A830" s="14"/>
      <c r="B830" s="62"/>
      <c r="F830" s="45" t="str">
        <f>IFERROR((SUMIF(Data!B:B, A830, Data!J:J)
/ (COUNTIF(Data!B:B, A830)
)),"")</f>
        <v/>
      </c>
      <c r="G830" s="45" t="str">
        <f>IF(A830="","",IFERROR((((((SUMIF(Data!B:B, A830, Data!H:H)+(SUMIF(Data!B:B, A830,Data!G:G)))/(SUMIF(Data!B:B, A830, Data!J:J)))))),0))</f>
        <v/>
      </c>
      <c r="AG830" s="12"/>
      <c r="AH830" s="12"/>
      <c r="AI830" s="12"/>
      <c r="AM830" s="61"/>
      <c r="BC830" s="50"/>
    </row>
    <row r="831">
      <c r="A831" s="14"/>
      <c r="B831" s="62"/>
      <c r="F831" s="45" t="str">
        <f>IFERROR((SUMIF(Data!B:B, A831, Data!J:J)
/ (COUNTIF(Data!B:B, A831)
)),"")</f>
        <v/>
      </c>
      <c r="G831" s="45" t="str">
        <f>IF(A831="","",IFERROR((((((SUMIF(Data!B:B, A831, Data!H:H)+(SUMIF(Data!B:B, A831,Data!G:G)))/(SUMIF(Data!B:B, A831, Data!J:J)))))),0))</f>
        <v/>
      </c>
      <c r="AG831" s="12"/>
      <c r="AH831" s="12"/>
      <c r="AI831" s="12"/>
      <c r="AM831" s="61"/>
      <c r="BC831" s="50"/>
    </row>
    <row r="832">
      <c r="A832" s="14"/>
      <c r="B832" s="62"/>
      <c r="F832" s="45" t="str">
        <f>IFERROR((SUMIF(Data!B:B, A832, Data!J:J)
/ (COUNTIF(Data!B:B, A832)
)),"")</f>
        <v/>
      </c>
      <c r="G832" s="45" t="str">
        <f>IF(A832="","",IFERROR((((((SUMIF(Data!B:B, A832, Data!H:H)+(SUMIF(Data!B:B, A832,Data!G:G)))/(SUMIF(Data!B:B, A832, Data!J:J)))))),0))</f>
        <v/>
      </c>
      <c r="AG832" s="12"/>
      <c r="AH832" s="12"/>
      <c r="AI832" s="12"/>
      <c r="AM832" s="61"/>
      <c r="BC832" s="50"/>
    </row>
    <row r="833">
      <c r="A833" s="14"/>
      <c r="B833" s="62"/>
      <c r="F833" s="45" t="str">
        <f>IFERROR((SUMIF(Data!B:B, A833, Data!J:J)
/ (COUNTIF(Data!B:B, A833)
)),"")</f>
        <v/>
      </c>
      <c r="G833" s="45" t="str">
        <f>IF(A833="","",IFERROR((((((SUMIF(Data!B:B, A833, Data!H:H)+(SUMIF(Data!B:B, A833,Data!G:G)))/(SUMIF(Data!B:B, A833, Data!J:J)))))),0))</f>
        <v/>
      </c>
      <c r="AG833" s="12"/>
      <c r="AH833" s="12"/>
      <c r="AI833" s="12"/>
      <c r="AM833" s="61"/>
      <c r="BC833" s="50"/>
    </row>
    <row r="834">
      <c r="A834" s="14"/>
      <c r="B834" s="62"/>
      <c r="F834" s="45" t="str">
        <f>IFERROR((SUMIF(Data!B:B, A834, Data!J:J)
/ (COUNTIF(Data!B:B, A834)
)),"")</f>
        <v/>
      </c>
      <c r="G834" s="45" t="str">
        <f>IF(A834="","",IFERROR((((((SUMIF(Data!B:B, A834, Data!H:H)+(SUMIF(Data!B:B, A834,Data!G:G)))/(SUMIF(Data!B:B, A834, Data!J:J)))))),0))</f>
        <v/>
      </c>
      <c r="AG834" s="12"/>
      <c r="AH834" s="12"/>
      <c r="AI834" s="12"/>
      <c r="AM834" s="61"/>
      <c r="BC834" s="50"/>
    </row>
    <row r="835">
      <c r="A835" s="14"/>
      <c r="B835" s="62"/>
      <c r="F835" s="45" t="str">
        <f>IFERROR((SUMIF(Data!B:B, A835, Data!J:J)
/ (COUNTIF(Data!B:B, A835)
)),"")</f>
        <v/>
      </c>
      <c r="G835" s="45" t="str">
        <f>IF(A835="","",IFERROR((((((SUMIF(Data!B:B, A835, Data!H:H)+(SUMIF(Data!B:B, A835,Data!G:G)))/(SUMIF(Data!B:B, A835, Data!J:J)))))),0))</f>
        <v/>
      </c>
      <c r="AG835" s="12"/>
      <c r="AH835" s="12"/>
      <c r="AI835" s="12"/>
      <c r="AM835" s="61"/>
      <c r="BC835" s="50"/>
    </row>
    <row r="836">
      <c r="A836" s="14"/>
      <c r="B836" s="62"/>
      <c r="F836" s="45" t="str">
        <f>IFERROR((SUMIF(Data!B:B, A836, Data!J:J)
/ (COUNTIF(Data!B:B, A836)
)),"")</f>
        <v/>
      </c>
      <c r="G836" s="45" t="str">
        <f>IF(A836="","",IFERROR((((((SUMIF(Data!B:B, A836, Data!H:H)+(SUMIF(Data!B:B, A836,Data!G:G)))/(SUMIF(Data!B:B, A836, Data!J:J)))))),0))</f>
        <v/>
      </c>
      <c r="AG836" s="12"/>
      <c r="AH836" s="12"/>
      <c r="AI836" s="12"/>
      <c r="AM836" s="61"/>
      <c r="BC836" s="50"/>
    </row>
    <row r="837">
      <c r="A837" s="14"/>
      <c r="B837" s="62"/>
      <c r="F837" s="45" t="str">
        <f>IFERROR((SUMIF(Data!B:B, A837, Data!J:J)
/ (COUNTIF(Data!B:B, A837)
)),"")</f>
        <v/>
      </c>
      <c r="G837" s="45" t="str">
        <f>IF(A837="","",IFERROR((((((SUMIF(Data!B:B, A837, Data!H:H)+(SUMIF(Data!B:B, A837,Data!G:G)))/(SUMIF(Data!B:B, A837, Data!J:J)))))),0))</f>
        <v/>
      </c>
      <c r="AG837" s="12"/>
      <c r="AH837" s="12"/>
      <c r="AI837" s="12"/>
      <c r="AM837" s="61"/>
      <c r="BC837" s="50"/>
    </row>
    <row r="838">
      <c r="A838" s="14"/>
      <c r="B838" s="62"/>
      <c r="F838" s="45" t="str">
        <f>IFERROR((SUMIF(Data!B:B, A838, Data!J:J)
/ (COUNTIF(Data!B:B, A838)
)),"")</f>
        <v/>
      </c>
      <c r="G838" s="45" t="str">
        <f>IF(A838="","",IFERROR((((((SUMIF(Data!B:B, A838, Data!H:H)+(SUMIF(Data!B:B, A838,Data!G:G)))/(SUMIF(Data!B:B, A838, Data!J:J)))))),0))</f>
        <v/>
      </c>
      <c r="AG838" s="12"/>
      <c r="AH838" s="12"/>
      <c r="AI838" s="12"/>
      <c r="AM838" s="61"/>
      <c r="BC838" s="50"/>
    </row>
    <row r="839">
      <c r="A839" s="14"/>
      <c r="B839" s="62"/>
      <c r="F839" s="45" t="str">
        <f>IFERROR((SUMIF(Data!B:B, A839, Data!J:J)
/ (COUNTIF(Data!B:B, A839)
)),"")</f>
        <v/>
      </c>
      <c r="G839" s="45" t="str">
        <f>IF(A839="","",IFERROR((((((SUMIF(Data!B:B, A839, Data!H:H)+(SUMIF(Data!B:B, A839,Data!G:G)))/(SUMIF(Data!B:B, A839, Data!J:J)))))),0))</f>
        <v/>
      </c>
      <c r="AG839" s="12"/>
      <c r="AH839" s="12"/>
      <c r="AI839" s="12"/>
      <c r="AM839" s="61"/>
      <c r="BC839" s="50"/>
    </row>
    <row r="840">
      <c r="A840" s="14"/>
      <c r="B840" s="62"/>
      <c r="F840" s="45" t="str">
        <f>IFERROR((SUMIF(Data!B:B, A840, Data!J:J)
/ (COUNTIF(Data!B:B, A840)
)),"")</f>
        <v/>
      </c>
      <c r="G840" s="45" t="str">
        <f>IF(A840="","",IFERROR((((((SUMIF(Data!B:B, A840, Data!H:H)+(SUMIF(Data!B:B, A840,Data!G:G)))/(SUMIF(Data!B:B, A840, Data!J:J)))))),0))</f>
        <v/>
      </c>
      <c r="AG840" s="12"/>
      <c r="AH840" s="12"/>
      <c r="AI840" s="12"/>
      <c r="AM840" s="61"/>
      <c r="BC840" s="50"/>
    </row>
    <row r="841">
      <c r="A841" s="14"/>
      <c r="B841" s="62"/>
      <c r="F841" s="45" t="str">
        <f>IFERROR((SUMIF(Data!B:B, A841, Data!J:J)
/ (COUNTIF(Data!B:B, A841)
)),"")</f>
        <v/>
      </c>
      <c r="G841" s="45" t="str">
        <f>IF(A841="","",IFERROR((((((SUMIF(Data!B:B, A841, Data!H:H)+(SUMIF(Data!B:B, A841,Data!G:G)))/(SUMIF(Data!B:B, A841, Data!J:J)))))),0))</f>
        <v/>
      </c>
      <c r="AG841" s="12"/>
      <c r="AH841" s="12"/>
      <c r="AI841" s="12"/>
      <c r="AM841" s="61"/>
      <c r="BC841" s="50"/>
    </row>
    <row r="842">
      <c r="A842" s="14"/>
      <c r="B842" s="62"/>
      <c r="F842" s="45" t="str">
        <f>IFERROR((SUMIF(Data!B:B, A842, Data!J:J)
/ (COUNTIF(Data!B:B, A842)
)),"")</f>
        <v/>
      </c>
      <c r="G842" s="45" t="str">
        <f>IF(A842="","",IFERROR((((((SUMIF(Data!B:B, A842, Data!H:H)+(SUMIF(Data!B:B, A842,Data!G:G)))/(SUMIF(Data!B:B, A842, Data!J:J)))))),0))</f>
        <v/>
      </c>
      <c r="AG842" s="12"/>
      <c r="AH842" s="12"/>
      <c r="AI842" s="12"/>
      <c r="AM842" s="61"/>
      <c r="BC842" s="50"/>
    </row>
    <row r="843">
      <c r="A843" s="14"/>
      <c r="B843" s="62"/>
      <c r="F843" s="45" t="str">
        <f>IFERROR((SUMIF(Data!B:B, A843, Data!J:J)
/ (COUNTIF(Data!B:B, A843)
)),"")</f>
        <v/>
      </c>
      <c r="G843" s="45" t="str">
        <f>IF(A843="","",IFERROR((((((SUMIF(Data!B:B, A843, Data!H:H)+(SUMIF(Data!B:B, A843,Data!G:G)))/(SUMIF(Data!B:B, A843, Data!J:J)))))),0))</f>
        <v/>
      </c>
      <c r="AG843" s="12"/>
      <c r="AH843" s="12"/>
      <c r="AI843" s="12"/>
      <c r="AM843" s="61"/>
      <c r="BC843" s="50"/>
    </row>
    <row r="844">
      <c r="A844" s="14"/>
      <c r="B844" s="62"/>
      <c r="F844" s="45" t="str">
        <f>IFERROR((SUMIF(Data!B:B, A844, Data!J:J)
/ (COUNTIF(Data!B:B, A844)
)),"")</f>
        <v/>
      </c>
      <c r="G844" s="45" t="str">
        <f>IF(A844="","",IFERROR((((((SUMIF(Data!B:B, A844, Data!H:H)+(SUMIF(Data!B:B, A844,Data!G:G)))/(SUMIF(Data!B:B, A844, Data!J:J)))))),0))</f>
        <v/>
      </c>
      <c r="AG844" s="12"/>
      <c r="AH844" s="12"/>
      <c r="AI844" s="12"/>
      <c r="AM844" s="61"/>
      <c r="BC844" s="50"/>
    </row>
    <row r="845">
      <c r="A845" s="14"/>
      <c r="B845" s="62"/>
      <c r="F845" s="45" t="str">
        <f>IFERROR((SUMIF(Data!B:B, A845, Data!J:J)
/ (COUNTIF(Data!B:B, A845)
)),"")</f>
        <v/>
      </c>
      <c r="G845" s="45" t="str">
        <f>IF(A845="","",IFERROR((((((SUMIF(Data!B:B, A845, Data!H:H)+(SUMIF(Data!B:B, A845,Data!G:G)))/(SUMIF(Data!B:B, A845, Data!J:J)))))),0))</f>
        <v/>
      </c>
      <c r="AG845" s="12"/>
      <c r="AH845" s="12"/>
      <c r="AI845" s="12"/>
      <c r="AM845" s="61"/>
      <c r="BC845" s="50"/>
    </row>
    <row r="846">
      <c r="A846" s="14"/>
      <c r="B846" s="62"/>
      <c r="F846" s="45" t="str">
        <f>IFERROR((SUMIF(Data!B:B, A846, Data!J:J)
/ (COUNTIF(Data!B:B, A846)
)),"")</f>
        <v/>
      </c>
      <c r="G846" s="45" t="str">
        <f>IF(A846="","",IFERROR((((((SUMIF(Data!B:B, A846, Data!H:H)+(SUMIF(Data!B:B, A846,Data!G:G)))/(SUMIF(Data!B:B, A846, Data!J:J)))))),0))</f>
        <v/>
      </c>
      <c r="AG846" s="12"/>
      <c r="AH846" s="12"/>
      <c r="AI846" s="12"/>
      <c r="AM846" s="61"/>
      <c r="BC846" s="50"/>
    </row>
    <row r="847">
      <c r="A847" s="14"/>
      <c r="B847" s="62"/>
      <c r="F847" s="45" t="str">
        <f>IFERROR((SUMIF(Data!B:B, A847, Data!J:J)
/ (COUNTIF(Data!B:B, A847)
)),"")</f>
        <v/>
      </c>
      <c r="G847" s="45" t="str">
        <f>IF(A847="","",IFERROR((((((SUMIF(Data!B:B, A847, Data!H:H)+(SUMIF(Data!B:B, A847,Data!G:G)))/(SUMIF(Data!B:B, A847, Data!J:J)))))),0))</f>
        <v/>
      </c>
      <c r="AG847" s="12"/>
      <c r="AH847" s="12"/>
      <c r="AI847" s="12"/>
      <c r="AM847" s="61"/>
      <c r="BC847" s="50"/>
    </row>
    <row r="848">
      <c r="A848" s="14"/>
      <c r="B848" s="62"/>
      <c r="F848" s="45" t="str">
        <f>IFERROR((SUMIF(Data!B:B, A848, Data!J:J)
/ (COUNTIF(Data!B:B, A848)
)),"")</f>
        <v/>
      </c>
      <c r="G848" s="45" t="str">
        <f>IF(A848="","",IFERROR((((((SUMIF(Data!B:B, A848, Data!H:H)+(SUMIF(Data!B:B, A848,Data!G:G)))/(SUMIF(Data!B:B, A848, Data!J:J)))))),0))</f>
        <v/>
      </c>
      <c r="AG848" s="12"/>
      <c r="AH848" s="12"/>
      <c r="AI848" s="12"/>
      <c r="AM848" s="61"/>
      <c r="BC848" s="50"/>
    </row>
    <row r="849">
      <c r="A849" s="14"/>
      <c r="B849" s="62"/>
      <c r="F849" s="45" t="str">
        <f>IFERROR((SUMIF(Data!B:B, A849, Data!J:J)
/ (COUNTIF(Data!B:B, A849)
)),"")</f>
        <v/>
      </c>
      <c r="G849" s="45" t="str">
        <f>IF(A849="","",IFERROR((((((SUMIF(Data!B:B, A849, Data!H:H)+(SUMIF(Data!B:B, A849,Data!G:G)))/(SUMIF(Data!B:B, A849, Data!J:J)))))),0))</f>
        <v/>
      </c>
      <c r="AG849" s="12"/>
      <c r="AH849" s="12"/>
      <c r="AI849" s="12"/>
      <c r="AM849" s="61"/>
      <c r="BC849" s="50"/>
    </row>
    <row r="850">
      <c r="A850" s="14"/>
      <c r="B850" s="62"/>
      <c r="F850" s="45" t="str">
        <f>IFERROR((SUMIF(Data!B:B, A850, Data!J:J)
/ (COUNTIF(Data!B:B, A850)
)),"")</f>
        <v/>
      </c>
      <c r="G850" s="45" t="str">
        <f>IF(A850="","",IFERROR((((((SUMIF(Data!B:B, A850, Data!H:H)+(SUMIF(Data!B:B, A850,Data!G:G)))/(SUMIF(Data!B:B, A850, Data!J:J)))))),0))</f>
        <v/>
      </c>
      <c r="AG850" s="12"/>
      <c r="AH850" s="12"/>
      <c r="AI850" s="12"/>
      <c r="AM850" s="61"/>
      <c r="BC850" s="50"/>
    </row>
    <row r="851">
      <c r="A851" s="14"/>
      <c r="B851" s="62"/>
      <c r="F851" s="45" t="str">
        <f>IFERROR((SUMIF(Data!B:B, A851, Data!J:J)
/ (COUNTIF(Data!B:B, A851)
)),"")</f>
        <v/>
      </c>
      <c r="G851" s="45" t="str">
        <f>IF(A851="","",IFERROR((((((SUMIF(Data!B:B, A851, Data!H:H)+(SUMIF(Data!B:B, A851,Data!G:G)))/(SUMIF(Data!B:B, A851, Data!J:J)))))),0))</f>
        <v/>
      </c>
      <c r="AG851" s="12"/>
      <c r="AH851" s="12"/>
      <c r="AI851" s="12"/>
      <c r="AM851" s="61"/>
      <c r="BC851" s="50"/>
    </row>
    <row r="852">
      <c r="A852" s="14"/>
      <c r="B852" s="62"/>
      <c r="F852" s="45" t="str">
        <f>IFERROR((SUMIF(Data!B:B, A852, Data!J:J)
/ (COUNTIF(Data!B:B, A852)
)),"")</f>
        <v/>
      </c>
      <c r="G852" s="45" t="str">
        <f>IF(A852="","",IFERROR((((((SUMIF(Data!B:B, A852, Data!H:H)+(SUMIF(Data!B:B, A852,Data!G:G)))/(SUMIF(Data!B:B, A852, Data!J:J)))))),0))</f>
        <v/>
      </c>
      <c r="AG852" s="12"/>
      <c r="AH852" s="12"/>
      <c r="AI852" s="12"/>
      <c r="AM852" s="61"/>
      <c r="BC852" s="50"/>
    </row>
    <row r="853">
      <c r="A853" s="14"/>
      <c r="B853" s="62"/>
      <c r="F853" s="45" t="str">
        <f>IFERROR((SUMIF(Data!B:B, A853, Data!J:J)
/ (COUNTIF(Data!B:B, A853)
)),"")</f>
        <v/>
      </c>
      <c r="G853" s="45" t="str">
        <f>IF(A853="","",IFERROR((((((SUMIF(Data!B:B, A853, Data!H:H)+(SUMIF(Data!B:B, A853,Data!G:G)))/(SUMIF(Data!B:B, A853, Data!J:J)))))),0))</f>
        <v/>
      </c>
      <c r="AG853" s="12"/>
      <c r="AH853" s="12"/>
      <c r="AI853" s="12"/>
      <c r="AM853" s="61"/>
      <c r="BC853" s="50"/>
    </row>
    <row r="854">
      <c r="A854" s="14"/>
      <c r="B854" s="62"/>
      <c r="F854" s="45" t="str">
        <f>IFERROR((SUMIF(Data!B:B, A854, Data!J:J)
/ (COUNTIF(Data!B:B, A854)
)),"")</f>
        <v/>
      </c>
      <c r="G854" s="45" t="str">
        <f>IF(A854="","",IFERROR((((((SUMIF(Data!B:B, A854, Data!H:H)+(SUMIF(Data!B:B, A854,Data!G:G)))/(SUMIF(Data!B:B, A854, Data!J:J)))))),0))</f>
        <v/>
      </c>
      <c r="AG854" s="12"/>
      <c r="AH854" s="12"/>
      <c r="AI854" s="12"/>
      <c r="AM854" s="61"/>
      <c r="BC854" s="50"/>
    </row>
    <row r="855">
      <c r="A855" s="14"/>
      <c r="B855" s="62"/>
      <c r="F855" s="45" t="str">
        <f>IFERROR((SUMIF(Data!B:B, A855, Data!J:J)
/ (COUNTIF(Data!B:B, A855)
)),"")</f>
        <v/>
      </c>
      <c r="G855" s="45" t="str">
        <f>IF(A855="","",IFERROR((((((SUMIF(Data!B:B, A855, Data!H:H)+(SUMIF(Data!B:B, A855,Data!G:G)))/(SUMIF(Data!B:B, A855, Data!J:J)))))),0))</f>
        <v/>
      </c>
      <c r="AG855" s="12"/>
      <c r="AH855" s="12"/>
      <c r="AI855" s="12"/>
      <c r="AM855" s="61"/>
      <c r="BC855" s="50"/>
    </row>
    <row r="856">
      <c r="A856" s="14"/>
      <c r="B856" s="62"/>
      <c r="F856" s="45" t="str">
        <f>IFERROR((SUMIF(Data!B:B, A856, Data!J:J)
/ (COUNTIF(Data!B:B, A856)
)),"")</f>
        <v/>
      </c>
      <c r="G856" s="45" t="str">
        <f>IF(A856="","",IFERROR((((((SUMIF(Data!B:B, A856, Data!H:H)+(SUMIF(Data!B:B, A856,Data!G:G)))/(SUMIF(Data!B:B, A856, Data!J:J)))))),0))</f>
        <v/>
      </c>
      <c r="AG856" s="12"/>
      <c r="AH856" s="12"/>
      <c r="AI856" s="12"/>
      <c r="AM856" s="61"/>
      <c r="BC856" s="50"/>
    </row>
    <row r="857">
      <c r="A857" s="14"/>
      <c r="B857" s="62"/>
      <c r="F857" s="45" t="str">
        <f>IFERROR((SUMIF(Data!B:B, A857, Data!J:J)
/ (COUNTIF(Data!B:B, A857)
)),"")</f>
        <v/>
      </c>
      <c r="G857" s="45" t="str">
        <f>IF(A857="","",IFERROR((((((SUMIF(Data!B:B, A857, Data!H:H)+(SUMIF(Data!B:B, A857,Data!G:G)))/(SUMIF(Data!B:B, A857, Data!J:J)))))),0))</f>
        <v/>
      </c>
      <c r="AG857" s="12"/>
      <c r="AH857" s="12"/>
      <c r="AI857" s="12"/>
      <c r="AM857" s="61"/>
      <c r="BC857" s="50"/>
    </row>
    <row r="858">
      <c r="A858" s="14"/>
      <c r="B858" s="62"/>
      <c r="F858" s="45" t="str">
        <f>IFERROR((SUMIF(Data!B:B, A858, Data!J:J)
/ (COUNTIF(Data!B:B, A858)
)),"")</f>
        <v/>
      </c>
      <c r="G858" s="45" t="str">
        <f>IF(A858="","",IFERROR((((((SUMIF(Data!B:B, A858, Data!H:H)+(SUMIF(Data!B:B, A858,Data!G:G)))/(SUMIF(Data!B:B, A858, Data!J:J)))))),0))</f>
        <v/>
      </c>
      <c r="AG858" s="12"/>
      <c r="AH858" s="12"/>
      <c r="AI858" s="12"/>
      <c r="AM858" s="61"/>
      <c r="BC858" s="50"/>
    </row>
    <row r="859">
      <c r="A859" s="14"/>
      <c r="B859" s="62"/>
      <c r="F859" s="45" t="str">
        <f>IFERROR((SUMIF(Data!B:B, A859, Data!J:J)
/ (COUNTIF(Data!B:B, A859)
)),"")</f>
        <v/>
      </c>
      <c r="G859" s="45" t="str">
        <f>IF(A859="","",IFERROR((((((SUMIF(Data!B:B, A859, Data!H:H)+(SUMIF(Data!B:B, A859,Data!G:G)))/(SUMIF(Data!B:B, A859, Data!J:J)))))),0))</f>
        <v/>
      </c>
      <c r="AG859" s="12"/>
      <c r="AH859" s="12"/>
      <c r="AI859" s="12"/>
      <c r="AM859" s="61"/>
      <c r="BC859" s="50"/>
    </row>
    <row r="860">
      <c r="A860" s="14"/>
      <c r="B860" s="62"/>
      <c r="F860" s="45" t="str">
        <f>IFERROR((SUMIF(Data!B:B, A860, Data!J:J)
/ (COUNTIF(Data!B:B, A860)
)),"")</f>
        <v/>
      </c>
      <c r="G860" s="45" t="str">
        <f>IF(A860="","",IFERROR((((((SUMIF(Data!B:B, A860, Data!H:H)+(SUMIF(Data!B:B, A860,Data!G:G)))/(SUMIF(Data!B:B, A860, Data!J:J)))))),0))</f>
        <v/>
      </c>
      <c r="AG860" s="12"/>
      <c r="AH860" s="12"/>
      <c r="AI860" s="12"/>
      <c r="AM860" s="61"/>
      <c r="BC860" s="50"/>
    </row>
    <row r="861">
      <c r="A861" s="14"/>
      <c r="B861" s="62"/>
      <c r="F861" s="45" t="str">
        <f>IFERROR((SUMIF(Data!B:B, A861, Data!J:J)
/ (COUNTIF(Data!B:B, A861)
)),"")</f>
        <v/>
      </c>
      <c r="G861" s="45" t="str">
        <f>IF(A861="","",IFERROR((((((SUMIF(Data!B:B, A861, Data!H:H)+(SUMIF(Data!B:B, A861,Data!G:G)))/(SUMIF(Data!B:B, A861, Data!J:J)))))),0))</f>
        <v/>
      </c>
      <c r="AG861" s="12"/>
      <c r="AH861" s="12"/>
      <c r="AI861" s="12"/>
      <c r="AM861" s="61"/>
      <c r="BC861" s="50"/>
    </row>
    <row r="862">
      <c r="A862" s="14"/>
      <c r="B862" s="62"/>
      <c r="F862" s="45" t="str">
        <f>IFERROR((SUMIF(Data!B:B, A862, Data!J:J)
/ (COUNTIF(Data!B:B, A862)
)),"")</f>
        <v/>
      </c>
      <c r="G862" s="45" t="str">
        <f>IF(A862="","",IFERROR((((((SUMIF(Data!B:B, A862, Data!H:H)+(SUMIF(Data!B:B, A862,Data!G:G)))/(SUMIF(Data!B:B, A862, Data!J:J)))))),0))</f>
        <v/>
      </c>
      <c r="AG862" s="12"/>
      <c r="AH862" s="12"/>
      <c r="AI862" s="12"/>
      <c r="AM862" s="61"/>
      <c r="BC862" s="50"/>
    </row>
    <row r="863">
      <c r="A863" s="14"/>
      <c r="B863" s="62"/>
      <c r="F863" s="45" t="str">
        <f>IFERROR((SUMIF(Data!B:B, A863, Data!J:J)
/ (COUNTIF(Data!B:B, A863)
)),"")</f>
        <v/>
      </c>
      <c r="G863" s="45" t="str">
        <f>IF(A863="","",IFERROR((((((SUMIF(Data!B:B, A863, Data!H:H)+(SUMIF(Data!B:B, A863,Data!G:G)))/(SUMIF(Data!B:B, A863, Data!J:J)))))),0))</f>
        <v/>
      </c>
      <c r="AG863" s="12"/>
      <c r="AH863" s="12"/>
      <c r="AI863" s="12"/>
      <c r="AM863" s="61"/>
      <c r="BC863" s="50"/>
    </row>
    <row r="864">
      <c r="A864" s="14"/>
      <c r="B864" s="62"/>
      <c r="F864" s="45" t="str">
        <f>IFERROR((SUMIF(Data!B:B, A864, Data!J:J)
/ (COUNTIF(Data!B:B, A864)
)),"")</f>
        <v/>
      </c>
      <c r="G864" s="45" t="str">
        <f>IF(A864="","",IFERROR((((((SUMIF(Data!B:B, A864, Data!H:H)+(SUMIF(Data!B:B, A864,Data!G:G)))/(SUMIF(Data!B:B, A864, Data!J:J)))))),0))</f>
        <v/>
      </c>
      <c r="AG864" s="12"/>
      <c r="AH864" s="12"/>
      <c r="AI864" s="12"/>
      <c r="AM864" s="61"/>
      <c r="BC864" s="50"/>
    </row>
    <row r="865">
      <c r="A865" s="14"/>
      <c r="B865" s="62"/>
      <c r="F865" s="45" t="str">
        <f>IFERROR((SUMIF(Data!B:B, A865, Data!J:J)
/ (COUNTIF(Data!B:B, A865)
)),"")</f>
        <v/>
      </c>
      <c r="G865" s="45" t="str">
        <f>IF(A865="","",IFERROR((((((SUMIF(Data!B:B, A865, Data!H:H)+(SUMIF(Data!B:B, A865,Data!G:G)))/(SUMIF(Data!B:B, A865, Data!J:J)))))),0))</f>
        <v/>
      </c>
      <c r="AG865" s="12"/>
      <c r="AH865" s="12"/>
      <c r="AI865" s="12"/>
      <c r="AM865" s="61"/>
      <c r="BC865" s="50"/>
    </row>
    <row r="866">
      <c r="A866" s="14"/>
      <c r="B866" s="62"/>
      <c r="F866" s="45" t="str">
        <f>IFERROR((SUMIF(Data!B:B, A866, Data!J:J)
/ (COUNTIF(Data!B:B, A866)
)),"")</f>
        <v/>
      </c>
      <c r="G866" s="45" t="str">
        <f>IF(A866="","",IFERROR((((((SUMIF(Data!B:B, A866, Data!H:H)+(SUMIF(Data!B:B, A866,Data!G:G)))/(SUMIF(Data!B:B, A866, Data!J:J)))))),0))</f>
        <v/>
      </c>
      <c r="AG866" s="12"/>
      <c r="AH866" s="12"/>
      <c r="AI866" s="12"/>
      <c r="AM866" s="61"/>
      <c r="BC866" s="50"/>
    </row>
    <row r="867">
      <c r="A867" s="14"/>
      <c r="B867" s="62"/>
      <c r="F867" s="45" t="str">
        <f>IFERROR((SUMIF(Data!B:B, A867, Data!J:J)
/ (COUNTIF(Data!B:B, A867)
)),"")</f>
        <v/>
      </c>
      <c r="G867" s="45" t="str">
        <f>IF(A867="","",IFERROR((((((SUMIF(Data!B:B, A867, Data!H:H)+(SUMIF(Data!B:B, A867,Data!G:G)))/(SUMIF(Data!B:B, A867, Data!J:J)))))),0))</f>
        <v/>
      </c>
      <c r="AG867" s="12"/>
      <c r="AH867" s="12"/>
      <c r="AI867" s="12"/>
      <c r="AM867" s="61"/>
      <c r="BC867" s="50"/>
    </row>
    <row r="868">
      <c r="A868" s="14"/>
      <c r="B868" s="62"/>
      <c r="F868" s="45" t="str">
        <f>IFERROR((SUMIF(Data!B:B, A868, Data!J:J)
/ (COUNTIF(Data!B:B, A868)
)),"")</f>
        <v/>
      </c>
      <c r="G868" s="45" t="str">
        <f>IF(A868="","",IFERROR((((((SUMIF(Data!B:B, A868, Data!H:H)+(SUMIF(Data!B:B, A868,Data!G:G)))/(SUMIF(Data!B:B, A868, Data!J:J)))))),0))</f>
        <v/>
      </c>
      <c r="AG868" s="12"/>
      <c r="AH868" s="12"/>
      <c r="AI868" s="12"/>
      <c r="AM868" s="61"/>
      <c r="BC868" s="50"/>
    </row>
    <row r="869">
      <c r="A869" s="14"/>
      <c r="B869" s="62"/>
      <c r="F869" s="45" t="str">
        <f>IFERROR((SUMIF(Data!B:B, A869, Data!J:J)
/ (COUNTIF(Data!B:B, A869)
)),"")</f>
        <v/>
      </c>
      <c r="G869" s="45" t="str">
        <f>IF(A869="","",IFERROR((((((SUMIF(Data!B:B, A869, Data!H:H)+(SUMIF(Data!B:B, A869,Data!G:G)))/(SUMIF(Data!B:B, A869, Data!J:J)))))),0))</f>
        <v/>
      </c>
      <c r="AG869" s="12"/>
      <c r="AH869" s="12"/>
      <c r="AI869" s="12"/>
      <c r="AM869" s="61"/>
      <c r="BC869" s="50"/>
    </row>
    <row r="870">
      <c r="A870" s="14"/>
      <c r="B870" s="62"/>
      <c r="F870" s="45" t="str">
        <f>IFERROR((SUMIF(Data!B:B, A870, Data!J:J)
/ (COUNTIF(Data!B:B, A870)
)),"")</f>
        <v/>
      </c>
      <c r="G870" s="45" t="str">
        <f>IF(A870="","",IFERROR((((((SUMIF(Data!B:B, A870, Data!H:H)+(SUMIF(Data!B:B, A870,Data!G:G)))/(SUMIF(Data!B:B, A870, Data!J:J)))))),0))</f>
        <v/>
      </c>
      <c r="AG870" s="12"/>
      <c r="AH870" s="12"/>
      <c r="AI870" s="12"/>
      <c r="AM870" s="61"/>
      <c r="BC870" s="50"/>
    </row>
    <row r="871">
      <c r="A871" s="14"/>
      <c r="B871" s="62"/>
      <c r="F871" s="45" t="str">
        <f>IFERROR((SUMIF(Data!B:B, A871, Data!J:J)
/ (COUNTIF(Data!B:B, A871)
)),"")</f>
        <v/>
      </c>
      <c r="G871" s="45" t="str">
        <f>IF(A871="","",IFERROR((((((SUMIF(Data!B:B, A871, Data!H:H)+(SUMIF(Data!B:B, A871,Data!G:G)))/(SUMIF(Data!B:B, A871, Data!J:J)))))),0))</f>
        <v/>
      </c>
      <c r="AG871" s="12"/>
      <c r="AH871" s="12"/>
      <c r="AI871" s="12"/>
      <c r="AM871" s="61"/>
      <c r="BC871" s="50"/>
    </row>
    <row r="872">
      <c r="A872" s="14"/>
      <c r="B872" s="62"/>
      <c r="F872" s="45" t="str">
        <f>IFERROR((SUMIF(Data!B:B, A872, Data!J:J)
/ (COUNTIF(Data!B:B, A872)
)),"")</f>
        <v/>
      </c>
      <c r="G872" s="45" t="str">
        <f>IF(A872="","",IFERROR((((((SUMIF(Data!B:B, A872, Data!H:H)+(SUMIF(Data!B:B, A872,Data!G:G)))/(SUMIF(Data!B:B, A872, Data!J:J)))))),0))</f>
        <v/>
      </c>
      <c r="AG872" s="12"/>
      <c r="AH872" s="12"/>
      <c r="AI872" s="12"/>
      <c r="AM872" s="61"/>
      <c r="BC872" s="50"/>
    </row>
    <row r="873">
      <c r="A873" s="14"/>
      <c r="B873" s="62"/>
      <c r="F873" s="45" t="str">
        <f>IFERROR((SUMIF(Data!B:B, A873, Data!J:J)
/ (COUNTIF(Data!B:B, A873)
)),"")</f>
        <v/>
      </c>
      <c r="G873" s="45" t="str">
        <f>IF(A873="","",IFERROR((((((SUMIF(Data!B:B, A873, Data!H:H)+(SUMIF(Data!B:B, A873,Data!G:G)))/(SUMIF(Data!B:B, A873, Data!J:J)))))),0))</f>
        <v/>
      </c>
      <c r="AG873" s="12"/>
      <c r="AH873" s="12"/>
      <c r="AI873" s="12"/>
      <c r="AM873" s="61"/>
      <c r="BC873" s="50"/>
    </row>
    <row r="874">
      <c r="A874" s="14"/>
      <c r="B874" s="62"/>
      <c r="F874" s="45" t="str">
        <f>IFERROR((SUMIF(Data!B:B, A874, Data!J:J)
/ (COUNTIF(Data!B:B, A874)
)),"")</f>
        <v/>
      </c>
      <c r="G874" s="45" t="str">
        <f>IF(A874="","",IFERROR((((((SUMIF(Data!B:B, A874, Data!H:H)+(SUMIF(Data!B:B, A874,Data!G:G)))/(SUMIF(Data!B:B, A874, Data!J:J)))))),0))</f>
        <v/>
      </c>
      <c r="AG874" s="12"/>
      <c r="AH874" s="12"/>
      <c r="AI874" s="12"/>
      <c r="AM874" s="61"/>
      <c r="BC874" s="50"/>
    </row>
    <row r="875">
      <c r="A875" s="14"/>
      <c r="B875" s="62"/>
      <c r="F875" s="45" t="str">
        <f>IFERROR((SUMIF(Data!B:B, A875, Data!J:J)
/ (COUNTIF(Data!B:B, A875)
)),"")</f>
        <v/>
      </c>
      <c r="G875" s="45" t="str">
        <f>IF(A875="","",IFERROR((((((SUMIF(Data!B:B, A875, Data!H:H)+(SUMIF(Data!B:B, A875,Data!G:G)))/(SUMIF(Data!B:B, A875, Data!J:J)))))),0))</f>
        <v/>
      </c>
      <c r="AG875" s="12"/>
      <c r="AH875" s="12"/>
      <c r="AI875" s="12"/>
      <c r="AM875" s="61"/>
      <c r="BC875" s="50"/>
    </row>
    <row r="876">
      <c r="A876" s="14"/>
      <c r="B876" s="62"/>
      <c r="F876" s="45" t="str">
        <f>IFERROR((SUMIF(Data!B:B, A876, Data!J:J)
/ (COUNTIF(Data!B:B, A876)
)),"")</f>
        <v/>
      </c>
      <c r="G876" s="45" t="str">
        <f>IF(A876="","",IFERROR((((((SUMIF(Data!B:B, A876, Data!H:H)+(SUMIF(Data!B:B, A876,Data!G:G)))/(SUMIF(Data!B:B, A876, Data!J:J)))))),0))</f>
        <v/>
      </c>
      <c r="AG876" s="12"/>
      <c r="AH876" s="12"/>
      <c r="AI876" s="12"/>
      <c r="AM876" s="61"/>
      <c r="BC876" s="50"/>
    </row>
    <row r="877">
      <c r="A877" s="14"/>
      <c r="B877" s="62"/>
      <c r="F877" s="45" t="str">
        <f>IFERROR((SUMIF(Data!B:B, A877, Data!J:J)
/ (COUNTIF(Data!B:B, A877)
)),"")</f>
        <v/>
      </c>
      <c r="G877" s="45" t="str">
        <f>IF(A877="","",IFERROR((((((SUMIF(Data!B:B, A877, Data!H:H)+(SUMIF(Data!B:B, A877,Data!G:G)))/(SUMIF(Data!B:B, A877, Data!J:J)))))),0))</f>
        <v/>
      </c>
      <c r="AG877" s="12"/>
      <c r="AH877" s="12"/>
      <c r="AI877" s="12"/>
      <c r="AM877" s="61"/>
      <c r="BC877" s="50"/>
    </row>
    <row r="878">
      <c r="A878" s="14"/>
      <c r="B878" s="62"/>
      <c r="F878" s="45" t="str">
        <f>IFERROR((SUMIF(Data!B:B, A878, Data!J:J)
/ (COUNTIF(Data!B:B, A878)
)),"")</f>
        <v/>
      </c>
      <c r="G878" s="45" t="str">
        <f>IF(A878="","",IFERROR((((((SUMIF(Data!B:B, A878, Data!H:H)+(SUMIF(Data!B:B, A878,Data!G:G)))/(SUMIF(Data!B:B, A878, Data!J:J)))))),0))</f>
        <v/>
      </c>
      <c r="AG878" s="12"/>
      <c r="AH878" s="12"/>
      <c r="AI878" s="12"/>
      <c r="AM878" s="61"/>
      <c r="BC878" s="50"/>
    </row>
    <row r="879">
      <c r="A879" s="14"/>
      <c r="B879" s="62"/>
      <c r="F879" s="45" t="str">
        <f>IFERROR((SUMIF(Data!B:B, A879, Data!J:J)
/ (COUNTIF(Data!B:B, A879)
)),"")</f>
        <v/>
      </c>
      <c r="G879" s="45" t="str">
        <f>IF(A879="","",IFERROR((((((SUMIF(Data!B:B, A879, Data!H:H)+(SUMIF(Data!B:B, A879,Data!G:G)))/(SUMIF(Data!B:B, A879, Data!J:J)))))),0))</f>
        <v/>
      </c>
      <c r="AG879" s="12"/>
      <c r="AH879" s="12"/>
      <c r="AI879" s="12"/>
      <c r="AM879" s="61"/>
      <c r="BC879" s="50"/>
    </row>
    <row r="880">
      <c r="A880" s="14"/>
      <c r="B880" s="62"/>
      <c r="F880" s="45" t="str">
        <f>IFERROR((SUMIF(Data!B:B, A880, Data!J:J)
/ (COUNTIF(Data!B:B, A880)
)),"")</f>
        <v/>
      </c>
      <c r="G880" s="45" t="str">
        <f>IF(A880="","",IFERROR((((((SUMIF(Data!B:B, A880, Data!H:H)+(SUMIF(Data!B:B, A880,Data!G:G)))/(SUMIF(Data!B:B, A880, Data!J:J)))))),0))</f>
        <v/>
      </c>
      <c r="AG880" s="12"/>
      <c r="AH880" s="12"/>
      <c r="AI880" s="12"/>
      <c r="AM880" s="61"/>
      <c r="BC880" s="50"/>
    </row>
    <row r="881">
      <c r="A881" s="14"/>
      <c r="B881" s="62"/>
      <c r="F881" s="45" t="str">
        <f>IFERROR((SUMIF(Data!B:B, A881, Data!J:J)
/ (COUNTIF(Data!B:B, A881)
)),"")</f>
        <v/>
      </c>
      <c r="G881" s="45" t="str">
        <f>IF(A881="","",IFERROR((((((SUMIF(Data!B:B, A881, Data!H:H)+(SUMIF(Data!B:B, A881,Data!G:G)))/(SUMIF(Data!B:B, A881, Data!J:J)))))),0))</f>
        <v/>
      </c>
      <c r="AG881" s="12"/>
      <c r="AH881" s="12"/>
      <c r="AI881" s="12"/>
      <c r="AM881" s="61"/>
      <c r="BC881" s="50"/>
    </row>
    <row r="882">
      <c r="A882" s="14"/>
      <c r="B882" s="62"/>
      <c r="F882" s="45" t="str">
        <f>IFERROR((SUMIF(Data!B:B, A882, Data!J:J)
/ (COUNTIF(Data!B:B, A882)
)),"")</f>
        <v/>
      </c>
      <c r="G882" s="45" t="str">
        <f>IF(A882="","",IFERROR((((((SUMIF(Data!B:B, A882, Data!H:H)+(SUMIF(Data!B:B, A882,Data!G:G)))/(SUMIF(Data!B:B, A882, Data!J:J)))))),0))</f>
        <v/>
      </c>
      <c r="AG882" s="12"/>
      <c r="AH882" s="12"/>
      <c r="AI882" s="12"/>
      <c r="AM882" s="61"/>
      <c r="BC882" s="50"/>
    </row>
    <row r="883">
      <c r="A883" s="14"/>
      <c r="B883" s="62"/>
      <c r="F883" s="45" t="str">
        <f>IFERROR((SUMIF(Data!B:B, A883, Data!J:J)
/ (COUNTIF(Data!B:B, A883)
)),"")</f>
        <v/>
      </c>
      <c r="G883" s="45" t="str">
        <f>IF(A883="","",IFERROR((((((SUMIF(Data!B:B, A883, Data!H:H)+(SUMIF(Data!B:B, A883,Data!G:G)))/(SUMIF(Data!B:B, A883, Data!J:J)))))),0))</f>
        <v/>
      </c>
      <c r="AG883" s="12"/>
      <c r="AH883" s="12"/>
      <c r="AI883" s="12"/>
      <c r="AM883" s="61"/>
      <c r="BC883" s="50"/>
    </row>
    <row r="884">
      <c r="A884" s="14"/>
      <c r="B884" s="62"/>
      <c r="F884" s="45" t="str">
        <f>IFERROR((SUMIF(Data!B:B, A884, Data!J:J)
/ (COUNTIF(Data!B:B, A884)
)),"")</f>
        <v/>
      </c>
      <c r="G884" s="45" t="str">
        <f>IF(A884="","",IFERROR((((((SUMIF(Data!B:B, A884, Data!H:H)+(SUMIF(Data!B:B, A884,Data!G:G)))/(SUMIF(Data!B:B, A884, Data!J:J)))))),0))</f>
        <v/>
      </c>
      <c r="AG884" s="12"/>
      <c r="AH884" s="12"/>
      <c r="AI884" s="12"/>
      <c r="AM884" s="61"/>
      <c r="BC884" s="50"/>
    </row>
    <row r="885">
      <c r="A885" s="14"/>
      <c r="B885" s="62"/>
      <c r="F885" s="45" t="str">
        <f>IFERROR((SUMIF(Data!B:B, A885, Data!J:J)
/ (COUNTIF(Data!B:B, A885)
)),"")</f>
        <v/>
      </c>
      <c r="G885" s="45" t="str">
        <f>IF(A885="","",IFERROR((((((SUMIF(Data!B:B, A885, Data!H:H)+(SUMIF(Data!B:B, A885,Data!G:G)))/(SUMIF(Data!B:B, A885, Data!J:J)))))),0))</f>
        <v/>
      </c>
      <c r="AG885" s="12"/>
      <c r="AH885" s="12"/>
      <c r="AI885" s="12"/>
      <c r="AM885" s="61"/>
      <c r="BC885" s="50"/>
    </row>
    <row r="886">
      <c r="A886" s="14"/>
      <c r="B886" s="62"/>
      <c r="F886" s="45" t="str">
        <f>IFERROR((SUMIF(Data!B:B, A886, Data!J:J)
/ (COUNTIF(Data!B:B, A886)
)),"")</f>
        <v/>
      </c>
      <c r="G886" s="45" t="str">
        <f>IF(A886="","",IFERROR((((((SUMIF(Data!B:B, A886, Data!H:H)+(SUMIF(Data!B:B, A886,Data!G:G)))/(SUMIF(Data!B:B, A886, Data!J:J)))))),0))</f>
        <v/>
      </c>
      <c r="AG886" s="12"/>
      <c r="AH886" s="12"/>
      <c r="AI886" s="12"/>
      <c r="AM886" s="61"/>
      <c r="BC886" s="50"/>
    </row>
    <row r="887">
      <c r="A887" s="14"/>
      <c r="B887" s="62"/>
      <c r="F887" s="45" t="str">
        <f>IFERROR((SUMIF(Data!B:B, A887, Data!J:J)
/ (COUNTIF(Data!B:B, A887)
)),"")</f>
        <v/>
      </c>
      <c r="G887" s="45" t="str">
        <f>IF(A887="","",IFERROR((((((SUMIF(Data!B:B, A887, Data!H:H)+(SUMIF(Data!B:B, A887,Data!G:G)))/(SUMIF(Data!B:B, A887, Data!J:J)))))),0))</f>
        <v/>
      </c>
      <c r="AG887" s="12"/>
      <c r="AH887" s="12"/>
      <c r="AI887" s="12"/>
      <c r="AM887" s="61"/>
      <c r="BC887" s="50"/>
    </row>
    <row r="888">
      <c r="A888" s="14"/>
      <c r="B888" s="62"/>
      <c r="F888" s="45" t="str">
        <f>IFERROR((SUMIF(Data!B:B, A888, Data!J:J)
/ (COUNTIF(Data!B:B, A888)
)),"")</f>
        <v/>
      </c>
      <c r="G888" s="45" t="str">
        <f>IF(A888="","",IFERROR((((((SUMIF(Data!B:B, A888, Data!H:H)+(SUMIF(Data!B:B, A888,Data!G:G)))/(SUMIF(Data!B:B, A888, Data!J:J)))))),0))</f>
        <v/>
      </c>
      <c r="AG888" s="12"/>
      <c r="AH888" s="12"/>
      <c r="AI888" s="12"/>
      <c r="AM888" s="61"/>
      <c r="BC888" s="50"/>
    </row>
    <row r="889">
      <c r="A889" s="14"/>
      <c r="B889" s="62"/>
      <c r="F889" s="45" t="str">
        <f>IFERROR((SUMIF(Data!B:B, A889, Data!J:J)
/ (COUNTIF(Data!B:B, A889)
)),"")</f>
        <v/>
      </c>
      <c r="G889" s="45" t="str">
        <f>IF(A889="","",IFERROR((((((SUMIF(Data!B:B, A889, Data!H:H)+(SUMIF(Data!B:B, A889,Data!G:G)))/(SUMIF(Data!B:B, A889, Data!J:J)))))),0))</f>
        <v/>
      </c>
      <c r="AG889" s="12"/>
      <c r="AH889" s="12"/>
      <c r="AI889" s="12"/>
      <c r="AM889" s="61"/>
      <c r="BC889" s="50"/>
    </row>
    <row r="890">
      <c r="A890" s="14"/>
      <c r="B890" s="62"/>
      <c r="F890" s="45" t="str">
        <f>IFERROR((SUMIF(Data!B:B, A890, Data!J:J)
/ (COUNTIF(Data!B:B, A890)
)),"")</f>
        <v/>
      </c>
      <c r="G890" s="45" t="str">
        <f>IF(A890="","",IFERROR((((((SUMIF(Data!B:B, A890, Data!H:H)+(SUMIF(Data!B:B, A890,Data!G:G)))/(SUMIF(Data!B:B, A890, Data!J:J)))))),0))</f>
        <v/>
      </c>
      <c r="AG890" s="12"/>
      <c r="AH890" s="12"/>
      <c r="AI890" s="12"/>
      <c r="AM890" s="61"/>
      <c r="BC890" s="50"/>
    </row>
    <row r="891">
      <c r="A891" s="14"/>
      <c r="B891" s="62"/>
      <c r="F891" s="45" t="str">
        <f>IFERROR((SUMIF(Data!B:B, A891, Data!J:J)
/ (COUNTIF(Data!B:B, A891)
)),"")</f>
        <v/>
      </c>
      <c r="G891" s="45" t="str">
        <f>IF(A891="","",IFERROR((((((SUMIF(Data!B:B, A891, Data!H:H)+(SUMIF(Data!B:B, A891,Data!G:G)))/(SUMIF(Data!B:B, A891, Data!J:J)))))),0))</f>
        <v/>
      </c>
      <c r="AG891" s="12"/>
      <c r="AH891" s="12"/>
      <c r="AI891" s="12"/>
      <c r="AM891" s="61"/>
      <c r="BC891" s="50"/>
    </row>
    <row r="892">
      <c r="A892" s="14"/>
      <c r="B892" s="62"/>
      <c r="F892" s="45" t="str">
        <f>IFERROR((SUMIF(Data!B:B, A892, Data!J:J)
/ (COUNTIF(Data!B:B, A892)
)),"")</f>
        <v/>
      </c>
      <c r="G892" s="45" t="str">
        <f>IF(A892="","",IFERROR((((((SUMIF(Data!B:B, A892, Data!H:H)+(SUMIF(Data!B:B, A892,Data!G:G)))/(SUMIF(Data!B:B, A892, Data!J:J)))))),0))</f>
        <v/>
      </c>
      <c r="AG892" s="12"/>
      <c r="AH892" s="12"/>
      <c r="AI892" s="12"/>
      <c r="AM892" s="61"/>
      <c r="BC892" s="50"/>
    </row>
    <row r="893">
      <c r="A893" s="14"/>
      <c r="B893" s="62"/>
      <c r="F893" s="45" t="str">
        <f>IFERROR((SUMIF(Data!B:B, A893, Data!J:J)
/ (COUNTIF(Data!B:B, A893)
)),"")</f>
        <v/>
      </c>
      <c r="G893" s="45" t="str">
        <f>IF(A893="","",IFERROR((((((SUMIF(Data!B:B, A893, Data!H:H)+(SUMIF(Data!B:B, A893,Data!G:G)))/(SUMIF(Data!B:B, A893, Data!J:J)))))),0))</f>
        <v/>
      </c>
      <c r="AG893" s="12"/>
      <c r="AH893" s="12"/>
      <c r="AI893" s="12"/>
      <c r="AM893" s="61"/>
      <c r="BC893" s="50"/>
    </row>
    <row r="894">
      <c r="A894" s="14"/>
      <c r="B894" s="62"/>
      <c r="F894" s="45" t="str">
        <f>IFERROR((SUMIF(Data!B:B, A894, Data!J:J)
/ (COUNTIF(Data!B:B, A894)
)),"")</f>
        <v/>
      </c>
      <c r="G894" s="45" t="str">
        <f>IF(A894="","",IFERROR((((((SUMIF(Data!B:B, A894, Data!H:H)+(SUMIF(Data!B:B, A894,Data!G:G)))/(SUMIF(Data!B:B, A894, Data!J:J)))))),0))</f>
        <v/>
      </c>
      <c r="AG894" s="12"/>
      <c r="AH894" s="12"/>
      <c r="AI894" s="12"/>
      <c r="AM894" s="61"/>
      <c r="BC894" s="50"/>
    </row>
    <row r="895">
      <c r="A895" s="14"/>
      <c r="B895" s="62"/>
      <c r="F895" s="45" t="str">
        <f>IFERROR((SUMIF(Data!B:B, A895, Data!J:J)
/ (COUNTIF(Data!B:B, A895)
)),"")</f>
        <v/>
      </c>
      <c r="G895" s="45" t="str">
        <f>IF(A895="","",IFERROR((((((SUMIF(Data!B:B, A895, Data!H:H)+(SUMIF(Data!B:B, A895,Data!G:G)))/(SUMIF(Data!B:B, A895, Data!J:J)))))),0))</f>
        <v/>
      </c>
      <c r="AG895" s="12"/>
      <c r="AH895" s="12"/>
      <c r="AI895" s="12"/>
      <c r="AM895" s="61"/>
      <c r="BC895" s="50"/>
    </row>
    <row r="896">
      <c r="A896" s="14"/>
      <c r="B896" s="62"/>
      <c r="F896" s="45" t="str">
        <f>IFERROR((SUMIF(Data!B:B, A896, Data!J:J)
/ (COUNTIF(Data!B:B, A896)
)),"")</f>
        <v/>
      </c>
      <c r="G896" s="45" t="str">
        <f>IF(A896="","",IFERROR((((((SUMIF(Data!B:B, A896, Data!H:H)+(SUMIF(Data!B:B, A896,Data!G:G)))/(SUMIF(Data!B:B, A896, Data!J:J)))))),0))</f>
        <v/>
      </c>
      <c r="AG896" s="12"/>
      <c r="AH896" s="12"/>
      <c r="AI896" s="12"/>
      <c r="AM896" s="61"/>
      <c r="BC896" s="50"/>
    </row>
    <row r="897">
      <c r="A897" s="14"/>
      <c r="B897" s="62"/>
      <c r="F897" s="45" t="str">
        <f>IFERROR((SUMIF(Data!B:B, A897, Data!J:J)
/ (COUNTIF(Data!B:B, A897)
)),"")</f>
        <v/>
      </c>
      <c r="G897" s="45" t="str">
        <f>IF(A897="","",IFERROR((((((SUMIF(Data!B:B, A897, Data!H:H)+(SUMIF(Data!B:B, A897,Data!G:G)))/(SUMIF(Data!B:B, A897, Data!J:J)))))),0))</f>
        <v/>
      </c>
      <c r="AG897" s="12"/>
      <c r="AH897" s="12"/>
      <c r="AI897" s="12"/>
      <c r="AM897" s="61"/>
      <c r="BC897" s="50"/>
    </row>
    <row r="898">
      <c r="A898" s="14"/>
      <c r="B898" s="62"/>
      <c r="F898" s="45" t="str">
        <f>IFERROR((SUMIF(Data!B:B, A898, Data!J:J)
/ (COUNTIF(Data!B:B, A898)
)),"")</f>
        <v/>
      </c>
      <c r="G898" s="45" t="str">
        <f>IF(A898="","",IFERROR((((((SUMIF(Data!B:B, A898, Data!H:H)+(SUMIF(Data!B:B, A898,Data!G:G)))/(SUMIF(Data!B:B, A898, Data!J:J)))))),0))</f>
        <v/>
      </c>
      <c r="AG898" s="12"/>
      <c r="AH898" s="12"/>
      <c r="AI898" s="12"/>
      <c r="AM898" s="61"/>
      <c r="BC898" s="50"/>
    </row>
    <row r="899">
      <c r="A899" s="14"/>
      <c r="B899" s="62"/>
      <c r="F899" s="45" t="str">
        <f>IFERROR((SUMIF(Data!B:B, A899, Data!J:J)
/ (COUNTIF(Data!B:B, A899)
)),"")</f>
        <v/>
      </c>
      <c r="G899" s="45" t="str">
        <f>IF(A899="","",IFERROR((((((SUMIF(Data!B:B, A899, Data!H:H)+(SUMIF(Data!B:B, A899,Data!G:G)))/(SUMIF(Data!B:B, A899, Data!J:J)))))),0))</f>
        <v/>
      </c>
      <c r="AG899" s="12"/>
      <c r="AH899" s="12"/>
      <c r="AI899" s="12"/>
      <c r="AM899" s="61"/>
      <c r="BC899" s="50"/>
    </row>
    <row r="900">
      <c r="A900" s="14"/>
      <c r="B900" s="62"/>
      <c r="F900" s="45" t="str">
        <f>IFERROR((SUMIF(Data!B:B, A900, Data!J:J)
/ (COUNTIF(Data!B:B, A900)
)),"")</f>
        <v/>
      </c>
      <c r="G900" s="45" t="str">
        <f>IF(A900="","",IFERROR((((((SUMIF(Data!B:B, A900, Data!H:H)+(SUMIF(Data!B:B, A900,Data!G:G)))/(SUMIF(Data!B:B, A900, Data!J:J)))))),0))</f>
        <v/>
      </c>
      <c r="AG900" s="12"/>
      <c r="AH900" s="12"/>
      <c r="AI900" s="12"/>
      <c r="AM900" s="61"/>
      <c r="BC900" s="50"/>
    </row>
    <row r="901">
      <c r="A901" s="14"/>
      <c r="B901" s="62"/>
      <c r="F901" s="45" t="str">
        <f>IFERROR((SUMIF(Data!B:B, A901, Data!J:J)
/ (COUNTIF(Data!B:B, A901)
)),"")</f>
        <v/>
      </c>
      <c r="G901" s="45" t="str">
        <f>IF(A901="","",IFERROR((((((SUMIF(Data!B:B, A901, Data!H:H)+(SUMIF(Data!B:B, A901,Data!G:G)))/(SUMIF(Data!B:B, A901, Data!J:J)))))),0))</f>
        <v/>
      </c>
      <c r="AG901" s="12"/>
      <c r="AH901" s="12"/>
      <c r="AI901" s="12"/>
      <c r="AM901" s="61"/>
      <c r="BC901" s="50"/>
    </row>
    <row r="902">
      <c r="A902" s="14"/>
      <c r="B902" s="62"/>
      <c r="F902" s="45" t="str">
        <f>IFERROR((SUMIF(Data!B:B, A902, Data!J:J)
/ (COUNTIF(Data!B:B, A902)
)),"")</f>
        <v/>
      </c>
      <c r="G902" s="45" t="str">
        <f>IF(A902="","",IFERROR((((((SUMIF(Data!B:B, A902, Data!H:H)+(SUMIF(Data!B:B, A902,Data!G:G)))/(SUMIF(Data!B:B, A902, Data!J:J)))))),0))</f>
        <v/>
      </c>
      <c r="AG902" s="12"/>
      <c r="AH902" s="12"/>
      <c r="AI902" s="12"/>
      <c r="AM902" s="61"/>
      <c r="BC902" s="50"/>
    </row>
    <row r="903">
      <c r="A903" s="14"/>
      <c r="B903" s="62"/>
      <c r="F903" s="45" t="str">
        <f>IFERROR((SUMIF(Data!B:B, A903, Data!J:J)
/ (COUNTIF(Data!B:B, A903)
)),"")</f>
        <v/>
      </c>
      <c r="G903" s="45" t="str">
        <f>IF(A903="","",IFERROR((((((SUMIF(Data!B:B, A903, Data!H:H)+(SUMIF(Data!B:B, A903,Data!G:G)))/(SUMIF(Data!B:B, A903, Data!J:J)))))),0))</f>
        <v/>
      </c>
      <c r="AG903" s="12"/>
      <c r="AH903" s="12"/>
      <c r="AI903" s="12"/>
      <c r="AM903" s="61"/>
      <c r="BC903" s="50"/>
    </row>
    <row r="904">
      <c r="A904" s="14"/>
      <c r="B904" s="62"/>
      <c r="F904" s="45" t="str">
        <f>IFERROR((SUMIF(Data!B:B, A904, Data!J:J)
/ (COUNTIF(Data!B:B, A904)
)),"")</f>
        <v/>
      </c>
      <c r="G904" s="45" t="str">
        <f>IF(A904="","",IFERROR((((((SUMIF(Data!B:B, A904, Data!H:H)+(SUMIF(Data!B:B, A904,Data!G:G)))/(SUMIF(Data!B:B, A904, Data!J:J)))))),0))</f>
        <v/>
      </c>
      <c r="AG904" s="12"/>
      <c r="AH904" s="12"/>
      <c r="AI904" s="12"/>
      <c r="AM904" s="61"/>
      <c r="BC904" s="50"/>
    </row>
    <row r="905">
      <c r="A905" s="14"/>
      <c r="B905" s="62"/>
      <c r="F905" s="45" t="str">
        <f>IFERROR((SUMIF(Data!B:B, A905, Data!J:J)
/ (COUNTIF(Data!B:B, A905)
)),"")</f>
        <v/>
      </c>
      <c r="G905" s="45" t="str">
        <f>IF(A905="","",IFERROR((((((SUMIF(Data!B:B, A905, Data!H:H)+(SUMIF(Data!B:B, A905,Data!G:G)))/(SUMIF(Data!B:B, A905, Data!J:J)))))),0))</f>
        <v/>
      </c>
      <c r="AG905" s="12"/>
      <c r="AH905" s="12"/>
      <c r="AI905" s="12"/>
      <c r="AM905" s="61"/>
      <c r="BC905" s="50"/>
    </row>
    <row r="906">
      <c r="A906" s="14"/>
      <c r="B906" s="62"/>
      <c r="F906" s="45" t="str">
        <f>IFERROR((SUMIF(Data!B:B, A906, Data!J:J)
/ (COUNTIF(Data!B:B, A906)
)),"")</f>
        <v/>
      </c>
      <c r="G906" s="45" t="str">
        <f>IF(A906="","",IFERROR((((((SUMIF(Data!B:B, A906, Data!H:H)+(SUMIF(Data!B:B, A906,Data!G:G)))/(SUMIF(Data!B:B, A906, Data!J:J)))))),0))</f>
        <v/>
      </c>
      <c r="AG906" s="12"/>
      <c r="AH906" s="12"/>
      <c r="AI906" s="12"/>
      <c r="AM906" s="61"/>
      <c r="BC906" s="50"/>
    </row>
    <row r="907">
      <c r="A907" s="14"/>
      <c r="B907" s="62"/>
      <c r="F907" s="45" t="str">
        <f>IFERROR((SUMIF(Data!B:B, A907, Data!J:J)
/ (COUNTIF(Data!B:B, A907)
)),"")</f>
        <v/>
      </c>
      <c r="G907" s="45" t="str">
        <f>IF(A907="","",IFERROR((((((SUMIF(Data!B:B, A907, Data!H:H)+(SUMIF(Data!B:B, A907,Data!G:G)))/(SUMIF(Data!B:B, A907, Data!J:J)))))),0))</f>
        <v/>
      </c>
      <c r="AG907" s="12"/>
      <c r="AH907" s="12"/>
      <c r="AI907" s="12"/>
      <c r="AM907" s="61"/>
      <c r="BC907" s="50"/>
    </row>
    <row r="908">
      <c r="A908" s="14"/>
      <c r="B908" s="62"/>
      <c r="F908" s="45" t="str">
        <f>IFERROR((SUMIF(Data!B:B, A908, Data!J:J)
/ (COUNTIF(Data!B:B, A908)
)),"")</f>
        <v/>
      </c>
      <c r="G908" s="45" t="str">
        <f>IF(A908="","",IFERROR((((((SUMIF(Data!B:B, A908, Data!H:H)+(SUMIF(Data!B:B, A908,Data!G:G)))/(SUMIF(Data!B:B, A908, Data!J:J)))))),0))</f>
        <v/>
      </c>
      <c r="AG908" s="12"/>
      <c r="AH908" s="12"/>
      <c r="AI908" s="12"/>
      <c r="AM908" s="61"/>
      <c r="BC908" s="50"/>
    </row>
    <row r="909">
      <c r="A909" s="14"/>
      <c r="B909" s="62"/>
      <c r="F909" s="45" t="str">
        <f>IFERROR((SUMIF(Data!B:B, A909, Data!J:J)
/ (COUNTIF(Data!B:B, A909)
)),"")</f>
        <v/>
      </c>
      <c r="G909" s="45" t="str">
        <f>IF(A909="","",IFERROR((((((SUMIF(Data!B:B, A909, Data!H:H)+(SUMIF(Data!B:B, A909,Data!G:G)))/(SUMIF(Data!B:B, A909, Data!J:J)))))),0))</f>
        <v/>
      </c>
      <c r="AG909" s="12"/>
      <c r="AH909" s="12"/>
      <c r="AI909" s="12"/>
      <c r="AM909" s="61"/>
      <c r="BC909" s="50"/>
    </row>
    <row r="910">
      <c r="A910" s="14"/>
      <c r="B910" s="62"/>
      <c r="F910" s="45" t="str">
        <f>IFERROR((SUMIF(Data!B:B, A910, Data!J:J)
/ (COUNTIF(Data!B:B, A910)
)),"")</f>
        <v/>
      </c>
      <c r="G910" s="45" t="str">
        <f>IF(A910="","",IFERROR((((((SUMIF(Data!B:B, A910, Data!H:H)+(SUMIF(Data!B:B, A910,Data!G:G)))/(SUMIF(Data!B:B, A910, Data!J:J)))))),0))</f>
        <v/>
      </c>
      <c r="AG910" s="12"/>
      <c r="AH910" s="12"/>
      <c r="AI910" s="12"/>
      <c r="AM910" s="61"/>
      <c r="BC910" s="50"/>
    </row>
    <row r="911">
      <c r="A911" s="14"/>
      <c r="B911" s="62"/>
      <c r="F911" s="45" t="str">
        <f>IFERROR((SUMIF(Data!B:B, A911, Data!J:J)
/ (COUNTIF(Data!B:B, A911)
)),"")</f>
        <v/>
      </c>
      <c r="G911" s="45" t="str">
        <f>IF(A911="","",IFERROR((((((SUMIF(Data!B:B, A911, Data!H:H)+(SUMIF(Data!B:B, A911,Data!G:G)))/(SUMIF(Data!B:B, A911, Data!J:J)))))),0))</f>
        <v/>
      </c>
      <c r="AG911" s="12"/>
      <c r="AH911" s="12"/>
      <c r="AI911" s="12"/>
      <c r="AM911" s="61"/>
      <c r="BC911" s="50"/>
    </row>
    <row r="912">
      <c r="A912" s="14"/>
      <c r="B912" s="62"/>
      <c r="F912" s="45" t="str">
        <f>IFERROR((SUMIF(Data!B:B, A912, Data!J:J)
/ (COUNTIF(Data!B:B, A912)
)),"")</f>
        <v/>
      </c>
      <c r="G912" s="45" t="str">
        <f>IF(A912="","",IFERROR((((((SUMIF(Data!B:B, A912, Data!H:H)+(SUMIF(Data!B:B, A912,Data!G:G)))/(SUMIF(Data!B:B, A912, Data!J:J)))))),0))</f>
        <v/>
      </c>
      <c r="AG912" s="12"/>
      <c r="AH912" s="12"/>
      <c r="AI912" s="12"/>
      <c r="AM912" s="61"/>
      <c r="BC912" s="50"/>
    </row>
    <row r="913">
      <c r="A913" s="14"/>
      <c r="B913" s="62"/>
      <c r="F913" s="45" t="str">
        <f>IFERROR((SUMIF(Data!B:B, A913, Data!J:J)
/ (COUNTIF(Data!B:B, A913)
)),"")</f>
        <v/>
      </c>
      <c r="G913" s="45" t="str">
        <f>IF(A913="","",IFERROR((((((SUMIF(Data!B:B, A913, Data!H:H)+(SUMIF(Data!B:B, A913,Data!G:G)))/(SUMIF(Data!B:B, A913, Data!J:J)))))),0))</f>
        <v/>
      </c>
      <c r="AG913" s="12"/>
      <c r="AH913" s="12"/>
      <c r="AI913" s="12"/>
      <c r="AM913" s="61"/>
      <c r="BC913" s="50"/>
    </row>
    <row r="914">
      <c r="A914" s="14"/>
      <c r="B914" s="62"/>
      <c r="F914" s="45" t="str">
        <f>IFERROR((SUMIF(Data!B:B, A914, Data!J:J)
/ (COUNTIF(Data!B:B, A914)
)),"")</f>
        <v/>
      </c>
      <c r="G914" s="45" t="str">
        <f>IF(A914="","",IFERROR((((((SUMIF(Data!B:B, A914, Data!H:H)+(SUMIF(Data!B:B, A914,Data!G:G)))/(SUMIF(Data!B:B, A914, Data!J:J)))))),0))</f>
        <v/>
      </c>
      <c r="AG914" s="12"/>
      <c r="AH914" s="12"/>
      <c r="AI914" s="12"/>
      <c r="AM914" s="61"/>
      <c r="BC914" s="50"/>
    </row>
    <row r="915">
      <c r="A915" s="14"/>
      <c r="B915" s="62"/>
      <c r="F915" s="45" t="str">
        <f>IFERROR((SUMIF(Data!B:B, A915, Data!J:J)
/ (COUNTIF(Data!B:B, A915)
)),"")</f>
        <v/>
      </c>
      <c r="G915" s="45" t="str">
        <f>IF(A915="","",IFERROR((((((SUMIF(Data!B:B, A915, Data!H:H)+(SUMIF(Data!B:B, A915,Data!G:G)))/(SUMIF(Data!B:B, A915, Data!J:J)))))),0))</f>
        <v/>
      </c>
      <c r="AG915" s="12"/>
      <c r="AH915" s="12"/>
      <c r="AI915" s="12"/>
      <c r="AM915" s="61"/>
      <c r="BC915" s="50"/>
    </row>
    <row r="916">
      <c r="A916" s="14"/>
      <c r="B916" s="62"/>
      <c r="F916" s="45" t="str">
        <f>IFERROR((SUMIF(Data!B:B, A916, Data!J:J)
/ (COUNTIF(Data!B:B, A916)
)),"")</f>
        <v/>
      </c>
      <c r="G916" s="45" t="str">
        <f>IF(A916="","",IFERROR((((((SUMIF(Data!B:B, A916, Data!H:H)+(SUMIF(Data!B:B, A916,Data!G:G)))/(SUMIF(Data!B:B, A916, Data!J:J)))))),0))</f>
        <v/>
      </c>
      <c r="AG916" s="12"/>
      <c r="AH916" s="12"/>
      <c r="AI916" s="12"/>
      <c r="AM916" s="61"/>
      <c r="BC916" s="50"/>
    </row>
    <row r="917">
      <c r="A917" s="14"/>
      <c r="B917" s="62"/>
      <c r="F917" s="45" t="str">
        <f>IFERROR((SUMIF(Data!B:B, A917, Data!J:J)
/ (COUNTIF(Data!B:B, A917)
)),"")</f>
        <v/>
      </c>
      <c r="G917" s="45" t="str">
        <f>IF(A917="","",IFERROR((((((SUMIF(Data!B:B, A917, Data!H:H)+(SUMIF(Data!B:B, A917,Data!G:G)))/(SUMIF(Data!B:B, A917, Data!J:J)))))),0))</f>
        <v/>
      </c>
      <c r="AG917" s="12"/>
      <c r="AH917" s="12"/>
      <c r="AI917" s="12"/>
      <c r="AM917" s="61"/>
      <c r="BC917" s="50"/>
    </row>
    <row r="918">
      <c r="A918" s="14"/>
      <c r="B918" s="62"/>
      <c r="F918" s="45" t="str">
        <f>IFERROR((SUMIF(Data!B:B, A918, Data!J:J)
/ (COUNTIF(Data!B:B, A918)
)),"")</f>
        <v/>
      </c>
      <c r="G918" s="45" t="str">
        <f>IF(A918="","",IFERROR((((((SUMIF(Data!B:B, A918, Data!H:H)+(SUMIF(Data!B:B, A918,Data!G:G)))/(SUMIF(Data!B:B, A918, Data!J:J)))))),0))</f>
        <v/>
      </c>
      <c r="AG918" s="12"/>
      <c r="AH918" s="12"/>
      <c r="AI918" s="12"/>
      <c r="AM918" s="61"/>
      <c r="BC918" s="50"/>
    </row>
    <row r="919">
      <c r="A919" s="14"/>
      <c r="B919" s="62"/>
      <c r="F919" s="45" t="str">
        <f>IFERROR((SUMIF(Data!B:B, A919, Data!J:J)
/ (COUNTIF(Data!B:B, A919)
)),"")</f>
        <v/>
      </c>
      <c r="G919" s="45" t="str">
        <f>IF(A919="","",IFERROR((((((SUMIF(Data!B:B, A919, Data!H:H)+(SUMIF(Data!B:B, A919,Data!G:G)))/(SUMIF(Data!B:B, A919, Data!J:J)))))),0))</f>
        <v/>
      </c>
      <c r="AG919" s="12"/>
      <c r="AH919" s="12"/>
      <c r="AI919" s="12"/>
      <c r="AM919" s="61"/>
      <c r="BC919" s="50"/>
    </row>
    <row r="920">
      <c r="A920" s="14"/>
      <c r="B920" s="62"/>
      <c r="F920" s="45" t="str">
        <f>IFERROR((SUMIF(Data!B:B, A920, Data!J:J)
/ (COUNTIF(Data!B:B, A920)
)),"")</f>
        <v/>
      </c>
      <c r="G920" s="45" t="str">
        <f>IF(A920="","",IFERROR((((((SUMIF(Data!B:B, A920, Data!H:H)+(SUMIF(Data!B:B, A920,Data!G:G)))/(SUMIF(Data!B:B, A920, Data!J:J)))))),0))</f>
        <v/>
      </c>
      <c r="AG920" s="12"/>
      <c r="AH920" s="12"/>
      <c r="AI920" s="12"/>
      <c r="AM920" s="61"/>
      <c r="BC920" s="50"/>
    </row>
    <row r="921">
      <c r="A921" s="14"/>
      <c r="B921" s="62"/>
      <c r="F921" s="45" t="str">
        <f>IFERROR((SUMIF(Data!B:B, A921, Data!J:J)
/ (COUNTIF(Data!B:B, A921)
)),"")</f>
        <v/>
      </c>
      <c r="G921" s="45" t="str">
        <f>IF(A921="","",IFERROR((((((SUMIF(Data!B:B, A921, Data!H:H)+(SUMIF(Data!B:B, A921,Data!G:G)))/(SUMIF(Data!B:B, A921, Data!J:J)))))),0))</f>
        <v/>
      </c>
      <c r="AG921" s="12"/>
      <c r="AH921" s="12"/>
      <c r="AI921" s="12"/>
      <c r="AM921" s="61"/>
      <c r="BC921" s="50"/>
    </row>
    <row r="922">
      <c r="A922" s="14"/>
      <c r="B922" s="62"/>
      <c r="F922" s="45" t="str">
        <f>IFERROR((SUMIF(Data!B:B, A922, Data!J:J)
/ (COUNTIF(Data!B:B, A922)
)),"")</f>
        <v/>
      </c>
      <c r="G922" s="45" t="str">
        <f>IF(A922="","",IFERROR((((((SUMIF(Data!B:B, A922, Data!H:H)+(SUMIF(Data!B:B, A922,Data!G:G)))/(SUMIF(Data!B:B, A922, Data!J:J)))))),0))</f>
        <v/>
      </c>
      <c r="AG922" s="12"/>
      <c r="AH922" s="12"/>
      <c r="AI922" s="12"/>
      <c r="AM922" s="61"/>
      <c r="BC922" s="50"/>
    </row>
    <row r="923">
      <c r="A923" s="14"/>
      <c r="B923" s="62"/>
      <c r="F923" s="45" t="str">
        <f>IFERROR((SUMIF(Data!B:B, A923, Data!J:J)
/ (COUNTIF(Data!B:B, A923)
)),"")</f>
        <v/>
      </c>
      <c r="G923" s="45" t="str">
        <f>IF(A923="","",IFERROR((((((SUMIF(Data!B:B, A923, Data!H:H)+(SUMIF(Data!B:B, A923,Data!G:G)))/(SUMIF(Data!B:B, A923, Data!J:J)))))),0))</f>
        <v/>
      </c>
      <c r="AG923" s="12"/>
      <c r="AH923" s="12"/>
      <c r="AI923" s="12"/>
      <c r="AM923" s="61"/>
      <c r="BC923" s="50"/>
    </row>
    <row r="924">
      <c r="A924" s="14"/>
      <c r="B924" s="62"/>
      <c r="F924" s="45" t="str">
        <f>IFERROR((SUMIF(Data!B:B, A924, Data!J:J)
/ (COUNTIF(Data!B:B, A924)
)),"")</f>
        <v/>
      </c>
      <c r="G924" s="45" t="str">
        <f>IF(A924="","",IFERROR((((((SUMIF(Data!B:B, A924, Data!H:H)+(SUMIF(Data!B:B, A924,Data!G:G)))/(SUMIF(Data!B:B, A924, Data!J:J)))))),0))</f>
        <v/>
      </c>
      <c r="AG924" s="12"/>
      <c r="AH924" s="12"/>
      <c r="AI924" s="12"/>
      <c r="AM924" s="61"/>
      <c r="BC924" s="50"/>
    </row>
    <row r="925">
      <c r="A925" s="14"/>
      <c r="B925" s="62"/>
      <c r="F925" s="45" t="str">
        <f>IFERROR((SUMIF(Data!B:B, A925, Data!J:J)
/ (COUNTIF(Data!B:B, A925)
)),"")</f>
        <v/>
      </c>
      <c r="G925" s="45" t="str">
        <f>IF(A925="","",IFERROR((((((SUMIF(Data!B:B, A925, Data!H:H)+(SUMIF(Data!B:B, A925,Data!G:G)))/(SUMIF(Data!B:B, A925, Data!J:J)))))),0))</f>
        <v/>
      </c>
      <c r="AG925" s="12"/>
      <c r="AH925" s="12"/>
      <c r="AI925" s="12"/>
      <c r="AM925" s="61"/>
      <c r="BC925" s="50"/>
    </row>
    <row r="926">
      <c r="A926" s="14"/>
      <c r="B926" s="62"/>
      <c r="F926" s="45" t="str">
        <f>IFERROR((SUMIF(Data!B:B, A926, Data!J:J)
/ (COUNTIF(Data!B:B, A926)
)),"")</f>
        <v/>
      </c>
      <c r="G926" s="45" t="str">
        <f>IF(A926="","",IFERROR((((((SUMIF(Data!B:B, A926, Data!H:H)+(SUMIF(Data!B:B, A926,Data!G:G)))/(SUMIF(Data!B:B, A926, Data!J:J)))))),0))</f>
        <v/>
      </c>
      <c r="AG926" s="12"/>
      <c r="AH926" s="12"/>
      <c r="AI926" s="12"/>
      <c r="AM926" s="61"/>
      <c r="BC926" s="50"/>
    </row>
    <row r="927">
      <c r="A927" s="14"/>
      <c r="B927" s="62"/>
      <c r="F927" s="45" t="str">
        <f>IFERROR((SUMIF(Data!B:B, A927, Data!J:J)
/ (COUNTIF(Data!B:B, A927)
)),"")</f>
        <v/>
      </c>
      <c r="G927" s="45" t="str">
        <f>IF(A927="","",IFERROR((((((SUMIF(Data!B:B, A927, Data!H:H)+(SUMIF(Data!B:B, A927,Data!G:G)))/(SUMIF(Data!B:B, A927, Data!J:J)))))),0))</f>
        <v/>
      </c>
      <c r="AG927" s="12"/>
      <c r="AH927" s="12"/>
      <c r="AI927" s="12"/>
      <c r="AM927" s="61"/>
      <c r="BC927" s="50"/>
    </row>
    <row r="928">
      <c r="A928" s="14"/>
      <c r="B928" s="62"/>
      <c r="F928" s="45" t="str">
        <f>IFERROR((SUMIF(Data!B:B, A928, Data!J:J)
/ (COUNTIF(Data!B:B, A928)
)),"")</f>
        <v/>
      </c>
      <c r="G928" s="45" t="str">
        <f>IF(A928="","",IFERROR((((((SUMIF(Data!B:B, A928, Data!H:H)+(SUMIF(Data!B:B, A928,Data!G:G)))/(SUMIF(Data!B:B, A928, Data!J:J)))))),0))</f>
        <v/>
      </c>
      <c r="AG928" s="12"/>
      <c r="AH928" s="12"/>
      <c r="AI928" s="12"/>
      <c r="AM928" s="61"/>
      <c r="BC928" s="50"/>
    </row>
    <row r="929">
      <c r="A929" s="14"/>
      <c r="B929" s="62"/>
      <c r="F929" s="45" t="str">
        <f>IFERROR((SUMIF(Data!B:B, A929, Data!J:J)
/ (COUNTIF(Data!B:B, A929)
)),"")</f>
        <v/>
      </c>
      <c r="G929" s="45" t="str">
        <f>IF(A929="","",IFERROR((((((SUMIF(Data!B:B, A929, Data!H:H)+(SUMIF(Data!B:B, A929,Data!G:G)))/(SUMIF(Data!B:B, A929, Data!J:J)))))),0))</f>
        <v/>
      </c>
      <c r="AG929" s="12"/>
      <c r="AH929" s="12"/>
      <c r="AI929" s="12"/>
      <c r="AM929" s="61"/>
      <c r="BC929" s="50"/>
    </row>
    <row r="930">
      <c r="A930" s="14"/>
      <c r="B930" s="62"/>
      <c r="F930" s="45" t="str">
        <f>IFERROR((SUMIF(Data!B:B, A930, Data!J:J)
/ (COUNTIF(Data!B:B, A930)
)),"")</f>
        <v/>
      </c>
      <c r="G930" s="45" t="str">
        <f>IF(A930="","",IFERROR((((((SUMIF(Data!B:B, A930, Data!H:H)+(SUMIF(Data!B:B, A930,Data!G:G)))/(SUMIF(Data!B:B, A930, Data!J:J)))))),0))</f>
        <v/>
      </c>
      <c r="AG930" s="12"/>
      <c r="AH930" s="12"/>
      <c r="AI930" s="12"/>
      <c r="AM930" s="61"/>
      <c r="BC930" s="50"/>
    </row>
    <row r="931">
      <c r="A931" s="14"/>
      <c r="B931" s="62"/>
      <c r="F931" s="45" t="str">
        <f>IFERROR((SUMIF(Data!B:B, A931, Data!J:J)
/ (COUNTIF(Data!B:B, A931)
)),"")</f>
        <v/>
      </c>
      <c r="G931" s="45" t="str">
        <f>IF(A931="","",IFERROR((((((SUMIF(Data!B:B, A931, Data!H:H)+(SUMIF(Data!B:B, A931,Data!G:G)))/(SUMIF(Data!B:B, A931, Data!J:J)))))),0))</f>
        <v/>
      </c>
      <c r="AG931" s="12"/>
      <c r="AH931" s="12"/>
      <c r="AI931" s="12"/>
      <c r="AM931" s="61"/>
      <c r="BC931" s="50"/>
    </row>
    <row r="932">
      <c r="A932" s="14"/>
      <c r="B932" s="62"/>
      <c r="F932" s="45" t="str">
        <f>IFERROR((SUMIF(Data!B:B, A932, Data!J:J)
/ (COUNTIF(Data!B:B, A932)
)),"")</f>
        <v/>
      </c>
      <c r="G932" s="45" t="str">
        <f>IF(A932="","",IFERROR((((((SUMIF(Data!B:B, A932, Data!H:H)+(SUMIF(Data!B:B, A932,Data!G:G)))/(SUMIF(Data!B:B, A932, Data!J:J)))))),0))</f>
        <v/>
      </c>
      <c r="AG932" s="12"/>
      <c r="AH932" s="12"/>
      <c r="AI932" s="12"/>
      <c r="AM932" s="61"/>
      <c r="BC932" s="50"/>
    </row>
    <row r="933">
      <c r="A933" s="14"/>
      <c r="B933" s="62"/>
      <c r="F933" s="45" t="str">
        <f>IFERROR((SUMIF(Data!B:B, A933, Data!J:J)
/ (COUNTIF(Data!B:B, A933)
)),"")</f>
        <v/>
      </c>
      <c r="G933" s="45" t="str">
        <f>IF(A933="","",IFERROR((((((SUMIF(Data!B:B, A933, Data!H:H)+(SUMIF(Data!B:B, A933,Data!G:G)))/(SUMIF(Data!B:B, A933, Data!J:J)))))),0))</f>
        <v/>
      </c>
      <c r="AG933" s="12"/>
      <c r="AH933" s="12"/>
      <c r="AI933" s="12"/>
      <c r="AM933" s="61"/>
      <c r="BC933" s="50"/>
    </row>
    <row r="934">
      <c r="A934" s="14"/>
      <c r="B934" s="62"/>
      <c r="F934" s="45" t="str">
        <f>IFERROR((SUMIF(Data!B:B, A934, Data!J:J)
/ (COUNTIF(Data!B:B, A934)
)),"")</f>
        <v/>
      </c>
      <c r="G934" s="45" t="str">
        <f>IF(A934="","",IFERROR((((((SUMIF(Data!B:B, A934, Data!H:H)+(SUMIF(Data!B:B, A934,Data!G:G)))/(SUMIF(Data!B:B, A934, Data!J:J)))))),0))</f>
        <v/>
      </c>
      <c r="AG934" s="12"/>
      <c r="AH934" s="12"/>
      <c r="AI934" s="12"/>
      <c r="AM934" s="61"/>
      <c r="BC934" s="50"/>
    </row>
    <row r="935">
      <c r="A935" s="14"/>
      <c r="B935" s="62"/>
      <c r="F935" s="45" t="str">
        <f>IFERROR((SUMIF(Data!B:B, A935, Data!J:J)
/ (COUNTIF(Data!B:B, A935)
)),"")</f>
        <v/>
      </c>
      <c r="G935" s="45" t="str">
        <f>IF(A935="","",IFERROR((((((SUMIF(Data!B:B, A935, Data!H:H)+(SUMIF(Data!B:B, A935,Data!G:G)))/(SUMIF(Data!B:B, A935, Data!J:J)))))),0))</f>
        <v/>
      </c>
      <c r="AG935" s="12"/>
      <c r="AH935" s="12"/>
      <c r="AI935" s="12"/>
      <c r="AM935" s="61"/>
      <c r="BC935" s="50"/>
    </row>
    <row r="936">
      <c r="A936" s="14"/>
      <c r="B936" s="62"/>
      <c r="F936" s="45" t="str">
        <f>IFERROR((SUMIF(Data!B:B, A936, Data!J:J)
/ (COUNTIF(Data!B:B, A936)
)),"")</f>
        <v/>
      </c>
      <c r="G936" s="45" t="str">
        <f>IF(A936="","",IFERROR((((((SUMIF(Data!B:B, A936, Data!H:H)+(SUMIF(Data!B:B, A936,Data!G:G)))/(SUMIF(Data!B:B, A936, Data!J:J)))))),0))</f>
        <v/>
      </c>
      <c r="AG936" s="12"/>
      <c r="AH936" s="12"/>
      <c r="AI936" s="12"/>
      <c r="AM936" s="61"/>
      <c r="BC936" s="50"/>
    </row>
    <row r="937">
      <c r="A937" s="14"/>
      <c r="B937" s="62"/>
      <c r="F937" s="45" t="str">
        <f>IFERROR((SUMIF(Data!B:B, A937, Data!J:J)
/ (COUNTIF(Data!B:B, A937)
)),"")</f>
        <v/>
      </c>
      <c r="G937" s="45" t="str">
        <f>IF(A937="","",IFERROR((((((SUMIF(Data!B:B, A937, Data!H:H)+(SUMIF(Data!B:B, A937,Data!G:G)))/(SUMIF(Data!B:B, A937, Data!J:J)))))),0))</f>
        <v/>
      </c>
      <c r="AG937" s="12"/>
      <c r="AH937" s="12"/>
      <c r="AI937" s="12"/>
      <c r="AM937" s="61"/>
      <c r="BC937" s="50"/>
    </row>
    <row r="938">
      <c r="A938" s="14"/>
      <c r="B938" s="62"/>
      <c r="F938" s="45" t="str">
        <f>IFERROR((SUMIF(Data!B:B, A938, Data!J:J)
/ (COUNTIF(Data!B:B, A938)
)),"")</f>
        <v/>
      </c>
      <c r="G938" s="45" t="str">
        <f>IF(A938="","",IFERROR((((((SUMIF(Data!B:B, A938, Data!H:H)+(SUMIF(Data!B:B, A938,Data!G:G)))/(SUMIF(Data!B:B, A938, Data!J:J)))))),0))</f>
        <v/>
      </c>
      <c r="AG938" s="12"/>
      <c r="AH938" s="12"/>
      <c r="AI938" s="12"/>
      <c r="AM938" s="61"/>
      <c r="BC938" s="50"/>
    </row>
    <row r="939">
      <c r="A939" s="14"/>
      <c r="B939" s="62"/>
      <c r="F939" s="45" t="str">
        <f>IFERROR((SUMIF(Data!B:B, A939, Data!J:J)
/ (COUNTIF(Data!B:B, A939)
)),"")</f>
        <v/>
      </c>
      <c r="G939" s="45" t="str">
        <f>IF(A939="","",IFERROR((((((SUMIF(Data!B:B, A939, Data!H:H)+(SUMIF(Data!B:B, A939,Data!G:G)))/(SUMIF(Data!B:B, A939, Data!J:J)))))),0))</f>
        <v/>
      </c>
      <c r="AG939" s="12"/>
      <c r="AH939" s="12"/>
      <c r="AI939" s="12"/>
      <c r="AM939" s="61"/>
      <c r="BC939" s="50"/>
    </row>
    <row r="940">
      <c r="A940" s="14"/>
      <c r="B940" s="62"/>
      <c r="F940" s="45" t="str">
        <f>IFERROR((SUMIF(Data!B:B, A940, Data!J:J)
/ (COUNTIF(Data!B:B, A940)
)),"")</f>
        <v/>
      </c>
      <c r="G940" s="45" t="str">
        <f>IF(A940="","",IFERROR((((((SUMIF(Data!B:B, A940, Data!H:H)+(SUMIF(Data!B:B, A940,Data!G:G)))/(SUMIF(Data!B:B, A940, Data!J:J)))))),0))</f>
        <v/>
      </c>
      <c r="AG940" s="12"/>
      <c r="AH940" s="12"/>
      <c r="AI940" s="12"/>
      <c r="AM940" s="61"/>
      <c r="BC940" s="50"/>
    </row>
    <row r="941">
      <c r="A941" s="14"/>
      <c r="B941" s="62"/>
      <c r="F941" s="45" t="str">
        <f>IFERROR((SUMIF(Data!B:B, A941, Data!J:J)
/ (COUNTIF(Data!B:B, A941)
)),"")</f>
        <v/>
      </c>
      <c r="G941" s="45" t="str">
        <f>IF(A941="","",IFERROR((((((SUMIF(Data!B:B, A941, Data!H:H)+(SUMIF(Data!B:B, A941,Data!G:G)))/(SUMIF(Data!B:B, A941, Data!J:J)))))),0))</f>
        <v/>
      </c>
      <c r="AG941" s="12"/>
      <c r="AH941" s="12"/>
      <c r="AI941" s="12"/>
      <c r="AM941" s="61"/>
      <c r="BC941" s="50"/>
    </row>
    <row r="942">
      <c r="A942" s="14"/>
      <c r="B942" s="62"/>
      <c r="F942" s="45" t="str">
        <f>IFERROR((SUMIF(Data!B:B, A942, Data!J:J)
/ (COUNTIF(Data!B:B, A942)
)),"")</f>
        <v/>
      </c>
      <c r="G942" s="45" t="str">
        <f>IF(A942="","",IFERROR((((((SUMIF(Data!B:B, A942, Data!H:H)+(SUMIF(Data!B:B, A942,Data!G:G)))/(SUMIF(Data!B:B, A942, Data!J:J)))))),0))</f>
        <v/>
      </c>
      <c r="AG942" s="12"/>
      <c r="AH942" s="12"/>
      <c r="AI942" s="12"/>
      <c r="AM942" s="61"/>
      <c r="BC942" s="50"/>
    </row>
    <row r="943">
      <c r="A943" s="14"/>
      <c r="B943" s="62"/>
      <c r="F943" s="45" t="str">
        <f>IFERROR((SUMIF(Data!B:B, A943, Data!J:J)
/ (COUNTIF(Data!B:B, A943)
)),"")</f>
        <v/>
      </c>
      <c r="G943" s="45" t="str">
        <f>IF(A943="","",IFERROR((((((SUMIF(Data!B:B, A943, Data!H:H)+(SUMIF(Data!B:B, A943,Data!G:G)))/(SUMIF(Data!B:B, A943, Data!J:J)))))),0))</f>
        <v/>
      </c>
      <c r="AG943" s="12"/>
      <c r="AH943" s="12"/>
      <c r="AI943" s="12"/>
      <c r="AM943" s="61"/>
      <c r="BC943" s="50"/>
    </row>
    <row r="944">
      <c r="A944" s="14"/>
      <c r="B944" s="62"/>
      <c r="F944" s="45" t="str">
        <f>IFERROR((SUMIF(Data!B:B, A944, Data!J:J)
/ (COUNTIF(Data!B:B, A944)
)),"")</f>
        <v/>
      </c>
      <c r="G944" s="45" t="str">
        <f>IF(A944="","",IFERROR((((((SUMIF(Data!B:B, A944, Data!H:H)+(SUMIF(Data!B:B, A944,Data!G:G)))/(SUMIF(Data!B:B, A944, Data!J:J)))))),0))</f>
        <v/>
      </c>
      <c r="AG944" s="12"/>
      <c r="AH944" s="12"/>
      <c r="AI944" s="12"/>
      <c r="AM944" s="61"/>
      <c r="BC944" s="50"/>
    </row>
    <row r="945">
      <c r="A945" s="14"/>
      <c r="B945" s="62"/>
      <c r="F945" s="45" t="str">
        <f>IFERROR((SUMIF(Data!B:B, A945, Data!J:J)
/ (COUNTIF(Data!B:B, A945)
)),"")</f>
        <v/>
      </c>
      <c r="G945" s="45" t="str">
        <f>IF(A945="","",IFERROR((((((SUMIF(Data!B:B, A945, Data!H:H)+(SUMIF(Data!B:B, A945,Data!G:G)))/(SUMIF(Data!B:B, A945, Data!J:J)))))),0))</f>
        <v/>
      </c>
      <c r="AG945" s="12"/>
      <c r="AH945" s="12"/>
      <c r="AI945" s="12"/>
      <c r="AM945" s="61"/>
      <c r="BC945" s="50"/>
    </row>
    <row r="946">
      <c r="A946" s="14"/>
      <c r="B946" s="62"/>
      <c r="F946" s="45" t="str">
        <f>IFERROR((SUMIF(Data!B:B, A946, Data!J:J)
/ (COUNTIF(Data!B:B, A946)
)),"")</f>
        <v/>
      </c>
      <c r="G946" s="45" t="str">
        <f>IF(A946="","",IFERROR((((((SUMIF(Data!B:B, A946, Data!H:H)+(SUMIF(Data!B:B, A946,Data!G:G)))/(SUMIF(Data!B:B, A946, Data!J:J)))))),0))</f>
        <v/>
      </c>
      <c r="AG946" s="12"/>
      <c r="AH946" s="12"/>
      <c r="AI946" s="12"/>
      <c r="AM946" s="61"/>
      <c r="BC946" s="50"/>
    </row>
    <row r="947">
      <c r="A947" s="14"/>
      <c r="B947" s="62"/>
      <c r="F947" s="45" t="str">
        <f>IFERROR((SUMIF(Data!B:B, A947, Data!J:J)
/ (COUNTIF(Data!B:B, A947)
)),"")</f>
        <v/>
      </c>
      <c r="G947" s="45" t="str">
        <f>IF(A947="","",IFERROR((((((SUMIF(Data!B:B, A947, Data!H:H)+(SUMIF(Data!B:B, A947,Data!G:G)))/(SUMIF(Data!B:B, A947, Data!J:J)))))),0))</f>
        <v/>
      </c>
      <c r="AG947" s="12"/>
      <c r="AH947" s="12"/>
      <c r="AI947" s="12"/>
      <c r="AM947" s="61"/>
      <c r="BC947" s="50"/>
    </row>
    <row r="948">
      <c r="A948" s="14"/>
      <c r="B948" s="62"/>
      <c r="F948" s="45" t="str">
        <f>IFERROR((SUMIF(Data!B:B, A948, Data!J:J)
/ (COUNTIF(Data!B:B, A948)
)),"")</f>
        <v/>
      </c>
      <c r="G948" s="45" t="str">
        <f>IF(A948="","",IFERROR((((((SUMIF(Data!B:B, A948, Data!H:H)+(SUMIF(Data!B:B, A948,Data!G:G)))/(SUMIF(Data!B:B, A948, Data!J:J)))))),0))</f>
        <v/>
      </c>
      <c r="AG948" s="12"/>
      <c r="AH948" s="12"/>
      <c r="AI948" s="12"/>
      <c r="AM948" s="61"/>
      <c r="BC948" s="50"/>
    </row>
    <row r="949">
      <c r="A949" s="14"/>
      <c r="B949" s="62"/>
      <c r="F949" s="45" t="str">
        <f>IFERROR((SUMIF(Data!B:B, A949, Data!J:J)
/ (COUNTIF(Data!B:B, A949)
)),"")</f>
        <v/>
      </c>
      <c r="G949" s="45" t="str">
        <f>IF(A949="","",IFERROR((((((SUMIF(Data!B:B, A949, Data!H:H)+(SUMIF(Data!B:B, A949,Data!G:G)))/(SUMIF(Data!B:B, A949, Data!J:J)))))),0))</f>
        <v/>
      </c>
      <c r="AG949" s="12"/>
      <c r="AH949" s="12"/>
      <c r="AI949" s="12"/>
      <c r="AM949" s="61"/>
      <c r="BC949" s="50"/>
    </row>
    <row r="950">
      <c r="A950" s="14"/>
      <c r="B950" s="62"/>
      <c r="F950" s="45" t="str">
        <f>IFERROR((SUMIF(Data!B:B, A950, Data!J:J)
/ (COUNTIF(Data!B:B, A950)
)),"")</f>
        <v/>
      </c>
      <c r="G950" s="45" t="str">
        <f>IF(A950="","",IFERROR((((((SUMIF(Data!B:B, A950, Data!H:H)+(SUMIF(Data!B:B, A950,Data!G:G)))/(SUMIF(Data!B:B, A950, Data!J:J)))))),0))</f>
        <v/>
      </c>
      <c r="AG950" s="12"/>
      <c r="AH950" s="12"/>
      <c r="AI950" s="12"/>
      <c r="AM950" s="61"/>
      <c r="BC950" s="50"/>
    </row>
    <row r="951">
      <c r="A951" s="14"/>
      <c r="B951" s="62"/>
      <c r="F951" s="45" t="str">
        <f>IFERROR((SUMIF(Data!B:B, A951, Data!J:J)
/ (COUNTIF(Data!B:B, A951)
)),"")</f>
        <v/>
      </c>
      <c r="G951" s="45" t="str">
        <f>IF(A951="","",IFERROR((((((SUMIF(Data!B:B, A951, Data!H:H)+(SUMIF(Data!B:B, A951,Data!G:G)))/(SUMIF(Data!B:B, A951, Data!J:J)))))),0))</f>
        <v/>
      </c>
      <c r="AG951" s="12"/>
      <c r="AH951" s="12"/>
      <c r="AI951" s="12"/>
      <c r="AM951" s="61"/>
      <c r="BC951" s="50"/>
    </row>
    <row r="952">
      <c r="A952" s="14"/>
      <c r="B952" s="62"/>
      <c r="F952" s="45" t="str">
        <f>IFERROR((SUMIF(Data!B:B, A952, Data!J:J)
/ (COUNTIF(Data!B:B, A952)
)),"")</f>
        <v/>
      </c>
      <c r="G952" s="45" t="str">
        <f>IF(A952="","",IFERROR((((((SUMIF(Data!B:B, A952, Data!H:H)+(SUMIF(Data!B:B, A952,Data!G:G)))/(SUMIF(Data!B:B, A952, Data!J:J)))))),0))</f>
        <v/>
      </c>
      <c r="AG952" s="12"/>
      <c r="AH952" s="12"/>
      <c r="AI952" s="12"/>
      <c r="AM952" s="61"/>
      <c r="BC952" s="50"/>
    </row>
    <row r="953">
      <c r="A953" s="14"/>
      <c r="B953" s="62"/>
      <c r="F953" s="45" t="str">
        <f>IFERROR((SUMIF(Data!B:B, A953, Data!J:J)
/ (COUNTIF(Data!B:B, A953)
)),"")</f>
        <v/>
      </c>
      <c r="G953" s="45" t="str">
        <f>IF(A953="","",IFERROR((((((SUMIF(Data!B:B, A953, Data!H:H)+(SUMIF(Data!B:B, A953,Data!G:G)))/(SUMIF(Data!B:B, A953, Data!J:J)))))),0))</f>
        <v/>
      </c>
      <c r="AG953" s="12"/>
      <c r="AH953" s="12"/>
      <c r="AI953" s="12"/>
      <c r="AM953" s="61"/>
      <c r="BC953" s="50"/>
    </row>
    <row r="954">
      <c r="A954" s="14"/>
      <c r="B954" s="62"/>
      <c r="F954" s="45" t="str">
        <f>IFERROR((SUMIF(Data!B:B, A954, Data!J:J)
/ (COUNTIF(Data!B:B, A954)
)),"")</f>
        <v/>
      </c>
      <c r="G954" s="45" t="str">
        <f>IF(A954="","",IFERROR((((((SUMIF(Data!B:B, A954, Data!H:H)+(SUMIF(Data!B:B, A954,Data!G:G)))/(SUMIF(Data!B:B, A954, Data!J:J)))))),0))</f>
        <v/>
      </c>
      <c r="AG954" s="12"/>
      <c r="AH954" s="12"/>
      <c r="AI954" s="12"/>
      <c r="AM954" s="61"/>
      <c r="BC954" s="50"/>
    </row>
    <row r="955">
      <c r="A955" s="14"/>
      <c r="B955" s="62"/>
      <c r="F955" s="45" t="str">
        <f>IFERROR((SUMIF(Data!B:B, A955, Data!J:J)
/ (COUNTIF(Data!B:B, A955)
)),"")</f>
        <v/>
      </c>
      <c r="G955" s="45" t="str">
        <f>IF(A955="","",IFERROR((((((SUMIF(Data!B:B, A955, Data!H:H)+(SUMIF(Data!B:B, A955,Data!G:G)))/(SUMIF(Data!B:B, A955, Data!J:J)))))),0))</f>
        <v/>
      </c>
      <c r="AG955" s="12"/>
      <c r="AH955" s="12"/>
      <c r="AI955" s="12"/>
      <c r="AM955" s="61"/>
      <c r="BC955" s="50"/>
    </row>
    <row r="956">
      <c r="A956" s="14"/>
      <c r="B956" s="62"/>
      <c r="F956" s="45" t="str">
        <f>IFERROR((SUMIF(Data!B:B, A956, Data!J:J)
/ (COUNTIF(Data!B:B, A956)
)),"")</f>
        <v/>
      </c>
      <c r="G956" s="45" t="str">
        <f>IF(A956="","",IFERROR((((((SUMIF(Data!B:B, A956, Data!H:H)+(SUMIF(Data!B:B, A956,Data!G:G)))/(SUMIF(Data!B:B, A956, Data!J:J)))))),0))</f>
        <v/>
      </c>
      <c r="AG956" s="12"/>
      <c r="AH956" s="12"/>
      <c r="AI956" s="12"/>
      <c r="AM956" s="61"/>
      <c r="BC956" s="50"/>
    </row>
    <row r="957">
      <c r="A957" s="14"/>
      <c r="B957" s="62"/>
      <c r="F957" s="45" t="str">
        <f>IFERROR((SUMIF(Data!B:B, A957, Data!J:J)
/ (COUNTIF(Data!B:B, A957)
)),"")</f>
        <v/>
      </c>
      <c r="G957" s="45" t="str">
        <f>IF(A957="","",IFERROR((((((SUMIF(Data!B:B, A957, Data!H:H)+(SUMIF(Data!B:B, A957,Data!G:G)))/(SUMIF(Data!B:B, A957, Data!J:J)))))),0))</f>
        <v/>
      </c>
      <c r="AG957" s="12"/>
      <c r="AH957" s="12"/>
      <c r="AI957" s="12"/>
      <c r="AM957" s="61"/>
      <c r="BC957" s="50"/>
    </row>
    <row r="958">
      <c r="A958" s="14"/>
      <c r="B958" s="62"/>
      <c r="F958" s="45" t="str">
        <f>IFERROR((SUMIF(Data!B:B, A958, Data!J:J)
/ (COUNTIF(Data!B:B, A958)
)),"")</f>
        <v/>
      </c>
      <c r="G958" s="45" t="str">
        <f>IF(A958="","",IFERROR((((((SUMIF(Data!B:B, A958, Data!H:H)+(SUMIF(Data!B:B, A958,Data!G:G)))/(SUMIF(Data!B:B, A958, Data!J:J)))))),0))</f>
        <v/>
      </c>
      <c r="AG958" s="12"/>
      <c r="AH958" s="12"/>
      <c r="AI958" s="12"/>
      <c r="AM958" s="61"/>
      <c r="BC958" s="50"/>
    </row>
    <row r="959">
      <c r="A959" s="14"/>
      <c r="B959" s="62"/>
      <c r="F959" s="45" t="str">
        <f>IFERROR((SUMIF(Data!B:B, A959, Data!J:J)
/ (COUNTIF(Data!B:B, A959)
)),"")</f>
        <v/>
      </c>
      <c r="G959" s="45" t="str">
        <f>IF(A959="","",IFERROR((((((SUMIF(Data!B:B, A959, Data!H:H)+(SUMIF(Data!B:B, A959,Data!G:G)))/(SUMIF(Data!B:B, A959, Data!J:J)))))),0))</f>
        <v/>
      </c>
      <c r="AG959" s="12"/>
      <c r="AH959" s="12"/>
      <c r="AI959" s="12"/>
      <c r="AM959" s="61"/>
      <c r="BC959" s="50"/>
    </row>
    <row r="960">
      <c r="A960" s="14"/>
      <c r="B960" s="62"/>
      <c r="F960" s="45" t="str">
        <f>IFERROR((SUMIF(Data!B:B, A960, Data!J:J)
/ (COUNTIF(Data!B:B, A960)
)),"")</f>
        <v/>
      </c>
      <c r="G960" s="45" t="str">
        <f>IF(A960="","",IFERROR((((((SUMIF(Data!B:B, A960, Data!H:H)+(SUMIF(Data!B:B, A960,Data!G:G)))/(SUMIF(Data!B:B, A960, Data!J:J)))))),0))</f>
        <v/>
      </c>
      <c r="AG960" s="12"/>
      <c r="AH960" s="12"/>
      <c r="AI960" s="12"/>
      <c r="AM960" s="61"/>
      <c r="BC960" s="50"/>
    </row>
    <row r="961">
      <c r="A961" s="14"/>
      <c r="B961" s="62"/>
      <c r="F961" s="45" t="str">
        <f>IFERROR((SUMIF(Data!B:B, A961, Data!J:J)
/ (COUNTIF(Data!B:B, A961)
)),"")</f>
        <v/>
      </c>
      <c r="G961" s="45" t="str">
        <f>IF(A961="","",IFERROR((((((SUMIF(Data!B:B, A961, Data!H:H)+(SUMIF(Data!B:B, A961,Data!G:G)))/(SUMIF(Data!B:B, A961, Data!J:J)))))),0))</f>
        <v/>
      </c>
      <c r="AG961" s="12"/>
      <c r="AH961" s="12"/>
      <c r="AI961" s="12"/>
      <c r="AM961" s="61"/>
      <c r="BC961" s="50"/>
    </row>
    <row r="962">
      <c r="A962" s="14"/>
      <c r="B962" s="62"/>
      <c r="F962" s="45" t="str">
        <f>IFERROR((SUMIF(Data!B:B, A962, Data!J:J)
/ (COUNTIF(Data!B:B, A962)
)),"")</f>
        <v/>
      </c>
      <c r="G962" s="45" t="str">
        <f>IF(A962="","",IFERROR((((((SUMIF(Data!B:B, A962, Data!H:H)+(SUMIF(Data!B:B, A962,Data!G:G)))/(SUMIF(Data!B:B, A962, Data!J:J)))))),0))</f>
        <v/>
      </c>
      <c r="AG962" s="12"/>
      <c r="AH962" s="12"/>
      <c r="AI962" s="12"/>
      <c r="AM962" s="61"/>
      <c r="BC962" s="50"/>
    </row>
    <row r="963">
      <c r="A963" s="14"/>
      <c r="B963" s="62"/>
      <c r="F963" s="45" t="str">
        <f>IFERROR((SUMIF(Data!B:B, A963, Data!J:J)
/ (COUNTIF(Data!B:B, A963)
)),"")</f>
        <v/>
      </c>
      <c r="G963" s="45" t="str">
        <f>IF(A963="","",IFERROR((((((SUMIF(Data!B:B, A963, Data!H:H)+(SUMIF(Data!B:B, A963,Data!G:G)))/(SUMIF(Data!B:B, A963, Data!J:J)))))),0))</f>
        <v/>
      </c>
      <c r="AG963" s="12"/>
      <c r="AH963" s="12"/>
      <c r="AI963" s="12"/>
      <c r="AM963" s="61"/>
      <c r="BC963" s="50"/>
    </row>
    <row r="964">
      <c r="A964" s="14"/>
      <c r="B964" s="62"/>
      <c r="F964" s="45" t="str">
        <f>IFERROR((SUMIF(Data!B:B, A964, Data!J:J)
/ (COUNTIF(Data!B:B, A964)
)),"")</f>
        <v/>
      </c>
      <c r="G964" s="45" t="str">
        <f>IF(A964="","",IFERROR((((((SUMIF(Data!B:B, A964, Data!H:H)+(SUMIF(Data!B:B, A964,Data!G:G)))/(SUMIF(Data!B:B, A964, Data!J:J)))))),0))</f>
        <v/>
      </c>
      <c r="AG964" s="12"/>
      <c r="AH964" s="12"/>
      <c r="AI964" s="12"/>
      <c r="AM964" s="61"/>
      <c r="BC964" s="50"/>
    </row>
    <row r="965">
      <c r="A965" s="14"/>
      <c r="B965" s="62"/>
      <c r="F965" s="45" t="str">
        <f>IFERROR((SUMIF(Data!B:B, A965, Data!J:J)
/ (COUNTIF(Data!B:B, A965)
)),"")</f>
        <v/>
      </c>
      <c r="G965" s="45" t="str">
        <f>IF(A965="","",IFERROR((((((SUMIF(Data!B:B, A965, Data!H:H)+(SUMIF(Data!B:B, A965,Data!G:G)))/(SUMIF(Data!B:B, A965, Data!J:J)))))),0))</f>
        <v/>
      </c>
      <c r="AG965" s="12"/>
      <c r="AH965" s="12"/>
      <c r="AI965" s="12"/>
      <c r="AM965" s="61"/>
      <c r="BC965" s="50"/>
    </row>
    <row r="966">
      <c r="A966" s="14"/>
      <c r="B966" s="62"/>
      <c r="F966" s="45" t="str">
        <f>IFERROR((SUMIF(Data!B:B, A966, Data!J:J)
/ (COUNTIF(Data!B:B, A966)
)),"")</f>
        <v/>
      </c>
      <c r="G966" s="45" t="str">
        <f>IF(A966="","",IFERROR((((((SUMIF(Data!B:B, A966, Data!H:H)+(SUMIF(Data!B:B, A966,Data!G:G)))/(SUMIF(Data!B:B, A966, Data!J:J)))))),0))</f>
        <v/>
      </c>
      <c r="AG966" s="12"/>
      <c r="AH966" s="12"/>
      <c r="AI966" s="12"/>
      <c r="AM966" s="61"/>
      <c r="BC966" s="50"/>
    </row>
    <row r="967">
      <c r="A967" s="14"/>
      <c r="B967" s="62"/>
      <c r="F967" s="45" t="str">
        <f>IFERROR((SUMIF(Data!B:B, A967, Data!J:J)
/ (COUNTIF(Data!B:B, A967)
)),"")</f>
        <v/>
      </c>
      <c r="G967" s="45" t="str">
        <f>IF(A967="","",IFERROR((((((SUMIF(Data!B:B, A967, Data!H:H)+(SUMIF(Data!B:B, A967,Data!G:G)))/(SUMIF(Data!B:B, A967, Data!J:J)))))),0))</f>
        <v/>
      </c>
      <c r="AG967" s="12"/>
      <c r="AH967" s="12"/>
      <c r="AI967" s="12"/>
      <c r="AM967" s="61"/>
      <c r="BC967" s="50"/>
    </row>
    <row r="968">
      <c r="A968" s="14"/>
      <c r="B968" s="62"/>
      <c r="F968" s="45" t="str">
        <f>IFERROR((SUMIF(Data!B:B, A968, Data!J:J)
/ (COUNTIF(Data!B:B, A968)
)),"")</f>
        <v/>
      </c>
      <c r="G968" s="45" t="str">
        <f>IF(A968="","",IFERROR((((((SUMIF(Data!B:B, A968, Data!H:H)+(SUMIF(Data!B:B, A968,Data!G:G)))/(SUMIF(Data!B:B, A968, Data!J:J)))))),0))</f>
        <v/>
      </c>
      <c r="AG968" s="12"/>
      <c r="AH968" s="12"/>
      <c r="AI968" s="12"/>
      <c r="AM968" s="61"/>
      <c r="BC968" s="50"/>
    </row>
    <row r="969">
      <c r="A969" s="14"/>
      <c r="B969" s="62"/>
      <c r="F969" s="45" t="str">
        <f>IFERROR((SUMIF(Data!B:B, A969, Data!J:J)
/ (COUNTIF(Data!B:B, A969)
)),"")</f>
        <v/>
      </c>
      <c r="G969" s="45" t="str">
        <f>IF(A969="","",IFERROR((((((SUMIF(Data!B:B, A969, Data!H:H)+(SUMIF(Data!B:B, A969,Data!G:G)))/(SUMIF(Data!B:B, A969, Data!J:J)))))),0))</f>
        <v/>
      </c>
      <c r="AG969" s="12"/>
      <c r="AH969" s="12"/>
      <c r="AI969" s="12"/>
      <c r="AM969" s="61"/>
      <c r="BC969" s="50"/>
    </row>
    <row r="970">
      <c r="A970" s="14"/>
      <c r="B970" s="62"/>
      <c r="F970" s="45" t="str">
        <f>IFERROR((SUMIF(Data!B:B, A970, Data!J:J)
/ (COUNTIF(Data!B:B, A970)
)),"")</f>
        <v/>
      </c>
      <c r="G970" s="45" t="str">
        <f>IF(A970="","",IFERROR((((((SUMIF(Data!B:B, A970, Data!H:H)+(SUMIF(Data!B:B, A970,Data!G:G)))/(SUMIF(Data!B:B, A970, Data!J:J)))))),0))</f>
        <v/>
      </c>
      <c r="AG970" s="12"/>
      <c r="AH970" s="12"/>
      <c r="AI970" s="12"/>
      <c r="AM970" s="61"/>
      <c r="BC970" s="50"/>
    </row>
    <row r="971">
      <c r="A971" s="14"/>
      <c r="B971" s="62"/>
      <c r="F971" s="45" t="str">
        <f>IFERROR((SUMIF(Data!B:B, A971, Data!J:J)
/ (COUNTIF(Data!B:B, A971)
)),"")</f>
        <v/>
      </c>
      <c r="G971" s="45" t="str">
        <f>IF(A971="","",IFERROR((((((SUMIF(Data!B:B, A971, Data!H:H)+(SUMIF(Data!B:B, A971,Data!G:G)))/(SUMIF(Data!B:B, A971, Data!J:J)))))),0))</f>
        <v/>
      </c>
      <c r="AG971" s="12"/>
      <c r="AH971" s="12"/>
      <c r="AI971" s="12"/>
      <c r="AM971" s="61"/>
      <c r="BC971" s="50"/>
    </row>
    <row r="972">
      <c r="A972" s="14"/>
      <c r="B972" s="62"/>
      <c r="F972" s="45" t="str">
        <f>IFERROR((SUMIF(Data!B:B, A972, Data!J:J)
/ (COUNTIF(Data!B:B, A972)
)),"")</f>
        <v/>
      </c>
      <c r="G972" s="45" t="str">
        <f>IF(A972="","",IFERROR((((((SUMIF(Data!B:B, A972, Data!H:H)+(SUMIF(Data!B:B, A972,Data!G:G)))/(SUMIF(Data!B:B, A972, Data!J:J)))))),0))</f>
        <v/>
      </c>
      <c r="AG972" s="12"/>
      <c r="AH972" s="12"/>
      <c r="AI972" s="12"/>
      <c r="AM972" s="61"/>
      <c r="BC972" s="50"/>
    </row>
    <row r="973">
      <c r="A973" s="14"/>
      <c r="B973" s="62"/>
      <c r="F973" s="45" t="str">
        <f>IFERROR((SUMIF(Data!B:B, A973, Data!J:J)
/ (COUNTIF(Data!B:B, A973)
)),"")</f>
        <v/>
      </c>
      <c r="G973" s="45" t="str">
        <f>IF(A973="","",IFERROR((((((SUMIF(Data!B:B, A973, Data!H:H)+(SUMIF(Data!B:B, A973,Data!G:G)))/(SUMIF(Data!B:B, A973, Data!J:J)))))),0))</f>
        <v/>
      </c>
      <c r="AG973" s="12"/>
      <c r="AH973" s="12"/>
      <c r="AI973" s="12"/>
      <c r="AM973" s="61"/>
      <c r="BC973" s="50"/>
    </row>
    <row r="974">
      <c r="A974" s="14"/>
      <c r="B974" s="62"/>
      <c r="F974" s="45" t="str">
        <f>IFERROR((SUMIF(Data!B:B, A974, Data!J:J)
/ (COUNTIF(Data!B:B, A974)
)),"")</f>
        <v/>
      </c>
      <c r="G974" s="45" t="str">
        <f>IF(A974="","",IFERROR((((((SUMIF(Data!B:B, A974, Data!H:H)+(SUMIF(Data!B:B, A974,Data!G:G)))/(SUMIF(Data!B:B, A974, Data!J:J)))))),0))</f>
        <v/>
      </c>
      <c r="AG974" s="12"/>
      <c r="AH974" s="12"/>
      <c r="AI974" s="12"/>
      <c r="AM974" s="61"/>
      <c r="BC974" s="50"/>
    </row>
    <row r="975">
      <c r="A975" s="14"/>
      <c r="B975" s="62"/>
      <c r="F975" s="45" t="str">
        <f>IFERROR((SUMIF(Data!B:B, A975, Data!J:J)
/ (COUNTIF(Data!B:B, A975)
)),"")</f>
        <v/>
      </c>
      <c r="G975" s="45" t="str">
        <f>IF(A975="","",IFERROR((((((SUMIF(Data!B:B, A975, Data!H:H)+(SUMIF(Data!B:B, A975,Data!G:G)))/(SUMIF(Data!B:B, A975, Data!J:J)))))),0))</f>
        <v/>
      </c>
      <c r="AG975" s="12"/>
      <c r="AH975" s="12"/>
      <c r="AI975" s="12"/>
      <c r="AM975" s="61"/>
      <c r="BC975" s="50"/>
    </row>
    <row r="976">
      <c r="A976" s="14"/>
      <c r="B976" s="62"/>
      <c r="F976" s="45" t="str">
        <f>IFERROR((SUMIF(Data!B:B, A976, Data!J:J)
/ (COUNTIF(Data!B:B, A976)
)),"")</f>
        <v/>
      </c>
      <c r="G976" s="45" t="str">
        <f>IF(A976="","",IFERROR((((((SUMIF(Data!B:B, A976, Data!H:H)+(SUMIF(Data!B:B, A976,Data!G:G)))/(SUMIF(Data!B:B, A976, Data!J:J)))))),0))</f>
        <v/>
      </c>
      <c r="AG976" s="12"/>
      <c r="AH976" s="12"/>
      <c r="AI976" s="12"/>
      <c r="AM976" s="61"/>
      <c r="BC976" s="50"/>
    </row>
    <row r="977">
      <c r="A977" s="14"/>
      <c r="B977" s="62"/>
      <c r="F977" s="45" t="str">
        <f>IFERROR((SUMIF(Data!B:B, A977, Data!J:J)
/ (COUNTIF(Data!B:B, A977)
)),"")</f>
        <v/>
      </c>
      <c r="G977" s="45" t="str">
        <f>IF(A977="","",IFERROR((((((SUMIF(Data!B:B, A977, Data!H:H)+(SUMIF(Data!B:B, A977,Data!G:G)))/(SUMIF(Data!B:B, A977, Data!J:J)))))),0))</f>
        <v/>
      </c>
      <c r="AG977" s="12"/>
      <c r="AH977" s="12"/>
      <c r="AI977" s="12"/>
      <c r="AM977" s="61"/>
      <c r="BC977" s="50"/>
    </row>
    <row r="978">
      <c r="A978" s="14"/>
      <c r="B978" s="62"/>
      <c r="F978" s="45" t="str">
        <f>IFERROR((SUMIF(Data!B:B, A978, Data!J:J)
/ (COUNTIF(Data!B:B, A978)
)),"")</f>
        <v/>
      </c>
      <c r="G978" s="45" t="str">
        <f>IF(A978="","",IFERROR((((((SUMIF(Data!B:B, A978, Data!H:H)+(SUMIF(Data!B:B, A978,Data!G:G)))/(SUMIF(Data!B:B, A978, Data!J:J)))))),0))</f>
        <v/>
      </c>
      <c r="AG978" s="12"/>
      <c r="AH978" s="12"/>
      <c r="AI978" s="12"/>
      <c r="AM978" s="61"/>
      <c r="BC978" s="50"/>
    </row>
    <row r="979">
      <c r="A979" s="14"/>
      <c r="B979" s="62"/>
      <c r="F979" s="45" t="str">
        <f>IFERROR((SUMIF(Data!B:B, A979, Data!J:J)
/ (COUNTIF(Data!B:B, A979)
)),"")</f>
        <v/>
      </c>
      <c r="G979" s="45" t="str">
        <f>IF(A979="","",IFERROR((((((SUMIF(Data!B:B, A979, Data!H:H)+(SUMIF(Data!B:B, A979,Data!G:G)))/(SUMIF(Data!B:B, A979, Data!J:J)))))),0))</f>
        <v/>
      </c>
      <c r="AG979" s="12"/>
      <c r="AH979" s="12"/>
      <c r="AI979" s="12"/>
      <c r="AM979" s="61"/>
      <c r="BC979" s="50"/>
    </row>
    <row r="980">
      <c r="A980" s="14"/>
      <c r="B980" s="62"/>
      <c r="F980" s="45" t="str">
        <f>IFERROR((SUMIF(Data!B:B, A980, Data!J:J)
/ (COUNTIF(Data!B:B, A980)
)),"")</f>
        <v/>
      </c>
      <c r="G980" s="45" t="str">
        <f>IF(A980="","",IFERROR((((((SUMIF(Data!B:B, A980, Data!H:H)+(SUMIF(Data!B:B, A980,Data!G:G)))/(SUMIF(Data!B:B, A980, Data!J:J)))))),0))</f>
        <v/>
      </c>
      <c r="AG980" s="12"/>
      <c r="AH980" s="12"/>
      <c r="AI980" s="12"/>
      <c r="AM980" s="61"/>
      <c r="BC980" s="50"/>
    </row>
    <row r="981">
      <c r="A981" s="14"/>
      <c r="B981" s="62"/>
      <c r="F981" s="45" t="str">
        <f>IFERROR((SUMIF(Data!B:B, A981, Data!J:J)
/ (COUNTIF(Data!B:B, A981)
)),"")</f>
        <v/>
      </c>
      <c r="G981" s="45" t="str">
        <f>IF(A981="","",IFERROR((((((SUMIF(Data!B:B, A981, Data!H:H)+(SUMIF(Data!B:B, A981,Data!G:G)))/(SUMIF(Data!B:B, A981, Data!J:J)))))),0))</f>
        <v/>
      </c>
      <c r="AG981" s="12"/>
      <c r="AH981" s="12"/>
      <c r="AI981" s="12"/>
      <c r="AM981" s="61"/>
      <c r="BC981" s="50"/>
    </row>
    <row r="982">
      <c r="A982" s="14"/>
      <c r="B982" s="62"/>
      <c r="F982" s="45" t="str">
        <f>IFERROR((SUMIF(Data!B:B, A982, Data!J:J)
/ (COUNTIF(Data!B:B, A982)
)),"")</f>
        <v/>
      </c>
      <c r="G982" s="45" t="str">
        <f>IF(A982="","",IFERROR((((((SUMIF(Data!B:B, A982, Data!H:H)+(SUMIF(Data!B:B, A982,Data!G:G)))/(SUMIF(Data!B:B, A982, Data!J:J)))))),0))</f>
        <v/>
      </c>
      <c r="AG982" s="12"/>
      <c r="AH982" s="12"/>
      <c r="AI982" s="12"/>
      <c r="AM982" s="61"/>
      <c r="BC982" s="50"/>
    </row>
    <row r="983">
      <c r="A983" s="14"/>
      <c r="B983" s="62"/>
      <c r="F983" s="45" t="str">
        <f>IFERROR((SUMIF(Data!B:B, A983, Data!J:J)
/ (COUNTIF(Data!B:B, A983)
)),"")</f>
        <v/>
      </c>
      <c r="G983" s="45" t="str">
        <f>IF(A983="","",IFERROR((((((SUMIF(Data!B:B, A983, Data!H:H)+(SUMIF(Data!B:B, A983,Data!G:G)))/(SUMIF(Data!B:B, A983, Data!J:J)))))),0))</f>
        <v/>
      </c>
      <c r="AG983" s="12"/>
      <c r="AH983" s="12"/>
      <c r="AI983" s="12"/>
      <c r="AM983" s="61"/>
      <c r="BC983" s="50"/>
    </row>
    <row r="984">
      <c r="A984" s="14"/>
      <c r="B984" s="62"/>
      <c r="F984" s="45" t="str">
        <f>IFERROR((SUMIF(Data!B:B, A984, Data!J:J)
/ (COUNTIF(Data!B:B, A984)
)),"")</f>
        <v/>
      </c>
      <c r="G984" s="45" t="str">
        <f>IF(A984="","",IFERROR((((((SUMIF(Data!B:B, A984, Data!H:H)+(SUMIF(Data!B:B, A984,Data!G:G)))/(SUMIF(Data!B:B, A984, Data!J:J)))))),0))</f>
        <v/>
      </c>
      <c r="AG984" s="12"/>
      <c r="AH984" s="12"/>
      <c r="AI984" s="12"/>
      <c r="AM984" s="61"/>
      <c r="BC984" s="50"/>
    </row>
    <row r="985">
      <c r="A985" s="14"/>
      <c r="B985" s="62"/>
      <c r="F985" s="45" t="str">
        <f>IFERROR((SUMIF(Data!B:B, A985, Data!J:J)
/ (COUNTIF(Data!B:B, A985)
)),"")</f>
        <v/>
      </c>
      <c r="G985" s="45" t="str">
        <f>IF(A985="","",IFERROR((((((SUMIF(Data!B:B, A985, Data!H:H)+(SUMIF(Data!B:B, A985,Data!G:G)))/(SUMIF(Data!B:B, A985, Data!J:J)))))),0))</f>
        <v/>
      </c>
      <c r="AG985" s="12"/>
      <c r="AH985" s="12"/>
      <c r="AI985" s="12"/>
      <c r="AM985" s="61"/>
      <c r="BC985" s="50"/>
    </row>
    <row r="986">
      <c r="A986" s="14"/>
      <c r="B986" s="62"/>
      <c r="F986" s="45" t="str">
        <f>IFERROR((SUMIF(Data!B:B, A986, Data!J:J)
/ (COUNTIF(Data!B:B, A986)
)),"")</f>
        <v/>
      </c>
      <c r="G986" s="45" t="str">
        <f>IF(A986="","",IFERROR((((((SUMIF(Data!B:B, A986, Data!H:H)+(SUMIF(Data!B:B, A986,Data!G:G)))/(SUMIF(Data!B:B, A986, Data!J:J)))))),0))</f>
        <v/>
      </c>
      <c r="AG986" s="12"/>
      <c r="AH986" s="12"/>
      <c r="AI986" s="12"/>
      <c r="AM986" s="61"/>
      <c r="BC986" s="50"/>
    </row>
    <row r="987">
      <c r="A987" s="14"/>
      <c r="B987" s="62"/>
      <c r="F987" s="45" t="str">
        <f>IFERROR((SUMIF(Data!B:B, A987, Data!J:J)
/ (COUNTIF(Data!B:B, A987)
)),"")</f>
        <v/>
      </c>
      <c r="G987" s="45" t="str">
        <f>IF(A987="","",IFERROR((((((SUMIF(Data!B:B, A987, Data!H:H)+(SUMIF(Data!B:B, A987,Data!G:G)))/(SUMIF(Data!B:B, A987, Data!J:J)))))),0))</f>
        <v/>
      </c>
      <c r="AG987" s="12"/>
      <c r="AH987" s="12"/>
      <c r="AI987" s="12"/>
      <c r="AM987" s="61"/>
      <c r="BC987" s="50"/>
    </row>
    <row r="988">
      <c r="A988" s="14"/>
      <c r="B988" s="62"/>
      <c r="F988" s="45" t="str">
        <f>IFERROR((SUMIF(Data!B:B, A988, Data!J:J)
/ (COUNTIF(Data!B:B, A988)
)),"")</f>
        <v/>
      </c>
      <c r="G988" s="45" t="str">
        <f>IF(A988="","",IFERROR((((((SUMIF(Data!B:B, A988, Data!H:H)+(SUMIF(Data!B:B, A988,Data!G:G)))/(SUMIF(Data!B:B, A988, Data!J:J)))))),0))</f>
        <v/>
      </c>
      <c r="AG988" s="12"/>
      <c r="AH988" s="12"/>
      <c r="AI988" s="12"/>
      <c r="AM988" s="61"/>
      <c r="BC988" s="50"/>
    </row>
    <row r="989">
      <c r="A989" s="14"/>
      <c r="B989" s="62"/>
      <c r="F989" s="45" t="str">
        <f>IFERROR((SUMIF(Data!B:B, A989, Data!J:J)
/ (COUNTIF(Data!B:B, A989)
)),"")</f>
        <v/>
      </c>
      <c r="G989" s="45" t="str">
        <f>IF(A989="","",IFERROR((((((SUMIF(Data!B:B, A989, Data!H:H)+(SUMIF(Data!B:B, A989,Data!G:G)))/(SUMIF(Data!B:B, A989, Data!J:J)))))),0))</f>
        <v/>
      </c>
      <c r="AG989" s="12"/>
      <c r="AH989" s="12"/>
      <c r="AI989" s="12"/>
      <c r="AM989" s="61"/>
      <c r="BC989" s="50"/>
    </row>
    <row r="990">
      <c r="A990" s="14"/>
      <c r="B990" s="62"/>
      <c r="F990" s="45" t="str">
        <f>IFERROR((SUMIF(Data!B:B, A990, Data!J:J)
/ (COUNTIF(Data!B:B, A990)
)),"")</f>
        <v/>
      </c>
      <c r="G990" s="45" t="str">
        <f>IF(A990="","",IFERROR((((((SUMIF(Data!B:B, A990, Data!H:H)+(SUMIF(Data!B:B, A990,Data!G:G)))/(SUMIF(Data!B:B, A990, Data!J:J)))))),0))</f>
        <v/>
      </c>
      <c r="AG990" s="12"/>
      <c r="AH990" s="12"/>
      <c r="AI990" s="12"/>
      <c r="AM990" s="61"/>
      <c r="BC990" s="50"/>
    </row>
    <row r="991">
      <c r="A991" s="14"/>
      <c r="B991" s="62"/>
      <c r="F991" s="45" t="str">
        <f>IFERROR((SUMIF(Data!B:B, A991, Data!J:J)
/ (COUNTIF(Data!B:B, A991)
)),"")</f>
        <v/>
      </c>
      <c r="G991" s="45" t="str">
        <f>IF(A991="","",IFERROR((((((SUMIF(Data!B:B, A991, Data!H:H)+(SUMIF(Data!B:B, A991,Data!G:G)))/(SUMIF(Data!B:B, A991, Data!J:J)))))),0))</f>
        <v/>
      </c>
      <c r="AG991" s="12"/>
      <c r="AH991" s="12"/>
      <c r="AI991" s="12"/>
      <c r="AM991" s="61"/>
      <c r="BC991" s="50"/>
    </row>
    <row r="992">
      <c r="A992" s="14"/>
      <c r="B992" s="62"/>
      <c r="F992" s="45" t="str">
        <f>IFERROR((SUMIF(Data!B:B, A992, Data!J:J)
/ (COUNTIF(Data!B:B, A992)
)),"")</f>
        <v/>
      </c>
      <c r="G992" s="45" t="str">
        <f>IF(A992="","",IFERROR((((((SUMIF(Data!B:B, A992, Data!H:H)+(SUMIF(Data!B:B, A992,Data!G:G)))/(SUMIF(Data!B:B, A992, Data!J:J)))))),0))</f>
        <v/>
      </c>
      <c r="AG992" s="12"/>
      <c r="AH992" s="12"/>
      <c r="AI992" s="12"/>
      <c r="AM992" s="61"/>
      <c r="BC992" s="50"/>
    </row>
    <row r="993">
      <c r="A993" s="14"/>
      <c r="B993" s="62"/>
      <c r="F993" s="45" t="str">
        <f>IFERROR((SUMIF(Data!B:B, A993, Data!J:J)
/ (COUNTIF(Data!B:B, A993)
)),"")</f>
        <v/>
      </c>
      <c r="G993" s="45" t="str">
        <f>IF(A993="","",IFERROR((((((SUMIF(Data!B:B, A993, Data!H:H)+(SUMIF(Data!B:B, A993,Data!G:G)))/(SUMIF(Data!B:B, A993, Data!J:J)))))),0))</f>
        <v/>
      </c>
      <c r="AG993" s="12"/>
      <c r="AH993" s="12"/>
      <c r="AI993" s="12"/>
      <c r="AM993" s="61"/>
      <c r="BC993" s="50"/>
    </row>
    <row r="994">
      <c r="A994" s="14"/>
      <c r="B994" s="62"/>
      <c r="F994" s="45" t="str">
        <f>IFERROR((SUMIF(Data!B:B, A994, Data!J:J)
/ (COUNTIF(Data!B:B, A994)
)),"")</f>
        <v/>
      </c>
      <c r="G994" s="45" t="str">
        <f>IF(A994="","",IFERROR((((((SUMIF(Data!B:B, A994, Data!H:H)+(SUMIF(Data!B:B, A994,Data!G:G)))/(SUMIF(Data!B:B, A994, Data!J:J)))))),0))</f>
        <v/>
      </c>
      <c r="AG994" s="12"/>
      <c r="AH994" s="12"/>
      <c r="AI994" s="12"/>
      <c r="AM994" s="61"/>
      <c r="BC994" s="50"/>
    </row>
    <row r="995">
      <c r="A995" s="14"/>
      <c r="B995" s="62"/>
      <c r="F995" s="45" t="str">
        <f>IFERROR((SUMIF(Data!B:B, A995, Data!J:J)
/ (COUNTIF(Data!B:B, A995)
)),"")</f>
        <v/>
      </c>
      <c r="G995" s="45" t="str">
        <f>IF(A995="","",IFERROR((((((SUMIF(Data!B:B, A995, Data!H:H)+(SUMIF(Data!B:B, A995,Data!G:G)))/(SUMIF(Data!B:B, A995, Data!J:J)))))),0))</f>
        <v/>
      </c>
      <c r="AG995" s="12"/>
      <c r="AH995" s="12"/>
      <c r="AI995" s="12"/>
      <c r="AM995" s="61"/>
      <c r="BC995" s="50"/>
    </row>
    <row r="996">
      <c r="A996" s="14"/>
      <c r="B996" s="62"/>
      <c r="F996" s="45" t="str">
        <f>IFERROR((SUMIF(Data!B:B, A996, Data!J:J)
/ (COUNTIF(Data!B:B, A996)
)),"")</f>
        <v/>
      </c>
      <c r="G996" s="45" t="str">
        <f>IF(A996="","",IFERROR((((((SUMIF(Data!B:B, A996, Data!H:H)+(SUMIF(Data!B:B, A996,Data!G:G)))/(SUMIF(Data!B:B, A996, Data!J:J)))))),0))</f>
        <v/>
      </c>
      <c r="AG996" s="12"/>
      <c r="AH996" s="12"/>
      <c r="AI996" s="12"/>
      <c r="AM996" s="61"/>
      <c r="BC996" s="50"/>
    </row>
    <row r="997">
      <c r="A997" s="14"/>
      <c r="B997" s="62"/>
      <c r="F997" s="45" t="str">
        <f>IFERROR((SUMIF(Data!B:B, A997, Data!J:J)
/ (COUNTIF(Data!B:B, A997)
)),"")</f>
        <v/>
      </c>
      <c r="G997" s="45" t="str">
        <f>IF(A997="","",IFERROR((((((SUMIF(Data!B:B, A997, Data!H:H)+(SUMIF(Data!B:B, A997,Data!G:G)))/(SUMIF(Data!B:B, A997, Data!J:J)))))),0))</f>
        <v/>
      </c>
      <c r="AG997" s="12"/>
      <c r="AH997" s="12"/>
      <c r="AI997" s="12"/>
      <c r="AM997" s="61"/>
      <c r="BC997" s="50"/>
    </row>
    <row r="998">
      <c r="A998" s="14"/>
      <c r="B998" s="62"/>
      <c r="F998" s="45" t="str">
        <f>IFERROR((SUMIF(Data!B:B, A998, Data!J:J)
/ (COUNTIF(Data!B:B, A998)
)),"")</f>
        <v/>
      </c>
      <c r="G998" s="45" t="str">
        <f>IF(A998="","",IFERROR((((((SUMIF(Data!B:B, A998, Data!H:H)+(SUMIF(Data!B:B, A998,Data!G:G)))/(SUMIF(Data!B:B, A998, Data!J:J)))))),0))</f>
        <v/>
      </c>
      <c r="AG998" s="12"/>
      <c r="AH998" s="12"/>
      <c r="AI998" s="12"/>
      <c r="AM998" s="61"/>
      <c r="BC998" s="50"/>
    </row>
    <row r="999">
      <c r="A999" s="14"/>
      <c r="B999" s="62"/>
      <c r="F999" s="45" t="str">
        <f>IFERROR((SUMIF(Data!B:B, A999, Data!J:J)
/ (COUNTIF(Data!B:B, A999)
)),"")</f>
        <v/>
      </c>
      <c r="G999" s="45" t="str">
        <f>IF(A999="","",IFERROR((((((SUMIF(Data!B:B, A999, Data!H:H)+(SUMIF(Data!B:B, A999,Data!G:G)))/(SUMIF(Data!B:B, A999, Data!J:J)))))),0))</f>
        <v/>
      </c>
      <c r="AG999" s="12"/>
      <c r="AH999" s="12"/>
      <c r="AI999" s="12"/>
      <c r="AM999" s="61"/>
      <c r="BC999" s="50"/>
    </row>
    <row r="1000">
      <c r="A1000" s="14"/>
      <c r="B1000" s="62"/>
      <c r="F1000" s="45" t="str">
        <f>IFERROR((SUMIF(Data!B:B, A1000, Data!J:J)
/ (COUNTIF(Data!B:B, A1000)
)),"")</f>
        <v/>
      </c>
      <c r="G1000" s="45" t="str">
        <f>IF(A1000="","",IFERROR((((((SUMIF(Data!B:B, A1000, Data!H:H)+(SUMIF(Data!B:B, A1000,Data!G:G)))/(SUMIF(Data!B:B, A1000, Data!J:J)))))),0))</f>
        <v/>
      </c>
      <c r="AG1000" s="12"/>
      <c r="AH1000" s="12"/>
      <c r="AI1000" s="12"/>
      <c r="AM1000" s="61"/>
      <c r="BC1000" s="50"/>
    </row>
  </sheetData>
  <autoFilter ref="$A$1:$AL$49"/>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15.13"/>
  </cols>
  <sheetData>
    <row r="1">
      <c r="A1" s="63" t="s">
        <v>557</v>
      </c>
      <c r="B1" s="64"/>
      <c r="C1" s="65"/>
      <c r="D1" s="65"/>
      <c r="E1" s="65"/>
      <c r="F1" s="65"/>
      <c r="G1" s="65"/>
      <c r="H1" s="65"/>
      <c r="I1" s="65"/>
      <c r="J1" s="65"/>
      <c r="K1" s="65"/>
      <c r="L1" s="65"/>
      <c r="M1" s="65"/>
      <c r="N1" s="64"/>
      <c r="O1" s="65"/>
      <c r="P1" s="65"/>
      <c r="Q1" s="65"/>
      <c r="R1" s="65"/>
      <c r="S1" s="65"/>
      <c r="T1" s="65"/>
      <c r="U1" s="65"/>
      <c r="V1" s="65"/>
      <c r="W1" s="65"/>
      <c r="X1" s="65"/>
      <c r="Y1" s="65"/>
      <c r="Z1" s="64"/>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4"/>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6"/>
      <c r="CT1" s="65"/>
      <c r="CU1" s="65"/>
      <c r="CV1" s="65"/>
      <c r="CW1" s="65"/>
      <c r="CX1" s="65"/>
      <c r="CY1" s="65"/>
      <c r="CZ1" s="65"/>
      <c r="DA1" s="65"/>
      <c r="DB1" s="65"/>
      <c r="DC1" s="65"/>
      <c r="DD1" s="65"/>
      <c r="DE1" s="65"/>
    </row>
    <row r="2">
      <c r="A2" s="67">
        <f>RawTotals!A2</f>
        <v>1023</v>
      </c>
      <c r="B2" s="68" t="str">
        <f>IFERROR(__xludf.DUMMYFUNCTION("IF(A2&lt;&gt;"""",IFERROR(TRANSPOSE(FILTER(Data!D:D,Data!B:B=A2,Data!R:R&lt;&gt;"""")),""No Defense""),"""")"),"No Defense")</f>
        <v>No Defense</v>
      </c>
      <c r="C2" s="65"/>
      <c r="D2" s="65"/>
      <c r="E2" s="65"/>
      <c r="F2" s="65"/>
      <c r="G2" s="65"/>
      <c r="H2" s="65"/>
      <c r="I2" s="65"/>
      <c r="J2" s="65"/>
      <c r="K2" s="65"/>
      <c r="L2" s="65"/>
      <c r="M2" s="65"/>
      <c r="N2" s="64" t="str">
        <f>IFERROR(__xludf.DUMMYFUNCTION("IFERROR(Textjoin("""",TRUE,FILTER(Data!$R:$R,Data!$D:$D=B2,Data!$B:$B=$A2)),"""")"),"")</f>
        <v/>
      </c>
      <c r="O2" s="64" t="str">
        <f>IFERROR(__xludf.DUMMYFUNCTION("IFERROR(Textjoin("""",TRUE,FILTER(Data!$R:$R,Data!$D:$D=C2,Data!$B:$B=$A2)),"""")"),"")</f>
        <v/>
      </c>
      <c r="P2" s="64" t="str">
        <f>IFERROR(__xludf.DUMMYFUNCTION("IFERROR(Textjoin("""",TRUE,FILTER(Data!$R:$R,Data!$D:$D=D2,Data!$B:$B=$A2)),"""")"),"")</f>
        <v/>
      </c>
      <c r="Q2" s="64" t="str">
        <f>IFERROR(__xludf.DUMMYFUNCTION("IFERROR(Textjoin("""",TRUE,FILTER(Data!$R:$R,Data!$D:$D=E2,Data!$B:$B=$A2)),"""")"),"")</f>
        <v/>
      </c>
      <c r="R2" s="64" t="str">
        <f>IFERROR(__xludf.DUMMYFUNCTION("IFERROR(Textjoin("""",TRUE,FILTER(Data!$R:$R,Data!$D:$D=F2,Data!$B:$B=$A2)),"""")"),"")</f>
        <v/>
      </c>
      <c r="S2" s="64" t="str">
        <f>IFERROR(__xludf.DUMMYFUNCTION("IFERROR(Textjoin("""",TRUE,FILTER(Data!$R:$R,Data!$D:$D=G2,Data!$B:$B=$A2)),"""")"),"")</f>
        <v/>
      </c>
      <c r="T2" s="64" t="str">
        <f>IFERROR(__xludf.DUMMYFUNCTION("IFERROR(Textjoin("""",TRUE,FILTER(Data!$R:$R,Data!$D:$D=H2,Data!$B:$B=$A2)),"""")"),"")</f>
        <v/>
      </c>
      <c r="U2" s="64" t="str">
        <f>IFERROR(__xludf.DUMMYFUNCTION("IFERROR(Textjoin("""",TRUE,FILTER(Data!$R:$R,Data!$D:$D=I2,Data!$B:$B=$A2)),"""")"),"")</f>
        <v/>
      </c>
      <c r="V2" s="64" t="str">
        <f>IFERROR(__xludf.DUMMYFUNCTION("IFERROR(Textjoin("""",TRUE,FILTER(Data!$R:$R,Data!$D:$D=J2,Data!$B:$B=$A2)),"""")"),"")</f>
        <v/>
      </c>
      <c r="W2" s="64" t="str">
        <f>IFERROR(__xludf.DUMMYFUNCTION("IFERROR(Textjoin("""",TRUE,FILTER(Data!$R:$R,Data!$D:$D=K2,Data!$B:$B=$A2)),"""")"),"")</f>
        <v/>
      </c>
      <c r="X2" s="64" t="str">
        <f>IFERROR(__xludf.DUMMYFUNCTION("IFERROR(Textjoin("""",TRUE,FILTER(Data!$R:$R,Data!$D:$D=L2,Data!$B:$B=$A2)),"""")"),"")</f>
        <v/>
      </c>
      <c r="Y2" s="64" t="str">
        <f>IFERROR(__xludf.DUMMYFUNCTION("IFERROR(Textjoin("""",TRUE,FILTER(Data!$R:$R,Data!$D:$D=M2,Data!$B:$B=$A2)),"""")"),"")</f>
        <v/>
      </c>
      <c r="Z2" s="64" t="str">
        <f>IFERROR(__xludf.DUMMYFUNCTION("IFERROR(SPLIT(N2,"",""),"""")"),"")</f>
        <v/>
      </c>
      <c r="AA2" s="65"/>
      <c r="AB2" s="65"/>
      <c r="AC2" s="69" t="str">
        <f>IFERROR(__xludf.DUMMYFUNCTION("IFERROR(SPLIT(O2,"",""),"""")"),"")</f>
        <v/>
      </c>
      <c r="AD2" s="65"/>
      <c r="AE2" s="65"/>
      <c r="AF2" s="69" t="str">
        <f>IFERROR(__xludf.DUMMYFUNCTION("IFERROR(SPLIT(P2,"",""),"""")"),"")</f>
        <v/>
      </c>
      <c r="AG2" s="65"/>
      <c r="AH2" s="65"/>
      <c r="AI2" s="69" t="str">
        <f>IFERROR(__xludf.DUMMYFUNCTION("IFERROR(SPLIT(Q2,"",""),"""")"),"")</f>
        <v/>
      </c>
      <c r="AJ2" s="65"/>
      <c r="AK2" s="65"/>
      <c r="AL2" s="69" t="str">
        <f>IFERROR(__xludf.DUMMYFUNCTION("IFERROR(SPLIT(R2,"",""),"""")"),"")</f>
        <v/>
      </c>
      <c r="AM2" s="65"/>
      <c r="AN2" s="65"/>
      <c r="AO2" s="69" t="str">
        <f>IFERROR(__xludf.DUMMYFUNCTION("IFERROR(SPLIT(S2,"",""),"""")"),"")</f>
        <v/>
      </c>
      <c r="AP2" s="65"/>
      <c r="AQ2" s="65"/>
      <c r="AR2" s="69" t="str">
        <f>IFERROR(__xludf.DUMMYFUNCTION("IFERROR(SPLIT(T2,"",""),"""")"),"")</f>
        <v/>
      </c>
      <c r="AS2" s="65"/>
      <c r="AT2" s="65"/>
      <c r="AU2" s="69" t="str">
        <f>IFERROR(__xludf.DUMMYFUNCTION("IFERROR(SPLIT(U2,"",""),"""")"),"")</f>
        <v/>
      </c>
      <c r="AV2" s="65"/>
      <c r="AW2" s="65"/>
      <c r="AX2" s="69" t="str">
        <f>IFERROR(__xludf.DUMMYFUNCTION("IFERROR(SPLIT(V2,"",""),"""")"),"")</f>
        <v/>
      </c>
      <c r="AY2" s="65"/>
      <c r="AZ2" s="65"/>
      <c r="BA2" s="69" t="str">
        <f>IFERROR(__xludf.DUMMYFUNCTION("IFERROR(SPLIT(W2,"",""),"""")"),"")</f>
        <v/>
      </c>
      <c r="BB2" s="69"/>
      <c r="BC2" s="69"/>
      <c r="BD2" s="69" t="str">
        <f>IFERROR(__xludf.DUMMYFUNCTION("IFERROR(SPLIT(X2,"",""),"""")"),"")</f>
        <v/>
      </c>
      <c r="BE2" s="69"/>
      <c r="BF2" s="69"/>
      <c r="BG2" s="69" t="str">
        <f>IFERROR(__xludf.DUMMYFUNCTION("IFERROR(SPLIT(Y2,"",""),"""")"),"")</f>
        <v/>
      </c>
      <c r="BH2" s="69"/>
      <c r="BI2" s="69"/>
      <c r="BJ2" s="68" t="str">
        <f>IFERROR(__xludf.DUMMYFUNCTION("IF($B2&lt;&gt;"""",IFERROR(FILTER(RawTotals!$AJ:$AJ,RawTotals!$A:$A=Z2)-(FILTER(Data!$K:$K,Data!$B:$B=Z2,Data!$D:$D=$B2)+FILTER(Data!$L:$L,Data!$B:$B=Z2,Data!$D:$D=$B2)),""""),"""")"),"")</f>
        <v/>
      </c>
      <c r="BK2" s="68" t="str">
        <f>IFERROR(__xludf.DUMMYFUNCTION("IF($B2&lt;&gt;"""",IFERROR(FILTER(RawTotals!$AJ:$AJ,RawTotals!$A:$A=AA2)-(FILTER(Data!$K:$K,Data!$B:$B=AA2,Data!$D:$D=$B2)+FILTER(Data!$L:$L,Data!$B:$B=AA2,Data!$D:$D=$B2)),""""),"""")"),"")</f>
        <v/>
      </c>
      <c r="BL2" s="68" t="str">
        <f>IFERROR(__xludf.DUMMYFUNCTION("IF($B2&lt;&gt;"""",IFERROR(FILTER(RawTotals!$AJ:$AJ,RawTotals!$A:$A=AB2)-(FILTER(Data!$K:$K,Data!$B:$B=AB2,Data!$D:$D=$B2)+FILTER(Data!$L:$L,Data!$B:$B=AB2,Data!$D:$D=$B2)),""""),"""")"),"")</f>
        <v/>
      </c>
      <c r="BM2" s="69" t="str">
        <f>IFERROR(__xludf.DUMMYFUNCTION("IF($C2&lt;&gt;"""",IFERROR(FILTER(RawTotals!$AJ:$AJ,RawTotals!$A:$A=AC2)-(FILTER(Data!$K:$K,Data!$B:$B=AC2,Data!$D:$D=$C2)+FILTER(Data!$L:$L,Data!$B:$B=AC2,Data!$D:$D=$C2)),""""),"""")"),"")</f>
        <v/>
      </c>
      <c r="BN2" s="69" t="str">
        <f>IFERROR(__xludf.DUMMYFUNCTION("IF($C2&lt;&gt;"""",IFERROR(FILTER(RawTotals!$AJ:$AJ,RawTotals!$A:$A=AD2)-(FILTER(Data!$K:$K,Data!$B:$B=AD2,Data!$D:$D=$C2)+FILTER(Data!$L:$L,Data!$B:$B=AD2,Data!$D:$D=$C2)),""""),"""")"),"")</f>
        <v/>
      </c>
      <c r="BO2" s="69" t="str">
        <f>IFERROR(__xludf.DUMMYFUNCTION("IF($C2&lt;&gt;"""",IFERROR(FILTER(RawTotals!$AJ:$AJ,RawTotals!$A:$A=AE2)-(FILTER(Data!$K:$K,Data!$B:$B=AE2,Data!$D:$D=$C2)+FILTER(Data!$L:$L,Data!$B:$B=AE2,Data!$D:$D=$C2)),""""),"""")"),"")</f>
        <v/>
      </c>
      <c r="BP2" s="69" t="str">
        <f>IFERROR(__xludf.DUMMYFUNCTION("IF($D2&lt;&gt;"""",IFERROR(FILTER(RawTotals!$AJ:$AJ,RawTotals!$A:$A=AF2)-(FILTER(Data!$K:$K,Data!$B:$B=AF2,Data!$D:$D=$D2)+FILTER(Data!$L:$L,Data!$B:$B=AF2,Data!$D:$D=$D2)),""""),"""")"),"")</f>
        <v/>
      </c>
      <c r="BQ2" s="69" t="str">
        <f>IFERROR(__xludf.DUMMYFUNCTION("IF($D2&lt;&gt;"""",IFERROR(FILTER(RawTotals!$AJ:$AJ,RawTotals!$A:$A=AG2)-(FILTER(Data!$K:$K,Data!$B:$B=AG2,Data!$D:$D=$D2)+FILTER(Data!$L:$L,Data!$B:$B=AG2,Data!$D:$D=$D2)),""""),"""")"),"")</f>
        <v/>
      </c>
      <c r="BR2" s="69" t="str">
        <f>IFERROR(__xludf.DUMMYFUNCTION("IF($D2&lt;&gt;"""",IFERROR(FILTER(RawTotals!$AJ:$AJ,RawTotals!$A:$A=AH2)-(FILTER(Data!$K:$K,Data!$B:$B=AH2,Data!$D:$D=$D2)+FILTER(Data!$L:$L,Data!$B:$B=AH2,Data!$D:$D=$D2)),""""),"""")"),"")</f>
        <v/>
      </c>
      <c r="BS2" s="69" t="str">
        <f>IFERROR(__xludf.DUMMYFUNCTION("IF($E2&lt;&gt;"""",IFERROR(FILTER(RawTotals!$AJ:$AJ,RawTotals!$A:$A=AI2)-(FILTER(Data!$K:$K,Data!$B:$B=AI2,Data!$D:$D=$E2)+FILTER(Data!$L:$L,Data!$B:$B=AI2,Data!$D:$D=$E2)),""""),"""")"),"")</f>
        <v/>
      </c>
      <c r="BT2" s="69" t="str">
        <f>IFERROR(__xludf.DUMMYFUNCTION("IF($E2&lt;&gt;"""",IFERROR(FILTER(RawTotals!$AJ:$AJ,RawTotals!$A:$A=AJ2)-(FILTER(Data!$K:$K,Data!$B:$B=AJ2,Data!$D:$D=$E2)+FILTER(Data!$L:$L,Data!$B:$B=AJ2,Data!$D:$D=$E2)),""""),"""")"),"")</f>
        <v/>
      </c>
      <c r="BU2" s="69" t="str">
        <f>IFERROR(__xludf.DUMMYFUNCTION("IF($E2&lt;&gt;"""",IFERROR(FILTER(RawTotals!$AJ:$AJ,RawTotals!$A:$A=AK2)-(FILTER(Data!$K:$K,Data!$B:$B=AK2,Data!$D:$D=$E2)+FILTER(Data!$L:$L,Data!$B:$B=AK2,Data!$D:$D=$E2)),""""),"""")"),"")</f>
        <v/>
      </c>
      <c r="BV2" s="69" t="str">
        <f>IFERROR(__xludf.DUMMYFUNCTION("IF($F2&lt;&gt;"""",IFERROR(FILTER(RawTotals!$AJ:$AJ,RawTotals!$A:$A=AL2)-(FILTER(Data!$K:$K,Data!$B:$B=AL2,Data!$D:$D=$F2)+FILTER(Data!$L:$L,Data!$B:$B=AL2,Data!$D:$D=$F2)),""""),"""")"),"")</f>
        <v/>
      </c>
      <c r="BW2" s="69" t="str">
        <f>IFERROR(__xludf.DUMMYFUNCTION("IF($F2&lt;&gt;"""",IFERROR(FILTER(RawTotals!$AJ:$AJ,RawTotals!$A:$A=AM2)-(FILTER(Data!$K:$K,Data!$B:$B=AM2,Data!$D:$D=$F2)+FILTER(Data!$L:$L,Data!$B:$B=AM2,Data!$D:$D=$F2)),""""),"""")"),"")</f>
        <v/>
      </c>
      <c r="BX2" s="69" t="str">
        <f>IFERROR(__xludf.DUMMYFUNCTION("IF($F2&lt;&gt;"""",IFERROR(FILTER(RawTotals!$AJ:$AJ,RawTotals!$A:$A=AN2)-(FILTER(Data!$K:$K,Data!$B:$B=AN2,Data!$D:$D=$F2)+FILTER(Data!$L:$L,Data!$B:$B=AN2,Data!$D:$D=$F2)),""""),"""")"),"")</f>
        <v/>
      </c>
      <c r="BY2" s="69" t="str">
        <f>IFERROR(__xludf.DUMMYFUNCTION("IF($G2&lt;&gt;"""",IFERROR(FILTER(RawTotals!$AJ:$AJ,RawTotals!$A:$A=AO2)-(FILTER(Data!$K:$K,Data!$B:$B=AO2,Data!$D:$D=$G2)+FILTER(Data!$L:$L,Data!$B:$B=AO2,Data!$D:$D=$G2)),""""),"""")"),"")</f>
        <v/>
      </c>
      <c r="BZ2" s="69" t="str">
        <f>IFERROR(__xludf.DUMMYFUNCTION("IF($G2&lt;&gt;"""",IFERROR(FILTER(RawTotals!$AJ:$AJ,RawTotals!$A:$A=AP2)-(FILTER(Data!$K:$K,Data!$B:$B=AP2,Data!$D:$D=$G2)+FILTER(Data!$L:$L,Data!$B:$B=AP2,Data!$D:$D=$G2)),""""),"""")"),"")</f>
        <v/>
      </c>
      <c r="CA2" s="69" t="str">
        <f>IFERROR(__xludf.DUMMYFUNCTION("IF($G2&lt;&gt;"""",IFERROR(FILTER(RawTotals!$AJ:$AJ,RawTotals!$A:$A=AQ2)-(FILTER(Data!$K:$K,Data!$B:$B=AQ2,Data!$D:$D=$G2)+FILTER(Data!$L:$L,Data!$B:$B=AQ2,Data!$D:$D=$G2)),""""),"""")"),"")</f>
        <v/>
      </c>
      <c r="CB2" s="69" t="str">
        <f>IFERROR(__xludf.DUMMYFUNCTION("IF($H2&lt;&gt;"""",IFERROR(FILTER(RawTotals!$AJ:$AJ,RawTotals!$A:$A=AR2)-(FILTER(Data!$K:$K,Data!$B:$B=AR2,Data!$D:$D=$H2)+FILTER(Data!$L:$L,Data!$B:$B=AR2,Data!$D:$D=$H2)),""""),"""")"),"")</f>
        <v/>
      </c>
      <c r="CC2" s="69" t="str">
        <f>IFERROR(__xludf.DUMMYFUNCTION("IF($H2&lt;&gt;"""",IFERROR(FILTER(RawTotals!$AJ:$AJ,RawTotals!$A:$A=AS2)-(FILTER(Data!$K:$K,Data!$B:$B=AS2,Data!$D:$D=$H2)+FILTER(Data!$L:$L,Data!$B:$B=AS2,Data!$D:$D=$H2)),""""),"""")"),"")</f>
        <v/>
      </c>
      <c r="CD2" s="69" t="str">
        <f>IFERROR(__xludf.DUMMYFUNCTION("IF($H2&lt;&gt;"""",IFERROR(FILTER(RawTotals!$AJ:$AJ,RawTotals!$A:$A=AT2)-(FILTER(Data!$K:$K,Data!$B:$B=AT2,Data!$D:$D=$H2)+FILTER(Data!$L:$L,Data!$B:$B=AT2,Data!$D:$D=$H2)),""""),"""")"),"")</f>
        <v/>
      </c>
      <c r="CE2" s="69" t="str">
        <f>IFERROR(__xludf.DUMMYFUNCTION("IF($I2&lt;&gt;"""",IFERROR(FILTER(RawTotals!$AJ:$AJ,RawTotals!$A:$A=AU2)-(FILTER(Data!$K:$K,Data!$B:$B=AU2,Data!$D:$D=$I2)+FILTER(Data!$L:$L,Data!$B:$B=AU2,Data!$D:$D=$I2)),""""),"""")"),"")</f>
        <v/>
      </c>
      <c r="CF2" s="69" t="str">
        <f>IFERROR(__xludf.DUMMYFUNCTION("IF($I2&lt;&gt;"""",IFERROR(FILTER(RawTotals!$AJ:$AJ,RawTotals!$A:$A=AV2)-(FILTER(Data!$K:$K,Data!$B:$B=AV2,Data!$D:$D=$I2)+FILTER(Data!$L:$L,Data!$B:$B=AV2,Data!$D:$D=$I2)),""""),"""")"),"")</f>
        <v/>
      </c>
      <c r="CG2" s="69" t="str">
        <f>IFERROR(__xludf.DUMMYFUNCTION("IF($I2&lt;&gt;"""",IFERROR(FILTER(RawTotals!$AJ:$AJ,RawTotals!$A:$A=AW2)-(FILTER(Data!$K:$K,Data!$B:$B=AW2,Data!$D:$D=$I2)+FILTER(Data!$L:$L,Data!$B:$B=AW2,Data!$D:$D=$I2)),""""),"""")"),"")</f>
        <v/>
      </c>
      <c r="CH2" s="69" t="str">
        <f>IFERROR(__xludf.DUMMYFUNCTION("IF($J2&lt;&gt;"""",IFERROR(FILTER(RawTotals!$AJ:$AJ,RawTotals!$A:$A=AX2)-(FILTER(Data!$K:$K,Data!$B:$B=AX2,Data!$D:$D=$J2)+FILTER(Data!$L:$L,Data!$B:$B=AX2,Data!$D:$D=$J2)),""""),"""")"),"")</f>
        <v/>
      </c>
      <c r="CI2" s="69" t="str">
        <f>IFERROR(__xludf.DUMMYFUNCTION("IF($J2&lt;&gt;"""",IFERROR(FILTER(RawTotals!$AJ:$AJ,RawTotals!$A:$A=AY2)-(FILTER(Data!$K:$K,Data!$B:$B=AY2,Data!$D:$D=$J2)+FILTER(Data!$L:$L,Data!$B:$B=AY2,Data!$D:$D=$J2)),""""),"""")"),"")</f>
        <v/>
      </c>
      <c r="CJ2" s="69" t="str">
        <f>IFERROR(__xludf.DUMMYFUNCTION("IF($J2&lt;&gt;"""",IFERROR(FILTER(RawTotals!$AJ:$AJ,RawTotals!$A:$A=AZ2)-(FILTER(Data!$K:$K,Data!$B:$B=AZ2,Data!$D:$D=$J2)+FILTER(Data!$L:$L,Data!$B:$B=AZ2,Data!$D:$D=$J2)),""""),"""")"),"")</f>
        <v/>
      </c>
      <c r="CK2" s="69" t="str">
        <f>IFERROR(__xludf.DUMMYFUNCTION("IF($K2&lt;&gt;"""",IFERROR(FILTER(RawTotals!$AJ:$AJ,RawTotals!$A:$A=BA2)-(FILTER(Data!$K:$K,Data!$B:$B=BA2,Data!$D:$D=$K2)+FILTER(Data!$L:$L,Data!$B:$B=BA2,Data!$D:$D=$K2)),""""),"""")"),"")</f>
        <v/>
      </c>
      <c r="CL2" s="69" t="str">
        <f>IFERROR(__xludf.DUMMYFUNCTION("IF($K2&lt;&gt;"""",IFERROR(FILTER(RawTotals!$AJ:$AJ,RawTotals!$A:$A=BB2)-(FILTER(Data!$K:$K,Data!$B:$B=BB2,Data!$D:$D=$K2)+FILTER(Data!$L:$L,Data!$B:$B=BB2,Data!$D:$D=$K2)),""""),"""")"),"")</f>
        <v/>
      </c>
      <c r="CM2" s="69" t="str">
        <f>IFERROR(__xludf.DUMMYFUNCTION("IF($K2&lt;&gt;"""",IFERROR(FILTER(RawTotals!$AJ:$AJ,RawTotals!$A:$A=BC2)-(FILTER(Data!$K:$K,Data!$B:$B=BC2,Data!$D:$D=$K2)+FILTER(Data!$L:$L,Data!$B:$B=BC2,Data!$D:$D=$K2)),""""),"""")"),"")</f>
        <v/>
      </c>
      <c r="CN2" s="69" t="str">
        <f>IFERROR(__xludf.DUMMYFUNCTION("IF($L2&lt;&gt;"""",IFERROR((FILTER(RawTotals!$AJ:$AJ,RawTotals!$A:$A=BD2)-(FILTER(Data!$K:$K,Data!$B:$B=BD2,Data!$D:$D=$L2)+FILTER(Data!$L:$L,Data!$B:$B=BD2,Data!$D:$D=$L2))),""""),"""")"),"")</f>
        <v/>
      </c>
      <c r="CO2" s="69" t="str">
        <f>IFERROR(__xludf.DUMMYFUNCTION("IF($L2&lt;&gt;"""",IFERROR((FILTER(RawTotals!$AJ:$AJ,RawTotals!$A:$A=BE2)-(FILTER(Data!$K:$K,Data!$B:$B=BE2,Data!$D:$D=$L2)+FILTER(Data!$L:$L,Data!$B:$B=BE2,Data!$D:$D=$L2))),""""),"""")"),"")</f>
        <v/>
      </c>
      <c r="CP2" s="69" t="str">
        <f>IFERROR(__xludf.DUMMYFUNCTION("IF($L2&lt;&gt;"""",IFERROR((FILTER(RawTotals!$AJ:$AJ,RawTotals!$A:$A=BF2)-(FILTER(Data!$K:$K,Data!$B:$B=BF2,Data!$D:$D=$L2)+FILTER(Data!$L:$L,Data!$B:$B=BF2,Data!$D:$D=$L2))),""""),"""")"),"")</f>
        <v/>
      </c>
      <c r="CQ2" s="69" t="str">
        <f>IFERROR(__xludf.DUMMYFUNCTION("IF($M2&lt;&gt;"""",IFERROR((FILTER(RawTotals!$AJ:$AJ,RawTotals!$A:$A=BG2)-(FILTER(Data!$K:$K,Data!$B:$B=BG2,Data!$D:$D=$M2)+FILTER(Data!$L:$L,Data!$B:$B=BG2,Data!$D:$D=$M2))),""""),"""")"),"")</f>
        <v/>
      </c>
      <c r="CR2" s="69" t="str">
        <f>IFERROR(__xludf.DUMMYFUNCTION("IF($M2&lt;&gt;"""",IFERROR((FILTER(RawTotals!$AJ:$AJ,RawTotals!$A:$A=BH2)-(FILTER(Data!$K:$K,Data!$B:$B=BH2,Data!$D:$D=$M2)+FILTER(Data!$L:$L,Data!$B:$B=BH2,Data!$D:$D=$M2))),""""),"""")"),"")</f>
        <v/>
      </c>
      <c r="CS2" s="70" t="str">
        <f>IFERROR(__xludf.DUMMYFUNCTION("IF($M2&lt;&gt;"""",IFERROR((FILTER(RawTotals!$AJ:$AJ,RawTotals!$A:$A=BI2)-(FILTER(Data!$K:$K,Data!$B:$B=BI2,Data!$D:$D=$M2)+FILTER(Data!$L:$L,Data!$B:$B=BI2,Data!$D:$D=$M2))),""""),"""")"),"")</f>
        <v/>
      </c>
      <c r="CT2" s="69"/>
      <c r="CU2" s="69"/>
      <c r="CV2" s="69"/>
      <c r="CW2" s="69"/>
      <c r="CX2" s="69"/>
      <c r="CY2" s="69"/>
      <c r="CZ2" s="69"/>
      <c r="DA2" s="69"/>
      <c r="DB2" s="69"/>
      <c r="DC2" s="69"/>
      <c r="DD2" s="69"/>
      <c r="DE2" s="69"/>
    </row>
    <row r="3">
      <c r="A3" s="67">
        <f>RawTotals!A3</f>
        <v>2056</v>
      </c>
      <c r="B3" s="68" t="str">
        <f>IFERROR(__xludf.DUMMYFUNCTION("IF(A3&lt;&gt;"""",IFERROR(TRANSPOSE(FILTER(Data!D:D,Data!B:B=A3,Data!R:R&lt;&gt;"""")),""No Defense""),"""")"),"No Defense")</f>
        <v>No Defense</v>
      </c>
      <c r="C3" s="65"/>
      <c r="D3" s="65"/>
      <c r="E3" s="65"/>
      <c r="F3" s="65"/>
      <c r="G3" s="65"/>
      <c r="H3" s="65"/>
      <c r="I3" s="65"/>
      <c r="J3" s="65"/>
      <c r="K3" s="65"/>
      <c r="L3" s="65"/>
      <c r="M3" s="65"/>
      <c r="N3" s="64" t="str">
        <f>IFERROR(__xludf.DUMMYFUNCTION("IFERROR(Textjoin("""",TRUE,FILTER(Data!$R:$R,Data!$D:$D=B3,Data!$B:$B=$A3)),"""")"),"")</f>
        <v/>
      </c>
      <c r="O3" s="64" t="str">
        <f>IFERROR(__xludf.DUMMYFUNCTION("IFERROR(Textjoin("""",TRUE,FILTER(Data!$R:$R,Data!$D:$D=C3,Data!$B:$B=$A3)),"""")"),"")</f>
        <v/>
      </c>
      <c r="P3" s="64" t="str">
        <f>IFERROR(__xludf.DUMMYFUNCTION("IFERROR(Textjoin("""",TRUE,FILTER(Data!$R:$R,Data!$D:$D=D3,Data!$B:$B=$A3)),"""")"),"")</f>
        <v/>
      </c>
      <c r="Q3" s="64" t="str">
        <f>IFERROR(__xludf.DUMMYFUNCTION("IFERROR(Textjoin("""",TRUE,FILTER(Data!$R:$R,Data!$D:$D=E3,Data!$B:$B=$A3)),"""")"),"")</f>
        <v/>
      </c>
      <c r="R3" s="64" t="str">
        <f>IFERROR(__xludf.DUMMYFUNCTION("IFERROR(Textjoin("""",TRUE,FILTER(Data!$R:$R,Data!$D:$D=F3,Data!$B:$B=$A3)),"""")"),"")</f>
        <v/>
      </c>
      <c r="S3" s="64" t="str">
        <f>IFERROR(__xludf.DUMMYFUNCTION("IFERROR(Textjoin("""",TRUE,FILTER(Data!$R:$R,Data!$D:$D=G3,Data!$B:$B=$A3)),"""")"),"")</f>
        <v/>
      </c>
      <c r="T3" s="64" t="str">
        <f>IFERROR(__xludf.DUMMYFUNCTION("IFERROR(Textjoin("""",TRUE,FILTER(Data!$R:$R,Data!$D:$D=H3,Data!$B:$B=$A3)),"""")"),"")</f>
        <v/>
      </c>
      <c r="U3" s="64" t="str">
        <f>IFERROR(__xludf.DUMMYFUNCTION("IFERROR(Textjoin("""",TRUE,FILTER(Data!$R:$R,Data!$D:$D=I3,Data!$B:$B=$A3)),"""")"),"")</f>
        <v/>
      </c>
      <c r="V3" s="64" t="str">
        <f>IFERROR(__xludf.DUMMYFUNCTION("IFERROR(Textjoin("""",TRUE,FILTER(Data!$R:$R,Data!$D:$D=J3,Data!$B:$B=$A3)),"""")"),"")</f>
        <v/>
      </c>
      <c r="W3" s="64" t="str">
        <f>IFERROR(__xludf.DUMMYFUNCTION("IFERROR(Textjoin("""",TRUE,FILTER(Data!$R:$R,Data!$D:$D=K3,Data!$B:$B=$A3)),"""")"),"")</f>
        <v/>
      </c>
      <c r="X3" s="64" t="str">
        <f>IFERROR(__xludf.DUMMYFUNCTION("IFERROR(Textjoin("""",TRUE,FILTER(Data!$R:$R,Data!$D:$D=L3,Data!$B:$B=$A3)),"""")"),"")</f>
        <v/>
      </c>
      <c r="Y3" s="64" t="str">
        <f>IFERROR(__xludf.DUMMYFUNCTION("IFERROR(Textjoin("""",TRUE,FILTER(Data!$R:$R,Data!$D:$D=M3,Data!$B:$B=$A3)),"""")"),"")</f>
        <v/>
      </c>
      <c r="Z3" s="64" t="str">
        <f>IFERROR(__xludf.DUMMYFUNCTION("IFERROR(SPLIT(N3,"",""),"""")"),"")</f>
        <v/>
      </c>
      <c r="AA3" s="65"/>
      <c r="AB3" s="65"/>
      <c r="AC3" s="69" t="str">
        <f>IFERROR(__xludf.DUMMYFUNCTION("IFERROR(SPLIT(O3,"",""),"""")"),"")</f>
        <v/>
      </c>
      <c r="AD3" s="65"/>
      <c r="AE3" s="65"/>
      <c r="AF3" s="69" t="str">
        <f>IFERROR(__xludf.DUMMYFUNCTION("IFERROR(SPLIT(P3,"",""),"""")"),"")</f>
        <v/>
      </c>
      <c r="AG3" s="65"/>
      <c r="AH3" s="65"/>
      <c r="AI3" s="69" t="str">
        <f>IFERROR(__xludf.DUMMYFUNCTION("IFERROR(SPLIT(Q3,"",""),"""")"),"")</f>
        <v/>
      </c>
      <c r="AJ3" s="65"/>
      <c r="AK3" s="65"/>
      <c r="AL3" s="69" t="str">
        <f>IFERROR(__xludf.DUMMYFUNCTION("IFERROR(SPLIT(R3,"",""),"""")"),"")</f>
        <v/>
      </c>
      <c r="AM3" s="65"/>
      <c r="AN3" s="65"/>
      <c r="AO3" s="69" t="str">
        <f>IFERROR(__xludf.DUMMYFUNCTION("IFERROR(SPLIT(S3,"",""),"""")"),"")</f>
        <v/>
      </c>
      <c r="AP3" s="65"/>
      <c r="AQ3" s="65"/>
      <c r="AR3" s="69" t="str">
        <f>IFERROR(__xludf.DUMMYFUNCTION("IFERROR(SPLIT(T3,"",""),"""")"),"")</f>
        <v/>
      </c>
      <c r="AS3" s="65"/>
      <c r="AT3" s="65"/>
      <c r="AU3" s="69" t="str">
        <f>IFERROR(__xludf.DUMMYFUNCTION("IFERROR(SPLIT(U3,"",""),"""")"),"")</f>
        <v/>
      </c>
      <c r="AV3" s="65"/>
      <c r="AW3" s="65"/>
      <c r="AX3" s="69" t="str">
        <f>IFERROR(__xludf.DUMMYFUNCTION("IFERROR(SPLIT(V3,"",""),"""")"),"")</f>
        <v/>
      </c>
      <c r="AY3" s="65"/>
      <c r="AZ3" s="65"/>
      <c r="BA3" s="69" t="str">
        <f>IFERROR(__xludf.DUMMYFUNCTION("IFERROR(SPLIT(W3,"",""),"""")"),"")</f>
        <v/>
      </c>
      <c r="BB3" s="69"/>
      <c r="BC3" s="69"/>
      <c r="BD3" s="69" t="str">
        <f>IFERROR(__xludf.DUMMYFUNCTION("IFERROR(SPLIT(X3,"",""),"""")"),"")</f>
        <v/>
      </c>
      <c r="BE3" s="69"/>
      <c r="BF3" s="69"/>
      <c r="BG3" s="69" t="str">
        <f>IFERROR(__xludf.DUMMYFUNCTION("IFERROR(SPLIT(Y3,"",""),"""")"),"")</f>
        <v/>
      </c>
      <c r="BH3" s="69"/>
      <c r="BI3" s="69"/>
      <c r="BJ3" s="68" t="str">
        <f>IFERROR(__xludf.DUMMYFUNCTION("IF($B3&lt;&gt;"""",IFERROR(FILTER(RawTotals!$AJ:$AJ,RawTotals!$A:$A=Z3)-(FILTER(Data!$K:$K,Data!$B:$B=Z3,Data!$D:$D=$B3)+FILTER(Data!$L:$L,Data!$B:$B=Z3,Data!$D:$D=$B3)),""""),"""")"),"")</f>
        <v/>
      </c>
      <c r="BK3" s="68" t="str">
        <f>IFERROR(__xludf.DUMMYFUNCTION("IF($B3&lt;&gt;"""",IFERROR(FILTER(RawTotals!$AJ:$AJ,RawTotals!$A:$A=AA3)-(FILTER(Data!$K:$K,Data!$B:$B=AA3,Data!$D:$D=$B3)+FILTER(Data!$L:$L,Data!$B:$B=AA3,Data!$D:$D=$B3)),""""),"""")"),"")</f>
        <v/>
      </c>
      <c r="BL3" s="68" t="str">
        <f>IFERROR(__xludf.DUMMYFUNCTION("IF($B3&lt;&gt;"""",IFERROR(FILTER(RawTotals!$AJ:$AJ,RawTotals!$A:$A=AB3)-(FILTER(Data!$K:$K,Data!$B:$B=AB3,Data!$D:$D=$B3)+FILTER(Data!$L:$L,Data!$B:$B=AB3,Data!$D:$D=$B3)),""""),"""")"),"")</f>
        <v/>
      </c>
      <c r="BM3" s="69" t="str">
        <f>IFERROR(__xludf.DUMMYFUNCTION("IF($C3&lt;&gt;"""",IFERROR(FILTER(RawTotals!$AJ:$AJ,RawTotals!$A:$A=AC3)-(FILTER(Data!$K:$K,Data!$B:$B=AC3,Data!$D:$D=$C3)+FILTER(Data!$L:$L,Data!$B:$B=AC3,Data!$D:$D=$C3)),""""),"""")"),"")</f>
        <v/>
      </c>
      <c r="BN3" s="69" t="str">
        <f>IFERROR(__xludf.DUMMYFUNCTION("IF($C3&lt;&gt;"""",IFERROR(FILTER(RawTotals!$AJ:$AJ,RawTotals!$A:$A=AD3)-(FILTER(Data!$K:$K,Data!$B:$B=AD3,Data!$D:$D=$C3)+FILTER(Data!$L:$L,Data!$B:$B=AD3,Data!$D:$D=$C3)),""""),"""")"),"")</f>
        <v/>
      </c>
      <c r="BO3" s="69" t="str">
        <f>IFERROR(__xludf.DUMMYFUNCTION("IF($C3&lt;&gt;"""",IFERROR(FILTER(RawTotals!$AJ:$AJ,RawTotals!$A:$A=AE3)-(FILTER(Data!$K:$K,Data!$B:$B=AE3,Data!$D:$D=$C3)+FILTER(Data!$L:$L,Data!$B:$B=AE3,Data!$D:$D=$C3)),""""),"""")"),"")</f>
        <v/>
      </c>
      <c r="BP3" s="69" t="str">
        <f>IFERROR(__xludf.DUMMYFUNCTION("IF($D3&lt;&gt;"""",IFERROR(FILTER(RawTotals!$AJ:$AJ,RawTotals!$A:$A=AF3)-(FILTER(Data!$K:$K,Data!$B:$B=AF3,Data!$D:$D=$D3)+FILTER(Data!$L:$L,Data!$B:$B=AF3,Data!$D:$D=$D3)),""""),"""")"),"")</f>
        <v/>
      </c>
      <c r="BQ3" s="69" t="str">
        <f>IFERROR(__xludf.DUMMYFUNCTION("IF($D3&lt;&gt;"""",IFERROR(FILTER(RawTotals!$AJ:$AJ,RawTotals!$A:$A=AG3)-(FILTER(Data!$K:$K,Data!$B:$B=AG3,Data!$D:$D=$D3)+FILTER(Data!$L:$L,Data!$B:$B=AG3,Data!$D:$D=$D3)),""""),"""")"),"")</f>
        <v/>
      </c>
      <c r="BR3" s="69" t="str">
        <f>IFERROR(__xludf.DUMMYFUNCTION("IF($D3&lt;&gt;"""",IFERROR(FILTER(RawTotals!$AJ:$AJ,RawTotals!$A:$A=AH3)-(FILTER(Data!$K:$K,Data!$B:$B=AH3,Data!$D:$D=$D3)+FILTER(Data!$L:$L,Data!$B:$B=AH3,Data!$D:$D=$D3)),""""),"""")"),"")</f>
        <v/>
      </c>
      <c r="BS3" s="69" t="str">
        <f>IFERROR(__xludf.DUMMYFUNCTION("IF($E3&lt;&gt;"""",IFERROR(FILTER(RawTotals!$AJ:$AJ,RawTotals!$A:$A=AI3)-(FILTER(Data!$K:$K,Data!$B:$B=AI3,Data!$D:$D=$E3)+FILTER(Data!$L:$L,Data!$B:$B=AI3,Data!$D:$D=$E3)),""""),"""")"),"")</f>
        <v/>
      </c>
      <c r="BT3" s="69" t="str">
        <f>IFERROR(__xludf.DUMMYFUNCTION("IF($E3&lt;&gt;"""",IFERROR(FILTER(RawTotals!$AJ:$AJ,RawTotals!$A:$A=AJ3)-(FILTER(Data!$K:$K,Data!$B:$B=AJ3,Data!$D:$D=$E3)+FILTER(Data!$L:$L,Data!$B:$B=AJ3,Data!$D:$D=$E3)),""""),"""")"),"")</f>
        <v/>
      </c>
      <c r="BU3" s="69" t="str">
        <f>IFERROR(__xludf.DUMMYFUNCTION("IF($E3&lt;&gt;"""",IFERROR(FILTER(RawTotals!$AJ:$AJ,RawTotals!$A:$A=AK3)-(FILTER(Data!$K:$K,Data!$B:$B=AK3,Data!$D:$D=$E3)+FILTER(Data!$L:$L,Data!$B:$B=AK3,Data!$D:$D=$E3)),""""),"""")"),"")</f>
        <v/>
      </c>
      <c r="BV3" s="69" t="str">
        <f>IFERROR(__xludf.DUMMYFUNCTION("IF($F3&lt;&gt;"""",IFERROR(FILTER(RawTotals!$AJ:$AJ,RawTotals!$A:$A=AL3)-(FILTER(Data!$K:$K,Data!$B:$B=AL3,Data!$D:$D=$F3)+FILTER(Data!$L:$L,Data!$B:$B=AL3,Data!$D:$D=$F3)),""""),"""")"),"")</f>
        <v/>
      </c>
      <c r="BW3" s="69" t="str">
        <f>IFERROR(__xludf.DUMMYFUNCTION("IF($F3&lt;&gt;"""",IFERROR(FILTER(RawTotals!$AJ:$AJ,RawTotals!$A:$A=AM3)-(FILTER(Data!$K:$K,Data!$B:$B=AM3,Data!$D:$D=$F3)+FILTER(Data!$L:$L,Data!$B:$B=AM3,Data!$D:$D=$F3)),""""),"""")"),"")</f>
        <v/>
      </c>
      <c r="BX3" s="69" t="str">
        <f>IFERROR(__xludf.DUMMYFUNCTION("IF($F3&lt;&gt;"""",IFERROR(FILTER(RawTotals!$AJ:$AJ,RawTotals!$A:$A=AN3)-(FILTER(Data!$K:$K,Data!$B:$B=AN3,Data!$D:$D=$F3)+FILTER(Data!$L:$L,Data!$B:$B=AN3,Data!$D:$D=$F3)),""""),"""")"),"")</f>
        <v/>
      </c>
      <c r="BY3" s="69" t="str">
        <f>IFERROR(__xludf.DUMMYFUNCTION("IF($G3&lt;&gt;"""",IFERROR(FILTER(RawTotals!$AJ:$AJ,RawTotals!$A:$A=AO3)-(FILTER(Data!$K:$K,Data!$B:$B=AO3,Data!$D:$D=$G3)+FILTER(Data!$L:$L,Data!$B:$B=AO3,Data!$D:$D=$G3)),""""),"""")"),"")</f>
        <v/>
      </c>
      <c r="BZ3" s="69" t="str">
        <f>IFERROR(__xludf.DUMMYFUNCTION("IF($G3&lt;&gt;"""",IFERROR(FILTER(RawTotals!$AJ:$AJ,RawTotals!$A:$A=AP3)-(FILTER(Data!$K:$K,Data!$B:$B=AP3,Data!$D:$D=$G3)+FILTER(Data!$L:$L,Data!$B:$B=AP3,Data!$D:$D=$G3)),""""),"""")"),"")</f>
        <v/>
      </c>
      <c r="CA3" s="69" t="str">
        <f>IFERROR(__xludf.DUMMYFUNCTION("IF($G3&lt;&gt;"""",IFERROR(FILTER(RawTotals!$AJ:$AJ,RawTotals!$A:$A=AQ3)-(FILTER(Data!$K:$K,Data!$B:$B=AQ3,Data!$D:$D=$G3)+FILTER(Data!$L:$L,Data!$B:$B=AQ3,Data!$D:$D=$G3)),""""),"""")"),"")</f>
        <v/>
      </c>
      <c r="CB3" s="69" t="str">
        <f>IFERROR(__xludf.DUMMYFUNCTION("IF($H3&lt;&gt;"""",IFERROR(FILTER(RawTotals!$AJ:$AJ,RawTotals!$A:$A=AR3)-(FILTER(Data!$K:$K,Data!$B:$B=AR3,Data!$D:$D=$H3)+FILTER(Data!$L:$L,Data!$B:$B=AR3,Data!$D:$D=$H3)),""""),"""")"),"")</f>
        <v/>
      </c>
      <c r="CC3" s="69" t="str">
        <f>IFERROR(__xludf.DUMMYFUNCTION("IF($H3&lt;&gt;"""",IFERROR(FILTER(RawTotals!$AJ:$AJ,RawTotals!$A:$A=AS3)-(FILTER(Data!$K:$K,Data!$B:$B=AS3,Data!$D:$D=$H3)+FILTER(Data!$L:$L,Data!$B:$B=AS3,Data!$D:$D=$H3)),""""),"""")"),"")</f>
        <v/>
      </c>
      <c r="CD3" s="69" t="str">
        <f>IFERROR(__xludf.DUMMYFUNCTION("IF($H3&lt;&gt;"""",IFERROR(FILTER(RawTotals!$AJ:$AJ,RawTotals!$A:$A=AT3)-(FILTER(Data!$K:$K,Data!$B:$B=AT3,Data!$D:$D=$H3)+FILTER(Data!$L:$L,Data!$B:$B=AT3,Data!$D:$D=$H3)),""""),"""")"),"")</f>
        <v/>
      </c>
      <c r="CE3" s="69" t="str">
        <f>IFERROR(__xludf.DUMMYFUNCTION("IF($I3&lt;&gt;"""",IFERROR(FILTER(RawTotals!$AJ:$AJ,RawTotals!$A:$A=AU3)-(FILTER(Data!$K:$K,Data!$B:$B=AU3,Data!$D:$D=$I3)+FILTER(Data!$L:$L,Data!$B:$B=AU3,Data!$D:$D=$I3)),""""),"""")"),"")</f>
        <v/>
      </c>
      <c r="CF3" s="69" t="str">
        <f>IFERROR(__xludf.DUMMYFUNCTION("IF($I3&lt;&gt;"""",IFERROR(FILTER(RawTotals!$AJ:$AJ,RawTotals!$A:$A=AV3)-(FILTER(Data!$K:$K,Data!$B:$B=AV3,Data!$D:$D=$I3)+FILTER(Data!$L:$L,Data!$B:$B=AV3,Data!$D:$D=$I3)),""""),"""")"),"")</f>
        <v/>
      </c>
      <c r="CG3" s="69" t="str">
        <f>IFERROR(__xludf.DUMMYFUNCTION("IF($I3&lt;&gt;"""",IFERROR(FILTER(RawTotals!$AJ:$AJ,RawTotals!$A:$A=AW3)-(FILTER(Data!$K:$K,Data!$B:$B=AW3,Data!$D:$D=$I3)+FILTER(Data!$L:$L,Data!$B:$B=AW3,Data!$D:$D=$I3)),""""),"""")"),"")</f>
        <v/>
      </c>
      <c r="CH3" s="69" t="str">
        <f>IFERROR(__xludf.DUMMYFUNCTION("IF($J3&lt;&gt;"""",IFERROR(FILTER(RawTotals!$AJ:$AJ,RawTotals!$A:$A=AX3)-(FILTER(Data!$K:$K,Data!$B:$B=AX3,Data!$D:$D=$J3)+FILTER(Data!$L:$L,Data!$B:$B=AX3,Data!$D:$D=$J3)),""""),"""")"),"")</f>
        <v/>
      </c>
      <c r="CI3" s="69" t="str">
        <f>IFERROR(__xludf.DUMMYFUNCTION("IF($J3&lt;&gt;"""",IFERROR(FILTER(RawTotals!$AJ:$AJ,RawTotals!$A:$A=AY3)-(FILTER(Data!$K:$K,Data!$B:$B=AY3,Data!$D:$D=$J3)+FILTER(Data!$L:$L,Data!$B:$B=AY3,Data!$D:$D=$J3)),""""),"""")"),"")</f>
        <v/>
      </c>
      <c r="CJ3" s="69" t="str">
        <f>IFERROR(__xludf.DUMMYFUNCTION("IF($J3&lt;&gt;"""",IFERROR(FILTER(RawTotals!$AJ:$AJ,RawTotals!$A:$A=AZ3)-(FILTER(Data!$K:$K,Data!$B:$B=AZ3,Data!$D:$D=$J3)+FILTER(Data!$L:$L,Data!$B:$B=AZ3,Data!$D:$D=$J3)),""""),"""")"),"")</f>
        <v/>
      </c>
      <c r="CK3" s="69" t="str">
        <f>IFERROR(__xludf.DUMMYFUNCTION("IF($K3&lt;&gt;"""",IFERROR(FILTER(RawTotals!$AJ:$AJ,RawTotals!$A:$A=BA3)-(FILTER(Data!$K:$K,Data!$B:$B=BA3,Data!$D:$D=$K3)+FILTER(Data!$L:$L,Data!$B:$B=BA3,Data!$D:$D=$K3)),""""),"""")"),"")</f>
        <v/>
      </c>
      <c r="CL3" s="69" t="str">
        <f>IFERROR(__xludf.DUMMYFUNCTION("IF($K3&lt;&gt;"""",IFERROR(FILTER(RawTotals!$AJ:$AJ,RawTotals!$A:$A=BB3)-(FILTER(Data!$K:$K,Data!$B:$B=BB3,Data!$D:$D=$K3)+FILTER(Data!$L:$L,Data!$B:$B=BB3,Data!$D:$D=$K3)),""""),"""")"),"")</f>
        <v/>
      </c>
      <c r="CM3" s="69" t="str">
        <f>IFERROR(__xludf.DUMMYFUNCTION("IF($K3&lt;&gt;"""",IFERROR(FILTER(RawTotals!$AJ:$AJ,RawTotals!$A:$A=BC3)-(FILTER(Data!$K:$K,Data!$B:$B=BC3,Data!$D:$D=$K3)+FILTER(Data!$L:$L,Data!$B:$B=BC3,Data!$D:$D=$K3)),""""),"""")"),"")</f>
        <v/>
      </c>
      <c r="CN3" s="69" t="str">
        <f>IFERROR(__xludf.DUMMYFUNCTION("IF($L3&lt;&gt;"""",IFERROR((FILTER(RawTotals!$AJ:$AJ,RawTotals!$A:$A=BD3)-(FILTER(Data!$K:$K,Data!$B:$B=BD3,Data!$D:$D=$L3)+FILTER(Data!$L:$L,Data!$B:$B=BD3,Data!$D:$D=$L3))),""""),"""")"),"")</f>
        <v/>
      </c>
      <c r="CO3" s="69" t="str">
        <f>IFERROR(__xludf.DUMMYFUNCTION("IF($L3&lt;&gt;"""",IFERROR((FILTER(RawTotals!$AJ:$AJ,RawTotals!$A:$A=BE3)-(FILTER(Data!$K:$K,Data!$B:$B=BE3,Data!$D:$D=$L3)+FILTER(Data!$L:$L,Data!$B:$B=BE3,Data!$D:$D=$L3))),""""),"""")"),"")</f>
        <v/>
      </c>
      <c r="CP3" s="69" t="str">
        <f>IFERROR(__xludf.DUMMYFUNCTION("IF($L3&lt;&gt;"""",IFERROR((FILTER(RawTotals!$AJ:$AJ,RawTotals!$A:$A=BF3)-(FILTER(Data!$K:$K,Data!$B:$B=BF3,Data!$D:$D=$L3)+FILTER(Data!$L:$L,Data!$B:$B=BF3,Data!$D:$D=$L3))),""""),"""")"),"")</f>
        <v/>
      </c>
      <c r="CQ3" s="69" t="str">
        <f>IFERROR(__xludf.DUMMYFUNCTION("IF($M3&lt;&gt;"""",IFERROR((FILTER(RawTotals!$AJ:$AJ,RawTotals!$A:$A=BG3)-(FILTER(Data!$K:$K,Data!$B:$B=BG3,Data!$D:$D=$M3)+FILTER(Data!$L:$L,Data!$B:$B=BG3,Data!$D:$D=$M3))),""""),"""")"),"")</f>
        <v/>
      </c>
      <c r="CR3" s="69" t="str">
        <f>IFERROR(__xludf.DUMMYFUNCTION("IF($M3&lt;&gt;"""",IFERROR((FILTER(RawTotals!$AJ:$AJ,RawTotals!$A:$A=BH3)-(FILTER(Data!$K:$K,Data!$B:$B=BH3,Data!$D:$D=$M3)+FILTER(Data!$L:$L,Data!$B:$B=BH3,Data!$D:$D=$M3))),""""),"""")"),"")</f>
        <v/>
      </c>
      <c r="CS3" s="70" t="str">
        <f>IFERROR(__xludf.DUMMYFUNCTION("IF($M3&lt;&gt;"""",IFERROR((FILTER(RawTotals!$AJ:$AJ,RawTotals!$A:$A=BI3)-(FILTER(Data!$K:$K,Data!$B:$B=BI3,Data!$D:$D=$M3)+FILTER(Data!$L:$L,Data!$B:$B=BI3,Data!$D:$D=$M3))),""""),"""")"),"")</f>
        <v/>
      </c>
      <c r="CT3" s="69"/>
      <c r="CU3" s="69"/>
      <c r="CV3" s="69"/>
      <c r="CW3" s="69"/>
      <c r="CX3" s="69"/>
      <c r="CY3" s="69"/>
      <c r="CZ3" s="69"/>
      <c r="DA3" s="69"/>
      <c r="DB3" s="69"/>
      <c r="DC3" s="69"/>
      <c r="DD3" s="69"/>
      <c r="DE3" s="69"/>
    </row>
    <row r="4">
      <c r="A4" s="67">
        <f>RawTotals!A4</f>
        <v>1339</v>
      </c>
      <c r="B4" s="68" t="str">
        <f>IFERROR(__xludf.DUMMYFUNCTION("IF(A4&lt;&gt;"""",IFERROR(TRANSPOSE(FILTER(Data!D:D,Data!B:B=A4,Data!R:R&lt;&gt;"""")),""No Defense""),"""")"),"No Defense")</f>
        <v>No Defense</v>
      </c>
      <c r="C4" s="65"/>
      <c r="D4" s="65"/>
      <c r="E4" s="65"/>
      <c r="F4" s="65"/>
      <c r="G4" s="65"/>
      <c r="H4" s="65"/>
      <c r="I4" s="65"/>
      <c r="J4" s="65"/>
      <c r="K4" s="65"/>
      <c r="L4" s="65"/>
      <c r="M4" s="65"/>
      <c r="N4" s="64" t="str">
        <f>IFERROR(__xludf.DUMMYFUNCTION("IFERROR(Textjoin("""",TRUE,FILTER(Data!$R:$R,Data!$D:$D=B4,Data!$B:$B=$A4)),"""")"),"")</f>
        <v/>
      </c>
      <c r="O4" s="64" t="str">
        <f>IFERROR(__xludf.DUMMYFUNCTION("IFERROR(Textjoin("""",TRUE,FILTER(Data!$R:$R,Data!$D:$D=C4,Data!$B:$B=$A4)),"""")"),"")</f>
        <v/>
      </c>
      <c r="P4" s="64" t="str">
        <f>IFERROR(__xludf.DUMMYFUNCTION("IFERROR(Textjoin("""",TRUE,FILTER(Data!$R:$R,Data!$D:$D=D4,Data!$B:$B=$A4)),"""")"),"")</f>
        <v/>
      </c>
      <c r="Q4" s="64" t="str">
        <f>IFERROR(__xludf.DUMMYFUNCTION("IFERROR(Textjoin("""",TRUE,FILTER(Data!$R:$R,Data!$D:$D=E4,Data!$B:$B=$A4)),"""")"),"")</f>
        <v/>
      </c>
      <c r="R4" s="64" t="str">
        <f>IFERROR(__xludf.DUMMYFUNCTION("IFERROR(Textjoin("""",TRUE,FILTER(Data!$R:$R,Data!$D:$D=F4,Data!$B:$B=$A4)),"""")"),"")</f>
        <v/>
      </c>
      <c r="S4" s="64" t="str">
        <f>IFERROR(__xludf.DUMMYFUNCTION("IFERROR(Textjoin("""",TRUE,FILTER(Data!$R:$R,Data!$D:$D=G4,Data!$B:$B=$A4)),"""")"),"")</f>
        <v/>
      </c>
      <c r="T4" s="64" t="str">
        <f>IFERROR(__xludf.DUMMYFUNCTION("IFERROR(Textjoin("""",TRUE,FILTER(Data!$R:$R,Data!$D:$D=H4,Data!$B:$B=$A4)),"""")"),"")</f>
        <v/>
      </c>
      <c r="U4" s="64" t="str">
        <f>IFERROR(__xludf.DUMMYFUNCTION("IFERROR(Textjoin("""",TRUE,FILTER(Data!$R:$R,Data!$D:$D=I4,Data!$B:$B=$A4)),"""")"),"")</f>
        <v/>
      </c>
      <c r="V4" s="64" t="str">
        <f>IFERROR(__xludf.DUMMYFUNCTION("IFERROR(Textjoin("""",TRUE,FILTER(Data!$R:$R,Data!$D:$D=J4,Data!$B:$B=$A4)),"""")"),"")</f>
        <v/>
      </c>
      <c r="W4" s="64" t="str">
        <f>IFERROR(__xludf.DUMMYFUNCTION("IFERROR(Textjoin("""",TRUE,FILTER(Data!$R:$R,Data!$D:$D=K4,Data!$B:$B=$A4)),"""")"),"")</f>
        <v/>
      </c>
      <c r="X4" s="64" t="str">
        <f>IFERROR(__xludf.DUMMYFUNCTION("IFERROR(Textjoin("""",TRUE,FILTER(Data!$R:$R,Data!$D:$D=L4,Data!$B:$B=$A4)),"""")"),"")</f>
        <v/>
      </c>
      <c r="Y4" s="64" t="str">
        <f>IFERROR(__xludf.DUMMYFUNCTION("IFERROR(Textjoin("""",TRUE,FILTER(Data!$R:$R,Data!$D:$D=M4,Data!$B:$B=$A4)),"""")"),"")</f>
        <v/>
      </c>
      <c r="Z4" s="64" t="str">
        <f>IFERROR(__xludf.DUMMYFUNCTION("IFERROR(SPLIT(N4,"",""),"""")"),"")</f>
        <v/>
      </c>
      <c r="AA4" s="65"/>
      <c r="AB4" s="65"/>
      <c r="AC4" s="69" t="str">
        <f>IFERROR(__xludf.DUMMYFUNCTION("IFERROR(SPLIT(O4,"",""),"""")"),"")</f>
        <v/>
      </c>
      <c r="AD4" s="65"/>
      <c r="AE4" s="65"/>
      <c r="AF4" s="69" t="str">
        <f>IFERROR(__xludf.DUMMYFUNCTION("IFERROR(SPLIT(P4,"",""),"""")"),"")</f>
        <v/>
      </c>
      <c r="AG4" s="65"/>
      <c r="AH4" s="65"/>
      <c r="AI4" s="69" t="str">
        <f>IFERROR(__xludf.DUMMYFUNCTION("IFERROR(SPLIT(Q4,"",""),"""")"),"")</f>
        <v/>
      </c>
      <c r="AJ4" s="65"/>
      <c r="AK4" s="65"/>
      <c r="AL4" s="69" t="str">
        <f>IFERROR(__xludf.DUMMYFUNCTION("IFERROR(SPLIT(R4,"",""),"""")"),"")</f>
        <v/>
      </c>
      <c r="AM4" s="65"/>
      <c r="AN4" s="65"/>
      <c r="AO4" s="69" t="str">
        <f>IFERROR(__xludf.DUMMYFUNCTION("IFERROR(SPLIT(S4,"",""),"""")"),"")</f>
        <v/>
      </c>
      <c r="AP4" s="65"/>
      <c r="AQ4" s="65"/>
      <c r="AR4" s="69" t="str">
        <f>IFERROR(__xludf.DUMMYFUNCTION("IFERROR(SPLIT(T4,"",""),"""")"),"")</f>
        <v/>
      </c>
      <c r="AS4" s="65"/>
      <c r="AT4" s="65"/>
      <c r="AU4" s="69" t="str">
        <f>IFERROR(__xludf.DUMMYFUNCTION("IFERROR(SPLIT(U4,"",""),"""")"),"")</f>
        <v/>
      </c>
      <c r="AV4" s="65"/>
      <c r="AW4" s="65"/>
      <c r="AX4" s="69" t="str">
        <f>IFERROR(__xludf.DUMMYFUNCTION("IFERROR(SPLIT(V4,"",""),"""")"),"")</f>
        <v/>
      </c>
      <c r="AY4" s="65"/>
      <c r="AZ4" s="65"/>
      <c r="BA4" s="69" t="str">
        <f>IFERROR(__xludf.DUMMYFUNCTION("IFERROR(SPLIT(W4,"",""),"""")"),"")</f>
        <v/>
      </c>
      <c r="BB4" s="69"/>
      <c r="BC4" s="69"/>
      <c r="BD4" s="69" t="str">
        <f>IFERROR(__xludf.DUMMYFUNCTION("IFERROR(SPLIT(X4,"",""),"""")"),"")</f>
        <v/>
      </c>
      <c r="BE4" s="69"/>
      <c r="BF4" s="69"/>
      <c r="BG4" s="69" t="str">
        <f>IFERROR(__xludf.DUMMYFUNCTION("IFERROR(SPLIT(Y4,"",""),"""")"),"")</f>
        <v/>
      </c>
      <c r="BH4" s="69"/>
      <c r="BI4" s="69"/>
      <c r="BJ4" s="68" t="str">
        <f>IFERROR(__xludf.DUMMYFUNCTION("IF($B4&lt;&gt;"""",IFERROR(FILTER(RawTotals!$AJ:$AJ,RawTotals!$A:$A=Z4)-(FILTER(Data!$K:$K,Data!$B:$B=Z4,Data!$D:$D=$B4)+FILTER(Data!$L:$L,Data!$B:$B=Z4,Data!$D:$D=$B4)),""""),"""")"),"")</f>
        <v/>
      </c>
      <c r="BK4" s="68" t="str">
        <f>IFERROR(__xludf.DUMMYFUNCTION("IF($B4&lt;&gt;"""",IFERROR(FILTER(RawTotals!$AJ:$AJ,RawTotals!$A:$A=AA4)-(FILTER(Data!$K:$K,Data!$B:$B=AA4,Data!$D:$D=$B4)+FILTER(Data!$L:$L,Data!$B:$B=AA4,Data!$D:$D=$B4)),""""),"""")"),"")</f>
        <v/>
      </c>
      <c r="BL4" s="68" t="str">
        <f>IFERROR(__xludf.DUMMYFUNCTION("IF($B4&lt;&gt;"""",IFERROR(FILTER(RawTotals!$AJ:$AJ,RawTotals!$A:$A=AB4)-(FILTER(Data!$K:$K,Data!$B:$B=AB4,Data!$D:$D=$B4)+FILTER(Data!$L:$L,Data!$B:$B=AB4,Data!$D:$D=$B4)),""""),"""")"),"")</f>
        <v/>
      </c>
      <c r="BM4" s="69" t="str">
        <f>IFERROR(__xludf.DUMMYFUNCTION("IF($C4&lt;&gt;"""",IFERROR(FILTER(RawTotals!$AJ:$AJ,RawTotals!$A:$A=AC4)-(FILTER(Data!$K:$K,Data!$B:$B=AC4,Data!$D:$D=$C4)+FILTER(Data!$L:$L,Data!$B:$B=AC4,Data!$D:$D=$C4)),""""),"""")"),"")</f>
        <v/>
      </c>
      <c r="BN4" s="69" t="str">
        <f>IFERROR(__xludf.DUMMYFUNCTION("IF($C4&lt;&gt;"""",IFERROR(FILTER(RawTotals!$AJ:$AJ,RawTotals!$A:$A=AD4)-(FILTER(Data!$K:$K,Data!$B:$B=AD4,Data!$D:$D=$C4)+FILTER(Data!$L:$L,Data!$B:$B=AD4,Data!$D:$D=$C4)),""""),"""")"),"")</f>
        <v/>
      </c>
      <c r="BO4" s="69" t="str">
        <f>IFERROR(__xludf.DUMMYFUNCTION("IF($C4&lt;&gt;"""",IFERROR(FILTER(RawTotals!$AJ:$AJ,RawTotals!$A:$A=AE4)-(FILTER(Data!$K:$K,Data!$B:$B=AE4,Data!$D:$D=$C4)+FILTER(Data!$L:$L,Data!$B:$B=AE4,Data!$D:$D=$C4)),""""),"""")"),"")</f>
        <v/>
      </c>
      <c r="BP4" s="69" t="str">
        <f>IFERROR(__xludf.DUMMYFUNCTION("IF($D4&lt;&gt;"""",IFERROR(FILTER(RawTotals!$AJ:$AJ,RawTotals!$A:$A=AF4)-(FILTER(Data!$K:$K,Data!$B:$B=AF4,Data!$D:$D=$D4)+FILTER(Data!$L:$L,Data!$B:$B=AF4,Data!$D:$D=$D4)),""""),"""")"),"")</f>
        <v/>
      </c>
      <c r="BQ4" s="69" t="str">
        <f>IFERROR(__xludf.DUMMYFUNCTION("IF($D4&lt;&gt;"""",IFERROR(FILTER(RawTotals!$AJ:$AJ,RawTotals!$A:$A=AG4)-(FILTER(Data!$K:$K,Data!$B:$B=AG4,Data!$D:$D=$D4)+FILTER(Data!$L:$L,Data!$B:$B=AG4,Data!$D:$D=$D4)),""""),"""")"),"")</f>
        <v/>
      </c>
      <c r="BR4" s="69" t="str">
        <f>IFERROR(__xludf.DUMMYFUNCTION("IF($D4&lt;&gt;"""",IFERROR(FILTER(RawTotals!$AJ:$AJ,RawTotals!$A:$A=AH4)-(FILTER(Data!$K:$K,Data!$B:$B=AH4,Data!$D:$D=$D4)+FILTER(Data!$L:$L,Data!$B:$B=AH4,Data!$D:$D=$D4)),""""),"""")"),"")</f>
        <v/>
      </c>
      <c r="BS4" s="69" t="str">
        <f>IFERROR(__xludf.DUMMYFUNCTION("IF($E4&lt;&gt;"""",IFERROR(FILTER(RawTotals!$AJ:$AJ,RawTotals!$A:$A=AI4)-(FILTER(Data!$K:$K,Data!$B:$B=AI4,Data!$D:$D=$E4)+FILTER(Data!$L:$L,Data!$B:$B=AI4,Data!$D:$D=$E4)),""""),"""")"),"")</f>
        <v/>
      </c>
      <c r="BT4" s="69" t="str">
        <f>IFERROR(__xludf.DUMMYFUNCTION("IF($E4&lt;&gt;"""",IFERROR(FILTER(RawTotals!$AJ:$AJ,RawTotals!$A:$A=AJ4)-(FILTER(Data!$K:$K,Data!$B:$B=AJ4,Data!$D:$D=$E4)+FILTER(Data!$L:$L,Data!$B:$B=AJ4,Data!$D:$D=$E4)),""""),"""")"),"")</f>
        <v/>
      </c>
      <c r="BU4" s="69" t="str">
        <f>IFERROR(__xludf.DUMMYFUNCTION("IF($E4&lt;&gt;"""",IFERROR(FILTER(RawTotals!$AJ:$AJ,RawTotals!$A:$A=AK4)-(FILTER(Data!$K:$K,Data!$B:$B=AK4,Data!$D:$D=$E4)+FILTER(Data!$L:$L,Data!$B:$B=AK4,Data!$D:$D=$E4)),""""),"""")"),"")</f>
        <v/>
      </c>
      <c r="BV4" s="69" t="str">
        <f>IFERROR(__xludf.DUMMYFUNCTION("IF($F4&lt;&gt;"""",IFERROR(FILTER(RawTotals!$AJ:$AJ,RawTotals!$A:$A=AL4)-(FILTER(Data!$K:$K,Data!$B:$B=AL4,Data!$D:$D=$F4)+FILTER(Data!$L:$L,Data!$B:$B=AL4,Data!$D:$D=$F4)),""""),"""")"),"")</f>
        <v/>
      </c>
      <c r="BW4" s="69" t="str">
        <f>IFERROR(__xludf.DUMMYFUNCTION("IF($F4&lt;&gt;"""",IFERROR(FILTER(RawTotals!$AJ:$AJ,RawTotals!$A:$A=AM4)-(FILTER(Data!$K:$K,Data!$B:$B=AM4,Data!$D:$D=$F4)+FILTER(Data!$L:$L,Data!$B:$B=AM4,Data!$D:$D=$F4)),""""),"""")"),"")</f>
        <v/>
      </c>
      <c r="BX4" s="69" t="str">
        <f>IFERROR(__xludf.DUMMYFUNCTION("IF($F4&lt;&gt;"""",IFERROR(FILTER(RawTotals!$AJ:$AJ,RawTotals!$A:$A=AN4)-(FILTER(Data!$K:$K,Data!$B:$B=AN4,Data!$D:$D=$F4)+FILTER(Data!$L:$L,Data!$B:$B=AN4,Data!$D:$D=$F4)),""""),"""")"),"")</f>
        <v/>
      </c>
      <c r="BY4" s="69" t="str">
        <f>IFERROR(__xludf.DUMMYFUNCTION("IF($G4&lt;&gt;"""",IFERROR(FILTER(RawTotals!$AJ:$AJ,RawTotals!$A:$A=AO4)-(FILTER(Data!$K:$K,Data!$B:$B=AO4,Data!$D:$D=$G4)+FILTER(Data!$L:$L,Data!$B:$B=AO4,Data!$D:$D=$G4)),""""),"""")"),"")</f>
        <v/>
      </c>
      <c r="BZ4" s="69" t="str">
        <f>IFERROR(__xludf.DUMMYFUNCTION("IF($G4&lt;&gt;"""",IFERROR(FILTER(RawTotals!$AJ:$AJ,RawTotals!$A:$A=AP4)-(FILTER(Data!$K:$K,Data!$B:$B=AP4,Data!$D:$D=$G4)+FILTER(Data!$L:$L,Data!$B:$B=AP4,Data!$D:$D=$G4)),""""),"""")"),"")</f>
        <v/>
      </c>
      <c r="CA4" s="69" t="str">
        <f>IFERROR(__xludf.DUMMYFUNCTION("IF($G4&lt;&gt;"""",IFERROR(FILTER(RawTotals!$AJ:$AJ,RawTotals!$A:$A=AQ4)-(FILTER(Data!$K:$K,Data!$B:$B=AQ4,Data!$D:$D=$G4)+FILTER(Data!$L:$L,Data!$B:$B=AQ4,Data!$D:$D=$G4)),""""),"""")"),"")</f>
        <v/>
      </c>
      <c r="CB4" s="69" t="str">
        <f>IFERROR(__xludf.DUMMYFUNCTION("IF($H4&lt;&gt;"""",IFERROR(FILTER(RawTotals!$AJ:$AJ,RawTotals!$A:$A=AR4)-(FILTER(Data!$K:$K,Data!$B:$B=AR4,Data!$D:$D=$H4)+FILTER(Data!$L:$L,Data!$B:$B=AR4,Data!$D:$D=$H4)),""""),"""")"),"")</f>
        <v/>
      </c>
      <c r="CC4" s="69" t="str">
        <f>IFERROR(__xludf.DUMMYFUNCTION("IF($H4&lt;&gt;"""",IFERROR(FILTER(RawTotals!$AJ:$AJ,RawTotals!$A:$A=AS4)-(FILTER(Data!$K:$K,Data!$B:$B=AS4,Data!$D:$D=$H4)+FILTER(Data!$L:$L,Data!$B:$B=AS4,Data!$D:$D=$H4)),""""),"""")"),"")</f>
        <v/>
      </c>
      <c r="CD4" s="69" t="str">
        <f>IFERROR(__xludf.DUMMYFUNCTION("IF($H4&lt;&gt;"""",IFERROR(FILTER(RawTotals!$AJ:$AJ,RawTotals!$A:$A=AT4)-(FILTER(Data!$K:$K,Data!$B:$B=AT4,Data!$D:$D=$H4)+FILTER(Data!$L:$L,Data!$B:$B=AT4,Data!$D:$D=$H4)),""""),"""")"),"")</f>
        <v/>
      </c>
      <c r="CE4" s="69" t="str">
        <f>IFERROR(__xludf.DUMMYFUNCTION("IF($I4&lt;&gt;"""",IFERROR(FILTER(RawTotals!$AJ:$AJ,RawTotals!$A:$A=AU4)-(FILTER(Data!$K:$K,Data!$B:$B=AU4,Data!$D:$D=$I4)+FILTER(Data!$L:$L,Data!$B:$B=AU4,Data!$D:$D=$I4)),""""),"""")"),"")</f>
        <v/>
      </c>
      <c r="CF4" s="69" t="str">
        <f>IFERROR(__xludf.DUMMYFUNCTION("IF($I4&lt;&gt;"""",IFERROR(FILTER(RawTotals!$AJ:$AJ,RawTotals!$A:$A=AV4)-(FILTER(Data!$K:$K,Data!$B:$B=AV4,Data!$D:$D=$I4)+FILTER(Data!$L:$L,Data!$B:$B=AV4,Data!$D:$D=$I4)),""""),"""")"),"")</f>
        <v/>
      </c>
      <c r="CG4" s="69" t="str">
        <f>IFERROR(__xludf.DUMMYFUNCTION("IF($I4&lt;&gt;"""",IFERROR(FILTER(RawTotals!$AJ:$AJ,RawTotals!$A:$A=AW4)-(FILTER(Data!$K:$K,Data!$B:$B=AW4,Data!$D:$D=$I4)+FILTER(Data!$L:$L,Data!$B:$B=AW4,Data!$D:$D=$I4)),""""),"""")"),"")</f>
        <v/>
      </c>
      <c r="CH4" s="69" t="str">
        <f>IFERROR(__xludf.DUMMYFUNCTION("IF($J4&lt;&gt;"""",IFERROR(FILTER(RawTotals!$AJ:$AJ,RawTotals!$A:$A=AX4)-(FILTER(Data!$K:$K,Data!$B:$B=AX4,Data!$D:$D=$J4)+FILTER(Data!$L:$L,Data!$B:$B=AX4,Data!$D:$D=$J4)),""""),"""")"),"")</f>
        <v/>
      </c>
      <c r="CI4" s="69" t="str">
        <f>IFERROR(__xludf.DUMMYFUNCTION("IF($J4&lt;&gt;"""",IFERROR(FILTER(RawTotals!$AJ:$AJ,RawTotals!$A:$A=AY4)-(FILTER(Data!$K:$K,Data!$B:$B=AY4,Data!$D:$D=$J4)+FILTER(Data!$L:$L,Data!$B:$B=AY4,Data!$D:$D=$J4)),""""),"""")"),"")</f>
        <v/>
      </c>
      <c r="CJ4" s="69" t="str">
        <f>IFERROR(__xludf.DUMMYFUNCTION("IF($J4&lt;&gt;"""",IFERROR(FILTER(RawTotals!$AJ:$AJ,RawTotals!$A:$A=AZ4)-(FILTER(Data!$K:$K,Data!$B:$B=AZ4,Data!$D:$D=$J4)+FILTER(Data!$L:$L,Data!$B:$B=AZ4,Data!$D:$D=$J4)),""""),"""")"),"")</f>
        <v/>
      </c>
      <c r="CK4" s="69" t="str">
        <f>IFERROR(__xludf.DUMMYFUNCTION("IF($K4&lt;&gt;"""",IFERROR(FILTER(RawTotals!$AJ:$AJ,RawTotals!$A:$A=BA4)-(FILTER(Data!$K:$K,Data!$B:$B=BA4,Data!$D:$D=$K4)+FILTER(Data!$L:$L,Data!$B:$B=BA4,Data!$D:$D=$K4)),""""),"""")"),"")</f>
        <v/>
      </c>
      <c r="CL4" s="69" t="str">
        <f>IFERROR(__xludf.DUMMYFUNCTION("IF($K4&lt;&gt;"""",IFERROR(FILTER(RawTotals!$AJ:$AJ,RawTotals!$A:$A=BB4)-(FILTER(Data!$K:$K,Data!$B:$B=BB4,Data!$D:$D=$K4)+FILTER(Data!$L:$L,Data!$B:$B=BB4,Data!$D:$D=$K4)),""""),"""")"),"")</f>
        <v/>
      </c>
      <c r="CM4" s="69" t="str">
        <f>IFERROR(__xludf.DUMMYFUNCTION("IF($K4&lt;&gt;"""",IFERROR(FILTER(RawTotals!$AJ:$AJ,RawTotals!$A:$A=BC4)-(FILTER(Data!$K:$K,Data!$B:$B=BC4,Data!$D:$D=$K4)+FILTER(Data!$L:$L,Data!$B:$B=BC4,Data!$D:$D=$K4)),""""),"""")"),"")</f>
        <v/>
      </c>
      <c r="CN4" s="69" t="str">
        <f>IFERROR(__xludf.DUMMYFUNCTION("IF($L4&lt;&gt;"""",IFERROR((FILTER(RawTotals!$AJ:$AJ,RawTotals!$A:$A=BD4)-(FILTER(Data!$K:$K,Data!$B:$B=BD4,Data!$D:$D=$L4)+FILTER(Data!$L:$L,Data!$B:$B=BD4,Data!$D:$D=$L4))),""""),"""")"),"")</f>
        <v/>
      </c>
      <c r="CO4" s="69" t="str">
        <f>IFERROR(__xludf.DUMMYFUNCTION("IF($L4&lt;&gt;"""",IFERROR((FILTER(RawTotals!$AJ:$AJ,RawTotals!$A:$A=BE4)-(FILTER(Data!$K:$K,Data!$B:$B=BE4,Data!$D:$D=$L4)+FILTER(Data!$L:$L,Data!$B:$B=BE4,Data!$D:$D=$L4))),""""),"""")"),"")</f>
        <v/>
      </c>
      <c r="CP4" s="69" t="str">
        <f>IFERROR(__xludf.DUMMYFUNCTION("IF($L4&lt;&gt;"""",IFERROR((FILTER(RawTotals!$AJ:$AJ,RawTotals!$A:$A=BF4)-(FILTER(Data!$K:$K,Data!$B:$B=BF4,Data!$D:$D=$L4)+FILTER(Data!$L:$L,Data!$B:$B=BF4,Data!$D:$D=$L4))),""""),"""")"),"")</f>
        <v/>
      </c>
      <c r="CQ4" s="69" t="str">
        <f>IFERROR(__xludf.DUMMYFUNCTION("IF($M4&lt;&gt;"""",IFERROR((FILTER(RawTotals!$AJ:$AJ,RawTotals!$A:$A=BG4)-(FILTER(Data!$K:$K,Data!$B:$B=BG4,Data!$D:$D=$M4)+FILTER(Data!$L:$L,Data!$B:$B=BG4,Data!$D:$D=$M4))),""""),"""")"),"")</f>
        <v/>
      </c>
      <c r="CR4" s="69" t="str">
        <f>IFERROR(__xludf.DUMMYFUNCTION("IF($M4&lt;&gt;"""",IFERROR((FILTER(RawTotals!$AJ:$AJ,RawTotals!$A:$A=BH4)-(FILTER(Data!$K:$K,Data!$B:$B=BH4,Data!$D:$D=$M4)+FILTER(Data!$L:$L,Data!$B:$B=BH4,Data!$D:$D=$M4))),""""),"""")"),"")</f>
        <v/>
      </c>
      <c r="CS4" s="70" t="str">
        <f>IFERROR(__xludf.DUMMYFUNCTION("IF($M4&lt;&gt;"""",IFERROR((FILTER(RawTotals!$AJ:$AJ,RawTotals!$A:$A=BI4)-(FILTER(Data!$K:$K,Data!$B:$B=BI4,Data!$D:$D=$M4)+FILTER(Data!$L:$L,Data!$B:$B=BI4,Data!$D:$D=$M4))),""""),"""")"),"")</f>
        <v/>
      </c>
      <c r="CT4" s="69"/>
      <c r="CU4" s="69"/>
      <c r="CV4" s="69"/>
      <c r="CW4" s="69"/>
      <c r="CX4" s="69"/>
      <c r="CY4" s="69"/>
      <c r="CZ4" s="69"/>
      <c r="DA4" s="69"/>
      <c r="DB4" s="69"/>
      <c r="DC4" s="69"/>
      <c r="DD4" s="69"/>
      <c r="DE4" s="69"/>
    </row>
    <row r="5">
      <c r="A5" s="67">
        <f>RawTotals!A5</f>
        <v>3538</v>
      </c>
      <c r="B5" s="68" t="str">
        <f>IFERROR(__xludf.DUMMYFUNCTION("IF(A5&lt;&gt;"""",IFERROR(TRANSPOSE(FILTER(Data!D:D,Data!B:B=A5,Data!R:R&lt;&gt;"""")),""No Defense""),"""")"),"No Defense")</f>
        <v>No Defense</v>
      </c>
      <c r="C5" s="65"/>
      <c r="D5" s="65"/>
      <c r="E5" s="65"/>
      <c r="F5" s="65"/>
      <c r="G5" s="65"/>
      <c r="H5" s="65"/>
      <c r="I5" s="65"/>
      <c r="J5" s="65"/>
      <c r="K5" s="65"/>
      <c r="L5" s="65"/>
      <c r="M5" s="65"/>
      <c r="N5" s="64" t="str">
        <f>IFERROR(__xludf.DUMMYFUNCTION("IFERROR(Textjoin("""",TRUE,FILTER(Data!$R:$R,Data!$D:$D=B5,Data!$B:$B=$A5)),"""")"),"")</f>
        <v/>
      </c>
      <c r="O5" s="64" t="str">
        <f>IFERROR(__xludf.DUMMYFUNCTION("IFERROR(Textjoin("""",TRUE,FILTER(Data!$R:$R,Data!$D:$D=C5,Data!$B:$B=$A5)),"""")"),"")</f>
        <v/>
      </c>
      <c r="P5" s="64" t="str">
        <f>IFERROR(__xludf.DUMMYFUNCTION("IFERROR(Textjoin("""",TRUE,FILTER(Data!$R:$R,Data!$D:$D=D5,Data!$B:$B=$A5)),"""")"),"")</f>
        <v/>
      </c>
      <c r="Q5" s="64" t="str">
        <f>IFERROR(__xludf.DUMMYFUNCTION("IFERROR(Textjoin("""",TRUE,FILTER(Data!$R:$R,Data!$D:$D=E5,Data!$B:$B=$A5)),"""")"),"")</f>
        <v/>
      </c>
      <c r="R5" s="64" t="str">
        <f>IFERROR(__xludf.DUMMYFUNCTION("IFERROR(Textjoin("""",TRUE,FILTER(Data!$R:$R,Data!$D:$D=F5,Data!$B:$B=$A5)),"""")"),"")</f>
        <v/>
      </c>
      <c r="S5" s="64" t="str">
        <f>IFERROR(__xludf.DUMMYFUNCTION("IFERROR(Textjoin("""",TRUE,FILTER(Data!$R:$R,Data!$D:$D=G5,Data!$B:$B=$A5)),"""")"),"")</f>
        <v/>
      </c>
      <c r="T5" s="64" t="str">
        <f>IFERROR(__xludf.DUMMYFUNCTION("IFERROR(Textjoin("""",TRUE,FILTER(Data!$R:$R,Data!$D:$D=H5,Data!$B:$B=$A5)),"""")"),"")</f>
        <v/>
      </c>
      <c r="U5" s="64" t="str">
        <f>IFERROR(__xludf.DUMMYFUNCTION("IFERROR(Textjoin("""",TRUE,FILTER(Data!$R:$R,Data!$D:$D=I5,Data!$B:$B=$A5)),"""")"),"")</f>
        <v/>
      </c>
      <c r="V5" s="64" t="str">
        <f>IFERROR(__xludf.DUMMYFUNCTION("IFERROR(Textjoin("""",TRUE,FILTER(Data!$R:$R,Data!$D:$D=J5,Data!$B:$B=$A5)),"""")"),"")</f>
        <v/>
      </c>
      <c r="W5" s="64" t="str">
        <f>IFERROR(__xludf.DUMMYFUNCTION("IFERROR(Textjoin("""",TRUE,FILTER(Data!$R:$R,Data!$D:$D=K5,Data!$B:$B=$A5)),"""")"),"")</f>
        <v/>
      </c>
      <c r="X5" s="64" t="str">
        <f>IFERROR(__xludf.DUMMYFUNCTION("IFERROR(Textjoin("""",TRUE,FILTER(Data!$R:$R,Data!$D:$D=L5,Data!$B:$B=$A5)),"""")"),"")</f>
        <v/>
      </c>
      <c r="Y5" s="64" t="str">
        <f>IFERROR(__xludf.DUMMYFUNCTION("IFERROR(Textjoin("""",TRUE,FILTER(Data!$R:$R,Data!$D:$D=M5,Data!$B:$B=$A5)),"""")"),"")</f>
        <v/>
      </c>
      <c r="Z5" s="64" t="str">
        <f>IFERROR(__xludf.DUMMYFUNCTION("IFERROR(SPLIT(N5,"",""),"""")"),"")</f>
        <v/>
      </c>
      <c r="AA5" s="65"/>
      <c r="AB5" s="65"/>
      <c r="AC5" s="69" t="str">
        <f>IFERROR(__xludf.DUMMYFUNCTION("IFERROR(SPLIT(O5,"",""),"""")"),"")</f>
        <v/>
      </c>
      <c r="AD5" s="65"/>
      <c r="AE5" s="65"/>
      <c r="AF5" s="69" t="str">
        <f>IFERROR(__xludf.DUMMYFUNCTION("IFERROR(SPLIT(P5,"",""),"""")"),"")</f>
        <v/>
      </c>
      <c r="AG5" s="65"/>
      <c r="AH5" s="65"/>
      <c r="AI5" s="69" t="str">
        <f>IFERROR(__xludf.DUMMYFUNCTION("IFERROR(SPLIT(Q5,"",""),"""")"),"")</f>
        <v/>
      </c>
      <c r="AJ5" s="65"/>
      <c r="AK5" s="65"/>
      <c r="AL5" s="69" t="str">
        <f>IFERROR(__xludf.DUMMYFUNCTION("IFERROR(SPLIT(R5,"",""),"""")"),"")</f>
        <v/>
      </c>
      <c r="AM5" s="65"/>
      <c r="AN5" s="65"/>
      <c r="AO5" s="69" t="str">
        <f>IFERROR(__xludf.DUMMYFUNCTION("IFERROR(SPLIT(S5,"",""),"""")"),"")</f>
        <v/>
      </c>
      <c r="AP5" s="65"/>
      <c r="AQ5" s="65"/>
      <c r="AR5" s="69" t="str">
        <f>IFERROR(__xludf.DUMMYFUNCTION("IFERROR(SPLIT(T5,"",""),"""")"),"")</f>
        <v/>
      </c>
      <c r="AS5" s="65"/>
      <c r="AT5" s="65"/>
      <c r="AU5" s="69" t="str">
        <f>IFERROR(__xludf.DUMMYFUNCTION("IFERROR(SPLIT(U5,"",""),"""")"),"")</f>
        <v/>
      </c>
      <c r="AV5" s="65"/>
      <c r="AW5" s="65"/>
      <c r="AX5" s="69" t="str">
        <f>IFERROR(__xludf.DUMMYFUNCTION("IFERROR(SPLIT(V5,"",""),"""")"),"")</f>
        <v/>
      </c>
      <c r="AY5" s="65"/>
      <c r="AZ5" s="65"/>
      <c r="BA5" s="69" t="str">
        <f>IFERROR(__xludf.DUMMYFUNCTION("IFERROR(SPLIT(W5,"",""),"""")"),"")</f>
        <v/>
      </c>
      <c r="BB5" s="69"/>
      <c r="BC5" s="69"/>
      <c r="BD5" s="69" t="str">
        <f>IFERROR(__xludf.DUMMYFUNCTION("IFERROR(SPLIT(X5,"",""),"""")"),"")</f>
        <v/>
      </c>
      <c r="BE5" s="69"/>
      <c r="BF5" s="69"/>
      <c r="BG5" s="69" t="str">
        <f>IFERROR(__xludf.DUMMYFUNCTION("IFERROR(SPLIT(Y5,"",""),"""")"),"")</f>
        <v/>
      </c>
      <c r="BH5" s="69"/>
      <c r="BI5" s="69"/>
      <c r="BJ5" s="68" t="str">
        <f>IFERROR(__xludf.DUMMYFUNCTION("IF($B5&lt;&gt;"""",IFERROR(FILTER(RawTotals!$AJ:$AJ,RawTotals!$A:$A=Z5)-(FILTER(Data!$K:$K,Data!$B:$B=Z5,Data!$D:$D=$B5)+FILTER(Data!$L:$L,Data!$B:$B=Z5,Data!$D:$D=$B5)),""""),"""")"),"")</f>
        <v/>
      </c>
      <c r="BK5" s="68" t="str">
        <f>IFERROR(__xludf.DUMMYFUNCTION("IF($B5&lt;&gt;"""",IFERROR(FILTER(RawTotals!$AJ:$AJ,RawTotals!$A:$A=AA5)-(FILTER(Data!$K:$K,Data!$B:$B=AA5,Data!$D:$D=$B5)+FILTER(Data!$L:$L,Data!$B:$B=AA5,Data!$D:$D=$B5)),""""),"""")"),"")</f>
        <v/>
      </c>
      <c r="BL5" s="68" t="str">
        <f>IFERROR(__xludf.DUMMYFUNCTION("IF($B5&lt;&gt;"""",IFERROR(FILTER(RawTotals!$AJ:$AJ,RawTotals!$A:$A=AB5)-(FILTER(Data!$K:$K,Data!$B:$B=AB5,Data!$D:$D=$B5)+FILTER(Data!$L:$L,Data!$B:$B=AB5,Data!$D:$D=$B5)),""""),"""")"),"")</f>
        <v/>
      </c>
      <c r="BM5" s="69" t="str">
        <f>IFERROR(__xludf.DUMMYFUNCTION("IF($C5&lt;&gt;"""",IFERROR(FILTER(RawTotals!$AJ:$AJ,RawTotals!$A:$A=AC5)-(FILTER(Data!$K:$K,Data!$B:$B=AC5,Data!$D:$D=$C5)+FILTER(Data!$L:$L,Data!$B:$B=AC5,Data!$D:$D=$C5)),""""),"""")"),"")</f>
        <v/>
      </c>
      <c r="BN5" s="69" t="str">
        <f>IFERROR(__xludf.DUMMYFUNCTION("IF($C5&lt;&gt;"""",IFERROR(FILTER(RawTotals!$AJ:$AJ,RawTotals!$A:$A=AD5)-(FILTER(Data!$K:$K,Data!$B:$B=AD5,Data!$D:$D=$C5)+FILTER(Data!$L:$L,Data!$B:$B=AD5,Data!$D:$D=$C5)),""""),"""")"),"")</f>
        <v/>
      </c>
      <c r="BO5" s="69" t="str">
        <f>IFERROR(__xludf.DUMMYFUNCTION("IF($C5&lt;&gt;"""",IFERROR(FILTER(RawTotals!$AJ:$AJ,RawTotals!$A:$A=AE5)-(FILTER(Data!$K:$K,Data!$B:$B=AE5,Data!$D:$D=$C5)+FILTER(Data!$L:$L,Data!$B:$B=AE5,Data!$D:$D=$C5)),""""),"""")"),"")</f>
        <v/>
      </c>
      <c r="BP5" s="69" t="str">
        <f>IFERROR(__xludf.DUMMYFUNCTION("IF($D5&lt;&gt;"""",IFERROR(FILTER(RawTotals!$AJ:$AJ,RawTotals!$A:$A=AF5)-(FILTER(Data!$K:$K,Data!$B:$B=AF5,Data!$D:$D=$D5)+FILTER(Data!$L:$L,Data!$B:$B=AF5,Data!$D:$D=$D5)),""""),"""")"),"")</f>
        <v/>
      </c>
      <c r="BQ5" s="69" t="str">
        <f>IFERROR(__xludf.DUMMYFUNCTION("IF($D5&lt;&gt;"""",IFERROR(FILTER(RawTotals!$AJ:$AJ,RawTotals!$A:$A=AG5)-(FILTER(Data!$K:$K,Data!$B:$B=AG5,Data!$D:$D=$D5)+FILTER(Data!$L:$L,Data!$B:$B=AG5,Data!$D:$D=$D5)),""""),"""")"),"")</f>
        <v/>
      </c>
      <c r="BR5" s="69" t="str">
        <f>IFERROR(__xludf.DUMMYFUNCTION("IF($D5&lt;&gt;"""",IFERROR(FILTER(RawTotals!$AJ:$AJ,RawTotals!$A:$A=AH5)-(FILTER(Data!$K:$K,Data!$B:$B=AH5,Data!$D:$D=$D5)+FILTER(Data!$L:$L,Data!$B:$B=AH5,Data!$D:$D=$D5)),""""),"""")"),"")</f>
        <v/>
      </c>
      <c r="BS5" s="69" t="str">
        <f>IFERROR(__xludf.DUMMYFUNCTION("IF($E5&lt;&gt;"""",IFERROR(FILTER(RawTotals!$AJ:$AJ,RawTotals!$A:$A=AI5)-(FILTER(Data!$K:$K,Data!$B:$B=AI5,Data!$D:$D=$E5)+FILTER(Data!$L:$L,Data!$B:$B=AI5,Data!$D:$D=$E5)),""""),"""")"),"")</f>
        <v/>
      </c>
      <c r="BT5" s="69" t="str">
        <f>IFERROR(__xludf.DUMMYFUNCTION("IF($E5&lt;&gt;"""",IFERROR(FILTER(RawTotals!$AJ:$AJ,RawTotals!$A:$A=AJ5)-(FILTER(Data!$K:$K,Data!$B:$B=AJ5,Data!$D:$D=$E5)+FILTER(Data!$L:$L,Data!$B:$B=AJ5,Data!$D:$D=$E5)),""""),"""")"),"")</f>
        <v/>
      </c>
      <c r="BU5" s="69" t="str">
        <f>IFERROR(__xludf.DUMMYFUNCTION("IF($E5&lt;&gt;"""",IFERROR(FILTER(RawTotals!$AJ:$AJ,RawTotals!$A:$A=AK5)-(FILTER(Data!$K:$K,Data!$B:$B=AK5,Data!$D:$D=$E5)+FILTER(Data!$L:$L,Data!$B:$B=AK5,Data!$D:$D=$E5)),""""),"""")"),"")</f>
        <v/>
      </c>
      <c r="BV5" s="69" t="str">
        <f>IFERROR(__xludf.DUMMYFUNCTION("IF($F5&lt;&gt;"""",IFERROR(FILTER(RawTotals!$AJ:$AJ,RawTotals!$A:$A=AL5)-(FILTER(Data!$K:$K,Data!$B:$B=AL5,Data!$D:$D=$F5)+FILTER(Data!$L:$L,Data!$B:$B=AL5,Data!$D:$D=$F5)),""""),"""")"),"")</f>
        <v/>
      </c>
      <c r="BW5" s="69" t="str">
        <f>IFERROR(__xludf.DUMMYFUNCTION("IF($F5&lt;&gt;"""",IFERROR(FILTER(RawTotals!$AJ:$AJ,RawTotals!$A:$A=AM5)-(FILTER(Data!$K:$K,Data!$B:$B=AM5,Data!$D:$D=$F5)+FILTER(Data!$L:$L,Data!$B:$B=AM5,Data!$D:$D=$F5)),""""),"""")"),"")</f>
        <v/>
      </c>
      <c r="BX5" s="69" t="str">
        <f>IFERROR(__xludf.DUMMYFUNCTION("IF($F5&lt;&gt;"""",IFERROR(FILTER(RawTotals!$AJ:$AJ,RawTotals!$A:$A=AN5)-(FILTER(Data!$K:$K,Data!$B:$B=AN5,Data!$D:$D=$F5)+FILTER(Data!$L:$L,Data!$B:$B=AN5,Data!$D:$D=$F5)),""""),"""")"),"")</f>
        <v/>
      </c>
      <c r="BY5" s="69" t="str">
        <f>IFERROR(__xludf.DUMMYFUNCTION("IF($G5&lt;&gt;"""",IFERROR(FILTER(RawTotals!$AJ:$AJ,RawTotals!$A:$A=AO5)-(FILTER(Data!$K:$K,Data!$B:$B=AO5,Data!$D:$D=$G5)+FILTER(Data!$L:$L,Data!$B:$B=AO5,Data!$D:$D=$G5)),""""),"""")"),"")</f>
        <v/>
      </c>
      <c r="BZ5" s="69" t="str">
        <f>IFERROR(__xludf.DUMMYFUNCTION("IF($G5&lt;&gt;"""",IFERROR(FILTER(RawTotals!$AJ:$AJ,RawTotals!$A:$A=AP5)-(FILTER(Data!$K:$K,Data!$B:$B=AP5,Data!$D:$D=$G5)+FILTER(Data!$L:$L,Data!$B:$B=AP5,Data!$D:$D=$G5)),""""),"""")"),"")</f>
        <v/>
      </c>
      <c r="CA5" s="69" t="str">
        <f>IFERROR(__xludf.DUMMYFUNCTION("IF($G5&lt;&gt;"""",IFERROR(FILTER(RawTotals!$AJ:$AJ,RawTotals!$A:$A=AQ5)-(FILTER(Data!$K:$K,Data!$B:$B=AQ5,Data!$D:$D=$G5)+FILTER(Data!$L:$L,Data!$B:$B=AQ5,Data!$D:$D=$G5)),""""),"""")"),"")</f>
        <v/>
      </c>
      <c r="CB5" s="69" t="str">
        <f>IFERROR(__xludf.DUMMYFUNCTION("IF($H5&lt;&gt;"""",IFERROR(FILTER(RawTotals!$AJ:$AJ,RawTotals!$A:$A=AR5)-(FILTER(Data!$K:$K,Data!$B:$B=AR5,Data!$D:$D=$H5)+FILTER(Data!$L:$L,Data!$B:$B=AR5,Data!$D:$D=$H5)),""""),"""")"),"")</f>
        <v/>
      </c>
      <c r="CC5" s="69" t="str">
        <f>IFERROR(__xludf.DUMMYFUNCTION("IF($H5&lt;&gt;"""",IFERROR(FILTER(RawTotals!$AJ:$AJ,RawTotals!$A:$A=AS5)-(FILTER(Data!$K:$K,Data!$B:$B=AS5,Data!$D:$D=$H5)+FILTER(Data!$L:$L,Data!$B:$B=AS5,Data!$D:$D=$H5)),""""),"""")"),"")</f>
        <v/>
      </c>
      <c r="CD5" s="69" t="str">
        <f>IFERROR(__xludf.DUMMYFUNCTION("IF($H5&lt;&gt;"""",IFERROR(FILTER(RawTotals!$AJ:$AJ,RawTotals!$A:$A=AT5)-(FILTER(Data!$K:$K,Data!$B:$B=AT5,Data!$D:$D=$H5)+FILTER(Data!$L:$L,Data!$B:$B=AT5,Data!$D:$D=$H5)),""""),"""")"),"")</f>
        <v/>
      </c>
      <c r="CE5" s="69" t="str">
        <f>IFERROR(__xludf.DUMMYFUNCTION("IF($I5&lt;&gt;"""",IFERROR(FILTER(RawTotals!$AJ:$AJ,RawTotals!$A:$A=AU5)-(FILTER(Data!$K:$K,Data!$B:$B=AU5,Data!$D:$D=$I5)+FILTER(Data!$L:$L,Data!$B:$B=AU5,Data!$D:$D=$I5)),""""),"""")"),"")</f>
        <v/>
      </c>
      <c r="CF5" s="69" t="str">
        <f>IFERROR(__xludf.DUMMYFUNCTION("IF($I5&lt;&gt;"""",IFERROR(FILTER(RawTotals!$AJ:$AJ,RawTotals!$A:$A=AV5)-(FILTER(Data!$K:$K,Data!$B:$B=AV5,Data!$D:$D=$I5)+FILTER(Data!$L:$L,Data!$B:$B=AV5,Data!$D:$D=$I5)),""""),"""")"),"")</f>
        <v/>
      </c>
      <c r="CG5" s="69" t="str">
        <f>IFERROR(__xludf.DUMMYFUNCTION("IF($I5&lt;&gt;"""",IFERROR(FILTER(RawTotals!$AJ:$AJ,RawTotals!$A:$A=AW5)-(FILTER(Data!$K:$K,Data!$B:$B=AW5,Data!$D:$D=$I5)+FILTER(Data!$L:$L,Data!$B:$B=AW5,Data!$D:$D=$I5)),""""),"""")"),"")</f>
        <v/>
      </c>
      <c r="CH5" s="69" t="str">
        <f>IFERROR(__xludf.DUMMYFUNCTION("IF($J5&lt;&gt;"""",IFERROR(FILTER(RawTotals!$AJ:$AJ,RawTotals!$A:$A=AX5)-(FILTER(Data!$K:$K,Data!$B:$B=AX5,Data!$D:$D=$J5)+FILTER(Data!$L:$L,Data!$B:$B=AX5,Data!$D:$D=$J5)),""""),"""")"),"")</f>
        <v/>
      </c>
      <c r="CI5" s="69" t="str">
        <f>IFERROR(__xludf.DUMMYFUNCTION("IF($J5&lt;&gt;"""",IFERROR(FILTER(RawTotals!$AJ:$AJ,RawTotals!$A:$A=AY5)-(FILTER(Data!$K:$K,Data!$B:$B=AY5,Data!$D:$D=$J5)+FILTER(Data!$L:$L,Data!$B:$B=AY5,Data!$D:$D=$J5)),""""),"""")"),"")</f>
        <v/>
      </c>
      <c r="CJ5" s="69" t="str">
        <f>IFERROR(__xludf.DUMMYFUNCTION("IF($J5&lt;&gt;"""",IFERROR(FILTER(RawTotals!$AJ:$AJ,RawTotals!$A:$A=AZ5)-(FILTER(Data!$K:$K,Data!$B:$B=AZ5,Data!$D:$D=$J5)+FILTER(Data!$L:$L,Data!$B:$B=AZ5,Data!$D:$D=$J5)),""""),"""")"),"")</f>
        <v/>
      </c>
      <c r="CK5" s="69" t="str">
        <f>IFERROR(__xludf.DUMMYFUNCTION("IF($K5&lt;&gt;"""",IFERROR(FILTER(RawTotals!$AJ:$AJ,RawTotals!$A:$A=BA5)-(FILTER(Data!$K:$K,Data!$B:$B=BA5,Data!$D:$D=$K5)+FILTER(Data!$L:$L,Data!$B:$B=BA5,Data!$D:$D=$K5)),""""),"""")"),"")</f>
        <v/>
      </c>
      <c r="CL5" s="69" t="str">
        <f>IFERROR(__xludf.DUMMYFUNCTION("IF($K5&lt;&gt;"""",IFERROR(FILTER(RawTotals!$AJ:$AJ,RawTotals!$A:$A=BB5)-(FILTER(Data!$K:$K,Data!$B:$B=BB5,Data!$D:$D=$K5)+FILTER(Data!$L:$L,Data!$B:$B=BB5,Data!$D:$D=$K5)),""""),"""")"),"")</f>
        <v/>
      </c>
      <c r="CM5" s="69" t="str">
        <f>IFERROR(__xludf.DUMMYFUNCTION("IF($K5&lt;&gt;"""",IFERROR(FILTER(RawTotals!$AJ:$AJ,RawTotals!$A:$A=BC5)-(FILTER(Data!$K:$K,Data!$B:$B=BC5,Data!$D:$D=$K5)+FILTER(Data!$L:$L,Data!$B:$B=BC5,Data!$D:$D=$K5)),""""),"""")"),"")</f>
        <v/>
      </c>
      <c r="CN5" s="69" t="str">
        <f>IFERROR(__xludf.DUMMYFUNCTION("IF($L5&lt;&gt;"""",IFERROR((FILTER(RawTotals!$AJ:$AJ,RawTotals!$A:$A=BD5)-(FILTER(Data!$K:$K,Data!$B:$B=BD5,Data!$D:$D=$L5)+FILTER(Data!$L:$L,Data!$B:$B=BD5,Data!$D:$D=$L5))),""""),"""")"),"")</f>
        <v/>
      </c>
      <c r="CO5" s="69" t="str">
        <f>IFERROR(__xludf.DUMMYFUNCTION("IF($L5&lt;&gt;"""",IFERROR((FILTER(RawTotals!$AJ:$AJ,RawTotals!$A:$A=BE5)-(FILTER(Data!$K:$K,Data!$B:$B=BE5,Data!$D:$D=$L5)+FILTER(Data!$L:$L,Data!$B:$B=BE5,Data!$D:$D=$L5))),""""),"""")"),"")</f>
        <v/>
      </c>
      <c r="CP5" s="69" t="str">
        <f>IFERROR(__xludf.DUMMYFUNCTION("IF($L5&lt;&gt;"""",IFERROR((FILTER(RawTotals!$AJ:$AJ,RawTotals!$A:$A=BF5)-(FILTER(Data!$K:$K,Data!$B:$B=BF5,Data!$D:$D=$L5)+FILTER(Data!$L:$L,Data!$B:$B=BF5,Data!$D:$D=$L5))),""""),"""")"),"")</f>
        <v/>
      </c>
      <c r="CQ5" s="69" t="str">
        <f>IFERROR(__xludf.DUMMYFUNCTION("IF($M5&lt;&gt;"""",IFERROR((FILTER(RawTotals!$AJ:$AJ,RawTotals!$A:$A=BG5)-(FILTER(Data!$K:$K,Data!$B:$B=BG5,Data!$D:$D=$M5)+FILTER(Data!$L:$L,Data!$B:$B=BG5,Data!$D:$D=$M5))),""""),"""")"),"")</f>
        <v/>
      </c>
      <c r="CR5" s="69" t="str">
        <f>IFERROR(__xludf.DUMMYFUNCTION("IF($M5&lt;&gt;"""",IFERROR((FILTER(RawTotals!$AJ:$AJ,RawTotals!$A:$A=BH5)-(FILTER(Data!$K:$K,Data!$B:$B=BH5,Data!$D:$D=$M5)+FILTER(Data!$L:$L,Data!$B:$B=BH5,Data!$D:$D=$M5))),""""),"""")"),"")</f>
        <v/>
      </c>
      <c r="CS5" s="70" t="str">
        <f>IFERROR(__xludf.DUMMYFUNCTION("IF($M5&lt;&gt;"""",IFERROR((FILTER(RawTotals!$AJ:$AJ,RawTotals!$A:$A=BI5)-(FILTER(Data!$K:$K,Data!$B:$B=BI5,Data!$D:$D=$M5)+FILTER(Data!$L:$L,Data!$B:$B=BI5,Data!$D:$D=$M5))),""""),"""")"),"")</f>
        <v/>
      </c>
      <c r="CT5" s="69"/>
      <c r="CU5" s="69"/>
      <c r="CV5" s="69"/>
      <c r="CW5" s="69"/>
      <c r="CX5" s="69"/>
      <c r="CY5" s="69"/>
      <c r="CZ5" s="69"/>
      <c r="DA5" s="69"/>
      <c r="DB5" s="69"/>
      <c r="DC5" s="69"/>
      <c r="DD5" s="69"/>
      <c r="DE5" s="69"/>
    </row>
    <row r="6">
      <c r="A6" s="67">
        <f>RawTotals!A6</f>
        <v>340</v>
      </c>
      <c r="B6" s="68" t="str">
        <f>IFERROR(__xludf.DUMMYFUNCTION("IF(A6&lt;&gt;"""",IFERROR(TRANSPOSE(FILTER(Data!D:D,Data!B:B=A6,Data!R:R&lt;&gt;"""")),""No Defense""),"""")"),"No Defense")</f>
        <v>No Defense</v>
      </c>
      <c r="C6" s="65"/>
      <c r="D6" s="65"/>
      <c r="E6" s="65"/>
      <c r="F6" s="65"/>
      <c r="G6" s="65"/>
      <c r="H6" s="65"/>
      <c r="I6" s="65"/>
      <c r="J6" s="65"/>
      <c r="K6" s="65"/>
      <c r="L6" s="65"/>
      <c r="M6" s="65"/>
      <c r="N6" s="64" t="str">
        <f>IFERROR(__xludf.DUMMYFUNCTION("IFERROR(Textjoin("""",TRUE,FILTER(Data!$R:$R,Data!$D:$D=B6,Data!$B:$B=$A6)),"""")"),"")</f>
        <v/>
      </c>
      <c r="O6" s="64" t="str">
        <f>IFERROR(__xludf.DUMMYFUNCTION("IFERROR(Textjoin("""",TRUE,FILTER(Data!$R:$R,Data!$D:$D=C6,Data!$B:$B=$A6)),"""")"),"")</f>
        <v/>
      </c>
      <c r="P6" s="64" t="str">
        <f>IFERROR(__xludf.DUMMYFUNCTION("IFERROR(Textjoin("""",TRUE,FILTER(Data!$R:$R,Data!$D:$D=D6,Data!$B:$B=$A6)),"""")"),"")</f>
        <v/>
      </c>
      <c r="Q6" s="64" t="str">
        <f>IFERROR(__xludf.DUMMYFUNCTION("IFERROR(Textjoin("""",TRUE,FILTER(Data!$R:$R,Data!$D:$D=E6,Data!$B:$B=$A6)),"""")"),"")</f>
        <v/>
      </c>
      <c r="R6" s="64" t="str">
        <f>IFERROR(__xludf.DUMMYFUNCTION("IFERROR(Textjoin("""",TRUE,FILTER(Data!$R:$R,Data!$D:$D=F6,Data!$B:$B=$A6)),"""")"),"")</f>
        <v/>
      </c>
      <c r="S6" s="64" t="str">
        <f>IFERROR(__xludf.DUMMYFUNCTION("IFERROR(Textjoin("""",TRUE,FILTER(Data!$R:$R,Data!$D:$D=G6,Data!$B:$B=$A6)),"""")"),"")</f>
        <v/>
      </c>
      <c r="T6" s="64" t="str">
        <f>IFERROR(__xludf.DUMMYFUNCTION("IFERROR(Textjoin("""",TRUE,FILTER(Data!$R:$R,Data!$D:$D=H6,Data!$B:$B=$A6)),"""")"),"")</f>
        <v/>
      </c>
      <c r="U6" s="64" t="str">
        <f>IFERROR(__xludf.DUMMYFUNCTION("IFERROR(Textjoin("""",TRUE,FILTER(Data!$R:$R,Data!$D:$D=I6,Data!$B:$B=$A6)),"""")"),"")</f>
        <v/>
      </c>
      <c r="V6" s="64" t="str">
        <f>IFERROR(__xludf.DUMMYFUNCTION("IFERROR(Textjoin("""",TRUE,FILTER(Data!$R:$R,Data!$D:$D=J6,Data!$B:$B=$A6)),"""")"),"")</f>
        <v/>
      </c>
      <c r="W6" s="64" t="str">
        <f>IFERROR(__xludf.DUMMYFUNCTION("IFERROR(Textjoin("""",TRUE,FILTER(Data!$R:$R,Data!$D:$D=K6,Data!$B:$B=$A6)),"""")"),"")</f>
        <v/>
      </c>
      <c r="X6" s="64" t="str">
        <f>IFERROR(__xludf.DUMMYFUNCTION("IFERROR(Textjoin("""",TRUE,FILTER(Data!$R:$R,Data!$D:$D=L6,Data!$B:$B=$A6)),"""")"),"")</f>
        <v/>
      </c>
      <c r="Y6" s="64" t="str">
        <f>IFERROR(__xludf.DUMMYFUNCTION("IFERROR(Textjoin("""",TRUE,FILTER(Data!$R:$R,Data!$D:$D=M6,Data!$B:$B=$A6)),"""")"),"")</f>
        <v/>
      </c>
      <c r="Z6" s="64" t="str">
        <f>IFERROR(__xludf.DUMMYFUNCTION("IFERROR(SPLIT(N6,"",""),"""")"),"")</f>
        <v/>
      </c>
      <c r="AA6" s="65"/>
      <c r="AB6" s="65"/>
      <c r="AC6" s="69" t="str">
        <f>IFERROR(__xludf.DUMMYFUNCTION("IFERROR(SPLIT(O6,"",""),"""")"),"")</f>
        <v/>
      </c>
      <c r="AD6" s="65"/>
      <c r="AE6" s="65"/>
      <c r="AF6" s="69" t="str">
        <f>IFERROR(__xludf.DUMMYFUNCTION("IFERROR(SPLIT(P6,"",""),"""")"),"")</f>
        <v/>
      </c>
      <c r="AG6" s="65"/>
      <c r="AH6" s="65"/>
      <c r="AI6" s="69" t="str">
        <f>IFERROR(__xludf.DUMMYFUNCTION("IFERROR(SPLIT(Q6,"",""),"""")"),"")</f>
        <v/>
      </c>
      <c r="AJ6" s="65"/>
      <c r="AK6" s="65"/>
      <c r="AL6" s="69" t="str">
        <f>IFERROR(__xludf.DUMMYFUNCTION("IFERROR(SPLIT(R6,"",""),"""")"),"")</f>
        <v/>
      </c>
      <c r="AM6" s="65"/>
      <c r="AN6" s="65"/>
      <c r="AO6" s="69" t="str">
        <f>IFERROR(__xludf.DUMMYFUNCTION("IFERROR(SPLIT(S6,"",""),"""")"),"")</f>
        <v/>
      </c>
      <c r="AP6" s="65"/>
      <c r="AQ6" s="65"/>
      <c r="AR6" s="69" t="str">
        <f>IFERROR(__xludf.DUMMYFUNCTION("IFERROR(SPLIT(T6,"",""),"""")"),"")</f>
        <v/>
      </c>
      <c r="AS6" s="65"/>
      <c r="AT6" s="65"/>
      <c r="AU6" s="69" t="str">
        <f>IFERROR(__xludf.DUMMYFUNCTION("IFERROR(SPLIT(U6,"",""),"""")"),"")</f>
        <v/>
      </c>
      <c r="AV6" s="65"/>
      <c r="AW6" s="65"/>
      <c r="AX6" s="69" t="str">
        <f>IFERROR(__xludf.DUMMYFUNCTION("IFERROR(SPLIT(V6,"",""),"""")"),"")</f>
        <v/>
      </c>
      <c r="AY6" s="65"/>
      <c r="AZ6" s="65"/>
      <c r="BA6" s="69" t="str">
        <f>IFERROR(__xludf.DUMMYFUNCTION("IFERROR(SPLIT(W6,"",""),"""")"),"")</f>
        <v/>
      </c>
      <c r="BB6" s="69"/>
      <c r="BC6" s="69"/>
      <c r="BD6" s="69" t="str">
        <f>IFERROR(__xludf.DUMMYFUNCTION("IFERROR(SPLIT(X6,"",""),"""")"),"")</f>
        <v/>
      </c>
      <c r="BE6" s="69"/>
      <c r="BF6" s="69"/>
      <c r="BG6" s="69" t="str">
        <f>IFERROR(__xludf.DUMMYFUNCTION("IFERROR(SPLIT(Y6,"",""),"""")"),"")</f>
        <v/>
      </c>
      <c r="BH6" s="69"/>
      <c r="BI6" s="69"/>
      <c r="BJ6" s="68" t="str">
        <f>IFERROR(__xludf.DUMMYFUNCTION("IF($B6&lt;&gt;"""",IFERROR(FILTER(RawTotals!$AJ:$AJ,RawTotals!$A:$A=Z6)-(FILTER(Data!$K:$K,Data!$B:$B=Z6,Data!$D:$D=$B6)+FILTER(Data!$L:$L,Data!$B:$B=Z6,Data!$D:$D=$B6)),""""),"""")"),"")</f>
        <v/>
      </c>
      <c r="BK6" s="68" t="str">
        <f>IFERROR(__xludf.DUMMYFUNCTION("IF($B6&lt;&gt;"""",IFERROR(FILTER(RawTotals!$AJ:$AJ,RawTotals!$A:$A=AA6)-(FILTER(Data!$K:$K,Data!$B:$B=AA6,Data!$D:$D=$B6)+FILTER(Data!$L:$L,Data!$B:$B=AA6,Data!$D:$D=$B6)),""""),"""")"),"")</f>
        <v/>
      </c>
      <c r="BL6" s="68" t="str">
        <f>IFERROR(__xludf.DUMMYFUNCTION("IF($B6&lt;&gt;"""",IFERROR(FILTER(RawTotals!$AJ:$AJ,RawTotals!$A:$A=AB6)-(FILTER(Data!$K:$K,Data!$B:$B=AB6,Data!$D:$D=$B6)+FILTER(Data!$L:$L,Data!$B:$B=AB6,Data!$D:$D=$B6)),""""),"""")"),"")</f>
        <v/>
      </c>
      <c r="BM6" s="69" t="str">
        <f>IFERROR(__xludf.DUMMYFUNCTION("IF($C6&lt;&gt;"""",IFERROR(FILTER(RawTotals!$AJ:$AJ,RawTotals!$A:$A=AC6)-(FILTER(Data!$K:$K,Data!$B:$B=AC6,Data!$D:$D=$C6)+FILTER(Data!$L:$L,Data!$B:$B=AC6,Data!$D:$D=$C6)),""""),"""")"),"")</f>
        <v/>
      </c>
      <c r="BN6" s="69" t="str">
        <f>IFERROR(__xludf.DUMMYFUNCTION("IF($C6&lt;&gt;"""",IFERROR(FILTER(RawTotals!$AJ:$AJ,RawTotals!$A:$A=AD6)-(FILTER(Data!$K:$K,Data!$B:$B=AD6,Data!$D:$D=$C6)+FILTER(Data!$L:$L,Data!$B:$B=AD6,Data!$D:$D=$C6)),""""),"""")"),"")</f>
        <v/>
      </c>
      <c r="BO6" s="69" t="str">
        <f>IFERROR(__xludf.DUMMYFUNCTION("IF($C6&lt;&gt;"""",IFERROR(FILTER(RawTotals!$AJ:$AJ,RawTotals!$A:$A=AE6)-(FILTER(Data!$K:$K,Data!$B:$B=AE6,Data!$D:$D=$C6)+FILTER(Data!$L:$L,Data!$B:$B=AE6,Data!$D:$D=$C6)),""""),"""")"),"")</f>
        <v/>
      </c>
      <c r="BP6" s="69" t="str">
        <f>IFERROR(__xludf.DUMMYFUNCTION("IF($D6&lt;&gt;"""",IFERROR(FILTER(RawTotals!$AJ:$AJ,RawTotals!$A:$A=AF6)-(FILTER(Data!$K:$K,Data!$B:$B=AF6,Data!$D:$D=$D6)+FILTER(Data!$L:$L,Data!$B:$B=AF6,Data!$D:$D=$D6)),""""),"""")"),"")</f>
        <v/>
      </c>
      <c r="BQ6" s="69" t="str">
        <f>IFERROR(__xludf.DUMMYFUNCTION("IF($D6&lt;&gt;"""",IFERROR(FILTER(RawTotals!$AJ:$AJ,RawTotals!$A:$A=AG6)-(FILTER(Data!$K:$K,Data!$B:$B=AG6,Data!$D:$D=$D6)+FILTER(Data!$L:$L,Data!$B:$B=AG6,Data!$D:$D=$D6)),""""),"""")"),"")</f>
        <v/>
      </c>
      <c r="BR6" s="69" t="str">
        <f>IFERROR(__xludf.DUMMYFUNCTION("IF($D6&lt;&gt;"""",IFERROR(FILTER(RawTotals!$AJ:$AJ,RawTotals!$A:$A=AH6)-(FILTER(Data!$K:$K,Data!$B:$B=AH6,Data!$D:$D=$D6)+FILTER(Data!$L:$L,Data!$B:$B=AH6,Data!$D:$D=$D6)),""""),"""")"),"")</f>
        <v/>
      </c>
      <c r="BS6" s="69" t="str">
        <f>IFERROR(__xludf.DUMMYFUNCTION("IF($E6&lt;&gt;"""",IFERROR(FILTER(RawTotals!$AJ:$AJ,RawTotals!$A:$A=AI6)-(FILTER(Data!$K:$K,Data!$B:$B=AI6,Data!$D:$D=$E6)+FILTER(Data!$L:$L,Data!$B:$B=AI6,Data!$D:$D=$E6)),""""),"""")"),"")</f>
        <v/>
      </c>
      <c r="BT6" s="69" t="str">
        <f>IFERROR(__xludf.DUMMYFUNCTION("IF($E6&lt;&gt;"""",IFERROR(FILTER(RawTotals!$AJ:$AJ,RawTotals!$A:$A=AJ6)-(FILTER(Data!$K:$K,Data!$B:$B=AJ6,Data!$D:$D=$E6)+FILTER(Data!$L:$L,Data!$B:$B=AJ6,Data!$D:$D=$E6)),""""),"""")"),"")</f>
        <v/>
      </c>
      <c r="BU6" s="69" t="str">
        <f>IFERROR(__xludf.DUMMYFUNCTION("IF($E6&lt;&gt;"""",IFERROR(FILTER(RawTotals!$AJ:$AJ,RawTotals!$A:$A=AK6)-(FILTER(Data!$K:$K,Data!$B:$B=AK6,Data!$D:$D=$E6)+FILTER(Data!$L:$L,Data!$B:$B=AK6,Data!$D:$D=$E6)),""""),"""")"),"")</f>
        <v/>
      </c>
      <c r="BV6" s="69" t="str">
        <f>IFERROR(__xludf.DUMMYFUNCTION("IF($F6&lt;&gt;"""",IFERROR(FILTER(RawTotals!$AJ:$AJ,RawTotals!$A:$A=AL6)-(FILTER(Data!$K:$K,Data!$B:$B=AL6,Data!$D:$D=$F6)+FILTER(Data!$L:$L,Data!$B:$B=AL6,Data!$D:$D=$F6)),""""),"""")"),"")</f>
        <v/>
      </c>
      <c r="BW6" s="69" t="str">
        <f>IFERROR(__xludf.DUMMYFUNCTION("IF($F6&lt;&gt;"""",IFERROR(FILTER(RawTotals!$AJ:$AJ,RawTotals!$A:$A=AM6)-(FILTER(Data!$K:$K,Data!$B:$B=AM6,Data!$D:$D=$F6)+FILTER(Data!$L:$L,Data!$B:$B=AM6,Data!$D:$D=$F6)),""""),"""")"),"")</f>
        <v/>
      </c>
      <c r="BX6" s="69" t="str">
        <f>IFERROR(__xludf.DUMMYFUNCTION("IF($F6&lt;&gt;"""",IFERROR(FILTER(RawTotals!$AJ:$AJ,RawTotals!$A:$A=AN6)-(FILTER(Data!$K:$K,Data!$B:$B=AN6,Data!$D:$D=$F6)+FILTER(Data!$L:$L,Data!$B:$B=AN6,Data!$D:$D=$F6)),""""),"""")"),"")</f>
        <v/>
      </c>
      <c r="BY6" s="69" t="str">
        <f>IFERROR(__xludf.DUMMYFUNCTION("IF($G6&lt;&gt;"""",IFERROR(FILTER(RawTotals!$AJ:$AJ,RawTotals!$A:$A=AO6)-(FILTER(Data!$K:$K,Data!$B:$B=AO6,Data!$D:$D=$G6)+FILTER(Data!$L:$L,Data!$B:$B=AO6,Data!$D:$D=$G6)),""""),"""")"),"")</f>
        <v/>
      </c>
      <c r="BZ6" s="69" t="str">
        <f>IFERROR(__xludf.DUMMYFUNCTION("IF($G6&lt;&gt;"""",IFERROR(FILTER(RawTotals!$AJ:$AJ,RawTotals!$A:$A=AP6)-(FILTER(Data!$K:$K,Data!$B:$B=AP6,Data!$D:$D=$G6)+FILTER(Data!$L:$L,Data!$B:$B=AP6,Data!$D:$D=$G6)),""""),"""")"),"")</f>
        <v/>
      </c>
      <c r="CA6" s="69" t="str">
        <f>IFERROR(__xludf.DUMMYFUNCTION("IF($G6&lt;&gt;"""",IFERROR(FILTER(RawTotals!$AJ:$AJ,RawTotals!$A:$A=AQ6)-(FILTER(Data!$K:$K,Data!$B:$B=AQ6,Data!$D:$D=$G6)+FILTER(Data!$L:$L,Data!$B:$B=AQ6,Data!$D:$D=$G6)),""""),"""")"),"")</f>
        <v/>
      </c>
      <c r="CB6" s="69" t="str">
        <f>IFERROR(__xludf.DUMMYFUNCTION("IF($H6&lt;&gt;"""",IFERROR(FILTER(RawTotals!$AJ:$AJ,RawTotals!$A:$A=AR6)-(FILTER(Data!$K:$K,Data!$B:$B=AR6,Data!$D:$D=$H6)+FILTER(Data!$L:$L,Data!$B:$B=AR6,Data!$D:$D=$H6)),""""),"""")"),"")</f>
        <v/>
      </c>
      <c r="CC6" s="69" t="str">
        <f>IFERROR(__xludf.DUMMYFUNCTION("IF($H6&lt;&gt;"""",IFERROR(FILTER(RawTotals!$AJ:$AJ,RawTotals!$A:$A=AS6)-(FILTER(Data!$K:$K,Data!$B:$B=AS6,Data!$D:$D=$H6)+FILTER(Data!$L:$L,Data!$B:$B=AS6,Data!$D:$D=$H6)),""""),"""")"),"")</f>
        <v/>
      </c>
      <c r="CD6" s="69" t="str">
        <f>IFERROR(__xludf.DUMMYFUNCTION("IF($H6&lt;&gt;"""",IFERROR(FILTER(RawTotals!$AJ:$AJ,RawTotals!$A:$A=AT6)-(FILTER(Data!$K:$K,Data!$B:$B=AT6,Data!$D:$D=$H6)+FILTER(Data!$L:$L,Data!$B:$B=AT6,Data!$D:$D=$H6)),""""),"""")"),"")</f>
        <v/>
      </c>
      <c r="CE6" s="69" t="str">
        <f>IFERROR(__xludf.DUMMYFUNCTION("IF($I6&lt;&gt;"""",IFERROR(FILTER(RawTotals!$AJ:$AJ,RawTotals!$A:$A=AU6)-(FILTER(Data!$K:$K,Data!$B:$B=AU6,Data!$D:$D=$I6)+FILTER(Data!$L:$L,Data!$B:$B=AU6,Data!$D:$D=$I6)),""""),"""")"),"")</f>
        <v/>
      </c>
      <c r="CF6" s="69" t="str">
        <f>IFERROR(__xludf.DUMMYFUNCTION("IF($I6&lt;&gt;"""",IFERROR(FILTER(RawTotals!$AJ:$AJ,RawTotals!$A:$A=AV6)-(FILTER(Data!$K:$K,Data!$B:$B=AV6,Data!$D:$D=$I6)+FILTER(Data!$L:$L,Data!$B:$B=AV6,Data!$D:$D=$I6)),""""),"""")"),"")</f>
        <v/>
      </c>
      <c r="CG6" s="69" t="str">
        <f>IFERROR(__xludf.DUMMYFUNCTION("IF($I6&lt;&gt;"""",IFERROR(FILTER(RawTotals!$AJ:$AJ,RawTotals!$A:$A=AW6)-(FILTER(Data!$K:$K,Data!$B:$B=AW6,Data!$D:$D=$I6)+FILTER(Data!$L:$L,Data!$B:$B=AW6,Data!$D:$D=$I6)),""""),"""")"),"")</f>
        <v/>
      </c>
      <c r="CH6" s="69" t="str">
        <f>IFERROR(__xludf.DUMMYFUNCTION("IF($J6&lt;&gt;"""",IFERROR(FILTER(RawTotals!$AJ:$AJ,RawTotals!$A:$A=AX6)-(FILTER(Data!$K:$K,Data!$B:$B=AX6,Data!$D:$D=$J6)+FILTER(Data!$L:$L,Data!$B:$B=AX6,Data!$D:$D=$J6)),""""),"""")"),"")</f>
        <v/>
      </c>
      <c r="CI6" s="69" t="str">
        <f>IFERROR(__xludf.DUMMYFUNCTION("IF($J6&lt;&gt;"""",IFERROR(FILTER(RawTotals!$AJ:$AJ,RawTotals!$A:$A=AY6)-(FILTER(Data!$K:$K,Data!$B:$B=AY6,Data!$D:$D=$J6)+FILTER(Data!$L:$L,Data!$B:$B=AY6,Data!$D:$D=$J6)),""""),"""")"),"")</f>
        <v/>
      </c>
      <c r="CJ6" s="69" t="str">
        <f>IFERROR(__xludf.DUMMYFUNCTION("IF($J6&lt;&gt;"""",IFERROR(FILTER(RawTotals!$AJ:$AJ,RawTotals!$A:$A=AZ6)-(FILTER(Data!$K:$K,Data!$B:$B=AZ6,Data!$D:$D=$J6)+FILTER(Data!$L:$L,Data!$B:$B=AZ6,Data!$D:$D=$J6)),""""),"""")"),"")</f>
        <v/>
      </c>
      <c r="CK6" s="69" t="str">
        <f>IFERROR(__xludf.DUMMYFUNCTION("IF($K6&lt;&gt;"""",IFERROR(FILTER(RawTotals!$AJ:$AJ,RawTotals!$A:$A=BA6)-(FILTER(Data!$K:$K,Data!$B:$B=BA6,Data!$D:$D=$K6)+FILTER(Data!$L:$L,Data!$B:$B=BA6,Data!$D:$D=$K6)),""""),"""")"),"")</f>
        <v/>
      </c>
      <c r="CL6" s="69" t="str">
        <f>IFERROR(__xludf.DUMMYFUNCTION("IF($K6&lt;&gt;"""",IFERROR(FILTER(RawTotals!$AJ:$AJ,RawTotals!$A:$A=BB6)-(FILTER(Data!$K:$K,Data!$B:$B=BB6,Data!$D:$D=$K6)+FILTER(Data!$L:$L,Data!$B:$B=BB6,Data!$D:$D=$K6)),""""),"""")"),"")</f>
        <v/>
      </c>
      <c r="CM6" s="69" t="str">
        <f>IFERROR(__xludf.DUMMYFUNCTION("IF($K6&lt;&gt;"""",IFERROR(FILTER(RawTotals!$AJ:$AJ,RawTotals!$A:$A=BC6)-(FILTER(Data!$K:$K,Data!$B:$B=BC6,Data!$D:$D=$K6)+FILTER(Data!$L:$L,Data!$B:$B=BC6,Data!$D:$D=$K6)),""""),"""")"),"")</f>
        <v/>
      </c>
      <c r="CN6" s="69" t="str">
        <f>IFERROR(__xludf.DUMMYFUNCTION("IF($L6&lt;&gt;"""",IFERROR((FILTER(RawTotals!$AJ:$AJ,RawTotals!$A:$A=BD6)-(FILTER(Data!$K:$K,Data!$B:$B=BD6,Data!$D:$D=$L6)+FILTER(Data!$L:$L,Data!$B:$B=BD6,Data!$D:$D=$L6))),""""),"""")"),"")</f>
        <v/>
      </c>
      <c r="CO6" s="69" t="str">
        <f>IFERROR(__xludf.DUMMYFUNCTION("IF($L6&lt;&gt;"""",IFERROR((FILTER(RawTotals!$AJ:$AJ,RawTotals!$A:$A=BE6)-(FILTER(Data!$K:$K,Data!$B:$B=BE6,Data!$D:$D=$L6)+FILTER(Data!$L:$L,Data!$B:$B=BE6,Data!$D:$D=$L6))),""""),"""")"),"")</f>
        <v/>
      </c>
      <c r="CP6" s="69" t="str">
        <f>IFERROR(__xludf.DUMMYFUNCTION("IF($L6&lt;&gt;"""",IFERROR((FILTER(RawTotals!$AJ:$AJ,RawTotals!$A:$A=BF6)-(FILTER(Data!$K:$K,Data!$B:$B=BF6,Data!$D:$D=$L6)+FILTER(Data!$L:$L,Data!$B:$B=BF6,Data!$D:$D=$L6))),""""),"""")"),"")</f>
        <v/>
      </c>
      <c r="CQ6" s="69" t="str">
        <f>IFERROR(__xludf.DUMMYFUNCTION("IF($M6&lt;&gt;"""",IFERROR((FILTER(RawTotals!$AJ:$AJ,RawTotals!$A:$A=BG6)-(FILTER(Data!$K:$K,Data!$B:$B=BG6,Data!$D:$D=$M6)+FILTER(Data!$L:$L,Data!$B:$B=BG6,Data!$D:$D=$M6))),""""),"""")"),"")</f>
        <v/>
      </c>
      <c r="CR6" s="69" t="str">
        <f>IFERROR(__xludf.DUMMYFUNCTION("IF($M6&lt;&gt;"""",IFERROR((FILTER(RawTotals!$AJ:$AJ,RawTotals!$A:$A=BH6)-(FILTER(Data!$K:$K,Data!$B:$B=BH6,Data!$D:$D=$M6)+FILTER(Data!$L:$L,Data!$B:$B=BH6,Data!$D:$D=$M6))),""""),"""")"),"")</f>
        <v/>
      </c>
      <c r="CS6" s="70" t="str">
        <f>IFERROR(__xludf.DUMMYFUNCTION("IF($M6&lt;&gt;"""",IFERROR((FILTER(RawTotals!$AJ:$AJ,RawTotals!$A:$A=BI6)-(FILTER(Data!$K:$K,Data!$B:$B=BI6,Data!$D:$D=$M6)+FILTER(Data!$L:$L,Data!$B:$B=BI6,Data!$D:$D=$M6))),""""),"""")"),"")</f>
        <v/>
      </c>
      <c r="CT6" s="69"/>
      <c r="CU6" s="69"/>
      <c r="CV6" s="69"/>
      <c r="CW6" s="69"/>
      <c r="CX6" s="69"/>
      <c r="CY6" s="69"/>
      <c r="CZ6" s="69"/>
      <c r="DA6" s="69"/>
      <c r="DB6" s="69"/>
      <c r="DC6" s="69"/>
      <c r="DD6" s="69"/>
      <c r="DE6" s="69"/>
    </row>
    <row r="7">
      <c r="A7" s="67">
        <f>RawTotals!A7</f>
        <v>180</v>
      </c>
      <c r="B7" s="68" t="str">
        <f>IFERROR(__xludf.DUMMYFUNCTION("IF(A7&lt;&gt;"""",IFERROR(TRANSPOSE(FILTER(Data!D:D,Data!B:B=A7,Data!R:R&lt;&gt;"""")),""No Defense""),"""")"),"No Defense")</f>
        <v>No Defense</v>
      </c>
      <c r="C7" s="65"/>
      <c r="D7" s="65"/>
      <c r="E7" s="65"/>
      <c r="F7" s="65"/>
      <c r="G7" s="65"/>
      <c r="H7" s="65"/>
      <c r="I7" s="65"/>
      <c r="J7" s="65"/>
      <c r="K7" s="65"/>
      <c r="L7" s="65"/>
      <c r="M7" s="65"/>
      <c r="N7" s="64" t="str">
        <f>IFERROR(__xludf.DUMMYFUNCTION("IFERROR(Textjoin("""",TRUE,FILTER(Data!$R:$R,Data!$D:$D=B7,Data!$B:$B=$A7)),"""")"),"")</f>
        <v/>
      </c>
      <c r="O7" s="64" t="str">
        <f>IFERROR(__xludf.DUMMYFUNCTION("IFERROR(Textjoin("""",TRUE,FILTER(Data!$R:$R,Data!$D:$D=C7,Data!$B:$B=$A7)),"""")"),"")</f>
        <v/>
      </c>
      <c r="P7" s="64" t="str">
        <f>IFERROR(__xludf.DUMMYFUNCTION("IFERROR(Textjoin("""",TRUE,FILTER(Data!$R:$R,Data!$D:$D=D7,Data!$B:$B=$A7)),"""")"),"")</f>
        <v/>
      </c>
      <c r="Q7" s="64" t="str">
        <f>IFERROR(__xludf.DUMMYFUNCTION("IFERROR(Textjoin("""",TRUE,FILTER(Data!$R:$R,Data!$D:$D=E7,Data!$B:$B=$A7)),"""")"),"")</f>
        <v/>
      </c>
      <c r="R7" s="64" t="str">
        <f>IFERROR(__xludf.DUMMYFUNCTION("IFERROR(Textjoin("""",TRUE,FILTER(Data!$R:$R,Data!$D:$D=F7,Data!$B:$B=$A7)),"""")"),"")</f>
        <v/>
      </c>
      <c r="S7" s="64" t="str">
        <f>IFERROR(__xludf.DUMMYFUNCTION("IFERROR(Textjoin("""",TRUE,FILTER(Data!$R:$R,Data!$D:$D=G7,Data!$B:$B=$A7)),"""")"),"")</f>
        <v/>
      </c>
      <c r="T7" s="64" t="str">
        <f>IFERROR(__xludf.DUMMYFUNCTION("IFERROR(Textjoin("""",TRUE,FILTER(Data!$R:$R,Data!$D:$D=H7,Data!$B:$B=$A7)),"""")"),"")</f>
        <v/>
      </c>
      <c r="U7" s="64" t="str">
        <f>IFERROR(__xludf.DUMMYFUNCTION("IFERROR(Textjoin("""",TRUE,FILTER(Data!$R:$R,Data!$D:$D=I7,Data!$B:$B=$A7)),"""")"),"")</f>
        <v/>
      </c>
      <c r="V7" s="64" t="str">
        <f>IFERROR(__xludf.DUMMYFUNCTION("IFERROR(Textjoin("""",TRUE,FILTER(Data!$R:$R,Data!$D:$D=J7,Data!$B:$B=$A7)),"""")"),"")</f>
        <v/>
      </c>
      <c r="W7" s="64" t="str">
        <f>IFERROR(__xludf.DUMMYFUNCTION("IFERROR(Textjoin("""",TRUE,FILTER(Data!$R:$R,Data!$D:$D=K7,Data!$B:$B=$A7)),"""")"),"")</f>
        <v/>
      </c>
      <c r="X7" s="64" t="str">
        <f>IFERROR(__xludf.DUMMYFUNCTION("IFERROR(Textjoin("""",TRUE,FILTER(Data!$R:$R,Data!$D:$D=L7,Data!$B:$B=$A7)),"""")"),"")</f>
        <v/>
      </c>
      <c r="Y7" s="64" t="str">
        <f>IFERROR(__xludf.DUMMYFUNCTION("IFERROR(Textjoin("""",TRUE,FILTER(Data!$R:$R,Data!$D:$D=M7,Data!$B:$B=$A7)),"""")"),"")</f>
        <v/>
      </c>
      <c r="Z7" s="64" t="str">
        <f>IFERROR(__xludf.DUMMYFUNCTION("IFERROR(SPLIT(N7,"",""),"""")"),"")</f>
        <v/>
      </c>
      <c r="AA7" s="65"/>
      <c r="AB7" s="65"/>
      <c r="AC7" s="69" t="str">
        <f>IFERROR(__xludf.DUMMYFUNCTION("IFERROR(SPLIT(O7,"",""),"""")"),"")</f>
        <v/>
      </c>
      <c r="AD7" s="65"/>
      <c r="AE7" s="65"/>
      <c r="AF7" s="69" t="str">
        <f>IFERROR(__xludf.DUMMYFUNCTION("IFERROR(SPLIT(P7,"",""),"""")"),"")</f>
        <v/>
      </c>
      <c r="AG7" s="65"/>
      <c r="AH7" s="65"/>
      <c r="AI7" s="69" t="str">
        <f>IFERROR(__xludf.DUMMYFUNCTION("IFERROR(SPLIT(Q7,"",""),"""")"),"")</f>
        <v/>
      </c>
      <c r="AJ7" s="65"/>
      <c r="AK7" s="65"/>
      <c r="AL7" s="69" t="str">
        <f>IFERROR(__xludf.DUMMYFUNCTION("IFERROR(SPLIT(R7,"",""),"""")"),"")</f>
        <v/>
      </c>
      <c r="AM7" s="65"/>
      <c r="AN7" s="65"/>
      <c r="AO7" s="69" t="str">
        <f>IFERROR(__xludf.DUMMYFUNCTION("IFERROR(SPLIT(S7,"",""),"""")"),"")</f>
        <v/>
      </c>
      <c r="AP7" s="65"/>
      <c r="AQ7" s="65"/>
      <c r="AR7" s="69" t="str">
        <f>IFERROR(__xludf.DUMMYFUNCTION("IFERROR(SPLIT(T7,"",""),"""")"),"")</f>
        <v/>
      </c>
      <c r="AS7" s="65"/>
      <c r="AT7" s="65"/>
      <c r="AU7" s="69" t="str">
        <f>IFERROR(__xludf.DUMMYFUNCTION("IFERROR(SPLIT(U7,"",""),"""")"),"")</f>
        <v/>
      </c>
      <c r="AV7" s="65"/>
      <c r="AW7" s="65"/>
      <c r="AX7" s="69" t="str">
        <f>IFERROR(__xludf.DUMMYFUNCTION("IFERROR(SPLIT(V7,"",""),"""")"),"")</f>
        <v/>
      </c>
      <c r="AY7" s="65"/>
      <c r="AZ7" s="65"/>
      <c r="BA7" s="69" t="str">
        <f>IFERROR(__xludf.DUMMYFUNCTION("IFERROR(SPLIT(W7,"",""),"""")"),"")</f>
        <v/>
      </c>
      <c r="BB7" s="69"/>
      <c r="BC7" s="69"/>
      <c r="BD7" s="69" t="str">
        <f>IFERROR(__xludf.DUMMYFUNCTION("IFERROR(SPLIT(X7,"",""),"""")"),"")</f>
        <v/>
      </c>
      <c r="BE7" s="69"/>
      <c r="BF7" s="69"/>
      <c r="BG7" s="69" t="str">
        <f>IFERROR(__xludf.DUMMYFUNCTION("IFERROR(SPLIT(Y7,"",""),"""")"),"")</f>
        <v/>
      </c>
      <c r="BH7" s="69"/>
      <c r="BI7" s="69"/>
      <c r="BJ7" s="68" t="str">
        <f>IFERROR(__xludf.DUMMYFUNCTION("IF($B7&lt;&gt;"""",IFERROR(FILTER(RawTotals!$AJ:$AJ,RawTotals!$A:$A=Z7)-(FILTER(Data!$K:$K,Data!$B:$B=Z7,Data!$D:$D=$B7)+FILTER(Data!$L:$L,Data!$B:$B=Z7,Data!$D:$D=$B7)),""""),"""")"),"")</f>
        <v/>
      </c>
      <c r="BK7" s="68" t="str">
        <f>IFERROR(__xludf.DUMMYFUNCTION("IF($B7&lt;&gt;"""",IFERROR(FILTER(RawTotals!$AJ:$AJ,RawTotals!$A:$A=AA7)-(FILTER(Data!$K:$K,Data!$B:$B=AA7,Data!$D:$D=$B7)+FILTER(Data!$L:$L,Data!$B:$B=AA7,Data!$D:$D=$B7)),""""),"""")"),"")</f>
        <v/>
      </c>
      <c r="BL7" s="68" t="str">
        <f>IFERROR(__xludf.DUMMYFUNCTION("IF($B7&lt;&gt;"""",IFERROR(FILTER(RawTotals!$AJ:$AJ,RawTotals!$A:$A=AB7)-(FILTER(Data!$K:$K,Data!$B:$B=AB7,Data!$D:$D=$B7)+FILTER(Data!$L:$L,Data!$B:$B=AB7,Data!$D:$D=$B7)),""""),"""")"),"")</f>
        <v/>
      </c>
      <c r="BM7" s="69" t="str">
        <f>IFERROR(__xludf.DUMMYFUNCTION("IF($C7&lt;&gt;"""",IFERROR(FILTER(RawTotals!$AJ:$AJ,RawTotals!$A:$A=AC7)-(FILTER(Data!$K:$K,Data!$B:$B=AC7,Data!$D:$D=$C7)+FILTER(Data!$L:$L,Data!$B:$B=AC7,Data!$D:$D=$C7)),""""),"""")"),"")</f>
        <v/>
      </c>
      <c r="BN7" s="69" t="str">
        <f>IFERROR(__xludf.DUMMYFUNCTION("IF($C7&lt;&gt;"""",IFERROR(FILTER(RawTotals!$AJ:$AJ,RawTotals!$A:$A=AD7)-(FILTER(Data!$K:$K,Data!$B:$B=AD7,Data!$D:$D=$C7)+FILTER(Data!$L:$L,Data!$B:$B=AD7,Data!$D:$D=$C7)),""""),"""")"),"")</f>
        <v/>
      </c>
      <c r="BO7" s="69" t="str">
        <f>IFERROR(__xludf.DUMMYFUNCTION("IF($C7&lt;&gt;"""",IFERROR(FILTER(RawTotals!$AJ:$AJ,RawTotals!$A:$A=AE7)-(FILTER(Data!$K:$K,Data!$B:$B=AE7,Data!$D:$D=$C7)+FILTER(Data!$L:$L,Data!$B:$B=AE7,Data!$D:$D=$C7)),""""),"""")"),"")</f>
        <v/>
      </c>
      <c r="BP7" s="69" t="str">
        <f>IFERROR(__xludf.DUMMYFUNCTION("IF($D7&lt;&gt;"""",IFERROR(FILTER(RawTotals!$AJ:$AJ,RawTotals!$A:$A=AF7)-(FILTER(Data!$K:$K,Data!$B:$B=AF7,Data!$D:$D=$D7)+FILTER(Data!$L:$L,Data!$B:$B=AF7,Data!$D:$D=$D7)),""""),"""")"),"")</f>
        <v/>
      </c>
      <c r="BQ7" s="69" t="str">
        <f>IFERROR(__xludf.DUMMYFUNCTION("IF($D7&lt;&gt;"""",IFERROR(FILTER(RawTotals!$AJ:$AJ,RawTotals!$A:$A=AG7)-(FILTER(Data!$K:$K,Data!$B:$B=AG7,Data!$D:$D=$D7)+FILTER(Data!$L:$L,Data!$B:$B=AG7,Data!$D:$D=$D7)),""""),"""")"),"")</f>
        <v/>
      </c>
      <c r="BR7" s="69" t="str">
        <f>IFERROR(__xludf.DUMMYFUNCTION("IF($D7&lt;&gt;"""",IFERROR(FILTER(RawTotals!$AJ:$AJ,RawTotals!$A:$A=AH7)-(FILTER(Data!$K:$K,Data!$B:$B=AH7,Data!$D:$D=$D7)+FILTER(Data!$L:$L,Data!$B:$B=AH7,Data!$D:$D=$D7)),""""),"""")"),"")</f>
        <v/>
      </c>
      <c r="BS7" s="69" t="str">
        <f>IFERROR(__xludf.DUMMYFUNCTION("IF($E7&lt;&gt;"""",IFERROR(FILTER(RawTotals!$AJ:$AJ,RawTotals!$A:$A=AI7)-(FILTER(Data!$K:$K,Data!$B:$B=AI7,Data!$D:$D=$E7)+FILTER(Data!$L:$L,Data!$B:$B=AI7,Data!$D:$D=$E7)),""""),"""")"),"")</f>
        <v/>
      </c>
      <c r="BT7" s="69" t="str">
        <f>IFERROR(__xludf.DUMMYFUNCTION("IF($E7&lt;&gt;"""",IFERROR(FILTER(RawTotals!$AJ:$AJ,RawTotals!$A:$A=AJ7)-(FILTER(Data!$K:$K,Data!$B:$B=AJ7,Data!$D:$D=$E7)+FILTER(Data!$L:$L,Data!$B:$B=AJ7,Data!$D:$D=$E7)),""""),"""")"),"")</f>
        <v/>
      </c>
      <c r="BU7" s="69" t="str">
        <f>IFERROR(__xludf.DUMMYFUNCTION("IF($E7&lt;&gt;"""",IFERROR(FILTER(RawTotals!$AJ:$AJ,RawTotals!$A:$A=AK7)-(FILTER(Data!$K:$K,Data!$B:$B=AK7,Data!$D:$D=$E7)+FILTER(Data!$L:$L,Data!$B:$B=AK7,Data!$D:$D=$E7)),""""),"""")"),"")</f>
        <v/>
      </c>
      <c r="BV7" s="69" t="str">
        <f>IFERROR(__xludf.DUMMYFUNCTION("IF($F7&lt;&gt;"""",IFERROR(FILTER(RawTotals!$AJ:$AJ,RawTotals!$A:$A=AL7)-(FILTER(Data!$K:$K,Data!$B:$B=AL7,Data!$D:$D=$F7)+FILTER(Data!$L:$L,Data!$B:$B=AL7,Data!$D:$D=$F7)),""""),"""")"),"")</f>
        <v/>
      </c>
      <c r="BW7" s="69" t="str">
        <f>IFERROR(__xludf.DUMMYFUNCTION("IF($F7&lt;&gt;"""",IFERROR(FILTER(RawTotals!$AJ:$AJ,RawTotals!$A:$A=AM7)-(FILTER(Data!$K:$K,Data!$B:$B=AM7,Data!$D:$D=$F7)+FILTER(Data!$L:$L,Data!$B:$B=AM7,Data!$D:$D=$F7)),""""),"""")"),"")</f>
        <v/>
      </c>
      <c r="BX7" s="69" t="str">
        <f>IFERROR(__xludf.DUMMYFUNCTION("IF($F7&lt;&gt;"""",IFERROR(FILTER(RawTotals!$AJ:$AJ,RawTotals!$A:$A=AN7)-(FILTER(Data!$K:$K,Data!$B:$B=AN7,Data!$D:$D=$F7)+FILTER(Data!$L:$L,Data!$B:$B=AN7,Data!$D:$D=$F7)),""""),"""")"),"")</f>
        <v/>
      </c>
      <c r="BY7" s="69" t="str">
        <f>IFERROR(__xludf.DUMMYFUNCTION("IF($G7&lt;&gt;"""",IFERROR(FILTER(RawTotals!$AJ:$AJ,RawTotals!$A:$A=AO7)-(FILTER(Data!$K:$K,Data!$B:$B=AO7,Data!$D:$D=$G7)+FILTER(Data!$L:$L,Data!$B:$B=AO7,Data!$D:$D=$G7)),""""),"""")"),"")</f>
        <v/>
      </c>
      <c r="BZ7" s="69" t="str">
        <f>IFERROR(__xludf.DUMMYFUNCTION("IF($G7&lt;&gt;"""",IFERROR(FILTER(RawTotals!$AJ:$AJ,RawTotals!$A:$A=AP7)-(FILTER(Data!$K:$K,Data!$B:$B=AP7,Data!$D:$D=$G7)+FILTER(Data!$L:$L,Data!$B:$B=AP7,Data!$D:$D=$G7)),""""),"""")"),"")</f>
        <v/>
      </c>
      <c r="CA7" s="69" t="str">
        <f>IFERROR(__xludf.DUMMYFUNCTION("IF($G7&lt;&gt;"""",IFERROR(FILTER(RawTotals!$AJ:$AJ,RawTotals!$A:$A=AQ7)-(FILTER(Data!$K:$K,Data!$B:$B=AQ7,Data!$D:$D=$G7)+FILTER(Data!$L:$L,Data!$B:$B=AQ7,Data!$D:$D=$G7)),""""),"""")"),"")</f>
        <v/>
      </c>
      <c r="CB7" s="69" t="str">
        <f>IFERROR(__xludf.DUMMYFUNCTION("IF($H7&lt;&gt;"""",IFERROR(FILTER(RawTotals!$AJ:$AJ,RawTotals!$A:$A=AR7)-(FILTER(Data!$K:$K,Data!$B:$B=AR7,Data!$D:$D=$H7)+FILTER(Data!$L:$L,Data!$B:$B=AR7,Data!$D:$D=$H7)),""""),"""")"),"")</f>
        <v/>
      </c>
      <c r="CC7" s="69" t="str">
        <f>IFERROR(__xludf.DUMMYFUNCTION("IF($H7&lt;&gt;"""",IFERROR(FILTER(RawTotals!$AJ:$AJ,RawTotals!$A:$A=AS7)-(FILTER(Data!$K:$K,Data!$B:$B=AS7,Data!$D:$D=$H7)+FILTER(Data!$L:$L,Data!$B:$B=AS7,Data!$D:$D=$H7)),""""),"""")"),"")</f>
        <v/>
      </c>
      <c r="CD7" s="69" t="str">
        <f>IFERROR(__xludf.DUMMYFUNCTION("IF($H7&lt;&gt;"""",IFERROR(FILTER(RawTotals!$AJ:$AJ,RawTotals!$A:$A=AT7)-(FILTER(Data!$K:$K,Data!$B:$B=AT7,Data!$D:$D=$H7)+FILTER(Data!$L:$L,Data!$B:$B=AT7,Data!$D:$D=$H7)),""""),"""")"),"")</f>
        <v/>
      </c>
      <c r="CE7" s="69" t="str">
        <f>IFERROR(__xludf.DUMMYFUNCTION("IF($I7&lt;&gt;"""",IFERROR(FILTER(RawTotals!$AJ:$AJ,RawTotals!$A:$A=AU7)-(FILTER(Data!$K:$K,Data!$B:$B=AU7,Data!$D:$D=$I7)+FILTER(Data!$L:$L,Data!$B:$B=AU7,Data!$D:$D=$I7)),""""),"""")"),"")</f>
        <v/>
      </c>
      <c r="CF7" s="69" t="str">
        <f>IFERROR(__xludf.DUMMYFUNCTION("IF($I7&lt;&gt;"""",IFERROR(FILTER(RawTotals!$AJ:$AJ,RawTotals!$A:$A=AV7)-(FILTER(Data!$K:$K,Data!$B:$B=AV7,Data!$D:$D=$I7)+FILTER(Data!$L:$L,Data!$B:$B=AV7,Data!$D:$D=$I7)),""""),"""")"),"")</f>
        <v/>
      </c>
      <c r="CG7" s="69" t="str">
        <f>IFERROR(__xludf.DUMMYFUNCTION("IF($I7&lt;&gt;"""",IFERROR(FILTER(RawTotals!$AJ:$AJ,RawTotals!$A:$A=AW7)-(FILTER(Data!$K:$K,Data!$B:$B=AW7,Data!$D:$D=$I7)+FILTER(Data!$L:$L,Data!$B:$B=AW7,Data!$D:$D=$I7)),""""),"""")"),"")</f>
        <v/>
      </c>
      <c r="CH7" s="69" t="str">
        <f>IFERROR(__xludf.DUMMYFUNCTION("IF($J7&lt;&gt;"""",IFERROR(FILTER(RawTotals!$AJ:$AJ,RawTotals!$A:$A=AX7)-(FILTER(Data!$K:$K,Data!$B:$B=AX7,Data!$D:$D=$J7)+FILTER(Data!$L:$L,Data!$B:$B=AX7,Data!$D:$D=$J7)),""""),"""")"),"")</f>
        <v/>
      </c>
      <c r="CI7" s="69" t="str">
        <f>IFERROR(__xludf.DUMMYFUNCTION("IF($J7&lt;&gt;"""",IFERROR(FILTER(RawTotals!$AJ:$AJ,RawTotals!$A:$A=AY7)-(FILTER(Data!$K:$K,Data!$B:$B=AY7,Data!$D:$D=$J7)+FILTER(Data!$L:$L,Data!$B:$B=AY7,Data!$D:$D=$J7)),""""),"""")"),"")</f>
        <v/>
      </c>
      <c r="CJ7" s="69" t="str">
        <f>IFERROR(__xludf.DUMMYFUNCTION("IF($J7&lt;&gt;"""",IFERROR(FILTER(RawTotals!$AJ:$AJ,RawTotals!$A:$A=AZ7)-(FILTER(Data!$K:$K,Data!$B:$B=AZ7,Data!$D:$D=$J7)+FILTER(Data!$L:$L,Data!$B:$B=AZ7,Data!$D:$D=$J7)),""""),"""")"),"")</f>
        <v/>
      </c>
      <c r="CK7" s="69" t="str">
        <f>IFERROR(__xludf.DUMMYFUNCTION("IF($K7&lt;&gt;"""",IFERROR(FILTER(RawTotals!$AJ:$AJ,RawTotals!$A:$A=BA7)-(FILTER(Data!$K:$K,Data!$B:$B=BA7,Data!$D:$D=$K7)+FILTER(Data!$L:$L,Data!$B:$B=BA7,Data!$D:$D=$K7)),""""),"""")"),"")</f>
        <v/>
      </c>
      <c r="CL7" s="69" t="str">
        <f>IFERROR(__xludf.DUMMYFUNCTION("IF($K7&lt;&gt;"""",IFERROR(FILTER(RawTotals!$AJ:$AJ,RawTotals!$A:$A=BB7)-(FILTER(Data!$K:$K,Data!$B:$B=BB7,Data!$D:$D=$K7)+FILTER(Data!$L:$L,Data!$B:$B=BB7,Data!$D:$D=$K7)),""""),"""")"),"")</f>
        <v/>
      </c>
      <c r="CM7" s="69" t="str">
        <f>IFERROR(__xludf.DUMMYFUNCTION("IF($K7&lt;&gt;"""",IFERROR(FILTER(RawTotals!$AJ:$AJ,RawTotals!$A:$A=BC7)-(FILTER(Data!$K:$K,Data!$B:$B=BC7,Data!$D:$D=$K7)+FILTER(Data!$L:$L,Data!$B:$B=BC7,Data!$D:$D=$K7)),""""),"""")"),"")</f>
        <v/>
      </c>
      <c r="CN7" s="69" t="str">
        <f>IFERROR(__xludf.DUMMYFUNCTION("IF($L7&lt;&gt;"""",IFERROR((FILTER(RawTotals!$AJ:$AJ,RawTotals!$A:$A=BD7)-(FILTER(Data!$K:$K,Data!$B:$B=BD7,Data!$D:$D=$L7)+FILTER(Data!$L:$L,Data!$B:$B=BD7,Data!$D:$D=$L7))),""""),"""")"),"")</f>
        <v/>
      </c>
      <c r="CO7" s="69" t="str">
        <f>IFERROR(__xludf.DUMMYFUNCTION("IF($L7&lt;&gt;"""",IFERROR((FILTER(RawTotals!$AJ:$AJ,RawTotals!$A:$A=BE7)-(FILTER(Data!$K:$K,Data!$B:$B=BE7,Data!$D:$D=$L7)+FILTER(Data!$L:$L,Data!$B:$B=BE7,Data!$D:$D=$L7))),""""),"""")"),"")</f>
        <v/>
      </c>
      <c r="CP7" s="69" t="str">
        <f>IFERROR(__xludf.DUMMYFUNCTION("IF($L7&lt;&gt;"""",IFERROR((FILTER(RawTotals!$AJ:$AJ,RawTotals!$A:$A=BF7)-(FILTER(Data!$K:$K,Data!$B:$B=BF7,Data!$D:$D=$L7)+FILTER(Data!$L:$L,Data!$B:$B=BF7,Data!$D:$D=$L7))),""""),"""")"),"")</f>
        <v/>
      </c>
      <c r="CQ7" s="69" t="str">
        <f>IFERROR(__xludf.DUMMYFUNCTION("IF($M7&lt;&gt;"""",IFERROR((FILTER(RawTotals!$AJ:$AJ,RawTotals!$A:$A=BG7)-(FILTER(Data!$K:$K,Data!$B:$B=BG7,Data!$D:$D=$M7)+FILTER(Data!$L:$L,Data!$B:$B=BG7,Data!$D:$D=$M7))),""""),"""")"),"")</f>
        <v/>
      </c>
      <c r="CR7" s="69" t="str">
        <f>IFERROR(__xludf.DUMMYFUNCTION("IF($M7&lt;&gt;"""",IFERROR((FILTER(RawTotals!$AJ:$AJ,RawTotals!$A:$A=BH7)-(FILTER(Data!$K:$K,Data!$B:$B=BH7,Data!$D:$D=$M7)+FILTER(Data!$L:$L,Data!$B:$B=BH7,Data!$D:$D=$M7))),""""),"""")"),"")</f>
        <v/>
      </c>
      <c r="CS7" s="70" t="str">
        <f>IFERROR(__xludf.DUMMYFUNCTION("IF($M7&lt;&gt;"""",IFERROR((FILTER(RawTotals!$AJ:$AJ,RawTotals!$A:$A=BI7)-(FILTER(Data!$K:$K,Data!$B:$B=BI7,Data!$D:$D=$M7)+FILTER(Data!$L:$L,Data!$B:$B=BI7,Data!$D:$D=$M7))),""""),"""")"),"")</f>
        <v/>
      </c>
      <c r="CT7" s="69"/>
      <c r="CU7" s="69"/>
      <c r="CV7" s="69"/>
      <c r="CW7" s="69"/>
      <c r="CX7" s="69"/>
      <c r="CY7" s="69"/>
      <c r="CZ7" s="69"/>
      <c r="DA7" s="69"/>
      <c r="DB7" s="69"/>
      <c r="DC7" s="69"/>
      <c r="DD7" s="69"/>
      <c r="DE7" s="69"/>
    </row>
    <row r="8">
      <c r="A8" s="67">
        <f>RawTotals!A8</f>
        <v>4028</v>
      </c>
      <c r="B8" s="68" t="str">
        <f>IFERROR(__xludf.DUMMYFUNCTION("IF(A8&lt;&gt;"""",IFERROR(TRANSPOSE(FILTER(Data!D:D,Data!B:B=A8,Data!R:R&lt;&gt;"""")),""No Defense""),"""")"),"No Defense")</f>
        <v>No Defense</v>
      </c>
      <c r="C8" s="65"/>
      <c r="D8" s="65"/>
      <c r="E8" s="65"/>
      <c r="F8" s="65"/>
      <c r="G8" s="65"/>
      <c r="H8" s="65"/>
      <c r="I8" s="65"/>
      <c r="J8" s="65"/>
      <c r="K8" s="65"/>
      <c r="L8" s="65"/>
      <c r="M8" s="65"/>
      <c r="N8" s="64" t="str">
        <f>IFERROR(__xludf.DUMMYFUNCTION("IFERROR(Textjoin("""",TRUE,FILTER(Data!$R:$R,Data!$D:$D=B8,Data!$B:$B=$A8)),"""")"),"")</f>
        <v/>
      </c>
      <c r="O8" s="64" t="str">
        <f>IFERROR(__xludf.DUMMYFUNCTION("IFERROR(Textjoin("""",TRUE,FILTER(Data!$R:$R,Data!$D:$D=C8,Data!$B:$B=$A8)),"""")"),"")</f>
        <v/>
      </c>
      <c r="P8" s="64" t="str">
        <f>IFERROR(__xludf.DUMMYFUNCTION("IFERROR(Textjoin("""",TRUE,FILTER(Data!$R:$R,Data!$D:$D=D8,Data!$B:$B=$A8)),"""")"),"")</f>
        <v/>
      </c>
      <c r="Q8" s="64" t="str">
        <f>IFERROR(__xludf.DUMMYFUNCTION("IFERROR(Textjoin("""",TRUE,FILTER(Data!$R:$R,Data!$D:$D=E8,Data!$B:$B=$A8)),"""")"),"")</f>
        <v/>
      </c>
      <c r="R8" s="64" t="str">
        <f>IFERROR(__xludf.DUMMYFUNCTION("IFERROR(Textjoin("""",TRUE,FILTER(Data!$R:$R,Data!$D:$D=F8,Data!$B:$B=$A8)),"""")"),"")</f>
        <v/>
      </c>
      <c r="S8" s="64" t="str">
        <f>IFERROR(__xludf.DUMMYFUNCTION("IFERROR(Textjoin("""",TRUE,FILTER(Data!$R:$R,Data!$D:$D=G8,Data!$B:$B=$A8)),"""")"),"")</f>
        <v/>
      </c>
      <c r="T8" s="64" t="str">
        <f>IFERROR(__xludf.DUMMYFUNCTION("IFERROR(Textjoin("""",TRUE,FILTER(Data!$R:$R,Data!$D:$D=H8,Data!$B:$B=$A8)),"""")"),"")</f>
        <v/>
      </c>
      <c r="U8" s="64" t="str">
        <f>IFERROR(__xludf.DUMMYFUNCTION("IFERROR(Textjoin("""",TRUE,FILTER(Data!$R:$R,Data!$D:$D=I8,Data!$B:$B=$A8)),"""")"),"")</f>
        <v/>
      </c>
      <c r="V8" s="64" t="str">
        <f>IFERROR(__xludf.DUMMYFUNCTION("IFERROR(Textjoin("""",TRUE,FILTER(Data!$R:$R,Data!$D:$D=J8,Data!$B:$B=$A8)),"""")"),"")</f>
        <v/>
      </c>
      <c r="W8" s="64" t="str">
        <f>IFERROR(__xludf.DUMMYFUNCTION("IFERROR(Textjoin("""",TRUE,FILTER(Data!$R:$R,Data!$D:$D=K8,Data!$B:$B=$A8)),"""")"),"")</f>
        <v/>
      </c>
      <c r="X8" s="64" t="str">
        <f>IFERROR(__xludf.DUMMYFUNCTION("IFERROR(Textjoin("""",TRUE,FILTER(Data!$R:$R,Data!$D:$D=L8,Data!$B:$B=$A8)),"""")"),"")</f>
        <v/>
      </c>
      <c r="Y8" s="64" t="str">
        <f>IFERROR(__xludf.DUMMYFUNCTION("IFERROR(Textjoin("""",TRUE,FILTER(Data!$R:$R,Data!$D:$D=M8,Data!$B:$B=$A8)),"""")"),"")</f>
        <v/>
      </c>
      <c r="Z8" s="64" t="str">
        <f>IFERROR(__xludf.DUMMYFUNCTION("IFERROR(SPLIT(N8,"",""),"""")"),"")</f>
        <v/>
      </c>
      <c r="AA8" s="65"/>
      <c r="AB8" s="65"/>
      <c r="AC8" s="69" t="str">
        <f>IFERROR(__xludf.DUMMYFUNCTION("IFERROR(SPLIT(O8,"",""),"""")"),"")</f>
        <v/>
      </c>
      <c r="AD8" s="65"/>
      <c r="AE8" s="65"/>
      <c r="AF8" s="69" t="str">
        <f>IFERROR(__xludf.DUMMYFUNCTION("IFERROR(SPLIT(P8,"",""),"""")"),"")</f>
        <v/>
      </c>
      <c r="AG8" s="65"/>
      <c r="AH8" s="65"/>
      <c r="AI8" s="69" t="str">
        <f>IFERROR(__xludf.DUMMYFUNCTION("IFERROR(SPLIT(Q8,"",""),"""")"),"")</f>
        <v/>
      </c>
      <c r="AJ8" s="65"/>
      <c r="AK8" s="65"/>
      <c r="AL8" s="69" t="str">
        <f>IFERROR(__xludf.DUMMYFUNCTION("IFERROR(SPLIT(R8,"",""),"""")"),"")</f>
        <v/>
      </c>
      <c r="AM8" s="65"/>
      <c r="AN8" s="65"/>
      <c r="AO8" s="69" t="str">
        <f>IFERROR(__xludf.DUMMYFUNCTION("IFERROR(SPLIT(S8,"",""),"""")"),"")</f>
        <v/>
      </c>
      <c r="AP8" s="65"/>
      <c r="AQ8" s="65"/>
      <c r="AR8" s="69" t="str">
        <f>IFERROR(__xludf.DUMMYFUNCTION("IFERROR(SPLIT(T8,"",""),"""")"),"")</f>
        <v/>
      </c>
      <c r="AS8" s="65"/>
      <c r="AT8" s="65"/>
      <c r="AU8" s="69" t="str">
        <f>IFERROR(__xludf.DUMMYFUNCTION("IFERROR(SPLIT(U8,"",""),"""")"),"")</f>
        <v/>
      </c>
      <c r="AV8" s="65"/>
      <c r="AW8" s="65"/>
      <c r="AX8" s="69" t="str">
        <f>IFERROR(__xludf.DUMMYFUNCTION("IFERROR(SPLIT(V8,"",""),"""")"),"")</f>
        <v/>
      </c>
      <c r="AY8" s="65"/>
      <c r="AZ8" s="65"/>
      <c r="BA8" s="69" t="str">
        <f>IFERROR(__xludf.DUMMYFUNCTION("IFERROR(SPLIT(W8,"",""),"""")"),"")</f>
        <v/>
      </c>
      <c r="BB8" s="69"/>
      <c r="BC8" s="69"/>
      <c r="BD8" s="69" t="str">
        <f>IFERROR(__xludf.DUMMYFUNCTION("IFERROR(SPLIT(X8,"",""),"""")"),"")</f>
        <v/>
      </c>
      <c r="BE8" s="69"/>
      <c r="BF8" s="69"/>
      <c r="BG8" s="69" t="str">
        <f>IFERROR(__xludf.DUMMYFUNCTION("IFERROR(SPLIT(Y8,"",""),"""")"),"")</f>
        <v/>
      </c>
      <c r="BH8" s="69"/>
      <c r="BI8" s="69"/>
      <c r="BJ8" s="68" t="str">
        <f>IFERROR(__xludf.DUMMYFUNCTION("IF($B8&lt;&gt;"""",IFERROR(FILTER(RawTotals!$AJ:$AJ,RawTotals!$A:$A=Z8)-(FILTER(Data!$K:$K,Data!$B:$B=Z8,Data!$D:$D=$B8)+FILTER(Data!$L:$L,Data!$B:$B=Z8,Data!$D:$D=$B8)),""""),"""")"),"")</f>
        <v/>
      </c>
      <c r="BK8" s="68" t="str">
        <f>IFERROR(__xludf.DUMMYFUNCTION("IF($B8&lt;&gt;"""",IFERROR(FILTER(RawTotals!$AJ:$AJ,RawTotals!$A:$A=AA8)-(FILTER(Data!$K:$K,Data!$B:$B=AA8,Data!$D:$D=$B8)+FILTER(Data!$L:$L,Data!$B:$B=AA8,Data!$D:$D=$B8)),""""),"""")"),"")</f>
        <v/>
      </c>
      <c r="BL8" s="68" t="str">
        <f>IFERROR(__xludf.DUMMYFUNCTION("IF($B8&lt;&gt;"""",IFERROR(FILTER(RawTotals!$AJ:$AJ,RawTotals!$A:$A=AB8)-(FILTER(Data!$K:$K,Data!$B:$B=AB8,Data!$D:$D=$B8)+FILTER(Data!$L:$L,Data!$B:$B=AB8,Data!$D:$D=$B8)),""""),"""")"),"")</f>
        <v/>
      </c>
      <c r="BM8" s="69" t="str">
        <f>IFERROR(__xludf.DUMMYFUNCTION("IF($C8&lt;&gt;"""",IFERROR(FILTER(RawTotals!$AJ:$AJ,RawTotals!$A:$A=AC8)-(FILTER(Data!$K:$K,Data!$B:$B=AC8,Data!$D:$D=$C8)+FILTER(Data!$L:$L,Data!$B:$B=AC8,Data!$D:$D=$C8)),""""),"""")"),"")</f>
        <v/>
      </c>
      <c r="BN8" s="69" t="str">
        <f>IFERROR(__xludf.DUMMYFUNCTION("IF($C8&lt;&gt;"""",IFERROR(FILTER(RawTotals!$AJ:$AJ,RawTotals!$A:$A=AD8)-(FILTER(Data!$K:$K,Data!$B:$B=AD8,Data!$D:$D=$C8)+FILTER(Data!$L:$L,Data!$B:$B=AD8,Data!$D:$D=$C8)),""""),"""")"),"")</f>
        <v/>
      </c>
      <c r="BO8" s="69" t="str">
        <f>IFERROR(__xludf.DUMMYFUNCTION("IF($C8&lt;&gt;"""",IFERROR(FILTER(RawTotals!$AJ:$AJ,RawTotals!$A:$A=AE8)-(FILTER(Data!$K:$K,Data!$B:$B=AE8,Data!$D:$D=$C8)+FILTER(Data!$L:$L,Data!$B:$B=AE8,Data!$D:$D=$C8)),""""),"""")"),"")</f>
        <v/>
      </c>
      <c r="BP8" s="69" t="str">
        <f>IFERROR(__xludf.DUMMYFUNCTION("IF($D8&lt;&gt;"""",IFERROR(FILTER(RawTotals!$AJ:$AJ,RawTotals!$A:$A=AF8)-(FILTER(Data!$K:$K,Data!$B:$B=AF8,Data!$D:$D=$D8)+FILTER(Data!$L:$L,Data!$B:$B=AF8,Data!$D:$D=$D8)),""""),"""")"),"")</f>
        <v/>
      </c>
      <c r="BQ8" s="69" t="str">
        <f>IFERROR(__xludf.DUMMYFUNCTION("IF($D8&lt;&gt;"""",IFERROR(FILTER(RawTotals!$AJ:$AJ,RawTotals!$A:$A=AG8)-(FILTER(Data!$K:$K,Data!$B:$B=AG8,Data!$D:$D=$D8)+FILTER(Data!$L:$L,Data!$B:$B=AG8,Data!$D:$D=$D8)),""""),"""")"),"")</f>
        <v/>
      </c>
      <c r="BR8" s="69" t="str">
        <f>IFERROR(__xludf.DUMMYFUNCTION("IF($D8&lt;&gt;"""",IFERROR(FILTER(RawTotals!$AJ:$AJ,RawTotals!$A:$A=AH8)-(FILTER(Data!$K:$K,Data!$B:$B=AH8,Data!$D:$D=$D8)+FILTER(Data!$L:$L,Data!$B:$B=AH8,Data!$D:$D=$D8)),""""),"""")"),"")</f>
        <v/>
      </c>
      <c r="BS8" s="69" t="str">
        <f>IFERROR(__xludf.DUMMYFUNCTION("IF($E8&lt;&gt;"""",IFERROR(FILTER(RawTotals!$AJ:$AJ,RawTotals!$A:$A=AI8)-(FILTER(Data!$K:$K,Data!$B:$B=AI8,Data!$D:$D=$E8)+FILTER(Data!$L:$L,Data!$B:$B=AI8,Data!$D:$D=$E8)),""""),"""")"),"")</f>
        <v/>
      </c>
      <c r="BT8" s="69" t="str">
        <f>IFERROR(__xludf.DUMMYFUNCTION("IF($E8&lt;&gt;"""",IFERROR(FILTER(RawTotals!$AJ:$AJ,RawTotals!$A:$A=AJ8)-(FILTER(Data!$K:$K,Data!$B:$B=AJ8,Data!$D:$D=$E8)+FILTER(Data!$L:$L,Data!$B:$B=AJ8,Data!$D:$D=$E8)),""""),"""")"),"")</f>
        <v/>
      </c>
      <c r="BU8" s="69" t="str">
        <f>IFERROR(__xludf.DUMMYFUNCTION("IF($E8&lt;&gt;"""",IFERROR(FILTER(RawTotals!$AJ:$AJ,RawTotals!$A:$A=AK8)-(FILTER(Data!$K:$K,Data!$B:$B=AK8,Data!$D:$D=$E8)+FILTER(Data!$L:$L,Data!$B:$B=AK8,Data!$D:$D=$E8)),""""),"""")"),"")</f>
        <v/>
      </c>
      <c r="BV8" s="69" t="str">
        <f>IFERROR(__xludf.DUMMYFUNCTION("IF($F8&lt;&gt;"""",IFERROR(FILTER(RawTotals!$AJ:$AJ,RawTotals!$A:$A=AL8)-(FILTER(Data!$K:$K,Data!$B:$B=AL8,Data!$D:$D=$F8)+FILTER(Data!$L:$L,Data!$B:$B=AL8,Data!$D:$D=$F8)),""""),"""")"),"")</f>
        <v/>
      </c>
      <c r="BW8" s="69" t="str">
        <f>IFERROR(__xludf.DUMMYFUNCTION("IF($F8&lt;&gt;"""",IFERROR(FILTER(RawTotals!$AJ:$AJ,RawTotals!$A:$A=AM8)-(FILTER(Data!$K:$K,Data!$B:$B=AM8,Data!$D:$D=$F8)+FILTER(Data!$L:$L,Data!$B:$B=AM8,Data!$D:$D=$F8)),""""),"""")"),"")</f>
        <v/>
      </c>
      <c r="BX8" s="69" t="str">
        <f>IFERROR(__xludf.DUMMYFUNCTION("IF($F8&lt;&gt;"""",IFERROR(FILTER(RawTotals!$AJ:$AJ,RawTotals!$A:$A=AN8)-(FILTER(Data!$K:$K,Data!$B:$B=AN8,Data!$D:$D=$F8)+FILTER(Data!$L:$L,Data!$B:$B=AN8,Data!$D:$D=$F8)),""""),"""")"),"")</f>
        <v/>
      </c>
      <c r="BY8" s="69" t="str">
        <f>IFERROR(__xludf.DUMMYFUNCTION("IF($G8&lt;&gt;"""",IFERROR(FILTER(RawTotals!$AJ:$AJ,RawTotals!$A:$A=AO8)-(FILTER(Data!$K:$K,Data!$B:$B=AO8,Data!$D:$D=$G8)+FILTER(Data!$L:$L,Data!$B:$B=AO8,Data!$D:$D=$G8)),""""),"""")"),"")</f>
        <v/>
      </c>
      <c r="BZ8" s="69" t="str">
        <f>IFERROR(__xludf.DUMMYFUNCTION("IF($G8&lt;&gt;"""",IFERROR(FILTER(RawTotals!$AJ:$AJ,RawTotals!$A:$A=AP8)-(FILTER(Data!$K:$K,Data!$B:$B=AP8,Data!$D:$D=$G8)+FILTER(Data!$L:$L,Data!$B:$B=AP8,Data!$D:$D=$G8)),""""),"""")"),"")</f>
        <v/>
      </c>
      <c r="CA8" s="69" t="str">
        <f>IFERROR(__xludf.DUMMYFUNCTION("IF($G8&lt;&gt;"""",IFERROR(FILTER(RawTotals!$AJ:$AJ,RawTotals!$A:$A=AQ8)-(FILTER(Data!$K:$K,Data!$B:$B=AQ8,Data!$D:$D=$G8)+FILTER(Data!$L:$L,Data!$B:$B=AQ8,Data!$D:$D=$G8)),""""),"""")"),"")</f>
        <v/>
      </c>
      <c r="CB8" s="69" t="str">
        <f>IFERROR(__xludf.DUMMYFUNCTION("IF($H8&lt;&gt;"""",IFERROR(FILTER(RawTotals!$AJ:$AJ,RawTotals!$A:$A=AR8)-(FILTER(Data!$K:$K,Data!$B:$B=AR8,Data!$D:$D=$H8)+FILTER(Data!$L:$L,Data!$B:$B=AR8,Data!$D:$D=$H8)),""""),"""")"),"")</f>
        <v/>
      </c>
      <c r="CC8" s="69" t="str">
        <f>IFERROR(__xludf.DUMMYFUNCTION("IF($H8&lt;&gt;"""",IFERROR(FILTER(RawTotals!$AJ:$AJ,RawTotals!$A:$A=AS8)-(FILTER(Data!$K:$K,Data!$B:$B=AS8,Data!$D:$D=$H8)+FILTER(Data!$L:$L,Data!$B:$B=AS8,Data!$D:$D=$H8)),""""),"""")"),"")</f>
        <v/>
      </c>
      <c r="CD8" s="69" t="str">
        <f>IFERROR(__xludf.DUMMYFUNCTION("IF($H8&lt;&gt;"""",IFERROR(FILTER(RawTotals!$AJ:$AJ,RawTotals!$A:$A=AT8)-(FILTER(Data!$K:$K,Data!$B:$B=AT8,Data!$D:$D=$H8)+FILTER(Data!$L:$L,Data!$B:$B=AT8,Data!$D:$D=$H8)),""""),"""")"),"")</f>
        <v/>
      </c>
      <c r="CE8" s="69" t="str">
        <f>IFERROR(__xludf.DUMMYFUNCTION("IF($I8&lt;&gt;"""",IFERROR(FILTER(RawTotals!$AJ:$AJ,RawTotals!$A:$A=AU8)-(FILTER(Data!$K:$K,Data!$B:$B=AU8,Data!$D:$D=$I8)+FILTER(Data!$L:$L,Data!$B:$B=AU8,Data!$D:$D=$I8)),""""),"""")"),"")</f>
        <v/>
      </c>
      <c r="CF8" s="69" t="str">
        <f>IFERROR(__xludf.DUMMYFUNCTION("IF($I8&lt;&gt;"""",IFERROR(FILTER(RawTotals!$AJ:$AJ,RawTotals!$A:$A=AV8)-(FILTER(Data!$K:$K,Data!$B:$B=AV8,Data!$D:$D=$I8)+FILTER(Data!$L:$L,Data!$B:$B=AV8,Data!$D:$D=$I8)),""""),"""")"),"")</f>
        <v/>
      </c>
      <c r="CG8" s="69" t="str">
        <f>IFERROR(__xludf.DUMMYFUNCTION("IF($I8&lt;&gt;"""",IFERROR(FILTER(RawTotals!$AJ:$AJ,RawTotals!$A:$A=AW8)-(FILTER(Data!$K:$K,Data!$B:$B=AW8,Data!$D:$D=$I8)+FILTER(Data!$L:$L,Data!$B:$B=AW8,Data!$D:$D=$I8)),""""),"""")"),"")</f>
        <v/>
      </c>
      <c r="CH8" s="69" t="str">
        <f>IFERROR(__xludf.DUMMYFUNCTION("IF($J8&lt;&gt;"""",IFERROR(FILTER(RawTotals!$AJ:$AJ,RawTotals!$A:$A=AX8)-(FILTER(Data!$K:$K,Data!$B:$B=AX8,Data!$D:$D=$J8)+FILTER(Data!$L:$L,Data!$B:$B=AX8,Data!$D:$D=$J8)),""""),"""")"),"")</f>
        <v/>
      </c>
      <c r="CI8" s="69" t="str">
        <f>IFERROR(__xludf.DUMMYFUNCTION("IF($J8&lt;&gt;"""",IFERROR(FILTER(RawTotals!$AJ:$AJ,RawTotals!$A:$A=AY8)-(FILTER(Data!$K:$K,Data!$B:$B=AY8,Data!$D:$D=$J8)+FILTER(Data!$L:$L,Data!$B:$B=AY8,Data!$D:$D=$J8)),""""),"""")"),"")</f>
        <v/>
      </c>
      <c r="CJ8" s="69" t="str">
        <f>IFERROR(__xludf.DUMMYFUNCTION("IF($J8&lt;&gt;"""",IFERROR(FILTER(RawTotals!$AJ:$AJ,RawTotals!$A:$A=AZ8)-(FILTER(Data!$K:$K,Data!$B:$B=AZ8,Data!$D:$D=$J8)+FILTER(Data!$L:$L,Data!$B:$B=AZ8,Data!$D:$D=$J8)),""""),"""")"),"")</f>
        <v/>
      </c>
      <c r="CK8" s="69" t="str">
        <f>IFERROR(__xludf.DUMMYFUNCTION("IF($K8&lt;&gt;"""",IFERROR(FILTER(RawTotals!$AJ:$AJ,RawTotals!$A:$A=BA8)-(FILTER(Data!$K:$K,Data!$B:$B=BA8,Data!$D:$D=$K8)+FILTER(Data!$L:$L,Data!$B:$B=BA8,Data!$D:$D=$K8)),""""),"""")"),"")</f>
        <v/>
      </c>
      <c r="CL8" s="69" t="str">
        <f>IFERROR(__xludf.DUMMYFUNCTION("IF($K8&lt;&gt;"""",IFERROR(FILTER(RawTotals!$AJ:$AJ,RawTotals!$A:$A=BB8)-(FILTER(Data!$K:$K,Data!$B:$B=BB8,Data!$D:$D=$K8)+FILTER(Data!$L:$L,Data!$B:$B=BB8,Data!$D:$D=$K8)),""""),"""")"),"")</f>
        <v/>
      </c>
      <c r="CM8" s="69" t="str">
        <f>IFERROR(__xludf.DUMMYFUNCTION("IF($K8&lt;&gt;"""",IFERROR(FILTER(RawTotals!$AJ:$AJ,RawTotals!$A:$A=BC8)-(FILTER(Data!$K:$K,Data!$B:$B=BC8,Data!$D:$D=$K8)+FILTER(Data!$L:$L,Data!$B:$B=BC8,Data!$D:$D=$K8)),""""),"""")"),"")</f>
        <v/>
      </c>
      <c r="CN8" s="69" t="str">
        <f>IFERROR(__xludf.DUMMYFUNCTION("IF($L8&lt;&gt;"""",IFERROR((FILTER(RawTotals!$AJ:$AJ,RawTotals!$A:$A=BD8)-(FILTER(Data!$K:$K,Data!$B:$B=BD8,Data!$D:$D=$L8)+FILTER(Data!$L:$L,Data!$B:$B=BD8,Data!$D:$D=$L8))),""""),"""")"),"")</f>
        <v/>
      </c>
      <c r="CO8" s="69" t="str">
        <f>IFERROR(__xludf.DUMMYFUNCTION("IF($L8&lt;&gt;"""",IFERROR((FILTER(RawTotals!$AJ:$AJ,RawTotals!$A:$A=BE8)-(FILTER(Data!$K:$K,Data!$B:$B=BE8,Data!$D:$D=$L8)+FILTER(Data!$L:$L,Data!$B:$B=BE8,Data!$D:$D=$L8))),""""),"""")"),"")</f>
        <v/>
      </c>
      <c r="CP8" s="69" t="str">
        <f>IFERROR(__xludf.DUMMYFUNCTION("IF($L8&lt;&gt;"""",IFERROR((FILTER(RawTotals!$AJ:$AJ,RawTotals!$A:$A=BF8)-(FILTER(Data!$K:$K,Data!$B:$B=BF8,Data!$D:$D=$L8)+FILTER(Data!$L:$L,Data!$B:$B=BF8,Data!$D:$D=$L8))),""""),"""")"),"")</f>
        <v/>
      </c>
      <c r="CQ8" s="69" t="str">
        <f>IFERROR(__xludf.DUMMYFUNCTION("IF($M8&lt;&gt;"""",IFERROR((FILTER(RawTotals!$AJ:$AJ,RawTotals!$A:$A=BG8)-(FILTER(Data!$K:$K,Data!$B:$B=BG8,Data!$D:$D=$M8)+FILTER(Data!$L:$L,Data!$B:$B=BG8,Data!$D:$D=$M8))),""""),"""")"),"")</f>
        <v/>
      </c>
      <c r="CR8" s="69" t="str">
        <f>IFERROR(__xludf.DUMMYFUNCTION("IF($M8&lt;&gt;"""",IFERROR((FILTER(RawTotals!$AJ:$AJ,RawTotals!$A:$A=BH8)-(FILTER(Data!$K:$K,Data!$B:$B=BH8,Data!$D:$D=$M8)+FILTER(Data!$L:$L,Data!$B:$B=BH8,Data!$D:$D=$M8))),""""),"""")"),"")</f>
        <v/>
      </c>
      <c r="CS8" s="70" t="str">
        <f>IFERROR(__xludf.DUMMYFUNCTION("IF($M8&lt;&gt;"""",IFERROR((FILTER(RawTotals!$AJ:$AJ,RawTotals!$A:$A=BI8)-(FILTER(Data!$K:$K,Data!$B:$B=BI8,Data!$D:$D=$M8)+FILTER(Data!$L:$L,Data!$B:$B=BI8,Data!$D:$D=$M8))),""""),"""")"),"")</f>
        <v/>
      </c>
      <c r="CT8" s="69"/>
      <c r="CU8" s="69"/>
      <c r="CV8" s="69"/>
      <c r="CW8" s="69"/>
      <c r="CX8" s="69"/>
      <c r="CY8" s="69"/>
      <c r="CZ8" s="69"/>
      <c r="DA8" s="69"/>
      <c r="DB8" s="69"/>
      <c r="DC8" s="69"/>
      <c r="DD8" s="69"/>
      <c r="DE8" s="69"/>
    </row>
    <row r="9">
      <c r="A9" s="67">
        <f>RawTotals!A9</f>
        <v>2767</v>
      </c>
      <c r="B9" s="68" t="str">
        <f>IFERROR(__xludf.DUMMYFUNCTION("IF(A9&lt;&gt;"""",IFERROR(TRANSPOSE(FILTER(Data!D:D,Data!B:B=A9,Data!R:R&lt;&gt;"""")),""No Defense""),"""")"),"No Defense")</f>
        <v>No Defense</v>
      </c>
      <c r="C9" s="65"/>
      <c r="D9" s="65"/>
      <c r="E9" s="65"/>
      <c r="F9" s="65"/>
      <c r="G9" s="65"/>
      <c r="H9" s="65"/>
      <c r="I9" s="65"/>
      <c r="J9" s="65"/>
      <c r="K9" s="65"/>
      <c r="L9" s="65"/>
      <c r="M9" s="65"/>
      <c r="N9" s="64" t="str">
        <f>IFERROR(__xludf.DUMMYFUNCTION("IFERROR(Textjoin("""",TRUE,FILTER(Data!$R:$R,Data!$D:$D=B9,Data!$B:$B=$A9)),"""")"),"")</f>
        <v/>
      </c>
      <c r="O9" s="64" t="str">
        <f>IFERROR(__xludf.DUMMYFUNCTION("IFERROR(Textjoin("""",TRUE,FILTER(Data!$R:$R,Data!$D:$D=C9,Data!$B:$B=$A9)),"""")"),"")</f>
        <v/>
      </c>
      <c r="P9" s="64" t="str">
        <f>IFERROR(__xludf.DUMMYFUNCTION("IFERROR(Textjoin("""",TRUE,FILTER(Data!$R:$R,Data!$D:$D=D9,Data!$B:$B=$A9)),"""")"),"")</f>
        <v/>
      </c>
      <c r="Q9" s="64" t="str">
        <f>IFERROR(__xludf.DUMMYFUNCTION("IFERROR(Textjoin("""",TRUE,FILTER(Data!$R:$R,Data!$D:$D=E9,Data!$B:$B=$A9)),"""")"),"")</f>
        <v/>
      </c>
      <c r="R9" s="64" t="str">
        <f>IFERROR(__xludf.DUMMYFUNCTION("IFERROR(Textjoin("""",TRUE,FILTER(Data!$R:$R,Data!$D:$D=F9,Data!$B:$B=$A9)),"""")"),"")</f>
        <v/>
      </c>
      <c r="S9" s="64" t="str">
        <f>IFERROR(__xludf.DUMMYFUNCTION("IFERROR(Textjoin("""",TRUE,FILTER(Data!$R:$R,Data!$D:$D=G9,Data!$B:$B=$A9)),"""")"),"")</f>
        <v/>
      </c>
      <c r="T9" s="64" t="str">
        <f>IFERROR(__xludf.DUMMYFUNCTION("IFERROR(Textjoin("""",TRUE,FILTER(Data!$R:$R,Data!$D:$D=H9,Data!$B:$B=$A9)),"""")"),"")</f>
        <v/>
      </c>
      <c r="U9" s="64" t="str">
        <f>IFERROR(__xludf.DUMMYFUNCTION("IFERROR(Textjoin("""",TRUE,FILTER(Data!$R:$R,Data!$D:$D=I9,Data!$B:$B=$A9)),"""")"),"")</f>
        <v/>
      </c>
      <c r="V9" s="64" t="str">
        <f>IFERROR(__xludf.DUMMYFUNCTION("IFERROR(Textjoin("""",TRUE,FILTER(Data!$R:$R,Data!$D:$D=J9,Data!$B:$B=$A9)),"""")"),"")</f>
        <v/>
      </c>
      <c r="W9" s="64" t="str">
        <f>IFERROR(__xludf.DUMMYFUNCTION("IFERROR(Textjoin("""",TRUE,FILTER(Data!$R:$R,Data!$D:$D=K9,Data!$B:$B=$A9)),"""")"),"")</f>
        <v/>
      </c>
      <c r="X9" s="64" t="str">
        <f>IFERROR(__xludf.DUMMYFUNCTION("IFERROR(Textjoin("""",TRUE,FILTER(Data!$R:$R,Data!$D:$D=L9,Data!$B:$B=$A9)),"""")"),"")</f>
        <v/>
      </c>
      <c r="Y9" s="64" t="str">
        <f>IFERROR(__xludf.DUMMYFUNCTION("IFERROR(Textjoin("""",TRUE,FILTER(Data!$R:$R,Data!$D:$D=M9,Data!$B:$B=$A9)),"""")"),"")</f>
        <v/>
      </c>
      <c r="Z9" s="64" t="str">
        <f>IFERROR(__xludf.DUMMYFUNCTION("IFERROR(SPLIT(N9,"",""),"""")"),"")</f>
        <v/>
      </c>
      <c r="AA9" s="65"/>
      <c r="AB9" s="65"/>
      <c r="AC9" s="69" t="str">
        <f>IFERROR(__xludf.DUMMYFUNCTION("IFERROR(SPLIT(O9,"",""),"""")"),"")</f>
        <v/>
      </c>
      <c r="AD9" s="65"/>
      <c r="AE9" s="65"/>
      <c r="AF9" s="69" t="str">
        <f>IFERROR(__xludf.DUMMYFUNCTION("IFERROR(SPLIT(P9,"",""),"""")"),"")</f>
        <v/>
      </c>
      <c r="AG9" s="65"/>
      <c r="AH9" s="65"/>
      <c r="AI9" s="69" t="str">
        <f>IFERROR(__xludf.DUMMYFUNCTION("IFERROR(SPLIT(Q9,"",""),"""")"),"")</f>
        <v/>
      </c>
      <c r="AJ9" s="65"/>
      <c r="AK9" s="65"/>
      <c r="AL9" s="69" t="str">
        <f>IFERROR(__xludf.DUMMYFUNCTION("IFERROR(SPLIT(R9,"",""),"""")"),"")</f>
        <v/>
      </c>
      <c r="AM9" s="65"/>
      <c r="AN9" s="65"/>
      <c r="AO9" s="69" t="str">
        <f>IFERROR(__xludf.DUMMYFUNCTION("IFERROR(SPLIT(S9,"",""),"""")"),"")</f>
        <v/>
      </c>
      <c r="AP9" s="65"/>
      <c r="AQ9" s="65"/>
      <c r="AR9" s="69" t="str">
        <f>IFERROR(__xludf.DUMMYFUNCTION("IFERROR(SPLIT(T9,"",""),"""")"),"")</f>
        <v/>
      </c>
      <c r="AS9" s="65"/>
      <c r="AT9" s="65"/>
      <c r="AU9" s="69" t="str">
        <f>IFERROR(__xludf.DUMMYFUNCTION("IFERROR(SPLIT(U9,"",""),"""")"),"")</f>
        <v/>
      </c>
      <c r="AV9" s="65"/>
      <c r="AW9" s="65"/>
      <c r="AX9" s="69" t="str">
        <f>IFERROR(__xludf.DUMMYFUNCTION("IFERROR(SPLIT(V9,"",""),"""")"),"")</f>
        <v/>
      </c>
      <c r="AY9" s="65"/>
      <c r="AZ9" s="65"/>
      <c r="BA9" s="69" t="str">
        <f>IFERROR(__xludf.DUMMYFUNCTION("IFERROR(SPLIT(W9,"",""),"""")"),"")</f>
        <v/>
      </c>
      <c r="BB9" s="69"/>
      <c r="BC9" s="69"/>
      <c r="BD9" s="69" t="str">
        <f>IFERROR(__xludf.DUMMYFUNCTION("IFERROR(SPLIT(X9,"",""),"""")"),"")</f>
        <v/>
      </c>
      <c r="BE9" s="69"/>
      <c r="BF9" s="69"/>
      <c r="BG9" s="69" t="str">
        <f>IFERROR(__xludf.DUMMYFUNCTION("IFERROR(SPLIT(Y9,"",""),"""")"),"")</f>
        <v/>
      </c>
      <c r="BH9" s="69"/>
      <c r="BI9" s="69"/>
      <c r="BJ9" s="68" t="str">
        <f>IFERROR(__xludf.DUMMYFUNCTION("IF($B9&lt;&gt;"""",IFERROR(FILTER(RawTotals!$AJ:$AJ,RawTotals!$A:$A=Z9)-(FILTER(Data!$K:$K,Data!$B:$B=Z9,Data!$D:$D=$B9)+FILTER(Data!$L:$L,Data!$B:$B=Z9,Data!$D:$D=$B9)),""""),"""")"),"")</f>
        <v/>
      </c>
      <c r="BK9" s="68" t="str">
        <f>IFERROR(__xludf.DUMMYFUNCTION("IF($B9&lt;&gt;"""",IFERROR(FILTER(RawTotals!$AJ:$AJ,RawTotals!$A:$A=AA9)-(FILTER(Data!$K:$K,Data!$B:$B=AA9,Data!$D:$D=$B9)+FILTER(Data!$L:$L,Data!$B:$B=AA9,Data!$D:$D=$B9)),""""),"""")"),"")</f>
        <v/>
      </c>
      <c r="BL9" s="68" t="str">
        <f>IFERROR(__xludf.DUMMYFUNCTION("IF($B9&lt;&gt;"""",IFERROR(FILTER(RawTotals!$AJ:$AJ,RawTotals!$A:$A=AB9)-(FILTER(Data!$K:$K,Data!$B:$B=AB9,Data!$D:$D=$B9)+FILTER(Data!$L:$L,Data!$B:$B=AB9,Data!$D:$D=$B9)),""""),"""")"),"")</f>
        <v/>
      </c>
      <c r="BM9" s="69" t="str">
        <f>IFERROR(__xludf.DUMMYFUNCTION("IF($C9&lt;&gt;"""",IFERROR(FILTER(RawTotals!$AJ:$AJ,RawTotals!$A:$A=AC9)-(FILTER(Data!$K:$K,Data!$B:$B=AC9,Data!$D:$D=$C9)+FILTER(Data!$L:$L,Data!$B:$B=AC9,Data!$D:$D=$C9)),""""),"""")"),"")</f>
        <v/>
      </c>
      <c r="BN9" s="69" t="str">
        <f>IFERROR(__xludf.DUMMYFUNCTION("IF($C9&lt;&gt;"""",IFERROR(FILTER(RawTotals!$AJ:$AJ,RawTotals!$A:$A=AD9)-(FILTER(Data!$K:$K,Data!$B:$B=AD9,Data!$D:$D=$C9)+FILTER(Data!$L:$L,Data!$B:$B=AD9,Data!$D:$D=$C9)),""""),"""")"),"")</f>
        <v/>
      </c>
      <c r="BO9" s="69" t="str">
        <f>IFERROR(__xludf.DUMMYFUNCTION("IF($C9&lt;&gt;"""",IFERROR(FILTER(RawTotals!$AJ:$AJ,RawTotals!$A:$A=AE9)-(FILTER(Data!$K:$K,Data!$B:$B=AE9,Data!$D:$D=$C9)+FILTER(Data!$L:$L,Data!$B:$B=AE9,Data!$D:$D=$C9)),""""),"""")"),"")</f>
        <v/>
      </c>
      <c r="BP9" s="69" t="str">
        <f>IFERROR(__xludf.DUMMYFUNCTION("IF($D9&lt;&gt;"""",IFERROR(FILTER(RawTotals!$AJ:$AJ,RawTotals!$A:$A=AF9)-(FILTER(Data!$K:$K,Data!$B:$B=AF9,Data!$D:$D=$D9)+FILTER(Data!$L:$L,Data!$B:$B=AF9,Data!$D:$D=$D9)),""""),"""")"),"")</f>
        <v/>
      </c>
      <c r="BQ9" s="69" t="str">
        <f>IFERROR(__xludf.DUMMYFUNCTION("IF($D9&lt;&gt;"""",IFERROR(FILTER(RawTotals!$AJ:$AJ,RawTotals!$A:$A=AG9)-(FILTER(Data!$K:$K,Data!$B:$B=AG9,Data!$D:$D=$D9)+FILTER(Data!$L:$L,Data!$B:$B=AG9,Data!$D:$D=$D9)),""""),"""")"),"")</f>
        <v/>
      </c>
      <c r="BR9" s="69" t="str">
        <f>IFERROR(__xludf.DUMMYFUNCTION("IF($D9&lt;&gt;"""",IFERROR(FILTER(RawTotals!$AJ:$AJ,RawTotals!$A:$A=AH9)-(FILTER(Data!$K:$K,Data!$B:$B=AH9,Data!$D:$D=$D9)+FILTER(Data!$L:$L,Data!$B:$B=AH9,Data!$D:$D=$D9)),""""),"""")"),"")</f>
        <v/>
      </c>
      <c r="BS9" s="69" t="str">
        <f>IFERROR(__xludf.DUMMYFUNCTION("IF($E9&lt;&gt;"""",IFERROR(FILTER(RawTotals!$AJ:$AJ,RawTotals!$A:$A=AI9)-(FILTER(Data!$K:$K,Data!$B:$B=AI9,Data!$D:$D=$E9)+FILTER(Data!$L:$L,Data!$B:$B=AI9,Data!$D:$D=$E9)),""""),"""")"),"")</f>
        <v/>
      </c>
      <c r="BT9" s="69" t="str">
        <f>IFERROR(__xludf.DUMMYFUNCTION("IF($E9&lt;&gt;"""",IFERROR(FILTER(RawTotals!$AJ:$AJ,RawTotals!$A:$A=AJ9)-(FILTER(Data!$K:$K,Data!$B:$B=AJ9,Data!$D:$D=$E9)+FILTER(Data!$L:$L,Data!$B:$B=AJ9,Data!$D:$D=$E9)),""""),"""")"),"")</f>
        <v/>
      </c>
      <c r="BU9" s="69" t="str">
        <f>IFERROR(__xludf.DUMMYFUNCTION("IF($E9&lt;&gt;"""",IFERROR(FILTER(RawTotals!$AJ:$AJ,RawTotals!$A:$A=AK9)-(FILTER(Data!$K:$K,Data!$B:$B=AK9,Data!$D:$D=$E9)+FILTER(Data!$L:$L,Data!$B:$B=AK9,Data!$D:$D=$E9)),""""),"""")"),"")</f>
        <v/>
      </c>
      <c r="BV9" s="69" t="str">
        <f>IFERROR(__xludf.DUMMYFUNCTION("IF($F9&lt;&gt;"""",IFERROR(FILTER(RawTotals!$AJ:$AJ,RawTotals!$A:$A=AL9)-(FILTER(Data!$K:$K,Data!$B:$B=AL9,Data!$D:$D=$F9)+FILTER(Data!$L:$L,Data!$B:$B=AL9,Data!$D:$D=$F9)),""""),"""")"),"")</f>
        <v/>
      </c>
      <c r="BW9" s="69" t="str">
        <f>IFERROR(__xludf.DUMMYFUNCTION("IF($F9&lt;&gt;"""",IFERROR(FILTER(RawTotals!$AJ:$AJ,RawTotals!$A:$A=AM9)-(FILTER(Data!$K:$K,Data!$B:$B=AM9,Data!$D:$D=$F9)+FILTER(Data!$L:$L,Data!$B:$B=AM9,Data!$D:$D=$F9)),""""),"""")"),"")</f>
        <v/>
      </c>
      <c r="BX9" s="69" t="str">
        <f>IFERROR(__xludf.DUMMYFUNCTION("IF($F9&lt;&gt;"""",IFERROR(FILTER(RawTotals!$AJ:$AJ,RawTotals!$A:$A=AN9)-(FILTER(Data!$K:$K,Data!$B:$B=AN9,Data!$D:$D=$F9)+FILTER(Data!$L:$L,Data!$B:$B=AN9,Data!$D:$D=$F9)),""""),"""")"),"")</f>
        <v/>
      </c>
      <c r="BY9" s="69" t="str">
        <f>IFERROR(__xludf.DUMMYFUNCTION("IF($G9&lt;&gt;"""",IFERROR(FILTER(RawTotals!$AJ:$AJ,RawTotals!$A:$A=AO9)-(FILTER(Data!$K:$K,Data!$B:$B=AO9,Data!$D:$D=$G9)+FILTER(Data!$L:$L,Data!$B:$B=AO9,Data!$D:$D=$G9)),""""),"""")"),"")</f>
        <v/>
      </c>
      <c r="BZ9" s="69" t="str">
        <f>IFERROR(__xludf.DUMMYFUNCTION("IF($G9&lt;&gt;"""",IFERROR(FILTER(RawTotals!$AJ:$AJ,RawTotals!$A:$A=AP9)-(FILTER(Data!$K:$K,Data!$B:$B=AP9,Data!$D:$D=$G9)+FILTER(Data!$L:$L,Data!$B:$B=AP9,Data!$D:$D=$G9)),""""),"""")"),"")</f>
        <v/>
      </c>
      <c r="CA9" s="69" t="str">
        <f>IFERROR(__xludf.DUMMYFUNCTION("IF($G9&lt;&gt;"""",IFERROR(FILTER(RawTotals!$AJ:$AJ,RawTotals!$A:$A=AQ9)-(FILTER(Data!$K:$K,Data!$B:$B=AQ9,Data!$D:$D=$G9)+FILTER(Data!$L:$L,Data!$B:$B=AQ9,Data!$D:$D=$G9)),""""),"""")"),"")</f>
        <v/>
      </c>
      <c r="CB9" s="69" t="str">
        <f>IFERROR(__xludf.DUMMYFUNCTION("IF($H9&lt;&gt;"""",IFERROR(FILTER(RawTotals!$AJ:$AJ,RawTotals!$A:$A=AR9)-(FILTER(Data!$K:$K,Data!$B:$B=AR9,Data!$D:$D=$H9)+FILTER(Data!$L:$L,Data!$B:$B=AR9,Data!$D:$D=$H9)),""""),"""")"),"")</f>
        <v/>
      </c>
      <c r="CC9" s="69" t="str">
        <f>IFERROR(__xludf.DUMMYFUNCTION("IF($H9&lt;&gt;"""",IFERROR(FILTER(RawTotals!$AJ:$AJ,RawTotals!$A:$A=AS9)-(FILTER(Data!$K:$K,Data!$B:$B=AS9,Data!$D:$D=$H9)+FILTER(Data!$L:$L,Data!$B:$B=AS9,Data!$D:$D=$H9)),""""),"""")"),"")</f>
        <v/>
      </c>
      <c r="CD9" s="69" t="str">
        <f>IFERROR(__xludf.DUMMYFUNCTION("IF($H9&lt;&gt;"""",IFERROR(FILTER(RawTotals!$AJ:$AJ,RawTotals!$A:$A=AT9)-(FILTER(Data!$K:$K,Data!$B:$B=AT9,Data!$D:$D=$H9)+FILTER(Data!$L:$L,Data!$B:$B=AT9,Data!$D:$D=$H9)),""""),"""")"),"")</f>
        <v/>
      </c>
      <c r="CE9" s="69" t="str">
        <f>IFERROR(__xludf.DUMMYFUNCTION("IF($I9&lt;&gt;"""",IFERROR(FILTER(RawTotals!$AJ:$AJ,RawTotals!$A:$A=AU9)-(FILTER(Data!$K:$K,Data!$B:$B=AU9,Data!$D:$D=$I9)+FILTER(Data!$L:$L,Data!$B:$B=AU9,Data!$D:$D=$I9)),""""),"""")"),"")</f>
        <v/>
      </c>
      <c r="CF9" s="69" t="str">
        <f>IFERROR(__xludf.DUMMYFUNCTION("IF($I9&lt;&gt;"""",IFERROR(FILTER(RawTotals!$AJ:$AJ,RawTotals!$A:$A=AV9)-(FILTER(Data!$K:$K,Data!$B:$B=AV9,Data!$D:$D=$I9)+FILTER(Data!$L:$L,Data!$B:$B=AV9,Data!$D:$D=$I9)),""""),"""")"),"")</f>
        <v/>
      </c>
      <c r="CG9" s="69" t="str">
        <f>IFERROR(__xludf.DUMMYFUNCTION("IF($I9&lt;&gt;"""",IFERROR(FILTER(RawTotals!$AJ:$AJ,RawTotals!$A:$A=AW9)-(FILTER(Data!$K:$K,Data!$B:$B=AW9,Data!$D:$D=$I9)+FILTER(Data!$L:$L,Data!$B:$B=AW9,Data!$D:$D=$I9)),""""),"""")"),"")</f>
        <v/>
      </c>
      <c r="CH9" s="69" t="str">
        <f>IFERROR(__xludf.DUMMYFUNCTION("IF($J9&lt;&gt;"""",IFERROR(FILTER(RawTotals!$AJ:$AJ,RawTotals!$A:$A=AX9)-(FILTER(Data!$K:$K,Data!$B:$B=AX9,Data!$D:$D=$J9)+FILTER(Data!$L:$L,Data!$B:$B=AX9,Data!$D:$D=$J9)),""""),"""")"),"")</f>
        <v/>
      </c>
      <c r="CI9" s="69" t="str">
        <f>IFERROR(__xludf.DUMMYFUNCTION("IF($J9&lt;&gt;"""",IFERROR(FILTER(RawTotals!$AJ:$AJ,RawTotals!$A:$A=AY9)-(FILTER(Data!$K:$K,Data!$B:$B=AY9,Data!$D:$D=$J9)+FILTER(Data!$L:$L,Data!$B:$B=AY9,Data!$D:$D=$J9)),""""),"""")"),"")</f>
        <v/>
      </c>
      <c r="CJ9" s="69" t="str">
        <f>IFERROR(__xludf.DUMMYFUNCTION("IF($J9&lt;&gt;"""",IFERROR(FILTER(RawTotals!$AJ:$AJ,RawTotals!$A:$A=AZ9)-(FILTER(Data!$K:$K,Data!$B:$B=AZ9,Data!$D:$D=$J9)+FILTER(Data!$L:$L,Data!$B:$B=AZ9,Data!$D:$D=$J9)),""""),"""")"),"")</f>
        <v/>
      </c>
      <c r="CK9" s="69" t="str">
        <f>IFERROR(__xludf.DUMMYFUNCTION("IF($K9&lt;&gt;"""",IFERROR(FILTER(RawTotals!$AJ:$AJ,RawTotals!$A:$A=BA9)-(FILTER(Data!$K:$K,Data!$B:$B=BA9,Data!$D:$D=$K9)+FILTER(Data!$L:$L,Data!$B:$B=BA9,Data!$D:$D=$K9)),""""),"""")"),"")</f>
        <v/>
      </c>
      <c r="CL9" s="69" t="str">
        <f>IFERROR(__xludf.DUMMYFUNCTION("IF($K9&lt;&gt;"""",IFERROR(FILTER(RawTotals!$AJ:$AJ,RawTotals!$A:$A=BB9)-(FILTER(Data!$K:$K,Data!$B:$B=BB9,Data!$D:$D=$K9)+FILTER(Data!$L:$L,Data!$B:$B=BB9,Data!$D:$D=$K9)),""""),"""")"),"")</f>
        <v/>
      </c>
      <c r="CM9" s="69" t="str">
        <f>IFERROR(__xludf.DUMMYFUNCTION("IF($K9&lt;&gt;"""",IFERROR(FILTER(RawTotals!$AJ:$AJ,RawTotals!$A:$A=BC9)-(FILTER(Data!$K:$K,Data!$B:$B=BC9,Data!$D:$D=$K9)+FILTER(Data!$L:$L,Data!$B:$B=BC9,Data!$D:$D=$K9)),""""),"""")"),"")</f>
        <v/>
      </c>
      <c r="CN9" s="69" t="str">
        <f>IFERROR(__xludf.DUMMYFUNCTION("IF($L9&lt;&gt;"""",IFERROR((FILTER(RawTotals!$AJ:$AJ,RawTotals!$A:$A=BD9)-(FILTER(Data!$K:$K,Data!$B:$B=BD9,Data!$D:$D=$L9)+FILTER(Data!$L:$L,Data!$B:$B=BD9,Data!$D:$D=$L9))),""""),"""")"),"")</f>
        <v/>
      </c>
      <c r="CO9" s="69" t="str">
        <f>IFERROR(__xludf.DUMMYFUNCTION("IF($L9&lt;&gt;"""",IFERROR((FILTER(RawTotals!$AJ:$AJ,RawTotals!$A:$A=BE9)-(FILTER(Data!$K:$K,Data!$B:$B=BE9,Data!$D:$D=$L9)+FILTER(Data!$L:$L,Data!$B:$B=BE9,Data!$D:$D=$L9))),""""),"""")"),"")</f>
        <v/>
      </c>
      <c r="CP9" s="69" t="str">
        <f>IFERROR(__xludf.DUMMYFUNCTION("IF($L9&lt;&gt;"""",IFERROR((FILTER(RawTotals!$AJ:$AJ,RawTotals!$A:$A=BF9)-(FILTER(Data!$K:$K,Data!$B:$B=BF9,Data!$D:$D=$L9)+FILTER(Data!$L:$L,Data!$B:$B=BF9,Data!$D:$D=$L9))),""""),"""")"),"")</f>
        <v/>
      </c>
      <c r="CQ9" s="69" t="str">
        <f>IFERROR(__xludf.DUMMYFUNCTION("IF($M9&lt;&gt;"""",IFERROR((FILTER(RawTotals!$AJ:$AJ,RawTotals!$A:$A=BG9)-(FILTER(Data!$K:$K,Data!$B:$B=BG9,Data!$D:$D=$M9)+FILTER(Data!$L:$L,Data!$B:$B=BG9,Data!$D:$D=$M9))),""""),"""")"),"")</f>
        <v/>
      </c>
      <c r="CR9" s="69" t="str">
        <f>IFERROR(__xludf.DUMMYFUNCTION("IF($M9&lt;&gt;"""",IFERROR((FILTER(RawTotals!$AJ:$AJ,RawTotals!$A:$A=BH9)-(FILTER(Data!$K:$K,Data!$B:$B=BH9,Data!$D:$D=$M9)+FILTER(Data!$L:$L,Data!$B:$B=BH9,Data!$D:$D=$M9))),""""),"""")"),"")</f>
        <v/>
      </c>
      <c r="CS9" s="70" t="str">
        <f>IFERROR(__xludf.DUMMYFUNCTION("IF($M9&lt;&gt;"""",IFERROR((FILTER(RawTotals!$AJ:$AJ,RawTotals!$A:$A=BI9)-(FILTER(Data!$K:$K,Data!$B:$B=BI9,Data!$D:$D=$M9)+FILTER(Data!$L:$L,Data!$B:$B=BI9,Data!$D:$D=$M9))),""""),"""")"),"")</f>
        <v/>
      </c>
      <c r="CT9" s="69"/>
      <c r="CU9" s="69"/>
      <c r="CV9" s="69"/>
      <c r="CW9" s="69"/>
      <c r="CX9" s="69"/>
      <c r="CY9" s="69"/>
      <c r="CZ9" s="69"/>
      <c r="DA9" s="69"/>
      <c r="DB9" s="69"/>
      <c r="DC9" s="69"/>
      <c r="DD9" s="69"/>
      <c r="DE9" s="69"/>
    </row>
    <row r="10">
      <c r="A10" s="67">
        <f>RawTotals!A10</f>
        <v>5712</v>
      </c>
      <c r="B10" s="68" t="str">
        <f>IFERROR(__xludf.DUMMYFUNCTION("IF(A10&lt;&gt;"""",IFERROR(TRANSPOSE(FILTER(Data!D:D,Data!B:B=A10,Data!R:R&lt;&gt;"""")),""No Defense""),"""")"),"No Defense")</f>
        <v>No Defense</v>
      </c>
      <c r="C10" s="65"/>
      <c r="D10" s="65"/>
      <c r="E10" s="65"/>
      <c r="F10" s="65"/>
      <c r="G10" s="65"/>
      <c r="H10" s="65"/>
      <c r="I10" s="65"/>
      <c r="J10" s="65"/>
      <c r="K10" s="65"/>
      <c r="L10" s="65"/>
      <c r="M10" s="65"/>
      <c r="N10" s="64" t="str">
        <f>IFERROR(__xludf.DUMMYFUNCTION("IFERROR(Textjoin("""",TRUE,FILTER(Data!$R:$R,Data!$D:$D=B10,Data!$B:$B=$A10)),"""")"),"")</f>
        <v/>
      </c>
      <c r="O10" s="64" t="str">
        <f>IFERROR(__xludf.DUMMYFUNCTION("IFERROR(Textjoin("""",TRUE,FILTER(Data!$R:$R,Data!$D:$D=C10,Data!$B:$B=$A10)),"""")"),"")</f>
        <v/>
      </c>
      <c r="P10" s="64" t="str">
        <f>IFERROR(__xludf.DUMMYFUNCTION("IFERROR(Textjoin("""",TRUE,FILTER(Data!$R:$R,Data!$D:$D=D10,Data!$B:$B=$A10)),"""")"),"")</f>
        <v/>
      </c>
      <c r="Q10" s="64" t="str">
        <f>IFERROR(__xludf.DUMMYFUNCTION("IFERROR(Textjoin("""",TRUE,FILTER(Data!$R:$R,Data!$D:$D=E10,Data!$B:$B=$A10)),"""")"),"")</f>
        <v/>
      </c>
      <c r="R10" s="64" t="str">
        <f>IFERROR(__xludf.DUMMYFUNCTION("IFERROR(Textjoin("""",TRUE,FILTER(Data!$R:$R,Data!$D:$D=F10,Data!$B:$B=$A10)),"""")"),"")</f>
        <v/>
      </c>
      <c r="S10" s="64" t="str">
        <f>IFERROR(__xludf.DUMMYFUNCTION("IFERROR(Textjoin("""",TRUE,FILTER(Data!$R:$R,Data!$D:$D=G10,Data!$B:$B=$A10)),"""")"),"")</f>
        <v/>
      </c>
      <c r="T10" s="64" t="str">
        <f>IFERROR(__xludf.DUMMYFUNCTION("IFERROR(Textjoin("""",TRUE,FILTER(Data!$R:$R,Data!$D:$D=H10,Data!$B:$B=$A10)),"""")"),"")</f>
        <v/>
      </c>
      <c r="U10" s="64" t="str">
        <f>IFERROR(__xludf.DUMMYFUNCTION("IFERROR(Textjoin("""",TRUE,FILTER(Data!$R:$R,Data!$D:$D=I10,Data!$B:$B=$A10)),"""")"),"")</f>
        <v/>
      </c>
      <c r="V10" s="64" t="str">
        <f>IFERROR(__xludf.DUMMYFUNCTION("IFERROR(Textjoin("""",TRUE,FILTER(Data!$R:$R,Data!$D:$D=J10,Data!$B:$B=$A10)),"""")"),"")</f>
        <v/>
      </c>
      <c r="W10" s="64" t="str">
        <f>IFERROR(__xludf.DUMMYFUNCTION("IFERROR(Textjoin("""",TRUE,FILTER(Data!$R:$R,Data!$D:$D=K10,Data!$B:$B=$A10)),"""")"),"")</f>
        <v/>
      </c>
      <c r="X10" s="64" t="str">
        <f>IFERROR(__xludf.DUMMYFUNCTION("IFERROR(Textjoin("""",TRUE,FILTER(Data!$R:$R,Data!$D:$D=L10,Data!$B:$B=$A10)),"""")"),"")</f>
        <v/>
      </c>
      <c r="Y10" s="64" t="str">
        <f>IFERROR(__xludf.DUMMYFUNCTION("IFERROR(Textjoin("""",TRUE,FILTER(Data!$R:$R,Data!$D:$D=M10,Data!$B:$B=$A10)),"""")"),"")</f>
        <v/>
      </c>
      <c r="Z10" s="64" t="str">
        <f>IFERROR(__xludf.DUMMYFUNCTION("IFERROR(SPLIT(N10,"",""),"""")"),"")</f>
        <v/>
      </c>
      <c r="AA10" s="65"/>
      <c r="AB10" s="65"/>
      <c r="AC10" s="69" t="str">
        <f>IFERROR(__xludf.DUMMYFUNCTION("IFERROR(SPLIT(O10,"",""),"""")"),"")</f>
        <v/>
      </c>
      <c r="AD10" s="65"/>
      <c r="AE10" s="65"/>
      <c r="AF10" s="69" t="str">
        <f>IFERROR(__xludf.DUMMYFUNCTION("IFERROR(SPLIT(P10,"",""),"""")"),"")</f>
        <v/>
      </c>
      <c r="AG10" s="65"/>
      <c r="AH10" s="65"/>
      <c r="AI10" s="69" t="str">
        <f>IFERROR(__xludf.DUMMYFUNCTION("IFERROR(SPLIT(Q10,"",""),"""")"),"")</f>
        <v/>
      </c>
      <c r="AJ10" s="65"/>
      <c r="AK10" s="65"/>
      <c r="AL10" s="69" t="str">
        <f>IFERROR(__xludf.DUMMYFUNCTION("IFERROR(SPLIT(R10,"",""),"""")"),"")</f>
        <v/>
      </c>
      <c r="AM10" s="65"/>
      <c r="AN10" s="65"/>
      <c r="AO10" s="69" t="str">
        <f>IFERROR(__xludf.DUMMYFUNCTION("IFERROR(SPLIT(S10,"",""),"""")"),"")</f>
        <v/>
      </c>
      <c r="AP10" s="65"/>
      <c r="AQ10" s="65"/>
      <c r="AR10" s="69" t="str">
        <f>IFERROR(__xludf.DUMMYFUNCTION("IFERROR(SPLIT(T10,"",""),"""")"),"")</f>
        <v/>
      </c>
      <c r="AS10" s="65"/>
      <c r="AT10" s="65"/>
      <c r="AU10" s="69" t="str">
        <f>IFERROR(__xludf.DUMMYFUNCTION("IFERROR(SPLIT(U10,"",""),"""")"),"")</f>
        <v/>
      </c>
      <c r="AV10" s="65"/>
      <c r="AW10" s="65"/>
      <c r="AX10" s="69" t="str">
        <f>IFERROR(__xludf.DUMMYFUNCTION("IFERROR(SPLIT(V10,"",""),"""")"),"")</f>
        <v/>
      </c>
      <c r="AY10" s="65"/>
      <c r="AZ10" s="65"/>
      <c r="BA10" s="69" t="str">
        <f>IFERROR(__xludf.DUMMYFUNCTION("IFERROR(SPLIT(W10,"",""),"""")"),"")</f>
        <v/>
      </c>
      <c r="BB10" s="69"/>
      <c r="BC10" s="69"/>
      <c r="BD10" s="69" t="str">
        <f>IFERROR(__xludf.DUMMYFUNCTION("IFERROR(SPLIT(X10,"",""),"""")"),"")</f>
        <v/>
      </c>
      <c r="BE10" s="69"/>
      <c r="BF10" s="69"/>
      <c r="BG10" s="69" t="str">
        <f>IFERROR(__xludf.DUMMYFUNCTION("IFERROR(SPLIT(Y10,"",""),"""")"),"")</f>
        <v/>
      </c>
      <c r="BH10" s="69"/>
      <c r="BI10" s="69"/>
      <c r="BJ10" s="68" t="str">
        <f>IFERROR(__xludf.DUMMYFUNCTION("IF($B10&lt;&gt;"""",IFERROR(FILTER(RawTotals!$AJ:$AJ,RawTotals!$A:$A=Z10)-(FILTER(Data!$K:$K,Data!$B:$B=Z10,Data!$D:$D=$B10)+FILTER(Data!$L:$L,Data!$B:$B=Z10,Data!$D:$D=$B10)),""""),"""")"),"")</f>
        <v/>
      </c>
      <c r="BK10" s="68" t="str">
        <f>IFERROR(__xludf.DUMMYFUNCTION("IF($B10&lt;&gt;"""",IFERROR(FILTER(RawTotals!$AJ:$AJ,RawTotals!$A:$A=AA10)-(FILTER(Data!$K:$K,Data!$B:$B=AA10,Data!$D:$D=$B10)+FILTER(Data!$L:$L,Data!$B:$B=AA10,Data!$D:$D=$B10)),""""),"""")"),"")</f>
        <v/>
      </c>
      <c r="BL10" s="68" t="str">
        <f>IFERROR(__xludf.DUMMYFUNCTION("IF($B10&lt;&gt;"""",IFERROR(FILTER(RawTotals!$AJ:$AJ,RawTotals!$A:$A=AB10)-(FILTER(Data!$K:$K,Data!$B:$B=AB10,Data!$D:$D=$B10)+FILTER(Data!$L:$L,Data!$B:$B=AB10,Data!$D:$D=$B10)),""""),"""")"),"")</f>
        <v/>
      </c>
      <c r="BM10" s="69" t="str">
        <f>IFERROR(__xludf.DUMMYFUNCTION("IF($C10&lt;&gt;"""",IFERROR(FILTER(RawTotals!$AJ:$AJ,RawTotals!$A:$A=AC10)-(FILTER(Data!$K:$K,Data!$B:$B=AC10,Data!$D:$D=$C10)+FILTER(Data!$L:$L,Data!$B:$B=AC10,Data!$D:$D=$C10)),""""),"""")"),"")</f>
        <v/>
      </c>
      <c r="BN10" s="69" t="str">
        <f>IFERROR(__xludf.DUMMYFUNCTION("IF($C10&lt;&gt;"""",IFERROR(FILTER(RawTotals!$AJ:$AJ,RawTotals!$A:$A=AD10)-(FILTER(Data!$K:$K,Data!$B:$B=AD10,Data!$D:$D=$C10)+FILTER(Data!$L:$L,Data!$B:$B=AD10,Data!$D:$D=$C10)),""""),"""")"),"")</f>
        <v/>
      </c>
      <c r="BO10" s="69" t="str">
        <f>IFERROR(__xludf.DUMMYFUNCTION("IF($C10&lt;&gt;"""",IFERROR(FILTER(RawTotals!$AJ:$AJ,RawTotals!$A:$A=AE10)-(FILTER(Data!$K:$K,Data!$B:$B=AE10,Data!$D:$D=$C10)+FILTER(Data!$L:$L,Data!$B:$B=AE10,Data!$D:$D=$C10)),""""),"""")"),"")</f>
        <v/>
      </c>
      <c r="BP10" s="69" t="str">
        <f>IFERROR(__xludf.DUMMYFUNCTION("IF($D10&lt;&gt;"""",IFERROR(FILTER(RawTotals!$AJ:$AJ,RawTotals!$A:$A=AF10)-(FILTER(Data!$K:$K,Data!$B:$B=AF10,Data!$D:$D=$D10)+FILTER(Data!$L:$L,Data!$B:$B=AF10,Data!$D:$D=$D10)),""""),"""")"),"")</f>
        <v/>
      </c>
      <c r="BQ10" s="69" t="str">
        <f>IFERROR(__xludf.DUMMYFUNCTION("IF($D10&lt;&gt;"""",IFERROR(FILTER(RawTotals!$AJ:$AJ,RawTotals!$A:$A=AG10)-(FILTER(Data!$K:$K,Data!$B:$B=AG10,Data!$D:$D=$D10)+FILTER(Data!$L:$L,Data!$B:$B=AG10,Data!$D:$D=$D10)),""""),"""")"),"")</f>
        <v/>
      </c>
      <c r="BR10" s="69" t="str">
        <f>IFERROR(__xludf.DUMMYFUNCTION("IF($D10&lt;&gt;"""",IFERROR(FILTER(RawTotals!$AJ:$AJ,RawTotals!$A:$A=AH10)-(FILTER(Data!$K:$K,Data!$B:$B=AH10,Data!$D:$D=$D10)+FILTER(Data!$L:$L,Data!$B:$B=AH10,Data!$D:$D=$D10)),""""),"""")"),"")</f>
        <v/>
      </c>
      <c r="BS10" s="69" t="str">
        <f>IFERROR(__xludf.DUMMYFUNCTION("IF($E10&lt;&gt;"""",IFERROR(FILTER(RawTotals!$AJ:$AJ,RawTotals!$A:$A=AI10)-(FILTER(Data!$K:$K,Data!$B:$B=AI10,Data!$D:$D=$E10)+FILTER(Data!$L:$L,Data!$B:$B=AI10,Data!$D:$D=$E10)),""""),"""")"),"")</f>
        <v/>
      </c>
      <c r="BT10" s="69" t="str">
        <f>IFERROR(__xludf.DUMMYFUNCTION("IF($E10&lt;&gt;"""",IFERROR(FILTER(RawTotals!$AJ:$AJ,RawTotals!$A:$A=AJ10)-(FILTER(Data!$K:$K,Data!$B:$B=AJ10,Data!$D:$D=$E10)+FILTER(Data!$L:$L,Data!$B:$B=AJ10,Data!$D:$D=$E10)),""""),"""")"),"")</f>
        <v/>
      </c>
      <c r="BU10" s="69" t="str">
        <f>IFERROR(__xludf.DUMMYFUNCTION("IF($E10&lt;&gt;"""",IFERROR(FILTER(RawTotals!$AJ:$AJ,RawTotals!$A:$A=AK10)-(FILTER(Data!$K:$K,Data!$B:$B=AK10,Data!$D:$D=$E10)+FILTER(Data!$L:$L,Data!$B:$B=AK10,Data!$D:$D=$E10)),""""),"""")"),"")</f>
        <v/>
      </c>
      <c r="BV10" s="69" t="str">
        <f>IFERROR(__xludf.DUMMYFUNCTION("IF($F10&lt;&gt;"""",IFERROR(FILTER(RawTotals!$AJ:$AJ,RawTotals!$A:$A=AL10)-(FILTER(Data!$K:$K,Data!$B:$B=AL10,Data!$D:$D=$F10)+FILTER(Data!$L:$L,Data!$B:$B=AL10,Data!$D:$D=$F10)),""""),"""")"),"")</f>
        <v/>
      </c>
      <c r="BW10" s="69" t="str">
        <f>IFERROR(__xludf.DUMMYFUNCTION("IF($F10&lt;&gt;"""",IFERROR(FILTER(RawTotals!$AJ:$AJ,RawTotals!$A:$A=AM10)-(FILTER(Data!$K:$K,Data!$B:$B=AM10,Data!$D:$D=$F10)+FILTER(Data!$L:$L,Data!$B:$B=AM10,Data!$D:$D=$F10)),""""),"""")"),"")</f>
        <v/>
      </c>
      <c r="BX10" s="69" t="str">
        <f>IFERROR(__xludf.DUMMYFUNCTION("IF($F10&lt;&gt;"""",IFERROR(FILTER(RawTotals!$AJ:$AJ,RawTotals!$A:$A=AN10)-(FILTER(Data!$K:$K,Data!$B:$B=AN10,Data!$D:$D=$F10)+FILTER(Data!$L:$L,Data!$B:$B=AN10,Data!$D:$D=$F10)),""""),"""")"),"")</f>
        <v/>
      </c>
      <c r="BY10" s="69" t="str">
        <f>IFERROR(__xludf.DUMMYFUNCTION("IF($G10&lt;&gt;"""",IFERROR(FILTER(RawTotals!$AJ:$AJ,RawTotals!$A:$A=AO10)-(FILTER(Data!$K:$K,Data!$B:$B=AO10,Data!$D:$D=$G10)+FILTER(Data!$L:$L,Data!$B:$B=AO10,Data!$D:$D=$G10)),""""),"""")"),"")</f>
        <v/>
      </c>
      <c r="BZ10" s="69" t="str">
        <f>IFERROR(__xludf.DUMMYFUNCTION("IF($G10&lt;&gt;"""",IFERROR(FILTER(RawTotals!$AJ:$AJ,RawTotals!$A:$A=AP10)-(FILTER(Data!$K:$K,Data!$B:$B=AP10,Data!$D:$D=$G10)+FILTER(Data!$L:$L,Data!$B:$B=AP10,Data!$D:$D=$G10)),""""),"""")"),"")</f>
        <v/>
      </c>
      <c r="CA10" s="69" t="str">
        <f>IFERROR(__xludf.DUMMYFUNCTION("IF($G10&lt;&gt;"""",IFERROR(FILTER(RawTotals!$AJ:$AJ,RawTotals!$A:$A=AQ10)-(FILTER(Data!$K:$K,Data!$B:$B=AQ10,Data!$D:$D=$G10)+FILTER(Data!$L:$L,Data!$B:$B=AQ10,Data!$D:$D=$G10)),""""),"""")"),"")</f>
        <v/>
      </c>
      <c r="CB10" s="69" t="str">
        <f>IFERROR(__xludf.DUMMYFUNCTION("IF($H10&lt;&gt;"""",IFERROR(FILTER(RawTotals!$AJ:$AJ,RawTotals!$A:$A=AR10)-(FILTER(Data!$K:$K,Data!$B:$B=AR10,Data!$D:$D=$H10)+FILTER(Data!$L:$L,Data!$B:$B=AR10,Data!$D:$D=$H10)),""""),"""")"),"")</f>
        <v/>
      </c>
      <c r="CC10" s="69" t="str">
        <f>IFERROR(__xludf.DUMMYFUNCTION("IF($H10&lt;&gt;"""",IFERROR(FILTER(RawTotals!$AJ:$AJ,RawTotals!$A:$A=AS10)-(FILTER(Data!$K:$K,Data!$B:$B=AS10,Data!$D:$D=$H10)+FILTER(Data!$L:$L,Data!$B:$B=AS10,Data!$D:$D=$H10)),""""),"""")"),"")</f>
        <v/>
      </c>
      <c r="CD10" s="69" t="str">
        <f>IFERROR(__xludf.DUMMYFUNCTION("IF($H10&lt;&gt;"""",IFERROR(FILTER(RawTotals!$AJ:$AJ,RawTotals!$A:$A=AT10)-(FILTER(Data!$K:$K,Data!$B:$B=AT10,Data!$D:$D=$H10)+FILTER(Data!$L:$L,Data!$B:$B=AT10,Data!$D:$D=$H10)),""""),"""")"),"")</f>
        <v/>
      </c>
      <c r="CE10" s="69" t="str">
        <f>IFERROR(__xludf.DUMMYFUNCTION("IF($I10&lt;&gt;"""",IFERROR(FILTER(RawTotals!$AJ:$AJ,RawTotals!$A:$A=AU10)-(FILTER(Data!$K:$K,Data!$B:$B=AU10,Data!$D:$D=$I10)+FILTER(Data!$L:$L,Data!$B:$B=AU10,Data!$D:$D=$I10)),""""),"""")"),"")</f>
        <v/>
      </c>
      <c r="CF10" s="69" t="str">
        <f>IFERROR(__xludf.DUMMYFUNCTION("IF($I10&lt;&gt;"""",IFERROR(FILTER(RawTotals!$AJ:$AJ,RawTotals!$A:$A=AV10)-(FILTER(Data!$K:$K,Data!$B:$B=AV10,Data!$D:$D=$I10)+FILTER(Data!$L:$L,Data!$B:$B=AV10,Data!$D:$D=$I10)),""""),"""")"),"")</f>
        <v/>
      </c>
      <c r="CG10" s="69" t="str">
        <f>IFERROR(__xludf.DUMMYFUNCTION("IF($I10&lt;&gt;"""",IFERROR(FILTER(RawTotals!$AJ:$AJ,RawTotals!$A:$A=AW10)-(FILTER(Data!$K:$K,Data!$B:$B=AW10,Data!$D:$D=$I10)+FILTER(Data!$L:$L,Data!$B:$B=AW10,Data!$D:$D=$I10)),""""),"""")"),"")</f>
        <v/>
      </c>
      <c r="CH10" s="69" t="str">
        <f>IFERROR(__xludf.DUMMYFUNCTION("IF($J10&lt;&gt;"""",IFERROR(FILTER(RawTotals!$AJ:$AJ,RawTotals!$A:$A=AX10)-(FILTER(Data!$K:$K,Data!$B:$B=AX10,Data!$D:$D=$J10)+FILTER(Data!$L:$L,Data!$B:$B=AX10,Data!$D:$D=$J10)),""""),"""")"),"")</f>
        <v/>
      </c>
      <c r="CI10" s="69" t="str">
        <f>IFERROR(__xludf.DUMMYFUNCTION("IF($J10&lt;&gt;"""",IFERROR(FILTER(RawTotals!$AJ:$AJ,RawTotals!$A:$A=AY10)-(FILTER(Data!$K:$K,Data!$B:$B=AY10,Data!$D:$D=$J10)+FILTER(Data!$L:$L,Data!$B:$B=AY10,Data!$D:$D=$J10)),""""),"""")"),"")</f>
        <v/>
      </c>
      <c r="CJ10" s="69" t="str">
        <f>IFERROR(__xludf.DUMMYFUNCTION("IF($J10&lt;&gt;"""",IFERROR(FILTER(RawTotals!$AJ:$AJ,RawTotals!$A:$A=AZ10)-(FILTER(Data!$K:$K,Data!$B:$B=AZ10,Data!$D:$D=$J10)+FILTER(Data!$L:$L,Data!$B:$B=AZ10,Data!$D:$D=$J10)),""""),"""")"),"")</f>
        <v/>
      </c>
      <c r="CK10" s="69" t="str">
        <f>IFERROR(__xludf.DUMMYFUNCTION("IF($K10&lt;&gt;"""",IFERROR(FILTER(RawTotals!$AJ:$AJ,RawTotals!$A:$A=BA10)-(FILTER(Data!$K:$K,Data!$B:$B=BA10,Data!$D:$D=$K10)+FILTER(Data!$L:$L,Data!$B:$B=BA10,Data!$D:$D=$K10)),""""),"""")"),"")</f>
        <v/>
      </c>
      <c r="CL10" s="69" t="str">
        <f>IFERROR(__xludf.DUMMYFUNCTION("IF($K10&lt;&gt;"""",IFERROR(FILTER(RawTotals!$AJ:$AJ,RawTotals!$A:$A=BB10)-(FILTER(Data!$K:$K,Data!$B:$B=BB10,Data!$D:$D=$K10)+FILTER(Data!$L:$L,Data!$B:$B=BB10,Data!$D:$D=$K10)),""""),"""")"),"")</f>
        <v/>
      </c>
      <c r="CM10" s="69" t="str">
        <f>IFERROR(__xludf.DUMMYFUNCTION("IF($K10&lt;&gt;"""",IFERROR(FILTER(RawTotals!$AJ:$AJ,RawTotals!$A:$A=BC10)-(FILTER(Data!$K:$K,Data!$B:$B=BC10,Data!$D:$D=$K10)+FILTER(Data!$L:$L,Data!$B:$B=BC10,Data!$D:$D=$K10)),""""),"""")"),"")</f>
        <v/>
      </c>
      <c r="CN10" s="69" t="str">
        <f>IFERROR(__xludf.DUMMYFUNCTION("IF($L10&lt;&gt;"""",IFERROR((FILTER(RawTotals!$AJ:$AJ,RawTotals!$A:$A=BD10)-(FILTER(Data!$K:$K,Data!$B:$B=BD10,Data!$D:$D=$L10)+FILTER(Data!$L:$L,Data!$B:$B=BD10,Data!$D:$D=$L10))),""""),"""")"),"")</f>
        <v/>
      </c>
      <c r="CO10" s="69" t="str">
        <f>IFERROR(__xludf.DUMMYFUNCTION("IF($L10&lt;&gt;"""",IFERROR((FILTER(RawTotals!$AJ:$AJ,RawTotals!$A:$A=BE10)-(FILTER(Data!$K:$K,Data!$B:$B=BE10,Data!$D:$D=$L10)+FILTER(Data!$L:$L,Data!$B:$B=BE10,Data!$D:$D=$L10))),""""),"""")"),"")</f>
        <v/>
      </c>
      <c r="CP10" s="69" t="str">
        <f>IFERROR(__xludf.DUMMYFUNCTION("IF($L10&lt;&gt;"""",IFERROR((FILTER(RawTotals!$AJ:$AJ,RawTotals!$A:$A=BF10)-(FILTER(Data!$K:$K,Data!$B:$B=BF10,Data!$D:$D=$L10)+FILTER(Data!$L:$L,Data!$B:$B=BF10,Data!$D:$D=$L10))),""""),"""")"),"")</f>
        <v/>
      </c>
      <c r="CQ10" s="69" t="str">
        <f>IFERROR(__xludf.DUMMYFUNCTION("IF($M10&lt;&gt;"""",IFERROR((FILTER(RawTotals!$AJ:$AJ,RawTotals!$A:$A=BG10)-(FILTER(Data!$K:$K,Data!$B:$B=BG10,Data!$D:$D=$M10)+FILTER(Data!$L:$L,Data!$B:$B=BG10,Data!$D:$D=$M10))),""""),"""")"),"")</f>
        <v/>
      </c>
      <c r="CR10" s="69" t="str">
        <f>IFERROR(__xludf.DUMMYFUNCTION("IF($M10&lt;&gt;"""",IFERROR((FILTER(RawTotals!$AJ:$AJ,RawTotals!$A:$A=BH10)-(FILTER(Data!$K:$K,Data!$B:$B=BH10,Data!$D:$D=$M10)+FILTER(Data!$L:$L,Data!$B:$B=BH10,Data!$D:$D=$M10))),""""),"""")"),"")</f>
        <v/>
      </c>
      <c r="CS10" s="70" t="str">
        <f>IFERROR(__xludf.DUMMYFUNCTION("IF($M10&lt;&gt;"""",IFERROR((FILTER(RawTotals!$AJ:$AJ,RawTotals!$A:$A=BI10)-(FILTER(Data!$K:$K,Data!$B:$B=BI10,Data!$D:$D=$M10)+FILTER(Data!$L:$L,Data!$B:$B=BI10,Data!$D:$D=$M10))),""""),"""")"),"")</f>
        <v/>
      </c>
      <c r="CT10" s="69"/>
      <c r="CU10" s="69"/>
      <c r="CV10" s="69"/>
      <c r="CW10" s="69"/>
      <c r="CX10" s="69"/>
      <c r="CY10" s="69"/>
      <c r="CZ10" s="69"/>
      <c r="DA10" s="69"/>
      <c r="DB10" s="69"/>
      <c r="DC10" s="69"/>
      <c r="DD10" s="69"/>
      <c r="DE10" s="69"/>
    </row>
    <row r="11">
      <c r="A11" s="67">
        <f>RawTotals!A11</f>
        <v>4499</v>
      </c>
      <c r="B11" s="68" t="str">
        <f>IFERROR(__xludf.DUMMYFUNCTION("IF(A11&lt;&gt;"""",IFERROR(TRANSPOSE(FILTER(Data!D:D,Data!B:B=A11,Data!R:R&lt;&gt;"""")),""No Defense""),"""")"),"No Defense")</f>
        <v>No Defense</v>
      </c>
      <c r="C11" s="65"/>
      <c r="D11" s="65"/>
      <c r="E11" s="65"/>
      <c r="F11" s="65"/>
      <c r="G11" s="65"/>
      <c r="H11" s="65"/>
      <c r="I11" s="65"/>
      <c r="J11" s="65"/>
      <c r="K11" s="65"/>
      <c r="L11" s="65"/>
      <c r="M11" s="65"/>
      <c r="N11" s="64" t="str">
        <f>IFERROR(__xludf.DUMMYFUNCTION("IFERROR(Textjoin("""",TRUE,FILTER(Data!$R:$R,Data!$D:$D=B11,Data!$B:$B=$A11)),"""")"),"")</f>
        <v/>
      </c>
      <c r="O11" s="64" t="str">
        <f>IFERROR(__xludf.DUMMYFUNCTION("IFERROR(Textjoin("""",TRUE,FILTER(Data!$R:$R,Data!$D:$D=C11,Data!$B:$B=$A11)),"""")"),"")</f>
        <v/>
      </c>
      <c r="P11" s="64" t="str">
        <f>IFERROR(__xludf.DUMMYFUNCTION("IFERROR(Textjoin("""",TRUE,FILTER(Data!$R:$R,Data!$D:$D=D11,Data!$B:$B=$A11)),"""")"),"")</f>
        <v/>
      </c>
      <c r="Q11" s="64" t="str">
        <f>IFERROR(__xludf.DUMMYFUNCTION("IFERROR(Textjoin("""",TRUE,FILTER(Data!$R:$R,Data!$D:$D=E11,Data!$B:$B=$A11)),"""")"),"")</f>
        <v/>
      </c>
      <c r="R11" s="64" t="str">
        <f>IFERROR(__xludf.DUMMYFUNCTION("IFERROR(Textjoin("""",TRUE,FILTER(Data!$R:$R,Data!$D:$D=F11,Data!$B:$B=$A11)),"""")"),"")</f>
        <v/>
      </c>
      <c r="S11" s="64" t="str">
        <f>IFERROR(__xludf.DUMMYFUNCTION("IFERROR(Textjoin("""",TRUE,FILTER(Data!$R:$R,Data!$D:$D=G11,Data!$B:$B=$A11)),"""")"),"")</f>
        <v/>
      </c>
      <c r="T11" s="64" t="str">
        <f>IFERROR(__xludf.DUMMYFUNCTION("IFERROR(Textjoin("""",TRUE,FILTER(Data!$R:$R,Data!$D:$D=H11,Data!$B:$B=$A11)),"""")"),"")</f>
        <v/>
      </c>
      <c r="U11" s="64" t="str">
        <f>IFERROR(__xludf.DUMMYFUNCTION("IFERROR(Textjoin("""",TRUE,FILTER(Data!$R:$R,Data!$D:$D=I11,Data!$B:$B=$A11)),"""")"),"")</f>
        <v/>
      </c>
      <c r="V11" s="64" t="str">
        <f>IFERROR(__xludf.DUMMYFUNCTION("IFERROR(Textjoin("""",TRUE,FILTER(Data!$R:$R,Data!$D:$D=J11,Data!$B:$B=$A11)),"""")"),"")</f>
        <v/>
      </c>
      <c r="W11" s="64" t="str">
        <f>IFERROR(__xludf.DUMMYFUNCTION("IFERROR(Textjoin("""",TRUE,FILTER(Data!$R:$R,Data!$D:$D=K11,Data!$B:$B=$A11)),"""")"),"")</f>
        <v/>
      </c>
      <c r="X11" s="64" t="str">
        <f>IFERROR(__xludf.DUMMYFUNCTION("IFERROR(Textjoin("""",TRUE,FILTER(Data!$R:$R,Data!$D:$D=L11,Data!$B:$B=$A11)),"""")"),"")</f>
        <v/>
      </c>
      <c r="Y11" s="64" t="str">
        <f>IFERROR(__xludf.DUMMYFUNCTION("IFERROR(Textjoin("""",TRUE,FILTER(Data!$R:$R,Data!$D:$D=M11,Data!$B:$B=$A11)),"""")"),"")</f>
        <v/>
      </c>
      <c r="Z11" s="64" t="str">
        <f>IFERROR(__xludf.DUMMYFUNCTION("IFERROR(SPLIT(N11,"",""),"""")"),"")</f>
        <v/>
      </c>
      <c r="AA11" s="65"/>
      <c r="AB11" s="65"/>
      <c r="AC11" s="69" t="str">
        <f>IFERROR(__xludf.DUMMYFUNCTION("IFERROR(SPLIT(O11,"",""),"""")"),"")</f>
        <v/>
      </c>
      <c r="AD11" s="65"/>
      <c r="AE11" s="65"/>
      <c r="AF11" s="69" t="str">
        <f>IFERROR(__xludf.DUMMYFUNCTION("IFERROR(SPLIT(P11,"",""),"""")"),"")</f>
        <v/>
      </c>
      <c r="AG11" s="65"/>
      <c r="AH11" s="65"/>
      <c r="AI11" s="69" t="str">
        <f>IFERROR(__xludf.DUMMYFUNCTION("IFERROR(SPLIT(Q11,"",""),"""")"),"")</f>
        <v/>
      </c>
      <c r="AJ11" s="65"/>
      <c r="AK11" s="65"/>
      <c r="AL11" s="69" t="str">
        <f>IFERROR(__xludf.DUMMYFUNCTION("IFERROR(SPLIT(R11,"",""),"""")"),"")</f>
        <v/>
      </c>
      <c r="AM11" s="65"/>
      <c r="AN11" s="65"/>
      <c r="AO11" s="69" t="str">
        <f>IFERROR(__xludf.DUMMYFUNCTION("IFERROR(SPLIT(S11,"",""),"""")"),"")</f>
        <v/>
      </c>
      <c r="AP11" s="65"/>
      <c r="AQ11" s="65"/>
      <c r="AR11" s="69" t="str">
        <f>IFERROR(__xludf.DUMMYFUNCTION("IFERROR(SPLIT(T11,"",""),"""")"),"")</f>
        <v/>
      </c>
      <c r="AS11" s="65"/>
      <c r="AT11" s="65"/>
      <c r="AU11" s="69" t="str">
        <f>IFERROR(__xludf.DUMMYFUNCTION("IFERROR(SPLIT(U11,"",""),"""")"),"")</f>
        <v/>
      </c>
      <c r="AV11" s="65"/>
      <c r="AW11" s="65"/>
      <c r="AX11" s="69" t="str">
        <f>IFERROR(__xludf.DUMMYFUNCTION("IFERROR(SPLIT(V11,"",""),"""")"),"")</f>
        <v/>
      </c>
      <c r="AY11" s="65"/>
      <c r="AZ11" s="65"/>
      <c r="BA11" s="69" t="str">
        <f>IFERROR(__xludf.DUMMYFUNCTION("IFERROR(SPLIT(W11,"",""),"""")"),"")</f>
        <v/>
      </c>
      <c r="BB11" s="69"/>
      <c r="BC11" s="69"/>
      <c r="BD11" s="69" t="str">
        <f>IFERROR(__xludf.DUMMYFUNCTION("IFERROR(SPLIT(X11,"",""),"""")"),"")</f>
        <v/>
      </c>
      <c r="BE11" s="69"/>
      <c r="BF11" s="69"/>
      <c r="BG11" s="69" t="str">
        <f>IFERROR(__xludf.DUMMYFUNCTION("IFERROR(SPLIT(Y11,"",""),"""")"),"")</f>
        <v/>
      </c>
      <c r="BH11" s="69"/>
      <c r="BI11" s="69"/>
      <c r="BJ11" s="68" t="str">
        <f>IFERROR(__xludf.DUMMYFUNCTION("IF($B11&lt;&gt;"""",IFERROR(FILTER(RawTotals!$AJ:$AJ,RawTotals!$A:$A=Z11)-(FILTER(Data!$K:$K,Data!$B:$B=Z11,Data!$D:$D=$B11)+FILTER(Data!$L:$L,Data!$B:$B=Z11,Data!$D:$D=$B11)),""""),"""")"),"")</f>
        <v/>
      </c>
      <c r="BK11" s="68" t="str">
        <f>IFERROR(__xludf.DUMMYFUNCTION("IF($B11&lt;&gt;"""",IFERROR(FILTER(RawTotals!$AJ:$AJ,RawTotals!$A:$A=AA11)-(FILTER(Data!$K:$K,Data!$B:$B=AA11,Data!$D:$D=$B11)+FILTER(Data!$L:$L,Data!$B:$B=AA11,Data!$D:$D=$B11)),""""),"""")"),"")</f>
        <v/>
      </c>
      <c r="BL11" s="68" t="str">
        <f>IFERROR(__xludf.DUMMYFUNCTION("IF($B11&lt;&gt;"""",IFERROR(FILTER(RawTotals!$AJ:$AJ,RawTotals!$A:$A=AB11)-(FILTER(Data!$K:$K,Data!$B:$B=AB11,Data!$D:$D=$B11)+FILTER(Data!$L:$L,Data!$B:$B=AB11,Data!$D:$D=$B11)),""""),"""")"),"")</f>
        <v/>
      </c>
      <c r="BM11" s="69" t="str">
        <f>IFERROR(__xludf.DUMMYFUNCTION("IF($C11&lt;&gt;"""",IFERROR(FILTER(RawTotals!$AJ:$AJ,RawTotals!$A:$A=AC11)-(FILTER(Data!$K:$K,Data!$B:$B=AC11,Data!$D:$D=$C11)+FILTER(Data!$L:$L,Data!$B:$B=AC11,Data!$D:$D=$C11)),""""),"""")"),"")</f>
        <v/>
      </c>
      <c r="BN11" s="69" t="str">
        <f>IFERROR(__xludf.DUMMYFUNCTION("IF($C11&lt;&gt;"""",IFERROR(FILTER(RawTotals!$AJ:$AJ,RawTotals!$A:$A=AD11)-(FILTER(Data!$K:$K,Data!$B:$B=AD11,Data!$D:$D=$C11)+FILTER(Data!$L:$L,Data!$B:$B=AD11,Data!$D:$D=$C11)),""""),"""")"),"")</f>
        <v/>
      </c>
      <c r="BO11" s="69" t="str">
        <f>IFERROR(__xludf.DUMMYFUNCTION("IF($C11&lt;&gt;"""",IFERROR(FILTER(RawTotals!$AJ:$AJ,RawTotals!$A:$A=AE11)-(FILTER(Data!$K:$K,Data!$B:$B=AE11,Data!$D:$D=$C11)+FILTER(Data!$L:$L,Data!$B:$B=AE11,Data!$D:$D=$C11)),""""),"""")"),"")</f>
        <v/>
      </c>
      <c r="BP11" s="69" t="str">
        <f>IFERROR(__xludf.DUMMYFUNCTION("IF($D11&lt;&gt;"""",IFERROR(FILTER(RawTotals!$AJ:$AJ,RawTotals!$A:$A=AF11)-(FILTER(Data!$K:$K,Data!$B:$B=AF11,Data!$D:$D=$D11)+FILTER(Data!$L:$L,Data!$B:$B=AF11,Data!$D:$D=$D11)),""""),"""")"),"")</f>
        <v/>
      </c>
      <c r="BQ11" s="69" t="str">
        <f>IFERROR(__xludf.DUMMYFUNCTION("IF($D11&lt;&gt;"""",IFERROR(FILTER(RawTotals!$AJ:$AJ,RawTotals!$A:$A=AG11)-(FILTER(Data!$K:$K,Data!$B:$B=AG11,Data!$D:$D=$D11)+FILTER(Data!$L:$L,Data!$B:$B=AG11,Data!$D:$D=$D11)),""""),"""")"),"")</f>
        <v/>
      </c>
      <c r="BR11" s="69" t="str">
        <f>IFERROR(__xludf.DUMMYFUNCTION("IF($D11&lt;&gt;"""",IFERROR(FILTER(RawTotals!$AJ:$AJ,RawTotals!$A:$A=AH11)-(FILTER(Data!$K:$K,Data!$B:$B=AH11,Data!$D:$D=$D11)+FILTER(Data!$L:$L,Data!$B:$B=AH11,Data!$D:$D=$D11)),""""),"""")"),"")</f>
        <v/>
      </c>
      <c r="BS11" s="69" t="str">
        <f>IFERROR(__xludf.DUMMYFUNCTION("IF($E11&lt;&gt;"""",IFERROR(FILTER(RawTotals!$AJ:$AJ,RawTotals!$A:$A=AI11)-(FILTER(Data!$K:$K,Data!$B:$B=AI11,Data!$D:$D=$E11)+FILTER(Data!$L:$L,Data!$B:$B=AI11,Data!$D:$D=$E11)),""""),"""")"),"")</f>
        <v/>
      </c>
      <c r="BT11" s="69" t="str">
        <f>IFERROR(__xludf.DUMMYFUNCTION("IF($E11&lt;&gt;"""",IFERROR(FILTER(RawTotals!$AJ:$AJ,RawTotals!$A:$A=AJ11)-(FILTER(Data!$K:$K,Data!$B:$B=AJ11,Data!$D:$D=$E11)+FILTER(Data!$L:$L,Data!$B:$B=AJ11,Data!$D:$D=$E11)),""""),"""")"),"")</f>
        <v/>
      </c>
      <c r="BU11" s="69" t="str">
        <f>IFERROR(__xludf.DUMMYFUNCTION("IF($E11&lt;&gt;"""",IFERROR(FILTER(RawTotals!$AJ:$AJ,RawTotals!$A:$A=AK11)-(FILTER(Data!$K:$K,Data!$B:$B=AK11,Data!$D:$D=$E11)+FILTER(Data!$L:$L,Data!$B:$B=AK11,Data!$D:$D=$E11)),""""),"""")"),"")</f>
        <v/>
      </c>
      <c r="BV11" s="69" t="str">
        <f>IFERROR(__xludf.DUMMYFUNCTION("IF($F11&lt;&gt;"""",IFERROR(FILTER(RawTotals!$AJ:$AJ,RawTotals!$A:$A=AL11)-(FILTER(Data!$K:$K,Data!$B:$B=AL11,Data!$D:$D=$F11)+FILTER(Data!$L:$L,Data!$B:$B=AL11,Data!$D:$D=$F11)),""""),"""")"),"")</f>
        <v/>
      </c>
      <c r="BW11" s="69" t="str">
        <f>IFERROR(__xludf.DUMMYFUNCTION("IF($F11&lt;&gt;"""",IFERROR(FILTER(RawTotals!$AJ:$AJ,RawTotals!$A:$A=AM11)-(FILTER(Data!$K:$K,Data!$B:$B=AM11,Data!$D:$D=$F11)+FILTER(Data!$L:$L,Data!$B:$B=AM11,Data!$D:$D=$F11)),""""),"""")"),"")</f>
        <v/>
      </c>
      <c r="BX11" s="69" t="str">
        <f>IFERROR(__xludf.DUMMYFUNCTION("IF($F11&lt;&gt;"""",IFERROR(FILTER(RawTotals!$AJ:$AJ,RawTotals!$A:$A=AN11)-(FILTER(Data!$K:$K,Data!$B:$B=AN11,Data!$D:$D=$F11)+FILTER(Data!$L:$L,Data!$B:$B=AN11,Data!$D:$D=$F11)),""""),"""")"),"")</f>
        <v/>
      </c>
      <c r="BY11" s="69" t="str">
        <f>IFERROR(__xludf.DUMMYFUNCTION("IF($G11&lt;&gt;"""",IFERROR(FILTER(RawTotals!$AJ:$AJ,RawTotals!$A:$A=AO11)-(FILTER(Data!$K:$K,Data!$B:$B=AO11,Data!$D:$D=$G11)+FILTER(Data!$L:$L,Data!$B:$B=AO11,Data!$D:$D=$G11)),""""),"""")"),"")</f>
        <v/>
      </c>
      <c r="BZ11" s="69" t="str">
        <f>IFERROR(__xludf.DUMMYFUNCTION("IF($G11&lt;&gt;"""",IFERROR(FILTER(RawTotals!$AJ:$AJ,RawTotals!$A:$A=AP11)-(FILTER(Data!$K:$K,Data!$B:$B=AP11,Data!$D:$D=$G11)+FILTER(Data!$L:$L,Data!$B:$B=AP11,Data!$D:$D=$G11)),""""),"""")"),"")</f>
        <v/>
      </c>
      <c r="CA11" s="69" t="str">
        <f>IFERROR(__xludf.DUMMYFUNCTION("IF($G11&lt;&gt;"""",IFERROR(FILTER(RawTotals!$AJ:$AJ,RawTotals!$A:$A=AQ11)-(FILTER(Data!$K:$K,Data!$B:$B=AQ11,Data!$D:$D=$G11)+FILTER(Data!$L:$L,Data!$B:$B=AQ11,Data!$D:$D=$G11)),""""),"""")"),"")</f>
        <v/>
      </c>
      <c r="CB11" s="69" t="str">
        <f>IFERROR(__xludf.DUMMYFUNCTION("IF($H11&lt;&gt;"""",IFERROR(FILTER(RawTotals!$AJ:$AJ,RawTotals!$A:$A=AR11)-(FILTER(Data!$K:$K,Data!$B:$B=AR11,Data!$D:$D=$H11)+FILTER(Data!$L:$L,Data!$B:$B=AR11,Data!$D:$D=$H11)),""""),"""")"),"")</f>
        <v/>
      </c>
      <c r="CC11" s="69" t="str">
        <f>IFERROR(__xludf.DUMMYFUNCTION("IF($H11&lt;&gt;"""",IFERROR(FILTER(RawTotals!$AJ:$AJ,RawTotals!$A:$A=AS11)-(FILTER(Data!$K:$K,Data!$B:$B=AS11,Data!$D:$D=$H11)+FILTER(Data!$L:$L,Data!$B:$B=AS11,Data!$D:$D=$H11)),""""),"""")"),"")</f>
        <v/>
      </c>
      <c r="CD11" s="69" t="str">
        <f>IFERROR(__xludf.DUMMYFUNCTION("IF($H11&lt;&gt;"""",IFERROR(FILTER(RawTotals!$AJ:$AJ,RawTotals!$A:$A=AT11)-(FILTER(Data!$K:$K,Data!$B:$B=AT11,Data!$D:$D=$H11)+FILTER(Data!$L:$L,Data!$B:$B=AT11,Data!$D:$D=$H11)),""""),"""")"),"")</f>
        <v/>
      </c>
      <c r="CE11" s="69" t="str">
        <f>IFERROR(__xludf.DUMMYFUNCTION("IF($I11&lt;&gt;"""",IFERROR(FILTER(RawTotals!$AJ:$AJ,RawTotals!$A:$A=AU11)-(FILTER(Data!$K:$K,Data!$B:$B=AU11,Data!$D:$D=$I11)+FILTER(Data!$L:$L,Data!$B:$B=AU11,Data!$D:$D=$I11)),""""),"""")"),"")</f>
        <v/>
      </c>
      <c r="CF11" s="69" t="str">
        <f>IFERROR(__xludf.DUMMYFUNCTION("IF($I11&lt;&gt;"""",IFERROR(FILTER(RawTotals!$AJ:$AJ,RawTotals!$A:$A=AV11)-(FILTER(Data!$K:$K,Data!$B:$B=AV11,Data!$D:$D=$I11)+FILTER(Data!$L:$L,Data!$B:$B=AV11,Data!$D:$D=$I11)),""""),"""")"),"")</f>
        <v/>
      </c>
      <c r="CG11" s="69" t="str">
        <f>IFERROR(__xludf.DUMMYFUNCTION("IF($I11&lt;&gt;"""",IFERROR(FILTER(RawTotals!$AJ:$AJ,RawTotals!$A:$A=AW11)-(FILTER(Data!$K:$K,Data!$B:$B=AW11,Data!$D:$D=$I11)+FILTER(Data!$L:$L,Data!$B:$B=AW11,Data!$D:$D=$I11)),""""),"""")"),"")</f>
        <v/>
      </c>
      <c r="CH11" s="69" t="str">
        <f>IFERROR(__xludf.DUMMYFUNCTION("IF($J11&lt;&gt;"""",IFERROR(FILTER(RawTotals!$AJ:$AJ,RawTotals!$A:$A=AX11)-(FILTER(Data!$K:$K,Data!$B:$B=AX11,Data!$D:$D=$J11)+FILTER(Data!$L:$L,Data!$B:$B=AX11,Data!$D:$D=$J11)),""""),"""")"),"")</f>
        <v/>
      </c>
      <c r="CI11" s="69" t="str">
        <f>IFERROR(__xludf.DUMMYFUNCTION("IF($J11&lt;&gt;"""",IFERROR(FILTER(RawTotals!$AJ:$AJ,RawTotals!$A:$A=AY11)-(FILTER(Data!$K:$K,Data!$B:$B=AY11,Data!$D:$D=$J11)+FILTER(Data!$L:$L,Data!$B:$B=AY11,Data!$D:$D=$J11)),""""),"""")"),"")</f>
        <v/>
      </c>
      <c r="CJ11" s="69" t="str">
        <f>IFERROR(__xludf.DUMMYFUNCTION("IF($J11&lt;&gt;"""",IFERROR(FILTER(RawTotals!$AJ:$AJ,RawTotals!$A:$A=AZ11)-(FILTER(Data!$K:$K,Data!$B:$B=AZ11,Data!$D:$D=$J11)+FILTER(Data!$L:$L,Data!$B:$B=AZ11,Data!$D:$D=$J11)),""""),"""")"),"")</f>
        <v/>
      </c>
      <c r="CK11" s="69" t="str">
        <f>IFERROR(__xludf.DUMMYFUNCTION("IF($K11&lt;&gt;"""",IFERROR(FILTER(RawTotals!$AJ:$AJ,RawTotals!$A:$A=BA11)-(FILTER(Data!$K:$K,Data!$B:$B=BA11,Data!$D:$D=$K11)+FILTER(Data!$L:$L,Data!$B:$B=BA11,Data!$D:$D=$K11)),""""),"""")"),"")</f>
        <v/>
      </c>
      <c r="CL11" s="69" t="str">
        <f>IFERROR(__xludf.DUMMYFUNCTION("IF($K11&lt;&gt;"""",IFERROR(FILTER(RawTotals!$AJ:$AJ,RawTotals!$A:$A=BB11)-(FILTER(Data!$K:$K,Data!$B:$B=BB11,Data!$D:$D=$K11)+FILTER(Data!$L:$L,Data!$B:$B=BB11,Data!$D:$D=$K11)),""""),"""")"),"")</f>
        <v/>
      </c>
      <c r="CM11" s="69" t="str">
        <f>IFERROR(__xludf.DUMMYFUNCTION("IF($K11&lt;&gt;"""",IFERROR(FILTER(RawTotals!$AJ:$AJ,RawTotals!$A:$A=BC11)-(FILTER(Data!$K:$K,Data!$B:$B=BC11,Data!$D:$D=$K11)+FILTER(Data!$L:$L,Data!$B:$B=BC11,Data!$D:$D=$K11)),""""),"""")"),"")</f>
        <v/>
      </c>
      <c r="CN11" s="69" t="str">
        <f>IFERROR(__xludf.DUMMYFUNCTION("IF($L11&lt;&gt;"""",IFERROR((FILTER(RawTotals!$AJ:$AJ,RawTotals!$A:$A=BD11)-(FILTER(Data!$K:$K,Data!$B:$B=BD11,Data!$D:$D=$L11)+FILTER(Data!$L:$L,Data!$B:$B=BD11,Data!$D:$D=$L11))),""""),"""")"),"")</f>
        <v/>
      </c>
      <c r="CO11" s="69" t="str">
        <f>IFERROR(__xludf.DUMMYFUNCTION("IF($L11&lt;&gt;"""",IFERROR((FILTER(RawTotals!$AJ:$AJ,RawTotals!$A:$A=BE11)-(FILTER(Data!$K:$K,Data!$B:$B=BE11,Data!$D:$D=$L11)+FILTER(Data!$L:$L,Data!$B:$B=BE11,Data!$D:$D=$L11))),""""),"""")"),"")</f>
        <v/>
      </c>
      <c r="CP11" s="69" t="str">
        <f>IFERROR(__xludf.DUMMYFUNCTION("IF($L11&lt;&gt;"""",IFERROR((FILTER(RawTotals!$AJ:$AJ,RawTotals!$A:$A=BF11)-(FILTER(Data!$K:$K,Data!$B:$B=BF11,Data!$D:$D=$L11)+FILTER(Data!$L:$L,Data!$B:$B=BF11,Data!$D:$D=$L11))),""""),"""")"),"")</f>
        <v/>
      </c>
      <c r="CQ11" s="69" t="str">
        <f>IFERROR(__xludf.DUMMYFUNCTION("IF($M11&lt;&gt;"""",IFERROR((FILTER(RawTotals!$AJ:$AJ,RawTotals!$A:$A=BG11)-(FILTER(Data!$K:$K,Data!$B:$B=BG11,Data!$D:$D=$M11)+FILTER(Data!$L:$L,Data!$B:$B=BG11,Data!$D:$D=$M11))),""""),"""")"),"")</f>
        <v/>
      </c>
      <c r="CR11" s="69" t="str">
        <f>IFERROR(__xludf.DUMMYFUNCTION("IF($M11&lt;&gt;"""",IFERROR((FILTER(RawTotals!$AJ:$AJ,RawTotals!$A:$A=BH11)-(FILTER(Data!$K:$K,Data!$B:$B=BH11,Data!$D:$D=$M11)+FILTER(Data!$L:$L,Data!$B:$B=BH11,Data!$D:$D=$M11))),""""),"""")"),"")</f>
        <v/>
      </c>
      <c r="CS11" s="70" t="str">
        <f>IFERROR(__xludf.DUMMYFUNCTION("IF($M11&lt;&gt;"""",IFERROR((FILTER(RawTotals!$AJ:$AJ,RawTotals!$A:$A=BI11)-(FILTER(Data!$K:$K,Data!$B:$B=BI11,Data!$D:$D=$M11)+FILTER(Data!$L:$L,Data!$B:$B=BI11,Data!$D:$D=$M11))),""""),"""")"),"")</f>
        <v/>
      </c>
      <c r="CT11" s="69"/>
      <c r="CU11" s="69"/>
      <c r="CV11" s="69"/>
      <c r="CW11" s="69"/>
      <c r="CX11" s="69"/>
      <c r="CY11" s="69"/>
      <c r="CZ11" s="69"/>
      <c r="DA11" s="69"/>
      <c r="DB11" s="69"/>
      <c r="DC11" s="69"/>
      <c r="DD11" s="69"/>
      <c r="DE11" s="69"/>
    </row>
    <row r="12">
      <c r="A12" s="67">
        <f>RawTotals!A12</f>
        <v>2338</v>
      </c>
      <c r="B12" s="68" t="str">
        <f>IFERROR(__xludf.DUMMYFUNCTION("IF(A12&lt;&gt;"""",IFERROR(TRANSPOSE(FILTER(Data!D:D,Data!B:B=A12,Data!R:R&lt;&gt;"""")),""No Defense""),"""")"),"No Defense")</f>
        <v>No Defense</v>
      </c>
      <c r="C12" s="65"/>
      <c r="D12" s="65"/>
      <c r="E12" s="65"/>
      <c r="F12" s="65"/>
      <c r="G12" s="65"/>
      <c r="H12" s="65"/>
      <c r="I12" s="65"/>
      <c r="J12" s="65"/>
      <c r="K12" s="65"/>
      <c r="L12" s="65"/>
      <c r="M12" s="65"/>
      <c r="N12" s="64" t="str">
        <f>IFERROR(__xludf.DUMMYFUNCTION("IFERROR(Textjoin("""",TRUE,FILTER(Data!$R:$R,Data!$D:$D=B12,Data!$B:$B=$A12)),"""")"),"")</f>
        <v/>
      </c>
      <c r="O12" s="64" t="str">
        <f>IFERROR(__xludf.DUMMYFUNCTION("IFERROR(Textjoin("""",TRUE,FILTER(Data!$R:$R,Data!$D:$D=C12,Data!$B:$B=$A12)),"""")"),"")</f>
        <v/>
      </c>
      <c r="P12" s="64" t="str">
        <f>IFERROR(__xludf.DUMMYFUNCTION("IFERROR(Textjoin("""",TRUE,FILTER(Data!$R:$R,Data!$D:$D=D12,Data!$B:$B=$A12)),"""")"),"")</f>
        <v/>
      </c>
      <c r="Q12" s="64" t="str">
        <f>IFERROR(__xludf.DUMMYFUNCTION("IFERROR(Textjoin("""",TRUE,FILTER(Data!$R:$R,Data!$D:$D=E12,Data!$B:$B=$A12)),"""")"),"")</f>
        <v/>
      </c>
      <c r="R12" s="64" t="str">
        <f>IFERROR(__xludf.DUMMYFUNCTION("IFERROR(Textjoin("""",TRUE,FILTER(Data!$R:$R,Data!$D:$D=F12,Data!$B:$B=$A12)),"""")"),"")</f>
        <v/>
      </c>
      <c r="S12" s="64" t="str">
        <f>IFERROR(__xludf.DUMMYFUNCTION("IFERROR(Textjoin("""",TRUE,FILTER(Data!$R:$R,Data!$D:$D=G12,Data!$B:$B=$A12)),"""")"),"")</f>
        <v/>
      </c>
      <c r="T12" s="64" t="str">
        <f>IFERROR(__xludf.DUMMYFUNCTION("IFERROR(Textjoin("""",TRUE,FILTER(Data!$R:$R,Data!$D:$D=H12,Data!$B:$B=$A12)),"""")"),"")</f>
        <v/>
      </c>
      <c r="U12" s="64" t="str">
        <f>IFERROR(__xludf.DUMMYFUNCTION("IFERROR(Textjoin("""",TRUE,FILTER(Data!$R:$R,Data!$D:$D=I12,Data!$B:$B=$A12)),"""")"),"")</f>
        <v/>
      </c>
      <c r="V12" s="64" t="str">
        <f>IFERROR(__xludf.DUMMYFUNCTION("IFERROR(Textjoin("""",TRUE,FILTER(Data!$R:$R,Data!$D:$D=J12,Data!$B:$B=$A12)),"""")"),"")</f>
        <v/>
      </c>
      <c r="W12" s="64" t="str">
        <f>IFERROR(__xludf.DUMMYFUNCTION("IFERROR(Textjoin("""",TRUE,FILTER(Data!$R:$R,Data!$D:$D=K12,Data!$B:$B=$A12)),"""")"),"")</f>
        <v/>
      </c>
      <c r="X12" s="64" t="str">
        <f>IFERROR(__xludf.DUMMYFUNCTION("IFERROR(Textjoin("""",TRUE,FILTER(Data!$R:$R,Data!$D:$D=L12,Data!$B:$B=$A12)),"""")"),"")</f>
        <v/>
      </c>
      <c r="Y12" s="64" t="str">
        <f>IFERROR(__xludf.DUMMYFUNCTION("IFERROR(Textjoin("""",TRUE,FILTER(Data!$R:$R,Data!$D:$D=M12,Data!$B:$B=$A12)),"""")"),"")</f>
        <v/>
      </c>
      <c r="Z12" s="64" t="str">
        <f>IFERROR(__xludf.DUMMYFUNCTION("IFERROR(SPLIT(N12,"",""),"""")"),"")</f>
        <v/>
      </c>
      <c r="AA12" s="65"/>
      <c r="AB12" s="65"/>
      <c r="AC12" s="69" t="str">
        <f>IFERROR(__xludf.DUMMYFUNCTION("IFERROR(SPLIT(O12,"",""),"""")"),"")</f>
        <v/>
      </c>
      <c r="AD12" s="65"/>
      <c r="AE12" s="65"/>
      <c r="AF12" s="69" t="str">
        <f>IFERROR(__xludf.DUMMYFUNCTION("IFERROR(SPLIT(P12,"",""),"""")"),"")</f>
        <v/>
      </c>
      <c r="AG12" s="65"/>
      <c r="AH12" s="65"/>
      <c r="AI12" s="69" t="str">
        <f>IFERROR(__xludf.DUMMYFUNCTION("IFERROR(SPLIT(Q12,"",""),"""")"),"")</f>
        <v/>
      </c>
      <c r="AJ12" s="65"/>
      <c r="AK12" s="65"/>
      <c r="AL12" s="69" t="str">
        <f>IFERROR(__xludf.DUMMYFUNCTION("IFERROR(SPLIT(R12,"",""),"""")"),"")</f>
        <v/>
      </c>
      <c r="AM12" s="65"/>
      <c r="AN12" s="65"/>
      <c r="AO12" s="69" t="str">
        <f>IFERROR(__xludf.DUMMYFUNCTION("IFERROR(SPLIT(S12,"",""),"""")"),"")</f>
        <v/>
      </c>
      <c r="AP12" s="65"/>
      <c r="AQ12" s="65"/>
      <c r="AR12" s="69" t="str">
        <f>IFERROR(__xludf.DUMMYFUNCTION("IFERROR(SPLIT(T12,"",""),"""")"),"")</f>
        <v/>
      </c>
      <c r="AS12" s="65"/>
      <c r="AT12" s="65"/>
      <c r="AU12" s="69" t="str">
        <f>IFERROR(__xludf.DUMMYFUNCTION("IFERROR(SPLIT(U12,"",""),"""")"),"")</f>
        <v/>
      </c>
      <c r="AV12" s="65"/>
      <c r="AW12" s="65"/>
      <c r="AX12" s="69" t="str">
        <f>IFERROR(__xludf.DUMMYFUNCTION("IFERROR(SPLIT(V12,"",""),"""")"),"")</f>
        <v/>
      </c>
      <c r="AY12" s="65"/>
      <c r="AZ12" s="65"/>
      <c r="BA12" s="69" t="str">
        <f>IFERROR(__xludf.DUMMYFUNCTION("IFERROR(SPLIT(W12,"",""),"""")"),"")</f>
        <v/>
      </c>
      <c r="BB12" s="69"/>
      <c r="BC12" s="69"/>
      <c r="BD12" s="69" t="str">
        <f>IFERROR(__xludf.DUMMYFUNCTION("IFERROR(SPLIT(X12,"",""),"""")"),"")</f>
        <v/>
      </c>
      <c r="BE12" s="69"/>
      <c r="BF12" s="69"/>
      <c r="BG12" s="69" t="str">
        <f>IFERROR(__xludf.DUMMYFUNCTION("IFERROR(SPLIT(Y12,"",""),"""")"),"")</f>
        <v/>
      </c>
      <c r="BH12" s="69"/>
      <c r="BI12" s="69"/>
      <c r="BJ12" s="68" t="str">
        <f>IFERROR(__xludf.DUMMYFUNCTION("IF($B12&lt;&gt;"""",IFERROR(FILTER(RawTotals!$AJ:$AJ,RawTotals!$A:$A=Z12)-(FILTER(Data!$K:$K,Data!$B:$B=Z12,Data!$D:$D=$B12)+FILTER(Data!$L:$L,Data!$B:$B=Z12,Data!$D:$D=$B12)),""""),"""")"),"")</f>
        <v/>
      </c>
      <c r="BK12" s="68" t="str">
        <f>IFERROR(__xludf.DUMMYFUNCTION("IF($B12&lt;&gt;"""",IFERROR(FILTER(RawTotals!$AJ:$AJ,RawTotals!$A:$A=AA12)-(FILTER(Data!$K:$K,Data!$B:$B=AA12,Data!$D:$D=$B12)+FILTER(Data!$L:$L,Data!$B:$B=AA12,Data!$D:$D=$B12)),""""),"""")"),"")</f>
        <v/>
      </c>
      <c r="BL12" s="68" t="str">
        <f>IFERROR(__xludf.DUMMYFUNCTION("IF($B12&lt;&gt;"""",IFERROR(FILTER(RawTotals!$AJ:$AJ,RawTotals!$A:$A=AB12)-(FILTER(Data!$K:$K,Data!$B:$B=AB12,Data!$D:$D=$B12)+FILTER(Data!$L:$L,Data!$B:$B=AB12,Data!$D:$D=$B12)),""""),"""")"),"")</f>
        <v/>
      </c>
      <c r="BM12" s="69" t="str">
        <f>IFERROR(__xludf.DUMMYFUNCTION("IF($C12&lt;&gt;"""",IFERROR(FILTER(RawTotals!$AJ:$AJ,RawTotals!$A:$A=AC12)-(FILTER(Data!$K:$K,Data!$B:$B=AC12,Data!$D:$D=$C12)+FILTER(Data!$L:$L,Data!$B:$B=AC12,Data!$D:$D=$C12)),""""),"""")"),"")</f>
        <v/>
      </c>
      <c r="BN12" s="69" t="str">
        <f>IFERROR(__xludf.DUMMYFUNCTION("IF($C12&lt;&gt;"""",IFERROR(FILTER(RawTotals!$AJ:$AJ,RawTotals!$A:$A=AD12)-(FILTER(Data!$K:$K,Data!$B:$B=AD12,Data!$D:$D=$C12)+FILTER(Data!$L:$L,Data!$B:$B=AD12,Data!$D:$D=$C12)),""""),"""")"),"")</f>
        <v/>
      </c>
      <c r="BO12" s="69" t="str">
        <f>IFERROR(__xludf.DUMMYFUNCTION("IF($C12&lt;&gt;"""",IFERROR(FILTER(RawTotals!$AJ:$AJ,RawTotals!$A:$A=AE12)-(FILTER(Data!$K:$K,Data!$B:$B=AE12,Data!$D:$D=$C12)+FILTER(Data!$L:$L,Data!$B:$B=AE12,Data!$D:$D=$C12)),""""),"""")"),"")</f>
        <v/>
      </c>
      <c r="BP12" s="69" t="str">
        <f>IFERROR(__xludf.DUMMYFUNCTION("IF($D12&lt;&gt;"""",IFERROR(FILTER(RawTotals!$AJ:$AJ,RawTotals!$A:$A=AF12)-(FILTER(Data!$K:$K,Data!$B:$B=AF12,Data!$D:$D=$D12)+FILTER(Data!$L:$L,Data!$B:$B=AF12,Data!$D:$D=$D12)),""""),"""")"),"")</f>
        <v/>
      </c>
      <c r="BQ12" s="69" t="str">
        <f>IFERROR(__xludf.DUMMYFUNCTION("IF($D12&lt;&gt;"""",IFERROR(FILTER(RawTotals!$AJ:$AJ,RawTotals!$A:$A=AG12)-(FILTER(Data!$K:$K,Data!$B:$B=AG12,Data!$D:$D=$D12)+FILTER(Data!$L:$L,Data!$B:$B=AG12,Data!$D:$D=$D12)),""""),"""")"),"")</f>
        <v/>
      </c>
      <c r="BR12" s="69" t="str">
        <f>IFERROR(__xludf.DUMMYFUNCTION("IF($D12&lt;&gt;"""",IFERROR(FILTER(RawTotals!$AJ:$AJ,RawTotals!$A:$A=AH12)-(FILTER(Data!$K:$K,Data!$B:$B=AH12,Data!$D:$D=$D12)+FILTER(Data!$L:$L,Data!$B:$B=AH12,Data!$D:$D=$D12)),""""),"""")"),"")</f>
        <v/>
      </c>
      <c r="BS12" s="69" t="str">
        <f>IFERROR(__xludf.DUMMYFUNCTION("IF($E12&lt;&gt;"""",IFERROR(FILTER(RawTotals!$AJ:$AJ,RawTotals!$A:$A=AI12)-(FILTER(Data!$K:$K,Data!$B:$B=AI12,Data!$D:$D=$E12)+FILTER(Data!$L:$L,Data!$B:$B=AI12,Data!$D:$D=$E12)),""""),"""")"),"")</f>
        <v/>
      </c>
      <c r="BT12" s="69" t="str">
        <f>IFERROR(__xludf.DUMMYFUNCTION("IF($E12&lt;&gt;"""",IFERROR(FILTER(RawTotals!$AJ:$AJ,RawTotals!$A:$A=AJ12)-(FILTER(Data!$K:$K,Data!$B:$B=AJ12,Data!$D:$D=$E12)+FILTER(Data!$L:$L,Data!$B:$B=AJ12,Data!$D:$D=$E12)),""""),"""")"),"")</f>
        <v/>
      </c>
      <c r="BU12" s="69" t="str">
        <f>IFERROR(__xludf.DUMMYFUNCTION("IF($E12&lt;&gt;"""",IFERROR(FILTER(RawTotals!$AJ:$AJ,RawTotals!$A:$A=AK12)-(FILTER(Data!$K:$K,Data!$B:$B=AK12,Data!$D:$D=$E12)+FILTER(Data!$L:$L,Data!$B:$B=AK12,Data!$D:$D=$E12)),""""),"""")"),"")</f>
        <v/>
      </c>
      <c r="BV12" s="69" t="str">
        <f>IFERROR(__xludf.DUMMYFUNCTION("IF($F12&lt;&gt;"""",IFERROR(FILTER(RawTotals!$AJ:$AJ,RawTotals!$A:$A=AL12)-(FILTER(Data!$K:$K,Data!$B:$B=AL12,Data!$D:$D=$F12)+FILTER(Data!$L:$L,Data!$B:$B=AL12,Data!$D:$D=$F12)),""""),"""")"),"")</f>
        <v/>
      </c>
      <c r="BW12" s="69" t="str">
        <f>IFERROR(__xludf.DUMMYFUNCTION("IF($F12&lt;&gt;"""",IFERROR(FILTER(RawTotals!$AJ:$AJ,RawTotals!$A:$A=AM12)-(FILTER(Data!$K:$K,Data!$B:$B=AM12,Data!$D:$D=$F12)+FILTER(Data!$L:$L,Data!$B:$B=AM12,Data!$D:$D=$F12)),""""),"""")"),"")</f>
        <v/>
      </c>
      <c r="BX12" s="69" t="str">
        <f>IFERROR(__xludf.DUMMYFUNCTION("IF($F12&lt;&gt;"""",IFERROR(FILTER(RawTotals!$AJ:$AJ,RawTotals!$A:$A=AN12)-(FILTER(Data!$K:$K,Data!$B:$B=AN12,Data!$D:$D=$F12)+FILTER(Data!$L:$L,Data!$B:$B=AN12,Data!$D:$D=$F12)),""""),"""")"),"")</f>
        <v/>
      </c>
      <c r="BY12" s="69" t="str">
        <f>IFERROR(__xludf.DUMMYFUNCTION("IF($G12&lt;&gt;"""",IFERROR(FILTER(RawTotals!$AJ:$AJ,RawTotals!$A:$A=AO12)-(FILTER(Data!$K:$K,Data!$B:$B=AO12,Data!$D:$D=$G12)+FILTER(Data!$L:$L,Data!$B:$B=AO12,Data!$D:$D=$G12)),""""),"""")"),"")</f>
        <v/>
      </c>
      <c r="BZ12" s="69" t="str">
        <f>IFERROR(__xludf.DUMMYFUNCTION("IF($G12&lt;&gt;"""",IFERROR(FILTER(RawTotals!$AJ:$AJ,RawTotals!$A:$A=AP12)-(FILTER(Data!$K:$K,Data!$B:$B=AP12,Data!$D:$D=$G12)+FILTER(Data!$L:$L,Data!$B:$B=AP12,Data!$D:$D=$G12)),""""),"""")"),"")</f>
        <v/>
      </c>
      <c r="CA12" s="69" t="str">
        <f>IFERROR(__xludf.DUMMYFUNCTION("IF($G12&lt;&gt;"""",IFERROR(FILTER(RawTotals!$AJ:$AJ,RawTotals!$A:$A=AQ12)-(FILTER(Data!$K:$K,Data!$B:$B=AQ12,Data!$D:$D=$G12)+FILTER(Data!$L:$L,Data!$B:$B=AQ12,Data!$D:$D=$G12)),""""),"""")"),"")</f>
        <v/>
      </c>
      <c r="CB12" s="69" t="str">
        <f>IFERROR(__xludf.DUMMYFUNCTION("IF($H12&lt;&gt;"""",IFERROR(FILTER(RawTotals!$AJ:$AJ,RawTotals!$A:$A=AR12)-(FILTER(Data!$K:$K,Data!$B:$B=AR12,Data!$D:$D=$H12)+FILTER(Data!$L:$L,Data!$B:$B=AR12,Data!$D:$D=$H12)),""""),"""")"),"")</f>
        <v/>
      </c>
      <c r="CC12" s="69" t="str">
        <f>IFERROR(__xludf.DUMMYFUNCTION("IF($H12&lt;&gt;"""",IFERROR(FILTER(RawTotals!$AJ:$AJ,RawTotals!$A:$A=AS12)-(FILTER(Data!$K:$K,Data!$B:$B=AS12,Data!$D:$D=$H12)+FILTER(Data!$L:$L,Data!$B:$B=AS12,Data!$D:$D=$H12)),""""),"""")"),"")</f>
        <v/>
      </c>
      <c r="CD12" s="69" t="str">
        <f>IFERROR(__xludf.DUMMYFUNCTION("IF($H12&lt;&gt;"""",IFERROR(FILTER(RawTotals!$AJ:$AJ,RawTotals!$A:$A=AT12)-(FILTER(Data!$K:$K,Data!$B:$B=AT12,Data!$D:$D=$H12)+FILTER(Data!$L:$L,Data!$B:$B=AT12,Data!$D:$D=$H12)),""""),"""")"),"")</f>
        <v/>
      </c>
      <c r="CE12" s="69" t="str">
        <f>IFERROR(__xludf.DUMMYFUNCTION("IF($I12&lt;&gt;"""",IFERROR(FILTER(RawTotals!$AJ:$AJ,RawTotals!$A:$A=AU12)-(FILTER(Data!$K:$K,Data!$B:$B=AU12,Data!$D:$D=$I12)+FILTER(Data!$L:$L,Data!$B:$B=AU12,Data!$D:$D=$I12)),""""),"""")"),"")</f>
        <v/>
      </c>
      <c r="CF12" s="69" t="str">
        <f>IFERROR(__xludf.DUMMYFUNCTION("IF($I12&lt;&gt;"""",IFERROR(FILTER(RawTotals!$AJ:$AJ,RawTotals!$A:$A=AV12)-(FILTER(Data!$K:$K,Data!$B:$B=AV12,Data!$D:$D=$I12)+FILTER(Data!$L:$L,Data!$B:$B=AV12,Data!$D:$D=$I12)),""""),"""")"),"")</f>
        <v/>
      </c>
      <c r="CG12" s="69" t="str">
        <f>IFERROR(__xludf.DUMMYFUNCTION("IF($I12&lt;&gt;"""",IFERROR(FILTER(RawTotals!$AJ:$AJ,RawTotals!$A:$A=AW12)-(FILTER(Data!$K:$K,Data!$B:$B=AW12,Data!$D:$D=$I12)+FILTER(Data!$L:$L,Data!$B:$B=AW12,Data!$D:$D=$I12)),""""),"""")"),"")</f>
        <v/>
      </c>
      <c r="CH12" s="69" t="str">
        <f>IFERROR(__xludf.DUMMYFUNCTION("IF($J12&lt;&gt;"""",IFERROR(FILTER(RawTotals!$AJ:$AJ,RawTotals!$A:$A=AX12)-(FILTER(Data!$K:$K,Data!$B:$B=AX12,Data!$D:$D=$J12)+FILTER(Data!$L:$L,Data!$B:$B=AX12,Data!$D:$D=$J12)),""""),"""")"),"")</f>
        <v/>
      </c>
      <c r="CI12" s="69" t="str">
        <f>IFERROR(__xludf.DUMMYFUNCTION("IF($J12&lt;&gt;"""",IFERROR(FILTER(RawTotals!$AJ:$AJ,RawTotals!$A:$A=AY12)-(FILTER(Data!$K:$K,Data!$B:$B=AY12,Data!$D:$D=$J12)+FILTER(Data!$L:$L,Data!$B:$B=AY12,Data!$D:$D=$J12)),""""),"""")"),"")</f>
        <v/>
      </c>
      <c r="CJ12" s="69" t="str">
        <f>IFERROR(__xludf.DUMMYFUNCTION("IF($J12&lt;&gt;"""",IFERROR(FILTER(RawTotals!$AJ:$AJ,RawTotals!$A:$A=AZ12)-(FILTER(Data!$K:$K,Data!$B:$B=AZ12,Data!$D:$D=$J12)+FILTER(Data!$L:$L,Data!$B:$B=AZ12,Data!$D:$D=$J12)),""""),"""")"),"")</f>
        <v/>
      </c>
      <c r="CK12" s="69" t="str">
        <f>IFERROR(__xludf.DUMMYFUNCTION("IF($K12&lt;&gt;"""",IFERROR(FILTER(RawTotals!$AJ:$AJ,RawTotals!$A:$A=BA12)-(FILTER(Data!$K:$K,Data!$B:$B=BA12,Data!$D:$D=$K12)+FILTER(Data!$L:$L,Data!$B:$B=BA12,Data!$D:$D=$K12)),""""),"""")"),"")</f>
        <v/>
      </c>
      <c r="CL12" s="69" t="str">
        <f>IFERROR(__xludf.DUMMYFUNCTION("IF($K12&lt;&gt;"""",IFERROR(FILTER(RawTotals!$AJ:$AJ,RawTotals!$A:$A=BB12)-(FILTER(Data!$K:$K,Data!$B:$B=BB12,Data!$D:$D=$K12)+FILTER(Data!$L:$L,Data!$B:$B=BB12,Data!$D:$D=$K12)),""""),"""")"),"")</f>
        <v/>
      </c>
      <c r="CM12" s="69" t="str">
        <f>IFERROR(__xludf.DUMMYFUNCTION("IF($K12&lt;&gt;"""",IFERROR(FILTER(RawTotals!$AJ:$AJ,RawTotals!$A:$A=BC12)-(FILTER(Data!$K:$K,Data!$B:$B=BC12,Data!$D:$D=$K12)+FILTER(Data!$L:$L,Data!$B:$B=BC12,Data!$D:$D=$K12)),""""),"""")"),"")</f>
        <v/>
      </c>
      <c r="CN12" s="69" t="str">
        <f>IFERROR(__xludf.DUMMYFUNCTION("IF($L12&lt;&gt;"""",IFERROR((FILTER(RawTotals!$AJ:$AJ,RawTotals!$A:$A=BD12)-(FILTER(Data!$K:$K,Data!$B:$B=BD12,Data!$D:$D=$L12)+FILTER(Data!$L:$L,Data!$B:$B=BD12,Data!$D:$D=$L12))),""""),"""")"),"")</f>
        <v/>
      </c>
      <c r="CO12" s="69" t="str">
        <f>IFERROR(__xludf.DUMMYFUNCTION("IF($L12&lt;&gt;"""",IFERROR((FILTER(RawTotals!$AJ:$AJ,RawTotals!$A:$A=BE12)-(FILTER(Data!$K:$K,Data!$B:$B=BE12,Data!$D:$D=$L12)+FILTER(Data!$L:$L,Data!$B:$B=BE12,Data!$D:$D=$L12))),""""),"""")"),"")</f>
        <v/>
      </c>
      <c r="CP12" s="69" t="str">
        <f>IFERROR(__xludf.DUMMYFUNCTION("IF($L12&lt;&gt;"""",IFERROR((FILTER(RawTotals!$AJ:$AJ,RawTotals!$A:$A=BF12)-(FILTER(Data!$K:$K,Data!$B:$B=BF12,Data!$D:$D=$L12)+FILTER(Data!$L:$L,Data!$B:$B=BF12,Data!$D:$D=$L12))),""""),"""")"),"")</f>
        <v/>
      </c>
      <c r="CQ12" s="69" t="str">
        <f>IFERROR(__xludf.DUMMYFUNCTION("IF($M12&lt;&gt;"""",IFERROR((FILTER(RawTotals!$AJ:$AJ,RawTotals!$A:$A=BG12)-(FILTER(Data!$K:$K,Data!$B:$B=BG12,Data!$D:$D=$M12)+FILTER(Data!$L:$L,Data!$B:$B=BG12,Data!$D:$D=$M12))),""""),"""")"),"")</f>
        <v/>
      </c>
      <c r="CR12" s="69" t="str">
        <f>IFERROR(__xludf.DUMMYFUNCTION("IF($M12&lt;&gt;"""",IFERROR((FILTER(RawTotals!$AJ:$AJ,RawTotals!$A:$A=BH12)-(FILTER(Data!$K:$K,Data!$B:$B=BH12,Data!$D:$D=$M12)+FILTER(Data!$L:$L,Data!$B:$B=BH12,Data!$D:$D=$M12))),""""),"""")"),"")</f>
        <v/>
      </c>
      <c r="CS12" s="70" t="str">
        <f>IFERROR(__xludf.DUMMYFUNCTION("IF($M12&lt;&gt;"""",IFERROR((FILTER(RawTotals!$AJ:$AJ,RawTotals!$A:$A=BI12)-(FILTER(Data!$K:$K,Data!$B:$B=BI12,Data!$D:$D=$M12)+FILTER(Data!$L:$L,Data!$B:$B=BI12,Data!$D:$D=$M12))),""""),"""")"),"")</f>
        <v/>
      </c>
      <c r="CT12" s="69"/>
      <c r="CU12" s="69"/>
      <c r="CV12" s="69"/>
      <c r="CW12" s="69"/>
      <c r="CX12" s="69"/>
      <c r="CY12" s="69"/>
      <c r="CZ12" s="69"/>
      <c r="DA12" s="69"/>
      <c r="DB12" s="69"/>
      <c r="DC12" s="69"/>
      <c r="DD12" s="69"/>
      <c r="DE12" s="69"/>
    </row>
    <row r="13">
      <c r="A13" s="67">
        <f>RawTotals!A13</f>
        <v>694</v>
      </c>
      <c r="B13" s="68" t="str">
        <f>IFERROR(__xludf.DUMMYFUNCTION("IF(A13&lt;&gt;"""",IFERROR(TRANSPOSE(FILTER(Data!D:D,Data!B:B=A13,Data!R:R&lt;&gt;"""")),""No Defense""),"""")"),"No Defense")</f>
        <v>No Defense</v>
      </c>
      <c r="C13" s="65"/>
      <c r="D13" s="65"/>
      <c r="E13" s="65"/>
      <c r="F13" s="65"/>
      <c r="G13" s="65"/>
      <c r="H13" s="65"/>
      <c r="I13" s="65"/>
      <c r="J13" s="65"/>
      <c r="K13" s="65"/>
      <c r="L13" s="65"/>
      <c r="M13" s="65"/>
      <c r="N13" s="64" t="str">
        <f>IFERROR(__xludf.DUMMYFUNCTION("IFERROR(Textjoin("""",TRUE,FILTER(Data!$R:$R,Data!$D:$D=B13,Data!$B:$B=$A13)),"""")"),"")</f>
        <v/>
      </c>
      <c r="O13" s="64" t="str">
        <f>IFERROR(__xludf.DUMMYFUNCTION("IFERROR(Textjoin("""",TRUE,FILTER(Data!$R:$R,Data!$D:$D=C13,Data!$B:$B=$A13)),"""")"),"")</f>
        <v/>
      </c>
      <c r="P13" s="64" t="str">
        <f>IFERROR(__xludf.DUMMYFUNCTION("IFERROR(Textjoin("""",TRUE,FILTER(Data!$R:$R,Data!$D:$D=D13,Data!$B:$B=$A13)),"""")"),"")</f>
        <v/>
      </c>
      <c r="Q13" s="64" t="str">
        <f>IFERROR(__xludf.DUMMYFUNCTION("IFERROR(Textjoin("""",TRUE,FILTER(Data!$R:$R,Data!$D:$D=E13,Data!$B:$B=$A13)),"""")"),"")</f>
        <v/>
      </c>
      <c r="R13" s="64" t="str">
        <f>IFERROR(__xludf.DUMMYFUNCTION("IFERROR(Textjoin("""",TRUE,FILTER(Data!$R:$R,Data!$D:$D=F13,Data!$B:$B=$A13)),"""")"),"")</f>
        <v/>
      </c>
      <c r="S13" s="64" t="str">
        <f>IFERROR(__xludf.DUMMYFUNCTION("IFERROR(Textjoin("""",TRUE,FILTER(Data!$R:$R,Data!$D:$D=G13,Data!$B:$B=$A13)),"""")"),"")</f>
        <v/>
      </c>
      <c r="T13" s="64" t="str">
        <f>IFERROR(__xludf.DUMMYFUNCTION("IFERROR(Textjoin("""",TRUE,FILTER(Data!$R:$R,Data!$D:$D=H13,Data!$B:$B=$A13)),"""")"),"")</f>
        <v/>
      </c>
      <c r="U13" s="64" t="str">
        <f>IFERROR(__xludf.DUMMYFUNCTION("IFERROR(Textjoin("""",TRUE,FILTER(Data!$R:$R,Data!$D:$D=I13,Data!$B:$B=$A13)),"""")"),"")</f>
        <v/>
      </c>
      <c r="V13" s="64" t="str">
        <f>IFERROR(__xludf.DUMMYFUNCTION("IFERROR(Textjoin("""",TRUE,FILTER(Data!$R:$R,Data!$D:$D=J13,Data!$B:$B=$A13)),"""")"),"")</f>
        <v/>
      </c>
      <c r="W13" s="64" t="str">
        <f>IFERROR(__xludf.DUMMYFUNCTION("IFERROR(Textjoin("""",TRUE,FILTER(Data!$R:$R,Data!$D:$D=K13,Data!$B:$B=$A13)),"""")"),"")</f>
        <v/>
      </c>
      <c r="X13" s="64" t="str">
        <f>IFERROR(__xludf.DUMMYFUNCTION("IFERROR(Textjoin("""",TRUE,FILTER(Data!$R:$R,Data!$D:$D=L13,Data!$B:$B=$A13)),"""")"),"")</f>
        <v/>
      </c>
      <c r="Y13" s="64" t="str">
        <f>IFERROR(__xludf.DUMMYFUNCTION("IFERROR(Textjoin("""",TRUE,FILTER(Data!$R:$R,Data!$D:$D=M13,Data!$B:$B=$A13)),"""")"),"")</f>
        <v/>
      </c>
      <c r="Z13" s="64" t="str">
        <f>IFERROR(__xludf.DUMMYFUNCTION("IFERROR(SPLIT(N13,"",""),"""")"),"")</f>
        <v/>
      </c>
      <c r="AA13" s="65"/>
      <c r="AB13" s="65"/>
      <c r="AC13" s="69" t="str">
        <f>IFERROR(__xludf.DUMMYFUNCTION("IFERROR(SPLIT(O13,"",""),"""")"),"")</f>
        <v/>
      </c>
      <c r="AD13" s="65"/>
      <c r="AE13" s="65"/>
      <c r="AF13" s="69" t="str">
        <f>IFERROR(__xludf.DUMMYFUNCTION("IFERROR(SPLIT(P13,"",""),"""")"),"")</f>
        <v/>
      </c>
      <c r="AG13" s="65"/>
      <c r="AH13" s="65"/>
      <c r="AI13" s="69" t="str">
        <f>IFERROR(__xludf.DUMMYFUNCTION("IFERROR(SPLIT(Q13,"",""),"""")"),"")</f>
        <v/>
      </c>
      <c r="AJ13" s="65"/>
      <c r="AK13" s="65"/>
      <c r="AL13" s="69" t="str">
        <f>IFERROR(__xludf.DUMMYFUNCTION("IFERROR(SPLIT(R13,"",""),"""")"),"")</f>
        <v/>
      </c>
      <c r="AM13" s="65"/>
      <c r="AN13" s="65"/>
      <c r="AO13" s="69" t="str">
        <f>IFERROR(__xludf.DUMMYFUNCTION("IFERROR(SPLIT(S13,"",""),"""")"),"")</f>
        <v/>
      </c>
      <c r="AP13" s="65"/>
      <c r="AQ13" s="65"/>
      <c r="AR13" s="69" t="str">
        <f>IFERROR(__xludf.DUMMYFUNCTION("IFERROR(SPLIT(T13,"",""),"""")"),"")</f>
        <v/>
      </c>
      <c r="AS13" s="65"/>
      <c r="AT13" s="65"/>
      <c r="AU13" s="69" t="str">
        <f>IFERROR(__xludf.DUMMYFUNCTION("IFERROR(SPLIT(U13,"",""),"""")"),"")</f>
        <v/>
      </c>
      <c r="AV13" s="65"/>
      <c r="AW13" s="65"/>
      <c r="AX13" s="69" t="str">
        <f>IFERROR(__xludf.DUMMYFUNCTION("IFERROR(SPLIT(V13,"",""),"""")"),"")</f>
        <v/>
      </c>
      <c r="AY13" s="65"/>
      <c r="AZ13" s="65"/>
      <c r="BA13" s="69" t="str">
        <f>IFERROR(__xludf.DUMMYFUNCTION("IFERROR(SPLIT(W13,"",""),"""")"),"")</f>
        <v/>
      </c>
      <c r="BB13" s="69"/>
      <c r="BC13" s="69"/>
      <c r="BD13" s="69" t="str">
        <f>IFERROR(__xludf.DUMMYFUNCTION("IFERROR(SPLIT(X13,"",""),"""")"),"")</f>
        <v/>
      </c>
      <c r="BE13" s="69"/>
      <c r="BF13" s="69"/>
      <c r="BG13" s="69" t="str">
        <f>IFERROR(__xludf.DUMMYFUNCTION("IFERROR(SPLIT(Y13,"",""),"""")"),"")</f>
        <v/>
      </c>
      <c r="BH13" s="69"/>
      <c r="BI13" s="69"/>
      <c r="BJ13" s="68" t="str">
        <f>IFERROR(__xludf.DUMMYFUNCTION("IF($B13&lt;&gt;"""",IFERROR(FILTER(RawTotals!$AJ:$AJ,RawTotals!$A:$A=Z13)-(FILTER(Data!$K:$K,Data!$B:$B=Z13,Data!$D:$D=$B13)+FILTER(Data!$L:$L,Data!$B:$B=Z13,Data!$D:$D=$B13)),""""),"""")"),"")</f>
        <v/>
      </c>
      <c r="BK13" s="68" t="str">
        <f>IFERROR(__xludf.DUMMYFUNCTION("IF($B13&lt;&gt;"""",IFERROR(FILTER(RawTotals!$AJ:$AJ,RawTotals!$A:$A=AA13)-(FILTER(Data!$K:$K,Data!$B:$B=AA13,Data!$D:$D=$B13)+FILTER(Data!$L:$L,Data!$B:$B=AA13,Data!$D:$D=$B13)),""""),"""")"),"")</f>
        <v/>
      </c>
      <c r="BL13" s="68" t="str">
        <f>IFERROR(__xludf.DUMMYFUNCTION("IF($B13&lt;&gt;"""",IFERROR(FILTER(RawTotals!$AJ:$AJ,RawTotals!$A:$A=AB13)-(FILTER(Data!$K:$K,Data!$B:$B=AB13,Data!$D:$D=$B13)+FILTER(Data!$L:$L,Data!$B:$B=AB13,Data!$D:$D=$B13)),""""),"""")"),"")</f>
        <v/>
      </c>
      <c r="BM13" s="69" t="str">
        <f>IFERROR(__xludf.DUMMYFUNCTION("IF($C13&lt;&gt;"""",IFERROR(FILTER(RawTotals!$AJ:$AJ,RawTotals!$A:$A=AC13)-(FILTER(Data!$K:$K,Data!$B:$B=AC13,Data!$D:$D=$C13)+FILTER(Data!$L:$L,Data!$B:$B=AC13,Data!$D:$D=$C13)),""""),"""")"),"")</f>
        <v/>
      </c>
      <c r="BN13" s="69" t="str">
        <f>IFERROR(__xludf.DUMMYFUNCTION("IF($C13&lt;&gt;"""",IFERROR(FILTER(RawTotals!$AJ:$AJ,RawTotals!$A:$A=AD13)-(FILTER(Data!$K:$K,Data!$B:$B=AD13,Data!$D:$D=$C13)+FILTER(Data!$L:$L,Data!$B:$B=AD13,Data!$D:$D=$C13)),""""),"""")"),"")</f>
        <v/>
      </c>
      <c r="BO13" s="69" t="str">
        <f>IFERROR(__xludf.DUMMYFUNCTION("IF($C13&lt;&gt;"""",IFERROR(FILTER(RawTotals!$AJ:$AJ,RawTotals!$A:$A=AE13)-(FILTER(Data!$K:$K,Data!$B:$B=AE13,Data!$D:$D=$C13)+FILTER(Data!$L:$L,Data!$B:$B=AE13,Data!$D:$D=$C13)),""""),"""")"),"")</f>
        <v/>
      </c>
      <c r="BP13" s="69" t="str">
        <f>IFERROR(__xludf.DUMMYFUNCTION("IF($D13&lt;&gt;"""",IFERROR(FILTER(RawTotals!$AJ:$AJ,RawTotals!$A:$A=AF13)-(FILTER(Data!$K:$K,Data!$B:$B=AF13,Data!$D:$D=$D13)+FILTER(Data!$L:$L,Data!$B:$B=AF13,Data!$D:$D=$D13)),""""),"""")"),"")</f>
        <v/>
      </c>
      <c r="BQ13" s="69" t="str">
        <f>IFERROR(__xludf.DUMMYFUNCTION("IF($D13&lt;&gt;"""",IFERROR(FILTER(RawTotals!$AJ:$AJ,RawTotals!$A:$A=AG13)-(FILTER(Data!$K:$K,Data!$B:$B=AG13,Data!$D:$D=$D13)+FILTER(Data!$L:$L,Data!$B:$B=AG13,Data!$D:$D=$D13)),""""),"""")"),"")</f>
        <v/>
      </c>
      <c r="BR13" s="69" t="str">
        <f>IFERROR(__xludf.DUMMYFUNCTION("IF($D13&lt;&gt;"""",IFERROR(FILTER(RawTotals!$AJ:$AJ,RawTotals!$A:$A=AH13)-(FILTER(Data!$K:$K,Data!$B:$B=AH13,Data!$D:$D=$D13)+FILTER(Data!$L:$L,Data!$B:$B=AH13,Data!$D:$D=$D13)),""""),"""")"),"")</f>
        <v/>
      </c>
      <c r="BS13" s="69" t="str">
        <f>IFERROR(__xludf.DUMMYFUNCTION("IF($E13&lt;&gt;"""",IFERROR(FILTER(RawTotals!$AJ:$AJ,RawTotals!$A:$A=AI13)-(FILTER(Data!$K:$K,Data!$B:$B=AI13,Data!$D:$D=$E13)+FILTER(Data!$L:$L,Data!$B:$B=AI13,Data!$D:$D=$E13)),""""),"""")"),"")</f>
        <v/>
      </c>
      <c r="BT13" s="69" t="str">
        <f>IFERROR(__xludf.DUMMYFUNCTION("IF($E13&lt;&gt;"""",IFERROR(FILTER(RawTotals!$AJ:$AJ,RawTotals!$A:$A=AJ13)-(FILTER(Data!$K:$K,Data!$B:$B=AJ13,Data!$D:$D=$E13)+FILTER(Data!$L:$L,Data!$B:$B=AJ13,Data!$D:$D=$E13)),""""),"""")"),"")</f>
        <v/>
      </c>
      <c r="BU13" s="69" t="str">
        <f>IFERROR(__xludf.DUMMYFUNCTION("IF($E13&lt;&gt;"""",IFERROR(FILTER(RawTotals!$AJ:$AJ,RawTotals!$A:$A=AK13)-(FILTER(Data!$K:$K,Data!$B:$B=AK13,Data!$D:$D=$E13)+FILTER(Data!$L:$L,Data!$B:$B=AK13,Data!$D:$D=$E13)),""""),"""")"),"")</f>
        <v/>
      </c>
      <c r="BV13" s="69" t="str">
        <f>IFERROR(__xludf.DUMMYFUNCTION("IF($F13&lt;&gt;"""",IFERROR(FILTER(RawTotals!$AJ:$AJ,RawTotals!$A:$A=AL13)-(FILTER(Data!$K:$K,Data!$B:$B=AL13,Data!$D:$D=$F13)+FILTER(Data!$L:$L,Data!$B:$B=AL13,Data!$D:$D=$F13)),""""),"""")"),"")</f>
        <v/>
      </c>
      <c r="BW13" s="69" t="str">
        <f>IFERROR(__xludf.DUMMYFUNCTION("IF($F13&lt;&gt;"""",IFERROR(FILTER(RawTotals!$AJ:$AJ,RawTotals!$A:$A=AM13)-(FILTER(Data!$K:$K,Data!$B:$B=AM13,Data!$D:$D=$F13)+FILTER(Data!$L:$L,Data!$B:$B=AM13,Data!$D:$D=$F13)),""""),"""")"),"")</f>
        <v/>
      </c>
      <c r="BX13" s="69" t="str">
        <f>IFERROR(__xludf.DUMMYFUNCTION("IF($F13&lt;&gt;"""",IFERROR(FILTER(RawTotals!$AJ:$AJ,RawTotals!$A:$A=AN13)-(FILTER(Data!$K:$K,Data!$B:$B=AN13,Data!$D:$D=$F13)+FILTER(Data!$L:$L,Data!$B:$B=AN13,Data!$D:$D=$F13)),""""),"""")"),"")</f>
        <v/>
      </c>
      <c r="BY13" s="69" t="str">
        <f>IFERROR(__xludf.DUMMYFUNCTION("IF($G13&lt;&gt;"""",IFERROR(FILTER(RawTotals!$AJ:$AJ,RawTotals!$A:$A=AO13)-(FILTER(Data!$K:$K,Data!$B:$B=AO13,Data!$D:$D=$G13)+FILTER(Data!$L:$L,Data!$B:$B=AO13,Data!$D:$D=$G13)),""""),"""")"),"")</f>
        <v/>
      </c>
      <c r="BZ13" s="69" t="str">
        <f>IFERROR(__xludf.DUMMYFUNCTION("IF($G13&lt;&gt;"""",IFERROR(FILTER(RawTotals!$AJ:$AJ,RawTotals!$A:$A=AP13)-(FILTER(Data!$K:$K,Data!$B:$B=AP13,Data!$D:$D=$G13)+FILTER(Data!$L:$L,Data!$B:$B=AP13,Data!$D:$D=$G13)),""""),"""")"),"")</f>
        <v/>
      </c>
      <c r="CA13" s="69" t="str">
        <f>IFERROR(__xludf.DUMMYFUNCTION("IF($G13&lt;&gt;"""",IFERROR(FILTER(RawTotals!$AJ:$AJ,RawTotals!$A:$A=AQ13)-(FILTER(Data!$K:$K,Data!$B:$B=AQ13,Data!$D:$D=$G13)+FILTER(Data!$L:$L,Data!$B:$B=AQ13,Data!$D:$D=$G13)),""""),"""")"),"")</f>
        <v/>
      </c>
      <c r="CB13" s="69" t="str">
        <f>IFERROR(__xludf.DUMMYFUNCTION("IF($H13&lt;&gt;"""",IFERROR(FILTER(RawTotals!$AJ:$AJ,RawTotals!$A:$A=AR13)-(FILTER(Data!$K:$K,Data!$B:$B=AR13,Data!$D:$D=$H13)+FILTER(Data!$L:$L,Data!$B:$B=AR13,Data!$D:$D=$H13)),""""),"""")"),"")</f>
        <v/>
      </c>
      <c r="CC13" s="69" t="str">
        <f>IFERROR(__xludf.DUMMYFUNCTION("IF($H13&lt;&gt;"""",IFERROR(FILTER(RawTotals!$AJ:$AJ,RawTotals!$A:$A=AS13)-(FILTER(Data!$K:$K,Data!$B:$B=AS13,Data!$D:$D=$H13)+FILTER(Data!$L:$L,Data!$B:$B=AS13,Data!$D:$D=$H13)),""""),"""")"),"")</f>
        <v/>
      </c>
      <c r="CD13" s="69" t="str">
        <f>IFERROR(__xludf.DUMMYFUNCTION("IF($H13&lt;&gt;"""",IFERROR(FILTER(RawTotals!$AJ:$AJ,RawTotals!$A:$A=AT13)-(FILTER(Data!$K:$K,Data!$B:$B=AT13,Data!$D:$D=$H13)+FILTER(Data!$L:$L,Data!$B:$B=AT13,Data!$D:$D=$H13)),""""),"""")"),"")</f>
        <v/>
      </c>
      <c r="CE13" s="69" t="str">
        <f>IFERROR(__xludf.DUMMYFUNCTION("IF($I13&lt;&gt;"""",IFERROR(FILTER(RawTotals!$AJ:$AJ,RawTotals!$A:$A=AU13)-(FILTER(Data!$K:$K,Data!$B:$B=AU13,Data!$D:$D=$I13)+FILTER(Data!$L:$L,Data!$B:$B=AU13,Data!$D:$D=$I13)),""""),"""")"),"")</f>
        <v/>
      </c>
      <c r="CF13" s="69" t="str">
        <f>IFERROR(__xludf.DUMMYFUNCTION("IF($I13&lt;&gt;"""",IFERROR(FILTER(RawTotals!$AJ:$AJ,RawTotals!$A:$A=AV13)-(FILTER(Data!$K:$K,Data!$B:$B=AV13,Data!$D:$D=$I13)+FILTER(Data!$L:$L,Data!$B:$B=AV13,Data!$D:$D=$I13)),""""),"""")"),"")</f>
        <v/>
      </c>
      <c r="CG13" s="69" t="str">
        <f>IFERROR(__xludf.DUMMYFUNCTION("IF($I13&lt;&gt;"""",IFERROR(FILTER(RawTotals!$AJ:$AJ,RawTotals!$A:$A=AW13)-(FILTER(Data!$K:$K,Data!$B:$B=AW13,Data!$D:$D=$I13)+FILTER(Data!$L:$L,Data!$B:$B=AW13,Data!$D:$D=$I13)),""""),"""")"),"")</f>
        <v/>
      </c>
      <c r="CH13" s="69" t="str">
        <f>IFERROR(__xludf.DUMMYFUNCTION("IF($J13&lt;&gt;"""",IFERROR(FILTER(RawTotals!$AJ:$AJ,RawTotals!$A:$A=AX13)-(FILTER(Data!$K:$K,Data!$B:$B=AX13,Data!$D:$D=$J13)+FILTER(Data!$L:$L,Data!$B:$B=AX13,Data!$D:$D=$J13)),""""),"""")"),"")</f>
        <v/>
      </c>
      <c r="CI13" s="69" t="str">
        <f>IFERROR(__xludf.DUMMYFUNCTION("IF($J13&lt;&gt;"""",IFERROR(FILTER(RawTotals!$AJ:$AJ,RawTotals!$A:$A=AY13)-(FILTER(Data!$K:$K,Data!$B:$B=AY13,Data!$D:$D=$J13)+FILTER(Data!$L:$L,Data!$B:$B=AY13,Data!$D:$D=$J13)),""""),"""")"),"")</f>
        <v/>
      </c>
      <c r="CJ13" s="69" t="str">
        <f>IFERROR(__xludf.DUMMYFUNCTION("IF($J13&lt;&gt;"""",IFERROR(FILTER(RawTotals!$AJ:$AJ,RawTotals!$A:$A=AZ13)-(FILTER(Data!$K:$K,Data!$B:$B=AZ13,Data!$D:$D=$J13)+FILTER(Data!$L:$L,Data!$B:$B=AZ13,Data!$D:$D=$J13)),""""),"""")"),"")</f>
        <v/>
      </c>
      <c r="CK13" s="69" t="str">
        <f>IFERROR(__xludf.DUMMYFUNCTION("IF($K13&lt;&gt;"""",IFERROR(FILTER(RawTotals!$AJ:$AJ,RawTotals!$A:$A=BA13)-(FILTER(Data!$K:$K,Data!$B:$B=BA13,Data!$D:$D=$K13)+FILTER(Data!$L:$L,Data!$B:$B=BA13,Data!$D:$D=$K13)),""""),"""")"),"")</f>
        <v/>
      </c>
      <c r="CL13" s="69" t="str">
        <f>IFERROR(__xludf.DUMMYFUNCTION("IF($K13&lt;&gt;"""",IFERROR(FILTER(RawTotals!$AJ:$AJ,RawTotals!$A:$A=BB13)-(FILTER(Data!$K:$K,Data!$B:$B=BB13,Data!$D:$D=$K13)+FILTER(Data!$L:$L,Data!$B:$B=BB13,Data!$D:$D=$K13)),""""),"""")"),"")</f>
        <v/>
      </c>
      <c r="CM13" s="69" t="str">
        <f>IFERROR(__xludf.DUMMYFUNCTION("IF($K13&lt;&gt;"""",IFERROR(FILTER(RawTotals!$AJ:$AJ,RawTotals!$A:$A=BC13)-(FILTER(Data!$K:$K,Data!$B:$B=BC13,Data!$D:$D=$K13)+FILTER(Data!$L:$L,Data!$B:$B=BC13,Data!$D:$D=$K13)),""""),"""")"),"")</f>
        <v/>
      </c>
      <c r="CN13" s="69" t="str">
        <f>IFERROR(__xludf.DUMMYFUNCTION("IF($L13&lt;&gt;"""",IFERROR((FILTER(RawTotals!$AJ:$AJ,RawTotals!$A:$A=BD13)-(FILTER(Data!$K:$K,Data!$B:$B=BD13,Data!$D:$D=$L13)+FILTER(Data!$L:$L,Data!$B:$B=BD13,Data!$D:$D=$L13))),""""),"""")"),"")</f>
        <v/>
      </c>
      <c r="CO13" s="69" t="str">
        <f>IFERROR(__xludf.DUMMYFUNCTION("IF($L13&lt;&gt;"""",IFERROR((FILTER(RawTotals!$AJ:$AJ,RawTotals!$A:$A=BE13)-(FILTER(Data!$K:$K,Data!$B:$B=BE13,Data!$D:$D=$L13)+FILTER(Data!$L:$L,Data!$B:$B=BE13,Data!$D:$D=$L13))),""""),"""")"),"")</f>
        <v/>
      </c>
      <c r="CP13" s="69" t="str">
        <f>IFERROR(__xludf.DUMMYFUNCTION("IF($L13&lt;&gt;"""",IFERROR((FILTER(RawTotals!$AJ:$AJ,RawTotals!$A:$A=BF13)-(FILTER(Data!$K:$K,Data!$B:$B=BF13,Data!$D:$D=$L13)+FILTER(Data!$L:$L,Data!$B:$B=BF13,Data!$D:$D=$L13))),""""),"""")"),"")</f>
        <v/>
      </c>
      <c r="CQ13" s="69" t="str">
        <f>IFERROR(__xludf.DUMMYFUNCTION("IF($M13&lt;&gt;"""",IFERROR((FILTER(RawTotals!$AJ:$AJ,RawTotals!$A:$A=BG13)-(FILTER(Data!$K:$K,Data!$B:$B=BG13,Data!$D:$D=$M13)+FILTER(Data!$L:$L,Data!$B:$B=BG13,Data!$D:$D=$M13))),""""),"""")"),"")</f>
        <v/>
      </c>
      <c r="CR13" s="69" t="str">
        <f>IFERROR(__xludf.DUMMYFUNCTION("IF($M13&lt;&gt;"""",IFERROR((FILTER(RawTotals!$AJ:$AJ,RawTotals!$A:$A=BH13)-(FILTER(Data!$K:$K,Data!$B:$B=BH13,Data!$D:$D=$M13)+FILTER(Data!$L:$L,Data!$B:$B=BH13,Data!$D:$D=$M13))),""""),"""")"),"")</f>
        <v/>
      </c>
      <c r="CS13" s="70" t="str">
        <f>IFERROR(__xludf.DUMMYFUNCTION("IF($M13&lt;&gt;"""",IFERROR((FILTER(RawTotals!$AJ:$AJ,RawTotals!$A:$A=BI13)-(FILTER(Data!$K:$K,Data!$B:$B=BI13,Data!$D:$D=$M13)+FILTER(Data!$L:$L,Data!$B:$B=BI13,Data!$D:$D=$M13))),""""),"""")"),"")</f>
        <v/>
      </c>
      <c r="CT13" s="69"/>
      <c r="CU13" s="69"/>
      <c r="CV13" s="69"/>
      <c r="CW13" s="69"/>
      <c r="CX13" s="69"/>
      <c r="CY13" s="69"/>
      <c r="CZ13" s="69"/>
      <c r="DA13" s="69"/>
      <c r="DB13" s="69"/>
      <c r="DC13" s="69"/>
      <c r="DD13" s="69"/>
      <c r="DE13" s="69"/>
    </row>
    <row r="14">
      <c r="A14" s="67">
        <f>RawTotals!A14</f>
        <v>4143</v>
      </c>
      <c r="B14" s="68" t="str">
        <f>IFERROR(__xludf.DUMMYFUNCTION("IF(A14&lt;&gt;"""",IFERROR(TRANSPOSE(FILTER(Data!D:D,Data!B:B=A14,Data!R:R&lt;&gt;"""")),""No Defense""),"""")"),"No Defense")</f>
        <v>No Defense</v>
      </c>
      <c r="C14" s="65"/>
      <c r="D14" s="65"/>
      <c r="E14" s="65"/>
      <c r="F14" s="65"/>
      <c r="G14" s="65"/>
      <c r="H14" s="65"/>
      <c r="I14" s="65"/>
      <c r="J14" s="65"/>
      <c r="K14" s="65"/>
      <c r="L14" s="65"/>
      <c r="M14" s="65"/>
      <c r="N14" s="64" t="str">
        <f>IFERROR(__xludf.DUMMYFUNCTION("IFERROR(Textjoin("""",TRUE,FILTER(Data!$R:$R,Data!$D:$D=B14,Data!$B:$B=$A14)),"""")"),"")</f>
        <v/>
      </c>
      <c r="O14" s="64" t="str">
        <f>IFERROR(__xludf.DUMMYFUNCTION("IFERROR(Textjoin("""",TRUE,FILTER(Data!$R:$R,Data!$D:$D=C14,Data!$B:$B=$A14)),"""")"),"")</f>
        <v/>
      </c>
      <c r="P14" s="64" t="str">
        <f>IFERROR(__xludf.DUMMYFUNCTION("IFERROR(Textjoin("""",TRUE,FILTER(Data!$R:$R,Data!$D:$D=D14,Data!$B:$B=$A14)),"""")"),"")</f>
        <v/>
      </c>
      <c r="Q14" s="64" t="str">
        <f>IFERROR(__xludf.DUMMYFUNCTION("IFERROR(Textjoin("""",TRUE,FILTER(Data!$R:$R,Data!$D:$D=E14,Data!$B:$B=$A14)),"""")"),"")</f>
        <v/>
      </c>
      <c r="R14" s="64" t="str">
        <f>IFERROR(__xludf.DUMMYFUNCTION("IFERROR(Textjoin("""",TRUE,FILTER(Data!$R:$R,Data!$D:$D=F14,Data!$B:$B=$A14)),"""")"),"")</f>
        <v/>
      </c>
      <c r="S14" s="64" t="str">
        <f>IFERROR(__xludf.DUMMYFUNCTION("IFERROR(Textjoin("""",TRUE,FILTER(Data!$R:$R,Data!$D:$D=G14,Data!$B:$B=$A14)),"""")"),"")</f>
        <v/>
      </c>
      <c r="T14" s="64" t="str">
        <f>IFERROR(__xludf.DUMMYFUNCTION("IFERROR(Textjoin("""",TRUE,FILTER(Data!$R:$R,Data!$D:$D=H14,Data!$B:$B=$A14)),"""")"),"")</f>
        <v/>
      </c>
      <c r="U14" s="64" t="str">
        <f>IFERROR(__xludf.DUMMYFUNCTION("IFERROR(Textjoin("""",TRUE,FILTER(Data!$R:$R,Data!$D:$D=I14,Data!$B:$B=$A14)),"""")"),"")</f>
        <v/>
      </c>
      <c r="V14" s="64" t="str">
        <f>IFERROR(__xludf.DUMMYFUNCTION("IFERROR(Textjoin("""",TRUE,FILTER(Data!$R:$R,Data!$D:$D=J14,Data!$B:$B=$A14)),"""")"),"")</f>
        <v/>
      </c>
      <c r="W14" s="64" t="str">
        <f>IFERROR(__xludf.DUMMYFUNCTION("IFERROR(Textjoin("""",TRUE,FILTER(Data!$R:$R,Data!$D:$D=K14,Data!$B:$B=$A14)),"""")"),"")</f>
        <v/>
      </c>
      <c r="X14" s="64" t="str">
        <f>IFERROR(__xludf.DUMMYFUNCTION("IFERROR(Textjoin("""",TRUE,FILTER(Data!$R:$R,Data!$D:$D=L14,Data!$B:$B=$A14)),"""")"),"")</f>
        <v/>
      </c>
      <c r="Y14" s="64" t="str">
        <f>IFERROR(__xludf.DUMMYFUNCTION("IFERROR(Textjoin("""",TRUE,FILTER(Data!$R:$R,Data!$D:$D=M14,Data!$B:$B=$A14)),"""")"),"")</f>
        <v/>
      </c>
      <c r="Z14" s="64" t="str">
        <f>IFERROR(__xludf.DUMMYFUNCTION("IFERROR(SPLIT(N14,"",""),"""")"),"")</f>
        <v/>
      </c>
      <c r="AA14" s="65"/>
      <c r="AB14" s="65"/>
      <c r="AC14" s="69" t="str">
        <f>IFERROR(__xludf.DUMMYFUNCTION("IFERROR(SPLIT(O14,"",""),"""")"),"")</f>
        <v/>
      </c>
      <c r="AD14" s="65"/>
      <c r="AE14" s="65"/>
      <c r="AF14" s="69" t="str">
        <f>IFERROR(__xludf.DUMMYFUNCTION("IFERROR(SPLIT(P14,"",""),"""")"),"")</f>
        <v/>
      </c>
      <c r="AG14" s="65"/>
      <c r="AH14" s="65"/>
      <c r="AI14" s="69" t="str">
        <f>IFERROR(__xludf.DUMMYFUNCTION("IFERROR(SPLIT(Q14,"",""),"""")"),"")</f>
        <v/>
      </c>
      <c r="AJ14" s="65"/>
      <c r="AK14" s="65"/>
      <c r="AL14" s="69" t="str">
        <f>IFERROR(__xludf.DUMMYFUNCTION("IFERROR(SPLIT(R14,"",""),"""")"),"")</f>
        <v/>
      </c>
      <c r="AM14" s="65"/>
      <c r="AN14" s="65"/>
      <c r="AO14" s="69" t="str">
        <f>IFERROR(__xludf.DUMMYFUNCTION("IFERROR(SPLIT(S14,"",""),"""")"),"")</f>
        <v/>
      </c>
      <c r="AP14" s="65"/>
      <c r="AQ14" s="65"/>
      <c r="AR14" s="69" t="str">
        <f>IFERROR(__xludf.DUMMYFUNCTION("IFERROR(SPLIT(T14,"",""),"""")"),"")</f>
        <v/>
      </c>
      <c r="AS14" s="65"/>
      <c r="AT14" s="65"/>
      <c r="AU14" s="69" t="str">
        <f>IFERROR(__xludf.DUMMYFUNCTION("IFERROR(SPLIT(U14,"",""),"""")"),"")</f>
        <v/>
      </c>
      <c r="AV14" s="65"/>
      <c r="AW14" s="65"/>
      <c r="AX14" s="69" t="str">
        <f>IFERROR(__xludf.DUMMYFUNCTION("IFERROR(SPLIT(V14,"",""),"""")"),"")</f>
        <v/>
      </c>
      <c r="AY14" s="65"/>
      <c r="AZ14" s="65"/>
      <c r="BA14" s="69" t="str">
        <f>IFERROR(__xludf.DUMMYFUNCTION("IFERROR(SPLIT(W14,"",""),"""")"),"")</f>
        <v/>
      </c>
      <c r="BB14" s="69"/>
      <c r="BC14" s="69"/>
      <c r="BD14" s="69" t="str">
        <f>IFERROR(__xludf.DUMMYFUNCTION("IFERROR(SPLIT(X14,"",""),"""")"),"")</f>
        <v/>
      </c>
      <c r="BE14" s="69"/>
      <c r="BF14" s="69"/>
      <c r="BG14" s="69" t="str">
        <f>IFERROR(__xludf.DUMMYFUNCTION("IFERROR(SPLIT(Y14,"",""),"""")"),"")</f>
        <v/>
      </c>
      <c r="BH14" s="69"/>
      <c r="BI14" s="69"/>
      <c r="BJ14" s="68" t="str">
        <f>IFERROR(__xludf.DUMMYFUNCTION("IF($B14&lt;&gt;"""",IFERROR(FILTER(RawTotals!$AJ:$AJ,RawTotals!$A:$A=Z14)-(FILTER(Data!$K:$K,Data!$B:$B=Z14,Data!$D:$D=$B14)+FILTER(Data!$L:$L,Data!$B:$B=Z14,Data!$D:$D=$B14)),""""),"""")"),"")</f>
        <v/>
      </c>
      <c r="BK14" s="68" t="str">
        <f>IFERROR(__xludf.DUMMYFUNCTION("IF($B14&lt;&gt;"""",IFERROR(FILTER(RawTotals!$AJ:$AJ,RawTotals!$A:$A=AA14)-(FILTER(Data!$K:$K,Data!$B:$B=AA14,Data!$D:$D=$B14)+FILTER(Data!$L:$L,Data!$B:$B=AA14,Data!$D:$D=$B14)),""""),"""")"),"")</f>
        <v/>
      </c>
      <c r="BL14" s="68" t="str">
        <f>IFERROR(__xludf.DUMMYFUNCTION("IF($B14&lt;&gt;"""",IFERROR(FILTER(RawTotals!$AJ:$AJ,RawTotals!$A:$A=AB14)-(FILTER(Data!$K:$K,Data!$B:$B=AB14,Data!$D:$D=$B14)+FILTER(Data!$L:$L,Data!$B:$B=AB14,Data!$D:$D=$B14)),""""),"""")"),"")</f>
        <v/>
      </c>
      <c r="BM14" s="69" t="str">
        <f>IFERROR(__xludf.DUMMYFUNCTION("IF($C14&lt;&gt;"""",IFERROR(FILTER(RawTotals!$AJ:$AJ,RawTotals!$A:$A=AC14)-(FILTER(Data!$K:$K,Data!$B:$B=AC14,Data!$D:$D=$C14)+FILTER(Data!$L:$L,Data!$B:$B=AC14,Data!$D:$D=$C14)),""""),"""")"),"")</f>
        <v/>
      </c>
      <c r="BN14" s="69" t="str">
        <f>IFERROR(__xludf.DUMMYFUNCTION("IF($C14&lt;&gt;"""",IFERROR(FILTER(RawTotals!$AJ:$AJ,RawTotals!$A:$A=AD14)-(FILTER(Data!$K:$K,Data!$B:$B=AD14,Data!$D:$D=$C14)+FILTER(Data!$L:$L,Data!$B:$B=AD14,Data!$D:$D=$C14)),""""),"""")"),"")</f>
        <v/>
      </c>
      <c r="BO14" s="69" t="str">
        <f>IFERROR(__xludf.DUMMYFUNCTION("IF($C14&lt;&gt;"""",IFERROR(FILTER(RawTotals!$AJ:$AJ,RawTotals!$A:$A=AE14)-(FILTER(Data!$K:$K,Data!$B:$B=AE14,Data!$D:$D=$C14)+FILTER(Data!$L:$L,Data!$B:$B=AE14,Data!$D:$D=$C14)),""""),"""")"),"")</f>
        <v/>
      </c>
      <c r="BP14" s="69" t="str">
        <f>IFERROR(__xludf.DUMMYFUNCTION("IF($D14&lt;&gt;"""",IFERROR(FILTER(RawTotals!$AJ:$AJ,RawTotals!$A:$A=AF14)-(FILTER(Data!$K:$K,Data!$B:$B=AF14,Data!$D:$D=$D14)+FILTER(Data!$L:$L,Data!$B:$B=AF14,Data!$D:$D=$D14)),""""),"""")"),"")</f>
        <v/>
      </c>
      <c r="BQ14" s="69" t="str">
        <f>IFERROR(__xludf.DUMMYFUNCTION("IF($D14&lt;&gt;"""",IFERROR(FILTER(RawTotals!$AJ:$AJ,RawTotals!$A:$A=AG14)-(FILTER(Data!$K:$K,Data!$B:$B=AG14,Data!$D:$D=$D14)+FILTER(Data!$L:$L,Data!$B:$B=AG14,Data!$D:$D=$D14)),""""),"""")"),"")</f>
        <v/>
      </c>
      <c r="BR14" s="69" t="str">
        <f>IFERROR(__xludf.DUMMYFUNCTION("IF($D14&lt;&gt;"""",IFERROR(FILTER(RawTotals!$AJ:$AJ,RawTotals!$A:$A=AH14)-(FILTER(Data!$K:$K,Data!$B:$B=AH14,Data!$D:$D=$D14)+FILTER(Data!$L:$L,Data!$B:$B=AH14,Data!$D:$D=$D14)),""""),"""")"),"")</f>
        <v/>
      </c>
      <c r="BS14" s="69" t="str">
        <f>IFERROR(__xludf.DUMMYFUNCTION("IF($E14&lt;&gt;"""",IFERROR(FILTER(RawTotals!$AJ:$AJ,RawTotals!$A:$A=AI14)-(FILTER(Data!$K:$K,Data!$B:$B=AI14,Data!$D:$D=$E14)+FILTER(Data!$L:$L,Data!$B:$B=AI14,Data!$D:$D=$E14)),""""),"""")"),"")</f>
        <v/>
      </c>
      <c r="BT14" s="69" t="str">
        <f>IFERROR(__xludf.DUMMYFUNCTION("IF($E14&lt;&gt;"""",IFERROR(FILTER(RawTotals!$AJ:$AJ,RawTotals!$A:$A=AJ14)-(FILTER(Data!$K:$K,Data!$B:$B=AJ14,Data!$D:$D=$E14)+FILTER(Data!$L:$L,Data!$B:$B=AJ14,Data!$D:$D=$E14)),""""),"""")"),"")</f>
        <v/>
      </c>
      <c r="BU14" s="69" t="str">
        <f>IFERROR(__xludf.DUMMYFUNCTION("IF($E14&lt;&gt;"""",IFERROR(FILTER(RawTotals!$AJ:$AJ,RawTotals!$A:$A=AK14)-(FILTER(Data!$K:$K,Data!$B:$B=AK14,Data!$D:$D=$E14)+FILTER(Data!$L:$L,Data!$B:$B=AK14,Data!$D:$D=$E14)),""""),"""")"),"")</f>
        <v/>
      </c>
      <c r="BV14" s="69" t="str">
        <f>IFERROR(__xludf.DUMMYFUNCTION("IF($F14&lt;&gt;"""",IFERROR(FILTER(RawTotals!$AJ:$AJ,RawTotals!$A:$A=AL14)-(FILTER(Data!$K:$K,Data!$B:$B=AL14,Data!$D:$D=$F14)+FILTER(Data!$L:$L,Data!$B:$B=AL14,Data!$D:$D=$F14)),""""),"""")"),"")</f>
        <v/>
      </c>
      <c r="BW14" s="69" t="str">
        <f>IFERROR(__xludf.DUMMYFUNCTION("IF($F14&lt;&gt;"""",IFERROR(FILTER(RawTotals!$AJ:$AJ,RawTotals!$A:$A=AM14)-(FILTER(Data!$K:$K,Data!$B:$B=AM14,Data!$D:$D=$F14)+FILTER(Data!$L:$L,Data!$B:$B=AM14,Data!$D:$D=$F14)),""""),"""")"),"")</f>
        <v/>
      </c>
      <c r="BX14" s="69" t="str">
        <f>IFERROR(__xludf.DUMMYFUNCTION("IF($F14&lt;&gt;"""",IFERROR(FILTER(RawTotals!$AJ:$AJ,RawTotals!$A:$A=AN14)-(FILTER(Data!$K:$K,Data!$B:$B=AN14,Data!$D:$D=$F14)+FILTER(Data!$L:$L,Data!$B:$B=AN14,Data!$D:$D=$F14)),""""),"""")"),"")</f>
        <v/>
      </c>
      <c r="BY14" s="69" t="str">
        <f>IFERROR(__xludf.DUMMYFUNCTION("IF($G14&lt;&gt;"""",IFERROR(FILTER(RawTotals!$AJ:$AJ,RawTotals!$A:$A=AO14)-(FILTER(Data!$K:$K,Data!$B:$B=AO14,Data!$D:$D=$G14)+FILTER(Data!$L:$L,Data!$B:$B=AO14,Data!$D:$D=$G14)),""""),"""")"),"")</f>
        <v/>
      </c>
      <c r="BZ14" s="69" t="str">
        <f>IFERROR(__xludf.DUMMYFUNCTION("IF($G14&lt;&gt;"""",IFERROR(FILTER(RawTotals!$AJ:$AJ,RawTotals!$A:$A=AP14)-(FILTER(Data!$K:$K,Data!$B:$B=AP14,Data!$D:$D=$G14)+FILTER(Data!$L:$L,Data!$B:$B=AP14,Data!$D:$D=$G14)),""""),"""")"),"")</f>
        <v/>
      </c>
      <c r="CA14" s="69" t="str">
        <f>IFERROR(__xludf.DUMMYFUNCTION("IF($G14&lt;&gt;"""",IFERROR(FILTER(RawTotals!$AJ:$AJ,RawTotals!$A:$A=AQ14)-(FILTER(Data!$K:$K,Data!$B:$B=AQ14,Data!$D:$D=$G14)+FILTER(Data!$L:$L,Data!$B:$B=AQ14,Data!$D:$D=$G14)),""""),"""")"),"")</f>
        <v/>
      </c>
      <c r="CB14" s="69" t="str">
        <f>IFERROR(__xludf.DUMMYFUNCTION("IF($H14&lt;&gt;"""",IFERROR(FILTER(RawTotals!$AJ:$AJ,RawTotals!$A:$A=AR14)-(FILTER(Data!$K:$K,Data!$B:$B=AR14,Data!$D:$D=$H14)+FILTER(Data!$L:$L,Data!$B:$B=AR14,Data!$D:$D=$H14)),""""),"""")"),"")</f>
        <v/>
      </c>
      <c r="CC14" s="69" t="str">
        <f>IFERROR(__xludf.DUMMYFUNCTION("IF($H14&lt;&gt;"""",IFERROR(FILTER(RawTotals!$AJ:$AJ,RawTotals!$A:$A=AS14)-(FILTER(Data!$K:$K,Data!$B:$B=AS14,Data!$D:$D=$H14)+FILTER(Data!$L:$L,Data!$B:$B=AS14,Data!$D:$D=$H14)),""""),"""")"),"")</f>
        <v/>
      </c>
      <c r="CD14" s="69" t="str">
        <f>IFERROR(__xludf.DUMMYFUNCTION("IF($H14&lt;&gt;"""",IFERROR(FILTER(RawTotals!$AJ:$AJ,RawTotals!$A:$A=AT14)-(FILTER(Data!$K:$K,Data!$B:$B=AT14,Data!$D:$D=$H14)+FILTER(Data!$L:$L,Data!$B:$B=AT14,Data!$D:$D=$H14)),""""),"""")"),"")</f>
        <v/>
      </c>
      <c r="CE14" s="69" t="str">
        <f>IFERROR(__xludf.DUMMYFUNCTION("IF($I14&lt;&gt;"""",IFERROR(FILTER(RawTotals!$AJ:$AJ,RawTotals!$A:$A=AU14)-(FILTER(Data!$K:$K,Data!$B:$B=AU14,Data!$D:$D=$I14)+FILTER(Data!$L:$L,Data!$B:$B=AU14,Data!$D:$D=$I14)),""""),"""")"),"")</f>
        <v/>
      </c>
      <c r="CF14" s="69" t="str">
        <f>IFERROR(__xludf.DUMMYFUNCTION("IF($I14&lt;&gt;"""",IFERROR(FILTER(RawTotals!$AJ:$AJ,RawTotals!$A:$A=AV14)-(FILTER(Data!$K:$K,Data!$B:$B=AV14,Data!$D:$D=$I14)+FILTER(Data!$L:$L,Data!$B:$B=AV14,Data!$D:$D=$I14)),""""),"""")"),"")</f>
        <v/>
      </c>
      <c r="CG14" s="69" t="str">
        <f>IFERROR(__xludf.DUMMYFUNCTION("IF($I14&lt;&gt;"""",IFERROR(FILTER(RawTotals!$AJ:$AJ,RawTotals!$A:$A=AW14)-(FILTER(Data!$K:$K,Data!$B:$B=AW14,Data!$D:$D=$I14)+FILTER(Data!$L:$L,Data!$B:$B=AW14,Data!$D:$D=$I14)),""""),"""")"),"")</f>
        <v/>
      </c>
      <c r="CH14" s="69" t="str">
        <f>IFERROR(__xludf.DUMMYFUNCTION("IF($J14&lt;&gt;"""",IFERROR(FILTER(RawTotals!$AJ:$AJ,RawTotals!$A:$A=AX14)-(FILTER(Data!$K:$K,Data!$B:$B=AX14,Data!$D:$D=$J14)+FILTER(Data!$L:$L,Data!$B:$B=AX14,Data!$D:$D=$J14)),""""),"""")"),"")</f>
        <v/>
      </c>
      <c r="CI14" s="69" t="str">
        <f>IFERROR(__xludf.DUMMYFUNCTION("IF($J14&lt;&gt;"""",IFERROR(FILTER(RawTotals!$AJ:$AJ,RawTotals!$A:$A=AY14)-(FILTER(Data!$K:$K,Data!$B:$B=AY14,Data!$D:$D=$J14)+FILTER(Data!$L:$L,Data!$B:$B=AY14,Data!$D:$D=$J14)),""""),"""")"),"")</f>
        <v/>
      </c>
      <c r="CJ14" s="69" t="str">
        <f>IFERROR(__xludf.DUMMYFUNCTION("IF($J14&lt;&gt;"""",IFERROR(FILTER(RawTotals!$AJ:$AJ,RawTotals!$A:$A=AZ14)-(FILTER(Data!$K:$K,Data!$B:$B=AZ14,Data!$D:$D=$J14)+FILTER(Data!$L:$L,Data!$B:$B=AZ14,Data!$D:$D=$J14)),""""),"""")"),"")</f>
        <v/>
      </c>
      <c r="CK14" s="69" t="str">
        <f>IFERROR(__xludf.DUMMYFUNCTION("IF($K14&lt;&gt;"""",IFERROR(FILTER(RawTotals!$AJ:$AJ,RawTotals!$A:$A=BA14)-(FILTER(Data!$K:$K,Data!$B:$B=BA14,Data!$D:$D=$K14)+FILTER(Data!$L:$L,Data!$B:$B=BA14,Data!$D:$D=$K14)),""""),"""")"),"")</f>
        <v/>
      </c>
      <c r="CL14" s="69" t="str">
        <f>IFERROR(__xludf.DUMMYFUNCTION("IF($K14&lt;&gt;"""",IFERROR(FILTER(RawTotals!$AJ:$AJ,RawTotals!$A:$A=BB14)-(FILTER(Data!$K:$K,Data!$B:$B=BB14,Data!$D:$D=$K14)+FILTER(Data!$L:$L,Data!$B:$B=BB14,Data!$D:$D=$K14)),""""),"""")"),"")</f>
        <v/>
      </c>
      <c r="CM14" s="69" t="str">
        <f>IFERROR(__xludf.DUMMYFUNCTION("IF($K14&lt;&gt;"""",IFERROR(FILTER(RawTotals!$AJ:$AJ,RawTotals!$A:$A=BC14)-(FILTER(Data!$K:$K,Data!$B:$B=BC14,Data!$D:$D=$K14)+FILTER(Data!$L:$L,Data!$B:$B=BC14,Data!$D:$D=$K14)),""""),"""")"),"")</f>
        <v/>
      </c>
      <c r="CN14" s="69" t="str">
        <f>IFERROR(__xludf.DUMMYFUNCTION("IF($L14&lt;&gt;"""",IFERROR((FILTER(RawTotals!$AJ:$AJ,RawTotals!$A:$A=BD14)-(FILTER(Data!$K:$K,Data!$B:$B=BD14,Data!$D:$D=$L14)+FILTER(Data!$L:$L,Data!$B:$B=BD14,Data!$D:$D=$L14))),""""),"""")"),"")</f>
        <v/>
      </c>
      <c r="CO14" s="69" t="str">
        <f>IFERROR(__xludf.DUMMYFUNCTION("IF($L14&lt;&gt;"""",IFERROR((FILTER(RawTotals!$AJ:$AJ,RawTotals!$A:$A=BE14)-(FILTER(Data!$K:$K,Data!$B:$B=BE14,Data!$D:$D=$L14)+FILTER(Data!$L:$L,Data!$B:$B=BE14,Data!$D:$D=$L14))),""""),"""")"),"")</f>
        <v/>
      </c>
      <c r="CP14" s="69" t="str">
        <f>IFERROR(__xludf.DUMMYFUNCTION("IF($L14&lt;&gt;"""",IFERROR((FILTER(RawTotals!$AJ:$AJ,RawTotals!$A:$A=BF14)-(FILTER(Data!$K:$K,Data!$B:$B=BF14,Data!$D:$D=$L14)+FILTER(Data!$L:$L,Data!$B:$B=BF14,Data!$D:$D=$L14))),""""),"""")"),"")</f>
        <v/>
      </c>
      <c r="CQ14" s="69" t="str">
        <f>IFERROR(__xludf.DUMMYFUNCTION("IF($M14&lt;&gt;"""",IFERROR((FILTER(RawTotals!$AJ:$AJ,RawTotals!$A:$A=BG14)-(FILTER(Data!$K:$K,Data!$B:$B=BG14,Data!$D:$D=$M14)+FILTER(Data!$L:$L,Data!$B:$B=BG14,Data!$D:$D=$M14))),""""),"""")"),"")</f>
        <v/>
      </c>
      <c r="CR14" s="69" t="str">
        <f>IFERROR(__xludf.DUMMYFUNCTION("IF($M14&lt;&gt;"""",IFERROR((FILTER(RawTotals!$AJ:$AJ,RawTotals!$A:$A=BH14)-(FILTER(Data!$K:$K,Data!$B:$B=BH14,Data!$D:$D=$M14)+FILTER(Data!$L:$L,Data!$B:$B=BH14,Data!$D:$D=$M14))),""""),"""")"),"")</f>
        <v/>
      </c>
      <c r="CS14" s="70" t="str">
        <f>IFERROR(__xludf.DUMMYFUNCTION("IF($M14&lt;&gt;"""",IFERROR((FILTER(RawTotals!$AJ:$AJ,RawTotals!$A:$A=BI14)-(FILTER(Data!$K:$K,Data!$B:$B=BI14,Data!$D:$D=$M14)+FILTER(Data!$L:$L,Data!$B:$B=BI14,Data!$D:$D=$M14))),""""),"""")"),"")</f>
        <v/>
      </c>
      <c r="CT14" s="69"/>
      <c r="CU14" s="69"/>
      <c r="CV14" s="69"/>
      <c r="CW14" s="69"/>
      <c r="CX14" s="69"/>
      <c r="CY14" s="69"/>
      <c r="CZ14" s="69"/>
      <c r="DA14" s="69"/>
      <c r="DB14" s="69"/>
      <c r="DC14" s="69"/>
      <c r="DD14" s="69"/>
      <c r="DE14" s="69"/>
    </row>
    <row r="15">
      <c r="A15" s="67">
        <f>RawTotals!A15</f>
        <v>67</v>
      </c>
      <c r="B15" s="68" t="str">
        <f>IFERROR(__xludf.DUMMYFUNCTION("IF(A15&lt;&gt;"""",IFERROR(TRANSPOSE(FILTER(Data!D:D,Data!B:B=A15,Data!R:R&lt;&gt;"""")),""No Defense""),"""")"),"No Defense")</f>
        <v>No Defense</v>
      </c>
      <c r="C15" s="65"/>
      <c r="D15" s="65"/>
      <c r="E15" s="65"/>
      <c r="F15" s="65"/>
      <c r="G15" s="65"/>
      <c r="H15" s="65"/>
      <c r="I15" s="65"/>
      <c r="J15" s="65"/>
      <c r="K15" s="65"/>
      <c r="L15" s="65"/>
      <c r="M15" s="65"/>
      <c r="N15" s="64" t="str">
        <f>IFERROR(__xludf.DUMMYFUNCTION("IFERROR(Textjoin("""",TRUE,FILTER(Data!$R:$R,Data!$D:$D=B15,Data!$B:$B=$A15)),"""")"),"")</f>
        <v/>
      </c>
      <c r="O15" s="64" t="str">
        <f>IFERROR(__xludf.DUMMYFUNCTION("IFERROR(Textjoin("""",TRUE,FILTER(Data!$R:$R,Data!$D:$D=C15,Data!$B:$B=$A15)),"""")"),"")</f>
        <v/>
      </c>
      <c r="P15" s="64" t="str">
        <f>IFERROR(__xludf.DUMMYFUNCTION("IFERROR(Textjoin("""",TRUE,FILTER(Data!$R:$R,Data!$D:$D=D15,Data!$B:$B=$A15)),"""")"),"")</f>
        <v/>
      </c>
      <c r="Q15" s="64" t="str">
        <f>IFERROR(__xludf.DUMMYFUNCTION("IFERROR(Textjoin("""",TRUE,FILTER(Data!$R:$R,Data!$D:$D=E15,Data!$B:$B=$A15)),"""")"),"")</f>
        <v/>
      </c>
      <c r="R15" s="64" t="str">
        <f>IFERROR(__xludf.DUMMYFUNCTION("IFERROR(Textjoin("""",TRUE,FILTER(Data!$R:$R,Data!$D:$D=F15,Data!$B:$B=$A15)),"""")"),"")</f>
        <v/>
      </c>
      <c r="S15" s="64" t="str">
        <f>IFERROR(__xludf.DUMMYFUNCTION("IFERROR(Textjoin("""",TRUE,FILTER(Data!$R:$R,Data!$D:$D=G15,Data!$B:$B=$A15)),"""")"),"")</f>
        <v/>
      </c>
      <c r="T15" s="64" t="str">
        <f>IFERROR(__xludf.DUMMYFUNCTION("IFERROR(Textjoin("""",TRUE,FILTER(Data!$R:$R,Data!$D:$D=H15,Data!$B:$B=$A15)),"""")"),"")</f>
        <v/>
      </c>
      <c r="U15" s="64" t="str">
        <f>IFERROR(__xludf.DUMMYFUNCTION("IFERROR(Textjoin("""",TRUE,FILTER(Data!$R:$R,Data!$D:$D=I15,Data!$B:$B=$A15)),"""")"),"")</f>
        <v/>
      </c>
      <c r="V15" s="64" t="str">
        <f>IFERROR(__xludf.DUMMYFUNCTION("IFERROR(Textjoin("""",TRUE,FILTER(Data!$R:$R,Data!$D:$D=J15,Data!$B:$B=$A15)),"""")"),"")</f>
        <v/>
      </c>
      <c r="W15" s="64" t="str">
        <f>IFERROR(__xludf.DUMMYFUNCTION("IFERROR(Textjoin("""",TRUE,FILTER(Data!$R:$R,Data!$D:$D=K15,Data!$B:$B=$A15)),"""")"),"")</f>
        <v/>
      </c>
      <c r="X15" s="64" t="str">
        <f>IFERROR(__xludf.DUMMYFUNCTION("IFERROR(Textjoin("""",TRUE,FILTER(Data!$R:$R,Data!$D:$D=L15,Data!$B:$B=$A15)),"""")"),"")</f>
        <v/>
      </c>
      <c r="Y15" s="64" t="str">
        <f>IFERROR(__xludf.DUMMYFUNCTION("IFERROR(Textjoin("""",TRUE,FILTER(Data!$R:$R,Data!$D:$D=M15,Data!$B:$B=$A15)),"""")"),"")</f>
        <v/>
      </c>
      <c r="Z15" s="64" t="str">
        <f>IFERROR(__xludf.DUMMYFUNCTION("IFERROR(SPLIT(N15,"",""),"""")"),"")</f>
        <v/>
      </c>
      <c r="AA15" s="65"/>
      <c r="AB15" s="65"/>
      <c r="AC15" s="69" t="str">
        <f>IFERROR(__xludf.DUMMYFUNCTION("IFERROR(SPLIT(O15,"",""),"""")"),"")</f>
        <v/>
      </c>
      <c r="AD15" s="65"/>
      <c r="AE15" s="65"/>
      <c r="AF15" s="69" t="str">
        <f>IFERROR(__xludf.DUMMYFUNCTION("IFERROR(SPLIT(P15,"",""),"""")"),"")</f>
        <v/>
      </c>
      <c r="AG15" s="65"/>
      <c r="AH15" s="65"/>
      <c r="AI15" s="69" t="str">
        <f>IFERROR(__xludf.DUMMYFUNCTION("IFERROR(SPLIT(Q15,"",""),"""")"),"")</f>
        <v/>
      </c>
      <c r="AJ15" s="65"/>
      <c r="AK15" s="65"/>
      <c r="AL15" s="69" t="str">
        <f>IFERROR(__xludf.DUMMYFUNCTION("IFERROR(SPLIT(R15,"",""),"""")"),"")</f>
        <v/>
      </c>
      <c r="AM15" s="65"/>
      <c r="AN15" s="65"/>
      <c r="AO15" s="69" t="str">
        <f>IFERROR(__xludf.DUMMYFUNCTION("IFERROR(SPLIT(S15,"",""),"""")"),"")</f>
        <v/>
      </c>
      <c r="AP15" s="65"/>
      <c r="AQ15" s="65"/>
      <c r="AR15" s="69" t="str">
        <f>IFERROR(__xludf.DUMMYFUNCTION("IFERROR(SPLIT(T15,"",""),"""")"),"")</f>
        <v/>
      </c>
      <c r="AS15" s="65"/>
      <c r="AT15" s="65"/>
      <c r="AU15" s="69" t="str">
        <f>IFERROR(__xludf.DUMMYFUNCTION("IFERROR(SPLIT(U15,"",""),"""")"),"")</f>
        <v/>
      </c>
      <c r="AV15" s="65"/>
      <c r="AW15" s="65"/>
      <c r="AX15" s="69" t="str">
        <f>IFERROR(__xludf.DUMMYFUNCTION("IFERROR(SPLIT(V15,"",""),"""")"),"")</f>
        <v/>
      </c>
      <c r="AY15" s="65"/>
      <c r="AZ15" s="65"/>
      <c r="BA15" s="69" t="str">
        <f>IFERROR(__xludf.DUMMYFUNCTION("IFERROR(SPLIT(W15,"",""),"""")"),"")</f>
        <v/>
      </c>
      <c r="BB15" s="69"/>
      <c r="BC15" s="69"/>
      <c r="BD15" s="69" t="str">
        <f>IFERROR(__xludf.DUMMYFUNCTION("IFERROR(SPLIT(X15,"",""),"""")"),"")</f>
        <v/>
      </c>
      <c r="BE15" s="69"/>
      <c r="BF15" s="69"/>
      <c r="BG15" s="69" t="str">
        <f>IFERROR(__xludf.DUMMYFUNCTION("IFERROR(SPLIT(Y15,"",""),"""")"),"")</f>
        <v/>
      </c>
      <c r="BH15" s="69"/>
      <c r="BI15" s="69"/>
      <c r="BJ15" s="68" t="str">
        <f>IFERROR(__xludf.DUMMYFUNCTION("IF($B15&lt;&gt;"""",IFERROR(FILTER(RawTotals!$AJ:$AJ,RawTotals!$A:$A=Z15)-(FILTER(Data!$K:$K,Data!$B:$B=Z15,Data!$D:$D=$B15)+FILTER(Data!$L:$L,Data!$B:$B=Z15,Data!$D:$D=$B15)),""""),"""")"),"")</f>
        <v/>
      </c>
      <c r="BK15" s="68" t="str">
        <f>IFERROR(__xludf.DUMMYFUNCTION("IF($B15&lt;&gt;"""",IFERROR(FILTER(RawTotals!$AJ:$AJ,RawTotals!$A:$A=AA15)-(FILTER(Data!$K:$K,Data!$B:$B=AA15,Data!$D:$D=$B15)+FILTER(Data!$L:$L,Data!$B:$B=AA15,Data!$D:$D=$B15)),""""),"""")"),"")</f>
        <v/>
      </c>
      <c r="BL15" s="68" t="str">
        <f>IFERROR(__xludf.DUMMYFUNCTION("IF($B15&lt;&gt;"""",IFERROR(FILTER(RawTotals!$AJ:$AJ,RawTotals!$A:$A=AB15)-(FILTER(Data!$K:$K,Data!$B:$B=AB15,Data!$D:$D=$B15)+FILTER(Data!$L:$L,Data!$B:$B=AB15,Data!$D:$D=$B15)),""""),"""")"),"")</f>
        <v/>
      </c>
      <c r="BM15" s="69" t="str">
        <f>IFERROR(__xludf.DUMMYFUNCTION("IF($C15&lt;&gt;"""",IFERROR(FILTER(RawTotals!$AJ:$AJ,RawTotals!$A:$A=AC15)-(FILTER(Data!$K:$K,Data!$B:$B=AC15,Data!$D:$D=$C15)+FILTER(Data!$L:$L,Data!$B:$B=AC15,Data!$D:$D=$C15)),""""),"""")"),"")</f>
        <v/>
      </c>
      <c r="BN15" s="69" t="str">
        <f>IFERROR(__xludf.DUMMYFUNCTION("IF($C15&lt;&gt;"""",IFERROR(FILTER(RawTotals!$AJ:$AJ,RawTotals!$A:$A=AD15)-(FILTER(Data!$K:$K,Data!$B:$B=AD15,Data!$D:$D=$C15)+FILTER(Data!$L:$L,Data!$B:$B=AD15,Data!$D:$D=$C15)),""""),"""")"),"")</f>
        <v/>
      </c>
      <c r="BO15" s="69" t="str">
        <f>IFERROR(__xludf.DUMMYFUNCTION("IF($C15&lt;&gt;"""",IFERROR(FILTER(RawTotals!$AJ:$AJ,RawTotals!$A:$A=AE15)-(FILTER(Data!$K:$K,Data!$B:$B=AE15,Data!$D:$D=$C15)+FILTER(Data!$L:$L,Data!$B:$B=AE15,Data!$D:$D=$C15)),""""),"""")"),"")</f>
        <v/>
      </c>
      <c r="BP15" s="69" t="str">
        <f>IFERROR(__xludf.DUMMYFUNCTION("IF($D15&lt;&gt;"""",IFERROR(FILTER(RawTotals!$AJ:$AJ,RawTotals!$A:$A=AF15)-(FILTER(Data!$K:$K,Data!$B:$B=AF15,Data!$D:$D=$D15)+FILTER(Data!$L:$L,Data!$B:$B=AF15,Data!$D:$D=$D15)),""""),"""")"),"")</f>
        <v/>
      </c>
      <c r="BQ15" s="69" t="str">
        <f>IFERROR(__xludf.DUMMYFUNCTION("IF($D15&lt;&gt;"""",IFERROR(FILTER(RawTotals!$AJ:$AJ,RawTotals!$A:$A=AG15)-(FILTER(Data!$K:$K,Data!$B:$B=AG15,Data!$D:$D=$D15)+FILTER(Data!$L:$L,Data!$B:$B=AG15,Data!$D:$D=$D15)),""""),"""")"),"")</f>
        <v/>
      </c>
      <c r="BR15" s="69" t="str">
        <f>IFERROR(__xludf.DUMMYFUNCTION("IF($D15&lt;&gt;"""",IFERROR(FILTER(RawTotals!$AJ:$AJ,RawTotals!$A:$A=AH15)-(FILTER(Data!$K:$K,Data!$B:$B=AH15,Data!$D:$D=$D15)+FILTER(Data!$L:$L,Data!$B:$B=AH15,Data!$D:$D=$D15)),""""),"""")"),"")</f>
        <v/>
      </c>
      <c r="BS15" s="69" t="str">
        <f>IFERROR(__xludf.DUMMYFUNCTION("IF($E15&lt;&gt;"""",IFERROR(FILTER(RawTotals!$AJ:$AJ,RawTotals!$A:$A=AI15)-(FILTER(Data!$K:$K,Data!$B:$B=AI15,Data!$D:$D=$E15)+FILTER(Data!$L:$L,Data!$B:$B=AI15,Data!$D:$D=$E15)),""""),"""")"),"")</f>
        <v/>
      </c>
      <c r="BT15" s="69" t="str">
        <f>IFERROR(__xludf.DUMMYFUNCTION("IF($E15&lt;&gt;"""",IFERROR(FILTER(RawTotals!$AJ:$AJ,RawTotals!$A:$A=AJ15)-(FILTER(Data!$K:$K,Data!$B:$B=AJ15,Data!$D:$D=$E15)+FILTER(Data!$L:$L,Data!$B:$B=AJ15,Data!$D:$D=$E15)),""""),"""")"),"")</f>
        <v/>
      </c>
      <c r="BU15" s="69" t="str">
        <f>IFERROR(__xludf.DUMMYFUNCTION("IF($E15&lt;&gt;"""",IFERROR(FILTER(RawTotals!$AJ:$AJ,RawTotals!$A:$A=AK15)-(FILTER(Data!$K:$K,Data!$B:$B=AK15,Data!$D:$D=$E15)+FILTER(Data!$L:$L,Data!$B:$B=AK15,Data!$D:$D=$E15)),""""),"""")"),"")</f>
        <v/>
      </c>
      <c r="BV15" s="69" t="str">
        <f>IFERROR(__xludf.DUMMYFUNCTION("IF($F15&lt;&gt;"""",IFERROR(FILTER(RawTotals!$AJ:$AJ,RawTotals!$A:$A=AL15)-(FILTER(Data!$K:$K,Data!$B:$B=AL15,Data!$D:$D=$F15)+FILTER(Data!$L:$L,Data!$B:$B=AL15,Data!$D:$D=$F15)),""""),"""")"),"")</f>
        <v/>
      </c>
      <c r="BW15" s="69" t="str">
        <f>IFERROR(__xludf.DUMMYFUNCTION("IF($F15&lt;&gt;"""",IFERROR(FILTER(RawTotals!$AJ:$AJ,RawTotals!$A:$A=AM15)-(FILTER(Data!$K:$K,Data!$B:$B=AM15,Data!$D:$D=$F15)+FILTER(Data!$L:$L,Data!$B:$B=AM15,Data!$D:$D=$F15)),""""),"""")"),"")</f>
        <v/>
      </c>
      <c r="BX15" s="69" t="str">
        <f>IFERROR(__xludf.DUMMYFUNCTION("IF($F15&lt;&gt;"""",IFERROR(FILTER(RawTotals!$AJ:$AJ,RawTotals!$A:$A=AN15)-(FILTER(Data!$K:$K,Data!$B:$B=AN15,Data!$D:$D=$F15)+FILTER(Data!$L:$L,Data!$B:$B=AN15,Data!$D:$D=$F15)),""""),"""")"),"")</f>
        <v/>
      </c>
      <c r="BY15" s="69" t="str">
        <f>IFERROR(__xludf.DUMMYFUNCTION("IF($G15&lt;&gt;"""",IFERROR(FILTER(RawTotals!$AJ:$AJ,RawTotals!$A:$A=AO15)-(FILTER(Data!$K:$K,Data!$B:$B=AO15,Data!$D:$D=$G15)+FILTER(Data!$L:$L,Data!$B:$B=AO15,Data!$D:$D=$G15)),""""),"""")"),"")</f>
        <v/>
      </c>
      <c r="BZ15" s="69" t="str">
        <f>IFERROR(__xludf.DUMMYFUNCTION("IF($G15&lt;&gt;"""",IFERROR(FILTER(RawTotals!$AJ:$AJ,RawTotals!$A:$A=AP15)-(FILTER(Data!$K:$K,Data!$B:$B=AP15,Data!$D:$D=$G15)+FILTER(Data!$L:$L,Data!$B:$B=AP15,Data!$D:$D=$G15)),""""),"""")"),"")</f>
        <v/>
      </c>
      <c r="CA15" s="69" t="str">
        <f>IFERROR(__xludf.DUMMYFUNCTION("IF($G15&lt;&gt;"""",IFERROR(FILTER(RawTotals!$AJ:$AJ,RawTotals!$A:$A=AQ15)-(FILTER(Data!$K:$K,Data!$B:$B=AQ15,Data!$D:$D=$G15)+FILTER(Data!$L:$L,Data!$B:$B=AQ15,Data!$D:$D=$G15)),""""),"""")"),"")</f>
        <v/>
      </c>
      <c r="CB15" s="69" t="str">
        <f>IFERROR(__xludf.DUMMYFUNCTION("IF($H15&lt;&gt;"""",IFERROR(FILTER(RawTotals!$AJ:$AJ,RawTotals!$A:$A=AR15)-(FILTER(Data!$K:$K,Data!$B:$B=AR15,Data!$D:$D=$H15)+FILTER(Data!$L:$L,Data!$B:$B=AR15,Data!$D:$D=$H15)),""""),"""")"),"")</f>
        <v/>
      </c>
      <c r="CC15" s="69" t="str">
        <f>IFERROR(__xludf.DUMMYFUNCTION("IF($H15&lt;&gt;"""",IFERROR(FILTER(RawTotals!$AJ:$AJ,RawTotals!$A:$A=AS15)-(FILTER(Data!$K:$K,Data!$B:$B=AS15,Data!$D:$D=$H15)+FILTER(Data!$L:$L,Data!$B:$B=AS15,Data!$D:$D=$H15)),""""),"""")"),"")</f>
        <v/>
      </c>
      <c r="CD15" s="69" t="str">
        <f>IFERROR(__xludf.DUMMYFUNCTION("IF($H15&lt;&gt;"""",IFERROR(FILTER(RawTotals!$AJ:$AJ,RawTotals!$A:$A=AT15)-(FILTER(Data!$K:$K,Data!$B:$B=AT15,Data!$D:$D=$H15)+FILTER(Data!$L:$L,Data!$B:$B=AT15,Data!$D:$D=$H15)),""""),"""")"),"")</f>
        <v/>
      </c>
      <c r="CE15" s="69" t="str">
        <f>IFERROR(__xludf.DUMMYFUNCTION("IF($I15&lt;&gt;"""",IFERROR(FILTER(RawTotals!$AJ:$AJ,RawTotals!$A:$A=AU15)-(FILTER(Data!$K:$K,Data!$B:$B=AU15,Data!$D:$D=$I15)+FILTER(Data!$L:$L,Data!$B:$B=AU15,Data!$D:$D=$I15)),""""),"""")"),"")</f>
        <v/>
      </c>
      <c r="CF15" s="69" t="str">
        <f>IFERROR(__xludf.DUMMYFUNCTION("IF($I15&lt;&gt;"""",IFERROR(FILTER(RawTotals!$AJ:$AJ,RawTotals!$A:$A=AV15)-(FILTER(Data!$K:$K,Data!$B:$B=AV15,Data!$D:$D=$I15)+FILTER(Data!$L:$L,Data!$B:$B=AV15,Data!$D:$D=$I15)),""""),"""")"),"")</f>
        <v/>
      </c>
      <c r="CG15" s="69" t="str">
        <f>IFERROR(__xludf.DUMMYFUNCTION("IF($I15&lt;&gt;"""",IFERROR(FILTER(RawTotals!$AJ:$AJ,RawTotals!$A:$A=AW15)-(FILTER(Data!$K:$K,Data!$B:$B=AW15,Data!$D:$D=$I15)+FILTER(Data!$L:$L,Data!$B:$B=AW15,Data!$D:$D=$I15)),""""),"""")"),"")</f>
        <v/>
      </c>
      <c r="CH15" s="69" t="str">
        <f>IFERROR(__xludf.DUMMYFUNCTION("IF($J15&lt;&gt;"""",IFERROR(FILTER(RawTotals!$AJ:$AJ,RawTotals!$A:$A=AX15)-(FILTER(Data!$K:$K,Data!$B:$B=AX15,Data!$D:$D=$J15)+FILTER(Data!$L:$L,Data!$B:$B=AX15,Data!$D:$D=$J15)),""""),"""")"),"")</f>
        <v/>
      </c>
      <c r="CI15" s="69" t="str">
        <f>IFERROR(__xludf.DUMMYFUNCTION("IF($J15&lt;&gt;"""",IFERROR(FILTER(RawTotals!$AJ:$AJ,RawTotals!$A:$A=AY15)-(FILTER(Data!$K:$K,Data!$B:$B=AY15,Data!$D:$D=$J15)+FILTER(Data!$L:$L,Data!$B:$B=AY15,Data!$D:$D=$J15)),""""),"""")"),"")</f>
        <v/>
      </c>
      <c r="CJ15" s="69" t="str">
        <f>IFERROR(__xludf.DUMMYFUNCTION("IF($J15&lt;&gt;"""",IFERROR(FILTER(RawTotals!$AJ:$AJ,RawTotals!$A:$A=AZ15)-(FILTER(Data!$K:$K,Data!$B:$B=AZ15,Data!$D:$D=$J15)+FILTER(Data!$L:$L,Data!$B:$B=AZ15,Data!$D:$D=$J15)),""""),"""")"),"")</f>
        <v/>
      </c>
      <c r="CK15" s="69" t="str">
        <f>IFERROR(__xludf.DUMMYFUNCTION("IF($K15&lt;&gt;"""",IFERROR(FILTER(RawTotals!$AJ:$AJ,RawTotals!$A:$A=BA15)-(FILTER(Data!$K:$K,Data!$B:$B=BA15,Data!$D:$D=$K15)+FILTER(Data!$L:$L,Data!$B:$B=BA15,Data!$D:$D=$K15)),""""),"""")"),"")</f>
        <v/>
      </c>
      <c r="CL15" s="69" t="str">
        <f>IFERROR(__xludf.DUMMYFUNCTION("IF($K15&lt;&gt;"""",IFERROR(FILTER(RawTotals!$AJ:$AJ,RawTotals!$A:$A=BB15)-(FILTER(Data!$K:$K,Data!$B:$B=BB15,Data!$D:$D=$K15)+FILTER(Data!$L:$L,Data!$B:$B=BB15,Data!$D:$D=$K15)),""""),"""")"),"")</f>
        <v/>
      </c>
      <c r="CM15" s="69" t="str">
        <f>IFERROR(__xludf.DUMMYFUNCTION("IF($K15&lt;&gt;"""",IFERROR(FILTER(RawTotals!$AJ:$AJ,RawTotals!$A:$A=BC15)-(FILTER(Data!$K:$K,Data!$B:$B=BC15,Data!$D:$D=$K15)+FILTER(Data!$L:$L,Data!$B:$B=BC15,Data!$D:$D=$K15)),""""),"""")"),"")</f>
        <v/>
      </c>
      <c r="CN15" s="69" t="str">
        <f>IFERROR(__xludf.DUMMYFUNCTION("IF($L15&lt;&gt;"""",IFERROR((FILTER(RawTotals!$AJ:$AJ,RawTotals!$A:$A=BD15)-(FILTER(Data!$K:$K,Data!$B:$B=BD15,Data!$D:$D=$L15)+FILTER(Data!$L:$L,Data!$B:$B=BD15,Data!$D:$D=$L15))),""""),"""")"),"")</f>
        <v/>
      </c>
      <c r="CO15" s="69" t="str">
        <f>IFERROR(__xludf.DUMMYFUNCTION("IF($L15&lt;&gt;"""",IFERROR((FILTER(RawTotals!$AJ:$AJ,RawTotals!$A:$A=BE15)-(FILTER(Data!$K:$K,Data!$B:$B=BE15,Data!$D:$D=$L15)+FILTER(Data!$L:$L,Data!$B:$B=BE15,Data!$D:$D=$L15))),""""),"""")"),"")</f>
        <v/>
      </c>
      <c r="CP15" s="69" t="str">
        <f>IFERROR(__xludf.DUMMYFUNCTION("IF($L15&lt;&gt;"""",IFERROR((FILTER(RawTotals!$AJ:$AJ,RawTotals!$A:$A=BF15)-(FILTER(Data!$K:$K,Data!$B:$B=BF15,Data!$D:$D=$L15)+FILTER(Data!$L:$L,Data!$B:$B=BF15,Data!$D:$D=$L15))),""""),"""")"),"")</f>
        <v/>
      </c>
      <c r="CQ15" s="69" t="str">
        <f>IFERROR(__xludf.DUMMYFUNCTION("IF($M15&lt;&gt;"""",IFERROR((FILTER(RawTotals!$AJ:$AJ,RawTotals!$A:$A=BG15)-(FILTER(Data!$K:$K,Data!$B:$B=BG15,Data!$D:$D=$M15)+FILTER(Data!$L:$L,Data!$B:$B=BG15,Data!$D:$D=$M15))),""""),"""")"),"")</f>
        <v/>
      </c>
      <c r="CR15" s="69" t="str">
        <f>IFERROR(__xludf.DUMMYFUNCTION("IF($M15&lt;&gt;"""",IFERROR((FILTER(RawTotals!$AJ:$AJ,RawTotals!$A:$A=BH15)-(FILTER(Data!$K:$K,Data!$B:$B=BH15,Data!$D:$D=$M15)+FILTER(Data!$L:$L,Data!$B:$B=BH15,Data!$D:$D=$M15))),""""),"""")"),"")</f>
        <v/>
      </c>
      <c r="CS15" s="70" t="str">
        <f>IFERROR(__xludf.DUMMYFUNCTION("IF($M15&lt;&gt;"""",IFERROR((FILTER(RawTotals!$AJ:$AJ,RawTotals!$A:$A=BI15)-(FILTER(Data!$K:$K,Data!$B:$B=BI15,Data!$D:$D=$M15)+FILTER(Data!$L:$L,Data!$B:$B=BI15,Data!$D:$D=$M15))),""""),"""")"),"")</f>
        <v/>
      </c>
      <c r="CT15" s="69"/>
      <c r="CU15" s="69"/>
      <c r="CV15" s="69"/>
      <c r="CW15" s="69"/>
      <c r="CX15" s="69"/>
      <c r="CY15" s="69"/>
      <c r="CZ15" s="69"/>
      <c r="DA15" s="69"/>
      <c r="DB15" s="69"/>
      <c r="DC15" s="69"/>
      <c r="DD15" s="69"/>
      <c r="DE15" s="69"/>
    </row>
    <row r="16">
      <c r="A16" s="67">
        <f>RawTotals!A16</f>
        <v>27</v>
      </c>
      <c r="B16" s="68" t="str">
        <f>IFERROR(__xludf.DUMMYFUNCTION("IF(A16&lt;&gt;"""",IFERROR(TRANSPOSE(FILTER(Data!D:D,Data!B:B=A16,Data!R:R&lt;&gt;"""")),""No Defense""),"""")"),"No Defense")</f>
        <v>No Defense</v>
      </c>
      <c r="C16" s="65"/>
      <c r="D16" s="65"/>
      <c r="E16" s="65"/>
      <c r="F16" s="65"/>
      <c r="G16" s="65"/>
      <c r="H16" s="65"/>
      <c r="I16" s="65"/>
      <c r="J16" s="65"/>
      <c r="K16" s="65"/>
      <c r="L16" s="65"/>
      <c r="M16" s="65"/>
      <c r="N16" s="64" t="str">
        <f>IFERROR(__xludf.DUMMYFUNCTION("IFERROR(Textjoin("""",TRUE,FILTER(Data!$R:$R,Data!$D:$D=B16,Data!$B:$B=$A16)),"""")"),"")</f>
        <v/>
      </c>
      <c r="O16" s="64" t="str">
        <f>IFERROR(__xludf.DUMMYFUNCTION("IFERROR(Textjoin("""",TRUE,FILTER(Data!$R:$R,Data!$D:$D=C16,Data!$B:$B=$A16)),"""")"),"")</f>
        <v/>
      </c>
      <c r="P16" s="64" t="str">
        <f>IFERROR(__xludf.DUMMYFUNCTION("IFERROR(Textjoin("""",TRUE,FILTER(Data!$R:$R,Data!$D:$D=D16,Data!$B:$B=$A16)),"""")"),"")</f>
        <v/>
      </c>
      <c r="Q16" s="64" t="str">
        <f>IFERROR(__xludf.DUMMYFUNCTION("IFERROR(Textjoin("""",TRUE,FILTER(Data!$R:$R,Data!$D:$D=E16,Data!$B:$B=$A16)),"""")"),"")</f>
        <v/>
      </c>
      <c r="R16" s="64" t="str">
        <f>IFERROR(__xludf.DUMMYFUNCTION("IFERROR(Textjoin("""",TRUE,FILTER(Data!$R:$R,Data!$D:$D=F16,Data!$B:$B=$A16)),"""")"),"")</f>
        <v/>
      </c>
      <c r="S16" s="64" t="str">
        <f>IFERROR(__xludf.DUMMYFUNCTION("IFERROR(Textjoin("""",TRUE,FILTER(Data!$R:$R,Data!$D:$D=G16,Data!$B:$B=$A16)),"""")"),"")</f>
        <v/>
      </c>
      <c r="T16" s="64" t="str">
        <f>IFERROR(__xludf.DUMMYFUNCTION("IFERROR(Textjoin("""",TRUE,FILTER(Data!$R:$R,Data!$D:$D=H16,Data!$B:$B=$A16)),"""")"),"")</f>
        <v/>
      </c>
      <c r="U16" s="64" t="str">
        <f>IFERROR(__xludf.DUMMYFUNCTION("IFERROR(Textjoin("""",TRUE,FILTER(Data!$R:$R,Data!$D:$D=I16,Data!$B:$B=$A16)),"""")"),"")</f>
        <v/>
      </c>
      <c r="V16" s="64" t="str">
        <f>IFERROR(__xludf.DUMMYFUNCTION("IFERROR(Textjoin("""",TRUE,FILTER(Data!$R:$R,Data!$D:$D=J16,Data!$B:$B=$A16)),"""")"),"")</f>
        <v/>
      </c>
      <c r="W16" s="64" t="str">
        <f>IFERROR(__xludf.DUMMYFUNCTION("IFERROR(Textjoin("""",TRUE,FILTER(Data!$R:$R,Data!$D:$D=K16,Data!$B:$B=$A16)),"""")"),"")</f>
        <v/>
      </c>
      <c r="X16" s="64" t="str">
        <f>IFERROR(__xludf.DUMMYFUNCTION("IFERROR(Textjoin("""",TRUE,FILTER(Data!$R:$R,Data!$D:$D=L16,Data!$B:$B=$A16)),"""")"),"")</f>
        <v/>
      </c>
      <c r="Y16" s="64" t="str">
        <f>IFERROR(__xludf.DUMMYFUNCTION("IFERROR(Textjoin("""",TRUE,FILTER(Data!$R:$R,Data!$D:$D=M16,Data!$B:$B=$A16)),"""")"),"")</f>
        <v/>
      </c>
      <c r="Z16" s="64" t="str">
        <f>IFERROR(__xludf.DUMMYFUNCTION("IFERROR(SPLIT(N16,"",""),"""")"),"")</f>
        <v/>
      </c>
      <c r="AA16" s="65"/>
      <c r="AB16" s="65"/>
      <c r="AC16" s="69" t="str">
        <f>IFERROR(__xludf.DUMMYFUNCTION("IFERROR(SPLIT(O16,"",""),"""")"),"")</f>
        <v/>
      </c>
      <c r="AD16" s="65"/>
      <c r="AE16" s="65"/>
      <c r="AF16" s="69" t="str">
        <f>IFERROR(__xludf.DUMMYFUNCTION("IFERROR(SPLIT(P16,"",""),"""")"),"")</f>
        <v/>
      </c>
      <c r="AG16" s="65"/>
      <c r="AH16" s="65"/>
      <c r="AI16" s="69" t="str">
        <f>IFERROR(__xludf.DUMMYFUNCTION("IFERROR(SPLIT(Q16,"",""),"""")"),"")</f>
        <v/>
      </c>
      <c r="AJ16" s="65"/>
      <c r="AK16" s="65"/>
      <c r="AL16" s="69" t="str">
        <f>IFERROR(__xludf.DUMMYFUNCTION("IFERROR(SPLIT(R16,"",""),"""")"),"")</f>
        <v/>
      </c>
      <c r="AM16" s="65"/>
      <c r="AN16" s="65"/>
      <c r="AO16" s="69" t="str">
        <f>IFERROR(__xludf.DUMMYFUNCTION("IFERROR(SPLIT(S16,"",""),"""")"),"")</f>
        <v/>
      </c>
      <c r="AP16" s="65"/>
      <c r="AQ16" s="65"/>
      <c r="AR16" s="69" t="str">
        <f>IFERROR(__xludf.DUMMYFUNCTION("IFERROR(SPLIT(T16,"",""),"""")"),"")</f>
        <v/>
      </c>
      <c r="AS16" s="65"/>
      <c r="AT16" s="65"/>
      <c r="AU16" s="69" t="str">
        <f>IFERROR(__xludf.DUMMYFUNCTION("IFERROR(SPLIT(U16,"",""),"""")"),"")</f>
        <v/>
      </c>
      <c r="AV16" s="65"/>
      <c r="AW16" s="65"/>
      <c r="AX16" s="69" t="str">
        <f>IFERROR(__xludf.DUMMYFUNCTION("IFERROR(SPLIT(V16,"",""),"""")"),"")</f>
        <v/>
      </c>
      <c r="AY16" s="65"/>
      <c r="AZ16" s="65"/>
      <c r="BA16" s="69" t="str">
        <f>IFERROR(__xludf.DUMMYFUNCTION("IFERROR(SPLIT(W16,"",""),"""")"),"")</f>
        <v/>
      </c>
      <c r="BB16" s="69"/>
      <c r="BC16" s="69"/>
      <c r="BD16" s="69" t="str">
        <f>IFERROR(__xludf.DUMMYFUNCTION("IFERROR(SPLIT(X16,"",""),"""")"),"")</f>
        <v/>
      </c>
      <c r="BE16" s="69"/>
      <c r="BF16" s="69"/>
      <c r="BG16" s="69" t="str">
        <f>IFERROR(__xludf.DUMMYFUNCTION("IFERROR(SPLIT(Y16,"",""),"""")"),"")</f>
        <v/>
      </c>
      <c r="BH16" s="69"/>
      <c r="BI16" s="69"/>
      <c r="BJ16" s="68" t="str">
        <f>IFERROR(__xludf.DUMMYFUNCTION("IF($B16&lt;&gt;"""",IFERROR(FILTER(RawTotals!$AJ:$AJ,RawTotals!$A:$A=Z16)-(FILTER(Data!$K:$K,Data!$B:$B=Z16,Data!$D:$D=$B16)+FILTER(Data!$L:$L,Data!$B:$B=Z16,Data!$D:$D=$B16)),""""),"""")"),"")</f>
        <v/>
      </c>
      <c r="BK16" s="68" t="str">
        <f>IFERROR(__xludf.DUMMYFUNCTION("IF($B16&lt;&gt;"""",IFERROR(FILTER(RawTotals!$AJ:$AJ,RawTotals!$A:$A=AA16)-(FILTER(Data!$K:$K,Data!$B:$B=AA16,Data!$D:$D=$B16)+FILTER(Data!$L:$L,Data!$B:$B=AA16,Data!$D:$D=$B16)),""""),"""")"),"")</f>
        <v/>
      </c>
      <c r="BL16" s="68" t="str">
        <f>IFERROR(__xludf.DUMMYFUNCTION("IF($B16&lt;&gt;"""",IFERROR(FILTER(RawTotals!$AJ:$AJ,RawTotals!$A:$A=AB16)-(FILTER(Data!$K:$K,Data!$B:$B=AB16,Data!$D:$D=$B16)+FILTER(Data!$L:$L,Data!$B:$B=AB16,Data!$D:$D=$B16)),""""),"""")"),"")</f>
        <v/>
      </c>
      <c r="BM16" s="69" t="str">
        <f>IFERROR(__xludf.DUMMYFUNCTION("IF($C16&lt;&gt;"""",IFERROR(FILTER(RawTotals!$AJ:$AJ,RawTotals!$A:$A=AC16)-(FILTER(Data!$K:$K,Data!$B:$B=AC16,Data!$D:$D=$C16)+FILTER(Data!$L:$L,Data!$B:$B=AC16,Data!$D:$D=$C16)),""""),"""")"),"")</f>
        <v/>
      </c>
      <c r="BN16" s="69" t="str">
        <f>IFERROR(__xludf.DUMMYFUNCTION("IF($C16&lt;&gt;"""",IFERROR(FILTER(RawTotals!$AJ:$AJ,RawTotals!$A:$A=AD16)-(FILTER(Data!$K:$K,Data!$B:$B=AD16,Data!$D:$D=$C16)+FILTER(Data!$L:$L,Data!$B:$B=AD16,Data!$D:$D=$C16)),""""),"""")"),"")</f>
        <v/>
      </c>
      <c r="BO16" s="69" t="str">
        <f>IFERROR(__xludf.DUMMYFUNCTION("IF($C16&lt;&gt;"""",IFERROR(FILTER(RawTotals!$AJ:$AJ,RawTotals!$A:$A=AE16)-(FILTER(Data!$K:$K,Data!$B:$B=AE16,Data!$D:$D=$C16)+FILTER(Data!$L:$L,Data!$B:$B=AE16,Data!$D:$D=$C16)),""""),"""")"),"")</f>
        <v/>
      </c>
      <c r="BP16" s="69" t="str">
        <f>IFERROR(__xludf.DUMMYFUNCTION("IF($D16&lt;&gt;"""",IFERROR(FILTER(RawTotals!$AJ:$AJ,RawTotals!$A:$A=AF16)-(FILTER(Data!$K:$K,Data!$B:$B=AF16,Data!$D:$D=$D16)+FILTER(Data!$L:$L,Data!$B:$B=AF16,Data!$D:$D=$D16)),""""),"""")"),"")</f>
        <v/>
      </c>
      <c r="BQ16" s="69" t="str">
        <f>IFERROR(__xludf.DUMMYFUNCTION("IF($D16&lt;&gt;"""",IFERROR(FILTER(RawTotals!$AJ:$AJ,RawTotals!$A:$A=AG16)-(FILTER(Data!$K:$K,Data!$B:$B=AG16,Data!$D:$D=$D16)+FILTER(Data!$L:$L,Data!$B:$B=AG16,Data!$D:$D=$D16)),""""),"""")"),"")</f>
        <v/>
      </c>
      <c r="BR16" s="69" t="str">
        <f>IFERROR(__xludf.DUMMYFUNCTION("IF($D16&lt;&gt;"""",IFERROR(FILTER(RawTotals!$AJ:$AJ,RawTotals!$A:$A=AH16)-(FILTER(Data!$K:$K,Data!$B:$B=AH16,Data!$D:$D=$D16)+FILTER(Data!$L:$L,Data!$B:$B=AH16,Data!$D:$D=$D16)),""""),"""")"),"")</f>
        <v/>
      </c>
      <c r="BS16" s="69" t="str">
        <f>IFERROR(__xludf.DUMMYFUNCTION("IF($E16&lt;&gt;"""",IFERROR(FILTER(RawTotals!$AJ:$AJ,RawTotals!$A:$A=AI16)-(FILTER(Data!$K:$K,Data!$B:$B=AI16,Data!$D:$D=$E16)+FILTER(Data!$L:$L,Data!$B:$B=AI16,Data!$D:$D=$E16)),""""),"""")"),"")</f>
        <v/>
      </c>
      <c r="BT16" s="69" t="str">
        <f>IFERROR(__xludf.DUMMYFUNCTION("IF($E16&lt;&gt;"""",IFERROR(FILTER(RawTotals!$AJ:$AJ,RawTotals!$A:$A=AJ16)-(FILTER(Data!$K:$K,Data!$B:$B=AJ16,Data!$D:$D=$E16)+FILTER(Data!$L:$L,Data!$B:$B=AJ16,Data!$D:$D=$E16)),""""),"""")"),"")</f>
        <v/>
      </c>
      <c r="BU16" s="69" t="str">
        <f>IFERROR(__xludf.DUMMYFUNCTION("IF($E16&lt;&gt;"""",IFERROR(FILTER(RawTotals!$AJ:$AJ,RawTotals!$A:$A=AK16)-(FILTER(Data!$K:$K,Data!$B:$B=AK16,Data!$D:$D=$E16)+FILTER(Data!$L:$L,Data!$B:$B=AK16,Data!$D:$D=$E16)),""""),"""")"),"")</f>
        <v/>
      </c>
      <c r="BV16" s="69" t="str">
        <f>IFERROR(__xludf.DUMMYFUNCTION("IF($F16&lt;&gt;"""",IFERROR(FILTER(RawTotals!$AJ:$AJ,RawTotals!$A:$A=AL16)-(FILTER(Data!$K:$K,Data!$B:$B=AL16,Data!$D:$D=$F16)+FILTER(Data!$L:$L,Data!$B:$B=AL16,Data!$D:$D=$F16)),""""),"""")"),"")</f>
        <v/>
      </c>
      <c r="BW16" s="69" t="str">
        <f>IFERROR(__xludf.DUMMYFUNCTION("IF($F16&lt;&gt;"""",IFERROR(FILTER(RawTotals!$AJ:$AJ,RawTotals!$A:$A=AM16)-(FILTER(Data!$K:$K,Data!$B:$B=AM16,Data!$D:$D=$F16)+FILTER(Data!$L:$L,Data!$B:$B=AM16,Data!$D:$D=$F16)),""""),"""")"),"")</f>
        <v/>
      </c>
      <c r="BX16" s="69" t="str">
        <f>IFERROR(__xludf.DUMMYFUNCTION("IF($F16&lt;&gt;"""",IFERROR(FILTER(RawTotals!$AJ:$AJ,RawTotals!$A:$A=AN16)-(FILTER(Data!$K:$K,Data!$B:$B=AN16,Data!$D:$D=$F16)+FILTER(Data!$L:$L,Data!$B:$B=AN16,Data!$D:$D=$F16)),""""),"""")"),"")</f>
        <v/>
      </c>
      <c r="BY16" s="69" t="str">
        <f>IFERROR(__xludf.DUMMYFUNCTION("IF($G16&lt;&gt;"""",IFERROR(FILTER(RawTotals!$AJ:$AJ,RawTotals!$A:$A=AO16)-(FILTER(Data!$K:$K,Data!$B:$B=AO16,Data!$D:$D=$G16)+FILTER(Data!$L:$L,Data!$B:$B=AO16,Data!$D:$D=$G16)),""""),"""")"),"")</f>
        <v/>
      </c>
      <c r="BZ16" s="69" t="str">
        <f>IFERROR(__xludf.DUMMYFUNCTION("IF($G16&lt;&gt;"""",IFERROR(FILTER(RawTotals!$AJ:$AJ,RawTotals!$A:$A=AP16)-(FILTER(Data!$K:$K,Data!$B:$B=AP16,Data!$D:$D=$G16)+FILTER(Data!$L:$L,Data!$B:$B=AP16,Data!$D:$D=$G16)),""""),"""")"),"")</f>
        <v/>
      </c>
      <c r="CA16" s="69" t="str">
        <f>IFERROR(__xludf.DUMMYFUNCTION("IF($G16&lt;&gt;"""",IFERROR(FILTER(RawTotals!$AJ:$AJ,RawTotals!$A:$A=AQ16)-(FILTER(Data!$K:$K,Data!$B:$B=AQ16,Data!$D:$D=$G16)+FILTER(Data!$L:$L,Data!$B:$B=AQ16,Data!$D:$D=$G16)),""""),"""")"),"")</f>
        <v/>
      </c>
      <c r="CB16" s="69" t="str">
        <f>IFERROR(__xludf.DUMMYFUNCTION("IF($H16&lt;&gt;"""",IFERROR(FILTER(RawTotals!$AJ:$AJ,RawTotals!$A:$A=AR16)-(FILTER(Data!$K:$K,Data!$B:$B=AR16,Data!$D:$D=$H16)+FILTER(Data!$L:$L,Data!$B:$B=AR16,Data!$D:$D=$H16)),""""),"""")"),"")</f>
        <v/>
      </c>
      <c r="CC16" s="69" t="str">
        <f>IFERROR(__xludf.DUMMYFUNCTION("IF($H16&lt;&gt;"""",IFERROR(FILTER(RawTotals!$AJ:$AJ,RawTotals!$A:$A=AS16)-(FILTER(Data!$K:$K,Data!$B:$B=AS16,Data!$D:$D=$H16)+FILTER(Data!$L:$L,Data!$B:$B=AS16,Data!$D:$D=$H16)),""""),"""")"),"")</f>
        <v/>
      </c>
      <c r="CD16" s="69" t="str">
        <f>IFERROR(__xludf.DUMMYFUNCTION("IF($H16&lt;&gt;"""",IFERROR(FILTER(RawTotals!$AJ:$AJ,RawTotals!$A:$A=AT16)-(FILTER(Data!$K:$K,Data!$B:$B=AT16,Data!$D:$D=$H16)+FILTER(Data!$L:$L,Data!$B:$B=AT16,Data!$D:$D=$H16)),""""),"""")"),"")</f>
        <v/>
      </c>
      <c r="CE16" s="69" t="str">
        <f>IFERROR(__xludf.DUMMYFUNCTION("IF($I16&lt;&gt;"""",IFERROR(FILTER(RawTotals!$AJ:$AJ,RawTotals!$A:$A=AU16)-(FILTER(Data!$K:$K,Data!$B:$B=AU16,Data!$D:$D=$I16)+FILTER(Data!$L:$L,Data!$B:$B=AU16,Data!$D:$D=$I16)),""""),"""")"),"")</f>
        <v/>
      </c>
      <c r="CF16" s="69" t="str">
        <f>IFERROR(__xludf.DUMMYFUNCTION("IF($I16&lt;&gt;"""",IFERROR(FILTER(RawTotals!$AJ:$AJ,RawTotals!$A:$A=AV16)-(FILTER(Data!$K:$K,Data!$B:$B=AV16,Data!$D:$D=$I16)+FILTER(Data!$L:$L,Data!$B:$B=AV16,Data!$D:$D=$I16)),""""),"""")"),"")</f>
        <v/>
      </c>
      <c r="CG16" s="69" t="str">
        <f>IFERROR(__xludf.DUMMYFUNCTION("IF($I16&lt;&gt;"""",IFERROR(FILTER(RawTotals!$AJ:$AJ,RawTotals!$A:$A=AW16)-(FILTER(Data!$K:$K,Data!$B:$B=AW16,Data!$D:$D=$I16)+FILTER(Data!$L:$L,Data!$B:$B=AW16,Data!$D:$D=$I16)),""""),"""")"),"")</f>
        <v/>
      </c>
      <c r="CH16" s="69" t="str">
        <f>IFERROR(__xludf.DUMMYFUNCTION("IF($J16&lt;&gt;"""",IFERROR(FILTER(RawTotals!$AJ:$AJ,RawTotals!$A:$A=AX16)-(FILTER(Data!$K:$K,Data!$B:$B=AX16,Data!$D:$D=$J16)+FILTER(Data!$L:$L,Data!$B:$B=AX16,Data!$D:$D=$J16)),""""),"""")"),"")</f>
        <v/>
      </c>
      <c r="CI16" s="69" t="str">
        <f>IFERROR(__xludf.DUMMYFUNCTION("IF($J16&lt;&gt;"""",IFERROR(FILTER(RawTotals!$AJ:$AJ,RawTotals!$A:$A=AY16)-(FILTER(Data!$K:$K,Data!$B:$B=AY16,Data!$D:$D=$J16)+FILTER(Data!$L:$L,Data!$B:$B=AY16,Data!$D:$D=$J16)),""""),"""")"),"")</f>
        <v/>
      </c>
      <c r="CJ16" s="69" t="str">
        <f>IFERROR(__xludf.DUMMYFUNCTION("IF($J16&lt;&gt;"""",IFERROR(FILTER(RawTotals!$AJ:$AJ,RawTotals!$A:$A=AZ16)-(FILTER(Data!$K:$K,Data!$B:$B=AZ16,Data!$D:$D=$J16)+FILTER(Data!$L:$L,Data!$B:$B=AZ16,Data!$D:$D=$J16)),""""),"""")"),"")</f>
        <v/>
      </c>
      <c r="CK16" s="69" t="str">
        <f>IFERROR(__xludf.DUMMYFUNCTION("IF($K16&lt;&gt;"""",IFERROR(FILTER(RawTotals!$AJ:$AJ,RawTotals!$A:$A=BA16)-(FILTER(Data!$K:$K,Data!$B:$B=BA16,Data!$D:$D=$K16)+FILTER(Data!$L:$L,Data!$B:$B=BA16,Data!$D:$D=$K16)),""""),"""")"),"")</f>
        <v/>
      </c>
      <c r="CL16" s="69" t="str">
        <f>IFERROR(__xludf.DUMMYFUNCTION("IF($K16&lt;&gt;"""",IFERROR(FILTER(RawTotals!$AJ:$AJ,RawTotals!$A:$A=BB16)-(FILTER(Data!$K:$K,Data!$B:$B=BB16,Data!$D:$D=$K16)+FILTER(Data!$L:$L,Data!$B:$B=BB16,Data!$D:$D=$K16)),""""),"""")"),"")</f>
        <v/>
      </c>
      <c r="CM16" s="69" t="str">
        <f>IFERROR(__xludf.DUMMYFUNCTION("IF($K16&lt;&gt;"""",IFERROR(FILTER(RawTotals!$AJ:$AJ,RawTotals!$A:$A=BC16)-(FILTER(Data!$K:$K,Data!$B:$B=BC16,Data!$D:$D=$K16)+FILTER(Data!$L:$L,Data!$B:$B=BC16,Data!$D:$D=$K16)),""""),"""")"),"")</f>
        <v/>
      </c>
      <c r="CN16" s="69" t="str">
        <f>IFERROR(__xludf.DUMMYFUNCTION("IF($L16&lt;&gt;"""",IFERROR((FILTER(RawTotals!$AJ:$AJ,RawTotals!$A:$A=BD16)-(FILTER(Data!$K:$K,Data!$B:$B=BD16,Data!$D:$D=$L16)+FILTER(Data!$L:$L,Data!$B:$B=BD16,Data!$D:$D=$L16))),""""),"""")"),"")</f>
        <v/>
      </c>
      <c r="CO16" s="69" t="str">
        <f>IFERROR(__xludf.DUMMYFUNCTION("IF($L16&lt;&gt;"""",IFERROR((FILTER(RawTotals!$AJ:$AJ,RawTotals!$A:$A=BE16)-(FILTER(Data!$K:$K,Data!$B:$B=BE16,Data!$D:$D=$L16)+FILTER(Data!$L:$L,Data!$B:$B=BE16,Data!$D:$D=$L16))),""""),"""")"),"")</f>
        <v/>
      </c>
      <c r="CP16" s="69" t="str">
        <f>IFERROR(__xludf.DUMMYFUNCTION("IF($L16&lt;&gt;"""",IFERROR((FILTER(RawTotals!$AJ:$AJ,RawTotals!$A:$A=BF16)-(FILTER(Data!$K:$K,Data!$B:$B=BF16,Data!$D:$D=$L16)+FILTER(Data!$L:$L,Data!$B:$B=BF16,Data!$D:$D=$L16))),""""),"""")"),"")</f>
        <v/>
      </c>
      <c r="CQ16" s="69" t="str">
        <f>IFERROR(__xludf.DUMMYFUNCTION("IF($M16&lt;&gt;"""",IFERROR((FILTER(RawTotals!$AJ:$AJ,RawTotals!$A:$A=BG16)-(FILTER(Data!$K:$K,Data!$B:$B=BG16,Data!$D:$D=$M16)+FILTER(Data!$L:$L,Data!$B:$B=BG16,Data!$D:$D=$M16))),""""),"""")"),"")</f>
        <v/>
      </c>
      <c r="CR16" s="69" t="str">
        <f>IFERROR(__xludf.DUMMYFUNCTION("IF($M16&lt;&gt;"""",IFERROR((FILTER(RawTotals!$AJ:$AJ,RawTotals!$A:$A=BH16)-(FILTER(Data!$K:$K,Data!$B:$B=BH16,Data!$D:$D=$M16)+FILTER(Data!$L:$L,Data!$B:$B=BH16,Data!$D:$D=$M16))),""""),"""")"),"")</f>
        <v/>
      </c>
      <c r="CS16" s="70" t="str">
        <f>IFERROR(__xludf.DUMMYFUNCTION("IF($M16&lt;&gt;"""",IFERROR((FILTER(RawTotals!$AJ:$AJ,RawTotals!$A:$A=BI16)-(FILTER(Data!$K:$K,Data!$B:$B=BI16,Data!$D:$D=$M16)+FILTER(Data!$L:$L,Data!$B:$B=BI16,Data!$D:$D=$M16))),""""),"""")"),"")</f>
        <v/>
      </c>
      <c r="CT16" s="69"/>
      <c r="CU16" s="69"/>
      <c r="CV16" s="69"/>
      <c r="CW16" s="69"/>
      <c r="CX16" s="69"/>
      <c r="CY16" s="69"/>
      <c r="CZ16" s="69"/>
      <c r="DA16" s="69"/>
      <c r="DB16" s="69"/>
      <c r="DC16" s="69"/>
      <c r="DD16" s="69"/>
      <c r="DE16" s="69"/>
    </row>
    <row r="17">
      <c r="A17" s="67">
        <f>RawTotals!A17</f>
        <v>118</v>
      </c>
      <c r="B17" s="68" t="str">
        <f>IFERROR(__xludf.DUMMYFUNCTION("IF(A17&lt;&gt;"""",IFERROR(TRANSPOSE(FILTER(Data!D:D,Data!B:B=A17,Data!R:R&lt;&gt;"""")),""No Defense""),"""")"),"No Defense")</f>
        <v>No Defense</v>
      </c>
      <c r="C17" s="65"/>
      <c r="D17" s="65"/>
      <c r="E17" s="65"/>
      <c r="F17" s="65"/>
      <c r="G17" s="65"/>
      <c r="H17" s="65"/>
      <c r="I17" s="65"/>
      <c r="J17" s="65"/>
      <c r="K17" s="65"/>
      <c r="L17" s="65"/>
      <c r="M17" s="65"/>
      <c r="N17" s="64" t="str">
        <f>IFERROR(__xludf.DUMMYFUNCTION("IFERROR(Textjoin("""",TRUE,FILTER(Data!$R:$R,Data!$D:$D=B17,Data!$B:$B=$A17)),"""")"),"")</f>
        <v/>
      </c>
      <c r="O17" s="64" t="str">
        <f>IFERROR(__xludf.DUMMYFUNCTION("IFERROR(Textjoin("""",TRUE,FILTER(Data!$R:$R,Data!$D:$D=C17,Data!$B:$B=$A17)),"""")"),"")</f>
        <v/>
      </c>
      <c r="P17" s="64" t="str">
        <f>IFERROR(__xludf.DUMMYFUNCTION("IFERROR(Textjoin("""",TRUE,FILTER(Data!$R:$R,Data!$D:$D=D17,Data!$B:$B=$A17)),"""")"),"")</f>
        <v/>
      </c>
      <c r="Q17" s="64" t="str">
        <f>IFERROR(__xludf.DUMMYFUNCTION("IFERROR(Textjoin("""",TRUE,FILTER(Data!$R:$R,Data!$D:$D=E17,Data!$B:$B=$A17)),"""")"),"")</f>
        <v/>
      </c>
      <c r="R17" s="64" t="str">
        <f>IFERROR(__xludf.DUMMYFUNCTION("IFERROR(Textjoin("""",TRUE,FILTER(Data!$R:$R,Data!$D:$D=F17,Data!$B:$B=$A17)),"""")"),"")</f>
        <v/>
      </c>
      <c r="S17" s="64" t="str">
        <f>IFERROR(__xludf.DUMMYFUNCTION("IFERROR(Textjoin("""",TRUE,FILTER(Data!$R:$R,Data!$D:$D=G17,Data!$B:$B=$A17)),"""")"),"")</f>
        <v/>
      </c>
      <c r="T17" s="64" t="str">
        <f>IFERROR(__xludf.DUMMYFUNCTION("IFERROR(Textjoin("""",TRUE,FILTER(Data!$R:$R,Data!$D:$D=H17,Data!$B:$B=$A17)),"""")"),"")</f>
        <v/>
      </c>
      <c r="U17" s="64" t="str">
        <f>IFERROR(__xludf.DUMMYFUNCTION("IFERROR(Textjoin("""",TRUE,FILTER(Data!$R:$R,Data!$D:$D=I17,Data!$B:$B=$A17)),"""")"),"")</f>
        <v/>
      </c>
      <c r="V17" s="64" t="str">
        <f>IFERROR(__xludf.DUMMYFUNCTION("IFERROR(Textjoin("""",TRUE,FILTER(Data!$R:$R,Data!$D:$D=J17,Data!$B:$B=$A17)),"""")"),"")</f>
        <v/>
      </c>
      <c r="W17" s="64" t="str">
        <f>IFERROR(__xludf.DUMMYFUNCTION("IFERROR(Textjoin("""",TRUE,FILTER(Data!$R:$R,Data!$D:$D=K17,Data!$B:$B=$A17)),"""")"),"")</f>
        <v/>
      </c>
      <c r="X17" s="64" t="str">
        <f>IFERROR(__xludf.DUMMYFUNCTION("IFERROR(Textjoin("""",TRUE,FILTER(Data!$R:$R,Data!$D:$D=L17,Data!$B:$B=$A17)),"""")"),"")</f>
        <v/>
      </c>
      <c r="Y17" s="64" t="str">
        <f>IFERROR(__xludf.DUMMYFUNCTION("IFERROR(Textjoin("""",TRUE,FILTER(Data!$R:$R,Data!$D:$D=M17,Data!$B:$B=$A17)),"""")"),"")</f>
        <v/>
      </c>
      <c r="Z17" s="64" t="str">
        <f>IFERROR(__xludf.DUMMYFUNCTION("IFERROR(SPLIT(N17,"",""),"""")"),"")</f>
        <v/>
      </c>
      <c r="AA17" s="65"/>
      <c r="AB17" s="65"/>
      <c r="AC17" s="69" t="str">
        <f>IFERROR(__xludf.DUMMYFUNCTION("IFERROR(SPLIT(O17,"",""),"""")"),"")</f>
        <v/>
      </c>
      <c r="AD17" s="65"/>
      <c r="AE17" s="65"/>
      <c r="AF17" s="69" t="str">
        <f>IFERROR(__xludf.DUMMYFUNCTION("IFERROR(SPLIT(P17,"",""),"""")"),"")</f>
        <v/>
      </c>
      <c r="AG17" s="65"/>
      <c r="AH17" s="65"/>
      <c r="AI17" s="69" t="str">
        <f>IFERROR(__xludf.DUMMYFUNCTION("IFERROR(SPLIT(Q17,"",""),"""")"),"")</f>
        <v/>
      </c>
      <c r="AJ17" s="65"/>
      <c r="AK17" s="65"/>
      <c r="AL17" s="69" t="str">
        <f>IFERROR(__xludf.DUMMYFUNCTION("IFERROR(SPLIT(R17,"",""),"""")"),"")</f>
        <v/>
      </c>
      <c r="AM17" s="65"/>
      <c r="AN17" s="65"/>
      <c r="AO17" s="69" t="str">
        <f>IFERROR(__xludf.DUMMYFUNCTION("IFERROR(SPLIT(S17,"",""),"""")"),"")</f>
        <v/>
      </c>
      <c r="AP17" s="65"/>
      <c r="AQ17" s="65"/>
      <c r="AR17" s="69" t="str">
        <f>IFERROR(__xludf.DUMMYFUNCTION("IFERROR(SPLIT(T17,"",""),"""")"),"")</f>
        <v/>
      </c>
      <c r="AS17" s="65"/>
      <c r="AT17" s="65"/>
      <c r="AU17" s="69" t="str">
        <f>IFERROR(__xludf.DUMMYFUNCTION("IFERROR(SPLIT(U17,"",""),"""")"),"")</f>
        <v/>
      </c>
      <c r="AV17" s="65"/>
      <c r="AW17" s="65"/>
      <c r="AX17" s="69" t="str">
        <f>IFERROR(__xludf.DUMMYFUNCTION("IFERROR(SPLIT(V17,"",""),"""")"),"")</f>
        <v/>
      </c>
      <c r="AY17" s="65"/>
      <c r="AZ17" s="65"/>
      <c r="BA17" s="69" t="str">
        <f>IFERROR(__xludf.DUMMYFUNCTION("IFERROR(SPLIT(W17,"",""),"""")"),"")</f>
        <v/>
      </c>
      <c r="BB17" s="69"/>
      <c r="BC17" s="69"/>
      <c r="BD17" s="69" t="str">
        <f>IFERROR(__xludf.DUMMYFUNCTION("IFERROR(SPLIT(X17,"",""),"""")"),"")</f>
        <v/>
      </c>
      <c r="BE17" s="69"/>
      <c r="BF17" s="69"/>
      <c r="BG17" s="69" t="str">
        <f>IFERROR(__xludf.DUMMYFUNCTION("IFERROR(SPLIT(Y17,"",""),"""")"),"")</f>
        <v/>
      </c>
      <c r="BH17" s="69"/>
      <c r="BI17" s="69"/>
      <c r="BJ17" s="68" t="str">
        <f>IFERROR(__xludf.DUMMYFUNCTION("IF($B17&lt;&gt;"""",IFERROR(FILTER(RawTotals!$AJ:$AJ,RawTotals!$A:$A=Z17)-(FILTER(Data!$K:$K,Data!$B:$B=Z17,Data!$D:$D=$B17)+FILTER(Data!$L:$L,Data!$B:$B=Z17,Data!$D:$D=$B17)),""""),"""")"),"")</f>
        <v/>
      </c>
      <c r="BK17" s="68" t="str">
        <f>IFERROR(__xludf.DUMMYFUNCTION("IF($B17&lt;&gt;"""",IFERROR(FILTER(RawTotals!$AJ:$AJ,RawTotals!$A:$A=AA17)-(FILTER(Data!$K:$K,Data!$B:$B=AA17,Data!$D:$D=$B17)+FILTER(Data!$L:$L,Data!$B:$B=AA17,Data!$D:$D=$B17)),""""),"""")"),"")</f>
        <v/>
      </c>
      <c r="BL17" s="68" t="str">
        <f>IFERROR(__xludf.DUMMYFUNCTION("IF($B17&lt;&gt;"""",IFERROR(FILTER(RawTotals!$AJ:$AJ,RawTotals!$A:$A=AB17)-(FILTER(Data!$K:$K,Data!$B:$B=AB17,Data!$D:$D=$B17)+FILTER(Data!$L:$L,Data!$B:$B=AB17,Data!$D:$D=$B17)),""""),"""")"),"")</f>
        <v/>
      </c>
      <c r="BM17" s="69" t="str">
        <f>IFERROR(__xludf.DUMMYFUNCTION("IF($C17&lt;&gt;"""",IFERROR(FILTER(RawTotals!$AJ:$AJ,RawTotals!$A:$A=AC17)-(FILTER(Data!$K:$K,Data!$B:$B=AC17,Data!$D:$D=$C17)+FILTER(Data!$L:$L,Data!$B:$B=AC17,Data!$D:$D=$C17)),""""),"""")"),"")</f>
        <v/>
      </c>
      <c r="BN17" s="69" t="str">
        <f>IFERROR(__xludf.DUMMYFUNCTION("IF($C17&lt;&gt;"""",IFERROR(FILTER(RawTotals!$AJ:$AJ,RawTotals!$A:$A=AD17)-(FILTER(Data!$K:$K,Data!$B:$B=AD17,Data!$D:$D=$C17)+FILTER(Data!$L:$L,Data!$B:$B=AD17,Data!$D:$D=$C17)),""""),"""")"),"")</f>
        <v/>
      </c>
      <c r="BO17" s="69" t="str">
        <f>IFERROR(__xludf.DUMMYFUNCTION("IF($C17&lt;&gt;"""",IFERROR(FILTER(RawTotals!$AJ:$AJ,RawTotals!$A:$A=AE17)-(FILTER(Data!$K:$K,Data!$B:$B=AE17,Data!$D:$D=$C17)+FILTER(Data!$L:$L,Data!$B:$B=AE17,Data!$D:$D=$C17)),""""),"""")"),"")</f>
        <v/>
      </c>
      <c r="BP17" s="69" t="str">
        <f>IFERROR(__xludf.DUMMYFUNCTION("IF($D17&lt;&gt;"""",IFERROR(FILTER(RawTotals!$AJ:$AJ,RawTotals!$A:$A=AF17)-(FILTER(Data!$K:$K,Data!$B:$B=AF17,Data!$D:$D=$D17)+FILTER(Data!$L:$L,Data!$B:$B=AF17,Data!$D:$D=$D17)),""""),"""")"),"")</f>
        <v/>
      </c>
      <c r="BQ17" s="69" t="str">
        <f>IFERROR(__xludf.DUMMYFUNCTION("IF($D17&lt;&gt;"""",IFERROR(FILTER(RawTotals!$AJ:$AJ,RawTotals!$A:$A=AG17)-(FILTER(Data!$K:$K,Data!$B:$B=AG17,Data!$D:$D=$D17)+FILTER(Data!$L:$L,Data!$B:$B=AG17,Data!$D:$D=$D17)),""""),"""")"),"")</f>
        <v/>
      </c>
      <c r="BR17" s="69" t="str">
        <f>IFERROR(__xludf.DUMMYFUNCTION("IF($D17&lt;&gt;"""",IFERROR(FILTER(RawTotals!$AJ:$AJ,RawTotals!$A:$A=AH17)-(FILTER(Data!$K:$K,Data!$B:$B=AH17,Data!$D:$D=$D17)+FILTER(Data!$L:$L,Data!$B:$B=AH17,Data!$D:$D=$D17)),""""),"""")"),"")</f>
        <v/>
      </c>
      <c r="BS17" s="69" t="str">
        <f>IFERROR(__xludf.DUMMYFUNCTION("IF($E17&lt;&gt;"""",IFERROR(FILTER(RawTotals!$AJ:$AJ,RawTotals!$A:$A=AI17)-(FILTER(Data!$K:$K,Data!$B:$B=AI17,Data!$D:$D=$E17)+FILTER(Data!$L:$L,Data!$B:$B=AI17,Data!$D:$D=$E17)),""""),"""")"),"")</f>
        <v/>
      </c>
      <c r="BT17" s="69" t="str">
        <f>IFERROR(__xludf.DUMMYFUNCTION("IF($E17&lt;&gt;"""",IFERROR(FILTER(RawTotals!$AJ:$AJ,RawTotals!$A:$A=AJ17)-(FILTER(Data!$K:$K,Data!$B:$B=AJ17,Data!$D:$D=$E17)+FILTER(Data!$L:$L,Data!$B:$B=AJ17,Data!$D:$D=$E17)),""""),"""")"),"")</f>
        <v/>
      </c>
      <c r="BU17" s="69" t="str">
        <f>IFERROR(__xludf.DUMMYFUNCTION("IF($E17&lt;&gt;"""",IFERROR(FILTER(RawTotals!$AJ:$AJ,RawTotals!$A:$A=AK17)-(FILTER(Data!$K:$K,Data!$B:$B=AK17,Data!$D:$D=$E17)+FILTER(Data!$L:$L,Data!$B:$B=AK17,Data!$D:$D=$E17)),""""),"""")"),"")</f>
        <v/>
      </c>
      <c r="BV17" s="69" t="str">
        <f>IFERROR(__xludf.DUMMYFUNCTION("IF($F17&lt;&gt;"""",IFERROR(FILTER(RawTotals!$AJ:$AJ,RawTotals!$A:$A=AL17)-(FILTER(Data!$K:$K,Data!$B:$B=AL17,Data!$D:$D=$F17)+FILTER(Data!$L:$L,Data!$B:$B=AL17,Data!$D:$D=$F17)),""""),"""")"),"")</f>
        <v/>
      </c>
      <c r="BW17" s="69" t="str">
        <f>IFERROR(__xludf.DUMMYFUNCTION("IF($F17&lt;&gt;"""",IFERROR(FILTER(RawTotals!$AJ:$AJ,RawTotals!$A:$A=AM17)-(FILTER(Data!$K:$K,Data!$B:$B=AM17,Data!$D:$D=$F17)+FILTER(Data!$L:$L,Data!$B:$B=AM17,Data!$D:$D=$F17)),""""),"""")"),"")</f>
        <v/>
      </c>
      <c r="BX17" s="69" t="str">
        <f>IFERROR(__xludf.DUMMYFUNCTION("IF($F17&lt;&gt;"""",IFERROR(FILTER(RawTotals!$AJ:$AJ,RawTotals!$A:$A=AN17)-(FILTER(Data!$K:$K,Data!$B:$B=AN17,Data!$D:$D=$F17)+FILTER(Data!$L:$L,Data!$B:$B=AN17,Data!$D:$D=$F17)),""""),"""")"),"")</f>
        <v/>
      </c>
      <c r="BY17" s="69" t="str">
        <f>IFERROR(__xludf.DUMMYFUNCTION("IF($G17&lt;&gt;"""",IFERROR(FILTER(RawTotals!$AJ:$AJ,RawTotals!$A:$A=AO17)-(FILTER(Data!$K:$K,Data!$B:$B=AO17,Data!$D:$D=$G17)+FILTER(Data!$L:$L,Data!$B:$B=AO17,Data!$D:$D=$G17)),""""),"""")"),"")</f>
        <v/>
      </c>
      <c r="BZ17" s="69" t="str">
        <f>IFERROR(__xludf.DUMMYFUNCTION("IF($G17&lt;&gt;"""",IFERROR(FILTER(RawTotals!$AJ:$AJ,RawTotals!$A:$A=AP17)-(FILTER(Data!$K:$K,Data!$B:$B=AP17,Data!$D:$D=$G17)+FILTER(Data!$L:$L,Data!$B:$B=AP17,Data!$D:$D=$G17)),""""),"""")"),"")</f>
        <v/>
      </c>
      <c r="CA17" s="69" t="str">
        <f>IFERROR(__xludf.DUMMYFUNCTION("IF($G17&lt;&gt;"""",IFERROR(FILTER(RawTotals!$AJ:$AJ,RawTotals!$A:$A=AQ17)-(FILTER(Data!$K:$K,Data!$B:$B=AQ17,Data!$D:$D=$G17)+FILTER(Data!$L:$L,Data!$B:$B=AQ17,Data!$D:$D=$G17)),""""),"""")"),"")</f>
        <v/>
      </c>
      <c r="CB17" s="69" t="str">
        <f>IFERROR(__xludf.DUMMYFUNCTION("IF($H17&lt;&gt;"""",IFERROR(FILTER(RawTotals!$AJ:$AJ,RawTotals!$A:$A=AR17)-(FILTER(Data!$K:$K,Data!$B:$B=AR17,Data!$D:$D=$H17)+FILTER(Data!$L:$L,Data!$B:$B=AR17,Data!$D:$D=$H17)),""""),"""")"),"")</f>
        <v/>
      </c>
      <c r="CC17" s="69" t="str">
        <f>IFERROR(__xludf.DUMMYFUNCTION("IF($H17&lt;&gt;"""",IFERROR(FILTER(RawTotals!$AJ:$AJ,RawTotals!$A:$A=AS17)-(FILTER(Data!$K:$K,Data!$B:$B=AS17,Data!$D:$D=$H17)+FILTER(Data!$L:$L,Data!$B:$B=AS17,Data!$D:$D=$H17)),""""),"""")"),"")</f>
        <v/>
      </c>
      <c r="CD17" s="69" t="str">
        <f>IFERROR(__xludf.DUMMYFUNCTION("IF($H17&lt;&gt;"""",IFERROR(FILTER(RawTotals!$AJ:$AJ,RawTotals!$A:$A=AT17)-(FILTER(Data!$K:$K,Data!$B:$B=AT17,Data!$D:$D=$H17)+FILTER(Data!$L:$L,Data!$B:$B=AT17,Data!$D:$D=$H17)),""""),"""")"),"")</f>
        <v/>
      </c>
      <c r="CE17" s="69" t="str">
        <f>IFERROR(__xludf.DUMMYFUNCTION("IF($I17&lt;&gt;"""",IFERROR(FILTER(RawTotals!$AJ:$AJ,RawTotals!$A:$A=AU17)-(FILTER(Data!$K:$K,Data!$B:$B=AU17,Data!$D:$D=$I17)+FILTER(Data!$L:$L,Data!$B:$B=AU17,Data!$D:$D=$I17)),""""),"""")"),"")</f>
        <v/>
      </c>
      <c r="CF17" s="69" t="str">
        <f>IFERROR(__xludf.DUMMYFUNCTION("IF($I17&lt;&gt;"""",IFERROR(FILTER(RawTotals!$AJ:$AJ,RawTotals!$A:$A=AV17)-(FILTER(Data!$K:$K,Data!$B:$B=AV17,Data!$D:$D=$I17)+FILTER(Data!$L:$L,Data!$B:$B=AV17,Data!$D:$D=$I17)),""""),"""")"),"")</f>
        <v/>
      </c>
      <c r="CG17" s="69" t="str">
        <f>IFERROR(__xludf.DUMMYFUNCTION("IF($I17&lt;&gt;"""",IFERROR(FILTER(RawTotals!$AJ:$AJ,RawTotals!$A:$A=AW17)-(FILTER(Data!$K:$K,Data!$B:$B=AW17,Data!$D:$D=$I17)+FILTER(Data!$L:$L,Data!$B:$B=AW17,Data!$D:$D=$I17)),""""),"""")"),"")</f>
        <v/>
      </c>
      <c r="CH17" s="69" t="str">
        <f>IFERROR(__xludf.DUMMYFUNCTION("IF($J17&lt;&gt;"""",IFERROR(FILTER(RawTotals!$AJ:$AJ,RawTotals!$A:$A=AX17)-(FILTER(Data!$K:$K,Data!$B:$B=AX17,Data!$D:$D=$J17)+FILTER(Data!$L:$L,Data!$B:$B=AX17,Data!$D:$D=$J17)),""""),"""")"),"")</f>
        <v/>
      </c>
      <c r="CI17" s="69" t="str">
        <f>IFERROR(__xludf.DUMMYFUNCTION("IF($J17&lt;&gt;"""",IFERROR(FILTER(RawTotals!$AJ:$AJ,RawTotals!$A:$A=AY17)-(FILTER(Data!$K:$K,Data!$B:$B=AY17,Data!$D:$D=$J17)+FILTER(Data!$L:$L,Data!$B:$B=AY17,Data!$D:$D=$J17)),""""),"""")"),"")</f>
        <v/>
      </c>
      <c r="CJ17" s="69" t="str">
        <f>IFERROR(__xludf.DUMMYFUNCTION("IF($J17&lt;&gt;"""",IFERROR(FILTER(RawTotals!$AJ:$AJ,RawTotals!$A:$A=AZ17)-(FILTER(Data!$K:$K,Data!$B:$B=AZ17,Data!$D:$D=$J17)+FILTER(Data!$L:$L,Data!$B:$B=AZ17,Data!$D:$D=$J17)),""""),"""")"),"")</f>
        <v/>
      </c>
      <c r="CK17" s="69" t="str">
        <f>IFERROR(__xludf.DUMMYFUNCTION("IF($K17&lt;&gt;"""",IFERROR(FILTER(RawTotals!$AJ:$AJ,RawTotals!$A:$A=BA17)-(FILTER(Data!$K:$K,Data!$B:$B=BA17,Data!$D:$D=$K17)+FILTER(Data!$L:$L,Data!$B:$B=BA17,Data!$D:$D=$K17)),""""),"""")"),"")</f>
        <v/>
      </c>
      <c r="CL17" s="69" t="str">
        <f>IFERROR(__xludf.DUMMYFUNCTION("IF($K17&lt;&gt;"""",IFERROR(FILTER(RawTotals!$AJ:$AJ,RawTotals!$A:$A=BB17)-(FILTER(Data!$K:$K,Data!$B:$B=BB17,Data!$D:$D=$K17)+FILTER(Data!$L:$L,Data!$B:$B=BB17,Data!$D:$D=$K17)),""""),"""")"),"")</f>
        <v/>
      </c>
      <c r="CM17" s="69" t="str">
        <f>IFERROR(__xludf.DUMMYFUNCTION("IF($K17&lt;&gt;"""",IFERROR(FILTER(RawTotals!$AJ:$AJ,RawTotals!$A:$A=BC17)-(FILTER(Data!$K:$K,Data!$B:$B=BC17,Data!$D:$D=$K17)+FILTER(Data!$L:$L,Data!$B:$B=BC17,Data!$D:$D=$K17)),""""),"""")"),"")</f>
        <v/>
      </c>
      <c r="CN17" s="69" t="str">
        <f>IFERROR(__xludf.DUMMYFUNCTION("IF($L17&lt;&gt;"""",IFERROR((FILTER(RawTotals!$AJ:$AJ,RawTotals!$A:$A=BD17)-(FILTER(Data!$K:$K,Data!$B:$B=BD17,Data!$D:$D=$L17)+FILTER(Data!$L:$L,Data!$B:$B=BD17,Data!$D:$D=$L17))),""""),"""")"),"")</f>
        <v/>
      </c>
      <c r="CO17" s="69" t="str">
        <f>IFERROR(__xludf.DUMMYFUNCTION("IF($L17&lt;&gt;"""",IFERROR((FILTER(RawTotals!$AJ:$AJ,RawTotals!$A:$A=BE17)-(FILTER(Data!$K:$K,Data!$B:$B=BE17,Data!$D:$D=$L17)+FILTER(Data!$L:$L,Data!$B:$B=BE17,Data!$D:$D=$L17))),""""),"""")"),"")</f>
        <v/>
      </c>
      <c r="CP17" s="69" t="str">
        <f>IFERROR(__xludf.DUMMYFUNCTION("IF($L17&lt;&gt;"""",IFERROR((FILTER(RawTotals!$AJ:$AJ,RawTotals!$A:$A=BF17)-(FILTER(Data!$K:$K,Data!$B:$B=BF17,Data!$D:$D=$L17)+FILTER(Data!$L:$L,Data!$B:$B=BF17,Data!$D:$D=$L17))),""""),"""")"),"")</f>
        <v/>
      </c>
      <c r="CQ17" s="69" t="str">
        <f>IFERROR(__xludf.DUMMYFUNCTION("IF($M17&lt;&gt;"""",IFERROR((FILTER(RawTotals!$AJ:$AJ,RawTotals!$A:$A=BG17)-(FILTER(Data!$K:$K,Data!$B:$B=BG17,Data!$D:$D=$M17)+FILTER(Data!$L:$L,Data!$B:$B=BG17,Data!$D:$D=$M17))),""""),"""")"),"")</f>
        <v/>
      </c>
      <c r="CR17" s="69" t="str">
        <f>IFERROR(__xludf.DUMMYFUNCTION("IF($M17&lt;&gt;"""",IFERROR((FILTER(RawTotals!$AJ:$AJ,RawTotals!$A:$A=BH17)-(FILTER(Data!$K:$K,Data!$B:$B=BH17,Data!$D:$D=$M17)+FILTER(Data!$L:$L,Data!$B:$B=BH17,Data!$D:$D=$M17))),""""),"""")"),"")</f>
        <v/>
      </c>
      <c r="CS17" s="70" t="str">
        <f>IFERROR(__xludf.DUMMYFUNCTION("IF($M17&lt;&gt;"""",IFERROR((FILTER(RawTotals!$AJ:$AJ,RawTotals!$A:$A=BI17)-(FILTER(Data!$K:$K,Data!$B:$B=BI17,Data!$D:$D=$M17)+FILTER(Data!$L:$L,Data!$B:$B=BI17,Data!$D:$D=$M17))),""""),"""")"),"")</f>
        <v/>
      </c>
      <c r="CT17" s="69"/>
      <c r="CU17" s="69"/>
      <c r="CV17" s="69"/>
      <c r="CW17" s="69"/>
      <c r="CX17" s="69"/>
      <c r="CY17" s="69"/>
      <c r="CZ17" s="69"/>
      <c r="DA17" s="69"/>
      <c r="DB17" s="69"/>
      <c r="DC17" s="69"/>
      <c r="DD17" s="69"/>
      <c r="DE17" s="69"/>
    </row>
    <row r="18">
      <c r="A18" s="67">
        <f>RawTotals!A18</f>
        <v>587</v>
      </c>
      <c r="B18" s="68" t="str">
        <f>IFERROR(__xludf.DUMMYFUNCTION("IF(A18&lt;&gt;"""",IFERROR(TRANSPOSE(FILTER(Data!D:D,Data!B:B=A18,Data!R:R&lt;&gt;"""")),""No Defense""),"""")"),"No Defense")</f>
        <v>No Defense</v>
      </c>
      <c r="C18" s="65"/>
      <c r="D18" s="65"/>
      <c r="E18" s="65"/>
      <c r="F18" s="65"/>
      <c r="G18" s="65"/>
      <c r="H18" s="65"/>
      <c r="I18" s="65"/>
      <c r="J18" s="65"/>
      <c r="K18" s="65"/>
      <c r="L18" s="65"/>
      <c r="M18" s="65"/>
      <c r="N18" s="64" t="str">
        <f>IFERROR(__xludf.DUMMYFUNCTION("IFERROR(Textjoin("""",TRUE,FILTER(Data!$R:$R,Data!$D:$D=B18,Data!$B:$B=$A18)),"""")"),"")</f>
        <v/>
      </c>
      <c r="O18" s="64" t="str">
        <f>IFERROR(__xludf.DUMMYFUNCTION("IFERROR(Textjoin("""",TRUE,FILTER(Data!$R:$R,Data!$D:$D=C18,Data!$B:$B=$A18)),"""")"),"")</f>
        <v/>
      </c>
      <c r="P18" s="64" t="str">
        <f>IFERROR(__xludf.DUMMYFUNCTION("IFERROR(Textjoin("""",TRUE,FILTER(Data!$R:$R,Data!$D:$D=D18,Data!$B:$B=$A18)),"""")"),"")</f>
        <v/>
      </c>
      <c r="Q18" s="64" t="str">
        <f>IFERROR(__xludf.DUMMYFUNCTION("IFERROR(Textjoin("""",TRUE,FILTER(Data!$R:$R,Data!$D:$D=E18,Data!$B:$B=$A18)),"""")"),"")</f>
        <v/>
      </c>
      <c r="R18" s="64" t="str">
        <f>IFERROR(__xludf.DUMMYFUNCTION("IFERROR(Textjoin("""",TRUE,FILTER(Data!$R:$R,Data!$D:$D=F18,Data!$B:$B=$A18)),"""")"),"")</f>
        <v/>
      </c>
      <c r="S18" s="64" t="str">
        <f>IFERROR(__xludf.DUMMYFUNCTION("IFERROR(Textjoin("""",TRUE,FILTER(Data!$R:$R,Data!$D:$D=G18,Data!$B:$B=$A18)),"""")"),"")</f>
        <v/>
      </c>
      <c r="T18" s="64" t="str">
        <f>IFERROR(__xludf.DUMMYFUNCTION("IFERROR(Textjoin("""",TRUE,FILTER(Data!$R:$R,Data!$D:$D=H18,Data!$B:$B=$A18)),"""")"),"")</f>
        <v/>
      </c>
      <c r="U18" s="64" t="str">
        <f>IFERROR(__xludf.DUMMYFUNCTION("IFERROR(Textjoin("""",TRUE,FILTER(Data!$R:$R,Data!$D:$D=I18,Data!$B:$B=$A18)),"""")"),"")</f>
        <v/>
      </c>
      <c r="V18" s="64" t="str">
        <f>IFERROR(__xludf.DUMMYFUNCTION("IFERROR(Textjoin("""",TRUE,FILTER(Data!$R:$R,Data!$D:$D=J18,Data!$B:$B=$A18)),"""")"),"")</f>
        <v/>
      </c>
      <c r="W18" s="64" t="str">
        <f>IFERROR(__xludf.DUMMYFUNCTION("IFERROR(Textjoin("""",TRUE,FILTER(Data!$R:$R,Data!$D:$D=K18,Data!$B:$B=$A18)),"""")"),"")</f>
        <v/>
      </c>
      <c r="X18" s="64" t="str">
        <f>IFERROR(__xludf.DUMMYFUNCTION("IFERROR(Textjoin("""",TRUE,FILTER(Data!$R:$R,Data!$D:$D=L18,Data!$B:$B=$A18)),"""")"),"")</f>
        <v/>
      </c>
      <c r="Y18" s="64" t="str">
        <f>IFERROR(__xludf.DUMMYFUNCTION("IFERROR(Textjoin("""",TRUE,FILTER(Data!$R:$R,Data!$D:$D=M18,Data!$B:$B=$A18)),"""")"),"")</f>
        <v/>
      </c>
      <c r="Z18" s="64" t="str">
        <f>IFERROR(__xludf.DUMMYFUNCTION("IFERROR(SPLIT(N18,"",""),"""")"),"")</f>
        <v/>
      </c>
      <c r="AA18" s="65"/>
      <c r="AB18" s="65"/>
      <c r="AC18" s="69" t="str">
        <f>IFERROR(__xludf.DUMMYFUNCTION("IFERROR(SPLIT(O18,"",""),"""")"),"")</f>
        <v/>
      </c>
      <c r="AD18" s="65"/>
      <c r="AE18" s="65"/>
      <c r="AF18" s="69" t="str">
        <f>IFERROR(__xludf.DUMMYFUNCTION("IFERROR(SPLIT(P18,"",""),"""")"),"")</f>
        <v/>
      </c>
      <c r="AG18" s="65"/>
      <c r="AH18" s="65"/>
      <c r="AI18" s="69" t="str">
        <f>IFERROR(__xludf.DUMMYFUNCTION("IFERROR(SPLIT(Q18,"",""),"""")"),"")</f>
        <v/>
      </c>
      <c r="AJ18" s="65"/>
      <c r="AK18" s="65"/>
      <c r="AL18" s="69" t="str">
        <f>IFERROR(__xludf.DUMMYFUNCTION("IFERROR(SPLIT(R18,"",""),"""")"),"")</f>
        <v/>
      </c>
      <c r="AM18" s="65"/>
      <c r="AN18" s="65"/>
      <c r="AO18" s="69" t="str">
        <f>IFERROR(__xludf.DUMMYFUNCTION("IFERROR(SPLIT(S18,"",""),"""")"),"")</f>
        <v/>
      </c>
      <c r="AP18" s="65"/>
      <c r="AQ18" s="65"/>
      <c r="AR18" s="69" t="str">
        <f>IFERROR(__xludf.DUMMYFUNCTION("IFERROR(SPLIT(T18,"",""),"""")"),"")</f>
        <v/>
      </c>
      <c r="AS18" s="65"/>
      <c r="AT18" s="65"/>
      <c r="AU18" s="69" t="str">
        <f>IFERROR(__xludf.DUMMYFUNCTION("IFERROR(SPLIT(U18,"",""),"""")"),"")</f>
        <v/>
      </c>
      <c r="AV18" s="65"/>
      <c r="AW18" s="65"/>
      <c r="AX18" s="69" t="str">
        <f>IFERROR(__xludf.DUMMYFUNCTION("IFERROR(SPLIT(V18,"",""),"""")"),"")</f>
        <v/>
      </c>
      <c r="AY18" s="65"/>
      <c r="AZ18" s="65"/>
      <c r="BA18" s="69" t="str">
        <f>IFERROR(__xludf.DUMMYFUNCTION("IFERROR(SPLIT(W18,"",""),"""")"),"")</f>
        <v/>
      </c>
      <c r="BB18" s="69"/>
      <c r="BC18" s="69"/>
      <c r="BD18" s="69" t="str">
        <f>IFERROR(__xludf.DUMMYFUNCTION("IFERROR(SPLIT(X18,"",""),"""")"),"")</f>
        <v/>
      </c>
      <c r="BE18" s="69"/>
      <c r="BF18" s="69"/>
      <c r="BG18" s="69" t="str">
        <f>IFERROR(__xludf.DUMMYFUNCTION("IFERROR(SPLIT(Y18,"",""),"""")"),"")</f>
        <v/>
      </c>
      <c r="BH18" s="69"/>
      <c r="BI18" s="69"/>
      <c r="BJ18" s="68" t="str">
        <f>IFERROR(__xludf.DUMMYFUNCTION("IF($B18&lt;&gt;"""",IFERROR(FILTER(RawTotals!$AJ:$AJ,RawTotals!$A:$A=Z18)-(FILTER(Data!$K:$K,Data!$B:$B=Z18,Data!$D:$D=$B18)+FILTER(Data!$L:$L,Data!$B:$B=Z18,Data!$D:$D=$B18)),""""),"""")"),"")</f>
        <v/>
      </c>
      <c r="BK18" s="68" t="str">
        <f>IFERROR(__xludf.DUMMYFUNCTION("IF($B18&lt;&gt;"""",IFERROR(FILTER(RawTotals!$AJ:$AJ,RawTotals!$A:$A=AA18)-(FILTER(Data!$K:$K,Data!$B:$B=AA18,Data!$D:$D=$B18)+FILTER(Data!$L:$L,Data!$B:$B=AA18,Data!$D:$D=$B18)),""""),"""")"),"")</f>
        <v/>
      </c>
      <c r="BL18" s="68" t="str">
        <f>IFERROR(__xludf.DUMMYFUNCTION("IF($B18&lt;&gt;"""",IFERROR(FILTER(RawTotals!$AJ:$AJ,RawTotals!$A:$A=AB18)-(FILTER(Data!$K:$K,Data!$B:$B=AB18,Data!$D:$D=$B18)+FILTER(Data!$L:$L,Data!$B:$B=AB18,Data!$D:$D=$B18)),""""),"""")"),"")</f>
        <v/>
      </c>
      <c r="BM18" s="69" t="str">
        <f>IFERROR(__xludf.DUMMYFUNCTION("IF($C18&lt;&gt;"""",IFERROR(FILTER(RawTotals!$AJ:$AJ,RawTotals!$A:$A=AC18)-(FILTER(Data!$K:$K,Data!$B:$B=AC18,Data!$D:$D=$C18)+FILTER(Data!$L:$L,Data!$B:$B=AC18,Data!$D:$D=$C18)),""""),"""")"),"")</f>
        <v/>
      </c>
      <c r="BN18" s="69" t="str">
        <f>IFERROR(__xludf.DUMMYFUNCTION("IF($C18&lt;&gt;"""",IFERROR(FILTER(RawTotals!$AJ:$AJ,RawTotals!$A:$A=AD18)-(FILTER(Data!$K:$K,Data!$B:$B=AD18,Data!$D:$D=$C18)+FILTER(Data!$L:$L,Data!$B:$B=AD18,Data!$D:$D=$C18)),""""),"""")"),"")</f>
        <v/>
      </c>
      <c r="BO18" s="69" t="str">
        <f>IFERROR(__xludf.DUMMYFUNCTION("IF($C18&lt;&gt;"""",IFERROR(FILTER(RawTotals!$AJ:$AJ,RawTotals!$A:$A=AE18)-(FILTER(Data!$K:$K,Data!$B:$B=AE18,Data!$D:$D=$C18)+FILTER(Data!$L:$L,Data!$B:$B=AE18,Data!$D:$D=$C18)),""""),"""")"),"")</f>
        <v/>
      </c>
      <c r="BP18" s="69" t="str">
        <f>IFERROR(__xludf.DUMMYFUNCTION("IF($D18&lt;&gt;"""",IFERROR(FILTER(RawTotals!$AJ:$AJ,RawTotals!$A:$A=AF18)-(FILTER(Data!$K:$K,Data!$B:$B=AF18,Data!$D:$D=$D18)+FILTER(Data!$L:$L,Data!$B:$B=AF18,Data!$D:$D=$D18)),""""),"""")"),"")</f>
        <v/>
      </c>
      <c r="BQ18" s="69" t="str">
        <f>IFERROR(__xludf.DUMMYFUNCTION("IF($D18&lt;&gt;"""",IFERROR(FILTER(RawTotals!$AJ:$AJ,RawTotals!$A:$A=AG18)-(FILTER(Data!$K:$K,Data!$B:$B=AG18,Data!$D:$D=$D18)+FILTER(Data!$L:$L,Data!$B:$B=AG18,Data!$D:$D=$D18)),""""),"""")"),"")</f>
        <v/>
      </c>
      <c r="BR18" s="69" t="str">
        <f>IFERROR(__xludf.DUMMYFUNCTION("IF($D18&lt;&gt;"""",IFERROR(FILTER(RawTotals!$AJ:$AJ,RawTotals!$A:$A=AH18)-(FILTER(Data!$K:$K,Data!$B:$B=AH18,Data!$D:$D=$D18)+FILTER(Data!$L:$L,Data!$B:$B=AH18,Data!$D:$D=$D18)),""""),"""")"),"")</f>
        <v/>
      </c>
      <c r="BS18" s="69" t="str">
        <f>IFERROR(__xludf.DUMMYFUNCTION("IF($E18&lt;&gt;"""",IFERROR(FILTER(RawTotals!$AJ:$AJ,RawTotals!$A:$A=AI18)-(FILTER(Data!$K:$K,Data!$B:$B=AI18,Data!$D:$D=$E18)+FILTER(Data!$L:$L,Data!$B:$B=AI18,Data!$D:$D=$E18)),""""),"""")"),"")</f>
        <v/>
      </c>
      <c r="BT18" s="69" t="str">
        <f>IFERROR(__xludf.DUMMYFUNCTION("IF($E18&lt;&gt;"""",IFERROR(FILTER(RawTotals!$AJ:$AJ,RawTotals!$A:$A=AJ18)-(FILTER(Data!$K:$K,Data!$B:$B=AJ18,Data!$D:$D=$E18)+FILTER(Data!$L:$L,Data!$B:$B=AJ18,Data!$D:$D=$E18)),""""),"""")"),"")</f>
        <v/>
      </c>
      <c r="BU18" s="69" t="str">
        <f>IFERROR(__xludf.DUMMYFUNCTION("IF($E18&lt;&gt;"""",IFERROR(FILTER(RawTotals!$AJ:$AJ,RawTotals!$A:$A=AK18)-(FILTER(Data!$K:$K,Data!$B:$B=AK18,Data!$D:$D=$E18)+FILTER(Data!$L:$L,Data!$B:$B=AK18,Data!$D:$D=$E18)),""""),"""")"),"")</f>
        <v/>
      </c>
      <c r="BV18" s="69" t="str">
        <f>IFERROR(__xludf.DUMMYFUNCTION("IF($F18&lt;&gt;"""",IFERROR(FILTER(RawTotals!$AJ:$AJ,RawTotals!$A:$A=AL18)-(FILTER(Data!$K:$K,Data!$B:$B=AL18,Data!$D:$D=$F18)+FILTER(Data!$L:$L,Data!$B:$B=AL18,Data!$D:$D=$F18)),""""),"""")"),"")</f>
        <v/>
      </c>
      <c r="BW18" s="69" t="str">
        <f>IFERROR(__xludf.DUMMYFUNCTION("IF($F18&lt;&gt;"""",IFERROR(FILTER(RawTotals!$AJ:$AJ,RawTotals!$A:$A=AM18)-(FILTER(Data!$K:$K,Data!$B:$B=AM18,Data!$D:$D=$F18)+FILTER(Data!$L:$L,Data!$B:$B=AM18,Data!$D:$D=$F18)),""""),"""")"),"")</f>
        <v/>
      </c>
      <c r="BX18" s="69" t="str">
        <f>IFERROR(__xludf.DUMMYFUNCTION("IF($F18&lt;&gt;"""",IFERROR(FILTER(RawTotals!$AJ:$AJ,RawTotals!$A:$A=AN18)-(FILTER(Data!$K:$K,Data!$B:$B=AN18,Data!$D:$D=$F18)+FILTER(Data!$L:$L,Data!$B:$B=AN18,Data!$D:$D=$F18)),""""),"""")"),"")</f>
        <v/>
      </c>
      <c r="BY18" s="69" t="str">
        <f>IFERROR(__xludf.DUMMYFUNCTION("IF($G18&lt;&gt;"""",IFERROR(FILTER(RawTotals!$AJ:$AJ,RawTotals!$A:$A=AO18)-(FILTER(Data!$K:$K,Data!$B:$B=AO18,Data!$D:$D=$G18)+FILTER(Data!$L:$L,Data!$B:$B=AO18,Data!$D:$D=$G18)),""""),"""")"),"")</f>
        <v/>
      </c>
      <c r="BZ18" s="69" t="str">
        <f>IFERROR(__xludf.DUMMYFUNCTION("IF($G18&lt;&gt;"""",IFERROR(FILTER(RawTotals!$AJ:$AJ,RawTotals!$A:$A=AP18)-(FILTER(Data!$K:$K,Data!$B:$B=AP18,Data!$D:$D=$G18)+FILTER(Data!$L:$L,Data!$B:$B=AP18,Data!$D:$D=$G18)),""""),"""")"),"")</f>
        <v/>
      </c>
      <c r="CA18" s="69" t="str">
        <f>IFERROR(__xludf.DUMMYFUNCTION("IF($G18&lt;&gt;"""",IFERROR(FILTER(RawTotals!$AJ:$AJ,RawTotals!$A:$A=AQ18)-(FILTER(Data!$K:$K,Data!$B:$B=AQ18,Data!$D:$D=$G18)+FILTER(Data!$L:$L,Data!$B:$B=AQ18,Data!$D:$D=$G18)),""""),"""")"),"")</f>
        <v/>
      </c>
      <c r="CB18" s="69" t="str">
        <f>IFERROR(__xludf.DUMMYFUNCTION("IF($H18&lt;&gt;"""",IFERROR(FILTER(RawTotals!$AJ:$AJ,RawTotals!$A:$A=AR18)-(FILTER(Data!$K:$K,Data!$B:$B=AR18,Data!$D:$D=$H18)+FILTER(Data!$L:$L,Data!$B:$B=AR18,Data!$D:$D=$H18)),""""),"""")"),"")</f>
        <v/>
      </c>
      <c r="CC18" s="69" t="str">
        <f>IFERROR(__xludf.DUMMYFUNCTION("IF($H18&lt;&gt;"""",IFERROR(FILTER(RawTotals!$AJ:$AJ,RawTotals!$A:$A=AS18)-(FILTER(Data!$K:$K,Data!$B:$B=AS18,Data!$D:$D=$H18)+FILTER(Data!$L:$L,Data!$B:$B=AS18,Data!$D:$D=$H18)),""""),"""")"),"")</f>
        <v/>
      </c>
      <c r="CD18" s="69" t="str">
        <f>IFERROR(__xludf.DUMMYFUNCTION("IF($H18&lt;&gt;"""",IFERROR(FILTER(RawTotals!$AJ:$AJ,RawTotals!$A:$A=AT18)-(FILTER(Data!$K:$K,Data!$B:$B=AT18,Data!$D:$D=$H18)+FILTER(Data!$L:$L,Data!$B:$B=AT18,Data!$D:$D=$H18)),""""),"""")"),"")</f>
        <v/>
      </c>
      <c r="CE18" s="69" t="str">
        <f>IFERROR(__xludf.DUMMYFUNCTION("IF($I18&lt;&gt;"""",IFERROR(FILTER(RawTotals!$AJ:$AJ,RawTotals!$A:$A=AU18)-(FILTER(Data!$K:$K,Data!$B:$B=AU18,Data!$D:$D=$I18)+FILTER(Data!$L:$L,Data!$B:$B=AU18,Data!$D:$D=$I18)),""""),"""")"),"")</f>
        <v/>
      </c>
      <c r="CF18" s="69" t="str">
        <f>IFERROR(__xludf.DUMMYFUNCTION("IF($I18&lt;&gt;"""",IFERROR(FILTER(RawTotals!$AJ:$AJ,RawTotals!$A:$A=AV18)-(FILTER(Data!$K:$K,Data!$B:$B=AV18,Data!$D:$D=$I18)+FILTER(Data!$L:$L,Data!$B:$B=AV18,Data!$D:$D=$I18)),""""),"""")"),"")</f>
        <v/>
      </c>
      <c r="CG18" s="69" t="str">
        <f>IFERROR(__xludf.DUMMYFUNCTION("IF($I18&lt;&gt;"""",IFERROR(FILTER(RawTotals!$AJ:$AJ,RawTotals!$A:$A=AW18)-(FILTER(Data!$K:$K,Data!$B:$B=AW18,Data!$D:$D=$I18)+FILTER(Data!$L:$L,Data!$B:$B=AW18,Data!$D:$D=$I18)),""""),"""")"),"")</f>
        <v/>
      </c>
      <c r="CH18" s="69" t="str">
        <f>IFERROR(__xludf.DUMMYFUNCTION("IF($J18&lt;&gt;"""",IFERROR(FILTER(RawTotals!$AJ:$AJ,RawTotals!$A:$A=AX18)-(FILTER(Data!$K:$K,Data!$B:$B=AX18,Data!$D:$D=$J18)+FILTER(Data!$L:$L,Data!$B:$B=AX18,Data!$D:$D=$J18)),""""),"""")"),"")</f>
        <v/>
      </c>
      <c r="CI18" s="69" t="str">
        <f>IFERROR(__xludf.DUMMYFUNCTION("IF($J18&lt;&gt;"""",IFERROR(FILTER(RawTotals!$AJ:$AJ,RawTotals!$A:$A=AY18)-(FILTER(Data!$K:$K,Data!$B:$B=AY18,Data!$D:$D=$J18)+FILTER(Data!$L:$L,Data!$B:$B=AY18,Data!$D:$D=$J18)),""""),"""")"),"")</f>
        <v/>
      </c>
      <c r="CJ18" s="69" t="str">
        <f>IFERROR(__xludf.DUMMYFUNCTION("IF($J18&lt;&gt;"""",IFERROR(FILTER(RawTotals!$AJ:$AJ,RawTotals!$A:$A=AZ18)-(FILTER(Data!$K:$K,Data!$B:$B=AZ18,Data!$D:$D=$J18)+FILTER(Data!$L:$L,Data!$B:$B=AZ18,Data!$D:$D=$J18)),""""),"""")"),"")</f>
        <v/>
      </c>
      <c r="CK18" s="69" t="str">
        <f>IFERROR(__xludf.DUMMYFUNCTION("IF($K18&lt;&gt;"""",IFERROR(FILTER(RawTotals!$AJ:$AJ,RawTotals!$A:$A=BA18)-(FILTER(Data!$K:$K,Data!$B:$B=BA18,Data!$D:$D=$K18)+FILTER(Data!$L:$L,Data!$B:$B=BA18,Data!$D:$D=$K18)),""""),"""")"),"")</f>
        <v/>
      </c>
      <c r="CL18" s="69" t="str">
        <f>IFERROR(__xludf.DUMMYFUNCTION("IF($K18&lt;&gt;"""",IFERROR(FILTER(RawTotals!$AJ:$AJ,RawTotals!$A:$A=BB18)-(FILTER(Data!$K:$K,Data!$B:$B=BB18,Data!$D:$D=$K18)+FILTER(Data!$L:$L,Data!$B:$B=BB18,Data!$D:$D=$K18)),""""),"""")"),"")</f>
        <v/>
      </c>
      <c r="CM18" s="69" t="str">
        <f>IFERROR(__xludf.DUMMYFUNCTION("IF($K18&lt;&gt;"""",IFERROR(FILTER(RawTotals!$AJ:$AJ,RawTotals!$A:$A=BC18)-(FILTER(Data!$K:$K,Data!$B:$B=BC18,Data!$D:$D=$K18)+FILTER(Data!$L:$L,Data!$B:$B=BC18,Data!$D:$D=$K18)),""""),"""")"),"")</f>
        <v/>
      </c>
      <c r="CN18" s="69" t="str">
        <f>IFERROR(__xludf.DUMMYFUNCTION("IF($L18&lt;&gt;"""",IFERROR((FILTER(RawTotals!$AJ:$AJ,RawTotals!$A:$A=BD18)-(FILTER(Data!$K:$K,Data!$B:$B=BD18,Data!$D:$D=$L18)+FILTER(Data!$L:$L,Data!$B:$B=BD18,Data!$D:$D=$L18))),""""),"""")"),"")</f>
        <v/>
      </c>
      <c r="CO18" s="69" t="str">
        <f>IFERROR(__xludf.DUMMYFUNCTION("IF($L18&lt;&gt;"""",IFERROR((FILTER(RawTotals!$AJ:$AJ,RawTotals!$A:$A=BE18)-(FILTER(Data!$K:$K,Data!$B:$B=BE18,Data!$D:$D=$L18)+FILTER(Data!$L:$L,Data!$B:$B=BE18,Data!$D:$D=$L18))),""""),"""")"),"")</f>
        <v/>
      </c>
      <c r="CP18" s="69" t="str">
        <f>IFERROR(__xludf.DUMMYFUNCTION("IF($L18&lt;&gt;"""",IFERROR((FILTER(RawTotals!$AJ:$AJ,RawTotals!$A:$A=BF18)-(FILTER(Data!$K:$K,Data!$B:$B=BF18,Data!$D:$D=$L18)+FILTER(Data!$L:$L,Data!$B:$B=BF18,Data!$D:$D=$L18))),""""),"""")"),"")</f>
        <v/>
      </c>
      <c r="CQ18" s="69" t="str">
        <f>IFERROR(__xludf.DUMMYFUNCTION("IF($M18&lt;&gt;"""",IFERROR((FILTER(RawTotals!$AJ:$AJ,RawTotals!$A:$A=BG18)-(FILTER(Data!$K:$K,Data!$B:$B=BG18,Data!$D:$D=$M18)+FILTER(Data!$L:$L,Data!$B:$B=BG18,Data!$D:$D=$M18))),""""),"""")"),"")</f>
        <v/>
      </c>
      <c r="CR18" s="69" t="str">
        <f>IFERROR(__xludf.DUMMYFUNCTION("IF($M18&lt;&gt;"""",IFERROR((FILTER(RawTotals!$AJ:$AJ,RawTotals!$A:$A=BH18)-(FILTER(Data!$K:$K,Data!$B:$B=BH18,Data!$D:$D=$M18)+FILTER(Data!$L:$L,Data!$B:$B=BH18,Data!$D:$D=$M18))),""""),"""")"),"")</f>
        <v/>
      </c>
      <c r="CS18" s="70" t="str">
        <f>IFERROR(__xludf.DUMMYFUNCTION("IF($M18&lt;&gt;"""",IFERROR((FILTER(RawTotals!$AJ:$AJ,RawTotals!$A:$A=BI18)-(FILTER(Data!$K:$K,Data!$B:$B=BI18,Data!$D:$D=$M18)+FILTER(Data!$L:$L,Data!$B:$B=BI18,Data!$D:$D=$M18))),""""),"""")"),"")</f>
        <v/>
      </c>
      <c r="CT18" s="69"/>
      <c r="CU18" s="69"/>
      <c r="CV18" s="69"/>
      <c r="CW18" s="69"/>
      <c r="CX18" s="69"/>
      <c r="CY18" s="69"/>
      <c r="CZ18" s="69"/>
      <c r="DA18" s="69"/>
      <c r="DB18" s="69"/>
      <c r="DC18" s="69"/>
      <c r="DD18" s="69"/>
      <c r="DE18" s="69"/>
    </row>
    <row r="19">
      <c r="A19" s="67">
        <f>RawTotals!A19</f>
        <v>195</v>
      </c>
      <c r="B19" s="68" t="str">
        <f>IFERROR(__xludf.DUMMYFUNCTION("IF(A19&lt;&gt;"""",IFERROR(TRANSPOSE(FILTER(Data!D:D,Data!B:B=A19,Data!R:R&lt;&gt;"""")),""No Defense""),"""")"),"No Defense")</f>
        <v>No Defense</v>
      </c>
      <c r="C19" s="65"/>
      <c r="D19" s="65"/>
      <c r="E19" s="65"/>
      <c r="F19" s="65"/>
      <c r="G19" s="65"/>
      <c r="H19" s="65"/>
      <c r="I19" s="65"/>
      <c r="J19" s="65"/>
      <c r="K19" s="65"/>
      <c r="L19" s="65"/>
      <c r="M19" s="65"/>
      <c r="N19" s="64" t="str">
        <f>IFERROR(__xludf.DUMMYFUNCTION("IFERROR(Textjoin("""",TRUE,FILTER(Data!$R:$R,Data!$D:$D=B19,Data!$B:$B=$A19)),"""")"),"")</f>
        <v/>
      </c>
      <c r="O19" s="64" t="str">
        <f>IFERROR(__xludf.DUMMYFUNCTION("IFERROR(Textjoin("""",TRUE,FILTER(Data!$R:$R,Data!$D:$D=C19,Data!$B:$B=$A19)),"""")"),"")</f>
        <v/>
      </c>
      <c r="P19" s="64" t="str">
        <f>IFERROR(__xludf.DUMMYFUNCTION("IFERROR(Textjoin("""",TRUE,FILTER(Data!$R:$R,Data!$D:$D=D19,Data!$B:$B=$A19)),"""")"),"")</f>
        <v/>
      </c>
      <c r="Q19" s="64" t="str">
        <f>IFERROR(__xludf.DUMMYFUNCTION("IFERROR(Textjoin("""",TRUE,FILTER(Data!$R:$R,Data!$D:$D=E19,Data!$B:$B=$A19)),"""")"),"")</f>
        <v/>
      </c>
      <c r="R19" s="64" t="str">
        <f>IFERROR(__xludf.DUMMYFUNCTION("IFERROR(Textjoin("""",TRUE,FILTER(Data!$R:$R,Data!$D:$D=F19,Data!$B:$B=$A19)),"""")"),"")</f>
        <v/>
      </c>
      <c r="S19" s="64" t="str">
        <f>IFERROR(__xludf.DUMMYFUNCTION("IFERROR(Textjoin("""",TRUE,FILTER(Data!$R:$R,Data!$D:$D=G19,Data!$B:$B=$A19)),"""")"),"")</f>
        <v/>
      </c>
      <c r="T19" s="64" t="str">
        <f>IFERROR(__xludf.DUMMYFUNCTION("IFERROR(Textjoin("""",TRUE,FILTER(Data!$R:$R,Data!$D:$D=H19,Data!$B:$B=$A19)),"""")"),"")</f>
        <v/>
      </c>
      <c r="U19" s="64" t="str">
        <f>IFERROR(__xludf.DUMMYFUNCTION("IFERROR(Textjoin("""",TRUE,FILTER(Data!$R:$R,Data!$D:$D=I19,Data!$B:$B=$A19)),"""")"),"")</f>
        <v/>
      </c>
      <c r="V19" s="64" t="str">
        <f>IFERROR(__xludf.DUMMYFUNCTION("IFERROR(Textjoin("""",TRUE,FILTER(Data!$R:$R,Data!$D:$D=J19,Data!$B:$B=$A19)),"""")"),"")</f>
        <v/>
      </c>
      <c r="W19" s="64" t="str">
        <f>IFERROR(__xludf.DUMMYFUNCTION("IFERROR(Textjoin("""",TRUE,FILTER(Data!$R:$R,Data!$D:$D=K19,Data!$B:$B=$A19)),"""")"),"")</f>
        <v/>
      </c>
      <c r="X19" s="64" t="str">
        <f>IFERROR(__xludf.DUMMYFUNCTION("IFERROR(Textjoin("""",TRUE,FILTER(Data!$R:$R,Data!$D:$D=L19,Data!$B:$B=$A19)),"""")"),"")</f>
        <v/>
      </c>
      <c r="Y19" s="64" t="str">
        <f>IFERROR(__xludf.DUMMYFUNCTION("IFERROR(Textjoin("""",TRUE,FILTER(Data!$R:$R,Data!$D:$D=M19,Data!$B:$B=$A19)),"""")"),"")</f>
        <v/>
      </c>
      <c r="Z19" s="64" t="str">
        <f>IFERROR(__xludf.DUMMYFUNCTION("IFERROR(SPLIT(N19,"",""),"""")"),"")</f>
        <v/>
      </c>
      <c r="AA19" s="65"/>
      <c r="AB19" s="65"/>
      <c r="AC19" s="69" t="str">
        <f>IFERROR(__xludf.DUMMYFUNCTION("IFERROR(SPLIT(O19,"",""),"""")"),"")</f>
        <v/>
      </c>
      <c r="AD19" s="65"/>
      <c r="AE19" s="65"/>
      <c r="AF19" s="69" t="str">
        <f>IFERROR(__xludf.DUMMYFUNCTION("IFERROR(SPLIT(P19,"",""),"""")"),"")</f>
        <v/>
      </c>
      <c r="AG19" s="65"/>
      <c r="AH19" s="65"/>
      <c r="AI19" s="69" t="str">
        <f>IFERROR(__xludf.DUMMYFUNCTION("IFERROR(SPLIT(Q19,"",""),"""")"),"")</f>
        <v/>
      </c>
      <c r="AJ19" s="65"/>
      <c r="AK19" s="65"/>
      <c r="AL19" s="69" t="str">
        <f>IFERROR(__xludf.DUMMYFUNCTION("IFERROR(SPLIT(R19,"",""),"""")"),"")</f>
        <v/>
      </c>
      <c r="AM19" s="65"/>
      <c r="AN19" s="65"/>
      <c r="AO19" s="69" t="str">
        <f>IFERROR(__xludf.DUMMYFUNCTION("IFERROR(SPLIT(S19,"",""),"""")"),"")</f>
        <v/>
      </c>
      <c r="AP19" s="65"/>
      <c r="AQ19" s="65"/>
      <c r="AR19" s="69" t="str">
        <f>IFERROR(__xludf.DUMMYFUNCTION("IFERROR(SPLIT(T19,"",""),"""")"),"")</f>
        <v/>
      </c>
      <c r="AS19" s="65"/>
      <c r="AT19" s="65"/>
      <c r="AU19" s="69" t="str">
        <f>IFERROR(__xludf.DUMMYFUNCTION("IFERROR(SPLIT(U19,"",""),"""")"),"")</f>
        <v/>
      </c>
      <c r="AV19" s="65"/>
      <c r="AW19" s="65"/>
      <c r="AX19" s="69" t="str">
        <f>IFERROR(__xludf.DUMMYFUNCTION("IFERROR(SPLIT(V19,"",""),"""")"),"")</f>
        <v/>
      </c>
      <c r="AY19" s="65"/>
      <c r="AZ19" s="65"/>
      <c r="BA19" s="69" t="str">
        <f>IFERROR(__xludf.DUMMYFUNCTION("IFERROR(SPLIT(W19,"",""),"""")"),"")</f>
        <v/>
      </c>
      <c r="BB19" s="69"/>
      <c r="BC19" s="69"/>
      <c r="BD19" s="69" t="str">
        <f>IFERROR(__xludf.DUMMYFUNCTION("IFERROR(SPLIT(X19,"",""),"""")"),"")</f>
        <v/>
      </c>
      <c r="BE19" s="69"/>
      <c r="BF19" s="69"/>
      <c r="BG19" s="69" t="str">
        <f>IFERROR(__xludf.DUMMYFUNCTION("IFERROR(SPLIT(Y19,"",""),"""")"),"")</f>
        <v/>
      </c>
      <c r="BH19" s="69"/>
      <c r="BI19" s="69"/>
      <c r="BJ19" s="68" t="str">
        <f>IFERROR(__xludf.DUMMYFUNCTION("IF($B19&lt;&gt;"""",IFERROR(FILTER(RawTotals!$AJ:$AJ,RawTotals!$A:$A=Z19)-(FILTER(Data!$K:$K,Data!$B:$B=Z19,Data!$D:$D=$B19)+FILTER(Data!$L:$L,Data!$B:$B=Z19,Data!$D:$D=$B19)),""""),"""")"),"")</f>
        <v/>
      </c>
      <c r="BK19" s="68" t="str">
        <f>IFERROR(__xludf.DUMMYFUNCTION("IF($B19&lt;&gt;"""",IFERROR(FILTER(RawTotals!$AJ:$AJ,RawTotals!$A:$A=AA19)-(FILTER(Data!$K:$K,Data!$B:$B=AA19,Data!$D:$D=$B19)+FILTER(Data!$L:$L,Data!$B:$B=AA19,Data!$D:$D=$B19)),""""),"""")"),"")</f>
        <v/>
      </c>
      <c r="BL19" s="68" t="str">
        <f>IFERROR(__xludf.DUMMYFUNCTION("IF($B19&lt;&gt;"""",IFERROR(FILTER(RawTotals!$AJ:$AJ,RawTotals!$A:$A=AB19)-(FILTER(Data!$K:$K,Data!$B:$B=AB19,Data!$D:$D=$B19)+FILTER(Data!$L:$L,Data!$B:$B=AB19,Data!$D:$D=$B19)),""""),"""")"),"")</f>
        <v/>
      </c>
      <c r="BM19" s="69" t="str">
        <f>IFERROR(__xludf.DUMMYFUNCTION("IF($C19&lt;&gt;"""",IFERROR(FILTER(RawTotals!$AJ:$AJ,RawTotals!$A:$A=AC19)-(FILTER(Data!$K:$K,Data!$B:$B=AC19,Data!$D:$D=$C19)+FILTER(Data!$L:$L,Data!$B:$B=AC19,Data!$D:$D=$C19)),""""),"""")"),"")</f>
        <v/>
      </c>
      <c r="BN19" s="69" t="str">
        <f>IFERROR(__xludf.DUMMYFUNCTION("IF($C19&lt;&gt;"""",IFERROR(FILTER(RawTotals!$AJ:$AJ,RawTotals!$A:$A=AD19)-(FILTER(Data!$K:$K,Data!$B:$B=AD19,Data!$D:$D=$C19)+FILTER(Data!$L:$L,Data!$B:$B=AD19,Data!$D:$D=$C19)),""""),"""")"),"")</f>
        <v/>
      </c>
      <c r="BO19" s="69" t="str">
        <f>IFERROR(__xludf.DUMMYFUNCTION("IF($C19&lt;&gt;"""",IFERROR(FILTER(RawTotals!$AJ:$AJ,RawTotals!$A:$A=AE19)-(FILTER(Data!$K:$K,Data!$B:$B=AE19,Data!$D:$D=$C19)+FILTER(Data!$L:$L,Data!$B:$B=AE19,Data!$D:$D=$C19)),""""),"""")"),"")</f>
        <v/>
      </c>
      <c r="BP19" s="69" t="str">
        <f>IFERROR(__xludf.DUMMYFUNCTION("IF($D19&lt;&gt;"""",IFERROR(FILTER(RawTotals!$AJ:$AJ,RawTotals!$A:$A=AF19)-(FILTER(Data!$K:$K,Data!$B:$B=AF19,Data!$D:$D=$D19)+FILTER(Data!$L:$L,Data!$B:$B=AF19,Data!$D:$D=$D19)),""""),"""")"),"")</f>
        <v/>
      </c>
      <c r="BQ19" s="69" t="str">
        <f>IFERROR(__xludf.DUMMYFUNCTION("IF($D19&lt;&gt;"""",IFERROR(FILTER(RawTotals!$AJ:$AJ,RawTotals!$A:$A=AG19)-(FILTER(Data!$K:$K,Data!$B:$B=AG19,Data!$D:$D=$D19)+FILTER(Data!$L:$L,Data!$B:$B=AG19,Data!$D:$D=$D19)),""""),"""")"),"")</f>
        <v/>
      </c>
      <c r="BR19" s="69" t="str">
        <f>IFERROR(__xludf.DUMMYFUNCTION("IF($D19&lt;&gt;"""",IFERROR(FILTER(RawTotals!$AJ:$AJ,RawTotals!$A:$A=AH19)-(FILTER(Data!$K:$K,Data!$B:$B=AH19,Data!$D:$D=$D19)+FILTER(Data!$L:$L,Data!$B:$B=AH19,Data!$D:$D=$D19)),""""),"""")"),"")</f>
        <v/>
      </c>
      <c r="BS19" s="69" t="str">
        <f>IFERROR(__xludf.DUMMYFUNCTION("IF($E19&lt;&gt;"""",IFERROR(FILTER(RawTotals!$AJ:$AJ,RawTotals!$A:$A=AI19)-(FILTER(Data!$K:$K,Data!$B:$B=AI19,Data!$D:$D=$E19)+FILTER(Data!$L:$L,Data!$B:$B=AI19,Data!$D:$D=$E19)),""""),"""")"),"")</f>
        <v/>
      </c>
      <c r="BT19" s="69" t="str">
        <f>IFERROR(__xludf.DUMMYFUNCTION("IF($E19&lt;&gt;"""",IFERROR(FILTER(RawTotals!$AJ:$AJ,RawTotals!$A:$A=AJ19)-(FILTER(Data!$K:$K,Data!$B:$B=AJ19,Data!$D:$D=$E19)+FILTER(Data!$L:$L,Data!$B:$B=AJ19,Data!$D:$D=$E19)),""""),"""")"),"")</f>
        <v/>
      </c>
      <c r="BU19" s="69" t="str">
        <f>IFERROR(__xludf.DUMMYFUNCTION("IF($E19&lt;&gt;"""",IFERROR(FILTER(RawTotals!$AJ:$AJ,RawTotals!$A:$A=AK19)-(FILTER(Data!$K:$K,Data!$B:$B=AK19,Data!$D:$D=$E19)+FILTER(Data!$L:$L,Data!$B:$B=AK19,Data!$D:$D=$E19)),""""),"""")"),"")</f>
        <v/>
      </c>
      <c r="BV19" s="69" t="str">
        <f>IFERROR(__xludf.DUMMYFUNCTION("IF($F19&lt;&gt;"""",IFERROR(FILTER(RawTotals!$AJ:$AJ,RawTotals!$A:$A=AL19)-(FILTER(Data!$K:$K,Data!$B:$B=AL19,Data!$D:$D=$F19)+FILTER(Data!$L:$L,Data!$B:$B=AL19,Data!$D:$D=$F19)),""""),"""")"),"")</f>
        <v/>
      </c>
      <c r="BW19" s="69" t="str">
        <f>IFERROR(__xludf.DUMMYFUNCTION("IF($F19&lt;&gt;"""",IFERROR(FILTER(RawTotals!$AJ:$AJ,RawTotals!$A:$A=AM19)-(FILTER(Data!$K:$K,Data!$B:$B=AM19,Data!$D:$D=$F19)+FILTER(Data!$L:$L,Data!$B:$B=AM19,Data!$D:$D=$F19)),""""),"""")"),"")</f>
        <v/>
      </c>
      <c r="BX19" s="69" t="str">
        <f>IFERROR(__xludf.DUMMYFUNCTION("IF($F19&lt;&gt;"""",IFERROR(FILTER(RawTotals!$AJ:$AJ,RawTotals!$A:$A=AN19)-(FILTER(Data!$K:$K,Data!$B:$B=AN19,Data!$D:$D=$F19)+FILTER(Data!$L:$L,Data!$B:$B=AN19,Data!$D:$D=$F19)),""""),"""")"),"")</f>
        <v/>
      </c>
      <c r="BY19" s="69" t="str">
        <f>IFERROR(__xludf.DUMMYFUNCTION("IF($G19&lt;&gt;"""",IFERROR(FILTER(RawTotals!$AJ:$AJ,RawTotals!$A:$A=AO19)-(FILTER(Data!$K:$K,Data!$B:$B=AO19,Data!$D:$D=$G19)+FILTER(Data!$L:$L,Data!$B:$B=AO19,Data!$D:$D=$G19)),""""),"""")"),"")</f>
        <v/>
      </c>
      <c r="BZ19" s="69" t="str">
        <f>IFERROR(__xludf.DUMMYFUNCTION("IF($G19&lt;&gt;"""",IFERROR(FILTER(RawTotals!$AJ:$AJ,RawTotals!$A:$A=AP19)-(FILTER(Data!$K:$K,Data!$B:$B=AP19,Data!$D:$D=$G19)+FILTER(Data!$L:$L,Data!$B:$B=AP19,Data!$D:$D=$G19)),""""),"""")"),"")</f>
        <v/>
      </c>
      <c r="CA19" s="69" t="str">
        <f>IFERROR(__xludf.DUMMYFUNCTION("IF($G19&lt;&gt;"""",IFERROR(FILTER(RawTotals!$AJ:$AJ,RawTotals!$A:$A=AQ19)-(FILTER(Data!$K:$K,Data!$B:$B=AQ19,Data!$D:$D=$G19)+FILTER(Data!$L:$L,Data!$B:$B=AQ19,Data!$D:$D=$G19)),""""),"""")"),"")</f>
        <v/>
      </c>
      <c r="CB19" s="69" t="str">
        <f>IFERROR(__xludf.DUMMYFUNCTION("IF($H19&lt;&gt;"""",IFERROR(FILTER(RawTotals!$AJ:$AJ,RawTotals!$A:$A=AR19)-(FILTER(Data!$K:$K,Data!$B:$B=AR19,Data!$D:$D=$H19)+FILTER(Data!$L:$L,Data!$B:$B=AR19,Data!$D:$D=$H19)),""""),"""")"),"")</f>
        <v/>
      </c>
      <c r="CC19" s="69" t="str">
        <f>IFERROR(__xludf.DUMMYFUNCTION("IF($H19&lt;&gt;"""",IFERROR(FILTER(RawTotals!$AJ:$AJ,RawTotals!$A:$A=AS19)-(FILTER(Data!$K:$K,Data!$B:$B=AS19,Data!$D:$D=$H19)+FILTER(Data!$L:$L,Data!$B:$B=AS19,Data!$D:$D=$H19)),""""),"""")"),"")</f>
        <v/>
      </c>
      <c r="CD19" s="69" t="str">
        <f>IFERROR(__xludf.DUMMYFUNCTION("IF($H19&lt;&gt;"""",IFERROR(FILTER(RawTotals!$AJ:$AJ,RawTotals!$A:$A=AT19)-(FILTER(Data!$K:$K,Data!$B:$B=AT19,Data!$D:$D=$H19)+FILTER(Data!$L:$L,Data!$B:$B=AT19,Data!$D:$D=$H19)),""""),"""")"),"")</f>
        <v/>
      </c>
      <c r="CE19" s="69" t="str">
        <f>IFERROR(__xludf.DUMMYFUNCTION("IF($I19&lt;&gt;"""",IFERROR(FILTER(RawTotals!$AJ:$AJ,RawTotals!$A:$A=AU19)-(FILTER(Data!$K:$K,Data!$B:$B=AU19,Data!$D:$D=$I19)+FILTER(Data!$L:$L,Data!$B:$B=AU19,Data!$D:$D=$I19)),""""),"""")"),"")</f>
        <v/>
      </c>
      <c r="CF19" s="69" t="str">
        <f>IFERROR(__xludf.DUMMYFUNCTION("IF($I19&lt;&gt;"""",IFERROR(FILTER(RawTotals!$AJ:$AJ,RawTotals!$A:$A=AV19)-(FILTER(Data!$K:$K,Data!$B:$B=AV19,Data!$D:$D=$I19)+FILTER(Data!$L:$L,Data!$B:$B=AV19,Data!$D:$D=$I19)),""""),"""")"),"")</f>
        <v/>
      </c>
      <c r="CG19" s="69" t="str">
        <f>IFERROR(__xludf.DUMMYFUNCTION("IF($I19&lt;&gt;"""",IFERROR(FILTER(RawTotals!$AJ:$AJ,RawTotals!$A:$A=AW19)-(FILTER(Data!$K:$K,Data!$B:$B=AW19,Data!$D:$D=$I19)+FILTER(Data!$L:$L,Data!$B:$B=AW19,Data!$D:$D=$I19)),""""),"""")"),"")</f>
        <v/>
      </c>
      <c r="CH19" s="69" t="str">
        <f>IFERROR(__xludf.DUMMYFUNCTION("IF($J19&lt;&gt;"""",IFERROR(FILTER(RawTotals!$AJ:$AJ,RawTotals!$A:$A=AX19)-(FILTER(Data!$K:$K,Data!$B:$B=AX19,Data!$D:$D=$J19)+FILTER(Data!$L:$L,Data!$B:$B=AX19,Data!$D:$D=$J19)),""""),"""")"),"")</f>
        <v/>
      </c>
      <c r="CI19" s="69" t="str">
        <f>IFERROR(__xludf.DUMMYFUNCTION("IF($J19&lt;&gt;"""",IFERROR(FILTER(RawTotals!$AJ:$AJ,RawTotals!$A:$A=AY19)-(FILTER(Data!$K:$K,Data!$B:$B=AY19,Data!$D:$D=$J19)+FILTER(Data!$L:$L,Data!$B:$B=AY19,Data!$D:$D=$J19)),""""),"""")"),"")</f>
        <v/>
      </c>
      <c r="CJ19" s="69" t="str">
        <f>IFERROR(__xludf.DUMMYFUNCTION("IF($J19&lt;&gt;"""",IFERROR(FILTER(RawTotals!$AJ:$AJ,RawTotals!$A:$A=AZ19)-(FILTER(Data!$K:$K,Data!$B:$B=AZ19,Data!$D:$D=$J19)+FILTER(Data!$L:$L,Data!$B:$B=AZ19,Data!$D:$D=$J19)),""""),"""")"),"")</f>
        <v/>
      </c>
      <c r="CK19" s="69" t="str">
        <f>IFERROR(__xludf.DUMMYFUNCTION("IF($K19&lt;&gt;"""",IFERROR(FILTER(RawTotals!$AJ:$AJ,RawTotals!$A:$A=BA19)-(FILTER(Data!$K:$K,Data!$B:$B=BA19,Data!$D:$D=$K19)+FILTER(Data!$L:$L,Data!$B:$B=BA19,Data!$D:$D=$K19)),""""),"""")"),"")</f>
        <v/>
      </c>
      <c r="CL19" s="69" t="str">
        <f>IFERROR(__xludf.DUMMYFUNCTION("IF($K19&lt;&gt;"""",IFERROR(FILTER(RawTotals!$AJ:$AJ,RawTotals!$A:$A=BB19)-(FILTER(Data!$K:$K,Data!$B:$B=BB19,Data!$D:$D=$K19)+FILTER(Data!$L:$L,Data!$B:$B=BB19,Data!$D:$D=$K19)),""""),"""")"),"")</f>
        <v/>
      </c>
      <c r="CM19" s="69" t="str">
        <f>IFERROR(__xludf.DUMMYFUNCTION("IF($K19&lt;&gt;"""",IFERROR(FILTER(RawTotals!$AJ:$AJ,RawTotals!$A:$A=BC19)-(FILTER(Data!$K:$K,Data!$B:$B=BC19,Data!$D:$D=$K19)+FILTER(Data!$L:$L,Data!$B:$B=BC19,Data!$D:$D=$K19)),""""),"""")"),"")</f>
        <v/>
      </c>
      <c r="CN19" s="69" t="str">
        <f>IFERROR(__xludf.DUMMYFUNCTION("IF($L19&lt;&gt;"""",IFERROR((FILTER(RawTotals!$AJ:$AJ,RawTotals!$A:$A=BD19)-(FILTER(Data!$K:$K,Data!$B:$B=BD19,Data!$D:$D=$L19)+FILTER(Data!$L:$L,Data!$B:$B=BD19,Data!$D:$D=$L19))),""""),"""")"),"")</f>
        <v/>
      </c>
      <c r="CO19" s="69" t="str">
        <f>IFERROR(__xludf.DUMMYFUNCTION("IF($L19&lt;&gt;"""",IFERROR((FILTER(RawTotals!$AJ:$AJ,RawTotals!$A:$A=BE19)-(FILTER(Data!$K:$K,Data!$B:$B=BE19,Data!$D:$D=$L19)+FILTER(Data!$L:$L,Data!$B:$B=BE19,Data!$D:$D=$L19))),""""),"""")"),"")</f>
        <v/>
      </c>
      <c r="CP19" s="69" t="str">
        <f>IFERROR(__xludf.DUMMYFUNCTION("IF($L19&lt;&gt;"""",IFERROR((FILTER(RawTotals!$AJ:$AJ,RawTotals!$A:$A=BF19)-(FILTER(Data!$K:$K,Data!$B:$B=BF19,Data!$D:$D=$L19)+FILTER(Data!$L:$L,Data!$B:$B=BF19,Data!$D:$D=$L19))),""""),"""")"),"")</f>
        <v/>
      </c>
      <c r="CQ19" s="69" t="str">
        <f>IFERROR(__xludf.DUMMYFUNCTION("IF($M19&lt;&gt;"""",IFERROR((FILTER(RawTotals!$AJ:$AJ,RawTotals!$A:$A=BG19)-(FILTER(Data!$K:$K,Data!$B:$B=BG19,Data!$D:$D=$M19)+FILTER(Data!$L:$L,Data!$B:$B=BG19,Data!$D:$D=$M19))),""""),"""")"),"")</f>
        <v/>
      </c>
      <c r="CR19" s="69" t="str">
        <f>IFERROR(__xludf.DUMMYFUNCTION("IF($M19&lt;&gt;"""",IFERROR((FILTER(RawTotals!$AJ:$AJ,RawTotals!$A:$A=BH19)-(FILTER(Data!$K:$K,Data!$B:$B=BH19,Data!$D:$D=$M19)+FILTER(Data!$L:$L,Data!$B:$B=BH19,Data!$D:$D=$M19))),""""),"""")"),"")</f>
        <v/>
      </c>
      <c r="CS19" s="70" t="str">
        <f>IFERROR(__xludf.DUMMYFUNCTION("IF($M19&lt;&gt;"""",IFERROR((FILTER(RawTotals!$AJ:$AJ,RawTotals!$A:$A=BI19)-(FILTER(Data!$K:$K,Data!$B:$B=BI19,Data!$D:$D=$M19)+FILTER(Data!$L:$L,Data!$B:$B=BI19,Data!$D:$D=$M19))),""""),"""")"),"")</f>
        <v/>
      </c>
      <c r="CT19" s="69"/>
      <c r="CU19" s="69"/>
      <c r="CV19" s="69"/>
      <c r="CW19" s="69"/>
      <c r="CX19" s="69"/>
      <c r="CY19" s="69"/>
      <c r="CZ19" s="69"/>
      <c r="DA19" s="69"/>
      <c r="DB19" s="69"/>
      <c r="DC19" s="69"/>
      <c r="DD19" s="69"/>
      <c r="DE19" s="69"/>
    </row>
    <row r="20">
      <c r="A20" s="67">
        <f>RawTotals!A20</f>
        <v>2468</v>
      </c>
      <c r="B20" s="68" t="str">
        <f>IFERROR(__xludf.DUMMYFUNCTION("IF(A20&lt;&gt;"""",IFERROR(TRANSPOSE(FILTER(Data!D:D,Data!B:B=A20,Data!R:R&lt;&gt;"""")),""No Defense""),"""")"),"No Defense")</f>
        <v>No Defense</v>
      </c>
      <c r="C20" s="65"/>
      <c r="D20" s="65"/>
      <c r="E20" s="65"/>
      <c r="F20" s="65"/>
      <c r="G20" s="65"/>
      <c r="H20" s="65"/>
      <c r="I20" s="65"/>
      <c r="J20" s="65"/>
      <c r="K20" s="65"/>
      <c r="L20" s="65"/>
      <c r="M20" s="65"/>
      <c r="N20" s="64" t="str">
        <f>IFERROR(__xludf.DUMMYFUNCTION("IFERROR(Textjoin("""",TRUE,FILTER(Data!$R:$R,Data!$D:$D=B20,Data!$B:$B=$A20)),"""")"),"")</f>
        <v/>
      </c>
      <c r="O20" s="64" t="str">
        <f>IFERROR(__xludf.DUMMYFUNCTION("IFERROR(Textjoin("""",TRUE,FILTER(Data!$R:$R,Data!$D:$D=C20,Data!$B:$B=$A20)),"""")"),"")</f>
        <v/>
      </c>
      <c r="P20" s="64" t="str">
        <f>IFERROR(__xludf.DUMMYFUNCTION("IFERROR(Textjoin("""",TRUE,FILTER(Data!$R:$R,Data!$D:$D=D20,Data!$B:$B=$A20)),"""")"),"")</f>
        <v/>
      </c>
      <c r="Q20" s="64" t="str">
        <f>IFERROR(__xludf.DUMMYFUNCTION("IFERROR(Textjoin("""",TRUE,FILTER(Data!$R:$R,Data!$D:$D=E20,Data!$B:$B=$A20)),"""")"),"")</f>
        <v/>
      </c>
      <c r="R20" s="64" t="str">
        <f>IFERROR(__xludf.DUMMYFUNCTION("IFERROR(Textjoin("""",TRUE,FILTER(Data!$R:$R,Data!$D:$D=F20,Data!$B:$B=$A20)),"""")"),"")</f>
        <v/>
      </c>
      <c r="S20" s="64" t="str">
        <f>IFERROR(__xludf.DUMMYFUNCTION("IFERROR(Textjoin("""",TRUE,FILTER(Data!$R:$R,Data!$D:$D=G20,Data!$B:$B=$A20)),"""")"),"")</f>
        <v/>
      </c>
      <c r="T20" s="64" t="str">
        <f>IFERROR(__xludf.DUMMYFUNCTION("IFERROR(Textjoin("""",TRUE,FILTER(Data!$R:$R,Data!$D:$D=H20,Data!$B:$B=$A20)),"""")"),"")</f>
        <v/>
      </c>
      <c r="U20" s="64" t="str">
        <f>IFERROR(__xludf.DUMMYFUNCTION("IFERROR(Textjoin("""",TRUE,FILTER(Data!$R:$R,Data!$D:$D=I20,Data!$B:$B=$A20)),"""")"),"")</f>
        <v/>
      </c>
      <c r="V20" s="64" t="str">
        <f>IFERROR(__xludf.DUMMYFUNCTION("IFERROR(Textjoin("""",TRUE,FILTER(Data!$R:$R,Data!$D:$D=J20,Data!$B:$B=$A20)),"""")"),"")</f>
        <v/>
      </c>
      <c r="W20" s="64" t="str">
        <f>IFERROR(__xludf.DUMMYFUNCTION("IFERROR(Textjoin("""",TRUE,FILTER(Data!$R:$R,Data!$D:$D=K20,Data!$B:$B=$A20)),"""")"),"")</f>
        <v/>
      </c>
      <c r="X20" s="64" t="str">
        <f>IFERROR(__xludf.DUMMYFUNCTION("IFERROR(Textjoin("""",TRUE,FILTER(Data!$R:$R,Data!$D:$D=L20,Data!$B:$B=$A20)),"""")"),"")</f>
        <v/>
      </c>
      <c r="Y20" s="64" t="str">
        <f>IFERROR(__xludf.DUMMYFUNCTION("IFERROR(Textjoin("""",TRUE,FILTER(Data!$R:$R,Data!$D:$D=M20,Data!$B:$B=$A20)),"""")"),"")</f>
        <v/>
      </c>
      <c r="Z20" s="64" t="str">
        <f>IFERROR(__xludf.DUMMYFUNCTION("IFERROR(SPLIT(N20,"",""),"""")"),"")</f>
        <v/>
      </c>
      <c r="AA20" s="65"/>
      <c r="AB20" s="65"/>
      <c r="AC20" s="69" t="str">
        <f>IFERROR(__xludf.DUMMYFUNCTION("IFERROR(SPLIT(O20,"",""),"""")"),"")</f>
        <v/>
      </c>
      <c r="AD20" s="65"/>
      <c r="AE20" s="65"/>
      <c r="AF20" s="69" t="str">
        <f>IFERROR(__xludf.DUMMYFUNCTION("IFERROR(SPLIT(P20,"",""),"""")"),"")</f>
        <v/>
      </c>
      <c r="AG20" s="65"/>
      <c r="AH20" s="65"/>
      <c r="AI20" s="69" t="str">
        <f>IFERROR(__xludf.DUMMYFUNCTION("IFERROR(SPLIT(Q20,"",""),"""")"),"")</f>
        <v/>
      </c>
      <c r="AJ20" s="65"/>
      <c r="AK20" s="65"/>
      <c r="AL20" s="69" t="str">
        <f>IFERROR(__xludf.DUMMYFUNCTION("IFERROR(SPLIT(R20,"",""),"""")"),"")</f>
        <v/>
      </c>
      <c r="AM20" s="65"/>
      <c r="AN20" s="65"/>
      <c r="AO20" s="69" t="str">
        <f>IFERROR(__xludf.DUMMYFUNCTION("IFERROR(SPLIT(S20,"",""),"""")"),"")</f>
        <v/>
      </c>
      <c r="AP20" s="65"/>
      <c r="AQ20" s="65"/>
      <c r="AR20" s="69" t="str">
        <f>IFERROR(__xludf.DUMMYFUNCTION("IFERROR(SPLIT(T20,"",""),"""")"),"")</f>
        <v/>
      </c>
      <c r="AS20" s="65"/>
      <c r="AT20" s="65"/>
      <c r="AU20" s="69" t="str">
        <f>IFERROR(__xludf.DUMMYFUNCTION("IFERROR(SPLIT(U20,"",""),"""")"),"")</f>
        <v/>
      </c>
      <c r="AV20" s="65"/>
      <c r="AW20" s="65"/>
      <c r="AX20" s="69" t="str">
        <f>IFERROR(__xludf.DUMMYFUNCTION("IFERROR(SPLIT(V20,"",""),"""")"),"")</f>
        <v/>
      </c>
      <c r="AY20" s="65"/>
      <c r="AZ20" s="65"/>
      <c r="BA20" s="69" t="str">
        <f>IFERROR(__xludf.DUMMYFUNCTION("IFERROR(SPLIT(W20,"",""),"""")"),"")</f>
        <v/>
      </c>
      <c r="BB20" s="69"/>
      <c r="BC20" s="69"/>
      <c r="BD20" s="69" t="str">
        <f>IFERROR(__xludf.DUMMYFUNCTION("IFERROR(SPLIT(X20,"",""),"""")"),"")</f>
        <v/>
      </c>
      <c r="BE20" s="69"/>
      <c r="BF20" s="69"/>
      <c r="BG20" s="69" t="str">
        <f>IFERROR(__xludf.DUMMYFUNCTION("IFERROR(SPLIT(Y20,"",""),"""")"),"")</f>
        <v/>
      </c>
      <c r="BH20" s="69"/>
      <c r="BI20" s="69"/>
      <c r="BJ20" s="68" t="str">
        <f>IFERROR(__xludf.DUMMYFUNCTION("IF($B20&lt;&gt;"""",IFERROR(FILTER(RawTotals!$AJ:$AJ,RawTotals!$A:$A=Z20)-(FILTER(Data!$K:$K,Data!$B:$B=Z20,Data!$D:$D=$B20)+FILTER(Data!$L:$L,Data!$B:$B=Z20,Data!$D:$D=$B20)),""""),"""")"),"")</f>
        <v/>
      </c>
      <c r="BK20" s="68" t="str">
        <f>IFERROR(__xludf.DUMMYFUNCTION("IF($B20&lt;&gt;"""",IFERROR(FILTER(RawTotals!$AJ:$AJ,RawTotals!$A:$A=AA20)-(FILTER(Data!$K:$K,Data!$B:$B=AA20,Data!$D:$D=$B20)+FILTER(Data!$L:$L,Data!$B:$B=AA20,Data!$D:$D=$B20)),""""),"""")"),"")</f>
        <v/>
      </c>
      <c r="BL20" s="68" t="str">
        <f>IFERROR(__xludf.DUMMYFUNCTION("IF($B20&lt;&gt;"""",IFERROR(FILTER(RawTotals!$AJ:$AJ,RawTotals!$A:$A=AB20)-(FILTER(Data!$K:$K,Data!$B:$B=AB20,Data!$D:$D=$B20)+FILTER(Data!$L:$L,Data!$B:$B=AB20,Data!$D:$D=$B20)),""""),"""")"),"")</f>
        <v/>
      </c>
      <c r="BM20" s="69" t="str">
        <f>IFERROR(__xludf.DUMMYFUNCTION("IF($C20&lt;&gt;"""",IFERROR(FILTER(RawTotals!$AJ:$AJ,RawTotals!$A:$A=AC20)-(FILTER(Data!$K:$K,Data!$B:$B=AC20,Data!$D:$D=$C20)+FILTER(Data!$L:$L,Data!$B:$B=AC20,Data!$D:$D=$C20)),""""),"""")"),"")</f>
        <v/>
      </c>
      <c r="BN20" s="69" t="str">
        <f>IFERROR(__xludf.DUMMYFUNCTION("IF($C20&lt;&gt;"""",IFERROR(FILTER(RawTotals!$AJ:$AJ,RawTotals!$A:$A=AD20)-(FILTER(Data!$K:$K,Data!$B:$B=AD20,Data!$D:$D=$C20)+FILTER(Data!$L:$L,Data!$B:$B=AD20,Data!$D:$D=$C20)),""""),"""")"),"")</f>
        <v/>
      </c>
      <c r="BO20" s="69" t="str">
        <f>IFERROR(__xludf.DUMMYFUNCTION("IF($C20&lt;&gt;"""",IFERROR(FILTER(RawTotals!$AJ:$AJ,RawTotals!$A:$A=AE20)-(FILTER(Data!$K:$K,Data!$B:$B=AE20,Data!$D:$D=$C20)+FILTER(Data!$L:$L,Data!$B:$B=AE20,Data!$D:$D=$C20)),""""),"""")"),"")</f>
        <v/>
      </c>
      <c r="BP20" s="69" t="str">
        <f>IFERROR(__xludf.DUMMYFUNCTION("IF($D20&lt;&gt;"""",IFERROR(FILTER(RawTotals!$AJ:$AJ,RawTotals!$A:$A=AF20)-(FILTER(Data!$K:$K,Data!$B:$B=AF20,Data!$D:$D=$D20)+FILTER(Data!$L:$L,Data!$B:$B=AF20,Data!$D:$D=$D20)),""""),"""")"),"")</f>
        <v/>
      </c>
      <c r="BQ20" s="69" t="str">
        <f>IFERROR(__xludf.DUMMYFUNCTION("IF($D20&lt;&gt;"""",IFERROR(FILTER(RawTotals!$AJ:$AJ,RawTotals!$A:$A=AG20)-(FILTER(Data!$K:$K,Data!$B:$B=AG20,Data!$D:$D=$D20)+FILTER(Data!$L:$L,Data!$B:$B=AG20,Data!$D:$D=$D20)),""""),"""")"),"")</f>
        <v/>
      </c>
      <c r="BR20" s="69" t="str">
        <f>IFERROR(__xludf.DUMMYFUNCTION("IF($D20&lt;&gt;"""",IFERROR(FILTER(RawTotals!$AJ:$AJ,RawTotals!$A:$A=AH20)-(FILTER(Data!$K:$K,Data!$B:$B=AH20,Data!$D:$D=$D20)+FILTER(Data!$L:$L,Data!$B:$B=AH20,Data!$D:$D=$D20)),""""),"""")"),"")</f>
        <v/>
      </c>
      <c r="BS20" s="69" t="str">
        <f>IFERROR(__xludf.DUMMYFUNCTION("IF($E20&lt;&gt;"""",IFERROR(FILTER(RawTotals!$AJ:$AJ,RawTotals!$A:$A=AI20)-(FILTER(Data!$K:$K,Data!$B:$B=AI20,Data!$D:$D=$E20)+FILTER(Data!$L:$L,Data!$B:$B=AI20,Data!$D:$D=$E20)),""""),"""")"),"")</f>
        <v/>
      </c>
      <c r="BT20" s="69" t="str">
        <f>IFERROR(__xludf.DUMMYFUNCTION("IF($E20&lt;&gt;"""",IFERROR(FILTER(RawTotals!$AJ:$AJ,RawTotals!$A:$A=AJ20)-(FILTER(Data!$K:$K,Data!$B:$B=AJ20,Data!$D:$D=$E20)+FILTER(Data!$L:$L,Data!$B:$B=AJ20,Data!$D:$D=$E20)),""""),"""")"),"")</f>
        <v/>
      </c>
      <c r="BU20" s="69" t="str">
        <f>IFERROR(__xludf.DUMMYFUNCTION("IF($E20&lt;&gt;"""",IFERROR(FILTER(RawTotals!$AJ:$AJ,RawTotals!$A:$A=AK20)-(FILTER(Data!$K:$K,Data!$B:$B=AK20,Data!$D:$D=$E20)+FILTER(Data!$L:$L,Data!$B:$B=AK20,Data!$D:$D=$E20)),""""),"""")"),"")</f>
        <v/>
      </c>
      <c r="BV20" s="69" t="str">
        <f>IFERROR(__xludf.DUMMYFUNCTION("IF($F20&lt;&gt;"""",IFERROR(FILTER(RawTotals!$AJ:$AJ,RawTotals!$A:$A=AL20)-(FILTER(Data!$K:$K,Data!$B:$B=AL20,Data!$D:$D=$F20)+FILTER(Data!$L:$L,Data!$B:$B=AL20,Data!$D:$D=$F20)),""""),"""")"),"")</f>
        <v/>
      </c>
      <c r="BW20" s="69" t="str">
        <f>IFERROR(__xludf.DUMMYFUNCTION("IF($F20&lt;&gt;"""",IFERROR(FILTER(RawTotals!$AJ:$AJ,RawTotals!$A:$A=AM20)-(FILTER(Data!$K:$K,Data!$B:$B=AM20,Data!$D:$D=$F20)+FILTER(Data!$L:$L,Data!$B:$B=AM20,Data!$D:$D=$F20)),""""),"""")"),"")</f>
        <v/>
      </c>
      <c r="BX20" s="69" t="str">
        <f>IFERROR(__xludf.DUMMYFUNCTION("IF($F20&lt;&gt;"""",IFERROR(FILTER(RawTotals!$AJ:$AJ,RawTotals!$A:$A=AN20)-(FILTER(Data!$K:$K,Data!$B:$B=AN20,Data!$D:$D=$F20)+FILTER(Data!$L:$L,Data!$B:$B=AN20,Data!$D:$D=$F20)),""""),"""")"),"")</f>
        <v/>
      </c>
      <c r="BY20" s="69" t="str">
        <f>IFERROR(__xludf.DUMMYFUNCTION("IF($G20&lt;&gt;"""",IFERROR(FILTER(RawTotals!$AJ:$AJ,RawTotals!$A:$A=AO20)-(FILTER(Data!$K:$K,Data!$B:$B=AO20,Data!$D:$D=$G20)+FILTER(Data!$L:$L,Data!$B:$B=AO20,Data!$D:$D=$G20)),""""),"""")"),"")</f>
        <v/>
      </c>
      <c r="BZ20" s="69" t="str">
        <f>IFERROR(__xludf.DUMMYFUNCTION("IF($G20&lt;&gt;"""",IFERROR(FILTER(RawTotals!$AJ:$AJ,RawTotals!$A:$A=AP20)-(FILTER(Data!$K:$K,Data!$B:$B=AP20,Data!$D:$D=$G20)+FILTER(Data!$L:$L,Data!$B:$B=AP20,Data!$D:$D=$G20)),""""),"""")"),"")</f>
        <v/>
      </c>
      <c r="CA20" s="69" t="str">
        <f>IFERROR(__xludf.DUMMYFUNCTION("IF($G20&lt;&gt;"""",IFERROR(FILTER(RawTotals!$AJ:$AJ,RawTotals!$A:$A=AQ20)-(FILTER(Data!$K:$K,Data!$B:$B=AQ20,Data!$D:$D=$G20)+FILTER(Data!$L:$L,Data!$B:$B=AQ20,Data!$D:$D=$G20)),""""),"""")"),"")</f>
        <v/>
      </c>
      <c r="CB20" s="69" t="str">
        <f>IFERROR(__xludf.DUMMYFUNCTION("IF($H20&lt;&gt;"""",IFERROR(FILTER(RawTotals!$AJ:$AJ,RawTotals!$A:$A=AR20)-(FILTER(Data!$K:$K,Data!$B:$B=AR20,Data!$D:$D=$H20)+FILTER(Data!$L:$L,Data!$B:$B=AR20,Data!$D:$D=$H20)),""""),"""")"),"")</f>
        <v/>
      </c>
      <c r="CC20" s="69" t="str">
        <f>IFERROR(__xludf.DUMMYFUNCTION("IF($H20&lt;&gt;"""",IFERROR(FILTER(RawTotals!$AJ:$AJ,RawTotals!$A:$A=AS20)-(FILTER(Data!$K:$K,Data!$B:$B=AS20,Data!$D:$D=$H20)+FILTER(Data!$L:$L,Data!$B:$B=AS20,Data!$D:$D=$H20)),""""),"""")"),"")</f>
        <v/>
      </c>
      <c r="CD20" s="69" t="str">
        <f>IFERROR(__xludf.DUMMYFUNCTION("IF($H20&lt;&gt;"""",IFERROR(FILTER(RawTotals!$AJ:$AJ,RawTotals!$A:$A=AT20)-(FILTER(Data!$K:$K,Data!$B:$B=AT20,Data!$D:$D=$H20)+FILTER(Data!$L:$L,Data!$B:$B=AT20,Data!$D:$D=$H20)),""""),"""")"),"")</f>
        <v/>
      </c>
      <c r="CE20" s="69" t="str">
        <f>IFERROR(__xludf.DUMMYFUNCTION("IF($I20&lt;&gt;"""",IFERROR(FILTER(RawTotals!$AJ:$AJ,RawTotals!$A:$A=AU20)-(FILTER(Data!$K:$K,Data!$B:$B=AU20,Data!$D:$D=$I20)+FILTER(Data!$L:$L,Data!$B:$B=AU20,Data!$D:$D=$I20)),""""),"""")"),"")</f>
        <v/>
      </c>
      <c r="CF20" s="69" t="str">
        <f>IFERROR(__xludf.DUMMYFUNCTION("IF($I20&lt;&gt;"""",IFERROR(FILTER(RawTotals!$AJ:$AJ,RawTotals!$A:$A=AV20)-(FILTER(Data!$K:$K,Data!$B:$B=AV20,Data!$D:$D=$I20)+FILTER(Data!$L:$L,Data!$B:$B=AV20,Data!$D:$D=$I20)),""""),"""")"),"")</f>
        <v/>
      </c>
      <c r="CG20" s="69" t="str">
        <f>IFERROR(__xludf.DUMMYFUNCTION("IF($I20&lt;&gt;"""",IFERROR(FILTER(RawTotals!$AJ:$AJ,RawTotals!$A:$A=AW20)-(FILTER(Data!$K:$K,Data!$B:$B=AW20,Data!$D:$D=$I20)+FILTER(Data!$L:$L,Data!$B:$B=AW20,Data!$D:$D=$I20)),""""),"""")"),"")</f>
        <v/>
      </c>
      <c r="CH20" s="69" t="str">
        <f>IFERROR(__xludf.DUMMYFUNCTION("IF($J20&lt;&gt;"""",IFERROR(FILTER(RawTotals!$AJ:$AJ,RawTotals!$A:$A=AX20)-(FILTER(Data!$K:$K,Data!$B:$B=AX20,Data!$D:$D=$J20)+FILTER(Data!$L:$L,Data!$B:$B=AX20,Data!$D:$D=$J20)),""""),"""")"),"")</f>
        <v/>
      </c>
      <c r="CI20" s="69" t="str">
        <f>IFERROR(__xludf.DUMMYFUNCTION("IF($J20&lt;&gt;"""",IFERROR(FILTER(RawTotals!$AJ:$AJ,RawTotals!$A:$A=AY20)-(FILTER(Data!$K:$K,Data!$B:$B=AY20,Data!$D:$D=$J20)+FILTER(Data!$L:$L,Data!$B:$B=AY20,Data!$D:$D=$J20)),""""),"""")"),"")</f>
        <v/>
      </c>
      <c r="CJ20" s="69" t="str">
        <f>IFERROR(__xludf.DUMMYFUNCTION("IF($J20&lt;&gt;"""",IFERROR(FILTER(RawTotals!$AJ:$AJ,RawTotals!$A:$A=AZ20)-(FILTER(Data!$K:$K,Data!$B:$B=AZ20,Data!$D:$D=$J20)+FILTER(Data!$L:$L,Data!$B:$B=AZ20,Data!$D:$D=$J20)),""""),"""")"),"")</f>
        <v/>
      </c>
      <c r="CK20" s="69" t="str">
        <f>IFERROR(__xludf.DUMMYFUNCTION("IF($K20&lt;&gt;"""",IFERROR(FILTER(RawTotals!$AJ:$AJ,RawTotals!$A:$A=BA20)-(FILTER(Data!$K:$K,Data!$B:$B=BA20,Data!$D:$D=$K20)+FILTER(Data!$L:$L,Data!$B:$B=BA20,Data!$D:$D=$K20)),""""),"""")"),"")</f>
        <v/>
      </c>
      <c r="CL20" s="69" t="str">
        <f>IFERROR(__xludf.DUMMYFUNCTION("IF($K20&lt;&gt;"""",IFERROR(FILTER(RawTotals!$AJ:$AJ,RawTotals!$A:$A=BB20)-(FILTER(Data!$K:$K,Data!$B:$B=BB20,Data!$D:$D=$K20)+FILTER(Data!$L:$L,Data!$B:$B=BB20,Data!$D:$D=$K20)),""""),"""")"),"")</f>
        <v/>
      </c>
      <c r="CM20" s="69" t="str">
        <f>IFERROR(__xludf.DUMMYFUNCTION("IF($K20&lt;&gt;"""",IFERROR(FILTER(RawTotals!$AJ:$AJ,RawTotals!$A:$A=BC20)-(FILTER(Data!$K:$K,Data!$B:$B=BC20,Data!$D:$D=$K20)+FILTER(Data!$L:$L,Data!$B:$B=BC20,Data!$D:$D=$K20)),""""),"""")"),"")</f>
        <v/>
      </c>
      <c r="CN20" s="69" t="str">
        <f>IFERROR(__xludf.DUMMYFUNCTION("IF($L20&lt;&gt;"""",IFERROR((FILTER(RawTotals!$AJ:$AJ,RawTotals!$A:$A=BD20)-(FILTER(Data!$K:$K,Data!$B:$B=BD20,Data!$D:$D=$L20)+FILTER(Data!$L:$L,Data!$B:$B=BD20,Data!$D:$D=$L20))),""""),"""")"),"")</f>
        <v/>
      </c>
      <c r="CO20" s="69" t="str">
        <f>IFERROR(__xludf.DUMMYFUNCTION("IF($L20&lt;&gt;"""",IFERROR((FILTER(RawTotals!$AJ:$AJ,RawTotals!$A:$A=BE20)-(FILTER(Data!$K:$K,Data!$B:$B=BE20,Data!$D:$D=$L20)+FILTER(Data!$L:$L,Data!$B:$B=BE20,Data!$D:$D=$L20))),""""),"""")"),"")</f>
        <v/>
      </c>
      <c r="CP20" s="69" t="str">
        <f>IFERROR(__xludf.DUMMYFUNCTION("IF($L20&lt;&gt;"""",IFERROR((FILTER(RawTotals!$AJ:$AJ,RawTotals!$A:$A=BF20)-(FILTER(Data!$K:$K,Data!$B:$B=BF20,Data!$D:$D=$L20)+FILTER(Data!$L:$L,Data!$B:$B=BF20,Data!$D:$D=$L20))),""""),"""")"),"")</f>
        <v/>
      </c>
      <c r="CQ20" s="69" t="str">
        <f>IFERROR(__xludf.DUMMYFUNCTION("IF($M20&lt;&gt;"""",IFERROR((FILTER(RawTotals!$AJ:$AJ,RawTotals!$A:$A=BG20)-(FILTER(Data!$K:$K,Data!$B:$B=BG20,Data!$D:$D=$M20)+FILTER(Data!$L:$L,Data!$B:$B=BG20,Data!$D:$D=$M20))),""""),"""")"),"")</f>
        <v/>
      </c>
      <c r="CR20" s="69" t="str">
        <f>IFERROR(__xludf.DUMMYFUNCTION("IF($M20&lt;&gt;"""",IFERROR((FILTER(RawTotals!$AJ:$AJ,RawTotals!$A:$A=BH20)-(FILTER(Data!$K:$K,Data!$B:$B=BH20,Data!$D:$D=$M20)+FILTER(Data!$L:$L,Data!$B:$B=BH20,Data!$D:$D=$M20))),""""),"""")"),"")</f>
        <v/>
      </c>
      <c r="CS20" s="70" t="str">
        <f>IFERROR(__xludf.DUMMYFUNCTION("IF($M20&lt;&gt;"""",IFERROR((FILTER(RawTotals!$AJ:$AJ,RawTotals!$A:$A=BI20)-(FILTER(Data!$K:$K,Data!$B:$B=BI20,Data!$D:$D=$M20)+FILTER(Data!$L:$L,Data!$B:$B=BI20,Data!$D:$D=$M20))),""""),"""")"),"")</f>
        <v/>
      </c>
      <c r="CT20" s="69"/>
      <c r="CU20" s="69"/>
      <c r="CV20" s="69"/>
      <c r="CW20" s="69"/>
      <c r="CX20" s="69"/>
      <c r="CY20" s="69"/>
      <c r="CZ20" s="69"/>
      <c r="DA20" s="69"/>
      <c r="DB20" s="69"/>
      <c r="DC20" s="69"/>
      <c r="DD20" s="69"/>
      <c r="DE20" s="69"/>
    </row>
    <row r="21">
      <c r="A21" s="67">
        <f>RawTotals!A21</f>
        <v>1706</v>
      </c>
      <c r="B21" s="68" t="str">
        <f>IFERROR(__xludf.DUMMYFUNCTION("IF(A21&lt;&gt;"""",IFERROR(TRANSPOSE(FILTER(Data!D:D,Data!B:B=A21,Data!R:R&lt;&gt;"""")),""No Defense""),"""")"),"No Defense")</f>
        <v>No Defense</v>
      </c>
      <c r="C21" s="65"/>
      <c r="D21" s="65"/>
      <c r="E21" s="65"/>
      <c r="F21" s="65"/>
      <c r="G21" s="65"/>
      <c r="H21" s="65"/>
      <c r="I21" s="65"/>
      <c r="J21" s="65"/>
      <c r="K21" s="65"/>
      <c r="L21" s="65"/>
      <c r="M21" s="65"/>
      <c r="N21" s="64" t="str">
        <f>IFERROR(__xludf.DUMMYFUNCTION("IFERROR(Textjoin("""",TRUE,FILTER(Data!$R:$R,Data!$D:$D=B21,Data!$B:$B=$A21)),"""")"),"")</f>
        <v/>
      </c>
      <c r="O21" s="64" t="str">
        <f>IFERROR(__xludf.DUMMYFUNCTION("IFERROR(Textjoin("""",TRUE,FILTER(Data!$R:$R,Data!$D:$D=C21,Data!$B:$B=$A21)),"""")"),"")</f>
        <v/>
      </c>
      <c r="P21" s="64" t="str">
        <f>IFERROR(__xludf.DUMMYFUNCTION("IFERROR(Textjoin("""",TRUE,FILTER(Data!$R:$R,Data!$D:$D=D21,Data!$B:$B=$A21)),"""")"),"")</f>
        <v/>
      </c>
      <c r="Q21" s="64" t="str">
        <f>IFERROR(__xludf.DUMMYFUNCTION("IFERROR(Textjoin("""",TRUE,FILTER(Data!$R:$R,Data!$D:$D=E21,Data!$B:$B=$A21)),"""")"),"")</f>
        <v/>
      </c>
      <c r="R21" s="64" t="str">
        <f>IFERROR(__xludf.DUMMYFUNCTION("IFERROR(Textjoin("""",TRUE,FILTER(Data!$R:$R,Data!$D:$D=F21,Data!$B:$B=$A21)),"""")"),"")</f>
        <v/>
      </c>
      <c r="S21" s="64" t="str">
        <f>IFERROR(__xludf.DUMMYFUNCTION("IFERROR(Textjoin("""",TRUE,FILTER(Data!$R:$R,Data!$D:$D=G21,Data!$B:$B=$A21)),"""")"),"")</f>
        <v/>
      </c>
      <c r="T21" s="64" t="str">
        <f>IFERROR(__xludf.DUMMYFUNCTION("IFERROR(Textjoin("""",TRUE,FILTER(Data!$R:$R,Data!$D:$D=H21,Data!$B:$B=$A21)),"""")"),"")</f>
        <v/>
      </c>
      <c r="U21" s="64" t="str">
        <f>IFERROR(__xludf.DUMMYFUNCTION("IFERROR(Textjoin("""",TRUE,FILTER(Data!$R:$R,Data!$D:$D=I21,Data!$B:$B=$A21)),"""")"),"")</f>
        <v/>
      </c>
      <c r="V21" s="64" t="str">
        <f>IFERROR(__xludf.DUMMYFUNCTION("IFERROR(Textjoin("""",TRUE,FILTER(Data!$R:$R,Data!$D:$D=J21,Data!$B:$B=$A21)),"""")"),"")</f>
        <v/>
      </c>
      <c r="W21" s="64" t="str">
        <f>IFERROR(__xludf.DUMMYFUNCTION("IFERROR(Textjoin("""",TRUE,FILTER(Data!$R:$R,Data!$D:$D=K21,Data!$B:$B=$A21)),"""")"),"")</f>
        <v/>
      </c>
      <c r="X21" s="64" t="str">
        <f>IFERROR(__xludf.DUMMYFUNCTION("IFERROR(Textjoin("""",TRUE,FILTER(Data!$R:$R,Data!$D:$D=L21,Data!$B:$B=$A21)),"""")"),"")</f>
        <v/>
      </c>
      <c r="Y21" s="64" t="str">
        <f>IFERROR(__xludf.DUMMYFUNCTION("IFERROR(Textjoin("""",TRUE,FILTER(Data!$R:$R,Data!$D:$D=M21,Data!$B:$B=$A21)),"""")"),"")</f>
        <v/>
      </c>
      <c r="Z21" s="64" t="str">
        <f>IFERROR(__xludf.DUMMYFUNCTION("IFERROR(SPLIT(N21,"",""),"""")"),"")</f>
        <v/>
      </c>
      <c r="AA21" s="65"/>
      <c r="AB21" s="65"/>
      <c r="AC21" s="69" t="str">
        <f>IFERROR(__xludf.DUMMYFUNCTION("IFERROR(SPLIT(O21,"",""),"""")"),"")</f>
        <v/>
      </c>
      <c r="AD21" s="65"/>
      <c r="AE21" s="65"/>
      <c r="AF21" s="69" t="str">
        <f>IFERROR(__xludf.DUMMYFUNCTION("IFERROR(SPLIT(P21,"",""),"""")"),"")</f>
        <v/>
      </c>
      <c r="AG21" s="65"/>
      <c r="AH21" s="65"/>
      <c r="AI21" s="69" t="str">
        <f>IFERROR(__xludf.DUMMYFUNCTION("IFERROR(SPLIT(Q21,"",""),"""")"),"")</f>
        <v/>
      </c>
      <c r="AJ21" s="65"/>
      <c r="AK21" s="65"/>
      <c r="AL21" s="69" t="str">
        <f>IFERROR(__xludf.DUMMYFUNCTION("IFERROR(SPLIT(R21,"",""),"""")"),"")</f>
        <v/>
      </c>
      <c r="AM21" s="65"/>
      <c r="AN21" s="65"/>
      <c r="AO21" s="69" t="str">
        <f>IFERROR(__xludf.DUMMYFUNCTION("IFERROR(SPLIT(S21,"",""),"""")"),"")</f>
        <v/>
      </c>
      <c r="AP21" s="65"/>
      <c r="AQ21" s="65"/>
      <c r="AR21" s="69" t="str">
        <f>IFERROR(__xludf.DUMMYFUNCTION("IFERROR(SPLIT(T21,"",""),"""")"),"")</f>
        <v/>
      </c>
      <c r="AS21" s="65"/>
      <c r="AT21" s="65"/>
      <c r="AU21" s="69" t="str">
        <f>IFERROR(__xludf.DUMMYFUNCTION("IFERROR(SPLIT(U21,"",""),"""")"),"")</f>
        <v/>
      </c>
      <c r="AV21" s="65"/>
      <c r="AW21" s="65"/>
      <c r="AX21" s="69" t="str">
        <f>IFERROR(__xludf.DUMMYFUNCTION("IFERROR(SPLIT(V21,"",""),"""")"),"")</f>
        <v/>
      </c>
      <c r="AY21" s="65"/>
      <c r="AZ21" s="65"/>
      <c r="BA21" s="69" t="str">
        <f>IFERROR(__xludf.DUMMYFUNCTION("IFERROR(SPLIT(W21,"",""),"""")"),"")</f>
        <v/>
      </c>
      <c r="BB21" s="69"/>
      <c r="BC21" s="69"/>
      <c r="BD21" s="69" t="str">
        <f>IFERROR(__xludf.DUMMYFUNCTION("IFERROR(SPLIT(X21,"",""),"""")"),"")</f>
        <v/>
      </c>
      <c r="BE21" s="69"/>
      <c r="BF21" s="69"/>
      <c r="BG21" s="69" t="str">
        <f>IFERROR(__xludf.DUMMYFUNCTION("IFERROR(SPLIT(Y21,"",""),"""")"),"")</f>
        <v/>
      </c>
      <c r="BH21" s="69"/>
      <c r="BI21" s="69"/>
      <c r="BJ21" s="68" t="str">
        <f>IFERROR(__xludf.DUMMYFUNCTION("IF($B21&lt;&gt;"""",IFERROR(FILTER(RawTotals!$AJ:$AJ,RawTotals!$A:$A=Z21)-(FILTER(Data!$K:$K,Data!$B:$B=Z21,Data!$D:$D=$B21)+FILTER(Data!$L:$L,Data!$B:$B=Z21,Data!$D:$D=$B21)),""""),"""")"),"")</f>
        <v/>
      </c>
      <c r="BK21" s="68" t="str">
        <f>IFERROR(__xludf.DUMMYFUNCTION("IF($B21&lt;&gt;"""",IFERROR(FILTER(RawTotals!$AJ:$AJ,RawTotals!$A:$A=AA21)-(FILTER(Data!$K:$K,Data!$B:$B=AA21,Data!$D:$D=$B21)+FILTER(Data!$L:$L,Data!$B:$B=AA21,Data!$D:$D=$B21)),""""),"""")"),"")</f>
        <v/>
      </c>
      <c r="BL21" s="68" t="str">
        <f>IFERROR(__xludf.DUMMYFUNCTION("IF($B21&lt;&gt;"""",IFERROR(FILTER(RawTotals!$AJ:$AJ,RawTotals!$A:$A=AB21)-(FILTER(Data!$K:$K,Data!$B:$B=AB21,Data!$D:$D=$B21)+FILTER(Data!$L:$L,Data!$B:$B=AB21,Data!$D:$D=$B21)),""""),"""")"),"")</f>
        <v/>
      </c>
      <c r="BM21" s="69" t="str">
        <f>IFERROR(__xludf.DUMMYFUNCTION("IF($C21&lt;&gt;"""",IFERROR(FILTER(RawTotals!$AJ:$AJ,RawTotals!$A:$A=AC21)-(FILTER(Data!$K:$K,Data!$B:$B=AC21,Data!$D:$D=$C21)+FILTER(Data!$L:$L,Data!$B:$B=AC21,Data!$D:$D=$C21)),""""),"""")"),"")</f>
        <v/>
      </c>
      <c r="BN21" s="69" t="str">
        <f>IFERROR(__xludf.DUMMYFUNCTION("IF($C21&lt;&gt;"""",IFERROR(FILTER(RawTotals!$AJ:$AJ,RawTotals!$A:$A=AD21)-(FILTER(Data!$K:$K,Data!$B:$B=AD21,Data!$D:$D=$C21)+FILTER(Data!$L:$L,Data!$B:$B=AD21,Data!$D:$D=$C21)),""""),"""")"),"")</f>
        <v/>
      </c>
      <c r="BO21" s="69" t="str">
        <f>IFERROR(__xludf.DUMMYFUNCTION("IF($C21&lt;&gt;"""",IFERROR(FILTER(RawTotals!$AJ:$AJ,RawTotals!$A:$A=AE21)-(FILTER(Data!$K:$K,Data!$B:$B=AE21,Data!$D:$D=$C21)+FILTER(Data!$L:$L,Data!$B:$B=AE21,Data!$D:$D=$C21)),""""),"""")"),"")</f>
        <v/>
      </c>
      <c r="BP21" s="69" t="str">
        <f>IFERROR(__xludf.DUMMYFUNCTION("IF($D21&lt;&gt;"""",IFERROR(FILTER(RawTotals!$AJ:$AJ,RawTotals!$A:$A=AF21)-(FILTER(Data!$K:$K,Data!$B:$B=AF21,Data!$D:$D=$D21)+FILTER(Data!$L:$L,Data!$B:$B=AF21,Data!$D:$D=$D21)),""""),"""")"),"")</f>
        <v/>
      </c>
      <c r="BQ21" s="69" t="str">
        <f>IFERROR(__xludf.DUMMYFUNCTION("IF($D21&lt;&gt;"""",IFERROR(FILTER(RawTotals!$AJ:$AJ,RawTotals!$A:$A=AG21)-(FILTER(Data!$K:$K,Data!$B:$B=AG21,Data!$D:$D=$D21)+FILTER(Data!$L:$L,Data!$B:$B=AG21,Data!$D:$D=$D21)),""""),"""")"),"")</f>
        <v/>
      </c>
      <c r="BR21" s="69" t="str">
        <f>IFERROR(__xludf.DUMMYFUNCTION("IF($D21&lt;&gt;"""",IFERROR(FILTER(RawTotals!$AJ:$AJ,RawTotals!$A:$A=AH21)-(FILTER(Data!$K:$K,Data!$B:$B=AH21,Data!$D:$D=$D21)+FILTER(Data!$L:$L,Data!$B:$B=AH21,Data!$D:$D=$D21)),""""),"""")"),"")</f>
        <v/>
      </c>
      <c r="BS21" s="69" t="str">
        <f>IFERROR(__xludf.DUMMYFUNCTION("IF($E21&lt;&gt;"""",IFERROR(FILTER(RawTotals!$AJ:$AJ,RawTotals!$A:$A=AI21)-(FILTER(Data!$K:$K,Data!$B:$B=AI21,Data!$D:$D=$E21)+FILTER(Data!$L:$L,Data!$B:$B=AI21,Data!$D:$D=$E21)),""""),"""")"),"")</f>
        <v/>
      </c>
      <c r="BT21" s="69" t="str">
        <f>IFERROR(__xludf.DUMMYFUNCTION("IF($E21&lt;&gt;"""",IFERROR(FILTER(RawTotals!$AJ:$AJ,RawTotals!$A:$A=AJ21)-(FILTER(Data!$K:$K,Data!$B:$B=AJ21,Data!$D:$D=$E21)+FILTER(Data!$L:$L,Data!$B:$B=AJ21,Data!$D:$D=$E21)),""""),"""")"),"")</f>
        <v/>
      </c>
      <c r="BU21" s="69" t="str">
        <f>IFERROR(__xludf.DUMMYFUNCTION("IF($E21&lt;&gt;"""",IFERROR(FILTER(RawTotals!$AJ:$AJ,RawTotals!$A:$A=AK21)-(FILTER(Data!$K:$K,Data!$B:$B=AK21,Data!$D:$D=$E21)+FILTER(Data!$L:$L,Data!$B:$B=AK21,Data!$D:$D=$E21)),""""),"""")"),"")</f>
        <v/>
      </c>
      <c r="BV21" s="69" t="str">
        <f>IFERROR(__xludf.DUMMYFUNCTION("IF($F21&lt;&gt;"""",IFERROR(FILTER(RawTotals!$AJ:$AJ,RawTotals!$A:$A=AL21)-(FILTER(Data!$K:$K,Data!$B:$B=AL21,Data!$D:$D=$F21)+FILTER(Data!$L:$L,Data!$B:$B=AL21,Data!$D:$D=$F21)),""""),"""")"),"")</f>
        <v/>
      </c>
      <c r="BW21" s="69" t="str">
        <f>IFERROR(__xludf.DUMMYFUNCTION("IF($F21&lt;&gt;"""",IFERROR(FILTER(RawTotals!$AJ:$AJ,RawTotals!$A:$A=AM21)-(FILTER(Data!$K:$K,Data!$B:$B=AM21,Data!$D:$D=$F21)+FILTER(Data!$L:$L,Data!$B:$B=AM21,Data!$D:$D=$F21)),""""),"""")"),"")</f>
        <v/>
      </c>
      <c r="BX21" s="69" t="str">
        <f>IFERROR(__xludf.DUMMYFUNCTION("IF($F21&lt;&gt;"""",IFERROR(FILTER(RawTotals!$AJ:$AJ,RawTotals!$A:$A=AN21)-(FILTER(Data!$K:$K,Data!$B:$B=AN21,Data!$D:$D=$F21)+FILTER(Data!$L:$L,Data!$B:$B=AN21,Data!$D:$D=$F21)),""""),"""")"),"")</f>
        <v/>
      </c>
      <c r="BY21" s="69" t="str">
        <f>IFERROR(__xludf.DUMMYFUNCTION("IF($G21&lt;&gt;"""",IFERROR(FILTER(RawTotals!$AJ:$AJ,RawTotals!$A:$A=AO21)-(FILTER(Data!$K:$K,Data!$B:$B=AO21,Data!$D:$D=$G21)+FILTER(Data!$L:$L,Data!$B:$B=AO21,Data!$D:$D=$G21)),""""),"""")"),"")</f>
        <v/>
      </c>
      <c r="BZ21" s="69" t="str">
        <f>IFERROR(__xludf.DUMMYFUNCTION("IF($G21&lt;&gt;"""",IFERROR(FILTER(RawTotals!$AJ:$AJ,RawTotals!$A:$A=AP21)-(FILTER(Data!$K:$K,Data!$B:$B=AP21,Data!$D:$D=$G21)+FILTER(Data!$L:$L,Data!$B:$B=AP21,Data!$D:$D=$G21)),""""),"""")"),"")</f>
        <v/>
      </c>
      <c r="CA21" s="69" t="str">
        <f>IFERROR(__xludf.DUMMYFUNCTION("IF($G21&lt;&gt;"""",IFERROR(FILTER(RawTotals!$AJ:$AJ,RawTotals!$A:$A=AQ21)-(FILTER(Data!$K:$K,Data!$B:$B=AQ21,Data!$D:$D=$G21)+FILTER(Data!$L:$L,Data!$B:$B=AQ21,Data!$D:$D=$G21)),""""),"""")"),"")</f>
        <v/>
      </c>
      <c r="CB21" s="69" t="str">
        <f>IFERROR(__xludf.DUMMYFUNCTION("IF($H21&lt;&gt;"""",IFERROR(FILTER(RawTotals!$AJ:$AJ,RawTotals!$A:$A=AR21)-(FILTER(Data!$K:$K,Data!$B:$B=AR21,Data!$D:$D=$H21)+FILTER(Data!$L:$L,Data!$B:$B=AR21,Data!$D:$D=$H21)),""""),"""")"),"")</f>
        <v/>
      </c>
      <c r="CC21" s="69" t="str">
        <f>IFERROR(__xludf.DUMMYFUNCTION("IF($H21&lt;&gt;"""",IFERROR(FILTER(RawTotals!$AJ:$AJ,RawTotals!$A:$A=AS21)-(FILTER(Data!$K:$K,Data!$B:$B=AS21,Data!$D:$D=$H21)+FILTER(Data!$L:$L,Data!$B:$B=AS21,Data!$D:$D=$H21)),""""),"""")"),"")</f>
        <v/>
      </c>
      <c r="CD21" s="69" t="str">
        <f>IFERROR(__xludf.DUMMYFUNCTION("IF($H21&lt;&gt;"""",IFERROR(FILTER(RawTotals!$AJ:$AJ,RawTotals!$A:$A=AT21)-(FILTER(Data!$K:$K,Data!$B:$B=AT21,Data!$D:$D=$H21)+FILTER(Data!$L:$L,Data!$B:$B=AT21,Data!$D:$D=$H21)),""""),"""")"),"")</f>
        <v/>
      </c>
      <c r="CE21" s="69" t="str">
        <f>IFERROR(__xludf.DUMMYFUNCTION("IF($I21&lt;&gt;"""",IFERROR(FILTER(RawTotals!$AJ:$AJ,RawTotals!$A:$A=AU21)-(FILTER(Data!$K:$K,Data!$B:$B=AU21,Data!$D:$D=$I21)+FILTER(Data!$L:$L,Data!$B:$B=AU21,Data!$D:$D=$I21)),""""),"""")"),"")</f>
        <v/>
      </c>
      <c r="CF21" s="69" t="str">
        <f>IFERROR(__xludf.DUMMYFUNCTION("IF($I21&lt;&gt;"""",IFERROR(FILTER(RawTotals!$AJ:$AJ,RawTotals!$A:$A=AV21)-(FILTER(Data!$K:$K,Data!$B:$B=AV21,Data!$D:$D=$I21)+FILTER(Data!$L:$L,Data!$B:$B=AV21,Data!$D:$D=$I21)),""""),"""")"),"")</f>
        <v/>
      </c>
      <c r="CG21" s="69" t="str">
        <f>IFERROR(__xludf.DUMMYFUNCTION("IF($I21&lt;&gt;"""",IFERROR(FILTER(RawTotals!$AJ:$AJ,RawTotals!$A:$A=AW21)-(FILTER(Data!$K:$K,Data!$B:$B=AW21,Data!$D:$D=$I21)+FILTER(Data!$L:$L,Data!$B:$B=AW21,Data!$D:$D=$I21)),""""),"""")"),"")</f>
        <v/>
      </c>
      <c r="CH21" s="69" t="str">
        <f>IFERROR(__xludf.DUMMYFUNCTION("IF($J21&lt;&gt;"""",IFERROR(FILTER(RawTotals!$AJ:$AJ,RawTotals!$A:$A=AX21)-(FILTER(Data!$K:$K,Data!$B:$B=AX21,Data!$D:$D=$J21)+FILTER(Data!$L:$L,Data!$B:$B=AX21,Data!$D:$D=$J21)),""""),"""")"),"")</f>
        <v/>
      </c>
      <c r="CI21" s="69" t="str">
        <f>IFERROR(__xludf.DUMMYFUNCTION("IF($J21&lt;&gt;"""",IFERROR(FILTER(RawTotals!$AJ:$AJ,RawTotals!$A:$A=AY21)-(FILTER(Data!$K:$K,Data!$B:$B=AY21,Data!$D:$D=$J21)+FILTER(Data!$L:$L,Data!$B:$B=AY21,Data!$D:$D=$J21)),""""),"""")"),"")</f>
        <v/>
      </c>
      <c r="CJ21" s="69" t="str">
        <f>IFERROR(__xludf.DUMMYFUNCTION("IF($J21&lt;&gt;"""",IFERROR(FILTER(RawTotals!$AJ:$AJ,RawTotals!$A:$A=AZ21)-(FILTER(Data!$K:$K,Data!$B:$B=AZ21,Data!$D:$D=$J21)+FILTER(Data!$L:$L,Data!$B:$B=AZ21,Data!$D:$D=$J21)),""""),"""")"),"")</f>
        <v/>
      </c>
      <c r="CK21" s="69" t="str">
        <f>IFERROR(__xludf.DUMMYFUNCTION("IF($K21&lt;&gt;"""",IFERROR(FILTER(RawTotals!$AJ:$AJ,RawTotals!$A:$A=BA21)-(FILTER(Data!$K:$K,Data!$B:$B=BA21,Data!$D:$D=$K21)+FILTER(Data!$L:$L,Data!$B:$B=BA21,Data!$D:$D=$K21)),""""),"""")"),"")</f>
        <v/>
      </c>
      <c r="CL21" s="69" t="str">
        <f>IFERROR(__xludf.DUMMYFUNCTION("IF($K21&lt;&gt;"""",IFERROR(FILTER(RawTotals!$AJ:$AJ,RawTotals!$A:$A=BB21)-(FILTER(Data!$K:$K,Data!$B:$B=BB21,Data!$D:$D=$K21)+FILTER(Data!$L:$L,Data!$B:$B=BB21,Data!$D:$D=$K21)),""""),"""")"),"")</f>
        <v/>
      </c>
      <c r="CM21" s="69" t="str">
        <f>IFERROR(__xludf.DUMMYFUNCTION("IF($K21&lt;&gt;"""",IFERROR(FILTER(RawTotals!$AJ:$AJ,RawTotals!$A:$A=BC21)-(FILTER(Data!$K:$K,Data!$B:$B=BC21,Data!$D:$D=$K21)+FILTER(Data!$L:$L,Data!$B:$B=BC21,Data!$D:$D=$K21)),""""),"""")"),"")</f>
        <v/>
      </c>
      <c r="CN21" s="69" t="str">
        <f>IFERROR(__xludf.DUMMYFUNCTION("IF($L21&lt;&gt;"""",IFERROR((FILTER(RawTotals!$AJ:$AJ,RawTotals!$A:$A=BD21)-(FILTER(Data!$K:$K,Data!$B:$B=BD21,Data!$D:$D=$L21)+FILTER(Data!$L:$L,Data!$B:$B=BD21,Data!$D:$D=$L21))),""""),"""")"),"")</f>
        <v/>
      </c>
      <c r="CO21" s="69" t="str">
        <f>IFERROR(__xludf.DUMMYFUNCTION("IF($L21&lt;&gt;"""",IFERROR((FILTER(RawTotals!$AJ:$AJ,RawTotals!$A:$A=BE21)-(FILTER(Data!$K:$K,Data!$B:$B=BE21,Data!$D:$D=$L21)+FILTER(Data!$L:$L,Data!$B:$B=BE21,Data!$D:$D=$L21))),""""),"""")"),"")</f>
        <v/>
      </c>
      <c r="CP21" s="69" t="str">
        <f>IFERROR(__xludf.DUMMYFUNCTION("IF($L21&lt;&gt;"""",IFERROR((FILTER(RawTotals!$AJ:$AJ,RawTotals!$A:$A=BF21)-(FILTER(Data!$K:$K,Data!$B:$B=BF21,Data!$D:$D=$L21)+FILTER(Data!$L:$L,Data!$B:$B=BF21,Data!$D:$D=$L21))),""""),"""")"),"")</f>
        <v/>
      </c>
      <c r="CQ21" s="69" t="str">
        <f>IFERROR(__xludf.DUMMYFUNCTION("IF($M21&lt;&gt;"""",IFERROR((FILTER(RawTotals!$AJ:$AJ,RawTotals!$A:$A=BG21)-(FILTER(Data!$K:$K,Data!$B:$B=BG21,Data!$D:$D=$M21)+FILTER(Data!$L:$L,Data!$B:$B=BG21,Data!$D:$D=$M21))),""""),"""")"),"")</f>
        <v/>
      </c>
      <c r="CR21" s="69" t="str">
        <f>IFERROR(__xludf.DUMMYFUNCTION("IF($M21&lt;&gt;"""",IFERROR((FILTER(RawTotals!$AJ:$AJ,RawTotals!$A:$A=BH21)-(FILTER(Data!$K:$K,Data!$B:$B=BH21,Data!$D:$D=$M21)+FILTER(Data!$L:$L,Data!$B:$B=BH21,Data!$D:$D=$M21))),""""),"""")"),"")</f>
        <v/>
      </c>
      <c r="CS21" s="70" t="str">
        <f>IFERROR(__xludf.DUMMYFUNCTION("IF($M21&lt;&gt;"""",IFERROR((FILTER(RawTotals!$AJ:$AJ,RawTotals!$A:$A=BI21)-(FILTER(Data!$K:$K,Data!$B:$B=BI21,Data!$D:$D=$M21)+FILTER(Data!$L:$L,Data!$B:$B=BI21,Data!$D:$D=$M21))),""""),"""")"),"")</f>
        <v/>
      </c>
      <c r="CT21" s="69"/>
      <c r="CU21" s="69"/>
      <c r="CV21" s="69"/>
      <c r="CW21" s="69"/>
      <c r="CX21" s="69"/>
      <c r="CY21" s="69"/>
      <c r="CZ21" s="69"/>
      <c r="DA21" s="69"/>
      <c r="DB21" s="69"/>
      <c r="DC21" s="69"/>
      <c r="DD21" s="69"/>
      <c r="DE21" s="69"/>
    </row>
    <row r="22">
      <c r="A22" s="67">
        <f>RawTotals!A22</f>
        <v>3357</v>
      </c>
      <c r="B22" s="68" t="str">
        <f>IFERROR(__xludf.DUMMYFUNCTION("IF(A22&lt;&gt;"""",IFERROR(TRANSPOSE(FILTER(Data!D:D,Data!B:B=A22,Data!R:R&lt;&gt;"""")),""No Defense""),"""")"),"No Defense")</f>
        <v>No Defense</v>
      </c>
      <c r="C22" s="65"/>
      <c r="D22" s="65"/>
      <c r="E22" s="65"/>
      <c r="F22" s="65"/>
      <c r="G22" s="65"/>
      <c r="H22" s="65"/>
      <c r="I22" s="65"/>
      <c r="J22" s="65"/>
      <c r="K22" s="65"/>
      <c r="L22" s="65"/>
      <c r="M22" s="65"/>
      <c r="N22" s="64" t="str">
        <f>IFERROR(__xludf.DUMMYFUNCTION("IFERROR(Textjoin("""",TRUE,FILTER(Data!$R:$R,Data!$D:$D=B22,Data!$B:$B=$A22)),"""")"),"")</f>
        <v/>
      </c>
      <c r="O22" s="64" t="str">
        <f>IFERROR(__xludf.DUMMYFUNCTION("IFERROR(Textjoin("""",TRUE,FILTER(Data!$R:$R,Data!$D:$D=C22,Data!$B:$B=$A22)),"""")"),"")</f>
        <v/>
      </c>
      <c r="P22" s="64" t="str">
        <f>IFERROR(__xludf.DUMMYFUNCTION("IFERROR(Textjoin("""",TRUE,FILTER(Data!$R:$R,Data!$D:$D=D22,Data!$B:$B=$A22)),"""")"),"")</f>
        <v/>
      </c>
      <c r="Q22" s="64" t="str">
        <f>IFERROR(__xludf.DUMMYFUNCTION("IFERROR(Textjoin("""",TRUE,FILTER(Data!$R:$R,Data!$D:$D=E22,Data!$B:$B=$A22)),"""")"),"")</f>
        <v/>
      </c>
      <c r="R22" s="64" t="str">
        <f>IFERROR(__xludf.DUMMYFUNCTION("IFERROR(Textjoin("""",TRUE,FILTER(Data!$R:$R,Data!$D:$D=F22,Data!$B:$B=$A22)),"""")"),"")</f>
        <v/>
      </c>
      <c r="S22" s="64" t="str">
        <f>IFERROR(__xludf.DUMMYFUNCTION("IFERROR(Textjoin("""",TRUE,FILTER(Data!$R:$R,Data!$D:$D=G22,Data!$B:$B=$A22)),"""")"),"")</f>
        <v/>
      </c>
      <c r="T22" s="64" t="str">
        <f>IFERROR(__xludf.DUMMYFUNCTION("IFERROR(Textjoin("""",TRUE,FILTER(Data!$R:$R,Data!$D:$D=H22,Data!$B:$B=$A22)),"""")"),"")</f>
        <v/>
      </c>
      <c r="U22" s="64" t="str">
        <f>IFERROR(__xludf.DUMMYFUNCTION("IFERROR(Textjoin("""",TRUE,FILTER(Data!$R:$R,Data!$D:$D=I22,Data!$B:$B=$A22)),"""")"),"")</f>
        <v/>
      </c>
      <c r="V22" s="64" t="str">
        <f>IFERROR(__xludf.DUMMYFUNCTION("IFERROR(Textjoin("""",TRUE,FILTER(Data!$R:$R,Data!$D:$D=J22,Data!$B:$B=$A22)),"""")"),"")</f>
        <v/>
      </c>
      <c r="W22" s="64" t="str">
        <f>IFERROR(__xludf.DUMMYFUNCTION("IFERROR(Textjoin("""",TRUE,FILTER(Data!$R:$R,Data!$D:$D=K22,Data!$B:$B=$A22)),"""")"),"")</f>
        <v/>
      </c>
      <c r="X22" s="64" t="str">
        <f>IFERROR(__xludf.DUMMYFUNCTION("IFERROR(Textjoin("""",TRUE,FILTER(Data!$R:$R,Data!$D:$D=L22,Data!$B:$B=$A22)),"""")"),"")</f>
        <v/>
      </c>
      <c r="Y22" s="64" t="str">
        <f>IFERROR(__xludf.DUMMYFUNCTION("IFERROR(Textjoin("""",TRUE,FILTER(Data!$R:$R,Data!$D:$D=M22,Data!$B:$B=$A22)),"""")"),"")</f>
        <v/>
      </c>
      <c r="Z22" s="64" t="str">
        <f>IFERROR(__xludf.DUMMYFUNCTION("IFERROR(SPLIT(N22,"",""),"""")"),"")</f>
        <v/>
      </c>
      <c r="AA22" s="65"/>
      <c r="AB22" s="65"/>
      <c r="AC22" s="69" t="str">
        <f>IFERROR(__xludf.DUMMYFUNCTION("IFERROR(SPLIT(O22,"",""),"""")"),"")</f>
        <v/>
      </c>
      <c r="AD22" s="65"/>
      <c r="AE22" s="65"/>
      <c r="AF22" s="69" t="str">
        <f>IFERROR(__xludf.DUMMYFUNCTION("IFERROR(SPLIT(P22,"",""),"""")"),"")</f>
        <v/>
      </c>
      <c r="AG22" s="65"/>
      <c r="AH22" s="65"/>
      <c r="AI22" s="69" t="str">
        <f>IFERROR(__xludf.DUMMYFUNCTION("IFERROR(SPLIT(Q22,"",""),"""")"),"")</f>
        <v/>
      </c>
      <c r="AJ22" s="65"/>
      <c r="AK22" s="65"/>
      <c r="AL22" s="69" t="str">
        <f>IFERROR(__xludf.DUMMYFUNCTION("IFERROR(SPLIT(R22,"",""),"""")"),"")</f>
        <v/>
      </c>
      <c r="AM22" s="65"/>
      <c r="AN22" s="65"/>
      <c r="AO22" s="69" t="str">
        <f>IFERROR(__xludf.DUMMYFUNCTION("IFERROR(SPLIT(S22,"",""),"""")"),"")</f>
        <v/>
      </c>
      <c r="AP22" s="65"/>
      <c r="AQ22" s="65"/>
      <c r="AR22" s="69" t="str">
        <f>IFERROR(__xludf.DUMMYFUNCTION("IFERROR(SPLIT(T22,"",""),"""")"),"")</f>
        <v/>
      </c>
      <c r="AS22" s="65"/>
      <c r="AT22" s="65"/>
      <c r="AU22" s="69" t="str">
        <f>IFERROR(__xludf.DUMMYFUNCTION("IFERROR(SPLIT(U22,"",""),"""")"),"")</f>
        <v/>
      </c>
      <c r="AV22" s="65"/>
      <c r="AW22" s="65"/>
      <c r="AX22" s="69" t="str">
        <f>IFERROR(__xludf.DUMMYFUNCTION("IFERROR(SPLIT(V22,"",""),"""")"),"")</f>
        <v/>
      </c>
      <c r="AY22" s="65"/>
      <c r="AZ22" s="65"/>
      <c r="BA22" s="69" t="str">
        <f>IFERROR(__xludf.DUMMYFUNCTION("IFERROR(SPLIT(W22,"",""),"""")"),"")</f>
        <v/>
      </c>
      <c r="BB22" s="69"/>
      <c r="BC22" s="69"/>
      <c r="BD22" s="69" t="str">
        <f>IFERROR(__xludf.DUMMYFUNCTION("IFERROR(SPLIT(X22,"",""),"""")"),"")</f>
        <v/>
      </c>
      <c r="BE22" s="69"/>
      <c r="BF22" s="69"/>
      <c r="BG22" s="69" t="str">
        <f>IFERROR(__xludf.DUMMYFUNCTION("IFERROR(SPLIT(Y22,"",""),"""")"),"")</f>
        <v/>
      </c>
      <c r="BH22" s="69"/>
      <c r="BI22" s="69"/>
      <c r="BJ22" s="68" t="str">
        <f>IFERROR(__xludf.DUMMYFUNCTION("IF($B22&lt;&gt;"""",IFERROR(FILTER(RawTotals!$AJ:$AJ,RawTotals!$A:$A=Z22)-(FILTER(Data!$K:$K,Data!$B:$B=Z22,Data!$D:$D=$B22)+FILTER(Data!$L:$L,Data!$B:$B=Z22,Data!$D:$D=$B22)),""""),"""")"),"")</f>
        <v/>
      </c>
      <c r="BK22" s="68" t="str">
        <f>IFERROR(__xludf.DUMMYFUNCTION("IF($B22&lt;&gt;"""",IFERROR(FILTER(RawTotals!$AJ:$AJ,RawTotals!$A:$A=AA22)-(FILTER(Data!$K:$K,Data!$B:$B=AA22,Data!$D:$D=$B22)+FILTER(Data!$L:$L,Data!$B:$B=AA22,Data!$D:$D=$B22)),""""),"""")"),"")</f>
        <v/>
      </c>
      <c r="BL22" s="68" t="str">
        <f>IFERROR(__xludf.DUMMYFUNCTION("IF($B22&lt;&gt;"""",IFERROR(FILTER(RawTotals!$AJ:$AJ,RawTotals!$A:$A=AB22)-(FILTER(Data!$K:$K,Data!$B:$B=AB22,Data!$D:$D=$B22)+FILTER(Data!$L:$L,Data!$B:$B=AB22,Data!$D:$D=$B22)),""""),"""")"),"")</f>
        <v/>
      </c>
      <c r="BM22" s="69" t="str">
        <f>IFERROR(__xludf.DUMMYFUNCTION("IF($C22&lt;&gt;"""",IFERROR(FILTER(RawTotals!$AJ:$AJ,RawTotals!$A:$A=AC22)-(FILTER(Data!$K:$K,Data!$B:$B=AC22,Data!$D:$D=$C22)+FILTER(Data!$L:$L,Data!$B:$B=AC22,Data!$D:$D=$C22)),""""),"""")"),"")</f>
        <v/>
      </c>
      <c r="BN22" s="69" t="str">
        <f>IFERROR(__xludf.DUMMYFUNCTION("IF($C22&lt;&gt;"""",IFERROR(FILTER(RawTotals!$AJ:$AJ,RawTotals!$A:$A=AD22)-(FILTER(Data!$K:$K,Data!$B:$B=AD22,Data!$D:$D=$C22)+FILTER(Data!$L:$L,Data!$B:$B=AD22,Data!$D:$D=$C22)),""""),"""")"),"")</f>
        <v/>
      </c>
      <c r="BO22" s="69" t="str">
        <f>IFERROR(__xludf.DUMMYFUNCTION("IF($C22&lt;&gt;"""",IFERROR(FILTER(RawTotals!$AJ:$AJ,RawTotals!$A:$A=AE22)-(FILTER(Data!$K:$K,Data!$B:$B=AE22,Data!$D:$D=$C22)+FILTER(Data!$L:$L,Data!$B:$B=AE22,Data!$D:$D=$C22)),""""),"""")"),"")</f>
        <v/>
      </c>
      <c r="BP22" s="69" t="str">
        <f>IFERROR(__xludf.DUMMYFUNCTION("IF($D22&lt;&gt;"""",IFERROR(FILTER(RawTotals!$AJ:$AJ,RawTotals!$A:$A=AF22)-(FILTER(Data!$K:$K,Data!$B:$B=AF22,Data!$D:$D=$D22)+FILTER(Data!$L:$L,Data!$B:$B=AF22,Data!$D:$D=$D22)),""""),"""")"),"")</f>
        <v/>
      </c>
      <c r="BQ22" s="69" t="str">
        <f>IFERROR(__xludf.DUMMYFUNCTION("IF($D22&lt;&gt;"""",IFERROR(FILTER(RawTotals!$AJ:$AJ,RawTotals!$A:$A=AG22)-(FILTER(Data!$K:$K,Data!$B:$B=AG22,Data!$D:$D=$D22)+FILTER(Data!$L:$L,Data!$B:$B=AG22,Data!$D:$D=$D22)),""""),"""")"),"")</f>
        <v/>
      </c>
      <c r="BR22" s="69" t="str">
        <f>IFERROR(__xludf.DUMMYFUNCTION("IF($D22&lt;&gt;"""",IFERROR(FILTER(RawTotals!$AJ:$AJ,RawTotals!$A:$A=AH22)-(FILTER(Data!$K:$K,Data!$B:$B=AH22,Data!$D:$D=$D22)+FILTER(Data!$L:$L,Data!$B:$B=AH22,Data!$D:$D=$D22)),""""),"""")"),"")</f>
        <v/>
      </c>
      <c r="BS22" s="69" t="str">
        <f>IFERROR(__xludf.DUMMYFUNCTION("IF($E22&lt;&gt;"""",IFERROR(FILTER(RawTotals!$AJ:$AJ,RawTotals!$A:$A=AI22)-(FILTER(Data!$K:$K,Data!$B:$B=AI22,Data!$D:$D=$E22)+FILTER(Data!$L:$L,Data!$B:$B=AI22,Data!$D:$D=$E22)),""""),"""")"),"")</f>
        <v/>
      </c>
      <c r="BT22" s="69" t="str">
        <f>IFERROR(__xludf.DUMMYFUNCTION("IF($E22&lt;&gt;"""",IFERROR(FILTER(RawTotals!$AJ:$AJ,RawTotals!$A:$A=AJ22)-(FILTER(Data!$K:$K,Data!$B:$B=AJ22,Data!$D:$D=$E22)+FILTER(Data!$L:$L,Data!$B:$B=AJ22,Data!$D:$D=$E22)),""""),"""")"),"")</f>
        <v/>
      </c>
      <c r="BU22" s="69" t="str">
        <f>IFERROR(__xludf.DUMMYFUNCTION("IF($E22&lt;&gt;"""",IFERROR(FILTER(RawTotals!$AJ:$AJ,RawTotals!$A:$A=AK22)-(FILTER(Data!$K:$K,Data!$B:$B=AK22,Data!$D:$D=$E22)+FILTER(Data!$L:$L,Data!$B:$B=AK22,Data!$D:$D=$E22)),""""),"""")"),"")</f>
        <v/>
      </c>
      <c r="BV22" s="69" t="str">
        <f>IFERROR(__xludf.DUMMYFUNCTION("IF($F22&lt;&gt;"""",IFERROR(FILTER(RawTotals!$AJ:$AJ,RawTotals!$A:$A=AL22)-(FILTER(Data!$K:$K,Data!$B:$B=AL22,Data!$D:$D=$F22)+FILTER(Data!$L:$L,Data!$B:$B=AL22,Data!$D:$D=$F22)),""""),"""")"),"")</f>
        <v/>
      </c>
      <c r="BW22" s="69" t="str">
        <f>IFERROR(__xludf.DUMMYFUNCTION("IF($F22&lt;&gt;"""",IFERROR(FILTER(RawTotals!$AJ:$AJ,RawTotals!$A:$A=AM22)-(FILTER(Data!$K:$K,Data!$B:$B=AM22,Data!$D:$D=$F22)+FILTER(Data!$L:$L,Data!$B:$B=AM22,Data!$D:$D=$F22)),""""),"""")"),"")</f>
        <v/>
      </c>
      <c r="BX22" s="69" t="str">
        <f>IFERROR(__xludf.DUMMYFUNCTION("IF($F22&lt;&gt;"""",IFERROR(FILTER(RawTotals!$AJ:$AJ,RawTotals!$A:$A=AN22)-(FILTER(Data!$K:$K,Data!$B:$B=AN22,Data!$D:$D=$F22)+FILTER(Data!$L:$L,Data!$B:$B=AN22,Data!$D:$D=$F22)),""""),"""")"),"")</f>
        <v/>
      </c>
      <c r="BY22" s="69" t="str">
        <f>IFERROR(__xludf.DUMMYFUNCTION("IF($G22&lt;&gt;"""",IFERROR(FILTER(RawTotals!$AJ:$AJ,RawTotals!$A:$A=AO22)-(FILTER(Data!$K:$K,Data!$B:$B=AO22,Data!$D:$D=$G22)+FILTER(Data!$L:$L,Data!$B:$B=AO22,Data!$D:$D=$G22)),""""),"""")"),"")</f>
        <v/>
      </c>
      <c r="BZ22" s="69" t="str">
        <f>IFERROR(__xludf.DUMMYFUNCTION("IF($G22&lt;&gt;"""",IFERROR(FILTER(RawTotals!$AJ:$AJ,RawTotals!$A:$A=AP22)-(FILTER(Data!$K:$K,Data!$B:$B=AP22,Data!$D:$D=$G22)+FILTER(Data!$L:$L,Data!$B:$B=AP22,Data!$D:$D=$G22)),""""),"""")"),"")</f>
        <v/>
      </c>
      <c r="CA22" s="69" t="str">
        <f>IFERROR(__xludf.DUMMYFUNCTION("IF($G22&lt;&gt;"""",IFERROR(FILTER(RawTotals!$AJ:$AJ,RawTotals!$A:$A=AQ22)-(FILTER(Data!$K:$K,Data!$B:$B=AQ22,Data!$D:$D=$G22)+FILTER(Data!$L:$L,Data!$B:$B=AQ22,Data!$D:$D=$G22)),""""),"""")"),"")</f>
        <v/>
      </c>
      <c r="CB22" s="69" t="str">
        <f>IFERROR(__xludf.DUMMYFUNCTION("IF($H22&lt;&gt;"""",IFERROR(FILTER(RawTotals!$AJ:$AJ,RawTotals!$A:$A=AR22)-(FILTER(Data!$K:$K,Data!$B:$B=AR22,Data!$D:$D=$H22)+FILTER(Data!$L:$L,Data!$B:$B=AR22,Data!$D:$D=$H22)),""""),"""")"),"")</f>
        <v/>
      </c>
      <c r="CC22" s="69" t="str">
        <f>IFERROR(__xludf.DUMMYFUNCTION("IF($H22&lt;&gt;"""",IFERROR(FILTER(RawTotals!$AJ:$AJ,RawTotals!$A:$A=AS22)-(FILTER(Data!$K:$K,Data!$B:$B=AS22,Data!$D:$D=$H22)+FILTER(Data!$L:$L,Data!$B:$B=AS22,Data!$D:$D=$H22)),""""),"""")"),"")</f>
        <v/>
      </c>
      <c r="CD22" s="69" t="str">
        <f>IFERROR(__xludf.DUMMYFUNCTION("IF($H22&lt;&gt;"""",IFERROR(FILTER(RawTotals!$AJ:$AJ,RawTotals!$A:$A=AT22)-(FILTER(Data!$K:$K,Data!$B:$B=AT22,Data!$D:$D=$H22)+FILTER(Data!$L:$L,Data!$B:$B=AT22,Data!$D:$D=$H22)),""""),"""")"),"")</f>
        <v/>
      </c>
      <c r="CE22" s="69" t="str">
        <f>IFERROR(__xludf.DUMMYFUNCTION("IF($I22&lt;&gt;"""",IFERROR(FILTER(RawTotals!$AJ:$AJ,RawTotals!$A:$A=AU22)-(FILTER(Data!$K:$K,Data!$B:$B=AU22,Data!$D:$D=$I22)+FILTER(Data!$L:$L,Data!$B:$B=AU22,Data!$D:$D=$I22)),""""),"""")"),"")</f>
        <v/>
      </c>
      <c r="CF22" s="69" t="str">
        <f>IFERROR(__xludf.DUMMYFUNCTION("IF($I22&lt;&gt;"""",IFERROR(FILTER(RawTotals!$AJ:$AJ,RawTotals!$A:$A=AV22)-(FILTER(Data!$K:$K,Data!$B:$B=AV22,Data!$D:$D=$I22)+FILTER(Data!$L:$L,Data!$B:$B=AV22,Data!$D:$D=$I22)),""""),"""")"),"")</f>
        <v/>
      </c>
      <c r="CG22" s="69" t="str">
        <f>IFERROR(__xludf.DUMMYFUNCTION("IF($I22&lt;&gt;"""",IFERROR(FILTER(RawTotals!$AJ:$AJ,RawTotals!$A:$A=AW22)-(FILTER(Data!$K:$K,Data!$B:$B=AW22,Data!$D:$D=$I22)+FILTER(Data!$L:$L,Data!$B:$B=AW22,Data!$D:$D=$I22)),""""),"""")"),"")</f>
        <v/>
      </c>
      <c r="CH22" s="69" t="str">
        <f>IFERROR(__xludf.DUMMYFUNCTION("IF($J22&lt;&gt;"""",IFERROR(FILTER(RawTotals!$AJ:$AJ,RawTotals!$A:$A=AX22)-(FILTER(Data!$K:$K,Data!$B:$B=AX22,Data!$D:$D=$J22)+FILTER(Data!$L:$L,Data!$B:$B=AX22,Data!$D:$D=$J22)),""""),"""")"),"")</f>
        <v/>
      </c>
      <c r="CI22" s="69" t="str">
        <f>IFERROR(__xludf.DUMMYFUNCTION("IF($J22&lt;&gt;"""",IFERROR(FILTER(RawTotals!$AJ:$AJ,RawTotals!$A:$A=AY22)-(FILTER(Data!$K:$K,Data!$B:$B=AY22,Data!$D:$D=$J22)+FILTER(Data!$L:$L,Data!$B:$B=AY22,Data!$D:$D=$J22)),""""),"""")"),"")</f>
        <v/>
      </c>
      <c r="CJ22" s="69" t="str">
        <f>IFERROR(__xludf.DUMMYFUNCTION("IF($J22&lt;&gt;"""",IFERROR(FILTER(RawTotals!$AJ:$AJ,RawTotals!$A:$A=AZ22)-(FILTER(Data!$K:$K,Data!$B:$B=AZ22,Data!$D:$D=$J22)+FILTER(Data!$L:$L,Data!$B:$B=AZ22,Data!$D:$D=$J22)),""""),"""")"),"")</f>
        <v/>
      </c>
      <c r="CK22" s="69" t="str">
        <f>IFERROR(__xludf.DUMMYFUNCTION("IF($K22&lt;&gt;"""",IFERROR(FILTER(RawTotals!$AJ:$AJ,RawTotals!$A:$A=BA22)-(FILTER(Data!$K:$K,Data!$B:$B=BA22,Data!$D:$D=$K22)+FILTER(Data!$L:$L,Data!$B:$B=BA22,Data!$D:$D=$K22)),""""),"""")"),"")</f>
        <v/>
      </c>
      <c r="CL22" s="69" t="str">
        <f>IFERROR(__xludf.DUMMYFUNCTION("IF($K22&lt;&gt;"""",IFERROR(FILTER(RawTotals!$AJ:$AJ,RawTotals!$A:$A=BB22)-(FILTER(Data!$K:$K,Data!$B:$B=BB22,Data!$D:$D=$K22)+FILTER(Data!$L:$L,Data!$B:$B=BB22,Data!$D:$D=$K22)),""""),"""")"),"")</f>
        <v/>
      </c>
      <c r="CM22" s="69" t="str">
        <f>IFERROR(__xludf.DUMMYFUNCTION("IF($K22&lt;&gt;"""",IFERROR(FILTER(RawTotals!$AJ:$AJ,RawTotals!$A:$A=BC22)-(FILTER(Data!$K:$K,Data!$B:$B=BC22,Data!$D:$D=$K22)+FILTER(Data!$L:$L,Data!$B:$B=BC22,Data!$D:$D=$K22)),""""),"""")"),"")</f>
        <v/>
      </c>
      <c r="CN22" s="69" t="str">
        <f>IFERROR(__xludf.DUMMYFUNCTION("IF($L22&lt;&gt;"""",IFERROR((FILTER(RawTotals!$AJ:$AJ,RawTotals!$A:$A=BD22)-(FILTER(Data!$K:$K,Data!$B:$B=BD22,Data!$D:$D=$L22)+FILTER(Data!$L:$L,Data!$B:$B=BD22,Data!$D:$D=$L22))),""""),"""")"),"")</f>
        <v/>
      </c>
      <c r="CO22" s="69" t="str">
        <f>IFERROR(__xludf.DUMMYFUNCTION("IF($L22&lt;&gt;"""",IFERROR((FILTER(RawTotals!$AJ:$AJ,RawTotals!$A:$A=BE22)-(FILTER(Data!$K:$K,Data!$B:$B=BE22,Data!$D:$D=$L22)+FILTER(Data!$L:$L,Data!$B:$B=BE22,Data!$D:$D=$L22))),""""),"""")"),"")</f>
        <v/>
      </c>
      <c r="CP22" s="69" t="str">
        <f>IFERROR(__xludf.DUMMYFUNCTION("IF($L22&lt;&gt;"""",IFERROR((FILTER(RawTotals!$AJ:$AJ,RawTotals!$A:$A=BF22)-(FILTER(Data!$K:$K,Data!$B:$B=BF22,Data!$D:$D=$L22)+FILTER(Data!$L:$L,Data!$B:$B=BF22,Data!$D:$D=$L22))),""""),"""")"),"")</f>
        <v/>
      </c>
      <c r="CQ22" s="69" t="str">
        <f>IFERROR(__xludf.DUMMYFUNCTION("IF($M22&lt;&gt;"""",IFERROR((FILTER(RawTotals!$AJ:$AJ,RawTotals!$A:$A=BG22)-(FILTER(Data!$K:$K,Data!$B:$B=BG22,Data!$D:$D=$M22)+FILTER(Data!$L:$L,Data!$B:$B=BG22,Data!$D:$D=$M22))),""""),"""")"),"")</f>
        <v/>
      </c>
      <c r="CR22" s="69" t="str">
        <f>IFERROR(__xludf.DUMMYFUNCTION("IF($M22&lt;&gt;"""",IFERROR((FILTER(RawTotals!$AJ:$AJ,RawTotals!$A:$A=BH22)-(FILTER(Data!$K:$K,Data!$B:$B=BH22,Data!$D:$D=$M22)+FILTER(Data!$L:$L,Data!$B:$B=BH22,Data!$D:$D=$M22))),""""),"""")"),"")</f>
        <v/>
      </c>
      <c r="CS22" s="70" t="str">
        <f>IFERROR(__xludf.DUMMYFUNCTION("IF($M22&lt;&gt;"""",IFERROR((FILTER(RawTotals!$AJ:$AJ,RawTotals!$A:$A=BI22)-(FILTER(Data!$K:$K,Data!$B:$B=BI22,Data!$D:$D=$M22)+FILTER(Data!$L:$L,Data!$B:$B=BI22,Data!$D:$D=$M22))),""""),"""")"),"")</f>
        <v/>
      </c>
      <c r="CT22" s="69"/>
      <c r="CU22" s="69"/>
      <c r="CV22" s="69"/>
      <c r="CW22" s="69"/>
      <c r="CX22" s="69"/>
      <c r="CY22" s="69"/>
      <c r="CZ22" s="69"/>
      <c r="DA22" s="69"/>
      <c r="DB22" s="69"/>
      <c r="DC22" s="69"/>
      <c r="DD22" s="69"/>
      <c r="DE22" s="69"/>
    </row>
    <row r="23">
      <c r="A23" s="67">
        <f>RawTotals!A23</f>
        <v>2539</v>
      </c>
      <c r="B23" s="68" t="str">
        <f>IFERROR(__xludf.DUMMYFUNCTION("IF(A23&lt;&gt;"""",IFERROR(TRANSPOSE(FILTER(Data!D:D,Data!B:B=A23,Data!R:R&lt;&gt;"""")),""No Defense""),"""")"),"No Defense")</f>
        <v>No Defense</v>
      </c>
      <c r="C23" s="65"/>
      <c r="D23" s="65"/>
      <c r="E23" s="65"/>
      <c r="F23" s="65"/>
      <c r="G23" s="65"/>
      <c r="H23" s="65"/>
      <c r="I23" s="65"/>
      <c r="J23" s="65"/>
      <c r="K23" s="65"/>
      <c r="L23" s="65"/>
      <c r="M23" s="65"/>
      <c r="N23" s="64" t="str">
        <f>IFERROR(__xludf.DUMMYFUNCTION("IFERROR(Textjoin("""",TRUE,FILTER(Data!$R:$R,Data!$D:$D=B23,Data!$B:$B=$A23)),"""")"),"")</f>
        <v/>
      </c>
      <c r="O23" s="64" t="str">
        <f>IFERROR(__xludf.DUMMYFUNCTION("IFERROR(Textjoin("""",TRUE,FILTER(Data!$R:$R,Data!$D:$D=C23,Data!$B:$B=$A23)),"""")"),"")</f>
        <v/>
      </c>
      <c r="P23" s="64" t="str">
        <f>IFERROR(__xludf.DUMMYFUNCTION("IFERROR(Textjoin("""",TRUE,FILTER(Data!$R:$R,Data!$D:$D=D23,Data!$B:$B=$A23)),"""")"),"")</f>
        <v/>
      </c>
      <c r="Q23" s="64" t="str">
        <f>IFERROR(__xludf.DUMMYFUNCTION("IFERROR(Textjoin("""",TRUE,FILTER(Data!$R:$R,Data!$D:$D=E23,Data!$B:$B=$A23)),"""")"),"")</f>
        <v/>
      </c>
      <c r="R23" s="64" t="str">
        <f>IFERROR(__xludf.DUMMYFUNCTION("IFERROR(Textjoin("""",TRUE,FILTER(Data!$R:$R,Data!$D:$D=F23,Data!$B:$B=$A23)),"""")"),"")</f>
        <v/>
      </c>
      <c r="S23" s="64" t="str">
        <f>IFERROR(__xludf.DUMMYFUNCTION("IFERROR(Textjoin("""",TRUE,FILTER(Data!$R:$R,Data!$D:$D=G23,Data!$B:$B=$A23)),"""")"),"")</f>
        <v/>
      </c>
      <c r="T23" s="64" t="str">
        <f>IFERROR(__xludf.DUMMYFUNCTION("IFERROR(Textjoin("""",TRUE,FILTER(Data!$R:$R,Data!$D:$D=H23,Data!$B:$B=$A23)),"""")"),"")</f>
        <v/>
      </c>
      <c r="U23" s="64" t="str">
        <f>IFERROR(__xludf.DUMMYFUNCTION("IFERROR(Textjoin("""",TRUE,FILTER(Data!$R:$R,Data!$D:$D=I23,Data!$B:$B=$A23)),"""")"),"")</f>
        <v/>
      </c>
      <c r="V23" s="64" t="str">
        <f>IFERROR(__xludf.DUMMYFUNCTION("IFERROR(Textjoin("""",TRUE,FILTER(Data!$R:$R,Data!$D:$D=J23,Data!$B:$B=$A23)),"""")"),"")</f>
        <v/>
      </c>
      <c r="W23" s="64" t="str">
        <f>IFERROR(__xludf.DUMMYFUNCTION("IFERROR(Textjoin("""",TRUE,FILTER(Data!$R:$R,Data!$D:$D=K23,Data!$B:$B=$A23)),"""")"),"")</f>
        <v/>
      </c>
      <c r="X23" s="64" t="str">
        <f>IFERROR(__xludf.DUMMYFUNCTION("IFERROR(Textjoin("""",TRUE,FILTER(Data!$R:$R,Data!$D:$D=L23,Data!$B:$B=$A23)),"""")"),"")</f>
        <v/>
      </c>
      <c r="Y23" s="64" t="str">
        <f>IFERROR(__xludf.DUMMYFUNCTION("IFERROR(Textjoin("""",TRUE,FILTER(Data!$R:$R,Data!$D:$D=M23,Data!$B:$B=$A23)),"""")"),"")</f>
        <v/>
      </c>
      <c r="Z23" s="64" t="str">
        <f>IFERROR(__xludf.DUMMYFUNCTION("IFERROR(SPLIT(N23,"",""),"""")"),"")</f>
        <v/>
      </c>
      <c r="AA23" s="65"/>
      <c r="AB23" s="65"/>
      <c r="AC23" s="69" t="str">
        <f>IFERROR(__xludf.DUMMYFUNCTION("IFERROR(SPLIT(O23,"",""),"""")"),"")</f>
        <v/>
      </c>
      <c r="AD23" s="65"/>
      <c r="AE23" s="65"/>
      <c r="AF23" s="69" t="str">
        <f>IFERROR(__xludf.DUMMYFUNCTION("IFERROR(SPLIT(P23,"",""),"""")"),"")</f>
        <v/>
      </c>
      <c r="AG23" s="65"/>
      <c r="AH23" s="65"/>
      <c r="AI23" s="69" t="str">
        <f>IFERROR(__xludf.DUMMYFUNCTION("IFERROR(SPLIT(Q23,"",""),"""")"),"")</f>
        <v/>
      </c>
      <c r="AJ23" s="65"/>
      <c r="AK23" s="65"/>
      <c r="AL23" s="69" t="str">
        <f>IFERROR(__xludf.DUMMYFUNCTION("IFERROR(SPLIT(R23,"",""),"""")"),"")</f>
        <v/>
      </c>
      <c r="AM23" s="65"/>
      <c r="AN23" s="65"/>
      <c r="AO23" s="69" t="str">
        <f>IFERROR(__xludf.DUMMYFUNCTION("IFERROR(SPLIT(S23,"",""),"""")"),"")</f>
        <v/>
      </c>
      <c r="AP23" s="65"/>
      <c r="AQ23" s="65"/>
      <c r="AR23" s="69" t="str">
        <f>IFERROR(__xludf.DUMMYFUNCTION("IFERROR(SPLIT(T23,"",""),"""")"),"")</f>
        <v/>
      </c>
      <c r="AS23" s="65"/>
      <c r="AT23" s="65"/>
      <c r="AU23" s="69" t="str">
        <f>IFERROR(__xludf.DUMMYFUNCTION("IFERROR(SPLIT(U23,"",""),"""")"),"")</f>
        <v/>
      </c>
      <c r="AV23" s="65"/>
      <c r="AW23" s="65"/>
      <c r="AX23" s="69" t="str">
        <f>IFERROR(__xludf.DUMMYFUNCTION("IFERROR(SPLIT(V23,"",""),"""")"),"")</f>
        <v/>
      </c>
      <c r="AY23" s="65"/>
      <c r="AZ23" s="65"/>
      <c r="BA23" s="69" t="str">
        <f>IFERROR(__xludf.DUMMYFUNCTION("IFERROR(SPLIT(W23,"",""),"""")"),"")</f>
        <v/>
      </c>
      <c r="BB23" s="69"/>
      <c r="BC23" s="69"/>
      <c r="BD23" s="69" t="str">
        <f>IFERROR(__xludf.DUMMYFUNCTION("IFERROR(SPLIT(X23,"",""),"""")"),"")</f>
        <v/>
      </c>
      <c r="BE23" s="69"/>
      <c r="BF23" s="69"/>
      <c r="BG23" s="69" t="str">
        <f>IFERROR(__xludf.DUMMYFUNCTION("IFERROR(SPLIT(Y23,"",""),"""")"),"")</f>
        <v/>
      </c>
      <c r="BH23" s="69"/>
      <c r="BI23" s="69"/>
      <c r="BJ23" s="68" t="str">
        <f>IFERROR(__xludf.DUMMYFUNCTION("IF($B23&lt;&gt;"""",IFERROR(FILTER(RawTotals!$AJ:$AJ,RawTotals!$A:$A=Z23)-(FILTER(Data!$K:$K,Data!$B:$B=Z23,Data!$D:$D=$B23)+FILTER(Data!$L:$L,Data!$B:$B=Z23,Data!$D:$D=$B23)),""""),"""")"),"")</f>
        <v/>
      </c>
      <c r="BK23" s="68" t="str">
        <f>IFERROR(__xludf.DUMMYFUNCTION("IF($B23&lt;&gt;"""",IFERROR(FILTER(RawTotals!$AJ:$AJ,RawTotals!$A:$A=AA23)-(FILTER(Data!$K:$K,Data!$B:$B=AA23,Data!$D:$D=$B23)+FILTER(Data!$L:$L,Data!$B:$B=AA23,Data!$D:$D=$B23)),""""),"""")"),"")</f>
        <v/>
      </c>
      <c r="BL23" s="68" t="str">
        <f>IFERROR(__xludf.DUMMYFUNCTION("IF($B23&lt;&gt;"""",IFERROR(FILTER(RawTotals!$AJ:$AJ,RawTotals!$A:$A=AB23)-(FILTER(Data!$K:$K,Data!$B:$B=AB23,Data!$D:$D=$B23)+FILTER(Data!$L:$L,Data!$B:$B=AB23,Data!$D:$D=$B23)),""""),"""")"),"")</f>
        <v/>
      </c>
      <c r="BM23" s="69" t="str">
        <f>IFERROR(__xludf.DUMMYFUNCTION("IF($C23&lt;&gt;"""",IFERROR(FILTER(RawTotals!$AJ:$AJ,RawTotals!$A:$A=AC23)-(FILTER(Data!$K:$K,Data!$B:$B=AC23,Data!$D:$D=$C23)+FILTER(Data!$L:$L,Data!$B:$B=AC23,Data!$D:$D=$C23)),""""),"""")"),"")</f>
        <v/>
      </c>
      <c r="BN23" s="69" t="str">
        <f>IFERROR(__xludf.DUMMYFUNCTION("IF($C23&lt;&gt;"""",IFERROR(FILTER(RawTotals!$AJ:$AJ,RawTotals!$A:$A=AD23)-(FILTER(Data!$K:$K,Data!$B:$B=AD23,Data!$D:$D=$C23)+FILTER(Data!$L:$L,Data!$B:$B=AD23,Data!$D:$D=$C23)),""""),"""")"),"")</f>
        <v/>
      </c>
      <c r="BO23" s="69" t="str">
        <f>IFERROR(__xludf.DUMMYFUNCTION("IF($C23&lt;&gt;"""",IFERROR(FILTER(RawTotals!$AJ:$AJ,RawTotals!$A:$A=AE23)-(FILTER(Data!$K:$K,Data!$B:$B=AE23,Data!$D:$D=$C23)+FILTER(Data!$L:$L,Data!$B:$B=AE23,Data!$D:$D=$C23)),""""),"""")"),"")</f>
        <v/>
      </c>
      <c r="BP23" s="69" t="str">
        <f>IFERROR(__xludf.DUMMYFUNCTION("IF($D23&lt;&gt;"""",IFERROR(FILTER(RawTotals!$AJ:$AJ,RawTotals!$A:$A=AF23)-(FILTER(Data!$K:$K,Data!$B:$B=AF23,Data!$D:$D=$D23)+FILTER(Data!$L:$L,Data!$B:$B=AF23,Data!$D:$D=$D23)),""""),"""")"),"")</f>
        <v/>
      </c>
      <c r="BQ23" s="69" t="str">
        <f>IFERROR(__xludf.DUMMYFUNCTION("IF($D23&lt;&gt;"""",IFERROR(FILTER(RawTotals!$AJ:$AJ,RawTotals!$A:$A=AG23)-(FILTER(Data!$K:$K,Data!$B:$B=AG23,Data!$D:$D=$D23)+FILTER(Data!$L:$L,Data!$B:$B=AG23,Data!$D:$D=$D23)),""""),"""")"),"")</f>
        <v/>
      </c>
      <c r="BR23" s="69" t="str">
        <f>IFERROR(__xludf.DUMMYFUNCTION("IF($D23&lt;&gt;"""",IFERROR(FILTER(RawTotals!$AJ:$AJ,RawTotals!$A:$A=AH23)-(FILTER(Data!$K:$K,Data!$B:$B=AH23,Data!$D:$D=$D23)+FILTER(Data!$L:$L,Data!$B:$B=AH23,Data!$D:$D=$D23)),""""),"""")"),"")</f>
        <v/>
      </c>
      <c r="BS23" s="69" t="str">
        <f>IFERROR(__xludf.DUMMYFUNCTION("IF($E23&lt;&gt;"""",IFERROR(FILTER(RawTotals!$AJ:$AJ,RawTotals!$A:$A=AI23)-(FILTER(Data!$K:$K,Data!$B:$B=AI23,Data!$D:$D=$E23)+FILTER(Data!$L:$L,Data!$B:$B=AI23,Data!$D:$D=$E23)),""""),"""")"),"")</f>
        <v/>
      </c>
      <c r="BT23" s="69" t="str">
        <f>IFERROR(__xludf.DUMMYFUNCTION("IF($E23&lt;&gt;"""",IFERROR(FILTER(RawTotals!$AJ:$AJ,RawTotals!$A:$A=AJ23)-(FILTER(Data!$K:$K,Data!$B:$B=AJ23,Data!$D:$D=$E23)+FILTER(Data!$L:$L,Data!$B:$B=AJ23,Data!$D:$D=$E23)),""""),"""")"),"")</f>
        <v/>
      </c>
      <c r="BU23" s="69" t="str">
        <f>IFERROR(__xludf.DUMMYFUNCTION("IF($E23&lt;&gt;"""",IFERROR(FILTER(RawTotals!$AJ:$AJ,RawTotals!$A:$A=AK23)-(FILTER(Data!$K:$K,Data!$B:$B=AK23,Data!$D:$D=$E23)+FILTER(Data!$L:$L,Data!$B:$B=AK23,Data!$D:$D=$E23)),""""),"""")"),"")</f>
        <v/>
      </c>
      <c r="BV23" s="69" t="str">
        <f>IFERROR(__xludf.DUMMYFUNCTION("IF($F23&lt;&gt;"""",IFERROR(FILTER(RawTotals!$AJ:$AJ,RawTotals!$A:$A=AL23)-(FILTER(Data!$K:$K,Data!$B:$B=AL23,Data!$D:$D=$F23)+FILTER(Data!$L:$L,Data!$B:$B=AL23,Data!$D:$D=$F23)),""""),"""")"),"")</f>
        <v/>
      </c>
      <c r="BW23" s="69" t="str">
        <f>IFERROR(__xludf.DUMMYFUNCTION("IF($F23&lt;&gt;"""",IFERROR(FILTER(RawTotals!$AJ:$AJ,RawTotals!$A:$A=AM23)-(FILTER(Data!$K:$K,Data!$B:$B=AM23,Data!$D:$D=$F23)+FILTER(Data!$L:$L,Data!$B:$B=AM23,Data!$D:$D=$F23)),""""),"""")"),"")</f>
        <v/>
      </c>
      <c r="BX23" s="69" t="str">
        <f>IFERROR(__xludf.DUMMYFUNCTION("IF($F23&lt;&gt;"""",IFERROR(FILTER(RawTotals!$AJ:$AJ,RawTotals!$A:$A=AN23)-(FILTER(Data!$K:$K,Data!$B:$B=AN23,Data!$D:$D=$F23)+FILTER(Data!$L:$L,Data!$B:$B=AN23,Data!$D:$D=$F23)),""""),"""")"),"")</f>
        <v/>
      </c>
      <c r="BY23" s="69" t="str">
        <f>IFERROR(__xludf.DUMMYFUNCTION("IF($G23&lt;&gt;"""",IFERROR(FILTER(RawTotals!$AJ:$AJ,RawTotals!$A:$A=AO23)-(FILTER(Data!$K:$K,Data!$B:$B=AO23,Data!$D:$D=$G23)+FILTER(Data!$L:$L,Data!$B:$B=AO23,Data!$D:$D=$G23)),""""),"""")"),"")</f>
        <v/>
      </c>
      <c r="BZ23" s="69" t="str">
        <f>IFERROR(__xludf.DUMMYFUNCTION("IF($G23&lt;&gt;"""",IFERROR(FILTER(RawTotals!$AJ:$AJ,RawTotals!$A:$A=AP23)-(FILTER(Data!$K:$K,Data!$B:$B=AP23,Data!$D:$D=$G23)+FILTER(Data!$L:$L,Data!$B:$B=AP23,Data!$D:$D=$G23)),""""),"""")"),"")</f>
        <v/>
      </c>
      <c r="CA23" s="69" t="str">
        <f>IFERROR(__xludf.DUMMYFUNCTION("IF($G23&lt;&gt;"""",IFERROR(FILTER(RawTotals!$AJ:$AJ,RawTotals!$A:$A=AQ23)-(FILTER(Data!$K:$K,Data!$B:$B=AQ23,Data!$D:$D=$G23)+FILTER(Data!$L:$L,Data!$B:$B=AQ23,Data!$D:$D=$G23)),""""),"""")"),"")</f>
        <v/>
      </c>
      <c r="CB23" s="69" t="str">
        <f>IFERROR(__xludf.DUMMYFUNCTION("IF($H23&lt;&gt;"""",IFERROR(FILTER(RawTotals!$AJ:$AJ,RawTotals!$A:$A=AR23)-(FILTER(Data!$K:$K,Data!$B:$B=AR23,Data!$D:$D=$H23)+FILTER(Data!$L:$L,Data!$B:$B=AR23,Data!$D:$D=$H23)),""""),"""")"),"")</f>
        <v/>
      </c>
      <c r="CC23" s="69" t="str">
        <f>IFERROR(__xludf.DUMMYFUNCTION("IF($H23&lt;&gt;"""",IFERROR(FILTER(RawTotals!$AJ:$AJ,RawTotals!$A:$A=AS23)-(FILTER(Data!$K:$K,Data!$B:$B=AS23,Data!$D:$D=$H23)+FILTER(Data!$L:$L,Data!$B:$B=AS23,Data!$D:$D=$H23)),""""),"""")"),"")</f>
        <v/>
      </c>
      <c r="CD23" s="69" t="str">
        <f>IFERROR(__xludf.DUMMYFUNCTION("IF($H23&lt;&gt;"""",IFERROR(FILTER(RawTotals!$AJ:$AJ,RawTotals!$A:$A=AT23)-(FILTER(Data!$K:$K,Data!$B:$B=AT23,Data!$D:$D=$H23)+FILTER(Data!$L:$L,Data!$B:$B=AT23,Data!$D:$D=$H23)),""""),"""")"),"")</f>
        <v/>
      </c>
      <c r="CE23" s="69" t="str">
        <f>IFERROR(__xludf.DUMMYFUNCTION("IF($I23&lt;&gt;"""",IFERROR(FILTER(RawTotals!$AJ:$AJ,RawTotals!$A:$A=AU23)-(FILTER(Data!$K:$K,Data!$B:$B=AU23,Data!$D:$D=$I23)+FILTER(Data!$L:$L,Data!$B:$B=AU23,Data!$D:$D=$I23)),""""),"""")"),"")</f>
        <v/>
      </c>
      <c r="CF23" s="69" t="str">
        <f>IFERROR(__xludf.DUMMYFUNCTION("IF($I23&lt;&gt;"""",IFERROR(FILTER(RawTotals!$AJ:$AJ,RawTotals!$A:$A=AV23)-(FILTER(Data!$K:$K,Data!$B:$B=AV23,Data!$D:$D=$I23)+FILTER(Data!$L:$L,Data!$B:$B=AV23,Data!$D:$D=$I23)),""""),"""")"),"")</f>
        <v/>
      </c>
      <c r="CG23" s="69" t="str">
        <f>IFERROR(__xludf.DUMMYFUNCTION("IF($I23&lt;&gt;"""",IFERROR(FILTER(RawTotals!$AJ:$AJ,RawTotals!$A:$A=AW23)-(FILTER(Data!$K:$K,Data!$B:$B=AW23,Data!$D:$D=$I23)+FILTER(Data!$L:$L,Data!$B:$B=AW23,Data!$D:$D=$I23)),""""),"""")"),"")</f>
        <v/>
      </c>
      <c r="CH23" s="69" t="str">
        <f>IFERROR(__xludf.DUMMYFUNCTION("IF($J23&lt;&gt;"""",IFERROR(FILTER(RawTotals!$AJ:$AJ,RawTotals!$A:$A=AX23)-(FILTER(Data!$K:$K,Data!$B:$B=AX23,Data!$D:$D=$J23)+FILTER(Data!$L:$L,Data!$B:$B=AX23,Data!$D:$D=$J23)),""""),"""")"),"")</f>
        <v/>
      </c>
      <c r="CI23" s="69" t="str">
        <f>IFERROR(__xludf.DUMMYFUNCTION("IF($J23&lt;&gt;"""",IFERROR(FILTER(RawTotals!$AJ:$AJ,RawTotals!$A:$A=AY23)-(FILTER(Data!$K:$K,Data!$B:$B=AY23,Data!$D:$D=$J23)+FILTER(Data!$L:$L,Data!$B:$B=AY23,Data!$D:$D=$J23)),""""),"""")"),"")</f>
        <v/>
      </c>
      <c r="CJ23" s="69" t="str">
        <f>IFERROR(__xludf.DUMMYFUNCTION("IF($J23&lt;&gt;"""",IFERROR(FILTER(RawTotals!$AJ:$AJ,RawTotals!$A:$A=AZ23)-(FILTER(Data!$K:$K,Data!$B:$B=AZ23,Data!$D:$D=$J23)+FILTER(Data!$L:$L,Data!$B:$B=AZ23,Data!$D:$D=$J23)),""""),"""")"),"")</f>
        <v/>
      </c>
      <c r="CK23" s="69" t="str">
        <f>IFERROR(__xludf.DUMMYFUNCTION("IF($K23&lt;&gt;"""",IFERROR(FILTER(RawTotals!$AJ:$AJ,RawTotals!$A:$A=BA23)-(FILTER(Data!$K:$K,Data!$B:$B=BA23,Data!$D:$D=$K23)+FILTER(Data!$L:$L,Data!$B:$B=BA23,Data!$D:$D=$K23)),""""),"""")"),"")</f>
        <v/>
      </c>
      <c r="CL23" s="69" t="str">
        <f>IFERROR(__xludf.DUMMYFUNCTION("IF($K23&lt;&gt;"""",IFERROR(FILTER(RawTotals!$AJ:$AJ,RawTotals!$A:$A=BB23)-(FILTER(Data!$K:$K,Data!$B:$B=BB23,Data!$D:$D=$K23)+FILTER(Data!$L:$L,Data!$B:$B=BB23,Data!$D:$D=$K23)),""""),"""")"),"")</f>
        <v/>
      </c>
      <c r="CM23" s="69" t="str">
        <f>IFERROR(__xludf.DUMMYFUNCTION("IF($K23&lt;&gt;"""",IFERROR(FILTER(RawTotals!$AJ:$AJ,RawTotals!$A:$A=BC23)-(FILTER(Data!$K:$K,Data!$B:$B=BC23,Data!$D:$D=$K23)+FILTER(Data!$L:$L,Data!$B:$B=BC23,Data!$D:$D=$K23)),""""),"""")"),"")</f>
        <v/>
      </c>
      <c r="CN23" s="69" t="str">
        <f>IFERROR(__xludf.DUMMYFUNCTION("IF($L23&lt;&gt;"""",IFERROR((FILTER(RawTotals!$AJ:$AJ,RawTotals!$A:$A=BD23)-(FILTER(Data!$K:$K,Data!$B:$B=BD23,Data!$D:$D=$L23)+FILTER(Data!$L:$L,Data!$B:$B=BD23,Data!$D:$D=$L23))),""""),"""")"),"")</f>
        <v/>
      </c>
      <c r="CO23" s="69" t="str">
        <f>IFERROR(__xludf.DUMMYFUNCTION("IF($L23&lt;&gt;"""",IFERROR((FILTER(RawTotals!$AJ:$AJ,RawTotals!$A:$A=BE23)-(FILTER(Data!$K:$K,Data!$B:$B=BE23,Data!$D:$D=$L23)+FILTER(Data!$L:$L,Data!$B:$B=BE23,Data!$D:$D=$L23))),""""),"""")"),"")</f>
        <v/>
      </c>
      <c r="CP23" s="69" t="str">
        <f>IFERROR(__xludf.DUMMYFUNCTION("IF($L23&lt;&gt;"""",IFERROR((FILTER(RawTotals!$AJ:$AJ,RawTotals!$A:$A=BF23)-(FILTER(Data!$K:$K,Data!$B:$B=BF23,Data!$D:$D=$L23)+FILTER(Data!$L:$L,Data!$B:$B=BF23,Data!$D:$D=$L23))),""""),"""")"),"")</f>
        <v/>
      </c>
      <c r="CQ23" s="69" t="str">
        <f>IFERROR(__xludf.DUMMYFUNCTION("IF($M23&lt;&gt;"""",IFERROR((FILTER(RawTotals!$AJ:$AJ,RawTotals!$A:$A=BG23)-(FILTER(Data!$K:$K,Data!$B:$B=BG23,Data!$D:$D=$M23)+FILTER(Data!$L:$L,Data!$B:$B=BG23,Data!$D:$D=$M23))),""""),"""")"),"")</f>
        <v/>
      </c>
      <c r="CR23" s="69" t="str">
        <f>IFERROR(__xludf.DUMMYFUNCTION("IF($M23&lt;&gt;"""",IFERROR((FILTER(RawTotals!$AJ:$AJ,RawTotals!$A:$A=BH23)-(FILTER(Data!$K:$K,Data!$B:$B=BH23,Data!$D:$D=$M23)+FILTER(Data!$L:$L,Data!$B:$B=BH23,Data!$D:$D=$M23))),""""),"""")"),"")</f>
        <v/>
      </c>
      <c r="CS23" s="70" t="str">
        <f>IFERROR(__xludf.DUMMYFUNCTION("IF($M23&lt;&gt;"""",IFERROR((FILTER(RawTotals!$AJ:$AJ,RawTotals!$A:$A=BI23)-(FILTER(Data!$K:$K,Data!$B:$B=BI23,Data!$D:$D=$M23)+FILTER(Data!$L:$L,Data!$B:$B=BI23,Data!$D:$D=$M23))),""""),"""")"),"")</f>
        <v/>
      </c>
      <c r="CT23" s="69"/>
      <c r="CU23" s="69"/>
      <c r="CV23" s="69"/>
      <c r="CW23" s="69"/>
      <c r="CX23" s="69"/>
      <c r="CY23" s="69"/>
      <c r="CZ23" s="69"/>
      <c r="DA23" s="69"/>
      <c r="DB23" s="69"/>
      <c r="DC23" s="69"/>
      <c r="DD23" s="69"/>
      <c r="DE23" s="69"/>
    </row>
    <row r="24">
      <c r="A24" s="67">
        <f>RawTotals!A24</f>
        <v>3940</v>
      </c>
      <c r="B24" s="68" t="str">
        <f>IFERROR(__xludf.DUMMYFUNCTION("IF(A24&lt;&gt;"""",IFERROR(TRANSPOSE(FILTER(Data!D:D,Data!B:B=A24,Data!R:R&lt;&gt;"""")),""No Defense""),"""")"),"No Defense")</f>
        <v>No Defense</v>
      </c>
      <c r="C24" s="65"/>
      <c r="D24" s="65"/>
      <c r="E24" s="65"/>
      <c r="F24" s="65"/>
      <c r="G24" s="65"/>
      <c r="H24" s="65"/>
      <c r="I24" s="65"/>
      <c r="J24" s="65"/>
      <c r="K24" s="65"/>
      <c r="L24" s="65"/>
      <c r="M24" s="65"/>
      <c r="N24" s="64" t="str">
        <f>IFERROR(__xludf.DUMMYFUNCTION("IFERROR(Textjoin("""",TRUE,FILTER(Data!$R:$R,Data!$D:$D=B24,Data!$B:$B=$A24)),"""")"),"")</f>
        <v/>
      </c>
      <c r="O24" s="64" t="str">
        <f>IFERROR(__xludf.DUMMYFUNCTION("IFERROR(Textjoin("""",TRUE,FILTER(Data!$R:$R,Data!$D:$D=C24,Data!$B:$B=$A24)),"""")"),"")</f>
        <v/>
      </c>
      <c r="P24" s="64" t="str">
        <f>IFERROR(__xludf.DUMMYFUNCTION("IFERROR(Textjoin("""",TRUE,FILTER(Data!$R:$R,Data!$D:$D=D24,Data!$B:$B=$A24)),"""")"),"")</f>
        <v/>
      </c>
      <c r="Q24" s="64" t="str">
        <f>IFERROR(__xludf.DUMMYFUNCTION("IFERROR(Textjoin("""",TRUE,FILTER(Data!$R:$R,Data!$D:$D=E24,Data!$B:$B=$A24)),"""")"),"")</f>
        <v/>
      </c>
      <c r="R24" s="64" t="str">
        <f>IFERROR(__xludf.DUMMYFUNCTION("IFERROR(Textjoin("""",TRUE,FILTER(Data!$R:$R,Data!$D:$D=F24,Data!$B:$B=$A24)),"""")"),"")</f>
        <v/>
      </c>
      <c r="S24" s="64" t="str">
        <f>IFERROR(__xludf.DUMMYFUNCTION("IFERROR(Textjoin("""",TRUE,FILTER(Data!$R:$R,Data!$D:$D=G24,Data!$B:$B=$A24)),"""")"),"")</f>
        <v/>
      </c>
      <c r="T24" s="64" t="str">
        <f>IFERROR(__xludf.DUMMYFUNCTION("IFERROR(Textjoin("""",TRUE,FILTER(Data!$R:$R,Data!$D:$D=H24,Data!$B:$B=$A24)),"""")"),"")</f>
        <v/>
      </c>
      <c r="U24" s="64" t="str">
        <f>IFERROR(__xludf.DUMMYFUNCTION("IFERROR(Textjoin("""",TRUE,FILTER(Data!$R:$R,Data!$D:$D=I24,Data!$B:$B=$A24)),"""")"),"")</f>
        <v/>
      </c>
      <c r="V24" s="64" t="str">
        <f>IFERROR(__xludf.DUMMYFUNCTION("IFERROR(Textjoin("""",TRUE,FILTER(Data!$R:$R,Data!$D:$D=J24,Data!$B:$B=$A24)),"""")"),"")</f>
        <v/>
      </c>
      <c r="W24" s="64" t="str">
        <f>IFERROR(__xludf.DUMMYFUNCTION("IFERROR(Textjoin("""",TRUE,FILTER(Data!$R:$R,Data!$D:$D=K24,Data!$B:$B=$A24)),"""")"),"")</f>
        <v/>
      </c>
      <c r="X24" s="64" t="str">
        <f>IFERROR(__xludf.DUMMYFUNCTION("IFERROR(Textjoin("""",TRUE,FILTER(Data!$R:$R,Data!$D:$D=L24,Data!$B:$B=$A24)),"""")"),"")</f>
        <v/>
      </c>
      <c r="Y24" s="64" t="str">
        <f>IFERROR(__xludf.DUMMYFUNCTION("IFERROR(Textjoin("""",TRUE,FILTER(Data!$R:$R,Data!$D:$D=M24,Data!$B:$B=$A24)),"""")"),"")</f>
        <v/>
      </c>
      <c r="Z24" s="64" t="str">
        <f>IFERROR(__xludf.DUMMYFUNCTION("IFERROR(SPLIT(N24,"",""),"""")"),"")</f>
        <v/>
      </c>
      <c r="AA24" s="65"/>
      <c r="AB24" s="65"/>
      <c r="AC24" s="69" t="str">
        <f>IFERROR(__xludf.DUMMYFUNCTION("IFERROR(SPLIT(O24,"",""),"""")"),"")</f>
        <v/>
      </c>
      <c r="AD24" s="65"/>
      <c r="AE24" s="65"/>
      <c r="AF24" s="69" t="str">
        <f>IFERROR(__xludf.DUMMYFUNCTION("IFERROR(SPLIT(P24,"",""),"""")"),"")</f>
        <v/>
      </c>
      <c r="AG24" s="65"/>
      <c r="AH24" s="65"/>
      <c r="AI24" s="69" t="str">
        <f>IFERROR(__xludf.DUMMYFUNCTION("IFERROR(SPLIT(Q24,"",""),"""")"),"")</f>
        <v/>
      </c>
      <c r="AJ24" s="65"/>
      <c r="AK24" s="65"/>
      <c r="AL24" s="69" t="str">
        <f>IFERROR(__xludf.DUMMYFUNCTION("IFERROR(SPLIT(R24,"",""),"""")"),"")</f>
        <v/>
      </c>
      <c r="AM24" s="65"/>
      <c r="AN24" s="65"/>
      <c r="AO24" s="69" t="str">
        <f>IFERROR(__xludf.DUMMYFUNCTION("IFERROR(SPLIT(S24,"",""),"""")"),"")</f>
        <v/>
      </c>
      <c r="AP24" s="65"/>
      <c r="AQ24" s="65"/>
      <c r="AR24" s="69" t="str">
        <f>IFERROR(__xludf.DUMMYFUNCTION("IFERROR(SPLIT(T24,"",""),"""")"),"")</f>
        <v/>
      </c>
      <c r="AS24" s="65"/>
      <c r="AT24" s="65"/>
      <c r="AU24" s="69" t="str">
        <f>IFERROR(__xludf.DUMMYFUNCTION("IFERROR(SPLIT(U24,"",""),"""")"),"")</f>
        <v/>
      </c>
      <c r="AV24" s="65"/>
      <c r="AW24" s="65"/>
      <c r="AX24" s="69" t="str">
        <f>IFERROR(__xludf.DUMMYFUNCTION("IFERROR(SPLIT(V24,"",""),"""")"),"")</f>
        <v/>
      </c>
      <c r="AY24" s="65"/>
      <c r="AZ24" s="65"/>
      <c r="BA24" s="69" t="str">
        <f>IFERROR(__xludf.DUMMYFUNCTION("IFERROR(SPLIT(W24,"",""),"""")"),"")</f>
        <v/>
      </c>
      <c r="BB24" s="69"/>
      <c r="BC24" s="69"/>
      <c r="BD24" s="69" t="str">
        <f>IFERROR(__xludf.DUMMYFUNCTION("IFERROR(SPLIT(X24,"",""),"""")"),"")</f>
        <v/>
      </c>
      <c r="BE24" s="69"/>
      <c r="BF24" s="69"/>
      <c r="BG24" s="69" t="str">
        <f>IFERROR(__xludf.DUMMYFUNCTION("IFERROR(SPLIT(Y24,"",""),"""")"),"")</f>
        <v/>
      </c>
      <c r="BH24" s="69"/>
      <c r="BI24" s="69"/>
      <c r="BJ24" s="68" t="str">
        <f>IFERROR(__xludf.DUMMYFUNCTION("IF($B24&lt;&gt;"""",IFERROR(FILTER(RawTotals!$AJ:$AJ,RawTotals!$A:$A=Z24)-(FILTER(Data!$K:$K,Data!$B:$B=Z24,Data!$D:$D=$B24)+FILTER(Data!$L:$L,Data!$B:$B=Z24,Data!$D:$D=$B24)),""""),"""")"),"")</f>
        <v/>
      </c>
      <c r="BK24" s="68" t="str">
        <f>IFERROR(__xludf.DUMMYFUNCTION("IF($B24&lt;&gt;"""",IFERROR(FILTER(RawTotals!$AJ:$AJ,RawTotals!$A:$A=AA24)-(FILTER(Data!$K:$K,Data!$B:$B=AA24,Data!$D:$D=$B24)+FILTER(Data!$L:$L,Data!$B:$B=AA24,Data!$D:$D=$B24)),""""),"""")"),"")</f>
        <v/>
      </c>
      <c r="BL24" s="68" t="str">
        <f>IFERROR(__xludf.DUMMYFUNCTION("IF($B24&lt;&gt;"""",IFERROR(FILTER(RawTotals!$AJ:$AJ,RawTotals!$A:$A=AB24)-(FILTER(Data!$K:$K,Data!$B:$B=AB24,Data!$D:$D=$B24)+FILTER(Data!$L:$L,Data!$B:$B=AB24,Data!$D:$D=$B24)),""""),"""")"),"")</f>
        <v/>
      </c>
      <c r="BM24" s="69" t="str">
        <f>IFERROR(__xludf.DUMMYFUNCTION("IF($C24&lt;&gt;"""",IFERROR(FILTER(RawTotals!$AJ:$AJ,RawTotals!$A:$A=AC24)-(FILTER(Data!$K:$K,Data!$B:$B=AC24,Data!$D:$D=$C24)+FILTER(Data!$L:$L,Data!$B:$B=AC24,Data!$D:$D=$C24)),""""),"""")"),"")</f>
        <v/>
      </c>
      <c r="BN24" s="69" t="str">
        <f>IFERROR(__xludf.DUMMYFUNCTION("IF($C24&lt;&gt;"""",IFERROR(FILTER(RawTotals!$AJ:$AJ,RawTotals!$A:$A=AD24)-(FILTER(Data!$K:$K,Data!$B:$B=AD24,Data!$D:$D=$C24)+FILTER(Data!$L:$L,Data!$B:$B=AD24,Data!$D:$D=$C24)),""""),"""")"),"")</f>
        <v/>
      </c>
      <c r="BO24" s="69" t="str">
        <f>IFERROR(__xludf.DUMMYFUNCTION("IF($C24&lt;&gt;"""",IFERROR(FILTER(RawTotals!$AJ:$AJ,RawTotals!$A:$A=AE24)-(FILTER(Data!$K:$K,Data!$B:$B=AE24,Data!$D:$D=$C24)+FILTER(Data!$L:$L,Data!$B:$B=AE24,Data!$D:$D=$C24)),""""),"""")"),"")</f>
        <v/>
      </c>
      <c r="BP24" s="69" t="str">
        <f>IFERROR(__xludf.DUMMYFUNCTION("IF($D24&lt;&gt;"""",IFERROR(FILTER(RawTotals!$AJ:$AJ,RawTotals!$A:$A=AF24)-(FILTER(Data!$K:$K,Data!$B:$B=AF24,Data!$D:$D=$D24)+FILTER(Data!$L:$L,Data!$B:$B=AF24,Data!$D:$D=$D24)),""""),"""")"),"")</f>
        <v/>
      </c>
      <c r="BQ24" s="69" t="str">
        <f>IFERROR(__xludf.DUMMYFUNCTION("IF($D24&lt;&gt;"""",IFERROR(FILTER(RawTotals!$AJ:$AJ,RawTotals!$A:$A=AG24)-(FILTER(Data!$K:$K,Data!$B:$B=AG24,Data!$D:$D=$D24)+FILTER(Data!$L:$L,Data!$B:$B=AG24,Data!$D:$D=$D24)),""""),"""")"),"")</f>
        <v/>
      </c>
      <c r="BR24" s="69" t="str">
        <f>IFERROR(__xludf.DUMMYFUNCTION("IF($D24&lt;&gt;"""",IFERROR(FILTER(RawTotals!$AJ:$AJ,RawTotals!$A:$A=AH24)-(FILTER(Data!$K:$K,Data!$B:$B=AH24,Data!$D:$D=$D24)+FILTER(Data!$L:$L,Data!$B:$B=AH24,Data!$D:$D=$D24)),""""),"""")"),"")</f>
        <v/>
      </c>
      <c r="BS24" s="69" t="str">
        <f>IFERROR(__xludf.DUMMYFUNCTION("IF($E24&lt;&gt;"""",IFERROR(FILTER(RawTotals!$AJ:$AJ,RawTotals!$A:$A=AI24)-(FILTER(Data!$K:$K,Data!$B:$B=AI24,Data!$D:$D=$E24)+FILTER(Data!$L:$L,Data!$B:$B=AI24,Data!$D:$D=$E24)),""""),"""")"),"")</f>
        <v/>
      </c>
      <c r="BT24" s="69" t="str">
        <f>IFERROR(__xludf.DUMMYFUNCTION("IF($E24&lt;&gt;"""",IFERROR(FILTER(RawTotals!$AJ:$AJ,RawTotals!$A:$A=AJ24)-(FILTER(Data!$K:$K,Data!$B:$B=AJ24,Data!$D:$D=$E24)+FILTER(Data!$L:$L,Data!$B:$B=AJ24,Data!$D:$D=$E24)),""""),"""")"),"")</f>
        <v/>
      </c>
      <c r="BU24" s="69" t="str">
        <f>IFERROR(__xludf.DUMMYFUNCTION("IF($E24&lt;&gt;"""",IFERROR(FILTER(RawTotals!$AJ:$AJ,RawTotals!$A:$A=AK24)-(FILTER(Data!$K:$K,Data!$B:$B=AK24,Data!$D:$D=$E24)+FILTER(Data!$L:$L,Data!$B:$B=AK24,Data!$D:$D=$E24)),""""),"""")"),"")</f>
        <v/>
      </c>
      <c r="BV24" s="69" t="str">
        <f>IFERROR(__xludf.DUMMYFUNCTION("IF($F24&lt;&gt;"""",IFERROR(FILTER(RawTotals!$AJ:$AJ,RawTotals!$A:$A=AL24)-(FILTER(Data!$K:$K,Data!$B:$B=AL24,Data!$D:$D=$F24)+FILTER(Data!$L:$L,Data!$B:$B=AL24,Data!$D:$D=$F24)),""""),"""")"),"")</f>
        <v/>
      </c>
      <c r="BW24" s="69" t="str">
        <f>IFERROR(__xludf.DUMMYFUNCTION("IF($F24&lt;&gt;"""",IFERROR(FILTER(RawTotals!$AJ:$AJ,RawTotals!$A:$A=AM24)-(FILTER(Data!$K:$K,Data!$B:$B=AM24,Data!$D:$D=$F24)+FILTER(Data!$L:$L,Data!$B:$B=AM24,Data!$D:$D=$F24)),""""),"""")"),"")</f>
        <v/>
      </c>
      <c r="BX24" s="69" t="str">
        <f>IFERROR(__xludf.DUMMYFUNCTION("IF($F24&lt;&gt;"""",IFERROR(FILTER(RawTotals!$AJ:$AJ,RawTotals!$A:$A=AN24)-(FILTER(Data!$K:$K,Data!$B:$B=AN24,Data!$D:$D=$F24)+FILTER(Data!$L:$L,Data!$B:$B=AN24,Data!$D:$D=$F24)),""""),"""")"),"")</f>
        <v/>
      </c>
      <c r="BY24" s="69" t="str">
        <f>IFERROR(__xludf.DUMMYFUNCTION("IF($G24&lt;&gt;"""",IFERROR(FILTER(RawTotals!$AJ:$AJ,RawTotals!$A:$A=AO24)-(FILTER(Data!$K:$K,Data!$B:$B=AO24,Data!$D:$D=$G24)+FILTER(Data!$L:$L,Data!$B:$B=AO24,Data!$D:$D=$G24)),""""),"""")"),"")</f>
        <v/>
      </c>
      <c r="BZ24" s="69" t="str">
        <f>IFERROR(__xludf.DUMMYFUNCTION("IF($G24&lt;&gt;"""",IFERROR(FILTER(RawTotals!$AJ:$AJ,RawTotals!$A:$A=AP24)-(FILTER(Data!$K:$K,Data!$B:$B=AP24,Data!$D:$D=$G24)+FILTER(Data!$L:$L,Data!$B:$B=AP24,Data!$D:$D=$G24)),""""),"""")"),"")</f>
        <v/>
      </c>
      <c r="CA24" s="69" t="str">
        <f>IFERROR(__xludf.DUMMYFUNCTION("IF($G24&lt;&gt;"""",IFERROR(FILTER(RawTotals!$AJ:$AJ,RawTotals!$A:$A=AQ24)-(FILTER(Data!$K:$K,Data!$B:$B=AQ24,Data!$D:$D=$G24)+FILTER(Data!$L:$L,Data!$B:$B=AQ24,Data!$D:$D=$G24)),""""),"""")"),"")</f>
        <v/>
      </c>
      <c r="CB24" s="69" t="str">
        <f>IFERROR(__xludf.DUMMYFUNCTION("IF($H24&lt;&gt;"""",IFERROR(FILTER(RawTotals!$AJ:$AJ,RawTotals!$A:$A=AR24)-(FILTER(Data!$K:$K,Data!$B:$B=AR24,Data!$D:$D=$H24)+FILTER(Data!$L:$L,Data!$B:$B=AR24,Data!$D:$D=$H24)),""""),"""")"),"")</f>
        <v/>
      </c>
      <c r="CC24" s="69" t="str">
        <f>IFERROR(__xludf.DUMMYFUNCTION("IF($H24&lt;&gt;"""",IFERROR(FILTER(RawTotals!$AJ:$AJ,RawTotals!$A:$A=AS24)-(FILTER(Data!$K:$K,Data!$B:$B=AS24,Data!$D:$D=$H24)+FILTER(Data!$L:$L,Data!$B:$B=AS24,Data!$D:$D=$H24)),""""),"""")"),"")</f>
        <v/>
      </c>
      <c r="CD24" s="69" t="str">
        <f>IFERROR(__xludf.DUMMYFUNCTION("IF($H24&lt;&gt;"""",IFERROR(FILTER(RawTotals!$AJ:$AJ,RawTotals!$A:$A=AT24)-(FILTER(Data!$K:$K,Data!$B:$B=AT24,Data!$D:$D=$H24)+FILTER(Data!$L:$L,Data!$B:$B=AT24,Data!$D:$D=$H24)),""""),"""")"),"")</f>
        <v/>
      </c>
      <c r="CE24" s="69" t="str">
        <f>IFERROR(__xludf.DUMMYFUNCTION("IF($I24&lt;&gt;"""",IFERROR(FILTER(RawTotals!$AJ:$AJ,RawTotals!$A:$A=AU24)-(FILTER(Data!$K:$K,Data!$B:$B=AU24,Data!$D:$D=$I24)+FILTER(Data!$L:$L,Data!$B:$B=AU24,Data!$D:$D=$I24)),""""),"""")"),"")</f>
        <v/>
      </c>
      <c r="CF24" s="69" t="str">
        <f>IFERROR(__xludf.DUMMYFUNCTION("IF($I24&lt;&gt;"""",IFERROR(FILTER(RawTotals!$AJ:$AJ,RawTotals!$A:$A=AV24)-(FILTER(Data!$K:$K,Data!$B:$B=AV24,Data!$D:$D=$I24)+FILTER(Data!$L:$L,Data!$B:$B=AV24,Data!$D:$D=$I24)),""""),"""")"),"")</f>
        <v/>
      </c>
      <c r="CG24" s="69" t="str">
        <f>IFERROR(__xludf.DUMMYFUNCTION("IF($I24&lt;&gt;"""",IFERROR(FILTER(RawTotals!$AJ:$AJ,RawTotals!$A:$A=AW24)-(FILTER(Data!$K:$K,Data!$B:$B=AW24,Data!$D:$D=$I24)+FILTER(Data!$L:$L,Data!$B:$B=AW24,Data!$D:$D=$I24)),""""),"""")"),"")</f>
        <v/>
      </c>
      <c r="CH24" s="69" t="str">
        <f>IFERROR(__xludf.DUMMYFUNCTION("IF($J24&lt;&gt;"""",IFERROR(FILTER(RawTotals!$AJ:$AJ,RawTotals!$A:$A=AX24)-(FILTER(Data!$K:$K,Data!$B:$B=AX24,Data!$D:$D=$J24)+FILTER(Data!$L:$L,Data!$B:$B=AX24,Data!$D:$D=$J24)),""""),"""")"),"")</f>
        <v/>
      </c>
      <c r="CI24" s="69" t="str">
        <f>IFERROR(__xludf.DUMMYFUNCTION("IF($J24&lt;&gt;"""",IFERROR(FILTER(RawTotals!$AJ:$AJ,RawTotals!$A:$A=AY24)-(FILTER(Data!$K:$K,Data!$B:$B=AY24,Data!$D:$D=$J24)+FILTER(Data!$L:$L,Data!$B:$B=AY24,Data!$D:$D=$J24)),""""),"""")"),"")</f>
        <v/>
      </c>
      <c r="CJ24" s="69" t="str">
        <f>IFERROR(__xludf.DUMMYFUNCTION("IF($J24&lt;&gt;"""",IFERROR(FILTER(RawTotals!$AJ:$AJ,RawTotals!$A:$A=AZ24)-(FILTER(Data!$K:$K,Data!$B:$B=AZ24,Data!$D:$D=$J24)+FILTER(Data!$L:$L,Data!$B:$B=AZ24,Data!$D:$D=$J24)),""""),"""")"),"")</f>
        <v/>
      </c>
      <c r="CK24" s="69" t="str">
        <f>IFERROR(__xludf.DUMMYFUNCTION("IF($K24&lt;&gt;"""",IFERROR(FILTER(RawTotals!$AJ:$AJ,RawTotals!$A:$A=BA24)-(FILTER(Data!$K:$K,Data!$B:$B=BA24,Data!$D:$D=$K24)+FILTER(Data!$L:$L,Data!$B:$B=BA24,Data!$D:$D=$K24)),""""),"""")"),"")</f>
        <v/>
      </c>
      <c r="CL24" s="69" t="str">
        <f>IFERROR(__xludf.DUMMYFUNCTION("IF($K24&lt;&gt;"""",IFERROR(FILTER(RawTotals!$AJ:$AJ,RawTotals!$A:$A=BB24)-(FILTER(Data!$K:$K,Data!$B:$B=BB24,Data!$D:$D=$K24)+FILTER(Data!$L:$L,Data!$B:$B=BB24,Data!$D:$D=$K24)),""""),"""")"),"")</f>
        <v/>
      </c>
      <c r="CM24" s="69" t="str">
        <f>IFERROR(__xludf.DUMMYFUNCTION("IF($K24&lt;&gt;"""",IFERROR(FILTER(RawTotals!$AJ:$AJ,RawTotals!$A:$A=BC24)-(FILTER(Data!$K:$K,Data!$B:$B=BC24,Data!$D:$D=$K24)+FILTER(Data!$L:$L,Data!$B:$B=BC24,Data!$D:$D=$K24)),""""),"""")"),"")</f>
        <v/>
      </c>
      <c r="CN24" s="69" t="str">
        <f>IFERROR(__xludf.DUMMYFUNCTION("IF($L24&lt;&gt;"""",IFERROR((FILTER(RawTotals!$AJ:$AJ,RawTotals!$A:$A=BD24)-(FILTER(Data!$K:$K,Data!$B:$B=BD24,Data!$D:$D=$L24)+FILTER(Data!$L:$L,Data!$B:$B=BD24,Data!$D:$D=$L24))),""""),"""")"),"")</f>
        <v/>
      </c>
      <c r="CO24" s="69" t="str">
        <f>IFERROR(__xludf.DUMMYFUNCTION("IF($L24&lt;&gt;"""",IFERROR((FILTER(RawTotals!$AJ:$AJ,RawTotals!$A:$A=BE24)-(FILTER(Data!$K:$K,Data!$B:$B=BE24,Data!$D:$D=$L24)+FILTER(Data!$L:$L,Data!$B:$B=BE24,Data!$D:$D=$L24))),""""),"""")"),"")</f>
        <v/>
      </c>
      <c r="CP24" s="69" t="str">
        <f>IFERROR(__xludf.DUMMYFUNCTION("IF($L24&lt;&gt;"""",IFERROR((FILTER(RawTotals!$AJ:$AJ,RawTotals!$A:$A=BF24)-(FILTER(Data!$K:$K,Data!$B:$B=BF24,Data!$D:$D=$L24)+FILTER(Data!$L:$L,Data!$B:$B=BF24,Data!$D:$D=$L24))),""""),"""")"),"")</f>
        <v/>
      </c>
      <c r="CQ24" s="69" t="str">
        <f>IFERROR(__xludf.DUMMYFUNCTION("IF($M24&lt;&gt;"""",IFERROR((FILTER(RawTotals!$AJ:$AJ,RawTotals!$A:$A=BG24)-(FILTER(Data!$K:$K,Data!$B:$B=BG24,Data!$D:$D=$M24)+FILTER(Data!$L:$L,Data!$B:$B=BG24,Data!$D:$D=$M24))),""""),"""")"),"")</f>
        <v/>
      </c>
      <c r="CR24" s="69" t="str">
        <f>IFERROR(__xludf.DUMMYFUNCTION("IF($M24&lt;&gt;"""",IFERROR((FILTER(RawTotals!$AJ:$AJ,RawTotals!$A:$A=BH24)-(FILTER(Data!$K:$K,Data!$B:$B=BH24,Data!$D:$D=$M24)+FILTER(Data!$L:$L,Data!$B:$B=BH24,Data!$D:$D=$M24))),""""),"""")"),"")</f>
        <v/>
      </c>
      <c r="CS24" s="70" t="str">
        <f>IFERROR(__xludf.DUMMYFUNCTION("IF($M24&lt;&gt;"""",IFERROR((FILTER(RawTotals!$AJ:$AJ,RawTotals!$A:$A=BI24)-(FILTER(Data!$K:$K,Data!$B:$B=BI24,Data!$D:$D=$M24)+FILTER(Data!$L:$L,Data!$B:$B=BI24,Data!$D:$D=$M24))),""""),"""")"),"")</f>
        <v/>
      </c>
      <c r="CT24" s="69"/>
      <c r="CU24" s="69"/>
      <c r="CV24" s="69"/>
      <c r="CW24" s="69"/>
      <c r="CX24" s="69"/>
      <c r="CY24" s="69"/>
      <c r="CZ24" s="69"/>
      <c r="DA24" s="69"/>
      <c r="DB24" s="69"/>
      <c r="DC24" s="69"/>
      <c r="DD24" s="69"/>
      <c r="DE24" s="69"/>
    </row>
    <row r="25">
      <c r="A25" s="67">
        <f>RawTotals!A25</f>
        <v>4635</v>
      </c>
      <c r="B25" s="68" t="str">
        <f>IFERROR(__xludf.DUMMYFUNCTION("IF(A25&lt;&gt;"""",IFERROR(TRANSPOSE(FILTER(Data!D:D,Data!B:B=A25,Data!R:R&lt;&gt;"""")),""No Defense""),"""")"),"No Defense")</f>
        <v>No Defense</v>
      </c>
      <c r="C25" s="65"/>
      <c r="D25" s="65"/>
      <c r="E25" s="65"/>
      <c r="F25" s="65"/>
      <c r="G25" s="65"/>
      <c r="H25" s="65"/>
      <c r="I25" s="65"/>
      <c r="J25" s="65"/>
      <c r="K25" s="65"/>
      <c r="L25" s="65"/>
      <c r="M25" s="65"/>
      <c r="N25" s="64" t="str">
        <f>IFERROR(__xludf.DUMMYFUNCTION("IFERROR(Textjoin("""",TRUE,FILTER(Data!$R:$R,Data!$D:$D=B25,Data!$B:$B=$A25)),"""")"),"")</f>
        <v/>
      </c>
      <c r="O25" s="64" t="str">
        <f>IFERROR(__xludf.DUMMYFUNCTION("IFERROR(Textjoin("""",TRUE,FILTER(Data!$R:$R,Data!$D:$D=C25,Data!$B:$B=$A25)),"""")"),"")</f>
        <v/>
      </c>
      <c r="P25" s="64" t="str">
        <f>IFERROR(__xludf.DUMMYFUNCTION("IFERROR(Textjoin("""",TRUE,FILTER(Data!$R:$R,Data!$D:$D=D25,Data!$B:$B=$A25)),"""")"),"")</f>
        <v/>
      </c>
      <c r="Q25" s="64" t="str">
        <f>IFERROR(__xludf.DUMMYFUNCTION("IFERROR(Textjoin("""",TRUE,FILTER(Data!$R:$R,Data!$D:$D=E25,Data!$B:$B=$A25)),"""")"),"")</f>
        <v/>
      </c>
      <c r="R25" s="64" t="str">
        <f>IFERROR(__xludf.DUMMYFUNCTION("IFERROR(Textjoin("""",TRUE,FILTER(Data!$R:$R,Data!$D:$D=F25,Data!$B:$B=$A25)),"""")"),"")</f>
        <v/>
      </c>
      <c r="S25" s="64" t="str">
        <f>IFERROR(__xludf.DUMMYFUNCTION("IFERROR(Textjoin("""",TRUE,FILTER(Data!$R:$R,Data!$D:$D=G25,Data!$B:$B=$A25)),"""")"),"")</f>
        <v/>
      </c>
      <c r="T25" s="64" t="str">
        <f>IFERROR(__xludf.DUMMYFUNCTION("IFERROR(Textjoin("""",TRUE,FILTER(Data!$R:$R,Data!$D:$D=H25,Data!$B:$B=$A25)),"""")"),"")</f>
        <v/>
      </c>
      <c r="U25" s="64" t="str">
        <f>IFERROR(__xludf.DUMMYFUNCTION("IFERROR(Textjoin("""",TRUE,FILTER(Data!$R:$R,Data!$D:$D=I25,Data!$B:$B=$A25)),"""")"),"")</f>
        <v/>
      </c>
      <c r="V25" s="64" t="str">
        <f>IFERROR(__xludf.DUMMYFUNCTION("IFERROR(Textjoin("""",TRUE,FILTER(Data!$R:$R,Data!$D:$D=J25,Data!$B:$B=$A25)),"""")"),"")</f>
        <v/>
      </c>
      <c r="W25" s="64" t="str">
        <f>IFERROR(__xludf.DUMMYFUNCTION("IFERROR(Textjoin("""",TRUE,FILTER(Data!$R:$R,Data!$D:$D=K25,Data!$B:$B=$A25)),"""")"),"")</f>
        <v/>
      </c>
      <c r="X25" s="64" t="str">
        <f>IFERROR(__xludf.DUMMYFUNCTION("IFERROR(Textjoin("""",TRUE,FILTER(Data!$R:$R,Data!$D:$D=L25,Data!$B:$B=$A25)),"""")"),"")</f>
        <v/>
      </c>
      <c r="Y25" s="64" t="str">
        <f>IFERROR(__xludf.DUMMYFUNCTION("IFERROR(Textjoin("""",TRUE,FILTER(Data!$R:$R,Data!$D:$D=M25,Data!$B:$B=$A25)),"""")"),"")</f>
        <v/>
      </c>
      <c r="Z25" s="64" t="str">
        <f>IFERROR(__xludf.DUMMYFUNCTION("IFERROR(SPLIT(N25,"",""),"""")"),"")</f>
        <v/>
      </c>
      <c r="AA25" s="65"/>
      <c r="AB25" s="65"/>
      <c r="AC25" s="69" t="str">
        <f>IFERROR(__xludf.DUMMYFUNCTION("IFERROR(SPLIT(O25,"",""),"""")"),"")</f>
        <v/>
      </c>
      <c r="AD25" s="65"/>
      <c r="AE25" s="65"/>
      <c r="AF25" s="69" t="str">
        <f>IFERROR(__xludf.DUMMYFUNCTION("IFERROR(SPLIT(P25,"",""),"""")"),"")</f>
        <v/>
      </c>
      <c r="AG25" s="65"/>
      <c r="AH25" s="65"/>
      <c r="AI25" s="69" t="str">
        <f>IFERROR(__xludf.DUMMYFUNCTION("IFERROR(SPLIT(Q25,"",""),"""")"),"")</f>
        <v/>
      </c>
      <c r="AJ25" s="65"/>
      <c r="AK25" s="65"/>
      <c r="AL25" s="69" t="str">
        <f>IFERROR(__xludf.DUMMYFUNCTION("IFERROR(SPLIT(R25,"",""),"""")"),"")</f>
        <v/>
      </c>
      <c r="AM25" s="65"/>
      <c r="AN25" s="65"/>
      <c r="AO25" s="69" t="str">
        <f>IFERROR(__xludf.DUMMYFUNCTION("IFERROR(SPLIT(S25,"",""),"""")"),"")</f>
        <v/>
      </c>
      <c r="AP25" s="65"/>
      <c r="AQ25" s="65"/>
      <c r="AR25" s="69" t="str">
        <f>IFERROR(__xludf.DUMMYFUNCTION("IFERROR(SPLIT(T25,"",""),"""")"),"")</f>
        <v/>
      </c>
      <c r="AS25" s="65"/>
      <c r="AT25" s="65"/>
      <c r="AU25" s="69" t="str">
        <f>IFERROR(__xludf.DUMMYFUNCTION("IFERROR(SPLIT(U25,"",""),"""")"),"")</f>
        <v/>
      </c>
      <c r="AV25" s="65"/>
      <c r="AW25" s="65"/>
      <c r="AX25" s="69" t="str">
        <f>IFERROR(__xludf.DUMMYFUNCTION("IFERROR(SPLIT(V25,"",""),"""")"),"")</f>
        <v/>
      </c>
      <c r="AY25" s="65"/>
      <c r="AZ25" s="65"/>
      <c r="BA25" s="69" t="str">
        <f>IFERROR(__xludf.DUMMYFUNCTION("IFERROR(SPLIT(W25,"",""),"""")"),"")</f>
        <v/>
      </c>
      <c r="BB25" s="69"/>
      <c r="BC25" s="69"/>
      <c r="BD25" s="69" t="str">
        <f>IFERROR(__xludf.DUMMYFUNCTION("IFERROR(SPLIT(X25,"",""),"""")"),"")</f>
        <v/>
      </c>
      <c r="BE25" s="69"/>
      <c r="BF25" s="69"/>
      <c r="BG25" s="69" t="str">
        <f>IFERROR(__xludf.DUMMYFUNCTION("IFERROR(SPLIT(Y25,"",""),"""")"),"")</f>
        <v/>
      </c>
      <c r="BH25" s="69"/>
      <c r="BI25" s="69"/>
      <c r="BJ25" s="68" t="str">
        <f>IFERROR(__xludf.DUMMYFUNCTION("IF($B25&lt;&gt;"""",IFERROR(FILTER(RawTotals!$AJ:$AJ,RawTotals!$A:$A=Z25)-(FILTER(Data!$K:$K,Data!$B:$B=Z25,Data!$D:$D=$B25)+FILTER(Data!$L:$L,Data!$B:$B=Z25,Data!$D:$D=$B25)),""""),"""")"),"")</f>
        <v/>
      </c>
      <c r="BK25" s="68" t="str">
        <f>IFERROR(__xludf.DUMMYFUNCTION("IF($B25&lt;&gt;"""",IFERROR(FILTER(RawTotals!$AJ:$AJ,RawTotals!$A:$A=AA25)-(FILTER(Data!$K:$K,Data!$B:$B=AA25,Data!$D:$D=$B25)+FILTER(Data!$L:$L,Data!$B:$B=AA25,Data!$D:$D=$B25)),""""),"""")"),"")</f>
        <v/>
      </c>
      <c r="BL25" s="68" t="str">
        <f>IFERROR(__xludf.DUMMYFUNCTION("IF($B25&lt;&gt;"""",IFERROR(FILTER(RawTotals!$AJ:$AJ,RawTotals!$A:$A=AB25)-(FILTER(Data!$K:$K,Data!$B:$B=AB25,Data!$D:$D=$B25)+FILTER(Data!$L:$L,Data!$B:$B=AB25,Data!$D:$D=$B25)),""""),"""")"),"")</f>
        <v/>
      </c>
      <c r="BM25" s="69" t="str">
        <f>IFERROR(__xludf.DUMMYFUNCTION("IF($C25&lt;&gt;"""",IFERROR(FILTER(RawTotals!$AJ:$AJ,RawTotals!$A:$A=AC25)-(FILTER(Data!$K:$K,Data!$B:$B=AC25,Data!$D:$D=$C25)+FILTER(Data!$L:$L,Data!$B:$B=AC25,Data!$D:$D=$C25)),""""),"""")"),"")</f>
        <v/>
      </c>
      <c r="BN25" s="69" t="str">
        <f>IFERROR(__xludf.DUMMYFUNCTION("IF($C25&lt;&gt;"""",IFERROR(FILTER(RawTotals!$AJ:$AJ,RawTotals!$A:$A=AD25)-(FILTER(Data!$K:$K,Data!$B:$B=AD25,Data!$D:$D=$C25)+FILTER(Data!$L:$L,Data!$B:$B=AD25,Data!$D:$D=$C25)),""""),"""")"),"")</f>
        <v/>
      </c>
      <c r="BO25" s="69" t="str">
        <f>IFERROR(__xludf.DUMMYFUNCTION("IF($C25&lt;&gt;"""",IFERROR(FILTER(RawTotals!$AJ:$AJ,RawTotals!$A:$A=AE25)-(FILTER(Data!$K:$K,Data!$B:$B=AE25,Data!$D:$D=$C25)+FILTER(Data!$L:$L,Data!$B:$B=AE25,Data!$D:$D=$C25)),""""),"""")"),"")</f>
        <v/>
      </c>
      <c r="BP25" s="69" t="str">
        <f>IFERROR(__xludf.DUMMYFUNCTION("IF($D25&lt;&gt;"""",IFERROR(FILTER(RawTotals!$AJ:$AJ,RawTotals!$A:$A=AF25)-(FILTER(Data!$K:$K,Data!$B:$B=AF25,Data!$D:$D=$D25)+FILTER(Data!$L:$L,Data!$B:$B=AF25,Data!$D:$D=$D25)),""""),"""")"),"")</f>
        <v/>
      </c>
      <c r="BQ25" s="69" t="str">
        <f>IFERROR(__xludf.DUMMYFUNCTION("IF($D25&lt;&gt;"""",IFERROR(FILTER(RawTotals!$AJ:$AJ,RawTotals!$A:$A=AG25)-(FILTER(Data!$K:$K,Data!$B:$B=AG25,Data!$D:$D=$D25)+FILTER(Data!$L:$L,Data!$B:$B=AG25,Data!$D:$D=$D25)),""""),"""")"),"")</f>
        <v/>
      </c>
      <c r="BR25" s="69" t="str">
        <f>IFERROR(__xludf.DUMMYFUNCTION("IF($D25&lt;&gt;"""",IFERROR(FILTER(RawTotals!$AJ:$AJ,RawTotals!$A:$A=AH25)-(FILTER(Data!$K:$K,Data!$B:$B=AH25,Data!$D:$D=$D25)+FILTER(Data!$L:$L,Data!$B:$B=AH25,Data!$D:$D=$D25)),""""),"""")"),"")</f>
        <v/>
      </c>
      <c r="BS25" s="69" t="str">
        <f>IFERROR(__xludf.DUMMYFUNCTION("IF($E25&lt;&gt;"""",IFERROR(FILTER(RawTotals!$AJ:$AJ,RawTotals!$A:$A=AI25)-(FILTER(Data!$K:$K,Data!$B:$B=AI25,Data!$D:$D=$E25)+FILTER(Data!$L:$L,Data!$B:$B=AI25,Data!$D:$D=$E25)),""""),"""")"),"")</f>
        <v/>
      </c>
      <c r="BT25" s="69" t="str">
        <f>IFERROR(__xludf.DUMMYFUNCTION("IF($E25&lt;&gt;"""",IFERROR(FILTER(RawTotals!$AJ:$AJ,RawTotals!$A:$A=AJ25)-(FILTER(Data!$K:$K,Data!$B:$B=AJ25,Data!$D:$D=$E25)+FILTER(Data!$L:$L,Data!$B:$B=AJ25,Data!$D:$D=$E25)),""""),"""")"),"")</f>
        <v/>
      </c>
      <c r="BU25" s="69" t="str">
        <f>IFERROR(__xludf.DUMMYFUNCTION("IF($E25&lt;&gt;"""",IFERROR(FILTER(RawTotals!$AJ:$AJ,RawTotals!$A:$A=AK25)-(FILTER(Data!$K:$K,Data!$B:$B=AK25,Data!$D:$D=$E25)+FILTER(Data!$L:$L,Data!$B:$B=AK25,Data!$D:$D=$E25)),""""),"""")"),"")</f>
        <v/>
      </c>
      <c r="BV25" s="69" t="str">
        <f>IFERROR(__xludf.DUMMYFUNCTION("IF($F25&lt;&gt;"""",IFERROR(FILTER(RawTotals!$AJ:$AJ,RawTotals!$A:$A=AL25)-(FILTER(Data!$K:$K,Data!$B:$B=AL25,Data!$D:$D=$F25)+FILTER(Data!$L:$L,Data!$B:$B=AL25,Data!$D:$D=$F25)),""""),"""")"),"")</f>
        <v/>
      </c>
      <c r="BW25" s="69" t="str">
        <f>IFERROR(__xludf.DUMMYFUNCTION("IF($F25&lt;&gt;"""",IFERROR(FILTER(RawTotals!$AJ:$AJ,RawTotals!$A:$A=AM25)-(FILTER(Data!$K:$K,Data!$B:$B=AM25,Data!$D:$D=$F25)+FILTER(Data!$L:$L,Data!$B:$B=AM25,Data!$D:$D=$F25)),""""),"""")"),"")</f>
        <v/>
      </c>
      <c r="BX25" s="69" t="str">
        <f>IFERROR(__xludf.DUMMYFUNCTION("IF($F25&lt;&gt;"""",IFERROR(FILTER(RawTotals!$AJ:$AJ,RawTotals!$A:$A=AN25)-(FILTER(Data!$K:$K,Data!$B:$B=AN25,Data!$D:$D=$F25)+FILTER(Data!$L:$L,Data!$B:$B=AN25,Data!$D:$D=$F25)),""""),"""")"),"")</f>
        <v/>
      </c>
      <c r="BY25" s="69" t="str">
        <f>IFERROR(__xludf.DUMMYFUNCTION("IF($G25&lt;&gt;"""",IFERROR(FILTER(RawTotals!$AJ:$AJ,RawTotals!$A:$A=AO25)-(FILTER(Data!$K:$K,Data!$B:$B=AO25,Data!$D:$D=$G25)+FILTER(Data!$L:$L,Data!$B:$B=AO25,Data!$D:$D=$G25)),""""),"""")"),"")</f>
        <v/>
      </c>
      <c r="BZ25" s="69" t="str">
        <f>IFERROR(__xludf.DUMMYFUNCTION("IF($G25&lt;&gt;"""",IFERROR(FILTER(RawTotals!$AJ:$AJ,RawTotals!$A:$A=AP25)-(FILTER(Data!$K:$K,Data!$B:$B=AP25,Data!$D:$D=$G25)+FILTER(Data!$L:$L,Data!$B:$B=AP25,Data!$D:$D=$G25)),""""),"""")"),"")</f>
        <v/>
      </c>
      <c r="CA25" s="69" t="str">
        <f>IFERROR(__xludf.DUMMYFUNCTION("IF($G25&lt;&gt;"""",IFERROR(FILTER(RawTotals!$AJ:$AJ,RawTotals!$A:$A=AQ25)-(FILTER(Data!$K:$K,Data!$B:$B=AQ25,Data!$D:$D=$G25)+FILTER(Data!$L:$L,Data!$B:$B=AQ25,Data!$D:$D=$G25)),""""),"""")"),"")</f>
        <v/>
      </c>
      <c r="CB25" s="69" t="str">
        <f>IFERROR(__xludf.DUMMYFUNCTION("IF($H25&lt;&gt;"""",IFERROR(FILTER(RawTotals!$AJ:$AJ,RawTotals!$A:$A=AR25)-(FILTER(Data!$K:$K,Data!$B:$B=AR25,Data!$D:$D=$H25)+FILTER(Data!$L:$L,Data!$B:$B=AR25,Data!$D:$D=$H25)),""""),"""")"),"")</f>
        <v/>
      </c>
      <c r="CC25" s="69" t="str">
        <f>IFERROR(__xludf.DUMMYFUNCTION("IF($H25&lt;&gt;"""",IFERROR(FILTER(RawTotals!$AJ:$AJ,RawTotals!$A:$A=AS25)-(FILTER(Data!$K:$K,Data!$B:$B=AS25,Data!$D:$D=$H25)+FILTER(Data!$L:$L,Data!$B:$B=AS25,Data!$D:$D=$H25)),""""),"""")"),"")</f>
        <v/>
      </c>
      <c r="CD25" s="69" t="str">
        <f>IFERROR(__xludf.DUMMYFUNCTION("IF($H25&lt;&gt;"""",IFERROR(FILTER(RawTotals!$AJ:$AJ,RawTotals!$A:$A=AT25)-(FILTER(Data!$K:$K,Data!$B:$B=AT25,Data!$D:$D=$H25)+FILTER(Data!$L:$L,Data!$B:$B=AT25,Data!$D:$D=$H25)),""""),"""")"),"")</f>
        <v/>
      </c>
      <c r="CE25" s="69" t="str">
        <f>IFERROR(__xludf.DUMMYFUNCTION("IF($I25&lt;&gt;"""",IFERROR(FILTER(RawTotals!$AJ:$AJ,RawTotals!$A:$A=AU25)-(FILTER(Data!$K:$K,Data!$B:$B=AU25,Data!$D:$D=$I25)+FILTER(Data!$L:$L,Data!$B:$B=AU25,Data!$D:$D=$I25)),""""),"""")"),"")</f>
        <v/>
      </c>
      <c r="CF25" s="69" t="str">
        <f>IFERROR(__xludf.DUMMYFUNCTION("IF($I25&lt;&gt;"""",IFERROR(FILTER(RawTotals!$AJ:$AJ,RawTotals!$A:$A=AV25)-(FILTER(Data!$K:$K,Data!$B:$B=AV25,Data!$D:$D=$I25)+FILTER(Data!$L:$L,Data!$B:$B=AV25,Data!$D:$D=$I25)),""""),"""")"),"")</f>
        <v/>
      </c>
      <c r="CG25" s="69" t="str">
        <f>IFERROR(__xludf.DUMMYFUNCTION("IF($I25&lt;&gt;"""",IFERROR(FILTER(RawTotals!$AJ:$AJ,RawTotals!$A:$A=AW25)-(FILTER(Data!$K:$K,Data!$B:$B=AW25,Data!$D:$D=$I25)+FILTER(Data!$L:$L,Data!$B:$B=AW25,Data!$D:$D=$I25)),""""),"""")"),"")</f>
        <v/>
      </c>
      <c r="CH25" s="69" t="str">
        <f>IFERROR(__xludf.DUMMYFUNCTION("IF($J25&lt;&gt;"""",IFERROR(FILTER(RawTotals!$AJ:$AJ,RawTotals!$A:$A=AX25)-(FILTER(Data!$K:$K,Data!$B:$B=AX25,Data!$D:$D=$J25)+FILTER(Data!$L:$L,Data!$B:$B=AX25,Data!$D:$D=$J25)),""""),"""")"),"")</f>
        <v/>
      </c>
      <c r="CI25" s="69" t="str">
        <f>IFERROR(__xludf.DUMMYFUNCTION("IF($J25&lt;&gt;"""",IFERROR(FILTER(RawTotals!$AJ:$AJ,RawTotals!$A:$A=AY25)-(FILTER(Data!$K:$K,Data!$B:$B=AY25,Data!$D:$D=$J25)+FILTER(Data!$L:$L,Data!$B:$B=AY25,Data!$D:$D=$J25)),""""),"""")"),"")</f>
        <v/>
      </c>
      <c r="CJ25" s="69" t="str">
        <f>IFERROR(__xludf.DUMMYFUNCTION("IF($J25&lt;&gt;"""",IFERROR(FILTER(RawTotals!$AJ:$AJ,RawTotals!$A:$A=AZ25)-(FILTER(Data!$K:$K,Data!$B:$B=AZ25,Data!$D:$D=$J25)+FILTER(Data!$L:$L,Data!$B:$B=AZ25,Data!$D:$D=$J25)),""""),"""")"),"")</f>
        <v/>
      </c>
      <c r="CK25" s="69" t="str">
        <f>IFERROR(__xludf.DUMMYFUNCTION("IF($K25&lt;&gt;"""",IFERROR(FILTER(RawTotals!$AJ:$AJ,RawTotals!$A:$A=BA25)-(FILTER(Data!$K:$K,Data!$B:$B=BA25,Data!$D:$D=$K25)+FILTER(Data!$L:$L,Data!$B:$B=BA25,Data!$D:$D=$K25)),""""),"""")"),"")</f>
        <v/>
      </c>
      <c r="CL25" s="69" t="str">
        <f>IFERROR(__xludf.DUMMYFUNCTION("IF($K25&lt;&gt;"""",IFERROR(FILTER(RawTotals!$AJ:$AJ,RawTotals!$A:$A=BB25)-(FILTER(Data!$K:$K,Data!$B:$B=BB25,Data!$D:$D=$K25)+FILTER(Data!$L:$L,Data!$B:$B=BB25,Data!$D:$D=$K25)),""""),"""")"),"")</f>
        <v/>
      </c>
      <c r="CM25" s="69" t="str">
        <f>IFERROR(__xludf.DUMMYFUNCTION("IF($K25&lt;&gt;"""",IFERROR(FILTER(RawTotals!$AJ:$AJ,RawTotals!$A:$A=BC25)-(FILTER(Data!$K:$K,Data!$B:$B=BC25,Data!$D:$D=$K25)+FILTER(Data!$L:$L,Data!$B:$B=BC25,Data!$D:$D=$K25)),""""),"""")"),"")</f>
        <v/>
      </c>
      <c r="CN25" s="69" t="str">
        <f>IFERROR(__xludf.DUMMYFUNCTION("IF($L25&lt;&gt;"""",IFERROR((FILTER(RawTotals!$AJ:$AJ,RawTotals!$A:$A=BD25)-(FILTER(Data!$K:$K,Data!$B:$B=BD25,Data!$D:$D=$L25)+FILTER(Data!$L:$L,Data!$B:$B=BD25,Data!$D:$D=$L25))),""""),"""")"),"")</f>
        <v/>
      </c>
      <c r="CO25" s="69" t="str">
        <f>IFERROR(__xludf.DUMMYFUNCTION("IF($L25&lt;&gt;"""",IFERROR((FILTER(RawTotals!$AJ:$AJ,RawTotals!$A:$A=BE25)-(FILTER(Data!$K:$K,Data!$B:$B=BE25,Data!$D:$D=$L25)+FILTER(Data!$L:$L,Data!$B:$B=BE25,Data!$D:$D=$L25))),""""),"""")"),"")</f>
        <v/>
      </c>
      <c r="CP25" s="69" t="str">
        <f>IFERROR(__xludf.DUMMYFUNCTION("IF($L25&lt;&gt;"""",IFERROR((FILTER(RawTotals!$AJ:$AJ,RawTotals!$A:$A=BF25)-(FILTER(Data!$K:$K,Data!$B:$B=BF25,Data!$D:$D=$L25)+FILTER(Data!$L:$L,Data!$B:$B=BF25,Data!$D:$D=$L25))),""""),"""")"),"")</f>
        <v/>
      </c>
      <c r="CQ25" s="69" t="str">
        <f>IFERROR(__xludf.DUMMYFUNCTION("IF($M25&lt;&gt;"""",IFERROR((FILTER(RawTotals!$AJ:$AJ,RawTotals!$A:$A=BG25)-(FILTER(Data!$K:$K,Data!$B:$B=BG25,Data!$D:$D=$M25)+FILTER(Data!$L:$L,Data!$B:$B=BG25,Data!$D:$D=$M25))),""""),"""")"),"")</f>
        <v/>
      </c>
      <c r="CR25" s="69" t="str">
        <f>IFERROR(__xludf.DUMMYFUNCTION("IF($M25&lt;&gt;"""",IFERROR((FILTER(RawTotals!$AJ:$AJ,RawTotals!$A:$A=BH25)-(FILTER(Data!$K:$K,Data!$B:$B=BH25,Data!$D:$D=$M25)+FILTER(Data!$L:$L,Data!$B:$B=BH25,Data!$D:$D=$M25))),""""),"""")"),"")</f>
        <v/>
      </c>
      <c r="CS25" s="70" t="str">
        <f>IFERROR(__xludf.DUMMYFUNCTION("IF($M25&lt;&gt;"""",IFERROR((FILTER(RawTotals!$AJ:$AJ,RawTotals!$A:$A=BI25)-(FILTER(Data!$K:$K,Data!$B:$B=BI25,Data!$D:$D=$M25)+FILTER(Data!$L:$L,Data!$B:$B=BI25,Data!$D:$D=$M25))),""""),"""")"),"")</f>
        <v/>
      </c>
      <c r="CT25" s="69"/>
      <c r="CU25" s="69"/>
      <c r="CV25" s="69"/>
      <c r="CW25" s="69"/>
      <c r="CX25" s="69"/>
      <c r="CY25" s="69"/>
      <c r="CZ25" s="69"/>
      <c r="DA25" s="69"/>
      <c r="DB25" s="69"/>
      <c r="DC25" s="69"/>
      <c r="DD25" s="69"/>
      <c r="DE25" s="69"/>
    </row>
    <row r="26">
      <c r="A26" s="67">
        <f>RawTotals!A26</f>
        <v>1533</v>
      </c>
      <c r="B26" s="68" t="str">
        <f>IFERROR(__xludf.DUMMYFUNCTION("IF(A26&lt;&gt;"""",IFERROR(TRANSPOSE(FILTER(Data!D:D,Data!B:B=A26,Data!R:R&lt;&gt;"""")),""No Defense""),"""")"),"No Defense")</f>
        <v>No Defense</v>
      </c>
      <c r="C26" s="65"/>
      <c r="D26" s="65"/>
      <c r="E26" s="65"/>
      <c r="F26" s="65"/>
      <c r="G26" s="65"/>
      <c r="H26" s="65"/>
      <c r="I26" s="65"/>
      <c r="J26" s="65"/>
      <c r="K26" s="65"/>
      <c r="L26" s="65"/>
      <c r="M26" s="65"/>
      <c r="N26" s="64" t="str">
        <f>IFERROR(__xludf.DUMMYFUNCTION("IFERROR(Textjoin("""",TRUE,FILTER(Data!$R:$R,Data!$D:$D=B26,Data!$B:$B=$A26)),"""")"),"")</f>
        <v/>
      </c>
      <c r="O26" s="64" t="str">
        <f>IFERROR(__xludf.DUMMYFUNCTION("IFERROR(Textjoin("""",TRUE,FILTER(Data!$R:$R,Data!$D:$D=C26,Data!$B:$B=$A26)),"""")"),"")</f>
        <v/>
      </c>
      <c r="P26" s="64" t="str">
        <f>IFERROR(__xludf.DUMMYFUNCTION("IFERROR(Textjoin("""",TRUE,FILTER(Data!$R:$R,Data!$D:$D=D26,Data!$B:$B=$A26)),"""")"),"")</f>
        <v/>
      </c>
      <c r="Q26" s="64" t="str">
        <f>IFERROR(__xludf.DUMMYFUNCTION("IFERROR(Textjoin("""",TRUE,FILTER(Data!$R:$R,Data!$D:$D=E26,Data!$B:$B=$A26)),"""")"),"")</f>
        <v/>
      </c>
      <c r="R26" s="64" t="str">
        <f>IFERROR(__xludf.DUMMYFUNCTION("IFERROR(Textjoin("""",TRUE,FILTER(Data!$R:$R,Data!$D:$D=F26,Data!$B:$B=$A26)),"""")"),"")</f>
        <v/>
      </c>
      <c r="S26" s="64" t="str">
        <f>IFERROR(__xludf.DUMMYFUNCTION("IFERROR(Textjoin("""",TRUE,FILTER(Data!$R:$R,Data!$D:$D=G26,Data!$B:$B=$A26)),"""")"),"")</f>
        <v/>
      </c>
      <c r="T26" s="64" t="str">
        <f>IFERROR(__xludf.DUMMYFUNCTION("IFERROR(Textjoin("""",TRUE,FILTER(Data!$R:$R,Data!$D:$D=H26,Data!$B:$B=$A26)),"""")"),"")</f>
        <v/>
      </c>
      <c r="U26" s="64" t="str">
        <f>IFERROR(__xludf.DUMMYFUNCTION("IFERROR(Textjoin("""",TRUE,FILTER(Data!$R:$R,Data!$D:$D=I26,Data!$B:$B=$A26)),"""")"),"")</f>
        <v/>
      </c>
      <c r="V26" s="64" t="str">
        <f>IFERROR(__xludf.DUMMYFUNCTION("IFERROR(Textjoin("""",TRUE,FILTER(Data!$R:$R,Data!$D:$D=J26,Data!$B:$B=$A26)),"""")"),"")</f>
        <v/>
      </c>
      <c r="W26" s="64" t="str">
        <f>IFERROR(__xludf.DUMMYFUNCTION("IFERROR(Textjoin("""",TRUE,FILTER(Data!$R:$R,Data!$D:$D=K26,Data!$B:$B=$A26)),"""")"),"")</f>
        <v/>
      </c>
      <c r="X26" s="64" t="str">
        <f>IFERROR(__xludf.DUMMYFUNCTION("IFERROR(Textjoin("""",TRUE,FILTER(Data!$R:$R,Data!$D:$D=L26,Data!$B:$B=$A26)),"""")"),"")</f>
        <v/>
      </c>
      <c r="Y26" s="64" t="str">
        <f>IFERROR(__xludf.DUMMYFUNCTION("IFERROR(Textjoin("""",TRUE,FILTER(Data!$R:$R,Data!$D:$D=M26,Data!$B:$B=$A26)),"""")"),"")</f>
        <v/>
      </c>
      <c r="Z26" s="64" t="str">
        <f>IFERROR(__xludf.DUMMYFUNCTION("IFERROR(SPLIT(N26,"",""),"""")"),"")</f>
        <v/>
      </c>
      <c r="AA26" s="65"/>
      <c r="AB26" s="65"/>
      <c r="AC26" s="69" t="str">
        <f>IFERROR(__xludf.DUMMYFUNCTION("IFERROR(SPLIT(O26,"",""),"""")"),"")</f>
        <v/>
      </c>
      <c r="AD26" s="65"/>
      <c r="AE26" s="65"/>
      <c r="AF26" s="69" t="str">
        <f>IFERROR(__xludf.DUMMYFUNCTION("IFERROR(SPLIT(P26,"",""),"""")"),"")</f>
        <v/>
      </c>
      <c r="AG26" s="65"/>
      <c r="AH26" s="65"/>
      <c r="AI26" s="69" t="str">
        <f>IFERROR(__xludf.DUMMYFUNCTION("IFERROR(SPLIT(Q26,"",""),"""")"),"")</f>
        <v/>
      </c>
      <c r="AJ26" s="65"/>
      <c r="AK26" s="65"/>
      <c r="AL26" s="69" t="str">
        <f>IFERROR(__xludf.DUMMYFUNCTION("IFERROR(SPLIT(R26,"",""),"""")"),"")</f>
        <v/>
      </c>
      <c r="AM26" s="65"/>
      <c r="AN26" s="65"/>
      <c r="AO26" s="69" t="str">
        <f>IFERROR(__xludf.DUMMYFUNCTION("IFERROR(SPLIT(S26,"",""),"""")"),"")</f>
        <v/>
      </c>
      <c r="AP26" s="65"/>
      <c r="AQ26" s="65"/>
      <c r="AR26" s="69" t="str">
        <f>IFERROR(__xludf.DUMMYFUNCTION("IFERROR(SPLIT(T26,"",""),"""")"),"")</f>
        <v/>
      </c>
      <c r="AS26" s="65"/>
      <c r="AT26" s="65"/>
      <c r="AU26" s="69" t="str">
        <f>IFERROR(__xludf.DUMMYFUNCTION("IFERROR(SPLIT(U26,"",""),"""")"),"")</f>
        <v/>
      </c>
      <c r="AV26" s="65"/>
      <c r="AW26" s="65"/>
      <c r="AX26" s="69" t="str">
        <f>IFERROR(__xludf.DUMMYFUNCTION("IFERROR(SPLIT(V26,"",""),"""")"),"")</f>
        <v/>
      </c>
      <c r="AY26" s="65"/>
      <c r="AZ26" s="65"/>
      <c r="BA26" s="69" t="str">
        <f>IFERROR(__xludf.DUMMYFUNCTION("IFERROR(SPLIT(W26,"",""),"""")"),"")</f>
        <v/>
      </c>
      <c r="BB26" s="69"/>
      <c r="BC26" s="69"/>
      <c r="BD26" s="69" t="str">
        <f>IFERROR(__xludf.DUMMYFUNCTION("IFERROR(SPLIT(X26,"",""),"""")"),"")</f>
        <v/>
      </c>
      <c r="BE26" s="69"/>
      <c r="BF26" s="69"/>
      <c r="BG26" s="69" t="str">
        <f>IFERROR(__xludf.DUMMYFUNCTION("IFERROR(SPLIT(Y26,"",""),"""")"),"")</f>
        <v/>
      </c>
      <c r="BH26" s="69"/>
      <c r="BI26" s="69"/>
      <c r="BJ26" s="68" t="str">
        <f>IFERROR(__xludf.DUMMYFUNCTION("IF($B26&lt;&gt;"""",IFERROR(FILTER(RawTotals!$AJ:$AJ,RawTotals!$A:$A=Z26)-(FILTER(Data!$K:$K,Data!$B:$B=Z26,Data!$D:$D=$B26)+FILTER(Data!$L:$L,Data!$B:$B=Z26,Data!$D:$D=$B26)),""""),"""")"),"")</f>
        <v/>
      </c>
      <c r="BK26" s="68" t="str">
        <f>IFERROR(__xludf.DUMMYFUNCTION("IF($B26&lt;&gt;"""",IFERROR(FILTER(RawTotals!$AJ:$AJ,RawTotals!$A:$A=AA26)-(FILTER(Data!$K:$K,Data!$B:$B=AA26,Data!$D:$D=$B26)+FILTER(Data!$L:$L,Data!$B:$B=AA26,Data!$D:$D=$B26)),""""),"""")"),"")</f>
        <v/>
      </c>
      <c r="BL26" s="68" t="str">
        <f>IFERROR(__xludf.DUMMYFUNCTION("IF($B26&lt;&gt;"""",IFERROR(FILTER(RawTotals!$AJ:$AJ,RawTotals!$A:$A=AB26)-(FILTER(Data!$K:$K,Data!$B:$B=AB26,Data!$D:$D=$B26)+FILTER(Data!$L:$L,Data!$B:$B=AB26,Data!$D:$D=$B26)),""""),"""")"),"")</f>
        <v/>
      </c>
      <c r="BM26" s="69" t="str">
        <f>IFERROR(__xludf.DUMMYFUNCTION("IF($C26&lt;&gt;"""",IFERROR(FILTER(RawTotals!$AJ:$AJ,RawTotals!$A:$A=AC26)-(FILTER(Data!$K:$K,Data!$B:$B=AC26,Data!$D:$D=$C26)+FILTER(Data!$L:$L,Data!$B:$B=AC26,Data!$D:$D=$C26)),""""),"""")"),"")</f>
        <v/>
      </c>
      <c r="BN26" s="69" t="str">
        <f>IFERROR(__xludf.DUMMYFUNCTION("IF($C26&lt;&gt;"""",IFERROR(FILTER(RawTotals!$AJ:$AJ,RawTotals!$A:$A=AD26)-(FILTER(Data!$K:$K,Data!$B:$B=AD26,Data!$D:$D=$C26)+FILTER(Data!$L:$L,Data!$B:$B=AD26,Data!$D:$D=$C26)),""""),"""")"),"")</f>
        <v/>
      </c>
      <c r="BO26" s="69" t="str">
        <f>IFERROR(__xludf.DUMMYFUNCTION("IF($C26&lt;&gt;"""",IFERROR(FILTER(RawTotals!$AJ:$AJ,RawTotals!$A:$A=AE26)-(FILTER(Data!$K:$K,Data!$B:$B=AE26,Data!$D:$D=$C26)+FILTER(Data!$L:$L,Data!$B:$B=AE26,Data!$D:$D=$C26)),""""),"""")"),"")</f>
        <v/>
      </c>
      <c r="BP26" s="69" t="str">
        <f>IFERROR(__xludf.DUMMYFUNCTION("IF($D26&lt;&gt;"""",IFERROR(FILTER(RawTotals!$AJ:$AJ,RawTotals!$A:$A=AF26)-(FILTER(Data!$K:$K,Data!$B:$B=AF26,Data!$D:$D=$D26)+FILTER(Data!$L:$L,Data!$B:$B=AF26,Data!$D:$D=$D26)),""""),"""")"),"")</f>
        <v/>
      </c>
      <c r="BQ26" s="69" t="str">
        <f>IFERROR(__xludf.DUMMYFUNCTION("IF($D26&lt;&gt;"""",IFERROR(FILTER(RawTotals!$AJ:$AJ,RawTotals!$A:$A=AG26)-(FILTER(Data!$K:$K,Data!$B:$B=AG26,Data!$D:$D=$D26)+FILTER(Data!$L:$L,Data!$B:$B=AG26,Data!$D:$D=$D26)),""""),"""")"),"")</f>
        <v/>
      </c>
      <c r="BR26" s="69" t="str">
        <f>IFERROR(__xludf.DUMMYFUNCTION("IF($D26&lt;&gt;"""",IFERROR(FILTER(RawTotals!$AJ:$AJ,RawTotals!$A:$A=AH26)-(FILTER(Data!$K:$K,Data!$B:$B=AH26,Data!$D:$D=$D26)+FILTER(Data!$L:$L,Data!$B:$B=AH26,Data!$D:$D=$D26)),""""),"""")"),"")</f>
        <v/>
      </c>
      <c r="BS26" s="69" t="str">
        <f>IFERROR(__xludf.DUMMYFUNCTION("IF($E26&lt;&gt;"""",IFERROR(FILTER(RawTotals!$AJ:$AJ,RawTotals!$A:$A=AI26)-(FILTER(Data!$K:$K,Data!$B:$B=AI26,Data!$D:$D=$E26)+FILTER(Data!$L:$L,Data!$B:$B=AI26,Data!$D:$D=$E26)),""""),"""")"),"")</f>
        <v/>
      </c>
      <c r="BT26" s="69" t="str">
        <f>IFERROR(__xludf.DUMMYFUNCTION("IF($E26&lt;&gt;"""",IFERROR(FILTER(RawTotals!$AJ:$AJ,RawTotals!$A:$A=AJ26)-(FILTER(Data!$K:$K,Data!$B:$B=AJ26,Data!$D:$D=$E26)+FILTER(Data!$L:$L,Data!$B:$B=AJ26,Data!$D:$D=$E26)),""""),"""")"),"")</f>
        <v/>
      </c>
      <c r="BU26" s="69" t="str">
        <f>IFERROR(__xludf.DUMMYFUNCTION("IF($E26&lt;&gt;"""",IFERROR(FILTER(RawTotals!$AJ:$AJ,RawTotals!$A:$A=AK26)-(FILTER(Data!$K:$K,Data!$B:$B=AK26,Data!$D:$D=$E26)+FILTER(Data!$L:$L,Data!$B:$B=AK26,Data!$D:$D=$E26)),""""),"""")"),"")</f>
        <v/>
      </c>
      <c r="BV26" s="69" t="str">
        <f>IFERROR(__xludf.DUMMYFUNCTION("IF($F26&lt;&gt;"""",IFERROR(FILTER(RawTotals!$AJ:$AJ,RawTotals!$A:$A=AL26)-(FILTER(Data!$K:$K,Data!$B:$B=AL26,Data!$D:$D=$F26)+FILTER(Data!$L:$L,Data!$B:$B=AL26,Data!$D:$D=$F26)),""""),"""")"),"")</f>
        <v/>
      </c>
      <c r="BW26" s="69" t="str">
        <f>IFERROR(__xludf.DUMMYFUNCTION("IF($F26&lt;&gt;"""",IFERROR(FILTER(RawTotals!$AJ:$AJ,RawTotals!$A:$A=AM26)-(FILTER(Data!$K:$K,Data!$B:$B=AM26,Data!$D:$D=$F26)+FILTER(Data!$L:$L,Data!$B:$B=AM26,Data!$D:$D=$F26)),""""),"""")"),"")</f>
        <v/>
      </c>
      <c r="BX26" s="69" t="str">
        <f>IFERROR(__xludf.DUMMYFUNCTION("IF($F26&lt;&gt;"""",IFERROR(FILTER(RawTotals!$AJ:$AJ,RawTotals!$A:$A=AN26)-(FILTER(Data!$K:$K,Data!$B:$B=AN26,Data!$D:$D=$F26)+FILTER(Data!$L:$L,Data!$B:$B=AN26,Data!$D:$D=$F26)),""""),"""")"),"")</f>
        <v/>
      </c>
      <c r="BY26" s="69" t="str">
        <f>IFERROR(__xludf.DUMMYFUNCTION("IF($G26&lt;&gt;"""",IFERROR(FILTER(RawTotals!$AJ:$AJ,RawTotals!$A:$A=AO26)-(FILTER(Data!$K:$K,Data!$B:$B=AO26,Data!$D:$D=$G26)+FILTER(Data!$L:$L,Data!$B:$B=AO26,Data!$D:$D=$G26)),""""),"""")"),"")</f>
        <v/>
      </c>
      <c r="BZ26" s="69" t="str">
        <f>IFERROR(__xludf.DUMMYFUNCTION("IF($G26&lt;&gt;"""",IFERROR(FILTER(RawTotals!$AJ:$AJ,RawTotals!$A:$A=AP26)-(FILTER(Data!$K:$K,Data!$B:$B=AP26,Data!$D:$D=$G26)+FILTER(Data!$L:$L,Data!$B:$B=AP26,Data!$D:$D=$G26)),""""),"""")"),"")</f>
        <v/>
      </c>
      <c r="CA26" s="69" t="str">
        <f>IFERROR(__xludf.DUMMYFUNCTION("IF($G26&lt;&gt;"""",IFERROR(FILTER(RawTotals!$AJ:$AJ,RawTotals!$A:$A=AQ26)-(FILTER(Data!$K:$K,Data!$B:$B=AQ26,Data!$D:$D=$G26)+FILTER(Data!$L:$L,Data!$B:$B=AQ26,Data!$D:$D=$G26)),""""),"""")"),"")</f>
        <v/>
      </c>
      <c r="CB26" s="69" t="str">
        <f>IFERROR(__xludf.DUMMYFUNCTION("IF($H26&lt;&gt;"""",IFERROR(FILTER(RawTotals!$AJ:$AJ,RawTotals!$A:$A=AR26)-(FILTER(Data!$K:$K,Data!$B:$B=AR26,Data!$D:$D=$H26)+FILTER(Data!$L:$L,Data!$B:$B=AR26,Data!$D:$D=$H26)),""""),"""")"),"")</f>
        <v/>
      </c>
      <c r="CC26" s="69" t="str">
        <f>IFERROR(__xludf.DUMMYFUNCTION("IF($H26&lt;&gt;"""",IFERROR(FILTER(RawTotals!$AJ:$AJ,RawTotals!$A:$A=AS26)-(FILTER(Data!$K:$K,Data!$B:$B=AS26,Data!$D:$D=$H26)+FILTER(Data!$L:$L,Data!$B:$B=AS26,Data!$D:$D=$H26)),""""),"""")"),"")</f>
        <v/>
      </c>
      <c r="CD26" s="69" t="str">
        <f>IFERROR(__xludf.DUMMYFUNCTION("IF($H26&lt;&gt;"""",IFERROR(FILTER(RawTotals!$AJ:$AJ,RawTotals!$A:$A=AT26)-(FILTER(Data!$K:$K,Data!$B:$B=AT26,Data!$D:$D=$H26)+FILTER(Data!$L:$L,Data!$B:$B=AT26,Data!$D:$D=$H26)),""""),"""")"),"")</f>
        <v/>
      </c>
      <c r="CE26" s="69" t="str">
        <f>IFERROR(__xludf.DUMMYFUNCTION("IF($I26&lt;&gt;"""",IFERROR(FILTER(RawTotals!$AJ:$AJ,RawTotals!$A:$A=AU26)-(FILTER(Data!$K:$K,Data!$B:$B=AU26,Data!$D:$D=$I26)+FILTER(Data!$L:$L,Data!$B:$B=AU26,Data!$D:$D=$I26)),""""),"""")"),"")</f>
        <v/>
      </c>
      <c r="CF26" s="69" t="str">
        <f>IFERROR(__xludf.DUMMYFUNCTION("IF($I26&lt;&gt;"""",IFERROR(FILTER(RawTotals!$AJ:$AJ,RawTotals!$A:$A=AV26)-(FILTER(Data!$K:$K,Data!$B:$B=AV26,Data!$D:$D=$I26)+FILTER(Data!$L:$L,Data!$B:$B=AV26,Data!$D:$D=$I26)),""""),"""")"),"")</f>
        <v/>
      </c>
      <c r="CG26" s="69" t="str">
        <f>IFERROR(__xludf.DUMMYFUNCTION("IF($I26&lt;&gt;"""",IFERROR(FILTER(RawTotals!$AJ:$AJ,RawTotals!$A:$A=AW26)-(FILTER(Data!$K:$K,Data!$B:$B=AW26,Data!$D:$D=$I26)+FILTER(Data!$L:$L,Data!$B:$B=AW26,Data!$D:$D=$I26)),""""),"""")"),"")</f>
        <v/>
      </c>
      <c r="CH26" s="69" t="str">
        <f>IFERROR(__xludf.DUMMYFUNCTION("IF($J26&lt;&gt;"""",IFERROR(FILTER(RawTotals!$AJ:$AJ,RawTotals!$A:$A=AX26)-(FILTER(Data!$K:$K,Data!$B:$B=AX26,Data!$D:$D=$J26)+FILTER(Data!$L:$L,Data!$B:$B=AX26,Data!$D:$D=$J26)),""""),"""")"),"")</f>
        <v/>
      </c>
      <c r="CI26" s="69" t="str">
        <f>IFERROR(__xludf.DUMMYFUNCTION("IF($J26&lt;&gt;"""",IFERROR(FILTER(RawTotals!$AJ:$AJ,RawTotals!$A:$A=AY26)-(FILTER(Data!$K:$K,Data!$B:$B=AY26,Data!$D:$D=$J26)+FILTER(Data!$L:$L,Data!$B:$B=AY26,Data!$D:$D=$J26)),""""),"""")"),"")</f>
        <v/>
      </c>
      <c r="CJ26" s="69" t="str">
        <f>IFERROR(__xludf.DUMMYFUNCTION("IF($J26&lt;&gt;"""",IFERROR(FILTER(RawTotals!$AJ:$AJ,RawTotals!$A:$A=AZ26)-(FILTER(Data!$K:$K,Data!$B:$B=AZ26,Data!$D:$D=$J26)+FILTER(Data!$L:$L,Data!$B:$B=AZ26,Data!$D:$D=$J26)),""""),"""")"),"")</f>
        <v/>
      </c>
      <c r="CK26" s="69" t="str">
        <f>IFERROR(__xludf.DUMMYFUNCTION("IF($K26&lt;&gt;"""",IFERROR(FILTER(RawTotals!$AJ:$AJ,RawTotals!$A:$A=BA26)-(FILTER(Data!$K:$K,Data!$B:$B=BA26,Data!$D:$D=$K26)+FILTER(Data!$L:$L,Data!$B:$B=BA26,Data!$D:$D=$K26)),""""),"""")"),"")</f>
        <v/>
      </c>
      <c r="CL26" s="69" t="str">
        <f>IFERROR(__xludf.DUMMYFUNCTION("IF($K26&lt;&gt;"""",IFERROR(FILTER(RawTotals!$AJ:$AJ,RawTotals!$A:$A=BB26)-(FILTER(Data!$K:$K,Data!$B:$B=BB26,Data!$D:$D=$K26)+FILTER(Data!$L:$L,Data!$B:$B=BB26,Data!$D:$D=$K26)),""""),"""")"),"")</f>
        <v/>
      </c>
      <c r="CM26" s="69" t="str">
        <f>IFERROR(__xludf.DUMMYFUNCTION("IF($K26&lt;&gt;"""",IFERROR(FILTER(RawTotals!$AJ:$AJ,RawTotals!$A:$A=BC26)-(FILTER(Data!$K:$K,Data!$B:$B=BC26,Data!$D:$D=$K26)+FILTER(Data!$L:$L,Data!$B:$B=BC26,Data!$D:$D=$K26)),""""),"""")"),"")</f>
        <v/>
      </c>
      <c r="CN26" s="69" t="str">
        <f>IFERROR(__xludf.DUMMYFUNCTION("IF($L26&lt;&gt;"""",IFERROR((FILTER(RawTotals!$AJ:$AJ,RawTotals!$A:$A=BD26)-(FILTER(Data!$K:$K,Data!$B:$B=BD26,Data!$D:$D=$L26)+FILTER(Data!$L:$L,Data!$B:$B=BD26,Data!$D:$D=$L26))),""""),"""")"),"")</f>
        <v/>
      </c>
      <c r="CO26" s="69" t="str">
        <f>IFERROR(__xludf.DUMMYFUNCTION("IF($L26&lt;&gt;"""",IFERROR((FILTER(RawTotals!$AJ:$AJ,RawTotals!$A:$A=BE26)-(FILTER(Data!$K:$K,Data!$B:$B=BE26,Data!$D:$D=$L26)+FILTER(Data!$L:$L,Data!$B:$B=BE26,Data!$D:$D=$L26))),""""),"""")"),"")</f>
        <v/>
      </c>
      <c r="CP26" s="69" t="str">
        <f>IFERROR(__xludf.DUMMYFUNCTION("IF($L26&lt;&gt;"""",IFERROR((FILTER(RawTotals!$AJ:$AJ,RawTotals!$A:$A=BF26)-(FILTER(Data!$K:$K,Data!$B:$B=BF26,Data!$D:$D=$L26)+FILTER(Data!$L:$L,Data!$B:$B=BF26,Data!$D:$D=$L26))),""""),"""")"),"")</f>
        <v/>
      </c>
      <c r="CQ26" s="69" t="str">
        <f>IFERROR(__xludf.DUMMYFUNCTION("IF($M26&lt;&gt;"""",IFERROR((FILTER(RawTotals!$AJ:$AJ,RawTotals!$A:$A=BG26)-(FILTER(Data!$K:$K,Data!$B:$B=BG26,Data!$D:$D=$M26)+FILTER(Data!$L:$L,Data!$B:$B=BG26,Data!$D:$D=$M26))),""""),"""")"),"")</f>
        <v/>
      </c>
      <c r="CR26" s="69" t="str">
        <f>IFERROR(__xludf.DUMMYFUNCTION("IF($M26&lt;&gt;"""",IFERROR((FILTER(RawTotals!$AJ:$AJ,RawTotals!$A:$A=BH26)-(FILTER(Data!$K:$K,Data!$B:$B=BH26,Data!$D:$D=$M26)+FILTER(Data!$L:$L,Data!$B:$B=BH26,Data!$D:$D=$M26))),""""),"""")"),"")</f>
        <v/>
      </c>
      <c r="CS26" s="70" t="str">
        <f>IFERROR(__xludf.DUMMYFUNCTION("IF($M26&lt;&gt;"""",IFERROR((FILTER(RawTotals!$AJ:$AJ,RawTotals!$A:$A=BI26)-(FILTER(Data!$K:$K,Data!$B:$B=BI26,Data!$D:$D=$M26)+FILTER(Data!$L:$L,Data!$B:$B=BI26,Data!$D:$D=$M26))),""""),"""")"),"")</f>
        <v/>
      </c>
      <c r="CT26" s="69"/>
      <c r="CU26" s="69"/>
      <c r="CV26" s="69"/>
      <c r="CW26" s="69"/>
      <c r="CX26" s="69"/>
      <c r="CY26" s="69"/>
      <c r="CZ26" s="69"/>
      <c r="DA26" s="69"/>
      <c r="DB26" s="69"/>
      <c r="DC26" s="69"/>
      <c r="DD26" s="69"/>
      <c r="DE26" s="69"/>
    </row>
    <row r="27">
      <c r="A27" s="67">
        <f>RawTotals!A27</f>
        <v>33</v>
      </c>
      <c r="B27" s="68" t="str">
        <f>IFERROR(__xludf.DUMMYFUNCTION("IF(A27&lt;&gt;"""",IFERROR(TRANSPOSE(FILTER(Data!D:D,Data!B:B=A27,Data!R:R&lt;&gt;"""")),""No Defense""),"""")"),"No Defense")</f>
        <v>No Defense</v>
      </c>
      <c r="C27" s="65"/>
      <c r="D27" s="65"/>
      <c r="E27" s="65"/>
      <c r="F27" s="65"/>
      <c r="G27" s="65"/>
      <c r="H27" s="65"/>
      <c r="I27" s="65"/>
      <c r="J27" s="65"/>
      <c r="K27" s="65"/>
      <c r="L27" s="65"/>
      <c r="M27" s="65"/>
      <c r="N27" s="64" t="str">
        <f>IFERROR(__xludf.DUMMYFUNCTION("IFERROR(Textjoin("""",TRUE,FILTER(Data!$R:$R,Data!$D:$D=B27,Data!$B:$B=$A27)),"""")"),"")</f>
        <v/>
      </c>
      <c r="O27" s="64" t="str">
        <f>IFERROR(__xludf.DUMMYFUNCTION("IFERROR(Textjoin("""",TRUE,FILTER(Data!$R:$R,Data!$D:$D=C27,Data!$B:$B=$A27)),"""")"),"")</f>
        <v/>
      </c>
      <c r="P27" s="64" t="str">
        <f>IFERROR(__xludf.DUMMYFUNCTION("IFERROR(Textjoin("""",TRUE,FILTER(Data!$R:$R,Data!$D:$D=D27,Data!$B:$B=$A27)),"""")"),"")</f>
        <v/>
      </c>
      <c r="Q27" s="64" t="str">
        <f>IFERROR(__xludf.DUMMYFUNCTION("IFERROR(Textjoin("""",TRUE,FILTER(Data!$R:$R,Data!$D:$D=E27,Data!$B:$B=$A27)),"""")"),"")</f>
        <v/>
      </c>
      <c r="R27" s="64" t="str">
        <f>IFERROR(__xludf.DUMMYFUNCTION("IFERROR(Textjoin("""",TRUE,FILTER(Data!$R:$R,Data!$D:$D=F27,Data!$B:$B=$A27)),"""")"),"")</f>
        <v/>
      </c>
      <c r="S27" s="64" t="str">
        <f>IFERROR(__xludf.DUMMYFUNCTION("IFERROR(Textjoin("""",TRUE,FILTER(Data!$R:$R,Data!$D:$D=G27,Data!$B:$B=$A27)),"""")"),"")</f>
        <v/>
      </c>
      <c r="T27" s="64" t="str">
        <f>IFERROR(__xludf.DUMMYFUNCTION("IFERROR(Textjoin("""",TRUE,FILTER(Data!$R:$R,Data!$D:$D=H27,Data!$B:$B=$A27)),"""")"),"")</f>
        <v/>
      </c>
      <c r="U27" s="64" t="str">
        <f>IFERROR(__xludf.DUMMYFUNCTION("IFERROR(Textjoin("""",TRUE,FILTER(Data!$R:$R,Data!$D:$D=I27,Data!$B:$B=$A27)),"""")"),"")</f>
        <v/>
      </c>
      <c r="V27" s="64" t="str">
        <f>IFERROR(__xludf.DUMMYFUNCTION("IFERROR(Textjoin("""",TRUE,FILTER(Data!$R:$R,Data!$D:$D=J27,Data!$B:$B=$A27)),"""")"),"")</f>
        <v/>
      </c>
      <c r="W27" s="64" t="str">
        <f>IFERROR(__xludf.DUMMYFUNCTION("IFERROR(Textjoin("""",TRUE,FILTER(Data!$R:$R,Data!$D:$D=K27,Data!$B:$B=$A27)),"""")"),"")</f>
        <v/>
      </c>
      <c r="X27" s="64" t="str">
        <f>IFERROR(__xludf.DUMMYFUNCTION("IFERROR(Textjoin("""",TRUE,FILTER(Data!$R:$R,Data!$D:$D=L27,Data!$B:$B=$A27)),"""")"),"")</f>
        <v/>
      </c>
      <c r="Y27" s="64" t="str">
        <f>IFERROR(__xludf.DUMMYFUNCTION("IFERROR(Textjoin("""",TRUE,FILTER(Data!$R:$R,Data!$D:$D=M27,Data!$B:$B=$A27)),"""")"),"")</f>
        <v/>
      </c>
      <c r="Z27" s="64" t="str">
        <f>IFERROR(__xludf.DUMMYFUNCTION("IFERROR(SPLIT(N27,"",""),"""")"),"")</f>
        <v/>
      </c>
      <c r="AA27" s="65"/>
      <c r="AB27" s="65"/>
      <c r="AC27" s="69" t="str">
        <f>IFERROR(__xludf.DUMMYFUNCTION("IFERROR(SPLIT(O27,"",""),"""")"),"")</f>
        <v/>
      </c>
      <c r="AD27" s="65"/>
      <c r="AE27" s="65"/>
      <c r="AF27" s="69" t="str">
        <f>IFERROR(__xludf.DUMMYFUNCTION("IFERROR(SPLIT(P27,"",""),"""")"),"")</f>
        <v/>
      </c>
      <c r="AG27" s="65"/>
      <c r="AH27" s="65"/>
      <c r="AI27" s="69" t="str">
        <f>IFERROR(__xludf.DUMMYFUNCTION("IFERROR(SPLIT(Q27,"",""),"""")"),"")</f>
        <v/>
      </c>
      <c r="AJ27" s="65"/>
      <c r="AK27" s="65"/>
      <c r="AL27" s="69" t="str">
        <f>IFERROR(__xludf.DUMMYFUNCTION("IFERROR(SPLIT(R27,"",""),"""")"),"")</f>
        <v/>
      </c>
      <c r="AM27" s="65"/>
      <c r="AN27" s="65"/>
      <c r="AO27" s="69" t="str">
        <f>IFERROR(__xludf.DUMMYFUNCTION("IFERROR(SPLIT(S27,"",""),"""")"),"")</f>
        <v/>
      </c>
      <c r="AP27" s="65"/>
      <c r="AQ27" s="65"/>
      <c r="AR27" s="69" t="str">
        <f>IFERROR(__xludf.DUMMYFUNCTION("IFERROR(SPLIT(T27,"",""),"""")"),"")</f>
        <v/>
      </c>
      <c r="AS27" s="65"/>
      <c r="AT27" s="65"/>
      <c r="AU27" s="69" t="str">
        <f>IFERROR(__xludf.DUMMYFUNCTION("IFERROR(SPLIT(U27,"",""),"""")"),"")</f>
        <v/>
      </c>
      <c r="AV27" s="65"/>
      <c r="AW27" s="65"/>
      <c r="AX27" s="69" t="str">
        <f>IFERROR(__xludf.DUMMYFUNCTION("IFERROR(SPLIT(V27,"",""),"""")"),"")</f>
        <v/>
      </c>
      <c r="AY27" s="65"/>
      <c r="AZ27" s="65"/>
      <c r="BA27" s="69" t="str">
        <f>IFERROR(__xludf.DUMMYFUNCTION("IFERROR(SPLIT(W27,"",""),"""")"),"")</f>
        <v/>
      </c>
      <c r="BB27" s="69"/>
      <c r="BC27" s="69"/>
      <c r="BD27" s="69" t="str">
        <f>IFERROR(__xludf.DUMMYFUNCTION("IFERROR(SPLIT(X27,"",""),"""")"),"")</f>
        <v/>
      </c>
      <c r="BE27" s="69"/>
      <c r="BF27" s="69"/>
      <c r="BG27" s="69" t="str">
        <f>IFERROR(__xludf.DUMMYFUNCTION("IFERROR(SPLIT(Y27,"",""),"""")"),"")</f>
        <v/>
      </c>
      <c r="BH27" s="69"/>
      <c r="BI27" s="69"/>
      <c r="BJ27" s="68" t="str">
        <f>IFERROR(__xludf.DUMMYFUNCTION("IF($B27&lt;&gt;"""",IFERROR(FILTER(RawTotals!$AJ:$AJ,RawTotals!$A:$A=Z27)-(FILTER(Data!$K:$K,Data!$B:$B=Z27,Data!$D:$D=$B27)+FILTER(Data!$L:$L,Data!$B:$B=Z27,Data!$D:$D=$B27)),""""),"""")"),"")</f>
        <v/>
      </c>
      <c r="BK27" s="68" t="str">
        <f>IFERROR(__xludf.DUMMYFUNCTION("IF($B27&lt;&gt;"""",IFERROR(FILTER(RawTotals!$AJ:$AJ,RawTotals!$A:$A=AA27)-(FILTER(Data!$K:$K,Data!$B:$B=AA27,Data!$D:$D=$B27)+FILTER(Data!$L:$L,Data!$B:$B=AA27,Data!$D:$D=$B27)),""""),"""")"),"")</f>
        <v/>
      </c>
      <c r="BL27" s="68" t="str">
        <f>IFERROR(__xludf.DUMMYFUNCTION("IF($B27&lt;&gt;"""",IFERROR(FILTER(RawTotals!$AJ:$AJ,RawTotals!$A:$A=AB27)-(FILTER(Data!$K:$K,Data!$B:$B=AB27,Data!$D:$D=$B27)+FILTER(Data!$L:$L,Data!$B:$B=AB27,Data!$D:$D=$B27)),""""),"""")"),"")</f>
        <v/>
      </c>
      <c r="BM27" s="69" t="str">
        <f>IFERROR(__xludf.DUMMYFUNCTION("IF($C27&lt;&gt;"""",IFERROR(FILTER(RawTotals!$AJ:$AJ,RawTotals!$A:$A=AC27)-(FILTER(Data!$K:$K,Data!$B:$B=AC27,Data!$D:$D=$C27)+FILTER(Data!$L:$L,Data!$B:$B=AC27,Data!$D:$D=$C27)),""""),"""")"),"")</f>
        <v/>
      </c>
      <c r="BN27" s="69" t="str">
        <f>IFERROR(__xludf.DUMMYFUNCTION("IF($C27&lt;&gt;"""",IFERROR(FILTER(RawTotals!$AJ:$AJ,RawTotals!$A:$A=AD27)-(FILTER(Data!$K:$K,Data!$B:$B=AD27,Data!$D:$D=$C27)+FILTER(Data!$L:$L,Data!$B:$B=AD27,Data!$D:$D=$C27)),""""),"""")"),"")</f>
        <v/>
      </c>
      <c r="BO27" s="69" t="str">
        <f>IFERROR(__xludf.DUMMYFUNCTION("IF($C27&lt;&gt;"""",IFERROR(FILTER(RawTotals!$AJ:$AJ,RawTotals!$A:$A=AE27)-(FILTER(Data!$K:$K,Data!$B:$B=AE27,Data!$D:$D=$C27)+FILTER(Data!$L:$L,Data!$B:$B=AE27,Data!$D:$D=$C27)),""""),"""")"),"")</f>
        <v/>
      </c>
      <c r="BP27" s="69" t="str">
        <f>IFERROR(__xludf.DUMMYFUNCTION("IF($D27&lt;&gt;"""",IFERROR(FILTER(RawTotals!$AJ:$AJ,RawTotals!$A:$A=AF27)-(FILTER(Data!$K:$K,Data!$B:$B=AF27,Data!$D:$D=$D27)+FILTER(Data!$L:$L,Data!$B:$B=AF27,Data!$D:$D=$D27)),""""),"""")"),"")</f>
        <v/>
      </c>
      <c r="BQ27" s="69" t="str">
        <f>IFERROR(__xludf.DUMMYFUNCTION("IF($D27&lt;&gt;"""",IFERROR(FILTER(RawTotals!$AJ:$AJ,RawTotals!$A:$A=AG27)-(FILTER(Data!$K:$K,Data!$B:$B=AG27,Data!$D:$D=$D27)+FILTER(Data!$L:$L,Data!$B:$B=AG27,Data!$D:$D=$D27)),""""),"""")"),"")</f>
        <v/>
      </c>
      <c r="BR27" s="69" t="str">
        <f>IFERROR(__xludf.DUMMYFUNCTION("IF($D27&lt;&gt;"""",IFERROR(FILTER(RawTotals!$AJ:$AJ,RawTotals!$A:$A=AH27)-(FILTER(Data!$K:$K,Data!$B:$B=AH27,Data!$D:$D=$D27)+FILTER(Data!$L:$L,Data!$B:$B=AH27,Data!$D:$D=$D27)),""""),"""")"),"")</f>
        <v/>
      </c>
      <c r="BS27" s="69" t="str">
        <f>IFERROR(__xludf.DUMMYFUNCTION("IF($E27&lt;&gt;"""",IFERROR(FILTER(RawTotals!$AJ:$AJ,RawTotals!$A:$A=AI27)-(FILTER(Data!$K:$K,Data!$B:$B=AI27,Data!$D:$D=$E27)+FILTER(Data!$L:$L,Data!$B:$B=AI27,Data!$D:$D=$E27)),""""),"""")"),"")</f>
        <v/>
      </c>
      <c r="BT27" s="69" t="str">
        <f>IFERROR(__xludf.DUMMYFUNCTION("IF($E27&lt;&gt;"""",IFERROR(FILTER(RawTotals!$AJ:$AJ,RawTotals!$A:$A=AJ27)-(FILTER(Data!$K:$K,Data!$B:$B=AJ27,Data!$D:$D=$E27)+FILTER(Data!$L:$L,Data!$B:$B=AJ27,Data!$D:$D=$E27)),""""),"""")"),"")</f>
        <v/>
      </c>
      <c r="BU27" s="69" t="str">
        <f>IFERROR(__xludf.DUMMYFUNCTION("IF($E27&lt;&gt;"""",IFERROR(FILTER(RawTotals!$AJ:$AJ,RawTotals!$A:$A=AK27)-(FILTER(Data!$K:$K,Data!$B:$B=AK27,Data!$D:$D=$E27)+FILTER(Data!$L:$L,Data!$B:$B=AK27,Data!$D:$D=$E27)),""""),"""")"),"")</f>
        <v/>
      </c>
      <c r="BV27" s="69" t="str">
        <f>IFERROR(__xludf.DUMMYFUNCTION("IF($F27&lt;&gt;"""",IFERROR(FILTER(RawTotals!$AJ:$AJ,RawTotals!$A:$A=AL27)-(FILTER(Data!$K:$K,Data!$B:$B=AL27,Data!$D:$D=$F27)+FILTER(Data!$L:$L,Data!$B:$B=AL27,Data!$D:$D=$F27)),""""),"""")"),"")</f>
        <v/>
      </c>
      <c r="BW27" s="69" t="str">
        <f>IFERROR(__xludf.DUMMYFUNCTION("IF($F27&lt;&gt;"""",IFERROR(FILTER(RawTotals!$AJ:$AJ,RawTotals!$A:$A=AM27)-(FILTER(Data!$K:$K,Data!$B:$B=AM27,Data!$D:$D=$F27)+FILTER(Data!$L:$L,Data!$B:$B=AM27,Data!$D:$D=$F27)),""""),"""")"),"")</f>
        <v/>
      </c>
      <c r="BX27" s="69" t="str">
        <f>IFERROR(__xludf.DUMMYFUNCTION("IF($F27&lt;&gt;"""",IFERROR(FILTER(RawTotals!$AJ:$AJ,RawTotals!$A:$A=AN27)-(FILTER(Data!$K:$K,Data!$B:$B=AN27,Data!$D:$D=$F27)+FILTER(Data!$L:$L,Data!$B:$B=AN27,Data!$D:$D=$F27)),""""),"""")"),"")</f>
        <v/>
      </c>
      <c r="BY27" s="69" t="str">
        <f>IFERROR(__xludf.DUMMYFUNCTION("IF($G27&lt;&gt;"""",IFERROR(FILTER(RawTotals!$AJ:$AJ,RawTotals!$A:$A=AO27)-(FILTER(Data!$K:$K,Data!$B:$B=AO27,Data!$D:$D=$G27)+FILTER(Data!$L:$L,Data!$B:$B=AO27,Data!$D:$D=$G27)),""""),"""")"),"")</f>
        <v/>
      </c>
      <c r="BZ27" s="69" t="str">
        <f>IFERROR(__xludf.DUMMYFUNCTION("IF($G27&lt;&gt;"""",IFERROR(FILTER(RawTotals!$AJ:$AJ,RawTotals!$A:$A=AP27)-(FILTER(Data!$K:$K,Data!$B:$B=AP27,Data!$D:$D=$G27)+FILTER(Data!$L:$L,Data!$B:$B=AP27,Data!$D:$D=$G27)),""""),"""")"),"")</f>
        <v/>
      </c>
      <c r="CA27" s="69" t="str">
        <f>IFERROR(__xludf.DUMMYFUNCTION("IF($G27&lt;&gt;"""",IFERROR(FILTER(RawTotals!$AJ:$AJ,RawTotals!$A:$A=AQ27)-(FILTER(Data!$K:$K,Data!$B:$B=AQ27,Data!$D:$D=$G27)+FILTER(Data!$L:$L,Data!$B:$B=AQ27,Data!$D:$D=$G27)),""""),"""")"),"")</f>
        <v/>
      </c>
      <c r="CB27" s="69" t="str">
        <f>IFERROR(__xludf.DUMMYFUNCTION("IF($H27&lt;&gt;"""",IFERROR(FILTER(RawTotals!$AJ:$AJ,RawTotals!$A:$A=AR27)-(FILTER(Data!$K:$K,Data!$B:$B=AR27,Data!$D:$D=$H27)+FILTER(Data!$L:$L,Data!$B:$B=AR27,Data!$D:$D=$H27)),""""),"""")"),"")</f>
        <v/>
      </c>
      <c r="CC27" s="69" t="str">
        <f>IFERROR(__xludf.DUMMYFUNCTION("IF($H27&lt;&gt;"""",IFERROR(FILTER(RawTotals!$AJ:$AJ,RawTotals!$A:$A=AS27)-(FILTER(Data!$K:$K,Data!$B:$B=AS27,Data!$D:$D=$H27)+FILTER(Data!$L:$L,Data!$B:$B=AS27,Data!$D:$D=$H27)),""""),"""")"),"")</f>
        <v/>
      </c>
      <c r="CD27" s="69" t="str">
        <f>IFERROR(__xludf.DUMMYFUNCTION("IF($H27&lt;&gt;"""",IFERROR(FILTER(RawTotals!$AJ:$AJ,RawTotals!$A:$A=AT27)-(FILTER(Data!$K:$K,Data!$B:$B=AT27,Data!$D:$D=$H27)+FILTER(Data!$L:$L,Data!$B:$B=AT27,Data!$D:$D=$H27)),""""),"""")"),"")</f>
        <v/>
      </c>
      <c r="CE27" s="69" t="str">
        <f>IFERROR(__xludf.DUMMYFUNCTION("IF($I27&lt;&gt;"""",IFERROR(FILTER(RawTotals!$AJ:$AJ,RawTotals!$A:$A=AU27)-(FILTER(Data!$K:$K,Data!$B:$B=AU27,Data!$D:$D=$I27)+FILTER(Data!$L:$L,Data!$B:$B=AU27,Data!$D:$D=$I27)),""""),"""")"),"")</f>
        <v/>
      </c>
      <c r="CF27" s="69" t="str">
        <f>IFERROR(__xludf.DUMMYFUNCTION("IF($I27&lt;&gt;"""",IFERROR(FILTER(RawTotals!$AJ:$AJ,RawTotals!$A:$A=AV27)-(FILTER(Data!$K:$K,Data!$B:$B=AV27,Data!$D:$D=$I27)+FILTER(Data!$L:$L,Data!$B:$B=AV27,Data!$D:$D=$I27)),""""),"""")"),"")</f>
        <v/>
      </c>
      <c r="CG27" s="69" t="str">
        <f>IFERROR(__xludf.DUMMYFUNCTION("IF($I27&lt;&gt;"""",IFERROR(FILTER(RawTotals!$AJ:$AJ,RawTotals!$A:$A=AW27)-(FILTER(Data!$K:$K,Data!$B:$B=AW27,Data!$D:$D=$I27)+FILTER(Data!$L:$L,Data!$B:$B=AW27,Data!$D:$D=$I27)),""""),"""")"),"")</f>
        <v/>
      </c>
      <c r="CH27" s="69" t="str">
        <f>IFERROR(__xludf.DUMMYFUNCTION("IF($J27&lt;&gt;"""",IFERROR(FILTER(RawTotals!$AJ:$AJ,RawTotals!$A:$A=AX27)-(FILTER(Data!$K:$K,Data!$B:$B=AX27,Data!$D:$D=$J27)+FILTER(Data!$L:$L,Data!$B:$B=AX27,Data!$D:$D=$J27)),""""),"""")"),"")</f>
        <v/>
      </c>
      <c r="CI27" s="69" t="str">
        <f>IFERROR(__xludf.DUMMYFUNCTION("IF($J27&lt;&gt;"""",IFERROR(FILTER(RawTotals!$AJ:$AJ,RawTotals!$A:$A=AY27)-(FILTER(Data!$K:$K,Data!$B:$B=AY27,Data!$D:$D=$J27)+FILTER(Data!$L:$L,Data!$B:$B=AY27,Data!$D:$D=$J27)),""""),"""")"),"")</f>
        <v/>
      </c>
      <c r="CJ27" s="69" t="str">
        <f>IFERROR(__xludf.DUMMYFUNCTION("IF($J27&lt;&gt;"""",IFERROR(FILTER(RawTotals!$AJ:$AJ,RawTotals!$A:$A=AZ27)-(FILTER(Data!$K:$K,Data!$B:$B=AZ27,Data!$D:$D=$J27)+FILTER(Data!$L:$L,Data!$B:$B=AZ27,Data!$D:$D=$J27)),""""),"""")"),"")</f>
        <v/>
      </c>
      <c r="CK27" s="69" t="str">
        <f>IFERROR(__xludf.DUMMYFUNCTION("IF($K27&lt;&gt;"""",IFERROR(FILTER(RawTotals!$AJ:$AJ,RawTotals!$A:$A=BA27)-(FILTER(Data!$K:$K,Data!$B:$B=BA27,Data!$D:$D=$K27)+FILTER(Data!$L:$L,Data!$B:$B=BA27,Data!$D:$D=$K27)),""""),"""")"),"")</f>
        <v/>
      </c>
      <c r="CL27" s="69" t="str">
        <f>IFERROR(__xludf.DUMMYFUNCTION("IF($K27&lt;&gt;"""",IFERROR(FILTER(RawTotals!$AJ:$AJ,RawTotals!$A:$A=BB27)-(FILTER(Data!$K:$K,Data!$B:$B=BB27,Data!$D:$D=$K27)+FILTER(Data!$L:$L,Data!$B:$B=BB27,Data!$D:$D=$K27)),""""),"""")"),"")</f>
        <v/>
      </c>
      <c r="CM27" s="69" t="str">
        <f>IFERROR(__xludf.DUMMYFUNCTION("IF($K27&lt;&gt;"""",IFERROR(FILTER(RawTotals!$AJ:$AJ,RawTotals!$A:$A=BC27)-(FILTER(Data!$K:$K,Data!$B:$B=BC27,Data!$D:$D=$K27)+FILTER(Data!$L:$L,Data!$B:$B=BC27,Data!$D:$D=$K27)),""""),"""")"),"")</f>
        <v/>
      </c>
      <c r="CN27" s="69" t="str">
        <f>IFERROR(__xludf.DUMMYFUNCTION("IF($L27&lt;&gt;"""",IFERROR((FILTER(RawTotals!$AJ:$AJ,RawTotals!$A:$A=BD27)-(FILTER(Data!$K:$K,Data!$B:$B=BD27,Data!$D:$D=$L27)+FILTER(Data!$L:$L,Data!$B:$B=BD27,Data!$D:$D=$L27))),""""),"""")"),"")</f>
        <v/>
      </c>
      <c r="CO27" s="69" t="str">
        <f>IFERROR(__xludf.DUMMYFUNCTION("IF($L27&lt;&gt;"""",IFERROR((FILTER(RawTotals!$AJ:$AJ,RawTotals!$A:$A=BE27)-(FILTER(Data!$K:$K,Data!$B:$B=BE27,Data!$D:$D=$L27)+FILTER(Data!$L:$L,Data!$B:$B=BE27,Data!$D:$D=$L27))),""""),"""")"),"")</f>
        <v/>
      </c>
      <c r="CP27" s="69" t="str">
        <f>IFERROR(__xludf.DUMMYFUNCTION("IF($L27&lt;&gt;"""",IFERROR((FILTER(RawTotals!$AJ:$AJ,RawTotals!$A:$A=BF27)-(FILTER(Data!$K:$K,Data!$B:$B=BF27,Data!$D:$D=$L27)+FILTER(Data!$L:$L,Data!$B:$B=BF27,Data!$D:$D=$L27))),""""),"""")"),"")</f>
        <v/>
      </c>
      <c r="CQ27" s="69" t="str">
        <f>IFERROR(__xludf.DUMMYFUNCTION("IF($M27&lt;&gt;"""",IFERROR((FILTER(RawTotals!$AJ:$AJ,RawTotals!$A:$A=BG27)-(FILTER(Data!$K:$K,Data!$B:$B=BG27,Data!$D:$D=$M27)+FILTER(Data!$L:$L,Data!$B:$B=BG27,Data!$D:$D=$M27))),""""),"""")"),"")</f>
        <v/>
      </c>
      <c r="CR27" s="69" t="str">
        <f>IFERROR(__xludf.DUMMYFUNCTION("IF($M27&lt;&gt;"""",IFERROR((FILTER(RawTotals!$AJ:$AJ,RawTotals!$A:$A=BH27)-(FILTER(Data!$K:$K,Data!$B:$B=BH27,Data!$D:$D=$M27)+FILTER(Data!$L:$L,Data!$B:$B=BH27,Data!$D:$D=$M27))),""""),"""")"),"")</f>
        <v/>
      </c>
      <c r="CS27" s="70" t="str">
        <f>IFERROR(__xludf.DUMMYFUNCTION("IF($M27&lt;&gt;"""",IFERROR((FILTER(RawTotals!$AJ:$AJ,RawTotals!$A:$A=BI27)-(FILTER(Data!$K:$K,Data!$B:$B=BI27,Data!$D:$D=$M27)+FILTER(Data!$L:$L,Data!$B:$B=BI27,Data!$D:$D=$M27))),""""),"""")"),"")</f>
        <v/>
      </c>
      <c r="CT27" s="69"/>
      <c r="CU27" s="69"/>
      <c r="CV27" s="69"/>
      <c r="CW27" s="69"/>
      <c r="CX27" s="69"/>
      <c r="CY27" s="69"/>
      <c r="CZ27" s="69"/>
      <c r="DA27" s="69"/>
      <c r="DB27" s="69"/>
      <c r="DC27" s="69"/>
      <c r="DD27" s="69"/>
      <c r="DE27" s="69"/>
    </row>
    <row r="28">
      <c r="A28" s="67">
        <f>RawTotals!A28</f>
        <v>624</v>
      </c>
      <c r="B28" s="68" t="str">
        <f>IFERROR(__xludf.DUMMYFUNCTION("IF(A28&lt;&gt;"""",IFERROR(TRANSPOSE(FILTER(Data!D:D,Data!B:B=A28,Data!R:R&lt;&gt;"""")),""No Defense""),"""")"),"No Defense")</f>
        <v>No Defense</v>
      </c>
      <c r="C28" s="65"/>
      <c r="D28" s="65"/>
      <c r="E28" s="65"/>
      <c r="F28" s="65"/>
      <c r="G28" s="65"/>
      <c r="H28" s="65"/>
      <c r="I28" s="65"/>
      <c r="J28" s="65"/>
      <c r="K28" s="65"/>
      <c r="L28" s="65"/>
      <c r="M28" s="65"/>
      <c r="N28" s="64" t="str">
        <f>IFERROR(__xludf.DUMMYFUNCTION("IFERROR(Textjoin("""",TRUE,FILTER(Data!$R:$R,Data!$D:$D=B28,Data!$B:$B=$A28)),"""")"),"")</f>
        <v/>
      </c>
      <c r="O28" s="64" t="str">
        <f>IFERROR(__xludf.DUMMYFUNCTION("IFERROR(Textjoin("""",TRUE,FILTER(Data!$R:$R,Data!$D:$D=C28,Data!$B:$B=$A28)),"""")"),"")</f>
        <v/>
      </c>
      <c r="P28" s="64" t="str">
        <f>IFERROR(__xludf.DUMMYFUNCTION("IFERROR(Textjoin("""",TRUE,FILTER(Data!$R:$R,Data!$D:$D=D28,Data!$B:$B=$A28)),"""")"),"")</f>
        <v/>
      </c>
      <c r="Q28" s="64" t="str">
        <f>IFERROR(__xludf.DUMMYFUNCTION("IFERROR(Textjoin("""",TRUE,FILTER(Data!$R:$R,Data!$D:$D=E28,Data!$B:$B=$A28)),"""")"),"")</f>
        <v/>
      </c>
      <c r="R28" s="64" t="str">
        <f>IFERROR(__xludf.DUMMYFUNCTION("IFERROR(Textjoin("""",TRUE,FILTER(Data!$R:$R,Data!$D:$D=F28,Data!$B:$B=$A28)),"""")"),"")</f>
        <v/>
      </c>
      <c r="S28" s="64" t="str">
        <f>IFERROR(__xludf.DUMMYFUNCTION("IFERROR(Textjoin("""",TRUE,FILTER(Data!$R:$R,Data!$D:$D=G28,Data!$B:$B=$A28)),"""")"),"")</f>
        <v/>
      </c>
      <c r="T28" s="64" t="str">
        <f>IFERROR(__xludf.DUMMYFUNCTION("IFERROR(Textjoin("""",TRUE,FILTER(Data!$R:$R,Data!$D:$D=H28,Data!$B:$B=$A28)),"""")"),"")</f>
        <v/>
      </c>
      <c r="U28" s="64" t="str">
        <f>IFERROR(__xludf.DUMMYFUNCTION("IFERROR(Textjoin("""",TRUE,FILTER(Data!$R:$R,Data!$D:$D=I28,Data!$B:$B=$A28)),"""")"),"")</f>
        <v/>
      </c>
      <c r="V28" s="64" t="str">
        <f>IFERROR(__xludf.DUMMYFUNCTION("IFERROR(Textjoin("""",TRUE,FILTER(Data!$R:$R,Data!$D:$D=J28,Data!$B:$B=$A28)),"""")"),"")</f>
        <v/>
      </c>
      <c r="W28" s="64" t="str">
        <f>IFERROR(__xludf.DUMMYFUNCTION("IFERROR(Textjoin("""",TRUE,FILTER(Data!$R:$R,Data!$D:$D=K28,Data!$B:$B=$A28)),"""")"),"")</f>
        <v/>
      </c>
      <c r="X28" s="64" t="str">
        <f>IFERROR(__xludf.DUMMYFUNCTION("IFERROR(Textjoin("""",TRUE,FILTER(Data!$R:$R,Data!$D:$D=L28,Data!$B:$B=$A28)),"""")"),"")</f>
        <v/>
      </c>
      <c r="Y28" s="64" t="str">
        <f>IFERROR(__xludf.DUMMYFUNCTION("IFERROR(Textjoin("""",TRUE,FILTER(Data!$R:$R,Data!$D:$D=M28,Data!$B:$B=$A28)),"""")"),"")</f>
        <v/>
      </c>
      <c r="Z28" s="64" t="str">
        <f>IFERROR(__xludf.DUMMYFUNCTION("IFERROR(SPLIT(N28,"",""),"""")"),"")</f>
        <v/>
      </c>
      <c r="AA28" s="65"/>
      <c r="AB28" s="65"/>
      <c r="AC28" s="69" t="str">
        <f>IFERROR(__xludf.DUMMYFUNCTION("IFERROR(SPLIT(O28,"",""),"""")"),"")</f>
        <v/>
      </c>
      <c r="AD28" s="65"/>
      <c r="AE28" s="65"/>
      <c r="AF28" s="69" t="str">
        <f>IFERROR(__xludf.DUMMYFUNCTION("IFERROR(SPLIT(P28,"",""),"""")"),"")</f>
        <v/>
      </c>
      <c r="AG28" s="65"/>
      <c r="AH28" s="65"/>
      <c r="AI28" s="69" t="str">
        <f>IFERROR(__xludf.DUMMYFUNCTION("IFERROR(SPLIT(Q28,"",""),"""")"),"")</f>
        <v/>
      </c>
      <c r="AJ28" s="65"/>
      <c r="AK28" s="65"/>
      <c r="AL28" s="69" t="str">
        <f>IFERROR(__xludf.DUMMYFUNCTION("IFERROR(SPLIT(R28,"",""),"""")"),"")</f>
        <v/>
      </c>
      <c r="AM28" s="65"/>
      <c r="AN28" s="65"/>
      <c r="AO28" s="69" t="str">
        <f>IFERROR(__xludf.DUMMYFUNCTION("IFERROR(SPLIT(S28,"",""),"""")"),"")</f>
        <v/>
      </c>
      <c r="AP28" s="65"/>
      <c r="AQ28" s="65"/>
      <c r="AR28" s="69" t="str">
        <f>IFERROR(__xludf.DUMMYFUNCTION("IFERROR(SPLIT(T28,"",""),"""")"),"")</f>
        <v/>
      </c>
      <c r="AS28" s="65"/>
      <c r="AT28" s="65"/>
      <c r="AU28" s="69" t="str">
        <f>IFERROR(__xludf.DUMMYFUNCTION("IFERROR(SPLIT(U28,"",""),"""")"),"")</f>
        <v/>
      </c>
      <c r="AV28" s="65"/>
      <c r="AW28" s="65"/>
      <c r="AX28" s="69" t="str">
        <f>IFERROR(__xludf.DUMMYFUNCTION("IFERROR(SPLIT(V28,"",""),"""")"),"")</f>
        <v/>
      </c>
      <c r="AY28" s="65"/>
      <c r="AZ28" s="65"/>
      <c r="BA28" s="69" t="str">
        <f>IFERROR(__xludf.DUMMYFUNCTION("IFERROR(SPLIT(W28,"",""),"""")"),"")</f>
        <v/>
      </c>
      <c r="BB28" s="69"/>
      <c r="BC28" s="69"/>
      <c r="BD28" s="69" t="str">
        <f>IFERROR(__xludf.DUMMYFUNCTION("IFERROR(SPLIT(X28,"",""),"""")"),"")</f>
        <v/>
      </c>
      <c r="BE28" s="69"/>
      <c r="BF28" s="69"/>
      <c r="BG28" s="69" t="str">
        <f>IFERROR(__xludf.DUMMYFUNCTION("IFERROR(SPLIT(Y28,"",""),"""")"),"")</f>
        <v/>
      </c>
      <c r="BH28" s="69"/>
      <c r="BI28" s="69"/>
      <c r="BJ28" s="68" t="str">
        <f>IFERROR(__xludf.DUMMYFUNCTION("IF($B28&lt;&gt;"""",IFERROR(FILTER(RawTotals!$AJ:$AJ,RawTotals!$A:$A=Z28)-(FILTER(Data!$K:$K,Data!$B:$B=Z28,Data!$D:$D=$B28)+FILTER(Data!$L:$L,Data!$B:$B=Z28,Data!$D:$D=$B28)),""""),"""")"),"")</f>
        <v/>
      </c>
      <c r="BK28" s="68" t="str">
        <f>IFERROR(__xludf.DUMMYFUNCTION("IF($B28&lt;&gt;"""",IFERROR(FILTER(RawTotals!$AJ:$AJ,RawTotals!$A:$A=AA28)-(FILTER(Data!$K:$K,Data!$B:$B=AA28,Data!$D:$D=$B28)+FILTER(Data!$L:$L,Data!$B:$B=AA28,Data!$D:$D=$B28)),""""),"""")"),"")</f>
        <v/>
      </c>
      <c r="BL28" s="68" t="str">
        <f>IFERROR(__xludf.DUMMYFUNCTION("IF($B28&lt;&gt;"""",IFERROR(FILTER(RawTotals!$AJ:$AJ,RawTotals!$A:$A=AB28)-(FILTER(Data!$K:$K,Data!$B:$B=AB28,Data!$D:$D=$B28)+FILTER(Data!$L:$L,Data!$B:$B=AB28,Data!$D:$D=$B28)),""""),"""")"),"")</f>
        <v/>
      </c>
      <c r="BM28" s="69" t="str">
        <f>IFERROR(__xludf.DUMMYFUNCTION("IF($C28&lt;&gt;"""",IFERROR(FILTER(RawTotals!$AJ:$AJ,RawTotals!$A:$A=AC28)-(FILTER(Data!$K:$K,Data!$B:$B=AC28,Data!$D:$D=$C28)+FILTER(Data!$L:$L,Data!$B:$B=AC28,Data!$D:$D=$C28)),""""),"""")"),"")</f>
        <v/>
      </c>
      <c r="BN28" s="69" t="str">
        <f>IFERROR(__xludf.DUMMYFUNCTION("IF($C28&lt;&gt;"""",IFERROR(FILTER(RawTotals!$AJ:$AJ,RawTotals!$A:$A=AD28)-(FILTER(Data!$K:$K,Data!$B:$B=AD28,Data!$D:$D=$C28)+FILTER(Data!$L:$L,Data!$B:$B=AD28,Data!$D:$D=$C28)),""""),"""")"),"")</f>
        <v/>
      </c>
      <c r="BO28" s="69" t="str">
        <f>IFERROR(__xludf.DUMMYFUNCTION("IF($C28&lt;&gt;"""",IFERROR(FILTER(RawTotals!$AJ:$AJ,RawTotals!$A:$A=AE28)-(FILTER(Data!$K:$K,Data!$B:$B=AE28,Data!$D:$D=$C28)+FILTER(Data!$L:$L,Data!$B:$B=AE28,Data!$D:$D=$C28)),""""),"""")"),"")</f>
        <v/>
      </c>
      <c r="BP28" s="69" t="str">
        <f>IFERROR(__xludf.DUMMYFUNCTION("IF($D28&lt;&gt;"""",IFERROR(FILTER(RawTotals!$AJ:$AJ,RawTotals!$A:$A=AF28)-(FILTER(Data!$K:$K,Data!$B:$B=AF28,Data!$D:$D=$D28)+FILTER(Data!$L:$L,Data!$B:$B=AF28,Data!$D:$D=$D28)),""""),"""")"),"")</f>
        <v/>
      </c>
      <c r="BQ28" s="69" t="str">
        <f>IFERROR(__xludf.DUMMYFUNCTION("IF($D28&lt;&gt;"""",IFERROR(FILTER(RawTotals!$AJ:$AJ,RawTotals!$A:$A=AG28)-(FILTER(Data!$K:$K,Data!$B:$B=AG28,Data!$D:$D=$D28)+FILTER(Data!$L:$L,Data!$B:$B=AG28,Data!$D:$D=$D28)),""""),"""")"),"")</f>
        <v/>
      </c>
      <c r="BR28" s="69" t="str">
        <f>IFERROR(__xludf.DUMMYFUNCTION("IF($D28&lt;&gt;"""",IFERROR(FILTER(RawTotals!$AJ:$AJ,RawTotals!$A:$A=AH28)-(FILTER(Data!$K:$K,Data!$B:$B=AH28,Data!$D:$D=$D28)+FILTER(Data!$L:$L,Data!$B:$B=AH28,Data!$D:$D=$D28)),""""),"""")"),"")</f>
        <v/>
      </c>
      <c r="BS28" s="69" t="str">
        <f>IFERROR(__xludf.DUMMYFUNCTION("IF($E28&lt;&gt;"""",IFERROR(FILTER(RawTotals!$AJ:$AJ,RawTotals!$A:$A=AI28)-(FILTER(Data!$K:$K,Data!$B:$B=AI28,Data!$D:$D=$E28)+FILTER(Data!$L:$L,Data!$B:$B=AI28,Data!$D:$D=$E28)),""""),"""")"),"")</f>
        <v/>
      </c>
      <c r="BT28" s="69" t="str">
        <f>IFERROR(__xludf.DUMMYFUNCTION("IF($E28&lt;&gt;"""",IFERROR(FILTER(RawTotals!$AJ:$AJ,RawTotals!$A:$A=AJ28)-(FILTER(Data!$K:$K,Data!$B:$B=AJ28,Data!$D:$D=$E28)+FILTER(Data!$L:$L,Data!$B:$B=AJ28,Data!$D:$D=$E28)),""""),"""")"),"")</f>
        <v/>
      </c>
      <c r="BU28" s="69" t="str">
        <f>IFERROR(__xludf.DUMMYFUNCTION("IF($E28&lt;&gt;"""",IFERROR(FILTER(RawTotals!$AJ:$AJ,RawTotals!$A:$A=AK28)-(FILTER(Data!$K:$K,Data!$B:$B=AK28,Data!$D:$D=$E28)+FILTER(Data!$L:$L,Data!$B:$B=AK28,Data!$D:$D=$E28)),""""),"""")"),"")</f>
        <v/>
      </c>
      <c r="BV28" s="69" t="str">
        <f>IFERROR(__xludf.DUMMYFUNCTION("IF($F28&lt;&gt;"""",IFERROR(FILTER(RawTotals!$AJ:$AJ,RawTotals!$A:$A=AL28)-(FILTER(Data!$K:$K,Data!$B:$B=AL28,Data!$D:$D=$F28)+FILTER(Data!$L:$L,Data!$B:$B=AL28,Data!$D:$D=$F28)),""""),"""")"),"")</f>
        <v/>
      </c>
      <c r="BW28" s="69" t="str">
        <f>IFERROR(__xludf.DUMMYFUNCTION("IF($F28&lt;&gt;"""",IFERROR(FILTER(RawTotals!$AJ:$AJ,RawTotals!$A:$A=AM28)-(FILTER(Data!$K:$K,Data!$B:$B=AM28,Data!$D:$D=$F28)+FILTER(Data!$L:$L,Data!$B:$B=AM28,Data!$D:$D=$F28)),""""),"""")"),"")</f>
        <v/>
      </c>
      <c r="BX28" s="69" t="str">
        <f>IFERROR(__xludf.DUMMYFUNCTION("IF($F28&lt;&gt;"""",IFERROR(FILTER(RawTotals!$AJ:$AJ,RawTotals!$A:$A=AN28)-(FILTER(Data!$K:$K,Data!$B:$B=AN28,Data!$D:$D=$F28)+FILTER(Data!$L:$L,Data!$B:$B=AN28,Data!$D:$D=$F28)),""""),"""")"),"")</f>
        <v/>
      </c>
      <c r="BY28" s="69" t="str">
        <f>IFERROR(__xludf.DUMMYFUNCTION("IF($G28&lt;&gt;"""",IFERROR(FILTER(RawTotals!$AJ:$AJ,RawTotals!$A:$A=AO28)-(FILTER(Data!$K:$K,Data!$B:$B=AO28,Data!$D:$D=$G28)+FILTER(Data!$L:$L,Data!$B:$B=AO28,Data!$D:$D=$G28)),""""),"""")"),"")</f>
        <v/>
      </c>
      <c r="BZ28" s="69" t="str">
        <f>IFERROR(__xludf.DUMMYFUNCTION("IF($G28&lt;&gt;"""",IFERROR(FILTER(RawTotals!$AJ:$AJ,RawTotals!$A:$A=AP28)-(FILTER(Data!$K:$K,Data!$B:$B=AP28,Data!$D:$D=$G28)+FILTER(Data!$L:$L,Data!$B:$B=AP28,Data!$D:$D=$G28)),""""),"""")"),"")</f>
        <v/>
      </c>
      <c r="CA28" s="69" t="str">
        <f>IFERROR(__xludf.DUMMYFUNCTION("IF($G28&lt;&gt;"""",IFERROR(FILTER(RawTotals!$AJ:$AJ,RawTotals!$A:$A=AQ28)-(FILTER(Data!$K:$K,Data!$B:$B=AQ28,Data!$D:$D=$G28)+FILTER(Data!$L:$L,Data!$B:$B=AQ28,Data!$D:$D=$G28)),""""),"""")"),"")</f>
        <v/>
      </c>
      <c r="CB28" s="69" t="str">
        <f>IFERROR(__xludf.DUMMYFUNCTION("IF($H28&lt;&gt;"""",IFERROR(FILTER(RawTotals!$AJ:$AJ,RawTotals!$A:$A=AR28)-(FILTER(Data!$K:$K,Data!$B:$B=AR28,Data!$D:$D=$H28)+FILTER(Data!$L:$L,Data!$B:$B=AR28,Data!$D:$D=$H28)),""""),"""")"),"")</f>
        <v/>
      </c>
      <c r="CC28" s="69" t="str">
        <f>IFERROR(__xludf.DUMMYFUNCTION("IF($H28&lt;&gt;"""",IFERROR(FILTER(RawTotals!$AJ:$AJ,RawTotals!$A:$A=AS28)-(FILTER(Data!$K:$K,Data!$B:$B=AS28,Data!$D:$D=$H28)+FILTER(Data!$L:$L,Data!$B:$B=AS28,Data!$D:$D=$H28)),""""),"""")"),"")</f>
        <v/>
      </c>
      <c r="CD28" s="69" t="str">
        <f>IFERROR(__xludf.DUMMYFUNCTION("IF($H28&lt;&gt;"""",IFERROR(FILTER(RawTotals!$AJ:$AJ,RawTotals!$A:$A=AT28)-(FILTER(Data!$K:$K,Data!$B:$B=AT28,Data!$D:$D=$H28)+FILTER(Data!$L:$L,Data!$B:$B=AT28,Data!$D:$D=$H28)),""""),"""")"),"")</f>
        <v/>
      </c>
      <c r="CE28" s="69" t="str">
        <f>IFERROR(__xludf.DUMMYFUNCTION("IF($I28&lt;&gt;"""",IFERROR(FILTER(RawTotals!$AJ:$AJ,RawTotals!$A:$A=AU28)-(FILTER(Data!$K:$K,Data!$B:$B=AU28,Data!$D:$D=$I28)+FILTER(Data!$L:$L,Data!$B:$B=AU28,Data!$D:$D=$I28)),""""),"""")"),"")</f>
        <v/>
      </c>
      <c r="CF28" s="69" t="str">
        <f>IFERROR(__xludf.DUMMYFUNCTION("IF($I28&lt;&gt;"""",IFERROR(FILTER(RawTotals!$AJ:$AJ,RawTotals!$A:$A=AV28)-(FILTER(Data!$K:$K,Data!$B:$B=AV28,Data!$D:$D=$I28)+FILTER(Data!$L:$L,Data!$B:$B=AV28,Data!$D:$D=$I28)),""""),"""")"),"")</f>
        <v/>
      </c>
      <c r="CG28" s="69" t="str">
        <f>IFERROR(__xludf.DUMMYFUNCTION("IF($I28&lt;&gt;"""",IFERROR(FILTER(RawTotals!$AJ:$AJ,RawTotals!$A:$A=AW28)-(FILTER(Data!$K:$K,Data!$B:$B=AW28,Data!$D:$D=$I28)+FILTER(Data!$L:$L,Data!$B:$B=AW28,Data!$D:$D=$I28)),""""),"""")"),"")</f>
        <v/>
      </c>
      <c r="CH28" s="69" t="str">
        <f>IFERROR(__xludf.DUMMYFUNCTION("IF($J28&lt;&gt;"""",IFERROR(FILTER(RawTotals!$AJ:$AJ,RawTotals!$A:$A=AX28)-(FILTER(Data!$K:$K,Data!$B:$B=AX28,Data!$D:$D=$J28)+FILTER(Data!$L:$L,Data!$B:$B=AX28,Data!$D:$D=$J28)),""""),"""")"),"")</f>
        <v/>
      </c>
      <c r="CI28" s="69" t="str">
        <f>IFERROR(__xludf.DUMMYFUNCTION("IF($J28&lt;&gt;"""",IFERROR(FILTER(RawTotals!$AJ:$AJ,RawTotals!$A:$A=AY28)-(FILTER(Data!$K:$K,Data!$B:$B=AY28,Data!$D:$D=$J28)+FILTER(Data!$L:$L,Data!$B:$B=AY28,Data!$D:$D=$J28)),""""),"""")"),"")</f>
        <v/>
      </c>
      <c r="CJ28" s="69" t="str">
        <f>IFERROR(__xludf.DUMMYFUNCTION("IF($J28&lt;&gt;"""",IFERROR(FILTER(RawTotals!$AJ:$AJ,RawTotals!$A:$A=AZ28)-(FILTER(Data!$K:$K,Data!$B:$B=AZ28,Data!$D:$D=$J28)+FILTER(Data!$L:$L,Data!$B:$B=AZ28,Data!$D:$D=$J28)),""""),"""")"),"")</f>
        <v/>
      </c>
      <c r="CK28" s="69" t="str">
        <f>IFERROR(__xludf.DUMMYFUNCTION("IF($K28&lt;&gt;"""",IFERROR(FILTER(RawTotals!$AJ:$AJ,RawTotals!$A:$A=BA28)-(FILTER(Data!$K:$K,Data!$B:$B=BA28,Data!$D:$D=$K28)+FILTER(Data!$L:$L,Data!$B:$B=BA28,Data!$D:$D=$K28)),""""),"""")"),"")</f>
        <v/>
      </c>
      <c r="CL28" s="69" t="str">
        <f>IFERROR(__xludf.DUMMYFUNCTION("IF($K28&lt;&gt;"""",IFERROR(FILTER(RawTotals!$AJ:$AJ,RawTotals!$A:$A=BB28)-(FILTER(Data!$K:$K,Data!$B:$B=BB28,Data!$D:$D=$K28)+FILTER(Data!$L:$L,Data!$B:$B=BB28,Data!$D:$D=$K28)),""""),"""")"),"")</f>
        <v/>
      </c>
      <c r="CM28" s="69" t="str">
        <f>IFERROR(__xludf.DUMMYFUNCTION("IF($K28&lt;&gt;"""",IFERROR(FILTER(RawTotals!$AJ:$AJ,RawTotals!$A:$A=BC28)-(FILTER(Data!$K:$K,Data!$B:$B=BC28,Data!$D:$D=$K28)+FILTER(Data!$L:$L,Data!$B:$B=BC28,Data!$D:$D=$K28)),""""),"""")"),"")</f>
        <v/>
      </c>
      <c r="CN28" s="69" t="str">
        <f>IFERROR(__xludf.DUMMYFUNCTION("IF($L28&lt;&gt;"""",IFERROR((FILTER(RawTotals!$AJ:$AJ,RawTotals!$A:$A=BD28)-(FILTER(Data!$K:$K,Data!$B:$B=BD28,Data!$D:$D=$L28)+FILTER(Data!$L:$L,Data!$B:$B=BD28,Data!$D:$D=$L28))),""""),"""")"),"")</f>
        <v/>
      </c>
      <c r="CO28" s="69" t="str">
        <f>IFERROR(__xludf.DUMMYFUNCTION("IF($L28&lt;&gt;"""",IFERROR((FILTER(RawTotals!$AJ:$AJ,RawTotals!$A:$A=BE28)-(FILTER(Data!$K:$K,Data!$B:$B=BE28,Data!$D:$D=$L28)+FILTER(Data!$L:$L,Data!$B:$B=BE28,Data!$D:$D=$L28))),""""),"""")"),"")</f>
        <v/>
      </c>
      <c r="CP28" s="69" t="str">
        <f>IFERROR(__xludf.DUMMYFUNCTION("IF($L28&lt;&gt;"""",IFERROR((FILTER(RawTotals!$AJ:$AJ,RawTotals!$A:$A=BF28)-(FILTER(Data!$K:$K,Data!$B:$B=BF28,Data!$D:$D=$L28)+FILTER(Data!$L:$L,Data!$B:$B=BF28,Data!$D:$D=$L28))),""""),"""")"),"")</f>
        <v/>
      </c>
      <c r="CQ28" s="69" t="str">
        <f>IFERROR(__xludf.DUMMYFUNCTION("IF($M28&lt;&gt;"""",IFERROR((FILTER(RawTotals!$AJ:$AJ,RawTotals!$A:$A=BG28)-(FILTER(Data!$K:$K,Data!$B:$B=BG28,Data!$D:$D=$M28)+FILTER(Data!$L:$L,Data!$B:$B=BG28,Data!$D:$D=$M28))),""""),"""")"),"")</f>
        <v/>
      </c>
      <c r="CR28" s="69" t="str">
        <f>IFERROR(__xludf.DUMMYFUNCTION("IF($M28&lt;&gt;"""",IFERROR((FILTER(RawTotals!$AJ:$AJ,RawTotals!$A:$A=BH28)-(FILTER(Data!$K:$K,Data!$B:$B=BH28,Data!$D:$D=$M28)+FILTER(Data!$L:$L,Data!$B:$B=BH28,Data!$D:$D=$M28))),""""),"""")"),"")</f>
        <v/>
      </c>
      <c r="CS28" s="70" t="str">
        <f>IFERROR(__xludf.DUMMYFUNCTION("IF($M28&lt;&gt;"""",IFERROR((FILTER(RawTotals!$AJ:$AJ,RawTotals!$A:$A=BI28)-(FILTER(Data!$K:$K,Data!$B:$B=BI28,Data!$D:$D=$M28)+FILTER(Data!$L:$L,Data!$B:$B=BI28,Data!$D:$D=$M28))),""""),"""")"),"")</f>
        <v/>
      </c>
      <c r="CT28" s="69"/>
      <c r="CU28" s="69"/>
      <c r="CV28" s="69"/>
      <c r="CW28" s="69"/>
      <c r="CX28" s="69"/>
      <c r="CY28" s="69"/>
      <c r="CZ28" s="69"/>
      <c r="DA28" s="69"/>
      <c r="DB28" s="69"/>
      <c r="DC28" s="69"/>
      <c r="DD28" s="69"/>
      <c r="DE28" s="69"/>
    </row>
    <row r="29">
      <c r="A29" s="67">
        <f>RawTotals!A29</f>
        <v>829</v>
      </c>
      <c r="B29" s="68" t="str">
        <f>IFERROR(__xludf.DUMMYFUNCTION("IF(A29&lt;&gt;"""",IFERROR(TRANSPOSE(FILTER(Data!D:D,Data!B:B=A29,Data!R:R&lt;&gt;"""")),""No Defense""),"""")"),"No Defense")</f>
        <v>No Defense</v>
      </c>
      <c r="C29" s="65"/>
      <c r="D29" s="65"/>
      <c r="E29" s="65"/>
      <c r="F29" s="65"/>
      <c r="G29" s="65"/>
      <c r="H29" s="65"/>
      <c r="I29" s="65"/>
      <c r="J29" s="65"/>
      <c r="K29" s="65"/>
      <c r="L29" s="65"/>
      <c r="M29" s="65"/>
      <c r="N29" s="64" t="str">
        <f>IFERROR(__xludf.DUMMYFUNCTION("IFERROR(Textjoin("""",TRUE,FILTER(Data!$R:$R,Data!$D:$D=B29,Data!$B:$B=$A29)),"""")"),"")</f>
        <v/>
      </c>
      <c r="O29" s="64" t="str">
        <f>IFERROR(__xludf.DUMMYFUNCTION("IFERROR(Textjoin("""",TRUE,FILTER(Data!$R:$R,Data!$D:$D=C29,Data!$B:$B=$A29)),"""")"),"")</f>
        <v/>
      </c>
      <c r="P29" s="64" t="str">
        <f>IFERROR(__xludf.DUMMYFUNCTION("IFERROR(Textjoin("""",TRUE,FILTER(Data!$R:$R,Data!$D:$D=D29,Data!$B:$B=$A29)),"""")"),"")</f>
        <v/>
      </c>
      <c r="Q29" s="64" t="str">
        <f>IFERROR(__xludf.DUMMYFUNCTION("IFERROR(Textjoin("""",TRUE,FILTER(Data!$R:$R,Data!$D:$D=E29,Data!$B:$B=$A29)),"""")"),"")</f>
        <v/>
      </c>
      <c r="R29" s="64" t="str">
        <f>IFERROR(__xludf.DUMMYFUNCTION("IFERROR(Textjoin("""",TRUE,FILTER(Data!$R:$R,Data!$D:$D=F29,Data!$B:$B=$A29)),"""")"),"")</f>
        <v/>
      </c>
      <c r="S29" s="64" t="str">
        <f>IFERROR(__xludf.DUMMYFUNCTION("IFERROR(Textjoin("""",TRUE,FILTER(Data!$R:$R,Data!$D:$D=G29,Data!$B:$B=$A29)),"""")"),"")</f>
        <v/>
      </c>
      <c r="T29" s="64" t="str">
        <f>IFERROR(__xludf.DUMMYFUNCTION("IFERROR(Textjoin("""",TRUE,FILTER(Data!$R:$R,Data!$D:$D=H29,Data!$B:$B=$A29)),"""")"),"")</f>
        <v/>
      </c>
      <c r="U29" s="64" t="str">
        <f>IFERROR(__xludf.DUMMYFUNCTION("IFERROR(Textjoin("""",TRUE,FILTER(Data!$R:$R,Data!$D:$D=I29,Data!$B:$B=$A29)),"""")"),"")</f>
        <v/>
      </c>
      <c r="V29" s="64" t="str">
        <f>IFERROR(__xludf.DUMMYFUNCTION("IFERROR(Textjoin("""",TRUE,FILTER(Data!$R:$R,Data!$D:$D=J29,Data!$B:$B=$A29)),"""")"),"")</f>
        <v/>
      </c>
      <c r="W29" s="64" t="str">
        <f>IFERROR(__xludf.DUMMYFUNCTION("IFERROR(Textjoin("""",TRUE,FILTER(Data!$R:$R,Data!$D:$D=K29,Data!$B:$B=$A29)),"""")"),"")</f>
        <v/>
      </c>
      <c r="X29" s="64" t="str">
        <f>IFERROR(__xludf.DUMMYFUNCTION("IFERROR(Textjoin("""",TRUE,FILTER(Data!$R:$R,Data!$D:$D=L29,Data!$B:$B=$A29)),"""")"),"")</f>
        <v/>
      </c>
      <c r="Y29" s="64" t="str">
        <f>IFERROR(__xludf.DUMMYFUNCTION("IFERROR(Textjoin("""",TRUE,FILTER(Data!$R:$R,Data!$D:$D=M29,Data!$B:$B=$A29)),"""")"),"")</f>
        <v/>
      </c>
      <c r="Z29" s="64" t="str">
        <f>IFERROR(__xludf.DUMMYFUNCTION("IFERROR(SPLIT(N29,"",""),"""")"),"")</f>
        <v/>
      </c>
      <c r="AA29" s="65"/>
      <c r="AB29" s="65"/>
      <c r="AC29" s="69" t="str">
        <f>IFERROR(__xludf.DUMMYFUNCTION("IFERROR(SPLIT(O29,"",""),"""")"),"")</f>
        <v/>
      </c>
      <c r="AD29" s="65"/>
      <c r="AE29" s="65"/>
      <c r="AF29" s="69" t="str">
        <f>IFERROR(__xludf.DUMMYFUNCTION("IFERROR(SPLIT(P29,"",""),"""")"),"")</f>
        <v/>
      </c>
      <c r="AG29" s="65"/>
      <c r="AH29" s="65"/>
      <c r="AI29" s="69" t="str">
        <f>IFERROR(__xludf.DUMMYFUNCTION("IFERROR(SPLIT(Q29,"",""),"""")"),"")</f>
        <v/>
      </c>
      <c r="AJ29" s="65"/>
      <c r="AK29" s="65"/>
      <c r="AL29" s="69" t="str">
        <f>IFERROR(__xludf.DUMMYFUNCTION("IFERROR(SPLIT(R29,"",""),"""")"),"")</f>
        <v/>
      </c>
      <c r="AM29" s="65"/>
      <c r="AN29" s="65"/>
      <c r="AO29" s="69" t="str">
        <f>IFERROR(__xludf.DUMMYFUNCTION("IFERROR(SPLIT(S29,"",""),"""")"),"")</f>
        <v/>
      </c>
      <c r="AP29" s="65"/>
      <c r="AQ29" s="65"/>
      <c r="AR29" s="69" t="str">
        <f>IFERROR(__xludf.DUMMYFUNCTION("IFERROR(SPLIT(T29,"",""),"""")"),"")</f>
        <v/>
      </c>
      <c r="AS29" s="65"/>
      <c r="AT29" s="65"/>
      <c r="AU29" s="69" t="str">
        <f>IFERROR(__xludf.DUMMYFUNCTION("IFERROR(SPLIT(U29,"",""),"""")"),"")</f>
        <v/>
      </c>
      <c r="AV29" s="65"/>
      <c r="AW29" s="65"/>
      <c r="AX29" s="69" t="str">
        <f>IFERROR(__xludf.DUMMYFUNCTION("IFERROR(SPLIT(V29,"",""),"""")"),"")</f>
        <v/>
      </c>
      <c r="AY29" s="65"/>
      <c r="AZ29" s="65"/>
      <c r="BA29" s="69" t="str">
        <f>IFERROR(__xludf.DUMMYFUNCTION("IFERROR(SPLIT(W29,"",""),"""")"),"")</f>
        <v/>
      </c>
      <c r="BB29" s="69"/>
      <c r="BC29" s="69"/>
      <c r="BD29" s="69" t="str">
        <f>IFERROR(__xludf.DUMMYFUNCTION("IFERROR(SPLIT(X29,"",""),"""")"),"")</f>
        <v/>
      </c>
      <c r="BE29" s="69"/>
      <c r="BF29" s="69"/>
      <c r="BG29" s="69" t="str">
        <f>IFERROR(__xludf.DUMMYFUNCTION("IFERROR(SPLIT(Y29,"",""),"""")"),"")</f>
        <v/>
      </c>
      <c r="BH29" s="69"/>
      <c r="BI29" s="69"/>
      <c r="BJ29" s="68" t="str">
        <f>IFERROR(__xludf.DUMMYFUNCTION("IF($B29&lt;&gt;"""",IFERROR(FILTER(RawTotals!$AJ:$AJ,RawTotals!$A:$A=Z29)-(FILTER(Data!$K:$K,Data!$B:$B=Z29,Data!$D:$D=$B29)+FILTER(Data!$L:$L,Data!$B:$B=Z29,Data!$D:$D=$B29)),""""),"""")"),"")</f>
        <v/>
      </c>
      <c r="BK29" s="68" t="str">
        <f>IFERROR(__xludf.DUMMYFUNCTION("IF($B29&lt;&gt;"""",IFERROR(FILTER(RawTotals!$AJ:$AJ,RawTotals!$A:$A=AA29)-(FILTER(Data!$K:$K,Data!$B:$B=AA29,Data!$D:$D=$B29)+FILTER(Data!$L:$L,Data!$B:$B=AA29,Data!$D:$D=$B29)),""""),"""")"),"")</f>
        <v/>
      </c>
      <c r="BL29" s="68" t="str">
        <f>IFERROR(__xludf.DUMMYFUNCTION("IF($B29&lt;&gt;"""",IFERROR(FILTER(RawTotals!$AJ:$AJ,RawTotals!$A:$A=AB29)-(FILTER(Data!$K:$K,Data!$B:$B=AB29,Data!$D:$D=$B29)+FILTER(Data!$L:$L,Data!$B:$B=AB29,Data!$D:$D=$B29)),""""),"""")"),"")</f>
        <v/>
      </c>
      <c r="BM29" s="69" t="str">
        <f>IFERROR(__xludf.DUMMYFUNCTION("IF($C29&lt;&gt;"""",IFERROR(FILTER(RawTotals!$AJ:$AJ,RawTotals!$A:$A=AC29)-(FILTER(Data!$K:$K,Data!$B:$B=AC29,Data!$D:$D=$C29)+FILTER(Data!$L:$L,Data!$B:$B=AC29,Data!$D:$D=$C29)),""""),"""")"),"")</f>
        <v/>
      </c>
      <c r="BN29" s="69" t="str">
        <f>IFERROR(__xludf.DUMMYFUNCTION("IF($C29&lt;&gt;"""",IFERROR(FILTER(RawTotals!$AJ:$AJ,RawTotals!$A:$A=AD29)-(FILTER(Data!$K:$K,Data!$B:$B=AD29,Data!$D:$D=$C29)+FILTER(Data!$L:$L,Data!$B:$B=AD29,Data!$D:$D=$C29)),""""),"""")"),"")</f>
        <v/>
      </c>
      <c r="BO29" s="69" t="str">
        <f>IFERROR(__xludf.DUMMYFUNCTION("IF($C29&lt;&gt;"""",IFERROR(FILTER(RawTotals!$AJ:$AJ,RawTotals!$A:$A=AE29)-(FILTER(Data!$K:$K,Data!$B:$B=AE29,Data!$D:$D=$C29)+FILTER(Data!$L:$L,Data!$B:$B=AE29,Data!$D:$D=$C29)),""""),"""")"),"")</f>
        <v/>
      </c>
      <c r="BP29" s="69" t="str">
        <f>IFERROR(__xludf.DUMMYFUNCTION("IF($D29&lt;&gt;"""",IFERROR(FILTER(RawTotals!$AJ:$AJ,RawTotals!$A:$A=AF29)-(FILTER(Data!$K:$K,Data!$B:$B=AF29,Data!$D:$D=$D29)+FILTER(Data!$L:$L,Data!$B:$B=AF29,Data!$D:$D=$D29)),""""),"""")"),"")</f>
        <v/>
      </c>
      <c r="BQ29" s="69" t="str">
        <f>IFERROR(__xludf.DUMMYFUNCTION("IF($D29&lt;&gt;"""",IFERROR(FILTER(RawTotals!$AJ:$AJ,RawTotals!$A:$A=AG29)-(FILTER(Data!$K:$K,Data!$B:$B=AG29,Data!$D:$D=$D29)+FILTER(Data!$L:$L,Data!$B:$B=AG29,Data!$D:$D=$D29)),""""),"""")"),"")</f>
        <v/>
      </c>
      <c r="BR29" s="69" t="str">
        <f>IFERROR(__xludf.DUMMYFUNCTION("IF($D29&lt;&gt;"""",IFERROR(FILTER(RawTotals!$AJ:$AJ,RawTotals!$A:$A=AH29)-(FILTER(Data!$K:$K,Data!$B:$B=AH29,Data!$D:$D=$D29)+FILTER(Data!$L:$L,Data!$B:$B=AH29,Data!$D:$D=$D29)),""""),"""")"),"")</f>
        <v/>
      </c>
      <c r="BS29" s="69" t="str">
        <f>IFERROR(__xludf.DUMMYFUNCTION("IF($E29&lt;&gt;"""",IFERROR(FILTER(RawTotals!$AJ:$AJ,RawTotals!$A:$A=AI29)-(FILTER(Data!$K:$K,Data!$B:$B=AI29,Data!$D:$D=$E29)+FILTER(Data!$L:$L,Data!$B:$B=AI29,Data!$D:$D=$E29)),""""),"""")"),"")</f>
        <v/>
      </c>
      <c r="BT29" s="69" t="str">
        <f>IFERROR(__xludf.DUMMYFUNCTION("IF($E29&lt;&gt;"""",IFERROR(FILTER(RawTotals!$AJ:$AJ,RawTotals!$A:$A=AJ29)-(FILTER(Data!$K:$K,Data!$B:$B=AJ29,Data!$D:$D=$E29)+FILTER(Data!$L:$L,Data!$B:$B=AJ29,Data!$D:$D=$E29)),""""),"""")"),"")</f>
        <v/>
      </c>
      <c r="BU29" s="69" t="str">
        <f>IFERROR(__xludf.DUMMYFUNCTION("IF($E29&lt;&gt;"""",IFERROR(FILTER(RawTotals!$AJ:$AJ,RawTotals!$A:$A=AK29)-(FILTER(Data!$K:$K,Data!$B:$B=AK29,Data!$D:$D=$E29)+FILTER(Data!$L:$L,Data!$B:$B=AK29,Data!$D:$D=$E29)),""""),"""")"),"")</f>
        <v/>
      </c>
      <c r="BV29" s="69" t="str">
        <f>IFERROR(__xludf.DUMMYFUNCTION("IF($F29&lt;&gt;"""",IFERROR(FILTER(RawTotals!$AJ:$AJ,RawTotals!$A:$A=AL29)-(FILTER(Data!$K:$K,Data!$B:$B=AL29,Data!$D:$D=$F29)+FILTER(Data!$L:$L,Data!$B:$B=AL29,Data!$D:$D=$F29)),""""),"""")"),"")</f>
        <v/>
      </c>
      <c r="BW29" s="69" t="str">
        <f>IFERROR(__xludf.DUMMYFUNCTION("IF($F29&lt;&gt;"""",IFERROR(FILTER(RawTotals!$AJ:$AJ,RawTotals!$A:$A=AM29)-(FILTER(Data!$K:$K,Data!$B:$B=AM29,Data!$D:$D=$F29)+FILTER(Data!$L:$L,Data!$B:$B=AM29,Data!$D:$D=$F29)),""""),"""")"),"")</f>
        <v/>
      </c>
      <c r="BX29" s="69" t="str">
        <f>IFERROR(__xludf.DUMMYFUNCTION("IF($F29&lt;&gt;"""",IFERROR(FILTER(RawTotals!$AJ:$AJ,RawTotals!$A:$A=AN29)-(FILTER(Data!$K:$K,Data!$B:$B=AN29,Data!$D:$D=$F29)+FILTER(Data!$L:$L,Data!$B:$B=AN29,Data!$D:$D=$F29)),""""),"""")"),"")</f>
        <v/>
      </c>
      <c r="BY29" s="69" t="str">
        <f>IFERROR(__xludf.DUMMYFUNCTION("IF($G29&lt;&gt;"""",IFERROR(FILTER(RawTotals!$AJ:$AJ,RawTotals!$A:$A=AO29)-(FILTER(Data!$K:$K,Data!$B:$B=AO29,Data!$D:$D=$G29)+FILTER(Data!$L:$L,Data!$B:$B=AO29,Data!$D:$D=$G29)),""""),"""")"),"")</f>
        <v/>
      </c>
      <c r="BZ29" s="69" t="str">
        <f>IFERROR(__xludf.DUMMYFUNCTION("IF($G29&lt;&gt;"""",IFERROR(FILTER(RawTotals!$AJ:$AJ,RawTotals!$A:$A=AP29)-(FILTER(Data!$K:$K,Data!$B:$B=AP29,Data!$D:$D=$G29)+FILTER(Data!$L:$L,Data!$B:$B=AP29,Data!$D:$D=$G29)),""""),"""")"),"")</f>
        <v/>
      </c>
      <c r="CA29" s="69" t="str">
        <f>IFERROR(__xludf.DUMMYFUNCTION("IF($G29&lt;&gt;"""",IFERROR(FILTER(RawTotals!$AJ:$AJ,RawTotals!$A:$A=AQ29)-(FILTER(Data!$K:$K,Data!$B:$B=AQ29,Data!$D:$D=$G29)+FILTER(Data!$L:$L,Data!$B:$B=AQ29,Data!$D:$D=$G29)),""""),"""")"),"")</f>
        <v/>
      </c>
      <c r="CB29" s="69" t="str">
        <f>IFERROR(__xludf.DUMMYFUNCTION("IF($H29&lt;&gt;"""",IFERROR(FILTER(RawTotals!$AJ:$AJ,RawTotals!$A:$A=AR29)-(FILTER(Data!$K:$K,Data!$B:$B=AR29,Data!$D:$D=$H29)+FILTER(Data!$L:$L,Data!$B:$B=AR29,Data!$D:$D=$H29)),""""),"""")"),"")</f>
        <v/>
      </c>
      <c r="CC29" s="69" t="str">
        <f>IFERROR(__xludf.DUMMYFUNCTION("IF($H29&lt;&gt;"""",IFERROR(FILTER(RawTotals!$AJ:$AJ,RawTotals!$A:$A=AS29)-(FILTER(Data!$K:$K,Data!$B:$B=AS29,Data!$D:$D=$H29)+FILTER(Data!$L:$L,Data!$B:$B=AS29,Data!$D:$D=$H29)),""""),"""")"),"")</f>
        <v/>
      </c>
      <c r="CD29" s="69" t="str">
        <f>IFERROR(__xludf.DUMMYFUNCTION("IF($H29&lt;&gt;"""",IFERROR(FILTER(RawTotals!$AJ:$AJ,RawTotals!$A:$A=AT29)-(FILTER(Data!$K:$K,Data!$B:$B=AT29,Data!$D:$D=$H29)+FILTER(Data!$L:$L,Data!$B:$B=AT29,Data!$D:$D=$H29)),""""),"""")"),"")</f>
        <v/>
      </c>
      <c r="CE29" s="69" t="str">
        <f>IFERROR(__xludf.DUMMYFUNCTION("IF($I29&lt;&gt;"""",IFERROR(FILTER(RawTotals!$AJ:$AJ,RawTotals!$A:$A=AU29)-(FILTER(Data!$K:$K,Data!$B:$B=AU29,Data!$D:$D=$I29)+FILTER(Data!$L:$L,Data!$B:$B=AU29,Data!$D:$D=$I29)),""""),"""")"),"")</f>
        <v/>
      </c>
      <c r="CF29" s="69" t="str">
        <f>IFERROR(__xludf.DUMMYFUNCTION("IF($I29&lt;&gt;"""",IFERROR(FILTER(RawTotals!$AJ:$AJ,RawTotals!$A:$A=AV29)-(FILTER(Data!$K:$K,Data!$B:$B=AV29,Data!$D:$D=$I29)+FILTER(Data!$L:$L,Data!$B:$B=AV29,Data!$D:$D=$I29)),""""),"""")"),"")</f>
        <v/>
      </c>
      <c r="CG29" s="69" t="str">
        <f>IFERROR(__xludf.DUMMYFUNCTION("IF($I29&lt;&gt;"""",IFERROR(FILTER(RawTotals!$AJ:$AJ,RawTotals!$A:$A=AW29)-(FILTER(Data!$K:$K,Data!$B:$B=AW29,Data!$D:$D=$I29)+FILTER(Data!$L:$L,Data!$B:$B=AW29,Data!$D:$D=$I29)),""""),"""")"),"")</f>
        <v/>
      </c>
      <c r="CH29" s="69" t="str">
        <f>IFERROR(__xludf.DUMMYFUNCTION("IF($J29&lt;&gt;"""",IFERROR(FILTER(RawTotals!$AJ:$AJ,RawTotals!$A:$A=AX29)-(FILTER(Data!$K:$K,Data!$B:$B=AX29,Data!$D:$D=$J29)+FILTER(Data!$L:$L,Data!$B:$B=AX29,Data!$D:$D=$J29)),""""),"""")"),"")</f>
        <v/>
      </c>
      <c r="CI29" s="69" t="str">
        <f>IFERROR(__xludf.DUMMYFUNCTION("IF($J29&lt;&gt;"""",IFERROR(FILTER(RawTotals!$AJ:$AJ,RawTotals!$A:$A=AY29)-(FILTER(Data!$K:$K,Data!$B:$B=AY29,Data!$D:$D=$J29)+FILTER(Data!$L:$L,Data!$B:$B=AY29,Data!$D:$D=$J29)),""""),"""")"),"")</f>
        <v/>
      </c>
      <c r="CJ29" s="69" t="str">
        <f>IFERROR(__xludf.DUMMYFUNCTION("IF($J29&lt;&gt;"""",IFERROR(FILTER(RawTotals!$AJ:$AJ,RawTotals!$A:$A=AZ29)-(FILTER(Data!$K:$K,Data!$B:$B=AZ29,Data!$D:$D=$J29)+FILTER(Data!$L:$L,Data!$B:$B=AZ29,Data!$D:$D=$J29)),""""),"""")"),"")</f>
        <v/>
      </c>
      <c r="CK29" s="69" t="str">
        <f>IFERROR(__xludf.DUMMYFUNCTION("IF($K29&lt;&gt;"""",IFERROR(FILTER(RawTotals!$AJ:$AJ,RawTotals!$A:$A=BA29)-(FILTER(Data!$K:$K,Data!$B:$B=BA29,Data!$D:$D=$K29)+FILTER(Data!$L:$L,Data!$B:$B=BA29,Data!$D:$D=$K29)),""""),"""")"),"")</f>
        <v/>
      </c>
      <c r="CL29" s="69" t="str">
        <f>IFERROR(__xludf.DUMMYFUNCTION("IF($K29&lt;&gt;"""",IFERROR(FILTER(RawTotals!$AJ:$AJ,RawTotals!$A:$A=BB29)-(FILTER(Data!$K:$K,Data!$B:$B=BB29,Data!$D:$D=$K29)+FILTER(Data!$L:$L,Data!$B:$B=BB29,Data!$D:$D=$K29)),""""),"""")"),"")</f>
        <v/>
      </c>
      <c r="CM29" s="69" t="str">
        <f>IFERROR(__xludf.DUMMYFUNCTION("IF($K29&lt;&gt;"""",IFERROR(FILTER(RawTotals!$AJ:$AJ,RawTotals!$A:$A=BC29)-(FILTER(Data!$K:$K,Data!$B:$B=BC29,Data!$D:$D=$K29)+FILTER(Data!$L:$L,Data!$B:$B=BC29,Data!$D:$D=$K29)),""""),"""")"),"")</f>
        <v/>
      </c>
      <c r="CN29" s="69" t="str">
        <f>IFERROR(__xludf.DUMMYFUNCTION("IF($L29&lt;&gt;"""",IFERROR((FILTER(RawTotals!$AJ:$AJ,RawTotals!$A:$A=BD29)-(FILTER(Data!$K:$K,Data!$B:$B=BD29,Data!$D:$D=$L29)+FILTER(Data!$L:$L,Data!$B:$B=BD29,Data!$D:$D=$L29))),""""),"""")"),"")</f>
        <v/>
      </c>
      <c r="CO29" s="69" t="str">
        <f>IFERROR(__xludf.DUMMYFUNCTION("IF($L29&lt;&gt;"""",IFERROR((FILTER(RawTotals!$AJ:$AJ,RawTotals!$A:$A=BE29)-(FILTER(Data!$K:$K,Data!$B:$B=BE29,Data!$D:$D=$L29)+FILTER(Data!$L:$L,Data!$B:$B=BE29,Data!$D:$D=$L29))),""""),"""")"),"")</f>
        <v/>
      </c>
      <c r="CP29" s="69" t="str">
        <f>IFERROR(__xludf.DUMMYFUNCTION("IF($L29&lt;&gt;"""",IFERROR((FILTER(RawTotals!$AJ:$AJ,RawTotals!$A:$A=BF29)-(FILTER(Data!$K:$K,Data!$B:$B=BF29,Data!$D:$D=$L29)+FILTER(Data!$L:$L,Data!$B:$B=BF29,Data!$D:$D=$L29))),""""),"""")"),"")</f>
        <v/>
      </c>
      <c r="CQ29" s="69" t="str">
        <f>IFERROR(__xludf.DUMMYFUNCTION("IF($M29&lt;&gt;"""",IFERROR((FILTER(RawTotals!$AJ:$AJ,RawTotals!$A:$A=BG29)-(FILTER(Data!$K:$K,Data!$B:$B=BG29,Data!$D:$D=$M29)+FILTER(Data!$L:$L,Data!$B:$B=BG29,Data!$D:$D=$M29))),""""),"""")"),"")</f>
        <v/>
      </c>
      <c r="CR29" s="69" t="str">
        <f>IFERROR(__xludf.DUMMYFUNCTION("IF($M29&lt;&gt;"""",IFERROR((FILTER(RawTotals!$AJ:$AJ,RawTotals!$A:$A=BH29)-(FILTER(Data!$K:$K,Data!$B:$B=BH29,Data!$D:$D=$M29)+FILTER(Data!$L:$L,Data!$B:$B=BH29,Data!$D:$D=$M29))),""""),"""")"),"")</f>
        <v/>
      </c>
      <c r="CS29" s="70" t="str">
        <f>IFERROR(__xludf.DUMMYFUNCTION("IF($M29&lt;&gt;"""",IFERROR((FILTER(RawTotals!$AJ:$AJ,RawTotals!$A:$A=BI29)-(FILTER(Data!$K:$K,Data!$B:$B=BI29,Data!$D:$D=$M29)+FILTER(Data!$L:$L,Data!$B:$B=BI29,Data!$D:$D=$M29))),""""),"""")"),"")</f>
        <v/>
      </c>
      <c r="CT29" s="69"/>
      <c r="CU29" s="69"/>
      <c r="CV29" s="69"/>
      <c r="CW29" s="69"/>
      <c r="CX29" s="69"/>
      <c r="CY29" s="69"/>
      <c r="CZ29" s="69"/>
      <c r="DA29" s="69"/>
      <c r="DB29" s="69"/>
      <c r="DC29" s="69"/>
      <c r="DD29" s="69"/>
      <c r="DE29" s="69"/>
    </row>
    <row r="30">
      <c r="A30" s="67">
        <f>RawTotals!A30</f>
        <v>7457</v>
      </c>
      <c r="B30" s="68" t="str">
        <f>IFERROR(__xludf.DUMMYFUNCTION("IF(A30&lt;&gt;"""",IFERROR(TRANSPOSE(FILTER(Data!D:D,Data!B:B=A30,Data!R:R&lt;&gt;"""")),""No Defense""),"""")"),"No Defense")</f>
        <v>No Defense</v>
      </c>
      <c r="C30" s="65"/>
      <c r="D30" s="65"/>
      <c r="E30" s="65"/>
      <c r="F30" s="65"/>
      <c r="G30" s="65"/>
      <c r="H30" s="65"/>
      <c r="I30" s="65"/>
      <c r="J30" s="65"/>
      <c r="K30" s="65"/>
      <c r="L30" s="65"/>
      <c r="M30" s="65"/>
      <c r="N30" s="64" t="str">
        <f>IFERROR(__xludf.DUMMYFUNCTION("IFERROR(Textjoin("""",TRUE,FILTER(Data!$R:$R,Data!$D:$D=B30,Data!$B:$B=$A30)),"""")"),"")</f>
        <v/>
      </c>
      <c r="O30" s="64" t="str">
        <f>IFERROR(__xludf.DUMMYFUNCTION("IFERROR(Textjoin("""",TRUE,FILTER(Data!$R:$R,Data!$D:$D=C30,Data!$B:$B=$A30)),"""")"),"")</f>
        <v/>
      </c>
      <c r="P30" s="64" t="str">
        <f>IFERROR(__xludf.DUMMYFUNCTION("IFERROR(Textjoin("""",TRUE,FILTER(Data!$R:$R,Data!$D:$D=D30,Data!$B:$B=$A30)),"""")"),"")</f>
        <v/>
      </c>
      <c r="Q30" s="64" t="str">
        <f>IFERROR(__xludf.DUMMYFUNCTION("IFERROR(Textjoin("""",TRUE,FILTER(Data!$R:$R,Data!$D:$D=E30,Data!$B:$B=$A30)),"""")"),"")</f>
        <v/>
      </c>
      <c r="R30" s="64" t="str">
        <f>IFERROR(__xludf.DUMMYFUNCTION("IFERROR(Textjoin("""",TRUE,FILTER(Data!$R:$R,Data!$D:$D=F30,Data!$B:$B=$A30)),"""")"),"")</f>
        <v/>
      </c>
      <c r="S30" s="64" t="str">
        <f>IFERROR(__xludf.DUMMYFUNCTION("IFERROR(Textjoin("""",TRUE,FILTER(Data!$R:$R,Data!$D:$D=G30,Data!$B:$B=$A30)),"""")"),"")</f>
        <v/>
      </c>
      <c r="T30" s="64" t="str">
        <f>IFERROR(__xludf.DUMMYFUNCTION("IFERROR(Textjoin("""",TRUE,FILTER(Data!$R:$R,Data!$D:$D=H30,Data!$B:$B=$A30)),"""")"),"")</f>
        <v/>
      </c>
      <c r="U30" s="64" t="str">
        <f>IFERROR(__xludf.DUMMYFUNCTION("IFERROR(Textjoin("""",TRUE,FILTER(Data!$R:$R,Data!$D:$D=I30,Data!$B:$B=$A30)),"""")"),"")</f>
        <v/>
      </c>
      <c r="V30" s="64" t="str">
        <f>IFERROR(__xludf.DUMMYFUNCTION("IFERROR(Textjoin("""",TRUE,FILTER(Data!$R:$R,Data!$D:$D=J30,Data!$B:$B=$A30)),"""")"),"")</f>
        <v/>
      </c>
      <c r="W30" s="64" t="str">
        <f>IFERROR(__xludf.DUMMYFUNCTION("IFERROR(Textjoin("""",TRUE,FILTER(Data!$R:$R,Data!$D:$D=K30,Data!$B:$B=$A30)),"""")"),"")</f>
        <v/>
      </c>
      <c r="X30" s="64" t="str">
        <f>IFERROR(__xludf.DUMMYFUNCTION("IFERROR(Textjoin("""",TRUE,FILTER(Data!$R:$R,Data!$D:$D=L30,Data!$B:$B=$A30)),"""")"),"")</f>
        <v/>
      </c>
      <c r="Y30" s="64" t="str">
        <f>IFERROR(__xludf.DUMMYFUNCTION("IFERROR(Textjoin("""",TRUE,FILTER(Data!$R:$R,Data!$D:$D=M30,Data!$B:$B=$A30)),"""")"),"")</f>
        <v/>
      </c>
      <c r="Z30" s="64" t="str">
        <f>IFERROR(__xludf.DUMMYFUNCTION("IFERROR(SPLIT(N30,"",""),"""")"),"")</f>
        <v/>
      </c>
      <c r="AA30" s="65"/>
      <c r="AB30" s="65"/>
      <c r="AC30" s="69" t="str">
        <f>IFERROR(__xludf.DUMMYFUNCTION("IFERROR(SPLIT(O30,"",""),"""")"),"")</f>
        <v/>
      </c>
      <c r="AD30" s="65"/>
      <c r="AE30" s="65"/>
      <c r="AF30" s="69" t="str">
        <f>IFERROR(__xludf.DUMMYFUNCTION("IFERROR(SPLIT(P30,"",""),"""")"),"")</f>
        <v/>
      </c>
      <c r="AG30" s="65"/>
      <c r="AH30" s="65"/>
      <c r="AI30" s="69" t="str">
        <f>IFERROR(__xludf.DUMMYFUNCTION("IFERROR(SPLIT(Q30,"",""),"""")"),"")</f>
        <v/>
      </c>
      <c r="AJ30" s="65"/>
      <c r="AK30" s="65"/>
      <c r="AL30" s="69" t="str">
        <f>IFERROR(__xludf.DUMMYFUNCTION("IFERROR(SPLIT(R30,"",""),"""")"),"")</f>
        <v/>
      </c>
      <c r="AM30" s="65"/>
      <c r="AN30" s="65"/>
      <c r="AO30" s="69" t="str">
        <f>IFERROR(__xludf.DUMMYFUNCTION("IFERROR(SPLIT(S30,"",""),"""")"),"")</f>
        <v/>
      </c>
      <c r="AP30" s="65"/>
      <c r="AQ30" s="65"/>
      <c r="AR30" s="69" t="str">
        <f>IFERROR(__xludf.DUMMYFUNCTION("IFERROR(SPLIT(T30,"",""),"""")"),"")</f>
        <v/>
      </c>
      <c r="AS30" s="65"/>
      <c r="AT30" s="65"/>
      <c r="AU30" s="69" t="str">
        <f>IFERROR(__xludf.DUMMYFUNCTION("IFERROR(SPLIT(U30,"",""),"""")"),"")</f>
        <v/>
      </c>
      <c r="AV30" s="65"/>
      <c r="AW30" s="65"/>
      <c r="AX30" s="69" t="str">
        <f>IFERROR(__xludf.DUMMYFUNCTION("IFERROR(SPLIT(V30,"",""),"""")"),"")</f>
        <v/>
      </c>
      <c r="AY30" s="65"/>
      <c r="AZ30" s="65"/>
      <c r="BA30" s="69" t="str">
        <f>IFERROR(__xludf.DUMMYFUNCTION("IFERROR(SPLIT(W30,"",""),"""")"),"")</f>
        <v/>
      </c>
      <c r="BB30" s="69"/>
      <c r="BC30" s="69"/>
      <c r="BD30" s="69" t="str">
        <f>IFERROR(__xludf.DUMMYFUNCTION("IFERROR(SPLIT(X30,"",""),"""")"),"")</f>
        <v/>
      </c>
      <c r="BE30" s="69"/>
      <c r="BF30" s="69"/>
      <c r="BG30" s="69" t="str">
        <f>IFERROR(__xludf.DUMMYFUNCTION("IFERROR(SPLIT(Y30,"",""),"""")"),"")</f>
        <v/>
      </c>
      <c r="BH30" s="69"/>
      <c r="BI30" s="69"/>
      <c r="BJ30" s="68" t="str">
        <f>IFERROR(__xludf.DUMMYFUNCTION("IF($B30&lt;&gt;"""",IFERROR(FILTER(RawTotals!$AJ:$AJ,RawTotals!$A:$A=Z30)-(FILTER(Data!$K:$K,Data!$B:$B=Z30,Data!$D:$D=$B30)+FILTER(Data!$L:$L,Data!$B:$B=Z30,Data!$D:$D=$B30)),""""),"""")"),"")</f>
        <v/>
      </c>
      <c r="BK30" s="68" t="str">
        <f>IFERROR(__xludf.DUMMYFUNCTION("IF($B30&lt;&gt;"""",IFERROR(FILTER(RawTotals!$AJ:$AJ,RawTotals!$A:$A=AA30)-(FILTER(Data!$K:$K,Data!$B:$B=AA30,Data!$D:$D=$B30)+FILTER(Data!$L:$L,Data!$B:$B=AA30,Data!$D:$D=$B30)),""""),"""")"),"")</f>
        <v/>
      </c>
      <c r="BL30" s="68" t="str">
        <f>IFERROR(__xludf.DUMMYFUNCTION("IF($B30&lt;&gt;"""",IFERROR(FILTER(RawTotals!$AJ:$AJ,RawTotals!$A:$A=AB30)-(FILTER(Data!$K:$K,Data!$B:$B=AB30,Data!$D:$D=$B30)+FILTER(Data!$L:$L,Data!$B:$B=AB30,Data!$D:$D=$B30)),""""),"""")"),"")</f>
        <v/>
      </c>
      <c r="BM30" s="69" t="str">
        <f>IFERROR(__xludf.DUMMYFUNCTION("IF($C30&lt;&gt;"""",IFERROR(FILTER(RawTotals!$AJ:$AJ,RawTotals!$A:$A=AC30)-(FILTER(Data!$K:$K,Data!$B:$B=AC30,Data!$D:$D=$C30)+FILTER(Data!$L:$L,Data!$B:$B=AC30,Data!$D:$D=$C30)),""""),"""")"),"")</f>
        <v/>
      </c>
      <c r="BN30" s="69" t="str">
        <f>IFERROR(__xludf.DUMMYFUNCTION("IF($C30&lt;&gt;"""",IFERROR(FILTER(RawTotals!$AJ:$AJ,RawTotals!$A:$A=AD30)-(FILTER(Data!$K:$K,Data!$B:$B=AD30,Data!$D:$D=$C30)+FILTER(Data!$L:$L,Data!$B:$B=AD30,Data!$D:$D=$C30)),""""),"""")"),"")</f>
        <v/>
      </c>
      <c r="BO30" s="69" t="str">
        <f>IFERROR(__xludf.DUMMYFUNCTION("IF($C30&lt;&gt;"""",IFERROR(FILTER(RawTotals!$AJ:$AJ,RawTotals!$A:$A=AE30)-(FILTER(Data!$K:$K,Data!$B:$B=AE30,Data!$D:$D=$C30)+FILTER(Data!$L:$L,Data!$B:$B=AE30,Data!$D:$D=$C30)),""""),"""")"),"")</f>
        <v/>
      </c>
      <c r="BP30" s="69" t="str">
        <f>IFERROR(__xludf.DUMMYFUNCTION("IF($D30&lt;&gt;"""",IFERROR(FILTER(RawTotals!$AJ:$AJ,RawTotals!$A:$A=AF30)-(FILTER(Data!$K:$K,Data!$B:$B=AF30,Data!$D:$D=$D30)+FILTER(Data!$L:$L,Data!$B:$B=AF30,Data!$D:$D=$D30)),""""),"""")"),"")</f>
        <v/>
      </c>
      <c r="BQ30" s="69" t="str">
        <f>IFERROR(__xludf.DUMMYFUNCTION("IF($D30&lt;&gt;"""",IFERROR(FILTER(RawTotals!$AJ:$AJ,RawTotals!$A:$A=AG30)-(FILTER(Data!$K:$K,Data!$B:$B=AG30,Data!$D:$D=$D30)+FILTER(Data!$L:$L,Data!$B:$B=AG30,Data!$D:$D=$D30)),""""),"""")"),"")</f>
        <v/>
      </c>
      <c r="BR30" s="69" t="str">
        <f>IFERROR(__xludf.DUMMYFUNCTION("IF($D30&lt;&gt;"""",IFERROR(FILTER(RawTotals!$AJ:$AJ,RawTotals!$A:$A=AH30)-(FILTER(Data!$K:$K,Data!$B:$B=AH30,Data!$D:$D=$D30)+FILTER(Data!$L:$L,Data!$B:$B=AH30,Data!$D:$D=$D30)),""""),"""")"),"")</f>
        <v/>
      </c>
      <c r="BS30" s="69" t="str">
        <f>IFERROR(__xludf.DUMMYFUNCTION("IF($E30&lt;&gt;"""",IFERROR(FILTER(RawTotals!$AJ:$AJ,RawTotals!$A:$A=AI30)-(FILTER(Data!$K:$K,Data!$B:$B=AI30,Data!$D:$D=$E30)+FILTER(Data!$L:$L,Data!$B:$B=AI30,Data!$D:$D=$E30)),""""),"""")"),"")</f>
        <v/>
      </c>
      <c r="BT30" s="69" t="str">
        <f>IFERROR(__xludf.DUMMYFUNCTION("IF($E30&lt;&gt;"""",IFERROR(FILTER(RawTotals!$AJ:$AJ,RawTotals!$A:$A=AJ30)-(FILTER(Data!$K:$K,Data!$B:$B=AJ30,Data!$D:$D=$E30)+FILTER(Data!$L:$L,Data!$B:$B=AJ30,Data!$D:$D=$E30)),""""),"""")"),"")</f>
        <v/>
      </c>
      <c r="BU30" s="69" t="str">
        <f>IFERROR(__xludf.DUMMYFUNCTION("IF($E30&lt;&gt;"""",IFERROR(FILTER(RawTotals!$AJ:$AJ,RawTotals!$A:$A=AK30)-(FILTER(Data!$K:$K,Data!$B:$B=AK30,Data!$D:$D=$E30)+FILTER(Data!$L:$L,Data!$B:$B=AK30,Data!$D:$D=$E30)),""""),"""")"),"")</f>
        <v/>
      </c>
      <c r="BV30" s="69" t="str">
        <f>IFERROR(__xludf.DUMMYFUNCTION("IF($F30&lt;&gt;"""",IFERROR(FILTER(RawTotals!$AJ:$AJ,RawTotals!$A:$A=AL30)-(FILTER(Data!$K:$K,Data!$B:$B=AL30,Data!$D:$D=$F30)+FILTER(Data!$L:$L,Data!$B:$B=AL30,Data!$D:$D=$F30)),""""),"""")"),"")</f>
        <v/>
      </c>
      <c r="BW30" s="69" t="str">
        <f>IFERROR(__xludf.DUMMYFUNCTION("IF($F30&lt;&gt;"""",IFERROR(FILTER(RawTotals!$AJ:$AJ,RawTotals!$A:$A=AM30)-(FILTER(Data!$K:$K,Data!$B:$B=AM30,Data!$D:$D=$F30)+FILTER(Data!$L:$L,Data!$B:$B=AM30,Data!$D:$D=$F30)),""""),"""")"),"")</f>
        <v/>
      </c>
      <c r="BX30" s="69" t="str">
        <f>IFERROR(__xludf.DUMMYFUNCTION("IF($F30&lt;&gt;"""",IFERROR(FILTER(RawTotals!$AJ:$AJ,RawTotals!$A:$A=AN30)-(FILTER(Data!$K:$K,Data!$B:$B=AN30,Data!$D:$D=$F30)+FILTER(Data!$L:$L,Data!$B:$B=AN30,Data!$D:$D=$F30)),""""),"""")"),"")</f>
        <v/>
      </c>
      <c r="BY30" s="69" t="str">
        <f>IFERROR(__xludf.DUMMYFUNCTION("IF($G30&lt;&gt;"""",IFERROR(FILTER(RawTotals!$AJ:$AJ,RawTotals!$A:$A=AO30)-(FILTER(Data!$K:$K,Data!$B:$B=AO30,Data!$D:$D=$G30)+FILTER(Data!$L:$L,Data!$B:$B=AO30,Data!$D:$D=$G30)),""""),"""")"),"")</f>
        <v/>
      </c>
      <c r="BZ30" s="69" t="str">
        <f>IFERROR(__xludf.DUMMYFUNCTION("IF($G30&lt;&gt;"""",IFERROR(FILTER(RawTotals!$AJ:$AJ,RawTotals!$A:$A=AP30)-(FILTER(Data!$K:$K,Data!$B:$B=AP30,Data!$D:$D=$G30)+FILTER(Data!$L:$L,Data!$B:$B=AP30,Data!$D:$D=$G30)),""""),"""")"),"")</f>
        <v/>
      </c>
      <c r="CA30" s="69" t="str">
        <f>IFERROR(__xludf.DUMMYFUNCTION("IF($G30&lt;&gt;"""",IFERROR(FILTER(RawTotals!$AJ:$AJ,RawTotals!$A:$A=AQ30)-(FILTER(Data!$K:$K,Data!$B:$B=AQ30,Data!$D:$D=$G30)+FILTER(Data!$L:$L,Data!$B:$B=AQ30,Data!$D:$D=$G30)),""""),"""")"),"")</f>
        <v/>
      </c>
      <c r="CB30" s="69" t="str">
        <f>IFERROR(__xludf.DUMMYFUNCTION("IF($H30&lt;&gt;"""",IFERROR(FILTER(RawTotals!$AJ:$AJ,RawTotals!$A:$A=AR30)-(FILTER(Data!$K:$K,Data!$B:$B=AR30,Data!$D:$D=$H30)+FILTER(Data!$L:$L,Data!$B:$B=AR30,Data!$D:$D=$H30)),""""),"""")"),"")</f>
        <v/>
      </c>
      <c r="CC30" s="69" t="str">
        <f>IFERROR(__xludf.DUMMYFUNCTION("IF($H30&lt;&gt;"""",IFERROR(FILTER(RawTotals!$AJ:$AJ,RawTotals!$A:$A=AS30)-(FILTER(Data!$K:$K,Data!$B:$B=AS30,Data!$D:$D=$H30)+FILTER(Data!$L:$L,Data!$B:$B=AS30,Data!$D:$D=$H30)),""""),"""")"),"")</f>
        <v/>
      </c>
      <c r="CD30" s="69" t="str">
        <f>IFERROR(__xludf.DUMMYFUNCTION("IF($H30&lt;&gt;"""",IFERROR(FILTER(RawTotals!$AJ:$AJ,RawTotals!$A:$A=AT30)-(FILTER(Data!$K:$K,Data!$B:$B=AT30,Data!$D:$D=$H30)+FILTER(Data!$L:$L,Data!$B:$B=AT30,Data!$D:$D=$H30)),""""),"""")"),"")</f>
        <v/>
      </c>
      <c r="CE30" s="69" t="str">
        <f>IFERROR(__xludf.DUMMYFUNCTION("IF($I30&lt;&gt;"""",IFERROR(FILTER(RawTotals!$AJ:$AJ,RawTotals!$A:$A=AU30)-(FILTER(Data!$K:$K,Data!$B:$B=AU30,Data!$D:$D=$I30)+FILTER(Data!$L:$L,Data!$B:$B=AU30,Data!$D:$D=$I30)),""""),"""")"),"")</f>
        <v/>
      </c>
      <c r="CF30" s="69" t="str">
        <f>IFERROR(__xludf.DUMMYFUNCTION("IF($I30&lt;&gt;"""",IFERROR(FILTER(RawTotals!$AJ:$AJ,RawTotals!$A:$A=AV30)-(FILTER(Data!$K:$K,Data!$B:$B=AV30,Data!$D:$D=$I30)+FILTER(Data!$L:$L,Data!$B:$B=AV30,Data!$D:$D=$I30)),""""),"""")"),"")</f>
        <v/>
      </c>
      <c r="CG30" s="69" t="str">
        <f>IFERROR(__xludf.DUMMYFUNCTION("IF($I30&lt;&gt;"""",IFERROR(FILTER(RawTotals!$AJ:$AJ,RawTotals!$A:$A=AW30)-(FILTER(Data!$K:$K,Data!$B:$B=AW30,Data!$D:$D=$I30)+FILTER(Data!$L:$L,Data!$B:$B=AW30,Data!$D:$D=$I30)),""""),"""")"),"")</f>
        <v/>
      </c>
      <c r="CH30" s="69" t="str">
        <f>IFERROR(__xludf.DUMMYFUNCTION("IF($J30&lt;&gt;"""",IFERROR(FILTER(RawTotals!$AJ:$AJ,RawTotals!$A:$A=AX30)-(FILTER(Data!$K:$K,Data!$B:$B=AX30,Data!$D:$D=$J30)+FILTER(Data!$L:$L,Data!$B:$B=AX30,Data!$D:$D=$J30)),""""),"""")"),"")</f>
        <v/>
      </c>
      <c r="CI30" s="69" t="str">
        <f>IFERROR(__xludf.DUMMYFUNCTION("IF($J30&lt;&gt;"""",IFERROR(FILTER(RawTotals!$AJ:$AJ,RawTotals!$A:$A=AY30)-(FILTER(Data!$K:$K,Data!$B:$B=AY30,Data!$D:$D=$J30)+FILTER(Data!$L:$L,Data!$B:$B=AY30,Data!$D:$D=$J30)),""""),"""")"),"")</f>
        <v/>
      </c>
      <c r="CJ30" s="69" t="str">
        <f>IFERROR(__xludf.DUMMYFUNCTION("IF($J30&lt;&gt;"""",IFERROR(FILTER(RawTotals!$AJ:$AJ,RawTotals!$A:$A=AZ30)-(FILTER(Data!$K:$K,Data!$B:$B=AZ30,Data!$D:$D=$J30)+FILTER(Data!$L:$L,Data!$B:$B=AZ30,Data!$D:$D=$J30)),""""),"""")"),"")</f>
        <v/>
      </c>
      <c r="CK30" s="69" t="str">
        <f>IFERROR(__xludf.DUMMYFUNCTION("IF($K30&lt;&gt;"""",IFERROR(FILTER(RawTotals!$AJ:$AJ,RawTotals!$A:$A=BA30)-(FILTER(Data!$K:$K,Data!$B:$B=BA30,Data!$D:$D=$K30)+FILTER(Data!$L:$L,Data!$B:$B=BA30,Data!$D:$D=$K30)),""""),"""")"),"")</f>
        <v/>
      </c>
      <c r="CL30" s="69" t="str">
        <f>IFERROR(__xludf.DUMMYFUNCTION("IF($K30&lt;&gt;"""",IFERROR(FILTER(RawTotals!$AJ:$AJ,RawTotals!$A:$A=BB30)-(FILTER(Data!$K:$K,Data!$B:$B=BB30,Data!$D:$D=$K30)+FILTER(Data!$L:$L,Data!$B:$B=BB30,Data!$D:$D=$K30)),""""),"""")"),"")</f>
        <v/>
      </c>
      <c r="CM30" s="69" t="str">
        <f>IFERROR(__xludf.DUMMYFUNCTION("IF($K30&lt;&gt;"""",IFERROR(FILTER(RawTotals!$AJ:$AJ,RawTotals!$A:$A=BC30)-(FILTER(Data!$K:$K,Data!$B:$B=BC30,Data!$D:$D=$K30)+FILTER(Data!$L:$L,Data!$B:$B=BC30,Data!$D:$D=$K30)),""""),"""")"),"")</f>
        <v/>
      </c>
      <c r="CN30" s="69" t="str">
        <f>IFERROR(__xludf.DUMMYFUNCTION("IF($L30&lt;&gt;"""",IFERROR((FILTER(RawTotals!$AJ:$AJ,RawTotals!$A:$A=BD30)-(FILTER(Data!$K:$K,Data!$B:$B=BD30,Data!$D:$D=$L30)+FILTER(Data!$L:$L,Data!$B:$B=BD30,Data!$D:$D=$L30))),""""),"""")"),"")</f>
        <v/>
      </c>
      <c r="CO30" s="69" t="str">
        <f>IFERROR(__xludf.DUMMYFUNCTION("IF($L30&lt;&gt;"""",IFERROR((FILTER(RawTotals!$AJ:$AJ,RawTotals!$A:$A=BE30)-(FILTER(Data!$K:$K,Data!$B:$B=BE30,Data!$D:$D=$L30)+FILTER(Data!$L:$L,Data!$B:$B=BE30,Data!$D:$D=$L30))),""""),"""")"),"")</f>
        <v/>
      </c>
      <c r="CP30" s="69" t="str">
        <f>IFERROR(__xludf.DUMMYFUNCTION("IF($L30&lt;&gt;"""",IFERROR((FILTER(RawTotals!$AJ:$AJ,RawTotals!$A:$A=BF30)-(FILTER(Data!$K:$K,Data!$B:$B=BF30,Data!$D:$D=$L30)+FILTER(Data!$L:$L,Data!$B:$B=BF30,Data!$D:$D=$L30))),""""),"""")"),"")</f>
        <v/>
      </c>
      <c r="CQ30" s="69" t="str">
        <f>IFERROR(__xludf.DUMMYFUNCTION("IF($M30&lt;&gt;"""",IFERROR((FILTER(RawTotals!$AJ:$AJ,RawTotals!$A:$A=BG30)-(FILTER(Data!$K:$K,Data!$B:$B=BG30,Data!$D:$D=$M30)+FILTER(Data!$L:$L,Data!$B:$B=BG30,Data!$D:$D=$M30))),""""),"""")"),"")</f>
        <v/>
      </c>
      <c r="CR30" s="69" t="str">
        <f>IFERROR(__xludf.DUMMYFUNCTION("IF($M30&lt;&gt;"""",IFERROR((FILTER(RawTotals!$AJ:$AJ,RawTotals!$A:$A=BH30)-(FILTER(Data!$K:$K,Data!$B:$B=BH30,Data!$D:$D=$M30)+FILTER(Data!$L:$L,Data!$B:$B=BH30,Data!$D:$D=$M30))),""""),"""")"),"")</f>
        <v/>
      </c>
      <c r="CS30" s="70" t="str">
        <f>IFERROR(__xludf.DUMMYFUNCTION("IF($M30&lt;&gt;"""",IFERROR((FILTER(RawTotals!$AJ:$AJ,RawTotals!$A:$A=BI30)-(FILTER(Data!$K:$K,Data!$B:$B=BI30,Data!$D:$D=$M30)+FILTER(Data!$L:$L,Data!$B:$B=BI30,Data!$D:$D=$M30))),""""),"""")"),"")</f>
        <v/>
      </c>
      <c r="CT30" s="69"/>
      <c r="CU30" s="69"/>
      <c r="CV30" s="69"/>
      <c r="CW30" s="69"/>
      <c r="CX30" s="69"/>
      <c r="CY30" s="69"/>
      <c r="CZ30" s="69"/>
      <c r="DA30" s="69"/>
      <c r="DB30" s="69"/>
      <c r="DC30" s="69"/>
      <c r="DD30" s="69"/>
      <c r="DE30" s="69"/>
    </row>
    <row r="31">
      <c r="A31" s="67">
        <f>RawTotals!A31</f>
        <v>1730</v>
      </c>
      <c r="B31" s="68" t="str">
        <f>IFERROR(__xludf.DUMMYFUNCTION("IF(A31&lt;&gt;"""",IFERROR(TRANSPOSE(FILTER(Data!D:D,Data!B:B=A31,Data!R:R&lt;&gt;"""")),""No Defense""),"""")"),"No Defense")</f>
        <v>No Defense</v>
      </c>
      <c r="C31" s="65"/>
      <c r="D31" s="65"/>
      <c r="E31" s="65"/>
      <c r="F31" s="65"/>
      <c r="G31" s="65"/>
      <c r="H31" s="65"/>
      <c r="I31" s="65"/>
      <c r="J31" s="65"/>
      <c r="K31" s="65"/>
      <c r="L31" s="65"/>
      <c r="M31" s="65"/>
      <c r="N31" s="64" t="str">
        <f>IFERROR(__xludf.DUMMYFUNCTION("IFERROR(Textjoin("""",TRUE,FILTER(Data!$R:$R,Data!$D:$D=B31,Data!$B:$B=$A31)),"""")"),"")</f>
        <v/>
      </c>
      <c r="O31" s="64" t="str">
        <f>IFERROR(__xludf.DUMMYFUNCTION("IFERROR(Textjoin("""",TRUE,FILTER(Data!$R:$R,Data!$D:$D=C31,Data!$B:$B=$A31)),"""")"),"")</f>
        <v/>
      </c>
      <c r="P31" s="64" t="str">
        <f>IFERROR(__xludf.DUMMYFUNCTION("IFERROR(Textjoin("""",TRUE,FILTER(Data!$R:$R,Data!$D:$D=D31,Data!$B:$B=$A31)),"""")"),"")</f>
        <v/>
      </c>
      <c r="Q31" s="64" t="str">
        <f>IFERROR(__xludf.DUMMYFUNCTION("IFERROR(Textjoin("""",TRUE,FILTER(Data!$R:$R,Data!$D:$D=E31,Data!$B:$B=$A31)),"""")"),"")</f>
        <v/>
      </c>
      <c r="R31" s="64" t="str">
        <f>IFERROR(__xludf.DUMMYFUNCTION("IFERROR(Textjoin("""",TRUE,FILTER(Data!$R:$R,Data!$D:$D=F31,Data!$B:$B=$A31)),"""")"),"")</f>
        <v/>
      </c>
      <c r="S31" s="64" t="str">
        <f>IFERROR(__xludf.DUMMYFUNCTION("IFERROR(Textjoin("""",TRUE,FILTER(Data!$R:$R,Data!$D:$D=G31,Data!$B:$B=$A31)),"""")"),"")</f>
        <v/>
      </c>
      <c r="T31" s="64" t="str">
        <f>IFERROR(__xludf.DUMMYFUNCTION("IFERROR(Textjoin("""",TRUE,FILTER(Data!$R:$R,Data!$D:$D=H31,Data!$B:$B=$A31)),"""")"),"")</f>
        <v/>
      </c>
      <c r="U31" s="64" t="str">
        <f>IFERROR(__xludf.DUMMYFUNCTION("IFERROR(Textjoin("""",TRUE,FILTER(Data!$R:$R,Data!$D:$D=I31,Data!$B:$B=$A31)),"""")"),"")</f>
        <v/>
      </c>
      <c r="V31" s="64" t="str">
        <f>IFERROR(__xludf.DUMMYFUNCTION("IFERROR(Textjoin("""",TRUE,FILTER(Data!$R:$R,Data!$D:$D=J31,Data!$B:$B=$A31)),"""")"),"")</f>
        <v/>
      </c>
      <c r="W31" s="64" t="str">
        <f>IFERROR(__xludf.DUMMYFUNCTION("IFERROR(Textjoin("""",TRUE,FILTER(Data!$R:$R,Data!$D:$D=K31,Data!$B:$B=$A31)),"""")"),"")</f>
        <v/>
      </c>
      <c r="X31" s="64" t="str">
        <f>IFERROR(__xludf.DUMMYFUNCTION("IFERROR(Textjoin("""",TRUE,FILTER(Data!$R:$R,Data!$D:$D=L31,Data!$B:$B=$A31)),"""")"),"")</f>
        <v/>
      </c>
      <c r="Y31" s="64" t="str">
        <f>IFERROR(__xludf.DUMMYFUNCTION("IFERROR(Textjoin("""",TRUE,FILTER(Data!$R:$R,Data!$D:$D=M31,Data!$B:$B=$A31)),"""")"),"")</f>
        <v/>
      </c>
      <c r="Z31" s="64" t="str">
        <f>IFERROR(__xludf.DUMMYFUNCTION("IFERROR(SPLIT(N31,"",""),"""")"),"")</f>
        <v/>
      </c>
      <c r="AA31" s="65"/>
      <c r="AB31" s="65"/>
      <c r="AC31" s="69" t="str">
        <f>IFERROR(__xludf.DUMMYFUNCTION("IFERROR(SPLIT(O31,"",""),"""")"),"")</f>
        <v/>
      </c>
      <c r="AD31" s="65"/>
      <c r="AE31" s="65"/>
      <c r="AF31" s="69" t="str">
        <f>IFERROR(__xludf.DUMMYFUNCTION("IFERROR(SPLIT(P31,"",""),"""")"),"")</f>
        <v/>
      </c>
      <c r="AG31" s="65"/>
      <c r="AH31" s="65"/>
      <c r="AI31" s="69" t="str">
        <f>IFERROR(__xludf.DUMMYFUNCTION("IFERROR(SPLIT(Q31,"",""),"""")"),"")</f>
        <v/>
      </c>
      <c r="AJ31" s="65"/>
      <c r="AK31" s="65"/>
      <c r="AL31" s="69" t="str">
        <f>IFERROR(__xludf.DUMMYFUNCTION("IFERROR(SPLIT(R31,"",""),"""")"),"")</f>
        <v/>
      </c>
      <c r="AM31" s="65"/>
      <c r="AN31" s="65"/>
      <c r="AO31" s="69" t="str">
        <f>IFERROR(__xludf.DUMMYFUNCTION("IFERROR(SPLIT(S31,"",""),"""")"),"")</f>
        <v/>
      </c>
      <c r="AP31" s="65"/>
      <c r="AQ31" s="65"/>
      <c r="AR31" s="69" t="str">
        <f>IFERROR(__xludf.DUMMYFUNCTION("IFERROR(SPLIT(T31,"",""),"""")"),"")</f>
        <v/>
      </c>
      <c r="AS31" s="65"/>
      <c r="AT31" s="65"/>
      <c r="AU31" s="69" t="str">
        <f>IFERROR(__xludf.DUMMYFUNCTION("IFERROR(SPLIT(U31,"",""),"""")"),"")</f>
        <v/>
      </c>
      <c r="AV31" s="65"/>
      <c r="AW31" s="65"/>
      <c r="AX31" s="69" t="str">
        <f>IFERROR(__xludf.DUMMYFUNCTION("IFERROR(SPLIT(V31,"",""),"""")"),"")</f>
        <v/>
      </c>
      <c r="AY31" s="65"/>
      <c r="AZ31" s="65"/>
      <c r="BA31" s="69" t="str">
        <f>IFERROR(__xludf.DUMMYFUNCTION("IFERROR(SPLIT(W31,"",""),"""")"),"")</f>
        <v/>
      </c>
      <c r="BB31" s="69"/>
      <c r="BC31" s="69"/>
      <c r="BD31" s="69" t="str">
        <f>IFERROR(__xludf.DUMMYFUNCTION("IFERROR(SPLIT(X31,"",""),"""")"),"")</f>
        <v/>
      </c>
      <c r="BE31" s="69"/>
      <c r="BF31" s="69"/>
      <c r="BG31" s="69" t="str">
        <f>IFERROR(__xludf.DUMMYFUNCTION("IFERROR(SPLIT(Y31,"",""),"""")"),"")</f>
        <v/>
      </c>
      <c r="BH31" s="69"/>
      <c r="BI31" s="69"/>
      <c r="BJ31" s="68" t="str">
        <f>IFERROR(__xludf.DUMMYFUNCTION("IF($B31&lt;&gt;"""",IFERROR(FILTER(RawTotals!$AJ:$AJ,RawTotals!$A:$A=Z31)-(FILTER(Data!$K:$K,Data!$B:$B=Z31,Data!$D:$D=$B31)+FILTER(Data!$L:$L,Data!$B:$B=Z31,Data!$D:$D=$B31)),""""),"""")"),"")</f>
        <v/>
      </c>
      <c r="BK31" s="68" t="str">
        <f>IFERROR(__xludf.DUMMYFUNCTION("IF($B31&lt;&gt;"""",IFERROR(FILTER(RawTotals!$AJ:$AJ,RawTotals!$A:$A=AA31)-(FILTER(Data!$K:$K,Data!$B:$B=AA31,Data!$D:$D=$B31)+FILTER(Data!$L:$L,Data!$B:$B=AA31,Data!$D:$D=$B31)),""""),"""")"),"")</f>
        <v/>
      </c>
      <c r="BL31" s="68" t="str">
        <f>IFERROR(__xludf.DUMMYFUNCTION("IF($B31&lt;&gt;"""",IFERROR(FILTER(RawTotals!$AJ:$AJ,RawTotals!$A:$A=AB31)-(FILTER(Data!$K:$K,Data!$B:$B=AB31,Data!$D:$D=$B31)+FILTER(Data!$L:$L,Data!$B:$B=AB31,Data!$D:$D=$B31)),""""),"""")"),"")</f>
        <v/>
      </c>
      <c r="BM31" s="69" t="str">
        <f>IFERROR(__xludf.DUMMYFUNCTION("IF($C31&lt;&gt;"""",IFERROR(FILTER(RawTotals!$AJ:$AJ,RawTotals!$A:$A=AC31)-(FILTER(Data!$K:$K,Data!$B:$B=AC31,Data!$D:$D=$C31)+FILTER(Data!$L:$L,Data!$B:$B=AC31,Data!$D:$D=$C31)),""""),"""")"),"")</f>
        <v/>
      </c>
      <c r="BN31" s="69" t="str">
        <f>IFERROR(__xludf.DUMMYFUNCTION("IF($C31&lt;&gt;"""",IFERROR(FILTER(RawTotals!$AJ:$AJ,RawTotals!$A:$A=AD31)-(FILTER(Data!$K:$K,Data!$B:$B=AD31,Data!$D:$D=$C31)+FILTER(Data!$L:$L,Data!$B:$B=AD31,Data!$D:$D=$C31)),""""),"""")"),"")</f>
        <v/>
      </c>
      <c r="BO31" s="69" t="str">
        <f>IFERROR(__xludf.DUMMYFUNCTION("IF($C31&lt;&gt;"""",IFERROR(FILTER(RawTotals!$AJ:$AJ,RawTotals!$A:$A=AE31)-(FILTER(Data!$K:$K,Data!$B:$B=AE31,Data!$D:$D=$C31)+FILTER(Data!$L:$L,Data!$B:$B=AE31,Data!$D:$D=$C31)),""""),"""")"),"")</f>
        <v/>
      </c>
      <c r="BP31" s="69" t="str">
        <f>IFERROR(__xludf.DUMMYFUNCTION("IF($D31&lt;&gt;"""",IFERROR(FILTER(RawTotals!$AJ:$AJ,RawTotals!$A:$A=AF31)-(FILTER(Data!$K:$K,Data!$B:$B=AF31,Data!$D:$D=$D31)+FILTER(Data!$L:$L,Data!$B:$B=AF31,Data!$D:$D=$D31)),""""),"""")"),"")</f>
        <v/>
      </c>
      <c r="BQ31" s="69" t="str">
        <f>IFERROR(__xludf.DUMMYFUNCTION("IF($D31&lt;&gt;"""",IFERROR(FILTER(RawTotals!$AJ:$AJ,RawTotals!$A:$A=AG31)-(FILTER(Data!$K:$K,Data!$B:$B=AG31,Data!$D:$D=$D31)+FILTER(Data!$L:$L,Data!$B:$B=AG31,Data!$D:$D=$D31)),""""),"""")"),"")</f>
        <v/>
      </c>
      <c r="BR31" s="69" t="str">
        <f>IFERROR(__xludf.DUMMYFUNCTION("IF($D31&lt;&gt;"""",IFERROR(FILTER(RawTotals!$AJ:$AJ,RawTotals!$A:$A=AH31)-(FILTER(Data!$K:$K,Data!$B:$B=AH31,Data!$D:$D=$D31)+FILTER(Data!$L:$L,Data!$B:$B=AH31,Data!$D:$D=$D31)),""""),"""")"),"")</f>
        <v/>
      </c>
      <c r="BS31" s="69" t="str">
        <f>IFERROR(__xludf.DUMMYFUNCTION("IF($E31&lt;&gt;"""",IFERROR(FILTER(RawTotals!$AJ:$AJ,RawTotals!$A:$A=AI31)-(FILTER(Data!$K:$K,Data!$B:$B=AI31,Data!$D:$D=$E31)+FILTER(Data!$L:$L,Data!$B:$B=AI31,Data!$D:$D=$E31)),""""),"""")"),"")</f>
        <v/>
      </c>
      <c r="BT31" s="69" t="str">
        <f>IFERROR(__xludf.DUMMYFUNCTION("IF($E31&lt;&gt;"""",IFERROR(FILTER(RawTotals!$AJ:$AJ,RawTotals!$A:$A=AJ31)-(FILTER(Data!$K:$K,Data!$B:$B=AJ31,Data!$D:$D=$E31)+FILTER(Data!$L:$L,Data!$B:$B=AJ31,Data!$D:$D=$E31)),""""),"""")"),"")</f>
        <v/>
      </c>
      <c r="BU31" s="69" t="str">
        <f>IFERROR(__xludf.DUMMYFUNCTION("IF($E31&lt;&gt;"""",IFERROR(FILTER(RawTotals!$AJ:$AJ,RawTotals!$A:$A=AK31)-(FILTER(Data!$K:$K,Data!$B:$B=AK31,Data!$D:$D=$E31)+FILTER(Data!$L:$L,Data!$B:$B=AK31,Data!$D:$D=$E31)),""""),"""")"),"")</f>
        <v/>
      </c>
      <c r="BV31" s="69" t="str">
        <f>IFERROR(__xludf.DUMMYFUNCTION("IF($F31&lt;&gt;"""",IFERROR(FILTER(RawTotals!$AJ:$AJ,RawTotals!$A:$A=AL31)-(FILTER(Data!$K:$K,Data!$B:$B=AL31,Data!$D:$D=$F31)+FILTER(Data!$L:$L,Data!$B:$B=AL31,Data!$D:$D=$F31)),""""),"""")"),"")</f>
        <v/>
      </c>
      <c r="BW31" s="69" t="str">
        <f>IFERROR(__xludf.DUMMYFUNCTION("IF($F31&lt;&gt;"""",IFERROR(FILTER(RawTotals!$AJ:$AJ,RawTotals!$A:$A=AM31)-(FILTER(Data!$K:$K,Data!$B:$B=AM31,Data!$D:$D=$F31)+FILTER(Data!$L:$L,Data!$B:$B=AM31,Data!$D:$D=$F31)),""""),"""")"),"")</f>
        <v/>
      </c>
      <c r="BX31" s="69" t="str">
        <f>IFERROR(__xludf.DUMMYFUNCTION("IF($F31&lt;&gt;"""",IFERROR(FILTER(RawTotals!$AJ:$AJ,RawTotals!$A:$A=AN31)-(FILTER(Data!$K:$K,Data!$B:$B=AN31,Data!$D:$D=$F31)+FILTER(Data!$L:$L,Data!$B:$B=AN31,Data!$D:$D=$F31)),""""),"""")"),"")</f>
        <v/>
      </c>
      <c r="BY31" s="69" t="str">
        <f>IFERROR(__xludf.DUMMYFUNCTION("IF($G31&lt;&gt;"""",IFERROR(FILTER(RawTotals!$AJ:$AJ,RawTotals!$A:$A=AO31)-(FILTER(Data!$K:$K,Data!$B:$B=AO31,Data!$D:$D=$G31)+FILTER(Data!$L:$L,Data!$B:$B=AO31,Data!$D:$D=$G31)),""""),"""")"),"")</f>
        <v/>
      </c>
      <c r="BZ31" s="69" t="str">
        <f>IFERROR(__xludf.DUMMYFUNCTION("IF($G31&lt;&gt;"""",IFERROR(FILTER(RawTotals!$AJ:$AJ,RawTotals!$A:$A=AP31)-(FILTER(Data!$K:$K,Data!$B:$B=AP31,Data!$D:$D=$G31)+FILTER(Data!$L:$L,Data!$B:$B=AP31,Data!$D:$D=$G31)),""""),"""")"),"")</f>
        <v/>
      </c>
      <c r="CA31" s="69" t="str">
        <f>IFERROR(__xludf.DUMMYFUNCTION("IF($G31&lt;&gt;"""",IFERROR(FILTER(RawTotals!$AJ:$AJ,RawTotals!$A:$A=AQ31)-(FILTER(Data!$K:$K,Data!$B:$B=AQ31,Data!$D:$D=$G31)+FILTER(Data!$L:$L,Data!$B:$B=AQ31,Data!$D:$D=$G31)),""""),"""")"),"")</f>
        <v/>
      </c>
      <c r="CB31" s="69" t="str">
        <f>IFERROR(__xludf.DUMMYFUNCTION("IF($H31&lt;&gt;"""",IFERROR(FILTER(RawTotals!$AJ:$AJ,RawTotals!$A:$A=AR31)-(FILTER(Data!$K:$K,Data!$B:$B=AR31,Data!$D:$D=$H31)+FILTER(Data!$L:$L,Data!$B:$B=AR31,Data!$D:$D=$H31)),""""),"""")"),"")</f>
        <v/>
      </c>
      <c r="CC31" s="69" t="str">
        <f>IFERROR(__xludf.DUMMYFUNCTION("IF($H31&lt;&gt;"""",IFERROR(FILTER(RawTotals!$AJ:$AJ,RawTotals!$A:$A=AS31)-(FILTER(Data!$K:$K,Data!$B:$B=AS31,Data!$D:$D=$H31)+FILTER(Data!$L:$L,Data!$B:$B=AS31,Data!$D:$D=$H31)),""""),"""")"),"")</f>
        <v/>
      </c>
      <c r="CD31" s="69" t="str">
        <f>IFERROR(__xludf.DUMMYFUNCTION("IF($H31&lt;&gt;"""",IFERROR(FILTER(RawTotals!$AJ:$AJ,RawTotals!$A:$A=AT31)-(FILTER(Data!$K:$K,Data!$B:$B=AT31,Data!$D:$D=$H31)+FILTER(Data!$L:$L,Data!$B:$B=AT31,Data!$D:$D=$H31)),""""),"""")"),"")</f>
        <v/>
      </c>
      <c r="CE31" s="69" t="str">
        <f>IFERROR(__xludf.DUMMYFUNCTION("IF($I31&lt;&gt;"""",IFERROR(FILTER(RawTotals!$AJ:$AJ,RawTotals!$A:$A=AU31)-(FILTER(Data!$K:$K,Data!$B:$B=AU31,Data!$D:$D=$I31)+FILTER(Data!$L:$L,Data!$B:$B=AU31,Data!$D:$D=$I31)),""""),"""")"),"")</f>
        <v/>
      </c>
      <c r="CF31" s="69" t="str">
        <f>IFERROR(__xludf.DUMMYFUNCTION("IF($I31&lt;&gt;"""",IFERROR(FILTER(RawTotals!$AJ:$AJ,RawTotals!$A:$A=AV31)-(FILTER(Data!$K:$K,Data!$B:$B=AV31,Data!$D:$D=$I31)+FILTER(Data!$L:$L,Data!$B:$B=AV31,Data!$D:$D=$I31)),""""),"""")"),"")</f>
        <v/>
      </c>
      <c r="CG31" s="69" t="str">
        <f>IFERROR(__xludf.DUMMYFUNCTION("IF($I31&lt;&gt;"""",IFERROR(FILTER(RawTotals!$AJ:$AJ,RawTotals!$A:$A=AW31)-(FILTER(Data!$K:$K,Data!$B:$B=AW31,Data!$D:$D=$I31)+FILTER(Data!$L:$L,Data!$B:$B=AW31,Data!$D:$D=$I31)),""""),"""")"),"")</f>
        <v/>
      </c>
      <c r="CH31" s="69" t="str">
        <f>IFERROR(__xludf.DUMMYFUNCTION("IF($J31&lt;&gt;"""",IFERROR(FILTER(RawTotals!$AJ:$AJ,RawTotals!$A:$A=AX31)-(FILTER(Data!$K:$K,Data!$B:$B=AX31,Data!$D:$D=$J31)+FILTER(Data!$L:$L,Data!$B:$B=AX31,Data!$D:$D=$J31)),""""),"""")"),"")</f>
        <v/>
      </c>
      <c r="CI31" s="69" t="str">
        <f>IFERROR(__xludf.DUMMYFUNCTION("IF($J31&lt;&gt;"""",IFERROR(FILTER(RawTotals!$AJ:$AJ,RawTotals!$A:$A=AY31)-(FILTER(Data!$K:$K,Data!$B:$B=AY31,Data!$D:$D=$J31)+FILTER(Data!$L:$L,Data!$B:$B=AY31,Data!$D:$D=$J31)),""""),"""")"),"")</f>
        <v/>
      </c>
      <c r="CJ31" s="69" t="str">
        <f>IFERROR(__xludf.DUMMYFUNCTION("IF($J31&lt;&gt;"""",IFERROR(FILTER(RawTotals!$AJ:$AJ,RawTotals!$A:$A=AZ31)-(FILTER(Data!$K:$K,Data!$B:$B=AZ31,Data!$D:$D=$J31)+FILTER(Data!$L:$L,Data!$B:$B=AZ31,Data!$D:$D=$J31)),""""),"""")"),"")</f>
        <v/>
      </c>
      <c r="CK31" s="69" t="str">
        <f>IFERROR(__xludf.DUMMYFUNCTION("IF($K31&lt;&gt;"""",IFERROR(FILTER(RawTotals!$AJ:$AJ,RawTotals!$A:$A=BA31)-(FILTER(Data!$K:$K,Data!$B:$B=BA31,Data!$D:$D=$K31)+FILTER(Data!$L:$L,Data!$B:$B=BA31,Data!$D:$D=$K31)),""""),"""")"),"")</f>
        <v/>
      </c>
      <c r="CL31" s="69" t="str">
        <f>IFERROR(__xludf.DUMMYFUNCTION("IF($K31&lt;&gt;"""",IFERROR(FILTER(RawTotals!$AJ:$AJ,RawTotals!$A:$A=BB31)-(FILTER(Data!$K:$K,Data!$B:$B=BB31,Data!$D:$D=$K31)+FILTER(Data!$L:$L,Data!$B:$B=BB31,Data!$D:$D=$K31)),""""),"""")"),"")</f>
        <v/>
      </c>
      <c r="CM31" s="69" t="str">
        <f>IFERROR(__xludf.DUMMYFUNCTION("IF($K31&lt;&gt;"""",IFERROR(FILTER(RawTotals!$AJ:$AJ,RawTotals!$A:$A=BC31)-(FILTER(Data!$K:$K,Data!$B:$B=BC31,Data!$D:$D=$K31)+FILTER(Data!$L:$L,Data!$B:$B=BC31,Data!$D:$D=$K31)),""""),"""")"),"")</f>
        <v/>
      </c>
      <c r="CN31" s="69" t="str">
        <f>IFERROR(__xludf.DUMMYFUNCTION("IF($L31&lt;&gt;"""",IFERROR((FILTER(RawTotals!$AJ:$AJ,RawTotals!$A:$A=BD31)-(FILTER(Data!$K:$K,Data!$B:$B=BD31,Data!$D:$D=$L31)+FILTER(Data!$L:$L,Data!$B:$B=BD31,Data!$D:$D=$L31))),""""),"""")"),"")</f>
        <v/>
      </c>
      <c r="CO31" s="69" t="str">
        <f>IFERROR(__xludf.DUMMYFUNCTION("IF($L31&lt;&gt;"""",IFERROR((FILTER(RawTotals!$AJ:$AJ,RawTotals!$A:$A=BE31)-(FILTER(Data!$K:$K,Data!$B:$B=BE31,Data!$D:$D=$L31)+FILTER(Data!$L:$L,Data!$B:$B=BE31,Data!$D:$D=$L31))),""""),"""")"),"")</f>
        <v/>
      </c>
      <c r="CP31" s="69" t="str">
        <f>IFERROR(__xludf.DUMMYFUNCTION("IF($L31&lt;&gt;"""",IFERROR((FILTER(RawTotals!$AJ:$AJ,RawTotals!$A:$A=BF31)-(FILTER(Data!$K:$K,Data!$B:$B=BF31,Data!$D:$D=$L31)+FILTER(Data!$L:$L,Data!$B:$B=BF31,Data!$D:$D=$L31))),""""),"""")"),"")</f>
        <v/>
      </c>
      <c r="CQ31" s="69" t="str">
        <f>IFERROR(__xludf.DUMMYFUNCTION("IF($M31&lt;&gt;"""",IFERROR((FILTER(RawTotals!$AJ:$AJ,RawTotals!$A:$A=BG31)-(FILTER(Data!$K:$K,Data!$B:$B=BG31,Data!$D:$D=$M31)+FILTER(Data!$L:$L,Data!$B:$B=BG31,Data!$D:$D=$M31))),""""),"""")"),"")</f>
        <v/>
      </c>
      <c r="CR31" s="69" t="str">
        <f>IFERROR(__xludf.DUMMYFUNCTION("IF($M31&lt;&gt;"""",IFERROR((FILTER(RawTotals!$AJ:$AJ,RawTotals!$A:$A=BH31)-(FILTER(Data!$K:$K,Data!$B:$B=BH31,Data!$D:$D=$M31)+FILTER(Data!$L:$L,Data!$B:$B=BH31,Data!$D:$D=$M31))),""""),"""")"),"")</f>
        <v/>
      </c>
      <c r="CS31" s="70" t="str">
        <f>IFERROR(__xludf.DUMMYFUNCTION("IF($M31&lt;&gt;"""",IFERROR((FILTER(RawTotals!$AJ:$AJ,RawTotals!$A:$A=BI31)-(FILTER(Data!$K:$K,Data!$B:$B=BI31,Data!$D:$D=$M31)+FILTER(Data!$L:$L,Data!$B:$B=BI31,Data!$D:$D=$M31))),""""),"""")"),"")</f>
        <v/>
      </c>
      <c r="CT31" s="69"/>
      <c r="CU31" s="69"/>
      <c r="CV31" s="69"/>
      <c r="CW31" s="69"/>
      <c r="CX31" s="69"/>
      <c r="CY31" s="69"/>
      <c r="CZ31" s="69"/>
      <c r="DA31" s="69"/>
      <c r="DB31" s="69"/>
      <c r="DC31" s="69"/>
      <c r="DD31" s="69"/>
      <c r="DE31" s="69"/>
    </row>
    <row r="32">
      <c r="A32" s="67">
        <f>RawTotals!A32</f>
        <v>2363</v>
      </c>
      <c r="B32" s="68" t="str">
        <f>IFERROR(__xludf.DUMMYFUNCTION("IF(A32&lt;&gt;"""",IFERROR(TRANSPOSE(FILTER(Data!D:D,Data!B:B=A32,Data!R:R&lt;&gt;"""")),""No Defense""),"""")"),"No Defense")</f>
        <v>No Defense</v>
      </c>
      <c r="C32" s="65"/>
      <c r="D32" s="65"/>
      <c r="E32" s="65"/>
      <c r="F32" s="65"/>
      <c r="G32" s="65"/>
      <c r="H32" s="65"/>
      <c r="I32" s="65"/>
      <c r="J32" s="65"/>
      <c r="K32" s="65"/>
      <c r="L32" s="65"/>
      <c r="M32" s="65"/>
      <c r="N32" s="64" t="str">
        <f>IFERROR(__xludf.DUMMYFUNCTION("IFERROR(Textjoin("""",TRUE,FILTER(Data!$R:$R,Data!$D:$D=B32,Data!$B:$B=$A32)),"""")"),"")</f>
        <v/>
      </c>
      <c r="O32" s="64" t="str">
        <f>IFERROR(__xludf.DUMMYFUNCTION("IFERROR(Textjoin("""",TRUE,FILTER(Data!$R:$R,Data!$D:$D=C32,Data!$B:$B=$A32)),"""")"),"")</f>
        <v/>
      </c>
      <c r="P32" s="64" t="str">
        <f>IFERROR(__xludf.DUMMYFUNCTION("IFERROR(Textjoin("""",TRUE,FILTER(Data!$R:$R,Data!$D:$D=D32,Data!$B:$B=$A32)),"""")"),"")</f>
        <v/>
      </c>
      <c r="Q32" s="64" t="str">
        <f>IFERROR(__xludf.DUMMYFUNCTION("IFERROR(Textjoin("""",TRUE,FILTER(Data!$R:$R,Data!$D:$D=E32,Data!$B:$B=$A32)),"""")"),"")</f>
        <v/>
      </c>
      <c r="R32" s="64" t="str">
        <f>IFERROR(__xludf.DUMMYFUNCTION("IFERROR(Textjoin("""",TRUE,FILTER(Data!$R:$R,Data!$D:$D=F32,Data!$B:$B=$A32)),"""")"),"")</f>
        <v/>
      </c>
      <c r="S32" s="64" t="str">
        <f>IFERROR(__xludf.DUMMYFUNCTION("IFERROR(Textjoin("""",TRUE,FILTER(Data!$R:$R,Data!$D:$D=G32,Data!$B:$B=$A32)),"""")"),"")</f>
        <v/>
      </c>
      <c r="T32" s="64" t="str">
        <f>IFERROR(__xludf.DUMMYFUNCTION("IFERROR(Textjoin("""",TRUE,FILTER(Data!$R:$R,Data!$D:$D=H32,Data!$B:$B=$A32)),"""")"),"")</f>
        <v/>
      </c>
      <c r="U32" s="64" t="str">
        <f>IFERROR(__xludf.DUMMYFUNCTION("IFERROR(Textjoin("""",TRUE,FILTER(Data!$R:$R,Data!$D:$D=I32,Data!$B:$B=$A32)),"""")"),"")</f>
        <v/>
      </c>
      <c r="V32" s="64" t="str">
        <f>IFERROR(__xludf.DUMMYFUNCTION("IFERROR(Textjoin("""",TRUE,FILTER(Data!$R:$R,Data!$D:$D=J32,Data!$B:$B=$A32)),"""")"),"")</f>
        <v/>
      </c>
      <c r="W32" s="64" t="str">
        <f>IFERROR(__xludf.DUMMYFUNCTION("IFERROR(Textjoin("""",TRUE,FILTER(Data!$R:$R,Data!$D:$D=K32,Data!$B:$B=$A32)),"""")"),"")</f>
        <v/>
      </c>
      <c r="X32" s="64" t="str">
        <f>IFERROR(__xludf.DUMMYFUNCTION("IFERROR(Textjoin("""",TRUE,FILTER(Data!$R:$R,Data!$D:$D=L32,Data!$B:$B=$A32)),"""")"),"")</f>
        <v/>
      </c>
      <c r="Y32" s="64" t="str">
        <f>IFERROR(__xludf.DUMMYFUNCTION("IFERROR(Textjoin("""",TRUE,FILTER(Data!$R:$R,Data!$D:$D=M32,Data!$B:$B=$A32)),"""")"),"")</f>
        <v/>
      </c>
      <c r="Z32" s="64" t="str">
        <f>IFERROR(__xludf.DUMMYFUNCTION("IFERROR(SPLIT(N32,"",""),"""")"),"")</f>
        <v/>
      </c>
      <c r="AA32" s="65"/>
      <c r="AB32" s="65"/>
      <c r="AC32" s="69" t="str">
        <f>IFERROR(__xludf.DUMMYFUNCTION("IFERROR(SPLIT(O32,"",""),"""")"),"")</f>
        <v/>
      </c>
      <c r="AD32" s="65"/>
      <c r="AE32" s="65"/>
      <c r="AF32" s="69" t="str">
        <f>IFERROR(__xludf.DUMMYFUNCTION("IFERROR(SPLIT(P32,"",""),"""")"),"")</f>
        <v/>
      </c>
      <c r="AG32" s="65"/>
      <c r="AH32" s="65"/>
      <c r="AI32" s="69" t="str">
        <f>IFERROR(__xludf.DUMMYFUNCTION("IFERROR(SPLIT(Q32,"",""),"""")"),"")</f>
        <v/>
      </c>
      <c r="AJ32" s="65"/>
      <c r="AK32" s="65"/>
      <c r="AL32" s="69" t="str">
        <f>IFERROR(__xludf.DUMMYFUNCTION("IFERROR(SPLIT(R32,"",""),"""")"),"")</f>
        <v/>
      </c>
      <c r="AM32" s="65"/>
      <c r="AN32" s="65"/>
      <c r="AO32" s="69" t="str">
        <f>IFERROR(__xludf.DUMMYFUNCTION("IFERROR(SPLIT(S32,"",""),"""")"),"")</f>
        <v/>
      </c>
      <c r="AP32" s="65"/>
      <c r="AQ32" s="65"/>
      <c r="AR32" s="69" t="str">
        <f>IFERROR(__xludf.DUMMYFUNCTION("IFERROR(SPLIT(T32,"",""),"""")"),"")</f>
        <v/>
      </c>
      <c r="AS32" s="65"/>
      <c r="AT32" s="65"/>
      <c r="AU32" s="69" t="str">
        <f>IFERROR(__xludf.DUMMYFUNCTION("IFERROR(SPLIT(U32,"",""),"""")"),"")</f>
        <v/>
      </c>
      <c r="AV32" s="65"/>
      <c r="AW32" s="65"/>
      <c r="AX32" s="69" t="str">
        <f>IFERROR(__xludf.DUMMYFUNCTION("IFERROR(SPLIT(V32,"",""),"""")"),"")</f>
        <v/>
      </c>
      <c r="AY32" s="65"/>
      <c r="AZ32" s="65"/>
      <c r="BA32" s="69" t="str">
        <f>IFERROR(__xludf.DUMMYFUNCTION("IFERROR(SPLIT(W32,"",""),"""")"),"")</f>
        <v/>
      </c>
      <c r="BB32" s="69"/>
      <c r="BC32" s="69"/>
      <c r="BD32" s="69" t="str">
        <f>IFERROR(__xludf.DUMMYFUNCTION("IFERROR(SPLIT(X32,"",""),"""")"),"")</f>
        <v/>
      </c>
      <c r="BE32" s="69"/>
      <c r="BF32" s="69"/>
      <c r="BG32" s="69" t="str">
        <f>IFERROR(__xludf.DUMMYFUNCTION("IFERROR(SPLIT(Y32,"",""),"""")"),"")</f>
        <v/>
      </c>
      <c r="BH32" s="69"/>
      <c r="BI32" s="69"/>
      <c r="BJ32" s="68" t="str">
        <f>IFERROR(__xludf.DUMMYFUNCTION("IF($B32&lt;&gt;"""",IFERROR(FILTER(RawTotals!$AJ:$AJ,RawTotals!$A:$A=Z32)-(FILTER(Data!$K:$K,Data!$B:$B=Z32,Data!$D:$D=$B32)+FILTER(Data!$L:$L,Data!$B:$B=Z32,Data!$D:$D=$B32)),""""),"""")"),"")</f>
        <v/>
      </c>
      <c r="BK32" s="68" t="str">
        <f>IFERROR(__xludf.DUMMYFUNCTION("IF($B32&lt;&gt;"""",IFERROR(FILTER(RawTotals!$AJ:$AJ,RawTotals!$A:$A=AA32)-(FILTER(Data!$K:$K,Data!$B:$B=AA32,Data!$D:$D=$B32)+FILTER(Data!$L:$L,Data!$B:$B=AA32,Data!$D:$D=$B32)),""""),"""")"),"")</f>
        <v/>
      </c>
      <c r="BL32" s="68" t="str">
        <f>IFERROR(__xludf.DUMMYFUNCTION("IF($B32&lt;&gt;"""",IFERROR(FILTER(RawTotals!$AJ:$AJ,RawTotals!$A:$A=AB32)-(FILTER(Data!$K:$K,Data!$B:$B=AB32,Data!$D:$D=$B32)+FILTER(Data!$L:$L,Data!$B:$B=AB32,Data!$D:$D=$B32)),""""),"""")"),"")</f>
        <v/>
      </c>
      <c r="BM32" s="69" t="str">
        <f>IFERROR(__xludf.DUMMYFUNCTION("IF($C32&lt;&gt;"""",IFERROR(FILTER(RawTotals!$AJ:$AJ,RawTotals!$A:$A=AC32)-(FILTER(Data!$K:$K,Data!$B:$B=AC32,Data!$D:$D=$C32)+FILTER(Data!$L:$L,Data!$B:$B=AC32,Data!$D:$D=$C32)),""""),"""")"),"")</f>
        <v/>
      </c>
      <c r="BN32" s="69" t="str">
        <f>IFERROR(__xludf.DUMMYFUNCTION("IF($C32&lt;&gt;"""",IFERROR(FILTER(RawTotals!$AJ:$AJ,RawTotals!$A:$A=AD32)-(FILTER(Data!$K:$K,Data!$B:$B=AD32,Data!$D:$D=$C32)+FILTER(Data!$L:$L,Data!$B:$B=AD32,Data!$D:$D=$C32)),""""),"""")"),"")</f>
        <v/>
      </c>
      <c r="BO32" s="69" t="str">
        <f>IFERROR(__xludf.DUMMYFUNCTION("IF($C32&lt;&gt;"""",IFERROR(FILTER(RawTotals!$AJ:$AJ,RawTotals!$A:$A=AE32)-(FILTER(Data!$K:$K,Data!$B:$B=AE32,Data!$D:$D=$C32)+FILTER(Data!$L:$L,Data!$B:$B=AE32,Data!$D:$D=$C32)),""""),"""")"),"")</f>
        <v/>
      </c>
      <c r="BP32" s="69" t="str">
        <f>IFERROR(__xludf.DUMMYFUNCTION("IF($D32&lt;&gt;"""",IFERROR(FILTER(RawTotals!$AJ:$AJ,RawTotals!$A:$A=AF32)-(FILTER(Data!$K:$K,Data!$B:$B=AF32,Data!$D:$D=$D32)+FILTER(Data!$L:$L,Data!$B:$B=AF32,Data!$D:$D=$D32)),""""),"""")"),"")</f>
        <v/>
      </c>
      <c r="BQ32" s="69" t="str">
        <f>IFERROR(__xludf.DUMMYFUNCTION("IF($D32&lt;&gt;"""",IFERROR(FILTER(RawTotals!$AJ:$AJ,RawTotals!$A:$A=AG32)-(FILTER(Data!$K:$K,Data!$B:$B=AG32,Data!$D:$D=$D32)+FILTER(Data!$L:$L,Data!$B:$B=AG32,Data!$D:$D=$D32)),""""),"""")"),"")</f>
        <v/>
      </c>
      <c r="BR32" s="69" t="str">
        <f>IFERROR(__xludf.DUMMYFUNCTION("IF($D32&lt;&gt;"""",IFERROR(FILTER(RawTotals!$AJ:$AJ,RawTotals!$A:$A=AH32)-(FILTER(Data!$K:$K,Data!$B:$B=AH32,Data!$D:$D=$D32)+FILTER(Data!$L:$L,Data!$B:$B=AH32,Data!$D:$D=$D32)),""""),"""")"),"")</f>
        <v/>
      </c>
      <c r="BS32" s="69" t="str">
        <f>IFERROR(__xludf.DUMMYFUNCTION("IF($E32&lt;&gt;"""",IFERROR(FILTER(RawTotals!$AJ:$AJ,RawTotals!$A:$A=AI32)-(FILTER(Data!$K:$K,Data!$B:$B=AI32,Data!$D:$D=$E32)+FILTER(Data!$L:$L,Data!$B:$B=AI32,Data!$D:$D=$E32)),""""),"""")"),"")</f>
        <v/>
      </c>
      <c r="BT32" s="69" t="str">
        <f>IFERROR(__xludf.DUMMYFUNCTION("IF($E32&lt;&gt;"""",IFERROR(FILTER(RawTotals!$AJ:$AJ,RawTotals!$A:$A=AJ32)-(FILTER(Data!$K:$K,Data!$B:$B=AJ32,Data!$D:$D=$E32)+FILTER(Data!$L:$L,Data!$B:$B=AJ32,Data!$D:$D=$E32)),""""),"""")"),"")</f>
        <v/>
      </c>
      <c r="BU32" s="69" t="str">
        <f>IFERROR(__xludf.DUMMYFUNCTION("IF($E32&lt;&gt;"""",IFERROR(FILTER(RawTotals!$AJ:$AJ,RawTotals!$A:$A=AK32)-(FILTER(Data!$K:$K,Data!$B:$B=AK32,Data!$D:$D=$E32)+FILTER(Data!$L:$L,Data!$B:$B=AK32,Data!$D:$D=$E32)),""""),"""")"),"")</f>
        <v/>
      </c>
      <c r="BV32" s="69" t="str">
        <f>IFERROR(__xludf.DUMMYFUNCTION("IF($F32&lt;&gt;"""",IFERROR(FILTER(RawTotals!$AJ:$AJ,RawTotals!$A:$A=AL32)-(FILTER(Data!$K:$K,Data!$B:$B=AL32,Data!$D:$D=$F32)+FILTER(Data!$L:$L,Data!$B:$B=AL32,Data!$D:$D=$F32)),""""),"""")"),"")</f>
        <v/>
      </c>
      <c r="BW32" s="69" t="str">
        <f>IFERROR(__xludf.DUMMYFUNCTION("IF($F32&lt;&gt;"""",IFERROR(FILTER(RawTotals!$AJ:$AJ,RawTotals!$A:$A=AM32)-(FILTER(Data!$K:$K,Data!$B:$B=AM32,Data!$D:$D=$F32)+FILTER(Data!$L:$L,Data!$B:$B=AM32,Data!$D:$D=$F32)),""""),"""")"),"")</f>
        <v/>
      </c>
      <c r="BX32" s="69" t="str">
        <f>IFERROR(__xludf.DUMMYFUNCTION("IF($F32&lt;&gt;"""",IFERROR(FILTER(RawTotals!$AJ:$AJ,RawTotals!$A:$A=AN32)-(FILTER(Data!$K:$K,Data!$B:$B=AN32,Data!$D:$D=$F32)+FILTER(Data!$L:$L,Data!$B:$B=AN32,Data!$D:$D=$F32)),""""),"""")"),"")</f>
        <v/>
      </c>
      <c r="BY32" s="69" t="str">
        <f>IFERROR(__xludf.DUMMYFUNCTION("IF($G32&lt;&gt;"""",IFERROR(FILTER(RawTotals!$AJ:$AJ,RawTotals!$A:$A=AO32)-(FILTER(Data!$K:$K,Data!$B:$B=AO32,Data!$D:$D=$G32)+FILTER(Data!$L:$L,Data!$B:$B=AO32,Data!$D:$D=$G32)),""""),"""")"),"")</f>
        <v/>
      </c>
      <c r="BZ32" s="69" t="str">
        <f>IFERROR(__xludf.DUMMYFUNCTION("IF($G32&lt;&gt;"""",IFERROR(FILTER(RawTotals!$AJ:$AJ,RawTotals!$A:$A=AP32)-(FILTER(Data!$K:$K,Data!$B:$B=AP32,Data!$D:$D=$G32)+FILTER(Data!$L:$L,Data!$B:$B=AP32,Data!$D:$D=$G32)),""""),"""")"),"")</f>
        <v/>
      </c>
      <c r="CA32" s="69" t="str">
        <f>IFERROR(__xludf.DUMMYFUNCTION("IF($G32&lt;&gt;"""",IFERROR(FILTER(RawTotals!$AJ:$AJ,RawTotals!$A:$A=AQ32)-(FILTER(Data!$K:$K,Data!$B:$B=AQ32,Data!$D:$D=$G32)+FILTER(Data!$L:$L,Data!$B:$B=AQ32,Data!$D:$D=$G32)),""""),"""")"),"")</f>
        <v/>
      </c>
      <c r="CB32" s="69" t="str">
        <f>IFERROR(__xludf.DUMMYFUNCTION("IF($H32&lt;&gt;"""",IFERROR(FILTER(RawTotals!$AJ:$AJ,RawTotals!$A:$A=AR32)-(FILTER(Data!$K:$K,Data!$B:$B=AR32,Data!$D:$D=$H32)+FILTER(Data!$L:$L,Data!$B:$B=AR32,Data!$D:$D=$H32)),""""),"""")"),"")</f>
        <v/>
      </c>
      <c r="CC32" s="69" t="str">
        <f>IFERROR(__xludf.DUMMYFUNCTION("IF($H32&lt;&gt;"""",IFERROR(FILTER(RawTotals!$AJ:$AJ,RawTotals!$A:$A=AS32)-(FILTER(Data!$K:$K,Data!$B:$B=AS32,Data!$D:$D=$H32)+FILTER(Data!$L:$L,Data!$B:$B=AS32,Data!$D:$D=$H32)),""""),"""")"),"")</f>
        <v/>
      </c>
      <c r="CD32" s="69" t="str">
        <f>IFERROR(__xludf.DUMMYFUNCTION("IF($H32&lt;&gt;"""",IFERROR(FILTER(RawTotals!$AJ:$AJ,RawTotals!$A:$A=AT32)-(FILTER(Data!$K:$K,Data!$B:$B=AT32,Data!$D:$D=$H32)+FILTER(Data!$L:$L,Data!$B:$B=AT32,Data!$D:$D=$H32)),""""),"""")"),"")</f>
        <v/>
      </c>
      <c r="CE32" s="69" t="str">
        <f>IFERROR(__xludf.DUMMYFUNCTION("IF($I32&lt;&gt;"""",IFERROR(FILTER(RawTotals!$AJ:$AJ,RawTotals!$A:$A=AU32)-(FILTER(Data!$K:$K,Data!$B:$B=AU32,Data!$D:$D=$I32)+FILTER(Data!$L:$L,Data!$B:$B=AU32,Data!$D:$D=$I32)),""""),"""")"),"")</f>
        <v/>
      </c>
      <c r="CF32" s="69" t="str">
        <f>IFERROR(__xludf.DUMMYFUNCTION("IF($I32&lt;&gt;"""",IFERROR(FILTER(RawTotals!$AJ:$AJ,RawTotals!$A:$A=AV32)-(FILTER(Data!$K:$K,Data!$B:$B=AV32,Data!$D:$D=$I32)+FILTER(Data!$L:$L,Data!$B:$B=AV32,Data!$D:$D=$I32)),""""),"""")"),"")</f>
        <v/>
      </c>
      <c r="CG32" s="69" t="str">
        <f>IFERROR(__xludf.DUMMYFUNCTION("IF($I32&lt;&gt;"""",IFERROR(FILTER(RawTotals!$AJ:$AJ,RawTotals!$A:$A=AW32)-(FILTER(Data!$K:$K,Data!$B:$B=AW32,Data!$D:$D=$I32)+FILTER(Data!$L:$L,Data!$B:$B=AW32,Data!$D:$D=$I32)),""""),"""")"),"")</f>
        <v/>
      </c>
      <c r="CH32" s="69" t="str">
        <f>IFERROR(__xludf.DUMMYFUNCTION("IF($J32&lt;&gt;"""",IFERROR(FILTER(RawTotals!$AJ:$AJ,RawTotals!$A:$A=AX32)-(FILTER(Data!$K:$K,Data!$B:$B=AX32,Data!$D:$D=$J32)+FILTER(Data!$L:$L,Data!$B:$B=AX32,Data!$D:$D=$J32)),""""),"""")"),"")</f>
        <v/>
      </c>
      <c r="CI32" s="69" t="str">
        <f>IFERROR(__xludf.DUMMYFUNCTION("IF($J32&lt;&gt;"""",IFERROR(FILTER(RawTotals!$AJ:$AJ,RawTotals!$A:$A=AY32)-(FILTER(Data!$K:$K,Data!$B:$B=AY32,Data!$D:$D=$J32)+FILTER(Data!$L:$L,Data!$B:$B=AY32,Data!$D:$D=$J32)),""""),"""")"),"")</f>
        <v/>
      </c>
      <c r="CJ32" s="69" t="str">
        <f>IFERROR(__xludf.DUMMYFUNCTION("IF($J32&lt;&gt;"""",IFERROR(FILTER(RawTotals!$AJ:$AJ,RawTotals!$A:$A=AZ32)-(FILTER(Data!$K:$K,Data!$B:$B=AZ32,Data!$D:$D=$J32)+FILTER(Data!$L:$L,Data!$B:$B=AZ32,Data!$D:$D=$J32)),""""),"""")"),"")</f>
        <v/>
      </c>
      <c r="CK32" s="69" t="str">
        <f>IFERROR(__xludf.DUMMYFUNCTION("IF($K32&lt;&gt;"""",IFERROR(FILTER(RawTotals!$AJ:$AJ,RawTotals!$A:$A=BA32)-(FILTER(Data!$K:$K,Data!$B:$B=BA32,Data!$D:$D=$K32)+FILTER(Data!$L:$L,Data!$B:$B=BA32,Data!$D:$D=$K32)),""""),"""")"),"")</f>
        <v/>
      </c>
      <c r="CL32" s="69" t="str">
        <f>IFERROR(__xludf.DUMMYFUNCTION("IF($K32&lt;&gt;"""",IFERROR(FILTER(RawTotals!$AJ:$AJ,RawTotals!$A:$A=BB32)-(FILTER(Data!$K:$K,Data!$B:$B=BB32,Data!$D:$D=$K32)+FILTER(Data!$L:$L,Data!$B:$B=BB32,Data!$D:$D=$K32)),""""),"""")"),"")</f>
        <v/>
      </c>
      <c r="CM32" s="69" t="str">
        <f>IFERROR(__xludf.DUMMYFUNCTION("IF($K32&lt;&gt;"""",IFERROR(FILTER(RawTotals!$AJ:$AJ,RawTotals!$A:$A=BC32)-(FILTER(Data!$K:$K,Data!$B:$B=BC32,Data!$D:$D=$K32)+FILTER(Data!$L:$L,Data!$B:$B=BC32,Data!$D:$D=$K32)),""""),"""")"),"")</f>
        <v/>
      </c>
      <c r="CN32" s="69" t="str">
        <f>IFERROR(__xludf.DUMMYFUNCTION("IF($L32&lt;&gt;"""",IFERROR((FILTER(RawTotals!$AJ:$AJ,RawTotals!$A:$A=BD32)-(FILTER(Data!$K:$K,Data!$B:$B=BD32,Data!$D:$D=$L32)+FILTER(Data!$L:$L,Data!$B:$B=BD32,Data!$D:$D=$L32))),""""),"""")"),"")</f>
        <v/>
      </c>
      <c r="CO32" s="69" t="str">
        <f>IFERROR(__xludf.DUMMYFUNCTION("IF($L32&lt;&gt;"""",IFERROR((FILTER(RawTotals!$AJ:$AJ,RawTotals!$A:$A=BE32)-(FILTER(Data!$K:$K,Data!$B:$B=BE32,Data!$D:$D=$L32)+FILTER(Data!$L:$L,Data!$B:$B=BE32,Data!$D:$D=$L32))),""""),"""")"),"")</f>
        <v/>
      </c>
      <c r="CP32" s="69" t="str">
        <f>IFERROR(__xludf.DUMMYFUNCTION("IF($L32&lt;&gt;"""",IFERROR((FILTER(RawTotals!$AJ:$AJ,RawTotals!$A:$A=BF32)-(FILTER(Data!$K:$K,Data!$B:$B=BF32,Data!$D:$D=$L32)+FILTER(Data!$L:$L,Data!$B:$B=BF32,Data!$D:$D=$L32))),""""),"""")"),"")</f>
        <v/>
      </c>
      <c r="CQ32" s="69" t="str">
        <f>IFERROR(__xludf.DUMMYFUNCTION("IF($M32&lt;&gt;"""",IFERROR((FILTER(RawTotals!$AJ:$AJ,RawTotals!$A:$A=BG32)-(FILTER(Data!$K:$K,Data!$B:$B=BG32,Data!$D:$D=$M32)+FILTER(Data!$L:$L,Data!$B:$B=BG32,Data!$D:$D=$M32))),""""),"""")"),"")</f>
        <v/>
      </c>
      <c r="CR32" s="69" t="str">
        <f>IFERROR(__xludf.DUMMYFUNCTION("IF($M32&lt;&gt;"""",IFERROR((FILTER(RawTotals!$AJ:$AJ,RawTotals!$A:$A=BH32)-(FILTER(Data!$K:$K,Data!$B:$B=BH32,Data!$D:$D=$M32)+FILTER(Data!$L:$L,Data!$B:$B=BH32,Data!$D:$D=$M32))),""""),"""")"),"")</f>
        <v/>
      </c>
      <c r="CS32" s="70" t="str">
        <f>IFERROR(__xludf.DUMMYFUNCTION("IF($M32&lt;&gt;"""",IFERROR((FILTER(RawTotals!$AJ:$AJ,RawTotals!$A:$A=BI32)-(FILTER(Data!$K:$K,Data!$B:$B=BI32,Data!$D:$D=$M32)+FILTER(Data!$L:$L,Data!$B:$B=BI32,Data!$D:$D=$M32))),""""),"""")"),"")</f>
        <v/>
      </c>
      <c r="CT32" s="69"/>
      <c r="CU32" s="69"/>
      <c r="CV32" s="69"/>
      <c r="CW32" s="69"/>
      <c r="CX32" s="69"/>
      <c r="CY32" s="69"/>
      <c r="CZ32" s="69"/>
      <c r="DA32" s="69"/>
      <c r="DB32" s="69"/>
      <c r="DC32" s="69"/>
      <c r="DD32" s="69"/>
      <c r="DE32" s="69"/>
    </row>
    <row r="33">
      <c r="A33" s="67">
        <f>RawTotals!A33</f>
        <v>1024</v>
      </c>
      <c r="B33" s="68" t="str">
        <f>IFERROR(__xludf.DUMMYFUNCTION("IF(A33&lt;&gt;"""",IFERROR(TRANSPOSE(FILTER(Data!D:D,Data!B:B=A33,Data!R:R&lt;&gt;"""")),""No Defense""),"""")"),"No Defense")</f>
        <v>No Defense</v>
      </c>
      <c r="C33" s="65"/>
      <c r="D33" s="65"/>
      <c r="E33" s="65"/>
      <c r="F33" s="65"/>
      <c r="G33" s="65"/>
      <c r="H33" s="65"/>
      <c r="I33" s="65"/>
      <c r="J33" s="65"/>
      <c r="K33" s="65"/>
      <c r="L33" s="65"/>
      <c r="M33" s="65"/>
      <c r="N33" s="64" t="str">
        <f>IFERROR(__xludf.DUMMYFUNCTION("IFERROR(Textjoin("""",TRUE,FILTER(Data!$R:$R,Data!$D:$D=B33,Data!$B:$B=$A33)),"""")"),"")</f>
        <v/>
      </c>
      <c r="O33" s="64" t="str">
        <f>IFERROR(__xludf.DUMMYFUNCTION("IFERROR(Textjoin("""",TRUE,FILTER(Data!$R:$R,Data!$D:$D=C33,Data!$B:$B=$A33)),"""")"),"")</f>
        <v/>
      </c>
      <c r="P33" s="64" t="str">
        <f>IFERROR(__xludf.DUMMYFUNCTION("IFERROR(Textjoin("""",TRUE,FILTER(Data!$R:$R,Data!$D:$D=D33,Data!$B:$B=$A33)),"""")"),"")</f>
        <v/>
      </c>
      <c r="Q33" s="64" t="str">
        <f>IFERROR(__xludf.DUMMYFUNCTION("IFERROR(Textjoin("""",TRUE,FILTER(Data!$R:$R,Data!$D:$D=E33,Data!$B:$B=$A33)),"""")"),"")</f>
        <v/>
      </c>
      <c r="R33" s="64" t="str">
        <f>IFERROR(__xludf.DUMMYFUNCTION("IFERROR(Textjoin("""",TRUE,FILTER(Data!$R:$R,Data!$D:$D=F33,Data!$B:$B=$A33)),"""")"),"")</f>
        <v/>
      </c>
      <c r="S33" s="64" t="str">
        <f>IFERROR(__xludf.DUMMYFUNCTION("IFERROR(Textjoin("""",TRUE,FILTER(Data!$R:$R,Data!$D:$D=G33,Data!$B:$B=$A33)),"""")"),"")</f>
        <v/>
      </c>
      <c r="T33" s="64" t="str">
        <f>IFERROR(__xludf.DUMMYFUNCTION("IFERROR(Textjoin("""",TRUE,FILTER(Data!$R:$R,Data!$D:$D=H33,Data!$B:$B=$A33)),"""")"),"")</f>
        <v/>
      </c>
      <c r="U33" s="64" t="str">
        <f>IFERROR(__xludf.DUMMYFUNCTION("IFERROR(Textjoin("""",TRUE,FILTER(Data!$R:$R,Data!$D:$D=I33,Data!$B:$B=$A33)),"""")"),"")</f>
        <v/>
      </c>
      <c r="V33" s="64" t="str">
        <f>IFERROR(__xludf.DUMMYFUNCTION("IFERROR(Textjoin("""",TRUE,FILTER(Data!$R:$R,Data!$D:$D=J33,Data!$B:$B=$A33)),"""")"),"")</f>
        <v/>
      </c>
      <c r="W33" s="64" t="str">
        <f>IFERROR(__xludf.DUMMYFUNCTION("IFERROR(Textjoin("""",TRUE,FILTER(Data!$R:$R,Data!$D:$D=K33,Data!$B:$B=$A33)),"""")"),"")</f>
        <v/>
      </c>
      <c r="X33" s="64" t="str">
        <f>IFERROR(__xludf.DUMMYFUNCTION("IFERROR(Textjoin("""",TRUE,FILTER(Data!$R:$R,Data!$D:$D=L33,Data!$B:$B=$A33)),"""")"),"")</f>
        <v/>
      </c>
      <c r="Y33" s="64" t="str">
        <f>IFERROR(__xludf.DUMMYFUNCTION("IFERROR(Textjoin("""",TRUE,FILTER(Data!$R:$R,Data!$D:$D=M33,Data!$B:$B=$A33)),"""")"),"")</f>
        <v/>
      </c>
      <c r="Z33" s="64" t="str">
        <f>IFERROR(__xludf.DUMMYFUNCTION("IFERROR(SPLIT(N33,"",""),"""")"),"")</f>
        <v/>
      </c>
      <c r="AA33" s="65"/>
      <c r="AB33" s="65"/>
      <c r="AC33" s="69" t="str">
        <f>IFERROR(__xludf.DUMMYFUNCTION("IFERROR(SPLIT(O33,"",""),"""")"),"")</f>
        <v/>
      </c>
      <c r="AD33" s="65"/>
      <c r="AE33" s="65"/>
      <c r="AF33" s="69" t="str">
        <f>IFERROR(__xludf.DUMMYFUNCTION("IFERROR(SPLIT(P33,"",""),"""")"),"")</f>
        <v/>
      </c>
      <c r="AG33" s="65"/>
      <c r="AH33" s="65"/>
      <c r="AI33" s="69" t="str">
        <f>IFERROR(__xludf.DUMMYFUNCTION("IFERROR(SPLIT(Q33,"",""),"""")"),"")</f>
        <v/>
      </c>
      <c r="AJ33" s="65"/>
      <c r="AK33" s="65"/>
      <c r="AL33" s="69" t="str">
        <f>IFERROR(__xludf.DUMMYFUNCTION("IFERROR(SPLIT(R33,"",""),"""")"),"")</f>
        <v/>
      </c>
      <c r="AM33" s="65"/>
      <c r="AN33" s="65"/>
      <c r="AO33" s="69" t="str">
        <f>IFERROR(__xludf.DUMMYFUNCTION("IFERROR(SPLIT(S33,"",""),"""")"),"")</f>
        <v/>
      </c>
      <c r="AP33" s="65"/>
      <c r="AQ33" s="65"/>
      <c r="AR33" s="69" t="str">
        <f>IFERROR(__xludf.DUMMYFUNCTION("IFERROR(SPLIT(T33,"",""),"""")"),"")</f>
        <v/>
      </c>
      <c r="AS33" s="65"/>
      <c r="AT33" s="65"/>
      <c r="AU33" s="69" t="str">
        <f>IFERROR(__xludf.DUMMYFUNCTION("IFERROR(SPLIT(U33,"",""),"""")"),"")</f>
        <v/>
      </c>
      <c r="AV33" s="65"/>
      <c r="AW33" s="65"/>
      <c r="AX33" s="69" t="str">
        <f>IFERROR(__xludf.DUMMYFUNCTION("IFERROR(SPLIT(V33,"",""),"""")"),"")</f>
        <v/>
      </c>
      <c r="AY33" s="65"/>
      <c r="AZ33" s="65"/>
      <c r="BA33" s="69" t="str">
        <f>IFERROR(__xludf.DUMMYFUNCTION("IFERROR(SPLIT(W33,"",""),"""")"),"")</f>
        <v/>
      </c>
      <c r="BB33" s="69"/>
      <c r="BC33" s="69"/>
      <c r="BD33" s="69" t="str">
        <f>IFERROR(__xludf.DUMMYFUNCTION("IFERROR(SPLIT(X33,"",""),"""")"),"")</f>
        <v/>
      </c>
      <c r="BE33" s="69"/>
      <c r="BF33" s="69"/>
      <c r="BG33" s="69" t="str">
        <f>IFERROR(__xludf.DUMMYFUNCTION("IFERROR(SPLIT(Y33,"",""),"""")"),"")</f>
        <v/>
      </c>
      <c r="BH33" s="69"/>
      <c r="BI33" s="69"/>
      <c r="BJ33" s="68" t="str">
        <f>IFERROR(__xludf.DUMMYFUNCTION("IF($B33&lt;&gt;"""",IFERROR(FILTER(RawTotals!$AJ:$AJ,RawTotals!$A:$A=Z33)-(FILTER(Data!$K:$K,Data!$B:$B=Z33,Data!$D:$D=$B33)+FILTER(Data!$L:$L,Data!$B:$B=Z33,Data!$D:$D=$B33)),""""),"""")"),"")</f>
        <v/>
      </c>
      <c r="BK33" s="68" t="str">
        <f>IFERROR(__xludf.DUMMYFUNCTION("IF($B33&lt;&gt;"""",IFERROR(FILTER(RawTotals!$AJ:$AJ,RawTotals!$A:$A=AA33)-(FILTER(Data!$K:$K,Data!$B:$B=AA33,Data!$D:$D=$B33)+FILTER(Data!$L:$L,Data!$B:$B=AA33,Data!$D:$D=$B33)),""""),"""")"),"")</f>
        <v/>
      </c>
      <c r="BL33" s="68" t="str">
        <f>IFERROR(__xludf.DUMMYFUNCTION("IF($B33&lt;&gt;"""",IFERROR(FILTER(RawTotals!$AJ:$AJ,RawTotals!$A:$A=AB33)-(FILTER(Data!$K:$K,Data!$B:$B=AB33,Data!$D:$D=$B33)+FILTER(Data!$L:$L,Data!$B:$B=AB33,Data!$D:$D=$B33)),""""),"""")"),"")</f>
        <v/>
      </c>
      <c r="BM33" s="69" t="str">
        <f>IFERROR(__xludf.DUMMYFUNCTION("IF($C33&lt;&gt;"""",IFERROR(FILTER(RawTotals!$AJ:$AJ,RawTotals!$A:$A=AC33)-(FILTER(Data!$K:$K,Data!$B:$B=AC33,Data!$D:$D=$C33)+FILTER(Data!$L:$L,Data!$B:$B=AC33,Data!$D:$D=$C33)),""""),"""")"),"")</f>
        <v/>
      </c>
      <c r="BN33" s="69" t="str">
        <f>IFERROR(__xludf.DUMMYFUNCTION("IF($C33&lt;&gt;"""",IFERROR(FILTER(RawTotals!$AJ:$AJ,RawTotals!$A:$A=AD33)-(FILTER(Data!$K:$K,Data!$B:$B=AD33,Data!$D:$D=$C33)+FILTER(Data!$L:$L,Data!$B:$B=AD33,Data!$D:$D=$C33)),""""),"""")"),"")</f>
        <v/>
      </c>
      <c r="BO33" s="69" t="str">
        <f>IFERROR(__xludf.DUMMYFUNCTION("IF($C33&lt;&gt;"""",IFERROR(FILTER(RawTotals!$AJ:$AJ,RawTotals!$A:$A=AE33)-(FILTER(Data!$K:$K,Data!$B:$B=AE33,Data!$D:$D=$C33)+FILTER(Data!$L:$L,Data!$B:$B=AE33,Data!$D:$D=$C33)),""""),"""")"),"")</f>
        <v/>
      </c>
      <c r="BP33" s="69" t="str">
        <f>IFERROR(__xludf.DUMMYFUNCTION("IF($D33&lt;&gt;"""",IFERROR(FILTER(RawTotals!$AJ:$AJ,RawTotals!$A:$A=AF33)-(FILTER(Data!$K:$K,Data!$B:$B=AF33,Data!$D:$D=$D33)+FILTER(Data!$L:$L,Data!$B:$B=AF33,Data!$D:$D=$D33)),""""),"""")"),"")</f>
        <v/>
      </c>
      <c r="BQ33" s="69" t="str">
        <f>IFERROR(__xludf.DUMMYFUNCTION("IF($D33&lt;&gt;"""",IFERROR(FILTER(RawTotals!$AJ:$AJ,RawTotals!$A:$A=AG33)-(FILTER(Data!$K:$K,Data!$B:$B=AG33,Data!$D:$D=$D33)+FILTER(Data!$L:$L,Data!$B:$B=AG33,Data!$D:$D=$D33)),""""),"""")"),"")</f>
        <v/>
      </c>
      <c r="BR33" s="69" t="str">
        <f>IFERROR(__xludf.DUMMYFUNCTION("IF($D33&lt;&gt;"""",IFERROR(FILTER(RawTotals!$AJ:$AJ,RawTotals!$A:$A=AH33)-(FILTER(Data!$K:$K,Data!$B:$B=AH33,Data!$D:$D=$D33)+FILTER(Data!$L:$L,Data!$B:$B=AH33,Data!$D:$D=$D33)),""""),"""")"),"")</f>
        <v/>
      </c>
      <c r="BS33" s="69" t="str">
        <f>IFERROR(__xludf.DUMMYFUNCTION("IF($E33&lt;&gt;"""",IFERROR(FILTER(RawTotals!$AJ:$AJ,RawTotals!$A:$A=AI33)-(FILTER(Data!$K:$K,Data!$B:$B=AI33,Data!$D:$D=$E33)+FILTER(Data!$L:$L,Data!$B:$B=AI33,Data!$D:$D=$E33)),""""),"""")"),"")</f>
        <v/>
      </c>
      <c r="BT33" s="69" t="str">
        <f>IFERROR(__xludf.DUMMYFUNCTION("IF($E33&lt;&gt;"""",IFERROR(FILTER(RawTotals!$AJ:$AJ,RawTotals!$A:$A=AJ33)-(FILTER(Data!$K:$K,Data!$B:$B=AJ33,Data!$D:$D=$E33)+FILTER(Data!$L:$L,Data!$B:$B=AJ33,Data!$D:$D=$E33)),""""),"""")"),"")</f>
        <v/>
      </c>
      <c r="BU33" s="69" t="str">
        <f>IFERROR(__xludf.DUMMYFUNCTION("IF($E33&lt;&gt;"""",IFERROR(FILTER(RawTotals!$AJ:$AJ,RawTotals!$A:$A=AK33)-(FILTER(Data!$K:$K,Data!$B:$B=AK33,Data!$D:$D=$E33)+FILTER(Data!$L:$L,Data!$B:$B=AK33,Data!$D:$D=$E33)),""""),"""")"),"")</f>
        <v/>
      </c>
      <c r="BV33" s="69" t="str">
        <f>IFERROR(__xludf.DUMMYFUNCTION("IF($F33&lt;&gt;"""",IFERROR(FILTER(RawTotals!$AJ:$AJ,RawTotals!$A:$A=AL33)-(FILTER(Data!$K:$K,Data!$B:$B=AL33,Data!$D:$D=$F33)+FILTER(Data!$L:$L,Data!$B:$B=AL33,Data!$D:$D=$F33)),""""),"""")"),"")</f>
        <v/>
      </c>
      <c r="BW33" s="69" t="str">
        <f>IFERROR(__xludf.DUMMYFUNCTION("IF($F33&lt;&gt;"""",IFERROR(FILTER(RawTotals!$AJ:$AJ,RawTotals!$A:$A=AM33)-(FILTER(Data!$K:$K,Data!$B:$B=AM33,Data!$D:$D=$F33)+FILTER(Data!$L:$L,Data!$B:$B=AM33,Data!$D:$D=$F33)),""""),"""")"),"")</f>
        <v/>
      </c>
      <c r="BX33" s="69" t="str">
        <f>IFERROR(__xludf.DUMMYFUNCTION("IF($F33&lt;&gt;"""",IFERROR(FILTER(RawTotals!$AJ:$AJ,RawTotals!$A:$A=AN33)-(FILTER(Data!$K:$K,Data!$B:$B=AN33,Data!$D:$D=$F33)+FILTER(Data!$L:$L,Data!$B:$B=AN33,Data!$D:$D=$F33)),""""),"""")"),"")</f>
        <v/>
      </c>
      <c r="BY33" s="69" t="str">
        <f>IFERROR(__xludf.DUMMYFUNCTION("IF($G33&lt;&gt;"""",IFERROR(FILTER(RawTotals!$AJ:$AJ,RawTotals!$A:$A=AO33)-(FILTER(Data!$K:$K,Data!$B:$B=AO33,Data!$D:$D=$G33)+FILTER(Data!$L:$L,Data!$B:$B=AO33,Data!$D:$D=$G33)),""""),"""")"),"")</f>
        <v/>
      </c>
      <c r="BZ33" s="69" t="str">
        <f>IFERROR(__xludf.DUMMYFUNCTION("IF($G33&lt;&gt;"""",IFERROR(FILTER(RawTotals!$AJ:$AJ,RawTotals!$A:$A=AP33)-(FILTER(Data!$K:$K,Data!$B:$B=AP33,Data!$D:$D=$G33)+FILTER(Data!$L:$L,Data!$B:$B=AP33,Data!$D:$D=$G33)),""""),"""")"),"")</f>
        <v/>
      </c>
      <c r="CA33" s="69" t="str">
        <f>IFERROR(__xludf.DUMMYFUNCTION("IF($G33&lt;&gt;"""",IFERROR(FILTER(RawTotals!$AJ:$AJ,RawTotals!$A:$A=AQ33)-(FILTER(Data!$K:$K,Data!$B:$B=AQ33,Data!$D:$D=$G33)+FILTER(Data!$L:$L,Data!$B:$B=AQ33,Data!$D:$D=$G33)),""""),"""")"),"")</f>
        <v/>
      </c>
      <c r="CB33" s="69" t="str">
        <f>IFERROR(__xludf.DUMMYFUNCTION("IF($H33&lt;&gt;"""",IFERROR(FILTER(RawTotals!$AJ:$AJ,RawTotals!$A:$A=AR33)-(FILTER(Data!$K:$K,Data!$B:$B=AR33,Data!$D:$D=$H33)+FILTER(Data!$L:$L,Data!$B:$B=AR33,Data!$D:$D=$H33)),""""),"""")"),"")</f>
        <v/>
      </c>
      <c r="CC33" s="69" t="str">
        <f>IFERROR(__xludf.DUMMYFUNCTION("IF($H33&lt;&gt;"""",IFERROR(FILTER(RawTotals!$AJ:$AJ,RawTotals!$A:$A=AS33)-(FILTER(Data!$K:$K,Data!$B:$B=AS33,Data!$D:$D=$H33)+FILTER(Data!$L:$L,Data!$B:$B=AS33,Data!$D:$D=$H33)),""""),"""")"),"")</f>
        <v/>
      </c>
      <c r="CD33" s="69" t="str">
        <f>IFERROR(__xludf.DUMMYFUNCTION("IF($H33&lt;&gt;"""",IFERROR(FILTER(RawTotals!$AJ:$AJ,RawTotals!$A:$A=AT33)-(FILTER(Data!$K:$K,Data!$B:$B=AT33,Data!$D:$D=$H33)+FILTER(Data!$L:$L,Data!$B:$B=AT33,Data!$D:$D=$H33)),""""),"""")"),"")</f>
        <v/>
      </c>
      <c r="CE33" s="69" t="str">
        <f>IFERROR(__xludf.DUMMYFUNCTION("IF($I33&lt;&gt;"""",IFERROR(FILTER(RawTotals!$AJ:$AJ,RawTotals!$A:$A=AU33)-(FILTER(Data!$K:$K,Data!$B:$B=AU33,Data!$D:$D=$I33)+FILTER(Data!$L:$L,Data!$B:$B=AU33,Data!$D:$D=$I33)),""""),"""")"),"")</f>
        <v/>
      </c>
      <c r="CF33" s="69" t="str">
        <f>IFERROR(__xludf.DUMMYFUNCTION("IF($I33&lt;&gt;"""",IFERROR(FILTER(RawTotals!$AJ:$AJ,RawTotals!$A:$A=AV33)-(FILTER(Data!$K:$K,Data!$B:$B=AV33,Data!$D:$D=$I33)+FILTER(Data!$L:$L,Data!$B:$B=AV33,Data!$D:$D=$I33)),""""),"""")"),"")</f>
        <v/>
      </c>
      <c r="CG33" s="69" t="str">
        <f>IFERROR(__xludf.DUMMYFUNCTION("IF($I33&lt;&gt;"""",IFERROR(FILTER(RawTotals!$AJ:$AJ,RawTotals!$A:$A=AW33)-(FILTER(Data!$K:$K,Data!$B:$B=AW33,Data!$D:$D=$I33)+FILTER(Data!$L:$L,Data!$B:$B=AW33,Data!$D:$D=$I33)),""""),"""")"),"")</f>
        <v/>
      </c>
      <c r="CH33" s="69" t="str">
        <f>IFERROR(__xludf.DUMMYFUNCTION("IF($J33&lt;&gt;"""",IFERROR(FILTER(RawTotals!$AJ:$AJ,RawTotals!$A:$A=AX33)-(FILTER(Data!$K:$K,Data!$B:$B=AX33,Data!$D:$D=$J33)+FILTER(Data!$L:$L,Data!$B:$B=AX33,Data!$D:$D=$J33)),""""),"""")"),"")</f>
        <v/>
      </c>
      <c r="CI33" s="69" t="str">
        <f>IFERROR(__xludf.DUMMYFUNCTION("IF($J33&lt;&gt;"""",IFERROR(FILTER(RawTotals!$AJ:$AJ,RawTotals!$A:$A=AY33)-(FILTER(Data!$K:$K,Data!$B:$B=AY33,Data!$D:$D=$J33)+FILTER(Data!$L:$L,Data!$B:$B=AY33,Data!$D:$D=$J33)),""""),"""")"),"")</f>
        <v/>
      </c>
      <c r="CJ33" s="69" t="str">
        <f>IFERROR(__xludf.DUMMYFUNCTION("IF($J33&lt;&gt;"""",IFERROR(FILTER(RawTotals!$AJ:$AJ,RawTotals!$A:$A=AZ33)-(FILTER(Data!$K:$K,Data!$B:$B=AZ33,Data!$D:$D=$J33)+FILTER(Data!$L:$L,Data!$B:$B=AZ33,Data!$D:$D=$J33)),""""),"""")"),"")</f>
        <v/>
      </c>
      <c r="CK33" s="69" t="str">
        <f>IFERROR(__xludf.DUMMYFUNCTION("IF($K33&lt;&gt;"""",IFERROR(FILTER(RawTotals!$AJ:$AJ,RawTotals!$A:$A=BA33)-(FILTER(Data!$K:$K,Data!$B:$B=BA33,Data!$D:$D=$K33)+FILTER(Data!$L:$L,Data!$B:$B=BA33,Data!$D:$D=$K33)),""""),"""")"),"")</f>
        <v/>
      </c>
      <c r="CL33" s="69" t="str">
        <f>IFERROR(__xludf.DUMMYFUNCTION("IF($K33&lt;&gt;"""",IFERROR(FILTER(RawTotals!$AJ:$AJ,RawTotals!$A:$A=BB33)-(FILTER(Data!$K:$K,Data!$B:$B=BB33,Data!$D:$D=$K33)+FILTER(Data!$L:$L,Data!$B:$B=BB33,Data!$D:$D=$K33)),""""),"""")"),"")</f>
        <v/>
      </c>
      <c r="CM33" s="69" t="str">
        <f>IFERROR(__xludf.DUMMYFUNCTION("IF($K33&lt;&gt;"""",IFERROR(FILTER(RawTotals!$AJ:$AJ,RawTotals!$A:$A=BC33)-(FILTER(Data!$K:$K,Data!$B:$B=BC33,Data!$D:$D=$K33)+FILTER(Data!$L:$L,Data!$B:$B=BC33,Data!$D:$D=$K33)),""""),"""")"),"")</f>
        <v/>
      </c>
      <c r="CN33" s="69" t="str">
        <f>IFERROR(__xludf.DUMMYFUNCTION("IF($L33&lt;&gt;"""",IFERROR((FILTER(RawTotals!$AJ:$AJ,RawTotals!$A:$A=BD33)-(FILTER(Data!$K:$K,Data!$B:$B=BD33,Data!$D:$D=$L33)+FILTER(Data!$L:$L,Data!$B:$B=BD33,Data!$D:$D=$L33))),""""),"""")"),"")</f>
        <v/>
      </c>
      <c r="CO33" s="69" t="str">
        <f>IFERROR(__xludf.DUMMYFUNCTION("IF($L33&lt;&gt;"""",IFERROR((FILTER(RawTotals!$AJ:$AJ,RawTotals!$A:$A=BE33)-(FILTER(Data!$K:$K,Data!$B:$B=BE33,Data!$D:$D=$L33)+FILTER(Data!$L:$L,Data!$B:$B=BE33,Data!$D:$D=$L33))),""""),"""")"),"")</f>
        <v/>
      </c>
      <c r="CP33" s="69" t="str">
        <f>IFERROR(__xludf.DUMMYFUNCTION("IF($L33&lt;&gt;"""",IFERROR((FILTER(RawTotals!$AJ:$AJ,RawTotals!$A:$A=BF33)-(FILTER(Data!$K:$K,Data!$B:$B=BF33,Data!$D:$D=$L33)+FILTER(Data!$L:$L,Data!$B:$B=BF33,Data!$D:$D=$L33))),""""),"""")"),"")</f>
        <v/>
      </c>
      <c r="CQ33" s="69" t="str">
        <f>IFERROR(__xludf.DUMMYFUNCTION("IF($M33&lt;&gt;"""",IFERROR((FILTER(RawTotals!$AJ:$AJ,RawTotals!$A:$A=BG33)-(FILTER(Data!$K:$K,Data!$B:$B=BG33,Data!$D:$D=$M33)+FILTER(Data!$L:$L,Data!$B:$B=BG33,Data!$D:$D=$M33))),""""),"""")"),"")</f>
        <v/>
      </c>
      <c r="CR33" s="69" t="str">
        <f>IFERROR(__xludf.DUMMYFUNCTION("IF($M33&lt;&gt;"""",IFERROR((FILTER(RawTotals!$AJ:$AJ,RawTotals!$A:$A=BH33)-(FILTER(Data!$K:$K,Data!$B:$B=BH33,Data!$D:$D=$M33)+FILTER(Data!$L:$L,Data!$B:$B=BH33,Data!$D:$D=$M33))),""""),"""")"),"")</f>
        <v/>
      </c>
      <c r="CS33" s="70" t="str">
        <f>IFERROR(__xludf.DUMMYFUNCTION("IF($M33&lt;&gt;"""",IFERROR((FILTER(RawTotals!$AJ:$AJ,RawTotals!$A:$A=BI33)-(FILTER(Data!$K:$K,Data!$B:$B=BI33,Data!$D:$D=$M33)+FILTER(Data!$L:$L,Data!$B:$B=BI33,Data!$D:$D=$M33))),""""),"""")"),"")</f>
        <v/>
      </c>
      <c r="CT33" s="69"/>
      <c r="CU33" s="69"/>
      <c r="CV33" s="69"/>
      <c r="CW33" s="69"/>
      <c r="CX33" s="69"/>
      <c r="CY33" s="69"/>
      <c r="CZ33" s="69"/>
      <c r="DA33" s="69"/>
      <c r="DB33" s="69"/>
      <c r="DC33" s="69"/>
      <c r="DD33" s="69"/>
      <c r="DE33" s="69"/>
    </row>
    <row r="34">
      <c r="A34" s="67">
        <f>RawTotals!A34</f>
        <v>4926</v>
      </c>
      <c r="B34" s="68" t="str">
        <f>IFERROR(__xludf.DUMMYFUNCTION("IF(A34&lt;&gt;"""",IFERROR(TRANSPOSE(FILTER(Data!D:D,Data!B:B=A34,Data!R:R&lt;&gt;"""")),""No Defense""),"""")"),"No Defense")</f>
        <v>No Defense</v>
      </c>
      <c r="C34" s="65"/>
      <c r="D34" s="65"/>
      <c r="E34" s="65"/>
      <c r="F34" s="65"/>
      <c r="G34" s="65"/>
      <c r="H34" s="65"/>
      <c r="I34" s="65"/>
      <c r="J34" s="65"/>
      <c r="K34" s="65"/>
      <c r="L34" s="65"/>
      <c r="M34" s="65"/>
      <c r="N34" s="64" t="str">
        <f>IFERROR(__xludf.DUMMYFUNCTION("IFERROR(Textjoin("""",TRUE,FILTER(Data!$R:$R,Data!$D:$D=B34,Data!$B:$B=$A34)),"""")"),"")</f>
        <v/>
      </c>
      <c r="O34" s="64" t="str">
        <f>IFERROR(__xludf.DUMMYFUNCTION("IFERROR(Textjoin("""",TRUE,FILTER(Data!$R:$R,Data!$D:$D=C34,Data!$B:$B=$A34)),"""")"),"")</f>
        <v/>
      </c>
      <c r="P34" s="64" t="str">
        <f>IFERROR(__xludf.DUMMYFUNCTION("IFERROR(Textjoin("""",TRUE,FILTER(Data!$R:$R,Data!$D:$D=D34,Data!$B:$B=$A34)),"""")"),"")</f>
        <v/>
      </c>
      <c r="Q34" s="64" t="str">
        <f>IFERROR(__xludf.DUMMYFUNCTION("IFERROR(Textjoin("""",TRUE,FILTER(Data!$R:$R,Data!$D:$D=E34,Data!$B:$B=$A34)),"""")"),"")</f>
        <v/>
      </c>
      <c r="R34" s="64" t="str">
        <f>IFERROR(__xludf.DUMMYFUNCTION("IFERROR(Textjoin("""",TRUE,FILTER(Data!$R:$R,Data!$D:$D=F34,Data!$B:$B=$A34)),"""")"),"")</f>
        <v/>
      </c>
      <c r="S34" s="64" t="str">
        <f>IFERROR(__xludf.DUMMYFUNCTION("IFERROR(Textjoin("""",TRUE,FILTER(Data!$R:$R,Data!$D:$D=G34,Data!$B:$B=$A34)),"""")"),"")</f>
        <v/>
      </c>
      <c r="T34" s="64" t="str">
        <f>IFERROR(__xludf.DUMMYFUNCTION("IFERROR(Textjoin("""",TRUE,FILTER(Data!$R:$R,Data!$D:$D=H34,Data!$B:$B=$A34)),"""")"),"")</f>
        <v/>
      </c>
      <c r="U34" s="64" t="str">
        <f>IFERROR(__xludf.DUMMYFUNCTION("IFERROR(Textjoin("""",TRUE,FILTER(Data!$R:$R,Data!$D:$D=I34,Data!$B:$B=$A34)),"""")"),"")</f>
        <v/>
      </c>
      <c r="V34" s="64" t="str">
        <f>IFERROR(__xludf.DUMMYFUNCTION("IFERROR(Textjoin("""",TRUE,FILTER(Data!$R:$R,Data!$D:$D=J34,Data!$B:$B=$A34)),"""")"),"")</f>
        <v/>
      </c>
      <c r="W34" s="64" t="str">
        <f>IFERROR(__xludf.DUMMYFUNCTION("IFERROR(Textjoin("""",TRUE,FILTER(Data!$R:$R,Data!$D:$D=K34,Data!$B:$B=$A34)),"""")"),"")</f>
        <v/>
      </c>
      <c r="X34" s="64" t="str">
        <f>IFERROR(__xludf.DUMMYFUNCTION("IFERROR(Textjoin("""",TRUE,FILTER(Data!$R:$R,Data!$D:$D=L34,Data!$B:$B=$A34)),"""")"),"")</f>
        <v/>
      </c>
      <c r="Y34" s="64" t="str">
        <f>IFERROR(__xludf.DUMMYFUNCTION("IFERROR(Textjoin("""",TRUE,FILTER(Data!$R:$R,Data!$D:$D=M34,Data!$B:$B=$A34)),"""")"),"")</f>
        <v/>
      </c>
      <c r="Z34" s="64" t="str">
        <f>IFERROR(__xludf.DUMMYFUNCTION("IFERROR(SPLIT(N34,"",""),"""")"),"")</f>
        <v/>
      </c>
      <c r="AA34" s="65"/>
      <c r="AB34" s="65"/>
      <c r="AC34" s="69" t="str">
        <f>IFERROR(__xludf.DUMMYFUNCTION("IFERROR(SPLIT(O34,"",""),"""")"),"")</f>
        <v/>
      </c>
      <c r="AD34" s="65"/>
      <c r="AE34" s="65"/>
      <c r="AF34" s="69" t="str">
        <f>IFERROR(__xludf.DUMMYFUNCTION("IFERROR(SPLIT(P34,"",""),"""")"),"")</f>
        <v/>
      </c>
      <c r="AG34" s="65"/>
      <c r="AH34" s="65"/>
      <c r="AI34" s="69" t="str">
        <f>IFERROR(__xludf.DUMMYFUNCTION("IFERROR(SPLIT(Q34,"",""),"""")"),"")</f>
        <v/>
      </c>
      <c r="AJ34" s="65"/>
      <c r="AK34" s="65"/>
      <c r="AL34" s="69" t="str">
        <f>IFERROR(__xludf.DUMMYFUNCTION("IFERROR(SPLIT(R34,"",""),"""")"),"")</f>
        <v/>
      </c>
      <c r="AM34" s="65"/>
      <c r="AN34" s="65"/>
      <c r="AO34" s="69" t="str">
        <f>IFERROR(__xludf.DUMMYFUNCTION("IFERROR(SPLIT(S34,"",""),"""")"),"")</f>
        <v/>
      </c>
      <c r="AP34" s="65"/>
      <c r="AQ34" s="65"/>
      <c r="AR34" s="69" t="str">
        <f>IFERROR(__xludf.DUMMYFUNCTION("IFERROR(SPLIT(T34,"",""),"""")"),"")</f>
        <v/>
      </c>
      <c r="AS34" s="65"/>
      <c r="AT34" s="65"/>
      <c r="AU34" s="69" t="str">
        <f>IFERROR(__xludf.DUMMYFUNCTION("IFERROR(SPLIT(U34,"",""),"""")"),"")</f>
        <v/>
      </c>
      <c r="AV34" s="65"/>
      <c r="AW34" s="65"/>
      <c r="AX34" s="69" t="str">
        <f>IFERROR(__xludf.DUMMYFUNCTION("IFERROR(SPLIT(V34,"",""),"""")"),"")</f>
        <v/>
      </c>
      <c r="AY34" s="65"/>
      <c r="AZ34" s="65"/>
      <c r="BA34" s="69" t="str">
        <f>IFERROR(__xludf.DUMMYFUNCTION("IFERROR(SPLIT(W34,"",""),"""")"),"")</f>
        <v/>
      </c>
      <c r="BB34" s="69"/>
      <c r="BC34" s="69"/>
      <c r="BD34" s="69" t="str">
        <f>IFERROR(__xludf.DUMMYFUNCTION("IFERROR(SPLIT(X34,"",""),"""")"),"")</f>
        <v/>
      </c>
      <c r="BE34" s="69"/>
      <c r="BF34" s="69"/>
      <c r="BG34" s="69" t="str">
        <f>IFERROR(__xludf.DUMMYFUNCTION("IFERROR(SPLIT(Y34,"",""),"""")"),"")</f>
        <v/>
      </c>
      <c r="BH34" s="69"/>
      <c r="BI34" s="69"/>
      <c r="BJ34" s="68" t="str">
        <f>IFERROR(__xludf.DUMMYFUNCTION("IF($B34&lt;&gt;"""",IFERROR(FILTER(RawTotals!$AJ:$AJ,RawTotals!$A:$A=Z34)-(FILTER(Data!$K:$K,Data!$B:$B=Z34,Data!$D:$D=$B34)+FILTER(Data!$L:$L,Data!$B:$B=Z34,Data!$D:$D=$B34)),""""),"""")"),"")</f>
        <v/>
      </c>
      <c r="BK34" s="68" t="str">
        <f>IFERROR(__xludf.DUMMYFUNCTION("IF($B34&lt;&gt;"""",IFERROR(FILTER(RawTotals!$AJ:$AJ,RawTotals!$A:$A=AA34)-(FILTER(Data!$K:$K,Data!$B:$B=AA34,Data!$D:$D=$B34)+FILTER(Data!$L:$L,Data!$B:$B=AA34,Data!$D:$D=$B34)),""""),"""")"),"")</f>
        <v/>
      </c>
      <c r="BL34" s="68" t="str">
        <f>IFERROR(__xludf.DUMMYFUNCTION("IF($B34&lt;&gt;"""",IFERROR(FILTER(RawTotals!$AJ:$AJ,RawTotals!$A:$A=AB34)-(FILTER(Data!$K:$K,Data!$B:$B=AB34,Data!$D:$D=$B34)+FILTER(Data!$L:$L,Data!$B:$B=AB34,Data!$D:$D=$B34)),""""),"""")"),"")</f>
        <v/>
      </c>
      <c r="BM34" s="69" t="str">
        <f>IFERROR(__xludf.DUMMYFUNCTION("IF($C34&lt;&gt;"""",IFERROR(FILTER(RawTotals!$AJ:$AJ,RawTotals!$A:$A=AC34)-(FILTER(Data!$K:$K,Data!$B:$B=AC34,Data!$D:$D=$C34)+FILTER(Data!$L:$L,Data!$B:$B=AC34,Data!$D:$D=$C34)),""""),"""")"),"")</f>
        <v/>
      </c>
      <c r="BN34" s="69" t="str">
        <f>IFERROR(__xludf.DUMMYFUNCTION("IF($C34&lt;&gt;"""",IFERROR(FILTER(RawTotals!$AJ:$AJ,RawTotals!$A:$A=AD34)-(FILTER(Data!$K:$K,Data!$B:$B=AD34,Data!$D:$D=$C34)+FILTER(Data!$L:$L,Data!$B:$B=AD34,Data!$D:$D=$C34)),""""),"""")"),"")</f>
        <v/>
      </c>
      <c r="BO34" s="69" t="str">
        <f>IFERROR(__xludf.DUMMYFUNCTION("IF($C34&lt;&gt;"""",IFERROR(FILTER(RawTotals!$AJ:$AJ,RawTotals!$A:$A=AE34)-(FILTER(Data!$K:$K,Data!$B:$B=AE34,Data!$D:$D=$C34)+FILTER(Data!$L:$L,Data!$B:$B=AE34,Data!$D:$D=$C34)),""""),"""")"),"")</f>
        <v/>
      </c>
      <c r="BP34" s="69" t="str">
        <f>IFERROR(__xludf.DUMMYFUNCTION("IF($D34&lt;&gt;"""",IFERROR(FILTER(RawTotals!$AJ:$AJ,RawTotals!$A:$A=AF34)-(FILTER(Data!$K:$K,Data!$B:$B=AF34,Data!$D:$D=$D34)+FILTER(Data!$L:$L,Data!$B:$B=AF34,Data!$D:$D=$D34)),""""),"""")"),"")</f>
        <v/>
      </c>
      <c r="BQ34" s="69" t="str">
        <f>IFERROR(__xludf.DUMMYFUNCTION("IF($D34&lt;&gt;"""",IFERROR(FILTER(RawTotals!$AJ:$AJ,RawTotals!$A:$A=AG34)-(FILTER(Data!$K:$K,Data!$B:$B=AG34,Data!$D:$D=$D34)+FILTER(Data!$L:$L,Data!$B:$B=AG34,Data!$D:$D=$D34)),""""),"""")"),"")</f>
        <v/>
      </c>
      <c r="BR34" s="69" t="str">
        <f>IFERROR(__xludf.DUMMYFUNCTION("IF($D34&lt;&gt;"""",IFERROR(FILTER(RawTotals!$AJ:$AJ,RawTotals!$A:$A=AH34)-(FILTER(Data!$K:$K,Data!$B:$B=AH34,Data!$D:$D=$D34)+FILTER(Data!$L:$L,Data!$B:$B=AH34,Data!$D:$D=$D34)),""""),"""")"),"")</f>
        <v/>
      </c>
      <c r="BS34" s="69" t="str">
        <f>IFERROR(__xludf.DUMMYFUNCTION("IF($E34&lt;&gt;"""",IFERROR(FILTER(RawTotals!$AJ:$AJ,RawTotals!$A:$A=AI34)-(FILTER(Data!$K:$K,Data!$B:$B=AI34,Data!$D:$D=$E34)+FILTER(Data!$L:$L,Data!$B:$B=AI34,Data!$D:$D=$E34)),""""),"""")"),"")</f>
        <v/>
      </c>
      <c r="BT34" s="69" t="str">
        <f>IFERROR(__xludf.DUMMYFUNCTION("IF($E34&lt;&gt;"""",IFERROR(FILTER(RawTotals!$AJ:$AJ,RawTotals!$A:$A=AJ34)-(FILTER(Data!$K:$K,Data!$B:$B=AJ34,Data!$D:$D=$E34)+FILTER(Data!$L:$L,Data!$B:$B=AJ34,Data!$D:$D=$E34)),""""),"""")"),"")</f>
        <v/>
      </c>
      <c r="BU34" s="69" t="str">
        <f>IFERROR(__xludf.DUMMYFUNCTION("IF($E34&lt;&gt;"""",IFERROR(FILTER(RawTotals!$AJ:$AJ,RawTotals!$A:$A=AK34)-(FILTER(Data!$K:$K,Data!$B:$B=AK34,Data!$D:$D=$E34)+FILTER(Data!$L:$L,Data!$B:$B=AK34,Data!$D:$D=$E34)),""""),"""")"),"")</f>
        <v/>
      </c>
      <c r="BV34" s="69" t="str">
        <f>IFERROR(__xludf.DUMMYFUNCTION("IF($F34&lt;&gt;"""",IFERROR(FILTER(RawTotals!$AJ:$AJ,RawTotals!$A:$A=AL34)-(FILTER(Data!$K:$K,Data!$B:$B=AL34,Data!$D:$D=$F34)+FILTER(Data!$L:$L,Data!$B:$B=AL34,Data!$D:$D=$F34)),""""),"""")"),"")</f>
        <v/>
      </c>
      <c r="BW34" s="69" t="str">
        <f>IFERROR(__xludf.DUMMYFUNCTION("IF($F34&lt;&gt;"""",IFERROR(FILTER(RawTotals!$AJ:$AJ,RawTotals!$A:$A=AM34)-(FILTER(Data!$K:$K,Data!$B:$B=AM34,Data!$D:$D=$F34)+FILTER(Data!$L:$L,Data!$B:$B=AM34,Data!$D:$D=$F34)),""""),"""")"),"")</f>
        <v/>
      </c>
      <c r="BX34" s="69" t="str">
        <f>IFERROR(__xludf.DUMMYFUNCTION("IF($F34&lt;&gt;"""",IFERROR(FILTER(RawTotals!$AJ:$AJ,RawTotals!$A:$A=AN34)-(FILTER(Data!$K:$K,Data!$B:$B=AN34,Data!$D:$D=$F34)+FILTER(Data!$L:$L,Data!$B:$B=AN34,Data!$D:$D=$F34)),""""),"""")"),"")</f>
        <v/>
      </c>
      <c r="BY34" s="69" t="str">
        <f>IFERROR(__xludf.DUMMYFUNCTION("IF($G34&lt;&gt;"""",IFERROR(FILTER(RawTotals!$AJ:$AJ,RawTotals!$A:$A=AO34)-(FILTER(Data!$K:$K,Data!$B:$B=AO34,Data!$D:$D=$G34)+FILTER(Data!$L:$L,Data!$B:$B=AO34,Data!$D:$D=$G34)),""""),"""")"),"")</f>
        <v/>
      </c>
      <c r="BZ34" s="69" t="str">
        <f>IFERROR(__xludf.DUMMYFUNCTION("IF($G34&lt;&gt;"""",IFERROR(FILTER(RawTotals!$AJ:$AJ,RawTotals!$A:$A=AP34)-(FILTER(Data!$K:$K,Data!$B:$B=AP34,Data!$D:$D=$G34)+FILTER(Data!$L:$L,Data!$B:$B=AP34,Data!$D:$D=$G34)),""""),"""")"),"")</f>
        <v/>
      </c>
      <c r="CA34" s="69" t="str">
        <f>IFERROR(__xludf.DUMMYFUNCTION("IF($G34&lt;&gt;"""",IFERROR(FILTER(RawTotals!$AJ:$AJ,RawTotals!$A:$A=AQ34)-(FILTER(Data!$K:$K,Data!$B:$B=AQ34,Data!$D:$D=$G34)+FILTER(Data!$L:$L,Data!$B:$B=AQ34,Data!$D:$D=$G34)),""""),"""")"),"")</f>
        <v/>
      </c>
      <c r="CB34" s="69" t="str">
        <f>IFERROR(__xludf.DUMMYFUNCTION("IF($H34&lt;&gt;"""",IFERROR(FILTER(RawTotals!$AJ:$AJ,RawTotals!$A:$A=AR34)-(FILTER(Data!$K:$K,Data!$B:$B=AR34,Data!$D:$D=$H34)+FILTER(Data!$L:$L,Data!$B:$B=AR34,Data!$D:$D=$H34)),""""),"""")"),"")</f>
        <v/>
      </c>
      <c r="CC34" s="69" t="str">
        <f>IFERROR(__xludf.DUMMYFUNCTION("IF($H34&lt;&gt;"""",IFERROR(FILTER(RawTotals!$AJ:$AJ,RawTotals!$A:$A=AS34)-(FILTER(Data!$K:$K,Data!$B:$B=AS34,Data!$D:$D=$H34)+FILTER(Data!$L:$L,Data!$B:$B=AS34,Data!$D:$D=$H34)),""""),"""")"),"")</f>
        <v/>
      </c>
      <c r="CD34" s="69" t="str">
        <f>IFERROR(__xludf.DUMMYFUNCTION("IF($H34&lt;&gt;"""",IFERROR(FILTER(RawTotals!$AJ:$AJ,RawTotals!$A:$A=AT34)-(FILTER(Data!$K:$K,Data!$B:$B=AT34,Data!$D:$D=$H34)+FILTER(Data!$L:$L,Data!$B:$B=AT34,Data!$D:$D=$H34)),""""),"""")"),"")</f>
        <v/>
      </c>
      <c r="CE34" s="69" t="str">
        <f>IFERROR(__xludf.DUMMYFUNCTION("IF($I34&lt;&gt;"""",IFERROR(FILTER(RawTotals!$AJ:$AJ,RawTotals!$A:$A=AU34)-(FILTER(Data!$K:$K,Data!$B:$B=AU34,Data!$D:$D=$I34)+FILTER(Data!$L:$L,Data!$B:$B=AU34,Data!$D:$D=$I34)),""""),"""")"),"")</f>
        <v/>
      </c>
      <c r="CF34" s="69" t="str">
        <f>IFERROR(__xludf.DUMMYFUNCTION("IF($I34&lt;&gt;"""",IFERROR(FILTER(RawTotals!$AJ:$AJ,RawTotals!$A:$A=AV34)-(FILTER(Data!$K:$K,Data!$B:$B=AV34,Data!$D:$D=$I34)+FILTER(Data!$L:$L,Data!$B:$B=AV34,Data!$D:$D=$I34)),""""),"""")"),"")</f>
        <v/>
      </c>
      <c r="CG34" s="69" t="str">
        <f>IFERROR(__xludf.DUMMYFUNCTION("IF($I34&lt;&gt;"""",IFERROR(FILTER(RawTotals!$AJ:$AJ,RawTotals!$A:$A=AW34)-(FILTER(Data!$K:$K,Data!$B:$B=AW34,Data!$D:$D=$I34)+FILTER(Data!$L:$L,Data!$B:$B=AW34,Data!$D:$D=$I34)),""""),"""")"),"")</f>
        <v/>
      </c>
      <c r="CH34" s="69" t="str">
        <f>IFERROR(__xludf.DUMMYFUNCTION("IF($J34&lt;&gt;"""",IFERROR(FILTER(RawTotals!$AJ:$AJ,RawTotals!$A:$A=AX34)-(FILTER(Data!$K:$K,Data!$B:$B=AX34,Data!$D:$D=$J34)+FILTER(Data!$L:$L,Data!$B:$B=AX34,Data!$D:$D=$J34)),""""),"""")"),"")</f>
        <v/>
      </c>
      <c r="CI34" s="69" t="str">
        <f>IFERROR(__xludf.DUMMYFUNCTION("IF($J34&lt;&gt;"""",IFERROR(FILTER(RawTotals!$AJ:$AJ,RawTotals!$A:$A=AY34)-(FILTER(Data!$K:$K,Data!$B:$B=AY34,Data!$D:$D=$J34)+FILTER(Data!$L:$L,Data!$B:$B=AY34,Data!$D:$D=$J34)),""""),"""")"),"")</f>
        <v/>
      </c>
      <c r="CJ34" s="69" t="str">
        <f>IFERROR(__xludf.DUMMYFUNCTION("IF($J34&lt;&gt;"""",IFERROR(FILTER(RawTotals!$AJ:$AJ,RawTotals!$A:$A=AZ34)-(FILTER(Data!$K:$K,Data!$B:$B=AZ34,Data!$D:$D=$J34)+FILTER(Data!$L:$L,Data!$B:$B=AZ34,Data!$D:$D=$J34)),""""),"""")"),"")</f>
        <v/>
      </c>
      <c r="CK34" s="69" t="str">
        <f>IFERROR(__xludf.DUMMYFUNCTION("IF($K34&lt;&gt;"""",IFERROR(FILTER(RawTotals!$AJ:$AJ,RawTotals!$A:$A=BA34)-(FILTER(Data!$K:$K,Data!$B:$B=BA34,Data!$D:$D=$K34)+FILTER(Data!$L:$L,Data!$B:$B=BA34,Data!$D:$D=$K34)),""""),"""")"),"")</f>
        <v/>
      </c>
      <c r="CL34" s="69" t="str">
        <f>IFERROR(__xludf.DUMMYFUNCTION("IF($K34&lt;&gt;"""",IFERROR(FILTER(RawTotals!$AJ:$AJ,RawTotals!$A:$A=BB34)-(FILTER(Data!$K:$K,Data!$B:$B=BB34,Data!$D:$D=$K34)+FILTER(Data!$L:$L,Data!$B:$B=BB34,Data!$D:$D=$K34)),""""),"""")"),"")</f>
        <v/>
      </c>
      <c r="CM34" s="69" t="str">
        <f>IFERROR(__xludf.DUMMYFUNCTION("IF($K34&lt;&gt;"""",IFERROR(FILTER(RawTotals!$AJ:$AJ,RawTotals!$A:$A=BC34)-(FILTER(Data!$K:$K,Data!$B:$B=BC34,Data!$D:$D=$K34)+FILTER(Data!$L:$L,Data!$B:$B=BC34,Data!$D:$D=$K34)),""""),"""")"),"")</f>
        <v/>
      </c>
      <c r="CN34" s="69" t="str">
        <f>IFERROR(__xludf.DUMMYFUNCTION("IF($L34&lt;&gt;"""",IFERROR((FILTER(RawTotals!$AJ:$AJ,RawTotals!$A:$A=BD34)-(FILTER(Data!$K:$K,Data!$B:$B=BD34,Data!$D:$D=$L34)+FILTER(Data!$L:$L,Data!$B:$B=BD34,Data!$D:$D=$L34))),""""),"""")"),"")</f>
        <v/>
      </c>
      <c r="CO34" s="69" t="str">
        <f>IFERROR(__xludf.DUMMYFUNCTION("IF($L34&lt;&gt;"""",IFERROR((FILTER(RawTotals!$AJ:$AJ,RawTotals!$A:$A=BE34)-(FILTER(Data!$K:$K,Data!$B:$B=BE34,Data!$D:$D=$L34)+FILTER(Data!$L:$L,Data!$B:$B=BE34,Data!$D:$D=$L34))),""""),"""")"),"")</f>
        <v/>
      </c>
      <c r="CP34" s="69" t="str">
        <f>IFERROR(__xludf.DUMMYFUNCTION("IF($L34&lt;&gt;"""",IFERROR((FILTER(RawTotals!$AJ:$AJ,RawTotals!$A:$A=BF34)-(FILTER(Data!$K:$K,Data!$B:$B=BF34,Data!$D:$D=$L34)+FILTER(Data!$L:$L,Data!$B:$B=BF34,Data!$D:$D=$L34))),""""),"""")"),"")</f>
        <v/>
      </c>
      <c r="CQ34" s="69" t="str">
        <f>IFERROR(__xludf.DUMMYFUNCTION("IF($M34&lt;&gt;"""",IFERROR((FILTER(RawTotals!$AJ:$AJ,RawTotals!$A:$A=BG34)-(FILTER(Data!$K:$K,Data!$B:$B=BG34,Data!$D:$D=$M34)+FILTER(Data!$L:$L,Data!$B:$B=BG34,Data!$D:$D=$M34))),""""),"""")"),"")</f>
        <v/>
      </c>
      <c r="CR34" s="69" t="str">
        <f>IFERROR(__xludf.DUMMYFUNCTION("IF($M34&lt;&gt;"""",IFERROR((FILTER(RawTotals!$AJ:$AJ,RawTotals!$A:$A=BH34)-(FILTER(Data!$K:$K,Data!$B:$B=BH34,Data!$D:$D=$M34)+FILTER(Data!$L:$L,Data!$B:$B=BH34,Data!$D:$D=$M34))),""""),"""")"),"")</f>
        <v/>
      </c>
      <c r="CS34" s="70" t="str">
        <f>IFERROR(__xludf.DUMMYFUNCTION("IF($M34&lt;&gt;"""",IFERROR((FILTER(RawTotals!$AJ:$AJ,RawTotals!$A:$A=BI34)-(FILTER(Data!$K:$K,Data!$B:$B=BI34,Data!$D:$D=$M34)+FILTER(Data!$L:$L,Data!$B:$B=BI34,Data!$D:$D=$M34))),""""),"""")"),"")</f>
        <v/>
      </c>
      <c r="CT34" s="69"/>
      <c r="CU34" s="69"/>
      <c r="CV34" s="69"/>
      <c r="CW34" s="69"/>
      <c r="CX34" s="69"/>
      <c r="CY34" s="69"/>
      <c r="CZ34" s="69"/>
      <c r="DA34" s="69"/>
      <c r="DB34" s="69"/>
      <c r="DC34" s="69"/>
      <c r="DD34" s="69"/>
      <c r="DE34" s="69"/>
    </row>
    <row r="35">
      <c r="A35" s="67">
        <f>RawTotals!A35</f>
        <v>5484</v>
      </c>
      <c r="B35" s="68" t="str">
        <f>IFERROR(__xludf.DUMMYFUNCTION("IF(A35&lt;&gt;"""",IFERROR(TRANSPOSE(FILTER(Data!D:D,Data!B:B=A35,Data!R:R&lt;&gt;"""")),""No Defense""),"""")"),"No Defense")</f>
        <v>No Defense</v>
      </c>
      <c r="C35" s="65"/>
      <c r="D35" s="65"/>
      <c r="E35" s="65"/>
      <c r="F35" s="65"/>
      <c r="G35" s="65"/>
      <c r="H35" s="65"/>
      <c r="I35" s="65"/>
      <c r="J35" s="65"/>
      <c r="K35" s="65"/>
      <c r="L35" s="65"/>
      <c r="M35" s="65"/>
      <c r="N35" s="64" t="str">
        <f>IFERROR(__xludf.DUMMYFUNCTION("IFERROR(Textjoin("""",TRUE,FILTER(Data!$R:$R,Data!$D:$D=B35,Data!$B:$B=$A35)),"""")"),"")</f>
        <v/>
      </c>
      <c r="O35" s="64" t="str">
        <f>IFERROR(__xludf.DUMMYFUNCTION("IFERROR(Textjoin("""",TRUE,FILTER(Data!$R:$R,Data!$D:$D=C35,Data!$B:$B=$A35)),"""")"),"")</f>
        <v/>
      </c>
      <c r="P35" s="64" t="str">
        <f>IFERROR(__xludf.DUMMYFUNCTION("IFERROR(Textjoin("""",TRUE,FILTER(Data!$R:$R,Data!$D:$D=D35,Data!$B:$B=$A35)),"""")"),"")</f>
        <v/>
      </c>
      <c r="Q35" s="64" t="str">
        <f>IFERROR(__xludf.DUMMYFUNCTION("IFERROR(Textjoin("""",TRUE,FILTER(Data!$R:$R,Data!$D:$D=E35,Data!$B:$B=$A35)),"""")"),"")</f>
        <v/>
      </c>
      <c r="R35" s="64" t="str">
        <f>IFERROR(__xludf.DUMMYFUNCTION("IFERROR(Textjoin("""",TRUE,FILTER(Data!$R:$R,Data!$D:$D=F35,Data!$B:$B=$A35)),"""")"),"")</f>
        <v/>
      </c>
      <c r="S35" s="64" t="str">
        <f>IFERROR(__xludf.DUMMYFUNCTION("IFERROR(Textjoin("""",TRUE,FILTER(Data!$R:$R,Data!$D:$D=G35,Data!$B:$B=$A35)),"""")"),"")</f>
        <v/>
      </c>
      <c r="T35" s="64" t="str">
        <f>IFERROR(__xludf.DUMMYFUNCTION("IFERROR(Textjoin("""",TRUE,FILTER(Data!$R:$R,Data!$D:$D=H35,Data!$B:$B=$A35)),"""")"),"")</f>
        <v/>
      </c>
      <c r="U35" s="64" t="str">
        <f>IFERROR(__xludf.DUMMYFUNCTION("IFERROR(Textjoin("""",TRUE,FILTER(Data!$R:$R,Data!$D:$D=I35,Data!$B:$B=$A35)),"""")"),"")</f>
        <v/>
      </c>
      <c r="V35" s="64" t="str">
        <f>IFERROR(__xludf.DUMMYFUNCTION("IFERROR(Textjoin("""",TRUE,FILTER(Data!$R:$R,Data!$D:$D=J35,Data!$B:$B=$A35)),"""")"),"")</f>
        <v/>
      </c>
      <c r="W35" s="64" t="str">
        <f>IFERROR(__xludf.DUMMYFUNCTION("IFERROR(Textjoin("""",TRUE,FILTER(Data!$R:$R,Data!$D:$D=K35,Data!$B:$B=$A35)),"""")"),"")</f>
        <v/>
      </c>
      <c r="X35" s="64" t="str">
        <f>IFERROR(__xludf.DUMMYFUNCTION("IFERROR(Textjoin("""",TRUE,FILTER(Data!$R:$R,Data!$D:$D=L35,Data!$B:$B=$A35)),"""")"),"")</f>
        <v/>
      </c>
      <c r="Y35" s="64" t="str">
        <f>IFERROR(__xludf.DUMMYFUNCTION("IFERROR(Textjoin("""",TRUE,FILTER(Data!$R:$R,Data!$D:$D=M35,Data!$B:$B=$A35)),"""")"),"")</f>
        <v/>
      </c>
      <c r="Z35" s="64" t="str">
        <f>IFERROR(__xludf.DUMMYFUNCTION("IFERROR(SPLIT(N35,"",""),"""")"),"")</f>
        <v/>
      </c>
      <c r="AA35" s="65"/>
      <c r="AB35" s="65"/>
      <c r="AC35" s="69" t="str">
        <f>IFERROR(__xludf.DUMMYFUNCTION("IFERROR(SPLIT(O35,"",""),"""")"),"")</f>
        <v/>
      </c>
      <c r="AD35" s="65"/>
      <c r="AE35" s="65"/>
      <c r="AF35" s="69" t="str">
        <f>IFERROR(__xludf.DUMMYFUNCTION("IFERROR(SPLIT(P35,"",""),"""")"),"")</f>
        <v/>
      </c>
      <c r="AG35" s="65"/>
      <c r="AH35" s="65"/>
      <c r="AI35" s="69" t="str">
        <f>IFERROR(__xludf.DUMMYFUNCTION("IFERROR(SPLIT(Q35,"",""),"""")"),"")</f>
        <v/>
      </c>
      <c r="AJ35" s="65"/>
      <c r="AK35" s="65"/>
      <c r="AL35" s="69" t="str">
        <f>IFERROR(__xludf.DUMMYFUNCTION("IFERROR(SPLIT(R35,"",""),"""")"),"")</f>
        <v/>
      </c>
      <c r="AM35" s="65"/>
      <c r="AN35" s="65"/>
      <c r="AO35" s="69" t="str">
        <f>IFERROR(__xludf.DUMMYFUNCTION("IFERROR(SPLIT(S35,"",""),"""")"),"")</f>
        <v/>
      </c>
      <c r="AP35" s="65"/>
      <c r="AQ35" s="65"/>
      <c r="AR35" s="69" t="str">
        <f>IFERROR(__xludf.DUMMYFUNCTION("IFERROR(SPLIT(T35,"",""),"""")"),"")</f>
        <v/>
      </c>
      <c r="AS35" s="65"/>
      <c r="AT35" s="65"/>
      <c r="AU35" s="69" t="str">
        <f>IFERROR(__xludf.DUMMYFUNCTION("IFERROR(SPLIT(U35,"",""),"""")"),"")</f>
        <v/>
      </c>
      <c r="AV35" s="65"/>
      <c r="AW35" s="65"/>
      <c r="AX35" s="69" t="str">
        <f>IFERROR(__xludf.DUMMYFUNCTION("IFERROR(SPLIT(V35,"",""),"""")"),"")</f>
        <v/>
      </c>
      <c r="AY35" s="65"/>
      <c r="AZ35" s="65"/>
      <c r="BA35" s="69" t="str">
        <f>IFERROR(__xludf.DUMMYFUNCTION("IFERROR(SPLIT(W35,"",""),"""")"),"")</f>
        <v/>
      </c>
      <c r="BB35" s="69"/>
      <c r="BC35" s="69"/>
      <c r="BD35" s="69" t="str">
        <f>IFERROR(__xludf.DUMMYFUNCTION("IFERROR(SPLIT(X35,"",""),"""")"),"")</f>
        <v/>
      </c>
      <c r="BE35" s="69"/>
      <c r="BF35" s="69"/>
      <c r="BG35" s="69" t="str">
        <f>IFERROR(__xludf.DUMMYFUNCTION("IFERROR(SPLIT(Y35,"",""),"""")"),"")</f>
        <v/>
      </c>
      <c r="BH35" s="69"/>
      <c r="BI35" s="69"/>
      <c r="BJ35" s="68" t="str">
        <f>IFERROR(__xludf.DUMMYFUNCTION("IF($B35&lt;&gt;"""",IFERROR(FILTER(RawTotals!$AJ:$AJ,RawTotals!$A:$A=Z35)-(FILTER(Data!$K:$K,Data!$B:$B=Z35,Data!$D:$D=$B35)+FILTER(Data!$L:$L,Data!$B:$B=Z35,Data!$D:$D=$B35)),""""),"""")"),"")</f>
        <v/>
      </c>
      <c r="BK35" s="68" t="str">
        <f>IFERROR(__xludf.DUMMYFUNCTION("IF($B35&lt;&gt;"""",IFERROR(FILTER(RawTotals!$AJ:$AJ,RawTotals!$A:$A=AA35)-(FILTER(Data!$K:$K,Data!$B:$B=AA35,Data!$D:$D=$B35)+FILTER(Data!$L:$L,Data!$B:$B=AA35,Data!$D:$D=$B35)),""""),"""")"),"")</f>
        <v/>
      </c>
      <c r="BL35" s="68" t="str">
        <f>IFERROR(__xludf.DUMMYFUNCTION("IF($B35&lt;&gt;"""",IFERROR(FILTER(RawTotals!$AJ:$AJ,RawTotals!$A:$A=AB35)-(FILTER(Data!$K:$K,Data!$B:$B=AB35,Data!$D:$D=$B35)+FILTER(Data!$L:$L,Data!$B:$B=AB35,Data!$D:$D=$B35)),""""),"""")"),"")</f>
        <v/>
      </c>
      <c r="BM35" s="69" t="str">
        <f>IFERROR(__xludf.DUMMYFUNCTION("IF($C35&lt;&gt;"""",IFERROR(FILTER(RawTotals!$AJ:$AJ,RawTotals!$A:$A=AC35)-(FILTER(Data!$K:$K,Data!$B:$B=AC35,Data!$D:$D=$C35)+FILTER(Data!$L:$L,Data!$B:$B=AC35,Data!$D:$D=$C35)),""""),"""")"),"")</f>
        <v/>
      </c>
      <c r="BN35" s="69" t="str">
        <f>IFERROR(__xludf.DUMMYFUNCTION("IF($C35&lt;&gt;"""",IFERROR(FILTER(RawTotals!$AJ:$AJ,RawTotals!$A:$A=AD35)-(FILTER(Data!$K:$K,Data!$B:$B=AD35,Data!$D:$D=$C35)+FILTER(Data!$L:$L,Data!$B:$B=AD35,Data!$D:$D=$C35)),""""),"""")"),"")</f>
        <v/>
      </c>
      <c r="BO35" s="69" t="str">
        <f>IFERROR(__xludf.DUMMYFUNCTION("IF($C35&lt;&gt;"""",IFERROR(FILTER(RawTotals!$AJ:$AJ,RawTotals!$A:$A=AE35)-(FILTER(Data!$K:$K,Data!$B:$B=AE35,Data!$D:$D=$C35)+FILTER(Data!$L:$L,Data!$B:$B=AE35,Data!$D:$D=$C35)),""""),"""")"),"")</f>
        <v/>
      </c>
      <c r="BP35" s="69" t="str">
        <f>IFERROR(__xludf.DUMMYFUNCTION("IF($D35&lt;&gt;"""",IFERROR(FILTER(RawTotals!$AJ:$AJ,RawTotals!$A:$A=AF35)-(FILTER(Data!$K:$K,Data!$B:$B=AF35,Data!$D:$D=$D35)+FILTER(Data!$L:$L,Data!$B:$B=AF35,Data!$D:$D=$D35)),""""),"""")"),"")</f>
        <v/>
      </c>
      <c r="BQ35" s="69" t="str">
        <f>IFERROR(__xludf.DUMMYFUNCTION("IF($D35&lt;&gt;"""",IFERROR(FILTER(RawTotals!$AJ:$AJ,RawTotals!$A:$A=AG35)-(FILTER(Data!$K:$K,Data!$B:$B=AG35,Data!$D:$D=$D35)+FILTER(Data!$L:$L,Data!$B:$B=AG35,Data!$D:$D=$D35)),""""),"""")"),"")</f>
        <v/>
      </c>
      <c r="BR35" s="69" t="str">
        <f>IFERROR(__xludf.DUMMYFUNCTION("IF($D35&lt;&gt;"""",IFERROR(FILTER(RawTotals!$AJ:$AJ,RawTotals!$A:$A=AH35)-(FILTER(Data!$K:$K,Data!$B:$B=AH35,Data!$D:$D=$D35)+FILTER(Data!$L:$L,Data!$B:$B=AH35,Data!$D:$D=$D35)),""""),"""")"),"")</f>
        <v/>
      </c>
      <c r="BS35" s="69" t="str">
        <f>IFERROR(__xludf.DUMMYFUNCTION("IF($E35&lt;&gt;"""",IFERROR(FILTER(RawTotals!$AJ:$AJ,RawTotals!$A:$A=AI35)-(FILTER(Data!$K:$K,Data!$B:$B=AI35,Data!$D:$D=$E35)+FILTER(Data!$L:$L,Data!$B:$B=AI35,Data!$D:$D=$E35)),""""),"""")"),"")</f>
        <v/>
      </c>
      <c r="BT35" s="69" t="str">
        <f>IFERROR(__xludf.DUMMYFUNCTION("IF($E35&lt;&gt;"""",IFERROR(FILTER(RawTotals!$AJ:$AJ,RawTotals!$A:$A=AJ35)-(FILTER(Data!$K:$K,Data!$B:$B=AJ35,Data!$D:$D=$E35)+FILTER(Data!$L:$L,Data!$B:$B=AJ35,Data!$D:$D=$E35)),""""),"""")"),"")</f>
        <v/>
      </c>
      <c r="BU35" s="69" t="str">
        <f>IFERROR(__xludf.DUMMYFUNCTION("IF($E35&lt;&gt;"""",IFERROR(FILTER(RawTotals!$AJ:$AJ,RawTotals!$A:$A=AK35)-(FILTER(Data!$K:$K,Data!$B:$B=AK35,Data!$D:$D=$E35)+FILTER(Data!$L:$L,Data!$B:$B=AK35,Data!$D:$D=$E35)),""""),"""")"),"")</f>
        <v/>
      </c>
      <c r="BV35" s="69" t="str">
        <f>IFERROR(__xludf.DUMMYFUNCTION("IF($F35&lt;&gt;"""",IFERROR(FILTER(RawTotals!$AJ:$AJ,RawTotals!$A:$A=AL35)-(FILTER(Data!$K:$K,Data!$B:$B=AL35,Data!$D:$D=$F35)+FILTER(Data!$L:$L,Data!$B:$B=AL35,Data!$D:$D=$F35)),""""),"""")"),"")</f>
        <v/>
      </c>
      <c r="BW35" s="69" t="str">
        <f>IFERROR(__xludf.DUMMYFUNCTION("IF($F35&lt;&gt;"""",IFERROR(FILTER(RawTotals!$AJ:$AJ,RawTotals!$A:$A=AM35)-(FILTER(Data!$K:$K,Data!$B:$B=AM35,Data!$D:$D=$F35)+FILTER(Data!$L:$L,Data!$B:$B=AM35,Data!$D:$D=$F35)),""""),"""")"),"")</f>
        <v/>
      </c>
      <c r="BX35" s="69" t="str">
        <f>IFERROR(__xludf.DUMMYFUNCTION("IF($F35&lt;&gt;"""",IFERROR(FILTER(RawTotals!$AJ:$AJ,RawTotals!$A:$A=AN35)-(FILTER(Data!$K:$K,Data!$B:$B=AN35,Data!$D:$D=$F35)+FILTER(Data!$L:$L,Data!$B:$B=AN35,Data!$D:$D=$F35)),""""),"""")"),"")</f>
        <v/>
      </c>
      <c r="BY35" s="69" t="str">
        <f>IFERROR(__xludf.DUMMYFUNCTION("IF($G35&lt;&gt;"""",IFERROR(FILTER(RawTotals!$AJ:$AJ,RawTotals!$A:$A=AO35)-(FILTER(Data!$K:$K,Data!$B:$B=AO35,Data!$D:$D=$G35)+FILTER(Data!$L:$L,Data!$B:$B=AO35,Data!$D:$D=$G35)),""""),"""")"),"")</f>
        <v/>
      </c>
      <c r="BZ35" s="69" t="str">
        <f>IFERROR(__xludf.DUMMYFUNCTION("IF($G35&lt;&gt;"""",IFERROR(FILTER(RawTotals!$AJ:$AJ,RawTotals!$A:$A=AP35)-(FILTER(Data!$K:$K,Data!$B:$B=AP35,Data!$D:$D=$G35)+FILTER(Data!$L:$L,Data!$B:$B=AP35,Data!$D:$D=$G35)),""""),"""")"),"")</f>
        <v/>
      </c>
      <c r="CA35" s="69" t="str">
        <f>IFERROR(__xludf.DUMMYFUNCTION("IF($G35&lt;&gt;"""",IFERROR(FILTER(RawTotals!$AJ:$AJ,RawTotals!$A:$A=AQ35)-(FILTER(Data!$K:$K,Data!$B:$B=AQ35,Data!$D:$D=$G35)+FILTER(Data!$L:$L,Data!$B:$B=AQ35,Data!$D:$D=$G35)),""""),"""")"),"")</f>
        <v/>
      </c>
      <c r="CB35" s="69" t="str">
        <f>IFERROR(__xludf.DUMMYFUNCTION("IF($H35&lt;&gt;"""",IFERROR(FILTER(RawTotals!$AJ:$AJ,RawTotals!$A:$A=AR35)-(FILTER(Data!$K:$K,Data!$B:$B=AR35,Data!$D:$D=$H35)+FILTER(Data!$L:$L,Data!$B:$B=AR35,Data!$D:$D=$H35)),""""),"""")"),"")</f>
        <v/>
      </c>
      <c r="CC35" s="69" t="str">
        <f>IFERROR(__xludf.DUMMYFUNCTION("IF($H35&lt;&gt;"""",IFERROR(FILTER(RawTotals!$AJ:$AJ,RawTotals!$A:$A=AS35)-(FILTER(Data!$K:$K,Data!$B:$B=AS35,Data!$D:$D=$H35)+FILTER(Data!$L:$L,Data!$B:$B=AS35,Data!$D:$D=$H35)),""""),"""")"),"")</f>
        <v/>
      </c>
      <c r="CD35" s="69" t="str">
        <f>IFERROR(__xludf.DUMMYFUNCTION("IF($H35&lt;&gt;"""",IFERROR(FILTER(RawTotals!$AJ:$AJ,RawTotals!$A:$A=AT35)-(FILTER(Data!$K:$K,Data!$B:$B=AT35,Data!$D:$D=$H35)+FILTER(Data!$L:$L,Data!$B:$B=AT35,Data!$D:$D=$H35)),""""),"""")"),"")</f>
        <v/>
      </c>
      <c r="CE35" s="69" t="str">
        <f>IFERROR(__xludf.DUMMYFUNCTION("IF($I35&lt;&gt;"""",IFERROR(FILTER(RawTotals!$AJ:$AJ,RawTotals!$A:$A=AU35)-(FILTER(Data!$K:$K,Data!$B:$B=AU35,Data!$D:$D=$I35)+FILTER(Data!$L:$L,Data!$B:$B=AU35,Data!$D:$D=$I35)),""""),"""")"),"")</f>
        <v/>
      </c>
      <c r="CF35" s="69" t="str">
        <f>IFERROR(__xludf.DUMMYFUNCTION("IF($I35&lt;&gt;"""",IFERROR(FILTER(RawTotals!$AJ:$AJ,RawTotals!$A:$A=AV35)-(FILTER(Data!$K:$K,Data!$B:$B=AV35,Data!$D:$D=$I35)+FILTER(Data!$L:$L,Data!$B:$B=AV35,Data!$D:$D=$I35)),""""),"""")"),"")</f>
        <v/>
      </c>
      <c r="CG35" s="69" t="str">
        <f>IFERROR(__xludf.DUMMYFUNCTION("IF($I35&lt;&gt;"""",IFERROR(FILTER(RawTotals!$AJ:$AJ,RawTotals!$A:$A=AW35)-(FILTER(Data!$K:$K,Data!$B:$B=AW35,Data!$D:$D=$I35)+FILTER(Data!$L:$L,Data!$B:$B=AW35,Data!$D:$D=$I35)),""""),"""")"),"")</f>
        <v/>
      </c>
      <c r="CH35" s="69" t="str">
        <f>IFERROR(__xludf.DUMMYFUNCTION("IF($J35&lt;&gt;"""",IFERROR(FILTER(RawTotals!$AJ:$AJ,RawTotals!$A:$A=AX35)-(FILTER(Data!$K:$K,Data!$B:$B=AX35,Data!$D:$D=$J35)+FILTER(Data!$L:$L,Data!$B:$B=AX35,Data!$D:$D=$J35)),""""),"""")"),"")</f>
        <v/>
      </c>
      <c r="CI35" s="69" t="str">
        <f>IFERROR(__xludf.DUMMYFUNCTION("IF($J35&lt;&gt;"""",IFERROR(FILTER(RawTotals!$AJ:$AJ,RawTotals!$A:$A=AY35)-(FILTER(Data!$K:$K,Data!$B:$B=AY35,Data!$D:$D=$J35)+FILTER(Data!$L:$L,Data!$B:$B=AY35,Data!$D:$D=$J35)),""""),"""")"),"")</f>
        <v/>
      </c>
      <c r="CJ35" s="69" t="str">
        <f>IFERROR(__xludf.DUMMYFUNCTION("IF($J35&lt;&gt;"""",IFERROR(FILTER(RawTotals!$AJ:$AJ,RawTotals!$A:$A=AZ35)-(FILTER(Data!$K:$K,Data!$B:$B=AZ35,Data!$D:$D=$J35)+FILTER(Data!$L:$L,Data!$B:$B=AZ35,Data!$D:$D=$J35)),""""),"""")"),"")</f>
        <v/>
      </c>
      <c r="CK35" s="69" t="str">
        <f>IFERROR(__xludf.DUMMYFUNCTION("IF($K35&lt;&gt;"""",IFERROR(FILTER(RawTotals!$AJ:$AJ,RawTotals!$A:$A=BA35)-(FILTER(Data!$K:$K,Data!$B:$B=BA35,Data!$D:$D=$K35)+FILTER(Data!$L:$L,Data!$B:$B=BA35,Data!$D:$D=$K35)),""""),"""")"),"")</f>
        <v/>
      </c>
      <c r="CL35" s="69" t="str">
        <f>IFERROR(__xludf.DUMMYFUNCTION("IF($K35&lt;&gt;"""",IFERROR(FILTER(RawTotals!$AJ:$AJ,RawTotals!$A:$A=BB35)-(FILTER(Data!$K:$K,Data!$B:$B=BB35,Data!$D:$D=$K35)+FILTER(Data!$L:$L,Data!$B:$B=BB35,Data!$D:$D=$K35)),""""),"""")"),"")</f>
        <v/>
      </c>
      <c r="CM35" s="69" t="str">
        <f>IFERROR(__xludf.DUMMYFUNCTION("IF($K35&lt;&gt;"""",IFERROR(FILTER(RawTotals!$AJ:$AJ,RawTotals!$A:$A=BC35)-(FILTER(Data!$K:$K,Data!$B:$B=BC35,Data!$D:$D=$K35)+FILTER(Data!$L:$L,Data!$B:$B=BC35,Data!$D:$D=$K35)),""""),"""")"),"")</f>
        <v/>
      </c>
      <c r="CN35" s="69" t="str">
        <f>IFERROR(__xludf.DUMMYFUNCTION("IF($L35&lt;&gt;"""",IFERROR((FILTER(RawTotals!$AJ:$AJ,RawTotals!$A:$A=BD35)-(FILTER(Data!$K:$K,Data!$B:$B=BD35,Data!$D:$D=$L35)+FILTER(Data!$L:$L,Data!$B:$B=BD35,Data!$D:$D=$L35))),""""),"""")"),"")</f>
        <v/>
      </c>
      <c r="CO35" s="69" t="str">
        <f>IFERROR(__xludf.DUMMYFUNCTION("IF($L35&lt;&gt;"""",IFERROR((FILTER(RawTotals!$AJ:$AJ,RawTotals!$A:$A=BE35)-(FILTER(Data!$K:$K,Data!$B:$B=BE35,Data!$D:$D=$L35)+FILTER(Data!$L:$L,Data!$B:$B=BE35,Data!$D:$D=$L35))),""""),"""")"),"")</f>
        <v/>
      </c>
      <c r="CP35" s="69" t="str">
        <f>IFERROR(__xludf.DUMMYFUNCTION("IF($L35&lt;&gt;"""",IFERROR((FILTER(RawTotals!$AJ:$AJ,RawTotals!$A:$A=BF35)-(FILTER(Data!$K:$K,Data!$B:$B=BF35,Data!$D:$D=$L35)+FILTER(Data!$L:$L,Data!$B:$B=BF35,Data!$D:$D=$L35))),""""),"""")"),"")</f>
        <v/>
      </c>
      <c r="CQ35" s="69" t="str">
        <f>IFERROR(__xludf.DUMMYFUNCTION("IF($M35&lt;&gt;"""",IFERROR((FILTER(RawTotals!$AJ:$AJ,RawTotals!$A:$A=BG35)-(FILTER(Data!$K:$K,Data!$B:$B=BG35,Data!$D:$D=$M35)+FILTER(Data!$L:$L,Data!$B:$B=BG35,Data!$D:$D=$M35))),""""),"""")"),"")</f>
        <v/>
      </c>
      <c r="CR35" s="69" t="str">
        <f>IFERROR(__xludf.DUMMYFUNCTION("IF($M35&lt;&gt;"""",IFERROR((FILTER(RawTotals!$AJ:$AJ,RawTotals!$A:$A=BH35)-(FILTER(Data!$K:$K,Data!$B:$B=BH35,Data!$D:$D=$M35)+FILTER(Data!$L:$L,Data!$B:$B=BH35,Data!$D:$D=$M35))),""""),"""")"),"")</f>
        <v/>
      </c>
      <c r="CS35" s="70" t="str">
        <f>IFERROR(__xludf.DUMMYFUNCTION("IF($M35&lt;&gt;"""",IFERROR((FILTER(RawTotals!$AJ:$AJ,RawTotals!$A:$A=BI35)-(FILTER(Data!$K:$K,Data!$B:$B=BI35,Data!$D:$D=$M35)+FILTER(Data!$L:$L,Data!$B:$B=BI35,Data!$D:$D=$M35))),""""),"""")"),"")</f>
        <v/>
      </c>
      <c r="CT35" s="69"/>
      <c r="CU35" s="69"/>
      <c r="CV35" s="69"/>
      <c r="CW35" s="69"/>
      <c r="CX35" s="69"/>
      <c r="CY35" s="69"/>
      <c r="CZ35" s="69"/>
      <c r="DA35" s="69"/>
      <c r="DB35" s="69"/>
      <c r="DC35" s="69"/>
      <c r="DD35" s="69"/>
      <c r="DE35" s="69"/>
    </row>
    <row r="36">
      <c r="A36" s="67">
        <f>RawTotals!A36</f>
        <v>503</v>
      </c>
      <c r="B36" s="68" t="str">
        <f>IFERROR(__xludf.DUMMYFUNCTION("IF(A36&lt;&gt;"""",IFERROR(TRANSPOSE(FILTER(Data!D:D,Data!B:B=A36,Data!R:R&lt;&gt;"""")),""No Defense""),"""")"),"No Defense")</f>
        <v>No Defense</v>
      </c>
      <c r="C36" s="65"/>
      <c r="D36" s="65"/>
      <c r="E36" s="65"/>
      <c r="F36" s="65"/>
      <c r="G36" s="65"/>
      <c r="H36" s="65"/>
      <c r="I36" s="65"/>
      <c r="J36" s="65"/>
      <c r="K36" s="65"/>
      <c r="L36" s="65"/>
      <c r="M36" s="65"/>
      <c r="N36" s="64" t="str">
        <f>IFERROR(__xludf.DUMMYFUNCTION("IFERROR(Textjoin("""",TRUE,FILTER(Data!$R:$R,Data!$D:$D=B36,Data!$B:$B=$A36)),"""")"),"")</f>
        <v/>
      </c>
      <c r="O36" s="64" t="str">
        <f>IFERROR(__xludf.DUMMYFUNCTION("IFERROR(Textjoin("""",TRUE,FILTER(Data!$R:$R,Data!$D:$D=C36,Data!$B:$B=$A36)),"""")"),"")</f>
        <v/>
      </c>
      <c r="P36" s="64" t="str">
        <f>IFERROR(__xludf.DUMMYFUNCTION("IFERROR(Textjoin("""",TRUE,FILTER(Data!$R:$R,Data!$D:$D=D36,Data!$B:$B=$A36)),"""")"),"")</f>
        <v/>
      </c>
      <c r="Q36" s="64" t="str">
        <f>IFERROR(__xludf.DUMMYFUNCTION("IFERROR(Textjoin("""",TRUE,FILTER(Data!$R:$R,Data!$D:$D=E36,Data!$B:$B=$A36)),"""")"),"")</f>
        <v/>
      </c>
      <c r="R36" s="64" t="str">
        <f>IFERROR(__xludf.DUMMYFUNCTION("IFERROR(Textjoin("""",TRUE,FILTER(Data!$R:$R,Data!$D:$D=F36,Data!$B:$B=$A36)),"""")"),"")</f>
        <v/>
      </c>
      <c r="S36" s="64" t="str">
        <f>IFERROR(__xludf.DUMMYFUNCTION("IFERROR(Textjoin("""",TRUE,FILTER(Data!$R:$R,Data!$D:$D=G36,Data!$B:$B=$A36)),"""")"),"")</f>
        <v/>
      </c>
      <c r="T36" s="64" t="str">
        <f>IFERROR(__xludf.DUMMYFUNCTION("IFERROR(Textjoin("""",TRUE,FILTER(Data!$R:$R,Data!$D:$D=H36,Data!$B:$B=$A36)),"""")"),"")</f>
        <v/>
      </c>
      <c r="U36" s="64" t="str">
        <f>IFERROR(__xludf.DUMMYFUNCTION("IFERROR(Textjoin("""",TRUE,FILTER(Data!$R:$R,Data!$D:$D=I36,Data!$B:$B=$A36)),"""")"),"")</f>
        <v/>
      </c>
      <c r="V36" s="64" t="str">
        <f>IFERROR(__xludf.DUMMYFUNCTION("IFERROR(Textjoin("""",TRUE,FILTER(Data!$R:$R,Data!$D:$D=J36,Data!$B:$B=$A36)),"""")"),"")</f>
        <v/>
      </c>
      <c r="W36" s="64" t="str">
        <f>IFERROR(__xludf.DUMMYFUNCTION("IFERROR(Textjoin("""",TRUE,FILTER(Data!$R:$R,Data!$D:$D=K36,Data!$B:$B=$A36)),"""")"),"")</f>
        <v/>
      </c>
      <c r="X36" s="64" t="str">
        <f>IFERROR(__xludf.DUMMYFUNCTION("IFERROR(Textjoin("""",TRUE,FILTER(Data!$R:$R,Data!$D:$D=L36,Data!$B:$B=$A36)),"""")"),"")</f>
        <v/>
      </c>
      <c r="Y36" s="64" t="str">
        <f>IFERROR(__xludf.DUMMYFUNCTION("IFERROR(Textjoin("""",TRUE,FILTER(Data!$R:$R,Data!$D:$D=M36,Data!$B:$B=$A36)),"""")"),"")</f>
        <v/>
      </c>
      <c r="Z36" s="64" t="str">
        <f>IFERROR(__xludf.DUMMYFUNCTION("IFERROR(SPLIT(N36,"",""),"""")"),"")</f>
        <v/>
      </c>
      <c r="AA36" s="65"/>
      <c r="AB36" s="65"/>
      <c r="AC36" s="69" t="str">
        <f>IFERROR(__xludf.DUMMYFUNCTION("IFERROR(SPLIT(O36,"",""),"""")"),"")</f>
        <v/>
      </c>
      <c r="AD36" s="65"/>
      <c r="AE36" s="65"/>
      <c r="AF36" s="69" t="str">
        <f>IFERROR(__xludf.DUMMYFUNCTION("IFERROR(SPLIT(P36,"",""),"""")"),"")</f>
        <v/>
      </c>
      <c r="AG36" s="65"/>
      <c r="AH36" s="65"/>
      <c r="AI36" s="69" t="str">
        <f>IFERROR(__xludf.DUMMYFUNCTION("IFERROR(SPLIT(Q36,"",""),"""")"),"")</f>
        <v/>
      </c>
      <c r="AJ36" s="65"/>
      <c r="AK36" s="65"/>
      <c r="AL36" s="69" t="str">
        <f>IFERROR(__xludf.DUMMYFUNCTION("IFERROR(SPLIT(R36,"",""),"""")"),"")</f>
        <v/>
      </c>
      <c r="AM36" s="65"/>
      <c r="AN36" s="65"/>
      <c r="AO36" s="69" t="str">
        <f>IFERROR(__xludf.DUMMYFUNCTION("IFERROR(SPLIT(S36,"",""),"""")"),"")</f>
        <v/>
      </c>
      <c r="AP36" s="65"/>
      <c r="AQ36" s="65"/>
      <c r="AR36" s="69" t="str">
        <f>IFERROR(__xludf.DUMMYFUNCTION("IFERROR(SPLIT(T36,"",""),"""")"),"")</f>
        <v/>
      </c>
      <c r="AS36" s="65"/>
      <c r="AT36" s="65"/>
      <c r="AU36" s="69" t="str">
        <f>IFERROR(__xludf.DUMMYFUNCTION("IFERROR(SPLIT(U36,"",""),"""")"),"")</f>
        <v/>
      </c>
      <c r="AV36" s="65"/>
      <c r="AW36" s="65"/>
      <c r="AX36" s="69" t="str">
        <f>IFERROR(__xludf.DUMMYFUNCTION("IFERROR(SPLIT(V36,"",""),"""")"),"")</f>
        <v/>
      </c>
      <c r="AY36" s="65"/>
      <c r="AZ36" s="65"/>
      <c r="BA36" s="69" t="str">
        <f>IFERROR(__xludf.DUMMYFUNCTION("IFERROR(SPLIT(W36,"",""),"""")"),"")</f>
        <v/>
      </c>
      <c r="BB36" s="69"/>
      <c r="BC36" s="69"/>
      <c r="BD36" s="69" t="str">
        <f>IFERROR(__xludf.DUMMYFUNCTION("IFERROR(SPLIT(X36,"",""),"""")"),"")</f>
        <v/>
      </c>
      <c r="BE36" s="69"/>
      <c r="BF36" s="69"/>
      <c r="BG36" s="69" t="str">
        <f>IFERROR(__xludf.DUMMYFUNCTION("IFERROR(SPLIT(Y36,"",""),"""")"),"")</f>
        <v/>
      </c>
      <c r="BH36" s="69"/>
      <c r="BI36" s="69"/>
      <c r="BJ36" s="68" t="str">
        <f>IFERROR(__xludf.DUMMYFUNCTION("IF($B36&lt;&gt;"""",IFERROR(FILTER(RawTotals!$AJ:$AJ,RawTotals!$A:$A=Z36)-(FILTER(Data!$K:$K,Data!$B:$B=Z36,Data!$D:$D=$B36)+FILTER(Data!$L:$L,Data!$B:$B=Z36,Data!$D:$D=$B36)),""""),"""")"),"")</f>
        <v/>
      </c>
      <c r="BK36" s="68" t="str">
        <f>IFERROR(__xludf.DUMMYFUNCTION("IF($B36&lt;&gt;"""",IFERROR(FILTER(RawTotals!$AJ:$AJ,RawTotals!$A:$A=AA36)-(FILTER(Data!$K:$K,Data!$B:$B=AA36,Data!$D:$D=$B36)+FILTER(Data!$L:$L,Data!$B:$B=AA36,Data!$D:$D=$B36)),""""),"""")"),"")</f>
        <v/>
      </c>
      <c r="BL36" s="68" t="str">
        <f>IFERROR(__xludf.DUMMYFUNCTION("IF($B36&lt;&gt;"""",IFERROR(FILTER(RawTotals!$AJ:$AJ,RawTotals!$A:$A=AB36)-(FILTER(Data!$K:$K,Data!$B:$B=AB36,Data!$D:$D=$B36)+FILTER(Data!$L:$L,Data!$B:$B=AB36,Data!$D:$D=$B36)),""""),"""")"),"")</f>
        <v/>
      </c>
      <c r="BM36" s="69" t="str">
        <f>IFERROR(__xludf.DUMMYFUNCTION("IF($C36&lt;&gt;"""",IFERROR(FILTER(RawTotals!$AJ:$AJ,RawTotals!$A:$A=AC36)-(FILTER(Data!$K:$K,Data!$B:$B=AC36,Data!$D:$D=$C36)+FILTER(Data!$L:$L,Data!$B:$B=AC36,Data!$D:$D=$C36)),""""),"""")"),"")</f>
        <v/>
      </c>
      <c r="BN36" s="69" t="str">
        <f>IFERROR(__xludf.DUMMYFUNCTION("IF($C36&lt;&gt;"""",IFERROR(FILTER(RawTotals!$AJ:$AJ,RawTotals!$A:$A=AD36)-(FILTER(Data!$K:$K,Data!$B:$B=AD36,Data!$D:$D=$C36)+FILTER(Data!$L:$L,Data!$B:$B=AD36,Data!$D:$D=$C36)),""""),"""")"),"")</f>
        <v/>
      </c>
      <c r="BO36" s="69" t="str">
        <f>IFERROR(__xludf.DUMMYFUNCTION("IF($C36&lt;&gt;"""",IFERROR(FILTER(RawTotals!$AJ:$AJ,RawTotals!$A:$A=AE36)-(FILTER(Data!$K:$K,Data!$B:$B=AE36,Data!$D:$D=$C36)+FILTER(Data!$L:$L,Data!$B:$B=AE36,Data!$D:$D=$C36)),""""),"""")"),"")</f>
        <v/>
      </c>
      <c r="BP36" s="69" t="str">
        <f>IFERROR(__xludf.DUMMYFUNCTION("IF($D36&lt;&gt;"""",IFERROR(FILTER(RawTotals!$AJ:$AJ,RawTotals!$A:$A=AF36)-(FILTER(Data!$K:$K,Data!$B:$B=AF36,Data!$D:$D=$D36)+FILTER(Data!$L:$L,Data!$B:$B=AF36,Data!$D:$D=$D36)),""""),"""")"),"")</f>
        <v/>
      </c>
      <c r="BQ36" s="69" t="str">
        <f>IFERROR(__xludf.DUMMYFUNCTION("IF($D36&lt;&gt;"""",IFERROR(FILTER(RawTotals!$AJ:$AJ,RawTotals!$A:$A=AG36)-(FILTER(Data!$K:$K,Data!$B:$B=AG36,Data!$D:$D=$D36)+FILTER(Data!$L:$L,Data!$B:$B=AG36,Data!$D:$D=$D36)),""""),"""")"),"")</f>
        <v/>
      </c>
      <c r="BR36" s="69" t="str">
        <f>IFERROR(__xludf.DUMMYFUNCTION("IF($D36&lt;&gt;"""",IFERROR(FILTER(RawTotals!$AJ:$AJ,RawTotals!$A:$A=AH36)-(FILTER(Data!$K:$K,Data!$B:$B=AH36,Data!$D:$D=$D36)+FILTER(Data!$L:$L,Data!$B:$B=AH36,Data!$D:$D=$D36)),""""),"""")"),"")</f>
        <v/>
      </c>
      <c r="BS36" s="69" t="str">
        <f>IFERROR(__xludf.DUMMYFUNCTION("IF($E36&lt;&gt;"""",IFERROR(FILTER(RawTotals!$AJ:$AJ,RawTotals!$A:$A=AI36)-(FILTER(Data!$K:$K,Data!$B:$B=AI36,Data!$D:$D=$E36)+FILTER(Data!$L:$L,Data!$B:$B=AI36,Data!$D:$D=$E36)),""""),"""")"),"")</f>
        <v/>
      </c>
      <c r="BT36" s="69" t="str">
        <f>IFERROR(__xludf.DUMMYFUNCTION("IF($E36&lt;&gt;"""",IFERROR(FILTER(RawTotals!$AJ:$AJ,RawTotals!$A:$A=AJ36)-(FILTER(Data!$K:$K,Data!$B:$B=AJ36,Data!$D:$D=$E36)+FILTER(Data!$L:$L,Data!$B:$B=AJ36,Data!$D:$D=$E36)),""""),"""")"),"")</f>
        <v/>
      </c>
      <c r="BU36" s="69" t="str">
        <f>IFERROR(__xludf.DUMMYFUNCTION("IF($E36&lt;&gt;"""",IFERROR(FILTER(RawTotals!$AJ:$AJ,RawTotals!$A:$A=AK36)-(FILTER(Data!$K:$K,Data!$B:$B=AK36,Data!$D:$D=$E36)+FILTER(Data!$L:$L,Data!$B:$B=AK36,Data!$D:$D=$E36)),""""),"""")"),"")</f>
        <v/>
      </c>
      <c r="BV36" s="69" t="str">
        <f>IFERROR(__xludf.DUMMYFUNCTION("IF($F36&lt;&gt;"""",IFERROR(FILTER(RawTotals!$AJ:$AJ,RawTotals!$A:$A=AL36)-(FILTER(Data!$K:$K,Data!$B:$B=AL36,Data!$D:$D=$F36)+FILTER(Data!$L:$L,Data!$B:$B=AL36,Data!$D:$D=$F36)),""""),"""")"),"")</f>
        <v/>
      </c>
      <c r="BW36" s="69" t="str">
        <f>IFERROR(__xludf.DUMMYFUNCTION("IF($F36&lt;&gt;"""",IFERROR(FILTER(RawTotals!$AJ:$AJ,RawTotals!$A:$A=AM36)-(FILTER(Data!$K:$K,Data!$B:$B=AM36,Data!$D:$D=$F36)+FILTER(Data!$L:$L,Data!$B:$B=AM36,Data!$D:$D=$F36)),""""),"""")"),"")</f>
        <v/>
      </c>
      <c r="BX36" s="69" t="str">
        <f>IFERROR(__xludf.DUMMYFUNCTION("IF($F36&lt;&gt;"""",IFERROR(FILTER(RawTotals!$AJ:$AJ,RawTotals!$A:$A=AN36)-(FILTER(Data!$K:$K,Data!$B:$B=AN36,Data!$D:$D=$F36)+FILTER(Data!$L:$L,Data!$B:$B=AN36,Data!$D:$D=$F36)),""""),"""")"),"")</f>
        <v/>
      </c>
      <c r="BY36" s="69" t="str">
        <f>IFERROR(__xludf.DUMMYFUNCTION("IF($G36&lt;&gt;"""",IFERROR(FILTER(RawTotals!$AJ:$AJ,RawTotals!$A:$A=AO36)-(FILTER(Data!$K:$K,Data!$B:$B=AO36,Data!$D:$D=$G36)+FILTER(Data!$L:$L,Data!$B:$B=AO36,Data!$D:$D=$G36)),""""),"""")"),"")</f>
        <v/>
      </c>
      <c r="BZ36" s="69" t="str">
        <f>IFERROR(__xludf.DUMMYFUNCTION("IF($G36&lt;&gt;"""",IFERROR(FILTER(RawTotals!$AJ:$AJ,RawTotals!$A:$A=AP36)-(FILTER(Data!$K:$K,Data!$B:$B=AP36,Data!$D:$D=$G36)+FILTER(Data!$L:$L,Data!$B:$B=AP36,Data!$D:$D=$G36)),""""),"""")"),"")</f>
        <v/>
      </c>
      <c r="CA36" s="69" t="str">
        <f>IFERROR(__xludf.DUMMYFUNCTION("IF($G36&lt;&gt;"""",IFERROR(FILTER(RawTotals!$AJ:$AJ,RawTotals!$A:$A=AQ36)-(FILTER(Data!$K:$K,Data!$B:$B=AQ36,Data!$D:$D=$G36)+FILTER(Data!$L:$L,Data!$B:$B=AQ36,Data!$D:$D=$G36)),""""),"""")"),"")</f>
        <v/>
      </c>
      <c r="CB36" s="69" t="str">
        <f>IFERROR(__xludf.DUMMYFUNCTION("IF($H36&lt;&gt;"""",IFERROR(FILTER(RawTotals!$AJ:$AJ,RawTotals!$A:$A=AR36)-(FILTER(Data!$K:$K,Data!$B:$B=AR36,Data!$D:$D=$H36)+FILTER(Data!$L:$L,Data!$B:$B=AR36,Data!$D:$D=$H36)),""""),"""")"),"")</f>
        <v/>
      </c>
      <c r="CC36" s="69" t="str">
        <f>IFERROR(__xludf.DUMMYFUNCTION("IF($H36&lt;&gt;"""",IFERROR(FILTER(RawTotals!$AJ:$AJ,RawTotals!$A:$A=AS36)-(FILTER(Data!$K:$K,Data!$B:$B=AS36,Data!$D:$D=$H36)+FILTER(Data!$L:$L,Data!$B:$B=AS36,Data!$D:$D=$H36)),""""),"""")"),"")</f>
        <v/>
      </c>
      <c r="CD36" s="69" t="str">
        <f>IFERROR(__xludf.DUMMYFUNCTION("IF($H36&lt;&gt;"""",IFERROR(FILTER(RawTotals!$AJ:$AJ,RawTotals!$A:$A=AT36)-(FILTER(Data!$K:$K,Data!$B:$B=AT36,Data!$D:$D=$H36)+FILTER(Data!$L:$L,Data!$B:$B=AT36,Data!$D:$D=$H36)),""""),"""")"),"")</f>
        <v/>
      </c>
      <c r="CE36" s="69" t="str">
        <f>IFERROR(__xludf.DUMMYFUNCTION("IF($I36&lt;&gt;"""",IFERROR(FILTER(RawTotals!$AJ:$AJ,RawTotals!$A:$A=AU36)-(FILTER(Data!$K:$K,Data!$B:$B=AU36,Data!$D:$D=$I36)+FILTER(Data!$L:$L,Data!$B:$B=AU36,Data!$D:$D=$I36)),""""),"""")"),"")</f>
        <v/>
      </c>
      <c r="CF36" s="69" t="str">
        <f>IFERROR(__xludf.DUMMYFUNCTION("IF($I36&lt;&gt;"""",IFERROR(FILTER(RawTotals!$AJ:$AJ,RawTotals!$A:$A=AV36)-(FILTER(Data!$K:$K,Data!$B:$B=AV36,Data!$D:$D=$I36)+FILTER(Data!$L:$L,Data!$B:$B=AV36,Data!$D:$D=$I36)),""""),"""")"),"")</f>
        <v/>
      </c>
      <c r="CG36" s="69" t="str">
        <f>IFERROR(__xludf.DUMMYFUNCTION("IF($I36&lt;&gt;"""",IFERROR(FILTER(RawTotals!$AJ:$AJ,RawTotals!$A:$A=AW36)-(FILTER(Data!$K:$K,Data!$B:$B=AW36,Data!$D:$D=$I36)+FILTER(Data!$L:$L,Data!$B:$B=AW36,Data!$D:$D=$I36)),""""),"""")"),"")</f>
        <v/>
      </c>
      <c r="CH36" s="69" t="str">
        <f>IFERROR(__xludf.DUMMYFUNCTION("IF($J36&lt;&gt;"""",IFERROR(FILTER(RawTotals!$AJ:$AJ,RawTotals!$A:$A=AX36)-(FILTER(Data!$K:$K,Data!$B:$B=AX36,Data!$D:$D=$J36)+FILTER(Data!$L:$L,Data!$B:$B=AX36,Data!$D:$D=$J36)),""""),"""")"),"")</f>
        <v/>
      </c>
      <c r="CI36" s="69" t="str">
        <f>IFERROR(__xludf.DUMMYFUNCTION("IF($J36&lt;&gt;"""",IFERROR(FILTER(RawTotals!$AJ:$AJ,RawTotals!$A:$A=AY36)-(FILTER(Data!$K:$K,Data!$B:$B=AY36,Data!$D:$D=$J36)+FILTER(Data!$L:$L,Data!$B:$B=AY36,Data!$D:$D=$J36)),""""),"""")"),"")</f>
        <v/>
      </c>
      <c r="CJ36" s="69" t="str">
        <f>IFERROR(__xludf.DUMMYFUNCTION("IF($J36&lt;&gt;"""",IFERROR(FILTER(RawTotals!$AJ:$AJ,RawTotals!$A:$A=AZ36)-(FILTER(Data!$K:$K,Data!$B:$B=AZ36,Data!$D:$D=$J36)+FILTER(Data!$L:$L,Data!$B:$B=AZ36,Data!$D:$D=$J36)),""""),"""")"),"")</f>
        <v/>
      </c>
      <c r="CK36" s="69" t="str">
        <f>IFERROR(__xludf.DUMMYFUNCTION("IF($K36&lt;&gt;"""",IFERROR(FILTER(RawTotals!$AJ:$AJ,RawTotals!$A:$A=BA36)-(FILTER(Data!$K:$K,Data!$B:$B=BA36,Data!$D:$D=$K36)+FILTER(Data!$L:$L,Data!$B:$B=BA36,Data!$D:$D=$K36)),""""),"""")"),"")</f>
        <v/>
      </c>
      <c r="CL36" s="69" t="str">
        <f>IFERROR(__xludf.DUMMYFUNCTION("IF($K36&lt;&gt;"""",IFERROR(FILTER(RawTotals!$AJ:$AJ,RawTotals!$A:$A=BB36)-(FILTER(Data!$K:$K,Data!$B:$B=BB36,Data!$D:$D=$K36)+FILTER(Data!$L:$L,Data!$B:$B=BB36,Data!$D:$D=$K36)),""""),"""")"),"")</f>
        <v/>
      </c>
      <c r="CM36" s="69" t="str">
        <f>IFERROR(__xludf.DUMMYFUNCTION("IF($K36&lt;&gt;"""",IFERROR(FILTER(RawTotals!$AJ:$AJ,RawTotals!$A:$A=BC36)-(FILTER(Data!$K:$K,Data!$B:$B=BC36,Data!$D:$D=$K36)+FILTER(Data!$L:$L,Data!$B:$B=BC36,Data!$D:$D=$K36)),""""),"""")"),"")</f>
        <v/>
      </c>
      <c r="CN36" s="69" t="str">
        <f>IFERROR(__xludf.DUMMYFUNCTION("IF($L36&lt;&gt;"""",IFERROR((FILTER(RawTotals!$AJ:$AJ,RawTotals!$A:$A=BD36)-(FILTER(Data!$K:$K,Data!$B:$B=BD36,Data!$D:$D=$L36)+FILTER(Data!$L:$L,Data!$B:$B=BD36,Data!$D:$D=$L36))),""""),"""")"),"")</f>
        <v/>
      </c>
      <c r="CO36" s="69" t="str">
        <f>IFERROR(__xludf.DUMMYFUNCTION("IF($L36&lt;&gt;"""",IFERROR((FILTER(RawTotals!$AJ:$AJ,RawTotals!$A:$A=BE36)-(FILTER(Data!$K:$K,Data!$B:$B=BE36,Data!$D:$D=$L36)+FILTER(Data!$L:$L,Data!$B:$B=BE36,Data!$D:$D=$L36))),""""),"""")"),"")</f>
        <v/>
      </c>
      <c r="CP36" s="69" t="str">
        <f>IFERROR(__xludf.DUMMYFUNCTION("IF($L36&lt;&gt;"""",IFERROR((FILTER(RawTotals!$AJ:$AJ,RawTotals!$A:$A=BF36)-(FILTER(Data!$K:$K,Data!$B:$B=BF36,Data!$D:$D=$L36)+FILTER(Data!$L:$L,Data!$B:$B=BF36,Data!$D:$D=$L36))),""""),"""")"),"")</f>
        <v/>
      </c>
      <c r="CQ36" s="69" t="str">
        <f>IFERROR(__xludf.DUMMYFUNCTION("IF($M36&lt;&gt;"""",IFERROR((FILTER(RawTotals!$AJ:$AJ,RawTotals!$A:$A=BG36)-(FILTER(Data!$K:$K,Data!$B:$B=BG36,Data!$D:$D=$M36)+FILTER(Data!$L:$L,Data!$B:$B=BG36,Data!$D:$D=$M36))),""""),"""")"),"")</f>
        <v/>
      </c>
      <c r="CR36" s="69" t="str">
        <f>IFERROR(__xludf.DUMMYFUNCTION("IF($M36&lt;&gt;"""",IFERROR((FILTER(RawTotals!$AJ:$AJ,RawTotals!$A:$A=BH36)-(FILTER(Data!$K:$K,Data!$B:$B=BH36,Data!$D:$D=$M36)+FILTER(Data!$L:$L,Data!$B:$B=BH36,Data!$D:$D=$M36))),""""),"""")"),"")</f>
        <v/>
      </c>
      <c r="CS36" s="70" t="str">
        <f>IFERROR(__xludf.DUMMYFUNCTION("IF($M36&lt;&gt;"""",IFERROR((FILTER(RawTotals!$AJ:$AJ,RawTotals!$A:$A=BI36)-(FILTER(Data!$K:$K,Data!$B:$B=BI36,Data!$D:$D=$M36)+FILTER(Data!$L:$L,Data!$B:$B=BI36,Data!$D:$D=$M36))),""""),"""")"),"")</f>
        <v/>
      </c>
      <c r="CT36" s="69"/>
      <c r="CU36" s="69"/>
      <c r="CV36" s="69"/>
      <c r="CW36" s="69"/>
      <c r="CX36" s="69"/>
      <c r="CY36" s="69"/>
      <c r="CZ36" s="69"/>
      <c r="DA36" s="69"/>
      <c r="DB36" s="69"/>
      <c r="DC36" s="69"/>
      <c r="DD36" s="69"/>
      <c r="DE36" s="69"/>
    </row>
    <row r="37">
      <c r="A37" s="67">
        <f>RawTotals!A37</f>
        <v>2075</v>
      </c>
      <c r="B37" s="68" t="str">
        <f>IFERROR(__xludf.DUMMYFUNCTION("IF(A37&lt;&gt;"""",IFERROR(TRANSPOSE(FILTER(Data!D:D,Data!B:B=A37,Data!R:R&lt;&gt;"""")),""No Defense""),"""")"),"No Defense")</f>
        <v>No Defense</v>
      </c>
      <c r="C37" s="65"/>
      <c r="D37" s="65"/>
      <c r="E37" s="65"/>
      <c r="F37" s="65"/>
      <c r="G37" s="65"/>
      <c r="H37" s="65"/>
      <c r="I37" s="65"/>
      <c r="J37" s="65"/>
      <c r="K37" s="65"/>
      <c r="L37" s="65"/>
      <c r="M37" s="65"/>
      <c r="N37" s="64" t="str">
        <f>IFERROR(__xludf.DUMMYFUNCTION("IFERROR(Textjoin("""",TRUE,FILTER(Data!$R:$R,Data!$D:$D=B37,Data!$B:$B=$A37)),"""")"),"")</f>
        <v/>
      </c>
      <c r="O37" s="64" t="str">
        <f>IFERROR(__xludf.DUMMYFUNCTION("IFERROR(Textjoin("""",TRUE,FILTER(Data!$R:$R,Data!$D:$D=C37,Data!$B:$B=$A37)),"""")"),"")</f>
        <v/>
      </c>
      <c r="P37" s="64" t="str">
        <f>IFERROR(__xludf.DUMMYFUNCTION("IFERROR(Textjoin("""",TRUE,FILTER(Data!$R:$R,Data!$D:$D=D37,Data!$B:$B=$A37)),"""")"),"")</f>
        <v/>
      </c>
      <c r="Q37" s="64" t="str">
        <f>IFERROR(__xludf.DUMMYFUNCTION("IFERROR(Textjoin("""",TRUE,FILTER(Data!$R:$R,Data!$D:$D=E37,Data!$B:$B=$A37)),"""")"),"")</f>
        <v/>
      </c>
      <c r="R37" s="64" t="str">
        <f>IFERROR(__xludf.DUMMYFUNCTION("IFERROR(Textjoin("""",TRUE,FILTER(Data!$R:$R,Data!$D:$D=F37,Data!$B:$B=$A37)),"""")"),"")</f>
        <v/>
      </c>
      <c r="S37" s="64" t="str">
        <f>IFERROR(__xludf.DUMMYFUNCTION("IFERROR(Textjoin("""",TRUE,FILTER(Data!$R:$R,Data!$D:$D=G37,Data!$B:$B=$A37)),"""")"),"")</f>
        <v/>
      </c>
      <c r="T37" s="64" t="str">
        <f>IFERROR(__xludf.DUMMYFUNCTION("IFERROR(Textjoin("""",TRUE,FILTER(Data!$R:$R,Data!$D:$D=H37,Data!$B:$B=$A37)),"""")"),"")</f>
        <v/>
      </c>
      <c r="U37" s="64" t="str">
        <f>IFERROR(__xludf.DUMMYFUNCTION("IFERROR(Textjoin("""",TRUE,FILTER(Data!$R:$R,Data!$D:$D=I37,Data!$B:$B=$A37)),"""")"),"")</f>
        <v/>
      </c>
      <c r="V37" s="64" t="str">
        <f>IFERROR(__xludf.DUMMYFUNCTION("IFERROR(Textjoin("""",TRUE,FILTER(Data!$R:$R,Data!$D:$D=J37,Data!$B:$B=$A37)),"""")"),"")</f>
        <v/>
      </c>
      <c r="W37" s="64" t="str">
        <f>IFERROR(__xludf.DUMMYFUNCTION("IFERROR(Textjoin("""",TRUE,FILTER(Data!$R:$R,Data!$D:$D=K37,Data!$B:$B=$A37)),"""")"),"")</f>
        <v/>
      </c>
      <c r="X37" s="64" t="str">
        <f>IFERROR(__xludf.DUMMYFUNCTION("IFERROR(Textjoin("""",TRUE,FILTER(Data!$R:$R,Data!$D:$D=L37,Data!$B:$B=$A37)),"""")"),"")</f>
        <v/>
      </c>
      <c r="Y37" s="64" t="str">
        <f>IFERROR(__xludf.DUMMYFUNCTION("IFERROR(Textjoin("""",TRUE,FILTER(Data!$R:$R,Data!$D:$D=M37,Data!$B:$B=$A37)),"""")"),"")</f>
        <v/>
      </c>
      <c r="Z37" s="64" t="str">
        <f>IFERROR(__xludf.DUMMYFUNCTION("IFERROR(SPLIT(N37,"",""),"""")"),"")</f>
        <v/>
      </c>
      <c r="AA37" s="65"/>
      <c r="AB37" s="65"/>
      <c r="AC37" s="69" t="str">
        <f>IFERROR(__xludf.DUMMYFUNCTION("IFERROR(SPLIT(O37,"",""),"""")"),"")</f>
        <v/>
      </c>
      <c r="AD37" s="65"/>
      <c r="AE37" s="65"/>
      <c r="AF37" s="69" t="str">
        <f>IFERROR(__xludf.DUMMYFUNCTION("IFERROR(SPLIT(P37,"",""),"""")"),"")</f>
        <v/>
      </c>
      <c r="AG37" s="65"/>
      <c r="AH37" s="65"/>
      <c r="AI37" s="69" t="str">
        <f>IFERROR(__xludf.DUMMYFUNCTION("IFERROR(SPLIT(Q37,"",""),"""")"),"")</f>
        <v/>
      </c>
      <c r="AJ37" s="65"/>
      <c r="AK37" s="65"/>
      <c r="AL37" s="69" t="str">
        <f>IFERROR(__xludf.DUMMYFUNCTION("IFERROR(SPLIT(R37,"",""),"""")"),"")</f>
        <v/>
      </c>
      <c r="AM37" s="65"/>
      <c r="AN37" s="65"/>
      <c r="AO37" s="69" t="str">
        <f>IFERROR(__xludf.DUMMYFUNCTION("IFERROR(SPLIT(S37,"",""),"""")"),"")</f>
        <v/>
      </c>
      <c r="AP37" s="65"/>
      <c r="AQ37" s="65"/>
      <c r="AR37" s="69" t="str">
        <f>IFERROR(__xludf.DUMMYFUNCTION("IFERROR(SPLIT(T37,"",""),"""")"),"")</f>
        <v/>
      </c>
      <c r="AS37" s="65"/>
      <c r="AT37" s="65"/>
      <c r="AU37" s="69" t="str">
        <f>IFERROR(__xludf.DUMMYFUNCTION("IFERROR(SPLIT(U37,"",""),"""")"),"")</f>
        <v/>
      </c>
      <c r="AV37" s="65"/>
      <c r="AW37" s="65"/>
      <c r="AX37" s="69" t="str">
        <f>IFERROR(__xludf.DUMMYFUNCTION("IFERROR(SPLIT(V37,"",""),"""")"),"")</f>
        <v/>
      </c>
      <c r="AY37" s="65"/>
      <c r="AZ37" s="65"/>
      <c r="BA37" s="69" t="str">
        <f>IFERROR(__xludf.DUMMYFUNCTION("IFERROR(SPLIT(W37,"",""),"""")"),"")</f>
        <v/>
      </c>
      <c r="BB37" s="69"/>
      <c r="BC37" s="69"/>
      <c r="BD37" s="69" t="str">
        <f>IFERROR(__xludf.DUMMYFUNCTION("IFERROR(SPLIT(X37,"",""),"""")"),"")</f>
        <v/>
      </c>
      <c r="BE37" s="69"/>
      <c r="BF37" s="69"/>
      <c r="BG37" s="69" t="str">
        <f>IFERROR(__xludf.DUMMYFUNCTION("IFERROR(SPLIT(Y37,"",""),"""")"),"")</f>
        <v/>
      </c>
      <c r="BH37" s="69"/>
      <c r="BI37" s="69"/>
      <c r="BJ37" s="68" t="str">
        <f>IFERROR(__xludf.DUMMYFUNCTION("IF($B37&lt;&gt;"""",IFERROR(FILTER(RawTotals!$AJ:$AJ,RawTotals!$A:$A=Z37)-(FILTER(Data!$K:$K,Data!$B:$B=Z37,Data!$D:$D=$B37)+FILTER(Data!$L:$L,Data!$B:$B=Z37,Data!$D:$D=$B37)),""""),"""")"),"")</f>
        <v/>
      </c>
      <c r="BK37" s="68" t="str">
        <f>IFERROR(__xludf.DUMMYFUNCTION("IF($B37&lt;&gt;"""",IFERROR(FILTER(RawTotals!$AJ:$AJ,RawTotals!$A:$A=AA37)-(FILTER(Data!$K:$K,Data!$B:$B=AA37,Data!$D:$D=$B37)+FILTER(Data!$L:$L,Data!$B:$B=AA37,Data!$D:$D=$B37)),""""),"""")"),"")</f>
        <v/>
      </c>
      <c r="BL37" s="68" t="str">
        <f>IFERROR(__xludf.DUMMYFUNCTION("IF($B37&lt;&gt;"""",IFERROR(FILTER(RawTotals!$AJ:$AJ,RawTotals!$A:$A=AB37)-(FILTER(Data!$K:$K,Data!$B:$B=AB37,Data!$D:$D=$B37)+FILTER(Data!$L:$L,Data!$B:$B=AB37,Data!$D:$D=$B37)),""""),"""")"),"")</f>
        <v/>
      </c>
      <c r="BM37" s="69" t="str">
        <f>IFERROR(__xludf.DUMMYFUNCTION("IF($C37&lt;&gt;"""",IFERROR(FILTER(RawTotals!$AJ:$AJ,RawTotals!$A:$A=AC37)-(FILTER(Data!$K:$K,Data!$B:$B=AC37,Data!$D:$D=$C37)+FILTER(Data!$L:$L,Data!$B:$B=AC37,Data!$D:$D=$C37)),""""),"""")"),"")</f>
        <v/>
      </c>
      <c r="BN37" s="69" t="str">
        <f>IFERROR(__xludf.DUMMYFUNCTION("IF($C37&lt;&gt;"""",IFERROR(FILTER(RawTotals!$AJ:$AJ,RawTotals!$A:$A=AD37)-(FILTER(Data!$K:$K,Data!$B:$B=AD37,Data!$D:$D=$C37)+FILTER(Data!$L:$L,Data!$B:$B=AD37,Data!$D:$D=$C37)),""""),"""")"),"")</f>
        <v/>
      </c>
      <c r="BO37" s="69" t="str">
        <f>IFERROR(__xludf.DUMMYFUNCTION("IF($C37&lt;&gt;"""",IFERROR(FILTER(RawTotals!$AJ:$AJ,RawTotals!$A:$A=AE37)-(FILTER(Data!$K:$K,Data!$B:$B=AE37,Data!$D:$D=$C37)+FILTER(Data!$L:$L,Data!$B:$B=AE37,Data!$D:$D=$C37)),""""),"""")"),"")</f>
        <v/>
      </c>
      <c r="BP37" s="69" t="str">
        <f>IFERROR(__xludf.DUMMYFUNCTION("IF($D37&lt;&gt;"""",IFERROR(FILTER(RawTotals!$AJ:$AJ,RawTotals!$A:$A=AF37)-(FILTER(Data!$K:$K,Data!$B:$B=AF37,Data!$D:$D=$D37)+FILTER(Data!$L:$L,Data!$B:$B=AF37,Data!$D:$D=$D37)),""""),"""")"),"")</f>
        <v/>
      </c>
      <c r="BQ37" s="69" t="str">
        <f>IFERROR(__xludf.DUMMYFUNCTION("IF($D37&lt;&gt;"""",IFERROR(FILTER(RawTotals!$AJ:$AJ,RawTotals!$A:$A=AG37)-(FILTER(Data!$K:$K,Data!$B:$B=AG37,Data!$D:$D=$D37)+FILTER(Data!$L:$L,Data!$B:$B=AG37,Data!$D:$D=$D37)),""""),"""")"),"")</f>
        <v/>
      </c>
      <c r="BR37" s="69" t="str">
        <f>IFERROR(__xludf.DUMMYFUNCTION("IF($D37&lt;&gt;"""",IFERROR(FILTER(RawTotals!$AJ:$AJ,RawTotals!$A:$A=AH37)-(FILTER(Data!$K:$K,Data!$B:$B=AH37,Data!$D:$D=$D37)+FILTER(Data!$L:$L,Data!$B:$B=AH37,Data!$D:$D=$D37)),""""),"""")"),"")</f>
        <v/>
      </c>
      <c r="BS37" s="69" t="str">
        <f>IFERROR(__xludf.DUMMYFUNCTION("IF($E37&lt;&gt;"""",IFERROR(FILTER(RawTotals!$AJ:$AJ,RawTotals!$A:$A=AI37)-(FILTER(Data!$K:$K,Data!$B:$B=AI37,Data!$D:$D=$E37)+FILTER(Data!$L:$L,Data!$B:$B=AI37,Data!$D:$D=$E37)),""""),"""")"),"")</f>
        <v/>
      </c>
      <c r="BT37" s="69" t="str">
        <f>IFERROR(__xludf.DUMMYFUNCTION("IF($E37&lt;&gt;"""",IFERROR(FILTER(RawTotals!$AJ:$AJ,RawTotals!$A:$A=AJ37)-(FILTER(Data!$K:$K,Data!$B:$B=AJ37,Data!$D:$D=$E37)+FILTER(Data!$L:$L,Data!$B:$B=AJ37,Data!$D:$D=$E37)),""""),"""")"),"")</f>
        <v/>
      </c>
      <c r="BU37" s="69" t="str">
        <f>IFERROR(__xludf.DUMMYFUNCTION("IF($E37&lt;&gt;"""",IFERROR(FILTER(RawTotals!$AJ:$AJ,RawTotals!$A:$A=AK37)-(FILTER(Data!$K:$K,Data!$B:$B=AK37,Data!$D:$D=$E37)+FILTER(Data!$L:$L,Data!$B:$B=AK37,Data!$D:$D=$E37)),""""),"""")"),"")</f>
        <v/>
      </c>
      <c r="BV37" s="69" t="str">
        <f>IFERROR(__xludf.DUMMYFUNCTION("IF($F37&lt;&gt;"""",IFERROR(FILTER(RawTotals!$AJ:$AJ,RawTotals!$A:$A=AL37)-(FILTER(Data!$K:$K,Data!$B:$B=AL37,Data!$D:$D=$F37)+FILTER(Data!$L:$L,Data!$B:$B=AL37,Data!$D:$D=$F37)),""""),"""")"),"")</f>
        <v/>
      </c>
      <c r="BW37" s="69" t="str">
        <f>IFERROR(__xludf.DUMMYFUNCTION("IF($F37&lt;&gt;"""",IFERROR(FILTER(RawTotals!$AJ:$AJ,RawTotals!$A:$A=AM37)-(FILTER(Data!$K:$K,Data!$B:$B=AM37,Data!$D:$D=$F37)+FILTER(Data!$L:$L,Data!$B:$B=AM37,Data!$D:$D=$F37)),""""),"""")"),"")</f>
        <v/>
      </c>
      <c r="BX37" s="69" t="str">
        <f>IFERROR(__xludf.DUMMYFUNCTION("IF($F37&lt;&gt;"""",IFERROR(FILTER(RawTotals!$AJ:$AJ,RawTotals!$A:$A=AN37)-(FILTER(Data!$K:$K,Data!$B:$B=AN37,Data!$D:$D=$F37)+FILTER(Data!$L:$L,Data!$B:$B=AN37,Data!$D:$D=$F37)),""""),"""")"),"")</f>
        <v/>
      </c>
      <c r="BY37" s="69" t="str">
        <f>IFERROR(__xludf.DUMMYFUNCTION("IF($G37&lt;&gt;"""",IFERROR(FILTER(RawTotals!$AJ:$AJ,RawTotals!$A:$A=AO37)-(FILTER(Data!$K:$K,Data!$B:$B=AO37,Data!$D:$D=$G37)+FILTER(Data!$L:$L,Data!$B:$B=AO37,Data!$D:$D=$G37)),""""),"""")"),"")</f>
        <v/>
      </c>
      <c r="BZ37" s="69" t="str">
        <f>IFERROR(__xludf.DUMMYFUNCTION("IF($G37&lt;&gt;"""",IFERROR(FILTER(RawTotals!$AJ:$AJ,RawTotals!$A:$A=AP37)-(FILTER(Data!$K:$K,Data!$B:$B=AP37,Data!$D:$D=$G37)+FILTER(Data!$L:$L,Data!$B:$B=AP37,Data!$D:$D=$G37)),""""),"""")"),"")</f>
        <v/>
      </c>
      <c r="CA37" s="69" t="str">
        <f>IFERROR(__xludf.DUMMYFUNCTION("IF($G37&lt;&gt;"""",IFERROR(FILTER(RawTotals!$AJ:$AJ,RawTotals!$A:$A=AQ37)-(FILTER(Data!$K:$K,Data!$B:$B=AQ37,Data!$D:$D=$G37)+FILTER(Data!$L:$L,Data!$B:$B=AQ37,Data!$D:$D=$G37)),""""),"""")"),"")</f>
        <v/>
      </c>
      <c r="CB37" s="69" t="str">
        <f>IFERROR(__xludf.DUMMYFUNCTION("IF($H37&lt;&gt;"""",IFERROR(FILTER(RawTotals!$AJ:$AJ,RawTotals!$A:$A=AR37)-(FILTER(Data!$K:$K,Data!$B:$B=AR37,Data!$D:$D=$H37)+FILTER(Data!$L:$L,Data!$B:$B=AR37,Data!$D:$D=$H37)),""""),"""")"),"")</f>
        <v/>
      </c>
      <c r="CC37" s="69" t="str">
        <f>IFERROR(__xludf.DUMMYFUNCTION("IF($H37&lt;&gt;"""",IFERROR(FILTER(RawTotals!$AJ:$AJ,RawTotals!$A:$A=AS37)-(FILTER(Data!$K:$K,Data!$B:$B=AS37,Data!$D:$D=$H37)+FILTER(Data!$L:$L,Data!$B:$B=AS37,Data!$D:$D=$H37)),""""),"""")"),"")</f>
        <v/>
      </c>
      <c r="CD37" s="69" t="str">
        <f>IFERROR(__xludf.DUMMYFUNCTION("IF($H37&lt;&gt;"""",IFERROR(FILTER(RawTotals!$AJ:$AJ,RawTotals!$A:$A=AT37)-(FILTER(Data!$K:$K,Data!$B:$B=AT37,Data!$D:$D=$H37)+FILTER(Data!$L:$L,Data!$B:$B=AT37,Data!$D:$D=$H37)),""""),"""")"),"")</f>
        <v/>
      </c>
      <c r="CE37" s="69" t="str">
        <f>IFERROR(__xludf.DUMMYFUNCTION("IF($I37&lt;&gt;"""",IFERROR(FILTER(RawTotals!$AJ:$AJ,RawTotals!$A:$A=AU37)-(FILTER(Data!$K:$K,Data!$B:$B=AU37,Data!$D:$D=$I37)+FILTER(Data!$L:$L,Data!$B:$B=AU37,Data!$D:$D=$I37)),""""),"""")"),"")</f>
        <v/>
      </c>
      <c r="CF37" s="69" t="str">
        <f>IFERROR(__xludf.DUMMYFUNCTION("IF($I37&lt;&gt;"""",IFERROR(FILTER(RawTotals!$AJ:$AJ,RawTotals!$A:$A=AV37)-(FILTER(Data!$K:$K,Data!$B:$B=AV37,Data!$D:$D=$I37)+FILTER(Data!$L:$L,Data!$B:$B=AV37,Data!$D:$D=$I37)),""""),"""")"),"")</f>
        <v/>
      </c>
      <c r="CG37" s="69" t="str">
        <f>IFERROR(__xludf.DUMMYFUNCTION("IF($I37&lt;&gt;"""",IFERROR(FILTER(RawTotals!$AJ:$AJ,RawTotals!$A:$A=AW37)-(FILTER(Data!$K:$K,Data!$B:$B=AW37,Data!$D:$D=$I37)+FILTER(Data!$L:$L,Data!$B:$B=AW37,Data!$D:$D=$I37)),""""),"""")"),"")</f>
        <v/>
      </c>
      <c r="CH37" s="69" t="str">
        <f>IFERROR(__xludf.DUMMYFUNCTION("IF($J37&lt;&gt;"""",IFERROR(FILTER(RawTotals!$AJ:$AJ,RawTotals!$A:$A=AX37)-(FILTER(Data!$K:$K,Data!$B:$B=AX37,Data!$D:$D=$J37)+FILTER(Data!$L:$L,Data!$B:$B=AX37,Data!$D:$D=$J37)),""""),"""")"),"")</f>
        <v/>
      </c>
      <c r="CI37" s="69" t="str">
        <f>IFERROR(__xludf.DUMMYFUNCTION("IF($J37&lt;&gt;"""",IFERROR(FILTER(RawTotals!$AJ:$AJ,RawTotals!$A:$A=AY37)-(FILTER(Data!$K:$K,Data!$B:$B=AY37,Data!$D:$D=$J37)+FILTER(Data!$L:$L,Data!$B:$B=AY37,Data!$D:$D=$J37)),""""),"""")"),"")</f>
        <v/>
      </c>
      <c r="CJ37" s="69" t="str">
        <f>IFERROR(__xludf.DUMMYFUNCTION("IF($J37&lt;&gt;"""",IFERROR(FILTER(RawTotals!$AJ:$AJ,RawTotals!$A:$A=AZ37)-(FILTER(Data!$K:$K,Data!$B:$B=AZ37,Data!$D:$D=$J37)+FILTER(Data!$L:$L,Data!$B:$B=AZ37,Data!$D:$D=$J37)),""""),"""")"),"")</f>
        <v/>
      </c>
      <c r="CK37" s="69" t="str">
        <f>IFERROR(__xludf.DUMMYFUNCTION("IF($K37&lt;&gt;"""",IFERROR(FILTER(RawTotals!$AJ:$AJ,RawTotals!$A:$A=BA37)-(FILTER(Data!$K:$K,Data!$B:$B=BA37,Data!$D:$D=$K37)+FILTER(Data!$L:$L,Data!$B:$B=BA37,Data!$D:$D=$K37)),""""),"""")"),"")</f>
        <v/>
      </c>
      <c r="CL37" s="69" t="str">
        <f>IFERROR(__xludf.DUMMYFUNCTION("IF($K37&lt;&gt;"""",IFERROR(FILTER(RawTotals!$AJ:$AJ,RawTotals!$A:$A=BB37)-(FILTER(Data!$K:$K,Data!$B:$B=BB37,Data!$D:$D=$K37)+FILTER(Data!$L:$L,Data!$B:$B=BB37,Data!$D:$D=$K37)),""""),"""")"),"")</f>
        <v/>
      </c>
      <c r="CM37" s="69" t="str">
        <f>IFERROR(__xludf.DUMMYFUNCTION("IF($K37&lt;&gt;"""",IFERROR(FILTER(RawTotals!$AJ:$AJ,RawTotals!$A:$A=BC37)-(FILTER(Data!$K:$K,Data!$B:$B=BC37,Data!$D:$D=$K37)+FILTER(Data!$L:$L,Data!$B:$B=BC37,Data!$D:$D=$K37)),""""),"""")"),"")</f>
        <v/>
      </c>
      <c r="CN37" s="69" t="str">
        <f>IFERROR(__xludf.DUMMYFUNCTION("IF($L37&lt;&gt;"""",IFERROR((FILTER(RawTotals!$AJ:$AJ,RawTotals!$A:$A=BD37)-(FILTER(Data!$K:$K,Data!$B:$B=BD37,Data!$D:$D=$L37)+FILTER(Data!$L:$L,Data!$B:$B=BD37,Data!$D:$D=$L37))),""""),"""")"),"")</f>
        <v/>
      </c>
      <c r="CO37" s="69" t="str">
        <f>IFERROR(__xludf.DUMMYFUNCTION("IF($L37&lt;&gt;"""",IFERROR((FILTER(RawTotals!$AJ:$AJ,RawTotals!$A:$A=BE37)-(FILTER(Data!$K:$K,Data!$B:$B=BE37,Data!$D:$D=$L37)+FILTER(Data!$L:$L,Data!$B:$B=BE37,Data!$D:$D=$L37))),""""),"""")"),"")</f>
        <v/>
      </c>
      <c r="CP37" s="69" t="str">
        <f>IFERROR(__xludf.DUMMYFUNCTION("IF($L37&lt;&gt;"""",IFERROR((FILTER(RawTotals!$AJ:$AJ,RawTotals!$A:$A=BF37)-(FILTER(Data!$K:$K,Data!$B:$B=BF37,Data!$D:$D=$L37)+FILTER(Data!$L:$L,Data!$B:$B=BF37,Data!$D:$D=$L37))),""""),"""")"),"")</f>
        <v/>
      </c>
      <c r="CQ37" s="69" t="str">
        <f>IFERROR(__xludf.DUMMYFUNCTION("IF($M37&lt;&gt;"""",IFERROR((FILTER(RawTotals!$AJ:$AJ,RawTotals!$A:$A=BG37)-(FILTER(Data!$K:$K,Data!$B:$B=BG37,Data!$D:$D=$M37)+FILTER(Data!$L:$L,Data!$B:$B=BG37,Data!$D:$D=$M37))),""""),"""")"),"")</f>
        <v/>
      </c>
      <c r="CR37" s="69" t="str">
        <f>IFERROR(__xludf.DUMMYFUNCTION("IF($M37&lt;&gt;"""",IFERROR((FILTER(RawTotals!$AJ:$AJ,RawTotals!$A:$A=BH37)-(FILTER(Data!$K:$K,Data!$B:$B=BH37,Data!$D:$D=$M37)+FILTER(Data!$L:$L,Data!$B:$B=BH37,Data!$D:$D=$M37))),""""),"""")"),"")</f>
        <v/>
      </c>
      <c r="CS37" s="70" t="str">
        <f>IFERROR(__xludf.DUMMYFUNCTION("IF($M37&lt;&gt;"""",IFERROR((FILTER(RawTotals!$AJ:$AJ,RawTotals!$A:$A=BI37)-(FILTER(Data!$K:$K,Data!$B:$B=BI37,Data!$D:$D=$M37)+FILTER(Data!$L:$L,Data!$B:$B=BI37,Data!$D:$D=$M37))),""""),"""")"),"")</f>
        <v/>
      </c>
      <c r="CT37" s="69"/>
      <c r="CU37" s="69"/>
      <c r="CV37" s="69"/>
      <c r="CW37" s="69"/>
      <c r="CX37" s="69"/>
      <c r="CY37" s="69"/>
      <c r="CZ37" s="69"/>
      <c r="DA37" s="69"/>
      <c r="DB37" s="69"/>
      <c r="DC37" s="69"/>
      <c r="DD37" s="69"/>
      <c r="DE37" s="69"/>
    </row>
    <row r="38">
      <c r="A38" s="67">
        <f>RawTotals!A38</f>
        <v>1987</v>
      </c>
      <c r="B38" s="68" t="str">
        <f>IFERROR(__xludf.DUMMYFUNCTION("IF(A38&lt;&gt;"""",IFERROR(TRANSPOSE(FILTER(Data!D:D,Data!B:B=A38,Data!R:R&lt;&gt;"""")),""No Defense""),"""")"),"No Defense")</f>
        <v>No Defense</v>
      </c>
      <c r="C38" s="65"/>
      <c r="D38" s="65"/>
      <c r="E38" s="65"/>
      <c r="F38" s="65"/>
      <c r="G38" s="65"/>
      <c r="H38" s="65"/>
      <c r="I38" s="65"/>
      <c r="J38" s="65"/>
      <c r="K38" s="65"/>
      <c r="L38" s="65"/>
      <c r="M38" s="65"/>
      <c r="N38" s="64" t="str">
        <f>IFERROR(__xludf.DUMMYFUNCTION("IFERROR(Textjoin("""",TRUE,FILTER(Data!$R:$R,Data!$D:$D=B38,Data!$B:$B=$A38)),"""")"),"")</f>
        <v/>
      </c>
      <c r="O38" s="64" t="str">
        <f>IFERROR(__xludf.DUMMYFUNCTION("IFERROR(Textjoin("""",TRUE,FILTER(Data!$R:$R,Data!$D:$D=C38,Data!$B:$B=$A38)),"""")"),"")</f>
        <v/>
      </c>
      <c r="P38" s="64" t="str">
        <f>IFERROR(__xludf.DUMMYFUNCTION("IFERROR(Textjoin("""",TRUE,FILTER(Data!$R:$R,Data!$D:$D=D38,Data!$B:$B=$A38)),"""")"),"")</f>
        <v/>
      </c>
      <c r="Q38" s="64" t="str">
        <f>IFERROR(__xludf.DUMMYFUNCTION("IFERROR(Textjoin("""",TRUE,FILTER(Data!$R:$R,Data!$D:$D=E38,Data!$B:$B=$A38)),"""")"),"")</f>
        <v/>
      </c>
      <c r="R38" s="64" t="str">
        <f>IFERROR(__xludf.DUMMYFUNCTION("IFERROR(Textjoin("""",TRUE,FILTER(Data!$R:$R,Data!$D:$D=F38,Data!$B:$B=$A38)),"""")"),"")</f>
        <v/>
      </c>
      <c r="S38" s="64" t="str">
        <f>IFERROR(__xludf.DUMMYFUNCTION("IFERROR(Textjoin("""",TRUE,FILTER(Data!$R:$R,Data!$D:$D=G38,Data!$B:$B=$A38)),"""")"),"")</f>
        <v/>
      </c>
      <c r="T38" s="64" t="str">
        <f>IFERROR(__xludf.DUMMYFUNCTION("IFERROR(Textjoin("""",TRUE,FILTER(Data!$R:$R,Data!$D:$D=H38,Data!$B:$B=$A38)),"""")"),"")</f>
        <v/>
      </c>
      <c r="U38" s="64" t="str">
        <f>IFERROR(__xludf.DUMMYFUNCTION("IFERROR(Textjoin("""",TRUE,FILTER(Data!$R:$R,Data!$D:$D=I38,Data!$B:$B=$A38)),"""")"),"")</f>
        <v/>
      </c>
      <c r="V38" s="64" t="str">
        <f>IFERROR(__xludf.DUMMYFUNCTION("IFERROR(Textjoin("""",TRUE,FILTER(Data!$R:$R,Data!$D:$D=J38,Data!$B:$B=$A38)),"""")"),"")</f>
        <v/>
      </c>
      <c r="W38" s="64" t="str">
        <f>IFERROR(__xludf.DUMMYFUNCTION("IFERROR(Textjoin("""",TRUE,FILTER(Data!$R:$R,Data!$D:$D=K38,Data!$B:$B=$A38)),"""")"),"")</f>
        <v/>
      </c>
      <c r="X38" s="64" t="str">
        <f>IFERROR(__xludf.DUMMYFUNCTION("IFERROR(Textjoin("""",TRUE,FILTER(Data!$R:$R,Data!$D:$D=L38,Data!$B:$B=$A38)),"""")"),"")</f>
        <v/>
      </c>
      <c r="Y38" s="64" t="str">
        <f>IFERROR(__xludf.DUMMYFUNCTION("IFERROR(Textjoin("""",TRUE,FILTER(Data!$R:$R,Data!$D:$D=M38,Data!$B:$B=$A38)),"""")"),"")</f>
        <v/>
      </c>
      <c r="Z38" s="64" t="str">
        <f>IFERROR(__xludf.DUMMYFUNCTION("IFERROR(SPLIT(N38,"",""),"""")"),"")</f>
        <v/>
      </c>
      <c r="AA38" s="65"/>
      <c r="AB38" s="65"/>
      <c r="AC38" s="69" t="str">
        <f>IFERROR(__xludf.DUMMYFUNCTION("IFERROR(SPLIT(O38,"",""),"""")"),"")</f>
        <v/>
      </c>
      <c r="AD38" s="65"/>
      <c r="AE38" s="65"/>
      <c r="AF38" s="69" t="str">
        <f>IFERROR(__xludf.DUMMYFUNCTION("IFERROR(SPLIT(P38,"",""),"""")"),"")</f>
        <v/>
      </c>
      <c r="AG38" s="65"/>
      <c r="AH38" s="65"/>
      <c r="AI38" s="69" t="str">
        <f>IFERROR(__xludf.DUMMYFUNCTION("IFERROR(SPLIT(Q38,"",""),"""")"),"")</f>
        <v/>
      </c>
      <c r="AJ38" s="65"/>
      <c r="AK38" s="65"/>
      <c r="AL38" s="69" t="str">
        <f>IFERROR(__xludf.DUMMYFUNCTION("IFERROR(SPLIT(R38,"",""),"""")"),"")</f>
        <v/>
      </c>
      <c r="AM38" s="65"/>
      <c r="AN38" s="65"/>
      <c r="AO38" s="69" t="str">
        <f>IFERROR(__xludf.DUMMYFUNCTION("IFERROR(SPLIT(S38,"",""),"""")"),"")</f>
        <v/>
      </c>
      <c r="AP38" s="65"/>
      <c r="AQ38" s="65"/>
      <c r="AR38" s="69" t="str">
        <f>IFERROR(__xludf.DUMMYFUNCTION("IFERROR(SPLIT(T38,"",""),"""")"),"")</f>
        <v/>
      </c>
      <c r="AS38" s="65"/>
      <c r="AT38" s="65"/>
      <c r="AU38" s="69" t="str">
        <f>IFERROR(__xludf.DUMMYFUNCTION("IFERROR(SPLIT(U38,"",""),"""")"),"")</f>
        <v/>
      </c>
      <c r="AV38" s="65"/>
      <c r="AW38" s="65"/>
      <c r="AX38" s="69" t="str">
        <f>IFERROR(__xludf.DUMMYFUNCTION("IFERROR(SPLIT(V38,"",""),"""")"),"")</f>
        <v/>
      </c>
      <c r="AY38" s="65"/>
      <c r="AZ38" s="65"/>
      <c r="BA38" s="69" t="str">
        <f>IFERROR(__xludf.DUMMYFUNCTION("IFERROR(SPLIT(W38,"",""),"""")"),"")</f>
        <v/>
      </c>
      <c r="BB38" s="69"/>
      <c r="BC38" s="69"/>
      <c r="BD38" s="69" t="str">
        <f>IFERROR(__xludf.DUMMYFUNCTION("IFERROR(SPLIT(X38,"",""),"""")"),"")</f>
        <v/>
      </c>
      <c r="BE38" s="69"/>
      <c r="BF38" s="69"/>
      <c r="BG38" s="69" t="str">
        <f>IFERROR(__xludf.DUMMYFUNCTION("IFERROR(SPLIT(Y38,"",""),"""")"),"")</f>
        <v/>
      </c>
      <c r="BH38" s="69"/>
      <c r="BI38" s="69"/>
      <c r="BJ38" s="68" t="str">
        <f>IFERROR(__xludf.DUMMYFUNCTION("IF($B38&lt;&gt;"""",IFERROR(FILTER(RawTotals!$AJ:$AJ,RawTotals!$A:$A=Z38)-(FILTER(Data!$K:$K,Data!$B:$B=Z38,Data!$D:$D=$B38)+FILTER(Data!$L:$L,Data!$B:$B=Z38,Data!$D:$D=$B38)),""""),"""")"),"")</f>
        <v/>
      </c>
      <c r="BK38" s="68" t="str">
        <f>IFERROR(__xludf.DUMMYFUNCTION("IF($B38&lt;&gt;"""",IFERROR(FILTER(RawTotals!$AJ:$AJ,RawTotals!$A:$A=AA38)-(FILTER(Data!$K:$K,Data!$B:$B=AA38,Data!$D:$D=$B38)+FILTER(Data!$L:$L,Data!$B:$B=AA38,Data!$D:$D=$B38)),""""),"""")"),"")</f>
        <v/>
      </c>
      <c r="BL38" s="68" t="str">
        <f>IFERROR(__xludf.DUMMYFUNCTION("IF($B38&lt;&gt;"""",IFERROR(FILTER(RawTotals!$AJ:$AJ,RawTotals!$A:$A=AB38)-(FILTER(Data!$K:$K,Data!$B:$B=AB38,Data!$D:$D=$B38)+FILTER(Data!$L:$L,Data!$B:$B=AB38,Data!$D:$D=$B38)),""""),"""")"),"")</f>
        <v/>
      </c>
      <c r="BM38" s="69" t="str">
        <f>IFERROR(__xludf.DUMMYFUNCTION("IF($C38&lt;&gt;"""",IFERROR(FILTER(RawTotals!$AJ:$AJ,RawTotals!$A:$A=AC38)-(FILTER(Data!$K:$K,Data!$B:$B=AC38,Data!$D:$D=$C38)+FILTER(Data!$L:$L,Data!$B:$B=AC38,Data!$D:$D=$C38)),""""),"""")"),"")</f>
        <v/>
      </c>
      <c r="BN38" s="69" t="str">
        <f>IFERROR(__xludf.DUMMYFUNCTION("IF($C38&lt;&gt;"""",IFERROR(FILTER(RawTotals!$AJ:$AJ,RawTotals!$A:$A=AD38)-(FILTER(Data!$K:$K,Data!$B:$B=AD38,Data!$D:$D=$C38)+FILTER(Data!$L:$L,Data!$B:$B=AD38,Data!$D:$D=$C38)),""""),"""")"),"")</f>
        <v/>
      </c>
      <c r="BO38" s="69" t="str">
        <f>IFERROR(__xludf.DUMMYFUNCTION("IF($C38&lt;&gt;"""",IFERROR(FILTER(RawTotals!$AJ:$AJ,RawTotals!$A:$A=AE38)-(FILTER(Data!$K:$K,Data!$B:$B=AE38,Data!$D:$D=$C38)+FILTER(Data!$L:$L,Data!$B:$B=AE38,Data!$D:$D=$C38)),""""),"""")"),"")</f>
        <v/>
      </c>
      <c r="BP38" s="69" t="str">
        <f>IFERROR(__xludf.DUMMYFUNCTION("IF($D38&lt;&gt;"""",IFERROR(FILTER(RawTotals!$AJ:$AJ,RawTotals!$A:$A=AF38)-(FILTER(Data!$K:$K,Data!$B:$B=AF38,Data!$D:$D=$D38)+FILTER(Data!$L:$L,Data!$B:$B=AF38,Data!$D:$D=$D38)),""""),"""")"),"")</f>
        <v/>
      </c>
      <c r="BQ38" s="69" t="str">
        <f>IFERROR(__xludf.DUMMYFUNCTION("IF($D38&lt;&gt;"""",IFERROR(FILTER(RawTotals!$AJ:$AJ,RawTotals!$A:$A=AG38)-(FILTER(Data!$K:$K,Data!$B:$B=AG38,Data!$D:$D=$D38)+FILTER(Data!$L:$L,Data!$B:$B=AG38,Data!$D:$D=$D38)),""""),"""")"),"")</f>
        <v/>
      </c>
      <c r="BR38" s="69" t="str">
        <f>IFERROR(__xludf.DUMMYFUNCTION("IF($D38&lt;&gt;"""",IFERROR(FILTER(RawTotals!$AJ:$AJ,RawTotals!$A:$A=AH38)-(FILTER(Data!$K:$K,Data!$B:$B=AH38,Data!$D:$D=$D38)+FILTER(Data!$L:$L,Data!$B:$B=AH38,Data!$D:$D=$D38)),""""),"""")"),"")</f>
        <v/>
      </c>
      <c r="BS38" s="69" t="str">
        <f>IFERROR(__xludf.DUMMYFUNCTION("IF($E38&lt;&gt;"""",IFERROR(FILTER(RawTotals!$AJ:$AJ,RawTotals!$A:$A=AI38)-(FILTER(Data!$K:$K,Data!$B:$B=AI38,Data!$D:$D=$E38)+FILTER(Data!$L:$L,Data!$B:$B=AI38,Data!$D:$D=$E38)),""""),"""")"),"")</f>
        <v/>
      </c>
      <c r="BT38" s="69" t="str">
        <f>IFERROR(__xludf.DUMMYFUNCTION("IF($E38&lt;&gt;"""",IFERROR(FILTER(RawTotals!$AJ:$AJ,RawTotals!$A:$A=AJ38)-(FILTER(Data!$K:$K,Data!$B:$B=AJ38,Data!$D:$D=$E38)+FILTER(Data!$L:$L,Data!$B:$B=AJ38,Data!$D:$D=$E38)),""""),"""")"),"")</f>
        <v/>
      </c>
      <c r="BU38" s="69" t="str">
        <f>IFERROR(__xludf.DUMMYFUNCTION("IF($E38&lt;&gt;"""",IFERROR(FILTER(RawTotals!$AJ:$AJ,RawTotals!$A:$A=AK38)-(FILTER(Data!$K:$K,Data!$B:$B=AK38,Data!$D:$D=$E38)+FILTER(Data!$L:$L,Data!$B:$B=AK38,Data!$D:$D=$E38)),""""),"""")"),"")</f>
        <v/>
      </c>
      <c r="BV38" s="69" t="str">
        <f>IFERROR(__xludf.DUMMYFUNCTION("IF($F38&lt;&gt;"""",IFERROR(FILTER(RawTotals!$AJ:$AJ,RawTotals!$A:$A=AL38)-(FILTER(Data!$K:$K,Data!$B:$B=AL38,Data!$D:$D=$F38)+FILTER(Data!$L:$L,Data!$B:$B=AL38,Data!$D:$D=$F38)),""""),"""")"),"")</f>
        <v/>
      </c>
      <c r="BW38" s="69" t="str">
        <f>IFERROR(__xludf.DUMMYFUNCTION("IF($F38&lt;&gt;"""",IFERROR(FILTER(RawTotals!$AJ:$AJ,RawTotals!$A:$A=AM38)-(FILTER(Data!$K:$K,Data!$B:$B=AM38,Data!$D:$D=$F38)+FILTER(Data!$L:$L,Data!$B:$B=AM38,Data!$D:$D=$F38)),""""),"""")"),"")</f>
        <v/>
      </c>
      <c r="BX38" s="69" t="str">
        <f>IFERROR(__xludf.DUMMYFUNCTION("IF($F38&lt;&gt;"""",IFERROR(FILTER(RawTotals!$AJ:$AJ,RawTotals!$A:$A=AN38)-(FILTER(Data!$K:$K,Data!$B:$B=AN38,Data!$D:$D=$F38)+FILTER(Data!$L:$L,Data!$B:$B=AN38,Data!$D:$D=$F38)),""""),"""")"),"")</f>
        <v/>
      </c>
      <c r="BY38" s="69" t="str">
        <f>IFERROR(__xludf.DUMMYFUNCTION("IF($G38&lt;&gt;"""",IFERROR(FILTER(RawTotals!$AJ:$AJ,RawTotals!$A:$A=AO38)-(FILTER(Data!$K:$K,Data!$B:$B=AO38,Data!$D:$D=$G38)+FILTER(Data!$L:$L,Data!$B:$B=AO38,Data!$D:$D=$G38)),""""),"""")"),"")</f>
        <v/>
      </c>
      <c r="BZ38" s="69" t="str">
        <f>IFERROR(__xludf.DUMMYFUNCTION("IF($G38&lt;&gt;"""",IFERROR(FILTER(RawTotals!$AJ:$AJ,RawTotals!$A:$A=AP38)-(FILTER(Data!$K:$K,Data!$B:$B=AP38,Data!$D:$D=$G38)+FILTER(Data!$L:$L,Data!$B:$B=AP38,Data!$D:$D=$G38)),""""),"""")"),"")</f>
        <v/>
      </c>
      <c r="CA38" s="69" t="str">
        <f>IFERROR(__xludf.DUMMYFUNCTION("IF($G38&lt;&gt;"""",IFERROR(FILTER(RawTotals!$AJ:$AJ,RawTotals!$A:$A=AQ38)-(FILTER(Data!$K:$K,Data!$B:$B=AQ38,Data!$D:$D=$G38)+FILTER(Data!$L:$L,Data!$B:$B=AQ38,Data!$D:$D=$G38)),""""),"""")"),"")</f>
        <v/>
      </c>
      <c r="CB38" s="69" t="str">
        <f>IFERROR(__xludf.DUMMYFUNCTION("IF($H38&lt;&gt;"""",IFERROR(FILTER(RawTotals!$AJ:$AJ,RawTotals!$A:$A=AR38)-(FILTER(Data!$K:$K,Data!$B:$B=AR38,Data!$D:$D=$H38)+FILTER(Data!$L:$L,Data!$B:$B=AR38,Data!$D:$D=$H38)),""""),"""")"),"")</f>
        <v/>
      </c>
      <c r="CC38" s="69" t="str">
        <f>IFERROR(__xludf.DUMMYFUNCTION("IF($H38&lt;&gt;"""",IFERROR(FILTER(RawTotals!$AJ:$AJ,RawTotals!$A:$A=AS38)-(FILTER(Data!$K:$K,Data!$B:$B=AS38,Data!$D:$D=$H38)+FILTER(Data!$L:$L,Data!$B:$B=AS38,Data!$D:$D=$H38)),""""),"""")"),"")</f>
        <v/>
      </c>
      <c r="CD38" s="69" t="str">
        <f>IFERROR(__xludf.DUMMYFUNCTION("IF($H38&lt;&gt;"""",IFERROR(FILTER(RawTotals!$AJ:$AJ,RawTotals!$A:$A=AT38)-(FILTER(Data!$K:$K,Data!$B:$B=AT38,Data!$D:$D=$H38)+FILTER(Data!$L:$L,Data!$B:$B=AT38,Data!$D:$D=$H38)),""""),"""")"),"")</f>
        <v/>
      </c>
      <c r="CE38" s="69" t="str">
        <f>IFERROR(__xludf.DUMMYFUNCTION("IF($I38&lt;&gt;"""",IFERROR(FILTER(RawTotals!$AJ:$AJ,RawTotals!$A:$A=AU38)-(FILTER(Data!$K:$K,Data!$B:$B=AU38,Data!$D:$D=$I38)+FILTER(Data!$L:$L,Data!$B:$B=AU38,Data!$D:$D=$I38)),""""),"""")"),"")</f>
        <v/>
      </c>
      <c r="CF38" s="69" t="str">
        <f>IFERROR(__xludf.DUMMYFUNCTION("IF($I38&lt;&gt;"""",IFERROR(FILTER(RawTotals!$AJ:$AJ,RawTotals!$A:$A=AV38)-(FILTER(Data!$K:$K,Data!$B:$B=AV38,Data!$D:$D=$I38)+FILTER(Data!$L:$L,Data!$B:$B=AV38,Data!$D:$D=$I38)),""""),"""")"),"")</f>
        <v/>
      </c>
      <c r="CG38" s="69" t="str">
        <f>IFERROR(__xludf.DUMMYFUNCTION("IF($I38&lt;&gt;"""",IFERROR(FILTER(RawTotals!$AJ:$AJ,RawTotals!$A:$A=AW38)-(FILTER(Data!$K:$K,Data!$B:$B=AW38,Data!$D:$D=$I38)+FILTER(Data!$L:$L,Data!$B:$B=AW38,Data!$D:$D=$I38)),""""),"""")"),"")</f>
        <v/>
      </c>
      <c r="CH38" s="69" t="str">
        <f>IFERROR(__xludf.DUMMYFUNCTION("IF($J38&lt;&gt;"""",IFERROR(FILTER(RawTotals!$AJ:$AJ,RawTotals!$A:$A=AX38)-(FILTER(Data!$K:$K,Data!$B:$B=AX38,Data!$D:$D=$J38)+FILTER(Data!$L:$L,Data!$B:$B=AX38,Data!$D:$D=$J38)),""""),"""")"),"")</f>
        <v/>
      </c>
      <c r="CI38" s="69" t="str">
        <f>IFERROR(__xludf.DUMMYFUNCTION("IF($J38&lt;&gt;"""",IFERROR(FILTER(RawTotals!$AJ:$AJ,RawTotals!$A:$A=AY38)-(FILTER(Data!$K:$K,Data!$B:$B=AY38,Data!$D:$D=$J38)+FILTER(Data!$L:$L,Data!$B:$B=AY38,Data!$D:$D=$J38)),""""),"""")"),"")</f>
        <v/>
      </c>
      <c r="CJ38" s="69" t="str">
        <f>IFERROR(__xludf.DUMMYFUNCTION("IF($J38&lt;&gt;"""",IFERROR(FILTER(RawTotals!$AJ:$AJ,RawTotals!$A:$A=AZ38)-(FILTER(Data!$K:$K,Data!$B:$B=AZ38,Data!$D:$D=$J38)+FILTER(Data!$L:$L,Data!$B:$B=AZ38,Data!$D:$D=$J38)),""""),"""")"),"")</f>
        <v/>
      </c>
      <c r="CK38" s="69" t="str">
        <f>IFERROR(__xludf.DUMMYFUNCTION("IF($K38&lt;&gt;"""",IFERROR(FILTER(RawTotals!$AJ:$AJ,RawTotals!$A:$A=BA38)-(FILTER(Data!$K:$K,Data!$B:$B=BA38,Data!$D:$D=$K38)+FILTER(Data!$L:$L,Data!$B:$B=BA38,Data!$D:$D=$K38)),""""),"""")"),"")</f>
        <v/>
      </c>
      <c r="CL38" s="69" t="str">
        <f>IFERROR(__xludf.DUMMYFUNCTION("IF($K38&lt;&gt;"""",IFERROR(FILTER(RawTotals!$AJ:$AJ,RawTotals!$A:$A=BB38)-(FILTER(Data!$K:$K,Data!$B:$B=BB38,Data!$D:$D=$K38)+FILTER(Data!$L:$L,Data!$B:$B=BB38,Data!$D:$D=$K38)),""""),"""")"),"")</f>
        <v/>
      </c>
      <c r="CM38" s="69" t="str">
        <f>IFERROR(__xludf.DUMMYFUNCTION("IF($K38&lt;&gt;"""",IFERROR(FILTER(RawTotals!$AJ:$AJ,RawTotals!$A:$A=BC38)-(FILTER(Data!$K:$K,Data!$B:$B=BC38,Data!$D:$D=$K38)+FILTER(Data!$L:$L,Data!$B:$B=BC38,Data!$D:$D=$K38)),""""),"""")"),"")</f>
        <v/>
      </c>
      <c r="CN38" s="69" t="str">
        <f>IFERROR(__xludf.DUMMYFUNCTION("IF($L38&lt;&gt;"""",IFERROR((FILTER(RawTotals!$AJ:$AJ,RawTotals!$A:$A=BD38)-(FILTER(Data!$K:$K,Data!$B:$B=BD38,Data!$D:$D=$L38)+FILTER(Data!$L:$L,Data!$B:$B=BD38,Data!$D:$D=$L38))),""""),"""")"),"")</f>
        <v/>
      </c>
      <c r="CO38" s="69" t="str">
        <f>IFERROR(__xludf.DUMMYFUNCTION("IF($L38&lt;&gt;"""",IFERROR((FILTER(RawTotals!$AJ:$AJ,RawTotals!$A:$A=BE38)-(FILTER(Data!$K:$K,Data!$B:$B=BE38,Data!$D:$D=$L38)+FILTER(Data!$L:$L,Data!$B:$B=BE38,Data!$D:$D=$L38))),""""),"""")"),"")</f>
        <v/>
      </c>
      <c r="CP38" s="69" t="str">
        <f>IFERROR(__xludf.DUMMYFUNCTION("IF($L38&lt;&gt;"""",IFERROR((FILTER(RawTotals!$AJ:$AJ,RawTotals!$A:$A=BF38)-(FILTER(Data!$K:$K,Data!$B:$B=BF38,Data!$D:$D=$L38)+FILTER(Data!$L:$L,Data!$B:$B=BF38,Data!$D:$D=$L38))),""""),"""")"),"")</f>
        <v/>
      </c>
      <c r="CQ38" s="69" t="str">
        <f>IFERROR(__xludf.DUMMYFUNCTION("IF($M38&lt;&gt;"""",IFERROR((FILTER(RawTotals!$AJ:$AJ,RawTotals!$A:$A=BG38)-(FILTER(Data!$K:$K,Data!$B:$B=BG38,Data!$D:$D=$M38)+FILTER(Data!$L:$L,Data!$B:$B=BG38,Data!$D:$D=$M38))),""""),"""")"),"")</f>
        <v/>
      </c>
      <c r="CR38" s="69" t="str">
        <f>IFERROR(__xludf.DUMMYFUNCTION("IF($M38&lt;&gt;"""",IFERROR((FILTER(RawTotals!$AJ:$AJ,RawTotals!$A:$A=BH38)-(FILTER(Data!$K:$K,Data!$B:$B=BH38,Data!$D:$D=$M38)+FILTER(Data!$L:$L,Data!$B:$B=BH38,Data!$D:$D=$M38))),""""),"""")"),"")</f>
        <v/>
      </c>
      <c r="CS38" s="70" t="str">
        <f>IFERROR(__xludf.DUMMYFUNCTION("IF($M38&lt;&gt;"""",IFERROR((FILTER(RawTotals!$AJ:$AJ,RawTotals!$A:$A=BI38)-(FILTER(Data!$K:$K,Data!$B:$B=BI38,Data!$D:$D=$M38)+FILTER(Data!$L:$L,Data!$B:$B=BI38,Data!$D:$D=$M38))),""""),"""")"),"")</f>
        <v/>
      </c>
      <c r="CT38" s="69"/>
      <c r="CU38" s="69"/>
      <c r="CV38" s="69"/>
      <c r="CW38" s="69"/>
      <c r="CX38" s="69"/>
      <c r="CY38" s="69"/>
      <c r="CZ38" s="69"/>
      <c r="DA38" s="69"/>
      <c r="DB38" s="69"/>
      <c r="DC38" s="69"/>
      <c r="DD38" s="69"/>
      <c r="DE38" s="69"/>
    </row>
    <row r="39">
      <c r="A39" s="67">
        <f>RawTotals!A39</f>
        <v>5406</v>
      </c>
      <c r="B39" s="68" t="str">
        <f>IFERROR(__xludf.DUMMYFUNCTION("IF(A39&lt;&gt;"""",IFERROR(TRANSPOSE(FILTER(Data!D:D,Data!B:B=A39,Data!R:R&lt;&gt;"""")),""No Defense""),"""")"),"No Defense")</f>
        <v>No Defense</v>
      </c>
      <c r="C39" s="65"/>
      <c r="D39" s="65"/>
      <c r="E39" s="65"/>
      <c r="F39" s="65"/>
      <c r="G39" s="65"/>
      <c r="H39" s="65"/>
      <c r="I39" s="65"/>
      <c r="J39" s="65"/>
      <c r="K39" s="65"/>
      <c r="L39" s="65"/>
      <c r="M39" s="65"/>
      <c r="N39" s="64" t="str">
        <f>IFERROR(__xludf.DUMMYFUNCTION("IFERROR(Textjoin("""",TRUE,FILTER(Data!$R:$R,Data!$D:$D=B39,Data!$B:$B=$A39)),"""")"),"")</f>
        <v/>
      </c>
      <c r="O39" s="64" t="str">
        <f>IFERROR(__xludf.DUMMYFUNCTION("IFERROR(Textjoin("""",TRUE,FILTER(Data!$R:$R,Data!$D:$D=C39,Data!$B:$B=$A39)),"""")"),"")</f>
        <v/>
      </c>
      <c r="P39" s="64" t="str">
        <f>IFERROR(__xludf.DUMMYFUNCTION("IFERROR(Textjoin("""",TRUE,FILTER(Data!$R:$R,Data!$D:$D=D39,Data!$B:$B=$A39)),"""")"),"")</f>
        <v/>
      </c>
      <c r="Q39" s="64" t="str">
        <f>IFERROR(__xludf.DUMMYFUNCTION("IFERROR(Textjoin("""",TRUE,FILTER(Data!$R:$R,Data!$D:$D=E39,Data!$B:$B=$A39)),"""")"),"")</f>
        <v/>
      </c>
      <c r="R39" s="64" t="str">
        <f>IFERROR(__xludf.DUMMYFUNCTION("IFERROR(Textjoin("""",TRUE,FILTER(Data!$R:$R,Data!$D:$D=F39,Data!$B:$B=$A39)),"""")"),"")</f>
        <v/>
      </c>
      <c r="S39" s="64" t="str">
        <f>IFERROR(__xludf.DUMMYFUNCTION("IFERROR(Textjoin("""",TRUE,FILTER(Data!$R:$R,Data!$D:$D=G39,Data!$B:$B=$A39)),"""")"),"")</f>
        <v/>
      </c>
      <c r="T39" s="64" t="str">
        <f>IFERROR(__xludf.DUMMYFUNCTION("IFERROR(Textjoin("""",TRUE,FILTER(Data!$R:$R,Data!$D:$D=H39,Data!$B:$B=$A39)),"""")"),"")</f>
        <v/>
      </c>
      <c r="U39" s="64" t="str">
        <f>IFERROR(__xludf.DUMMYFUNCTION("IFERROR(Textjoin("""",TRUE,FILTER(Data!$R:$R,Data!$D:$D=I39,Data!$B:$B=$A39)),"""")"),"")</f>
        <v/>
      </c>
      <c r="V39" s="64" t="str">
        <f>IFERROR(__xludf.DUMMYFUNCTION("IFERROR(Textjoin("""",TRUE,FILTER(Data!$R:$R,Data!$D:$D=J39,Data!$B:$B=$A39)),"""")"),"")</f>
        <v/>
      </c>
      <c r="W39" s="64" t="str">
        <f>IFERROR(__xludf.DUMMYFUNCTION("IFERROR(Textjoin("""",TRUE,FILTER(Data!$R:$R,Data!$D:$D=K39,Data!$B:$B=$A39)),"""")"),"")</f>
        <v/>
      </c>
      <c r="X39" s="64" t="str">
        <f>IFERROR(__xludf.DUMMYFUNCTION("IFERROR(Textjoin("""",TRUE,FILTER(Data!$R:$R,Data!$D:$D=L39,Data!$B:$B=$A39)),"""")"),"")</f>
        <v/>
      </c>
      <c r="Y39" s="64" t="str">
        <f>IFERROR(__xludf.DUMMYFUNCTION("IFERROR(Textjoin("""",TRUE,FILTER(Data!$R:$R,Data!$D:$D=M39,Data!$B:$B=$A39)),"""")"),"")</f>
        <v/>
      </c>
      <c r="Z39" s="64" t="str">
        <f>IFERROR(__xludf.DUMMYFUNCTION("IFERROR(SPLIT(N39,"",""),"""")"),"")</f>
        <v/>
      </c>
      <c r="AA39" s="65"/>
      <c r="AB39" s="65"/>
      <c r="AC39" s="69" t="str">
        <f>IFERROR(__xludf.DUMMYFUNCTION("IFERROR(SPLIT(O39,"",""),"""")"),"")</f>
        <v/>
      </c>
      <c r="AD39" s="65"/>
      <c r="AE39" s="65"/>
      <c r="AF39" s="69" t="str">
        <f>IFERROR(__xludf.DUMMYFUNCTION("IFERROR(SPLIT(P39,"",""),"""")"),"")</f>
        <v/>
      </c>
      <c r="AG39" s="65"/>
      <c r="AH39" s="65"/>
      <c r="AI39" s="69" t="str">
        <f>IFERROR(__xludf.DUMMYFUNCTION("IFERROR(SPLIT(Q39,"",""),"""")"),"")</f>
        <v/>
      </c>
      <c r="AJ39" s="65"/>
      <c r="AK39" s="65"/>
      <c r="AL39" s="69" t="str">
        <f>IFERROR(__xludf.DUMMYFUNCTION("IFERROR(SPLIT(R39,"",""),"""")"),"")</f>
        <v/>
      </c>
      <c r="AM39" s="65"/>
      <c r="AN39" s="65"/>
      <c r="AO39" s="69" t="str">
        <f>IFERROR(__xludf.DUMMYFUNCTION("IFERROR(SPLIT(S39,"",""),"""")"),"")</f>
        <v/>
      </c>
      <c r="AP39" s="65"/>
      <c r="AQ39" s="65"/>
      <c r="AR39" s="69" t="str">
        <f>IFERROR(__xludf.DUMMYFUNCTION("IFERROR(SPLIT(T39,"",""),"""")"),"")</f>
        <v/>
      </c>
      <c r="AS39" s="65"/>
      <c r="AT39" s="65"/>
      <c r="AU39" s="69" t="str">
        <f>IFERROR(__xludf.DUMMYFUNCTION("IFERROR(SPLIT(U39,"",""),"""")"),"")</f>
        <v/>
      </c>
      <c r="AV39" s="65"/>
      <c r="AW39" s="65"/>
      <c r="AX39" s="69" t="str">
        <f>IFERROR(__xludf.DUMMYFUNCTION("IFERROR(SPLIT(V39,"",""),"""")"),"")</f>
        <v/>
      </c>
      <c r="AY39" s="65"/>
      <c r="AZ39" s="65"/>
      <c r="BA39" s="69" t="str">
        <f>IFERROR(__xludf.DUMMYFUNCTION("IFERROR(SPLIT(W39,"",""),"""")"),"")</f>
        <v/>
      </c>
      <c r="BB39" s="69"/>
      <c r="BC39" s="69"/>
      <c r="BD39" s="69" t="str">
        <f>IFERROR(__xludf.DUMMYFUNCTION("IFERROR(SPLIT(X39,"",""),"""")"),"")</f>
        <v/>
      </c>
      <c r="BE39" s="69"/>
      <c r="BF39" s="69"/>
      <c r="BG39" s="69" t="str">
        <f>IFERROR(__xludf.DUMMYFUNCTION("IFERROR(SPLIT(Y39,"",""),"""")"),"")</f>
        <v/>
      </c>
      <c r="BH39" s="69"/>
      <c r="BI39" s="69"/>
      <c r="BJ39" s="68" t="str">
        <f>IFERROR(__xludf.DUMMYFUNCTION("IF($B39&lt;&gt;"""",IFERROR(FILTER(RawTotals!$AJ:$AJ,RawTotals!$A:$A=Z39)-(FILTER(Data!$K:$K,Data!$B:$B=Z39,Data!$D:$D=$B39)+FILTER(Data!$L:$L,Data!$B:$B=Z39,Data!$D:$D=$B39)),""""),"""")"),"")</f>
        <v/>
      </c>
      <c r="BK39" s="68" t="str">
        <f>IFERROR(__xludf.DUMMYFUNCTION("IF($B39&lt;&gt;"""",IFERROR(FILTER(RawTotals!$AJ:$AJ,RawTotals!$A:$A=AA39)-(FILTER(Data!$K:$K,Data!$B:$B=AA39,Data!$D:$D=$B39)+FILTER(Data!$L:$L,Data!$B:$B=AA39,Data!$D:$D=$B39)),""""),"""")"),"")</f>
        <v/>
      </c>
      <c r="BL39" s="68" t="str">
        <f>IFERROR(__xludf.DUMMYFUNCTION("IF($B39&lt;&gt;"""",IFERROR(FILTER(RawTotals!$AJ:$AJ,RawTotals!$A:$A=AB39)-(FILTER(Data!$K:$K,Data!$B:$B=AB39,Data!$D:$D=$B39)+FILTER(Data!$L:$L,Data!$B:$B=AB39,Data!$D:$D=$B39)),""""),"""")"),"")</f>
        <v/>
      </c>
      <c r="BM39" s="69" t="str">
        <f>IFERROR(__xludf.DUMMYFUNCTION("IF($C39&lt;&gt;"""",IFERROR(FILTER(RawTotals!$AJ:$AJ,RawTotals!$A:$A=AC39)-(FILTER(Data!$K:$K,Data!$B:$B=AC39,Data!$D:$D=$C39)+FILTER(Data!$L:$L,Data!$B:$B=AC39,Data!$D:$D=$C39)),""""),"""")"),"")</f>
        <v/>
      </c>
      <c r="BN39" s="69" t="str">
        <f>IFERROR(__xludf.DUMMYFUNCTION("IF($C39&lt;&gt;"""",IFERROR(FILTER(RawTotals!$AJ:$AJ,RawTotals!$A:$A=AD39)-(FILTER(Data!$K:$K,Data!$B:$B=AD39,Data!$D:$D=$C39)+FILTER(Data!$L:$L,Data!$B:$B=AD39,Data!$D:$D=$C39)),""""),"""")"),"")</f>
        <v/>
      </c>
      <c r="BO39" s="69" t="str">
        <f>IFERROR(__xludf.DUMMYFUNCTION("IF($C39&lt;&gt;"""",IFERROR(FILTER(RawTotals!$AJ:$AJ,RawTotals!$A:$A=AE39)-(FILTER(Data!$K:$K,Data!$B:$B=AE39,Data!$D:$D=$C39)+FILTER(Data!$L:$L,Data!$B:$B=AE39,Data!$D:$D=$C39)),""""),"""")"),"")</f>
        <v/>
      </c>
      <c r="BP39" s="69" t="str">
        <f>IFERROR(__xludf.DUMMYFUNCTION("IF($D39&lt;&gt;"""",IFERROR(FILTER(RawTotals!$AJ:$AJ,RawTotals!$A:$A=AF39)-(FILTER(Data!$K:$K,Data!$B:$B=AF39,Data!$D:$D=$D39)+FILTER(Data!$L:$L,Data!$B:$B=AF39,Data!$D:$D=$D39)),""""),"""")"),"")</f>
        <v/>
      </c>
      <c r="BQ39" s="69" t="str">
        <f>IFERROR(__xludf.DUMMYFUNCTION("IF($D39&lt;&gt;"""",IFERROR(FILTER(RawTotals!$AJ:$AJ,RawTotals!$A:$A=AG39)-(FILTER(Data!$K:$K,Data!$B:$B=AG39,Data!$D:$D=$D39)+FILTER(Data!$L:$L,Data!$B:$B=AG39,Data!$D:$D=$D39)),""""),"""")"),"")</f>
        <v/>
      </c>
      <c r="BR39" s="69" t="str">
        <f>IFERROR(__xludf.DUMMYFUNCTION("IF($D39&lt;&gt;"""",IFERROR(FILTER(RawTotals!$AJ:$AJ,RawTotals!$A:$A=AH39)-(FILTER(Data!$K:$K,Data!$B:$B=AH39,Data!$D:$D=$D39)+FILTER(Data!$L:$L,Data!$B:$B=AH39,Data!$D:$D=$D39)),""""),"""")"),"")</f>
        <v/>
      </c>
      <c r="BS39" s="69" t="str">
        <f>IFERROR(__xludf.DUMMYFUNCTION("IF($E39&lt;&gt;"""",IFERROR(FILTER(RawTotals!$AJ:$AJ,RawTotals!$A:$A=AI39)-(FILTER(Data!$K:$K,Data!$B:$B=AI39,Data!$D:$D=$E39)+FILTER(Data!$L:$L,Data!$B:$B=AI39,Data!$D:$D=$E39)),""""),"""")"),"")</f>
        <v/>
      </c>
      <c r="BT39" s="69" t="str">
        <f>IFERROR(__xludf.DUMMYFUNCTION("IF($E39&lt;&gt;"""",IFERROR(FILTER(RawTotals!$AJ:$AJ,RawTotals!$A:$A=AJ39)-(FILTER(Data!$K:$K,Data!$B:$B=AJ39,Data!$D:$D=$E39)+FILTER(Data!$L:$L,Data!$B:$B=AJ39,Data!$D:$D=$E39)),""""),"""")"),"")</f>
        <v/>
      </c>
      <c r="BU39" s="69" t="str">
        <f>IFERROR(__xludf.DUMMYFUNCTION("IF($E39&lt;&gt;"""",IFERROR(FILTER(RawTotals!$AJ:$AJ,RawTotals!$A:$A=AK39)-(FILTER(Data!$K:$K,Data!$B:$B=AK39,Data!$D:$D=$E39)+FILTER(Data!$L:$L,Data!$B:$B=AK39,Data!$D:$D=$E39)),""""),"""")"),"")</f>
        <v/>
      </c>
      <c r="BV39" s="69" t="str">
        <f>IFERROR(__xludf.DUMMYFUNCTION("IF($F39&lt;&gt;"""",IFERROR(FILTER(RawTotals!$AJ:$AJ,RawTotals!$A:$A=AL39)-(FILTER(Data!$K:$K,Data!$B:$B=AL39,Data!$D:$D=$F39)+FILTER(Data!$L:$L,Data!$B:$B=AL39,Data!$D:$D=$F39)),""""),"""")"),"")</f>
        <v/>
      </c>
      <c r="BW39" s="69" t="str">
        <f>IFERROR(__xludf.DUMMYFUNCTION("IF($F39&lt;&gt;"""",IFERROR(FILTER(RawTotals!$AJ:$AJ,RawTotals!$A:$A=AM39)-(FILTER(Data!$K:$K,Data!$B:$B=AM39,Data!$D:$D=$F39)+FILTER(Data!$L:$L,Data!$B:$B=AM39,Data!$D:$D=$F39)),""""),"""")"),"")</f>
        <v/>
      </c>
      <c r="BX39" s="69" t="str">
        <f>IFERROR(__xludf.DUMMYFUNCTION("IF($F39&lt;&gt;"""",IFERROR(FILTER(RawTotals!$AJ:$AJ,RawTotals!$A:$A=AN39)-(FILTER(Data!$K:$K,Data!$B:$B=AN39,Data!$D:$D=$F39)+FILTER(Data!$L:$L,Data!$B:$B=AN39,Data!$D:$D=$F39)),""""),"""")"),"")</f>
        <v/>
      </c>
      <c r="BY39" s="69" t="str">
        <f>IFERROR(__xludf.DUMMYFUNCTION("IF($G39&lt;&gt;"""",IFERROR(FILTER(RawTotals!$AJ:$AJ,RawTotals!$A:$A=AO39)-(FILTER(Data!$K:$K,Data!$B:$B=AO39,Data!$D:$D=$G39)+FILTER(Data!$L:$L,Data!$B:$B=AO39,Data!$D:$D=$G39)),""""),"""")"),"")</f>
        <v/>
      </c>
      <c r="BZ39" s="69" t="str">
        <f>IFERROR(__xludf.DUMMYFUNCTION("IF($G39&lt;&gt;"""",IFERROR(FILTER(RawTotals!$AJ:$AJ,RawTotals!$A:$A=AP39)-(FILTER(Data!$K:$K,Data!$B:$B=AP39,Data!$D:$D=$G39)+FILTER(Data!$L:$L,Data!$B:$B=AP39,Data!$D:$D=$G39)),""""),"""")"),"")</f>
        <v/>
      </c>
      <c r="CA39" s="69" t="str">
        <f>IFERROR(__xludf.DUMMYFUNCTION("IF($G39&lt;&gt;"""",IFERROR(FILTER(RawTotals!$AJ:$AJ,RawTotals!$A:$A=AQ39)-(FILTER(Data!$K:$K,Data!$B:$B=AQ39,Data!$D:$D=$G39)+FILTER(Data!$L:$L,Data!$B:$B=AQ39,Data!$D:$D=$G39)),""""),"""")"),"")</f>
        <v/>
      </c>
      <c r="CB39" s="69" t="str">
        <f>IFERROR(__xludf.DUMMYFUNCTION("IF($H39&lt;&gt;"""",IFERROR(FILTER(RawTotals!$AJ:$AJ,RawTotals!$A:$A=AR39)-(FILTER(Data!$K:$K,Data!$B:$B=AR39,Data!$D:$D=$H39)+FILTER(Data!$L:$L,Data!$B:$B=AR39,Data!$D:$D=$H39)),""""),"""")"),"")</f>
        <v/>
      </c>
      <c r="CC39" s="69" t="str">
        <f>IFERROR(__xludf.DUMMYFUNCTION("IF($H39&lt;&gt;"""",IFERROR(FILTER(RawTotals!$AJ:$AJ,RawTotals!$A:$A=AS39)-(FILTER(Data!$K:$K,Data!$B:$B=AS39,Data!$D:$D=$H39)+FILTER(Data!$L:$L,Data!$B:$B=AS39,Data!$D:$D=$H39)),""""),"""")"),"")</f>
        <v/>
      </c>
      <c r="CD39" s="69" t="str">
        <f>IFERROR(__xludf.DUMMYFUNCTION("IF($H39&lt;&gt;"""",IFERROR(FILTER(RawTotals!$AJ:$AJ,RawTotals!$A:$A=AT39)-(FILTER(Data!$K:$K,Data!$B:$B=AT39,Data!$D:$D=$H39)+FILTER(Data!$L:$L,Data!$B:$B=AT39,Data!$D:$D=$H39)),""""),"""")"),"")</f>
        <v/>
      </c>
      <c r="CE39" s="69" t="str">
        <f>IFERROR(__xludf.DUMMYFUNCTION("IF($I39&lt;&gt;"""",IFERROR(FILTER(RawTotals!$AJ:$AJ,RawTotals!$A:$A=AU39)-(FILTER(Data!$K:$K,Data!$B:$B=AU39,Data!$D:$D=$I39)+FILTER(Data!$L:$L,Data!$B:$B=AU39,Data!$D:$D=$I39)),""""),"""")"),"")</f>
        <v/>
      </c>
      <c r="CF39" s="69" t="str">
        <f>IFERROR(__xludf.DUMMYFUNCTION("IF($I39&lt;&gt;"""",IFERROR(FILTER(RawTotals!$AJ:$AJ,RawTotals!$A:$A=AV39)-(FILTER(Data!$K:$K,Data!$B:$B=AV39,Data!$D:$D=$I39)+FILTER(Data!$L:$L,Data!$B:$B=AV39,Data!$D:$D=$I39)),""""),"""")"),"")</f>
        <v/>
      </c>
      <c r="CG39" s="69" t="str">
        <f>IFERROR(__xludf.DUMMYFUNCTION("IF($I39&lt;&gt;"""",IFERROR(FILTER(RawTotals!$AJ:$AJ,RawTotals!$A:$A=AW39)-(FILTER(Data!$K:$K,Data!$B:$B=AW39,Data!$D:$D=$I39)+FILTER(Data!$L:$L,Data!$B:$B=AW39,Data!$D:$D=$I39)),""""),"""")"),"")</f>
        <v/>
      </c>
      <c r="CH39" s="69" t="str">
        <f>IFERROR(__xludf.DUMMYFUNCTION("IF($J39&lt;&gt;"""",IFERROR(FILTER(RawTotals!$AJ:$AJ,RawTotals!$A:$A=AX39)-(FILTER(Data!$K:$K,Data!$B:$B=AX39,Data!$D:$D=$J39)+FILTER(Data!$L:$L,Data!$B:$B=AX39,Data!$D:$D=$J39)),""""),"""")"),"")</f>
        <v/>
      </c>
      <c r="CI39" s="69" t="str">
        <f>IFERROR(__xludf.DUMMYFUNCTION("IF($J39&lt;&gt;"""",IFERROR(FILTER(RawTotals!$AJ:$AJ,RawTotals!$A:$A=AY39)-(FILTER(Data!$K:$K,Data!$B:$B=AY39,Data!$D:$D=$J39)+FILTER(Data!$L:$L,Data!$B:$B=AY39,Data!$D:$D=$J39)),""""),"""")"),"")</f>
        <v/>
      </c>
      <c r="CJ39" s="69" t="str">
        <f>IFERROR(__xludf.DUMMYFUNCTION("IF($J39&lt;&gt;"""",IFERROR(FILTER(RawTotals!$AJ:$AJ,RawTotals!$A:$A=AZ39)-(FILTER(Data!$K:$K,Data!$B:$B=AZ39,Data!$D:$D=$J39)+FILTER(Data!$L:$L,Data!$B:$B=AZ39,Data!$D:$D=$J39)),""""),"""")"),"")</f>
        <v/>
      </c>
      <c r="CK39" s="69" t="str">
        <f>IFERROR(__xludf.DUMMYFUNCTION("IF($K39&lt;&gt;"""",IFERROR(FILTER(RawTotals!$AJ:$AJ,RawTotals!$A:$A=BA39)-(FILTER(Data!$K:$K,Data!$B:$B=BA39,Data!$D:$D=$K39)+FILTER(Data!$L:$L,Data!$B:$B=BA39,Data!$D:$D=$K39)),""""),"""")"),"")</f>
        <v/>
      </c>
      <c r="CL39" s="69" t="str">
        <f>IFERROR(__xludf.DUMMYFUNCTION("IF($K39&lt;&gt;"""",IFERROR(FILTER(RawTotals!$AJ:$AJ,RawTotals!$A:$A=BB39)-(FILTER(Data!$K:$K,Data!$B:$B=BB39,Data!$D:$D=$K39)+FILTER(Data!$L:$L,Data!$B:$B=BB39,Data!$D:$D=$K39)),""""),"""")"),"")</f>
        <v/>
      </c>
      <c r="CM39" s="69" t="str">
        <f>IFERROR(__xludf.DUMMYFUNCTION("IF($K39&lt;&gt;"""",IFERROR(FILTER(RawTotals!$AJ:$AJ,RawTotals!$A:$A=BC39)-(FILTER(Data!$K:$K,Data!$B:$B=BC39,Data!$D:$D=$K39)+FILTER(Data!$L:$L,Data!$B:$B=BC39,Data!$D:$D=$K39)),""""),"""")"),"")</f>
        <v/>
      </c>
      <c r="CN39" s="69" t="str">
        <f>IFERROR(__xludf.DUMMYFUNCTION("IF($L39&lt;&gt;"""",IFERROR((FILTER(RawTotals!$AJ:$AJ,RawTotals!$A:$A=BD39)-(FILTER(Data!$K:$K,Data!$B:$B=BD39,Data!$D:$D=$L39)+FILTER(Data!$L:$L,Data!$B:$B=BD39,Data!$D:$D=$L39))),""""),"""")"),"")</f>
        <v/>
      </c>
      <c r="CO39" s="69" t="str">
        <f>IFERROR(__xludf.DUMMYFUNCTION("IF($L39&lt;&gt;"""",IFERROR((FILTER(RawTotals!$AJ:$AJ,RawTotals!$A:$A=BE39)-(FILTER(Data!$K:$K,Data!$B:$B=BE39,Data!$D:$D=$L39)+FILTER(Data!$L:$L,Data!$B:$B=BE39,Data!$D:$D=$L39))),""""),"""")"),"")</f>
        <v/>
      </c>
      <c r="CP39" s="69" t="str">
        <f>IFERROR(__xludf.DUMMYFUNCTION("IF($L39&lt;&gt;"""",IFERROR((FILTER(RawTotals!$AJ:$AJ,RawTotals!$A:$A=BF39)-(FILTER(Data!$K:$K,Data!$B:$B=BF39,Data!$D:$D=$L39)+FILTER(Data!$L:$L,Data!$B:$B=BF39,Data!$D:$D=$L39))),""""),"""")"),"")</f>
        <v/>
      </c>
      <c r="CQ39" s="69" t="str">
        <f>IFERROR(__xludf.DUMMYFUNCTION("IF($M39&lt;&gt;"""",IFERROR((FILTER(RawTotals!$AJ:$AJ,RawTotals!$A:$A=BG39)-(FILTER(Data!$K:$K,Data!$B:$B=BG39,Data!$D:$D=$M39)+FILTER(Data!$L:$L,Data!$B:$B=BG39,Data!$D:$D=$M39))),""""),"""")"),"")</f>
        <v/>
      </c>
      <c r="CR39" s="69" t="str">
        <f>IFERROR(__xludf.DUMMYFUNCTION("IF($M39&lt;&gt;"""",IFERROR((FILTER(RawTotals!$AJ:$AJ,RawTotals!$A:$A=BH39)-(FILTER(Data!$K:$K,Data!$B:$B=BH39,Data!$D:$D=$M39)+FILTER(Data!$L:$L,Data!$B:$B=BH39,Data!$D:$D=$M39))),""""),"""")"),"")</f>
        <v/>
      </c>
      <c r="CS39" s="70" t="str">
        <f>IFERROR(__xludf.DUMMYFUNCTION("IF($M39&lt;&gt;"""",IFERROR((FILTER(RawTotals!$AJ:$AJ,RawTotals!$A:$A=BI39)-(FILTER(Data!$K:$K,Data!$B:$B=BI39,Data!$D:$D=$M39)+FILTER(Data!$L:$L,Data!$B:$B=BI39,Data!$D:$D=$M39))),""""),"""")"),"")</f>
        <v/>
      </c>
      <c r="CT39" s="69"/>
      <c r="CU39" s="69"/>
      <c r="CV39" s="69"/>
      <c r="CW39" s="69"/>
      <c r="CX39" s="69"/>
      <c r="CY39" s="69"/>
      <c r="CZ39" s="69"/>
      <c r="DA39" s="69"/>
      <c r="DB39" s="69"/>
      <c r="DC39" s="69"/>
      <c r="DD39" s="69"/>
      <c r="DE39" s="69"/>
    </row>
    <row r="40">
      <c r="A40" s="67">
        <f>RawTotals!A40</f>
        <v>1732</v>
      </c>
      <c r="B40" s="68" t="str">
        <f>IFERROR(__xludf.DUMMYFUNCTION("IF(A40&lt;&gt;"""",IFERROR(TRANSPOSE(FILTER(Data!D:D,Data!B:B=A40,Data!R:R&lt;&gt;"""")),""No Defense""),"""")"),"No Defense")</f>
        <v>No Defense</v>
      </c>
      <c r="C40" s="65"/>
      <c r="D40" s="65"/>
      <c r="E40" s="65"/>
      <c r="F40" s="65"/>
      <c r="G40" s="65"/>
      <c r="H40" s="65"/>
      <c r="I40" s="65"/>
      <c r="J40" s="65"/>
      <c r="K40" s="65"/>
      <c r="L40" s="65"/>
      <c r="M40" s="65"/>
      <c r="N40" s="64" t="str">
        <f>IFERROR(__xludf.DUMMYFUNCTION("IFERROR(Textjoin("""",TRUE,FILTER(Data!$R:$R,Data!$D:$D=B40,Data!$B:$B=$A40)),"""")"),"")</f>
        <v/>
      </c>
      <c r="O40" s="64" t="str">
        <f>IFERROR(__xludf.DUMMYFUNCTION("IFERROR(Textjoin("""",TRUE,FILTER(Data!$R:$R,Data!$D:$D=C40,Data!$B:$B=$A40)),"""")"),"")</f>
        <v/>
      </c>
      <c r="P40" s="64" t="str">
        <f>IFERROR(__xludf.DUMMYFUNCTION("IFERROR(Textjoin("""",TRUE,FILTER(Data!$R:$R,Data!$D:$D=D40,Data!$B:$B=$A40)),"""")"),"")</f>
        <v/>
      </c>
      <c r="Q40" s="64" t="str">
        <f>IFERROR(__xludf.DUMMYFUNCTION("IFERROR(Textjoin("""",TRUE,FILTER(Data!$R:$R,Data!$D:$D=E40,Data!$B:$B=$A40)),"""")"),"")</f>
        <v/>
      </c>
      <c r="R40" s="64" t="str">
        <f>IFERROR(__xludf.DUMMYFUNCTION("IFERROR(Textjoin("""",TRUE,FILTER(Data!$R:$R,Data!$D:$D=F40,Data!$B:$B=$A40)),"""")"),"")</f>
        <v/>
      </c>
      <c r="S40" s="64" t="str">
        <f>IFERROR(__xludf.DUMMYFUNCTION("IFERROR(Textjoin("""",TRUE,FILTER(Data!$R:$R,Data!$D:$D=G40,Data!$B:$B=$A40)),"""")"),"")</f>
        <v/>
      </c>
      <c r="T40" s="64" t="str">
        <f>IFERROR(__xludf.DUMMYFUNCTION("IFERROR(Textjoin("""",TRUE,FILTER(Data!$R:$R,Data!$D:$D=H40,Data!$B:$B=$A40)),"""")"),"")</f>
        <v/>
      </c>
      <c r="U40" s="64" t="str">
        <f>IFERROR(__xludf.DUMMYFUNCTION("IFERROR(Textjoin("""",TRUE,FILTER(Data!$R:$R,Data!$D:$D=I40,Data!$B:$B=$A40)),"""")"),"")</f>
        <v/>
      </c>
      <c r="V40" s="64" t="str">
        <f>IFERROR(__xludf.DUMMYFUNCTION("IFERROR(Textjoin("""",TRUE,FILTER(Data!$R:$R,Data!$D:$D=J40,Data!$B:$B=$A40)),"""")"),"")</f>
        <v/>
      </c>
      <c r="W40" s="64" t="str">
        <f>IFERROR(__xludf.DUMMYFUNCTION("IFERROR(Textjoin("""",TRUE,FILTER(Data!$R:$R,Data!$D:$D=K40,Data!$B:$B=$A40)),"""")"),"")</f>
        <v/>
      </c>
      <c r="X40" s="64" t="str">
        <f>IFERROR(__xludf.DUMMYFUNCTION("IFERROR(Textjoin("""",TRUE,FILTER(Data!$R:$R,Data!$D:$D=L40,Data!$B:$B=$A40)),"""")"),"")</f>
        <v/>
      </c>
      <c r="Y40" s="64" t="str">
        <f>IFERROR(__xludf.DUMMYFUNCTION("IFERROR(Textjoin("""",TRUE,FILTER(Data!$R:$R,Data!$D:$D=M40,Data!$B:$B=$A40)),"""")"),"")</f>
        <v/>
      </c>
      <c r="Z40" s="64" t="str">
        <f>IFERROR(__xludf.DUMMYFUNCTION("IFERROR(SPLIT(N40,"",""),"""")"),"")</f>
        <v/>
      </c>
      <c r="AA40" s="65"/>
      <c r="AB40" s="65"/>
      <c r="AC40" s="69" t="str">
        <f>IFERROR(__xludf.DUMMYFUNCTION("IFERROR(SPLIT(O40,"",""),"""")"),"")</f>
        <v/>
      </c>
      <c r="AD40" s="65"/>
      <c r="AE40" s="65"/>
      <c r="AF40" s="69" t="str">
        <f>IFERROR(__xludf.DUMMYFUNCTION("IFERROR(SPLIT(P40,"",""),"""")"),"")</f>
        <v/>
      </c>
      <c r="AG40" s="65"/>
      <c r="AH40" s="65"/>
      <c r="AI40" s="69" t="str">
        <f>IFERROR(__xludf.DUMMYFUNCTION("IFERROR(SPLIT(Q40,"",""),"""")"),"")</f>
        <v/>
      </c>
      <c r="AJ40" s="65"/>
      <c r="AK40" s="65"/>
      <c r="AL40" s="69" t="str">
        <f>IFERROR(__xludf.DUMMYFUNCTION("IFERROR(SPLIT(R40,"",""),"""")"),"")</f>
        <v/>
      </c>
      <c r="AM40" s="65"/>
      <c r="AN40" s="65"/>
      <c r="AO40" s="69" t="str">
        <f>IFERROR(__xludf.DUMMYFUNCTION("IFERROR(SPLIT(S40,"",""),"""")"),"")</f>
        <v/>
      </c>
      <c r="AP40" s="65"/>
      <c r="AQ40" s="65"/>
      <c r="AR40" s="69" t="str">
        <f>IFERROR(__xludf.DUMMYFUNCTION("IFERROR(SPLIT(T40,"",""),"""")"),"")</f>
        <v/>
      </c>
      <c r="AS40" s="65"/>
      <c r="AT40" s="65"/>
      <c r="AU40" s="69" t="str">
        <f>IFERROR(__xludf.DUMMYFUNCTION("IFERROR(SPLIT(U40,"",""),"""")"),"")</f>
        <v/>
      </c>
      <c r="AV40" s="65"/>
      <c r="AW40" s="65"/>
      <c r="AX40" s="69" t="str">
        <f>IFERROR(__xludf.DUMMYFUNCTION("IFERROR(SPLIT(V40,"",""),"""")"),"")</f>
        <v/>
      </c>
      <c r="AY40" s="65"/>
      <c r="AZ40" s="65"/>
      <c r="BA40" s="69" t="str">
        <f>IFERROR(__xludf.DUMMYFUNCTION("IFERROR(SPLIT(W40,"",""),"""")"),"")</f>
        <v/>
      </c>
      <c r="BB40" s="69"/>
      <c r="BC40" s="69"/>
      <c r="BD40" s="69" t="str">
        <f>IFERROR(__xludf.DUMMYFUNCTION("IFERROR(SPLIT(X40,"",""),"""")"),"")</f>
        <v/>
      </c>
      <c r="BE40" s="69"/>
      <c r="BF40" s="69"/>
      <c r="BG40" s="69" t="str">
        <f>IFERROR(__xludf.DUMMYFUNCTION("IFERROR(SPLIT(Y40,"",""),"""")"),"")</f>
        <v/>
      </c>
      <c r="BH40" s="69"/>
      <c r="BI40" s="69"/>
      <c r="BJ40" s="68" t="str">
        <f>IFERROR(__xludf.DUMMYFUNCTION("IF($B40&lt;&gt;"""",IFERROR(FILTER(RawTotals!$AJ:$AJ,RawTotals!$A:$A=Z40)-(FILTER(Data!$K:$K,Data!$B:$B=Z40,Data!$D:$D=$B40)+FILTER(Data!$L:$L,Data!$B:$B=Z40,Data!$D:$D=$B40)),""""),"""")"),"")</f>
        <v/>
      </c>
      <c r="BK40" s="68" t="str">
        <f>IFERROR(__xludf.DUMMYFUNCTION("IF($B40&lt;&gt;"""",IFERROR(FILTER(RawTotals!$AJ:$AJ,RawTotals!$A:$A=AA40)-(FILTER(Data!$K:$K,Data!$B:$B=AA40,Data!$D:$D=$B40)+FILTER(Data!$L:$L,Data!$B:$B=AA40,Data!$D:$D=$B40)),""""),"""")"),"")</f>
        <v/>
      </c>
      <c r="BL40" s="68" t="str">
        <f>IFERROR(__xludf.DUMMYFUNCTION("IF($B40&lt;&gt;"""",IFERROR(FILTER(RawTotals!$AJ:$AJ,RawTotals!$A:$A=AB40)-(FILTER(Data!$K:$K,Data!$B:$B=AB40,Data!$D:$D=$B40)+FILTER(Data!$L:$L,Data!$B:$B=AB40,Data!$D:$D=$B40)),""""),"""")"),"")</f>
        <v/>
      </c>
      <c r="BM40" s="69" t="str">
        <f>IFERROR(__xludf.DUMMYFUNCTION("IF($C40&lt;&gt;"""",IFERROR(FILTER(RawTotals!$AJ:$AJ,RawTotals!$A:$A=AC40)-(FILTER(Data!$K:$K,Data!$B:$B=AC40,Data!$D:$D=$C40)+FILTER(Data!$L:$L,Data!$B:$B=AC40,Data!$D:$D=$C40)),""""),"""")"),"")</f>
        <v/>
      </c>
      <c r="BN40" s="69" t="str">
        <f>IFERROR(__xludf.DUMMYFUNCTION("IF($C40&lt;&gt;"""",IFERROR(FILTER(RawTotals!$AJ:$AJ,RawTotals!$A:$A=AD40)-(FILTER(Data!$K:$K,Data!$B:$B=AD40,Data!$D:$D=$C40)+FILTER(Data!$L:$L,Data!$B:$B=AD40,Data!$D:$D=$C40)),""""),"""")"),"")</f>
        <v/>
      </c>
      <c r="BO40" s="69" t="str">
        <f>IFERROR(__xludf.DUMMYFUNCTION("IF($C40&lt;&gt;"""",IFERROR(FILTER(RawTotals!$AJ:$AJ,RawTotals!$A:$A=AE40)-(FILTER(Data!$K:$K,Data!$B:$B=AE40,Data!$D:$D=$C40)+FILTER(Data!$L:$L,Data!$B:$B=AE40,Data!$D:$D=$C40)),""""),"""")"),"")</f>
        <v/>
      </c>
      <c r="BP40" s="69" t="str">
        <f>IFERROR(__xludf.DUMMYFUNCTION("IF($D40&lt;&gt;"""",IFERROR(FILTER(RawTotals!$AJ:$AJ,RawTotals!$A:$A=AF40)-(FILTER(Data!$K:$K,Data!$B:$B=AF40,Data!$D:$D=$D40)+FILTER(Data!$L:$L,Data!$B:$B=AF40,Data!$D:$D=$D40)),""""),"""")"),"")</f>
        <v/>
      </c>
      <c r="BQ40" s="69" t="str">
        <f>IFERROR(__xludf.DUMMYFUNCTION("IF($D40&lt;&gt;"""",IFERROR(FILTER(RawTotals!$AJ:$AJ,RawTotals!$A:$A=AG40)-(FILTER(Data!$K:$K,Data!$B:$B=AG40,Data!$D:$D=$D40)+FILTER(Data!$L:$L,Data!$B:$B=AG40,Data!$D:$D=$D40)),""""),"""")"),"")</f>
        <v/>
      </c>
      <c r="BR40" s="69" t="str">
        <f>IFERROR(__xludf.DUMMYFUNCTION("IF($D40&lt;&gt;"""",IFERROR(FILTER(RawTotals!$AJ:$AJ,RawTotals!$A:$A=AH40)-(FILTER(Data!$K:$K,Data!$B:$B=AH40,Data!$D:$D=$D40)+FILTER(Data!$L:$L,Data!$B:$B=AH40,Data!$D:$D=$D40)),""""),"""")"),"")</f>
        <v/>
      </c>
      <c r="BS40" s="69" t="str">
        <f>IFERROR(__xludf.DUMMYFUNCTION("IF($E40&lt;&gt;"""",IFERROR(FILTER(RawTotals!$AJ:$AJ,RawTotals!$A:$A=AI40)-(FILTER(Data!$K:$K,Data!$B:$B=AI40,Data!$D:$D=$E40)+FILTER(Data!$L:$L,Data!$B:$B=AI40,Data!$D:$D=$E40)),""""),"""")"),"")</f>
        <v/>
      </c>
      <c r="BT40" s="69" t="str">
        <f>IFERROR(__xludf.DUMMYFUNCTION("IF($E40&lt;&gt;"""",IFERROR(FILTER(RawTotals!$AJ:$AJ,RawTotals!$A:$A=AJ40)-(FILTER(Data!$K:$K,Data!$B:$B=AJ40,Data!$D:$D=$E40)+FILTER(Data!$L:$L,Data!$B:$B=AJ40,Data!$D:$D=$E40)),""""),"""")"),"")</f>
        <v/>
      </c>
      <c r="BU40" s="69" t="str">
        <f>IFERROR(__xludf.DUMMYFUNCTION("IF($E40&lt;&gt;"""",IFERROR(FILTER(RawTotals!$AJ:$AJ,RawTotals!$A:$A=AK40)-(FILTER(Data!$K:$K,Data!$B:$B=AK40,Data!$D:$D=$E40)+FILTER(Data!$L:$L,Data!$B:$B=AK40,Data!$D:$D=$E40)),""""),"""")"),"")</f>
        <v/>
      </c>
      <c r="BV40" s="69" t="str">
        <f>IFERROR(__xludf.DUMMYFUNCTION("IF($F40&lt;&gt;"""",IFERROR(FILTER(RawTotals!$AJ:$AJ,RawTotals!$A:$A=AL40)-(FILTER(Data!$K:$K,Data!$B:$B=AL40,Data!$D:$D=$F40)+FILTER(Data!$L:$L,Data!$B:$B=AL40,Data!$D:$D=$F40)),""""),"""")"),"")</f>
        <v/>
      </c>
      <c r="BW40" s="69" t="str">
        <f>IFERROR(__xludf.DUMMYFUNCTION("IF($F40&lt;&gt;"""",IFERROR(FILTER(RawTotals!$AJ:$AJ,RawTotals!$A:$A=AM40)-(FILTER(Data!$K:$K,Data!$B:$B=AM40,Data!$D:$D=$F40)+FILTER(Data!$L:$L,Data!$B:$B=AM40,Data!$D:$D=$F40)),""""),"""")"),"")</f>
        <v/>
      </c>
      <c r="BX40" s="69" t="str">
        <f>IFERROR(__xludf.DUMMYFUNCTION("IF($F40&lt;&gt;"""",IFERROR(FILTER(RawTotals!$AJ:$AJ,RawTotals!$A:$A=AN40)-(FILTER(Data!$K:$K,Data!$B:$B=AN40,Data!$D:$D=$F40)+FILTER(Data!$L:$L,Data!$B:$B=AN40,Data!$D:$D=$F40)),""""),"""")"),"")</f>
        <v/>
      </c>
      <c r="BY40" s="69" t="str">
        <f>IFERROR(__xludf.DUMMYFUNCTION("IF($G40&lt;&gt;"""",IFERROR(FILTER(RawTotals!$AJ:$AJ,RawTotals!$A:$A=AO40)-(FILTER(Data!$K:$K,Data!$B:$B=AO40,Data!$D:$D=$G40)+FILTER(Data!$L:$L,Data!$B:$B=AO40,Data!$D:$D=$G40)),""""),"""")"),"")</f>
        <v/>
      </c>
      <c r="BZ40" s="69" t="str">
        <f>IFERROR(__xludf.DUMMYFUNCTION("IF($G40&lt;&gt;"""",IFERROR(FILTER(RawTotals!$AJ:$AJ,RawTotals!$A:$A=AP40)-(FILTER(Data!$K:$K,Data!$B:$B=AP40,Data!$D:$D=$G40)+FILTER(Data!$L:$L,Data!$B:$B=AP40,Data!$D:$D=$G40)),""""),"""")"),"")</f>
        <v/>
      </c>
      <c r="CA40" s="69" t="str">
        <f>IFERROR(__xludf.DUMMYFUNCTION("IF($G40&lt;&gt;"""",IFERROR(FILTER(RawTotals!$AJ:$AJ,RawTotals!$A:$A=AQ40)-(FILTER(Data!$K:$K,Data!$B:$B=AQ40,Data!$D:$D=$G40)+FILTER(Data!$L:$L,Data!$B:$B=AQ40,Data!$D:$D=$G40)),""""),"""")"),"")</f>
        <v/>
      </c>
      <c r="CB40" s="69" t="str">
        <f>IFERROR(__xludf.DUMMYFUNCTION("IF($H40&lt;&gt;"""",IFERROR(FILTER(RawTotals!$AJ:$AJ,RawTotals!$A:$A=AR40)-(FILTER(Data!$K:$K,Data!$B:$B=AR40,Data!$D:$D=$H40)+FILTER(Data!$L:$L,Data!$B:$B=AR40,Data!$D:$D=$H40)),""""),"""")"),"")</f>
        <v/>
      </c>
      <c r="CC40" s="69" t="str">
        <f>IFERROR(__xludf.DUMMYFUNCTION("IF($H40&lt;&gt;"""",IFERROR(FILTER(RawTotals!$AJ:$AJ,RawTotals!$A:$A=AS40)-(FILTER(Data!$K:$K,Data!$B:$B=AS40,Data!$D:$D=$H40)+FILTER(Data!$L:$L,Data!$B:$B=AS40,Data!$D:$D=$H40)),""""),"""")"),"")</f>
        <v/>
      </c>
      <c r="CD40" s="69" t="str">
        <f>IFERROR(__xludf.DUMMYFUNCTION("IF($H40&lt;&gt;"""",IFERROR(FILTER(RawTotals!$AJ:$AJ,RawTotals!$A:$A=AT40)-(FILTER(Data!$K:$K,Data!$B:$B=AT40,Data!$D:$D=$H40)+FILTER(Data!$L:$L,Data!$B:$B=AT40,Data!$D:$D=$H40)),""""),"""")"),"")</f>
        <v/>
      </c>
      <c r="CE40" s="69" t="str">
        <f>IFERROR(__xludf.DUMMYFUNCTION("IF($I40&lt;&gt;"""",IFERROR(FILTER(RawTotals!$AJ:$AJ,RawTotals!$A:$A=AU40)-(FILTER(Data!$K:$K,Data!$B:$B=AU40,Data!$D:$D=$I40)+FILTER(Data!$L:$L,Data!$B:$B=AU40,Data!$D:$D=$I40)),""""),"""")"),"")</f>
        <v/>
      </c>
      <c r="CF40" s="69" t="str">
        <f>IFERROR(__xludf.DUMMYFUNCTION("IF($I40&lt;&gt;"""",IFERROR(FILTER(RawTotals!$AJ:$AJ,RawTotals!$A:$A=AV40)-(FILTER(Data!$K:$K,Data!$B:$B=AV40,Data!$D:$D=$I40)+FILTER(Data!$L:$L,Data!$B:$B=AV40,Data!$D:$D=$I40)),""""),"""")"),"")</f>
        <v/>
      </c>
      <c r="CG40" s="69" t="str">
        <f>IFERROR(__xludf.DUMMYFUNCTION("IF($I40&lt;&gt;"""",IFERROR(FILTER(RawTotals!$AJ:$AJ,RawTotals!$A:$A=AW40)-(FILTER(Data!$K:$K,Data!$B:$B=AW40,Data!$D:$D=$I40)+FILTER(Data!$L:$L,Data!$B:$B=AW40,Data!$D:$D=$I40)),""""),"""")"),"")</f>
        <v/>
      </c>
      <c r="CH40" s="69" t="str">
        <f>IFERROR(__xludf.DUMMYFUNCTION("IF($J40&lt;&gt;"""",IFERROR(FILTER(RawTotals!$AJ:$AJ,RawTotals!$A:$A=AX40)-(FILTER(Data!$K:$K,Data!$B:$B=AX40,Data!$D:$D=$J40)+FILTER(Data!$L:$L,Data!$B:$B=AX40,Data!$D:$D=$J40)),""""),"""")"),"")</f>
        <v/>
      </c>
      <c r="CI40" s="69" t="str">
        <f>IFERROR(__xludf.DUMMYFUNCTION("IF($J40&lt;&gt;"""",IFERROR(FILTER(RawTotals!$AJ:$AJ,RawTotals!$A:$A=AY40)-(FILTER(Data!$K:$K,Data!$B:$B=AY40,Data!$D:$D=$J40)+FILTER(Data!$L:$L,Data!$B:$B=AY40,Data!$D:$D=$J40)),""""),"""")"),"")</f>
        <v/>
      </c>
      <c r="CJ40" s="69" t="str">
        <f>IFERROR(__xludf.DUMMYFUNCTION("IF($J40&lt;&gt;"""",IFERROR(FILTER(RawTotals!$AJ:$AJ,RawTotals!$A:$A=AZ40)-(FILTER(Data!$K:$K,Data!$B:$B=AZ40,Data!$D:$D=$J40)+FILTER(Data!$L:$L,Data!$B:$B=AZ40,Data!$D:$D=$J40)),""""),"""")"),"")</f>
        <v/>
      </c>
      <c r="CK40" s="69" t="str">
        <f>IFERROR(__xludf.DUMMYFUNCTION("IF($K40&lt;&gt;"""",IFERROR(FILTER(RawTotals!$AJ:$AJ,RawTotals!$A:$A=BA40)-(FILTER(Data!$K:$K,Data!$B:$B=BA40,Data!$D:$D=$K40)+FILTER(Data!$L:$L,Data!$B:$B=BA40,Data!$D:$D=$K40)),""""),"""")"),"")</f>
        <v/>
      </c>
      <c r="CL40" s="69" t="str">
        <f>IFERROR(__xludf.DUMMYFUNCTION("IF($K40&lt;&gt;"""",IFERROR(FILTER(RawTotals!$AJ:$AJ,RawTotals!$A:$A=BB40)-(FILTER(Data!$K:$K,Data!$B:$B=BB40,Data!$D:$D=$K40)+FILTER(Data!$L:$L,Data!$B:$B=BB40,Data!$D:$D=$K40)),""""),"""")"),"")</f>
        <v/>
      </c>
      <c r="CM40" s="69" t="str">
        <f>IFERROR(__xludf.DUMMYFUNCTION("IF($K40&lt;&gt;"""",IFERROR(FILTER(RawTotals!$AJ:$AJ,RawTotals!$A:$A=BC40)-(FILTER(Data!$K:$K,Data!$B:$B=BC40,Data!$D:$D=$K40)+FILTER(Data!$L:$L,Data!$B:$B=BC40,Data!$D:$D=$K40)),""""),"""")"),"")</f>
        <v/>
      </c>
      <c r="CN40" s="69" t="str">
        <f>IFERROR(__xludf.DUMMYFUNCTION("IF($L40&lt;&gt;"""",IFERROR((FILTER(RawTotals!$AJ:$AJ,RawTotals!$A:$A=BD40)-(FILTER(Data!$K:$K,Data!$B:$B=BD40,Data!$D:$D=$L40)+FILTER(Data!$L:$L,Data!$B:$B=BD40,Data!$D:$D=$L40))),""""),"""")"),"")</f>
        <v/>
      </c>
      <c r="CO40" s="69" t="str">
        <f>IFERROR(__xludf.DUMMYFUNCTION("IF($L40&lt;&gt;"""",IFERROR((FILTER(RawTotals!$AJ:$AJ,RawTotals!$A:$A=BE40)-(FILTER(Data!$K:$K,Data!$B:$B=BE40,Data!$D:$D=$L40)+FILTER(Data!$L:$L,Data!$B:$B=BE40,Data!$D:$D=$L40))),""""),"""")"),"")</f>
        <v/>
      </c>
      <c r="CP40" s="69" t="str">
        <f>IFERROR(__xludf.DUMMYFUNCTION("IF($L40&lt;&gt;"""",IFERROR((FILTER(RawTotals!$AJ:$AJ,RawTotals!$A:$A=BF40)-(FILTER(Data!$K:$K,Data!$B:$B=BF40,Data!$D:$D=$L40)+FILTER(Data!$L:$L,Data!$B:$B=BF40,Data!$D:$D=$L40))),""""),"""")"),"")</f>
        <v/>
      </c>
      <c r="CQ40" s="69" t="str">
        <f>IFERROR(__xludf.DUMMYFUNCTION("IF($M40&lt;&gt;"""",IFERROR((FILTER(RawTotals!$AJ:$AJ,RawTotals!$A:$A=BG40)-(FILTER(Data!$K:$K,Data!$B:$B=BG40,Data!$D:$D=$M40)+FILTER(Data!$L:$L,Data!$B:$B=BG40,Data!$D:$D=$M40))),""""),"""")"),"")</f>
        <v/>
      </c>
      <c r="CR40" s="69" t="str">
        <f>IFERROR(__xludf.DUMMYFUNCTION("IF($M40&lt;&gt;"""",IFERROR((FILTER(RawTotals!$AJ:$AJ,RawTotals!$A:$A=BH40)-(FILTER(Data!$K:$K,Data!$B:$B=BH40,Data!$D:$D=$M40)+FILTER(Data!$L:$L,Data!$B:$B=BH40,Data!$D:$D=$M40))),""""),"""")"),"")</f>
        <v/>
      </c>
      <c r="CS40" s="70" t="str">
        <f>IFERROR(__xludf.DUMMYFUNCTION("IF($M40&lt;&gt;"""",IFERROR((FILTER(RawTotals!$AJ:$AJ,RawTotals!$A:$A=BI40)-(FILTER(Data!$K:$K,Data!$B:$B=BI40,Data!$D:$D=$M40)+FILTER(Data!$L:$L,Data!$B:$B=BI40,Data!$D:$D=$M40))),""""),"""")"),"")</f>
        <v/>
      </c>
      <c r="CT40" s="69"/>
      <c r="CU40" s="69"/>
      <c r="CV40" s="69"/>
      <c r="CW40" s="69"/>
      <c r="CX40" s="69"/>
      <c r="CY40" s="69"/>
      <c r="CZ40" s="69"/>
      <c r="DA40" s="69"/>
      <c r="DB40" s="69"/>
      <c r="DC40" s="69"/>
      <c r="DD40" s="69"/>
      <c r="DE40" s="69"/>
    </row>
    <row r="41">
      <c r="A41" s="67">
        <f>RawTotals!A41</f>
        <v>4265</v>
      </c>
      <c r="B41" s="68" t="str">
        <f>IFERROR(__xludf.DUMMYFUNCTION("IF(A41&lt;&gt;"""",IFERROR(TRANSPOSE(FILTER(Data!D:D,Data!B:B=A41,Data!R:R&lt;&gt;"""")),""No Defense""),"""")"),"No Defense")</f>
        <v>No Defense</v>
      </c>
      <c r="C41" s="65"/>
      <c r="D41" s="65"/>
      <c r="E41" s="65"/>
      <c r="F41" s="65"/>
      <c r="G41" s="65"/>
      <c r="H41" s="65"/>
      <c r="I41" s="65"/>
      <c r="J41" s="65"/>
      <c r="K41" s="65"/>
      <c r="L41" s="65"/>
      <c r="M41" s="65"/>
      <c r="N41" s="64" t="str">
        <f>IFERROR(__xludf.DUMMYFUNCTION("IFERROR(Textjoin("""",TRUE,FILTER(Data!$R:$R,Data!$D:$D=B41,Data!$B:$B=$A41)),"""")"),"")</f>
        <v/>
      </c>
      <c r="O41" s="64" t="str">
        <f>IFERROR(__xludf.DUMMYFUNCTION("IFERROR(Textjoin("""",TRUE,FILTER(Data!$R:$R,Data!$D:$D=C41,Data!$B:$B=$A41)),"""")"),"")</f>
        <v/>
      </c>
      <c r="P41" s="64" t="str">
        <f>IFERROR(__xludf.DUMMYFUNCTION("IFERROR(Textjoin("""",TRUE,FILTER(Data!$R:$R,Data!$D:$D=D41,Data!$B:$B=$A41)),"""")"),"")</f>
        <v/>
      </c>
      <c r="Q41" s="64" t="str">
        <f>IFERROR(__xludf.DUMMYFUNCTION("IFERROR(Textjoin("""",TRUE,FILTER(Data!$R:$R,Data!$D:$D=E41,Data!$B:$B=$A41)),"""")"),"")</f>
        <v/>
      </c>
      <c r="R41" s="64" t="str">
        <f>IFERROR(__xludf.DUMMYFUNCTION("IFERROR(Textjoin("""",TRUE,FILTER(Data!$R:$R,Data!$D:$D=F41,Data!$B:$B=$A41)),"""")"),"")</f>
        <v/>
      </c>
      <c r="S41" s="64" t="str">
        <f>IFERROR(__xludf.DUMMYFUNCTION("IFERROR(Textjoin("""",TRUE,FILTER(Data!$R:$R,Data!$D:$D=G41,Data!$B:$B=$A41)),"""")"),"")</f>
        <v/>
      </c>
      <c r="T41" s="64" t="str">
        <f>IFERROR(__xludf.DUMMYFUNCTION("IFERROR(Textjoin("""",TRUE,FILTER(Data!$R:$R,Data!$D:$D=H41,Data!$B:$B=$A41)),"""")"),"")</f>
        <v/>
      </c>
      <c r="U41" s="64" t="str">
        <f>IFERROR(__xludf.DUMMYFUNCTION("IFERROR(Textjoin("""",TRUE,FILTER(Data!$R:$R,Data!$D:$D=I41,Data!$B:$B=$A41)),"""")"),"")</f>
        <v/>
      </c>
      <c r="V41" s="64" t="str">
        <f>IFERROR(__xludf.DUMMYFUNCTION("IFERROR(Textjoin("""",TRUE,FILTER(Data!$R:$R,Data!$D:$D=J41,Data!$B:$B=$A41)),"""")"),"")</f>
        <v/>
      </c>
      <c r="W41" s="64" t="str">
        <f>IFERROR(__xludf.DUMMYFUNCTION("IFERROR(Textjoin("""",TRUE,FILTER(Data!$R:$R,Data!$D:$D=K41,Data!$B:$B=$A41)),"""")"),"")</f>
        <v/>
      </c>
      <c r="X41" s="64" t="str">
        <f>IFERROR(__xludf.DUMMYFUNCTION("IFERROR(Textjoin("""",TRUE,FILTER(Data!$R:$R,Data!$D:$D=L41,Data!$B:$B=$A41)),"""")"),"")</f>
        <v/>
      </c>
      <c r="Y41" s="64" t="str">
        <f>IFERROR(__xludf.DUMMYFUNCTION("IFERROR(Textjoin("""",TRUE,FILTER(Data!$R:$R,Data!$D:$D=M41,Data!$B:$B=$A41)),"""")"),"")</f>
        <v/>
      </c>
      <c r="Z41" s="64" t="str">
        <f>IFERROR(__xludf.DUMMYFUNCTION("IFERROR(SPLIT(N41,"",""),"""")"),"")</f>
        <v/>
      </c>
      <c r="AA41" s="65"/>
      <c r="AB41" s="65"/>
      <c r="AC41" s="69" t="str">
        <f>IFERROR(__xludf.DUMMYFUNCTION("IFERROR(SPLIT(O41,"",""),"""")"),"")</f>
        <v/>
      </c>
      <c r="AD41" s="65"/>
      <c r="AE41" s="65"/>
      <c r="AF41" s="69" t="str">
        <f>IFERROR(__xludf.DUMMYFUNCTION("IFERROR(SPLIT(P41,"",""),"""")"),"")</f>
        <v/>
      </c>
      <c r="AG41" s="65"/>
      <c r="AH41" s="65"/>
      <c r="AI41" s="69" t="str">
        <f>IFERROR(__xludf.DUMMYFUNCTION("IFERROR(SPLIT(Q41,"",""),"""")"),"")</f>
        <v/>
      </c>
      <c r="AJ41" s="65"/>
      <c r="AK41" s="65"/>
      <c r="AL41" s="69" t="str">
        <f>IFERROR(__xludf.DUMMYFUNCTION("IFERROR(SPLIT(R41,"",""),"""")"),"")</f>
        <v/>
      </c>
      <c r="AM41" s="65"/>
      <c r="AN41" s="65"/>
      <c r="AO41" s="69" t="str">
        <f>IFERROR(__xludf.DUMMYFUNCTION("IFERROR(SPLIT(S41,"",""),"""")"),"")</f>
        <v/>
      </c>
      <c r="AP41" s="65"/>
      <c r="AQ41" s="65"/>
      <c r="AR41" s="69" t="str">
        <f>IFERROR(__xludf.DUMMYFUNCTION("IFERROR(SPLIT(T41,"",""),"""")"),"")</f>
        <v/>
      </c>
      <c r="AS41" s="65"/>
      <c r="AT41" s="65"/>
      <c r="AU41" s="69" t="str">
        <f>IFERROR(__xludf.DUMMYFUNCTION("IFERROR(SPLIT(U41,"",""),"""")"),"")</f>
        <v/>
      </c>
      <c r="AV41" s="65"/>
      <c r="AW41" s="65"/>
      <c r="AX41" s="69" t="str">
        <f>IFERROR(__xludf.DUMMYFUNCTION("IFERROR(SPLIT(V41,"",""),"""")"),"")</f>
        <v/>
      </c>
      <c r="AY41" s="65"/>
      <c r="AZ41" s="65"/>
      <c r="BA41" s="69" t="str">
        <f>IFERROR(__xludf.DUMMYFUNCTION("IFERROR(SPLIT(W41,"",""),"""")"),"")</f>
        <v/>
      </c>
      <c r="BB41" s="69"/>
      <c r="BC41" s="69"/>
      <c r="BD41" s="69" t="str">
        <f>IFERROR(__xludf.DUMMYFUNCTION("IFERROR(SPLIT(X41,"",""),"""")"),"")</f>
        <v/>
      </c>
      <c r="BE41" s="69"/>
      <c r="BF41" s="69"/>
      <c r="BG41" s="69" t="str">
        <f>IFERROR(__xludf.DUMMYFUNCTION("IFERROR(SPLIT(Y41,"",""),"""")"),"")</f>
        <v/>
      </c>
      <c r="BH41" s="69"/>
      <c r="BI41" s="69"/>
      <c r="BJ41" s="68" t="str">
        <f>IFERROR(__xludf.DUMMYFUNCTION("IF($B41&lt;&gt;"""",IFERROR(FILTER(RawTotals!$AJ:$AJ,RawTotals!$A:$A=Z41)-(FILTER(Data!$K:$K,Data!$B:$B=Z41,Data!$D:$D=$B41)+FILTER(Data!$L:$L,Data!$B:$B=Z41,Data!$D:$D=$B41)),""""),"""")"),"")</f>
        <v/>
      </c>
      <c r="BK41" s="68" t="str">
        <f>IFERROR(__xludf.DUMMYFUNCTION("IF($B41&lt;&gt;"""",IFERROR(FILTER(RawTotals!$AJ:$AJ,RawTotals!$A:$A=AA41)-(FILTER(Data!$K:$K,Data!$B:$B=AA41,Data!$D:$D=$B41)+FILTER(Data!$L:$L,Data!$B:$B=AA41,Data!$D:$D=$B41)),""""),"""")"),"")</f>
        <v/>
      </c>
      <c r="BL41" s="68" t="str">
        <f>IFERROR(__xludf.DUMMYFUNCTION("IF($B41&lt;&gt;"""",IFERROR(FILTER(RawTotals!$AJ:$AJ,RawTotals!$A:$A=AB41)-(FILTER(Data!$K:$K,Data!$B:$B=AB41,Data!$D:$D=$B41)+FILTER(Data!$L:$L,Data!$B:$B=AB41,Data!$D:$D=$B41)),""""),"""")"),"")</f>
        <v/>
      </c>
      <c r="BM41" s="69" t="str">
        <f>IFERROR(__xludf.DUMMYFUNCTION("IF($C41&lt;&gt;"""",IFERROR(FILTER(RawTotals!$AJ:$AJ,RawTotals!$A:$A=AC41)-(FILTER(Data!$K:$K,Data!$B:$B=AC41,Data!$D:$D=$C41)+FILTER(Data!$L:$L,Data!$B:$B=AC41,Data!$D:$D=$C41)),""""),"""")"),"")</f>
        <v/>
      </c>
      <c r="BN41" s="69" t="str">
        <f>IFERROR(__xludf.DUMMYFUNCTION("IF($C41&lt;&gt;"""",IFERROR(FILTER(RawTotals!$AJ:$AJ,RawTotals!$A:$A=AD41)-(FILTER(Data!$K:$K,Data!$B:$B=AD41,Data!$D:$D=$C41)+FILTER(Data!$L:$L,Data!$B:$B=AD41,Data!$D:$D=$C41)),""""),"""")"),"")</f>
        <v/>
      </c>
      <c r="BO41" s="69" t="str">
        <f>IFERROR(__xludf.DUMMYFUNCTION("IF($C41&lt;&gt;"""",IFERROR(FILTER(RawTotals!$AJ:$AJ,RawTotals!$A:$A=AE41)-(FILTER(Data!$K:$K,Data!$B:$B=AE41,Data!$D:$D=$C41)+FILTER(Data!$L:$L,Data!$B:$B=AE41,Data!$D:$D=$C41)),""""),"""")"),"")</f>
        <v/>
      </c>
      <c r="BP41" s="69" t="str">
        <f>IFERROR(__xludf.DUMMYFUNCTION("IF($D41&lt;&gt;"""",IFERROR(FILTER(RawTotals!$AJ:$AJ,RawTotals!$A:$A=AF41)-(FILTER(Data!$K:$K,Data!$B:$B=AF41,Data!$D:$D=$D41)+FILTER(Data!$L:$L,Data!$B:$B=AF41,Data!$D:$D=$D41)),""""),"""")"),"")</f>
        <v/>
      </c>
      <c r="BQ41" s="69" t="str">
        <f>IFERROR(__xludf.DUMMYFUNCTION("IF($D41&lt;&gt;"""",IFERROR(FILTER(RawTotals!$AJ:$AJ,RawTotals!$A:$A=AG41)-(FILTER(Data!$K:$K,Data!$B:$B=AG41,Data!$D:$D=$D41)+FILTER(Data!$L:$L,Data!$B:$B=AG41,Data!$D:$D=$D41)),""""),"""")"),"")</f>
        <v/>
      </c>
      <c r="BR41" s="69" t="str">
        <f>IFERROR(__xludf.DUMMYFUNCTION("IF($D41&lt;&gt;"""",IFERROR(FILTER(RawTotals!$AJ:$AJ,RawTotals!$A:$A=AH41)-(FILTER(Data!$K:$K,Data!$B:$B=AH41,Data!$D:$D=$D41)+FILTER(Data!$L:$L,Data!$B:$B=AH41,Data!$D:$D=$D41)),""""),"""")"),"")</f>
        <v/>
      </c>
      <c r="BS41" s="69" t="str">
        <f>IFERROR(__xludf.DUMMYFUNCTION("IF($E41&lt;&gt;"""",IFERROR(FILTER(RawTotals!$AJ:$AJ,RawTotals!$A:$A=AI41)-(FILTER(Data!$K:$K,Data!$B:$B=AI41,Data!$D:$D=$E41)+FILTER(Data!$L:$L,Data!$B:$B=AI41,Data!$D:$D=$E41)),""""),"""")"),"")</f>
        <v/>
      </c>
      <c r="BT41" s="69" t="str">
        <f>IFERROR(__xludf.DUMMYFUNCTION("IF($E41&lt;&gt;"""",IFERROR(FILTER(RawTotals!$AJ:$AJ,RawTotals!$A:$A=AJ41)-(FILTER(Data!$K:$K,Data!$B:$B=AJ41,Data!$D:$D=$E41)+FILTER(Data!$L:$L,Data!$B:$B=AJ41,Data!$D:$D=$E41)),""""),"""")"),"")</f>
        <v/>
      </c>
      <c r="BU41" s="69" t="str">
        <f>IFERROR(__xludf.DUMMYFUNCTION("IF($E41&lt;&gt;"""",IFERROR(FILTER(RawTotals!$AJ:$AJ,RawTotals!$A:$A=AK41)-(FILTER(Data!$K:$K,Data!$B:$B=AK41,Data!$D:$D=$E41)+FILTER(Data!$L:$L,Data!$B:$B=AK41,Data!$D:$D=$E41)),""""),"""")"),"")</f>
        <v/>
      </c>
      <c r="BV41" s="69" t="str">
        <f>IFERROR(__xludf.DUMMYFUNCTION("IF($F41&lt;&gt;"""",IFERROR(FILTER(RawTotals!$AJ:$AJ,RawTotals!$A:$A=AL41)-(FILTER(Data!$K:$K,Data!$B:$B=AL41,Data!$D:$D=$F41)+FILTER(Data!$L:$L,Data!$B:$B=AL41,Data!$D:$D=$F41)),""""),"""")"),"")</f>
        <v/>
      </c>
      <c r="BW41" s="69" t="str">
        <f>IFERROR(__xludf.DUMMYFUNCTION("IF($F41&lt;&gt;"""",IFERROR(FILTER(RawTotals!$AJ:$AJ,RawTotals!$A:$A=AM41)-(FILTER(Data!$K:$K,Data!$B:$B=AM41,Data!$D:$D=$F41)+FILTER(Data!$L:$L,Data!$B:$B=AM41,Data!$D:$D=$F41)),""""),"""")"),"")</f>
        <v/>
      </c>
      <c r="BX41" s="69" t="str">
        <f>IFERROR(__xludf.DUMMYFUNCTION("IF($F41&lt;&gt;"""",IFERROR(FILTER(RawTotals!$AJ:$AJ,RawTotals!$A:$A=AN41)-(FILTER(Data!$K:$K,Data!$B:$B=AN41,Data!$D:$D=$F41)+FILTER(Data!$L:$L,Data!$B:$B=AN41,Data!$D:$D=$F41)),""""),"""")"),"")</f>
        <v/>
      </c>
      <c r="BY41" s="69" t="str">
        <f>IFERROR(__xludf.DUMMYFUNCTION("IF($G41&lt;&gt;"""",IFERROR(FILTER(RawTotals!$AJ:$AJ,RawTotals!$A:$A=AO41)-(FILTER(Data!$K:$K,Data!$B:$B=AO41,Data!$D:$D=$G41)+FILTER(Data!$L:$L,Data!$B:$B=AO41,Data!$D:$D=$G41)),""""),"""")"),"")</f>
        <v/>
      </c>
      <c r="BZ41" s="69" t="str">
        <f>IFERROR(__xludf.DUMMYFUNCTION("IF($G41&lt;&gt;"""",IFERROR(FILTER(RawTotals!$AJ:$AJ,RawTotals!$A:$A=AP41)-(FILTER(Data!$K:$K,Data!$B:$B=AP41,Data!$D:$D=$G41)+FILTER(Data!$L:$L,Data!$B:$B=AP41,Data!$D:$D=$G41)),""""),"""")"),"")</f>
        <v/>
      </c>
      <c r="CA41" s="69" t="str">
        <f>IFERROR(__xludf.DUMMYFUNCTION("IF($G41&lt;&gt;"""",IFERROR(FILTER(RawTotals!$AJ:$AJ,RawTotals!$A:$A=AQ41)-(FILTER(Data!$K:$K,Data!$B:$B=AQ41,Data!$D:$D=$G41)+FILTER(Data!$L:$L,Data!$B:$B=AQ41,Data!$D:$D=$G41)),""""),"""")"),"")</f>
        <v/>
      </c>
      <c r="CB41" s="69" t="str">
        <f>IFERROR(__xludf.DUMMYFUNCTION("IF($H41&lt;&gt;"""",IFERROR(FILTER(RawTotals!$AJ:$AJ,RawTotals!$A:$A=AR41)-(FILTER(Data!$K:$K,Data!$B:$B=AR41,Data!$D:$D=$H41)+FILTER(Data!$L:$L,Data!$B:$B=AR41,Data!$D:$D=$H41)),""""),"""")"),"")</f>
        <v/>
      </c>
      <c r="CC41" s="69" t="str">
        <f>IFERROR(__xludf.DUMMYFUNCTION("IF($H41&lt;&gt;"""",IFERROR(FILTER(RawTotals!$AJ:$AJ,RawTotals!$A:$A=AS41)-(FILTER(Data!$K:$K,Data!$B:$B=AS41,Data!$D:$D=$H41)+FILTER(Data!$L:$L,Data!$B:$B=AS41,Data!$D:$D=$H41)),""""),"""")"),"")</f>
        <v/>
      </c>
      <c r="CD41" s="69" t="str">
        <f>IFERROR(__xludf.DUMMYFUNCTION("IF($H41&lt;&gt;"""",IFERROR(FILTER(RawTotals!$AJ:$AJ,RawTotals!$A:$A=AT41)-(FILTER(Data!$K:$K,Data!$B:$B=AT41,Data!$D:$D=$H41)+FILTER(Data!$L:$L,Data!$B:$B=AT41,Data!$D:$D=$H41)),""""),"""")"),"")</f>
        <v/>
      </c>
      <c r="CE41" s="69" t="str">
        <f>IFERROR(__xludf.DUMMYFUNCTION("IF($I41&lt;&gt;"""",IFERROR(FILTER(RawTotals!$AJ:$AJ,RawTotals!$A:$A=AU41)-(FILTER(Data!$K:$K,Data!$B:$B=AU41,Data!$D:$D=$I41)+FILTER(Data!$L:$L,Data!$B:$B=AU41,Data!$D:$D=$I41)),""""),"""")"),"")</f>
        <v/>
      </c>
      <c r="CF41" s="69" t="str">
        <f>IFERROR(__xludf.DUMMYFUNCTION("IF($I41&lt;&gt;"""",IFERROR(FILTER(RawTotals!$AJ:$AJ,RawTotals!$A:$A=AV41)-(FILTER(Data!$K:$K,Data!$B:$B=AV41,Data!$D:$D=$I41)+FILTER(Data!$L:$L,Data!$B:$B=AV41,Data!$D:$D=$I41)),""""),"""")"),"")</f>
        <v/>
      </c>
      <c r="CG41" s="69" t="str">
        <f>IFERROR(__xludf.DUMMYFUNCTION("IF($I41&lt;&gt;"""",IFERROR(FILTER(RawTotals!$AJ:$AJ,RawTotals!$A:$A=AW41)-(FILTER(Data!$K:$K,Data!$B:$B=AW41,Data!$D:$D=$I41)+FILTER(Data!$L:$L,Data!$B:$B=AW41,Data!$D:$D=$I41)),""""),"""")"),"")</f>
        <v/>
      </c>
      <c r="CH41" s="69" t="str">
        <f>IFERROR(__xludf.DUMMYFUNCTION("IF($J41&lt;&gt;"""",IFERROR(FILTER(RawTotals!$AJ:$AJ,RawTotals!$A:$A=AX41)-(FILTER(Data!$K:$K,Data!$B:$B=AX41,Data!$D:$D=$J41)+FILTER(Data!$L:$L,Data!$B:$B=AX41,Data!$D:$D=$J41)),""""),"""")"),"")</f>
        <v/>
      </c>
      <c r="CI41" s="69" t="str">
        <f>IFERROR(__xludf.DUMMYFUNCTION("IF($J41&lt;&gt;"""",IFERROR(FILTER(RawTotals!$AJ:$AJ,RawTotals!$A:$A=AY41)-(FILTER(Data!$K:$K,Data!$B:$B=AY41,Data!$D:$D=$J41)+FILTER(Data!$L:$L,Data!$B:$B=AY41,Data!$D:$D=$J41)),""""),"""")"),"")</f>
        <v/>
      </c>
      <c r="CJ41" s="69" t="str">
        <f>IFERROR(__xludf.DUMMYFUNCTION("IF($J41&lt;&gt;"""",IFERROR(FILTER(RawTotals!$AJ:$AJ,RawTotals!$A:$A=AZ41)-(FILTER(Data!$K:$K,Data!$B:$B=AZ41,Data!$D:$D=$J41)+FILTER(Data!$L:$L,Data!$B:$B=AZ41,Data!$D:$D=$J41)),""""),"""")"),"")</f>
        <v/>
      </c>
      <c r="CK41" s="69" t="str">
        <f>IFERROR(__xludf.DUMMYFUNCTION("IF($K41&lt;&gt;"""",IFERROR(FILTER(RawTotals!$AJ:$AJ,RawTotals!$A:$A=BA41)-(FILTER(Data!$K:$K,Data!$B:$B=BA41,Data!$D:$D=$K41)+FILTER(Data!$L:$L,Data!$B:$B=BA41,Data!$D:$D=$K41)),""""),"""")"),"")</f>
        <v/>
      </c>
      <c r="CL41" s="69" t="str">
        <f>IFERROR(__xludf.DUMMYFUNCTION("IF($K41&lt;&gt;"""",IFERROR(FILTER(RawTotals!$AJ:$AJ,RawTotals!$A:$A=BB41)-(FILTER(Data!$K:$K,Data!$B:$B=BB41,Data!$D:$D=$K41)+FILTER(Data!$L:$L,Data!$B:$B=BB41,Data!$D:$D=$K41)),""""),"""")"),"")</f>
        <v/>
      </c>
      <c r="CM41" s="69" t="str">
        <f>IFERROR(__xludf.DUMMYFUNCTION("IF($K41&lt;&gt;"""",IFERROR(FILTER(RawTotals!$AJ:$AJ,RawTotals!$A:$A=BC41)-(FILTER(Data!$K:$K,Data!$B:$B=BC41,Data!$D:$D=$K41)+FILTER(Data!$L:$L,Data!$B:$B=BC41,Data!$D:$D=$K41)),""""),"""")"),"")</f>
        <v/>
      </c>
      <c r="CN41" s="69" t="str">
        <f>IFERROR(__xludf.DUMMYFUNCTION("IF($L41&lt;&gt;"""",IFERROR((FILTER(RawTotals!$AJ:$AJ,RawTotals!$A:$A=BD41)-(FILTER(Data!$K:$K,Data!$B:$B=BD41,Data!$D:$D=$L41)+FILTER(Data!$L:$L,Data!$B:$B=BD41,Data!$D:$D=$L41))),""""),"""")"),"")</f>
        <v/>
      </c>
      <c r="CO41" s="69" t="str">
        <f>IFERROR(__xludf.DUMMYFUNCTION("IF($L41&lt;&gt;"""",IFERROR((FILTER(RawTotals!$AJ:$AJ,RawTotals!$A:$A=BE41)-(FILTER(Data!$K:$K,Data!$B:$B=BE41,Data!$D:$D=$L41)+FILTER(Data!$L:$L,Data!$B:$B=BE41,Data!$D:$D=$L41))),""""),"""")"),"")</f>
        <v/>
      </c>
      <c r="CP41" s="69" t="str">
        <f>IFERROR(__xludf.DUMMYFUNCTION("IF($L41&lt;&gt;"""",IFERROR((FILTER(RawTotals!$AJ:$AJ,RawTotals!$A:$A=BF41)-(FILTER(Data!$K:$K,Data!$B:$B=BF41,Data!$D:$D=$L41)+FILTER(Data!$L:$L,Data!$B:$B=BF41,Data!$D:$D=$L41))),""""),"""")"),"")</f>
        <v/>
      </c>
      <c r="CQ41" s="69" t="str">
        <f>IFERROR(__xludf.DUMMYFUNCTION("IF($M41&lt;&gt;"""",IFERROR((FILTER(RawTotals!$AJ:$AJ,RawTotals!$A:$A=BG41)-(FILTER(Data!$K:$K,Data!$B:$B=BG41,Data!$D:$D=$M41)+FILTER(Data!$L:$L,Data!$B:$B=BG41,Data!$D:$D=$M41))),""""),"""")"),"")</f>
        <v/>
      </c>
      <c r="CR41" s="69" t="str">
        <f>IFERROR(__xludf.DUMMYFUNCTION("IF($M41&lt;&gt;"""",IFERROR((FILTER(RawTotals!$AJ:$AJ,RawTotals!$A:$A=BH41)-(FILTER(Data!$K:$K,Data!$B:$B=BH41,Data!$D:$D=$M41)+FILTER(Data!$L:$L,Data!$B:$B=BH41,Data!$D:$D=$M41))),""""),"""")"),"")</f>
        <v/>
      </c>
      <c r="CS41" s="70" t="str">
        <f>IFERROR(__xludf.DUMMYFUNCTION("IF($M41&lt;&gt;"""",IFERROR((FILTER(RawTotals!$AJ:$AJ,RawTotals!$A:$A=BI41)-(FILTER(Data!$K:$K,Data!$B:$B=BI41,Data!$D:$D=$M41)+FILTER(Data!$L:$L,Data!$B:$B=BI41,Data!$D:$D=$M41))),""""),"""")"),"")</f>
        <v/>
      </c>
      <c r="CT41" s="69"/>
      <c r="CU41" s="69"/>
      <c r="CV41" s="69"/>
      <c r="CW41" s="69"/>
      <c r="CX41" s="69"/>
      <c r="CY41" s="69"/>
      <c r="CZ41" s="69"/>
      <c r="DA41" s="69"/>
      <c r="DB41" s="69"/>
      <c r="DC41" s="69"/>
      <c r="DD41" s="69"/>
      <c r="DE41" s="69"/>
    </row>
    <row r="42">
      <c r="A42" s="67">
        <f>RawTotals!A42</f>
        <v>4099</v>
      </c>
      <c r="B42" s="68" t="str">
        <f>IFERROR(__xludf.DUMMYFUNCTION("IF(A42&lt;&gt;"""",IFERROR(TRANSPOSE(FILTER(Data!D:D,Data!B:B=A42,Data!R:R&lt;&gt;"""")),""No Defense""),"""")"),"No Defense")</f>
        <v>No Defense</v>
      </c>
      <c r="C42" s="65"/>
      <c r="D42" s="65"/>
      <c r="E42" s="65"/>
      <c r="F42" s="65"/>
      <c r="G42" s="65"/>
      <c r="H42" s="65"/>
      <c r="I42" s="65"/>
      <c r="J42" s="65"/>
      <c r="K42" s="65"/>
      <c r="L42" s="65"/>
      <c r="M42" s="65"/>
      <c r="N42" s="64" t="str">
        <f>IFERROR(__xludf.DUMMYFUNCTION("IFERROR(Textjoin("""",TRUE,FILTER(Data!$R:$R,Data!$D:$D=B42,Data!$B:$B=$A42)),"""")"),"")</f>
        <v/>
      </c>
      <c r="O42" s="64" t="str">
        <f>IFERROR(__xludf.DUMMYFUNCTION("IFERROR(Textjoin("""",TRUE,FILTER(Data!$R:$R,Data!$D:$D=C42,Data!$B:$B=$A42)),"""")"),"")</f>
        <v/>
      </c>
      <c r="P42" s="64" t="str">
        <f>IFERROR(__xludf.DUMMYFUNCTION("IFERROR(Textjoin("""",TRUE,FILTER(Data!$R:$R,Data!$D:$D=D42,Data!$B:$B=$A42)),"""")"),"")</f>
        <v/>
      </c>
      <c r="Q42" s="64" t="str">
        <f>IFERROR(__xludf.DUMMYFUNCTION("IFERROR(Textjoin("""",TRUE,FILTER(Data!$R:$R,Data!$D:$D=E42,Data!$B:$B=$A42)),"""")"),"")</f>
        <v/>
      </c>
      <c r="R42" s="64" t="str">
        <f>IFERROR(__xludf.DUMMYFUNCTION("IFERROR(Textjoin("""",TRUE,FILTER(Data!$R:$R,Data!$D:$D=F42,Data!$B:$B=$A42)),"""")"),"")</f>
        <v/>
      </c>
      <c r="S42" s="64" t="str">
        <f>IFERROR(__xludf.DUMMYFUNCTION("IFERROR(Textjoin("""",TRUE,FILTER(Data!$R:$R,Data!$D:$D=G42,Data!$B:$B=$A42)),"""")"),"")</f>
        <v/>
      </c>
      <c r="T42" s="64" t="str">
        <f>IFERROR(__xludf.DUMMYFUNCTION("IFERROR(Textjoin("""",TRUE,FILTER(Data!$R:$R,Data!$D:$D=H42,Data!$B:$B=$A42)),"""")"),"")</f>
        <v/>
      </c>
      <c r="U42" s="64" t="str">
        <f>IFERROR(__xludf.DUMMYFUNCTION("IFERROR(Textjoin("""",TRUE,FILTER(Data!$R:$R,Data!$D:$D=I42,Data!$B:$B=$A42)),"""")"),"")</f>
        <v/>
      </c>
      <c r="V42" s="64" t="str">
        <f>IFERROR(__xludf.DUMMYFUNCTION("IFERROR(Textjoin("""",TRUE,FILTER(Data!$R:$R,Data!$D:$D=J42,Data!$B:$B=$A42)),"""")"),"")</f>
        <v/>
      </c>
      <c r="W42" s="64" t="str">
        <f>IFERROR(__xludf.DUMMYFUNCTION("IFERROR(Textjoin("""",TRUE,FILTER(Data!$R:$R,Data!$D:$D=K42,Data!$B:$B=$A42)),"""")"),"")</f>
        <v/>
      </c>
      <c r="X42" s="64" t="str">
        <f>IFERROR(__xludf.DUMMYFUNCTION("IFERROR(Textjoin("""",TRUE,FILTER(Data!$R:$R,Data!$D:$D=L42,Data!$B:$B=$A42)),"""")"),"")</f>
        <v/>
      </c>
      <c r="Y42" s="64" t="str">
        <f>IFERROR(__xludf.DUMMYFUNCTION("IFERROR(Textjoin("""",TRUE,FILTER(Data!$R:$R,Data!$D:$D=M42,Data!$B:$B=$A42)),"""")"),"")</f>
        <v/>
      </c>
      <c r="Z42" s="64" t="str">
        <f>IFERROR(__xludf.DUMMYFUNCTION("IFERROR(SPLIT(N42,"",""),"""")"),"")</f>
        <v/>
      </c>
      <c r="AA42" s="65"/>
      <c r="AB42" s="65"/>
      <c r="AC42" s="69" t="str">
        <f>IFERROR(__xludf.DUMMYFUNCTION("IFERROR(SPLIT(O42,"",""),"""")"),"")</f>
        <v/>
      </c>
      <c r="AD42" s="65"/>
      <c r="AE42" s="65"/>
      <c r="AF42" s="69" t="str">
        <f>IFERROR(__xludf.DUMMYFUNCTION("IFERROR(SPLIT(P42,"",""),"""")"),"")</f>
        <v/>
      </c>
      <c r="AG42" s="65"/>
      <c r="AH42" s="65"/>
      <c r="AI42" s="69" t="str">
        <f>IFERROR(__xludf.DUMMYFUNCTION("IFERROR(SPLIT(Q42,"",""),"""")"),"")</f>
        <v/>
      </c>
      <c r="AJ42" s="65"/>
      <c r="AK42" s="65"/>
      <c r="AL42" s="69" t="str">
        <f>IFERROR(__xludf.DUMMYFUNCTION("IFERROR(SPLIT(R42,"",""),"""")"),"")</f>
        <v/>
      </c>
      <c r="AM42" s="65"/>
      <c r="AN42" s="65"/>
      <c r="AO42" s="69" t="str">
        <f>IFERROR(__xludf.DUMMYFUNCTION("IFERROR(SPLIT(S42,"",""),"""")"),"")</f>
        <v/>
      </c>
      <c r="AP42" s="65"/>
      <c r="AQ42" s="65"/>
      <c r="AR42" s="69" t="str">
        <f>IFERROR(__xludf.DUMMYFUNCTION("IFERROR(SPLIT(T42,"",""),"""")"),"")</f>
        <v/>
      </c>
      <c r="AS42" s="65"/>
      <c r="AT42" s="65"/>
      <c r="AU42" s="69" t="str">
        <f>IFERROR(__xludf.DUMMYFUNCTION("IFERROR(SPLIT(U42,"",""),"""")"),"")</f>
        <v/>
      </c>
      <c r="AV42" s="65"/>
      <c r="AW42" s="65"/>
      <c r="AX42" s="69" t="str">
        <f>IFERROR(__xludf.DUMMYFUNCTION("IFERROR(SPLIT(V42,"",""),"""")"),"")</f>
        <v/>
      </c>
      <c r="AY42" s="65"/>
      <c r="AZ42" s="65"/>
      <c r="BA42" s="69" t="str">
        <f>IFERROR(__xludf.DUMMYFUNCTION("IFERROR(SPLIT(W42,"",""),"""")"),"")</f>
        <v/>
      </c>
      <c r="BB42" s="69"/>
      <c r="BC42" s="69"/>
      <c r="BD42" s="69" t="str">
        <f>IFERROR(__xludf.DUMMYFUNCTION("IFERROR(SPLIT(X42,"",""),"""")"),"")</f>
        <v/>
      </c>
      <c r="BE42" s="69"/>
      <c r="BF42" s="69"/>
      <c r="BG42" s="69" t="str">
        <f>IFERROR(__xludf.DUMMYFUNCTION("IFERROR(SPLIT(Y42,"",""),"""")"),"")</f>
        <v/>
      </c>
      <c r="BH42" s="69"/>
      <c r="BI42" s="69"/>
      <c r="BJ42" s="68" t="str">
        <f>IFERROR(__xludf.DUMMYFUNCTION("IF($B42&lt;&gt;"""",IFERROR(FILTER(RawTotals!$AJ:$AJ,RawTotals!$A:$A=Z42)-(FILTER(Data!$K:$K,Data!$B:$B=Z42,Data!$D:$D=$B42)+FILTER(Data!$L:$L,Data!$B:$B=Z42,Data!$D:$D=$B42)),""""),"""")"),"")</f>
        <v/>
      </c>
      <c r="BK42" s="68" t="str">
        <f>IFERROR(__xludf.DUMMYFUNCTION("IF($B42&lt;&gt;"""",IFERROR(FILTER(RawTotals!$AJ:$AJ,RawTotals!$A:$A=AA42)-(FILTER(Data!$K:$K,Data!$B:$B=AA42,Data!$D:$D=$B42)+FILTER(Data!$L:$L,Data!$B:$B=AA42,Data!$D:$D=$B42)),""""),"""")"),"")</f>
        <v/>
      </c>
      <c r="BL42" s="68" t="str">
        <f>IFERROR(__xludf.DUMMYFUNCTION("IF($B42&lt;&gt;"""",IFERROR(FILTER(RawTotals!$AJ:$AJ,RawTotals!$A:$A=AB42)-(FILTER(Data!$K:$K,Data!$B:$B=AB42,Data!$D:$D=$B42)+FILTER(Data!$L:$L,Data!$B:$B=AB42,Data!$D:$D=$B42)),""""),"""")"),"")</f>
        <v/>
      </c>
      <c r="BM42" s="69" t="str">
        <f>IFERROR(__xludf.DUMMYFUNCTION("IF($C42&lt;&gt;"""",IFERROR(FILTER(RawTotals!$AJ:$AJ,RawTotals!$A:$A=AC42)-(FILTER(Data!$K:$K,Data!$B:$B=AC42,Data!$D:$D=$C42)+FILTER(Data!$L:$L,Data!$B:$B=AC42,Data!$D:$D=$C42)),""""),"""")"),"")</f>
        <v/>
      </c>
      <c r="BN42" s="69" t="str">
        <f>IFERROR(__xludf.DUMMYFUNCTION("IF($C42&lt;&gt;"""",IFERROR(FILTER(RawTotals!$AJ:$AJ,RawTotals!$A:$A=AD42)-(FILTER(Data!$K:$K,Data!$B:$B=AD42,Data!$D:$D=$C42)+FILTER(Data!$L:$L,Data!$B:$B=AD42,Data!$D:$D=$C42)),""""),"""")"),"")</f>
        <v/>
      </c>
      <c r="BO42" s="69" t="str">
        <f>IFERROR(__xludf.DUMMYFUNCTION("IF($C42&lt;&gt;"""",IFERROR(FILTER(RawTotals!$AJ:$AJ,RawTotals!$A:$A=AE42)-(FILTER(Data!$K:$K,Data!$B:$B=AE42,Data!$D:$D=$C42)+FILTER(Data!$L:$L,Data!$B:$B=AE42,Data!$D:$D=$C42)),""""),"""")"),"")</f>
        <v/>
      </c>
      <c r="BP42" s="69" t="str">
        <f>IFERROR(__xludf.DUMMYFUNCTION("IF($D42&lt;&gt;"""",IFERROR(FILTER(RawTotals!$AJ:$AJ,RawTotals!$A:$A=AF42)-(FILTER(Data!$K:$K,Data!$B:$B=AF42,Data!$D:$D=$D42)+FILTER(Data!$L:$L,Data!$B:$B=AF42,Data!$D:$D=$D42)),""""),"""")"),"")</f>
        <v/>
      </c>
      <c r="BQ42" s="69" t="str">
        <f>IFERROR(__xludf.DUMMYFUNCTION("IF($D42&lt;&gt;"""",IFERROR(FILTER(RawTotals!$AJ:$AJ,RawTotals!$A:$A=AG42)-(FILTER(Data!$K:$K,Data!$B:$B=AG42,Data!$D:$D=$D42)+FILTER(Data!$L:$L,Data!$B:$B=AG42,Data!$D:$D=$D42)),""""),"""")"),"")</f>
        <v/>
      </c>
      <c r="BR42" s="69" t="str">
        <f>IFERROR(__xludf.DUMMYFUNCTION("IF($D42&lt;&gt;"""",IFERROR(FILTER(RawTotals!$AJ:$AJ,RawTotals!$A:$A=AH42)-(FILTER(Data!$K:$K,Data!$B:$B=AH42,Data!$D:$D=$D42)+FILTER(Data!$L:$L,Data!$B:$B=AH42,Data!$D:$D=$D42)),""""),"""")"),"")</f>
        <v/>
      </c>
      <c r="BS42" s="69" t="str">
        <f>IFERROR(__xludf.DUMMYFUNCTION("IF($E42&lt;&gt;"""",IFERROR(FILTER(RawTotals!$AJ:$AJ,RawTotals!$A:$A=AI42)-(FILTER(Data!$K:$K,Data!$B:$B=AI42,Data!$D:$D=$E42)+FILTER(Data!$L:$L,Data!$B:$B=AI42,Data!$D:$D=$E42)),""""),"""")"),"")</f>
        <v/>
      </c>
      <c r="BT42" s="69" t="str">
        <f>IFERROR(__xludf.DUMMYFUNCTION("IF($E42&lt;&gt;"""",IFERROR(FILTER(RawTotals!$AJ:$AJ,RawTotals!$A:$A=AJ42)-(FILTER(Data!$K:$K,Data!$B:$B=AJ42,Data!$D:$D=$E42)+FILTER(Data!$L:$L,Data!$B:$B=AJ42,Data!$D:$D=$E42)),""""),"""")"),"")</f>
        <v/>
      </c>
      <c r="BU42" s="69" t="str">
        <f>IFERROR(__xludf.DUMMYFUNCTION("IF($E42&lt;&gt;"""",IFERROR(FILTER(RawTotals!$AJ:$AJ,RawTotals!$A:$A=AK42)-(FILTER(Data!$K:$K,Data!$B:$B=AK42,Data!$D:$D=$E42)+FILTER(Data!$L:$L,Data!$B:$B=AK42,Data!$D:$D=$E42)),""""),"""")"),"")</f>
        <v/>
      </c>
      <c r="BV42" s="69" t="str">
        <f>IFERROR(__xludf.DUMMYFUNCTION("IF($F42&lt;&gt;"""",IFERROR(FILTER(RawTotals!$AJ:$AJ,RawTotals!$A:$A=AL42)-(FILTER(Data!$K:$K,Data!$B:$B=AL42,Data!$D:$D=$F42)+FILTER(Data!$L:$L,Data!$B:$B=AL42,Data!$D:$D=$F42)),""""),"""")"),"")</f>
        <v/>
      </c>
      <c r="BW42" s="69" t="str">
        <f>IFERROR(__xludf.DUMMYFUNCTION("IF($F42&lt;&gt;"""",IFERROR(FILTER(RawTotals!$AJ:$AJ,RawTotals!$A:$A=AM42)-(FILTER(Data!$K:$K,Data!$B:$B=AM42,Data!$D:$D=$F42)+FILTER(Data!$L:$L,Data!$B:$B=AM42,Data!$D:$D=$F42)),""""),"""")"),"")</f>
        <v/>
      </c>
      <c r="BX42" s="69" t="str">
        <f>IFERROR(__xludf.DUMMYFUNCTION("IF($F42&lt;&gt;"""",IFERROR(FILTER(RawTotals!$AJ:$AJ,RawTotals!$A:$A=AN42)-(FILTER(Data!$K:$K,Data!$B:$B=AN42,Data!$D:$D=$F42)+FILTER(Data!$L:$L,Data!$B:$B=AN42,Data!$D:$D=$F42)),""""),"""")"),"")</f>
        <v/>
      </c>
      <c r="BY42" s="69" t="str">
        <f>IFERROR(__xludf.DUMMYFUNCTION("IF($G42&lt;&gt;"""",IFERROR(FILTER(RawTotals!$AJ:$AJ,RawTotals!$A:$A=AO42)-(FILTER(Data!$K:$K,Data!$B:$B=AO42,Data!$D:$D=$G42)+FILTER(Data!$L:$L,Data!$B:$B=AO42,Data!$D:$D=$G42)),""""),"""")"),"")</f>
        <v/>
      </c>
      <c r="BZ42" s="69" t="str">
        <f>IFERROR(__xludf.DUMMYFUNCTION("IF($G42&lt;&gt;"""",IFERROR(FILTER(RawTotals!$AJ:$AJ,RawTotals!$A:$A=AP42)-(FILTER(Data!$K:$K,Data!$B:$B=AP42,Data!$D:$D=$G42)+FILTER(Data!$L:$L,Data!$B:$B=AP42,Data!$D:$D=$G42)),""""),"""")"),"")</f>
        <v/>
      </c>
      <c r="CA42" s="69" t="str">
        <f>IFERROR(__xludf.DUMMYFUNCTION("IF($G42&lt;&gt;"""",IFERROR(FILTER(RawTotals!$AJ:$AJ,RawTotals!$A:$A=AQ42)-(FILTER(Data!$K:$K,Data!$B:$B=AQ42,Data!$D:$D=$G42)+FILTER(Data!$L:$L,Data!$B:$B=AQ42,Data!$D:$D=$G42)),""""),"""")"),"")</f>
        <v/>
      </c>
      <c r="CB42" s="69" t="str">
        <f>IFERROR(__xludf.DUMMYFUNCTION("IF($H42&lt;&gt;"""",IFERROR(FILTER(RawTotals!$AJ:$AJ,RawTotals!$A:$A=AR42)-(FILTER(Data!$K:$K,Data!$B:$B=AR42,Data!$D:$D=$H42)+FILTER(Data!$L:$L,Data!$B:$B=AR42,Data!$D:$D=$H42)),""""),"""")"),"")</f>
        <v/>
      </c>
      <c r="CC42" s="69" t="str">
        <f>IFERROR(__xludf.DUMMYFUNCTION("IF($H42&lt;&gt;"""",IFERROR(FILTER(RawTotals!$AJ:$AJ,RawTotals!$A:$A=AS42)-(FILTER(Data!$K:$K,Data!$B:$B=AS42,Data!$D:$D=$H42)+FILTER(Data!$L:$L,Data!$B:$B=AS42,Data!$D:$D=$H42)),""""),"""")"),"")</f>
        <v/>
      </c>
      <c r="CD42" s="69" t="str">
        <f>IFERROR(__xludf.DUMMYFUNCTION("IF($H42&lt;&gt;"""",IFERROR(FILTER(RawTotals!$AJ:$AJ,RawTotals!$A:$A=AT42)-(FILTER(Data!$K:$K,Data!$B:$B=AT42,Data!$D:$D=$H42)+FILTER(Data!$L:$L,Data!$B:$B=AT42,Data!$D:$D=$H42)),""""),"""")"),"")</f>
        <v/>
      </c>
      <c r="CE42" s="69" t="str">
        <f>IFERROR(__xludf.DUMMYFUNCTION("IF($I42&lt;&gt;"""",IFERROR(FILTER(RawTotals!$AJ:$AJ,RawTotals!$A:$A=AU42)-(FILTER(Data!$K:$K,Data!$B:$B=AU42,Data!$D:$D=$I42)+FILTER(Data!$L:$L,Data!$B:$B=AU42,Data!$D:$D=$I42)),""""),"""")"),"")</f>
        <v/>
      </c>
      <c r="CF42" s="69" t="str">
        <f>IFERROR(__xludf.DUMMYFUNCTION("IF($I42&lt;&gt;"""",IFERROR(FILTER(RawTotals!$AJ:$AJ,RawTotals!$A:$A=AV42)-(FILTER(Data!$K:$K,Data!$B:$B=AV42,Data!$D:$D=$I42)+FILTER(Data!$L:$L,Data!$B:$B=AV42,Data!$D:$D=$I42)),""""),"""")"),"")</f>
        <v/>
      </c>
      <c r="CG42" s="69" t="str">
        <f>IFERROR(__xludf.DUMMYFUNCTION("IF($I42&lt;&gt;"""",IFERROR(FILTER(RawTotals!$AJ:$AJ,RawTotals!$A:$A=AW42)-(FILTER(Data!$K:$K,Data!$B:$B=AW42,Data!$D:$D=$I42)+FILTER(Data!$L:$L,Data!$B:$B=AW42,Data!$D:$D=$I42)),""""),"""")"),"")</f>
        <v/>
      </c>
      <c r="CH42" s="69" t="str">
        <f>IFERROR(__xludf.DUMMYFUNCTION("IF($J42&lt;&gt;"""",IFERROR(FILTER(RawTotals!$AJ:$AJ,RawTotals!$A:$A=AX42)-(FILTER(Data!$K:$K,Data!$B:$B=AX42,Data!$D:$D=$J42)+FILTER(Data!$L:$L,Data!$B:$B=AX42,Data!$D:$D=$J42)),""""),"""")"),"")</f>
        <v/>
      </c>
      <c r="CI42" s="69" t="str">
        <f>IFERROR(__xludf.DUMMYFUNCTION("IF($J42&lt;&gt;"""",IFERROR(FILTER(RawTotals!$AJ:$AJ,RawTotals!$A:$A=AY42)-(FILTER(Data!$K:$K,Data!$B:$B=AY42,Data!$D:$D=$J42)+FILTER(Data!$L:$L,Data!$B:$B=AY42,Data!$D:$D=$J42)),""""),"""")"),"")</f>
        <v/>
      </c>
      <c r="CJ42" s="69" t="str">
        <f>IFERROR(__xludf.DUMMYFUNCTION("IF($J42&lt;&gt;"""",IFERROR(FILTER(RawTotals!$AJ:$AJ,RawTotals!$A:$A=AZ42)-(FILTER(Data!$K:$K,Data!$B:$B=AZ42,Data!$D:$D=$J42)+FILTER(Data!$L:$L,Data!$B:$B=AZ42,Data!$D:$D=$J42)),""""),"""")"),"")</f>
        <v/>
      </c>
      <c r="CK42" s="69" t="str">
        <f>IFERROR(__xludf.DUMMYFUNCTION("IF($K42&lt;&gt;"""",IFERROR(FILTER(RawTotals!$AJ:$AJ,RawTotals!$A:$A=BA42)-(FILTER(Data!$K:$K,Data!$B:$B=BA42,Data!$D:$D=$K42)+FILTER(Data!$L:$L,Data!$B:$B=BA42,Data!$D:$D=$K42)),""""),"""")"),"")</f>
        <v/>
      </c>
      <c r="CL42" s="69" t="str">
        <f>IFERROR(__xludf.DUMMYFUNCTION("IF($K42&lt;&gt;"""",IFERROR(FILTER(RawTotals!$AJ:$AJ,RawTotals!$A:$A=BB42)-(FILTER(Data!$K:$K,Data!$B:$B=BB42,Data!$D:$D=$K42)+FILTER(Data!$L:$L,Data!$B:$B=BB42,Data!$D:$D=$K42)),""""),"""")"),"")</f>
        <v/>
      </c>
      <c r="CM42" s="69" t="str">
        <f>IFERROR(__xludf.DUMMYFUNCTION("IF($K42&lt;&gt;"""",IFERROR(FILTER(RawTotals!$AJ:$AJ,RawTotals!$A:$A=BC42)-(FILTER(Data!$K:$K,Data!$B:$B=BC42,Data!$D:$D=$K42)+FILTER(Data!$L:$L,Data!$B:$B=BC42,Data!$D:$D=$K42)),""""),"""")"),"")</f>
        <v/>
      </c>
      <c r="CN42" s="69" t="str">
        <f>IFERROR(__xludf.DUMMYFUNCTION("IF($L42&lt;&gt;"""",IFERROR((FILTER(RawTotals!$AJ:$AJ,RawTotals!$A:$A=BD42)-(FILTER(Data!$K:$K,Data!$B:$B=BD42,Data!$D:$D=$L42)+FILTER(Data!$L:$L,Data!$B:$B=BD42,Data!$D:$D=$L42))),""""),"""")"),"")</f>
        <v/>
      </c>
      <c r="CO42" s="69" t="str">
        <f>IFERROR(__xludf.DUMMYFUNCTION("IF($L42&lt;&gt;"""",IFERROR((FILTER(RawTotals!$AJ:$AJ,RawTotals!$A:$A=BE42)-(FILTER(Data!$K:$K,Data!$B:$B=BE42,Data!$D:$D=$L42)+FILTER(Data!$L:$L,Data!$B:$B=BE42,Data!$D:$D=$L42))),""""),"""")"),"")</f>
        <v/>
      </c>
      <c r="CP42" s="69" t="str">
        <f>IFERROR(__xludf.DUMMYFUNCTION("IF($L42&lt;&gt;"""",IFERROR((FILTER(RawTotals!$AJ:$AJ,RawTotals!$A:$A=BF42)-(FILTER(Data!$K:$K,Data!$B:$B=BF42,Data!$D:$D=$L42)+FILTER(Data!$L:$L,Data!$B:$B=BF42,Data!$D:$D=$L42))),""""),"""")"),"")</f>
        <v/>
      </c>
      <c r="CQ42" s="69" t="str">
        <f>IFERROR(__xludf.DUMMYFUNCTION("IF($M42&lt;&gt;"""",IFERROR((FILTER(RawTotals!$AJ:$AJ,RawTotals!$A:$A=BG42)-(FILTER(Data!$K:$K,Data!$B:$B=BG42,Data!$D:$D=$M42)+FILTER(Data!$L:$L,Data!$B:$B=BG42,Data!$D:$D=$M42))),""""),"""")"),"")</f>
        <v/>
      </c>
      <c r="CR42" s="69" t="str">
        <f>IFERROR(__xludf.DUMMYFUNCTION("IF($M42&lt;&gt;"""",IFERROR((FILTER(RawTotals!$AJ:$AJ,RawTotals!$A:$A=BH42)-(FILTER(Data!$K:$K,Data!$B:$B=BH42,Data!$D:$D=$M42)+FILTER(Data!$L:$L,Data!$B:$B=BH42,Data!$D:$D=$M42))),""""),"""")"),"")</f>
        <v/>
      </c>
      <c r="CS42" s="70" t="str">
        <f>IFERROR(__xludf.DUMMYFUNCTION("IF($M42&lt;&gt;"""",IFERROR((FILTER(RawTotals!$AJ:$AJ,RawTotals!$A:$A=BI42)-(FILTER(Data!$K:$K,Data!$B:$B=BI42,Data!$D:$D=$M42)+FILTER(Data!$L:$L,Data!$B:$B=BI42,Data!$D:$D=$M42))),""""),"""")"),"")</f>
        <v/>
      </c>
      <c r="CT42" s="69"/>
      <c r="CU42" s="69"/>
      <c r="CV42" s="69"/>
      <c r="CW42" s="69"/>
      <c r="CX42" s="69"/>
      <c r="CY42" s="69"/>
      <c r="CZ42" s="69"/>
      <c r="DA42" s="69"/>
      <c r="DB42" s="69"/>
      <c r="DC42" s="69"/>
      <c r="DD42" s="69"/>
      <c r="DE42" s="69"/>
    </row>
    <row r="43">
      <c r="A43" s="67">
        <f>RawTotals!A43</f>
        <v>5010</v>
      </c>
      <c r="B43" s="68" t="str">
        <f>IFERROR(__xludf.DUMMYFUNCTION("IF(A43&lt;&gt;"""",IFERROR(TRANSPOSE(FILTER(Data!D:D,Data!B:B=A43,Data!R:R&lt;&gt;"""")),""No Defense""),"""")"),"No Defense")</f>
        <v>No Defense</v>
      </c>
      <c r="C43" s="65"/>
      <c r="D43" s="65"/>
      <c r="E43" s="65"/>
      <c r="F43" s="65"/>
      <c r="G43" s="65"/>
      <c r="H43" s="65"/>
      <c r="I43" s="65"/>
      <c r="J43" s="65"/>
      <c r="K43" s="65"/>
      <c r="L43" s="65"/>
      <c r="M43" s="65"/>
      <c r="N43" s="64" t="str">
        <f>IFERROR(__xludf.DUMMYFUNCTION("IFERROR(Textjoin("""",TRUE,FILTER(Data!$R:$R,Data!$D:$D=B43,Data!$B:$B=$A43)),"""")"),"")</f>
        <v/>
      </c>
      <c r="O43" s="64" t="str">
        <f>IFERROR(__xludf.DUMMYFUNCTION("IFERROR(Textjoin("""",TRUE,FILTER(Data!$R:$R,Data!$D:$D=C43,Data!$B:$B=$A43)),"""")"),"")</f>
        <v/>
      </c>
      <c r="P43" s="64" t="str">
        <f>IFERROR(__xludf.DUMMYFUNCTION("IFERROR(Textjoin("""",TRUE,FILTER(Data!$R:$R,Data!$D:$D=D43,Data!$B:$B=$A43)),"""")"),"")</f>
        <v/>
      </c>
      <c r="Q43" s="64" t="str">
        <f>IFERROR(__xludf.DUMMYFUNCTION("IFERROR(Textjoin("""",TRUE,FILTER(Data!$R:$R,Data!$D:$D=E43,Data!$B:$B=$A43)),"""")"),"")</f>
        <v/>
      </c>
      <c r="R43" s="64" t="str">
        <f>IFERROR(__xludf.DUMMYFUNCTION("IFERROR(Textjoin("""",TRUE,FILTER(Data!$R:$R,Data!$D:$D=F43,Data!$B:$B=$A43)),"""")"),"")</f>
        <v/>
      </c>
      <c r="S43" s="64" t="str">
        <f>IFERROR(__xludf.DUMMYFUNCTION("IFERROR(Textjoin("""",TRUE,FILTER(Data!$R:$R,Data!$D:$D=G43,Data!$B:$B=$A43)),"""")"),"")</f>
        <v/>
      </c>
      <c r="T43" s="64" t="str">
        <f>IFERROR(__xludf.DUMMYFUNCTION("IFERROR(Textjoin("""",TRUE,FILTER(Data!$R:$R,Data!$D:$D=H43,Data!$B:$B=$A43)),"""")"),"")</f>
        <v/>
      </c>
      <c r="U43" s="64" t="str">
        <f>IFERROR(__xludf.DUMMYFUNCTION("IFERROR(Textjoin("""",TRUE,FILTER(Data!$R:$R,Data!$D:$D=I43,Data!$B:$B=$A43)),"""")"),"")</f>
        <v/>
      </c>
      <c r="V43" s="64" t="str">
        <f>IFERROR(__xludf.DUMMYFUNCTION("IFERROR(Textjoin("""",TRUE,FILTER(Data!$R:$R,Data!$D:$D=J43,Data!$B:$B=$A43)),"""")"),"")</f>
        <v/>
      </c>
      <c r="W43" s="64" t="str">
        <f>IFERROR(__xludf.DUMMYFUNCTION("IFERROR(Textjoin("""",TRUE,FILTER(Data!$R:$R,Data!$D:$D=K43,Data!$B:$B=$A43)),"""")"),"")</f>
        <v/>
      </c>
      <c r="X43" s="64" t="str">
        <f>IFERROR(__xludf.DUMMYFUNCTION("IFERROR(Textjoin("""",TRUE,FILTER(Data!$R:$R,Data!$D:$D=L43,Data!$B:$B=$A43)),"""")"),"")</f>
        <v/>
      </c>
      <c r="Y43" s="64" t="str">
        <f>IFERROR(__xludf.DUMMYFUNCTION("IFERROR(Textjoin("""",TRUE,FILTER(Data!$R:$R,Data!$D:$D=M43,Data!$B:$B=$A43)),"""")"),"")</f>
        <v/>
      </c>
      <c r="Z43" s="64" t="str">
        <f>IFERROR(__xludf.DUMMYFUNCTION("IFERROR(SPLIT(N43,"",""),"""")"),"")</f>
        <v/>
      </c>
      <c r="AA43" s="65"/>
      <c r="AB43" s="65"/>
      <c r="AC43" s="69" t="str">
        <f>IFERROR(__xludf.DUMMYFUNCTION("IFERROR(SPLIT(O43,"",""),"""")"),"")</f>
        <v/>
      </c>
      <c r="AD43" s="65"/>
      <c r="AE43" s="65"/>
      <c r="AF43" s="69" t="str">
        <f>IFERROR(__xludf.DUMMYFUNCTION("IFERROR(SPLIT(P43,"",""),"""")"),"")</f>
        <v/>
      </c>
      <c r="AG43" s="65"/>
      <c r="AH43" s="65"/>
      <c r="AI43" s="69" t="str">
        <f>IFERROR(__xludf.DUMMYFUNCTION("IFERROR(SPLIT(Q43,"",""),"""")"),"")</f>
        <v/>
      </c>
      <c r="AJ43" s="65"/>
      <c r="AK43" s="65"/>
      <c r="AL43" s="69" t="str">
        <f>IFERROR(__xludf.DUMMYFUNCTION("IFERROR(SPLIT(R43,"",""),"""")"),"")</f>
        <v/>
      </c>
      <c r="AM43" s="65"/>
      <c r="AN43" s="65"/>
      <c r="AO43" s="69" t="str">
        <f>IFERROR(__xludf.DUMMYFUNCTION("IFERROR(SPLIT(S43,"",""),"""")"),"")</f>
        <v/>
      </c>
      <c r="AP43" s="65"/>
      <c r="AQ43" s="65"/>
      <c r="AR43" s="69" t="str">
        <f>IFERROR(__xludf.DUMMYFUNCTION("IFERROR(SPLIT(T43,"",""),"""")"),"")</f>
        <v/>
      </c>
      <c r="AS43" s="65"/>
      <c r="AT43" s="65"/>
      <c r="AU43" s="69" t="str">
        <f>IFERROR(__xludf.DUMMYFUNCTION("IFERROR(SPLIT(U43,"",""),"""")"),"")</f>
        <v/>
      </c>
      <c r="AV43" s="65"/>
      <c r="AW43" s="65"/>
      <c r="AX43" s="69" t="str">
        <f>IFERROR(__xludf.DUMMYFUNCTION("IFERROR(SPLIT(V43,"",""),"""")"),"")</f>
        <v/>
      </c>
      <c r="AY43" s="65"/>
      <c r="AZ43" s="65"/>
      <c r="BA43" s="69" t="str">
        <f>IFERROR(__xludf.DUMMYFUNCTION("IFERROR(SPLIT(W43,"",""),"""")"),"")</f>
        <v/>
      </c>
      <c r="BB43" s="69"/>
      <c r="BC43" s="69"/>
      <c r="BD43" s="69" t="str">
        <f>IFERROR(__xludf.DUMMYFUNCTION("IFERROR(SPLIT(X43,"",""),"""")"),"")</f>
        <v/>
      </c>
      <c r="BE43" s="69"/>
      <c r="BF43" s="69"/>
      <c r="BG43" s="69" t="str">
        <f>IFERROR(__xludf.DUMMYFUNCTION("IFERROR(SPLIT(Y43,"",""),"""")"),"")</f>
        <v/>
      </c>
      <c r="BH43" s="69"/>
      <c r="BI43" s="69"/>
      <c r="BJ43" s="68" t="str">
        <f>IFERROR(__xludf.DUMMYFUNCTION("IF($B43&lt;&gt;"""",IFERROR(FILTER(RawTotals!$AJ:$AJ,RawTotals!$A:$A=Z43)-(FILTER(Data!$K:$K,Data!$B:$B=Z43,Data!$D:$D=$B43)+FILTER(Data!$L:$L,Data!$B:$B=Z43,Data!$D:$D=$B43)),""""),"""")"),"")</f>
        <v/>
      </c>
      <c r="BK43" s="68" t="str">
        <f>IFERROR(__xludf.DUMMYFUNCTION("IF($B43&lt;&gt;"""",IFERROR(FILTER(RawTotals!$AJ:$AJ,RawTotals!$A:$A=AA43)-(FILTER(Data!$K:$K,Data!$B:$B=AA43,Data!$D:$D=$B43)+FILTER(Data!$L:$L,Data!$B:$B=AA43,Data!$D:$D=$B43)),""""),"""")"),"")</f>
        <v/>
      </c>
      <c r="BL43" s="68" t="str">
        <f>IFERROR(__xludf.DUMMYFUNCTION("IF($B43&lt;&gt;"""",IFERROR(FILTER(RawTotals!$AJ:$AJ,RawTotals!$A:$A=AB43)-(FILTER(Data!$K:$K,Data!$B:$B=AB43,Data!$D:$D=$B43)+FILTER(Data!$L:$L,Data!$B:$B=AB43,Data!$D:$D=$B43)),""""),"""")"),"")</f>
        <v/>
      </c>
      <c r="BM43" s="69" t="str">
        <f>IFERROR(__xludf.DUMMYFUNCTION("IF($C43&lt;&gt;"""",IFERROR(FILTER(RawTotals!$AJ:$AJ,RawTotals!$A:$A=AC43)-(FILTER(Data!$K:$K,Data!$B:$B=AC43,Data!$D:$D=$C43)+FILTER(Data!$L:$L,Data!$B:$B=AC43,Data!$D:$D=$C43)),""""),"""")"),"")</f>
        <v/>
      </c>
      <c r="BN43" s="69" t="str">
        <f>IFERROR(__xludf.DUMMYFUNCTION("IF($C43&lt;&gt;"""",IFERROR(FILTER(RawTotals!$AJ:$AJ,RawTotals!$A:$A=AD43)-(FILTER(Data!$K:$K,Data!$B:$B=AD43,Data!$D:$D=$C43)+FILTER(Data!$L:$L,Data!$B:$B=AD43,Data!$D:$D=$C43)),""""),"""")"),"")</f>
        <v/>
      </c>
      <c r="BO43" s="69" t="str">
        <f>IFERROR(__xludf.DUMMYFUNCTION("IF($C43&lt;&gt;"""",IFERROR(FILTER(RawTotals!$AJ:$AJ,RawTotals!$A:$A=AE43)-(FILTER(Data!$K:$K,Data!$B:$B=AE43,Data!$D:$D=$C43)+FILTER(Data!$L:$L,Data!$B:$B=AE43,Data!$D:$D=$C43)),""""),"""")"),"")</f>
        <v/>
      </c>
      <c r="BP43" s="69" t="str">
        <f>IFERROR(__xludf.DUMMYFUNCTION("IF($D43&lt;&gt;"""",IFERROR(FILTER(RawTotals!$AJ:$AJ,RawTotals!$A:$A=AF43)-(FILTER(Data!$K:$K,Data!$B:$B=AF43,Data!$D:$D=$D43)+FILTER(Data!$L:$L,Data!$B:$B=AF43,Data!$D:$D=$D43)),""""),"""")"),"")</f>
        <v/>
      </c>
      <c r="BQ43" s="69" t="str">
        <f>IFERROR(__xludf.DUMMYFUNCTION("IF($D43&lt;&gt;"""",IFERROR(FILTER(RawTotals!$AJ:$AJ,RawTotals!$A:$A=AG43)-(FILTER(Data!$K:$K,Data!$B:$B=AG43,Data!$D:$D=$D43)+FILTER(Data!$L:$L,Data!$B:$B=AG43,Data!$D:$D=$D43)),""""),"""")"),"")</f>
        <v/>
      </c>
      <c r="BR43" s="69" t="str">
        <f>IFERROR(__xludf.DUMMYFUNCTION("IF($D43&lt;&gt;"""",IFERROR(FILTER(RawTotals!$AJ:$AJ,RawTotals!$A:$A=AH43)-(FILTER(Data!$K:$K,Data!$B:$B=AH43,Data!$D:$D=$D43)+FILTER(Data!$L:$L,Data!$B:$B=AH43,Data!$D:$D=$D43)),""""),"""")"),"")</f>
        <v/>
      </c>
      <c r="BS43" s="69" t="str">
        <f>IFERROR(__xludf.DUMMYFUNCTION("IF($E43&lt;&gt;"""",IFERROR(FILTER(RawTotals!$AJ:$AJ,RawTotals!$A:$A=AI43)-(FILTER(Data!$K:$K,Data!$B:$B=AI43,Data!$D:$D=$E43)+FILTER(Data!$L:$L,Data!$B:$B=AI43,Data!$D:$D=$E43)),""""),"""")"),"")</f>
        <v/>
      </c>
      <c r="BT43" s="69" t="str">
        <f>IFERROR(__xludf.DUMMYFUNCTION("IF($E43&lt;&gt;"""",IFERROR(FILTER(RawTotals!$AJ:$AJ,RawTotals!$A:$A=AJ43)-(FILTER(Data!$K:$K,Data!$B:$B=AJ43,Data!$D:$D=$E43)+FILTER(Data!$L:$L,Data!$B:$B=AJ43,Data!$D:$D=$E43)),""""),"""")"),"")</f>
        <v/>
      </c>
      <c r="BU43" s="69" t="str">
        <f>IFERROR(__xludf.DUMMYFUNCTION("IF($E43&lt;&gt;"""",IFERROR(FILTER(RawTotals!$AJ:$AJ,RawTotals!$A:$A=AK43)-(FILTER(Data!$K:$K,Data!$B:$B=AK43,Data!$D:$D=$E43)+FILTER(Data!$L:$L,Data!$B:$B=AK43,Data!$D:$D=$E43)),""""),"""")"),"")</f>
        <v/>
      </c>
      <c r="BV43" s="69" t="str">
        <f>IFERROR(__xludf.DUMMYFUNCTION("IF($F43&lt;&gt;"""",IFERROR(FILTER(RawTotals!$AJ:$AJ,RawTotals!$A:$A=AL43)-(FILTER(Data!$K:$K,Data!$B:$B=AL43,Data!$D:$D=$F43)+FILTER(Data!$L:$L,Data!$B:$B=AL43,Data!$D:$D=$F43)),""""),"""")"),"")</f>
        <v/>
      </c>
      <c r="BW43" s="69" t="str">
        <f>IFERROR(__xludf.DUMMYFUNCTION("IF($F43&lt;&gt;"""",IFERROR(FILTER(RawTotals!$AJ:$AJ,RawTotals!$A:$A=AM43)-(FILTER(Data!$K:$K,Data!$B:$B=AM43,Data!$D:$D=$F43)+FILTER(Data!$L:$L,Data!$B:$B=AM43,Data!$D:$D=$F43)),""""),"""")"),"")</f>
        <v/>
      </c>
      <c r="BX43" s="69" t="str">
        <f>IFERROR(__xludf.DUMMYFUNCTION("IF($F43&lt;&gt;"""",IFERROR(FILTER(RawTotals!$AJ:$AJ,RawTotals!$A:$A=AN43)-(FILTER(Data!$K:$K,Data!$B:$B=AN43,Data!$D:$D=$F43)+FILTER(Data!$L:$L,Data!$B:$B=AN43,Data!$D:$D=$F43)),""""),"""")"),"")</f>
        <v/>
      </c>
      <c r="BY43" s="69" t="str">
        <f>IFERROR(__xludf.DUMMYFUNCTION("IF($G43&lt;&gt;"""",IFERROR(FILTER(RawTotals!$AJ:$AJ,RawTotals!$A:$A=AO43)-(FILTER(Data!$K:$K,Data!$B:$B=AO43,Data!$D:$D=$G43)+FILTER(Data!$L:$L,Data!$B:$B=AO43,Data!$D:$D=$G43)),""""),"""")"),"")</f>
        <v/>
      </c>
      <c r="BZ43" s="69" t="str">
        <f>IFERROR(__xludf.DUMMYFUNCTION("IF($G43&lt;&gt;"""",IFERROR(FILTER(RawTotals!$AJ:$AJ,RawTotals!$A:$A=AP43)-(FILTER(Data!$K:$K,Data!$B:$B=AP43,Data!$D:$D=$G43)+FILTER(Data!$L:$L,Data!$B:$B=AP43,Data!$D:$D=$G43)),""""),"""")"),"")</f>
        <v/>
      </c>
      <c r="CA43" s="69" t="str">
        <f>IFERROR(__xludf.DUMMYFUNCTION("IF($G43&lt;&gt;"""",IFERROR(FILTER(RawTotals!$AJ:$AJ,RawTotals!$A:$A=AQ43)-(FILTER(Data!$K:$K,Data!$B:$B=AQ43,Data!$D:$D=$G43)+FILTER(Data!$L:$L,Data!$B:$B=AQ43,Data!$D:$D=$G43)),""""),"""")"),"")</f>
        <v/>
      </c>
      <c r="CB43" s="69" t="str">
        <f>IFERROR(__xludf.DUMMYFUNCTION("IF($H43&lt;&gt;"""",IFERROR(FILTER(RawTotals!$AJ:$AJ,RawTotals!$A:$A=AR43)-(FILTER(Data!$K:$K,Data!$B:$B=AR43,Data!$D:$D=$H43)+FILTER(Data!$L:$L,Data!$B:$B=AR43,Data!$D:$D=$H43)),""""),"""")"),"")</f>
        <v/>
      </c>
      <c r="CC43" s="69" t="str">
        <f>IFERROR(__xludf.DUMMYFUNCTION("IF($H43&lt;&gt;"""",IFERROR(FILTER(RawTotals!$AJ:$AJ,RawTotals!$A:$A=AS43)-(FILTER(Data!$K:$K,Data!$B:$B=AS43,Data!$D:$D=$H43)+FILTER(Data!$L:$L,Data!$B:$B=AS43,Data!$D:$D=$H43)),""""),"""")"),"")</f>
        <v/>
      </c>
      <c r="CD43" s="69" t="str">
        <f>IFERROR(__xludf.DUMMYFUNCTION("IF($H43&lt;&gt;"""",IFERROR(FILTER(RawTotals!$AJ:$AJ,RawTotals!$A:$A=AT43)-(FILTER(Data!$K:$K,Data!$B:$B=AT43,Data!$D:$D=$H43)+FILTER(Data!$L:$L,Data!$B:$B=AT43,Data!$D:$D=$H43)),""""),"""")"),"")</f>
        <v/>
      </c>
      <c r="CE43" s="69" t="str">
        <f>IFERROR(__xludf.DUMMYFUNCTION("IF($I43&lt;&gt;"""",IFERROR(FILTER(RawTotals!$AJ:$AJ,RawTotals!$A:$A=AU43)-(FILTER(Data!$K:$K,Data!$B:$B=AU43,Data!$D:$D=$I43)+FILTER(Data!$L:$L,Data!$B:$B=AU43,Data!$D:$D=$I43)),""""),"""")"),"")</f>
        <v/>
      </c>
      <c r="CF43" s="69" t="str">
        <f>IFERROR(__xludf.DUMMYFUNCTION("IF($I43&lt;&gt;"""",IFERROR(FILTER(RawTotals!$AJ:$AJ,RawTotals!$A:$A=AV43)-(FILTER(Data!$K:$K,Data!$B:$B=AV43,Data!$D:$D=$I43)+FILTER(Data!$L:$L,Data!$B:$B=AV43,Data!$D:$D=$I43)),""""),"""")"),"")</f>
        <v/>
      </c>
      <c r="CG43" s="69" t="str">
        <f>IFERROR(__xludf.DUMMYFUNCTION("IF($I43&lt;&gt;"""",IFERROR(FILTER(RawTotals!$AJ:$AJ,RawTotals!$A:$A=AW43)-(FILTER(Data!$K:$K,Data!$B:$B=AW43,Data!$D:$D=$I43)+FILTER(Data!$L:$L,Data!$B:$B=AW43,Data!$D:$D=$I43)),""""),"""")"),"")</f>
        <v/>
      </c>
      <c r="CH43" s="69" t="str">
        <f>IFERROR(__xludf.DUMMYFUNCTION("IF($J43&lt;&gt;"""",IFERROR(FILTER(RawTotals!$AJ:$AJ,RawTotals!$A:$A=AX43)-(FILTER(Data!$K:$K,Data!$B:$B=AX43,Data!$D:$D=$J43)+FILTER(Data!$L:$L,Data!$B:$B=AX43,Data!$D:$D=$J43)),""""),"""")"),"")</f>
        <v/>
      </c>
      <c r="CI43" s="69" t="str">
        <f>IFERROR(__xludf.DUMMYFUNCTION("IF($J43&lt;&gt;"""",IFERROR(FILTER(RawTotals!$AJ:$AJ,RawTotals!$A:$A=AY43)-(FILTER(Data!$K:$K,Data!$B:$B=AY43,Data!$D:$D=$J43)+FILTER(Data!$L:$L,Data!$B:$B=AY43,Data!$D:$D=$J43)),""""),"""")"),"")</f>
        <v/>
      </c>
      <c r="CJ43" s="69" t="str">
        <f>IFERROR(__xludf.DUMMYFUNCTION("IF($J43&lt;&gt;"""",IFERROR(FILTER(RawTotals!$AJ:$AJ,RawTotals!$A:$A=AZ43)-(FILTER(Data!$K:$K,Data!$B:$B=AZ43,Data!$D:$D=$J43)+FILTER(Data!$L:$L,Data!$B:$B=AZ43,Data!$D:$D=$J43)),""""),"""")"),"")</f>
        <v/>
      </c>
      <c r="CK43" s="69" t="str">
        <f>IFERROR(__xludf.DUMMYFUNCTION("IF($K43&lt;&gt;"""",IFERROR(FILTER(RawTotals!$AJ:$AJ,RawTotals!$A:$A=BA43)-(FILTER(Data!$K:$K,Data!$B:$B=BA43,Data!$D:$D=$K43)+FILTER(Data!$L:$L,Data!$B:$B=BA43,Data!$D:$D=$K43)),""""),"""")"),"")</f>
        <v/>
      </c>
      <c r="CL43" s="69" t="str">
        <f>IFERROR(__xludf.DUMMYFUNCTION("IF($K43&lt;&gt;"""",IFERROR(FILTER(RawTotals!$AJ:$AJ,RawTotals!$A:$A=BB43)-(FILTER(Data!$K:$K,Data!$B:$B=BB43,Data!$D:$D=$K43)+FILTER(Data!$L:$L,Data!$B:$B=BB43,Data!$D:$D=$K43)),""""),"""")"),"")</f>
        <v/>
      </c>
      <c r="CM43" s="69" t="str">
        <f>IFERROR(__xludf.DUMMYFUNCTION("IF($K43&lt;&gt;"""",IFERROR(FILTER(RawTotals!$AJ:$AJ,RawTotals!$A:$A=BC43)-(FILTER(Data!$K:$K,Data!$B:$B=BC43,Data!$D:$D=$K43)+FILTER(Data!$L:$L,Data!$B:$B=BC43,Data!$D:$D=$K43)),""""),"""")"),"")</f>
        <v/>
      </c>
      <c r="CN43" s="69" t="str">
        <f>IFERROR(__xludf.DUMMYFUNCTION("IF($L43&lt;&gt;"""",IFERROR((FILTER(RawTotals!$AJ:$AJ,RawTotals!$A:$A=BD43)-(FILTER(Data!$K:$K,Data!$B:$B=BD43,Data!$D:$D=$L43)+FILTER(Data!$L:$L,Data!$B:$B=BD43,Data!$D:$D=$L43))),""""),"""")"),"")</f>
        <v/>
      </c>
      <c r="CO43" s="69" t="str">
        <f>IFERROR(__xludf.DUMMYFUNCTION("IF($L43&lt;&gt;"""",IFERROR((FILTER(RawTotals!$AJ:$AJ,RawTotals!$A:$A=BE43)-(FILTER(Data!$K:$K,Data!$B:$B=BE43,Data!$D:$D=$L43)+FILTER(Data!$L:$L,Data!$B:$B=BE43,Data!$D:$D=$L43))),""""),"""")"),"")</f>
        <v/>
      </c>
      <c r="CP43" s="69" t="str">
        <f>IFERROR(__xludf.DUMMYFUNCTION("IF($L43&lt;&gt;"""",IFERROR((FILTER(RawTotals!$AJ:$AJ,RawTotals!$A:$A=BF43)-(FILTER(Data!$K:$K,Data!$B:$B=BF43,Data!$D:$D=$L43)+FILTER(Data!$L:$L,Data!$B:$B=BF43,Data!$D:$D=$L43))),""""),"""")"),"")</f>
        <v/>
      </c>
      <c r="CQ43" s="69" t="str">
        <f>IFERROR(__xludf.DUMMYFUNCTION("IF($M43&lt;&gt;"""",IFERROR((FILTER(RawTotals!$AJ:$AJ,RawTotals!$A:$A=BG43)-(FILTER(Data!$K:$K,Data!$B:$B=BG43,Data!$D:$D=$M43)+FILTER(Data!$L:$L,Data!$B:$B=BG43,Data!$D:$D=$M43))),""""),"""")"),"")</f>
        <v/>
      </c>
      <c r="CR43" s="69" t="str">
        <f>IFERROR(__xludf.DUMMYFUNCTION("IF($M43&lt;&gt;"""",IFERROR((FILTER(RawTotals!$AJ:$AJ,RawTotals!$A:$A=BH43)-(FILTER(Data!$K:$K,Data!$B:$B=BH43,Data!$D:$D=$M43)+FILTER(Data!$L:$L,Data!$B:$B=BH43,Data!$D:$D=$M43))),""""),"""")"),"")</f>
        <v/>
      </c>
      <c r="CS43" s="70" t="str">
        <f>IFERROR(__xludf.DUMMYFUNCTION("IF($M43&lt;&gt;"""",IFERROR((FILTER(RawTotals!$AJ:$AJ,RawTotals!$A:$A=BI43)-(FILTER(Data!$K:$K,Data!$B:$B=BI43,Data!$D:$D=$M43)+FILTER(Data!$L:$L,Data!$B:$B=BI43,Data!$D:$D=$M43))),""""),"""")"),"")</f>
        <v/>
      </c>
      <c r="CT43" s="69"/>
      <c r="CU43" s="69"/>
      <c r="CV43" s="69"/>
      <c r="CW43" s="69"/>
      <c r="CX43" s="69"/>
      <c r="CY43" s="69"/>
      <c r="CZ43" s="69"/>
      <c r="DA43" s="69"/>
      <c r="DB43" s="69"/>
      <c r="DC43" s="69"/>
      <c r="DD43" s="69"/>
      <c r="DE43" s="69"/>
    </row>
    <row r="44">
      <c r="A44" s="67">
        <f>RawTotals!A44</f>
        <v>234</v>
      </c>
      <c r="B44" s="68" t="str">
        <f>IFERROR(__xludf.DUMMYFUNCTION("IF(A44&lt;&gt;"""",IFERROR(TRANSPOSE(FILTER(Data!D:D,Data!B:B=A44,Data!R:R&lt;&gt;"""")),""No Defense""),"""")"),"No Defense")</f>
        <v>No Defense</v>
      </c>
      <c r="C44" s="65"/>
      <c r="D44" s="65"/>
      <c r="E44" s="65"/>
      <c r="F44" s="65"/>
      <c r="G44" s="65"/>
      <c r="H44" s="65"/>
      <c r="I44" s="65"/>
      <c r="J44" s="65"/>
      <c r="K44" s="65"/>
      <c r="L44" s="65"/>
      <c r="M44" s="65"/>
      <c r="N44" s="64" t="str">
        <f>IFERROR(__xludf.DUMMYFUNCTION("IFERROR(Textjoin("""",TRUE,FILTER(Data!$R:$R,Data!$D:$D=B44,Data!$B:$B=$A44)),"""")"),"")</f>
        <v/>
      </c>
      <c r="O44" s="64" t="str">
        <f>IFERROR(__xludf.DUMMYFUNCTION("IFERROR(Textjoin("""",TRUE,FILTER(Data!$R:$R,Data!$D:$D=C44,Data!$B:$B=$A44)),"""")"),"")</f>
        <v/>
      </c>
      <c r="P44" s="64" t="str">
        <f>IFERROR(__xludf.DUMMYFUNCTION("IFERROR(Textjoin("""",TRUE,FILTER(Data!$R:$R,Data!$D:$D=D44,Data!$B:$B=$A44)),"""")"),"")</f>
        <v/>
      </c>
      <c r="Q44" s="64" t="str">
        <f>IFERROR(__xludf.DUMMYFUNCTION("IFERROR(Textjoin("""",TRUE,FILTER(Data!$R:$R,Data!$D:$D=E44,Data!$B:$B=$A44)),"""")"),"")</f>
        <v/>
      </c>
      <c r="R44" s="64" t="str">
        <f>IFERROR(__xludf.DUMMYFUNCTION("IFERROR(Textjoin("""",TRUE,FILTER(Data!$R:$R,Data!$D:$D=F44,Data!$B:$B=$A44)),"""")"),"")</f>
        <v/>
      </c>
      <c r="S44" s="64" t="str">
        <f>IFERROR(__xludf.DUMMYFUNCTION("IFERROR(Textjoin("""",TRUE,FILTER(Data!$R:$R,Data!$D:$D=G44,Data!$B:$B=$A44)),"""")"),"")</f>
        <v/>
      </c>
      <c r="T44" s="64" t="str">
        <f>IFERROR(__xludf.DUMMYFUNCTION("IFERROR(Textjoin("""",TRUE,FILTER(Data!$R:$R,Data!$D:$D=H44,Data!$B:$B=$A44)),"""")"),"")</f>
        <v/>
      </c>
      <c r="U44" s="64" t="str">
        <f>IFERROR(__xludf.DUMMYFUNCTION("IFERROR(Textjoin("""",TRUE,FILTER(Data!$R:$R,Data!$D:$D=I44,Data!$B:$B=$A44)),"""")"),"")</f>
        <v/>
      </c>
      <c r="V44" s="64" t="str">
        <f>IFERROR(__xludf.DUMMYFUNCTION("IFERROR(Textjoin("""",TRUE,FILTER(Data!$R:$R,Data!$D:$D=J44,Data!$B:$B=$A44)),"""")"),"")</f>
        <v/>
      </c>
      <c r="W44" s="64" t="str">
        <f>IFERROR(__xludf.DUMMYFUNCTION("IFERROR(Textjoin("""",TRUE,FILTER(Data!$R:$R,Data!$D:$D=K44,Data!$B:$B=$A44)),"""")"),"")</f>
        <v/>
      </c>
      <c r="X44" s="64" t="str">
        <f>IFERROR(__xludf.DUMMYFUNCTION("IFERROR(Textjoin("""",TRUE,FILTER(Data!$R:$R,Data!$D:$D=L44,Data!$B:$B=$A44)),"""")"),"")</f>
        <v/>
      </c>
      <c r="Y44" s="64" t="str">
        <f>IFERROR(__xludf.DUMMYFUNCTION("IFERROR(Textjoin("""",TRUE,FILTER(Data!$R:$R,Data!$D:$D=M44,Data!$B:$B=$A44)),"""")"),"")</f>
        <v/>
      </c>
      <c r="Z44" s="64" t="str">
        <f>IFERROR(__xludf.DUMMYFUNCTION("IFERROR(SPLIT(N44,"",""),"""")"),"")</f>
        <v/>
      </c>
      <c r="AA44" s="65"/>
      <c r="AB44" s="65"/>
      <c r="AC44" s="69" t="str">
        <f>IFERROR(__xludf.DUMMYFUNCTION("IFERROR(SPLIT(O44,"",""),"""")"),"")</f>
        <v/>
      </c>
      <c r="AD44" s="65"/>
      <c r="AE44" s="65"/>
      <c r="AF44" s="69" t="str">
        <f>IFERROR(__xludf.DUMMYFUNCTION("IFERROR(SPLIT(P44,"",""),"""")"),"")</f>
        <v/>
      </c>
      <c r="AG44" s="65"/>
      <c r="AH44" s="65"/>
      <c r="AI44" s="69" t="str">
        <f>IFERROR(__xludf.DUMMYFUNCTION("IFERROR(SPLIT(Q44,"",""),"""")"),"")</f>
        <v/>
      </c>
      <c r="AJ44" s="65"/>
      <c r="AK44" s="65"/>
      <c r="AL44" s="69" t="str">
        <f>IFERROR(__xludf.DUMMYFUNCTION("IFERROR(SPLIT(R44,"",""),"""")"),"")</f>
        <v/>
      </c>
      <c r="AM44" s="65"/>
      <c r="AN44" s="65"/>
      <c r="AO44" s="69" t="str">
        <f>IFERROR(__xludf.DUMMYFUNCTION("IFERROR(SPLIT(S44,"",""),"""")"),"")</f>
        <v/>
      </c>
      <c r="AP44" s="65"/>
      <c r="AQ44" s="65"/>
      <c r="AR44" s="69" t="str">
        <f>IFERROR(__xludf.DUMMYFUNCTION("IFERROR(SPLIT(T44,"",""),"""")"),"")</f>
        <v/>
      </c>
      <c r="AS44" s="65"/>
      <c r="AT44" s="65"/>
      <c r="AU44" s="69" t="str">
        <f>IFERROR(__xludf.DUMMYFUNCTION("IFERROR(SPLIT(U44,"",""),"""")"),"")</f>
        <v/>
      </c>
      <c r="AV44" s="65"/>
      <c r="AW44" s="65"/>
      <c r="AX44" s="69" t="str">
        <f>IFERROR(__xludf.DUMMYFUNCTION("IFERROR(SPLIT(V44,"",""),"""")"),"")</f>
        <v/>
      </c>
      <c r="AY44" s="65"/>
      <c r="AZ44" s="65"/>
      <c r="BA44" s="69" t="str">
        <f>IFERROR(__xludf.DUMMYFUNCTION("IFERROR(SPLIT(W44,"",""),"""")"),"")</f>
        <v/>
      </c>
      <c r="BB44" s="69"/>
      <c r="BC44" s="69"/>
      <c r="BD44" s="69" t="str">
        <f>IFERROR(__xludf.DUMMYFUNCTION("IFERROR(SPLIT(X44,"",""),"""")"),"")</f>
        <v/>
      </c>
      <c r="BE44" s="69"/>
      <c r="BF44" s="69"/>
      <c r="BG44" s="69" t="str">
        <f>IFERROR(__xludf.DUMMYFUNCTION("IFERROR(SPLIT(Y44,"",""),"""")"),"")</f>
        <v/>
      </c>
      <c r="BH44" s="69"/>
      <c r="BI44" s="69"/>
      <c r="BJ44" s="68" t="str">
        <f>IFERROR(__xludf.DUMMYFUNCTION("IF($B44&lt;&gt;"""",IFERROR(FILTER(RawTotals!$AJ:$AJ,RawTotals!$A:$A=Z44)-(FILTER(Data!$K:$K,Data!$B:$B=Z44,Data!$D:$D=$B44)+FILTER(Data!$L:$L,Data!$B:$B=Z44,Data!$D:$D=$B44)),""""),"""")"),"")</f>
        <v/>
      </c>
      <c r="BK44" s="68" t="str">
        <f>IFERROR(__xludf.DUMMYFUNCTION("IF($B44&lt;&gt;"""",IFERROR(FILTER(RawTotals!$AJ:$AJ,RawTotals!$A:$A=AA44)-(FILTER(Data!$K:$K,Data!$B:$B=AA44,Data!$D:$D=$B44)+FILTER(Data!$L:$L,Data!$B:$B=AA44,Data!$D:$D=$B44)),""""),"""")"),"")</f>
        <v/>
      </c>
      <c r="BL44" s="68" t="str">
        <f>IFERROR(__xludf.DUMMYFUNCTION("IF($B44&lt;&gt;"""",IFERROR(FILTER(RawTotals!$AJ:$AJ,RawTotals!$A:$A=AB44)-(FILTER(Data!$K:$K,Data!$B:$B=AB44,Data!$D:$D=$B44)+FILTER(Data!$L:$L,Data!$B:$B=AB44,Data!$D:$D=$B44)),""""),"""")"),"")</f>
        <v/>
      </c>
      <c r="BM44" s="69" t="str">
        <f>IFERROR(__xludf.DUMMYFUNCTION("IF($C44&lt;&gt;"""",IFERROR(FILTER(RawTotals!$AJ:$AJ,RawTotals!$A:$A=AC44)-(FILTER(Data!$K:$K,Data!$B:$B=AC44,Data!$D:$D=$C44)+FILTER(Data!$L:$L,Data!$B:$B=AC44,Data!$D:$D=$C44)),""""),"""")"),"")</f>
        <v/>
      </c>
      <c r="BN44" s="69" t="str">
        <f>IFERROR(__xludf.DUMMYFUNCTION("IF($C44&lt;&gt;"""",IFERROR(FILTER(RawTotals!$AJ:$AJ,RawTotals!$A:$A=AD44)-(FILTER(Data!$K:$K,Data!$B:$B=AD44,Data!$D:$D=$C44)+FILTER(Data!$L:$L,Data!$B:$B=AD44,Data!$D:$D=$C44)),""""),"""")"),"")</f>
        <v/>
      </c>
      <c r="BO44" s="69" t="str">
        <f>IFERROR(__xludf.DUMMYFUNCTION("IF($C44&lt;&gt;"""",IFERROR(FILTER(RawTotals!$AJ:$AJ,RawTotals!$A:$A=AE44)-(FILTER(Data!$K:$K,Data!$B:$B=AE44,Data!$D:$D=$C44)+FILTER(Data!$L:$L,Data!$B:$B=AE44,Data!$D:$D=$C44)),""""),"""")"),"")</f>
        <v/>
      </c>
      <c r="BP44" s="69" t="str">
        <f>IFERROR(__xludf.DUMMYFUNCTION("IF($D44&lt;&gt;"""",IFERROR(FILTER(RawTotals!$AJ:$AJ,RawTotals!$A:$A=AF44)-(FILTER(Data!$K:$K,Data!$B:$B=AF44,Data!$D:$D=$D44)+FILTER(Data!$L:$L,Data!$B:$B=AF44,Data!$D:$D=$D44)),""""),"""")"),"")</f>
        <v/>
      </c>
      <c r="BQ44" s="69" t="str">
        <f>IFERROR(__xludf.DUMMYFUNCTION("IF($D44&lt;&gt;"""",IFERROR(FILTER(RawTotals!$AJ:$AJ,RawTotals!$A:$A=AG44)-(FILTER(Data!$K:$K,Data!$B:$B=AG44,Data!$D:$D=$D44)+FILTER(Data!$L:$L,Data!$B:$B=AG44,Data!$D:$D=$D44)),""""),"""")"),"")</f>
        <v/>
      </c>
      <c r="BR44" s="69" t="str">
        <f>IFERROR(__xludf.DUMMYFUNCTION("IF($D44&lt;&gt;"""",IFERROR(FILTER(RawTotals!$AJ:$AJ,RawTotals!$A:$A=AH44)-(FILTER(Data!$K:$K,Data!$B:$B=AH44,Data!$D:$D=$D44)+FILTER(Data!$L:$L,Data!$B:$B=AH44,Data!$D:$D=$D44)),""""),"""")"),"")</f>
        <v/>
      </c>
      <c r="BS44" s="69" t="str">
        <f>IFERROR(__xludf.DUMMYFUNCTION("IF($E44&lt;&gt;"""",IFERROR(FILTER(RawTotals!$AJ:$AJ,RawTotals!$A:$A=AI44)-(FILTER(Data!$K:$K,Data!$B:$B=AI44,Data!$D:$D=$E44)+FILTER(Data!$L:$L,Data!$B:$B=AI44,Data!$D:$D=$E44)),""""),"""")"),"")</f>
        <v/>
      </c>
      <c r="BT44" s="69" t="str">
        <f>IFERROR(__xludf.DUMMYFUNCTION("IF($E44&lt;&gt;"""",IFERROR(FILTER(RawTotals!$AJ:$AJ,RawTotals!$A:$A=AJ44)-(FILTER(Data!$K:$K,Data!$B:$B=AJ44,Data!$D:$D=$E44)+FILTER(Data!$L:$L,Data!$B:$B=AJ44,Data!$D:$D=$E44)),""""),"""")"),"")</f>
        <v/>
      </c>
      <c r="BU44" s="69" t="str">
        <f>IFERROR(__xludf.DUMMYFUNCTION("IF($E44&lt;&gt;"""",IFERROR(FILTER(RawTotals!$AJ:$AJ,RawTotals!$A:$A=AK44)-(FILTER(Data!$K:$K,Data!$B:$B=AK44,Data!$D:$D=$E44)+FILTER(Data!$L:$L,Data!$B:$B=AK44,Data!$D:$D=$E44)),""""),"""")"),"")</f>
        <v/>
      </c>
      <c r="BV44" s="69" t="str">
        <f>IFERROR(__xludf.DUMMYFUNCTION("IF($F44&lt;&gt;"""",IFERROR(FILTER(RawTotals!$AJ:$AJ,RawTotals!$A:$A=AL44)-(FILTER(Data!$K:$K,Data!$B:$B=AL44,Data!$D:$D=$F44)+FILTER(Data!$L:$L,Data!$B:$B=AL44,Data!$D:$D=$F44)),""""),"""")"),"")</f>
        <v/>
      </c>
      <c r="BW44" s="69" t="str">
        <f>IFERROR(__xludf.DUMMYFUNCTION("IF($F44&lt;&gt;"""",IFERROR(FILTER(RawTotals!$AJ:$AJ,RawTotals!$A:$A=AM44)-(FILTER(Data!$K:$K,Data!$B:$B=AM44,Data!$D:$D=$F44)+FILTER(Data!$L:$L,Data!$B:$B=AM44,Data!$D:$D=$F44)),""""),"""")"),"")</f>
        <v/>
      </c>
      <c r="BX44" s="69" t="str">
        <f>IFERROR(__xludf.DUMMYFUNCTION("IF($F44&lt;&gt;"""",IFERROR(FILTER(RawTotals!$AJ:$AJ,RawTotals!$A:$A=AN44)-(FILTER(Data!$K:$K,Data!$B:$B=AN44,Data!$D:$D=$F44)+FILTER(Data!$L:$L,Data!$B:$B=AN44,Data!$D:$D=$F44)),""""),"""")"),"")</f>
        <v/>
      </c>
      <c r="BY44" s="69" t="str">
        <f>IFERROR(__xludf.DUMMYFUNCTION("IF($G44&lt;&gt;"""",IFERROR(FILTER(RawTotals!$AJ:$AJ,RawTotals!$A:$A=AO44)-(FILTER(Data!$K:$K,Data!$B:$B=AO44,Data!$D:$D=$G44)+FILTER(Data!$L:$L,Data!$B:$B=AO44,Data!$D:$D=$G44)),""""),"""")"),"")</f>
        <v/>
      </c>
      <c r="BZ44" s="69" t="str">
        <f>IFERROR(__xludf.DUMMYFUNCTION("IF($G44&lt;&gt;"""",IFERROR(FILTER(RawTotals!$AJ:$AJ,RawTotals!$A:$A=AP44)-(FILTER(Data!$K:$K,Data!$B:$B=AP44,Data!$D:$D=$G44)+FILTER(Data!$L:$L,Data!$B:$B=AP44,Data!$D:$D=$G44)),""""),"""")"),"")</f>
        <v/>
      </c>
      <c r="CA44" s="69" t="str">
        <f>IFERROR(__xludf.DUMMYFUNCTION("IF($G44&lt;&gt;"""",IFERROR(FILTER(RawTotals!$AJ:$AJ,RawTotals!$A:$A=AQ44)-(FILTER(Data!$K:$K,Data!$B:$B=AQ44,Data!$D:$D=$G44)+FILTER(Data!$L:$L,Data!$B:$B=AQ44,Data!$D:$D=$G44)),""""),"""")"),"")</f>
        <v/>
      </c>
      <c r="CB44" s="69" t="str">
        <f>IFERROR(__xludf.DUMMYFUNCTION("IF($H44&lt;&gt;"""",IFERROR(FILTER(RawTotals!$AJ:$AJ,RawTotals!$A:$A=AR44)-(FILTER(Data!$K:$K,Data!$B:$B=AR44,Data!$D:$D=$H44)+FILTER(Data!$L:$L,Data!$B:$B=AR44,Data!$D:$D=$H44)),""""),"""")"),"")</f>
        <v/>
      </c>
      <c r="CC44" s="69" t="str">
        <f>IFERROR(__xludf.DUMMYFUNCTION("IF($H44&lt;&gt;"""",IFERROR(FILTER(RawTotals!$AJ:$AJ,RawTotals!$A:$A=AS44)-(FILTER(Data!$K:$K,Data!$B:$B=AS44,Data!$D:$D=$H44)+FILTER(Data!$L:$L,Data!$B:$B=AS44,Data!$D:$D=$H44)),""""),"""")"),"")</f>
        <v/>
      </c>
      <c r="CD44" s="69" t="str">
        <f>IFERROR(__xludf.DUMMYFUNCTION("IF($H44&lt;&gt;"""",IFERROR(FILTER(RawTotals!$AJ:$AJ,RawTotals!$A:$A=AT44)-(FILTER(Data!$K:$K,Data!$B:$B=AT44,Data!$D:$D=$H44)+FILTER(Data!$L:$L,Data!$B:$B=AT44,Data!$D:$D=$H44)),""""),"""")"),"")</f>
        <v/>
      </c>
      <c r="CE44" s="69" t="str">
        <f>IFERROR(__xludf.DUMMYFUNCTION("IF($I44&lt;&gt;"""",IFERROR(FILTER(RawTotals!$AJ:$AJ,RawTotals!$A:$A=AU44)-(FILTER(Data!$K:$K,Data!$B:$B=AU44,Data!$D:$D=$I44)+FILTER(Data!$L:$L,Data!$B:$B=AU44,Data!$D:$D=$I44)),""""),"""")"),"")</f>
        <v/>
      </c>
      <c r="CF44" s="69" t="str">
        <f>IFERROR(__xludf.DUMMYFUNCTION("IF($I44&lt;&gt;"""",IFERROR(FILTER(RawTotals!$AJ:$AJ,RawTotals!$A:$A=AV44)-(FILTER(Data!$K:$K,Data!$B:$B=AV44,Data!$D:$D=$I44)+FILTER(Data!$L:$L,Data!$B:$B=AV44,Data!$D:$D=$I44)),""""),"""")"),"")</f>
        <v/>
      </c>
      <c r="CG44" s="69" t="str">
        <f>IFERROR(__xludf.DUMMYFUNCTION("IF($I44&lt;&gt;"""",IFERROR(FILTER(RawTotals!$AJ:$AJ,RawTotals!$A:$A=AW44)-(FILTER(Data!$K:$K,Data!$B:$B=AW44,Data!$D:$D=$I44)+FILTER(Data!$L:$L,Data!$B:$B=AW44,Data!$D:$D=$I44)),""""),"""")"),"")</f>
        <v/>
      </c>
      <c r="CH44" s="69" t="str">
        <f>IFERROR(__xludf.DUMMYFUNCTION("IF($J44&lt;&gt;"""",IFERROR(FILTER(RawTotals!$AJ:$AJ,RawTotals!$A:$A=AX44)-(FILTER(Data!$K:$K,Data!$B:$B=AX44,Data!$D:$D=$J44)+FILTER(Data!$L:$L,Data!$B:$B=AX44,Data!$D:$D=$J44)),""""),"""")"),"")</f>
        <v/>
      </c>
      <c r="CI44" s="69" t="str">
        <f>IFERROR(__xludf.DUMMYFUNCTION("IF($J44&lt;&gt;"""",IFERROR(FILTER(RawTotals!$AJ:$AJ,RawTotals!$A:$A=AY44)-(FILTER(Data!$K:$K,Data!$B:$B=AY44,Data!$D:$D=$J44)+FILTER(Data!$L:$L,Data!$B:$B=AY44,Data!$D:$D=$J44)),""""),"""")"),"")</f>
        <v/>
      </c>
      <c r="CJ44" s="69" t="str">
        <f>IFERROR(__xludf.DUMMYFUNCTION("IF($J44&lt;&gt;"""",IFERROR(FILTER(RawTotals!$AJ:$AJ,RawTotals!$A:$A=AZ44)-(FILTER(Data!$K:$K,Data!$B:$B=AZ44,Data!$D:$D=$J44)+FILTER(Data!$L:$L,Data!$B:$B=AZ44,Data!$D:$D=$J44)),""""),"""")"),"")</f>
        <v/>
      </c>
      <c r="CK44" s="69" t="str">
        <f>IFERROR(__xludf.DUMMYFUNCTION("IF($K44&lt;&gt;"""",IFERROR(FILTER(RawTotals!$AJ:$AJ,RawTotals!$A:$A=BA44)-(FILTER(Data!$K:$K,Data!$B:$B=BA44,Data!$D:$D=$K44)+FILTER(Data!$L:$L,Data!$B:$B=BA44,Data!$D:$D=$K44)),""""),"""")"),"")</f>
        <v/>
      </c>
      <c r="CL44" s="69" t="str">
        <f>IFERROR(__xludf.DUMMYFUNCTION("IF($K44&lt;&gt;"""",IFERROR(FILTER(RawTotals!$AJ:$AJ,RawTotals!$A:$A=BB44)-(FILTER(Data!$K:$K,Data!$B:$B=BB44,Data!$D:$D=$K44)+FILTER(Data!$L:$L,Data!$B:$B=BB44,Data!$D:$D=$K44)),""""),"""")"),"")</f>
        <v/>
      </c>
      <c r="CM44" s="69" t="str">
        <f>IFERROR(__xludf.DUMMYFUNCTION("IF($K44&lt;&gt;"""",IFERROR(FILTER(RawTotals!$AJ:$AJ,RawTotals!$A:$A=BC44)-(FILTER(Data!$K:$K,Data!$B:$B=BC44,Data!$D:$D=$K44)+FILTER(Data!$L:$L,Data!$B:$B=BC44,Data!$D:$D=$K44)),""""),"""")"),"")</f>
        <v/>
      </c>
      <c r="CN44" s="69" t="str">
        <f>IFERROR(__xludf.DUMMYFUNCTION("IF($L44&lt;&gt;"""",IFERROR((FILTER(RawTotals!$AJ:$AJ,RawTotals!$A:$A=BD44)-(FILTER(Data!$K:$K,Data!$B:$B=BD44,Data!$D:$D=$L44)+FILTER(Data!$L:$L,Data!$B:$B=BD44,Data!$D:$D=$L44))),""""),"""")"),"")</f>
        <v/>
      </c>
      <c r="CO44" s="69" t="str">
        <f>IFERROR(__xludf.DUMMYFUNCTION("IF($L44&lt;&gt;"""",IFERROR((FILTER(RawTotals!$AJ:$AJ,RawTotals!$A:$A=BE44)-(FILTER(Data!$K:$K,Data!$B:$B=BE44,Data!$D:$D=$L44)+FILTER(Data!$L:$L,Data!$B:$B=BE44,Data!$D:$D=$L44))),""""),"""")"),"")</f>
        <v/>
      </c>
      <c r="CP44" s="69" t="str">
        <f>IFERROR(__xludf.DUMMYFUNCTION("IF($L44&lt;&gt;"""",IFERROR((FILTER(RawTotals!$AJ:$AJ,RawTotals!$A:$A=BF44)-(FILTER(Data!$K:$K,Data!$B:$B=BF44,Data!$D:$D=$L44)+FILTER(Data!$L:$L,Data!$B:$B=BF44,Data!$D:$D=$L44))),""""),"""")"),"")</f>
        <v/>
      </c>
      <c r="CQ44" s="69" t="str">
        <f>IFERROR(__xludf.DUMMYFUNCTION("IF($M44&lt;&gt;"""",IFERROR((FILTER(RawTotals!$AJ:$AJ,RawTotals!$A:$A=BG44)-(FILTER(Data!$K:$K,Data!$B:$B=BG44,Data!$D:$D=$M44)+FILTER(Data!$L:$L,Data!$B:$B=BG44,Data!$D:$D=$M44))),""""),"""")"),"")</f>
        <v/>
      </c>
      <c r="CR44" s="69" t="str">
        <f>IFERROR(__xludf.DUMMYFUNCTION("IF($M44&lt;&gt;"""",IFERROR((FILTER(RawTotals!$AJ:$AJ,RawTotals!$A:$A=BH44)-(FILTER(Data!$K:$K,Data!$B:$B=BH44,Data!$D:$D=$M44)+FILTER(Data!$L:$L,Data!$B:$B=BH44,Data!$D:$D=$M44))),""""),"""")"),"")</f>
        <v/>
      </c>
      <c r="CS44" s="70" t="str">
        <f>IFERROR(__xludf.DUMMYFUNCTION("IF($M44&lt;&gt;"""",IFERROR((FILTER(RawTotals!$AJ:$AJ,RawTotals!$A:$A=BI44)-(FILTER(Data!$K:$K,Data!$B:$B=BI44,Data!$D:$D=$M44)+FILTER(Data!$L:$L,Data!$B:$B=BI44,Data!$D:$D=$M44))),""""),"""")"),"")</f>
        <v/>
      </c>
      <c r="CT44" s="69"/>
      <c r="CU44" s="69"/>
      <c r="CV44" s="69"/>
      <c r="CW44" s="69"/>
      <c r="CX44" s="69"/>
      <c r="CY44" s="69"/>
      <c r="CZ44" s="69"/>
      <c r="DA44" s="69"/>
      <c r="DB44" s="69"/>
      <c r="DC44" s="69"/>
      <c r="DD44" s="69"/>
      <c r="DE44" s="69"/>
    </row>
    <row r="45">
      <c r="A45" s="67">
        <f>RawTotals!A45</f>
        <v>3176</v>
      </c>
      <c r="B45" s="68" t="str">
        <f>IFERROR(__xludf.DUMMYFUNCTION("IF(A45&lt;&gt;"""",IFERROR(TRANSPOSE(FILTER(Data!D:D,Data!B:B=A45,Data!R:R&lt;&gt;"""")),""No Defense""),"""")"),"No Defense")</f>
        <v>No Defense</v>
      </c>
      <c r="C45" s="65"/>
      <c r="D45" s="65"/>
      <c r="E45" s="65"/>
      <c r="F45" s="65"/>
      <c r="G45" s="65"/>
      <c r="H45" s="65"/>
      <c r="I45" s="65"/>
      <c r="J45" s="65"/>
      <c r="K45" s="65"/>
      <c r="L45" s="65"/>
      <c r="M45" s="65"/>
      <c r="N45" s="64" t="str">
        <f>IFERROR(__xludf.DUMMYFUNCTION("IFERROR(Textjoin("""",TRUE,FILTER(Data!$R:$R,Data!$D:$D=B45,Data!$B:$B=$A45)),"""")"),"")</f>
        <v/>
      </c>
      <c r="O45" s="64" t="str">
        <f>IFERROR(__xludf.DUMMYFUNCTION("IFERROR(Textjoin("""",TRUE,FILTER(Data!$R:$R,Data!$D:$D=C45,Data!$B:$B=$A45)),"""")"),"")</f>
        <v/>
      </c>
      <c r="P45" s="64" t="str">
        <f>IFERROR(__xludf.DUMMYFUNCTION("IFERROR(Textjoin("""",TRUE,FILTER(Data!$R:$R,Data!$D:$D=D45,Data!$B:$B=$A45)),"""")"),"")</f>
        <v/>
      </c>
      <c r="Q45" s="64" t="str">
        <f>IFERROR(__xludf.DUMMYFUNCTION("IFERROR(Textjoin("""",TRUE,FILTER(Data!$R:$R,Data!$D:$D=E45,Data!$B:$B=$A45)),"""")"),"")</f>
        <v/>
      </c>
      <c r="R45" s="64" t="str">
        <f>IFERROR(__xludf.DUMMYFUNCTION("IFERROR(Textjoin("""",TRUE,FILTER(Data!$R:$R,Data!$D:$D=F45,Data!$B:$B=$A45)),"""")"),"")</f>
        <v/>
      </c>
      <c r="S45" s="64" t="str">
        <f>IFERROR(__xludf.DUMMYFUNCTION("IFERROR(Textjoin("""",TRUE,FILTER(Data!$R:$R,Data!$D:$D=G45,Data!$B:$B=$A45)),"""")"),"")</f>
        <v/>
      </c>
      <c r="T45" s="64" t="str">
        <f>IFERROR(__xludf.DUMMYFUNCTION("IFERROR(Textjoin("""",TRUE,FILTER(Data!$R:$R,Data!$D:$D=H45,Data!$B:$B=$A45)),"""")"),"")</f>
        <v/>
      </c>
      <c r="U45" s="64" t="str">
        <f>IFERROR(__xludf.DUMMYFUNCTION("IFERROR(Textjoin("""",TRUE,FILTER(Data!$R:$R,Data!$D:$D=I45,Data!$B:$B=$A45)),"""")"),"")</f>
        <v/>
      </c>
      <c r="V45" s="64" t="str">
        <f>IFERROR(__xludf.DUMMYFUNCTION("IFERROR(Textjoin("""",TRUE,FILTER(Data!$R:$R,Data!$D:$D=J45,Data!$B:$B=$A45)),"""")"),"")</f>
        <v/>
      </c>
      <c r="W45" s="64" t="str">
        <f>IFERROR(__xludf.DUMMYFUNCTION("IFERROR(Textjoin("""",TRUE,FILTER(Data!$R:$R,Data!$D:$D=K45,Data!$B:$B=$A45)),"""")"),"")</f>
        <v/>
      </c>
      <c r="X45" s="64" t="str">
        <f>IFERROR(__xludf.DUMMYFUNCTION("IFERROR(Textjoin("""",TRUE,FILTER(Data!$R:$R,Data!$D:$D=L45,Data!$B:$B=$A45)),"""")"),"")</f>
        <v/>
      </c>
      <c r="Y45" s="64" t="str">
        <f>IFERROR(__xludf.DUMMYFUNCTION("IFERROR(Textjoin("""",TRUE,FILTER(Data!$R:$R,Data!$D:$D=M45,Data!$B:$B=$A45)),"""")"),"")</f>
        <v/>
      </c>
      <c r="Z45" s="64" t="str">
        <f>IFERROR(__xludf.DUMMYFUNCTION("IFERROR(SPLIT(N45,"",""),"""")"),"")</f>
        <v/>
      </c>
      <c r="AA45" s="65"/>
      <c r="AB45" s="65"/>
      <c r="AC45" s="69" t="str">
        <f>IFERROR(__xludf.DUMMYFUNCTION("IFERROR(SPLIT(O45,"",""),"""")"),"")</f>
        <v/>
      </c>
      <c r="AD45" s="65"/>
      <c r="AE45" s="65"/>
      <c r="AF45" s="69" t="str">
        <f>IFERROR(__xludf.DUMMYFUNCTION("IFERROR(SPLIT(P45,"",""),"""")"),"")</f>
        <v/>
      </c>
      <c r="AG45" s="65"/>
      <c r="AH45" s="65"/>
      <c r="AI45" s="69" t="str">
        <f>IFERROR(__xludf.DUMMYFUNCTION("IFERROR(SPLIT(Q45,"",""),"""")"),"")</f>
        <v/>
      </c>
      <c r="AJ45" s="65"/>
      <c r="AK45" s="65"/>
      <c r="AL45" s="69" t="str">
        <f>IFERROR(__xludf.DUMMYFUNCTION("IFERROR(SPLIT(R45,"",""),"""")"),"")</f>
        <v/>
      </c>
      <c r="AM45" s="65"/>
      <c r="AN45" s="65"/>
      <c r="AO45" s="69" t="str">
        <f>IFERROR(__xludf.DUMMYFUNCTION("IFERROR(SPLIT(S45,"",""),"""")"),"")</f>
        <v/>
      </c>
      <c r="AP45" s="65"/>
      <c r="AQ45" s="65"/>
      <c r="AR45" s="69" t="str">
        <f>IFERROR(__xludf.DUMMYFUNCTION("IFERROR(SPLIT(T45,"",""),"""")"),"")</f>
        <v/>
      </c>
      <c r="AS45" s="65"/>
      <c r="AT45" s="65"/>
      <c r="AU45" s="69" t="str">
        <f>IFERROR(__xludf.DUMMYFUNCTION("IFERROR(SPLIT(U45,"",""),"""")"),"")</f>
        <v/>
      </c>
      <c r="AV45" s="65"/>
      <c r="AW45" s="65"/>
      <c r="AX45" s="69" t="str">
        <f>IFERROR(__xludf.DUMMYFUNCTION("IFERROR(SPLIT(V45,"",""),"""")"),"")</f>
        <v/>
      </c>
      <c r="AY45" s="65"/>
      <c r="AZ45" s="65"/>
      <c r="BA45" s="69" t="str">
        <f>IFERROR(__xludf.DUMMYFUNCTION("IFERROR(SPLIT(W45,"",""),"""")"),"")</f>
        <v/>
      </c>
      <c r="BB45" s="69"/>
      <c r="BC45" s="69"/>
      <c r="BD45" s="69" t="str">
        <f>IFERROR(__xludf.DUMMYFUNCTION("IFERROR(SPLIT(X45,"",""),"""")"),"")</f>
        <v/>
      </c>
      <c r="BE45" s="69"/>
      <c r="BF45" s="69"/>
      <c r="BG45" s="69" t="str">
        <f>IFERROR(__xludf.DUMMYFUNCTION("IFERROR(SPLIT(Y45,"",""),"""")"),"")</f>
        <v/>
      </c>
      <c r="BH45" s="69"/>
      <c r="BI45" s="69"/>
      <c r="BJ45" s="68" t="str">
        <f>IFERROR(__xludf.DUMMYFUNCTION("IF($B45&lt;&gt;"""",IFERROR(FILTER(RawTotals!$AJ:$AJ,RawTotals!$A:$A=Z45)-(FILTER(Data!$K:$K,Data!$B:$B=Z45,Data!$D:$D=$B45)+FILTER(Data!$L:$L,Data!$B:$B=Z45,Data!$D:$D=$B45)),""""),"""")"),"")</f>
        <v/>
      </c>
      <c r="BK45" s="68" t="str">
        <f>IFERROR(__xludf.DUMMYFUNCTION("IF($B45&lt;&gt;"""",IFERROR(FILTER(RawTotals!$AJ:$AJ,RawTotals!$A:$A=AA45)-(FILTER(Data!$K:$K,Data!$B:$B=AA45,Data!$D:$D=$B45)+FILTER(Data!$L:$L,Data!$B:$B=AA45,Data!$D:$D=$B45)),""""),"""")"),"")</f>
        <v/>
      </c>
      <c r="BL45" s="68" t="str">
        <f>IFERROR(__xludf.DUMMYFUNCTION("IF($B45&lt;&gt;"""",IFERROR(FILTER(RawTotals!$AJ:$AJ,RawTotals!$A:$A=AB45)-(FILTER(Data!$K:$K,Data!$B:$B=AB45,Data!$D:$D=$B45)+FILTER(Data!$L:$L,Data!$B:$B=AB45,Data!$D:$D=$B45)),""""),"""")"),"")</f>
        <v/>
      </c>
      <c r="BM45" s="69" t="str">
        <f>IFERROR(__xludf.DUMMYFUNCTION("IF($C45&lt;&gt;"""",IFERROR(FILTER(RawTotals!$AJ:$AJ,RawTotals!$A:$A=AC45)-(FILTER(Data!$K:$K,Data!$B:$B=AC45,Data!$D:$D=$C45)+FILTER(Data!$L:$L,Data!$B:$B=AC45,Data!$D:$D=$C45)),""""),"""")"),"")</f>
        <v/>
      </c>
      <c r="BN45" s="69" t="str">
        <f>IFERROR(__xludf.DUMMYFUNCTION("IF($C45&lt;&gt;"""",IFERROR(FILTER(RawTotals!$AJ:$AJ,RawTotals!$A:$A=AD45)-(FILTER(Data!$K:$K,Data!$B:$B=AD45,Data!$D:$D=$C45)+FILTER(Data!$L:$L,Data!$B:$B=AD45,Data!$D:$D=$C45)),""""),"""")"),"")</f>
        <v/>
      </c>
      <c r="BO45" s="69" t="str">
        <f>IFERROR(__xludf.DUMMYFUNCTION("IF($C45&lt;&gt;"""",IFERROR(FILTER(RawTotals!$AJ:$AJ,RawTotals!$A:$A=AE45)-(FILTER(Data!$K:$K,Data!$B:$B=AE45,Data!$D:$D=$C45)+FILTER(Data!$L:$L,Data!$B:$B=AE45,Data!$D:$D=$C45)),""""),"""")"),"")</f>
        <v/>
      </c>
      <c r="BP45" s="69" t="str">
        <f>IFERROR(__xludf.DUMMYFUNCTION("IF($D45&lt;&gt;"""",IFERROR(FILTER(RawTotals!$AJ:$AJ,RawTotals!$A:$A=AF45)-(FILTER(Data!$K:$K,Data!$B:$B=AF45,Data!$D:$D=$D45)+FILTER(Data!$L:$L,Data!$B:$B=AF45,Data!$D:$D=$D45)),""""),"""")"),"")</f>
        <v/>
      </c>
      <c r="BQ45" s="69" t="str">
        <f>IFERROR(__xludf.DUMMYFUNCTION("IF($D45&lt;&gt;"""",IFERROR(FILTER(RawTotals!$AJ:$AJ,RawTotals!$A:$A=AG45)-(FILTER(Data!$K:$K,Data!$B:$B=AG45,Data!$D:$D=$D45)+FILTER(Data!$L:$L,Data!$B:$B=AG45,Data!$D:$D=$D45)),""""),"""")"),"")</f>
        <v/>
      </c>
      <c r="BR45" s="69" t="str">
        <f>IFERROR(__xludf.DUMMYFUNCTION("IF($D45&lt;&gt;"""",IFERROR(FILTER(RawTotals!$AJ:$AJ,RawTotals!$A:$A=AH45)-(FILTER(Data!$K:$K,Data!$B:$B=AH45,Data!$D:$D=$D45)+FILTER(Data!$L:$L,Data!$B:$B=AH45,Data!$D:$D=$D45)),""""),"""")"),"")</f>
        <v/>
      </c>
      <c r="BS45" s="69" t="str">
        <f>IFERROR(__xludf.DUMMYFUNCTION("IF($E45&lt;&gt;"""",IFERROR(FILTER(RawTotals!$AJ:$AJ,RawTotals!$A:$A=AI45)-(FILTER(Data!$K:$K,Data!$B:$B=AI45,Data!$D:$D=$E45)+FILTER(Data!$L:$L,Data!$B:$B=AI45,Data!$D:$D=$E45)),""""),"""")"),"")</f>
        <v/>
      </c>
      <c r="BT45" s="69" t="str">
        <f>IFERROR(__xludf.DUMMYFUNCTION("IF($E45&lt;&gt;"""",IFERROR(FILTER(RawTotals!$AJ:$AJ,RawTotals!$A:$A=AJ45)-(FILTER(Data!$K:$K,Data!$B:$B=AJ45,Data!$D:$D=$E45)+FILTER(Data!$L:$L,Data!$B:$B=AJ45,Data!$D:$D=$E45)),""""),"""")"),"")</f>
        <v/>
      </c>
      <c r="BU45" s="69" t="str">
        <f>IFERROR(__xludf.DUMMYFUNCTION("IF($E45&lt;&gt;"""",IFERROR(FILTER(RawTotals!$AJ:$AJ,RawTotals!$A:$A=AK45)-(FILTER(Data!$K:$K,Data!$B:$B=AK45,Data!$D:$D=$E45)+FILTER(Data!$L:$L,Data!$B:$B=AK45,Data!$D:$D=$E45)),""""),"""")"),"")</f>
        <v/>
      </c>
      <c r="BV45" s="69" t="str">
        <f>IFERROR(__xludf.DUMMYFUNCTION("IF($F45&lt;&gt;"""",IFERROR(FILTER(RawTotals!$AJ:$AJ,RawTotals!$A:$A=AL45)-(FILTER(Data!$K:$K,Data!$B:$B=AL45,Data!$D:$D=$F45)+FILTER(Data!$L:$L,Data!$B:$B=AL45,Data!$D:$D=$F45)),""""),"""")"),"")</f>
        <v/>
      </c>
      <c r="BW45" s="69" t="str">
        <f>IFERROR(__xludf.DUMMYFUNCTION("IF($F45&lt;&gt;"""",IFERROR(FILTER(RawTotals!$AJ:$AJ,RawTotals!$A:$A=AM45)-(FILTER(Data!$K:$K,Data!$B:$B=AM45,Data!$D:$D=$F45)+FILTER(Data!$L:$L,Data!$B:$B=AM45,Data!$D:$D=$F45)),""""),"""")"),"")</f>
        <v/>
      </c>
      <c r="BX45" s="69" t="str">
        <f>IFERROR(__xludf.DUMMYFUNCTION("IF($F45&lt;&gt;"""",IFERROR(FILTER(RawTotals!$AJ:$AJ,RawTotals!$A:$A=AN45)-(FILTER(Data!$K:$K,Data!$B:$B=AN45,Data!$D:$D=$F45)+FILTER(Data!$L:$L,Data!$B:$B=AN45,Data!$D:$D=$F45)),""""),"""")"),"")</f>
        <v/>
      </c>
      <c r="BY45" s="69" t="str">
        <f>IFERROR(__xludf.DUMMYFUNCTION("IF($G45&lt;&gt;"""",IFERROR(FILTER(RawTotals!$AJ:$AJ,RawTotals!$A:$A=AO45)-(FILTER(Data!$K:$K,Data!$B:$B=AO45,Data!$D:$D=$G45)+FILTER(Data!$L:$L,Data!$B:$B=AO45,Data!$D:$D=$G45)),""""),"""")"),"")</f>
        <v/>
      </c>
      <c r="BZ45" s="69" t="str">
        <f>IFERROR(__xludf.DUMMYFUNCTION("IF($G45&lt;&gt;"""",IFERROR(FILTER(RawTotals!$AJ:$AJ,RawTotals!$A:$A=AP45)-(FILTER(Data!$K:$K,Data!$B:$B=AP45,Data!$D:$D=$G45)+FILTER(Data!$L:$L,Data!$B:$B=AP45,Data!$D:$D=$G45)),""""),"""")"),"")</f>
        <v/>
      </c>
      <c r="CA45" s="69" t="str">
        <f>IFERROR(__xludf.DUMMYFUNCTION("IF($G45&lt;&gt;"""",IFERROR(FILTER(RawTotals!$AJ:$AJ,RawTotals!$A:$A=AQ45)-(FILTER(Data!$K:$K,Data!$B:$B=AQ45,Data!$D:$D=$G45)+FILTER(Data!$L:$L,Data!$B:$B=AQ45,Data!$D:$D=$G45)),""""),"""")"),"")</f>
        <v/>
      </c>
      <c r="CB45" s="69" t="str">
        <f>IFERROR(__xludf.DUMMYFUNCTION("IF($H45&lt;&gt;"""",IFERROR(FILTER(RawTotals!$AJ:$AJ,RawTotals!$A:$A=AR45)-(FILTER(Data!$K:$K,Data!$B:$B=AR45,Data!$D:$D=$H45)+FILTER(Data!$L:$L,Data!$B:$B=AR45,Data!$D:$D=$H45)),""""),"""")"),"")</f>
        <v/>
      </c>
      <c r="CC45" s="69" t="str">
        <f>IFERROR(__xludf.DUMMYFUNCTION("IF($H45&lt;&gt;"""",IFERROR(FILTER(RawTotals!$AJ:$AJ,RawTotals!$A:$A=AS45)-(FILTER(Data!$K:$K,Data!$B:$B=AS45,Data!$D:$D=$H45)+FILTER(Data!$L:$L,Data!$B:$B=AS45,Data!$D:$D=$H45)),""""),"""")"),"")</f>
        <v/>
      </c>
      <c r="CD45" s="69" t="str">
        <f>IFERROR(__xludf.DUMMYFUNCTION("IF($H45&lt;&gt;"""",IFERROR(FILTER(RawTotals!$AJ:$AJ,RawTotals!$A:$A=AT45)-(FILTER(Data!$K:$K,Data!$B:$B=AT45,Data!$D:$D=$H45)+FILTER(Data!$L:$L,Data!$B:$B=AT45,Data!$D:$D=$H45)),""""),"""")"),"")</f>
        <v/>
      </c>
      <c r="CE45" s="69" t="str">
        <f>IFERROR(__xludf.DUMMYFUNCTION("IF($I45&lt;&gt;"""",IFERROR(FILTER(RawTotals!$AJ:$AJ,RawTotals!$A:$A=AU45)-(FILTER(Data!$K:$K,Data!$B:$B=AU45,Data!$D:$D=$I45)+FILTER(Data!$L:$L,Data!$B:$B=AU45,Data!$D:$D=$I45)),""""),"""")"),"")</f>
        <v/>
      </c>
      <c r="CF45" s="69" t="str">
        <f>IFERROR(__xludf.DUMMYFUNCTION("IF($I45&lt;&gt;"""",IFERROR(FILTER(RawTotals!$AJ:$AJ,RawTotals!$A:$A=AV45)-(FILTER(Data!$K:$K,Data!$B:$B=AV45,Data!$D:$D=$I45)+FILTER(Data!$L:$L,Data!$B:$B=AV45,Data!$D:$D=$I45)),""""),"""")"),"")</f>
        <v/>
      </c>
      <c r="CG45" s="69" t="str">
        <f>IFERROR(__xludf.DUMMYFUNCTION("IF($I45&lt;&gt;"""",IFERROR(FILTER(RawTotals!$AJ:$AJ,RawTotals!$A:$A=AW45)-(FILTER(Data!$K:$K,Data!$B:$B=AW45,Data!$D:$D=$I45)+FILTER(Data!$L:$L,Data!$B:$B=AW45,Data!$D:$D=$I45)),""""),"""")"),"")</f>
        <v/>
      </c>
      <c r="CH45" s="69" t="str">
        <f>IFERROR(__xludf.DUMMYFUNCTION("IF($J45&lt;&gt;"""",IFERROR(FILTER(RawTotals!$AJ:$AJ,RawTotals!$A:$A=AX45)-(FILTER(Data!$K:$K,Data!$B:$B=AX45,Data!$D:$D=$J45)+FILTER(Data!$L:$L,Data!$B:$B=AX45,Data!$D:$D=$J45)),""""),"""")"),"")</f>
        <v/>
      </c>
      <c r="CI45" s="69" t="str">
        <f>IFERROR(__xludf.DUMMYFUNCTION("IF($J45&lt;&gt;"""",IFERROR(FILTER(RawTotals!$AJ:$AJ,RawTotals!$A:$A=AY45)-(FILTER(Data!$K:$K,Data!$B:$B=AY45,Data!$D:$D=$J45)+FILTER(Data!$L:$L,Data!$B:$B=AY45,Data!$D:$D=$J45)),""""),"""")"),"")</f>
        <v/>
      </c>
      <c r="CJ45" s="69" t="str">
        <f>IFERROR(__xludf.DUMMYFUNCTION("IF($J45&lt;&gt;"""",IFERROR(FILTER(RawTotals!$AJ:$AJ,RawTotals!$A:$A=AZ45)-(FILTER(Data!$K:$K,Data!$B:$B=AZ45,Data!$D:$D=$J45)+FILTER(Data!$L:$L,Data!$B:$B=AZ45,Data!$D:$D=$J45)),""""),"""")"),"")</f>
        <v/>
      </c>
      <c r="CK45" s="69" t="str">
        <f>IFERROR(__xludf.DUMMYFUNCTION("IF($K45&lt;&gt;"""",IFERROR(FILTER(RawTotals!$AJ:$AJ,RawTotals!$A:$A=BA45)-(FILTER(Data!$K:$K,Data!$B:$B=BA45,Data!$D:$D=$K45)+FILTER(Data!$L:$L,Data!$B:$B=BA45,Data!$D:$D=$K45)),""""),"""")"),"")</f>
        <v/>
      </c>
      <c r="CL45" s="69" t="str">
        <f>IFERROR(__xludf.DUMMYFUNCTION("IF($K45&lt;&gt;"""",IFERROR(FILTER(RawTotals!$AJ:$AJ,RawTotals!$A:$A=BB45)-(FILTER(Data!$K:$K,Data!$B:$B=BB45,Data!$D:$D=$K45)+FILTER(Data!$L:$L,Data!$B:$B=BB45,Data!$D:$D=$K45)),""""),"""")"),"")</f>
        <v/>
      </c>
      <c r="CM45" s="69" t="str">
        <f>IFERROR(__xludf.DUMMYFUNCTION("IF($K45&lt;&gt;"""",IFERROR(FILTER(RawTotals!$AJ:$AJ,RawTotals!$A:$A=BC45)-(FILTER(Data!$K:$K,Data!$B:$B=BC45,Data!$D:$D=$K45)+FILTER(Data!$L:$L,Data!$B:$B=BC45,Data!$D:$D=$K45)),""""),"""")"),"")</f>
        <v/>
      </c>
      <c r="CN45" s="69" t="str">
        <f>IFERROR(__xludf.DUMMYFUNCTION("IF($L45&lt;&gt;"""",IFERROR((FILTER(RawTotals!$AJ:$AJ,RawTotals!$A:$A=BD45)-(FILTER(Data!$K:$K,Data!$B:$B=BD45,Data!$D:$D=$L45)+FILTER(Data!$L:$L,Data!$B:$B=BD45,Data!$D:$D=$L45))),""""),"""")"),"")</f>
        <v/>
      </c>
      <c r="CO45" s="69" t="str">
        <f>IFERROR(__xludf.DUMMYFUNCTION("IF($L45&lt;&gt;"""",IFERROR((FILTER(RawTotals!$AJ:$AJ,RawTotals!$A:$A=BE45)-(FILTER(Data!$K:$K,Data!$B:$B=BE45,Data!$D:$D=$L45)+FILTER(Data!$L:$L,Data!$B:$B=BE45,Data!$D:$D=$L45))),""""),"""")"),"")</f>
        <v/>
      </c>
      <c r="CP45" s="69" t="str">
        <f>IFERROR(__xludf.DUMMYFUNCTION("IF($L45&lt;&gt;"""",IFERROR((FILTER(RawTotals!$AJ:$AJ,RawTotals!$A:$A=BF45)-(FILTER(Data!$K:$K,Data!$B:$B=BF45,Data!$D:$D=$L45)+FILTER(Data!$L:$L,Data!$B:$B=BF45,Data!$D:$D=$L45))),""""),"""")"),"")</f>
        <v/>
      </c>
      <c r="CQ45" s="69" t="str">
        <f>IFERROR(__xludf.DUMMYFUNCTION("IF($M45&lt;&gt;"""",IFERROR((FILTER(RawTotals!$AJ:$AJ,RawTotals!$A:$A=BG45)-(FILTER(Data!$K:$K,Data!$B:$B=BG45,Data!$D:$D=$M45)+FILTER(Data!$L:$L,Data!$B:$B=BG45,Data!$D:$D=$M45))),""""),"""")"),"")</f>
        <v/>
      </c>
      <c r="CR45" s="69" t="str">
        <f>IFERROR(__xludf.DUMMYFUNCTION("IF($M45&lt;&gt;"""",IFERROR((FILTER(RawTotals!$AJ:$AJ,RawTotals!$A:$A=BH45)-(FILTER(Data!$K:$K,Data!$B:$B=BH45,Data!$D:$D=$M45)+FILTER(Data!$L:$L,Data!$B:$B=BH45,Data!$D:$D=$M45))),""""),"""")"),"")</f>
        <v/>
      </c>
      <c r="CS45" s="70" t="str">
        <f>IFERROR(__xludf.DUMMYFUNCTION("IF($M45&lt;&gt;"""",IFERROR((FILTER(RawTotals!$AJ:$AJ,RawTotals!$A:$A=BI45)-(FILTER(Data!$K:$K,Data!$B:$B=BI45,Data!$D:$D=$M45)+FILTER(Data!$L:$L,Data!$B:$B=BI45,Data!$D:$D=$M45))),""""),"""")"),"")</f>
        <v/>
      </c>
      <c r="CT45" s="69"/>
      <c r="CU45" s="69"/>
      <c r="CV45" s="69"/>
      <c r="CW45" s="69"/>
      <c r="CX45" s="69"/>
      <c r="CY45" s="69"/>
      <c r="CZ45" s="69"/>
      <c r="DA45" s="69"/>
      <c r="DB45" s="69"/>
      <c r="DC45" s="69"/>
      <c r="DD45" s="69"/>
      <c r="DE45" s="69"/>
    </row>
    <row r="46">
      <c r="A46" s="67">
        <f>RawTotals!A46</f>
        <v>1720</v>
      </c>
      <c r="B46" s="68" t="str">
        <f>IFERROR(__xludf.DUMMYFUNCTION("IF(A46&lt;&gt;"""",IFERROR(TRANSPOSE(FILTER(Data!D:D,Data!B:B=A46,Data!R:R&lt;&gt;"""")),""No Defense""),"""")"),"No Defense")</f>
        <v>No Defense</v>
      </c>
      <c r="C46" s="65"/>
      <c r="D46" s="65"/>
      <c r="E46" s="65"/>
      <c r="F46" s="65"/>
      <c r="G46" s="65"/>
      <c r="H46" s="65"/>
      <c r="I46" s="65"/>
      <c r="J46" s="65"/>
      <c r="K46" s="65"/>
      <c r="L46" s="65"/>
      <c r="M46" s="65"/>
      <c r="N46" s="64" t="str">
        <f>IFERROR(__xludf.DUMMYFUNCTION("IFERROR(Textjoin("""",TRUE,FILTER(Data!$R:$R,Data!$D:$D=B46,Data!$B:$B=$A46)),"""")"),"")</f>
        <v/>
      </c>
      <c r="O46" s="64" t="str">
        <f>IFERROR(__xludf.DUMMYFUNCTION("IFERROR(Textjoin("""",TRUE,FILTER(Data!$R:$R,Data!$D:$D=C46,Data!$B:$B=$A46)),"""")"),"")</f>
        <v/>
      </c>
      <c r="P46" s="64" t="str">
        <f>IFERROR(__xludf.DUMMYFUNCTION("IFERROR(Textjoin("""",TRUE,FILTER(Data!$R:$R,Data!$D:$D=D46,Data!$B:$B=$A46)),"""")"),"")</f>
        <v/>
      </c>
      <c r="Q46" s="64" t="str">
        <f>IFERROR(__xludf.DUMMYFUNCTION("IFERROR(Textjoin("""",TRUE,FILTER(Data!$R:$R,Data!$D:$D=E46,Data!$B:$B=$A46)),"""")"),"")</f>
        <v/>
      </c>
      <c r="R46" s="64" t="str">
        <f>IFERROR(__xludf.DUMMYFUNCTION("IFERROR(Textjoin("""",TRUE,FILTER(Data!$R:$R,Data!$D:$D=F46,Data!$B:$B=$A46)),"""")"),"")</f>
        <v/>
      </c>
      <c r="S46" s="64" t="str">
        <f>IFERROR(__xludf.DUMMYFUNCTION("IFERROR(Textjoin("""",TRUE,FILTER(Data!$R:$R,Data!$D:$D=G46,Data!$B:$B=$A46)),"""")"),"")</f>
        <v/>
      </c>
      <c r="T46" s="64" t="str">
        <f>IFERROR(__xludf.DUMMYFUNCTION("IFERROR(Textjoin("""",TRUE,FILTER(Data!$R:$R,Data!$D:$D=H46,Data!$B:$B=$A46)),"""")"),"")</f>
        <v/>
      </c>
      <c r="U46" s="64" t="str">
        <f>IFERROR(__xludf.DUMMYFUNCTION("IFERROR(Textjoin("""",TRUE,FILTER(Data!$R:$R,Data!$D:$D=I46,Data!$B:$B=$A46)),"""")"),"")</f>
        <v/>
      </c>
      <c r="V46" s="64" t="str">
        <f>IFERROR(__xludf.DUMMYFUNCTION("IFERROR(Textjoin("""",TRUE,FILTER(Data!$R:$R,Data!$D:$D=J46,Data!$B:$B=$A46)),"""")"),"")</f>
        <v/>
      </c>
      <c r="W46" s="64" t="str">
        <f>IFERROR(__xludf.DUMMYFUNCTION("IFERROR(Textjoin("""",TRUE,FILTER(Data!$R:$R,Data!$D:$D=K46,Data!$B:$B=$A46)),"""")"),"")</f>
        <v/>
      </c>
      <c r="X46" s="64" t="str">
        <f>IFERROR(__xludf.DUMMYFUNCTION("IFERROR(Textjoin("""",TRUE,FILTER(Data!$R:$R,Data!$D:$D=L46,Data!$B:$B=$A46)),"""")"),"")</f>
        <v/>
      </c>
      <c r="Y46" s="64" t="str">
        <f>IFERROR(__xludf.DUMMYFUNCTION("IFERROR(Textjoin("""",TRUE,FILTER(Data!$R:$R,Data!$D:$D=M46,Data!$B:$B=$A46)),"""")"),"")</f>
        <v/>
      </c>
      <c r="Z46" s="64" t="str">
        <f>IFERROR(__xludf.DUMMYFUNCTION("IFERROR(SPLIT(N46,"",""),"""")"),"")</f>
        <v/>
      </c>
      <c r="AA46" s="65"/>
      <c r="AB46" s="65"/>
      <c r="AC46" s="69" t="str">
        <f>IFERROR(__xludf.DUMMYFUNCTION("IFERROR(SPLIT(O46,"",""),"""")"),"")</f>
        <v/>
      </c>
      <c r="AD46" s="65"/>
      <c r="AE46" s="65"/>
      <c r="AF46" s="69" t="str">
        <f>IFERROR(__xludf.DUMMYFUNCTION("IFERROR(SPLIT(P46,"",""),"""")"),"")</f>
        <v/>
      </c>
      <c r="AG46" s="65"/>
      <c r="AH46" s="65"/>
      <c r="AI46" s="69" t="str">
        <f>IFERROR(__xludf.DUMMYFUNCTION("IFERROR(SPLIT(Q46,"",""),"""")"),"")</f>
        <v/>
      </c>
      <c r="AJ46" s="65"/>
      <c r="AK46" s="65"/>
      <c r="AL46" s="69" t="str">
        <f>IFERROR(__xludf.DUMMYFUNCTION("IFERROR(SPLIT(R46,"",""),"""")"),"")</f>
        <v/>
      </c>
      <c r="AM46" s="65"/>
      <c r="AN46" s="65"/>
      <c r="AO46" s="69" t="str">
        <f>IFERROR(__xludf.DUMMYFUNCTION("IFERROR(SPLIT(S46,"",""),"""")"),"")</f>
        <v/>
      </c>
      <c r="AP46" s="65"/>
      <c r="AQ46" s="65"/>
      <c r="AR46" s="69" t="str">
        <f>IFERROR(__xludf.DUMMYFUNCTION("IFERROR(SPLIT(T46,"",""),"""")"),"")</f>
        <v/>
      </c>
      <c r="AS46" s="65"/>
      <c r="AT46" s="65"/>
      <c r="AU46" s="69" t="str">
        <f>IFERROR(__xludf.DUMMYFUNCTION("IFERROR(SPLIT(U46,"",""),"""")"),"")</f>
        <v/>
      </c>
      <c r="AV46" s="65"/>
      <c r="AW46" s="65"/>
      <c r="AX46" s="69" t="str">
        <f>IFERROR(__xludf.DUMMYFUNCTION("IFERROR(SPLIT(V46,"",""),"""")"),"")</f>
        <v/>
      </c>
      <c r="AY46" s="65"/>
      <c r="AZ46" s="65"/>
      <c r="BA46" s="69" t="str">
        <f>IFERROR(__xludf.DUMMYFUNCTION("IFERROR(SPLIT(W46,"",""),"""")"),"")</f>
        <v/>
      </c>
      <c r="BB46" s="69"/>
      <c r="BC46" s="69"/>
      <c r="BD46" s="69" t="str">
        <f>IFERROR(__xludf.DUMMYFUNCTION("IFERROR(SPLIT(X46,"",""),"""")"),"")</f>
        <v/>
      </c>
      <c r="BE46" s="69"/>
      <c r="BF46" s="69"/>
      <c r="BG46" s="69" t="str">
        <f>IFERROR(__xludf.DUMMYFUNCTION("IFERROR(SPLIT(Y46,"",""),"""")"),"")</f>
        <v/>
      </c>
      <c r="BH46" s="69"/>
      <c r="BI46" s="69"/>
      <c r="BJ46" s="68" t="str">
        <f>IFERROR(__xludf.DUMMYFUNCTION("IF($B46&lt;&gt;"""",IFERROR(FILTER(RawTotals!$AJ:$AJ,RawTotals!$A:$A=Z46)-(FILTER(Data!$K:$K,Data!$B:$B=Z46,Data!$D:$D=$B46)+FILTER(Data!$L:$L,Data!$B:$B=Z46,Data!$D:$D=$B46)),""""),"""")"),"")</f>
        <v/>
      </c>
      <c r="BK46" s="68" t="str">
        <f>IFERROR(__xludf.DUMMYFUNCTION("IF($B46&lt;&gt;"""",IFERROR(FILTER(RawTotals!$AJ:$AJ,RawTotals!$A:$A=AA46)-(FILTER(Data!$K:$K,Data!$B:$B=AA46,Data!$D:$D=$B46)+FILTER(Data!$L:$L,Data!$B:$B=AA46,Data!$D:$D=$B46)),""""),"""")"),"")</f>
        <v/>
      </c>
      <c r="BL46" s="68" t="str">
        <f>IFERROR(__xludf.DUMMYFUNCTION("IF($B46&lt;&gt;"""",IFERROR(FILTER(RawTotals!$AJ:$AJ,RawTotals!$A:$A=AB46)-(FILTER(Data!$K:$K,Data!$B:$B=AB46,Data!$D:$D=$B46)+FILTER(Data!$L:$L,Data!$B:$B=AB46,Data!$D:$D=$B46)),""""),"""")"),"")</f>
        <v/>
      </c>
      <c r="BM46" s="69" t="str">
        <f>IFERROR(__xludf.DUMMYFUNCTION("IF($C46&lt;&gt;"""",IFERROR(FILTER(RawTotals!$AJ:$AJ,RawTotals!$A:$A=AC46)-(FILTER(Data!$K:$K,Data!$B:$B=AC46,Data!$D:$D=$C46)+FILTER(Data!$L:$L,Data!$B:$B=AC46,Data!$D:$D=$C46)),""""),"""")"),"")</f>
        <v/>
      </c>
      <c r="BN46" s="69" t="str">
        <f>IFERROR(__xludf.DUMMYFUNCTION("IF($C46&lt;&gt;"""",IFERROR(FILTER(RawTotals!$AJ:$AJ,RawTotals!$A:$A=AD46)-(FILTER(Data!$K:$K,Data!$B:$B=AD46,Data!$D:$D=$C46)+FILTER(Data!$L:$L,Data!$B:$B=AD46,Data!$D:$D=$C46)),""""),"""")"),"")</f>
        <v/>
      </c>
      <c r="BO46" s="69" t="str">
        <f>IFERROR(__xludf.DUMMYFUNCTION("IF($C46&lt;&gt;"""",IFERROR(FILTER(RawTotals!$AJ:$AJ,RawTotals!$A:$A=AE46)-(FILTER(Data!$K:$K,Data!$B:$B=AE46,Data!$D:$D=$C46)+FILTER(Data!$L:$L,Data!$B:$B=AE46,Data!$D:$D=$C46)),""""),"""")"),"")</f>
        <v/>
      </c>
      <c r="BP46" s="69" t="str">
        <f>IFERROR(__xludf.DUMMYFUNCTION("IF($D46&lt;&gt;"""",IFERROR(FILTER(RawTotals!$AJ:$AJ,RawTotals!$A:$A=AF46)-(FILTER(Data!$K:$K,Data!$B:$B=AF46,Data!$D:$D=$D46)+FILTER(Data!$L:$L,Data!$B:$B=AF46,Data!$D:$D=$D46)),""""),"""")"),"")</f>
        <v/>
      </c>
      <c r="BQ46" s="69" t="str">
        <f>IFERROR(__xludf.DUMMYFUNCTION("IF($D46&lt;&gt;"""",IFERROR(FILTER(RawTotals!$AJ:$AJ,RawTotals!$A:$A=AG46)-(FILTER(Data!$K:$K,Data!$B:$B=AG46,Data!$D:$D=$D46)+FILTER(Data!$L:$L,Data!$B:$B=AG46,Data!$D:$D=$D46)),""""),"""")"),"")</f>
        <v/>
      </c>
      <c r="BR46" s="69" t="str">
        <f>IFERROR(__xludf.DUMMYFUNCTION("IF($D46&lt;&gt;"""",IFERROR(FILTER(RawTotals!$AJ:$AJ,RawTotals!$A:$A=AH46)-(FILTER(Data!$K:$K,Data!$B:$B=AH46,Data!$D:$D=$D46)+FILTER(Data!$L:$L,Data!$B:$B=AH46,Data!$D:$D=$D46)),""""),"""")"),"")</f>
        <v/>
      </c>
      <c r="BS46" s="69" t="str">
        <f>IFERROR(__xludf.DUMMYFUNCTION("IF($E46&lt;&gt;"""",IFERROR(FILTER(RawTotals!$AJ:$AJ,RawTotals!$A:$A=AI46)-(FILTER(Data!$K:$K,Data!$B:$B=AI46,Data!$D:$D=$E46)+FILTER(Data!$L:$L,Data!$B:$B=AI46,Data!$D:$D=$E46)),""""),"""")"),"")</f>
        <v/>
      </c>
      <c r="BT46" s="69" t="str">
        <f>IFERROR(__xludf.DUMMYFUNCTION("IF($E46&lt;&gt;"""",IFERROR(FILTER(RawTotals!$AJ:$AJ,RawTotals!$A:$A=AJ46)-(FILTER(Data!$K:$K,Data!$B:$B=AJ46,Data!$D:$D=$E46)+FILTER(Data!$L:$L,Data!$B:$B=AJ46,Data!$D:$D=$E46)),""""),"""")"),"")</f>
        <v/>
      </c>
      <c r="BU46" s="69" t="str">
        <f>IFERROR(__xludf.DUMMYFUNCTION("IF($E46&lt;&gt;"""",IFERROR(FILTER(RawTotals!$AJ:$AJ,RawTotals!$A:$A=AK46)-(FILTER(Data!$K:$K,Data!$B:$B=AK46,Data!$D:$D=$E46)+FILTER(Data!$L:$L,Data!$B:$B=AK46,Data!$D:$D=$E46)),""""),"""")"),"")</f>
        <v/>
      </c>
      <c r="BV46" s="69" t="str">
        <f>IFERROR(__xludf.DUMMYFUNCTION("IF($F46&lt;&gt;"""",IFERROR(FILTER(RawTotals!$AJ:$AJ,RawTotals!$A:$A=AL46)-(FILTER(Data!$K:$K,Data!$B:$B=AL46,Data!$D:$D=$F46)+FILTER(Data!$L:$L,Data!$B:$B=AL46,Data!$D:$D=$F46)),""""),"""")"),"")</f>
        <v/>
      </c>
      <c r="BW46" s="69" t="str">
        <f>IFERROR(__xludf.DUMMYFUNCTION("IF($F46&lt;&gt;"""",IFERROR(FILTER(RawTotals!$AJ:$AJ,RawTotals!$A:$A=AM46)-(FILTER(Data!$K:$K,Data!$B:$B=AM46,Data!$D:$D=$F46)+FILTER(Data!$L:$L,Data!$B:$B=AM46,Data!$D:$D=$F46)),""""),"""")"),"")</f>
        <v/>
      </c>
      <c r="BX46" s="69" t="str">
        <f>IFERROR(__xludf.DUMMYFUNCTION("IF($F46&lt;&gt;"""",IFERROR(FILTER(RawTotals!$AJ:$AJ,RawTotals!$A:$A=AN46)-(FILTER(Data!$K:$K,Data!$B:$B=AN46,Data!$D:$D=$F46)+FILTER(Data!$L:$L,Data!$B:$B=AN46,Data!$D:$D=$F46)),""""),"""")"),"")</f>
        <v/>
      </c>
      <c r="BY46" s="69" t="str">
        <f>IFERROR(__xludf.DUMMYFUNCTION("IF($G46&lt;&gt;"""",IFERROR(FILTER(RawTotals!$AJ:$AJ,RawTotals!$A:$A=AO46)-(FILTER(Data!$K:$K,Data!$B:$B=AO46,Data!$D:$D=$G46)+FILTER(Data!$L:$L,Data!$B:$B=AO46,Data!$D:$D=$G46)),""""),"""")"),"")</f>
        <v/>
      </c>
      <c r="BZ46" s="69" t="str">
        <f>IFERROR(__xludf.DUMMYFUNCTION("IF($G46&lt;&gt;"""",IFERROR(FILTER(RawTotals!$AJ:$AJ,RawTotals!$A:$A=AP46)-(FILTER(Data!$K:$K,Data!$B:$B=AP46,Data!$D:$D=$G46)+FILTER(Data!$L:$L,Data!$B:$B=AP46,Data!$D:$D=$G46)),""""),"""")"),"")</f>
        <v/>
      </c>
      <c r="CA46" s="69" t="str">
        <f>IFERROR(__xludf.DUMMYFUNCTION("IF($G46&lt;&gt;"""",IFERROR(FILTER(RawTotals!$AJ:$AJ,RawTotals!$A:$A=AQ46)-(FILTER(Data!$K:$K,Data!$B:$B=AQ46,Data!$D:$D=$G46)+FILTER(Data!$L:$L,Data!$B:$B=AQ46,Data!$D:$D=$G46)),""""),"""")"),"")</f>
        <v/>
      </c>
      <c r="CB46" s="69" t="str">
        <f>IFERROR(__xludf.DUMMYFUNCTION("IF($H46&lt;&gt;"""",IFERROR(FILTER(RawTotals!$AJ:$AJ,RawTotals!$A:$A=AR46)-(FILTER(Data!$K:$K,Data!$B:$B=AR46,Data!$D:$D=$H46)+FILTER(Data!$L:$L,Data!$B:$B=AR46,Data!$D:$D=$H46)),""""),"""")"),"")</f>
        <v/>
      </c>
      <c r="CC46" s="69" t="str">
        <f>IFERROR(__xludf.DUMMYFUNCTION("IF($H46&lt;&gt;"""",IFERROR(FILTER(RawTotals!$AJ:$AJ,RawTotals!$A:$A=AS46)-(FILTER(Data!$K:$K,Data!$B:$B=AS46,Data!$D:$D=$H46)+FILTER(Data!$L:$L,Data!$B:$B=AS46,Data!$D:$D=$H46)),""""),"""")"),"")</f>
        <v/>
      </c>
      <c r="CD46" s="69" t="str">
        <f>IFERROR(__xludf.DUMMYFUNCTION("IF($H46&lt;&gt;"""",IFERROR(FILTER(RawTotals!$AJ:$AJ,RawTotals!$A:$A=AT46)-(FILTER(Data!$K:$K,Data!$B:$B=AT46,Data!$D:$D=$H46)+FILTER(Data!$L:$L,Data!$B:$B=AT46,Data!$D:$D=$H46)),""""),"""")"),"")</f>
        <v/>
      </c>
      <c r="CE46" s="69" t="str">
        <f>IFERROR(__xludf.DUMMYFUNCTION("IF($I46&lt;&gt;"""",IFERROR(FILTER(RawTotals!$AJ:$AJ,RawTotals!$A:$A=AU46)-(FILTER(Data!$K:$K,Data!$B:$B=AU46,Data!$D:$D=$I46)+FILTER(Data!$L:$L,Data!$B:$B=AU46,Data!$D:$D=$I46)),""""),"""")"),"")</f>
        <v/>
      </c>
      <c r="CF46" s="69" t="str">
        <f>IFERROR(__xludf.DUMMYFUNCTION("IF($I46&lt;&gt;"""",IFERROR(FILTER(RawTotals!$AJ:$AJ,RawTotals!$A:$A=AV46)-(FILTER(Data!$K:$K,Data!$B:$B=AV46,Data!$D:$D=$I46)+FILTER(Data!$L:$L,Data!$B:$B=AV46,Data!$D:$D=$I46)),""""),"""")"),"")</f>
        <v/>
      </c>
      <c r="CG46" s="69" t="str">
        <f>IFERROR(__xludf.DUMMYFUNCTION("IF($I46&lt;&gt;"""",IFERROR(FILTER(RawTotals!$AJ:$AJ,RawTotals!$A:$A=AW46)-(FILTER(Data!$K:$K,Data!$B:$B=AW46,Data!$D:$D=$I46)+FILTER(Data!$L:$L,Data!$B:$B=AW46,Data!$D:$D=$I46)),""""),"""")"),"")</f>
        <v/>
      </c>
      <c r="CH46" s="69" t="str">
        <f>IFERROR(__xludf.DUMMYFUNCTION("IF($J46&lt;&gt;"""",IFERROR(FILTER(RawTotals!$AJ:$AJ,RawTotals!$A:$A=AX46)-(FILTER(Data!$K:$K,Data!$B:$B=AX46,Data!$D:$D=$J46)+FILTER(Data!$L:$L,Data!$B:$B=AX46,Data!$D:$D=$J46)),""""),"""")"),"")</f>
        <v/>
      </c>
      <c r="CI46" s="69" t="str">
        <f>IFERROR(__xludf.DUMMYFUNCTION("IF($J46&lt;&gt;"""",IFERROR(FILTER(RawTotals!$AJ:$AJ,RawTotals!$A:$A=AY46)-(FILTER(Data!$K:$K,Data!$B:$B=AY46,Data!$D:$D=$J46)+FILTER(Data!$L:$L,Data!$B:$B=AY46,Data!$D:$D=$J46)),""""),"""")"),"")</f>
        <v/>
      </c>
      <c r="CJ46" s="69" t="str">
        <f>IFERROR(__xludf.DUMMYFUNCTION("IF($J46&lt;&gt;"""",IFERROR(FILTER(RawTotals!$AJ:$AJ,RawTotals!$A:$A=AZ46)-(FILTER(Data!$K:$K,Data!$B:$B=AZ46,Data!$D:$D=$J46)+FILTER(Data!$L:$L,Data!$B:$B=AZ46,Data!$D:$D=$J46)),""""),"""")"),"")</f>
        <v/>
      </c>
      <c r="CK46" s="69" t="str">
        <f>IFERROR(__xludf.DUMMYFUNCTION("IF($K46&lt;&gt;"""",IFERROR(FILTER(RawTotals!$AJ:$AJ,RawTotals!$A:$A=BA46)-(FILTER(Data!$K:$K,Data!$B:$B=BA46,Data!$D:$D=$K46)+FILTER(Data!$L:$L,Data!$B:$B=BA46,Data!$D:$D=$K46)),""""),"""")"),"")</f>
        <v/>
      </c>
      <c r="CL46" s="69" t="str">
        <f>IFERROR(__xludf.DUMMYFUNCTION("IF($K46&lt;&gt;"""",IFERROR(FILTER(RawTotals!$AJ:$AJ,RawTotals!$A:$A=BB46)-(FILTER(Data!$K:$K,Data!$B:$B=BB46,Data!$D:$D=$K46)+FILTER(Data!$L:$L,Data!$B:$B=BB46,Data!$D:$D=$K46)),""""),"""")"),"")</f>
        <v/>
      </c>
      <c r="CM46" s="69" t="str">
        <f>IFERROR(__xludf.DUMMYFUNCTION("IF($K46&lt;&gt;"""",IFERROR(FILTER(RawTotals!$AJ:$AJ,RawTotals!$A:$A=BC46)-(FILTER(Data!$K:$K,Data!$B:$B=BC46,Data!$D:$D=$K46)+FILTER(Data!$L:$L,Data!$B:$B=BC46,Data!$D:$D=$K46)),""""),"""")"),"")</f>
        <v/>
      </c>
      <c r="CN46" s="69" t="str">
        <f>IFERROR(__xludf.DUMMYFUNCTION("IF($L46&lt;&gt;"""",IFERROR((FILTER(RawTotals!$AJ:$AJ,RawTotals!$A:$A=BD46)-(FILTER(Data!$K:$K,Data!$B:$B=BD46,Data!$D:$D=$L46)+FILTER(Data!$L:$L,Data!$B:$B=BD46,Data!$D:$D=$L46))),""""),"""")"),"")</f>
        <v/>
      </c>
      <c r="CO46" s="69" t="str">
        <f>IFERROR(__xludf.DUMMYFUNCTION("IF($L46&lt;&gt;"""",IFERROR((FILTER(RawTotals!$AJ:$AJ,RawTotals!$A:$A=BE46)-(FILTER(Data!$K:$K,Data!$B:$B=BE46,Data!$D:$D=$L46)+FILTER(Data!$L:$L,Data!$B:$B=BE46,Data!$D:$D=$L46))),""""),"""")"),"")</f>
        <v/>
      </c>
      <c r="CP46" s="69" t="str">
        <f>IFERROR(__xludf.DUMMYFUNCTION("IF($L46&lt;&gt;"""",IFERROR((FILTER(RawTotals!$AJ:$AJ,RawTotals!$A:$A=BF46)-(FILTER(Data!$K:$K,Data!$B:$B=BF46,Data!$D:$D=$L46)+FILTER(Data!$L:$L,Data!$B:$B=BF46,Data!$D:$D=$L46))),""""),"""")"),"")</f>
        <v/>
      </c>
      <c r="CQ46" s="69" t="str">
        <f>IFERROR(__xludf.DUMMYFUNCTION("IF($M46&lt;&gt;"""",IFERROR((FILTER(RawTotals!$AJ:$AJ,RawTotals!$A:$A=BG46)-(FILTER(Data!$K:$K,Data!$B:$B=BG46,Data!$D:$D=$M46)+FILTER(Data!$L:$L,Data!$B:$B=BG46,Data!$D:$D=$M46))),""""),"""")"),"")</f>
        <v/>
      </c>
      <c r="CR46" s="69" t="str">
        <f>IFERROR(__xludf.DUMMYFUNCTION("IF($M46&lt;&gt;"""",IFERROR((FILTER(RawTotals!$AJ:$AJ,RawTotals!$A:$A=BH46)-(FILTER(Data!$K:$K,Data!$B:$B=BH46,Data!$D:$D=$M46)+FILTER(Data!$L:$L,Data!$B:$B=BH46,Data!$D:$D=$M46))),""""),"""")"),"")</f>
        <v/>
      </c>
      <c r="CS46" s="70" t="str">
        <f>IFERROR(__xludf.DUMMYFUNCTION("IF($M46&lt;&gt;"""",IFERROR((FILTER(RawTotals!$AJ:$AJ,RawTotals!$A:$A=BI46)-(FILTER(Data!$K:$K,Data!$B:$B=BI46,Data!$D:$D=$M46)+FILTER(Data!$L:$L,Data!$B:$B=BI46,Data!$D:$D=$M46))),""""),"""")"),"")</f>
        <v/>
      </c>
      <c r="CT46" s="69"/>
      <c r="CU46" s="69"/>
      <c r="CV46" s="69"/>
      <c r="CW46" s="69"/>
      <c r="CX46" s="69"/>
      <c r="CY46" s="69"/>
      <c r="CZ46" s="69"/>
      <c r="DA46" s="69"/>
      <c r="DB46" s="69"/>
      <c r="DC46" s="69"/>
      <c r="DD46" s="69"/>
      <c r="DE46" s="69"/>
    </row>
    <row r="47">
      <c r="A47" s="67">
        <f>RawTotals!A47</f>
        <v>2614</v>
      </c>
      <c r="B47" s="68" t="str">
        <f>IFERROR(__xludf.DUMMYFUNCTION("IF(A47&lt;&gt;"""",IFERROR(TRANSPOSE(FILTER(Data!D:D,Data!B:B=A47,Data!R:R&lt;&gt;"""")),""No Defense""),"""")"),"No Defense")</f>
        <v>No Defense</v>
      </c>
      <c r="C47" s="65"/>
      <c r="D47" s="65"/>
      <c r="E47" s="65"/>
      <c r="F47" s="65"/>
      <c r="G47" s="65"/>
      <c r="H47" s="65"/>
      <c r="I47" s="65"/>
      <c r="J47" s="65"/>
      <c r="K47" s="65"/>
      <c r="L47" s="65"/>
      <c r="M47" s="65"/>
      <c r="N47" s="64" t="str">
        <f>IFERROR(__xludf.DUMMYFUNCTION("IFERROR(Textjoin("""",TRUE,FILTER(Data!$R:$R,Data!$D:$D=B47,Data!$B:$B=$A47)),"""")"),"")</f>
        <v/>
      </c>
      <c r="O47" s="64" t="str">
        <f>IFERROR(__xludf.DUMMYFUNCTION("IFERROR(Textjoin("""",TRUE,FILTER(Data!$R:$R,Data!$D:$D=C47,Data!$B:$B=$A47)),"""")"),"")</f>
        <v/>
      </c>
      <c r="P47" s="64" t="str">
        <f>IFERROR(__xludf.DUMMYFUNCTION("IFERROR(Textjoin("""",TRUE,FILTER(Data!$R:$R,Data!$D:$D=D47,Data!$B:$B=$A47)),"""")"),"")</f>
        <v/>
      </c>
      <c r="Q47" s="64" t="str">
        <f>IFERROR(__xludf.DUMMYFUNCTION("IFERROR(Textjoin("""",TRUE,FILTER(Data!$R:$R,Data!$D:$D=E47,Data!$B:$B=$A47)),"""")"),"")</f>
        <v/>
      </c>
      <c r="R47" s="64" t="str">
        <f>IFERROR(__xludf.DUMMYFUNCTION("IFERROR(Textjoin("""",TRUE,FILTER(Data!$R:$R,Data!$D:$D=F47,Data!$B:$B=$A47)),"""")"),"")</f>
        <v/>
      </c>
      <c r="S47" s="64" t="str">
        <f>IFERROR(__xludf.DUMMYFUNCTION("IFERROR(Textjoin("""",TRUE,FILTER(Data!$R:$R,Data!$D:$D=G47,Data!$B:$B=$A47)),"""")"),"")</f>
        <v/>
      </c>
      <c r="T47" s="64" t="str">
        <f>IFERROR(__xludf.DUMMYFUNCTION("IFERROR(Textjoin("""",TRUE,FILTER(Data!$R:$R,Data!$D:$D=H47,Data!$B:$B=$A47)),"""")"),"")</f>
        <v/>
      </c>
      <c r="U47" s="64" t="str">
        <f>IFERROR(__xludf.DUMMYFUNCTION("IFERROR(Textjoin("""",TRUE,FILTER(Data!$R:$R,Data!$D:$D=I47,Data!$B:$B=$A47)),"""")"),"")</f>
        <v/>
      </c>
      <c r="V47" s="64" t="str">
        <f>IFERROR(__xludf.DUMMYFUNCTION("IFERROR(Textjoin("""",TRUE,FILTER(Data!$R:$R,Data!$D:$D=J47,Data!$B:$B=$A47)),"""")"),"")</f>
        <v/>
      </c>
      <c r="W47" s="64" t="str">
        <f>IFERROR(__xludf.DUMMYFUNCTION("IFERROR(Textjoin("""",TRUE,FILTER(Data!$R:$R,Data!$D:$D=K47,Data!$B:$B=$A47)),"""")"),"")</f>
        <v/>
      </c>
      <c r="X47" s="64" t="str">
        <f>IFERROR(__xludf.DUMMYFUNCTION("IFERROR(Textjoin("""",TRUE,FILTER(Data!$R:$R,Data!$D:$D=L47,Data!$B:$B=$A47)),"""")"),"")</f>
        <v/>
      </c>
      <c r="Y47" s="64" t="str">
        <f>IFERROR(__xludf.DUMMYFUNCTION("IFERROR(Textjoin("""",TRUE,FILTER(Data!$R:$R,Data!$D:$D=M47,Data!$B:$B=$A47)),"""")"),"")</f>
        <v/>
      </c>
      <c r="Z47" s="64" t="str">
        <f>IFERROR(__xludf.DUMMYFUNCTION("IFERROR(SPLIT(N47,"",""),"""")"),"")</f>
        <v/>
      </c>
      <c r="AA47" s="65"/>
      <c r="AB47" s="65"/>
      <c r="AC47" s="69" t="str">
        <f>IFERROR(__xludf.DUMMYFUNCTION("IFERROR(SPLIT(O47,"",""),"""")"),"")</f>
        <v/>
      </c>
      <c r="AD47" s="65"/>
      <c r="AE47" s="65"/>
      <c r="AF47" s="69" t="str">
        <f>IFERROR(__xludf.DUMMYFUNCTION("IFERROR(SPLIT(P47,"",""),"""")"),"")</f>
        <v/>
      </c>
      <c r="AG47" s="65"/>
      <c r="AH47" s="65"/>
      <c r="AI47" s="69" t="str">
        <f>IFERROR(__xludf.DUMMYFUNCTION("IFERROR(SPLIT(Q47,"",""),"""")"),"")</f>
        <v/>
      </c>
      <c r="AJ47" s="65"/>
      <c r="AK47" s="65"/>
      <c r="AL47" s="69" t="str">
        <f>IFERROR(__xludf.DUMMYFUNCTION("IFERROR(SPLIT(R47,"",""),"""")"),"")</f>
        <v/>
      </c>
      <c r="AM47" s="65"/>
      <c r="AN47" s="65"/>
      <c r="AO47" s="69" t="str">
        <f>IFERROR(__xludf.DUMMYFUNCTION("IFERROR(SPLIT(S47,"",""),"""")"),"")</f>
        <v/>
      </c>
      <c r="AP47" s="65"/>
      <c r="AQ47" s="65"/>
      <c r="AR47" s="69" t="str">
        <f>IFERROR(__xludf.DUMMYFUNCTION("IFERROR(SPLIT(T47,"",""),"""")"),"")</f>
        <v/>
      </c>
      <c r="AS47" s="65"/>
      <c r="AT47" s="65"/>
      <c r="AU47" s="69" t="str">
        <f>IFERROR(__xludf.DUMMYFUNCTION("IFERROR(SPLIT(U47,"",""),"""")"),"")</f>
        <v/>
      </c>
      <c r="AV47" s="65"/>
      <c r="AW47" s="65"/>
      <c r="AX47" s="69" t="str">
        <f>IFERROR(__xludf.DUMMYFUNCTION("IFERROR(SPLIT(V47,"",""),"""")"),"")</f>
        <v/>
      </c>
      <c r="AY47" s="65"/>
      <c r="AZ47" s="65"/>
      <c r="BA47" s="69" t="str">
        <f>IFERROR(__xludf.DUMMYFUNCTION("IFERROR(SPLIT(W47,"",""),"""")"),"")</f>
        <v/>
      </c>
      <c r="BB47" s="69"/>
      <c r="BC47" s="69"/>
      <c r="BD47" s="69" t="str">
        <f>IFERROR(__xludf.DUMMYFUNCTION("IFERROR(SPLIT(X47,"",""),"""")"),"")</f>
        <v/>
      </c>
      <c r="BE47" s="69"/>
      <c r="BF47" s="69"/>
      <c r="BG47" s="69" t="str">
        <f>IFERROR(__xludf.DUMMYFUNCTION("IFERROR(SPLIT(Y47,"",""),"""")"),"")</f>
        <v/>
      </c>
      <c r="BH47" s="69"/>
      <c r="BI47" s="69"/>
      <c r="BJ47" s="68" t="str">
        <f>IFERROR(__xludf.DUMMYFUNCTION("IF($B47&lt;&gt;"""",IFERROR(FILTER(RawTotals!$AJ:$AJ,RawTotals!$A:$A=Z47)-(FILTER(Data!$K:$K,Data!$B:$B=Z47,Data!$D:$D=$B47)+FILTER(Data!$L:$L,Data!$B:$B=Z47,Data!$D:$D=$B47)),""""),"""")"),"")</f>
        <v/>
      </c>
      <c r="BK47" s="68" t="str">
        <f>IFERROR(__xludf.DUMMYFUNCTION("IF($B47&lt;&gt;"""",IFERROR(FILTER(RawTotals!$AJ:$AJ,RawTotals!$A:$A=AA47)-(FILTER(Data!$K:$K,Data!$B:$B=AA47,Data!$D:$D=$B47)+FILTER(Data!$L:$L,Data!$B:$B=AA47,Data!$D:$D=$B47)),""""),"""")"),"")</f>
        <v/>
      </c>
      <c r="BL47" s="68" t="str">
        <f>IFERROR(__xludf.DUMMYFUNCTION("IF($B47&lt;&gt;"""",IFERROR(FILTER(RawTotals!$AJ:$AJ,RawTotals!$A:$A=AB47)-(FILTER(Data!$K:$K,Data!$B:$B=AB47,Data!$D:$D=$B47)+FILTER(Data!$L:$L,Data!$B:$B=AB47,Data!$D:$D=$B47)),""""),"""")"),"")</f>
        <v/>
      </c>
      <c r="BM47" s="69" t="str">
        <f>IFERROR(__xludf.DUMMYFUNCTION("IF($C47&lt;&gt;"""",IFERROR(FILTER(RawTotals!$AJ:$AJ,RawTotals!$A:$A=AC47)-(FILTER(Data!$K:$K,Data!$B:$B=AC47,Data!$D:$D=$C47)+FILTER(Data!$L:$L,Data!$B:$B=AC47,Data!$D:$D=$C47)),""""),"""")"),"")</f>
        <v/>
      </c>
      <c r="BN47" s="69" t="str">
        <f>IFERROR(__xludf.DUMMYFUNCTION("IF($C47&lt;&gt;"""",IFERROR(FILTER(RawTotals!$AJ:$AJ,RawTotals!$A:$A=AD47)-(FILTER(Data!$K:$K,Data!$B:$B=AD47,Data!$D:$D=$C47)+FILTER(Data!$L:$L,Data!$B:$B=AD47,Data!$D:$D=$C47)),""""),"""")"),"")</f>
        <v/>
      </c>
      <c r="BO47" s="69" t="str">
        <f>IFERROR(__xludf.DUMMYFUNCTION("IF($C47&lt;&gt;"""",IFERROR(FILTER(RawTotals!$AJ:$AJ,RawTotals!$A:$A=AE47)-(FILTER(Data!$K:$K,Data!$B:$B=AE47,Data!$D:$D=$C47)+FILTER(Data!$L:$L,Data!$B:$B=AE47,Data!$D:$D=$C47)),""""),"""")"),"")</f>
        <v/>
      </c>
      <c r="BP47" s="69" t="str">
        <f>IFERROR(__xludf.DUMMYFUNCTION("IF($D47&lt;&gt;"""",IFERROR(FILTER(RawTotals!$AJ:$AJ,RawTotals!$A:$A=AF47)-(FILTER(Data!$K:$K,Data!$B:$B=AF47,Data!$D:$D=$D47)+FILTER(Data!$L:$L,Data!$B:$B=AF47,Data!$D:$D=$D47)),""""),"""")"),"")</f>
        <v/>
      </c>
      <c r="BQ47" s="69" t="str">
        <f>IFERROR(__xludf.DUMMYFUNCTION("IF($D47&lt;&gt;"""",IFERROR(FILTER(RawTotals!$AJ:$AJ,RawTotals!$A:$A=AG47)-(FILTER(Data!$K:$K,Data!$B:$B=AG47,Data!$D:$D=$D47)+FILTER(Data!$L:$L,Data!$B:$B=AG47,Data!$D:$D=$D47)),""""),"""")"),"")</f>
        <v/>
      </c>
      <c r="BR47" s="69" t="str">
        <f>IFERROR(__xludf.DUMMYFUNCTION("IF($D47&lt;&gt;"""",IFERROR(FILTER(RawTotals!$AJ:$AJ,RawTotals!$A:$A=AH47)-(FILTER(Data!$K:$K,Data!$B:$B=AH47,Data!$D:$D=$D47)+FILTER(Data!$L:$L,Data!$B:$B=AH47,Data!$D:$D=$D47)),""""),"""")"),"")</f>
        <v/>
      </c>
      <c r="BS47" s="69" t="str">
        <f>IFERROR(__xludf.DUMMYFUNCTION("IF($E47&lt;&gt;"""",IFERROR(FILTER(RawTotals!$AJ:$AJ,RawTotals!$A:$A=AI47)-(FILTER(Data!$K:$K,Data!$B:$B=AI47,Data!$D:$D=$E47)+FILTER(Data!$L:$L,Data!$B:$B=AI47,Data!$D:$D=$E47)),""""),"""")"),"")</f>
        <v/>
      </c>
      <c r="BT47" s="69" t="str">
        <f>IFERROR(__xludf.DUMMYFUNCTION("IF($E47&lt;&gt;"""",IFERROR(FILTER(RawTotals!$AJ:$AJ,RawTotals!$A:$A=AJ47)-(FILTER(Data!$K:$K,Data!$B:$B=AJ47,Data!$D:$D=$E47)+FILTER(Data!$L:$L,Data!$B:$B=AJ47,Data!$D:$D=$E47)),""""),"""")"),"")</f>
        <v/>
      </c>
      <c r="BU47" s="69" t="str">
        <f>IFERROR(__xludf.DUMMYFUNCTION("IF($E47&lt;&gt;"""",IFERROR(FILTER(RawTotals!$AJ:$AJ,RawTotals!$A:$A=AK47)-(FILTER(Data!$K:$K,Data!$B:$B=AK47,Data!$D:$D=$E47)+FILTER(Data!$L:$L,Data!$B:$B=AK47,Data!$D:$D=$E47)),""""),"""")"),"")</f>
        <v/>
      </c>
      <c r="BV47" s="69" t="str">
        <f>IFERROR(__xludf.DUMMYFUNCTION("IF($F47&lt;&gt;"""",IFERROR(FILTER(RawTotals!$AJ:$AJ,RawTotals!$A:$A=AL47)-(FILTER(Data!$K:$K,Data!$B:$B=AL47,Data!$D:$D=$F47)+FILTER(Data!$L:$L,Data!$B:$B=AL47,Data!$D:$D=$F47)),""""),"""")"),"")</f>
        <v/>
      </c>
      <c r="BW47" s="69" t="str">
        <f>IFERROR(__xludf.DUMMYFUNCTION("IF($F47&lt;&gt;"""",IFERROR(FILTER(RawTotals!$AJ:$AJ,RawTotals!$A:$A=AM47)-(FILTER(Data!$K:$K,Data!$B:$B=AM47,Data!$D:$D=$F47)+FILTER(Data!$L:$L,Data!$B:$B=AM47,Data!$D:$D=$F47)),""""),"""")"),"")</f>
        <v/>
      </c>
      <c r="BX47" s="69" t="str">
        <f>IFERROR(__xludf.DUMMYFUNCTION("IF($F47&lt;&gt;"""",IFERROR(FILTER(RawTotals!$AJ:$AJ,RawTotals!$A:$A=AN47)-(FILTER(Data!$K:$K,Data!$B:$B=AN47,Data!$D:$D=$F47)+FILTER(Data!$L:$L,Data!$B:$B=AN47,Data!$D:$D=$F47)),""""),"""")"),"")</f>
        <v/>
      </c>
      <c r="BY47" s="69" t="str">
        <f>IFERROR(__xludf.DUMMYFUNCTION("IF($G47&lt;&gt;"""",IFERROR(FILTER(RawTotals!$AJ:$AJ,RawTotals!$A:$A=AO47)-(FILTER(Data!$K:$K,Data!$B:$B=AO47,Data!$D:$D=$G47)+FILTER(Data!$L:$L,Data!$B:$B=AO47,Data!$D:$D=$G47)),""""),"""")"),"")</f>
        <v/>
      </c>
      <c r="BZ47" s="69" t="str">
        <f>IFERROR(__xludf.DUMMYFUNCTION("IF($G47&lt;&gt;"""",IFERROR(FILTER(RawTotals!$AJ:$AJ,RawTotals!$A:$A=AP47)-(FILTER(Data!$K:$K,Data!$B:$B=AP47,Data!$D:$D=$G47)+FILTER(Data!$L:$L,Data!$B:$B=AP47,Data!$D:$D=$G47)),""""),"""")"),"")</f>
        <v/>
      </c>
      <c r="CA47" s="69" t="str">
        <f>IFERROR(__xludf.DUMMYFUNCTION("IF($G47&lt;&gt;"""",IFERROR(FILTER(RawTotals!$AJ:$AJ,RawTotals!$A:$A=AQ47)-(FILTER(Data!$K:$K,Data!$B:$B=AQ47,Data!$D:$D=$G47)+FILTER(Data!$L:$L,Data!$B:$B=AQ47,Data!$D:$D=$G47)),""""),"""")"),"")</f>
        <v/>
      </c>
      <c r="CB47" s="69" t="str">
        <f>IFERROR(__xludf.DUMMYFUNCTION("IF($H47&lt;&gt;"""",IFERROR(FILTER(RawTotals!$AJ:$AJ,RawTotals!$A:$A=AR47)-(FILTER(Data!$K:$K,Data!$B:$B=AR47,Data!$D:$D=$H47)+FILTER(Data!$L:$L,Data!$B:$B=AR47,Data!$D:$D=$H47)),""""),"""")"),"")</f>
        <v/>
      </c>
      <c r="CC47" s="69" t="str">
        <f>IFERROR(__xludf.DUMMYFUNCTION("IF($H47&lt;&gt;"""",IFERROR(FILTER(RawTotals!$AJ:$AJ,RawTotals!$A:$A=AS47)-(FILTER(Data!$K:$K,Data!$B:$B=AS47,Data!$D:$D=$H47)+FILTER(Data!$L:$L,Data!$B:$B=AS47,Data!$D:$D=$H47)),""""),"""")"),"")</f>
        <v/>
      </c>
      <c r="CD47" s="69" t="str">
        <f>IFERROR(__xludf.DUMMYFUNCTION("IF($H47&lt;&gt;"""",IFERROR(FILTER(RawTotals!$AJ:$AJ,RawTotals!$A:$A=AT47)-(FILTER(Data!$K:$K,Data!$B:$B=AT47,Data!$D:$D=$H47)+FILTER(Data!$L:$L,Data!$B:$B=AT47,Data!$D:$D=$H47)),""""),"""")"),"")</f>
        <v/>
      </c>
      <c r="CE47" s="69" t="str">
        <f>IFERROR(__xludf.DUMMYFUNCTION("IF($I47&lt;&gt;"""",IFERROR(FILTER(RawTotals!$AJ:$AJ,RawTotals!$A:$A=AU47)-(FILTER(Data!$K:$K,Data!$B:$B=AU47,Data!$D:$D=$I47)+FILTER(Data!$L:$L,Data!$B:$B=AU47,Data!$D:$D=$I47)),""""),"""")"),"")</f>
        <v/>
      </c>
      <c r="CF47" s="69" t="str">
        <f>IFERROR(__xludf.DUMMYFUNCTION("IF($I47&lt;&gt;"""",IFERROR(FILTER(RawTotals!$AJ:$AJ,RawTotals!$A:$A=AV47)-(FILTER(Data!$K:$K,Data!$B:$B=AV47,Data!$D:$D=$I47)+FILTER(Data!$L:$L,Data!$B:$B=AV47,Data!$D:$D=$I47)),""""),"""")"),"")</f>
        <v/>
      </c>
      <c r="CG47" s="69" t="str">
        <f>IFERROR(__xludf.DUMMYFUNCTION("IF($I47&lt;&gt;"""",IFERROR(FILTER(RawTotals!$AJ:$AJ,RawTotals!$A:$A=AW47)-(FILTER(Data!$K:$K,Data!$B:$B=AW47,Data!$D:$D=$I47)+FILTER(Data!$L:$L,Data!$B:$B=AW47,Data!$D:$D=$I47)),""""),"""")"),"")</f>
        <v/>
      </c>
      <c r="CH47" s="69" t="str">
        <f>IFERROR(__xludf.DUMMYFUNCTION("IF($J47&lt;&gt;"""",IFERROR(FILTER(RawTotals!$AJ:$AJ,RawTotals!$A:$A=AX47)-(FILTER(Data!$K:$K,Data!$B:$B=AX47,Data!$D:$D=$J47)+FILTER(Data!$L:$L,Data!$B:$B=AX47,Data!$D:$D=$J47)),""""),"""")"),"")</f>
        <v/>
      </c>
      <c r="CI47" s="69" t="str">
        <f>IFERROR(__xludf.DUMMYFUNCTION("IF($J47&lt;&gt;"""",IFERROR(FILTER(RawTotals!$AJ:$AJ,RawTotals!$A:$A=AY47)-(FILTER(Data!$K:$K,Data!$B:$B=AY47,Data!$D:$D=$J47)+FILTER(Data!$L:$L,Data!$B:$B=AY47,Data!$D:$D=$J47)),""""),"""")"),"")</f>
        <v/>
      </c>
      <c r="CJ47" s="69" t="str">
        <f>IFERROR(__xludf.DUMMYFUNCTION("IF($J47&lt;&gt;"""",IFERROR(FILTER(RawTotals!$AJ:$AJ,RawTotals!$A:$A=AZ47)-(FILTER(Data!$K:$K,Data!$B:$B=AZ47,Data!$D:$D=$J47)+FILTER(Data!$L:$L,Data!$B:$B=AZ47,Data!$D:$D=$J47)),""""),"""")"),"")</f>
        <v/>
      </c>
      <c r="CK47" s="69" t="str">
        <f>IFERROR(__xludf.DUMMYFUNCTION("IF($K47&lt;&gt;"""",IFERROR(FILTER(RawTotals!$AJ:$AJ,RawTotals!$A:$A=BA47)-(FILTER(Data!$K:$K,Data!$B:$B=BA47,Data!$D:$D=$K47)+FILTER(Data!$L:$L,Data!$B:$B=BA47,Data!$D:$D=$K47)),""""),"""")"),"")</f>
        <v/>
      </c>
      <c r="CL47" s="69" t="str">
        <f>IFERROR(__xludf.DUMMYFUNCTION("IF($K47&lt;&gt;"""",IFERROR(FILTER(RawTotals!$AJ:$AJ,RawTotals!$A:$A=BB47)-(FILTER(Data!$K:$K,Data!$B:$B=BB47,Data!$D:$D=$K47)+FILTER(Data!$L:$L,Data!$B:$B=BB47,Data!$D:$D=$K47)),""""),"""")"),"")</f>
        <v/>
      </c>
      <c r="CM47" s="69" t="str">
        <f>IFERROR(__xludf.DUMMYFUNCTION("IF($K47&lt;&gt;"""",IFERROR(FILTER(RawTotals!$AJ:$AJ,RawTotals!$A:$A=BC47)-(FILTER(Data!$K:$K,Data!$B:$B=BC47,Data!$D:$D=$K47)+FILTER(Data!$L:$L,Data!$B:$B=BC47,Data!$D:$D=$K47)),""""),"""")"),"")</f>
        <v/>
      </c>
      <c r="CN47" s="69" t="str">
        <f>IFERROR(__xludf.DUMMYFUNCTION("IF($L47&lt;&gt;"""",IFERROR((FILTER(RawTotals!$AJ:$AJ,RawTotals!$A:$A=BD47)-(FILTER(Data!$K:$K,Data!$B:$B=BD47,Data!$D:$D=$L47)+FILTER(Data!$L:$L,Data!$B:$B=BD47,Data!$D:$D=$L47))),""""),"""")"),"")</f>
        <v/>
      </c>
      <c r="CO47" s="69" t="str">
        <f>IFERROR(__xludf.DUMMYFUNCTION("IF($L47&lt;&gt;"""",IFERROR((FILTER(RawTotals!$AJ:$AJ,RawTotals!$A:$A=BE47)-(FILTER(Data!$K:$K,Data!$B:$B=BE47,Data!$D:$D=$L47)+FILTER(Data!$L:$L,Data!$B:$B=BE47,Data!$D:$D=$L47))),""""),"""")"),"")</f>
        <v/>
      </c>
      <c r="CP47" s="69" t="str">
        <f>IFERROR(__xludf.DUMMYFUNCTION("IF($L47&lt;&gt;"""",IFERROR((FILTER(RawTotals!$AJ:$AJ,RawTotals!$A:$A=BF47)-(FILTER(Data!$K:$K,Data!$B:$B=BF47,Data!$D:$D=$L47)+FILTER(Data!$L:$L,Data!$B:$B=BF47,Data!$D:$D=$L47))),""""),"""")"),"")</f>
        <v/>
      </c>
      <c r="CQ47" s="69" t="str">
        <f>IFERROR(__xludf.DUMMYFUNCTION("IF($M47&lt;&gt;"""",IFERROR((FILTER(RawTotals!$AJ:$AJ,RawTotals!$A:$A=BG47)-(FILTER(Data!$K:$K,Data!$B:$B=BG47,Data!$D:$D=$M47)+FILTER(Data!$L:$L,Data!$B:$B=BG47,Data!$D:$D=$M47))),""""),"""")"),"")</f>
        <v/>
      </c>
      <c r="CR47" s="69" t="str">
        <f>IFERROR(__xludf.DUMMYFUNCTION("IF($M47&lt;&gt;"""",IFERROR((FILTER(RawTotals!$AJ:$AJ,RawTotals!$A:$A=BH47)-(FILTER(Data!$K:$K,Data!$B:$B=BH47,Data!$D:$D=$M47)+FILTER(Data!$L:$L,Data!$B:$B=BH47,Data!$D:$D=$M47))),""""),"""")"),"")</f>
        <v/>
      </c>
      <c r="CS47" s="70" t="str">
        <f>IFERROR(__xludf.DUMMYFUNCTION("IF($M47&lt;&gt;"""",IFERROR((FILTER(RawTotals!$AJ:$AJ,RawTotals!$A:$A=BI47)-(FILTER(Data!$K:$K,Data!$B:$B=BI47,Data!$D:$D=$M47)+FILTER(Data!$L:$L,Data!$B:$B=BI47,Data!$D:$D=$M47))),""""),"""")"),"")</f>
        <v/>
      </c>
      <c r="CT47" s="69"/>
      <c r="CU47" s="69"/>
      <c r="CV47" s="69"/>
      <c r="CW47" s="69"/>
      <c r="CX47" s="69"/>
      <c r="CY47" s="69"/>
      <c r="CZ47" s="69"/>
      <c r="DA47" s="69"/>
      <c r="DB47" s="69"/>
      <c r="DC47" s="69"/>
      <c r="DD47" s="69"/>
      <c r="DE47" s="69"/>
    </row>
    <row r="48">
      <c r="A48" s="67">
        <f>RawTotals!A48</f>
        <v>3175</v>
      </c>
      <c r="B48" s="68" t="str">
        <f>IFERROR(__xludf.DUMMYFUNCTION("IF(A48&lt;&gt;"""",IFERROR(TRANSPOSE(FILTER(Data!D:D,Data!B:B=A48,Data!R:R&lt;&gt;"""")),""No Defense""),"""")"),"No Defense")</f>
        <v>No Defense</v>
      </c>
      <c r="C48" s="65"/>
      <c r="D48" s="65"/>
      <c r="E48" s="65"/>
      <c r="F48" s="65"/>
      <c r="G48" s="65"/>
      <c r="H48" s="65"/>
      <c r="I48" s="65"/>
      <c r="J48" s="65"/>
      <c r="K48" s="65"/>
      <c r="L48" s="65"/>
      <c r="M48" s="65"/>
      <c r="N48" s="64" t="str">
        <f>IFERROR(__xludf.DUMMYFUNCTION("IFERROR(Textjoin("""",TRUE,FILTER(Data!$R:$R,Data!$D:$D=B48,Data!$B:$B=$A48)),"""")"),"")</f>
        <v/>
      </c>
      <c r="O48" s="64" t="str">
        <f>IFERROR(__xludf.DUMMYFUNCTION("IFERROR(Textjoin("""",TRUE,FILTER(Data!$R:$R,Data!$D:$D=C48,Data!$B:$B=$A48)),"""")"),"")</f>
        <v/>
      </c>
      <c r="P48" s="64" t="str">
        <f>IFERROR(__xludf.DUMMYFUNCTION("IFERROR(Textjoin("""",TRUE,FILTER(Data!$R:$R,Data!$D:$D=D48,Data!$B:$B=$A48)),"""")"),"")</f>
        <v/>
      </c>
      <c r="Q48" s="64" t="str">
        <f>IFERROR(__xludf.DUMMYFUNCTION("IFERROR(Textjoin("""",TRUE,FILTER(Data!$R:$R,Data!$D:$D=E48,Data!$B:$B=$A48)),"""")"),"")</f>
        <v/>
      </c>
      <c r="R48" s="64" t="str">
        <f>IFERROR(__xludf.DUMMYFUNCTION("IFERROR(Textjoin("""",TRUE,FILTER(Data!$R:$R,Data!$D:$D=F48,Data!$B:$B=$A48)),"""")"),"")</f>
        <v/>
      </c>
      <c r="S48" s="64" t="str">
        <f>IFERROR(__xludf.DUMMYFUNCTION("IFERROR(Textjoin("""",TRUE,FILTER(Data!$R:$R,Data!$D:$D=G48,Data!$B:$B=$A48)),"""")"),"")</f>
        <v/>
      </c>
      <c r="T48" s="64" t="str">
        <f>IFERROR(__xludf.DUMMYFUNCTION("IFERROR(Textjoin("""",TRUE,FILTER(Data!$R:$R,Data!$D:$D=H48,Data!$B:$B=$A48)),"""")"),"")</f>
        <v/>
      </c>
      <c r="U48" s="64" t="str">
        <f>IFERROR(__xludf.DUMMYFUNCTION("IFERROR(Textjoin("""",TRUE,FILTER(Data!$R:$R,Data!$D:$D=I48,Data!$B:$B=$A48)),"""")"),"")</f>
        <v/>
      </c>
      <c r="V48" s="64" t="str">
        <f>IFERROR(__xludf.DUMMYFUNCTION("IFERROR(Textjoin("""",TRUE,FILTER(Data!$R:$R,Data!$D:$D=J48,Data!$B:$B=$A48)),"""")"),"")</f>
        <v/>
      </c>
      <c r="W48" s="64" t="str">
        <f>IFERROR(__xludf.DUMMYFUNCTION("IFERROR(Textjoin("""",TRUE,FILTER(Data!$R:$R,Data!$D:$D=K48,Data!$B:$B=$A48)),"""")"),"")</f>
        <v/>
      </c>
      <c r="X48" s="64" t="str">
        <f>IFERROR(__xludf.DUMMYFUNCTION("IFERROR(Textjoin("""",TRUE,FILTER(Data!$R:$R,Data!$D:$D=L48,Data!$B:$B=$A48)),"""")"),"")</f>
        <v/>
      </c>
      <c r="Y48" s="64" t="str">
        <f>IFERROR(__xludf.DUMMYFUNCTION("IFERROR(Textjoin("""",TRUE,FILTER(Data!$R:$R,Data!$D:$D=M48,Data!$B:$B=$A48)),"""")"),"")</f>
        <v/>
      </c>
      <c r="Z48" s="64" t="str">
        <f>IFERROR(__xludf.DUMMYFUNCTION("IFERROR(SPLIT(N48,"",""),"""")"),"")</f>
        <v/>
      </c>
      <c r="AA48" s="65"/>
      <c r="AB48" s="65"/>
      <c r="AC48" s="69" t="str">
        <f>IFERROR(__xludf.DUMMYFUNCTION("IFERROR(SPLIT(O48,"",""),"""")"),"")</f>
        <v/>
      </c>
      <c r="AD48" s="65"/>
      <c r="AE48" s="65"/>
      <c r="AF48" s="69" t="str">
        <f>IFERROR(__xludf.DUMMYFUNCTION("IFERROR(SPLIT(P48,"",""),"""")"),"")</f>
        <v/>
      </c>
      <c r="AG48" s="65"/>
      <c r="AH48" s="65"/>
      <c r="AI48" s="69" t="str">
        <f>IFERROR(__xludf.DUMMYFUNCTION("IFERROR(SPLIT(Q48,"",""),"""")"),"")</f>
        <v/>
      </c>
      <c r="AJ48" s="65"/>
      <c r="AK48" s="65"/>
      <c r="AL48" s="69" t="str">
        <f>IFERROR(__xludf.DUMMYFUNCTION("IFERROR(SPLIT(R48,"",""),"""")"),"")</f>
        <v/>
      </c>
      <c r="AM48" s="65"/>
      <c r="AN48" s="65"/>
      <c r="AO48" s="69" t="str">
        <f>IFERROR(__xludf.DUMMYFUNCTION("IFERROR(SPLIT(S48,"",""),"""")"),"")</f>
        <v/>
      </c>
      <c r="AP48" s="65"/>
      <c r="AQ48" s="65"/>
      <c r="AR48" s="69" t="str">
        <f>IFERROR(__xludf.DUMMYFUNCTION("IFERROR(SPLIT(T48,"",""),"""")"),"")</f>
        <v/>
      </c>
      <c r="AS48" s="65"/>
      <c r="AT48" s="65"/>
      <c r="AU48" s="69" t="str">
        <f>IFERROR(__xludf.DUMMYFUNCTION("IFERROR(SPLIT(U48,"",""),"""")"),"")</f>
        <v/>
      </c>
      <c r="AV48" s="65"/>
      <c r="AW48" s="65"/>
      <c r="AX48" s="69" t="str">
        <f>IFERROR(__xludf.DUMMYFUNCTION("IFERROR(SPLIT(V48,"",""),"""")"),"")</f>
        <v/>
      </c>
      <c r="AY48" s="65"/>
      <c r="AZ48" s="65"/>
      <c r="BA48" s="69" t="str">
        <f>IFERROR(__xludf.DUMMYFUNCTION("IFERROR(SPLIT(W48,"",""),"""")"),"")</f>
        <v/>
      </c>
      <c r="BB48" s="69"/>
      <c r="BC48" s="69"/>
      <c r="BD48" s="69" t="str">
        <f>IFERROR(__xludf.DUMMYFUNCTION("IFERROR(SPLIT(X48,"",""),"""")"),"")</f>
        <v/>
      </c>
      <c r="BE48" s="69"/>
      <c r="BF48" s="69"/>
      <c r="BG48" s="69" t="str">
        <f>IFERROR(__xludf.DUMMYFUNCTION("IFERROR(SPLIT(Y48,"",""),"""")"),"")</f>
        <v/>
      </c>
      <c r="BH48" s="69"/>
      <c r="BI48" s="69"/>
      <c r="BJ48" s="68" t="str">
        <f>IFERROR(__xludf.DUMMYFUNCTION("IF($B48&lt;&gt;"""",IFERROR(FILTER(RawTotals!$AJ:$AJ,RawTotals!$A:$A=Z48)-(FILTER(Data!$K:$K,Data!$B:$B=Z48,Data!$D:$D=$B48)+FILTER(Data!$L:$L,Data!$B:$B=Z48,Data!$D:$D=$B48)),""""),"""")"),"")</f>
        <v/>
      </c>
      <c r="BK48" s="68" t="str">
        <f>IFERROR(__xludf.DUMMYFUNCTION("IF($B48&lt;&gt;"""",IFERROR(FILTER(RawTotals!$AJ:$AJ,RawTotals!$A:$A=AA48)-(FILTER(Data!$K:$K,Data!$B:$B=AA48,Data!$D:$D=$B48)+FILTER(Data!$L:$L,Data!$B:$B=AA48,Data!$D:$D=$B48)),""""),"""")"),"")</f>
        <v/>
      </c>
      <c r="BL48" s="68" t="str">
        <f>IFERROR(__xludf.DUMMYFUNCTION("IF($B48&lt;&gt;"""",IFERROR(FILTER(RawTotals!$AJ:$AJ,RawTotals!$A:$A=AB48)-(FILTER(Data!$K:$K,Data!$B:$B=AB48,Data!$D:$D=$B48)+FILTER(Data!$L:$L,Data!$B:$B=AB48,Data!$D:$D=$B48)),""""),"""")"),"")</f>
        <v/>
      </c>
      <c r="BM48" s="69" t="str">
        <f>IFERROR(__xludf.DUMMYFUNCTION("IF($C48&lt;&gt;"""",IFERROR(FILTER(RawTotals!$AJ:$AJ,RawTotals!$A:$A=AC48)-(FILTER(Data!$K:$K,Data!$B:$B=AC48,Data!$D:$D=$C48)+FILTER(Data!$L:$L,Data!$B:$B=AC48,Data!$D:$D=$C48)),""""),"""")"),"")</f>
        <v/>
      </c>
      <c r="BN48" s="69" t="str">
        <f>IFERROR(__xludf.DUMMYFUNCTION("IF($C48&lt;&gt;"""",IFERROR(FILTER(RawTotals!$AJ:$AJ,RawTotals!$A:$A=AD48)-(FILTER(Data!$K:$K,Data!$B:$B=AD48,Data!$D:$D=$C48)+FILTER(Data!$L:$L,Data!$B:$B=AD48,Data!$D:$D=$C48)),""""),"""")"),"")</f>
        <v/>
      </c>
      <c r="BO48" s="69" t="str">
        <f>IFERROR(__xludf.DUMMYFUNCTION("IF($C48&lt;&gt;"""",IFERROR(FILTER(RawTotals!$AJ:$AJ,RawTotals!$A:$A=AE48)-(FILTER(Data!$K:$K,Data!$B:$B=AE48,Data!$D:$D=$C48)+FILTER(Data!$L:$L,Data!$B:$B=AE48,Data!$D:$D=$C48)),""""),"""")"),"")</f>
        <v/>
      </c>
      <c r="BP48" s="69" t="str">
        <f>IFERROR(__xludf.DUMMYFUNCTION("IF($D48&lt;&gt;"""",IFERROR(FILTER(RawTotals!$AJ:$AJ,RawTotals!$A:$A=AF48)-(FILTER(Data!$K:$K,Data!$B:$B=AF48,Data!$D:$D=$D48)+FILTER(Data!$L:$L,Data!$B:$B=AF48,Data!$D:$D=$D48)),""""),"""")"),"")</f>
        <v/>
      </c>
      <c r="BQ48" s="69" t="str">
        <f>IFERROR(__xludf.DUMMYFUNCTION("IF($D48&lt;&gt;"""",IFERROR(FILTER(RawTotals!$AJ:$AJ,RawTotals!$A:$A=AG48)-(FILTER(Data!$K:$K,Data!$B:$B=AG48,Data!$D:$D=$D48)+FILTER(Data!$L:$L,Data!$B:$B=AG48,Data!$D:$D=$D48)),""""),"""")"),"")</f>
        <v/>
      </c>
      <c r="BR48" s="69" t="str">
        <f>IFERROR(__xludf.DUMMYFUNCTION("IF($D48&lt;&gt;"""",IFERROR(FILTER(RawTotals!$AJ:$AJ,RawTotals!$A:$A=AH48)-(FILTER(Data!$K:$K,Data!$B:$B=AH48,Data!$D:$D=$D48)+FILTER(Data!$L:$L,Data!$B:$B=AH48,Data!$D:$D=$D48)),""""),"""")"),"")</f>
        <v/>
      </c>
      <c r="BS48" s="69" t="str">
        <f>IFERROR(__xludf.DUMMYFUNCTION("IF($E48&lt;&gt;"""",IFERROR(FILTER(RawTotals!$AJ:$AJ,RawTotals!$A:$A=AI48)-(FILTER(Data!$K:$K,Data!$B:$B=AI48,Data!$D:$D=$E48)+FILTER(Data!$L:$L,Data!$B:$B=AI48,Data!$D:$D=$E48)),""""),"""")"),"")</f>
        <v/>
      </c>
      <c r="BT48" s="69" t="str">
        <f>IFERROR(__xludf.DUMMYFUNCTION("IF($E48&lt;&gt;"""",IFERROR(FILTER(RawTotals!$AJ:$AJ,RawTotals!$A:$A=AJ48)-(FILTER(Data!$K:$K,Data!$B:$B=AJ48,Data!$D:$D=$E48)+FILTER(Data!$L:$L,Data!$B:$B=AJ48,Data!$D:$D=$E48)),""""),"""")"),"")</f>
        <v/>
      </c>
      <c r="BU48" s="69" t="str">
        <f>IFERROR(__xludf.DUMMYFUNCTION("IF($E48&lt;&gt;"""",IFERROR(FILTER(RawTotals!$AJ:$AJ,RawTotals!$A:$A=AK48)-(FILTER(Data!$K:$K,Data!$B:$B=AK48,Data!$D:$D=$E48)+FILTER(Data!$L:$L,Data!$B:$B=AK48,Data!$D:$D=$E48)),""""),"""")"),"")</f>
        <v/>
      </c>
      <c r="BV48" s="69" t="str">
        <f>IFERROR(__xludf.DUMMYFUNCTION("IF($F48&lt;&gt;"""",IFERROR(FILTER(RawTotals!$AJ:$AJ,RawTotals!$A:$A=AL48)-(FILTER(Data!$K:$K,Data!$B:$B=AL48,Data!$D:$D=$F48)+FILTER(Data!$L:$L,Data!$B:$B=AL48,Data!$D:$D=$F48)),""""),"""")"),"")</f>
        <v/>
      </c>
      <c r="BW48" s="69" t="str">
        <f>IFERROR(__xludf.DUMMYFUNCTION("IF($F48&lt;&gt;"""",IFERROR(FILTER(RawTotals!$AJ:$AJ,RawTotals!$A:$A=AM48)-(FILTER(Data!$K:$K,Data!$B:$B=AM48,Data!$D:$D=$F48)+FILTER(Data!$L:$L,Data!$B:$B=AM48,Data!$D:$D=$F48)),""""),"""")"),"")</f>
        <v/>
      </c>
      <c r="BX48" s="69" t="str">
        <f>IFERROR(__xludf.DUMMYFUNCTION("IF($F48&lt;&gt;"""",IFERROR(FILTER(RawTotals!$AJ:$AJ,RawTotals!$A:$A=AN48)-(FILTER(Data!$K:$K,Data!$B:$B=AN48,Data!$D:$D=$F48)+FILTER(Data!$L:$L,Data!$B:$B=AN48,Data!$D:$D=$F48)),""""),"""")"),"")</f>
        <v/>
      </c>
      <c r="BY48" s="69" t="str">
        <f>IFERROR(__xludf.DUMMYFUNCTION("IF($G48&lt;&gt;"""",IFERROR(FILTER(RawTotals!$AJ:$AJ,RawTotals!$A:$A=AO48)-(FILTER(Data!$K:$K,Data!$B:$B=AO48,Data!$D:$D=$G48)+FILTER(Data!$L:$L,Data!$B:$B=AO48,Data!$D:$D=$G48)),""""),"""")"),"")</f>
        <v/>
      </c>
      <c r="BZ48" s="69" t="str">
        <f>IFERROR(__xludf.DUMMYFUNCTION("IF($G48&lt;&gt;"""",IFERROR(FILTER(RawTotals!$AJ:$AJ,RawTotals!$A:$A=AP48)-(FILTER(Data!$K:$K,Data!$B:$B=AP48,Data!$D:$D=$G48)+FILTER(Data!$L:$L,Data!$B:$B=AP48,Data!$D:$D=$G48)),""""),"""")"),"")</f>
        <v/>
      </c>
      <c r="CA48" s="69" t="str">
        <f>IFERROR(__xludf.DUMMYFUNCTION("IF($G48&lt;&gt;"""",IFERROR(FILTER(RawTotals!$AJ:$AJ,RawTotals!$A:$A=AQ48)-(FILTER(Data!$K:$K,Data!$B:$B=AQ48,Data!$D:$D=$G48)+FILTER(Data!$L:$L,Data!$B:$B=AQ48,Data!$D:$D=$G48)),""""),"""")"),"")</f>
        <v/>
      </c>
      <c r="CB48" s="69" t="str">
        <f>IFERROR(__xludf.DUMMYFUNCTION("IF($H48&lt;&gt;"""",IFERROR(FILTER(RawTotals!$AJ:$AJ,RawTotals!$A:$A=AR48)-(FILTER(Data!$K:$K,Data!$B:$B=AR48,Data!$D:$D=$H48)+FILTER(Data!$L:$L,Data!$B:$B=AR48,Data!$D:$D=$H48)),""""),"""")"),"")</f>
        <v/>
      </c>
      <c r="CC48" s="69" t="str">
        <f>IFERROR(__xludf.DUMMYFUNCTION("IF($H48&lt;&gt;"""",IFERROR(FILTER(RawTotals!$AJ:$AJ,RawTotals!$A:$A=AS48)-(FILTER(Data!$K:$K,Data!$B:$B=AS48,Data!$D:$D=$H48)+FILTER(Data!$L:$L,Data!$B:$B=AS48,Data!$D:$D=$H48)),""""),"""")"),"")</f>
        <v/>
      </c>
      <c r="CD48" s="69" t="str">
        <f>IFERROR(__xludf.DUMMYFUNCTION("IF($H48&lt;&gt;"""",IFERROR(FILTER(RawTotals!$AJ:$AJ,RawTotals!$A:$A=AT48)-(FILTER(Data!$K:$K,Data!$B:$B=AT48,Data!$D:$D=$H48)+FILTER(Data!$L:$L,Data!$B:$B=AT48,Data!$D:$D=$H48)),""""),"""")"),"")</f>
        <v/>
      </c>
      <c r="CE48" s="69" t="str">
        <f>IFERROR(__xludf.DUMMYFUNCTION("IF($I48&lt;&gt;"""",IFERROR(FILTER(RawTotals!$AJ:$AJ,RawTotals!$A:$A=AU48)-(FILTER(Data!$K:$K,Data!$B:$B=AU48,Data!$D:$D=$I48)+FILTER(Data!$L:$L,Data!$B:$B=AU48,Data!$D:$D=$I48)),""""),"""")"),"")</f>
        <v/>
      </c>
      <c r="CF48" s="69" t="str">
        <f>IFERROR(__xludf.DUMMYFUNCTION("IF($I48&lt;&gt;"""",IFERROR(FILTER(RawTotals!$AJ:$AJ,RawTotals!$A:$A=AV48)-(FILTER(Data!$K:$K,Data!$B:$B=AV48,Data!$D:$D=$I48)+FILTER(Data!$L:$L,Data!$B:$B=AV48,Data!$D:$D=$I48)),""""),"""")"),"")</f>
        <v/>
      </c>
      <c r="CG48" s="69" t="str">
        <f>IFERROR(__xludf.DUMMYFUNCTION("IF($I48&lt;&gt;"""",IFERROR(FILTER(RawTotals!$AJ:$AJ,RawTotals!$A:$A=AW48)-(FILTER(Data!$K:$K,Data!$B:$B=AW48,Data!$D:$D=$I48)+FILTER(Data!$L:$L,Data!$B:$B=AW48,Data!$D:$D=$I48)),""""),"""")"),"")</f>
        <v/>
      </c>
      <c r="CH48" s="69" t="str">
        <f>IFERROR(__xludf.DUMMYFUNCTION("IF($J48&lt;&gt;"""",IFERROR(FILTER(RawTotals!$AJ:$AJ,RawTotals!$A:$A=AX48)-(FILTER(Data!$K:$K,Data!$B:$B=AX48,Data!$D:$D=$J48)+FILTER(Data!$L:$L,Data!$B:$B=AX48,Data!$D:$D=$J48)),""""),"""")"),"")</f>
        <v/>
      </c>
      <c r="CI48" s="69" t="str">
        <f>IFERROR(__xludf.DUMMYFUNCTION("IF($J48&lt;&gt;"""",IFERROR(FILTER(RawTotals!$AJ:$AJ,RawTotals!$A:$A=AY48)-(FILTER(Data!$K:$K,Data!$B:$B=AY48,Data!$D:$D=$J48)+FILTER(Data!$L:$L,Data!$B:$B=AY48,Data!$D:$D=$J48)),""""),"""")"),"")</f>
        <v/>
      </c>
      <c r="CJ48" s="69" t="str">
        <f>IFERROR(__xludf.DUMMYFUNCTION("IF($J48&lt;&gt;"""",IFERROR(FILTER(RawTotals!$AJ:$AJ,RawTotals!$A:$A=AZ48)-(FILTER(Data!$K:$K,Data!$B:$B=AZ48,Data!$D:$D=$J48)+FILTER(Data!$L:$L,Data!$B:$B=AZ48,Data!$D:$D=$J48)),""""),"""")"),"")</f>
        <v/>
      </c>
      <c r="CK48" s="69" t="str">
        <f>IFERROR(__xludf.DUMMYFUNCTION("IF($K48&lt;&gt;"""",IFERROR(FILTER(RawTotals!$AJ:$AJ,RawTotals!$A:$A=BA48)-(FILTER(Data!$K:$K,Data!$B:$B=BA48,Data!$D:$D=$K48)+FILTER(Data!$L:$L,Data!$B:$B=BA48,Data!$D:$D=$K48)),""""),"""")"),"")</f>
        <v/>
      </c>
      <c r="CL48" s="69" t="str">
        <f>IFERROR(__xludf.DUMMYFUNCTION("IF($K48&lt;&gt;"""",IFERROR(FILTER(RawTotals!$AJ:$AJ,RawTotals!$A:$A=BB48)-(FILTER(Data!$K:$K,Data!$B:$B=BB48,Data!$D:$D=$K48)+FILTER(Data!$L:$L,Data!$B:$B=BB48,Data!$D:$D=$K48)),""""),"""")"),"")</f>
        <v/>
      </c>
      <c r="CM48" s="69" t="str">
        <f>IFERROR(__xludf.DUMMYFUNCTION("IF($K48&lt;&gt;"""",IFERROR(FILTER(RawTotals!$AJ:$AJ,RawTotals!$A:$A=BC48)-(FILTER(Data!$K:$K,Data!$B:$B=BC48,Data!$D:$D=$K48)+FILTER(Data!$L:$L,Data!$B:$B=BC48,Data!$D:$D=$K48)),""""),"""")"),"")</f>
        <v/>
      </c>
      <c r="CN48" s="69" t="str">
        <f>IFERROR(__xludf.DUMMYFUNCTION("IF($L48&lt;&gt;"""",IFERROR((FILTER(RawTotals!$AJ:$AJ,RawTotals!$A:$A=BD48)-(FILTER(Data!$K:$K,Data!$B:$B=BD48,Data!$D:$D=$L48)+FILTER(Data!$L:$L,Data!$B:$B=BD48,Data!$D:$D=$L48))),""""),"""")"),"")</f>
        <v/>
      </c>
      <c r="CO48" s="69" t="str">
        <f>IFERROR(__xludf.DUMMYFUNCTION("IF($L48&lt;&gt;"""",IFERROR((FILTER(RawTotals!$AJ:$AJ,RawTotals!$A:$A=BE48)-(FILTER(Data!$K:$K,Data!$B:$B=BE48,Data!$D:$D=$L48)+FILTER(Data!$L:$L,Data!$B:$B=BE48,Data!$D:$D=$L48))),""""),"""")"),"")</f>
        <v/>
      </c>
      <c r="CP48" s="69" t="str">
        <f>IFERROR(__xludf.DUMMYFUNCTION("IF($L48&lt;&gt;"""",IFERROR((FILTER(RawTotals!$AJ:$AJ,RawTotals!$A:$A=BF48)-(FILTER(Data!$K:$K,Data!$B:$B=BF48,Data!$D:$D=$L48)+FILTER(Data!$L:$L,Data!$B:$B=BF48,Data!$D:$D=$L48))),""""),"""")"),"")</f>
        <v/>
      </c>
      <c r="CQ48" s="69" t="str">
        <f>IFERROR(__xludf.DUMMYFUNCTION("IF($M48&lt;&gt;"""",IFERROR((FILTER(RawTotals!$AJ:$AJ,RawTotals!$A:$A=BG48)-(FILTER(Data!$K:$K,Data!$B:$B=BG48,Data!$D:$D=$M48)+FILTER(Data!$L:$L,Data!$B:$B=BG48,Data!$D:$D=$M48))),""""),"""")"),"")</f>
        <v/>
      </c>
      <c r="CR48" s="69" t="str">
        <f>IFERROR(__xludf.DUMMYFUNCTION("IF($M48&lt;&gt;"""",IFERROR((FILTER(RawTotals!$AJ:$AJ,RawTotals!$A:$A=BH48)-(FILTER(Data!$K:$K,Data!$B:$B=BH48,Data!$D:$D=$M48)+FILTER(Data!$L:$L,Data!$B:$B=BH48,Data!$D:$D=$M48))),""""),"""")"),"")</f>
        <v/>
      </c>
      <c r="CS48" s="70" t="str">
        <f>IFERROR(__xludf.DUMMYFUNCTION("IF($M48&lt;&gt;"""",IFERROR((FILTER(RawTotals!$AJ:$AJ,RawTotals!$A:$A=BI48)-(FILTER(Data!$K:$K,Data!$B:$B=BI48,Data!$D:$D=$M48)+FILTER(Data!$L:$L,Data!$B:$B=BI48,Data!$D:$D=$M48))),""""),"""")"),"")</f>
        <v/>
      </c>
      <c r="CT48" s="69"/>
      <c r="CU48" s="69"/>
      <c r="CV48" s="69"/>
      <c r="CW48" s="69"/>
      <c r="CX48" s="69"/>
      <c r="CY48" s="69"/>
      <c r="CZ48" s="69"/>
      <c r="DA48" s="69"/>
      <c r="DB48" s="69"/>
      <c r="DC48" s="69"/>
      <c r="DD48" s="69"/>
      <c r="DE48" s="69"/>
    </row>
    <row r="49">
      <c r="A49" s="67">
        <f>RawTotals!A49</f>
        <v>325</v>
      </c>
      <c r="B49" s="68" t="str">
        <f>IFERROR(__xludf.DUMMYFUNCTION("IF(A49&lt;&gt;"""",IFERROR(TRANSPOSE(FILTER(Data!D:D,Data!B:B=A49,Data!R:R&lt;&gt;"""")),""No Defense""),"""")"),"No Defense")</f>
        <v>No Defense</v>
      </c>
      <c r="C49" s="65"/>
      <c r="D49" s="65"/>
      <c r="E49" s="65"/>
      <c r="F49" s="65"/>
      <c r="G49" s="65"/>
      <c r="H49" s="65"/>
      <c r="I49" s="65"/>
      <c r="J49" s="65"/>
      <c r="K49" s="65"/>
      <c r="L49" s="65"/>
      <c r="M49" s="65"/>
      <c r="N49" s="64" t="str">
        <f>IFERROR(__xludf.DUMMYFUNCTION("IFERROR(Textjoin("""",TRUE,FILTER(Data!$R:$R,Data!$D:$D=B49,Data!$B:$B=$A49)),"""")"),"")</f>
        <v/>
      </c>
      <c r="O49" s="64" t="str">
        <f>IFERROR(__xludf.DUMMYFUNCTION("IFERROR(Textjoin("""",TRUE,FILTER(Data!$R:$R,Data!$D:$D=C49,Data!$B:$B=$A49)),"""")"),"")</f>
        <v/>
      </c>
      <c r="P49" s="64" t="str">
        <f>IFERROR(__xludf.DUMMYFUNCTION("IFERROR(Textjoin("""",TRUE,FILTER(Data!$R:$R,Data!$D:$D=D49,Data!$B:$B=$A49)),"""")"),"")</f>
        <v/>
      </c>
      <c r="Q49" s="64" t="str">
        <f>IFERROR(__xludf.DUMMYFUNCTION("IFERROR(Textjoin("""",TRUE,FILTER(Data!$R:$R,Data!$D:$D=E49,Data!$B:$B=$A49)),"""")"),"")</f>
        <v/>
      </c>
      <c r="R49" s="64" t="str">
        <f>IFERROR(__xludf.DUMMYFUNCTION("IFERROR(Textjoin("""",TRUE,FILTER(Data!$R:$R,Data!$D:$D=F49,Data!$B:$B=$A49)),"""")"),"")</f>
        <v/>
      </c>
      <c r="S49" s="64" t="str">
        <f>IFERROR(__xludf.DUMMYFUNCTION("IFERROR(Textjoin("""",TRUE,FILTER(Data!$R:$R,Data!$D:$D=G49,Data!$B:$B=$A49)),"""")"),"")</f>
        <v/>
      </c>
      <c r="T49" s="64" t="str">
        <f>IFERROR(__xludf.DUMMYFUNCTION("IFERROR(Textjoin("""",TRUE,FILTER(Data!$R:$R,Data!$D:$D=H49,Data!$B:$B=$A49)),"""")"),"")</f>
        <v/>
      </c>
      <c r="U49" s="64" t="str">
        <f>IFERROR(__xludf.DUMMYFUNCTION("IFERROR(Textjoin("""",TRUE,FILTER(Data!$R:$R,Data!$D:$D=I49,Data!$B:$B=$A49)),"""")"),"")</f>
        <v/>
      </c>
      <c r="V49" s="64" t="str">
        <f>IFERROR(__xludf.DUMMYFUNCTION("IFERROR(Textjoin("""",TRUE,FILTER(Data!$R:$R,Data!$D:$D=J49,Data!$B:$B=$A49)),"""")"),"")</f>
        <v/>
      </c>
      <c r="W49" s="64" t="str">
        <f>IFERROR(__xludf.DUMMYFUNCTION("IFERROR(Textjoin("""",TRUE,FILTER(Data!$R:$R,Data!$D:$D=K49,Data!$B:$B=$A49)),"""")"),"")</f>
        <v/>
      </c>
      <c r="X49" s="64" t="str">
        <f>IFERROR(__xludf.DUMMYFUNCTION("IFERROR(Textjoin("""",TRUE,FILTER(Data!$R:$R,Data!$D:$D=L49,Data!$B:$B=$A49)),"""")"),"")</f>
        <v/>
      </c>
      <c r="Y49" s="64" t="str">
        <f>IFERROR(__xludf.DUMMYFUNCTION("IFERROR(Textjoin("""",TRUE,FILTER(Data!$R:$R,Data!$D:$D=M49,Data!$B:$B=$A49)),"""")"),"")</f>
        <v/>
      </c>
      <c r="Z49" s="64" t="str">
        <f>IFERROR(__xludf.DUMMYFUNCTION("IFERROR(SPLIT(N49,"",""),"""")"),"")</f>
        <v/>
      </c>
      <c r="AA49" s="65"/>
      <c r="AB49" s="65"/>
      <c r="AC49" s="69" t="str">
        <f>IFERROR(__xludf.DUMMYFUNCTION("IFERROR(SPLIT(O49,"",""),"""")"),"")</f>
        <v/>
      </c>
      <c r="AD49" s="65"/>
      <c r="AE49" s="65"/>
      <c r="AF49" s="69" t="str">
        <f>IFERROR(__xludf.DUMMYFUNCTION("IFERROR(SPLIT(P49,"",""),"""")"),"")</f>
        <v/>
      </c>
      <c r="AG49" s="65"/>
      <c r="AH49" s="65"/>
      <c r="AI49" s="69" t="str">
        <f>IFERROR(__xludf.DUMMYFUNCTION("IFERROR(SPLIT(Q49,"",""),"""")"),"")</f>
        <v/>
      </c>
      <c r="AJ49" s="65"/>
      <c r="AK49" s="65"/>
      <c r="AL49" s="69" t="str">
        <f>IFERROR(__xludf.DUMMYFUNCTION("IFERROR(SPLIT(R49,"",""),"""")"),"")</f>
        <v/>
      </c>
      <c r="AM49" s="65"/>
      <c r="AN49" s="65"/>
      <c r="AO49" s="69" t="str">
        <f>IFERROR(__xludf.DUMMYFUNCTION("IFERROR(SPLIT(S49,"",""),"""")"),"")</f>
        <v/>
      </c>
      <c r="AP49" s="65"/>
      <c r="AQ49" s="65"/>
      <c r="AR49" s="69" t="str">
        <f>IFERROR(__xludf.DUMMYFUNCTION("IFERROR(SPLIT(T49,"",""),"""")"),"")</f>
        <v/>
      </c>
      <c r="AS49" s="65"/>
      <c r="AT49" s="65"/>
      <c r="AU49" s="69" t="str">
        <f>IFERROR(__xludf.DUMMYFUNCTION("IFERROR(SPLIT(U49,"",""),"""")"),"")</f>
        <v/>
      </c>
      <c r="AV49" s="65"/>
      <c r="AW49" s="65"/>
      <c r="AX49" s="69" t="str">
        <f>IFERROR(__xludf.DUMMYFUNCTION("IFERROR(SPLIT(V49,"",""),"""")"),"")</f>
        <v/>
      </c>
      <c r="AY49" s="65"/>
      <c r="AZ49" s="65"/>
      <c r="BA49" s="69" t="str">
        <f>IFERROR(__xludf.DUMMYFUNCTION("IFERROR(SPLIT(W49,"",""),"""")"),"")</f>
        <v/>
      </c>
      <c r="BB49" s="69"/>
      <c r="BC49" s="69"/>
      <c r="BD49" s="69" t="str">
        <f>IFERROR(__xludf.DUMMYFUNCTION("IFERROR(SPLIT(X49,"",""),"""")"),"")</f>
        <v/>
      </c>
      <c r="BE49" s="69"/>
      <c r="BF49" s="69"/>
      <c r="BG49" s="69" t="str">
        <f>IFERROR(__xludf.DUMMYFUNCTION("IFERROR(SPLIT(Y49,"",""),"""")"),"")</f>
        <v/>
      </c>
      <c r="BH49" s="69"/>
      <c r="BI49" s="69"/>
      <c r="BJ49" s="68" t="str">
        <f>IFERROR(__xludf.DUMMYFUNCTION("IF($B49&lt;&gt;"""",IFERROR(FILTER(RawTotals!$AJ:$AJ,RawTotals!$A:$A=Z49)-(FILTER(Data!$K:$K,Data!$B:$B=Z49,Data!$D:$D=$B49)+FILTER(Data!$L:$L,Data!$B:$B=Z49,Data!$D:$D=$B49)),""""),"""")"),"")</f>
        <v/>
      </c>
      <c r="BK49" s="68" t="str">
        <f>IFERROR(__xludf.DUMMYFUNCTION("IF($B49&lt;&gt;"""",IFERROR(FILTER(RawTotals!$AJ:$AJ,RawTotals!$A:$A=AA49)-(FILTER(Data!$K:$K,Data!$B:$B=AA49,Data!$D:$D=$B49)+FILTER(Data!$L:$L,Data!$B:$B=AA49,Data!$D:$D=$B49)),""""),"""")"),"")</f>
        <v/>
      </c>
      <c r="BL49" s="68" t="str">
        <f>IFERROR(__xludf.DUMMYFUNCTION("IF($B49&lt;&gt;"""",IFERROR(FILTER(RawTotals!$AJ:$AJ,RawTotals!$A:$A=AB49)-(FILTER(Data!$K:$K,Data!$B:$B=AB49,Data!$D:$D=$B49)+FILTER(Data!$L:$L,Data!$B:$B=AB49,Data!$D:$D=$B49)),""""),"""")"),"")</f>
        <v/>
      </c>
      <c r="BM49" s="69" t="str">
        <f>IFERROR(__xludf.DUMMYFUNCTION("IF($C49&lt;&gt;"""",IFERROR(FILTER(RawTotals!$AJ:$AJ,RawTotals!$A:$A=AC49)-(FILTER(Data!$K:$K,Data!$B:$B=AC49,Data!$D:$D=$C49)+FILTER(Data!$L:$L,Data!$B:$B=AC49,Data!$D:$D=$C49)),""""),"""")"),"")</f>
        <v/>
      </c>
      <c r="BN49" s="69" t="str">
        <f>IFERROR(__xludf.DUMMYFUNCTION("IF($C49&lt;&gt;"""",IFERROR(FILTER(RawTotals!$AJ:$AJ,RawTotals!$A:$A=AD49)-(FILTER(Data!$K:$K,Data!$B:$B=AD49,Data!$D:$D=$C49)+FILTER(Data!$L:$L,Data!$B:$B=AD49,Data!$D:$D=$C49)),""""),"""")"),"")</f>
        <v/>
      </c>
      <c r="BO49" s="69" t="str">
        <f>IFERROR(__xludf.DUMMYFUNCTION("IF($C49&lt;&gt;"""",IFERROR(FILTER(RawTotals!$AJ:$AJ,RawTotals!$A:$A=AE49)-(FILTER(Data!$K:$K,Data!$B:$B=AE49,Data!$D:$D=$C49)+FILTER(Data!$L:$L,Data!$B:$B=AE49,Data!$D:$D=$C49)),""""),"""")"),"")</f>
        <v/>
      </c>
      <c r="BP49" s="69" t="str">
        <f>IFERROR(__xludf.DUMMYFUNCTION("IF($D49&lt;&gt;"""",IFERROR(FILTER(RawTotals!$AJ:$AJ,RawTotals!$A:$A=AF49)-(FILTER(Data!$K:$K,Data!$B:$B=AF49,Data!$D:$D=$D49)+FILTER(Data!$L:$L,Data!$B:$B=AF49,Data!$D:$D=$D49)),""""),"""")"),"")</f>
        <v/>
      </c>
      <c r="BQ49" s="69" t="str">
        <f>IFERROR(__xludf.DUMMYFUNCTION("IF($D49&lt;&gt;"""",IFERROR(FILTER(RawTotals!$AJ:$AJ,RawTotals!$A:$A=AG49)-(FILTER(Data!$K:$K,Data!$B:$B=AG49,Data!$D:$D=$D49)+FILTER(Data!$L:$L,Data!$B:$B=AG49,Data!$D:$D=$D49)),""""),"""")"),"")</f>
        <v/>
      </c>
      <c r="BR49" s="69" t="str">
        <f>IFERROR(__xludf.DUMMYFUNCTION("IF($D49&lt;&gt;"""",IFERROR(FILTER(RawTotals!$AJ:$AJ,RawTotals!$A:$A=AH49)-(FILTER(Data!$K:$K,Data!$B:$B=AH49,Data!$D:$D=$D49)+FILTER(Data!$L:$L,Data!$B:$B=AH49,Data!$D:$D=$D49)),""""),"""")"),"")</f>
        <v/>
      </c>
      <c r="BS49" s="69" t="str">
        <f>IFERROR(__xludf.DUMMYFUNCTION("IF($E49&lt;&gt;"""",IFERROR(FILTER(RawTotals!$AJ:$AJ,RawTotals!$A:$A=AI49)-(FILTER(Data!$K:$K,Data!$B:$B=AI49,Data!$D:$D=$E49)+FILTER(Data!$L:$L,Data!$B:$B=AI49,Data!$D:$D=$E49)),""""),"""")"),"")</f>
        <v/>
      </c>
      <c r="BT49" s="69" t="str">
        <f>IFERROR(__xludf.DUMMYFUNCTION("IF($E49&lt;&gt;"""",IFERROR(FILTER(RawTotals!$AJ:$AJ,RawTotals!$A:$A=AJ49)-(FILTER(Data!$K:$K,Data!$B:$B=AJ49,Data!$D:$D=$E49)+FILTER(Data!$L:$L,Data!$B:$B=AJ49,Data!$D:$D=$E49)),""""),"""")"),"")</f>
        <v/>
      </c>
      <c r="BU49" s="69" t="str">
        <f>IFERROR(__xludf.DUMMYFUNCTION("IF($E49&lt;&gt;"""",IFERROR(FILTER(RawTotals!$AJ:$AJ,RawTotals!$A:$A=AK49)-(FILTER(Data!$K:$K,Data!$B:$B=AK49,Data!$D:$D=$E49)+FILTER(Data!$L:$L,Data!$B:$B=AK49,Data!$D:$D=$E49)),""""),"""")"),"")</f>
        <v/>
      </c>
      <c r="BV49" s="69" t="str">
        <f>IFERROR(__xludf.DUMMYFUNCTION("IF($F49&lt;&gt;"""",IFERROR(FILTER(RawTotals!$AJ:$AJ,RawTotals!$A:$A=AL49)-(FILTER(Data!$K:$K,Data!$B:$B=AL49,Data!$D:$D=$F49)+FILTER(Data!$L:$L,Data!$B:$B=AL49,Data!$D:$D=$F49)),""""),"""")"),"")</f>
        <v/>
      </c>
      <c r="BW49" s="69" t="str">
        <f>IFERROR(__xludf.DUMMYFUNCTION("IF($F49&lt;&gt;"""",IFERROR(FILTER(RawTotals!$AJ:$AJ,RawTotals!$A:$A=AM49)-(FILTER(Data!$K:$K,Data!$B:$B=AM49,Data!$D:$D=$F49)+FILTER(Data!$L:$L,Data!$B:$B=AM49,Data!$D:$D=$F49)),""""),"""")"),"")</f>
        <v/>
      </c>
      <c r="BX49" s="69" t="str">
        <f>IFERROR(__xludf.DUMMYFUNCTION("IF($F49&lt;&gt;"""",IFERROR(FILTER(RawTotals!$AJ:$AJ,RawTotals!$A:$A=AN49)-(FILTER(Data!$K:$K,Data!$B:$B=AN49,Data!$D:$D=$F49)+FILTER(Data!$L:$L,Data!$B:$B=AN49,Data!$D:$D=$F49)),""""),"""")"),"")</f>
        <v/>
      </c>
      <c r="BY49" s="69" t="str">
        <f>IFERROR(__xludf.DUMMYFUNCTION("IF($G49&lt;&gt;"""",IFERROR(FILTER(RawTotals!$AJ:$AJ,RawTotals!$A:$A=AO49)-(FILTER(Data!$K:$K,Data!$B:$B=AO49,Data!$D:$D=$G49)+FILTER(Data!$L:$L,Data!$B:$B=AO49,Data!$D:$D=$G49)),""""),"""")"),"")</f>
        <v/>
      </c>
      <c r="BZ49" s="69" t="str">
        <f>IFERROR(__xludf.DUMMYFUNCTION("IF($G49&lt;&gt;"""",IFERROR(FILTER(RawTotals!$AJ:$AJ,RawTotals!$A:$A=AP49)-(FILTER(Data!$K:$K,Data!$B:$B=AP49,Data!$D:$D=$G49)+FILTER(Data!$L:$L,Data!$B:$B=AP49,Data!$D:$D=$G49)),""""),"""")"),"")</f>
        <v/>
      </c>
      <c r="CA49" s="69" t="str">
        <f>IFERROR(__xludf.DUMMYFUNCTION("IF($G49&lt;&gt;"""",IFERROR(FILTER(RawTotals!$AJ:$AJ,RawTotals!$A:$A=AQ49)-(FILTER(Data!$K:$K,Data!$B:$B=AQ49,Data!$D:$D=$G49)+FILTER(Data!$L:$L,Data!$B:$B=AQ49,Data!$D:$D=$G49)),""""),"""")"),"")</f>
        <v/>
      </c>
      <c r="CB49" s="69" t="str">
        <f>IFERROR(__xludf.DUMMYFUNCTION("IF($H49&lt;&gt;"""",IFERROR(FILTER(RawTotals!$AJ:$AJ,RawTotals!$A:$A=AR49)-(FILTER(Data!$K:$K,Data!$B:$B=AR49,Data!$D:$D=$H49)+FILTER(Data!$L:$L,Data!$B:$B=AR49,Data!$D:$D=$H49)),""""),"""")"),"")</f>
        <v/>
      </c>
      <c r="CC49" s="69" t="str">
        <f>IFERROR(__xludf.DUMMYFUNCTION("IF($H49&lt;&gt;"""",IFERROR(FILTER(RawTotals!$AJ:$AJ,RawTotals!$A:$A=AS49)-(FILTER(Data!$K:$K,Data!$B:$B=AS49,Data!$D:$D=$H49)+FILTER(Data!$L:$L,Data!$B:$B=AS49,Data!$D:$D=$H49)),""""),"""")"),"")</f>
        <v/>
      </c>
      <c r="CD49" s="69" t="str">
        <f>IFERROR(__xludf.DUMMYFUNCTION("IF($H49&lt;&gt;"""",IFERROR(FILTER(RawTotals!$AJ:$AJ,RawTotals!$A:$A=AT49)-(FILTER(Data!$K:$K,Data!$B:$B=AT49,Data!$D:$D=$H49)+FILTER(Data!$L:$L,Data!$B:$B=AT49,Data!$D:$D=$H49)),""""),"""")"),"")</f>
        <v/>
      </c>
      <c r="CE49" s="69" t="str">
        <f>IFERROR(__xludf.DUMMYFUNCTION("IF($I49&lt;&gt;"""",IFERROR(FILTER(RawTotals!$AJ:$AJ,RawTotals!$A:$A=AU49)-(FILTER(Data!$K:$K,Data!$B:$B=AU49,Data!$D:$D=$I49)+FILTER(Data!$L:$L,Data!$B:$B=AU49,Data!$D:$D=$I49)),""""),"""")"),"")</f>
        <v/>
      </c>
      <c r="CF49" s="69" t="str">
        <f>IFERROR(__xludf.DUMMYFUNCTION("IF($I49&lt;&gt;"""",IFERROR(FILTER(RawTotals!$AJ:$AJ,RawTotals!$A:$A=AV49)-(FILTER(Data!$K:$K,Data!$B:$B=AV49,Data!$D:$D=$I49)+FILTER(Data!$L:$L,Data!$B:$B=AV49,Data!$D:$D=$I49)),""""),"""")"),"")</f>
        <v/>
      </c>
      <c r="CG49" s="69" t="str">
        <f>IFERROR(__xludf.DUMMYFUNCTION("IF($I49&lt;&gt;"""",IFERROR(FILTER(RawTotals!$AJ:$AJ,RawTotals!$A:$A=AW49)-(FILTER(Data!$K:$K,Data!$B:$B=AW49,Data!$D:$D=$I49)+FILTER(Data!$L:$L,Data!$B:$B=AW49,Data!$D:$D=$I49)),""""),"""")"),"")</f>
        <v/>
      </c>
      <c r="CH49" s="69" t="str">
        <f>IFERROR(__xludf.DUMMYFUNCTION("IF($J49&lt;&gt;"""",IFERROR(FILTER(RawTotals!$AJ:$AJ,RawTotals!$A:$A=AX49)-(FILTER(Data!$K:$K,Data!$B:$B=AX49,Data!$D:$D=$J49)+FILTER(Data!$L:$L,Data!$B:$B=AX49,Data!$D:$D=$J49)),""""),"""")"),"")</f>
        <v/>
      </c>
      <c r="CI49" s="69" t="str">
        <f>IFERROR(__xludf.DUMMYFUNCTION("IF($J49&lt;&gt;"""",IFERROR(FILTER(RawTotals!$AJ:$AJ,RawTotals!$A:$A=AY49)-(FILTER(Data!$K:$K,Data!$B:$B=AY49,Data!$D:$D=$J49)+FILTER(Data!$L:$L,Data!$B:$B=AY49,Data!$D:$D=$J49)),""""),"""")"),"")</f>
        <v/>
      </c>
      <c r="CJ49" s="69" t="str">
        <f>IFERROR(__xludf.DUMMYFUNCTION("IF($J49&lt;&gt;"""",IFERROR(FILTER(RawTotals!$AJ:$AJ,RawTotals!$A:$A=AZ49)-(FILTER(Data!$K:$K,Data!$B:$B=AZ49,Data!$D:$D=$J49)+FILTER(Data!$L:$L,Data!$B:$B=AZ49,Data!$D:$D=$J49)),""""),"""")"),"")</f>
        <v/>
      </c>
      <c r="CK49" s="69" t="str">
        <f>IFERROR(__xludf.DUMMYFUNCTION("IF($K49&lt;&gt;"""",IFERROR(FILTER(RawTotals!$AJ:$AJ,RawTotals!$A:$A=BA49)-(FILTER(Data!$K:$K,Data!$B:$B=BA49,Data!$D:$D=$K49)+FILTER(Data!$L:$L,Data!$B:$B=BA49,Data!$D:$D=$K49)),""""),"""")"),"")</f>
        <v/>
      </c>
      <c r="CL49" s="69" t="str">
        <f>IFERROR(__xludf.DUMMYFUNCTION("IF($K49&lt;&gt;"""",IFERROR(FILTER(RawTotals!$AJ:$AJ,RawTotals!$A:$A=BB49)-(FILTER(Data!$K:$K,Data!$B:$B=BB49,Data!$D:$D=$K49)+FILTER(Data!$L:$L,Data!$B:$B=BB49,Data!$D:$D=$K49)),""""),"""")"),"")</f>
        <v/>
      </c>
      <c r="CM49" s="69" t="str">
        <f>IFERROR(__xludf.DUMMYFUNCTION("IF($K49&lt;&gt;"""",IFERROR(FILTER(RawTotals!$AJ:$AJ,RawTotals!$A:$A=BC49)-(FILTER(Data!$K:$K,Data!$B:$B=BC49,Data!$D:$D=$K49)+FILTER(Data!$L:$L,Data!$B:$B=BC49,Data!$D:$D=$K49)),""""),"""")"),"")</f>
        <v/>
      </c>
      <c r="CN49" s="69" t="str">
        <f>IFERROR(__xludf.DUMMYFUNCTION("IF($L49&lt;&gt;"""",IFERROR((FILTER(RawTotals!$AJ:$AJ,RawTotals!$A:$A=BD49)-(FILTER(Data!$K:$K,Data!$B:$B=BD49,Data!$D:$D=$L49)+FILTER(Data!$L:$L,Data!$B:$B=BD49,Data!$D:$D=$L49))),""""),"""")"),"")</f>
        <v/>
      </c>
      <c r="CO49" s="69" t="str">
        <f>IFERROR(__xludf.DUMMYFUNCTION("IF($L49&lt;&gt;"""",IFERROR((FILTER(RawTotals!$AJ:$AJ,RawTotals!$A:$A=BE49)-(FILTER(Data!$K:$K,Data!$B:$B=BE49,Data!$D:$D=$L49)+FILTER(Data!$L:$L,Data!$B:$B=BE49,Data!$D:$D=$L49))),""""),"""")"),"")</f>
        <v/>
      </c>
      <c r="CP49" s="69" t="str">
        <f>IFERROR(__xludf.DUMMYFUNCTION("IF($L49&lt;&gt;"""",IFERROR((FILTER(RawTotals!$AJ:$AJ,RawTotals!$A:$A=BF49)-(FILTER(Data!$K:$K,Data!$B:$B=BF49,Data!$D:$D=$L49)+FILTER(Data!$L:$L,Data!$B:$B=BF49,Data!$D:$D=$L49))),""""),"""")"),"")</f>
        <v/>
      </c>
      <c r="CQ49" s="69" t="str">
        <f>IFERROR(__xludf.DUMMYFUNCTION("IF($M49&lt;&gt;"""",IFERROR((FILTER(RawTotals!$AJ:$AJ,RawTotals!$A:$A=BG49)-(FILTER(Data!$K:$K,Data!$B:$B=BG49,Data!$D:$D=$M49)+FILTER(Data!$L:$L,Data!$B:$B=BG49,Data!$D:$D=$M49))),""""),"""")"),"")</f>
        <v/>
      </c>
      <c r="CR49" s="69" t="str">
        <f>IFERROR(__xludf.DUMMYFUNCTION("IF($M49&lt;&gt;"""",IFERROR((FILTER(RawTotals!$AJ:$AJ,RawTotals!$A:$A=BH49)-(FILTER(Data!$K:$K,Data!$B:$B=BH49,Data!$D:$D=$M49)+FILTER(Data!$L:$L,Data!$B:$B=BH49,Data!$D:$D=$M49))),""""),"""")"),"")</f>
        <v/>
      </c>
      <c r="CS49" s="70" t="str">
        <f>IFERROR(__xludf.DUMMYFUNCTION("IF($M49&lt;&gt;"""",IFERROR((FILTER(RawTotals!$AJ:$AJ,RawTotals!$A:$A=BI49)-(FILTER(Data!$K:$K,Data!$B:$B=BI49,Data!$D:$D=$M49)+FILTER(Data!$L:$L,Data!$B:$B=BI49,Data!$D:$D=$M49))),""""),"""")"),"")</f>
        <v/>
      </c>
      <c r="CT49" s="69"/>
      <c r="CU49" s="69"/>
      <c r="CV49" s="69"/>
      <c r="CW49" s="69"/>
      <c r="CX49" s="69"/>
      <c r="CY49" s="69"/>
      <c r="CZ49" s="69"/>
      <c r="DA49" s="69"/>
      <c r="DB49" s="69"/>
      <c r="DC49" s="69"/>
      <c r="DD49" s="69"/>
      <c r="DE49" s="69"/>
    </row>
    <row r="50">
      <c r="A50" s="65" t="str">
        <f>RawTotals!A50</f>
        <v/>
      </c>
      <c r="B50" s="68" t="str">
        <f>IFERROR(__xludf.DUMMYFUNCTION("IF(A50&lt;&gt;"""",IFERROR(TRANSPOSE(FILTER(Data!D:D,Data!B:B=A50,Data!R:R&lt;&gt;"""")),""No Defense""),"""")"),"")</f>
        <v/>
      </c>
      <c r="C50" s="65"/>
      <c r="D50" s="65"/>
      <c r="E50" s="65"/>
      <c r="F50" s="65"/>
      <c r="G50" s="65"/>
      <c r="H50" s="65"/>
      <c r="I50" s="65"/>
      <c r="J50" s="65"/>
      <c r="K50" s="65"/>
      <c r="L50" s="65"/>
      <c r="M50" s="65"/>
      <c r="N50" s="64" t="str">
        <f>IFERROR(__xludf.DUMMYFUNCTION("IFERROR(Textjoin("""",TRUE,FILTER(Data!$R:$R,Data!$D:$D=B50,Data!$B:$B=$A50)),"""")"),"")</f>
        <v/>
      </c>
      <c r="O50" s="64" t="str">
        <f>IFERROR(__xludf.DUMMYFUNCTION("IFERROR(Textjoin("""",TRUE,FILTER(Data!$R:$R,Data!$D:$D=C50,Data!$B:$B=$A50)),"""")"),"")</f>
        <v/>
      </c>
      <c r="P50" s="64" t="str">
        <f>IFERROR(__xludf.DUMMYFUNCTION("IFERROR(Textjoin("""",TRUE,FILTER(Data!$R:$R,Data!$D:$D=D50,Data!$B:$B=$A50)),"""")"),"")</f>
        <v/>
      </c>
      <c r="Q50" s="64" t="str">
        <f>IFERROR(__xludf.DUMMYFUNCTION("IFERROR(Textjoin("""",TRUE,FILTER(Data!$R:$R,Data!$D:$D=E50,Data!$B:$B=$A50)),"""")"),"")</f>
        <v/>
      </c>
      <c r="R50" s="64" t="str">
        <f>IFERROR(__xludf.DUMMYFUNCTION("IFERROR(Textjoin("""",TRUE,FILTER(Data!$R:$R,Data!$D:$D=F50,Data!$B:$B=$A50)),"""")"),"")</f>
        <v/>
      </c>
      <c r="S50" s="64" t="str">
        <f>IFERROR(__xludf.DUMMYFUNCTION("IFERROR(Textjoin("""",TRUE,FILTER(Data!$R:$R,Data!$D:$D=G50,Data!$B:$B=$A50)),"""")"),"")</f>
        <v/>
      </c>
      <c r="T50" s="64" t="str">
        <f>IFERROR(__xludf.DUMMYFUNCTION("IFERROR(Textjoin("""",TRUE,FILTER(Data!$R:$R,Data!$D:$D=H50,Data!$B:$B=$A50)),"""")"),"")</f>
        <v/>
      </c>
      <c r="U50" s="64" t="str">
        <f>IFERROR(__xludf.DUMMYFUNCTION("IFERROR(Textjoin("""",TRUE,FILTER(Data!$R:$R,Data!$D:$D=I50,Data!$B:$B=$A50)),"""")"),"")</f>
        <v/>
      </c>
      <c r="V50" s="64" t="str">
        <f>IFERROR(__xludf.DUMMYFUNCTION("IFERROR(Textjoin("""",TRUE,FILTER(Data!$R:$R,Data!$D:$D=J50,Data!$B:$B=$A50)),"""")"),"")</f>
        <v/>
      </c>
      <c r="W50" s="64" t="str">
        <f>IFERROR(__xludf.DUMMYFUNCTION("IFERROR(Textjoin("""",TRUE,FILTER(Data!$R:$R,Data!$D:$D=K50,Data!$B:$B=$A50)),"""")"),"")</f>
        <v/>
      </c>
      <c r="X50" s="64" t="str">
        <f>IFERROR(__xludf.DUMMYFUNCTION("IFERROR(Textjoin("""",TRUE,FILTER(Data!$R:$R,Data!$D:$D=L50,Data!$B:$B=$A50)),"""")"),"")</f>
        <v/>
      </c>
      <c r="Y50" s="64" t="str">
        <f>IFERROR(__xludf.DUMMYFUNCTION("IFERROR(Textjoin("""",TRUE,FILTER(Data!$R:$R,Data!$D:$D=M50,Data!$B:$B=$A50)),"""")"),"")</f>
        <v/>
      </c>
      <c r="Z50" s="64" t="str">
        <f>IFERROR(__xludf.DUMMYFUNCTION("IFERROR(SPLIT(N50,"",""),"""")"),"")</f>
        <v/>
      </c>
      <c r="AA50" s="65"/>
      <c r="AB50" s="65"/>
      <c r="AC50" s="69" t="str">
        <f>IFERROR(__xludf.DUMMYFUNCTION("IFERROR(SPLIT(O50,"",""),"""")"),"")</f>
        <v/>
      </c>
      <c r="AD50" s="65"/>
      <c r="AE50" s="65"/>
      <c r="AF50" s="69" t="str">
        <f>IFERROR(__xludf.DUMMYFUNCTION("IFERROR(SPLIT(P50,"",""),"""")"),"")</f>
        <v/>
      </c>
      <c r="AG50" s="65"/>
      <c r="AH50" s="65"/>
      <c r="AI50" s="69" t="str">
        <f>IFERROR(__xludf.DUMMYFUNCTION("IFERROR(SPLIT(Q50,"",""),"""")"),"")</f>
        <v/>
      </c>
      <c r="AJ50" s="65"/>
      <c r="AK50" s="65"/>
      <c r="AL50" s="69" t="str">
        <f>IFERROR(__xludf.DUMMYFUNCTION("IFERROR(SPLIT(R50,"",""),"""")"),"")</f>
        <v/>
      </c>
      <c r="AM50" s="65"/>
      <c r="AN50" s="65"/>
      <c r="AO50" s="69" t="str">
        <f>IFERROR(__xludf.DUMMYFUNCTION("IFERROR(SPLIT(S50,"",""),"""")"),"")</f>
        <v/>
      </c>
      <c r="AP50" s="65"/>
      <c r="AQ50" s="65"/>
      <c r="AR50" s="69" t="str">
        <f>IFERROR(__xludf.DUMMYFUNCTION("IFERROR(SPLIT(T50,"",""),"""")"),"")</f>
        <v/>
      </c>
      <c r="AS50" s="65"/>
      <c r="AT50" s="65"/>
      <c r="AU50" s="69" t="str">
        <f>IFERROR(__xludf.DUMMYFUNCTION("IFERROR(SPLIT(U50,"",""),"""")"),"")</f>
        <v/>
      </c>
      <c r="AV50" s="65"/>
      <c r="AW50" s="65"/>
      <c r="AX50" s="69" t="str">
        <f>IFERROR(__xludf.DUMMYFUNCTION("IFERROR(SPLIT(V50,"",""),"""")"),"")</f>
        <v/>
      </c>
      <c r="AY50" s="65"/>
      <c r="AZ50" s="65"/>
      <c r="BA50" s="69" t="str">
        <f>IFERROR(__xludf.DUMMYFUNCTION("IFERROR(SPLIT(W50,"",""),"""")"),"")</f>
        <v/>
      </c>
      <c r="BB50" s="69"/>
      <c r="BC50" s="69"/>
      <c r="BD50" s="69" t="str">
        <f>IFERROR(__xludf.DUMMYFUNCTION("IFERROR(SPLIT(X50,"",""),"""")"),"")</f>
        <v/>
      </c>
      <c r="BE50" s="69"/>
      <c r="BF50" s="69"/>
      <c r="BG50" s="69" t="str">
        <f>IFERROR(__xludf.DUMMYFUNCTION("IFERROR(SPLIT(Y50,"",""),"""")"),"")</f>
        <v/>
      </c>
      <c r="BH50" s="69"/>
      <c r="BI50" s="69"/>
      <c r="BJ50" s="68" t="str">
        <f>IFERROR(__xludf.DUMMYFUNCTION("IF($B50&lt;&gt;"""",IFERROR(FILTER(RawTotals!$AJ:$AJ,RawTotals!$A:$A=Z50)-(FILTER(Data!$K:$K,Data!$B:$B=Z50,Data!$D:$D=$B50)+FILTER(Data!$L:$L,Data!$B:$B=Z50,Data!$D:$D=$B50)),""""),"""")"),"")</f>
        <v/>
      </c>
      <c r="BK50" s="68" t="str">
        <f>IFERROR(__xludf.DUMMYFUNCTION("IF($B50&lt;&gt;"""",IFERROR(FILTER(RawTotals!$AJ:$AJ,RawTotals!$A:$A=AA50)-(FILTER(Data!$K:$K,Data!$B:$B=AA50,Data!$D:$D=$B50)+FILTER(Data!$L:$L,Data!$B:$B=AA50,Data!$D:$D=$B50)),""""),"""")"),"")</f>
        <v/>
      </c>
      <c r="BL50" s="68" t="str">
        <f>IFERROR(__xludf.DUMMYFUNCTION("IF($B50&lt;&gt;"""",IFERROR(FILTER(RawTotals!$AJ:$AJ,RawTotals!$A:$A=AB50)-(FILTER(Data!$K:$K,Data!$B:$B=AB50,Data!$D:$D=$B50)+FILTER(Data!$L:$L,Data!$B:$B=AB50,Data!$D:$D=$B50)),""""),"""")"),"")</f>
        <v/>
      </c>
      <c r="BM50" s="69" t="str">
        <f>IFERROR(__xludf.DUMMYFUNCTION("IF($C50&lt;&gt;"""",IFERROR(FILTER(RawTotals!$AJ:$AJ,RawTotals!$A:$A=AC50)-(FILTER(Data!$K:$K,Data!$B:$B=AC50,Data!$D:$D=$C50)+FILTER(Data!$L:$L,Data!$B:$B=AC50,Data!$D:$D=$C50)),""""),"""")"),"")</f>
        <v/>
      </c>
      <c r="BN50" s="69" t="str">
        <f>IFERROR(__xludf.DUMMYFUNCTION("IF($C50&lt;&gt;"""",IFERROR(FILTER(RawTotals!$AJ:$AJ,RawTotals!$A:$A=AD50)-(FILTER(Data!$K:$K,Data!$B:$B=AD50,Data!$D:$D=$C50)+FILTER(Data!$L:$L,Data!$B:$B=AD50,Data!$D:$D=$C50)),""""),"""")"),"")</f>
        <v/>
      </c>
      <c r="BO50" s="69" t="str">
        <f>IFERROR(__xludf.DUMMYFUNCTION("IF($C50&lt;&gt;"""",IFERROR(FILTER(RawTotals!$AJ:$AJ,RawTotals!$A:$A=AE50)-(FILTER(Data!$K:$K,Data!$B:$B=AE50,Data!$D:$D=$C50)+FILTER(Data!$L:$L,Data!$B:$B=AE50,Data!$D:$D=$C50)),""""),"""")"),"")</f>
        <v/>
      </c>
      <c r="BP50" s="69" t="str">
        <f>IFERROR(__xludf.DUMMYFUNCTION("IF($D50&lt;&gt;"""",IFERROR(FILTER(RawTotals!$AJ:$AJ,RawTotals!$A:$A=AF50)-(FILTER(Data!$K:$K,Data!$B:$B=AF50,Data!$D:$D=$D50)+FILTER(Data!$L:$L,Data!$B:$B=AF50,Data!$D:$D=$D50)),""""),"""")"),"")</f>
        <v/>
      </c>
      <c r="BQ50" s="69" t="str">
        <f>IFERROR(__xludf.DUMMYFUNCTION("IF($D50&lt;&gt;"""",IFERROR(FILTER(RawTotals!$AJ:$AJ,RawTotals!$A:$A=AG50)-(FILTER(Data!$K:$K,Data!$B:$B=AG50,Data!$D:$D=$D50)+FILTER(Data!$L:$L,Data!$B:$B=AG50,Data!$D:$D=$D50)),""""),"""")"),"")</f>
        <v/>
      </c>
      <c r="BR50" s="69" t="str">
        <f>IFERROR(__xludf.DUMMYFUNCTION("IF($D50&lt;&gt;"""",IFERROR(FILTER(RawTotals!$AJ:$AJ,RawTotals!$A:$A=AH50)-(FILTER(Data!$K:$K,Data!$B:$B=AH50,Data!$D:$D=$D50)+FILTER(Data!$L:$L,Data!$B:$B=AH50,Data!$D:$D=$D50)),""""),"""")"),"")</f>
        <v/>
      </c>
      <c r="BS50" s="69" t="str">
        <f>IFERROR(__xludf.DUMMYFUNCTION("IF($E50&lt;&gt;"""",IFERROR(FILTER(RawTotals!$AJ:$AJ,RawTotals!$A:$A=AI50)-(FILTER(Data!$K:$K,Data!$B:$B=AI50,Data!$D:$D=$E50)+FILTER(Data!$L:$L,Data!$B:$B=AI50,Data!$D:$D=$E50)),""""),"""")"),"")</f>
        <v/>
      </c>
      <c r="BT50" s="69" t="str">
        <f>IFERROR(__xludf.DUMMYFUNCTION("IF($E50&lt;&gt;"""",IFERROR(FILTER(RawTotals!$AJ:$AJ,RawTotals!$A:$A=AJ50)-(FILTER(Data!$K:$K,Data!$B:$B=AJ50,Data!$D:$D=$E50)+FILTER(Data!$L:$L,Data!$B:$B=AJ50,Data!$D:$D=$E50)),""""),"""")"),"")</f>
        <v/>
      </c>
      <c r="BU50" s="69" t="str">
        <f>IFERROR(__xludf.DUMMYFUNCTION("IF($E50&lt;&gt;"""",IFERROR(FILTER(RawTotals!$AJ:$AJ,RawTotals!$A:$A=AK50)-(FILTER(Data!$K:$K,Data!$B:$B=AK50,Data!$D:$D=$E50)+FILTER(Data!$L:$L,Data!$B:$B=AK50,Data!$D:$D=$E50)),""""),"""")"),"")</f>
        <v/>
      </c>
      <c r="BV50" s="69" t="str">
        <f>IFERROR(__xludf.DUMMYFUNCTION("IF($F50&lt;&gt;"""",IFERROR(FILTER(RawTotals!$AJ:$AJ,RawTotals!$A:$A=AL50)-(FILTER(Data!$K:$K,Data!$B:$B=AL50,Data!$D:$D=$F50)+FILTER(Data!$L:$L,Data!$B:$B=AL50,Data!$D:$D=$F50)),""""),"""")"),"")</f>
        <v/>
      </c>
      <c r="BW50" s="69" t="str">
        <f>IFERROR(__xludf.DUMMYFUNCTION("IF($F50&lt;&gt;"""",IFERROR(FILTER(RawTotals!$AJ:$AJ,RawTotals!$A:$A=AM50)-(FILTER(Data!$K:$K,Data!$B:$B=AM50,Data!$D:$D=$F50)+FILTER(Data!$L:$L,Data!$B:$B=AM50,Data!$D:$D=$F50)),""""),"""")"),"")</f>
        <v/>
      </c>
      <c r="BX50" s="69" t="str">
        <f>IFERROR(__xludf.DUMMYFUNCTION("IF($F50&lt;&gt;"""",IFERROR(FILTER(RawTotals!$AJ:$AJ,RawTotals!$A:$A=AN50)-(FILTER(Data!$K:$K,Data!$B:$B=AN50,Data!$D:$D=$F50)+FILTER(Data!$L:$L,Data!$B:$B=AN50,Data!$D:$D=$F50)),""""),"""")"),"")</f>
        <v/>
      </c>
      <c r="BY50" s="69" t="str">
        <f>IFERROR(__xludf.DUMMYFUNCTION("IF($G50&lt;&gt;"""",IFERROR(FILTER(RawTotals!$AJ:$AJ,RawTotals!$A:$A=AO50)-(FILTER(Data!$K:$K,Data!$B:$B=AO50,Data!$D:$D=$G50)+FILTER(Data!$L:$L,Data!$B:$B=AO50,Data!$D:$D=$G50)),""""),"""")"),"")</f>
        <v/>
      </c>
      <c r="BZ50" s="69" t="str">
        <f>IFERROR(__xludf.DUMMYFUNCTION("IF($G50&lt;&gt;"""",IFERROR(FILTER(RawTotals!$AJ:$AJ,RawTotals!$A:$A=AP50)-(FILTER(Data!$K:$K,Data!$B:$B=AP50,Data!$D:$D=$G50)+FILTER(Data!$L:$L,Data!$B:$B=AP50,Data!$D:$D=$G50)),""""),"""")"),"")</f>
        <v/>
      </c>
      <c r="CA50" s="69" t="str">
        <f>IFERROR(__xludf.DUMMYFUNCTION("IF($G50&lt;&gt;"""",IFERROR(FILTER(RawTotals!$AJ:$AJ,RawTotals!$A:$A=AQ50)-(FILTER(Data!$K:$K,Data!$B:$B=AQ50,Data!$D:$D=$G50)+FILTER(Data!$L:$L,Data!$B:$B=AQ50,Data!$D:$D=$G50)),""""),"""")"),"")</f>
        <v/>
      </c>
      <c r="CB50" s="69" t="str">
        <f>IFERROR(__xludf.DUMMYFUNCTION("IF($H50&lt;&gt;"""",IFERROR(FILTER(RawTotals!$AJ:$AJ,RawTotals!$A:$A=AR50)-(FILTER(Data!$K:$K,Data!$B:$B=AR50,Data!$D:$D=$H50)+FILTER(Data!$L:$L,Data!$B:$B=AR50,Data!$D:$D=$H50)),""""),"""")"),"")</f>
        <v/>
      </c>
      <c r="CC50" s="69" t="str">
        <f>IFERROR(__xludf.DUMMYFUNCTION("IF($H50&lt;&gt;"""",IFERROR(FILTER(RawTotals!$AJ:$AJ,RawTotals!$A:$A=AS50)-(FILTER(Data!$K:$K,Data!$B:$B=AS50,Data!$D:$D=$H50)+FILTER(Data!$L:$L,Data!$B:$B=AS50,Data!$D:$D=$H50)),""""),"""")"),"")</f>
        <v/>
      </c>
      <c r="CD50" s="69" t="str">
        <f>IFERROR(__xludf.DUMMYFUNCTION("IF($H50&lt;&gt;"""",IFERROR(FILTER(RawTotals!$AJ:$AJ,RawTotals!$A:$A=AT50)-(FILTER(Data!$K:$K,Data!$B:$B=AT50,Data!$D:$D=$H50)+FILTER(Data!$L:$L,Data!$B:$B=AT50,Data!$D:$D=$H50)),""""),"""")"),"")</f>
        <v/>
      </c>
      <c r="CE50" s="69" t="str">
        <f>IFERROR(__xludf.DUMMYFUNCTION("IF($I50&lt;&gt;"""",IFERROR(FILTER(RawTotals!$AJ:$AJ,RawTotals!$A:$A=AU50)-(FILTER(Data!$K:$K,Data!$B:$B=AU50,Data!$D:$D=$I50)+FILTER(Data!$L:$L,Data!$B:$B=AU50,Data!$D:$D=$I50)),""""),"""")"),"")</f>
        <v/>
      </c>
      <c r="CF50" s="69" t="str">
        <f>IFERROR(__xludf.DUMMYFUNCTION("IF($I50&lt;&gt;"""",IFERROR(FILTER(RawTotals!$AJ:$AJ,RawTotals!$A:$A=AV50)-(FILTER(Data!$K:$K,Data!$B:$B=AV50,Data!$D:$D=$I50)+FILTER(Data!$L:$L,Data!$B:$B=AV50,Data!$D:$D=$I50)),""""),"""")"),"")</f>
        <v/>
      </c>
      <c r="CG50" s="69" t="str">
        <f>IFERROR(__xludf.DUMMYFUNCTION("IF($I50&lt;&gt;"""",IFERROR(FILTER(RawTotals!$AJ:$AJ,RawTotals!$A:$A=AW50)-(FILTER(Data!$K:$K,Data!$B:$B=AW50,Data!$D:$D=$I50)+FILTER(Data!$L:$L,Data!$B:$B=AW50,Data!$D:$D=$I50)),""""),"""")"),"")</f>
        <v/>
      </c>
      <c r="CH50" s="69" t="str">
        <f>IFERROR(__xludf.DUMMYFUNCTION("IF($J50&lt;&gt;"""",IFERROR(FILTER(RawTotals!$AJ:$AJ,RawTotals!$A:$A=AX50)-(FILTER(Data!$K:$K,Data!$B:$B=AX50,Data!$D:$D=$J50)+FILTER(Data!$L:$L,Data!$B:$B=AX50,Data!$D:$D=$J50)),""""),"""")"),"")</f>
        <v/>
      </c>
      <c r="CI50" s="69" t="str">
        <f>IFERROR(__xludf.DUMMYFUNCTION("IF($J50&lt;&gt;"""",IFERROR(FILTER(RawTotals!$AJ:$AJ,RawTotals!$A:$A=AY50)-(FILTER(Data!$K:$K,Data!$B:$B=AY50,Data!$D:$D=$J50)+FILTER(Data!$L:$L,Data!$B:$B=AY50,Data!$D:$D=$J50)),""""),"""")"),"")</f>
        <v/>
      </c>
      <c r="CJ50" s="69" t="str">
        <f>IFERROR(__xludf.DUMMYFUNCTION("IF($J50&lt;&gt;"""",IFERROR(FILTER(RawTotals!$AJ:$AJ,RawTotals!$A:$A=AZ50)-(FILTER(Data!$K:$K,Data!$B:$B=AZ50,Data!$D:$D=$J50)+FILTER(Data!$L:$L,Data!$B:$B=AZ50,Data!$D:$D=$J50)),""""),"""")"),"")</f>
        <v/>
      </c>
      <c r="CK50" s="69" t="str">
        <f>IFERROR(__xludf.DUMMYFUNCTION("IF($K50&lt;&gt;"""",IFERROR(FILTER(RawTotals!$AJ:$AJ,RawTotals!$A:$A=BA50)-(FILTER(Data!$K:$K,Data!$B:$B=BA50,Data!$D:$D=$K50)+FILTER(Data!$L:$L,Data!$B:$B=BA50,Data!$D:$D=$K50)),""""),"""")"),"")</f>
        <v/>
      </c>
      <c r="CL50" s="69" t="str">
        <f>IFERROR(__xludf.DUMMYFUNCTION("IF($K50&lt;&gt;"""",IFERROR(FILTER(RawTotals!$AJ:$AJ,RawTotals!$A:$A=BB50)-(FILTER(Data!$K:$K,Data!$B:$B=BB50,Data!$D:$D=$K50)+FILTER(Data!$L:$L,Data!$B:$B=BB50,Data!$D:$D=$K50)),""""),"""")"),"")</f>
        <v/>
      </c>
      <c r="CM50" s="69" t="str">
        <f>IFERROR(__xludf.DUMMYFUNCTION("IF($K50&lt;&gt;"""",IFERROR(FILTER(RawTotals!$AJ:$AJ,RawTotals!$A:$A=BC50)-(FILTER(Data!$K:$K,Data!$B:$B=BC50,Data!$D:$D=$K50)+FILTER(Data!$L:$L,Data!$B:$B=BC50,Data!$D:$D=$K50)),""""),"""")"),"")</f>
        <v/>
      </c>
      <c r="CN50" s="69" t="str">
        <f>IFERROR(__xludf.DUMMYFUNCTION("IF($L50&lt;&gt;"""",IFERROR((FILTER(RawTotals!$AJ:$AJ,RawTotals!$A:$A=BD50)-(FILTER(Data!$K:$K,Data!$B:$B=BD50,Data!$D:$D=$L50)+FILTER(Data!$L:$L,Data!$B:$B=BD50,Data!$D:$D=$L50))),""""),"""")"),"")</f>
        <v/>
      </c>
      <c r="CO50" s="69" t="str">
        <f>IFERROR(__xludf.DUMMYFUNCTION("IF($L50&lt;&gt;"""",IFERROR((FILTER(RawTotals!$AJ:$AJ,RawTotals!$A:$A=BE50)-(FILTER(Data!$K:$K,Data!$B:$B=BE50,Data!$D:$D=$L50)+FILTER(Data!$L:$L,Data!$B:$B=BE50,Data!$D:$D=$L50))),""""),"""")"),"")</f>
        <v/>
      </c>
      <c r="CP50" s="69" t="str">
        <f>IFERROR(__xludf.DUMMYFUNCTION("IF($L50&lt;&gt;"""",IFERROR((FILTER(RawTotals!$AJ:$AJ,RawTotals!$A:$A=BF50)-(FILTER(Data!$K:$K,Data!$B:$B=BF50,Data!$D:$D=$L50)+FILTER(Data!$L:$L,Data!$B:$B=BF50,Data!$D:$D=$L50))),""""),"""")"),"")</f>
        <v/>
      </c>
      <c r="CQ50" s="69" t="str">
        <f>IFERROR(__xludf.DUMMYFUNCTION("IF($M50&lt;&gt;"""",IFERROR((FILTER(RawTotals!$AJ:$AJ,RawTotals!$A:$A=BG50)-(FILTER(Data!$K:$K,Data!$B:$B=BG50,Data!$D:$D=$M50)+FILTER(Data!$L:$L,Data!$B:$B=BG50,Data!$D:$D=$M50))),""""),"""")"),"")</f>
        <v/>
      </c>
      <c r="CR50" s="69" t="str">
        <f>IFERROR(__xludf.DUMMYFUNCTION("IF($M50&lt;&gt;"""",IFERROR((FILTER(RawTotals!$AJ:$AJ,RawTotals!$A:$A=BH50)-(FILTER(Data!$K:$K,Data!$B:$B=BH50,Data!$D:$D=$M50)+FILTER(Data!$L:$L,Data!$B:$B=BH50,Data!$D:$D=$M50))),""""),"""")"),"")</f>
        <v/>
      </c>
      <c r="CS50" s="70" t="str">
        <f>IFERROR(__xludf.DUMMYFUNCTION("IF($M50&lt;&gt;"""",IFERROR((FILTER(RawTotals!$AJ:$AJ,RawTotals!$A:$A=BI50)-(FILTER(Data!$K:$K,Data!$B:$B=BI50,Data!$D:$D=$M50)+FILTER(Data!$L:$L,Data!$B:$B=BI50,Data!$D:$D=$M50))),""""),"""")"),"")</f>
        <v/>
      </c>
      <c r="CT50" s="69"/>
      <c r="CU50" s="69"/>
      <c r="CV50" s="69"/>
      <c r="CW50" s="69"/>
      <c r="CX50" s="69"/>
      <c r="CY50" s="69"/>
      <c r="CZ50" s="69"/>
      <c r="DA50" s="69"/>
      <c r="DB50" s="69"/>
      <c r="DC50" s="69"/>
      <c r="DD50" s="69"/>
      <c r="DE50" s="69"/>
    </row>
    <row r="51">
      <c r="A51" s="65" t="str">
        <f>RawTotals!A51</f>
        <v/>
      </c>
      <c r="B51" s="68" t="str">
        <f>IFERROR(__xludf.DUMMYFUNCTION("IF(A51&lt;&gt;"""",IFERROR(TRANSPOSE(FILTER(Data!D:D,Data!B:B=A51,Data!R:R&lt;&gt;"""")),""No Defense""),"""")"),"")</f>
        <v/>
      </c>
      <c r="C51" s="65"/>
      <c r="D51" s="65"/>
      <c r="E51" s="65"/>
      <c r="F51" s="65"/>
      <c r="G51" s="65"/>
      <c r="H51" s="65"/>
      <c r="I51" s="65"/>
      <c r="J51" s="65"/>
      <c r="K51" s="65"/>
      <c r="L51" s="65"/>
      <c r="M51" s="65"/>
      <c r="N51" s="64" t="str">
        <f>IFERROR(__xludf.DUMMYFUNCTION("IFERROR(Textjoin("""",TRUE,FILTER(Data!$R:$R,Data!$D:$D=B51,Data!$B:$B=$A51)),"""")"),"")</f>
        <v/>
      </c>
      <c r="O51" s="64" t="str">
        <f>IFERROR(__xludf.DUMMYFUNCTION("IFERROR(Textjoin("""",TRUE,FILTER(Data!$R:$R,Data!$D:$D=C51,Data!$B:$B=$A51)),"""")"),"")</f>
        <v/>
      </c>
      <c r="P51" s="64" t="str">
        <f>IFERROR(__xludf.DUMMYFUNCTION("IFERROR(Textjoin("""",TRUE,FILTER(Data!$R:$R,Data!$D:$D=D51,Data!$B:$B=$A51)),"""")"),"")</f>
        <v/>
      </c>
      <c r="Q51" s="64" t="str">
        <f>IFERROR(__xludf.DUMMYFUNCTION("IFERROR(Textjoin("""",TRUE,FILTER(Data!$R:$R,Data!$D:$D=E51,Data!$B:$B=$A51)),"""")"),"")</f>
        <v/>
      </c>
      <c r="R51" s="64" t="str">
        <f>IFERROR(__xludf.DUMMYFUNCTION("IFERROR(Textjoin("""",TRUE,FILTER(Data!$R:$R,Data!$D:$D=F51,Data!$B:$B=$A51)),"""")"),"")</f>
        <v/>
      </c>
      <c r="S51" s="64" t="str">
        <f>IFERROR(__xludf.DUMMYFUNCTION("IFERROR(Textjoin("""",TRUE,FILTER(Data!$R:$R,Data!$D:$D=G51,Data!$B:$B=$A51)),"""")"),"")</f>
        <v/>
      </c>
      <c r="T51" s="64" t="str">
        <f>IFERROR(__xludf.DUMMYFUNCTION("IFERROR(Textjoin("""",TRUE,FILTER(Data!$R:$R,Data!$D:$D=H51,Data!$B:$B=$A51)),"""")"),"")</f>
        <v/>
      </c>
      <c r="U51" s="64" t="str">
        <f>IFERROR(__xludf.DUMMYFUNCTION("IFERROR(Textjoin("""",TRUE,FILTER(Data!$R:$R,Data!$D:$D=I51,Data!$B:$B=$A51)),"""")"),"")</f>
        <v/>
      </c>
      <c r="V51" s="64" t="str">
        <f>IFERROR(__xludf.DUMMYFUNCTION("IFERROR(Textjoin("""",TRUE,FILTER(Data!$R:$R,Data!$D:$D=J51,Data!$B:$B=$A51)),"""")"),"")</f>
        <v/>
      </c>
      <c r="W51" s="64" t="str">
        <f>IFERROR(__xludf.DUMMYFUNCTION("IFERROR(Textjoin("""",TRUE,FILTER(Data!$R:$R,Data!$D:$D=K51,Data!$B:$B=$A51)),"""")"),"")</f>
        <v/>
      </c>
      <c r="X51" s="64" t="str">
        <f>IFERROR(__xludf.DUMMYFUNCTION("IFERROR(Textjoin("""",TRUE,FILTER(Data!$R:$R,Data!$D:$D=L51,Data!$B:$B=$A51)),"""")"),"")</f>
        <v/>
      </c>
      <c r="Y51" s="64" t="str">
        <f>IFERROR(__xludf.DUMMYFUNCTION("IFERROR(Textjoin("""",TRUE,FILTER(Data!$R:$R,Data!$D:$D=M51,Data!$B:$B=$A51)),"""")"),"")</f>
        <v/>
      </c>
      <c r="Z51" s="64" t="str">
        <f>IFERROR(__xludf.DUMMYFUNCTION("IFERROR(SPLIT(N51,"",""),"""")"),"")</f>
        <v/>
      </c>
      <c r="AA51" s="65"/>
      <c r="AB51" s="65"/>
      <c r="AC51" s="69" t="str">
        <f>IFERROR(__xludf.DUMMYFUNCTION("IFERROR(SPLIT(O51,"",""),"""")"),"")</f>
        <v/>
      </c>
      <c r="AD51" s="65"/>
      <c r="AE51" s="65"/>
      <c r="AF51" s="69" t="str">
        <f>IFERROR(__xludf.DUMMYFUNCTION("IFERROR(SPLIT(P51,"",""),"""")"),"")</f>
        <v/>
      </c>
      <c r="AG51" s="65"/>
      <c r="AH51" s="65"/>
      <c r="AI51" s="69" t="str">
        <f>IFERROR(__xludf.DUMMYFUNCTION("IFERROR(SPLIT(Q51,"",""),"""")"),"")</f>
        <v/>
      </c>
      <c r="AJ51" s="65"/>
      <c r="AK51" s="65"/>
      <c r="AL51" s="69" t="str">
        <f>IFERROR(__xludf.DUMMYFUNCTION("IFERROR(SPLIT(R51,"",""),"""")"),"")</f>
        <v/>
      </c>
      <c r="AM51" s="65"/>
      <c r="AN51" s="65"/>
      <c r="AO51" s="69" t="str">
        <f>IFERROR(__xludf.DUMMYFUNCTION("IFERROR(SPLIT(S51,"",""),"""")"),"")</f>
        <v/>
      </c>
      <c r="AP51" s="65"/>
      <c r="AQ51" s="65"/>
      <c r="AR51" s="69" t="str">
        <f>IFERROR(__xludf.DUMMYFUNCTION("IFERROR(SPLIT(T51,"",""),"""")"),"")</f>
        <v/>
      </c>
      <c r="AS51" s="65"/>
      <c r="AT51" s="65"/>
      <c r="AU51" s="69" t="str">
        <f>IFERROR(__xludf.DUMMYFUNCTION("IFERROR(SPLIT(U51,"",""),"""")"),"")</f>
        <v/>
      </c>
      <c r="AV51" s="65"/>
      <c r="AW51" s="65"/>
      <c r="AX51" s="69" t="str">
        <f>IFERROR(__xludf.DUMMYFUNCTION("IFERROR(SPLIT(V51,"",""),"""")"),"")</f>
        <v/>
      </c>
      <c r="AY51" s="65"/>
      <c r="AZ51" s="65"/>
      <c r="BA51" s="69" t="str">
        <f>IFERROR(__xludf.DUMMYFUNCTION("IFERROR(SPLIT(W51,"",""),"""")"),"")</f>
        <v/>
      </c>
      <c r="BB51" s="69"/>
      <c r="BC51" s="69"/>
      <c r="BD51" s="69" t="str">
        <f>IFERROR(__xludf.DUMMYFUNCTION("IFERROR(SPLIT(X51,"",""),"""")"),"")</f>
        <v/>
      </c>
      <c r="BE51" s="69"/>
      <c r="BF51" s="69"/>
      <c r="BG51" s="69" t="str">
        <f>IFERROR(__xludf.DUMMYFUNCTION("IFERROR(SPLIT(Y51,"",""),"""")"),"")</f>
        <v/>
      </c>
      <c r="BH51" s="69"/>
      <c r="BI51" s="69"/>
      <c r="BJ51" s="68" t="str">
        <f>IFERROR(__xludf.DUMMYFUNCTION("IF($B51&lt;&gt;"""",IFERROR(FILTER(RawTotals!$AJ:$AJ,RawTotals!$A:$A=Z51)-(FILTER(Data!$K:$K,Data!$B:$B=Z51,Data!$D:$D=$B51)+FILTER(Data!$L:$L,Data!$B:$B=Z51,Data!$D:$D=$B51)),""""),"""")"),"")</f>
        <v/>
      </c>
      <c r="BK51" s="68" t="str">
        <f>IFERROR(__xludf.DUMMYFUNCTION("IF($B51&lt;&gt;"""",IFERROR(FILTER(RawTotals!$AJ:$AJ,RawTotals!$A:$A=AA51)-(FILTER(Data!$K:$K,Data!$B:$B=AA51,Data!$D:$D=$B51)+FILTER(Data!$L:$L,Data!$B:$B=AA51,Data!$D:$D=$B51)),""""),"""")"),"")</f>
        <v/>
      </c>
      <c r="BL51" s="68" t="str">
        <f>IFERROR(__xludf.DUMMYFUNCTION("IF($B51&lt;&gt;"""",IFERROR(FILTER(RawTotals!$AJ:$AJ,RawTotals!$A:$A=AB51)-(FILTER(Data!$K:$K,Data!$B:$B=AB51,Data!$D:$D=$B51)+FILTER(Data!$L:$L,Data!$B:$B=AB51,Data!$D:$D=$B51)),""""),"""")"),"")</f>
        <v/>
      </c>
      <c r="BM51" s="69" t="str">
        <f>IFERROR(__xludf.DUMMYFUNCTION("IF($C51&lt;&gt;"""",IFERROR(FILTER(RawTotals!$AJ:$AJ,RawTotals!$A:$A=AC51)-(FILTER(Data!$K:$K,Data!$B:$B=AC51,Data!$D:$D=$C51)+FILTER(Data!$L:$L,Data!$B:$B=AC51,Data!$D:$D=$C51)),""""),"""")"),"")</f>
        <v/>
      </c>
      <c r="BN51" s="69" t="str">
        <f>IFERROR(__xludf.DUMMYFUNCTION("IF($C51&lt;&gt;"""",IFERROR(FILTER(RawTotals!$AJ:$AJ,RawTotals!$A:$A=AD51)-(FILTER(Data!$K:$K,Data!$B:$B=AD51,Data!$D:$D=$C51)+FILTER(Data!$L:$L,Data!$B:$B=AD51,Data!$D:$D=$C51)),""""),"""")"),"")</f>
        <v/>
      </c>
      <c r="BO51" s="69" t="str">
        <f>IFERROR(__xludf.DUMMYFUNCTION("IF($C51&lt;&gt;"""",IFERROR(FILTER(RawTotals!$AJ:$AJ,RawTotals!$A:$A=AE51)-(FILTER(Data!$K:$K,Data!$B:$B=AE51,Data!$D:$D=$C51)+FILTER(Data!$L:$L,Data!$B:$B=AE51,Data!$D:$D=$C51)),""""),"""")"),"")</f>
        <v/>
      </c>
      <c r="BP51" s="69" t="str">
        <f>IFERROR(__xludf.DUMMYFUNCTION("IF($D51&lt;&gt;"""",IFERROR(FILTER(RawTotals!$AJ:$AJ,RawTotals!$A:$A=AF51)-(FILTER(Data!$K:$K,Data!$B:$B=AF51,Data!$D:$D=$D51)+FILTER(Data!$L:$L,Data!$B:$B=AF51,Data!$D:$D=$D51)),""""),"""")"),"")</f>
        <v/>
      </c>
      <c r="BQ51" s="69" t="str">
        <f>IFERROR(__xludf.DUMMYFUNCTION("IF($D51&lt;&gt;"""",IFERROR(FILTER(RawTotals!$AJ:$AJ,RawTotals!$A:$A=AG51)-(FILTER(Data!$K:$K,Data!$B:$B=AG51,Data!$D:$D=$D51)+FILTER(Data!$L:$L,Data!$B:$B=AG51,Data!$D:$D=$D51)),""""),"""")"),"")</f>
        <v/>
      </c>
      <c r="BR51" s="69" t="str">
        <f>IFERROR(__xludf.DUMMYFUNCTION("IF($D51&lt;&gt;"""",IFERROR(FILTER(RawTotals!$AJ:$AJ,RawTotals!$A:$A=AH51)-(FILTER(Data!$K:$K,Data!$B:$B=AH51,Data!$D:$D=$D51)+FILTER(Data!$L:$L,Data!$B:$B=AH51,Data!$D:$D=$D51)),""""),"""")"),"")</f>
        <v/>
      </c>
      <c r="BS51" s="69" t="str">
        <f>IFERROR(__xludf.DUMMYFUNCTION("IF($E51&lt;&gt;"""",IFERROR(FILTER(RawTotals!$AJ:$AJ,RawTotals!$A:$A=AI51)-(FILTER(Data!$K:$K,Data!$B:$B=AI51,Data!$D:$D=$E51)+FILTER(Data!$L:$L,Data!$B:$B=AI51,Data!$D:$D=$E51)),""""),"""")"),"")</f>
        <v/>
      </c>
      <c r="BT51" s="69" t="str">
        <f>IFERROR(__xludf.DUMMYFUNCTION("IF($E51&lt;&gt;"""",IFERROR(FILTER(RawTotals!$AJ:$AJ,RawTotals!$A:$A=AJ51)-(FILTER(Data!$K:$K,Data!$B:$B=AJ51,Data!$D:$D=$E51)+FILTER(Data!$L:$L,Data!$B:$B=AJ51,Data!$D:$D=$E51)),""""),"""")"),"")</f>
        <v/>
      </c>
      <c r="BU51" s="69" t="str">
        <f>IFERROR(__xludf.DUMMYFUNCTION("IF($E51&lt;&gt;"""",IFERROR(FILTER(RawTotals!$AJ:$AJ,RawTotals!$A:$A=AK51)-(FILTER(Data!$K:$K,Data!$B:$B=AK51,Data!$D:$D=$E51)+FILTER(Data!$L:$L,Data!$B:$B=AK51,Data!$D:$D=$E51)),""""),"""")"),"")</f>
        <v/>
      </c>
      <c r="BV51" s="69" t="str">
        <f>IFERROR(__xludf.DUMMYFUNCTION("IF($F51&lt;&gt;"""",IFERROR(FILTER(RawTotals!$AJ:$AJ,RawTotals!$A:$A=AL51)-(FILTER(Data!$K:$K,Data!$B:$B=AL51,Data!$D:$D=$F51)+FILTER(Data!$L:$L,Data!$B:$B=AL51,Data!$D:$D=$F51)),""""),"""")"),"")</f>
        <v/>
      </c>
      <c r="BW51" s="69" t="str">
        <f>IFERROR(__xludf.DUMMYFUNCTION("IF($F51&lt;&gt;"""",IFERROR(FILTER(RawTotals!$AJ:$AJ,RawTotals!$A:$A=AM51)-(FILTER(Data!$K:$K,Data!$B:$B=AM51,Data!$D:$D=$F51)+FILTER(Data!$L:$L,Data!$B:$B=AM51,Data!$D:$D=$F51)),""""),"""")"),"")</f>
        <v/>
      </c>
      <c r="BX51" s="69" t="str">
        <f>IFERROR(__xludf.DUMMYFUNCTION("IF($F51&lt;&gt;"""",IFERROR(FILTER(RawTotals!$AJ:$AJ,RawTotals!$A:$A=AN51)-(FILTER(Data!$K:$K,Data!$B:$B=AN51,Data!$D:$D=$F51)+FILTER(Data!$L:$L,Data!$B:$B=AN51,Data!$D:$D=$F51)),""""),"""")"),"")</f>
        <v/>
      </c>
      <c r="BY51" s="69" t="str">
        <f>IFERROR(__xludf.DUMMYFUNCTION("IF($G51&lt;&gt;"""",IFERROR(FILTER(RawTotals!$AJ:$AJ,RawTotals!$A:$A=AO51)-(FILTER(Data!$K:$K,Data!$B:$B=AO51,Data!$D:$D=$G51)+FILTER(Data!$L:$L,Data!$B:$B=AO51,Data!$D:$D=$G51)),""""),"""")"),"")</f>
        <v/>
      </c>
      <c r="BZ51" s="69" t="str">
        <f>IFERROR(__xludf.DUMMYFUNCTION("IF($G51&lt;&gt;"""",IFERROR(FILTER(RawTotals!$AJ:$AJ,RawTotals!$A:$A=AP51)-(FILTER(Data!$K:$K,Data!$B:$B=AP51,Data!$D:$D=$G51)+FILTER(Data!$L:$L,Data!$B:$B=AP51,Data!$D:$D=$G51)),""""),"""")"),"")</f>
        <v/>
      </c>
      <c r="CA51" s="69" t="str">
        <f>IFERROR(__xludf.DUMMYFUNCTION("IF($G51&lt;&gt;"""",IFERROR(FILTER(RawTotals!$AJ:$AJ,RawTotals!$A:$A=AQ51)-(FILTER(Data!$K:$K,Data!$B:$B=AQ51,Data!$D:$D=$G51)+FILTER(Data!$L:$L,Data!$B:$B=AQ51,Data!$D:$D=$G51)),""""),"""")"),"")</f>
        <v/>
      </c>
      <c r="CB51" s="69" t="str">
        <f>IFERROR(__xludf.DUMMYFUNCTION("IF($H51&lt;&gt;"""",IFERROR(FILTER(RawTotals!$AJ:$AJ,RawTotals!$A:$A=AR51)-(FILTER(Data!$K:$K,Data!$B:$B=AR51,Data!$D:$D=$H51)+FILTER(Data!$L:$L,Data!$B:$B=AR51,Data!$D:$D=$H51)),""""),"""")"),"")</f>
        <v/>
      </c>
      <c r="CC51" s="69" t="str">
        <f>IFERROR(__xludf.DUMMYFUNCTION("IF($H51&lt;&gt;"""",IFERROR(FILTER(RawTotals!$AJ:$AJ,RawTotals!$A:$A=AS51)-(FILTER(Data!$K:$K,Data!$B:$B=AS51,Data!$D:$D=$H51)+FILTER(Data!$L:$L,Data!$B:$B=AS51,Data!$D:$D=$H51)),""""),"""")"),"")</f>
        <v/>
      </c>
      <c r="CD51" s="69" t="str">
        <f>IFERROR(__xludf.DUMMYFUNCTION("IF($H51&lt;&gt;"""",IFERROR(FILTER(RawTotals!$AJ:$AJ,RawTotals!$A:$A=AT51)-(FILTER(Data!$K:$K,Data!$B:$B=AT51,Data!$D:$D=$H51)+FILTER(Data!$L:$L,Data!$B:$B=AT51,Data!$D:$D=$H51)),""""),"""")"),"")</f>
        <v/>
      </c>
      <c r="CE51" s="69" t="str">
        <f>IFERROR(__xludf.DUMMYFUNCTION("IF($I51&lt;&gt;"""",IFERROR(FILTER(RawTotals!$AJ:$AJ,RawTotals!$A:$A=AU51)-(FILTER(Data!$K:$K,Data!$B:$B=AU51,Data!$D:$D=$I51)+FILTER(Data!$L:$L,Data!$B:$B=AU51,Data!$D:$D=$I51)),""""),"""")"),"")</f>
        <v/>
      </c>
      <c r="CF51" s="69" t="str">
        <f>IFERROR(__xludf.DUMMYFUNCTION("IF($I51&lt;&gt;"""",IFERROR(FILTER(RawTotals!$AJ:$AJ,RawTotals!$A:$A=AV51)-(FILTER(Data!$K:$K,Data!$B:$B=AV51,Data!$D:$D=$I51)+FILTER(Data!$L:$L,Data!$B:$B=AV51,Data!$D:$D=$I51)),""""),"""")"),"")</f>
        <v/>
      </c>
      <c r="CG51" s="69" t="str">
        <f>IFERROR(__xludf.DUMMYFUNCTION("IF($I51&lt;&gt;"""",IFERROR(FILTER(RawTotals!$AJ:$AJ,RawTotals!$A:$A=AW51)-(FILTER(Data!$K:$K,Data!$B:$B=AW51,Data!$D:$D=$I51)+FILTER(Data!$L:$L,Data!$B:$B=AW51,Data!$D:$D=$I51)),""""),"""")"),"")</f>
        <v/>
      </c>
      <c r="CH51" s="69" t="str">
        <f>IFERROR(__xludf.DUMMYFUNCTION("IF($J51&lt;&gt;"""",IFERROR(FILTER(RawTotals!$AJ:$AJ,RawTotals!$A:$A=AX51)-(FILTER(Data!$K:$K,Data!$B:$B=AX51,Data!$D:$D=$J51)+FILTER(Data!$L:$L,Data!$B:$B=AX51,Data!$D:$D=$J51)),""""),"""")"),"")</f>
        <v/>
      </c>
      <c r="CI51" s="69" t="str">
        <f>IFERROR(__xludf.DUMMYFUNCTION("IF($J51&lt;&gt;"""",IFERROR(FILTER(RawTotals!$AJ:$AJ,RawTotals!$A:$A=AY51)-(FILTER(Data!$K:$K,Data!$B:$B=AY51,Data!$D:$D=$J51)+FILTER(Data!$L:$L,Data!$B:$B=AY51,Data!$D:$D=$J51)),""""),"""")"),"")</f>
        <v/>
      </c>
      <c r="CJ51" s="69" t="str">
        <f>IFERROR(__xludf.DUMMYFUNCTION("IF($J51&lt;&gt;"""",IFERROR(FILTER(RawTotals!$AJ:$AJ,RawTotals!$A:$A=AZ51)-(FILTER(Data!$K:$K,Data!$B:$B=AZ51,Data!$D:$D=$J51)+FILTER(Data!$L:$L,Data!$B:$B=AZ51,Data!$D:$D=$J51)),""""),"""")"),"")</f>
        <v/>
      </c>
      <c r="CK51" s="69" t="str">
        <f>IFERROR(__xludf.DUMMYFUNCTION("IF($K51&lt;&gt;"""",IFERROR(FILTER(RawTotals!$AJ:$AJ,RawTotals!$A:$A=BA51)-(FILTER(Data!$K:$K,Data!$B:$B=BA51,Data!$D:$D=$K51)+FILTER(Data!$L:$L,Data!$B:$B=BA51,Data!$D:$D=$K51)),""""),"""")"),"")</f>
        <v/>
      </c>
      <c r="CL51" s="69" t="str">
        <f>IFERROR(__xludf.DUMMYFUNCTION("IF($K51&lt;&gt;"""",IFERROR(FILTER(RawTotals!$AJ:$AJ,RawTotals!$A:$A=BB51)-(FILTER(Data!$K:$K,Data!$B:$B=BB51,Data!$D:$D=$K51)+FILTER(Data!$L:$L,Data!$B:$B=BB51,Data!$D:$D=$K51)),""""),"""")"),"")</f>
        <v/>
      </c>
      <c r="CM51" s="69" t="str">
        <f>IFERROR(__xludf.DUMMYFUNCTION("IF($K51&lt;&gt;"""",IFERROR(FILTER(RawTotals!$AJ:$AJ,RawTotals!$A:$A=BC51)-(FILTER(Data!$K:$K,Data!$B:$B=BC51,Data!$D:$D=$K51)+FILTER(Data!$L:$L,Data!$B:$B=BC51,Data!$D:$D=$K51)),""""),"""")"),"")</f>
        <v/>
      </c>
      <c r="CN51" s="69" t="str">
        <f>IFERROR(__xludf.DUMMYFUNCTION("IF($L51&lt;&gt;"""",IFERROR((FILTER(RawTotals!$AJ:$AJ,RawTotals!$A:$A=BD51)-(FILTER(Data!$K:$K,Data!$B:$B=BD51,Data!$D:$D=$L51)+FILTER(Data!$L:$L,Data!$B:$B=BD51,Data!$D:$D=$L51))),""""),"""")"),"")</f>
        <v/>
      </c>
      <c r="CO51" s="69" t="str">
        <f>IFERROR(__xludf.DUMMYFUNCTION("IF($L51&lt;&gt;"""",IFERROR((FILTER(RawTotals!$AJ:$AJ,RawTotals!$A:$A=BE51)-(FILTER(Data!$K:$K,Data!$B:$B=BE51,Data!$D:$D=$L51)+FILTER(Data!$L:$L,Data!$B:$B=BE51,Data!$D:$D=$L51))),""""),"""")"),"")</f>
        <v/>
      </c>
      <c r="CP51" s="69" t="str">
        <f>IFERROR(__xludf.DUMMYFUNCTION("IF($L51&lt;&gt;"""",IFERROR((FILTER(RawTotals!$AJ:$AJ,RawTotals!$A:$A=BF51)-(FILTER(Data!$K:$K,Data!$B:$B=BF51,Data!$D:$D=$L51)+FILTER(Data!$L:$L,Data!$B:$B=BF51,Data!$D:$D=$L51))),""""),"""")"),"")</f>
        <v/>
      </c>
      <c r="CQ51" s="69" t="str">
        <f>IFERROR(__xludf.DUMMYFUNCTION("IF($M51&lt;&gt;"""",IFERROR((FILTER(RawTotals!$AJ:$AJ,RawTotals!$A:$A=BG51)-(FILTER(Data!$K:$K,Data!$B:$B=BG51,Data!$D:$D=$M51)+FILTER(Data!$L:$L,Data!$B:$B=BG51,Data!$D:$D=$M51))),""""),"""")"),"")</f>
        <v/>
      </c>
      <c r="CR51" s="69" t="str">
        <f>IFERROR(__xludf.DUMMYFUNCTION("IF($M51&lt;&gt;"""",IFERROR((FILTER(RawTotals!$AJ:$AJ,RawTotals!$A:$A=BH51)-(FILTER(Data!$K:$K,Data!$B:$B=BH51,Data!$D:$D=$M51)+FILTER(Data!$L:$L,Data!$B:$B=BH51,Data!$D:$D=$M51))),""""),"""")"),"")</f>
        <v/>
      </c>
      <c r="CS51" s="70" t="str">
        <f>IFERROR(__xludf.DUMMYFUNCTION("IF($M51&lt;&gt;"""",IFERROR((FILTER(RawTotals!$AJ:$AJ,RawTotals!$A:$A=BI51)-(FILTER(Data!$K:$K,Data!$B:$B=BI51,Data!$D:$D=$M51)+FILTER(Data!$L:$L,Data!$B:$B=BI51,Data!$D:$D=$M51))),""""),"""")"),"")</f>
        <v/>
      </c>
      <c r="CT51" s="69"/>
      <c r="CU51" s="69"/>
      <c r="CV51" s="69"/>
      <c r="CW51" s="69"/>
      <c r="CX51" s="69"/>
      <c r="CY51" s="69"/>
      <c r="CZ51" s="69"/>
      <c r="DA51" s="69"/>
      <c r="DB51" s="69"/>
      <c r="DC51" s="69"/>
      <c r="DD51" s="69"/>
      <c r="DE51" s="69"/>
    </row>
    <row r="52">
      <c r="A52" s="65" t="str">
        <f>RawTotals!A52</f>
        <v/>
      </c>
      <c r="B52" s="68" t="str">
        <f>IFERROR(__xludf.DUMMYFUNCTION("IF(A52&lt;&gt;"""",IFERROR(TRANSPOSE(FILTER(Data!D:D,Data!B:B=A52,Data!R:R&lt;&gt;"""")),""No Defense""),"""")"),"")</f>
        <v/>
      </c>
      <c r="C52" s="65"/>
      <c r="D52" s="65"/>
      <c r="E52" s="65"/>
      <c r="F52" s="65"/>
      <c r="G52" s="65"/>
      <c r="H52" s="65"/>
      <c r="I52" s="65"/>
      <c r="J52" s="65"/>
      <c r="K52" s="65"/>
      <c r="L52" s="65"/>
      <c r="M52" s="65"/>
      <c r="N52" s="64" t="str">
        <f>IFERROR(__xludf.DUMMYFUNCTION("IFERROR(Textjoin("""",TRUE,FILTER(Data!$R:$R,Data!$D:$D=B52,Data!$B:$B=$A52)),"""")"),"")</f>
        <v/>
      </c>
      <c r="O52" s="64" t="str">
        <f>IFERROR(__xludf.DUMMYFUNCTION("IFERROR(Textjoin("""",TRUE,FILTER(Data!$R:$R,Data!$D:$D=C52,Data!$B:$B=$A52)),"""")"),"")</f>
        <v/>
      </c>
      <c r="P52" s="64" t="str">
        <f>IFERROR(__xludf.DUMMYFUNCTION("IFERROR(Textjoin("""",TRUE,FILTER(Data!$R:$R,Data!$D:$D=D52,Data!$B:$B=$A52)),"""")"),"")</f>
        <v/>
      </c>
      <c r="Q52" s="64" t="str">
        <f>IFERROR(__xludf.DUMMYFUNCTION("IFERROR(Textjoin("""",TRUE,FILTER(Data!$R:$R,Data!$D:$D=E52,Data!$B:$B=$A52)),"""")"),"")</f>
        <v/>
      </c>
      <c r="R52" s="64" t="str">
        <f>IFERROR(__xludf.DUMMYFUNCTION("IFERROR(Textjoin("""",TRUE,FILTER(Data!$R:$R,Data!$D:$D=F52,Data!$B:$B=$A52)),"""")"),"")</f>
        <v/>
      </c>
      <c r="S52" s="64" t="str">
        <f>IFERROR(__xludf.DUMMYFUNCTION("IFERROR(Textjoin("""",TRUE,FILTER(Data!$R:$R,Data!$D:$D=G52,Data!$B:$B=$A52)),"""")"),"")</f>
        <v/>
      </c>
      <c r="T52" s="64" t="str">
        <f>IFERROR(__xludf.DUMMYFUNCTION("IFERROR(Textjoin("""",TRUE,FILTER(Data!$R:$R,Data!$D:$D=H52,Data!$B:$B=$A52)),"""")"),"")</f>
        <v/>
      </c>
      <c r="U52" s="64" t="str">
        <f>IFERROR(__xludf.DUMMYFUNCTION("IFERROR(Textjoin("""",TRUE,FILTER(Data!$R:$R,Data!$D:$D=I52,Data!$B:$B=$A52)),"""")"),"")</f>
        <v/>
      </c>
      <c r="V52" s="64" t="str">
        <f>IFERROR(__xludf.DUMMYFUNCTION("IFERROR(Textjoin("""",TRUE,FILTER(Data!$R:$R,Data!$D:$D=J52,Data!$B:$B=$A52)),"""")"),"")</f>
        <v/>
      </c>
      <c r="W52" s="64" t="str">
        <f>IFERROR(__xludf.DUMMYFUNCTION("IFERROR(Textjoin("""",TRUE,FILTER(Data!$R:$R,Data!$D:$D=K52,Data!$B:$B=$A52)),"""")"),"")</f>
        <v/>
      </c>
      <c r="X52" s="64" t="str">
        <f>IFERROR(__xludf.DUMMYFUNCTION("IFERROR(Textjoin("""",TRUE,FILTER(Data!$R:$R,Data!$D:$D=L52,Data!$B:$B=$A52)),"""")"),"")</f>
        <v/>
      </c>
      <c r="Y52" s="64" t="str">
        <f>IFERROR(__xludf.DUMMYFUNCTION("IFERROR(Textjoin("""",TRUE,FILTER(Data!$R:$R,Data!$D:$D=M52,Data!$B:$B=$A52)),"""")"),"")</f>
        <v/>
      </c>
      <c r="Z52" s="64" t="str">
        <f>IFERROR(__xludf.DUMMYFUNCTION("IFERROR(SPLIT(N52,"",""),"""")"),"")</f>
        <v/>
      </c>
      <c r="AA52" s="65"/>
      <c r="AB52" s="65"/>
      <c r="AC52" s="69" t="str">
        <f>IFERROR(__xludf.DUMMYFUNCTION("IFERROR(SPLIT(O52,"",""),"""")"),"")</f>
        <v/>
      </c>
      <c r="AD52" s="65"/>
      <c r="AE52" s="65"/>
      <c r="AF52" s="69" t="str">
        <f>IFERROR(__xludf.DUMMYFUNCTION("IFERROR(SPLIT(P52,"",""),"""")"),"")</f>
        <v/>
      </c>
      <c r="AG52" s="65"/>
      <c r="AH52" s="65"/>
      <c r="AI52" s="69" t="str">
        <f>IFERROR(__xludf.DUMMYFUNCTION("IFERROR(SPLIT(Q52,"",""),"""")"),"")</f>
        <v/>
      </c>
      <c r="AJ52" s="65"/>
      <c r="AK52" s="65"/>
      <c r="AL52" s="69" t="str">
        <f>IFERROR(__xludf.DUMMYFUNCTION("IFERROR(SPLIT(R52,"",""),"""")"),"")</f>
        <v/>
      </c>
      <c r="AM52" s="65"/>
      <c r="AN52" s="65"/>
      <c r="AO52" s="69" t="str">
        <f>IFERROR(__xludf.DUMMYFUNCTION("IFERROR(SPLIT(S52,"",""),"""")"),"")</f>
        <v/>
      </c>
      <c r="AP52" s="65"/>
      <c r="AQ52" s="65"/>
      <c r="AR52" s="69" t="str">
        <f>IFERROR(__xludf.DUMMYFUNCTION("IFERROR(SPLIT(T52,"",""),"""")"),"")</f>
        <v/>
      </c>
      <c r="AS52" s="65"/>
      <c r="AT52" s="65"/>
      <c r="AU52" s="69" t="str">
        <f>IFERROR(__xludf.DUMMYFUNCTION("IFERROR(SPLIT(U52,"",""),"""")"),"")</f>
        <v/>
      </c>
      <c r="AV52" s="65"/>
      <c r="AW52" s="65"/>
      <c r="AX52" s="69" t="str">
        <f>IFERROR(__xludf.DUMMYFUNCTION("IFERROR(SPLIT(V52,"",""),"""")"),"")</f>
        <v/>
      </c>
      <c r="AY52" s="65"/>
      <c r="AZ52" s="65"/>
      <c r="BA52" s="69" t="str">
        <f>IFERROR(__xludf.DUMMYFUNCTION("IFERROR(SPLIT(W52,"",""),"""")"),"")</f>
        <v/>
      </c>
      <c r="BB52" s="69"/>
      <c r="BC52" s="69"/>
      <c r="BD52" s="69" t="str">
        <f>IFERROR(__xludf.DUMMYFUNCTION("IFERROR(SPLIT(X52,"",""),"""")"),"")</f>
        <v/>
      </c>
      <c r="BE52" s="69"/>
      <c r="BF52" s="69"/>
      <c r="BG52" s="69" t="str">
        <f>IFERROR(__xludf.DUMMYFUNCTION("IFERROR(SPLIT(Y52,"",""),"""")"),"")</f>
        <v/>
      </c>
      <c r="BH52" s="69"/>
      <c r="BI52" s="69"/>
      <c r="BJ52" s="68" t="str">
        <f>IFERROR(__xludf.DUMMYFUNCTION("IF($B52&lt;&gt;"""",IFERROR(FILTER(RawTotals!$AJ:$AJ,RawTotals!$A:$A=Z52)-(FILTER(Data!$K:$K,Data!$B:$B=Z52,Data!$D:$D=$B52)+FILTER(Data!$L:$L,Data!$B:$B=Z52,Data!$D:$D=$B52)),""""),"""")"),"")</f>
        <v/>
      </c>
      <c r="BK52" s="68" t="str">
        <f>IFERROR(__xludf.DUMMYFUNCTION("IF($B52&lt;&gt;"""",IFERROR(FILTER(RawTotals!$AJ:$AJ,RawTotals!$A:$A=AA52)-(FILTER(Data!$K:$K,Data!$B:$B=AA52,Data!$D:$D=$B52)+FILTER(Data!$L:$L,Data!$B:$B=AA52,Data!$D:$D=$B52)),""""),"""")"),"")</f>
        <v/>
      </c>
      <c r="BL52" s="68" t="str">
        <f>IFERROR(__xludf.DUMMYFUNCTION("IF($B52&lt;&gt;"""",IFERROR(FILTER(RawTotals!$AJ:$AJ,RawTotals!$A:$A=AB52)-(FILTER(Data!$K:$K,Data!$B:$B=AB52,Data!$D:$D=$B52)+FILTER(Data!$L:$L,Data!$B:$B=AB52,Data!$D:$D=$B52)),""""),"""")"),"")</f>
        <v/>
      </c>
      <c r="BM52" s="69" t="str">
        <f>IFERROR(__xludf.DUMMYFUNCTION("IF($C52&lt;&gt;"""",IFERROR(FILTER(RawTotals!$AJ:$AJ,RawTotals!$A:$A=AC52)-(FILTER(Data!$K:$K,Data!$B:$B=AC52,Data!$D:$D=$C52)+FILTER(Data!$L:$L,Data!$B:$B=AC52,Data!$D:$D=$C52)),""""),"""")"),"")</f>
        <v/>
      </c>
      <c r="BN52" s="69" t="str">
        <f>IFERROR(__xludf.DUMMYFUNCTION("IF($C52&lt;&gt;"""",IFERROR(FILTER(RawTotals!$AJ:$AJ,RawTotals!$A:$A=AD52)-(FILTER(Data!$K:$K,Data!$B:$B=AD52,Data!$D:$D=$C52)+FILTER(Data!$L:$L,Data!$B:$B=AD52,Data!$D:$D=$C52)),""""),"""")"),"")</f>
        <v/>
      </c>
      <c r="BO52" s="69" t="str">
        <f>IFERROR(__xludf.DUMMYFUNCTION("IF($C52&lt;&gt;"""",IFERROR(FILTER(RawTotals!$AJ:$AJ,RawTotals!$A:$A=AE52)-(FILTER(Data!$K:$K,Data!$B:$B=AE52,Data!$D:$D=$C52)+FILTER(Data!$L:$L,Data!$B:$B=AE52,Data!$D:$D=$C52)),""""),"""")"),"")</f>
        <v/>
      </c>
      <c r="BP52" s="69" t="str">
        <f>IFERROR(__xludf.DUMMYFUNCTION("IF($D52&lt;&gt;"""",IFERROR(FILTER(RawTotals!$AJ:$AJ,RawTotals!$A:$A=AF52)-(FILTER(Data!$K:$K,Data!$B:$B=AF52,Data!$D:$D=$D52)+FILTER(Data!$L:$L,Data!$B:$B=AF52,Data!$D:$D=$D52)),""""),"""")"),"")</f>
        <v/>
      </c>
      <c r="BQ52" s="69" t="str">
        <f>IFERROR(__xludf.DUMMYFUNCTION("IF($D52&lt;&gt;"""",IFERROR(FILTER(RawTotals!$AJ:$AJ,RawTotals!$A:$A=AG52)-(FILTER(Data!$K:$K,Data!$B:$B=AG52,Data!$D:$D=$D52)+FILTER(Data!$L:$L,Data!$B:$B=AG52,Data!$D:$D=$D52)),""""),"""")"),"")</f>
        <v/>
      </c>
      <c r="BR52" s="69" t="str">
        <f>IFERROR(__xludf.DUMMYFUNCTION("IF($D52&lt;&gt;"""",IFERROR(FILTER(RawTotals!$AJ:$AJ,RawTotals!$A:$A=AH52)-(FILTER(Data!$K:$K,Data!$B:$B=AH52,Data!$D:$D=$D52)+FILTER(Data!$L:$L,Data!$B:$B=AH52,Data!$D:$D=$D52)),""""),"""")"),"")</f>
        <v/>
      </c>
      <c r="BS52" s="69" t="str">
        <f>IFERROR(__xludf.DUMMYFUNCTION("IF($E52&lt;&gt;"""",IFERROR(FILTER(RawTotals!$AJ:$AJ,RawTotals!$A:$A=AI52)-(FILTER(Data!$K:$K,Data!$B:$B=AI52,Data!$D:$D=$E52)+FILTER(Data!$L:$L,Data!$B:$B=AI52,Data!$D:$D=$E52)),""""),"""")"),"")</f>
        <v/>
      </c>
      <c r="BT52" s="69" t="str">
        <f>IFERROR(__xludf.DUMMYFUNCTION("IF($E52&lt;&gt;"""",IFERROR(FILTER(RawTotals!$AJ:$AJ,RawTotals!$A:$A=AJ52)-(FILTER(Data!$K:$K,Data!$B:$B=AJ52,Data!$D:$D=$E52)+FILTER(Data!$L:$L,Data!$B:$B=AJ52,Data!$D:$D=$E52)),""""),"""")"),"")</f>
        <v/>
      </c>
      <c r="BU52" s="69" t="str">
        <f>IFERROR(__xludf.DUMMYFUNCTION("IF($E52&lt;&gt;"""",IFERROR(FILTER(RawTotals!$AJ:$AJ,RawTotals!$A:$A=AK52)-(FILTER(Data!$K:$K,Data!$B:$B=AK52,Data!$D:$D=$E52)+FILTER(Data!$L:$L,Data!$B:$B=AK52,Data!$D:$D=$E52)),""""),"""")"),"")</f>
        <v/>
      </c>
      <c r="BV52" s="69" t="str">
        <f>IFERROR(__xludf.DUMMYFUNCTION("IF($F52&lt;&gt;"""",IFERROR(FILTER(RawTotals!$AJ:$AJ,RawTotals!$A:$A=AL52)-(FILTER(Data!$K:$K,Data!$B:$B=AL52,Data!$D:$D=$F52)+FILTER(Data!$L:$L,Data!$B:$B=AL52,Data!$D:$D=$F52)),""""),"""")"),"")</f>
        <v/>
      </c>
      <c r="BW52" s="69" t="str">
        <f>IFERROR(__xludf.DUMMYFUNCTION("IF($F52&lt;&gt;"""",IFERROR(FILTER(RawTotals!$AJ:$AJ,RawTotals!$A:$A=AM52)-(FILTER(Data!$K:$K,Data!$B:$B=AM52,Data!$D:$D=$F52)+FILTER(Data!$L:$L,Data!$B:$B=AM52,Data!$D:$D=$F52)),""""),"""")"),"")</f>
        <v/>
      </c>
      <c r="BX52" s="69" t="str">
        <f>IFERROR(__xludf.DUMMYFUNCTION("IF($F52&lt;&gt;"""",IFERROR(FILTER(RawTotals!$AJ:$AJ,RawTotals!$A:$A=AN52)-(FILTER(Data!$K:$K,Data!$B:$B=AN52,Data!$D:$D=$F52)+FILTER(Data!$L:$L,Data!$B:$B=AN52,Data!$D:$D=$F52)),""""),"""")"),"")</f>
        <v/>
      </c>
      <c r="BY52" s="69" t="str">
        <f>IFERROR(__xludf.DUMMYFUNCTION("IF($G52&lt;&gt;"""",IFERROR(FILTER(RawTotals!$AJ:$AJ,RawTotals!$A:$A=AO52)-(FILTER(Data!$K:$K,Data!$B:$B=AO52,Data!$D:$D=$G52)+FILTER(Data!$L:$L,Data!$B:$B=AO52,Data!$D:$D=$G52)),""""),"""")"),"")</f>
        <v/>
      </c>
      <c r="BZ52" s="69" t="str">
        <f>IFERROR(__xludf.DUMMYFUNCTION("IF($G52&lt;&gt;"""",IFERROR(FILTER(RawTotals!$AJ:$AJ,RawTotals!$A:$A=AP52)-(FILTER(Data!$K:$K,Data!$B:$B=AP52,Data!$D:$D=$G52)+FILTER(Data!$L:$L,Data!$B:$B=AP52,Data!$D:$D=$G52)),""""),"""")"),"")</f>
        <v/>
      </c>
      <c r="CA52" s="69" t="str">
        <f>IFERROR(__xludf.DUMMYFUNCTION("IF($G52&lt;&gt;"""",IFERROR(FILTER(RawTotals!$AJ:$AJ,RawTotals!$A:$A=AQ52)-(FILTER(Data!$K:$K,Data!$B:$B=AQ52,Data!$D:$D=$G52)+FILTER(Data!$L:$L,Data!$B:$B=AQ52,Data!$D:$D=$G52)),""""),"""")"),"")</f>
        <v/>
      </c>
      <c r="CB52" s="69" t="str">
        <f>IFERROR(__xludf.DUMMYFUNCTION("IF($H52&lt;&gt;"""",IFERROR(FILTER(RawTotals!$AJ:$AJ,RawTotals!$A:$A=AR52)-(FILTER(Data!$K:$K,Data!$B:$B=AR52,Data!$D:$D=$H52)+FILTER(Data!$L:$L,Data!$B:$B=AR52,Data!$D:$D=$H52)),""""),"""")"),"")</f>
        <v/>
      </c>
      <c r="CC52" s="69" t="str">
        <f>IFERROR(__xludf.DUMMYFUNCTION("IF($H52&lt;&gt;"""",IFERROR(FILTER(RawTotals!$AJ:$AJ,RawTotals!$A:$A=AS52)-(FILTER(Data!$K:$K,Data!$B:$B=AS52,Data!$D:$D=$H52)+FILTER(Data!$L:$L,Data!$B:$B=AS52,Data!$D:$D=$H52)),""""),"""")"),"")</f>
        <v/>
      </c>
      <c r="CD52" s="69" t="str">
        <f>IFERROR(__xludf.DUMMYFUNCTION("IF($H52&lt;&gt;"""",IFERROR(FILTER(RawTotals!$AJ:$AJ,RawTotals!$A:$A=AT52)-(FILTER(Data!$K:$K,Data!$B:$B=AT52,Data!$D:$D=$H52)+FILTER(Data!$L:$L,Data!$B:$B=AT52,Data!$D:$D=$H52)),""""),"""")"),"")</f>
        <v/>
      </c>
      <c r="CE52" s="69" t="str">
        <f>IFERROR(__xludf.DUMMYFUNCTION("IF($I52&lt;&gt;"""",IFERROR(FILTER(RawTotals!$AJ:$AJ,RawTotals!$A:$A=AU52)-(FILTER(Data!$K:$K,Data!$B:$B=AU52,Data!$D:$D=$I52)+FILTER(Data!$L:$L,Data!$B:$B=AU52,Data!$D:$D=$I52)),""""),"""")"),"")</f>
        <v/>
      </c>
      <c r="CF52" s="69" t="str">
        <f>IFERROR(__xludf.DUMMYFUNCTION("IF($I52&lt;&gt;"""",IFERROR(FILTER(RawTotals!$AJ:$AJ,RawTotals!$A:$A=AV52)-(FILTER(Data!$K:$K,Data!$B:$B=AV52,Data!$D:$D=$I52)+FILTER(Data!$L:$L,Data!$B:$B=AV52,Data!$D:$D=$I52)),""""),"""")"),"")</f>
        <v/>
      </c>
      <c r="CG52" s="69" t="str">
        <f>IFERROR(__xludf.DUMMYFUNCTION("IF($I52&lt;&gt;"""",IFERROR(FILTER(RawTotals!$AJ:$AJ,RawTotals!$A:$A=AW52)-(FILTER(Data!$K:$K,Data!$B:$B=AW52,Data!$D:$D=$I52)+FILTER(Data!$L:$L,Data!$B:$B=AW52,Data!$D:$D=$I52)),""""),"""")"),"")</f>
        <v/>
      </c>
      <c r="CH52" s="69" t="str">
        <f>IFERROR(__xludf.DUMMYFUNCTION("IF($J52&lt;&gt;"""",IFERROR(FILTER(RawTotals!$AJ:$AJ,RawTotals!$A:$A=AX52)-(FILTER(Data!$K:$K,Data!$B:$B=AX52,Data!$D:$D=$J52)+FILTER(Data!$L:$L,Data!$B:$B=AX52,Data!$D:$D=$J52)),""""),"""")"),"")</f>
        <v/>
      </c>
      <c r="CI52" s="69" t="str">
        <f>IFERROR(__xludf.DUMMYFUNCTION("IF($J52&lt;&gt;"""",IFERROR(FILTER(RawTotals!$AJ:$AJ,RawTotals!$A:$A=AY52)-(FILTER(Data!$K:$K,Data!$B:$B=AY52,Data!$D:$D=$J52)+FILTER(Data!$L:$L,Data!$B:$B=AY52,Data!$D:$D=$J52)),""""),"""")"),"")</f>
        <v/>
      </c>
      <c r="CJ52" s="69" t="str">
        <f>IFERROR(__xludf.DUMMYFUNCTION("IF($J52&lt;&gt;"""",IFERROR(FILTER(RawTotals!$AJ:$AJ,RawTotals!$A:$A=AZ52)-(FILTER(Data!$K:$K,Data!$B:$B=AZ52,Data!$D:$D=$J52)+FILTER(Data!$L:$L,Data!$B:$B=AZ52,Data!$D:$D=$J52)),""""),"""")"),"")</f>
        <v/>
      </c>
      <c r="CK52" s="69" t="str">
        <f>IFERROR(__xludf.DUMMYFUNCTION("IF($K52&lt;&gt;"""",IFERROR(FILTER(RawTotals!$AJ:$AJ,RawTotals!$A:$A=BA52)-(FILTER(Data!$K:$K,Data!$B:$B=BA52,Data!$D:$D=$K52)+FILTER(Data!$L:$L,Data!$B:$B=BA52,Data!$D:$D=$K52)),""""),"""")"),"")</f>
        <v/>
      </c>
      <c r="CL52" s="69" t="str">
        <f>IFERROR(__xludf.DUMMYFUNCTION("IF($K52&lt;&gt;"""",IFERROR(FILTER(RawTotals!$AJ:$AJ,RawTotals!$A:$A=BB52)-(FILTER(Data!$K:$K,Data!$B:$B=BB52,Data!$D:$D=$K52)+FILTER(Data!$L:$L,Data!$B:$B=BB52,Data!$D:$D=$K52)),""""),"""")"),"")</f>
        <v/>
      </c>
      <c r="CM52" s="69" t="str">
        <f>IFERROR(__xludf.DUMMYFUNCTION("IF($K52&lt;&gt;"""",IFERROR(FILTER(RawTotals!$AJ:$AJ,RawTotals!$A:$A=BC52)-(FILTER(Data!$K:$K,Data!$B:$B=BC52,Data!$D:$D=$K52)+FILTER(Data!$L:$L,Data!$B:$B=BC52,Data!$D:$D=$K52)),""""),"""")"),"")</f>
        <v/>
      </c>
      <c r="CN52" s="69" t="str">
        <f>IFERROR(__xludf.DUMMYFUNCTION("IF($L52&lt;&gt;"""",IFERROR((FILTER(RawTotals!$AJ:$AJ,RawTotals!$A:$A=BD52)-(FILTER(Data!$K:$K,Data!$B:$B=BD52,Data!$D:$D=$L52)+FILTER(Data!$L:$L,Data!$B:$B=BD52,Data!$D:$D=$L52))),""""),"""")"),"")</f>
        <v/>
      </c>
      <c r="CO52" s="69" t="str">
        <f>IFERROR(__xludf.DUMMYFUNCTION("IF($L52&lt;&gt;"""",IFERROR((FILTER(RawTotals!$AJ:$AJ,RawTotals!$A:$A=BE52)-(FILTER(Data!$K:$K,Data!$B:$B=BE52,Data!$D:$D=$L52)+FILTER(Data!$L:$L,Data!$B:$B=BE52,Data!$D:$D=$L52))),""""),"""")"),"")</f>
        <v/>
      </c>
      <c r="CP52" s="69" t="str">
        <f>IFERROR(__xludf.DUMMYFUNCTION("IF($L52&lt;&gt;"""",IFERROR((FILTER(RawTotals!$AJ:$AJ,RawTotals!$A:$A=BF52)-(FILTER(Data!$K:$K,Data!$B:$B=BF52,Data!$D:$D=$L52)+FILTER(Data!$L:$L,Data!$B:$B=BF52,Data!$D:$D=$L52))),""""),"""")"),"")</f>
        <v/>
      </c>
      <c r="CQ52" s="69" t="str">
        <f>IFERROR(__xludf.DUMMYFUNCTION("IF($M52&lt;&gt;"""",IFERROR((FILTER(RawTotals!$AJ:$AJ,RawTotals!$A:$A=BG52)-(FILTER(Data!$K:$K,Data!$B:$B=BG52,Data!$D:$D=$M52)+FILTER(Data!$L:$L,Data!$B:$B=BG52,Data!$D:$D=$M52))),""""),"""")"),"")</f>
        <v/>
      </c>
      <c r="CR52" s="69" t="str">
        <f>IFERROR(__xludf.DUMMYFUNCTION("IF($M52&lt;&gt;"""",IFERROR((FILTER(RawTotals!$AJ:$AJ,RawTotals!$A:$A=BH52)-(FILTER(Data!$K:$K,Data!$B:$B=BH52,Data!$D:$D=$M52)+FILTER(Data!$L:$L,Data!$B:$B=BH52,Data!$D:$D=$M52))),""""),"""")"),"")</f>
        <v/>
      </c>
      <c r="CS52" s="70" t="str">
        <f>IFERROR(__xludf.DUMMYFUNCTION("IF($M52&lt;&gt;"""",IFERROR((FILTER(RawTotals!$AJ:$AJ,RawTotals!$A:$A=BI52)-(FILTER(Data!$K:$K,Data!$B:$B=BI52,Data!$D:$D=$M52)+FILTER(Data!$L:$L,Data!$B:$B=BI52,Data!$D:$D=$M52))),""""),"""")"),"")</f>
        <v/>
      </c>
      <c r="CT52" s="69"/>
      <c r="CU52" s="69"/>
      <c r="CV52" s="69"/>
      <c r="CW52" s="69"/>
      <c r="CX52" s="69"/>
      <c r="CY52" s="69"/>
      <c r="CZ52" s="69"/>
      <c r="DA52" s="69"/>
      <c r="DB52" s="69"/>
      <c r="DC52" s="69"/>
      <c r="DD52" s="69"/>
      <c r="DE52" s="69"/>
    </row>
    <row r="53">
      <c r="A53" s="65" t="str">
        <f>RawTotals!A53</f>
        <v/>
      </c>
      <c r="B53" s="68" t="str">
        <f>IFERROR(__xludf.DUMMYFUNCTION("IF(A53&lt;&gt;"""",IFERROR(TRANSPOSE(FILTER(Data!D:D,Data!B:B=A53,Data!R:R&lt;&gt;"""")),""No Defense""),"""")"),"")</f>
        <v/>
      </c>
      <c r="C53" s="65"/>
      <c r="D53" s="65"/>
      <c r="E53" s="65"/>
      <c r="F53" s="65"/>
      <c r="G53" s="65"/>
      <c r="H53" s="65"/>
      <c r="I53" s="65"/>
      <c r="J53" s="65"/>
      <c r="K53" s="65"/>
      <c r="L53" s="65"/>
      <c r="M53" s="65"/>
      <c r="N53" s="64" t="str">
        <f>IFERROR(__xludf.DUMMYFUNCTION("IFERROR(Textjoin("""",TRUE,FILTER(Data!$R:$R,Data!$D:$D=B53,Data!$B:$B=$A53)),"""")"),"")</f>
        <v/>
      </c>
      <c r="O53" s="64" t="str">
        <f>IFERROR(__xludf.DUMMYFUNCTION("IFERROR(Textjoin("""",TRUE,FILTER(Data!$R:$R,Data!$D:$D=C53,Data!$B:$B=$A53)),"""")"),"")</f>
        <v/>
      </c>
      <c r="P53" s="64" t="str">
        <f>IFERROR(__xludf.DUMMYFUNCTION("IFERROR(Textjoin("""",TRUE,FILTER(Data!$R:$R,Data!$D:$D=D53,Data!$B:$B=$A53)),"""")"),"")</f>
        <v/>
      </c>
      <c r="Q53" s="64" t="str">
        <f>IFERROR(__xludf.DUMMYFUNCTION("IFERROR(Textjoin("""",TRUE,FILTER(Data!$R:$R,Data!$D:$D=E53,Data!$B:$B=$A53)),"""")"),"")</f>
        <v/>
      </c>
      <c r="R53" s="64" t="str">
        <f>IFERROR(__xludf.DUMMYFUNCTION("IFERROR(Textjoin("""",TRUE,FILTER(Data!$R:$R,Data!$D:$D=F53,Data!$B:$B=$A53)),"""")"),"")</f>
        <v/>
      </c>
      <c r="S53" s="64" t="str">
        <f>IFERROR(__xludf.DUMMYFUNCTION("IFERROR(Textjoin("""",TRUE,FILTER(Data!$R:$R,Data!$D:$D=G53,Data!$B:$B=$A53)),"""")"),"")</f>
        <v/>
      </c>
      <c r="T53" s="64" t="str">
        <f>IFERROR(__xludf.DUMMYFUNCTION("IFERROR(Textjoin("""",TRUE,FILTER(Data!$R:$R,Data!$D:$D=H53,Data!$B:$B=$A53)),"""")"),"")</f>
        <v/>
      </c>
      <c r="U53" s="64" t="str">
        <f>IFERROR(__xludf.DUMMYFUNCTION("IFERROR(Textjoin("""",TRUE,FILTER(Data!$R:$R,Data!$D:$D=I53,Data!$B:$B=$A53)),"""")"),"")</f>
        <v/>
      </c>
      <c r="V53" s="64" t="str">
        <f>IFERROR(__xludf.DUMMYFUNCTION("IFERROR(Textjoin("""",TRUE,FILTER(Data!$R:$R,Data!$D:$D=J53,Data!$B:$B=$A53)),"""")"),"")</f>
        <v/>
      </c>
      <c r="W53" s="64" t="str">
        <f>IFERROR(__xludf.DUMMYFUNCTION("IFERROR(Textjoin("""",TRUE,FILTER(Data!$R:$R,Data!$D:$D=K53,Data!$B:$B=$A53)),"""")"),"")</f>
        <v/>
      </c>
      <c r="X53" s="64" t="str">
        <f>IFERROR(__xludf.DUMMYFUNCTION("IFERROR(Textjoin("""",TRUE,FILTER(Data!$R:$R,Data!$D:$D=L53,Data!$B:$B=$A53)),"""")"),"")</f>
        <v/>
      </c>
      <c r="Y53" s="64" t="str">
        <f>IFERROR(__xludf.DUMMYFUNCTION("IFERROR(Textjoin("""",TRUE,FILTER(Data!$R:$R,Data!$D:$D=M53,Data!$B:$B=$A53)),"""")"),"")</f>
        <v/>
      </c>
      <c r="Z53" s="64" t="str">
        <f>IFERROR(__xludf.DUMMYFUNCTION("IFERROR(SPLIT(N53,"",""),"""")"),"")</f>
        <v/>
      </c>
      <c r="AA53" s="65"/>
      <c r="AB53" s="65"/>
      <c r="AC53" s="69" t="str">
        <f>IFERROR(__xludf.DUMMYFUNCTION("IFERROR(SPLIT(O53,"",""),"""")"),"")</f>
        <v/>
      </c>
      <c r="AD53" s="65"/>
      <c r="AE53" s="65"/>
      <c r="AF53" s="69" t="str">
        <f>IFERROR(__xludf.DUMMYFUNCTION("IFERROR(SPLIT(P53,"",""),"""")"),"")</f>
        <v/>
      </c>
      <c r="AG53" s="65"/>
      <c r="AH53" s="65"/>
      <c r="AI53" s="69" t="str">
        <f>IFERROR(__xludf.DUMMYFUNCTION("IFERROR(SPLIT(Q53,"",""),"""")"),"")</f>
        <v/>
      </c>
      <c r="AJ53" s="65"/>
      <c r="AK53" s="65"/>
      <c r="AL53" s="69" t="str">
        <f>IFERROR(__xludf.DUMMYFUNCTION("IFERROR(SPLIT(R53,"",""),"""")"),"")</f>
        <v/>
      </c>
      <c r="AM53" s="65"/>
      <c r="AN53" s="65"/>
      <c r="AO53" s="69" t="str">
        <f>IFERROR(__xludf.DUMMYFUNCTION("IFERROR(SPLIT(S53,"",""),"""")"),"")</f>
        <v/>
      </c>
      <c r="AP53" s="65"/>
      <c r="AQ53" s="65"/>
      <c r="AR53" s="69" t="str">
        <f>IFERROR(__xludf.DUMMYFUNCTION("IFERROR(SPLIT(T53,"",""),"""")"),"")</f>
        <v/>
      </c>
      <c r="AS53" s="65"/>
      <c r="AT53" s="65"/>
      <c r="AU53" s="69" t="str">
        <f>IFERROR(__xludf.DUMMYFUNCTION("IFERROR(SPLIT(U53,"",""),"""")"),"")</f>
        <v/>
      </c>
      <c r="AV53" s="65"/>
      <c r="AW53" s="65"/>
      <c r="AX53" s="69" t="str">
        <f>IFERROR(__xludf.DUMMYFUNCTION("IFERROR(SPLIT(V53,"",""),"""")"),"")</f>
        <v/>
      </c>
      <c r="AY53" s="65"/>
      <c r="AZ53" s="65"/>
      <c r="BA53" s="69" t="str">
        <f>IFERROR(__xludf.DUMMYFUNCTION("IFERROR(SPLIT(W53,"",""),"""")"),"")</f>
        <v/>
      </c>
      <c r="BB53" s="69"/>
      <c r="BC53" s="69"/>
      <c r="BD53" s="69" t="str">
        <f>IFERROR(__xludf.DUMMYFUNCTION("IFERROR(SPLIT(X53,"",""),"""")"),"")</f>
        <v/>
      </c>
      <c r="BE53" s="69"/>
      <c r="BF53" s="69"/>
      <c r="BG53" s="69" t="str">
        <f>IFERROR(__xludf.DUMMYFUNCTION("IFERROR(SPLIT(Y53,"",""),"""")"),"")</f>
        <v/>
      </c>
      <c r="BH53" s="69"/>
      <c r="BI53" s="69"/>
      <c r="BJ53" s="68" t="str">
        <f>IFERROR(__xludf.DUMMYFUNCTION("IF($B53&lt;&gt;"""",IFERROR(FILTER(RawTotals!$AJ:$AJ,RawTotals!$A:$A=Z53)-(FILTER(Data!$K:$K,Data!$B:$B=Z53,Data!$D:$D=$B53)+FILTER(Data!$L:$L,Data!$B:$B=Z53,Data!$D:$D=$B53)),""""),"""")"),"")</f>
        <v/>
      </c>
      <c r="BK53" s="68" t="str">
        <f>IFERROR(__xludf.DUMMYFUNCTION("IF($B53&lt;&gt;"""",IFERROR(FILTER(RawTotals!$AJ:$AJ,RawTotals!$A:$A=AA53)-(FILTER(Data!$K:$K,Data!$B:$B=AA53,Data!$D:$D=$B53)+FILTER(Data!$L:$L,Data!$B:$B=AA53,Data!$D:$D=$B53)),""""),"""")"),"")</f>
        <v/>
      </c>
      <c r="BL53" s="68" t="str">
        <f>IFERROR(__xludf.DUMMYFUNCTION("IF($B53&lt;&gt;"""",IFERROR(FILTER(RawTotals!$AJ:$AJ,RawTotals!$A:$A=AB53)-(FILTER(Data!$K:$K,Data!$B:$B=AB53,Data!$D:$D=$B53)+FILTER(Data!$L:$L,Data!$B:$B=AB53,Data!$D:$D=$B53)),""""),"""")"),"")</f>
        <v/>
      </c>
      <c r="BM53" s="69" t="str">
        <f>IFERROR(__xludf.DUMMYFUNCTION("IF($C53&lt;&gt;"""",IFERROR(FILTER(RawTotals!$AJ:$AJ,RawTotals!$A:$A=AC53)-(FILTER(Data!$K:$K,Data!$B:$B=AC53,Data!$D:$D=$C53)+FILTER(Data!$L:$L,Data!$B:$B=AC53,Data!$D:$D=$C53)),""""),"""")"),"")</f>
        <v/>
      </c>
      <c r="BN53" s="69" t="str">
        <f>IFERROR(__xludf.DUMMYFUNCTION("IF($C53&lt;&gt;"""",IFERROR(FILTER(RawTotals!$AJ:$AJ,RawTotals!$A:$A=AD53)-(FILTER(Data!$K:$K,Data!$B:$B=AD53,Data!$D:$D=$C53)+FILTER(Data!$L:$L,Data!$B:$B=AD53,Data!$D:$D=$C53)),""""),"""")"),"")</f>
        <v/>
      </c>
      <c r="BO53" s="69" t="str">
        <f>IFERROR(__xludf.DUMMYFUNCTION("IF($C53&lt;&gt;"""",IFERROR(FILTER(RawTotals!$AJ:$AJ,RawTotals!$A:$A=AE53)-(FILTER(Data!$K:$K,Data!$B:$B=AE53,Data!$D:$D=$C53)+FILTER(Data!$L:$L,Data!$B:$B=AE53,Data!$D:$D=$C53)),""""),"""")"),"")</f>
        <v/>
      </c>
      <c r="BP53" s="69" t="str">
        <f>IFERROR(__xludf.DUMMYFUNCTION("IF($D53&lt;&gt;"""",IFERROR(FILTER(RawTotals!$AJ:$AJ,RawTotals!$A:$A=AF53)-(FILTER(Data!$K:$K,Data!$B:$B=AF53,Data!$D:$D=$D53)+FILTER(Data!$L:$L,Data!$B:$B=AF53,Data!$D:$D=$D53)),""""),"""")"),"")</f>
        <v/>
      </c>
      <c r="BQ53" s="69" t="str">
        <f>IFERROR(__xludf.DUMMYFUNCTION("IF($D53&lt;&gt;"""",IFERROR(FILTER(RawTotals!$AJ:$AJ,RawTotals!$A:$A=AG53)-(FILTER(Data!$K:$K,Data!$B:$B=AG53,Data!$D:$D=$D53)+FILTER(Data!$L:$L,Data!$B:$B=AG53,Data!$D:$D=$D53)),""""),"""")"),"")</f>
        <v/>
      </c>
      <c r="BR53" s="69" t="str">
        <f>IFERROR(__xludf.DUMMYFUNCTION("IF($D53&lt;&gt;"""",IFERROR(FILTER(RawTotals!$AJ:$AJ,RawTotals!$A:$A=AH53)-(FILTER(Data!$K:$K,Data!$B:$B=AH53,Data!$D:$D=$D53)+FILTER(Data!$L:$L,Data!$B:$B=AH53,Data!$D:$D=$D53)),""""),"""")"),"")</f>
        <v/>
      </c>
      <c r="BS53" s="69" t="str">
        <f>IFERROR(__xludf.DUMMYFUNCTION("IF($E53&lt;&gt;"""",IFERROR(FILTER(RawTotals!$AJ:$AJ,RawTotals!$A:$A=AI53)-(FILTER(Data!$K:$K,Data!$B:$B=AI53,Data!$D:$D=$E53)+FILTER(Data!$L:$L,Data!$B:$B=AI53,Data!$D:$D=$E53)),""""),"""")"),"")</f>
        <v/>
      </c>
      <c r="BT53" s="69" t="str">
        <f>IFERROR(__xludf.DUMMYFUNCTION("IF($E53&lt;&gt;"""",IFERROR(FILTER(RawTotals!$AJ:$AJ,RawTotals!$A:$A=AJ53)-(FILTER(Data!$K:$K,Data!$B:$B=AJ53,Data!$D:$D=$E53)+FILTER(Data!$L:$L,Data!$B:$B=AJ53,Data!$D:$D=$E53)),""""),"""")"),"")</f>
        <v/>
      </c>
      <c r="BU53" s="69" t="str">
        <f>IFERROR(__xludf.DUMMYFUNCTION("IF($E53&lt;&gt;"""",IFERROR(FILTER(RawTotals!$AJ:$AJ,RawTotals!$A:$A=AK53)-(FILTER(Data!$K:$K,Data!$B:$B=AK53,Data!$D:$D=$E53)+FILTER(Data!$L:$L,Data!$B:$B=AK53,Data!$D:$D=$E53)),""""),"""")"),"")</f>
        <v/>
      </c>
      <c r="BV53" s="69" t="str">
        <f>IFERROR(__xludf.DUMMYFUNCTION("IF($F53&lt;&gt;"""",IFERROR(FILTER(RawTotals!$AJ:$AJ,RawTotals!$A:$A=AL53)-(FILTER(Data!$K:$K,Data!$B:$B=AL53,Data!$D:$D=$F53)+FILTER(Data!$L:$L,Data!$B:$B=AL53,Data!$D:$D=$F53)),""""),"""")"),"")</f>
        <v/>
      </c>
      <c r="BW53" s="69" t="str">
        <f>IFERROR(__xludf.DUMMYFUNCTION("IF($F53&lt;&gt;"""",IFERROR(FILTER(RawTotals!$AJ:$AJ,RawTotals!$A:$A=AM53)-(FILTER(Data!$K:$K,Data!$B:$B=AM53,Data!$D:$D=$F53)+FILTER(Data!$L:$L,Data!$B:$B=AM53,Data!$D:$D=$F53)),""""),"""")"),"")</f>
        <v/>
      </c>
      <c r="BX53" s="69" t="str">
        <f>IFERROR(__xludf.DUMMYFUNCTION("IF($F53&lt;&gt;"""",IFERROR(FILTER(RawTotals!$AJ:$AJ,RawTotals!$A:$A=AN53)-(FILTER(Data!$K:$K,Data!$B:$B=AN53,Data!$D:$D=$F53)+FILTER(Data!$L:$L,Data!$B:$B=AN53,Data!$D:$D=$F53)),""""),"""")"),"")</f>
        <v/>
      </c>
      <c r="BY53" s="69" t="str">
        <f>IFERROR(__xludf.DUMMYFUNCTION("IF($G53&lt;&gt;"""",IFERROR(FILTER(RawTotals!$AJ:$AJ,RawTotals!$A:$A=AO53)-(FILTER(Data!$K:$K,Data!$B:$B=AO53,Data!$D:$D=$G53)+FILTER(Data!$L:$L,Data!$B:$B=AO53,Data!$D:$D=$G53)),""""),"""")"),"")</f>
        <v/>
      </c>
      <c r="BZ53" s="69" t="str">
        <f>IFERROR(__xludf.DUMMYFUNCTION("IF($G53&lt;&gt;"""",IFERROR(FILTER(RawTotals!$AJ:$AJ,RawTotals!$A:$A=AP53)-(FILTER(Data!$K:$K,Data!$B:$B=AP53,Data!$D:$D=$G53)+FILTER(Data!$L:$L,Data!$B:$B=AP53,Data!$D:$D=$G53)),""""),"""")"),"")</f>
        <v/>
      </c>
      <c r="CA53" s="69" t="str">
        <f>IFERROR(__xludf.DUMMYFUNCTION("IF($G53&lt;&gt;"""",IFERROR(FILTER(RawTotals!$AJ:$AJ,RawTotals!$A:$A=AQ53)-(FILTER(Data!$K:$K,Data!$B:$B=AQ53,Data!$D:$D=$G53)+FILTER(Data!$L:$L,Data!$B:$B=AQ53,Data!$D:$D=$G53)),""""),"""")"),"")</f>
        <v/>
      </c>
      <c r="CB53" s="69" t="str">
        <f>IFERROR(__xludf.DUMMYFUNCTION("IF($H53&lt;&gt;"""",IFERROR(FILTER(RawTotals!$AJ:$AJ,RawTotals!$A:$A=AR53)-(FILTER(Data!$K:$K,Data!$B:$B=AR53,Data!$D:$D=$H53)+FILTER(Data!$L:$L,Data!$B:$B=AR53,Data!$D:$D=$H53)),""""),"""")"),"")</f>
        <v/>
      </c>
      <c r="CC53" s="69" t="str">
        <f>IFERROR(__xludf.DUMMYFUNCTION("IF($H53&lt;&gt;"""",IFERROR(FILTER(RawTotals!$AJ:$AJ,RawTotals!$A:$A=AS53)-(FILTER(Data!$K:$K,Data!$B:$B=AS53,Data!$D:$D=$H53)+FILTER(Data!$L:$L,Data!$B:$B=AS53,Data!$D:$D=$H53)),""""),"""")"),"")</f>
        <v/>
      </c>
      <c r="CD53" s="69" t="str">
        <f>IFERROR(__xludf.DUMMYFUNCTION("IF($H53&lt;&gt;"""",IFERROR(FILTER(RawTotals!$AJ:$AJ,RawTotals!$A:$A=AT53)-(FILTER(Data!$K:$K,Data!$B:$B=AT53,Data!$D:$D=$H53)+FILTER(Data!$L:$L,Data!$B:$B=AT53,Data!$D:$D=$H53)),""""),"""")"),"")</f>
        <v/>
      </c>
      <c r="CE53" s="69" t="str">
        <f>IFERROR(__xludf.DUMMYFUNCTION("IF($I53&lt;&gt;"""",IFERROR(FILTER(RawTotals!$AJ:$AJ,RawTotals!$A:$A=AU53)-(FILTER(Data!$K:$K,Data!$B:$B=AU53,Data!$D:$D=$I53)+FILTER(Data!$L:$L,Data!$B:$B=AU53,Data!$D:$D=$I53)),""""),"""")"),"")</f>
        <v/>
      </c>
      <c r="CF53" s="69" t="str">
        <f>IFERROR(__xludf.DUMMYFUNCTION("IF($I53&lt;&gt;"""",IFERROR(FILTER(RawTotals!$AJ:$AJ,RawTotals!$A:$A=AV53)-(FILTER(Data!$K:$K,Data!$B:$B=AV53,Data!$D:$D=$I53)+FILTER(Data!$L:$L,Data!$B:$B=AV53,Data!$D:$D=$I53)),""""),"""")"),"")</f>
        <v/>
      </c>
      <c r="CG53" s="69" t="str">
        <f>IFERROR(__xludf.DUMMYFUNCTION("IF($I53&lt;&gt;"""",IFERROR(FILTER(RawTotals!$AJ:$AJ,RawTotals!$A:$A=AW53)-(FILTER(Data!$K:$K,Data!$B:$B=AW53,Data!$D:$D=$I53)+FILTER(Data!$L:$L,Data!$B:$B=AW53,Data!$D:$D=$I53)),""""),"""")"),"")</f>
        <v/>
      </c>
      <c r="CH53" s="69" t="str">
        <f>IFERROR(__xludf.DUMMYFUNCTION("IF($J53&lt;&gt;"""",IFERROR(FILTER(RawTotals!$AJ:$AJ,RawTotals!$A:$A=AX53)-(FILTER(Data!$K:$K,Data!$B:$B=AX53,Data!$D:$D=$J53)+FILTER(Data!$L:$L,Data!$B:$B=AX53,Data!$D:$D=$J53)),""""),"""")"),"")</f>
        <v/>
      </c>
      <c r="CI53" s="69" t="str">
        <f>IFERROR(__xludf.DUMMYFUNCTION("IF($J53&lt;&gt;"""",IFERROR(FILTER(RawTotals!$AJ:$AJ,RawTotals!$A:$A=AY53)-(FILTER(Data!$K:$K,Data!$B:$B=AY53,Data!$D:$D=$J53)+FILTER(Data!$L:$L,Data!$B:$B=AY53,Data!$D:$D=$J53)),""""),"""")"),"")</f>
        <v/>
      </c>
      <c r="CJ53" s="69" t="str">
        <f>IFERROR(__xludf.DUMMYFUNCTION("IF($J53&lt;&gt;"""",IFERROR(FILTER(RawTotals!$AJ:$AJ,RawTotals!$A:$A=AZ53)-(FILTER(Data!$K:$K,Data!$B:$B=AZ53,Data!$D:$D=$J53)+FILTER(Data!$L:$L,Data!$B:$B=AZ53,Data!$D:$D=$J53)),""""),"""")"),"")</f>
        <v/>
      </c>
      <c r="CK53" s="69" t="str">
        <f>IFERROR(__xludf.DUMMYFUNCTION("IF($K53&lt;&gt;"""",IFERROR(FILTER(RawTotals!$AJ:$AJ,RawTotals!$A:$A=BA53)-(FILTER(Data!$K:$K,Data!$B:$B=BA53,Data!$D:$D=$K53)+FILTER(Data!$L:$L,Data!$B:$B=BA53,Data!$D:$D=$K53)),""""),"""")"),"")</f>
        <v/>
      </c>
      <c r="CL53" s="69" t="str">
        <f>IFERROR(__xludf.DUMMYFUNCTION("IF($K53&lt;&gt;"""",IFERROR(FILTER(RawTotals!$AJ:$AJ,RawTotals!$A:$A=BB53)-(FILTER(Data!$K:$K,Data!$B:$B=BB53,Data!$D:$D=$K53)+FILTER(Data!$L:$L,Data!$B:$B=BB53,Data!$D:$D=$K53)),""""),"""")"),"")</f>
        <v/>
      </c>
      <c r="CM53" s="69" t="str">
        <f>IFERROR(__xludf.DUMMYFUNCTION("IF($K53&lt;&gt;"""",IFERROR(FILTER(RawTotals!$AJ:$AJ,RawTotals!$A:$A=BC53)-(FILTER(Data!$K:$K,Data!$B:$B=BC53,Data!$D:$D=$K53)+FILTER(Data!$L:$L,Data!$B:$B=BC53,Data!$D:$D=$K53)),""""),"""")"),"")</f>
        <v/>
      </c>
      <c r="CN53" s="69" t="str">
        <f>IFERROR(__xludf.DUMMYFUNCTION("IF($L53&lt;&gt;"""",IFERROR((FILTER(RawTotals!$AJ:$AJ,RawTotals!$A:$A=BD53)-(FILTER(Data!$K:$K,Data!$B:$B=BD53,Data!$D:$D=$L53)+FILTER(Data!$L:$L,Data!$B:$B=BD53,Data!$D:$D=$L53))),""""),"""")"),"")</f>
        <v/>
      </c>
      <c r="CO53" s="69" t="str">
        <f>IFERROR(__xludf.DUMMYFUNCTION("IF($L53&lt;&gt;"""",IFERROR((FILTER(RawTotals!$AJ:$AJ,RawTotals!$A:$A=BE53)-(FILTER(Data!$K:$K,Data!$B:$B=BE53,Data!$D:$D=$L53)+FILTER(Data!$L:$L,Data!$B:$B=BE53,Data!$D:$D=$L53))),""""),"""")"),"")</f>
        <v/>
      </c>
      <c r="CP53" s="69" t="str">
        <f>IFERROR(__xludf.DUMMYFUNCTION("IF($L53&lt;&gt;"""",IFERROR((FILTER(RawTotals!$AJ:$AJ,RawTotals!$A:$A=BF53)-(FILTER(Data!$K:$K,Data!$B:$B=BF53,Data!$D:$D=$L53)+FILTER(Data!$L:$L,Data!$B:$B=BF53,Data!$D:$D=$L53))),""""),"""")"),"")</f>
        <v/>
      </c>
      <c r="CQ53" s="69" t="str">
        <f>IFERROR(__xludf.DUMMYFUNCTION("IF($M53&lt;&gt;"""",IFERROR((FILTER(RawTotals!$AJ:$AJ,RawTotals!$A:$A=BG53)-(FILTER(Data!$K:$K,Data!$B:$B=BG53,Data!$D:$D=$M53)+FILTER(Data!$L:$L,Data!$B:$B=BG53,Data!$D:$D=$M53))),""""),"""")"),"")</f>
        <v/>
      </c>
      <c r="CR53" s="69" t="str">
        <f>IFERROR(__xludf.DUMMYFUNCTION("IF($M53&lt;&gt;"""",IFERROR((FILTER(RawTotals!$AJ:$AJ,RawTotals!$A:$A=BH53)-(FILTER(Data!$K:$K,Data!$B:$B=BH53,Data!$D:$D=$M53)+FILTER(Data!$L:$L,Data!$B:$B=BH53,Data!$D:$D=$M53))),""""),"""")"),"")</f>
        <v/>
      </c>
      <c r="CS53" s="70" t="str">
        <f>IFERROR(__xludf.DUMMYFUNCTION("IF($M53&lt;&gt;"""",IFERROR((FILTER(RawTotals!$AJ:$AJ,RawTotals!$A:$A=BI53)-(FILTER(Data!$K:$K,Data!$B:$B=BI53,Data!$D:$D=$M53)+FILTER(Data!$L:$L,Data!$B:$B=BI53,Data!$D:$D=$M53))),""""),"""")"),"")</f>
        <v/>
      </c>
      <c r="CT53" s="69"/>
      <c r="CU53" s="69"/>
      <c r="CV53" s="69"/>
      <c r="CW53" s="69"/>
      <c r="CX53" s="69"/>
      <c r="CY53" s="69"/>
      <c r="CZ53" s="69"/>
      <c r="DA53" s="69"/>
      <c r="DB53" s="69"/>
      <c r="DC53" s="69"/>
      <c r="DD53" s="69"/>
      <c r="DE53" s="69"/>
    </row>
    <row r="54">
      <c r="A54" s="65" t="str">
        <f>RawTotals!A54</f>
        <v/>
      </c>
      <c r="B54" s="68" t="str">
        <f>IFERROR(__xludf.DUMMYFUNCTION("IF(A54&lt;&gt;"""",IFERROR(TRANSPOSE(FILTER(Data!D:D,Data!B:B=A54,Data!R:R&lt;&gt;"""")),""No Defense""),"""")"),"")</f>
        <v/>
      </c>
      <c r="C54" s="65"/>
      <c r="D54" s="65"/>
      <c r="E54" s="65"/>
      <c r="F54" s="65"/>
      <c r="G54" s="65"/>
      <c r="H54" s="65"/>
      <c r="I54" s="65"/>
      <c r="J54" s="65"/>
      <c r="K54" s="65"/>
      <c r="L54" s="65"/>
      <c r="M54" s="65"/>
      <c r="N54" s="64" t="str">
        <f>IFERROR(__xludf.DUMMYFUNCTION("IFERROR(Textjoin("""",TRUE,FILTER(Data!$R:$R,Data!$D:$D=B54,Data!$B:$B=$A54)),"""")"),"")</f>
        <v/>
      </c>
      <c r="O54" s="64" t="str">
        <f>IFERROR(__xludf.DUMMYFUNCTION("IFERROR(Textjoin("""",TRUE,FILTER(Data!$R:$R,Data!$D:$D=C54,Data!$B:$B=$A54)),"""")"),"")</f>
        <v/>
      </c>
      <c r="P54" s="64" t="str">
        <f>IFERROR(__xludf.DUMMYFUNCTION("IFERROR(Textjoin("""",TRUE,FILTER(Data!$R:$R,Data!$D:$D=D54,Data!$B:$B=$A54)),"""")"),"")</f>
        <v/>
      </c>
      <c r="Q54" s="64" t="str">
        <f>IFERROR(__xludf.DUMMYFUNCTION("IFERROR(Textjoin("""",TRUE,FILTER(Data!$R:$R,Data!$D:$D=E54,Data!$B:$B=$A54)),"""")"),"")</f>
        <v/>
      </c>
      <c r="R54" s="64" t="str">
        <f>IFERROR(__xludf.DUMMYFUNCTION("IFERROR(Textjoin("""",TRUE,FILTER(Data!$R:$R,Data!$D:$D=F54,Data!$B:$B=$A54)),"""")"),"")</f>
        <v/>
      </c>
      <c r="S54" s="64" t="str">
        <f>IFERROR(__xludf.DUMMYFUNCTION("IFERROR(Textjoin("""",TRUE,FILTER(Data!$R:$R,Data!$D:$D=G54,Data!$B:$B=$A54)),"""")"),"")</f>
        <v/>
      </c>
      <c r="T54" s="64" t="str">
        <f>IFERROR(__xludf.DUMMYFUNCTION("IFERROR(Textjoin("""",TRUE,FILTER(Data!$R:$R,Data!$D:$D=H54,Data!$B:$B=$A54)),"""")"),"")</f>
        <v/>
      </c>
      <c r="U54" s="64" t="str">
        <f>IFERROR(__xludf.DUMMYFUNCTION("IFERROR(Textjoin("""",TRUE,FILTER(Data!$R:$R,Data!$D:$D=I54,Data!$B:$B=$A54)),"""")"),"")</f>
        <v/>
      </c>
      <c r="V54" s="64" t="str">
        <f>IFERROR(__xludf.DUMMYFUNCTION("IFERROR(Textjoin("""",TRUE,FILTER(Data!$R:$R,Data!$D:$D=J54,Data!$B:$B=$A54)),"""")"),"")</f>
        <v/>
      </c>
      <c r="W54" s="64" t="str">
        <f>IFERROR(__xludf.DUMMYFUNCTION("IFERROR(Textjoin("""",TRUE,FILTER(Data!$R:$R,Data!$D:$D=K54,Data!$B:$B=$A54)),"""")"),"")</f>
        <v/>
      </c>
      <c r="X54" s="64" t="str">
        <f>IFERROR(__xludf.DUMMYFUNCTION("IFERROR(Textjoin("""",TRUE,FILTER(Data!$R:$R,Data!$D:$D=L54,Data!$B:$B=$A54)),"""")"),"")</f>
        <v/>
      </c>
      <c r="Y54" s="64" t="str">
        <f>IFERROR(__xludf.DUMMYFUNCTION("IFERROR(Textjoin("""",TRUE,FILTER(Data!$R:$R,Data!$D:$D=M54,Data!$B:$B=$A54)),"""")"),"")</f>
        <v/>
      </c>
      <c r="Z54" s="64" t="str">
        <f>IFERROR(__xludf.DUMMYFUNCTION("IFERROR(SPLIT(N54,"",""),"""")"),"")</f>
        <v/>
      </c>
      <c r="AA54" s="65"/>
      <c r="AB54" s="65"/>
      <c r="AC54" s="69" t="str">
        <f>IFERROR(__xludf.DUMMYFUNCTION("IFERROR(SPLIT(O54,"",""),"""")"),"")</f>
        <v/>
      </c>
      <c r="AD54" s="65"/>
      <c r="AE54" s="65"/>
      <c r="AF54" s="69" t="str">
        <f>IFERROR(__xludf.DUMMYFUNCTION("IFERROR(SPLIT(P54,"",""),"""")"),"")</f>
        <v/>
      </c>
      <c r="AG54" s="65"/>
      <c r="AH54" s="65"/>
      <c r="AI54" s="69" t="str">
        <f>IFERROR(__xludf.DUMMYFUNCTION("IFERROR(SPLIT(Q54,"",""),"""")"),"")</f>
        <v/>
      </c>
      <c r="AJ54" s="65"/>
      <c r="AK54" s="65"/>
      <c r="AL54" s="69" t="str">
        <f>IFERROR(__xludf.DUMMYFUNCTION("IFERROR(SPLIT(R54,"",""),"""")"),"")</f>
        <v/>
      </c>
      <c r="AM54" s="65"/>
      <c r="AN54" s="65"/>
      <c r="AO54" s="69" t="str">
        <f>IFERROR(__xludf.DUMMYFUNCTION("IFERROR(SPLIT(S54,"",""),"""")"),"")</f>
        <v/>
      </c>
      <c r="AP54" s="65"/>
      <c r="AQ54" s="65"/>
      <c r="AR54" s="69" t="str">
        <f>IFERROR(__xludf.DUMMYFUNCTION("IFERROR(SPLIT(T54,"",""),"""")"),"")</f>
        <v/>
      </c>
      <c r="AS54" s="65"/>
      <c r="AT54" s="65"/>
      <c r="AU54" s="69" t="str">
        <f>IFERROR(__xludf.DUMMYFUNCTION("IFERROR(SPLIT(U54,"",""),"""")"),"")</f>
        <v/>
      </c>
      <c r="AV54" s="65"/>
      <c r="AW54" s="65"/>
      <c r="AX54" s="69" t="str">
        <f>IFERROR(__xludf.DUMMYFUNCTION("IFERROR(SPLIT(V54,"",""),"""")"),"")</f>
        <v/>
      </c>
      <c r="AY54" s="65"/>
      <c r="AZ54" s="65"/>
      <c r="BA54" s="69" t="str">
        <f>IFERROR(__xludf.DUMMYFUNCTION("IFERROR(SPLIT(W54,"",""),"""")"),"")</f>
        <v/>
      </c>
      <c r="BB54" s="69"/>
      <c r="BC54" s="69"/>
      <c r="BD54" s="69" t="str">
        <f>IFERROR(__xludf.DUMMYFUNCTION("IFERROR(SPLIT(X54,"",""),"""")"),"")</f>
        <v/>
      </c>
      <c r="BE54" s="69"/>
      <c r="BF54" s="69"/>
      <c r="BG54" s="69" t="str">
        <f>IFERROR(__xludf.DUMMYFUNCTION("IFERROR(SPLIT(Y54,"",""),"""")"),"")</f>
        <v/>
      </c>
      <c r="BH54" s="69"/>
      <c r="BI54" s="69"/>
      <c r="BJ54" s="68" t="str">
        <f>IFERROR(__xludf.DUMMYFUNCTION("IF($B54&lt;&gt;"""",IFERROR(FILTER(RawTotals!$AJ:$AJ,RawTotals!$A:$A=Z54)-(FILTER(Data!$K:$K,Data!$B:$B=Z54,Data!$D:$D=$B54)+FILTER(Data!$L:$L,Data!$B:$B=Z54,Data!$D:$D=$B54)),""""),"""")"),"")</f>
        <v/>
      </c>
      <c r="BK54" s="68" t="str">
        <f>IFERROR(__xludf.DUMMYFUNCTION("IF($B54&lt;&gt;"""",IFERROR(FILTER(RawTotals!$AJ:$AJ,RawTotals!$A:$A=AA54)-(FILTER(Data!$K:$K,Data!$B:$B=AA54,Data!$D:$D=$B54)+FILTER(Data!$L:$L,Data!$B:$B=AA54,Data!$D:$D=$B54)),""""),"""")"),"")</f>
        <v/>
      </c>
      <c r="BL54" s="68" t="str">
        <f>IFERROR(__xludf.DUMMYFUNCTION("IF($B54&lt;&gt;"""",IFERROR(FILTER(RawTotals!$AJ:$AJ,RawTotals!$A:$A=AB54)-(FILTER(Data!$K:$K,Data!$B:$B=AB54,Data!$D:$D=$B54)+FILTER(Data!$L:$L,Data!$B:$B=AB54,Data!$D:$D=$B54)),""""),"""")"),"")</f>
        <v/>
      </c>
      <c r="BM54" s="69" t="str">
        <f>IFERROR(__xludf.DUMMYFUNCTION("IF($C54&lt;&gt;"""",IFERROR(FILTER(RawTotals!$AJ:$AJ,RawTotals!$A:$A=AC54)-(FILTER(Data!$K:$K,Data!$B:$B=AC54,Data!$D:$D=$C54)+FILTER(Data!$L:$L,Data!$B:$B=AC54,Data!$D:$D=$C54)),""""),"""")"),"")</f>
        <v/>
      </c>
      <c r="BN54" s="69" t="str">
        <f>IFERROR(__xludf.DUMMYFUNCTION("IF($C54&lt;&gt;"""",IFERROR(FILTER(RawTotals!$AJ:$AJ,RawTotals!$A:$A=AD54)-(FILTER(Data!$K:$K,Data!$B:$B=AD54,Data!$D:$D=$C54)+FILTER(Data!$L:$L,Data!$B:$B=AD54,Data!$D:$D=$C54)),""""),"""")"),"")</f>
        <v/>
      </c>
      <c r="BO54" s="69" t="str">
        <f>IFERROR(__xludf.DUMMYFUNCTION("IF($C54&lt;&gt;"""",IFERROR(FILTER(RawTotals!$AJ:$AJ,RawTotals!$A:$A=AE54)-(FILTER(Data!$K:$K,Data!$B:$B=AE54,Data!$D:$D=$C54)+FILTER(Data!$L:$L,Data!$B:$B=AE54,Data!$D:$D=$C54)),""""),"""")"),"")</f>
        <v/>
      </c>
      <c r="BP54" s="69" t="str">
        <f>IFERROR(__xludf.DUMMYFUNCTION("IF($D54&lt;&gt;"""",IFERROR(FILTER(RawTotals!$AJ:$AJ,RawTotals!$A:$A=AF54)-(FILTER(Data!$K:$K,Data!$B:$B=AF54,Data!$D:$D=$D54)+FILTER(Data!$L:$L,Data!$B:$B=AF54,Data!$D:$D=$D54)),""""),"""")"),"")</f>
        <v/>
      </c>
      <c r="BQ54" s="69" t="str">
        <f>IFERROR(__xludf.DUMMYFUNCTION("IF($D54&lt;&gt;"""",IFERROR(FILTER(RawTotals!$AJ:$AJ,RawTotals!$A:$A=AG54)-(FILTER(Data!$K:$K,Data!$B:$B=AG54,Data!$D:$D=$D54)+FILTER(Data!$L:$L,Data!$B:$B=AG54,Data!$D:$D=$D54)),""""),"""")"),"")</f>
        <v/>
      </c>
      <c r="BR54" s="69" t="str">
        <f>IFERROR(__xludf.DUMMYFUNCTION("IF($D54&lt;&gt;"""",IFERROR(FILTER(RawTotals!$AJ:$AJ,RawTotals!$A:$A=AH54)-(FILTER(Data!$K:$K,Data!$B:$B=AH54,Data!$D:$D=$D54)+FILTER(Data!$L:$L,Data!$B:$B=AH54,Data!$D:$D=$D54)),""""),"""")"),"")</f>
        <v/>
      </c>
      <c r="BS54" s="69" t="str">
        <f>IFERROR(__xludf.DUMMYFUNCTION("IF($E54&lt;&gt;"""",IFERROR(FILTER(RawTotals!$AJ:$AJ,RawTotals!$A:$A=AI54)-(FILTER(Data!$K:$K,Data!$B:$B=AI54,Data!$D:$D=$E54)+FILTER(Data!$L:$L,Data!$B:$B=AI54,Data!$D:$D=$E54)),""""),"""")"),"")</f>
        <v/>
      </c>
      <c r="BT54" s="69" t="str">
        <f>IFERROR(__xludf.DUMMYFUNCTION("IF($E54&lt;&gt;"""",IFERROR(FILTER(RawTotals!$AJ:$AJ,RawTotals!$A:$A=AJ54)-(FILTER(Data!$K:$K,Data!$B:$B=AJ54,Data!$D:$D=$E54)+FILTER(Data!$L:$L,Data!$B:$B=AJ54,Data!$D:$D=$E54)),""""),"""")"),"")</f>
        <v/>
      </c>
      <c r="BU54" s="69" t="str">
        <f>IFERROR(__xludf.DUMMYFUNCTION("IF($E54&lt;&gt;"""",IFERROR(FILTER(RawTotals!$AJ:$AJ,RawTotals!$A:$A=AK54)-(FILTER(Data!$K:$K,Data!$B:$B=AK54,Data!$D:$D=$E54)+FILTER(Data!$L:$L,Data!$B:$B=AK54,Data!$D:$D=$E54)),""""),"""")"),"")</f>
        <v/>
      </c>
      <c r="BV54" s="69" t="str">
        <f>IFERROR(__xludf.DUMMYFUNCTION("IF($F54&lt;&gt;"""",IFERROR(FILTER(RawTotals!$AJ:$AJ,RawTotals!$A:$A=AL54)-(FILTER(Data!$K:$K,Data!$B:$B=AL54,Data!$D:$D=$F54)+FILTER(Data!$L:$L,Data!$B:$B=AL54,Data!$D:$D=$F54)),""""),"""")"),"")</f>
        <v/>
      </c>
      <c r="BW54" s="69" t="str">
        <f>IFERROR(__xludf.DUMMYFUNCTION("IF($F54&lt;&gt;"""",IFERROR(FILTER(RawTotals!$AJ:$AJ,RawTotals!$A:$A=AM54)-(FILTER(Data!$K:$K,Data!$B:$B=AM54,Data!$D:$D=$F54)+FILTER(Data!$L:$L,Data!$B:$B=AM54,Data!$D:$D=$F54)),""""),"""")"),"")</f>
        <v/>
      </c>
      <c r="BX54" s="69" t="str">
        <f>IFERROR(__xludf.DUMMYFUNCTION("IF($F54&lt;&gt;"""",IFERROR(FILTER(RawTotals!$AJ:$AJ,RawTotals!$A:$A=AN54)-(FILTER(Data!$K:$K,Data!$B:$B=AN54,Data!$D:$D=$F54)+FILTER(Data!$L:$L,Data!$B:$B=AN54,Data!$D:$D=$F54)),""""),"""")"),"")</f>
        <v/>
      </c>
      <c r="BY54" s="69" t="str">
        <f>IFERROR(__xludf.DUMMYFUNCTION("IF($G54&lt;&gt;"""",IFERROR(FILTER(RawTotals!$AJ:$AJ,RawTotals!$A:$A=AO54)-(FILTER(Data!$K:$K,Data!$B:$B=AO54,Data!$D:$D=$G54)+FILTER(Data!$L:$L,Data!$B:$B=AO54,Data!$D:$D=$G54)),""""),"""")"),"")</f>
        <v/>
      </c>
      <c r="BZ54" s="69" t="str">
        <f>IFERROR(__xludf.DUMMYFUNCTION("IF($G54&lt;&gt;"""",IFERROR(FILTER(RawTotals!$AJ:$AJ,RawTotals!$A:$A=AP54)-(FILTER(Data!$K:$K,Data!$B:$B=AP54,Data!$D:$D=$G54)+FILTER(Data!$L:$L,Data!$B:$B=AP54,Data!$D:$D=$G54)),""""),"""")"),"")</f>
        <v/>
      </c>
      <c r="CA54" s="69" t="str">
        <f>IFERROR(__xludf.DUMMYFUNCTION("IF($G54&lt;&gt;"""",IFERROR(FILTER(RawTotals!$AJ:$AJ,RawTotals!$A:$A=AQ54)-(FILTER(Data!$K:$K,Data!$B:$B=AQ54,Data!$D:$D=$G54)+FILTER(Data!$L:$L,Data!$B:$B=AQ54,Data!$D:$D=$G54)),""""),"""")"),"")</f>
        <v/>
      </c>
      <c r="CB54" s="69" t="str">
        <f>IFERROR(__xludf.DUMMYFUNCTION("IF($H54&lt;&gt;"""",IFERROR(FILTER(RawTotals!$AJ:$AJ,RawTotals!$A:$A=AR54)-(FILTER(Data!$K:$K,Data!$B:$B=AR54,Data!$D:$D=$H54)+FILTER(Data!$L:$L,Data!$B:$B=AR54,Data!$D:$D=$H54)),""""),"""")"),"")</f>
        <v/>
      </c>
      <c r="CC54" s="69" t="str">
        <f>IFERROR(__xludf.DUMMYFUNCTION("IF($H54&lt;&gt;"""",IFERROR(FILTER(RawTotals!$AJ:$AJ,RawTotals!$A:$A=AS54)-(FILTER(Data!$K:$K,Data!$B:$B=AS54,Data!$D:$D=$H54)+FILTER(Data!$L:$L,Data!$B:$B=AS54,Data!$D:$D=$H54)),""""),"""")"),"")</f>
        <v/>
      </c>
      <c r="CD54" s="69" t="str">
        <f>IFERROR(__xludf.DUMMYFUNCTION("IF($H54&lt;&gt;"""",IFERROR(FILTER(RawTotals!$AJ:$AJ,RawTotals!$A:$A=AT54)-(FILTER(Data!$K:$K,Data!$B:$B=AT54,Data!$D:$D=$H54)+FILTER(Data!$L:$L,Data!$B:$B=AT54,Data!$D:$D=$H54)),""""),"""")"),"")</f>
        <v/>
      </c>
      <c r="CE54" s="69" t="str">
        <f>IFERROR(__xludf.DUMMYFUNCTION("IF($I54&lt;&gt;"""",IFERROR(FILTER(RawTotals!$AJ:$AJ,RawTotals!$A:$A=AU54)-(FILTER(Data!$K:$K,Data!$B:$B=AU54,Data!$D:$D=$I54)+FILTER(Data!$L:$L,Data!$B:$B=AU54,Data!$D:$D=$I54)),""""),"""")"),"")</f>
        <v/>
      </c>
      <c r="CF54" s="69" t="str">
        <f>IFERROR(__xludf.DUMMYFUNCTION("IF($I54&lt;&gt;"""",IFERROR(FILTER(RawTotals!$AJ:$AJ,RawTotals!$A:$A=AV54)-(FILTER(Data!$K:$K,Data!$B:$B=AV54,Data!$D:$D=$I54)+FILTER(Data!$L:$L,Data!$B:$B=AV54,Data!$D:$D=$I54)),""""),"""")"),"")</f>
        <v/>
      </c>
      <c r="CG54" s="69" t="str">
        <f>IFERROR(__xludf.DUMMYFUNCTION("IF($I54&lt;&gt;"""",IFERROR(FILTER(RawTotals!$AJ:$AJ,RawTotals!$A:$A=AW54)-(FILTER(Data!$K:$K,Data!$B:$B=AW54,Data!$D:$D=$I54)+FILTER(Data!$L:$L,Data!$B:$B=AW54,Data!$D:$D=$I54)),""""),"""")"),"")</f>
        <v/>
      </c>
      <c r="CH54" s="69" t="str">
        <f>IFERROR(__xludf.DUMMYFUNCTION("IF($J54&lt;&gt;"""",IFERROR(FILTER(RawTotals!$AJ:$AJ,RawTotals!$A:$A=AX54)-(FILTER(Data!$K:$K,Data!$B:$B=AX54,Data!$D:$D=$J54)+FILTER(Data!$L:$L,Data!$B:$B=AX54,Data!$D:$D=$J54)),""""),"""")"),"")</f>
        <v/>
      </c>
      <c r="CI54" s="69" t="str">
        <f>IFERROR(__xludf.DUMMYFUNCTION("IF($J54&lt;&gt;"""",IFERROR(FILTER(RawTotals!$AJ:$AJ,RawTotals!$A:$A=AY54)-(FILTER(Data!$K:$K,Data!$B:$B=AY54,Data!$D:$D=$J54)+FILTER(Data!$L:$L,Data!$B:$B=AY54,Data!$D:$D=$J54)),""""),"""")"),"")</f>
        <v/>
      </c>
      <c r="CJ54" s="69" t="str">
        <f>IFERROR(__xludf.DUMMYFUNCTION("IF($J54&lt;&gt;"""",IFERROR(FILTER(RawTotals!$AJ:$AJ,RawTotals!$A:$A=AZ54)-(FILTER(Data!$K:$K,Data!$B:$B=AZ54,Data!$D:$D=$J54)+FILTER(Data!$L:$L,Data!$B:$B=AZ54,Data!$D:$D=$J54)),""""),"""")"),"")</f>
        <v/>
      </c>
      <c r="CK54" s="69" t="str">
        <f>IFERROR(__xludf.DUMMYFUNCTION("IF($K54&lt;&gt;"""",IFERROR(FILTER(RawTotals!$AJ:$AJ,RawTotals!$A:$A=BA54)-(FILTER(Data!$K:$K,Data!$B:$B=BA54,Data!$D:$D=$K54)+FILTER(Data!$L:$L,Data!$B:$B=BA54,Data!$D:$D=$K54)),""""),"""")"),"")</f>
        <v/>
      </c>
      <c r="CL54" s="69" t="str">
        <f>IFERROR(__xludf.DUMMYFUNCTION("IF($K54&lt;&gt;"""",IFERROR(FILTER(RawTotals!$AJ:$AJ,RawTotals!$A:$A=BB54)-(FILTER(Data!$K:$K,Data!$B:$B=BB54,Data!$D:$D=$K54)+FILTER(Data!$L:$L,Data!$B:$B=BB54,Data!$D:$D=$K54)),""""),"""")"),"")</f>
        <v/>
      </c>
      <c r="CM54" s="69" t="str">
        <f>IFERROR(__xludf.DUMMYFUNCTION("IF($K54&lt;&gt;"""",IFERROR(FILTER(RawTotals!$AJ:$AJ,RawTotals!$A:$A=BC54)-(FILTER(Data!$K:$K,Data!$B:$B=BC54,Data!$D:$D=$K54)+FILTER(Data!$L:$L,Data!$B:$B=BC54,Data!$D:$D=$K54)),""""),"""")"),"")</f>
        <v/>
      </c>
      <c r="CN54" s="69" t="str">
        <f>IFERROR(__xludf.DUMMYFUNCTION("IF($L54&lt;&gt;"""",IFERROR((FILTER(RawTotals!$AJ:$AJ,RawTotals!$A:$A=BD54)-(FILTER(Data!$K:$K,Data!$B:$B=BD54,Data!$D:$D=$L54)+FILTER(Data!$L:$L,Data!$B:$B=BD54,Data!$D:$D=$L54))),""""),"""")"),"")</f>
        <v/>
      </c>
      <c r="CO54" s="69" t="str">
        <f>IFERROR(__xludf.DUMMYFUNCTION("IF($L54&lt;&gt;"""",IFERROR((FILTER(RawTotals!$AJ:$AJ,RawTotals!$A:$A=BE54)-(FILTER(Data!$K:$K,Data!$B:$B=BE54,Data!$D:$D=$L54)+FILTER(Data!$L:$L,Data!$B:$B=BE54,Data!$D:$D=$L54))),""""),"""")"),"")</f>
        <v/>
      </c>
      <c r="CP54" s="69" t="str">
        <f>IFERROR(__xludf.DUMMYFUNCTION("IF($L54&lt;&gt;"""",IFERROR((FILTER(RawTotals!$AJ:$AJ,RawTotals!$A:$A=BF54)-(FILTER(Data!$K:$K,Data!$B:$B=BF54,Data!$D:$D=$L54)+FILTER(Data!$L:$L,Data!$B:$B=BF54,Data!$D:$D=$L54))),""""),"""")"),"")</f>
        <v/>
      </c>
      <c r="CQ54" s="69" t="str">
        <f>IFERROR(__xludf.DUMMYFUNCTION("IF($M54&lt;&gt;"""",IFERROR((FILTER(RawTotals!$AJ:$AJ,RawTotals!$A:$A=BG54)-(FILTER(Data!$K:$K,Data!$B:$B=BG54,Data!$D:$D=$M54)+FILTER(Data!$L:$L,Data!$B:$B=BG54,Data!$D:$D=$M54))),""""),"""")"),"")</f>
        <v/>
      </c>
      <c r="CR54" s="69" t="str">
        <f>IFERROR(__xludf.DUMMYFUNCTION("IF($M54&lt;&gt;"""",IFERROR((FILTER(RawTotals!$AJ:$AJ,RawTotals!$A:$A=BH54)-(FILTER(Data!$K:$K,Data!$B:$B=BH54,Data!$D:$D=$M54)+FILTER(Data!$L:$L,Data!$B:$B=BH54,Data!$D:$D=$M54))),""""),"""")"),"")</f>
        <v/>
      </c>
      <c r="CS54" s="70" t="str">
        <f>IFERROR(__xludf.DUMMYFUNCTION("IF($M54&lt;&gt;"""",IFERROR((FILTER(RawTotals!$AJ:$AJ,RawTotals!$A:$A=BI54)-(FILTER(Data!$K:$K,Data!$B:$B=BI54,Data!$D:$D=$M54)+FILTER(Data!$L:$L,Data!$B:$B=BI54,Data!$D:$D=$M54))),""""),"""")"),"")</f>
        <v/>
      </c>
      <c r="CT54" s="69"/>
      <c r="CU54" s="69"/>
      <c r="CV54" s="69"/>
      <c r="CW54" s="69"/>
      <c r="CX54" s="69"/>
      <c r="CY54" s="69"/>
      <c r="CZ54" s="69"/>
      <c r="DA54" s="69"/>
      <c r="DB54" s="69"/>
      <c r="DC54" s="69"/>
      <c r="DD54" s="69"/>
      <c r="DE54" s="69"/>
    </row>
    <row r="55">
      <c r="A55" s="65" t="str">
        <f>RawTotals!A55</f>
        <v/>
      </c>
      <c r="B55" s="68" t="str">
        <f>IFERROR(__xludf.DUMMYFUNCTION("IF(A55&lt;&gt;"""",IFERROR(TRANSPOSE(FILTER(Data!D:D,Data!B:B=A55,Data!R:R&lt;&gt;"""")),""No Defense""),"""")"),"")</f>
        <v/>
      </c>
      <c r="C55" s="65"/>
      <c r="D55" s="65"/>
      <c r="E55" s="65"/>
      <c r="F55" s="65"/>
      <c r="G55" s="65"/>
      <c r="H55" s="65"/>
      <c r="I55" s="65"/>
      <c r="J55" s="65"/>
      <c r="K55" s="65"/>
      <c r="L55" s="65"/>
      <c r="M55" s="65"/>
      <c r="N55" s="64" t="str">
        <f>IFERROR(__xludf.DUMMYFUNCTION("IFERROR(Textjoin("""",TRUE,FILTER(Data!$R:$R,Data!$D:$D=B55,Data!$B:$B=$A55)),"""")"),"")</f>
        <v/>
      </c>
      <c r="O55" s="64" t="str">
        <f>IFERROR(__xludf.DUMMYFUNCTION("IFERROR(Textjoin("""",TRUE,FILTER(Data!$R:$R,Data!$D:$D=C55,Data!$B:$B=$A55)),"""")"),"")</f>
        <v/>
      </c>
      <c r="P55" s="64" t="str">
        <f>IFERROR(__xludf.DUMMYFUNCTION("IFERROR(Textjoin("""",TRUE,FILTER(Data!$R:$R,Data!$D:$D=D55,Data!$B:$B=$A55)),"""")"),"")</f>
        <v/>
      </c>
      <c r="Q55" s="64" t="str">
        <f>IFERROR(__xludf.DUMMYFUNCTION("IFERROR(Textjoin("""",TRUE,FILTER(Data!$R:$R,Data!$D:$D=E55,Data!$B:$B=$A55)),"""")"),"")</f>
        <v/>
      </c>
      <c r="R55" s="64" t="str">
        <f>IFERROR(__xludf.DUMMYFUNCTION("IFERROR(Textjoin("""",TRUE,FILTER(Data!$R:$R,Data!$D:$D=F55,Data!$B:$B=$A55)),"""")"),"")</f>
        <v/>
      </c>
      <c r="S55" s="64" t="str">
        <f>IFERROR(__xludf.DUMMYFUNCTION("IFERROR(Textjoin("""",TRUE,FILTER(Data!$R:$R,Data!$D:$D=G55,Data!$B:$B=$A55)),"""")"),"")</f>
        <v/>
      </c>
      <c r="T55" s="64" t="str">
        <f>IFERROR(__xludf.DUMMYFUNCTION("IFERROR(Textjoin("""",TRUE,FILTER(Data!$R:$R,Data!$D:$D=H55,Data!$B:$B=$A55)),"""")"),"")</f>
        <v/>
      </c>
      <c r="U55" s="64" t="str">
        <f>IFERROR(__xludf.DUMMYFUNCTION("IFERROR(Textjoin("""",TRUE,FILTER(Data!$R:$R,Data!$D:$D=I55,Data!$B:$B=$A55)),"""")"),"")</f>
        <v/>
      </c>
      <c r="V55" s="64" t="str">
        <f>IFERROR(__xludf.DUMMYFUNCTION("IFERROR(Textjoin("""",TRUE,FILTER(Data!$R:$R,Data!$D:$D=J55,Data!$B:$B=$A55)),"""")"),"")</f>
        <v/>
      </c>
      <c r="W55" s="64" t="str">
        <f>IFERROR(__xludf.DUMMYFUNCTION("IFERROR(Textjoin("""",TRUE,FILTER(Data!$R:$R,Data!$D:$D=K55,Data!$B:$B=$A55)),"""")"),"")</f>
        <v/>
      </c>
      <c r="X55" s="64" t="str">
        <f>IFERROR(__xludf.DUMMYFUNCTION("IFERROR(Textjoin("""",TRUE,FILTER(Data!$R:$R,Data!$D:$D=L55,Data!$B:$B=$A55)),"""")"),"")</f>
        <v/>
      </c>
      <c r="Y55" s="64" t="str">
        <f>IFERROR(__xludf.DUMMYFUNCTION("IFERROR(Textjoin("""",TRUE,FILTER(Data!$R:$R,Data!$D:$D=M55,Data!$B:$B=$A55)),"""")"),"")</f>
        <v/>
      </c>
      <c r="Z55" s="64" t="str">
        <f>IFERROR(__xludf.DUMMYFUNCTION("IFERROR(SPLIT(N55,"",""),"""")"),"")</f>
        <v/>
      </c>
      <c r="AA55" s="65"/>
      <c r="AB55" s="65"/>
      <c r="AC55" s="69" t="str">
        <f>IFERROR(__xludf.DUMMYFUNCTION("IFERROR(SPLIT(O55,"",""),"""")"),"")</f>
        <v/>
      </c>
      <c r="AD55" s="65"/>
      <c r="AE55" s="65"/>
      <c r="AF55" s="69" t="str">
        <f>IFERROR(__xludf.DUMMYFUNCTION("IFERROR(SPLIT(P55,"",""),"""")"),"")</f>
        <v/>
      </c>
      <c r="AG55" s="65"/>
      <c r="AH55" s="65"/>
      <c r="AI55" s="69" t="str">
        <f>IFERROR(__xludf.DUMMYFUNCTION("IFERROR(SPLIT(Q55,"",""),"""")"),"")</f>
        <v/>
      </c>
      <c r="AJ55" s="65"/>
      <c r="AK55" s="65"/>
      <c r="AL55" s="69" t="str">
        <f>IFERROR(__xludf.DUMMYFUNCTION("IFERROR(SPLIT(R55,"",""),"""")"),"")</f>
        <v/>
      </c>
      <c r="AM55" s="65"/>
      <c r="AN55" s="65"/>
      <c r="AO55" s="69" t="str">
        <f>IFERROR(__xludf.DUMMYFUNCTION("IFERROR(SPLIT(S55,"",""),"""")"),"")</f>
        <v/>
      </c>
      <c r="AP55" s="65"/>
      <c r="AQ55" s="65"/>
      <c r="AR55" s="69" t="str">
        <f>IFERROR(__xludf.DUMMYFUNCTION("IFERROR(SPLIT(T55,"",""),"""")"),"")</f>
        <v/>
      </c>
      <c r="AS55" s="65"/>
      <c r="AT55" s="65"/>
      <c r="AU55" s="69" t="str">
        <f>IFERROR(__xludf.DUMMYFUNCTION("IFERROR(SPLIT(U55,"",""),"""")"),"")</f>
        <v/>
      </c>
      <c r="AV55" s="65"/>
      <c r="AW55" s="65"/>
      <c r="AX55" s="69" t="str">
        <f>IFERROR(__xludf.DUMMYFUNCTION("IFERROR(SPLIT(V55,"",""),"""")"),"")</f>
        <v/>
      </c>
      <c r="AY55" s="65"/>
      <c r="AZ55" s="65"/>
      <c r="BA55" s="69" t="str">
        <f>IFERROR(__xludf.DUMMYFUNCTION("IFERROR(SPLIT(W55,"",""),"""")"),"")</f>
        <v/>
      </c>
      <c r="BB55" s="69"/>
      <c r="BC55" s="69"/>
      <c r="BD55" s="69" t="str">
        <f>IFERROR(__xludf.DUMMYFUNCTION("IFERROR(SPLIT(X55,"",""),"""")"),"")</f>
        <v/>
      </c>
      <c r="BE55" s="69"/>
      <c r="BF55" s="69"/>
      <c r="BG55" s="69" t="str">
        <f>IFERROR(__xludf.DUMMYFUNCTION("IFERROR(SPLIT(Y55,"",""),"""")"),"")</f>
        <v/>
      </c>
      <c r="BH55" s="69"/>
      <c r="BI55" s="69"/>
      <c r="BJ55" s="68" t="str">
        <f>IFERROR(__xludf.DUMMYFUNCTION("IF($B55&lt;&gt;"""",IFERROR(FILTER(RawTotals!$AJ:$AJ,RawTotals!$A:$A=Z55)-(FILTER(Data!$K:$K,Data!$B:$B=Z55,Data!$D:$D=$B55)+FILTER(Data!$L:$L,Data!$B:$B=Z55,Data!$D:$D=$B55)),""""),"""")"),"")</f>
        <v/>
      </c>
      <c r="BK55" s="68" t="str">
        <f>IFERROR(__xludf.DUMMYFUNCTION("IF($B55&lt;&gt;"""",IFERROR(FILTER(RawTotals!$AJ:$AJ,RawTotals!$A:$A=AA55)-(FILTER(Data!$K:$K,Data!$B:$B=AA55,Data!$D:$D=$B55)+FILTER(Data!$L:$L,Data!$B:$B=AA55,Data!$D:$D=$B55)),""""),"""")"),"")</f>
        <v/>
      </c>
      <c r="BL55" s="68" t="str">
        <f>IFERROR(__xludf.DUMMYFUNCTION("IF($B55&lt;&gt;"""",IFERROR(FILTER(RawTotals!$AJ:$AJ,RawTotals!$A:$A=AB55)-(FILTER(Data!$K:$K,Data!$B:$B=AB55,Data!$D:$D=$B55)+FILTER(Data!$L:$L,Data!$B:$B=AB55,Data!$D:$D=$B55)),""""),"""")"),"")</f>
        <v/>
      </c>
      <c r="BM55" s="69" t="str">
        <f>IFERROR(__xludf.DUMMYFUNCTION("IF($C55&lt;&gt;"""",IFERROR(FILTER(RawTotals!$AJ:$AJ,RawTotals!$A:$A=AC55)-(FILTER(Data!$K:$K,Data!$B:$B=AC55,Data!$D:$D=$C55)+FILTER(Data!$L:$L,Data!$B:$B=AC55,Data!$D:$D=$C55)),""""),"""")"),"")</f>
        <v/>
      </c>
      <c r="BN55" s="69" t="str">
        <f>IFERROR(__xludf.DUMMYFUNCTION("IF($C55&lt;&gt;"""",IFERROR(FILTER(RawTotals!$AJ:$AJ,RawTotals!$A:$A=AD55)-(FILTER(Data!$K:$K,Data!$B:$B=AD55,Data!$D:$D=$C55)+FILTER(Data!$L:$L,Data!$B:$B=AD55,Data!$D:$D=$C55)),""""),"""")"),"")</f>
        <v/>
      </c>
      <c r="BO55" s="69" t="str">
        <f>IFERROR(__xludf.DUMMYFUNCTION("IF($C55&lt;&gt;"""",IFERROR(FILTER(RawTotals!$AJ:$AJ,RawTotals!$A:$A=AE55)-(FILTER(Data!$K:$K,Data!$B:$B=AE55,Data!$D:$D=$C55)+FILTER(Data!$L:$L,Data!$B:$B=AE55,Data!$D:$D=$C55)),""""),"""")"),"")</f>
        <v/>
      </c>
      <c r="BP55" s="69" t="str">
        <f>IFERROR(__xludf.DUMMYFUNCTION("IF($D55&lt;&gt;"""",IFERROR(FILTER(RawTotals!$AJ:$AJ,RawTotals!$A:$A=AF55)-(FILTER(Data!$K:$K,Data!$B:$B=AF55,Data!$D:$D=$D55)+FILTER(Data!$L:$L,Data!$B:$B=AF55,Data!$D:$D=$D55)),""""),"""")"),"")</f>
        <v/>
      </c>
      <c r="BQ55" s="69" t="str">
        <f>IFERROR(__xludf.DUMMYFUNCTION("IF($D55&lt;&gt;"""",IFERROR(FILTER(RawTotals!$AJ:$AJ,RawTotals!$A:$A=AG55)-(FILTER(Data!$K:$K,Data!$B:$B=AG55,Data!$D:$D=$D55)+FILTER(Data!$L:$L,Data!$B:$B=AG55,Data!$D:$D=$D55)),""""),"""")"),"")</f>
        <v/>
      </c>
      <c r="BR55" s="69" t="str">
        <f>IFERROR(__xludf.DUMMYFUNCTION("IF($D55&lt;&gt;"""",IFERROR(FILTER(RawTotals!$AJ:$AJ,RawTotals!$A:$A=AH55)-(FILTER(Data!$K:$K,Data!$B:$B=AH55,Data!$D:$D=$D55)+FILTER(Data!$L:$L,Data!$B:$B=AH55,Data!$D:$D=$D55)),""""),"""")"),"")</f>
        <v/>
      </c>
      <c r="BS55" s="69" t="str">
        <f>IFERROR(__xludf.DUMMYFUNCTION("IF($E55&lt;&gt;"""",IFERROR(FILTER(RawTotals!$AJ:$AJ,RawTotals!$A:$A=AI55)-(FILTER(Data!$K:$K,Data!$B:$B=AI55,Data!$D:$D=$E55)+FILTER(Data!$L:$L,Data!$B:$B=AI55,Data!$D:$D=$E55)),""""),"""")"),"")</f>
        <v/>
      </c>
      <c r="BT55" s="69" t="str">
        <f>IFERROR(__xludf.DUMMYFUNCTION("IF($E55&lt;&gt;"""",IFERROR(FILTER(RawTotals!$AJ:$AJ,RawTotals!$A:$A=AJ55)-(FILTER(Data!$K:$K,Data!$B:$B=AJ55,Data!$D:$D=$E55)+FILTER(Data!$L:$L,Data!$B:$B=AJ55,Data!$D:$D=$E55)),""""),"""")"),"")</f>
        <v/>
      </c>
      <c r="BU55" s="69" t="str">
        <f>IFERROR(__xludf.DUMMYFUNCTION("IF($E55&lt;&gt;"""",IFERROR(FILTER(RawTotals!$AJ:$AJ,RawTotals!$A:$A=AK55)-(FILTER(Data!$K:$K,Data!$B:$B=AK55,Data!$D:$D=$E55)+FILTER(Data!$L:$L,Data!$B:$B=AK55,Data!$D:$D=$E55)),""""),"""")"),"")</f>
        <v/>
      </c>
      <c r="BV55" s="69" t="str">
        <f>IFERROR(__xludf.DUMMYFUNCTION("IF($F55&lt;&gt;"""",IFERROR(FILTER(RawTotals!$AJ:$AJ,RawTotals!$A:$A=AL55)-(FILTER(Data!$K:$K,Data!$B:$B=AL55,Data!$D:$D=$F55)+FILTER(Data!$L:$L,Data!$B:$B=AL55,Data!$D:$D=$F55)),""""),"""")"),"")</f>
        <v/>
      </c>
      <c r="BW55" s="69" t="str">
        <f>IFERROR(__xludf.DUMMYFUNCTION("IF($F55&lt;&gt;"""",IFERROR(FILTER(RawTotals!$AJ:$AJ,RawTotals!$A:$A=AM55)-(FILTER(Data!$K:$K,Data!$B:$B=AM55,Data!$D:$D=$F55)+FILTER(Data!$L:$L,Data!$B:$B=AM55,Data!$D:$D=$F55)),""""),"""")"),"")</f>
        <v/>
      </c>
      <c r="BX55" s="69" t="str">
        <f>IFERROR(__xludf.DUMMYFUNCTION("IF($F55&lt;&gt;"""",IFERROR(FILTER(RawTotals!$AJ:$AJ,RawTotals!$A:$A=AN55)-(FILTER(Data!$K:$K,Data!$B:$B=AN55,Data!$D:$D=$F55)+FILTER(Data!$L:$L,Data!$B:$B=AN55,Data!$D:$D=$F55)),""""),"""")"),"")</f>
        <v/>
      </c>
      <c r="BY55" s="69" t="str">
        <f>IFERROR(__xludf.DUMMYFUNCTION("IF($G55&lt;&gt;"""",IFERROR(FILTER(RawTotals!$AJ:$AJ,RawTotals!$A:$A=AO55)-(FILTER(Data!$K:$K,Data!$B:$B=AO55,Data!$D:$D=$G55)+FILTER(Data!$L:$L,Data!$B:$B=AO55,Data!$D:$D=$G55)),""""),"""")"),"")</f>
        <v/>
      </c>
      <c r="BZ55" s="69" t="str">
        <f>IFERROR(__xludf.DUMMYFUNCTION("IF($G55&lt;&gt;"""",IFERROR(FILTER(RawTotals!$AJ:$AJ,RawTotals!$A:$A=AP55)-(FILTER(Data!$K:$K,Data!$B:$B=AP55,Data!$D:$D=$G55)+FILTER(Data!$L:$L,Data!$B:$B=AP55,Data!$D:$D=$G55)),""""),"""")"),"")</f>
        <v/>
      </c>
      <c r="CA55" s="69" t="str">
        <f>IFERROR(__xludf.DUMMYFUNCTION("IF($G55&lt;&gt;"""",IFERROR(FILTER(RawTotals!$AJ:$AJ,RawTotals!$A:$A=AQ55)-(FILTER(Data!$K:$K,Data!$B:$B=AQ55,Data!$D:$D=$G55)+FILTER(Data!$L:$L,Data!$B:$B=AQ55,Data!$D:$D=$G55)),""""),"""")"),"")</f>
        <v/>
      </c>
      <c r="CB55" s="69" t="str">
        <f>IFERROR(__xludf.DUMMYFUNCTION("IF($H55&lt;&gt;"""",IFERROR(FILTER(RawTotals!$AJ:$AJ,RawTotals!$A:$A=AR55)-(FILTER(Data!$K:$K,Data!$B:$B=AR55,Data!$D:$D=$H55)+FILTER(Data!$L:$L,Data!$B:$B=AR55,Data!$D:$D=$H55)),""""),"""")"),"")</f>
        <v/>
      </c>
      <c r="CC55" s="69" t="str">
        <f>IFERROR(__xludf.DUMMYFUNCTION("IF($H55&lt;&gt;"""",IFERROR(FILTER(RawTotals!$AJ:$AJ,RawTotals!$A:$A=AS55)-(FILTER(Data!$K:$K,Data!$B:$B=AS55,Data!$D:$D=$H55)+FILTER(Data!$L:$L,Data!$B:$B=AS55,Data!$D:$D=$H55)),""""),"""")"),"")</f>
        <v/>
      </c>
      <c r="CD55" s="69" t="str">
        <f>IFERROR(__xludf.DUMMYFUNCTION("IF($H55&lt;&gt;"""",IFERROR(FILTER(RawTotals!$AJ:$AJ,RawTotals!$A:$A=AT55)-(FILTER(Data!$K:$K,Data!$B:$B=AT55,Data!$D:$D=$H55)+FILTER(Data!$L:$L,Data!$B:$B=AT55,Data!$D:$D=$H55)),""""),"""")"),"")</f>
        <v/>
      </c>
      <c r="CE55" s="69" t="str">
        <f>IFERROR(__xludf.DUMMYFUNCTION("IF($I55&lt;&gt;"""",IFERROR(FILTER(RawTotals!$AJ:$AJ,RawTotals!$A:$A=AU55)-(FILTER(Data!$K:$K,Data!$B:$B=AU55,Data!$D:$D=$I55)+FILTER(Data!$L:$L,Data!$B:$B=AU55,Data!$D:$D=$I55)),""""),"""")"),"")</f>
        <v/>
      </c>
      <c r="CF55" s="69" t="str">
        <f>IFERROR(__xludf.DUMMYFUNCTION("IF($I55&lt;&gt;"""",IFERROR(FILTER(RawTotals!$AJ:$AJ,RawTotals!$A:$A=AV55)-(FILTER(Data!$K:$K,Data!$B:$B=AV55,Data!$D:$D=$I55)+FILTER(Data!$L:$L,Data!$B:$B=AV55,Data!$D:$D=$I55)),""""),"""")"),"")</f>
        <v/>
      </c>
      <c r="CG55" s="69" t="str">
        <f>IFERROR(__xludf.DUMMYFUNCTION("IF($I55&lt;&gt;"""",IFERROR(FILTER(RawTotals!$AJ:$AJ,RawTotals!$A:$A=AW55)-(FILTER(Data!$K:$K,Data!$B:$B=AW55,Data!$D:$D=$I55)+FILTER(Data!$L:$L,Data!$B:$B=AW55,Data!$D:$D=$I55)),""""),"""")"),"")</f>
        <v/>
      </c>
      <c r="CH55" s="69" t="str">
        <f>IFERROR(__xludf.DUMMYFUNCTION("IF($J55&lt;&gt;"""",IFERROR(FILTER(RawTotals!$AJ:$AJ,RawTotals!$A:$A=AX55)-(FILTER(Data!$K:$K,Data!$B:$B=AX55,Data!$D:$D=$J55)+FILTER(Data!$L:$L,Data!$B:$B=AX55,Data!$D:$D=$J55)),""""),"""")"),"")</f>
        <v/>
      </c>
      <c r="CI55" s="69" t="str">
        <f>IFERROR(__xludf.DUMMYFUNCTION("IF($J55&lt;&gt;"""",IFERROR(FILTER(RawTotals!$AJ:$AJ,RawTotals!$A:$A=AY55)-(FILTER(Data!$K:$K,Data!$B:$B=AY55,Data!$D:$D=$J55)+FILTER(Data!$L:$L,Data!$B:$B=AY55,Data!$D:$D=$J55)),""""),"""")"),"")</f>
        <v/>
      </c>
      <c r="CJ55" s="69" t="str">
        <f>IFERROR(__xludf.DUMMYFUNCTION("IF($J55&lt;&gt;"""",IFERROR(FILTER(RawTotals!$AJ:$AJ,RawTotals!$A:$A=AZ55)-(FILTER(Data!$K:$K,Data!$B:$B=AZ55,Data!$D:$D=$J55)+FILTER(Data!$L:$L,Data!$B:$B=AZ55,Data!$D:$D=$J55)),""""),"""")"),"")</f>
        <v/>
      </c>
      <c r="CK55" s="69" t="str">
        <f>IFERROR(__xludf.DUMMYFUNCTION("IF($K55&lt;&gt;"""",IFERROR(FILTER(RawTotals!$AJ:$AJ,RawTotals!$A:$A=BA55)-(FILTER(Data!$K:$K,Data!$B:$B=BA55,Data!$D:$D=$K55)+FILTER(Data!$L:$L,Data!$B:$B=BA55,Data!$D:$D=$K55)),""""),"""")"),"")</f>
        <v/>
      </c>
      <c r="CL55" s="69" t="str">
        <f>IFERROR(__xludf.DUMMYFUNCTION("IF($K55&lt;&gt;"""",IFERROR(FILTER(RawTotals!$AJ:$AJ,RawTotals!$A:$A=BB55)-(FILTER(Data!$K:$K,Data!$B:$B=BB55,Data!$D:$D=$K55)+FILTER(Data!$L:$L,Data!$B:$B=BB55,Data!$D:$D=$K55)),""""),"""")"),"")</f>
        <v/>
      </c>
      <c r="CM55" s="69" t="str">
        <f>IFERROR(__xludf.DUMMYFUNCTION("IF($K55&lt;&gt;"""",IFERROR(FILTER(RawTotals!$AJ:$AJ,RawTotals!$A:$A=BC55)-(FILTER(Data!$K:$K,Data!$B:$B=BC55,Data!$D:$D=$K55)+FILTER(Data!$L:$L,Data!$B:$B=BC55,Data!$D:$D=$K55)),""""),"""")"),"")</f>
        <v/>
      </c>
      <c r="CN55" s="69" t="str">
        <f>IFERROR(__xludf.DUMMYFUNCTION("IF($L55&lt;&gt;"""",IFERROR((FILTER(RawTotals!$AJ:$AJ,RawTotals!$A:$A=BD55)-(FILTER(Data!$K:$K,Data!$B:$B=BD55,Data!$D:$D=$L55)+FILTER(Data!$L:$L,Data!$B:$B=BD55,Data!$D:$D=$L55))),""""),"""")"),"")</f>
        <v/>
      </c>
      <c r="CO55" s="69" t="str">
        <f>IFERROR(__xludf.DUMMYFUNCTION("IF($L55&lt;&gt;"""",IFERROR((FILTER(RawTotals!$AJ:$AJ,RawTotals!$A:$A=BE55)-(FILTER(Data!$K:$K,Data!$B:$B=BE55,Data!$D:$D=$L55)+FILTER(Data!$L:$L,Data!$B:$B=BE55,Data!$D:$D=$L55))),""""),"""")"),"")</f>
        <v/>
      </c>
      <c r="CP55" s="69" t="str">
        <f>IFERROR(__xludf.DUMMYFUNCTION("IF($L55&lt;&gt;"""",IFERROR((FILTER(RawTotals!$AJ:$AJ,RawTotals!$A:$A=BF55)-(FILTER(Data!$K:$K,Data!$B:$B=BF55,Data!$D:$D=$L55)+FILTER(Data!$L:$L,Data!$B:$B=BF55,Data!$D:$D=$L55))),""""),"""")"),"")</f>
        <v/>
      </c>
      <c r="CQ55" s="69" t="str">
        <f>IFERROR(__xludf.DUMMYFUNCTION("IF($M55&lt;&gt;"""",IFERROR((FILTER(RawTotals!$AJ:$AJ,RawTotals!$A:$A=BG55)-(FILTER(Data!$K:$K,Data!$B:$B=BG55,Data!$D:$D=$M55)+FILTER(Data!$L:$L,Data!$B:$B=BG55,Data!$D:$D=$M55))),""""),"""")"),"")</f>
        <v/>
      </c>
      <c r="CR55" s="69" t="str">
        <f>IFERROR(__xludf.DUMMYFUNCTION("IF($M55&lt;&gt;"""",IFERROR((FILTER(RawTotals!$AJ:$AJ,RawTotals!$A:$A=BH55)-(FILTER(Data!$K:$K,Data!$B:$B=BH55,Data!$D:$D=$M55)+FILTER(Data!$L:$L,Data!$B:$B=BH55,Data!$D:$D=$M55))),""""),"""")"),"")</f>
        <v/>
      </c>
      <c r="CS55" s="70" t="str">
        <f>IFERROR(__xludf.DUMMYFUNCTION("IF($M55&lt;&gt;"""",IFERROR((FILTER(RawTotals!$AJ:$AJ,RawTotals!$A:$A=BI55)-(FILTER(Data!$K:$K,Data!$B:$B=BI55,Data!$D:$D=$M55)+FILTER(Data!$L:$L,Data!$B:$B=BI55,Data!$D:$D=$M55))),""""),"""")"),"")</f>
        <v/>
      </c>
      <c r="CT55" s="69"/>
      <c r="CU55" s="69"/>
      <c r="CV55" s="69"/>
      <c r="CW55" s="69"/>
      <c r="CX55" s="69"/>
      <c r="CY55" s="69"/>
      <c r="CZ55" s="69"/>
      <c r="DA55" s="69"/>
      <c r="DB55" s="69"/>
      <c r="DC55" s="69"/>
      <c r="DD55" s="69"/>
      <c r="DE55" s="69"/>
    </row>
    <row r="56">
      <c r="A56" s="65" t="str">
        <f>RawTotals!A56</f>
        <v/>
      </c>
      <c r="B56" s="68" t="str">
        <f>IFERROR(__xludf.DUMMYFUNCTION("IF(A56&lt;&gt;"""",IFERROR(TRANSPOSE(FILTER(Data!D:D,Data!B:B=A56,Data!R:R&lt;&gt;"""")),""No Defense""),"""")"),"")</f>
        <v/>
      </c>
      <c r="C56" s="65"/>
      <c r="D56" s="65"/>
      <c r="E56" s="65"/>
      <c r="F56" s="65"/>
      <c r="G56" s="65"/>
      <c r="H56" s="65"/>
      <c r="I56" s="65"/>
      <c r="J56" s="65"/>
      <c r="K56" s="65"/>
      <c r="L56" s="65"/>
      <c r="M56" s="65"/>
      <c r="N56" s="64" t="str">
        <f>IFERROR(__xludf.DUMMYFUNCTION("IFERROR(Textjoin("""",TRUE,FILTER(Data!$R:$R,Data!$D:$D=B56,Data!$B:$B=$A56)),"""")"),"")</f>
        <v/>
      </c>
      <c r="O56" s="64" t="str">
        <f>IFERROR(__xludf.DUMMYFUNCTION("IFERROR(Textjoin("""",TRUE,FILTER(Data!$R:$R,Data!$D:$D=C56,Data!$B:$B=$A56)),"""")"),"")</f>
        <v/>
      </c>
      <c r="P56" s="64" t="str">
        <f>IFERROR(__xludf.DUMMYFUNCTION("IFERROR(Textjoin("""",TRUE,FILTER(Data!$R:$R,Data!$D:$D=D56,Data!$B:$B=$A56)),"""")"),"")</f>
        <v/>
      </c>
      <c r="Q56" s="64" t="str">
        <f>IFERROR(__xludf.DUMMYFUNCTION("IFERROR(Textjoin("""",TRUE,FILTER(Data!$R:$R,Data!$D:$D=E56,Data!$B:$B=$A56)),"""")"),"")</f>
        <v/>
      </c>
      <c r="R56" s="64" t="str">
        <f>IFERROR(__xludf.DUMMYFUNCTION("IFERROR(Textjoin("""",TRUE,FILTER(Data!$R:$R,Data!$D:$D=F56,Data!$B:$B=$A56)),"""")"),"")</f>
        <v/>
      </c>
      <c r="S56" s="64" t="str">
        <f>IFERROR(__xludf.DUMMYFUNCTION("IFERROR(Textjoin("""",TRUE,FILTER(Data!$R:$R,Data!$D:$D=G56,Data!$B:$B=$A56)),"""")"),"")</f>
        <v/>
      </c>
      <c r="T56" s="64" t="str">
        <f>IFERROR(__xludf.DUMMYFUNCTION("IFERROR(Textjoin("""",TRUE,FILTER(Data!$R:$R,Data!$D:$D=H56,Data!$B:$B=$A56)),"""")"),"")</f>
        <v/>
      </c>
      <c r="U56" s="64" t="str">
        <f>IFERROR(__xludf.DUMMYFUNCTION("IFERROR(Textjoin("""",TRUE,FILTER(Data!$R:$R,Data!$D:$D=I56,Data!$B:$B=$A56)),"""")"),"")</f>
        <v/>
      </c>
      <c r="V56" s="64" t="str">
        <f>IFERROR(__xludf.DUMMYFUNCTION("IFERROR(Textjoin("""",TRUE,FILTER(Data!$R:$R,Data!$D:$D=J56,Data!$B:$B=$A56)),"""")"),"")</f>
        <v/>
      </c>
      <c r="W56" s="64" t="str">
        <f>IFERROR(__xludf.DUMMYFUNCTION("IFERROR(Textjoin("""",TRUE,FILTER(Data!$R:$R,Data!$D:$D=K56,Data!$B:$B=$A56)),"""")"),"")</f>
        <v/>
      </c>
      <c r="X56" s="64" t="str">
        <f>IFERROR(__xludf.DUMMYFUNCTION("IFERROR(Textjoin("""",TRUE,FILTER(Data!$R:$R,Data!$D:$D=L56,Data!$B:$B=$A56)),"""")"),"")</f>
        <v/>
      </c>
      <c r="Y56" s="64" t="str">
        <f>IFERROR(__xludf.DUMMYFUNCTION("IFERROR(Textjoin("""",TRUE,FILTER(Data!$R:$R,Data!$D:$D=M56,Data!$B:$B=$A56)),"""")"),"")</f>
        <v/>
      </c>
      <c r="Z56" s="64" t="str">
        <f>IFERROR(__xludf.DUMMYFUNCTION("IFERROR(SPLIT(N56,"",""),"""")"),"")</f>
        <v/>
      </c>
      <c r="AA56" s="65"/>
      <c r="AB56" s="65"/>
      <c r="AC56" s="69" t="str">
        <f>IFERROR(__xludf.DUMMYFUNCTION("IFERROR(SPLIT(O56,"",""),"""")"),"")</f>
        <v/>
      </c>
      <c r="AD56" s="65"/>
      <c r="AE56" s="65"/>
      <c r="AF56" s="69" t="str">
        <f>IFERROR(__xludf.DUMMYFUNCTION("IFERROR(SPLIT(P56,"",""),"""")"),"")</f>
        <v/>
      </c>
      <c r="AG56" s="65"/>
      <c r="AH56" s="65"/>
      <c r="AI56" s="69" t="str">
        <f>IFERROR(__xludf.DUMMYFUNCTION("IFERROR(SPLIT(Q56,"",""),"""")"),"")</f>
        <v/>
      </c>
      <c r="AJ56" s="65"/>
      <c r="AK56" s="65"/>
      <c r="AL56" s="69" t="str">
        <f>IFERROR(__xludf.DUMMYFUNCTION("IFERROR(SPLIT(R56,"",""),"""")"),"")</f>
        <v/>
      </c>
      <c r="AM56" s="65"/>
      <c r="AN56" s="65"/>
      <c r="AO56" s="69" t="str">
        <f>IFERROR(__xludf.DUMMYFUNCTION("IFERROR(SPLIT(S56,"",""),"""")"),"")</f>
        <v/>
      </c>
      <c r="AP56" s="65"/>
      <c r="AQ56" s="65"/>
      <c r="AR56" s="69" t="str">
        <f>IFERROR(__xludf.DUMMYFUNCTION("IFERROR(SPLIT(T56,"",""),"""")"),"")</f>
        <v/>
      </c>
      <c r="AS56" s="65"/>
      <c r="AT56" s="65"/>
      <c r="AU56" s="69" t="str">
        <f>IFERROR(__xludf.DUMMYFUNCTION("IFERROR(SPLIT(U56,"",""),"""")"),"")</f>
        <v/>
      </c>
      <c r="AV56" s="65"/>
      <c r="AW56" s="65"/>
      <c r="AX56" s="69" t="str">
        <f>IFERROR(__xludf.DUMMYFUNCTION("IFERROR(SPLIT(V56,"",""),"""")"),"")</f>
        <v/>
      </c>
      <c r="AY56" s="65"/>
      <c r="AZ56" s="65"/>
      <c r="BA56" s="69" t="str">
        <f>IFERROR(__xludf.DUMMYFUNCTION("IFERROR(SPLIT(W56,"",""),"""")"),"")</f>
        <v/>
      </c>
      <c r="BB56" s="69"/>
      <c r="BC56" s="69"/>
      <c r="BD56" s="69" t="str">
        <f>IFERROR(__xludf.DUMMYFUNCTION("IFERROR(SPLIT(X56,"",""),"""")"),"")</f>
        <v/>
      </c>
      <c r="BE56" s="69"/>
      <c r="BF56" s="69"/>
      <c r="BG56" s="69" t="str">
        <f>IFERROR(__xludf.DUMMYFUNCTION("IFERROR(SPLIT(Y56,"",""),"""")"),"")</f>
        <v/>
      </c>
      <c r="BH56" s="69"/>
      <c r="BI56" s="69"/>
      <c r="BJ56" s="68" t="str">
        <f>IFERROR(__xludf.DUMMYFUNCTION("IF($B56&lt;&gt;"""",IFERROR(FILTER(RawTotals!$AJ:$AJ,RawTotals!$A:$A=Z56)-(FILTER(Data!$K:$K,Data!$B:$B=Z56,Data!$D:$D=$B56)+FILTER(Data!$L:$L,Data!$B:$B=Z56,Data!$D:$D=$B56)),""""),"""")"),"")</f>
        <v/>
      </c>
      <c r="BK56" s="68" t="str">
        <f>IFERROR(__xludf.DUMMYFUNCTION("IF($B56&lt;&gt;"""",IFERROR(FILTER(RawTotals!$AJ:$AJ,RawTotals!$A:$A=AA56)-(FILTER(Data!$K:$K,Data!$B:$B=AA56,Data!$D:$D=$B56)+FILTER(Data!$L:$L,Data!$B:$B=AA56,Data!$D:$D=$B56)),""""),"""")"),"")</f>
        <v/>
      </c>
      <c r="BL56" s="68" t="str">
        <f>IFERROR(__xludf.DUMMYFUNCTION("IF($B56&lt;&gt;"""",IFERROR(FILTER(RawTotals!$AJ:$AJ,RawTotals!$A:$A=AB56)-(FILTER(Data!$K:$K,Data!$B:$B=AB56,Data!$D:$D=$B56)+FILTER(Data!$L:$L,Data!$B:$B=AB56,Data!$D:$D=$B56)),""""),"""")"),"")</f>
        <v/>
      </c>
      <c r="BM56" s="69" t="str">
        <f>IFERROR(__xludf.DUMMYFUNCTION("IF($C56&lt;&gt;"""",IFERROR(FILTER(RawTotals!$AJ:$AJ,RawTotals!$A:$A=AC56)-(FILTER(Data!$K:$K,Data!$B:$B=AC56,Data!$D:$D=$C56)+FILTER(Data!$L:$L,Data!$B:$B=AC56,Data!$D:$D=$C56)),""""),"""")"),"")</f>
        <v/>
      </c>
      <c r="BN56" s="69" t="str">
        <f>IFERROR(__xludf.DUMMYFUNCTION("IF($C56&lt;&gt;"""",IFERROR(FILTER(RawTotals!$AJ:$AJ,RawTotals!$A:$A=AD56)-(FILTER(Data!$K:$K,Data!$B:$B=AD56,Data!$D:$D=$C56)+FILTER(Data!$L:$L,Data!$B:$B=AD56,Data!$D:$D=$C56)),""""),"""")"),"")</f>
        <v/>
      </c>
      <c r="BO56" s="69" t="str">
        <f>IFERROR(__xludf.DUMMYFUNCTION("IF($C56&lt;&gt;"""",IFERROR(FILTER(RawTotals!$AJ:$AJ,RawTotals!$A:$A=AE56)-(FILTER(Data!$K:$K,Data!$B:$B=AE56,Data!$D:$D=$C56)+FILTER(Data!$L:$L,Data!$B:$B=AE56,Data!$D:$D=$C56)),""""),"""")"),"")</f>
        <v/>
      </c>
      <c r="BP56" s="69" t="str">
        <f>IFERROR(__xludf.DUMMYFUNCTION("IF($D56&lt;&gt;"""",IFERROR(FILTER(RawTotals!$AJ:$AJ,RawTotals!$A:$A=AF56)-(FILTER(Data!$K:$K,Data!$B:$B=AF56,Data!$D:$D=$D56)+FILTER(Data!$L:$L,Data!$B:$B=AF56,Data!$D:$D=$D56)),""""),"""")"),"")</f>
        <v/>
      </c>
      <c r="BQ56" s="69" t="str">
        <f>IFERROR(__xludf.DUMMYFUNCTION("IF($D56&lt;&gt;"""",IFERROR(FILTER(RawTotals!$AJ:$AJ,RawTotals!$A:$A=AG56)-(FILTER(Data!$K:$K,Data!$B:$B=AG56,Data!$D:$D=$D56)+FILTER(Data!$L:$L,Data!$B:$B=AG56,Data!$D:$D=$D56)),""""),"""")"),"")</f>
        <v/>
      </c>
      <c r="BR56" s="69" t="str">
        <f>IFERROR(__xludf.DUMMYFUNCTION("IF($D56&lt;&gt;"""",IFERROR(FILTER(RawTotals!$AJ:$AJ,RawTotals!$A:$A=AH56)-(FILTER(Data!$K:$K,Data!$B:$B=AH56,Data!$D:$D=$D56)+FILTER(Data!$L:$L,Data!$B:$B=AH56,Data!$D:$D=$D56)),""""),"""")"),"")</f>
        <v/>
      </c>
      <c r="BS56" s="69" t="str">
        <f>IFERROR(__xludf.DUMMYFUNCTION("IF($E56&lt;&gt;"""",IFERROR(FILTER(RawTotals!$AJ:$AJ,RawTotals!$A:$A=AI56)-(FILTER(Data!$K:$K,Data!$B:$B=AI56,Data!$D:$D=$E56)+FILTER(Data!$L:$L,Data!$B:$B=AI56,Data!$D:$D=$E56)),""""),"""")"),"")</f>
        <v/>
      </c>
      <c r="BT56" s="69" t="str">
        <f>IFERROR(__xludf.DUMMYFUNCTION("IF($E56&lt;&gt;"""",IFERROR(FILTER(RawTotals!$AJ:$AJ,RawTotals!$A:$A=AJ56)-(FILTER(Data!$K:$K,Data!$B:$B=AJ56,Data!$D:$D=$E56)+FILTER(Data!$L:$L,Data!$B:$B=AJ56,Data!$D:$D=$E56)),""""),"""")"),"")</f>
        <v/>
      </c>
      <c r="BU56" s="69" t="str">
        <f>IFERROR(__xludf.DUMMYFUNCTION("IF($E56&lt;&gt;"""",IFERROR(FILTER(RawTotals!$AJ:$AJ,RawTotals!$A:$A=AK56)-(FILTER(Data!$K:$K,Data!$B:$B=AK56,Data!$D:$D=$E56)+FILTER(Data!$L:$L,Data!$B:$B=AK56,Data!$D:$D=$E56)),""""),"""")"),"")</f>
        <v/>
      </c>
      <c r="BV56" s="69" t="str">
        <f>IFERROR(__xludf.DUMMYFUNCTION("IF($F56&lt;&gt;"""",IFERROR(FILTER(RawTotals!$AJ:$AJ,RawTotals!$A:$A=AL56)-(FILTER(Data!$K:$K,Data!$B:$B=AL56,Data!$D:$D=$F56)+FILTER(Data!$L:$L,Data!$B:$B=AL56,Data!$D:$D=$F56)),""""),"""")"),"")</f>
        <v/>
      </c>
      <c r="BW56" s="69" t="str">
        <f>IFERROR(__xludf.DUMMYFUNCTION("IF($F56&lt;&gt;"""",IFERROR(FILTER(RawTotals!$AJ:$AJ,RawTotals!$A:$A=AM56)-(FILTER(Data!$K:$K,Data!$B:$B=AM56,Data!$D:$D=$F56)+FILTER(Data!$L:$L,Data!$B:$B=AM56,Data!$D:$D=$F56)),""""),"""")"),"")</f>
        <v/>
      </c>
      <c r="BX56" s="69" t="str">
        <f>IFERROR(__xludf.DUMMYFUNCTION("IF($F56&lt;&gt;"""",IFERROR(FILTER(RawTotals!$AJ:$AJ,RawTotals!$A:$A=AN56)-(FILTER(Data!$K:$K,Data!$B:$B=AN56,Data!$D:$D=$F56)+FILTER(Data!$L:$L,Data!$B:$B=AN56,Data!$D:$D=$F56)),""""),"""")"),"")</f>
        <v/>
      </c>
      <c r="BY56" s="69" t="str">
        <f>IFERROR(__xludf.DUMMYFUNCTION("IF($G56&lt;&gt;"""",IFERROR(FILTER(RawTotals!$AJ:$AJ,RawTotals!$A:$A=AO56)-(FILTER(Data!$K:$K,Data!$B:$B=AO56,Data!$D:$D=$G56)+FILTER(Data!$L:$L,Data!$B:$B=AO56,Data!$D:$D=$G56)),""""),"""")"),"")</f>
        <v/>
      </c>
      <c r="BZ56" s="69" t="str">
        <f>IFERROR(__xludf.DUMMYFUNCTION("IF($G56&lt;&gt;"""",IFERROR(FILTER(RawTotals!$AJ:$AJ,RawTotals!$A:$A=AP56)-(FILTER(Data!$K:$K,Data!$B:$B=AP56,Data!$D:$D=$G56)+FILTER(Data!$L:$L,Data!$B:$B=AP56,Data!$D:$D=$G56)),""""),"""")"),"")</f>
        <v/>
      </c>
      <c r="CA56" s="69" t="str">
        <f>IFERROR(__xludf.DUMMYFUNCTION("IF($G56&lt;&gt;"""",IFERROR(FILTER(RawTotals!$AJ:$AJ,RawTotals!$A:$A=AQ56)-(FILTER(Data!$K:$K,Data!$B:$B=AQ56,Data!$D:$D=$G56)+FILTER(Data!$L:$L,Data!$B:$B=AQ56,Data!$D:$D=$G56)),""""),"""")"),"")</f>
        <v/>
      </c>
      <c r="CB56" s="69" t="str">
        <f>IFERROR(__xludf.DUMMYFUNCTION("IF($H56&lt;&gt;"""",IFERROR(FILTER(RawTotals!$AJ:$AJ,RawTotals!$A:$A=AR56)-(FILTER(Data!$K:$K,Data!$B:$B=AR56,Data!$D:$D=$H56)+FILTER(Data!$L:$L,Data!$B:$B=AR56,Data!$D:$D=$H56)),""""),"""")"),"")</f>
        <v/>
      </c>
      <c r="CC56" s="69" t="str">
        <f>IFERROR(__xludf.DUMMYFUNCTION("IF($H56&lt;&gt;"""",IFERROR(FILTER(RawTotals!$AJ:$AJ,RawTotals!$A:$A=AS56)-(FILTER(Data!$K:$K,Data!$B:$B=AS56,Data!$D:$D=$H56)+FILTER(Data!$L:$L,Data!$B:$B=AS56,Data!$D:$D=$H56)),""""),"""")"),"")</f>
        <v/>
      </c>
      <c r="CD56" s="69" t="str">
        <f>IFERROR(__xludf.DUMMYFUNCTION("IF($H56&lt;&gt;"""",IFERROR(FILTER(RawTotals!$AJ:$AJ,RawTotals!$A:$A=AT56)-(FILTER(Data!$K:$K,Data!$B:$B=AT56,Data!$D:$D=$H56)+FILTER(Data!$L:$L,Data!$B:$B=AT56,Data!$D:$D=$H56)),""""),"""")"),"")</f>
        <v/>
      </c>
      <c r="CE56" s="69" t="str">
        <f>IFERROR(__xludf.DUMMYFUNCTION("IF($I56&lt;&gt;"""",IFERROR(FILTER(RawTotals!$AJ:$AJ,RawTotals!$A:$A=AU56)-(FILTER(Data!$K:$K,Data!$B:$B=AU56,Data!$D:$D=$I56)+FILTER(Data!$L:$L,Data!$B:$B=AU56,Data!$D:$D=$I56)),""""),"""")"),"")</f>
        <v/>
      </c>
      <c r="CF56" s="69" t="str">
        <f>IFERROR(__xludf.DUMMYFUNCTION("IF($I56&lt;&gt;"""",IFERROR(FILTER(RawTotals!$AJ:$AJ,RawTotals!$A:$A=AV56)-(FILTER(Data!$K:$K,Data!$B:$B=AV56,Data!$D:$D=$I56)+FILTER(Data!$L:$L,Data!$B:$B=AV56,Data!$D:$D=$I56)),""""),"""")"),"")</f>
        <v/>
      </c>
      <c r="CG56" s="69" t="str">
        <f>IFERROR(__xludf.DUMMYFUNCTION("IF($I56&lt;&gt;"""",IFERROR(FILTER(RawTotals!$AJ:$AJ,RawTotals!$A:$A=AW56)-(FILTER(Data!$K:$K,Data!$B:$B=AW56,Data!$D:$D=$I56)+FILTER(Data!$L:$L,Data!$B:$B=AW56,Data!$D:$D=$I56)),""""),"""")"),"")</f>
        <v/>
      </c>
      <c r="CH56" s="69" t="str">
        <f>IFERROR(__xludf.DUMMYFUNCTION("IF($J56&lt;&gt;"""",IFERROR(FILTER(RawTotals!$AJ:$AJ,RawTotals!$A:$A=AX56)-(FILTER(Data!$K:$K,Data!$B:$B=AX56,Data!$D:$D=$J56)+FILTER(Data!$L:$L,Data!$B:$B=AX56,Data!$D:$D=$J56)),""""),"""")"),"")</f>
        <v/>
      </c>
      <c r="CI56" s="69" t="str">
        <f>IFERROR(__xludf.DUMMYFUNCTION("IF($J56&lt;&gt;"""",IFERROR(FILTER(RawTotals!$AJ:$AJ,RawTotals!$A:$A=AY56)-(FILTER(Data!$K:$K,Data!$B:$B=AY56,Data!$D:$D=$J56)+FILTER(Data!$L:$L,Data!$B:$B=AY56,Data!$D:$D=$J56)),""""),"""")"),"")</f>
        <v/>
      </c>
      <c r="CJ56" s="69" t="str">
        <f>IFERROR(__xludf.DUMMYFUNCTION("IF($J56&lt;&gt;"""",IFERROR(FILTER(RawTotals!$AJ:$AJ,RawTotals!$A:$A=AZ56)-(FILTER(Data!$K:$K,Data!$B:$B=AZ56,Data!$D:$D=$J56)+FILTER(Data!$L:$L,Data!$B:$B=AZ56,Data!$D:$D=$J56)),""""),"""")"),"")</f>
        <v/>
      </c>
      <c r="CK56" s="69" t="str">
        <f>IFERROR(__xludf.DUMMYFUNCTION("IF($K56&lt;&gt;"""",IFERROR(FILTER(RawTotals!$AJ:$AJ,RawTotals!$A:$A=BA56)-(FILTER(Data!$K:$K,Data!$B:$B=BA56,Data!$D:$D=$K56)+FILTER(Data!$L:$L,Data!$B:$B=BA56,Data!$D:$D=$K56)),""""),"""")"),"")</f>
        <v/>
      </c>
      <c r="CL56" s="69" t="str">
        <f>IFERROR(__xludf.DUMMYFUNCTION("IF($K56&lt;&gt;"""",IFERROR(FILTER(RawTotals!$AJ:$AJ,RawTotals!$A:$A=BB56)-(FILTER(Data!$K:$K,Data!$B:$B=BB56,Data!$D:$D=$K56)+FILTER(Data!$L:$L,Data!$B:$B=BB56,Data!$D:$D=$K56)),""""),"""")"),"")</f>
        <v/>
      </c>
      <c r="CM56" s="69" t="str">
        <f>IFERROR(__xludf.DUMMYFUNCTION("IF($K56&lt;&gt;"""",IFERROR(FILTER(RawTotals!$AJ:$AJ,RawTotals!$A:$A=BC56)-(FILTER(Data!$K:$K,Data!$B:$B=BC56,Data!$D:$D=$K56)+FILTER(Data!$L:$L,Data!$B:$B=BC56,Data!$D:$D=$K56)),""""),"""")"),"")</f>
        <v/>
      </c>
      <c r="CN56" s="69" t="str">
        <f>IFERROR(__xludf.DUMMYFUNCTION("IF($L56&lt;&gt;"""",IFERROR((FILTER(RawTotals!$AJ:$AJ,RawTotals!$A:$A=BD56)-(FILTER(Data!$K:$K,Data!$B:$B=BD56,Data!$D:$D=$L56)+FILTER(Data!$L:$L,Data!$B:$B=BD56,Data!$D:$D=$L56))),""""),"""")"),"")</f>
        <v/>
      </c>
      <c r="CO56" s="69" t="str">
        <f>IFERROR(__xludf.DUMMYFUNCTION("IF($L56&lt;&gt;"""",IFERROR((FILTER(RawTotals!$AJ:$AJ,RawTotals!$A:$A=BE56)-(FILTER(Data!$K:$K,Data!$B:$B=BE56,Data!$D:$D=$L56)+FILTER(Data!$L:$L,Data!$B:$B=BE56,Data!$D:$D=$L56))),""""),"""")"),"")</f>
        <v/>
      </c>
      <c r="CP56" s="69" t="str">
        <f>IFERROR(__xludf.DUMMYFUNCTION("IF($L56&lt;&gt;"""",IFERROR((FILTER(RawTotals!$AJ:$AJ,RawTotals!$A:$A=BF56)-(FILTER(Data!$K:$K,Data!$B:$B=BF56,Data!$D:$D=$L56)+FILTER(Data!$L:$L,Data!$B:$B=BF56,Data!$D:$D=$L56))),""""),"""")"),"")</f>
        <v/>
      </c>
      <c r="CQ56" s="69" t="str">
        <f>IFERROR(__xludf.DUMMYFUNCTION("IF($M56&lt;&gt;"""",IFERROR((FILTER(RawTotals!$AJ:$AJ,RawTotals!$A:$A=BG56)-(FILTER(Data!$K:$K,Data!$B:$B=BG56,Data!$D:$D=$M56)+FILTER(Data!$L:$L,Data!$B:$B=BG56,Data!$D:$D=$M56))),""""),"""")"),"")</f>
        <v/>
      </c>
      <c r="CR56" s="69" t="str">
        <f>IFERROR(__xludf.DUMMYFUNCTION("IF($M56&lt;&gt;"""",IFERROR((FILTER(RawTotals!$AJ:$AJ,RawTotals!$A:$A=BH56)-(FILTER(Data!$K:$K,Data!$B:$B=BH56,Data!$D:$D=$M56)+FILTER(Data!$L:$L,Data!$B:$B=BH56,Data!$D:$D=$M56))),""""),"""")"),"")</f>
        <v/>
      </c>
      <c r="CS56" s="70" t="str">
        <f>IFERROR(__xludf.DUMMYFUNCTION("IF($M56&lt;&gt;"""",IFERROR((FILTER(RawTotals!$AJ:$AJ,RawTotals!$A:$A=BI56)-(FILTER(Data!$K:$K,Data!$B:$B=BI56,Data!$D:$D=$M56)+FILTER(Data!$L:$L,Data!$B:$B=BI56,Data!$D:$D=$M56))),""""),"""")"),"")</f>
        <v/>
      </c>
      <c r="CT56" s="69"/>
      <c r="CU56" s="69"/>
      <c r="CV56" s="69"/>
      <c r="CW56" s="69"/>
      <c r="CX56" s="69"/>
      <c r="CY56" s="69"/>
      <c r="CZ56" s="69"/>
      <c r="DA56" s="69"/>
      <c r="DB56" s="69"/>
      <c r="DC56" s="69"/>
      <c r="DD56" s="69"/>
      <c r="DE56" s="69"/>
    </row>
    <row r="57">
      <c r="A57" s="65" t="str">
        <f>RawTotals!A57</f>
        <v/>
      </c>
      <c r="B57" s="68" t="str">
        <f>IFERROR(__xludf.DUMMYFUNCTION("IF(A57&lt;&gt;"""",IFERROR(TRANSPOSE(FILTER(Data!D:D,Data!B:B=A57,Data!R:R&lt;&gt;"""")),""No Defense""),"""")"),"")</f>
        <v/>
      </c>
      <c r="C57" s="65"/>
      <c r="D57" s="65"/>
      <c r="E57" s="65"/>
      <c r="F57" s="65"/>
      <c r="G57" s="65"/>
      <c r="H57" s="65"/>
      <c r="I57" s="65"/>
      <c r="J57" s="65"/>
      <c r="K57" s="65"/>
      <c r="L57" s="65"/>
      <c r="M57" s="65"/>
      <c r="N57" s="64" t="str">
        <f>IFERROR(__xludf.DUMMYFUNCTION("IFERROR(Textjoin("""",TRUE,FILTER(Data!$R:$R,Data!$D:$D=B57,Data!$B:$B=$A57)),"""")"),"")</f>
        <v/>
      </c>
      <c r="O57" s="64" t="str">
        <f>IFERROR(__xludf.DUMMYFUNCTION("IFERROR(Textjoin("""",TRUE,FILTER(Data!$R:$R,Data!$D:$D=C57,Data!$B:$B=$A57)),"""")"),"")</f>
        <v/>
      </c>
      <c r="P57" s="64" t="str">
        <f>IFERROR(__xludf.DUMMYFUNCTION("IFERROR(Textjoin("""",TRUE,FILTER(Data!$R:$R,Data!$D:$D=D57,Data!$B:$B=$A57)),"""")"),"")</f>
        <v/>
      </c>
      <c r="Q57" s="64" t="str">
        <f>IFERROR(__xludf.DUMMYFUNCTION("IFERROR(Textjoin("""",TRUE,FILTER(Data!$R:$R,Data!$D:$D=E57,Data!$B:$B=$A57)),"""")"),"")</f>
        <v/>
      </c>
      <c r="R57" s="64" t="str">
        <f>IFERROR(__xludf.DUMMYFUNCTION("IFERROR(Textjoin("""",TRUE,FILTER(Data!$R:$R,Data!$D:$D=F57,Data!$B:$B=$A57)),"""")"),"")</f>
        <v/>
      </c>
      <c r="S57" s="64" t="str">
        <f>IFERROR(__xludf.DUMMYFUNCTION("IFERROR(Textjoin("""",TRUE,FILTER(Data!$R:$R,Data!$D:$D=G57,Data!$B:$B=$A57)),"""")"),"")</f>
        <v/>
      </c>
      <c r="T57" s="64" t="str">
        <f>IFERROR(__xludf.DUMMYFUNCTION("IFERROR(Textjoin("""",TRUE,FILTER(Data!$R:$R,Data!$D:$D=H57,Data!$B:$B=$A57)),"""")"),"")</f>
        <v/>
      </c>
      <c r="U57" s="64" t="str">
        <f>IFERROR(__xludf.DUMMYFUNCTION("IFERROR(Textjoin("""",TRUE,FILTER(Data!$R:$R,Data!$D:$D=I57,Data!$B:$B=$A57)),"""")"),"")</f>
        <v/>
      </c>
      <c r="V57" s="64" t="str">
        <f>IFERROR(__xludf.DUMMYFUNCTION("IFERROR(Textjoin("""",TRUE,FILTER(Data!$R:$R,Data!$D:$D=J57,Data!$B:$B=$A57)),"""")"),"")</f>
        <v/>
      </c>
      <c r="W57" s="64" t="str">
        <f>IFERROR(__xludf.DUMMYFUNCTION("IFERROR(Textjoin("""",TRUE,FILTER(Data!$R:$R,Data!$D:$D=K57,Data!$B:$B=$A57)),"""")"),"")</f>
        <v/>
      </c>
      <c r="X57" s="64" t="str">
        <f>IFERROR(__xludf.DUMMYFUNCTION("IFERROR(Textjoin("""",TRUE,FILTER(Data!$R:$R,Data!$D:$D=L57,Data!$B:$B=$A57)),"""")"),"")</f>
        <v/>
      </c>
      <c r="Y57" s="64" t="str">
        <f>IFERROR(__xludf.DUMMYFUNCTION("IFERROR(Textjoin("""",TRUE,FILTER(Data!$R:$R,Data!$D:$D=M57,Data!$B:$B=$A57)),"""")"),"")</f>
        <v/>
      </c>
      <c r="Z57" s="64" t="str">
        <f>IFERROR(__xludf.DUMMYFUNCTION("IFERROR(SPLIT(N57,"",""),"""")"),"")</f>
        <v/>
      </c>
      <c r="AA57" s="65"/>
      <c r="AB57" s="65"/>
      <c r="AC57" s="69" t="str">
        <f>IFERROR(__xludf.DUMMYFUNCTION("IFERROR(SPLIT(O57,"",""),"""")"),"")</f>
        <v/>
      </c>
      <c r="AD57" s="65"/>
      <c r="AE57" s="65"/>
      <c r="AF57" s="69" t="str">
        <f>IFERROR(__xludf.DUMMYFUNCTION("IFERROR(SPLIT(P57,"",""),"""")"),"")</f>
        <v/>
      </c>
      <c r="AG57" s="65"/>
      <c r="AH57" s="65"/>
      <c r="AI57" s="69" t="str">
        <f>IFERROR(__xludf.DUMMYFUNCTION("IFERROR(SPLIT(Q57,"",""),"""")"),"")</f>
        <v/>
      </c>
      <c r="AJ57" s="65"/>
      <c r="AK57" s="65"/>
      <c r="AL57" s="69" t="str">
        <f>IFERROR(__xludf.DUMMYFUNCTION("IFERROR(SPLIT(R57,"",""),"""")"),"")</f>
        <v/>
      </c>
      <c r="AM57" s="65"/>
      <c r="AN57" s="65"/>
      <c r="AO57" s="69" t="str">
        <f>IFERROR(__xludf.DUMMYFUNCTION("IFERROR(SPLIT(S57,"",""),"""")"),"")</f>
        <v/>
      </c>
      <c r="AP57" s="65"/>
      <c r="AQ57" s="65"/>
      <c r="AR57" s="69" t="str">
        <f>IFERROR(__xludf.DUMMYFUNCTION("IFERROR(SPLIT(T57,"",""),"""")"),"")</f>
        <v/>
      </c>
      <c r="AS57" s="65"/>
      <c r="AT57" s="65"/>
      <c r="AU57" s="69" t="str">
        <f>IFERROR(__xludf.DUMMYFUNCTION("IFERROR(SPLIT(U57,"",""),"""")"),"")</f>
        <v/>
      </c>
      <c r="AV57" s="65"/>
      <c r="AW57" s="65"/>
      <c r="AX57" s="69" t="str">
        <f>IFERROR(__xludf.DUMMYFUNCTION("IFERROR(SPLIT(V57,"",""),"""")"),"")</f>
        <v/>
      </c>
      <c r="AY57" s="65"/>
      <c r="AZ57" s="65"/>
      <c r="BA57" s="69" t="str">
        <f>IFERROR(__xludf.DUMMYFUNCTION("IFERROR(SPLIT(W57,"",""),"""")"),"")</f>
        <v/>
      </c>
      <c r="BB57" s="69"/>
      <c r="BC57" s="69"/>
      <c r="BD57" s="69" t="str">
        <f>IFERROR(__xludf.DUMMYFUNCTION("IFERROR(SPLIT(X57,"",""),"""")"),"")</f>
        <v/>
      </c>
      <c r="BE57" s="69"/>
      <c r="BF57" s="69"/>
      <c r="BG57" s="69" t="str">
        <f>IFERROR(__xludf.DUMMYFUNCTION("IFERROR(SPLIT(Y57,"",""),"""")"),"")</f>
        <v/>
      </c>
      <c r="BH57" s="69"/>
      <c r="BI57" s="69"/>
      <c r="BJ57" s="68" t="str">
        <f>IFERROR(__xludf.DUMMYFUNCTION("IF($B57&lt;&gt;"""",IFERROR(FILTER(RawTotals!$AJ:$AJ,RawTotals!$A:$A=Z57)-(FILTER(Data!$K:$K,Data!$B:$B=Z57,Data!$D:$D=$B57)+FILTER(Data!$L:$L,Data!$B:$B=Z57,Data!$D:$D=$B57)),""""),"""")"),"")</f>
        <v/>
      </c>
      <c r="BK57" s="68" t="str">
        <f>IFERROR(__xludf.DUMMYFUNCTION("IF($B57&lt;&gt;"""",IFERROR(FILTER(RawTotals!$AJ:$AJ,RawTotals!$A:$A=AA57)-(FILTER(Data!$K:$K,Data!$B:$B=AA57,Data!$D:$D=$B57)+FILTER(Data!$L:$L,Data!$B:$B=AA57,Data!$D:$D=$B57)),""""),"""")"),"")</f>
        <v/>
      </c>
      <c r="BL57" s="68" t="str">
        <f>IFERROR(__xludf.DUMMYFUNCTION("IF($B57&lt;&gt;"""",IFERROR(FILTER(RawTotals!$AJ:$AJ,RawTotals!$A:$A=AB57)-(FILTER(Data!$K:$K,Data!$B:$B=AB57,Data!$D:$D=$B57)+FILTER(Data!$L:$L,Data!$B:$B=AB57,Data!$D:$D=$B57)),""""),"""")"),"")</f>
        <v/>
      </c>
      <c r="BM57" s="69" t="str">
        <f>IFERROR(__xludf.DUMMYFUNCTION("IF($C57&lt;&gt;"""",IFERROR(FILTER(RawTotals!$AJ:$AJ,RawTotals!$A:$A=AC57)-(FILTER(Data!$K:$K,Data!$B:$B=AC57,Data!$D:$D=$C57)+FILTER(Data!$L:$L,Data!$B:$B=AC57,Data!$D:$D=$C57)),""""),"""")"),"")</f>
        <v/>
      </c>
      <c r="BN57" s="69" t="str">
        <f>IFERROR(__xludf.DUMMYFUNCTION("IF($C57&lt;&gt;"""",IFERROR(FILTER(RawTotals!$AJ:$AJ,RawTotals!$A:$A=AD57)-(FILTER(Data!$K:$K,Data!$B:$B=AD57,Data!$D:$D=$C57)+FILTER(Data!$L:$L,Data!$B:$B=AD57,Data!$D:$D=$C57)),""""),"""")"),"")</f>
        <v/>
      </c>
      <c r="BO57" s="69" t="str">
        <f>IFERROR(__xludf.DUMMYFUNCTION("IF($C57&lt;&gt;"""",IFERROR(FILTER(RawTotals!$AJ:$AJ,RawTotals!$A:$A=AE57)-(FILTER(Data!$K:$K,Data!$B:$B=AE57,Data!$D:$D=$C57)+FILTER(Data!$L:$L,Data!$B:$B=AE57,Data!$D:$D=$C57)),""""),"""")"),"")</f>
        <v/>
      </c>
      <c r="BP57" s="69" t="str">
        <f>IFERROR(__xludf.DUMMYFUNCTION("IF($D57&lt;&gt;"""",IFERROR(FILTER(RawTotals!$AJ:$AJ,RawTotals!$A:$A=AF57)-(FILTER(Data!$K:$K,Data!$B:$B=AF57,Data!$D:$D=$D57)+FILTER(Data!$L:$L,Data!$B:$B=AF57,Data!$D:$D=$D57)),""""),"""")"),"")</f>
        <v/>
      </c>
      <c r="BQ57" s="69" t="str">
        <f>IFERROR(__xludf.DUMMYFUNCTION("IF($D57&lt;&gt;"""",IFERROR(FILTER(RawTotals!$AJ:$AJ,RawTotals!$A:$A=AG57)-(FILTER(Data!$K:$K,Data!$B:$B=AG57,Data!$D:$D=$D57)+FILTER(Data!$L:$L,Data!$B:$B=AG57,Data!$D:$D=$D57)),""""),"""")"),"")</f>
        <v/>
      </c>
      <c r="BR57" s="69" t="str">
        <f>IFERROR(__xludf.DUMMYFUNCTION("IF($D57&lt;&gt;"""",IFERROR(FILTER(RawTotals!$AJ:$AJ,RawTotals!$A:$A=AH57)-(FILTER(Data!$K:$K,Data!$B:$B=AH57,Data!$D:$D=$D57)+FILTER(Data!$L:$L,Data!$B:$B=AH57,Data!$D:$D=$D57)),""""),"""")"),"")</f>
        <v/>
      </c>
      <c r="BS57" s="69" t="str">
        <f>IFERROR(__xludf.DUMMYFUNCTION("IF($E57&lt;&gt;"""",IFERROR(FILTER(RawTotals!$AJ:$AJ,RawTotals!$A:$A=AI57)-(FILTER(Data!$K:$K,Data!$B:$B=AI57,Data!$D:$D=$E57)+FILTER(Data!$L:$L,Data!$B:$B=AI57,Data!$D:$D=$E57)),""""),"""")"),"")</f>
        <v/>
      </c>
      <c r="BT57" s="69" t="str">
        <f>IFERROR(__xludf.DUMMYFUNCTION("IF($E57&lt;&gt;"""",IFERROR(FILTER(RawTotals!$AJ:$AJ,RawTotals!$A:$A=AJ57)-(FILTER(Data!$K:$K,Data!$B:$B=AJ57,Data!$D:$D=$E57)+FILTER(Data!$L:$L,Data!$B:$B=AJ57,Data!$D:$D=$E57)),""""),"""")"),"")</f>
        <v/>
      </c>
      <c r="BU57" s="69" t="str">
        <f>IFERROR(__xludf.DUMMYFUNCTION("IF($E57&lt;&gt;"""",IFERROR(FILTER(RawTotals!$AJ:$AJ,RawTotals!$A:$A=AK57)-(FILTER(Data!$K:$K,Data!$B:$B=AK57,Data!$D:$D=$E57)+FILTER(Data!$L:$L,Data!$B:$B=AK57,Data!$D:$D=$E57)),""""),"""")"),"")</f>
        <v/>
      </c>
      <c r="BV57" s="69" t="str">
        <f>IFERROR(__xludf.DUMMYFUNCTION("IF($F57&lt;&gt;"""",IFERROR(FILTER(RawTotals!$AJ:$AJ,RawTotals!$A:$A=AL57)-(FILTER(Data!$K:$K,Data!$B:$B=AL57,Data!$D:$D=$F57)+FILTER(Data!$L:$L,Data!$B:$B=AL57,Data!$D:$D=$F57)),""""),"""")"),"")</f>
        <v/>
      </c>
      <c r="BW57" s="69" t="str">
        <f>IFERROR(__xludf.DUMMYFUNCTION("IF($F57&lt;&gt;"""",IFERROR(FILTER(RawTotals!$AJ:$AJ,RawTotals!$A:$A=AM57)-(FILTER(Data!$K:$K,Data!$B:$B=AM57,Data!$D:$D=$F57)+FILTER(Data!$L:$L,Data!$B:$B=AM57,Data!$D:$D=$F57)),""""),"""")"),"")</f>
        <v/>
      </c>
      <c r="BX57" s="69" t="str">
        <f>IFERROR(__xludf.DUMMYFUNCTION("IF($F57&lt;&gt;"""",IFERROR(FILTER(RawTotals!$AJ:$AJ,RawTotals!$A:$A=AN57)-(FILTER(Data!$K:$K,Data!$B:$B=AN57,Data!$D:$D=$F57)+FILTER(Data!$L:$L,Data!$B:$B=AN57,Data!$D:$D=$F57)),""""),"""")"),"")</f>
        <v/>
      </c>
      <c r="BY57" s="69" t="str">
        <f>IFERROR(__xludf.DUMMYFUNCTION("IF($G57&lt;&gt;"""",IFERROR(FILTER(RawTotals!$AJ:$AJ,RawTotals!$A:$A=AO57)-(FILTER(Data!$K:$K,Data!$B:$B=AO57,Data!$D:$D=$G57)+FILTER(Data!$L:$L,Data!$B:$B=AO57,Data!$D:$D=$G57)),""""),"""")"),"")</f>
        <v/>
      </c>
      <c r="BZ57" s="69" t="str">
        <f>IFERROR(__xludf.DUMMYFUNCTION("IF($G57&lt;&gt;"""",IFERROR(FILTER(RawTotals!$AJ:$AJ,RawTotals!$A:$A=AP57)-(FILTER(Data!$K:$K,Data!$B:$B=AP57,Data!$D:$D=$G57)+FILTER(Data!$L:$L,Data!$B:$B=AP57,Data!$D:$D=$G57)),""""),"""")"),"")</f>
        <v/>
      </c>
      <c r="CA57" s="69" t="str">
        <f>IFERROR(__xludf.DUMMYFUNCTION("IF($G57&lt;&gt;"""",IFERROR(FILTER(RawTotals!$AJ:$AJ,RawTotals!$A:$A=AQ57)-(FILTER(Data!$K:$K,Data!$B:$B=AQ57,Data!$D:$D=$G57)+FILTER(Data!$L:$L,Data!$B:$B=AQ57,Data!$D:$D=$G57)),""""),"""")"),"")</f>
        <v/>
      </c>
      <c r="CB57" s="69" t="str">
        <f>IFERROR(__xludf.DUMMYFUNCTION("IF($H57&lt;&gt;"""",IFERROR(FILTER(RawTotals!$AJ:$AJ,RawTotals!$A:$A=AR57)-(FILTER(Data!$K:$K,Data!$B:$B=AR57,Data!$D:$D=$H57)+FILTER(Data!$L:$L,Data!$B:$B=AR57,Data!$D:$D=$H57)),""""),"""")"),"")</f>
        <v/>
      </c>
      <c r="CC57" s="69" t="str">
        <f>IFERROR(__xludf.DUMMYFUNCTION("IF($H57&lt;&gt;"""",IFERROR(FILTER(RawTotals!$AJ:$AJ,RawTotals!$A:$A=AS57)-(FILTER(Data!$K:$K,Data!$B:$B=AS57,Data!$D:$D=$H57)+FILTER(Data!$L:$L,Data!$B:$B=AS57,Data!$D:$D=$H57)),""""),"""")"),"")</f>
        <v/>
      </c>
      <c r="CD57" s="69" t="str">
        <f>IFERROR(__xludf.DUMMYFUNCTION("IF($H57&lt;&gt;"""",IFERROR(FILTER(RawTotals!$AJ:$AJ,RawTotals!$A:$A=AT57)-(FILTER(Data!$K:$K,Data!$B:$B=AT57,Data!$D:$D=$H57)+FILTER(Data!$L:$L,Data!$B:$B=AT57,Data!$D:$D=$H57)),""""),"""")"),"")</f>
        <v/>
      </c>
      <c r="CE57" s="69" t="str">
        <f>IFERROR(__xludf.DUMMYFUNCTION("IF($I57&lt;&gt;"""",IFERROR(FILTER(RawTotals!$AJ:$AJ,RawTotals!$A:$A=AU57)-(FILTER(Data!$K:$K,Data!$B:$B=AU57,Data!$D:$D=$I57)+FILTER(Data!$L:$L,Data!$B:$B=AU57,Data!$D:$D=$I57)),""""),"""")"),"")</f>
        <v/>
      </c>
      <c r="CF57" s="69" t="str">
        <f>IFERROR(__xludf.DUMMYFUNCTION("IF($I57&lt;&gt;"""",IFERROR(FILTER(RawTotals!$AJ:$AJ,RawTotals!$A:$A=AV57)-(FILTER(Data!$K:$K,Data!$B:$B=AV57,Data!$D:$D=$I57)+FILTER(Data!$L:$L,Data!$B:$B=AV57,Data!$D:$D=$I57)),""""),"""")"),"")</f>
        <v/>
      </c>
      <c r="CG57" s="69" t="str">
        <f>IFERROR(__xludf.DUMMYFUNCTION("IF($I57&lt;&gt;"""",IFERROR(FILTER(RawTotals!$AJ:$AJ,RawTotals!$A:$A=AW57)-(FILTER(Data!$K:$K,Data!$B:$B=AW57,Data!$D:$D=$I57)+FILTER(Data!$L:$L,Data!$B:$B=AW57,Data!$D:$D=$I57)),""""),"""")"),"")</f>
        <v/>
      </c>
      <c r="CH57" s="69" t="str">
        <f>IFERROR(__xludf.DUMMYFUNCTION("IF($J57&lt;&gt;"""",IFERROR(FILTER(RawTotals!$AJ:$AJ,RawTotals!$A:$A=AX57)-(FILTER(Data!$K:$K,Data!$B:$B=AX57,Data!$D:$D=$J57)+FILTER(Data!$L:$L,Data!$B:$B=AX57,Data!$D:$D=$J57)),""""),"""")"),"")</f>
        <v/>
      </c>
      <c r="CI57" s="69" t="str">
        <f>IFERROR(__xludf.DUMMYFUNCTION("IF($J57&lt;&gt;"""",IFERROR(FILTER(RawTotals!$AJ:$AJ,RawTotals!$A:$A=AY57)-(FILTER(Data!$K:$K,Data!$B:$B=AY57,Data!$D:$D=$J57)+FILTER(Data!$L:$L,Data!$B:$B=AY57,Data!$D:$D=$J57)),""""),"""")"),"")</f>
        <v/>
      </c>
      <c r="CJ57" s="69" t="str">
        <f>IFERROR(__xludf.DUMMYFUNCTION("IF($J57&lt;&gt;"""",IFERROR(FILTER(RawTotals!$AJ:$AJ,RawTotals!$A:$A=AZ57)-(FILTER(Data!$K:$K,Data!$B:$B=AZ57,Data!$D:$D=$J57)+FILTER(Data!$L:$L,Data!$B:$B=AZ57,Data!$D:$D=$J57)),""""),"""")"),"")</f>
        <v/>
      </c>
      <c r="CK57" s="69" t="str">
        <f>IFERROR(__xludf.DUMMYFUNCTION("IF($K57&lt;&gt;"""",IFERROR(FILTER(RawTotals!$AJ:$AJ,RawTotals!$A:$A=BA57)-(FILTER(Data!$K:$K,Data!$B:$B=BA57,Data!$D:$D=$K57)+FILTER(Data!$L:$L,Data!$B:$B=BA57,Data!$D:$D=$K57)),""""),"""")"),"")</f>
        <v/>
      </c>
      <c r="CL57" s="69" t="str">
        <f>IFERROR(__xludf.DUMMYFUNCTION("IF($K57&lt;&gt;"""",IFERROR(FILTER(RawTotals!$AJ:$AJ,RawTotals!$A:$A=BB57)-(FILTER(Data!$K:$K,Data!$B:$B=BB57,Data!$D:$D=$K57)+FILTER(Data!$L:$L,Data!$B:$B=BB57,Data!$D:$D=$K57)),""""),"""")"),"")</f>
        <v/>
      </c>
      <c r="CM57" s="69" t="str">
        <f>IFERROR(__xludf.DUMMYFUNCTION("IF($K57&lt;&gt;"""",IFERROR(FILTER(RawTotals!$AJ:$AJ,RawTotals!$A:$A=BC57)-(FILTER(Data!$K:$K,Data!$B:$B=BC57,Data!$D:$D=$K57)+FILTER(Data!$L:$L,Data!$B:$B=BC57,Data!$D:$D=$K57)),""""),"""")"),"")</f>
        <v/>
      </c>
      <c r="CN57" s="69" t="str">
        <f>IFERROR(__xludf.DUMMYFUNCTION("IF($L57&lt;&gt;"""",IFERROR((FILTER(RawTotals!$AJ:$AJ,RawTotals!$A:$A=BD57)-(FILTER(Data!$K:$K,Data!$B:$B=BD57,Data!$D:$D=$L57)+FILTER(Data!$L:$L,Data!$B:$B=BD57,Data!$D:$D=$L57))),""""),"""")"),"")</f>
        <v/>
      </c>
      <c r="CO57" s="69" t="str">
        <f>IFERROR(__xludf.DUMMYFUNCTION("IF($L57&lt;&gt;"""",IFERROR((FILTER(RawTotals!$AJ:$AJ,RawTotals!$A:$A=BE57)-(FILTER(Data!$K:$K,Data!$B:$B=BE57,Data!$D:$D=$L57)+FILTER(Data!$L:$L,Data!$B:$B=BE57,Data!$D:$D=$L57))),""""),"""")"),"")</f>
        <v/>
      </c>
      <c r="CP57" s="69" t="str">
        <f>IFERROR(__xludf.DUMMYFUNCTION("IF($L57&lt;&gt;"""",IFERROR((FILTER(RawTotals!$AJ:$AJ,RawTotals!$A:$A=BF57)-(FILTER(Data!$K:$K,Data!$B:$B=BF57,Data!$D:$D=$L57)+FILTER(Data!$L:$L,Data!$B:$B=BF57,Data!$D:$D=$L57))),""""),"""")"),"")</f>
        <v/>
      </c>
      <c r="CQ57" s="69" t="str">
        <f>IFERROR(__xludf.DUMMYFUNCTION("IF($M57&lt;&gt;"""",IFERROR((FILTER(RawTotals!$AJ:$AJ,RawTotals!$A:$A=BG57)-(FILTER(Data!$K:$K,Data!$B:$B=BG57,Data!$D:$D=$M57)+FILTER(Data!$L:$L,Data!$B:$B=BG57,Data!$D:$D=$M57))),""""),"""")"),"")</f>
        <v/>
      </c>
      <c r="CR57" s="69" t="str">
        <f>IFERROR(__xludf.DUMMYFUNCTION("IF($M57&lt;&gt;"""",IFERROR((FILTER(RawTotals!$AJ:$AJ,RawTotals!$A:$A=BH57)-(FILTER(Data!$K:$K,Data!$B:$B=BH57,Data!$D:$D=$M57)+FILTER(Data!$L:$L,Data!$B:$B=BH57,Data!$D:$D=$M57))),""""),"""")"),"")</f>
        <v/>
      </c>
      <c r="CS57" s="70" t="str">
        <f>IFERROR(__xludf.DUMMYFUNCTION("IF($M57&lt;&gt;"""",IFERROR((FILTER(RawTotals!$AJ:$AJ,RawTotals!$A:$A=BI57)-(FILTER(Data!$K:$K,Data!$B:$B=BI57,Data!$D:$D=$M57)+FILTER(Data!$L:$L,Data!$B:$B=BI57,Data!$D:$D=$M57))),""""),"""")"),"")</f>
        <v/>
      </c>
      <c r="CT57" s="69"/>
      <c r="CU57" s="69"/>
      <c r="CV57" s="69"/>
      <c r="CW57" s="69"/>
      <c r="CX57" s="69"/>
      <c r="CY57" s="69"/>
      <c r="CZ57" s="69"/>
      <c r="DA57" s="69"/>
      <c r="DB57" s="69"/>
      <c r="DC57" s="69"/>
      <c r="DD57" s="69"/>
      <c r="DE57" s="69"/>
    </row>
    <row r="58">
      <c r="A58" s="65" t="str">
        <f>RawTotals!A58</f>
        <v/>
      </c>
      <c r="B58" s="68" t="str">
        <f>IFERROR(__xludf.DUMMYFUNCTION("IF(A58&lt;&gt;"""",IFERROR(TRANSPOSE(FILTER(Data!D:D,Data!B:B=A58,Data!R:R&lt;&gt;"""")),""No Defense""),"""")"),"")</f>
        <v/>
      </c>
      <c r="C58" s="65"/>
      <c r="D58" s="65"/>
      <c r="E58" s="65"/>
      <c r="F58" s="65"/>
      <c r="G58" s="65"/>
      <c r="H58" s="65"/>
      <c r="I58" s="65"/>
      <c r="J58" s="65"/>
      <c r="K58" s="65"/>
      <c r="L58" s="65"/>
      <c r="M58" s="65"/>
      <c r="N58" s="64" t="str">
        <f>IFERROR(__xludf.DUMMYFUNCTION("IFERROR(Textjoin("""",TRUE,FILTER(Data!$R:$R,Data!$D:$D=B58,Data!$B:$B=$A58)),"""")"),"")</f>
        <v/>
      </c>
      <c r="O58" s="64" t="str">
        <f>IFERROR(__xludf.DUMMYFUNCTION("IFERROR(Textjoin("""",TRUE,FILTER(Data!$R:$R,Data!$D:$D=C58,Data!$B:$B=$A58)),"""")"),"")</f>
        <v/>
      </c>
      <c r="P58" s="64" t="str">
        <f>IFERROR(__xludf.DUMMYFUNCTION("IFERROR(Textjoin("""",TRUE,FILTER(Data!$R:$R,Data!$D:$D=D58,Data!$B:$B=$A58)),"""")"),"")</f>
        <v/>
      </c>
      <c r="Q58" s="64" t="str">
        <f>IFERROR(__xludf.DUMMYFUNCTION("IFERROR(Textjoin("""",TRUE,FILTER(Data!$R:$R,Data!$D:$D=E58,Data!$B:$B=$A58)),"""")"),"")</f>
        <v/>
      </c>
      <c r="R58" s="64" t="str">
        <f>IFERROR(__xludf.DUMMYFUNCTION("IFERROR(Textjoin("""",TRUE,FILTER(Data!$R:$R,Data!$D:$D=F58,Data!$B:$B=$A58)),"""")"),"")</f>
        <v/>
      </c>
      <c r="S58" s="64" t="str">
        <f>IFERROR(__xludf.DUMMYFUNCTION("IFERROR(Textjoin("""",TRUE,FILTER(Data!$R:$R,Data!$D:$D=G58,Data!$B:$B=$A58)),"""")"),"")</f>
        <v/>
      </c>
      <c r="T58" s="64" t="str">
        <f>IFERROR(__xludf.DUMMYFUNCTION("IFERROR(Textjoin("""",TRUE,FILTER(Data!$R:$R,Data!$D:$D=H58,Data!$B:$B=$A58)),"""")"),"")</f>
        <v/>
      </c>
      <c r="U58" s="64" t="str">
        <f>IFERROR(__xludf.DUMMYFUNCTION("IFERROR(Textjoin("""",TRUE,FILTER(Data!$R:$R,Data!$D:$D=I58,Data!$B:$B=$A58)),"""")"),"")</f>
        <v/>
      </c>
      <c r="V58" s="64" t="str">
        <f>IFERROR(__xludf.DUMMYFUNCTION("IFERROR(Textjoin("""",TRUE,FILTER(Data!$R:$R,Data!$D:$D=J58,Data!$B:$B=$A58)),"""")"),"")</f>
        <v/>
      </c>
      <c r="W58" s="64" t="str">
        <f>IFERROR(__xludf.DUMMYFUNCTION("IFERROR(Textjoin("""",TRUE,FILTER(Data!$R:$R,Data!$D:$D=K58,Data!$B:$B=$A58)),"""")"),"")</f>
        <v/>
      </c>
      <c r="X58" s="64" t="str">
        <f>IFERROR(__xludf.DUMMYFUNCTION("IFERROR(Textjoin("""",TRUE,FILTER(Data!$R:$R,Data!$D:$D=L58,Data!$B:$B=$A58)),"""")"),"")</f>
        <v/>
      </c>
      <c r="Y58" s="64" t="str">
        <f>IFERROR(__xludf.DUMMYFUNCTION("IFERROR(Textjoin("""",TRUE,FILTER(Data!$R:$R,Data!$D:$D=M58,Data!$B:$B=$A58)),"""")"),"")</f>
        <v/>
      </c>
      <c r="Z58" s="64" t="str">
        <f>IFERROR(__xludf.DUMMYFUNCTION("IFERROR(SPLIT(N58,"",""),"""")"),"")</f>
        <v/>
      </c>
      <c r="AA58" s="65"/>
      <c r="AB58" s="65"/>
      <c r="AC58" s="69" t="str">
        <f>IFERROR(__xludf.DUMMYFUNCTION("IFERROR(SPLIT(O58,"",""),"""")"),"")</f>
        <v/>
      </c>
      <c r="AD58" s="65"/>
      <c r="AE58" s="65"/>
      <c r="AF58" s="69" t="str">
        <f>IFERROR(__xludf.DUMMYFUNCTION("IFERROR(SPLIT(P58,"",""),"""")"),"")</f>
        <v/>
      </c>
      <c r="AG58" s="65"/>
      <c r="AH58" s="65"/>
      <c r="AI58" s="69" t="str">
        <f>IFERROR(__xludf.DUMMYFUNCTION("IFERROR(SPLIT(Q58,"",""),"""")"),"")</f>
        <v/>
      </c>
      <c r="AJ58" s="65"/>
      <c r="AK58" s="65"/>
      <c r="AL58" s="69" t="str">
        <f>IFERROR(__xludf.DUMMYFUNCTION("IFERROR(SPLIT(R58,"",""),"""")"),"")</f>
        <v/>
      </c>
      <c r="AM58" s="65"/>
      <c r="AN58" s="65"/>
      <c r="AO58" s="69" t="str">
        <f>IFERROR(__xludf.DUMMYFUNCTION("IFERROR(SPLIT(S58,"",""),"""")"),"")</f>
        <v/>
      </c>
      <c r="AP58" s="65"/>
      <c r="AQ58" s="65"/>
      <c r="AR58" s="69" t="str">
        <f>IFERROR(__xludf.DUMMYFUNCTION("IFERROR(SPLIT(T58,"",""),"""")"),"")</f>
        <v/>
      </c>
      <c r="AS58" s="65"/>
      <c r="AT58" s="65"/>
      <c r="AU58" s="69" t="str">
        <f>IFERROR(__xludf.DUMMYFUNCTION("IFERROR(SPLIT(U58,"",""),"""")"),"")</f>
        <v/>
      </c>
      <c r="AV58" s="65"/>
      <c r="AW58" s="65"/>
      <c r="AX58" s="69" t="str">
        <f>IFERROR(__xludf.DUMMYFUNCTION("IFERROR(SPLIT(V58,"",""),"""")"),"")</f>
        <v/>
      </c>
      <c r="AY58" s="65"/>
      <c r="AZ58" s="65"/>
      <c r="BA58" s="69" t="str">
        <f>IFERROR(__xludf.DUMMYFUNCTION("IFERROR(SPLIT(W58,"",""),"""")"),"")</f>
        <v/>
      </c>
      <c r="BB58" s="69"/>
      <c r="BC58" s="69"/>
      <c r="BD58" s="69" t="str">
        <f>IFERROR(__xludf.DUMMYFUNCTION("IFERROR(SPLIT(X58,"",""),"""")"),"")</f>
        <v/>
      </c>
      <c r="BE58" s="69"/>
      <c r="BF58" s="69"/>
      <c r="BG58" s="69" t="str">
        <f>IFERROR(__xludf.DUMMYFUNCTION("IFERROR(SPLIT(Y58,"",""),"""")"),"")</f>
        <v/>
      </c>
      <c r="BH58" s="69"/>
      <c r="BI58" s="69"/>
      <c r="BJ58" s="68" t="str">
        <f>IFERROR(__xludf.DUMMYFUNCTION("IF($B58&lt;&gt;"""",IFERROR(FILTER(RawTotals!$AJ:$AJ,RawTotals!$A:$A=Z58)-(FILTER(Data!$K:$K,Data!$B:$B=Z58,Data!$D:$D=$B58)+FILTER(Data!$L:$L,Data!$B:$B=Z58,Data!$D:$D=$B58)),""""),"""")"),"")</f>
        <v/>
      </c>
      <c r="BK58" s="68" t="str">
        <f>IFERROR(__xludf.DUMMYFUNCTION("IF($B58&lt;&gt;"""",IFERROR(FILTER(RawTotals!$AJ:$AJ,RawTotals!$A:$A=AA58)-(FILTER(Data!$K:$K,Data!$B:$B=AA58,Data!$D:$D=$B58)+FILTER(Data!$L:$L,Data!$B:$B=AA58,Data!$D:$D=$B58)),""""),"""")"),"")</f>
        <v/>
      </c>
      <c r="BL58" s="68" t="str">
        <f>IFERROR(__xludf.DUMMYFUNCTION("IF($B58&lt;&gt;"""",IFERROR(FILTER(RawTotals!$AJ:$AJ,RawTotals!$A:$A=AB58)-(FILTER(Data!$K:$K,Data!$B:$B=AB58,Data!$D:$D=$B58)+FILTER(Data!$L:$L,Data!$B:$B=AB58,Data!$D:$D=$B58)),""""),"""")"),"")</f>
        <v/>
      </c>
      <c r="BM58" s="69" t="str">
        <f>IFERROR(__xludf.DUMMYFUNCTION("IF($C58&lt;&gt;"""",IFERROR(FILTER(RawTotals!$AJ:$AJ,RawTotals!$A:$A=AC58)-(FILTER(Data!$K:$K,Data!$B:$B=AC58,Data!$D:$D=$C58)+FILTER(Data!$L:$L,Data!$B:$B=AC58,Data!$D:$D=$C58)),""""),"""")"),"")</f>
        <v/>
      </c>
      <c r="BN58" s="69" t="str">
        <f>IFERROR(__xludf.DUMMYFUNCTION("IF($C58&lt;&gt;"""",IFERROR(FILTER(RawTotals!$AJ:$AJ,RawTotals!$A:$A=AD58)-(FILTER(Data!$K:$K,Data!$B:$B=AD58,Data!$D:$D=$C58)+FILTER(Data!$L:$L,Data!$B:$B=AD58,Data!$D:$D=$C58)),""""),"""")"),"")</f>
        <v/>
      </c>
      <c r="BO58" s="69" t="str">
        <f>IFERROR(__xludf.DUMMYFUNCTION("IF($C58&lt;&gt;"""",IFERROR(FILTER(RawTotals!$AJ:$AJ,RawTotals!$A:$A=AE58)-(FILTER(Data!$K:$K,Data!$B:$B=AE58,Data!$D:$D=$C58)+FILTER(Data!$L:$L,Data!$B:$B=AE58,Data!$D:$D=$C58)),""""),"""")"),"")</f>
        <v/>
      </c>
      <c r="BP58" s="69" t="str">
        <f>IFERROR(__xludf.DUMMYFUNCTION("IF($D58&lt;&gt;"""",IFERROR(FILTER(RawTotals!$AJ:$AJ,RawTotals!$A:$A=AF58)-(FILTER(Data!$K:$K,Data!$B:$B=AF58,Data!$D:$D=$D58)+FILTER(Data!$L:$L,Data!$B:$B=AF58,Data!$D:$D=$D58)),""""),"""")"),"")</f>
        <v/>
      </c>
      <c r="BQ58" s="69" t="str">
        <f>IFERROR(__xludf.DUMMYFUNCTION("IF($D58&lt;&gt;"""",IFERROR(FILTER(RawTotals!$AJ:$AJ,RawTotals!$A:$A=AG58)-(FILTER(Data!$K:$K,Data!$B:$B=AG58,Data!$D:$D=$D58)+FILTER(Data!$L:$L,Data!$B:$B=AG58,Data!$D:$D=$D58)),""""),"""")"),"")</f>
        <v/>
      </c>
      <c r="BR58" s="69" t="str">
        <f>IFERROR(__xludf.DUMMYFUNCTION("IF($D58&lt;&gt;"""",IFERROR(FILTER(RawTotals!$AJ:$AJ,RawTotals!$A:$A=AH58)-(FILTER(Data!$K:$K,Data!$B:$B=AH58,Data!$D:$D=$D58)+FILTER(Data!$L:$L,Data!$B:$B=AH58,Data!$D:$D=$D58)),""""),"""")"),"")</f>
        <v/>
      </c>
      <c r="BS58" s="69" t="str">
        <f>IFERROR(__xludf.DUMMYFUNCTION("IF($E58&lt;&gt;"""",IFERROR(FILTER(RawTotals!$AJ:$AJ,RawTotals!$A:$A=AI58)-(FILTER(Data!$K:$K,Data!$B:$B=AI58,Data!$D:$D=$E58)+FILTER(Data!$L:$L,Data!$B:$B=AI58,Data!$D:$D=$E58)),""""),"""")"),"")</f>
        <v/>
      </c>
      <c r="BT58" s="69" t="str">
        <f>IFERROR(__xludf.DUMMYFUNCTION("IF($E58&lt;&gt;"""",IFERROR(FILTER(RawTotals!$AJ:$AJ,RawTotals!$A:$A=AJ58)-(FILTER(Data!$K:$K,Data!$B:$B=AJ58,Data!$D:$D=$E58)+FILTER(Data!$L:$L,Data!$B:$B=AJ58,Data!$D:$D=$E58)),""""),"""")"),"")</f>
        <v/>
      </c>
      <c r="BU58" s="69" t="str">
        <f>IFERROR(__xludf.DUMMYFUNCTION("IF($E58&lt;&gt;"""",IFERROR(FILTER(RawTotals!$AJ:$AJ,RawTotals!$A:$A=AK58)-(FILTER(Data!$K:$K,Data!$B:$B=AK58,Data!$D:$D=$E58)+FILTER(Data!$L:$L,Data!$B:$B=AK58,Data!$D:$D=$E58)),""""),"""")"),"")</f>
        <v/>
      </c>
      <c r="BV58" s="69" t="str">
        <f>IFERROR(__xludf.DUMMYFUNCTION("IF($F58&lt;&gt;"""",IFERROR(FILTER(RawTotals!$AJ:$AJ,RawTotals!$A:$A=AL58)-(FILTER(Data!$K:$K,Data!$B:$B=AL58,Data!$D:$D=$F58)+FILTER(Data!$L:$L,Data!$B:$B=AL58,Data!$D:$D=$F58)),""""),"""")"),"")</f>
        <v/>
      </c>
      <c r="BW58" s="69" t="str">
        <f>IFERROR(__xludf.DUMMYFUNCTION("IF($F58&lt;&gt;"""",IFERROR(FILTER(RawTotals!$AJ:$AJ,RawTotals!$A:$A=AM58)-(FILTER(Data!$K:$K,Data!$B:$B=AM58,Data!$D:$D=$F58)+FILTER(Data!$L:$L,Data!$B:$B=AM58,Data!$D:$D=$F58)),""""),"""")"),"")</f>
        <v/>
      </c>
      <c r="BX58" s="69" t="str">
        <f>IFERROR(__xludf.DUMMYFUNCTION("IF($F58&lt;&gt;"""",IFERROR(FILTER(RawTotals!$AJ:$AJ,RawTotals!$A:$A=AN58)-(FILTER(Data!$K:$K,Data!$B:$B=AN58,Data!$D:$D=$F58)+FILTER(Data!$L:$L,Data!$B:$B=AN58,Data!$D:$D=$F58)),""""),"""")"),"")</f>
        <v/>
      </c>
      <c r="BY58" s="69" t="str">
        <f>IFERROR(__xludf.DUMMYFUNCTION("IF($G58&lt;&gt;"""",IFERROR(FILTER(RawTotals!$AJ:$AJ,RawTotals!$A:$A=AO58)-(FILTER(Data!$K:$K,Data!$B:$B=AO58,Data!$D:$D=$G58)+FILTER(Data!$L:$L,Data!$B:$B=AO58,Data!$D:$D=$G58)),""""),"""")"),"")</f>
        <v/>
      </c>
      <c r="BZ58" s="69" t="str">
        <f>IFERROR(__xludf.DUMMYFUNCTION("IF($G58&lt;&gt;"""",IFERROR(FILTER(RawTotals!$AJ:$AJ,RawTotals!$A:$A=AP58)-(FILTER(Data!$K:$K,Data!$B:$B=AP58,Data!$D:$D=$G58)+FILTER(Data!$L:$L,Data!$B:$B=AP58,Data!$D:$D=$G58)),""""),"""")"),"")</f>
        <v/>
      </c>
      <c r="CA58" s="69" t="str">
        <f>IFERROR(__xludf.DUMMYFUNCTION("IF($G58&lt;&gt;"""",IFERROR(FILTER(RawTotals!$AJ:$AJ,RawTotals!$A:$A=AQ58)-(FILTER(Data!$K:$K,Data!$B:$B=AQ58,Data!$D:$D=$G58)+FILTER(Data!$L:$L,Data!$B:$B=AQ58,Data!$D:$D=$G58)),""""),"""")"),"")</f>
        <v/>
      </c>
      <c r="CB58" s="69" t="str">
        <f>IFERROR(__xludf.DUMMYFUNCTION("IF($H58&lt;&gt;"""",IFERROR(FILTER(RawTotals!$AJ:$AJ,RawTotals!$A:$A=AR58)-(FILTER(Data!$K:$K,Data!$B:$B=AR58,Data!$D:$D=$H58)+FILTER(Data!$L:$L,Data!$B:$B=AR58,Data!$D:$D=$H58)),""""),"""")"),"")</f>
        <v/>
      </c>
      <c r="CC58" s="69" t="str">
        <f>IFERROR(__xludf.DUMMYFUNCTION("IF($H58&lt;&gt;"""",IFERROR(FILTER(RawTotals!$AJ:$AJ,RawTotals!$A:$A=AS58)-(FILTER(Data!$K:$K,Data!$B:$B=AS58,Data!$D:$D=$H58)+FILTER(Data!$L:$L,Data!$B:$B=AS58,Data!$D:$D=$H58)),""""),"""")"),"")</f>
        <v/>
      </c>
      <c r="CD58" s="69" t="str">
        <f>IFERROR(__xludf.DUMMYFUNCTION("IF($H58&lt;&gt;"""",IFERROR(FILTER(RawTotals!$AJ:$AJ,RawTotals!$A:$A=AT58)-(FILTER(Data!$K:$K,Data!$B:$B=AT58,Data!$D:$D=$H58)+FILTER(Data!$L:$L,Data!$B:$B=AT58,Data!$D:$D=$H58)),""""),"""")"),"")</f>
        <v/>
      </c>
      <c r="CE58" s="69" t="str">
        <f>IFERROR(__xludf.DUMMYFUNCTION("IF($I58&lt;&gt;"""",IFERROR(FILTER(RawTotals!$AJ:$AJ,RawTotals!$A:$A=AU58)-(FILTER(Data!$K:$K,Data!$B:$B=AU58,Data!$D:$D=$I58)+FILTER(Data!$L:$L,Data!$B:$B=AU58,Data!$D:$D=$I58)),""""),"""")"),"")</f>
        <v/>
      </c>
      <c r="CF58" s="69" t="str">
        <f>IFERROR(__xludf.DUMMYFUNCTION("IF($I58&lt;&gt;"""",IFERROR(FILTER(RawTotals!$AJ:$AJ,RawTotals!$A:$A=AV58)-(FILTER(Data!$K:$K,Data!$B:$B=AV58,Data!$D:$D=$I58)+FILTER(Data!$L:$L,Data!$B:$B=AV58,Data!$D:$D=$I58)),""""),"""")"),"")</f>
        <v/>
      </c>
      <c r="CG58" s="69" t="str">
        <f>IFERROR(__xludf.DUMMYFUNCTION("IF($I58&lt;&gt;"""",IFERROR(FILTER(RawTotals!$AJ:$AJ,RawTotals!$A:$A=AW58)-(FILTER(Data!$K:$K,Data!$B:$B=AW58,Data!$D:$D=$I58)+FILTER(Data!$L:$L,Data!$B:$B=AW58,Data!$D:$D=$I58)),""""),"""")"),"")</f>
        <v/>
      </c>
      <c r="CH58" s="69" t="str">
        <f>IFERROR(__xludf.DUMMYFUNCTION("IF($J58&lt;&gt;"""",IFERROR(FILTER(RawTotals!$AJ:$AJ,RawTotals!$A:$A=AX58)-(FILTER(Data!$K:$K,Data!$B:$B=AX58,Data!$D:$D=$J58)+FILTER(Data!$L:$L,Data!$B:$B=AX58,Data!$D:$D=$J58)),""""),"""")"),"")</f>
        <v/>
      </c>
      <c r="CI58" s="69" t="str">
        <f>IFERROR(__xludf.DUMMYFUNCTION("IF($J58&lt;&gt;"""",IFERROR(FILTER(RawTotals!$AJ:$AJ,RawTotals!$A:$A=AY58)-(FILTER(Data!$K:$K,Data!$B:$B=AY58,Data!$D:$D=$J58)+FILTER(Data!$L:$L,Data!$B:$B=AY58,Data!$D:$D=$J58)),""""),"""")"),"")</f>
        <v/>
      </c>
      <c r="CJ58" s="69" t="str">
        <f>IFERROR(__xludf.DUMMYFUNCTION("IF($J58&lt;&gt;"""",IFERROR(FILTER(RawTotals!$AJ:$AJ,RawTotals!$A:$A=AZ58)-(FILTER(Data!$K:$K,Data!$B:$B=AZ58,Data!$D:$D=$J58)+FILTER(Data!$L:$L,Data!$B:$B=AZ58,Data!$D:$D=$J58)),""""),"""")"),"")</f>
        <v/>
      </c>
      <c r="CK58" s="69" t="str">
        <f>IFERROR(__xludf.DUMMYFUNCTION("IF($K58&lt;&gt;"""",IFERROR(FILTER(RawTotals!$AJ:$AJ,RawTotals!$A:$A=BA58)-(FILTER(Data!$K:$K,Data!$B:$B=BA58,Data!$D:$D=$K58)+FILTER(Data!$L:$L,Data!$B:$B=BA58,Data!$D:$D=$K58)),""""),"""")"),"")</f>
        <v/>
      </c>
      <c r="CL58" s="69" t="str">
        <f>IFERROR(__xludf.DUMMYFUNCTION("IF($K58&lt;&gt;"""",IFERROR(FILTER(RawTotals!$AJ:$AJ,RawTotals!$A:$A=BB58)-(FILTER(Data!$K:$K,Data!$B:$B=BB58,Data!$D:$D=$K58)+FILTER(Data!$L:$L,Data!$B:$B=BB58,Data!$D:$D=$K58)),""""),"""")"),"")</f>
        <v/>
      </c>
      <c r="CM58" s="69" t="str">
        <f>IFERROR(__xludf.DUMMYFUNCTION("IF($K58&lt;&gt;"""",IFERROR(FILTER(RawTotals!$AJ:$AJ,RawTotals!$A:$A=BC58)-(FILTER(Data!$K:$K,Data!$B:$B=BC58,Data!$D:$D=$K58)+FILTER(Data!$L:$L,Data!$B:$B=BC58,Data!$D:$D=$K58)),""""),"""")"),"")</f>
        <v/>
      </c>
      <c r="CN58" s="69" t="str">
        <f>IFERROR(__xludf.DUMMYFUNCTION("IF($L58&lt;&gt;"""",IFERROR((FILTER(RawTotals!$AJ:$AJ,RawTotals!$A:$A=BD58)-(FILTER(Data!$K:$K,Data!$B:$B=BD58,Data!$D:$D=$L58)+FILTER(Data!$L:$L,Data!$B:$B=BD58,Data!$D:$D=$L58))),""""),"""")"),"")</f>
        <v/>
      </c>
      <c r="CO58" s="69" t="str">
        <f>IFERROR(__xludf.DUMMYFUNCTION("IF($L58&lt;&gt;"""",IFERROR((FILTER(RawTotals!$AJ:$AJ,RawTotals!$A:$A=BE58)-(FILTER(Data!$K:$K,Data!$B:$B=BE58,Data!$D:$D=$L58)+FILTER(Data!$L:$L,Data!$B:$B=BE58,Data!$D:$D=$L58))),""""),"""")"),"")</f>
        <v/>
      </c>
      <c r="CP58" s="69" t="str">
        <f>IFERROR(__xludf.DUMMYFUNCTION("IF($L58&lt;&gt;"""",IFERROR((FILTER(RawTotals!$AJ:$AJ,RawTotals!$A:$A=BF58)-(FILTER(Data!$K:$K,Data!$B:$B=BF58,Data!$D:$D=$L58)+FILTER(Data!$L:$L,Data!$B:$B=BF58,Data!$D:$D=$L58))),""""),"""")"),"")</f>
        <v/>
      </c>
      <c r="CQ58" s="69" t="str">
        <f>IFERROR(__xludf.DUMMYFUNCTION("IF($M58&lt;&gt;"""",IFERROR((FILTER(RawTotals!$AJ:$AJ,RawTotals!$A:$A=BG58)-(FILTER(Data!$K:$K,Data!$B:$B=BG58,Data!$D:$D=$M58)+FILTER(Data!$L:$L,Data!$B:$B=BG58,Data!$D:$D=$M58))),""""),"""")"),"")</f>
        <v/>
      </c>
      <c r="CR58" s="69" t="str">
        <f>IFERROR(__xludf.DUMMYFUNCTION("IF($M58&lt;&gt;"""",IFERROR((FILTER(RawTotals!$AJ:$AJ,RawTotals!$A:$A=BH58)-(FILTER(Data!$K:$K,Data!$B:$B=BH58,Data!$D:$D=$M58)+FILTER(Data!$L:$L,Data!$B:$B=BH58,Data!$D:$D=$M58))),""""),"""")"),"")</f>
        <v/>
      </c>
      <c r="CS58" s="70" t="str">
        <f>IFERROR(__xludf.DUMMYFUNCTION("IF($M58&lt;&gt;"""",IFERROR((FILTER(RawTotals!$AJ:$AJ,RawTotals!$A:$A=BI58)-(FILTER(Data!$K:$K,Data!$B:$B=BI58,Data!$D:$D=$M58)+FILTER(Data!$L:$L,Data!$B:$B=BI58,Data!$D:$D=$M58))),""""),"""")"),"")</f>
        <v/>
      </c>
      <c r="CT58" s="69"/>
      <c r="CU58" s="69"/>
      <c r="CV58" s="69"/>
      <c r="CW58" s="69"/>
      <c r="CX58" s="69"/>
      <c r="CY58" s="69"/>
      <c r="CZ58" s="69"/>
      <c r="DA58" s="69"/>
      <c r="DB58" s="69"/>
      <c r="DC58" s="69"/>
      <c r="DD58" s="69"/>
      <c r="DE58" s="69"/>
    </row>
    <row r="59">
      <c r="A59" s="65" t="str">
        <f>RawTotals!A59</f>
        <v/>
      </c>
      <c r="B59" s="68" t="str">
        <f>IFERROR(__xludf.DUMMYFUNCTION("IF(A59&lt;&gt;"""",IFERROR(TRANSPOSE(FILTER(Data!D:D,Data!B:B=A59,Data!R:R&lt;&gt;"""")),""No Defense""),"""")"),"")</f>
        <v/>
      </c>
      <c r="C59" s="65"/>
      <c r="D59" s="65"/>
      <c r="E59" s="65"/>
      <c r="F59" s="65"/>
      <c r="G59" s="65"/>
      <c r="H59" s="65"/>
      <c r="I59" s="65"/>
      <c r="J59" s="65"/>
      <c r="K59" s="65"/>
      <c r="L59" s="65"/>
      <c r="M59" s="65"/>
      <c r="N59" s="64" t="str">
        <f>IFERROR(__xludf.DUMMYFUNCTION("IFERROR(Textjoin("""",TRUE,FILTER(Data!$R:$R,Data!$D:$D=B59,Data!$B:$B=$A59)),"""")"),"")</f>
        <v/>
      </c>
      <c r="O59" s="64" t="str">
        <f>IFERROR(__xludf.DUMMYFUNCTION("IFERROR(Textjoin("""",TRUE,FILTER(Data!$R:$R,Data!$D:$D=C59,Data!$B:$B=$A59)),"""")"),"")</f>
        <v/>
      </c>
      <c r="P59" s="64" t="str">
        <f>IFERROR(__xludf.DUMMYFUNCTION("IFERROR(Textjoin("""",TRUE,FILTER(Data!$R:$R,Data!$D:$D=D59,Data!$B:$B=$A59)),"""")"),"")</f>
        <v/>
      </c>
      <c r="Q59" s="64" t="str">
        <f>IFERROR(__xludf.DUMMYFUNCTION("IFERROR(Textjoin("""",TRUE,FILTER(Data!$R:$R,Data!$D:$D=E59,Data!$B:$B=$A59)),"""")"),"")</f>
        <v/>
      </c>
      <c r="R59" s="64" t="str">
        <f>IFERROR(__xludf.DUMMYFUNCTION("IFERROR(Textjoin("""",TRUE,FILTER(Data!$R:$R,Data!$D:$D=F59,Data!$B:$B=$A59)),"""")"),"")</f>
        <v/>
      </c>
      <c r="S59" s="64" t="str">
        <f>IFERROR(__xludf.DUMMYFUNCTION("IFERROR(Textjoin("""",TRUE,FILTER(Data!$R:$R,Data!$D:$D=G59,Data!$B:$B=$A59)),"""")"),"")</f>
        <v/>
      </c>
      <c r="T59" s="64" t="str">
        <f>IFERROR(__xludf.DUMMYFUNCTION("IFERROR(Textjoin("""",TRUE,FILTER(Data!$R:$R,Data!$D:$D=H59,Data!$B:$B=$A59)),"""")"),"")</f>
        <v/>
      </c>
      <c r="U59" s="64" t="str">
        <f>IFERROR(__xludf.DUMMYFUNCTION("IFERROR(Textjoin("""",TRUE,FILTER(Data!$R:$R,Data!$D:$D=I59,Data!$B:$B=$A59)),"""")"),"")</f>
        <v/>
      </c>
      <c r="V59" s="64" t="str">
        <f>IFERROR(__xludf.DUMMYFUNCTION("IFERROR(Textjoin("""",TRUE,FILTER(Data!$R:$R,Data!$D:$D=J59,Data!$B:$B=$A59)),"""")"),"")</f>
        <v/>
      </c>
      <c r="W59" s="64" t="str">
        <f>IFERROR(__xludf.DUMMYFUNCTION("IFERROR(Textjoin("""",TRUE,FILTER(Data!$R:$R,Data!$D:$D=K59,Data!$B:$B=$A59)),"""")"),"")</f>
        <v/>
      </c>
      <c r="X59" s="64" t="str">
        <f>IFERROR(__xludf.DUMMYFUNCTION("IFERROR(Textjoin("""",TRUE,FILTER(Data!$R:$R,Data!$D:$D=L59,Data!$B:$B=$A59)),"""")"),"")</f>
        <v/>
      </c>
      <c r="Y59" s="64" t="str">
        <f>IFERROR(__xludf.DUMMYFUNCTION("IFERROR(Textjoin("""",TRUE,FILTER(Data!$R:$R,Data!$D:$D=M59,Data!$B:$B=$A59)),"""")"),"")</f>
        <v/>
      </c>
      <c r="Z59" s="64" t="str">
        <f>IFERROR(__xludf.DUMMYFUNCTION("IFERROR(SPLIT(N59,"",""),"""")"),"")</f>
        <v/>
      </c>
      <c r="AA59" s="65"/>
      <c r="AB59" s="65"/>
      <c r="AC59" s="69" t="str">
        <f>IFERROR(__xludf.DUMMYFUNCTION("IFERROR(SPLIT(O59,"",""),"""")"),"")</f>
        <v/>
      </c>
      <c r="AD59" s="65"/>
      <c r="AE59" s="65"/>
      <c r="AF59" s="69" t="str">
        <f>IFERROR(__xludf.DUMMYFUNCTION("IFERROR(SPLIT(P59,"",""),"""")"),"")</f>
        <v/>
      </c>
      <c r="AG59" s="65"/>
      <c r="AH59" s="65"/>
      <c r="AI59" s="69" t="str">
        <f>IFERROR(__xludf.DUMMYFUNCTION("IFERROR(SPLIT(Q59,"",""),"""")"),"")</f>
        <v/>
      </c>
      <c r="AJ59" s="65"/>
      <c r="AK59" s="65"/>
      <c r="AL59" s="69" t="str">
        <f>IFERROR(__xludf.DUMMYFUNCTION("IFERROR(SPLIT(R59,"",""),"""")"),"")</f>
        <v/>
      </c>
      <c r="AM59" s="65"/>
      <c r="AN59" s="65"/>
      <c r="AO59" s="69" t="str">
        <f>IFERROR(__xludf.DUMMYFUNCTION("IFERROR(SPLIT(S59,"",""),"""")"),"")</f>
        <v/>
      </c>
      <c r="AP59" s="65"/>
      <c r="AQ59" s="65"/>
      <c r="AR59" s="69" t="str">
        <f>IFERROR(__xludf.DUMMYFUNCTION("IFERROR(SPLIT(T59,"",""),"""")"),"")</f>
        <v/>
      </c>
      <c r="AS59" s="65"/>
      <c r="AT59" s="65"/>
      <c r="AU59" s="69" t="str">
        <f>IFERROR(__xludf.DUMMYFUNCTION("IFERROR(SPLIT(U59,"",""),"""")"),"")</f>
        <v/>
      </c>
      <c r="AV59" s="65"/>
      <c r="AW59" s="65"/>
      <c r="AX59" s="69" t="str">
        <f>IFERROR(__xludf.DUMMYFUNCTION("IFERROR(SPLIT(V59,"",""),"""")"),"")</f>
        <v/>
      </c>
      <c r="AY59" s="65"/>
      <c r="AZ59" s="65"/>
      <c r="BA59" s="69" t="str">
        <f>IFERROR(__xludf.DUMMYFUNCTION("IFERROR(SPLIT(W59,"",""),"""")"),"")</f>
        <v/>
      </c>
      <c r="BB59" s="69"/>
      <c r="BC59" s="69"/>
      <c r="BD59" s="69" t="str">
        <f>IFERROR(__xludf.DUMMYFUNCTION("IFERROR(SPLIT(X59,"",""),"""")"),"")</f>
        <v/>
      </c>
      <c r="BE59" s="69"/>
      <c r="BF59" s="69"/>
      <c r="BG59" s="69" t="str">
        <f>IFERROR(__xludf.DUMMYFUNCTION("IFERROR(SPLIT(Y59,"",""),"""")"),"")</f>
        <v/>
      </c>
      <c r="BH59" s="69"/>
      <c r="BI59" s="69"/>
      <c r="BJ59" s="68" t="str">
        <f>IFERROR(__xludf.DUMMYFUNCTION("IF($B59&lt;&gt;"""",IFERROR(FILTER(RawTotals!$AJ:$AJ,RawTotals!$A:$A=Z59)-(FILTER(Data!$K:$K,Data!$B:$B=Z59,Data!$D:$D=$B59)+FILTER(Data!$L:$L,Data!$B:$B=Z59,Data!$D:$D=$B59)),""""),"""")"),"")</f>
        <v/>
      </c>
      <c r="BK59" s="68" t="str">
        <f>IFERROR(__xludf.DUMMYFUNCTION("IF($B59&lt;&gt;"""",IFERROR(FILTER(RawTotals!$AJ:$AJ,RawTotals!$A:$A=AA59)-(FILTER(Data!$K:$K,Data!$B:$B=AA59,Data!$D:$D=$B59)+FILTER(Data!$L:$L,Data!$B:$B=AA59,Data!$D:$D=$B59)),""""),"""")"),"")</f>
        <v/>
      </c>
      <c r="BL59" s="68" t="str">
        <f>IFERROR(__xludf.DUMMYFUNCTION("IF($B59&lt;&gt;"""",IFERROR(FILTER(RawTotals!$AJ:$AJ,RawTotals!$A:$A=AB59)-(FILTER(Data!$K:$K,Data!$B:$B=AB59,Data!$D:$D=$B59)+FILTER(Data!$L:$L,Data!$B:$B=AB59,Data!$D:$D=$B59)),""""),"""")"),"")</f>
        <v/>
      </c>
      <c r="BM59" s="69" t="str">
        <f>IFERROR(__xludf.DUMMYFUNCTION("IF($C59&lt;&gt;"""",IFERROR(FILTER(RawTotals!$AJ:$AJ,RawTotals!$A:$A=AC59)-(FILTER(Data!$K:$K,Data!$B:$B=AC59,Data!$D:$D=$C59)+FILTER(Data!$L:$L,Data!$B:$B=AC59,Data!$D:$D=$C59)),""""),"""")"),"")</f>
        <v/>
      </c>
      <c r="BN59" s="69" t="str">
        <f>IFERROR(__xludf.DUMMYFUNCTION("IF($C59&lt;&gt;"""",IFERROR(FILTER(RawTotals!$AJ:$AJ,RawTotals!$A:$A=AD59)-(FILTER(Data!$K:$K,Data!$B:$B=AD59,Data!$D:$D=$C59)+FILTER(Data!$L:$L,Data!$B:$B=AD59,Data!$D:$D=$C59)),""""),"""")"),"")</f>
        <v/>
      </c>
      <c r="BO59" s="69" t="str">
        <f>IFERROR(__xludf.DUMMYFUNCTION("IF($C59&lt;&gt;"""",IFERROR(FILTER(RawTotals!$AJ:$AJ,RawTotals!$A:$A=AE59)-(FILTER(Data!$K:$K,Data!$B:$B=AE59,Data!$D:$D=$C59)+FILTER(Data!$L:$L,Data!$B:$B=AE59,Data!$D:$D=$C59)),""""),"""")"),"")</f>
        <v/>
      </c>
      <c r="BP59" s="69" t="str">
        <f>IFERROR(__xludf.DUMMYFUNCTION("IF($D59&lt;&gt;"""",IFERROR(FILTER(RawTotals!$AJ:$AJ,RawTotals!$A:$A=AF59)-(FILTER(Data!$K:$K,Data!$B:$B=AF59,Data!$D:$D=$D59)+FILTER(Data!$L:$L,Data!$B:$B=AF59,Data!$D:$D=$D59)),""""),"""")"),"")</f>
        <v/>
      </c>
      <c r="BQ59" s="69" t="str">
        <f>IFERROR(__xludf.DUMMYFUNCTION("IF($D59&lt;&gt;"""",IFERROR(FILTER(RawTotals!$AJ:$AJ,RawTotals!$A:$A=AG59)-(FILTER(Data!$K:$K,Data!$B:$B=AG59,Data!$D:$D=$D59)+FILTER(Data!$L:$L,Data!$B:$B=AG59,Data!$D:$D=$D59)),""""),"""")"),"")</f>
        <v/>
      </c>
      <c r="BR59" s="69" t="str">
        <f>IFERROR(__xludf.DUMMYFUNCTION("IF($D59&lt;&gt;"""",IFERROR(FILTER(RawTotals!$AJ:$AJ,RawTotals!$A:$A=AH59)-(FILTER(Data!$K:$K,Data!$B:$B=AH59,Data!$D:$D=$D59)+FILTER(Data!$L:$L,Data!$B:$B=AH59,Data!$D:$D=$D59)),""""),"""")"),"")</f>
        <v/>
      </c>
      <c r="BS59" s="69" t="str">
        <f>IFERROR(__xludf.DUMMYFUNCTION("IF($E59&lt;&gt;"""",IFERROR(FILTER(RawTotals!$AJ:$AJ,RawTotals!$A:$A=AI59)-(FILTER(Data!$K:$K,Data!$B:$B=AI59,Data!$D:$D=$E59)+FILTER(Data!$L:$L,Data!$B:$B=AI59,Data!$D:$D=$E59)),""""),"""")"),"")</f>
        <v/>
      </c>
      <c r="BT59" s="69" t="str">
        <f>IFERROR(__xludf.DUMMYFUNCTION("IF($E59&lt;&gt;"""",IFERROR(FILTER(RawTotals!$AJ:$AJ,RawTotals!$A:$A=AJ59)-(FILTER(Data!$K:$K,Data!$B:$B=AJ59,Data!$D:$D=$E59)+FILTER(Data!$L:$L,Data!$B:$B=AJ59,Data!$D:$D=$E59)),""""),"""")"),"")</f>
        <v/>
      </c>
      <c r="BU59" s="69" t="str">
        <f>IFERROR(__xludf.DUMMYFUNCTION("IF($E59&lt;&gt;"""",IFERROR(FILTER(RawTotals!$AJ:$AJ,RawTotals!$A:$A=AK59)-(FILTER(Data!$K:$K,Data!$B:$B=AK59,Data!$D:$D=$E59)+FILTER(Data!$L:$L,Data!$B:$B=AK59,Data!$D:$D=$E59)),""""),"""")"),"")</f>
        <v/>
      </c>
      <c r="BV59" s="69" t="str">
        <f>IFERROR(__xludf.DUMMYFUNCTION("IF($F59&lt;&gt;"""",IFERROR(FILTER(RawTotals!$AJ:$AJ,RawTotals!$A:$A=AL59)-(FILTER(Data!$K:$K,Data!$B:$B=AL59,Data!$D:$D=$F59)+FILTER(Data!$L:$L,Data!$B:$B=AL59,Data!$D:$D=$F59)),""""),"""")"),"")</f>
        <v/>
      </c>
      <c r="BW59" s="69" t="str">
        <f>IFERROR(__xludf.DUMMYFUNCTION("IF($F59&lt;&gt;"""",IFERROR(FILTER(RawTotals!$AJ:$AJ,RawTotals!$A:$A=AM59)-(FILTER(Data!$K:$K,Data!$B:$B=AM59,Data!$D:$D=$F59)+FILTER(Data!$L:$L,Data!$B:$B=AM59,Data!$D:$D=$F59)),""""),"""")"),"")</f>
        <v/>
      </c>
      <c r="BX59" s="69" t="str">
        <f>IFERROR(__xludf.DUMMYFUNCTION("IF($F59&lt;&gt;"""",IFERROR(FILTER(RawTotals!$AJ:$AJ,RawTotals!$A:$A=AN59)-(FILTER(Data!$K:$K,Data!$B:$B=AN59,Data!$D:$D=$F59)+FILTER(Data!$L:$L,Data!$B:$B=AN59,Data!$D:$D=$F59)),""""),"""")"),"")</f>
        <v/>
      </c>
      <c r="BY59" s="69" t="str">
        <f>IFERROR(__xludf.DUMMYFUNCTION("IF($G59&lt;&gt;"""",IFERROR(FILTER(RawTotals!$AJ:$AJ,RawTotals!$A:$A=AO59)-(FILTER(Data!$K:$K,Data!$B:$B=AO59,Data!$D:$D=$G59)+FILTER(Data!$L:$L,Data!$B:$B=AO59,Data!$D:$D=$G59)),""""),"""")"),"")</f>
        <v/>
      </c>
      <c r="BZ59" s="69" t="str">
        <f>IFERROR(__xludf.DUMMYFUNCTION("IF($G59&lt;&gt;"""",IFERROR(FILTER(RawTotals!$AJ:$AJ,RawTotals!$A:$A=AP59)-(FILTER(Data!$K:$K,Data!$B:$B=AP59,Data!$D:$D=$G59)+FILTER(Data!$L:$L,Data!$B:$B=AP59,Data!$D:$D=$G59)),""""),"""")"),"")</f>
        <v/>
      </c>
      <c r="CA59" s="69" t="str">
        <f>IFERROR(__xludf.DUMMYFUNCTION("IF($G59&lt;&gt;"""",IFERROR(FILTER(RawTotals!$AJ:$AJ,RawTotals!$A:$A=AQ59)-(FILTER(Data!$K:$K,Data!$B:$B=AQ59,Data!$D:$D=$G59)+FILTER(Data!$L:$L,Data!$B:$B=AQ59,Data!$D:$D=$G59)),""""),"""")"),"")</f>
        <v/>
      </c>
      <c r="CB59" s="69" t="str">
        <f>IFERROR(__xludf.DUMMYFUNCTION("IF($H59&lt;&gt;"""",IFERROR(FILTER(RawTotals!$AJ:$AJ,RawTotals!$A:$A=AR59)-(FILTER(Data!$K:$K,Data!$B:$B=AR59,Data!$D:$D=$H59)+FILTER(Data!$L:$L,Data!$B:$B=AR59,Data!$D:$D=$H59)),""""),"""")"),"")</f>
        <v/>
      </c>
      <c r="CC59" s="69" t="str">
        <f>IFERROR(__xludf.DUMMYFUNCTION("IF($H59&lt;&gt;"""",IFERROR(FILTER(RawTotals!$AJ:$AJ,RawTotals!$A:$A=AS59)-(FILTER(Data!$K:$K,Data!$B:$B=AS59,Data!$D:$D=$H59)+FILTER(Data!$L:$L,Data!$B:$B=AS59,Data!$D:$D=$H59)),""""),"""")"),"")</f>
        <v/>
      </c>
      <c r="CD59" s="69" t="str">
        <f>IFERROR(__xludf.DUMMYFUNCTION("IF($H59&lt;&gt;"""",IFERROR(FILTER(RawTotals!$AJ:$AJ,RawTotals!$A:$A=AT59)-(FILTER(Data!$K:$K,Data!$B:$B=AT59,Data!$D:$D=$H59)+FILTER(Data!$L:$L,Data!$B:$B=AT59,Data!$D:$D=$H59)),""""),"""")"),"")</f>
        <v/>
      </c>
      <c r="CE59" s="69" t="str">
        <f>IFERROR(__xludf.DUMMYFUNCTION("IF($I59&lt;&gt;"""",IFERROR(FILTER(RawTotals!$AJ:$AJ,RawTotals!$A:$A=AU59)-(FILTER(Data!$K:$K,Data!$B:$B=AU59,Data!$D:$D=$I59)+FILTER(Data!$L:$L,Data!$B:$B=AU59,Data!$D:$D=$I59)),""""),"""")"),"")</f>
        <v/>
      </c>
      <c r="CF59" s="69" t="str">
        <f>IFERROR(__xludf.DUMMYFUNCTION("IF($I59&lt;&gt;"""",IFERROR(FILTER(RawTotals!$AJ:$AJ,RawTotals!$A:$A=AV59)-(FILTER(Data!$K:$K,Data!$B:$B=AV59,Data!$D:$D=$I59)+FILTER(Data!$L:$L,Data!$B:$B=AV59,Data!$D:$D=$I59)),""""),"""")"),"")</f>
        <v/>
      </c>
      <c r="CG59" s="69" t="str">
        <f>IFERROR(__xludf.DUMMYFUNCTION("IF($I59&lt;&gt;"""",IFERROR(FILTER(RawTotals!$AJ:$AJ,RawTotals!$A:$A=AW59)-(FILTER(Data!$K:$K,Data!$B:$B=AW59,Data!$D:$D=$I59)+FILTER(Data!$L:$L,Data!$B:$B=AW59,Data!$D:$D=$I59)),""""),"""")"),"")</f>
        <v/>
      </c>
      <c r="CH59" s="69" t="str">
        <f>IFERROR(__xludf.DUMMYFUNCTION("IF($J59&lt;&gt;"""",IFERROR(FILTER(RawTotals!$AJ:$AJ,RawTotals!$A:$A=AX59)-(FILTER(Data!$K:$K,Data!$B:$B=AX59,Data!$D:$D=$J59)+FILTER(Data!$L:$L,Data!$B:$B=AX59,Data!$D:$D=$J59)),""""),"""")"),"")</f>
        <v/>
      </c>
      <c r="CI59" s="69" t="str">
        <f>IFERROR(__xludf.DUMMYFUNCTION("IF($J59&lt;&gt;"""",IFERROR(FILTER(RawTotals!$AJ:$AJ,RawTotals!$A:$A=AY59)-(FILTER(Data!$K:$K,Data!$B:$B=AY59,Data!$D:$D=$J59)+FILTER(Data!$L:$L,Data!$B:$B=AY59,Data!$D:$D=$J59)),""""),"""")"),"")</f>
        <v/>
      </c>
      <c r="CJ59" s="69" t="str">
        <f>IFERROR(__xludf.DUMMYFUNCTION("IF($J59&lt;&gt;"""",IFERROR(FILTER(RawTotals!$AJ:$AJ,RawTotals!$A:$A=AZ59)-(FILTER(Data!$K:$K,Data!$B:$B=AZ59,Data!$D:$D=$J59)+FILTER(Data!$L:$L,Data!$B:$B=AZ59,Data!$D:$D=$J59)),""""),"""")"),"")</f>
        <v/>
      </c>
      <c r="CK59" s="69" t="str">
        <f>IFERROR(__xludf.DUMMYFUNCTION("IF($K59&lt;&gt;"""",IFERROR(FILTER(RawTotals!$AJ:$AJ,RawTotals!$A:$A=BA59)-(FILTER(Data!$K:$K,Data!$B:$B=BA59,Data!$D:$D=$K59)+FILTER(Data!$L:$L,Data!$B:$B=BA59,Data!$D:$D=$K59)),""""),"""")"),"")</f>
        <v/>
      </c>
      <c r="CL59" s="69" t="str">
        <f>IFERROR(__xludf.DUMMYFUNCTION("IF($K59&lt;&gt;"""",IFERROR(FILTER(RawTotals!$AJ:$AJ,RawTotals!$A:$A=BB59)-(FILTER(Data!$K:$K,Data!$B:$B=BB59,Data!$D:$D=$K59)+FILTER(Data!$L:$L,Data!$B:$B=BB59,Data!$D:$D=$K59)),""""),"""")"),"")</f>
        <v/>
      </c>
      <c r="CM59" s="69" t="str">
        <f>IFERROR(__xludf.DUMMYFUNCTION("IF($K59&lt;&gt;"""",IFERROR(FILTER(RawTotals!$AJ:$AJ,RawTotals!$A:$A=BC59)-(FILTER(Data!$K:$K,Data!$B:$B=BC59,Data!$D:$D=$K59)+FILTER(Data!$L:$L,Data!$B:$B=BC59,Data!$D:$D=$K59)),""""),"""")"),"")</f>
        <v/>
      </c>
      <c r="CN59" s="69" t="str">
        <f>IFERROR(__xludf.DUMMYFUNCTION("IF($L59&lt;&gt;"""",IFERROR((FILTER(RawTotals!$AJ:$AJ,RawTotals!$A:$A=BD59)-(FILTER(Data!$K:$K,Data!$B:$B=BD59,Data!$D:$D=$L59)+FILTER(Data!$L:$L,Data!$B:$B=BD59,Data!$D:$D=$L59))),""""),"""")"),"")</f>
        <v/>
      </c>
      <c r="CO59" s="69" t="str">
        <f>IFERROR(__xludf.DUMMYFUNCTION("IF($L59&lt;&gt;"""",IFERROR((FILTER(RawTotals!$AJ:$AJ,RawTotals!$A:$A=BE59)-(FILTER(Data!$K:$K,Data!$B:$B=BE59,Data!$D:$D=$L59)+FILTER(Data!$L:$L,Data!$B:$B=BE59,Data!$D:$D=$L59))),""""),"""")"),"")</f>
        <v/>
      </c>
      <c r="CP59" s="69" t="str">
        <f>IFERROR(__xludf.DUMMYFUNCTION("IF($L59&lt;&gt;"""",IFERROR((FILTER(RawTotals!$AJ:$AJ,RawTotals!$A:$A=BF59)-(FILTER(Data!$K:$K,Data!$B:$B=BF59,Data!$D:$D=$L59)+FILTER(Data!$L:$L,Data!$B:$B=BF59,Data!$D:$D=$L59))),""""),"""")"),"")</f>
        <v/>
      </c>
      <c r="CQ59" s="69" t="str">
        <f>IFERROR(__xludf.DUMMYFUNCTION("IF($M59&lt;&gt;"""",IFERROR((FILTER(RawTotals!$AJ:$AJ,RawTotals!$A:$A=BG59)-(FILTER(Data!$K:$K,Data!$B:$B=BG59,Data!$D:$D=$M59)+FILTER(Data!$L:$L,Data!$B:$B=BG59,Data!$D:$D=$M59))),""""),"""")"),"")</f>
        <v/>
      </c>
      <c r="CR59" s="69" t="str">
        <f>IFERROR(__xludf.DUMMYFUNCTION("IF($M59&lt;&gt;"""",IFERROR((FILTER(RawTotals!$AJ:$AJ,RawTotals!$A:$A=BH59)-(FILTER(Data!$K:$K,Data!$B:$B=BH59,Data!$D:$D=$M59)+FILTER(Data!$L:$L,Data!$B:$B=BH59,Data!$D:$D=$M59))),""""),"""")"),"")</f>
        <v/>
      </c>
      <c r="CS59" s="70" t="str">
        <f>IFERROR(__xludf.DUMMYFUNCTION("IF($M59&lt;&gt;"""",IFERROR((FILTER(RawTotals!$AJ:$AJ,RawTotals!$A:$A=BI59)-(FILTER(Data!$K:$K,Data!$B:$B=BI59,Data!$D:$D=$M59)+FILTER(Data!$L:$L,Data!$B:$B=BI59,Data!$D:$D=$M59))),""""),"""")"),"")</f>
        <v/>
      </c>
      <c r="CT59" s="69"/>
      <c r="CU59" s="69"/>
      <c r="CV59" s="69"/>
      <c r="CW59" s="69"/>
      <c r="CX59" s="69"/>
      <c r="CY59" s="69"/>
      <c r="CZ59" s="69"/>
      <c r="DA59" s="69"/>
      <c r="DB59" s="69"/>
      <c r="DC59" s="69"/>
      <c r="DD59" s="69"/>
      <c r="DE59" s="69"/>
    </row>
    <row r="60">
      <c r="A60" s="65" t="str">
        <f>RawTotals!A60</f>
        <v/>
      </c>
      <c r="B60" s="68" t="str">
        <f>IFERROR(__xludf.DUMMYFUNCTION("IF(A60&lt;&gt;"""",IFERROR(TRANSPOSE(FILTER(Data!D:D,Data!B:B=A60,Data!R:R&lt;&gt;"""")),""No Defense""),"""")"),"")</f>
        <v/>
      </c>
      <c r="C60" s="65"/>
      <c r="D60" s="65"/>
      <c r="E60" s="65"/>
      <c r="F60" s="65"/>
      <c r="G60" s="65"/>
      <c r="H60" s="65"/>
      <c r="I60" s="65"/>
      <c r="J60" s="65"/>
      <c r="K60" s="65"/>
      <c r="L60" s="65"/>
      <c r="M60" s="65"/>
      <c r="N60" s="64" t="str">
        <f>IFERROR(__xludf.DUMMYFUNCTION("IFERROR(Textjoin("""",TRUE,FILTER(Data!$R:$R,Data!$D:$D=B60,Data!$B:$B=$A60)),"""")"),"")</f>
        <v/>
      </c>
      <c r="O60" s="64" t="str">
        <f>IFERROR(__xludf.DUMMYFUNCTION("IFERROR(Textjoin("""",TRUE,FILTER(Data!$R:$R,Data!$D:$D=C60,Data!$B:$B=$A60)),"""")"),"")</f>
        <v/>
      </c>
      <c r="P60" s="64" t="str">
        <f>IFERROR(__xludf.DUMMYFUNCTION("IFERROR(Textjoin("""",TRUE,FILTER(Data!$R:$R,Data!$D:$D=D60,Data!$B:$B=$A60)),"""")"),"")</f>
        <v/>
      </c>
      <c r="Q60" s="64" t="str">
        <f>IFERROR(__xludf.DUMMYFUNCTION("IFERROR(Textjoin("""",TRUE,FILTER(Data!$R:$R,Data!$D:$D=E60,Data!$B:$B=$A60)),"""")"),"")</f>
        <v/>
      </c>
      <c r="R60" s="64" t="str">
        <f>IFERROR(__xludf.DUMMYFUNCTION("IFERROR(Textjoin("""",TRUE,FILTER(Data!$R:$R,Data!$D:$D=F60,Data!$B:$B=$A60)),"""")"),"")</f>
        <v/>
      </c>
      <c r="S60" s="64" t="str">
        <f>IFERROR(__xludf.DUMMYFUNCTION("IFERROR(Textjoin("""",TRUE,FILTER(Data!$R:$R,Data!$D:$D=G60,Data!$B:$B=$A60)),"""")"),"")</f>
        <v/>
      </c>
      <c r="T60" s="64" t="str">
        <f>IFERROR(__xludf.DUMMYFUNCTION("IFERROR(Textjoin("""",TRUE,FILTER(Data!$R:$R,Data!$D:$D=H60,Data!$B:$B=$A60)),"""")"),"")</f>
        <v/>
      </c>
      <c r="U60" s="64" t="str">
        <f>IFERROR(__xludf.DUMMYFUNCTION("IFERROR(Textjoin("""",TRUE,FILTER(Data!$R:$R,Data!$D:$D=I60,Data!$B:$B=$A60)),"""")"),"")</f>
        <v/>
      </c>
      <c r="V60" s="64" t="str">
        <f>IFERROR(__xludf.DUMMYFUNCTION("IFERROR(Textjoin("""",TRUE,FILTER(Data!$R:$R,Data!$D:$D=J60,Data!$B:$B=$A60)),"""")"),"")</f>
        <v/>
      </c>
      <c r="W60" s="64" t="str">
        <f>IFERROR(__xludf.DUMMYFUNCTION("IFERROR(Textjoin("""",TRUE,FILTER(Data!$R:$R,Data!$D:$D=K60,Data!$B:$B=$A60)),"""")"),"")</f>
        <v/>
      </c>
      <c r="X60" s="64" t="str">
        <f>IFERROR(__xludf.DUMMYFUNCTION("IFERROR(Textjoin("""",TRUE,FILTER(Data!$R:$R,Data!$D:$D=L60,Data!$B:$B=$A60)),"""")"),"")</f>
        <v/>
      </c>
      <c r="Y60" s="64" t="str">
        <f>IFERROR(__xludf.DUMMYFUNCTION("IFERROR(Textjoin("""",TRUE,FILTER(Data!$R:$R,Data!$D:$D=M60,Data!$B:$B=$A60)),"""")"),"")</f>
        <v/>
      </c>
      <c r="Z60" s="64" t="str">
        <f>IFERROR(__xludf.DUMMYFUNCTION("IFERROR(SPLIT(N60,"",""),"""")"),"")</f>
        <v/>
      </c>
      <c r="AA60" s="65"/>
      <c r="AB60" s="65"/>
      <c r="AC60" s="69" t="str">
        <f>IFERROR(__xludf.DUMMYFUNCTION("IFERROR(SPLIT(O60,"",""),"""")"),"")</f>
        <v/>
      </c>
      <c r="AD60" s="65"/>
      <c r="AE60" s="65"/>
      <c r="AF60" s="69" t="str">
        <f>IFERROR(__xludf.DUMMYFUNCTION("IFERROR(SPLIT(P60,"",""),"""")"),"")</f>
        <v/>
      </c>
      <c r="AG60" s="65"/>
      <c r="AH60" s="65"/>
      <c r="AI60" s="69" t="str">
        <f>IFERROR(__xludf.DUMMYFUNCTION("IFERROR(SPLIT(Q60,"",""),"""")"),"")</f>
        <v/>
      </c>
      <c r="AJ60" s="65"/>
      <c r="AK60" s="65"/>
      <c r="AL60" s="69" t="str">
        <f>IFERROR(__xludf.DUMMYFUNCTION("IFERROR(SPLIT(R60,"",""),"""")"),"")</f>
        <v/>
      </c>
      <c r="AM60" s="65"/>
      <c r="AN60" s="65"/>
      <c r="AO60" s="69" t="str">
        <f>IFERROR(__xludf.DUMMYFUNCTION("IFERROR(SPLIT(S60,"",""),"""")"),"")</f>
        <v/>
      </c>
      <c r="AP60" s="65"/>
      <c r="AQ60" s="65"/>
      <c r="AR60" s="69" t="str">
        <f>IFERROR(__xludf.DUMMYFUNCTION("IFERROR(SPLIT(T60,"",""),"""")"),"")</f>
        <v/>
      </c>
      <c r="AS60" s="65"/>
      <c r="AT60" s="65"/>
      <c r="AU60" s="69" t="str">
        <f>IFERROR(__xludf.DUMMYFUNCTION("IFERROR(SPLIT(U60,"",""),"""")"),"")</f>
        <v/>
      </c>
      <c r="AV60" s="65"/>
      <c r="AW60" s="65"/>
      <c r="AX60" s="69" t="str">
        <f>IFERROR(__xludf.DUMMYFUNCTION("IFERROR(SPLIT(V60,"",""),"""")"),"")</f>
        <v/>
      </c>
      <c r="AY60" s="65"/>
      <c r="AZ60" s="65"/>
      <c r="BA60" s="69" t="str">
        <f>IFERROR(__xludf.DUMMYFUNCTION("IFERROR(SPLIT(W60,"",""),"""")"),"")</f>
        <v/>
      </c>
      <c r="BB60" s="69"/>
      <c r="BC60" s="69"/>
      <c r="BD60" s="69" t="str">
        <f>IFERROR(__xludf.DUMMYFUNCTION("IFERROR(SPLIT(X60,"",""),"""")"),"")</f>
        <v/>
      </c>
      <c r="BE60" s="69"/>
      <c r="BF60" s="69"/>
      <c r="BG60" s="69" t="str">
        <f>IFERROR(__xludf.DUMMYFUNCTION("IFERROR(SPLIT(Y60,"",""),"""")"),"")</f>
        <v/>
      </c>
      <c r="BH60" s="69"/>
      <c r="BI60" s="69"/>
      <c r="BJ60" s="68" t="str">
        <f>IFERROR(__xludf.DUMMYFUNCTION("IF($B60&lt;&gt;"""",IFERROR(FILTER(RawTotals!$AJ:$AJ,RawTotals!$A:$A=Z60)-(FILTER(Data!$K:$K,Data!$B:$B=Z60,Data!$D:$D=$B60)+FILTER(Data!$L:$L,Data!$B:$B=Z60,Data!$D:$D=$B60)),""""),"""")"),"")</f>
        <v/>
      </c>
      <c r="BK60" s="68" t="str">
        <f>IFERROR(__xludf.DUMMYFUNCTION("IF($B60&lt;&gt;"""",IFERROR(FILTER(RawTotals!$AJ:$AJ,RawTotals!$A:$A=AA60)-(FILTER(Data!$K:$K,Data!$B:$B=AA60,Data!$D:$D=$B60)+FILTER(Data!$L:$L,Data!$B:$B=AA60,Data!$D:$D=$B60)),""""),"""")"),"")</f>
        <v/>
      </c>
      <c r="BL60" s="68" t="str">
        <f>IFERROR(__xludf.DUMMYFUNCTION("IF($B60&lt;&gt;"""",IFERROR(FILTER(RawTotals!$AJ:$AJ,RawTotals!$A:$A=AB60)-(FILTER(Data!$K:$K,Data!$B:$B=AB60,Data!$D:$D=$B60)+FILTER(Data!$L:$L,Data!$B:$B=AB60,Data!$D:$D=$B60)),""""),"""")"),"")</f>
        <v/>
      </c>
      <c r="BM60" s="69" t="str">
        <f>IFERROR(__xludf.DUMMYFUNCTION("IF($C60&lt;&gt;"""",IFERROR(FILTER(RawTotals!$AJ:$AJ,RawTotals!$A:$A=AC60)-(FILTER(Data!$K:$K,Data!$B:$B=AC60,Data!$D:$D=$C60)+FILTER(Data!$L:$L,Data!$B:$B=AC60,Data!$D:$D=$C60)),""""),"""")"),"")</f>
        <v/>
      </c>
      <c r="BN60" s="69" t="str">
        <f>IFERROR(__xludf.DUMMYFUNCTION("IF($C60&lt;&gt;"""",IFERROR(FILTER(RawTotals!$AJ:$AJ,RawTotals!$A:$A=AD60)-(FILTER(Data!$K:$K,Data!$B:$B=AD60,Data!$D:$D=$C60)+FILTER(Data!$L:$L,Data!$B:$B=AD60,Data!$D:$D=$C60)),""""),"""")"),"")</f>
        <v/>
      </c>
      <c r="BO60" s="69" t="str">
        <f>IFERROR(__xludf.DUMMYFUNCTION("IF($C60&lt;&gt;"""",IFERROR(FILTER(RawTotals!$AJ:$AJ,RawTotals!$A:$A=AE60)-(FILTER(Data!$K:$K,Data!$B:$B=AE60,Data!$D:$D=$C60)+FILTER(Data!$L:$L,Data!$B:$B=AE60,Data!$D:$D=$C60)),""""),"""")"),"")</f>
        <v/>
      </c>
      <c r="BP60" s="69" t="str">
        <f>IFERROR(__xludf.DUMMYFUNCTION("IF($D60&lt;&gt;"""",IFERROR(FILTER(RawTotals!$AJ:$AJ,RawTotals!$A:$A=AF60)-(FILTER(Data!$K:$K,Data!$B:$B=AF60,Data!$D:$D=$D60)+FILTER(Data!$L:$L,Data!$B:$B=AF60,Data!$D:$D=$D60)),""""),"""")"),"")</f>
        <v/>
      </c>
      <c r="BQ60" s="69" t="str">
        <f>IFERROR(__xludf.DUMMYFUNCTION("IF($D60&lt;&gt;"""",IFERROR(FILTER(RawTotals!$AJ:$AJ,RawTotals!$A:$A=AG60)-(FILTER(Data!$K:$K,Data!$B:$B=AG60,Data!$D:$D=$D60)+FILTER(Data!$L:$L,Data!$B:$B=AG60,Data!$D:$D=$D60)),""""),"""")"),"")</f>
        <v/>
      </c>
      <c r="BR60" s="69" t="str">
        <f>IFERROR(__xludf.DUMMYFUNCTION("IF($D60&lt;&gt;"""",IFERROR(FILTER(RawTotals!$AJ:$AJ,RawTotals!$A:$A=AH60)-(FILTER(Data!$K:$K,Data!$B:$B=AH60,Data!$D:$D=$D60)+FILTER(Data!$L:$L,Data!$B:$B=AH60,Data!$D:$D=$D60)),""""),"""")"),"")</f>
        <v/>
      </c>
      <c r="BS60" s="69" t="str">
        <f>IFERROR(__xludf.DUMMYFUNCTION("IF($E60&lt;&gt;"""",IFERROR(FILTER(RawTotals!$AJ:$AJ,RawTotals!$A:$A=AI60)-(FILTER(Data!$K:$K,Data!$B:$B=AI60,Data!$D:$D=$E60)+FILTER(Data!$L:$L,Data!$B:$B=AI60,Data!$D:$D=$E60)),""""),"""")"),"")</f>
        <v/>
      </c>
      <c r="BT60" s="69" t="str">
        <f>IFERROR(__xludf.DUMMYFUNCTION("IF($E60&lt;&gt;"""",IFERROR(FILTER(RawTotals!$AJ:$AJ,RawTotals!$A:$A=AJ60)-(FILTER(Data!$K:$K,Data!$B:$B=AJ60,Data!$D:$D=$E60)+FILTER(Data!$L:$L,Data!$B:$B=AJ60,Data!$D:$D=$E60)),""""),"""")"),"")</f>
        <v/>
      </c>
      <c r="BU60" s="69" t="str">
        <f>IFERROR(__xludf.DUMMYFUNCTION("IF($E60&lt;&gt;"""",IFERROR(FILTER(RawTotals!$AJ:$AJ,RawTotals!$A:$A=AK60)-(FILTER(Data!$K:$K,Data!$B:$B=AK60,Data!$D:$D=$E60)+FILTER(Data!$L:$L,Data!$B:$B=AK60,Data!$D:$D=$E60)),""""),"""")"),"")</f>
        <v/>
      </c>
      <c r="BV60" s="69" t="str">
        <f>IFERROR(__xludf.DUMMYFUNCTION("IF($F60&lt;&gt;"""",IFERROR(FILTER(RawTotals!$AJ:$AJ,RawTotals!$A:$A=AL60)-(FILTER(Data!$K:$K,Data!$B:$B=AL60,Data!$D:$D=$F60)+FILTER(Data!$L:$L,Data!$B:$B=AL60,Data!$D:$D=$F60)),""""),"""")"),"")</f>
        <v/>
      </c>
      <c r="BW60" s="69" t="str">
        <f>IFERROR(__xludf.DUMMYFUNCTION("IF($F60&lt;&gt;"""",IFERROR(FILTER(RawTotals!$AJ:$AJ,RawTotals!$A:$A=AM60)-(FILTER(Data!$K:$K,Data!$B:$B=AM60,Data!$D:$D=$F60)+FILTER(Data!$L:$L,Data!$B:$B=AM60,Data!$D:$D=$F60)),""""),"""")"),"")</f>
        <v/>
      </c>
      <c r="BX60" s="69" t="str">
        <f>IFERROR(__xludf.DUMMYFUNCTION("IF($F60&lt;&gt;"""",IFERROR(FILTER(RawTotals!$AJ:$AJ,RawTotals!$A:$A=AN60)-(FILTER(Data!$K:$K,Data!$B:$B=AN60,Data!$D:$D=$F60)+FILTER(Data!$L:$L,Data!$B:$B=AN60,Data!$D:$D=$F60)),""""),"""")"),"")</f>
        <v/>
      </c>
      <c r="BY60" s="69" t="str">
        <f>IFERROR(__xludf.DUMMYFUNCTION("IF($G60&lt;&gt;"""",IFERROR(FILTER(RawTotals!$AJ:$AJ,RawTotals!$A:$A=AO60)-(FILTER(Data!$K:$K,Data!$B:$B=AO60,Data!$D:$D=$G60)+FILTER(Data!$L:$L,Data!$B:$B=AO60,Data!$D:$D=$G60)),""""),"""")"),"")</f>
        <v/>
      </c>
      <c r="BZ60" s="69" t="str">
        <f>IFERROR(__xludf.DUMMYFUNCTION("IF($G60&lt;&gt;"""",IFERROR(FILTER(RawTotals!$AJ:$AJ,RawTotals!$A:$A=AP60)-(FILTER(Data!$K:$K,Data!$B:$B=AP60,Data!$D:$D=$G60)+FILTER(Data!$L:$L,Data!$B:$B=AP60,Data!$D:$D=$G60)),""""),"""")"),"")</f>
        <v/>
      </c>
      <c r="CA60" s="69" t="str">
        <f>IFERROR(__xludf.DUMMYFUNCTION("IF($G60&lt;&gt;"""",IFERROR(FILTER(RawTotals!$AJ:$AJ,RawTotals!$A:$A=AQ60)-(FILTER(Data!$K:$K,Data!$B:$B=AQ60,Data!$D:$D=$G60)+FILTER(Data!$L:$L,Data!$B:$B=AQ60,Data!$D:$D=$G60)),""""),"""")"),"")</f>
        <v/>
      </c>
      <c r="CB60" s="69" t="str">
        <f>IFERROR(__xludf.DUMMYFUNCTION("IF($H60&lt;&gt;"""",IFERROR(FILTER(RawTotals!$AJ:$AJ,RawTotals!$A:$A=AR60)-(FILTER(Data!$K:$K,Data!$B:$B=AR60,Data!$D:$D=$H60)+FILTER(Data!$L:$L,Data!$B:$B=AR60,Data!$D:$D=$H60)),""""),"""")"),"")</f>
        <v/>
      </c>
      <c r="CC60" s="69" t="str">
        <f>IFERROR(__xludf.DUMMYFUNCTION("IF($H60&lt;&gt;"""",IFERROR(FILTER(RawTotals!$AJ:$AJ,RawTotals!$A:$A=AS60)-(FILTER(Data!$K:$K,Data!$B:$B=AS60,Data!$D:$D=$H60)+FILTER(Data!$L:$L,Data!$B:$B=AS60,Data!$D:$D=$H60)),""""),"""")"),"")</f>
        <v/>
      </c>
      <c r="CD60" s="69" t="str">
        <f>IFERROR(__xludf.DUMMYFUNCTION("IF($H60&lt;&gt;"""",IFERROR(FILTER(RawTotals!$AJ:$AJ,RawTotals!$A:$A=AT60)-(FILTER(Data!$K:$K,Data!$B:$B=AT60,Data!$D:$D=$H60)+FILTER(Data!$L:$L,Data!$B:$B=AT60,Data!$D:$D=$H60)),""""),"""")"),"")</f>
        <v/>
      </c>
      <c r="CE60" s="69" t="str">
        <f>IFERROR(__xludf.DUMMYFUNCTION("IF($I60&lt;&gt;"""",IFERROR(FILTER(RawTotals!$AJ:$AJ,RawTotals!$A:$A=AU60)-(FILTER(Data!$K:$K,Data!$B:$B=AU60,Data!$D:$D=$I60)+FILTER(Data!$L:$L,Data!$B:$B=AU60,Data!$D:$D=$I60)),""""),"""")"),"")</f>
        <v/>
      </c>
      <c r="CF60" s="69" t="str">
        <f>IFERROR(__xludf.DUMMYFUNCTION("IF($I60&lt;&gt;"""",IFERROR(FILTER(RawTotals!$AJ:$AJ,RawTotals!$A:$A=AV60)-(FILTER(Data!$K:$K,Data!$B:$B=AV60,Data!$D:$D=$I60)+FILTER(Data!$L:$L,Data!$B:$B=AV60,Data!$D:$D=$I60)),""""),"""")"),"")</f>
        <v/>
      </c>
      <c r="CG60" s="69" t="str">
        <f>IFERROR(__xludf.DUMMYFUNCTION("IF($I60&lt;&gt;"""",IFERROR(FILTER(RawTotals!$AJ:$AJ,RawTotals!$A:$A=AW60)-(FILTER(Data!$K:$K,Data!$B:$B=AW60,Data!$D:$D=$I60)+FILTER(Data!$L:$L,Data!$B:$B=AW60,Data!$D:$D=$I60)),""""),"""")"),"")</f>
        <v/>
      </c>
      <c r="CH60" s="69" t="str">
        <f>IFERROR(__xludf.DUMMYFUNCTION("IF($J60&lt;&gt;"""",IFERROR(FILTER(RawTotals!$AJ:$AJ,RawTotals!$A:$A=AX60)-(FILTER(Data!$K:$K,Data!$B:$B=AX60,Data!$D:$D=$J60)+FILTER(Data!$L:$L,Data!$B:$B=AX60,Data!$D:$D=$J60)),""""),"""")"),"")</f>
        <v/>
      </c>
      <c r="CI60" s="69" t="str">
        <f>IFERROR(__xludf.DUMMYFUNCTION("IF($J60&lt;&gt;"""",IFERROR(FILTER(RawTotals!$AJ:$AJ,RawTotals!$A:$A=AY60)-(FILTER(Data!$K:$K,Data!$B:$B=AY60,Data!$D:$D=$J60)+FILTER(Data!$L:$L,Data!$B:$B=AY60,Data!$D:$D=$J60)),""""),"""")"),"")</f>
        <v/>
      </c>
      <c r="CJ60" s="69" t="str">
        <f>IFERROR(__xludf.DUMMYFUNCTION("IF($J60&lt;&gt;"""",IFERROR(FILTER(RawTotals!$AJ:$AJ,RawTotals!$A:$A=AZ60)-(FILTER(Data!$K:$K,Data!$B:$B=AZ60,Data!$D:$D=$J60)+FILTER(Data!$L:$L,Data!$B:$B=AZ60,Data!$D:$D=$J60)),""""),"""")"),"")</f>
        <v/>
      </c>
      <c r="CK60" s="69" t="str">
        <f>IFERROR(__xludf.DUMMYFUNCTION("IF($K60&lt;&gt;"""",IFERROR(FILTER(RawTotals!$AJ:$AJ,RawTotals!$A:$A=BA60)-(FILTER(Data!$K:$K,Data!$B:$B=BA60,Data!$D:$D=$K60)+FILTER(Data!$L:$L,Data!$B:$B=BA60,Data!$D:$D=$K60)),""""),"""")"),"")</f>
        <v/>
      </c>
      <c r="CL60" s="69" t="str">
        <f>IFERROR(__xludf.DUMMYFUNCTION("IF($K60&lt;&gt;"""",IFERROR(FILTER(RawTotals!$AJ:$AJ,RawTotals!$A:$A=BB60)-(FILTER(Data!$K:$K,Data!$B:$B=BB60,Data!$D:$D=$K60)+FILTER(Data!$L:$L,Data!$B:$B=BB60,Data!$D:$D=$K60)),""""),"""")"),"")</f>
        <v/>
      </c>
      <c r="CM60" s="69" t="str">
        <f>IFERROR(__xludf.DUMMYFUNCTION("IF($K60&lt;&gt;"""",IFERROR(FILTER(RawTotals!$AJ:$AJ,RawTotals!$A:$A=BC60)-(FILTER(Data!$K:$K,Data!$B:$B=BC60,Data!$D:$D=$K60)+FILTER(Data!$L:$L,Data!$B:$B=BC60,Data!$D:$D=$K60)),""""),"""")"),"")</f>
        <v/>
      </c>
      <c r="CN60" s="69" t="str">
        <f>IFERROR(__xludf.DUMMYFUNCTION("IF($L60&lt;&gt;"""",IFERROR((FILTER(RawTotals!$AJ:$AJ,RawTotals!$A:$A=BD60)-(FILTER(Data!$K:$K,Data!$B:$B=BD60,Data!$D:$D=$L60)+FILTER(Data!$L:$L,Data!$B:$B=BD60,Data!$D:$D=$L60))),""""),"""")"),"")</f>
        <v/>
      </c>
      <c r="CO60" s="69" t="str">
        <f>IFERROR(__xludf.DUMMYFUNCTION("IF($L60&lt;&gt;"""",IFERROR((FILTER(RawTotals!$AJ:$AJ,RawTotals!$A:$A=BE60)-(FILTER(Data!$K:$K,Data!$B:$B=BE60,Data!$D:$D=$L60)+FILTER(Data!$L:$L,Data!$B:$B=BE60,Data!$D:$D=$L60))),""""),"""")"),"")</f>
        <v/>
      </c>
      <c r="CP60" s="69" t="str">
        <f>IFERROR(__xludf.DUMMYFUNCTION("IF($L60&lt;&gt;"""",IFERROR((FILTER(RawTotals!$AJ:$AJ,RawTotals!$A:$A=BF60)-(FILTER(Data!$K:$K,Data!$B:$B=BF60,Data!$D:$D=$L60)+FILTER(Data!$L:$L,Data!$B:$B=BF60,Data!$D:$D=$L60))),""""),"""")"),"")</f>
        <v/>
      </c>
      <c r="CQ60" s="69" t="str">
        <f>IFERROR(__xludf.DUMMYFUNCTION("IF($M60&lt;&gt;"""",IFERROR((FILTER(RawTotals!$AJ:$AJ,RawTotals!$A:$A=BG60)-(FILTER(Data!$K:$K,Data!$B:$B=BG60,Data!$D:$D=$M60)+FILTER(Data!$L:$L,Data!$B:$B=BG60,Data!$D:$D=$M60))),""""),"""")"),"")</f>
        <v/>
      </c>
      <c r="CR60" s="69" t="str">
        <f>IFERROR(__xludf.DUMMYFUNCTION("IF($M60&lt;&gt;"""",IFERROR((FILTER(RawTotals!$AJ:$AJ,RawTotals!$A:$A=BH60)-(FILTER(Data!$K:$K,Data!$B:$B=BH60,Data!$D:$D=$M60)+FILTER(Data!$L:$L,Data!$B:$B=BH60,Data!$D:$D=$M60))),""""),"""")"),"")</f>
        <v/>
      </c>
      <c r="CS60" s="70" t="str">
        <f>IFERROR(__xludf.DUMMYFUNCTION("IF($M60&lt;&gt;"""",IFERROR((FILTER(RawTotals!$AJ:$AJ,RawTotals!$A:$A=BI60)-(FILTER(Data!$K:$K,Data!$B:$B=BI60,Data!$D:$D=$M60)+FILTER(Data!$L:$L,Data!$B:$B=BI60,Data!$D:$D=$M60))),""""),"""")"),"")</f>
        <v/>
      </c>
      <c r="CT60" s="69"/>
      <c r="CU60" s="69"/>
      <c r="CV60" s="69"/>
      <c r="CW60" s="69"/>
      <c r="CX60" s="69"/>
      <c r="CY60" s="69"/>
      <c r="CZ60" s="69"/>
      <c r="DA60" s="69"/>
      <c r="DB60" s="69"/>
      <c r="DC60" s="69"/>
      <c r="DD60" s="69"/>
      <c r="DE60" s="69"/>
    </row>
    <row r="61">
      <c r="A61" s="65" t="str">
        <f>RawTotals!A61</f>
        <v/>
      </c>
      <c r="B61" s="68" t="str">
        <f>IFERROR(__xludf.DUMMYFUNCTION("IF(A61&lt;&gt;"""",IFERROR(TRANSPOSE(FILTER(Data!D:D,Data!B:B=A61,Data!R:R&lt;&gt;"""")),""No Defense""),"""")"),"")</f>
        <v/>
      </c>
      <c r="C61" s="65"/>
      <c r="D61" s="65"/>
      <c r="E61" s="65"/>
      <c r="F61" s="65"/>
      <c r="G61" s="65"/>
      <c r="H61" s="65"/>
      <c r="I61" s="65"/>
      <c r="J61" s="65"/>
      <c r="K61" s="65"/>
      <c r="L61" s="65"/>
      <c r="M61" s="65"/>
      <c r="N61" s="64" t="str">
        <f>IFERROR(__xludf.DUMMYFUNCTION("IFERROR(Textjoin("""",TRUE,FILTER(Data!$R:$R,Data!$D:$D=B61,Data!$B:$B=$A61)),"""")"),"")</f>
        <v/>
      </c>
      <c r="O61" s="64" t="str">
        <f>IFERROR(__xludf.DUMMYFUNCTION("IFERROR(Textjoin("""",TRUE,FILTER(Data!$R:$R,Data!$D:$D=C61,Data!$B:$B=$A61)),"""")"),"")</f>
        <v/>
      </c>
      <c r="P61" s="64" t="str">
        <f>IFERROR(__xludf.DUMMYFUNCTION("IFERROR(Textjoin("""",TRUE,FILTER(Data!$R:$R,Data!$D:$D=D61,Data!$B:$B=$A61)),"""")"),"")</f>
        <v/>
      </c>
      <c r="Q61" s="64" t="str">
        <f>IFERROR(__xludf.DUMMYFUNCTION("IFERROR(Textjoin("""",TRUE,FILTER(Data!$R:$R,Data!$D:$D=E61,Data!$B:$B=$A61)),"""")"),"")</f>
        <v/>
      </c>
      <c r="R61" s="64" t="str">
        <f>IFERROR(__xludf.DUMMYFUNCTION("IFERROR(Textjoin("""",TRUE,FILTER(Data!$R:$R,Data!$D:$D=F61,Data!$B:$B=$A61)),"""")"),"")</f>
        <v/>
      </c>
      <c r="S61" s="64" t="str">
        <f>IFERROR(__xludf.DUMMYFUNCTION("IFERROR(Textjoin("""",TRUE,FILTER(Data!$R:$R,Data!$D:$D=G61,Data!$B:$B=$A61)),"""")"),"")</f>
        <v/>
      </c>
      <c r="T61" s="64" t="str">
        <f>IFERROR(__xludf.DUMMYFUNCTION("IFERROR(Textjoin("""",TRUE,FILTER(Data!$R:$R,Data!$D:$D=H61,Data!$B:$B=$A61)),"""")"),"")</f>
        <v/>
      </c>
      <c r="U61" s="64" t="str">
        <f>IFERROR(__xludf.DUMMYFUNCTION("IFERROR(Textjoin("""",TRUE,FILTER(Data!$R:$R,Data!$D:$D=I61,Data!$B:$B=$A61)),"""")"),"")</f>
        <v/>
      </c>
      <c r="V61" s="64" t="str">
        <f>IFERROR(__xludf.DUMMYFUNCTION("IFERROR(Textjoin("""",TRUE,FILTER(Data!$R:$R,Data!$D:$D=J61,Data!$B:$B=$A61)),"""")"),"")</f>
        <v/>
      </c>
      <c r="W61" s="64" t="str">
        <f>IFERROR(__xludf.DUMMYFUNCTION("IFERROR(Textjoin("""",TRUE,FILTER(Data!$R:$R,Data!$D:$D=K61,Data!$B:$B=$A61)),"""")"),"")</f>
        <v/>
      </c>
      <c r="X61" s="64" t="str">
        <f>IFERROR(__xludf.DUMMYFUNCTION("IFERROR(Textjoin("""",TRUE,FILTER(Data!$R:$R,Data!$D:$D=L61,Data!$B:$B=$A61)),"""")"),"")</f>
        <v/>
      </c>
      <c r="Y61" s="64" t="str">
        <f>IFERROR(__xludf.DUMMYFUNCTION("IFERROR(Textjoin("""",TRUE,FILTER(Data!$R:$R,Data!$D:$D=M61,Data!$B:$B=$A61)),"""")"),"")</f>
        <v/>
      </c>
      <c r="Z61" s="64" t="str">
        <f>IFERROR(__xludf.DUMMYFUNCTION("IFERROR(SPLIT(N61,"",""),"""")"),"")</f>
        <v/>
      </c>
      <c r="AA61" s="65"/>
      <c r="AB61" s="65"/>
      <c r="AC61" s="69" t="str">
        <f>IFERROR(__xludf.DUMMYFUNCTION("IFERROR(SPLIT(O61,"",""),"""")"),"")</f>
        <v/>
      </c>
      <c r="AD61" s="65"/>
      <c r="AE61" s="65"/>
      <c r="AF61" s="69" t="str">
        <f>IFERROR(__xludf.DUMMYFUNCTION("IFERROR(SPLIT(P61,"",""),"""")"),"")</f>
        <v/>
      </c>
      <c r="AG61" s="65"/>
      <c r="AH61" s="65"/>
      <c r="AI61" s="69" t="str">
        <f>IFERROR(__xludf.DUMMYFUNCTION("IFERROR(SPLIT(Q61,"",""),"""")"),"")</f>
        <v/>
      </c>
      <c r="AJ61" s="65"/>
      <c r="AK61" s="65"/>
      <c r="AL61" s="69" t="str">
        <f>IFERROR(__xludf.DUMMYFUNCTION("IFERROR(SPLIT(R61,"",""),"""")"),"")</f>
        <v/>
      </c>
      <c r="AM61" s="65"/>
      <c r="AN61" s="65"/>
      <c r="AO61" s="69" t="str">
        <f>IFERROR(__xludf.DUMMYFUNCTION("IFERROR(SPLIT(S61,"",""),"""")"),"")</f>
        <v/>
      </c>
      <c r="AP61" s="65"/>
      <c r="AQ61" s="65"/>
      <c r="AR61" s="69" t="str">
        <f>IFERROR(__xludf.DUMMYFUNCTION("IFERROR(SPLIT(T61,"",""),"""")"),"")</f>
        <v/>
      </c>
      <c r="AS61" s="65"/>
      <c r="AT61" s="65"/>
      <c r="AU61" s="69" t="str">
        <f>IFERROR(__xludf.DUMMYFUNCTION("IFERROR(SPLIT(U61,"",""),"""")"),"")</f>
        <v/>
      </c>
      <c r="AV61" s="65"/>
      <c r="AW61" s="65"/>
      <c r="AX61" s="69" t="str">
        <f>IFERROR(__xludf.DUMMYFUNCTION("IFERROR(SPLIT(V61,"",""),"""")"),"")</f>
        <v/>
      </c>
      <c r="AY61" s="65"/>
      <c r="AZ61" s="65"/>
      <c r="BA61" s="69" t="str">
        <f>IFERROR(__xludf.DUMMYFUNCTION("IFERROR(SPLIT(W61,"",""),"""")"),"")</f>
        <v/>
      </c>
      <c r="BB61" s="69"/>
      <c r="BC61" s="69"/>
      <c r="BD61" s="69" t="str">
        <f>IFERROR(__xludf.DUMMYFUNCTION("IFERROR(SPLIT(X61,"",""),"""")"),"")</f>
        <v/>
      </c>
      <c r="BE61" s="69"/>
      <c r="BF61" s="69"/>
      <c r="BG61" s="69" t="str">
        <f>IFERROR(__xludf.DUMMYFUNCTION("IFERROR(SPLIT(Y61,"",""),"""")"),"")</f>
        <v/>
      </c>
      <c r="BH61" s="69"/>
      <c r="BI61" s="69"/>
      <c r="BJ61" s="68" t="str">
        <f>IFERROR(__xludf.DUMMYFUNCTION("IF($B61&lt;&gt;"""",IFERROR(FILTER(RawTotals!$AJ:$AJ,RawTotals!$A:$A=Z61)-(FILTER(Data!$K:$K,Data!$B:$B=Z61,Data!$D:$D=$B61)+FILTER(Data!$L:$L,Data!$B:$B=Z61,Data!$D:$D=$B61)),""""),"""")"),"")</f>
        <v/>
      </c>
      <c r="BK61" s="68" t="str">
        <f>IFERROR(__xludf.DUMMYFUNCTION("IF($B61&lt;&gt;"""",IFERROR(FILTER(RawTotals!$AJ:$AJ,RawTotals!$A:$A=AA61)-(FILTER(Data!$K:$K,Data!$B:$B=AA61,Data!$D:$D=$B61)+FILTER(Data!$L:$L,Data!$B:$B=AA61,Data!$D:$D=$B61)),""""),"""")"),"")</f>
        <v/>
      </c>
      <c r="BL61" s="68" t="str">
        <f>IFERROR(__xludf.DUMMYFUNCTION("IF($B61&lt;&gt;"""",IFERROR(FILTER(RawTotals!$AJ:$AJ,RawTotals!$A:$A=AB61)-(FILTER(Data!$K:$K,Data!$B:$B=AB61,Data!$D:$D=$B61)+FILTER(Data!$L:$L,Data!$B:$B=AB61,Data!$D:$D=$B61)),""""),"""")"),"")</f>
        <v/>
      </c>
      <c r="BM61" s="69" t="str">
        <f>IFERROR(__xludf.DUMMYFUNCTION("IF($C61&lt;&gt;"""",IFERROR(FILTER(RawTotals!$AJ:$AJ,RawTotals!$A:$A=AC61)-(FILTER(Data!$K:$K,Data!$B:$B=AC61,Data!$D:$D=$C61)+FILTER(Data!$L:$L,Data!$B:$B=AC61,Data!$D:$D=$C61)),""""),"""")"),"")</f>
        <v/>
      </c>
      <c r="BN61" s="69" t="str">
        <f>IFERROR(__xludf.DUMMYFUNCTION("IF($C61&lt;&gt;"""",IFERROR(FILTER(RawTotals!$AJ:$AJ,RawTotals!$A:$A=AD61)-(FILTER(Data!$K:$K,Data!$B:$B=AD61,Data!$D:$D=$C61)+FILTER(Data!$L:$L,Data!$B:$B=AD61,Data!$D:$D=$C61)),""""),"""")"),"")</f>
        <v/>
      </c>
      <c r="BO61" s="69" t="str">
        <f>IFERROR(__xludf.DUMMYFUNCTION("IF($C61&lt;&gt;"""",IFERROR(FILTER(RawTotals!$AJ:$AJ,RawTotals!$A:$A=AE61)-(FILTER(Data!$K:$K,Data!$B:$B=AE61,Data!$D:$D=$C61)+FILTER(Data!$L:$L,Data!$B:$B=AE61,Data!$D:$D=$C61)),""""),"""")"),"")</f>
        <v/>
      </c>
      <c r="BP61" s="69" t="str">
        <f>IFERROR(__xludf.DUMMYFUNCTION("IF($D61&lt;&gt;"""",IFERROR(FILTER(RawTotals!$AJ:$AJ,RawTotals!$A:$A=AF61)-(FILTER(Data!$K:$K,Data!$B:$B=AF61,Data!$D:$D=$D61)+FILTER(Data!$L:$L,Data!$B:$B=AF61,Data!$D:$D=$D61)),""""),"""")"),"")</f>
        <v/>
      </c>
      <c r="BQ61" s="69" t="str">
        <f>IFERROR(__xludf.DUMMYFUNCTION("IF($D61&lt;&gt;"""",IFERROR(FILTER(RawTotals!$AJ:$AJ,RawTotals!$A:$A=AG61)-(FILTER(Data!$K:$K,Data!$B:$B=AG61,Data!$D:$D=$D61)+FILTER(Data!$L:$L,Data!$B:$B=AG61,Data!$D:$D=$D61)),""""),"""")"),"")</f>
        <v/>
      </c>
      <c r="BR61" s="69" t="str">
        <f>IFERROR(__xludf.DUMMYFUNCTION("IF($D61&lt;&gt;"""",IFERROR(FILTER(RawTotals!$AJ:$AJ,RawTotals!$A:$A=AH61)-(FILTER(Data!$K:$K,Data!$B:$B=AH61,Data!$D:$D=$D61)+FILTER(Data!$L:$L,Data!$B:$B=AH61,Data!$D:$D=$D61)),""""),"""")"),"")</f>
        <v/>
      </c>
      <c r="BS61" s="69" t="str">
        <f>IFERROR(__xludf.DUMMYFUNCTION("IF($E61&lt;&gt;"""",IFERROR(FILTER(RawTotals!$AJ:$AJ,RawTotals!$A:$A=AI61)-(FILTER(Data!$K:$K,Data!$B:$B=AI61,Data!$D:$D=$E61)+FILTER(Data!$L:$L,Data!$B:$B=AI61,Data!$D:$D=$E61)),""""),"""")"),"")</f>
        <v/>
      </c>
      <c r="BT61" s="69" t="str">
        <f>IFERROR(__xludf.DUMMYFUNCTION("IF($E61&lt;&gt;"""",IFERROR(FILTER(RawTotals!$AJ:$AJ,RawTotals!$A:$A=AJ61)-(FILTER(Data!$K:$K,Data!$B:$B=AJ61,Data!$D:$D=$E61)+FILTER(Data!$L:$L,Data!$B:$B=AJ61,Data!$D:$D=$E61)),""""),"""")"),"")</f>
        <v/>
      </c>
      <c r="BU61" s="69" t="str">
        <f>IFERROR(__xludf.DUMMYFUNCTION("IF($E61&lt;&gt;"""",IFERROR(FILTER(RawTotals!$AJ:$AJ,RawTotals!$A:$A=AK61)-(FILTER(Data!$K:$K,Data!$B:$B=AK61,Data!$D:$D=$E61)+FILTER(Data!$L:$L,Data!$B:$B=AK61,Data!$D:$D=$E61)),""""),"""")"),"")</f>
        <v/>
      </c>
      <c r="BV61" s="69" t="str">
        <f>IFERROR(__xludf.DUMMYFUNCTION("IF($F61&lt;&gt;"""",IFERROR(FILTER(RawTotals!$AJ:$AJ,RawTotals!$A:$A=AL61)-(FILTER(Data!$K:$K,Data!$B:$B=AL61,Data!$D:$D=$F61)+FILTER(Data!$L:$L,Data!$B:$B=AL61,Data!$D:$D=$F61)),""""),"""")"),"")</f>
        <v/>
      </c>
      <c r="BW61" s="69" t="str">
        <f>IFERROR(__xludf.DUMMYFUNCTION("IF($F61&lt;&gt;"""",IFERROR(FILTER(RawTotals!$AJ:$AJ,RawTotals!$A:$A=AM61)-(FILTER(Data!$K:$K,Data!$B:$B=AM61,Data!$D:$D=$F61)+FILTER(Data!$L:$L,Data!$B:$B=AM61,Data!$D:$D=$F61)),""""),"""")"),"")</f>
        <v/>
      </c>
      <c r="BX61" s="69" t="str">
        <f>IFERROR(__xludf.DUMMYFUNCTION("IF($F61&lt;&gt;"""",IFERROR(FILTER(RawTotals!$AJ:$AJ,RawTotals!$A:$A=AN61)-(FILTER(Data!$K:$K,Data!$B:$B=AN61,Data!$D:$D=$F61)+FILTER(Data!$L:$L,Data!$B:$B=AN61,Data!$D:$D=$F61)),""""),"""")"),"")</f>
        <v/>
      </c>
      <c r="BY61" s="69" t="str">
        <f>IFERROR(__xludf.DUMMYFUNCTION("IF($G61&lt;&gt;"""",IFERROR(FILTER(RawTotals!$AJ:$AJ,RawTotals!$A:$A=AO61)-(FILTER(Data!$K:$K,Data!$B:$B=AO61,Data!$D:$D=$G61)+FILTER(Data!$L:$L,Data!$B:$B=AO61,Data!$D:$D=$G61)),""""),"""")"),"")</f>
        <v/>
      </c>
      <c r="BZ61" s="69" t="str">
        <f>IFERROR(__xludf.DUMMYFUNCTION("IF($G61&lt;&gt;"""",IFERROR(FILTER(RawTotals!$AJ:$AJ,RawTotals!$A:$A=AP61)-(FILTER(Data!$K:$K,Data!$B:$B=AP61,Data!$D:$D=$G61)+FILTER(Data!$L:$L,Data!$B:$B=AP61,Data!$D:$D=$G61)),""""),"""")"),"")</f>
        <v/>
      </c>
      <c r="CA61" s="69" t="str">
        <f>IFERROR(__xludf.DUMMYFUNCTION("IF($G61&lt;&gt;"""",IFERROR(FILTER(RawTotals!$AJ:$AJ,RawTotals!$A:$A=AQ61)-(FILTER(Data!$K:$K,Data!$B:$B=AQ61,Data!$D:$D=$G61)+FILTER(Data!$L:$L,Data!$B:$B=AQ61,Data!$D:$D=$G61)),""""),"""")"),"")</f>
        <v/>
      </c>
      <c r="CB61" s="69" t="str">
        <f>IFERROR(__xludf.DUMMYFUNCTION("IF($H61&lt;&gt;"""",IFERROR(FILTER(RawTotals!$AJ:$AJ,RawTotals!$A:$A=AR61)-(FILTER(Data!$K:$K,Data!$B:$B=AR61,Data!$D:$D=$H61)+FILTER(Data!$L:$L,Data!$B:$B=AR61,Data!$D:$D=$H61)),""""),"""")"),"")</f>
        <v/>
      </c>
      <c r="CC61" s="69" t="str">
        <f>IFERROR(__xludf.DUMMYFUNCTION("IF($H61&lt;&gt;"""",IFERROR(FILTER(RawTotals!$AJ:$AJ,RawTotals!$A:$A=AS61)-(FILTER(Data!$K:$K,Data!$B:$B=AS61,Data!$D:$D=$H61)+FILTER(Data!$L:$L,Data!$B:$B=AS61,Data!$D:$D=$H61)),""""),"""")"),"")</f>
        <v/>
      </c>
      <c r="CD61" s="69" t="str">
        <f>IFERROR(__xludf.DUMMYFUNCTION("IF($H61&lt;&gt;"""",IFERROR(FILTER(RawTotals!$AJ:$AJ,RawTotals!$A:$A=AT61)-(FILTER(Data!$K:$K,Data!$B:$B=AT61,Data!$D:$D=$H61)+FILTER(Data!$L:$L,Data!$B:$B=AT61,Data!$D:$D=$H61)),""""),"""")"),"")</f>
        <v/>
      </c>
      <c r="CE61" s="69" t="str">
        <f>IFERROR(__xludf.DUMMYFUNCTION("IF($I61&lt;&gt;"""",IFERROR(FILTER(RawTotals!$AJ:$AJ,RawTotals!$A:$A=AU61)-(FILTER(Data!$K:$K,Data!$B:$B=AU61,Data!$D:$D=$I61)+FILTER(Data!$L:$L,Data!$B:$B=AU61,Data!$D:$D=$I61)),""""),"""")"),"")</f>
        <v/>
      </c>
      <c r="CF61" s="69" t="str">
        <f>IFERROR(__xludf.DUMMYFUNCTION("IF($I61&lt;&gt;"""",IFERROR(FILTER(RawTotals!$AJ:$AJ,RawTotals!$A:$A=AV61)-(FILTER(Data!$K:$K,Data!$B:$B=AV61,Data!$D:$D=$I61)+FILTER(Data!$L:$L,Data!$B:$B=AV61,Data!$D:$D=$I61)),""""),"""")"),"")</f>
        <v/>
      </c>
      <c r="CG61" s="69" t="str">
        <f>IFERROR(__xludf.DUMMYFUNCTION("IF($I61&lt;&gt;"""",IFERROR(FILTER(RawTotals!$AJ:$AJ,RawTotals!$A:$A=AW61)-(FILTER(Data!$K:$K,Data!$B:$B=AW61,Data!$D:$D=$I61)+FILTER(Data!$L:$L,Data!$B:$B=AW61,Data!$D:$D=$I61)),""""),"""")"),"")</f>
        <v/>
      </c>
      <c r="CH61" s="69" t="str">
        <f>IFERROR(__xludf.DUMMYFUNCTION("IF($J61&lt;&gt;"""",IFERROR(FILTER(RawTotals!$AJ:$AJ,RawTotals!$A:$A=AX61)-(FILTER(Data!$K:$K,Data!$B:$B=AX61,Data!$D:$D=$J61)+FILTER(Data!$L:$L,Data!$B:$B=AX61,Data!$D:$D=$J61)),""""),"""")"),"")</f>
        <v/>
      </c>
      <c r="CI61" s="69" t="str">
        <f>IFERROR(__xludf.DUMMYFUNCTION("IF($J61&lt;&gt;"""",IFERROR(FILTER(RawTotals!$AJ:$AJ,RawTotals!$A:$A=AY61)-(FILTER(Data!$K:$K,Data!$B:$B=AY61,Data!$D:$D=$J61)+FILTER(Data!$L:$L,Data!$B:$B=AY61,Data!$D:$D=$J61)),""""),"""")"),"")</f>
        <v/>
      </c>
      <c r="CJ61" s="69" t="str">
        <f>IFERROR(__xludf.DUMMYFUNCTION("IF($J61&lt;&gt;"""",IFERROR(FILTER(RawTotals!$AJ:$AJ,RawTotals!$A:$A=AZ61)-(FILTER(Data!$K:$K,Data!$B:$B=AZ61,Data!$D:$D=$J61)+FILTER(Data!$L:$L,Data!$B:$B=AZ61,Data!$D:$D=$J61)),""""),"""")"),"")</f>
        <v/>
      </c>
      <c r="CK61" s="69" t="str">
        <f>IFERROR(__xludf.DUMMYFUNCTION("IF($K61&lt;&gt;"""",IFERROR(FILTER(RawTotals!$AJ:$AJ,RawTotals!$A:$A=BA61)-(FILTER(Data!$K:$K,Data!$B:$B=BA61,Data!$D:$D=$K61)+FILTER(Data!$L:$L,Data!$B:$B=BA61,Data!$D:$D=$K61)),""""),"""")"),"")</f>
        <v/>
      </c>
      <c r="CL61" s="69" t="str">
        <f>IFERROR(__xludf.DUMMYFUNCTION("IF($K61&lt;&gt;"""",IFERROR(FILTER(RawTotals!$AJ:$AJ,RawTotals!$A:$A=BB61)-(FILTER(Data!$K:$K,Data!$B:$B=BB61,Data!$D:$D=$K61)+FILTER(Data!$L:$L,Data!$B:$B=BB61,Data!$D:$D=$K61)),""""),"""")"),"")</f>
        <v/>
      </c>
      <c r="CM61" s="69" t="str">
        <f>IFERROR(__xludf.DUMMYFUNCTION("IF($K61&lt;&gt;"""",IFERROR(FILTER(RawTotals!$AJ:$AJ,RawTotals!$A:$A=BC61)-(FILTER(Data!$K:$K,Data!$B:$B=BC61,Data!$D:$D=$K61)+FILTER(Data!$L:$L,Data!$B:$B=BC61,Data!$D:$D=$K61)),""""),"""")"),"")</f>
        <v/>
      </c>
      <c r="CN61" s="69" t="str">
        <f>IFERROR(__xludf.DUMMYFUNCTION("IF($L61&lt;&gt;"""",IFERROR((FILTER(RawTotals!$AJ:$AJ,RawTotals!$A:$A=BD61)-(FILTER(Data!$K:$K,Data!$B:$B=BD61,Data!$D:$D=$L61)+FILTER(Data!$L:$L,Data!$B:$B=BD61,Data!$D:$D=$L61))),""""),"""")"),"")</f>
        <v/>
      </c>
      <c r="CO61" s="69" t="str">
        <f>IFERROR(__xludf.DUMMYFUNCTION("IF($L61&lt;&gt;"""",IFERROR((FILTER(RawTotals!$AJ:$AJ,RawTotals!$A:$A=BE61)-(FILTER(Data!$K:$K,Data!$B:$B=BE61,Data!$D:$D=$L61)+FILTER(Data!$L:$L,Data!$B:$B=BE61,Data!$D:$D=$L61))),""""),"""")"),"")</f>
        <v/>
      </c>
      <c r="CP61" s="69" t="str">
        <f>IFERROR(__xludf.DUMMYFUNCTION("IF($L61&lt;&gt;"""",IFERROR((FILTER(RawTotals!$AJ:$AJ,RawTotals!$A:$A=BF61)-(FILTER(Data!$K:$K,Data!$B:$B=BF61,Data!$D:$D=$L61)+FILTER(Data!$L:$L,Data!$B:$B=BF61,Data!$D:$D=$L61))),""""),"""")"),"")</f>
        <v/>
      </c>
      <c r="CQ61" s="69" t="str">
        <f>IFERROR(__xludf.DUMMYFUNCTION("IF($M61&lt;&gt;"""",IFERROR((FILTER(RawTotals!$AJ:$AJ,RawTotals!$A:$A=BG61)-(FILTER(Data!$K:$K,Data!$B:$B=BG61,Data!$D:$D=$M61)+FILTER(Data!$L:$L,Data!$B:$B=BG61,Data!$D:$D=$M61))),""""),"""")"),"")</f>
        <v/>
      </c>
      <c r="CR61" s="69" t="str">
        <f>IFERROR(__xludf.DUMMYFUNCTION("IF($M61&lt;&gt;"""",IFERROR((FILTER(RawTotals!$AJ:$AJ,RawTotals!$A:$A=BH61)-(FILTER(Data!$K:$K,Data!$B:$B=BH61,Data!$D:$D=$M61)+FILTER(Data!$L:$L,Data!$B:$B=BH61,Data!$D:$D=$M61))),""""),"""")"),"")</f>
        <v/>
      </c>
      <c r="CS61" s="70" t="str">
        <f>IFERROR(__xludf.DUMMYFUNCTION("IF($M61&lt;&gt;"""",IFERROR((FILTER(RawTotals!$AJ:$AJ,RawTotals!$A:$A=BI61)-(FILTER(Data!$K:$K,Data!$B:$B=BI61,Data!$D:$D=$M61)+FILTER(Data!$L:$L,Data!$B:$B=BI61,Data!$D:$D=$M61))),""""),"""")"),"")</f>
        <v/>
      </c>
      <c r="CT61" s="69"/>
      <c r="CU61" s="69"/>
      <c r="CV61" s="69"/>
      <c r="CW61" s="69"/>
      <c r="CX61" s="69"/>
      <c r="CY61" s="69"/>
      <c r="CZ61" s="69"/>
      <c r="DA61" s="69"/>
      <c r="DB61" s="69"/>
      <c r="DC61" s="69"/>
      <c r="DD61" s="69"/>
      <c r="DE61" s="69"/>
    </row>
    <row r="62">
      <c r="A62" s="65" t="str">
        <f>RawTotals!A62</f>
        <v/>
      </c>
      <c r="B62" s="68" t="str">
        <f>IFERROR(__xludf.DUMMYFUNCTION("IF(A62&lt;&gt;"""",IFERROR(TRANSPOSE(FILTER(Data!D:D,Data!B:B=A62,Data!R:R&lt;&gt;"""")),""No Defense""),"""")"),"")</f>
        <v/>
      </c>
      <c r="C62" s="65"/>
      <c r="D62" s="65"/>
      <c r="E62" s="65"/>
      <c r="F62" s="65"/>
      <c r="G62" s="65"/>
      <c r="H62" s="65"/>
      <c r="I62" s="65"/>
      <c r="J62" s="65"/>
      <c r="K62" s="65"/>
      <c r="L62" s="65"/>
      <c r="M62" s="65"/>
      <c r="N62" s="64" t="str">
        <f>IFERROR(__xludf.DUMMYFUNCTION("IFERROR(Textjoin("""",TRUE,FILTER(Data!$R:$R,Data!$D:$D=B62,Data!$B:$B=$A62)),"""")"),"")</f>
        <v/>
      </c>
      <c r="O62" s="64" t="str">
        <f>IFERROR(__xludf.DUMMYFUNCTION("IFERROR(Textjoin("""",TRUE,FILTER(Data!$R:$R,Data!$D:$D=C62,Data!$B:$B=$A62)),"""")"),"")</f>
        <v/>
      </c>
      <c r="P62" s="64" t="str">
        <f>IFERROR(__xludf.DUMMYFUNCTION("IFERROR(Textjoin("""",TRUE,FILTER(Data!$R:$R,Data!$D:$D=D62,Data!$B:$B=$A62)),"""")"),"")</f>
        <v/>
      </c>
      <c r="Q62" s="64" t="str">
        <f>IFERROR(__xludf.DUMMYFUNCTION("IFERROR(Textjoin("""",TRUE,FILTER(Data!$R:$R,Data!$D:$D=E62,Data!$B:$B=$A62)),"""")"),"")</f>
        <v/>
      </c>
      <c r="R62" s="64" t="str">
        <f>IFERROR(__xludf.DUMMYFUNCTION("IFERROR(Textjoin("""",TRUE,FILTER(Data!$R:$R,Data!$D:$D=F62,Data!$B:$B=$A62)),"""")"),"")</f>
        <v/>
      </c>
      <c r="S62" s="64" t="str">
        <f>IFERROR(__xludf.DUMMYFUNCTION("IFERROR(Textjoin("""",TRUE,FILTER(Data!$R:$R,Data!$D:$D=G62,Data!$B:$B=$A62)),"""")"),"")</f>
        <v/>
      </c>
      <c r="T62" s="64" t="str">
        <f>IFERROR(__xludf.DUMMYFUNCTION("IFERROR(Textjoin("""",TRUE,FILTER(Data!$R:$R,Data!$D:$D=H62,Data!$B:$B=$A62)),"""")"),"")</f>
        <v/>
      </c>
      <c r="U62" s="64" t="str">
        <f>IFERROR(__xludf.DUMMYFUNCTION("IFERROR(Textjoin("""",TRUE,FILTER(Data!$R:$R,Data!$D:$D=I62,Data!$B:$B=$A62)),"""")"),"")</f>
        <v/>
      </c>
      <c r="V62" s="64" t="str">
        <f>IFERROR(__xludf.DUMMYFUNCTION("IFERROR(Textjoin("""",TRUE,FILTER(Data!$R:$R,Data!$D:$D=J62,Data!$B:$B=$A62)),"""")"),"")</f>
        <v/>
      </c>
      <c r="W62" s="64" t="str">
        <f>IFERROR(__xludf.DUMMYFUNCTION("IFERROR(Textjoin("""",TRUE,FILTER(Data!$R:$R,Data!$D:$D=K62,Data!$B:$B=$A62)),"""")"),"")</f>
        <v/>
      </c>
      <c r="X62" s="64" t="str">
        <f>IFERROR(__xludf.DUMMYFUNCTION("IFERROR(Textjoin("""",TRUE,FILTER(Data!$R:$R,Data!$D:$D=L62,Data!$B:$B=$A62)),"""")"),"")</f>
        <v/>
      </c>
      <c r="Y62" s="64" t="str">
        <f>IFERROR(__xludf.DUMMYFUNCTION("IFERROR(Textjoin("""",TRUE,FILTER(Data!$R:$R,Data!$D:$D=M62,Data!$B:$B=$A62)),"""")"),"")</f>
        <v/>
      </c>
      <c r="Z62" s="64" t="str">
        <f>IFERROR(__xludf.DUMMYFUNCTION("IFERROR(SPLIT(N62,"",""),"""")"),"")</f>
        <v/>
      </c>
      <c r="AA62" s="65"/>
      <c r="AB62" s="65"/>
      <c r="AC62" s="69" t="str">
        <f>IFERROR(__xludf.DUMMYFUNCTION("IFERROR(SPLIT(O62,"",""),"""")"),"")</f>
        <v/>
      </c>
      <c r="AD62" s="65"/>
      <c r="AE62" s="65"/>
      <c r="AF62" s="69" t="str">
        <f>IFERROR(__xludf.DUMMYFUNCTION("IFERROR(SPLIT(P62,"",""),"""")"),"")</f>
        <v/>
      </c>
      <c r="AG62" s="65"/>
      <c r="AH62" s="65"/>
      <c r="AI62" s="69" t="str">
        <f>IFERROR(__xludf.DUMMYFUNCTION("IFERROR(SPLIT(Q62,"",""),"""")"),"")</f>
        <v/>
      </c>
      <c r="AJ62" s="65"/>
      <c r="AK62" s="65"/>
      <c r="AL62" s="69" t="str">
        <f>IFERROR(__xludf.DUMMYFUNCTION("IFERROR(SPLIT(R62,"",""),"""")"),"")</f>
        <v/>
      </c>
      <c r="AM62" s="65"/>
      <c r="AN62" s="65"/>
      <c r="AO62" s="69" t="str">
        <f>IFERROR(__xludf.DUMMYFUNCTION("IFERROR(SPLIT(S62,"",""),"""")"),"")</f>
        <v/>
      </c>
      <c r="AP62" s="65"/>
      <c r="AQ62" s="65"/>
      <c r="AR62" s="69" t="str">
        <f>IFERROR(__xludf.DUMMYFUNCTION("IFERROR(SPLIT(T62,"",""),"""")"),"")</f>
        <v/>
      </c>
      <c r="AS62" s="65"/>
      <c r="AT62" s="65"/>
      <c r="AU62" s="69" t="str">
        <f>IFERROR(__xludf.DUMMYFUNCTION("IFERROR(SPLIT(U62,"",""),"""")"),"")</f>
        <v/>
      </c>
      <c r="AV62" s="65"/>
      <c r="AW62" s="65"/>
      <c r="AX62" s="69" t="str">
        <f>IFERROR(__xludf.DUMMYFUNCTION("IFERROR(SPLIT(V62,"",""),"""")"),"")</f>
        <v/>
      </c>
      <c r="AY62" s="65"/>
      <c r="AZ62" s="65"/>
      <c r="BA62" s="69" t="str">
        <f>IFERROR(__xludf.DUMMYFUNCTION("IFERROR(SPLIT(W62,"",""),"""")"),"")</f>
        <v/>
      </c>
      <c r="BB62" s="69"/>
      <c r="BC62" s="69"/>
      <c r="BD62" s="69" t="str">
        <f>IFERROR(__xludf.DUMMYFUNCTION("IFERROR(SPLIT(X62,"",""),"""")"),"")</f>
        <v/>
      </c>
      <c r="BE62" s="69"/>
      <c r="BF62" s="69"/>
      <c r="BG62" s="69" t="str">
        <f>IFERROR(__xludf.DUMMYFUNCTION("IFERROR(SPLIT(Y62,"",""),"""")"),"")</f>
        <v/>
      </c>
      <c r="BH62" s="69"/>
      <c r="BI62" s="69"/>
      <c r="BJ62" s="68" t="str">
        <f>IFERROR(__xludf.DUMMYFUNCTION("IF($B62&lt;&gt;"""",IFERROR(FILTER(RawTotals!$AJ:$AJ,RawTotals!$A:$A=Z62)-(FILTER(Data!$K:$K,Data!$B:$B=Z62,Data!$D:$D=$B62)+FILTER(Data!$L:$L,Data!$B:$B=Z62,Data!$D:$D=$B62)),""""),"""")"),"")</f>
        <v/>
      </c>
      <c r="BK62" s="68" t="str">
        <f>IFERROR(__xludf.DUMMYFUNCTION("IF($B62&lt;&gt;"""",IFERROR(FILTER(RawTotals!$AJ:$AJ,RawTotals!$A:$A=AA62)-(FILTER(Data!$K:$K,Data!$B:$B=AA62,Data!$D:$D=$B62)+FILTER(Data!$L:$L,Data!$B:$B=AA62,Data!$D:$D=$B62)),""""),"""")"),"")</f>
        <v/>
      </c>
      <c r="BL62" s="68" t="str">
        <f>IFERROR(__xludf.DUMMYFUNCTION("IF($B62&lt;&gt;"""",IFERROR(FILTER(RawTotals!$AJ:$AJ,RawTotals!$A:$A=AB62)-(FILTER(Data!$K:$K,Data!$B:$B=AB62,Data!$D:$D=$B62)+FILTER(Data!$L:$L,Data!$B:$B=AB62,Data!$D:$D=$B62)),""""),"""")"),"")</f>
        <v/>
      </c>
      <c r="BM62" s="69" t="str">
        <f>IFERROR(__xludf.DUMMYFUNCTION("IF($C62&lt;&gt;"""",IFERROR(FILTER(RawTotals!$AJ:$AJ,RawTotals!$A:$A=AC62)-(FILTER(Data!$K:$K,Data!$B:$B=AC62,Data!$D:$D=$C62)+FILTER(Data!$L:$L,Data!$B:$B=AC62,Data!$D:$D=$C62)),""""),"""")"),"")</f>
        <v/>
      </c>
      <c r="BN62" s="69" t="str">
        <f>IFERROR(__xludf.DUMMYFUNCTION("IF($C62&lt;&gt;"""",IFERROR(FILTER(RawTotals!$AJ:$AJ,RawTotals!$A:$A=AD62)-(FILTER(Data!$K:$K,Data!$B:$B=AD62,Data!$D:$D=$C62)+FILTER(Data!$L:$L,Data!$B:$B=AD62,Data!$D:$D=$C62)),""""),"""")"),"")</f>
        <v/>
      </c>
      <c r="BO62" s="69" t="str">
        <f>IFERROR(__xludf.DUMMYFUNCTION("IF($C62&lt;&gt;"""",IFERROR(FILTER(RawTotals!$AJ:$AJ,RawTotals!$A:$A=AE62)-(FILTER(Data!$K:$K,Data!$B:$B=AE62,Data!$D:$D=$C62)+FILTER(Data!$L:$L,Data!$B:$B=AE62,Data!$D:$D=$C62)),""""),"""")"),"")</f>
        <v/>
      </c>
      <c r="BP62" s="69" t="str">
        <f>IFERROR(__xludf.DUMMYFUNCTION("IF($D62&lt;&gt;"""",IFERROR(FILTER(RawTotals!$AJ:$AJ,RawTotals!$A:$A=AF62)-(FILTER(Data!$K:$K,Data!$B:$B=AF62,Data!$D:$D=$D62)+FILTER(Data!$L:$L,Data!$B:$B=AF62,Data!$D:$D=$D62)),""""),"""")"),"")</f>
        <v/>
      </c>
      <c r="BQ62" s="69" t="str">
        <f>IFERROR(__xludf.DUMMYFUNCTION("IF($D62&lt;&gt;"""",IFERROR(FILTER(RawTotals!$AJ:$AJ,RawTotals!$A:$A=AG62)-(FILTER(Data!$K:$K,Data!$B:$B=AG62,Data!$D:$D=$D62)+FILTER(Data!$L:$L,Data!$B:$B=AG62,Data!$D:$D=$D62)),""""),"""")"),"")</f>
        <v/>
      </c>
      <c r="BR62" s="69" t="str">
        <f>IFERROR(__xludf.DUMMYFUNCTION("IF($D62&lt;&gt;"""",IFERROR(FILTER(RawTotals!$AJ:$AJ,RawTotals!$A:$A=AH62)-(FILTER(Data!$K:$K,Data!$B:$B=AH62,Data!$D:$D=$D62)+FILTER(Data!$L:$L,Data!$B:$B=AH62,Data!$D:$D=$D62)),""""),"""")"),"")</f>
        <v/>
      </c>
      <c r="BS62" s="69" t="str">
        <f>IFERROR(__xludf.DUMMYFUNCTION("IF($E62&lt;&gt;"""",IFERROR(FILTER(RawTotals!$AJ:$AJ,RawTotals!$A:$A=AI62)-(FILTER(Data!$K:$K,Data!$B:$B=AI62,Data!$D:$D=$E62)+FILTER(Data!$L:$L,Data!$B:$B=AI62,Data!$D:$D=$E62)),""""),"""")"),"")</f>
        <v/>
      </c>
      <c r="BT62" s="69" t="str">
        <f>IFERROR(__xludf.DUMMYFUNCTION("IF($E62&lt;&gt;"""",IFERROR(FILTER(RawTotals!$AJ:$AJ,RawTotals!$A:$A=AJ62)-(FILTER(Data!$K:$K,Data!$B:$B=AJ62,Data!$D:$D=$E62)+FILTER(Data!$L:$L,Data!$B:$B=AJ62,Data!$D:$D=$E62)),""""),"""")"),"")</f>
        <v/>
      </c>
      <c r="BU62" s="69" t="str">
        <f>IFERROR(__xludf.DUMMYFUNCTION("IF($E62&lt;&gt;"""",IFERROR(FILTER(RawTotals!$AJ:$AJ,RawTotals!$A:$A=AK62)-(FILTER(Data!$K:$K,Data!$B:$B=AK62,Data!$D:$D=$E62)+FILTER(Data!$L:$L,Data!$B:$B=AK62,Data!$D:$D=$E62)),""""),"""")"),"")</f>
        <v/>
      </c>
      <c r="BV62" s="69" t="str">
        <f>IFERROR(__xludf.DUMMYFUNCTION("IF($F62&lt;&gt;"""",IFERROR(FILTER(RawTotals!$AJ:$AJ,RawTotals!$A:$A=AL62)-(FILTER(Data!$K:$K,Data!$B:$B=AL62,Data!$D:$D=$F62)+FILTER(Data!$L:$L,Data!$B:$B=AL62,Data!$D:$D=$F62)),""""),"""")"),"")</f>
        <v/>
      </c>
      <c r="BW62" s="69" t="str">
        <f>IFERROR(__xludf.DUMMYFUNCTION("IF($F62&lt;&gt;"""",IFERROR(FILTER(RawTotals!$AJ:$AJ,RawTotals!$A:$A=AM62)-(FILTER(Data!$K:$K,Data!$B:$B=AM62,Data!$D:$D=$F62)+FILTER(Data!$L:$L,Data!$B:$B=AM62,Data!$D:$D=$F62)),""""),"""")"),"")</f>
        <v/>
      </c>
      <c r="BX62" s="69" t="str">
        <f>IFERROR(__xludf.DUMMYFUNCTION("IF($F62&lt;&gt;"""",IFERROR(FILTER(RawTotals!$AJ:$AJ,RawTotals!$A:$A=AN62)-(FILTER(Data!$K:$K,Data!$B:$B=AN62,Data!$D:$D=$F62)+FILTER(Data!$L:$L,Data!$B:$B=AN62,Data!$D:$D=$F62)),""""),"""")"),"")</f>
        <v/>
      </c>
      <c r="BY62" s="69" t="str">
        <f>IFERROR(__xludf.DUMMYFUNCTION("IF($G62&lt;&gt;"""",IFERROR(FILTER(RawTotals!$AJ:$AJ,RawTotals!$A:$A=AO62)-(FILTER(Data!$K:$K,Data!$B:$B=AO62,Data!$D:$D=$G62)+FILTER(Data!$L:$L,Data!$B:$B=AO62,Data!$D:$D=$G62)),""""),"""")"),"")</f>
        <v/>
      </c>
      <c r="BZ62" s="69" t="str">
        <f>IFERROR(__xludf.DUMMYFUNCTION("IF($G62&lt;&gt;"""",IFERROR(FILTER(RawTotals!$AJ:$AJ,RawTotals!$A:$A=AP62)-(FILTER(Data!$K:$K,Data!$B:$B=AP62,Data!$D:$D=$G62)+FILTER(Data!$L:$L,Data!$B:$B=AP62,Data!$D:$D=$G62)),""""),"""")"),"")</f>
        <v/>
      </c>
      <c r="CA62" s="69" t="str">
        <f>IFERROR(__xludf.DUMMYFUNCTION("IF($G62&lt;&gt;"""",IFERROR(FILTER(RawTotals!$AJ:$AJ,RawTotals!$A:$A=AQ62)-(FILTER(Data!$K:$K,Data!$B:$B=AQ62,Data!$D:$D=$G62)+FILTER(Data!$L:$L,Data!$B:$B=AQ62,Data!$D:$D=$G62)),""""),"""")"),"")</f>
        <v/>
      </c>
      <c r="CB62" s="69" t="str">
        <f>IFERROR(__xludf.DUMMYFUNCTION("IF($H62&lt;&gt;"""",IFERROR(FILTER(RawTotals!$AJ:$AJ,RawTotals!$A:$A=AR62)-(FILTER(Data!$K:$K,Data!$B:$B=AR62,Data!$D:$D=$H62)+FILTER(Data!$L:$L,Data!$B:$B=AR62,Data!$D:$D=$H62)),""""),"""")"),"")</f>
        <v/>
      </c>
      <c r="CC62" s="69" t="str">
        <f>IFERROR(__xludf.DUMMYFUNCTION("IF($H62&lt;&gt;"""",IFERROR(FILTER(RawTotals!$AJ:$AJ,RawTotals!$A:$A=AS62)-(FILTER(Data!$K:$K,Data!$B:$B=AS62,Data!$D:$D=$H62)+FILTER(Data!$L:$L,Data!$B:$B=AS62,Data!$D:$D=$H62)),""""),"""")"),"")</f>
        <v/>
      </c>
      <c r="CD62" s="69" t="str">
        <f>IFERROR(__xludf.DUMMYFUNCTION("IF($H62&lt;&gt;"""",IFERROR(FILTER(RawTotals!$AJ:$AJ,RawTotals!$A:$A=AT62)-(FILTER(Data!$K:$K,Data!$B:$B=AT62,Data!$D:$D=$H62)+FILTER(Data!$L:$L,Data!$B:$B=AT62,Data!$D:$D=$H62)),""""),"""")"),"")</f>
        <v/>
      </c>
      <c r="CE62" s="69" t="str">
        <f>IFERROR(__xludf.DUMMYFUNCTION("IF($I62&lt;&gt;"""",IFERROR(FILTER(RawTotals!$AJ:$AJ,RawTotals!$A:$A=AU62)-(FILTER(Data!$K:$K,Data!$B:$B=AU62,Data!$D:$D=$I62)+FILTER(Data!$L:$L,Data!$B:$B=AU62,Data!$D:$D=$I62)),""""),"""")"),"")</f>
        <v/>
      </c>
      <c r="CF62" s="69" t="str">
        <f>IFERROR(__xludf.DUMMYFUNCTION("IF($I62&lt;&gt;"""",IFERROR(FILTER(RawTotals!$AJ:$AJ,RawTotals!$A:$A=AV62)-(FILTER(Data!$K:$K,Data!$B:$B=AV62,Data!$D:$D=$I62)+FILTER(Data!$L:$L,Data!$B:$B=AV62,Data!$D:$D=$I62)),""""),"""")"),"")</f>
        <v/>
      </c>
      <c r="CG62" s="69" t="str">
        <f>IFERROR(__xludf.DUMMYFUNCTION("IF($I62&lt;&gt;"""",IFERROR(FILTER(RawTotals!$AJ:$AJ,RawTotals!$A:$A=AW62)-(FILTER(Data!$K:$K,Data!$B:$B=AW62,Data!$D:$D=$I62)+FILTER(Data!$L:$L,Data!$B:$B=AW62,Data!$D:$D=$I62)),""""),"""")"),"")</f>
        <v/>
      </c>
      <c r="CH62" s="69" t="str">
        <f>IFERROR(__xludf.DUMMYFUNCTION("IF($J62&lt;&gt;"""",IFERROR(FILTER(RawTotals!$AJ:$AJ,RawTotals!$A:$A=AX62)-(FILTER(Data!$K:$K,Data!$B:$B=AX62,Data!$D:$D=$J62)+FILTER(Data!$L:$L,Data!$B:$B=AX62,Data!$D:$D=$J62)),""""),"""")"),"")</f>
        <v/>
      </c>
      <c r="CI62" s="69" t="str">
        <f>IFERROR(__xludf.DUMMYFUNCTION("IF($J62&lt;&gt;"""",IFERROR(FILTER(RawTotals!$AJ:$AJ,RawTotals!$A:$A=AY62)-(FILTER(Data!$K:$K,Data!$B:$B=AY62,Data!$D:$D=$J62)+FILTER(Data!$L:$L,Data!$B:$B=AY62,Data!$D:$D=$J62)),""""),"""")"),"")</f>
        <v/>
      </c>
      <c r="CJ62" s="69" t="str">
        <f>IFERROR(__xludf.DUMMYFUNCTION("IF($J62&lt;&gt;"""",IFERROR(FILTER(RawTotals!$AJ:$AJ,RawTotals!$A:$A=AZ62)-(FILTER(Data!$K:$K,Data!$B:$B=AZ62,Data!$D:$D=$J62)+FILTER(Data!$L:$L,Data!$B:$B=AZ62,Data!$D:$D=$J62)),""""),"""")"),"")</f>
        <v/>
      </c>
      <c r="CK62" s="69" t="str">
        <f>IFERROR(__xludf.DUMMYFUNCTION("IF($K62&lt;&gt;"""",IFERROR(FILTER(RawTotals!$AJ:$AJ,RawTotals!$A:$A=BA62)-(FILTER(Data!$K:$K,Data!$B:$B=BA62,Data!$D:$D=$K62)+FILTER(Data!$L:$L,Data!$B:$B=BA62,Data!$D:$D=$K62)),""""),"""")"),"")</f>
        <v/>
      </c>
      <c r="CL62" s="69" t="str">
        <f>IFERROR(__xludf.DUMMYFUNCTION("IF($K62&lt;&gt;"""",IFERROR(FILTER(RawTotals!$AJ:$AJ,RawTotals!$A:$A=BB62)-(FILTER(Data!$K:$K,Data!$B:$B=BB62,Data!$D:$D=$K62)+FILTER(Data!$L:$L,Data!$B:$B=BB62,Data!$D:$D=$K62)),""""),"""")"),"")</f>
        <v/>
      </c>
      <c r="CM62" s="69" t="str">
        <f>IFERROR(__xludf.DUMMYFUNCTION("IF($K62&lt;&gt;"""",IFERROR(FILTER(RawTotals!$AJ:$AJ,RawTotals!$A:$A=BC62)-(FILTER(Data!$K:$K,Data!$B:$B=BC62,Data!$D:$D=$K62)+FILTER(Data!$L:$L,Data!$B:$B=BC62,Data!$D:$D=$K62)),""""),"""")"),"")</f>
        <v/>
      </c>
      <c r="CN62" s="69" t="str">
        <f>IFERROR(__xludf.DUMMYFUNCTION("IF($L62&lt;&gt;"""",IFERROR((FILTER(RawTotals!$AJ:$AJ,RawTotals!$A:$A=BD62)-(FILTER(Data!$K:$K,Data!$B:$B=BD62,Data!$D:$D=$L62)+FILTER(Data!$L:$L,Data!$B:$B=BD62,Data!$D:$D=$L62))),""""),"""")"),"")</f>
        <v/>
      </c>
      <c r="CO62" s="69" t="str">
        <f>IFERROR(__xludf.DUMMYFUNCTION("IF($L62&lt;&gt;"""",IFERROR((FILTER(RawTotals!$AJ:$AJ,RawTotals!$A:$A=BE62)-(FILTER(Data!$K:$K,Data!$B:$B=BE62,Data!$D:$D=$L62)+FILTER(Data!$L:$L,Data!$B:$B=BE62,Data!$D:$D=$L62))),""""),"""")"),"")</f>
        <v/>
      </c>
      <c r="CP62" s="69" t="str">
        <f>IFERROR(__xludf.DUMMYFUNCTION("IF($L62&lt;&gt;"""",IFERROR((FILTER(RawTotals!$AJ:$AJ,RawTotals!$A:$A=BF62)-(FILTER(Data!$K:$K,Data!$B:$B=BF62,Data!$D:$D=$L62)+FILTER(Data!$L:$L,Data!$B:$B=BF62,Data!$D:$D=$L62))),""""),"""")"),"")</f>
        <v/>
      </c>
      <c r="CQ62" s="69" t="str">
        <f>IFERROR(__xludf.DUMMYFUNCTION("IF($M62&lt;&gt;"""",IFERROR((FILTER(RawTotals!$AJ:$AJ,RawTotals!$A:$A=BG62)-(FILTER(Data!$K:$K,Data!$B:$B=BG62,Data!$D:$D=$M62)+FILTER(Data!$L:$L,Data!$B:$B=BG62,Data!$D:$D=$M62))),""""),"""")"),"")</f>
        <v/>
      </c>
      <c r="CR62" s="69" t="str">
        <f>IFERROR(__xludf.DUMMYFUNCTION("IF($M62&lt;&gt;"""",IFERROR((FILTER(RawTotals!$AJ:$AJ,RawTotals!$A:$A=BH62)-(FILTER(Data!$K:$K,Data!$B:$B=BH62,Data!$D:$D=$M62)+FILTER(Data!$L:$L,Data!$B:$B=BH62,Data!$D:$D=$M62))),""""),"""")"),"")</f>
        <v/>
      </c>
      <c r="CS62" s="70" t="str">
        <f>IFERROR(__xludf.DUMMYFUNCTION("IF($M62&lt;&gt;"""",IFERROR((FILTER(RawTotals!$AJ:$AJ,RawTotals!$A:$A=BI62)-(FILTER(Data!$K:$K,Data!$B:$B=BI62,Data!$D:$D=$M62)+FILTER(Data!$L:$L,Data!$B:$B=BI62,Data!$D:$D=$M62))),""""),"""")"),"")</f>
        <v/>
      </c>
      <c r="CT62" s="69"/>
      <c r="CU62" s="69"/>
      <c r="CV62" s="69"/>
      <c r="CW62" s="69"/>
      <c r="CX62" s="69"/>
      <c r="CY62" s="69"/>
      <c r="CZ62" s="69"/>
      <c r="DA62" s="69"/>
      <c r="DB62" s="69"/>
      <c r="DC62" s="69"/>
      <c r="DD62" s="69"/>
      <c r="DE62" s="69"/>
    </row>
    <row r="63">
      <c r="A63" s="65" t="str">
        <f>RawTotals!A63</f>
        <v/>
      </c>
      <c r="B63" s="68" t="str">
        <f>IFERROR(__xludf.DUMMYFUNCTION("IF(A63&lt;&gt;"""",IFERROR(TRANSPOSE(FILTER(Data!D:D,Data!B:B=A63,Data!R:R&lt;&gt;"""")),""No Defense""),"""")"),"")</f>
        <v/>
      </c>
      <c r="C63" s="65"/>
      <c r="D63" s="65"/>
      <c r="E63" s="65"/>
      <c r="F63" s="65"/>
      <c r="G63" s="65"/>
      <c r="H63" s="65"/>
      <c r="I63" s="65"/>
      <c r="J63" s="65"/>
      <c r="K63" s="65"/>
      <c r="L63" s="65"/>
      <c r="M63" s="65"/>
      <c r="N63" s="64" t="str">
        <f>IFERROR(__xludf.DUMMYFUNCTION("IFERROR(Textjoin("""",TRUE,FILTER(Data!$R:$R,Data!$D:$D=B63,Data!$B:$B=$A63)),"""")"),"")</f>
        <v/>
      </c>
      <c r="O63" s="64" t="str">
        <f>IFERROR(__xludf.DUMMYFUNCTION("IFERROR(Textjoin("""",TRUE,FILTER(Data!$R:$R,Data!$D:$D=C63,Data!$B:$B=$A63)),"""")"),"")</f>
        <v/>
      </c>
      <c r="P63" s="64" t="str">
        <f>IFERROR(__xludf.DUMMYFUNCTION("IFERROR(Textjoin("""",TRUE,FILTER(Data!$R:$R,Data!$D:$D=D63,Data!$B:$B=$A63)),"""")"),"")</f>
        <v/>
      </c>
      <c r="Q63" s="64" t="str">
        <f>IFERROR(__xludf.DUMMYFUNCTION("IFERROR(Textjoin("""",TRUE,FILTER(Data!$R:$R,Data!$D:$D=E63,Data!$B:$B=$A63)),"""")"),"")</f>
        <v/>
      </c>
      <c r="R63" s="64" t="str">
        <f>IFERROR(__xludf.DUMMYFUNCTION("IFERROR(Textjoin("""",TRUE,FILTER(Data!$R:$R,Data!$D:$D=F63,Data!$B:$B=$A63)),"""")"),"")</f>
        <v/>
      </c>
      <c r="S63" s="64" t="str">
        <f>IFERROR(__xludf.DUMMYFUNCTION("IFERROR(Textjoin("""",TRUE,FILTER(Data!$R:$R,Data!$D:$D=G63,Data!$B:$B=$A63)),"""")"),"")</f>
        <v/>
      </c>
      <c r="T63" s="64" t="str">
        <f>IFERROR(__xludf.DUMMYFUNCTION("IFERROR(Textjoin("""",TRUE,FILTER(Data!$R:$R,Data!$D:$D=H63,Data!$B:$B=$A63)),"""")"),"")</f>
        <v/>
      </c>
      <c r="U63" s="64" t="str">
        <f>IFERROR(__xludf.DUMMYFUNCTION("IFERROR(Textjoin("""",TRUE,FILTER(Data!$R:$R,Data!$D:$D=I63,Data!$B:$B=$A63)),"""")"),"")</f>
        <v/>
      </c>
      <c r="V63" s="64" t="str">
        <f>IFERROR(__xludf.DUMMYFUNCTION("IFERROR(Textjoin("""",TRUE,FILTER(Data!$R:$R,Data!$D:$D=J63,Data!$B:$B=$A63)),"""")"),"")</f>
        <v/>
      </c>
      <c r="W63" s="64" t="str">
        <f>IFERROR(__xludf.DUMMYFUNCTION("IFERROR(Textjoin("""",TRUE,FILTER(Data!$R:$R,Data!$D:$D=K63,Data!$B:$B=$A63)),"""")"),"")</f>
        <v/>
      </c>
      <c r="X63" s="64" t="str">
        <f>IFERROR(__xludf.DUMMYFUNCTION("IFERROR(Textjoin("""",TRUE,FILTER(Data!$R:$R,Data!$D:$D=L63,Data!$B:$B=$A63)),"""")"),"")</f>
        <v/>
      </c>
      <c r="Y63" s="64" t="str">
        <f>IFERROR(__xludf.DUMMYFUNCTION("IFERROR(Textjoin("""",TRUE,FILTER(Data!$R:$R,Data!$D:$D=M63,Data!$B:$B=$A63)),"""")"),"")</f>
        <v/>
      </c>
      <c r="Z63" s="64" t="str">
        <f>IFERROR(__xludf.DUMMYFUNCTION("IFERROR(SPLIT(N63,"",""),"""")"),"")</f>
        <v/>
      </c>
      <c r="AA63" s="65"/>
      <c r="AB63" s="65"/>
      <c r="AC63" s="69" t="str">
        <f>IFERROR(__xludf.DUMMYFUNCTION("IFERROR(SPLIT(O63,"",""),"""")"),"")</f>
        <v/>
      </c>
      <c r="AD63" s="65"/>
      <c r="AE63" s="65"/>
      <c r="AF63" s="69" t="str">
        <f>IFERROR(__xludf.DUMMYFUNCTION("IFERROR(SPLIT(P63,"",""),"""")"),"")</f>
        <v/>
      </c>
      <c r="AG63" s="65"/>
      <c r="AH63" s="65"/>
      <c r="AI63" s="69" t="str">
        <f>IFERROR(__xludf.DUMMYFUNCTION("IFERROR(SPLIT(Q63,"",""),"""")"),"")</f>
        <v/>
      </c>
      <c r="AJ63" s="65"/>
      <c r="AK63" s="65"/>
      <c r="AL63" s="69" t="str">
        <f>IFERROR(__xludf.DUMMYFUNCTION("IFERROR(SPLIT(R63,"",""),"""")"),"")</f>
        <v/>
      </c>
      <c r="AM63" s="65"/>
      <c r="AN63" s="65"/>
      <c r="AO63" s="69" t="str">
        <f>IFERROR(__xludf.DUMMYFUNCTION("IFERROR(SPLIT(S63,"",""),"""")"),"")</f>
        <v/>
      </c>
      <c r="AP63" s="65"/>
      <c r="AQ63" s="65"/>
      <c r="AR63" s="69" t="str">
        <f>IFERROR(__xludf.DUMMYFUNCTION("IFERROR(SPLIT(T63,"",""),"""")"),"")</f>
        <v/>
      </c>
      <c r="AS63" s="65"/>
      <c r="AT63" s="65"/>
      <c r="AU63" s="69" t="str">
        <f>IFERROR(__xludf.DUMMYFUNCTION("IFERROR(SPLIT(U63,"",""),"""")"),"")</f>
        <v/>
      </c>
      <c r="AV63" s="65"/>
      <c r="AW63" s="65"/>
      <c r="AX63" s="69" t="str">
        <f>IFERROR(__xludf.DUMMYFUNCTION("IFERROR(SPLIT(V63,"",""),"""")"),"")</f>
        <v/>
      </c>
      <c r="AY63" s="65"/>
      <c r="AZ63" s="65"/>
      <c r="BA63" s="69" t="str">
        <f>IFERROR(__xludf.DUMMYFUNCTION("IFERROR(SPLIT(W63,"",""),"""")"),"")</f>
        <v/>
      </c>
      <c r="BB63" s="69"/>
      <c r="BC63" s="69"/>
      <c r="BD63" s="69" t="str">
        <f>IFERROR(__xludf.DUMMYFUNCTION("IFERROR(SPLIT(X63,"",""),"""")"),"")</f>
        <v/>
      </c>
      <c r="BE63" s="69"/>
      <c r="BF63" s="69"/>
      <c r="BG63" s="69" t="str">
        <f>IFERROR(__xludf.DUMMYFUNCTION("IFERROR(SPLIT(Y63,"",""),"""")"),"")</f>
        <v/>
      </c>
      <c r="BH63" s="69"/>
      <c r="BI63" s="69"/>
      <c r="BJ63" s="68" t="str">
        <f>IFERROR(__xludf.DUMMYFUNCTION("IF($B63&lt;&gt;"""",IFERROR(FILTER(RawTotals!$AJ:$AJ,RawTotals!$A:$A=Z63)-(FILTER(Data!$K:$K,Data!$B:$B=Z63,Data!$D:$D=$B63)+FILTER(Data!$L:$L,Data!$B:$B=Z63,Data!$D:$D=$B63)),""""),"""")"),"")</f>
        <v/>
      </c>
      <c r="BK63" s="68" t="str">
        <f>IFERROR(__xludf.DUMMYFUNCTION("IF($B63&lt;&gt;"""",IFERROR(FILTER(RawTotals!$AJ:$AJ,RawTotals!$A:$A=AA63)-(FILTER(Data!$K:$K,Data!$B:$B=AA63,Data!$D:$D=$B63)+FILTER(Data!$L:$L,Data!$B:$B=AA63,Data!$D:$D=$B63)),""""),"""")"),"")</f>
        <v/>
      </c>
      <c r="BL63" s="68" t="str">
        <f>IFERROR(__xludf.DUMMYFUNCTION("IF($B63&lt;&gt;"""",IFERROR(FILTER(RawTotals!$AJ:$AJ,RawTotals!$A:$A=AB63)-(FILTER(Data!$K:$K,Data!$B:$B=AB63,Data!$D:$D=$B63)+FILTER(Data!$L:$L,Data!$B:$B=AB63,Data!$D:$D=$B63)),""""),"""")"),"")</f>
        <v/>
      </c>
      <c r="BM63" s="69" t="str">
        <f>IFERROR(__xludf.DUMMYFUNCTION("IF($C63&lt;&gt;"""",IFERROR(FILTER(RawTotals!$AJ:$AJ,RawTotals!$A:$A=AC63)-(FILTER(Data!$K:$K,Data!$B:$B=AC63,Data!$D:$D=$C63)+FILTER(Data!$L:$L,Data!$B:$B=AC63,Data!$D:$D=$C63)),""""),"""")"),"")</f>
        <v/>
      </c>
      <c r="BN63" s="69" t="str">
        <f>IFERROR(__xludf.DUMMYFUNCTION("IF($C63&lt;&gt;"""",IFERROR(FILTER(RawTotals!$AJ:$AJ,RawTotals!$A:$A=AD63)-(FILTER(Data!$K:$K,Data!$B:$B=AD63,Data!$D:$D=$C63)+FILTER(Data!$L:$L,Data!$B:$B=AD63,Data!$D:$D=$C63)),""""),"""")"),"")</f>
        <v/>
      </c>
      <c r="BO63" s="69" t="str">
        <f>IFERROR(__xludf.DUMMYFUNCTION("IF($C63&lt;&gt;"""",IFERROR(FILTER(RawTotals!$AJ:$AJ,RawTotals!$A:$A=AE63)-(FILTER(Data!$K:$K,Data!$B:$B=AE63,Data!$D:$D=$C63)+FILTER(Data!$L:$L,Data!$B:$B=AE63,Data!$D:$D=$C63)),""""),"""")"),"")</f>
        <v/>
      </c>
      <c r="BP63" s="69" t="str">
        <f>IFERROR(__xludf.DUMMYFUNCTION("IF($D63&lt;&gt;"""",IFERROR(FILTER(RawTotals!$AJ:$AJ,RawTotals!$A:$A=AF63)-(FILTER(Data!$K:$K,Data!$B:$B=AF63,Data!$D:$D=$D63)+FILTER(Data!$L:$L,Data!$B:$B=AF63,Data!$D:$D=$D63)),""""),"""")"),"")</f>
        <v/>
      </c>
      <c r="BQ63" s="69" t="str">
        <f>IFERROR(__xludf.DUMMYFUNCTION("IF($D63&lt;&gt;"""",IFERROR(FILTER(RawTotals!$AJ:$AJ,RawTotals!$A:$A=AG63)-(FILTER(Data!$K:$K,Data!$B:$B=AG63,Data!$D:$D=$D63)+FILTER(Data!$L:$L,Data!$B:$B=AG63,Data!$D:$D=$D63)),""""),"""")"),"")</f>
        <v/>
      </c>
      <c r="BR63" s="69" t="str">
        <f>IFERROR(__xludf.DUMMYFUNCTION("IF($D63&lt;&gt;"""",IFERROR(FILTER(RawTotals!$AJ:$AJ,RawTotals!$A:$A=AH63)-(FILTER(Data!$K:$K,Data!$B:$B=AH63,Data!$D:$D=$D63)+FILTER(Data!$L:$L,Data!$B:$B=AH63,Data!$D:$D=$D63)),""""),"""")"),"")</f>
        <v/>
      </c>
      <c r="BS63" s="69" t="str">
        <f>IFERROR(__xludf.DUMMYFUNCTION("IF($E63&lt;&gt;"""",IFERROR(FILTER(RawTotals!$AJ:$AJ,RawTotals!$A:$A=AI63)-(FILTER(Data!$K:$K,Data!$B:$B=AI63,Data!$D:$D=$E63)+FILTER(Data!$L:$L,Data!$B:$B=AI63,Data!$D:$D=$E63)),""""),"""")"),"")</f>
        <v/>
      </c>
      <c r="BT63" s="69" t="str">
        <f>IFERROR(__xludf.DUMMYFUNCTION("IF($E63&lt;&gt;"""",IFERROR(FILTER(RawTotals!$AJ:$AJ,RawTotals!$A:$A=AJ63)-(FILTER(Data!$K:$K,Data!$B:$B=AJ63,Data!$D:$D=$E63)+FILTER(Data!$L:$L,Data!$B:$B=AJ63,Data!$D:$D=$E63)),""""),"""")"),"")</f>
        <v/>
      </c>
      <c r="BU63" s="69" t="str">
        <f>IFERROR(__xludf.DUMMYFUNCTION("IF($E63&lt;&gt;"""",IFERROR(FILTER(RawTotals!$AJ:$AJ,RawTotals!$A:$A=AK63)-(FILTER(Data!$K:$K,Data!$B:$B=AK63,Data!$D:$D=$E63)+FILTER(Data!$L:$L,Data!$B:$B=AK63,Data!$D:$D=$E63)),""""),"""")"),"")</f>
        <v/>
      </c>
      <c r="BV63" s="69" t="str">
        <f>IFERROR(__xludf.DUMMYFUNCTION("IF($F63&lt;&gt;"""",IFERROR(FILTER(RawTotals!$AJ:$AJ,RawTotals!$A:$A=AL63)-(FILTER(Data!$K:$K,Data!$B:$B=AL63,Data!$D:$D=$F63)+FILTER(Data!$L:$L,Data!$B:$B=AL63,Data!$D:$D=$F63)),""""),"""")"),"")</f>
        <v/>
      </c>
      <c r="BW63" s="69" t="str">
        <f>IFERROR(__xludf.DUMMYFUNCTION("IF($F63&lt;&gt;"""",IFERROR(FILTER(RawTotals!$AJ:$AJ,RawTotals!$A:$A=AM63)-(FILTER(Data!$K:$K,Data!$B:$B=AM63,Data!$D:$D=$F63)+FILTER(Data!$L:$L,Data!$B:$B=AM63,Data!$D:$D=$F63)),""""),"""")"),"")</f>
        <v/>
      </c>
      <c r="BX63" s="69" t="str">
        <f>IFERROR(__xludf.DUMMYFUNCTION("IF($F63&lt;&gt;"""",IFERROR(FILTER(RawTotals!$AJ:$AJ,RawTotals!$A:$A=AN63)-(FILTER(Data!$K:$K,Data!$B:$B=AN63,Data!$D:$D=$F63)+FILTER(Data!$L:$L,Data!$B:$B=AN63,Data!$D:$D=$F63)),""""),"""")"),"")</f>
        <v/>
      </c>
      <c r="BY63" s="69" t="str">
        <f>IFERROR(__xludf.DUMMYFUNCTION("IF($G63&lt;&gt;"""",IFERROR(FILTER(RawTotals!$AJ:$AJ,RawTotals!$A:$A=AO63)-(FILTER(Data!$K:$K,Data!$B:$B=AO63,Data!$D:$D=$G63)+FILTER(Data!$L:$L,Data!$B:$B=AO63,Data!$D:$D=$G63)),""""),"""")"),"")</f>
        <v/>
      </c>
      <c r="BZ63" s="69" t="str">
        <f>IFERROR(__xludf.DUMMYFUNCTION("IF($G63&lt;&gt;"""",IFERROR(FILTER(RawTotals!$AJ:$AJ,RawTotals!$A:$A=AP63)-(FILTER(Data!$K:$K,Data!$B:$B=AP63,Data!$D:$D=$G63)+FILTER(Data!$L:$L,Data!$B:$B=AP63,Data!$D:$D=$G63)),""""),"""")"),"")</f>
        <v/>
      </c>
      <c r="CA63" s="69" t="str">
        <f>IFERROR(__xludf.DUMMYFUNCTION("IF($G63&lt;&gt;"""",IFERROR(FILTER(RawTotals!$AJ:$AJ,RawTotals!$A:$A=AQ63)-(FILTER(Data!$K:$K,Data!$B:$B=AQ63,Data!$D:$D=$G63)+FILTER(Data!$L:$L,Data!$B:$B=AQ63,Data!$D:$D=$G63)),""""),"""")"),"")</f>
        <v/>
      </c>
      <c r="CB63" s="69" t="str">
        <f>IFERROR(__xludf.DUMMYFUNCTION("IF($H63&lt;&gt;"""",IFERROR(FILTER(RawTotals!$AJ:$AJ,RawTotals!$A:$A=AR63)-(FILTER(Data!$K:$K,Data!$B:$B=AR63,Data!$D:$D=$H63)+FILTER(Data!$L:$L,Data!$B:$B=AR63,Data!$D:$D=$H63)),""""),"""")"),"")</f>
        <v/>
      </c>
      <c r="CC63" s="69" t="str">
        <f>IFERROR(__xludf.DUMMYFUNCTION("IF($H63&lt;&gt;"""",IFERROR(FILTER(RawTotals!$AJ:$AJ,RawTotals!$A:$A=AS63)-(FILTER(Data!$K:$K,Data!$B:$B=AS63,Data!$D:$D=$H63)+FILTER(Data!$L:$L,Data!$B:$B=AS63,Data!$D:$D=$H63)),""""),"""")"),"")</f>
        <v/>
      </c>
      <c r="CD63" s="69" t="str">
        <f>IFERROR(__xludf.DUMMYFUNCTION("IF($H63&lt;&gt;"""",IFERROR(FILTER(RawTotals!$AJ:$AJ,RawTotals!$A:$A=AT63)-(FILTER(Data!$K:$K,Data!$B:$B=AT63,Data!$D:$D=$H63)+FILTER(Data!$L:$L,Data!$B:$B=AT63,Data!$D:$D=$H63)),""""),"""")"),"")</f>
        <v/>
      </c>
      <c r="CE63" s="69" t="str">
        <f>IFERROR(__xludf.DUMMYFUNCTION("IF($I63&lt;&gt;"""",IFERROR(FILTER(RawTotals!$AJ:$AJ,RawTotals!$A:$A=AU63)-(FILTER(Data!$K:$K,Data!$B:$B=AU63,Data!$D:$D=$I63)+FILTER(Data!$L:$L,Data!$B:$B=AU63,Data!$D:$D=$I63)),""""),"""")"),"")</f>
        <v/>
      </c>
      <c r="CF63" s="69" t="str">
        <f>IFERROR(__xludf.DUMMYFUNCTION("IF($I63&lt;&gt;"""",IFERROR(FILTER(RawTotals!$AJ:$AJ,RawTotals!$A:$A=AV63)-(FILTER(Data!$K:$K,Data!$B:$B=AV63,Data!$D:$D=$I63)+FILTER(Data!$L:$L,Data!$B:$B=AV63,Data!$D:$D=$I63)),""""),"""")"),"")</f>
        <v/>
      </c>
      <c r="CG63" s="69" t="str">
        <f>IFERROR(__xludf.DUMMYFUNCTION("IF($I63&lt;&gt;"""",IFERROR(FILTER(RawTotals!$AJ:$AJ,RawTotals!$A:$A=AW63)-(FILTER(Data!$K:$K,Data!$B:$B=AW63,Data!$D:$D=$I63)+FILTER(Data!$L:$L,Data!$B:$B=AW63,Data!$D:$D=$I63)),""""),"""")"),"")</f>
        <v/>
      </c>
      <c r="CH63" s="69" t="str">
        <f>IFERROR(__xludf.DUMMYFUNCTION("IF($J63&lt;&gt;"""",IFERROR(FILTER(RawTotals!$AJ:$AJ,RawTotals!$A:$A=AX63)-(FILTER(Data!$K:$K,Data!$B:$B=AX63,Data!$D:$D=$J63)+FILTER(Data!$L:$L,Data!$B:$B=AX63,Data!$D:$D=$J63)),""""),"""")"),"")</f>
        <v/>
      </c>
      <c r="CI63" s="69" t="str">
        <f>IFERROR(__xludf.DUMMYFUNCTION("IF($J63&lt;&gt;"""",IFERROR(FILTER(RawTotals!$AJ:$AJ,RawTotals!$A:$A=AY63)-(FILTER(Data!$K:$K,Data!$B:$B=AY63,Data!$D:$D=$J63)+FILTER(Data!$L:$L,Data!$B:$B=AY63,Data!$D:$D=$J63)),""""),"""")"),"")</f>
        <v/>
      </c>
      <c r="CJ63" s="69" t="str">
        <f>IFERROR(__xludf.DUMMYFUNCTION("IF($J63&lt;&gt;"""",IFERROR(FILTER(RawTotals!$AJ:$AJ,RawTotals!$A:$A=AZ63)-(FILTER(Data!$K:$K,Data!$B:$B=AZ63,Data!$D:$D=$J63)+FILTER(Data!$L:$L,Data!$B:$B=AZ63,Data!$D:$D=$J63)),""""),"""")"),"")</f>
        <v/>
      </c>
      <c r="CK63" s="69" t="str">
        <f>IFERROR(__xludf.DUMMYFUNCTION("IF($K63&lt;&gt;"""",IFERROR(FILTER(RawTotals!$AJ:$AJ,RawTotals!$A:$A=BA63)-(FILTER(Data!$K:$K,Data!$B:$B=BA63,Data!$D:$D=$K63)+FILTER(Data!$L:$L,Data!$B:$B=BA63,Data!$D:$D=$K63)),""""),"""")"),"")</f>
        <v/>
      </c>
      <c r="CL63" s="69" t="str">
        <f>IFERROR(__xludf.DUMMYFUNCTION("IF($K63&lt;&gt;"""",IFERROR(FILTER(RawTotals!$AJ:$AJ,RawTotals!$A:$A=BB63)-(FILTER(Data!$K:$K,Data!$B:$B=BB63,Data!$D:$D=$K63)+FILTER(Data!$L:$L,Data!$B:$B=BB63,Data!$D:$D=$K63)),""""),"""")"),"")</f>
        <v/>
      </c>
      <c r="CM63" s="69" t="str">
        <f>IFERROR(__xludf.DUMMYFUNCTION("IF($K63&lt;&gt;"""",IFERROR(FILTER(RawTotals!$AJ:$AJ,RawTotals!$A:$A=BC63)-(FILTER(Data!$K:$K,Data!$B:$B=BC63,Data!$D:$D=$K63)+FILTER(Data!$L:$L,Data!$B:$B=BC63,Data!$D:$D=$K63)),""""),"""")"),"")</f>
        <v/>
      </c>
      <c r="CN63" s="69" t="str">
        <f>IFERROR(__xludf.DUMMYFUNCTION("IF($L63&lt;&gt;"""",IFERROR((FILTER(RawTotals!$AJ:$AJ,RawTotals!$A:$A=BD63)-(FILTER(Data!$K:$K,Data!$B:$B=BD63,Data!$D:$D=$L63)+FILTER(Data!$L:$L,Data!$B:$B=BD63,Data!$D:$D=$L63))),""""),"""")"),"")</f>
        <v/>
      </c>
      <c r="CO63" s="69" t="str">
        <f>IFERROR(__xludf.DUMMYFUNCTION("IF($L63&lt;&gt;"""",IFERROR((FILTER(RawTotals!$AJ:$AJ,RawTotals!$A:$A=BE63)-(FILTER(Data!$K:$K,Data!$B:$B=BE63,Data!$D:$D=$L63)+FILTER(Data!$L:$L,Data!$B:$B=BE63,Data!$D:$D=$L63))),""""),"""")"),"")</f>
        <v/>
      </c>
      <c r="CP63" s="69" t="str">
        <f>IFERROR(__xludf.DUMMYFUNCTION("IF($L63&lt;&gt;"""",IFERROR((FILTER(RawTotals!$AJ:$AJ,RawTotals!$A:$A=BF63)-(FILTER(Data!$K:$K,Data!$B:$B=BF63,Data!$D:$D=$L63)+FILTER(Data!$L:$L,Data!$B:$B=BF63,Data!$D:$D=$L63))),""""),"""")"),"")</f>
        <v/>
      </c>
      <c r="CQ63" s="69" t="str">
        <f>IFERROR(__xludf.DUMMYFUNCTION("IF($M63&lt;&gt;"""",IFERROR((FILTER(RawTotals!$AJ:$AJ,RawTotals!$A:$A=BG63)-(FILTER(Data!$K:$K,Data!$B:$B=BG63,Data!$D:$D=$M63)+FILTER(Data!$L:$L,Data!$B:$B=BG63,Data!$D:$D=$M63))),""""),"""")"),"")</f>
        <v/>
      </c>
      <c r="CR63" s="69" t="str">
        <f>IFERROR(__xludf.DUMMYFUNCTION("IF($M63&lt;&gt;"""",IFERROR((FILTER(RawTotals!$AJ:$AJ,RawTotals!$A:$A=BH63)-(FILTER(Data!$K:$K,Data!$B:$B=BH63,Data!$D:$D=$M63)+FILTER(Data!$L:$L,Data!$B:$B=BH63,Data!$D:$D=$M63))),""""),"""")"),"")</f>
        <v/>
      </c>
      <c r="CS63" s="70" t="str">
        <f>IFERROR(__xludf.DUMMYFUNCTION("IF($M63&lt;&gt;"""",IFERROR((FILTER(RawTotals!$AJ:$AJ,RawTotals!$A:$A=BI63)-(FILTER(Data!$K:$K,Data!$B:$B=BI63,Data!$D:$D=$M63)+FILTER(Data!$L:$L,Data!$B:$B=BI63,Data!$D:$D=$M63))),""""),"""")"),"")</f>
        <v/>
      </c>
      <c r="CT63" s="69"/>
      <c r="CU63" s="69"/>
      <c r="CV63" s="69"/>
      <c r="CW63" s="69"/>
      <c r="CX63" s="69"/>
      <c r="CY63" s="69"/>
      <c r="CZ63" s="69"/>
      <c r="DA63" s="69"/>
      <c r="DB63" s="69"/>
      <c r="DC63" s="69"/>
      <c r="DD63" s="69"/>
      <c r="DE63" s="69"/>
    </row>
    <row r="64">
      <c r="A64" s="65" t="str">
        <f>RawTotals!A64</f>
        <v/>
      </c>
      <c r="B64" s="68" t="str">
        <f>IFERROR(__xludf.DUMMYFUNCTION("IF(A64&lt;&gt;"""",IFERROR(TRANSPOSE(FILTER(Data!D:D,Data!B:B=A64,Data!R:R&lt;&gt;"""")),""No Defense""),"""")"),"")</f>
        <v/>
      </c>
      <c r="C64" s="65"/>
      <c r="D64" s="65"/>
      <c r="E64" s="65"/>
      <c r="F64" s="65"/>
      <c r="G64" s="65"/>
      <c r="H64" s="65"/>
      <c r="I64" s="65"/>
      <c r="J64" s="65"/>
      <c r="K64" s="65"/>
      <c r="L64" s="65"/>
      <c r="M64" s="65"/>
      <c r="N64" s="64" t="str">
        <f>IFERROR(__xludf.DUMMYFUNCTION("IFERROR(Textjoin("""",TRUE,FILTER(Data!$R:$R,Data!$D:$D=B64,Data!$B:$B=$A64)),"""")"),"")</f>
        <v/>
      </c>
      <c r="O64" s="64" t="str">
        <f>IFERROR(__xludf.DUMMYFUNCTION("IFERROR(Textjoin("""",TRUE,FILTER(Data!$R:$R,Data!$D:$D=C64,Data!$B:$B=$A64)),"""")"),"")</f>
        <v/>
      </c>
      <c r="P64" s="64" t="str">
        <f>IFERROR(__xludf.DUMMYFUNCTION("IFERROR(Textjoin("""",TRUE,FILTER(Data!$R:$R,Data!$D:$D=D64,Data!$B:$B=$A64)),"""")"),"")</f>
        <v/>
      </c>
      <c r="Q64" s="64" t="str">
        <f>IFERROR(__xludf.DUMMYFUNCTION("IFERROR(Textjoin("""",TRUE,FILTER(Data!$R:$R,Data!$D:$D=E64,Data!$B:$B=$A64)),"""")"),"")</f>
        <v/>
      </c>
      <c r="R64" s="64" t="str">
        <f>IFERROR(__xludf.DUMMYFUNCTION("IFERROR(Textjoin("""",TRUE,FILTER(Data!$R:$R,Data!$D:$D=F64,Data!$B:$B=$A64)),"""")"),"")</f>
        <v/>
      </c>
      <c r="S64" s="64" t="str">
        <f>IFERROR(__xludf.DUMMYFUNCTION("IFERROR(Textjoin("""",TRUE,FILTER(Data!$R:$R,Data!$D:$D=G64,Data!$B:$B=$A64)),"""")"),"")</f>
        <v/>
      </c>
      <c r="T64" s="64" t="str">
        <f>IFERROR(__xludf.DUMMYFUNCTION("IFERROR(Textjoin("""",TRUE,FILTER(Data!$R:$R,Data!$D:$D=H64,Data!$B:$B=$A64)),"""")"),"")</f>
        <v/>
      </c>
      <c r="U64" s="64" t="str">
        <f>IFERROR(__xludf.DUMMYFUNCTION("IFERROR(Textjoin("""",TRUE,FILTER(Data!$R:$R,Data!$D:$D=I64,Data!$B:$B=$A64)),"""")"),"")</f>
        <v/>
      </c>
      <c r="V64" s="64" t="str">
        <f>IFERROR(__xludf.DUMMYFUNCTION("IFERROR(Textjoin("""",TRUE,FILTER(Data!$R:$R,Data!$D:$D=J64,Data!$B:$B=$A64)),"""")"),"")</f>
        <v/>
      </c>
      <c r="W64" s="64" t="str">
        <f>IFERROR(__xludf.DUMMYFUNCTION("IFERROR(Textjoin("""",TRUE,FILTER(Data!$R:$R,Data!$D:$D=K64,Data!$B:$B=$A64)),"""")"),"")</f>
        <v/>
      </c>
      <c r="X64" s="64" t="str">
        <f>IFERROR(__xludf.DUMMYFUNCTION("IFERROR(Textjoin("""",TRUE,FILTER(Data!$R:$R,Data!$D:$D=L64,Data!$B:$B=$A64)),"""")"),"")</f>
        <v/>
      </c>
      <c r="Y64" s="64" t="str">
        <f>IFERROR(__xludf.DUMMYFUNCTION("IFERROR(Textjoin("""",TRUE,FILTER(Data!$R:$R,Data!$D:$D=M64,Data!$B:$B=$A64)),"""")"),"")</f>
        <v/>
      </c>
      <c r="Z64" s="64" t="str">
        <f>IFERROR(__xludf.DUMMYFUNCTION("IFERROR(SPLIT(N64,"",""),"""")"),"")</f>
        <v/>
      </c>
      <c r="AA64" s="65"/>
      <c r="AB64" s="65"/>
      <c r="AC64" s="69" t="str">
        <f>IFERROR(__xludf.DUMMYFUNCTION("IFERROR(SPLIT(O64,"",""),"""")"),"")</f>
        <v/>
      </c>
      <c r="AD64" s="65"/>
      <c r="AE64" s="65"/>
      <c r="AF64" s="69" t="str">
        <f>IFERROR(__xludf.DUMMYFUNCTION("IFERROR(SPLIT(P64,"",""),"""")"),"")</f>
        <v/>
      </c>
      <c r="AG64" s="65"/>
      <c r="AH64" s="65"/>
      <c r="AI64" s="69" t="str">
        <f>IFERROR(__xludf.DUMMYFUNCTION("IFERROR(SPLIT(Q64,"",""),"""")"),"")</f>
        <v/>
      </c>
      <c r="AJ64" s="65"/>
      <c r="AK64" s="65"/>
      <c r="AL64" s="69" t="str">
        <f>IFERROR(__xludf.DUMMYFUNCTION("IFERROR(SPLIT(R64,"",""),"""")"),"")</f>
        <v/>
      </c>
      <c r="AM64" s="65"/>
      <c r="AN64" s="65"/>
      <c r="AO64" s="69" t="str">
        <f>IFERROR(__xludf.DUMMYFUNCTION("IFERROR(SPLIT(S64,"",""),"""")"),"")</f>
        <v/>
      </c>
      <c r="AP64" s="65"/>
      <c r="AQ64" s="65"/>
      <c r="AR64" s="69" t="str">
        <f>IFERROR(__xludf.DUMMYFUNCTION("IFERROR(SPLIT(T64,"",""),"""")"),"")</f>
        <v/>
      </c>
      <c r="AS64" s="65"/>
      <c r="AT64" s="65"/>
      <c r="AU64" s="69" t="str">
        <f>IFERROR(__xludf.DUMMYFUNCTION("IFERROR(SPLIT(U64,"",""),"""")"),"")</f>
        <v/>
      </c>
      <c r="AV64" s="65"/>
      <c r="AW64" s="65"/>
      <c r="AX64" s="69" t="str">
        <f>IFERROR(__xludf.DUMMYFUNCTION("IFERROR(SPLIT(V64,"",""),"""")"),"")</f>
        <v/>
      </c>
      <c r="AY64" s="65"/>
      <c r="AZ64" s="65"/>
      <c r="BA64" s="69" t="str">
        <f>IFERROR(__xludf.DUMMYFUNCTION("IFERROR(SPLIT(W64,"",""),"""")"),"")</f>
        <v/>
      </c>
      <c r="BB64" s="69"/>
      <c r="BC64" s="69"/>
      <c r="BD64" s="69" t="str">
        <f>IFERROR(__xludf.DUMMYFUNCTION("IFERROR(SPLIT(X64,"",""),"""")"),"")</f>
        <v/>
      </c>
      <c r="BE64" s="69"/>
      <c r="BF64" s="69"/>
      <c r="BG64" s="69" t="str">
        <f>IFERROR(__xludf.DUMMYFUNCTION("IFERROR(SPLIT(Y64,"",""),"""")"),"")</f>
        <v/>
      </c>
      <c r="BH64" s="69"/>
      <c r="BI64" s="69"/>
      <c r="BJ64" s="68" t="str">
        <f>IFERROR(__xludf.DUMMYFUNCTION("IF($B64&lt;&gt;"""",IFERROR(FILTER(RawTotals!$AJ:$AJ,RawTotals!$A:$A=Z64)-(FILTER(Data!$K:$K,Data!$B:$B=Z64,Data!$D:$D=$B64)+FILTER(Data!$L:$L,Data!$B:$B=Z64,Data!$D:$D=$B64)),""""),"""")"),"")</f>
        <v/>
      </c>
      <c r="BK64" s="68" t="str">
        <f>IFERROR(__xludf.DUMMYFUNCTION("IF($B64&lt;&gt;"""",IFERROR(FILTER(RawTotals!$AJ:$AJ,RawTotals!$A:$A=AA64)-(FILTER(Data!$K:$K,Data!$B:$B=AA64,Data!$D:$D=$B64)+FILTER(Data!$L:$L,Data!$B:$B=AA64,Data!$D:$D=$B64)),""""),"""")"),"")</f>
        <v/>
      </c>
      <c r="BL64" s="68" t="str">
        <f>IFERROR(__xludf.DUMMYFUNCTION("IF($B64&lt;&gt;"""",IFERROR(FILTER(RawTotals!$AJ:$AJ,RawTotals!$A:$A=AB64)-(FILTER(Data!$K:$K,Data!$B:$B=AB64,Data!$D:$D=$B64)+FILTER(Data!$L:$L,Data!$B:$B=AB64,Data!$D:$D=$B64)),""""),"""")"),"")</f>
        <v/>
      </c>
      <c r="BM64" s="69" t="str">
        <f>IFERROR(__xludf.DUMMYFUNCTION("IF($C64&lt;&gt;"""",IFERROR(FILTER(RawTotals!$AJ:$AJ,RawTotals!$A:$A=AC64)-(FILTER(Data!$K:$K,Data!$B:$B=AC64,Data!$D:$D=$C64)+FILTER(Data!$L:$L,Data!$B:$B=AC64,Data!$D:$D=$C64)),""""),"""")"),"")</f>
        <v/>
      </c>
      <c r="BN64" s="69" t="str">
        <f>IFERROR(__xludf.DUMMYFUNCTION("IF($C64&lt;&gt;"""",IFERROR(FILTER(RawTotals!$AJ:$AJ,RawTotals!$A:$A=AD64)-(FILTER(Data!$K:$K,Data!$B:$B=AD64,Data!$D:$D=$C64)+FILTER(Data!$L:$L,Data!$B:$B=AD64,Data!$D:$D=$C64)),""""),"""")"),"")</f>
        <v/>
      </c>
      <c r="BO64" s="69" t="str">
        <f>IFERROR(__xludf.DUMMYFUNCTION("IF($C64&lt;&gt;"""",IFERROR(FILTER(RawTotals!$AJ:$AJ,RawTotals!$A:$A=AE64)-(FILTER(Data!$K:$K,Data!$B:$B=AE64,Data!$D:$D=$C64)+FILTER(Data!$L:$L,Data!$B:$B=AE64,Data!$D:$D=$C64)),""""),"""")"),"")</f>
        <v/>
      </c>
      <c r="BP64" s="69" t="str">
        <f>IFERROR(__xludf.DUMMYFUNCTION("IF($D64&lt;&gt;"""",IFERROR(FILTER(RawTotals!$AJ:$AJ,RawTotals!$A:$A=AF64)-(FILTER(Data!$K:$K,Data!$B:$B=AF64,Data!$D:$D=$D64)+FILTER(Data!$L:$L,Data!$B:$B=AF64,Data!$D:$D=$D64)),""""),"""")"),"")</f>
        <v/>
      </c>
      <c r="BQ64" s="69" t="str">
        <f>IFERROR(__xludf.DUMMYFUNCTION("IF($D64&lt;&gt;"""",IFERROR(FILTER(RawTotals!$AJ:$AJ,RawTotals!$A:$A=AG64)-(FILTER(Data!$K:$K,Data!$B:$B=AG64,Data!$D:$D=$D64)+FILTER(Data!$L:$L,Data!$B:$B=AG64,Data!$D:$D=$D64)),""""),"""")"),"")</f>
        <v/>
      </c>
      <c r="BR64" s="69" t="str">
        <f>IFERROR(__xludf.DUMMYFUNCTION("IF($D64&lt;&gt;"""",IFERROR(FILTER(RawTotals!$AJ:$AJ,RawTotals!$A:$A=AH64)-(FILTER(Data!$K:$K,Data!$B:$B=AH64,Data!$D:$D=$D64)+FILTER(Data!$L:$L,Data!$B:$B=AH64,Data!$D:$D=$D64)),""""),"""")"),"")</f>
        <v/>
      </c>
      <c r="BS64" s="69" t="str">
        <f>IFERROR(__xludf.DUMMYFUNCTION("IF($E64&lt;&gt;"""",IFERROR(FILTER(RawTotals!$AJ:$AJ,RawTotals!$A:$A=AI64)-(FILTER(Data!$K:$K,Data!$B:$B=AI64,Data!$D:$D=$E64)+FILTER(Data!$L:$L,Data!$B:$B=AI64,Data!$D:$D=$E64)),""""),"""")"),"")</f>
        <v/>
      </c>
      <c r="BT64" s="69" t="str">
        <f>IFERROR(__xludf.DUMMYFUNCTION("IF($E64&lt;&gt;"""",IFERROR(FILTER(RawTotals!$AJ:$AJ,RawTotals!$A:$A=AJ64)-(FILTER(Data!$K:$K,Data!$B:$B=AJ64,Data!$D:$D=$E64)+FILTER(Data!$L:$L,Data!$B:$B=AJ64,Data!$D:$D=$E64)),""""),"""")"),"")</f>
        <v/>
      </c>
      <c r="BU64" s="69" t="str">
        <f>IFERROR(__xludf.DUMMYFUNCTION("IF($E64&lt;&gt;"""",IFERROR(FILTER(RawTotals!$AJ:$AJ,RawTotals!$A:$A=AK64)-(FILTER(Data!$K:$K,Data!$B:$B=AK64,Data!$D:$D=$E64)+FILTER(Data!$L:$L,Data!$B:$B=AK64,Data!$D:$D=$E64)),""""),"""")"),"")</f>
        <v/>
      </c>
      <c r="BV64" s="69" t="str">
        <f>IFERROR(__xludf.DUMMYFUNCTION("IF($F64&lt;&gt;"""",IFERROR(FILTER(RawTotals!$AJ:$AJ,RawTotals!$A:$A=AL64)-(FILTER(Data!$K:$K,Data!$B:$B=AL64,Data!$D:$D=$F64)+FILTER(Data!$L:$L,Data!$B:$B=AL64,Data!$D:$D=$F64)),""""),"""")"),"")</f>
        <v/>
      </c>
      <c r="BW64" s="69" t="str">
        <f>IFERROR(__xludf.DUMMYFUNCTION("IF($F64&lt;&gt;"""",IFERROR(FILTER(RawTotals!$AJ:$AJ,RawTotals!$A:$A=AM64)-(FILTER(Data!$K:$K,Data!$B:$B=AM64,Data!$D:$D=$F64)+FILTER(Data!$L:$L,Data!$B:$B=AM64,Data!$D:$D=$F64)),""""),"""")"),"")</f>
        <v/>
      </c>
      <c r="BX64" s="69" t="str">
        <f>IFERROR(__xludf.DUMMYFUNCTION("IF($F64&lt;&gt;"""",IFERROR(FILTER(RawTotals!$AJ:$AJ,RawTotals!$A:$A=AN64)-(FILTER(Data!$K:$K,Data!$B:$B=AN64,Data!$D:$D=$F64)+FILTER(Data!$L:$L,Data!$B:$B=AN64,Data!$D:$D=$F64)),""""),"""")"),"")</f>
        <v/>
      </c>
      <c r="BY64" s="69" t="str">
        <f>IFERROR(__xludf.DUMMYFUNCTION("IF($G64&lt;&gt;"""",IFERROR(FILTER(RawTotals!$AJ:$AJ,RawTotals!$A:$A=AO64)-(FILTER(Data!$K:$K,Data!$B:$B=AO64,Data!$D:$D=$G64)+FILTER(Data!$L:$L,Data!$B:$B=AO64,Data!$D:$D=$G64)),""""),"""")"),"")</f>
        <v/>
      </c>
      <c r="BZ64" s="69" t="str">
        <f>IFERROR(__xludf.DUMMYFUNCTION("IF($G64&lt;&gt;"""",IFERROR(FILTER(RawTotals!$AJ:$AJ,RawTotals!$A:$A=AP64)-(FILTER(Data!$K:$K,Data!$B:$B=AP64,Data!$D:$D=$G64)+FILTER(Data!$L:$L,Data!$B:$B=AP64,Data!$D:$D=$G64)),""""),"""")"),"")</f>
        <v/>
      </c>
      <c r="CA64" s="69" t="str">
        <f>IFERROR(__xludf.DUMMYFUNCTION("IF($G64&lt;&gt;"""",IFERROR(FILTER(RawTotals!$AJ:$AJ,RawTotals!$A:$A=AQ64)-(FILTER(Data!$K:$K,Data!$B:$B=AQ64,Data!$D:$D=$G64)+FILTER(Data!$L:$L,Data!$B:$B=AQ64,Data!$D:$D=$G64)),""""),"""")"),"")</f>
        <v/>
      </c>
      <c r="CB64" s="69" t="str">
        <f>IFERROR(__xludf.DUMMYFUNCTION("IF($H64&lt;&gt;"""",IFERROR(FILTER(RawTotals!$AJ:$AJ,RawTotals!$A:$A=AR64)-(FILTER(Data!$K:$K,Data!$B:$B=AR64,Data!$D:$D=$H64)+FILTER(Data!$L:$L,Data!$B:$B=AR64,Data!$D:$D=$H64)),""""),"""")"),"")</f>
        <v/>
      </c>
      <c r="CC64" s="69" t="str">
        <f>IFERROR(__xludf.DUMMYFUNCTION("IF($H64&lt;&gt;"""",IFERROR(FILTER(RawTotals!$AJ:$AJ,RawTotals!$A:$A=AS64)-(FILTER(Data!$K:$K,Data!$B:$B=AS64,Data!$D:$D=$H64)+FILTER(Data!$L:$L,Data!$B:$B=AS64,Data!$D:$D=$H64)),""""),"""")"),"")</f>
        <v/>
      </c>
      <c r="CD64" s="69" t="str">
        <f>IFERROR(__xludf.DUMMYFUNCTION("IF($H64&lt;&gt;"""",IFERROR(FILTER(RawTotals!$AJ:$AJ,RawTotals!$A:$A=AT64)-(FILTER(Data!$K:$K,Data!$B:$B=AT64,Data!$D:$D=$H64)+FILTER(Data!$L:$L,Data!$B:$B=AT64,Data!$D:$D=$H64)),""""),"""")"),"")</f>
        <v/>
      </c>
      <c r="CE64" s="69" t="str">
        <f>IFERROR(__xludf.DUMMYFUNCTION("IF($I64&lt;&gt;"""",IFERROR(FILTER(RawTotals!$AJ:$AJ,RawTotals!$A:$A=AU64)-(FILTER(Data!$K:$K,Data!$B:$B=AU64,Data!$D:$D=$I64)+FILTER(Data!$L:$L,Data!$B:$B=AU64,Data!$D:$D=$I64)),""""),"""")"),"")</f>
        <v/>
      </c>
      <c r="CF64" s="69" t="str">
        <f>IFERROR(__xludf.DUMMYFUNCTION("IF($I64&lt;&gt;"""",IFERROR(FILTER(RawTotals!$AJ:$AJ,RawTotals!$A:$A=AV64)-(FILTER(Data!$K:$K,Data!$B:$B=AV64,Data!$D:$D=$I64)+FILTER(Data!$L:$L,Data!$B:$B=AV64,Data!$D:$D=$I64)),""""),"""")"),"")</f>
        <v/>
      </c>
      <c r="CG64" s="69" t="str">
        <f>IFERROR(__xludf.DUMMYFUNCTION("IF($I64&lt;&gt;"""",IFERROR(FILTER(RawTotals!$AJ:$AJ,RawTotals!$A:$A=AW64)-(FILTER(Data!$K:$K,Data!$B:$B=AW64,Data!$D:$D=$I64)+FILTER(Data!$L:$L,Data!$B:$B=AW64,Data!$D:$D=$I64)),""""),"""")"),"")</f>
        <v/>
      </c>
      <c r="CH64" s="69" t="str">
        <f>IFERROR(__xludf.DUMMYFUNCTION("IF($J64&lt;&gt;"""",IFERROR(FILTER(RawTotals!$AJ:$AJ,RawTotals!$A:$A=AX64)-(FILTER(Data!$K:$K,Data!$B:$B=AX64,Data!$D:$D=$J64)+FILTER(Data!$L:$L,Data!$B:$B=AX64,Data!$D:$D=$J64)),""""),"""")"),"")</f>
        <v/>
      </c>
      <c r="CI64" s="69" t="str">
        <f>IFERROR(__xludf.DUMMYFUNCTION("IF($J64&lt;&gt;"""",IFERROR(FILTER(RawTotals!$AJ:$AJ,RawTotals!$A:$A=AY64)-(FILTER(Data!$K:$K,Data!$B:$B=AY64,Data!$D:$D=$J64)+FILTER(Data!$L:$L,Data!$B:$B=AY64,Data!$D:$D=$J64)),""""),"""")"),"")</f>
        <v/>
      </c>
      <c r="CJ64" s="69" t="str">
        <f>IFERROR(__xludf.DUMMYFUNCTION("IF($J64&lt;&gt;"""",IFERROR(FILTER(RawTotals!$AJ:$AJ,RawTotals!$A:$A=AZ64)-(FILTER(Data!$K:$K,Data!$B:$B=AZ64,Data!$D:$D=$J64)+FILTER(Data!$L:$L,Data!$B:$B=AZ64,Data!$D:$D=$J64)),""""),"""")"),"")</f>
        <v/>
      </c>
      <c r="CK64" s="69" t="str">
        <f>IFERROR(__xludf.DUMMYFUNCTION("IF($K64&lt;&gt;"""",IFERROR(FILTER(RawTotals!$AJ:$AJ,RawTotals!$A:$A=BA64)-(FILTER(Data!$K:$K,Data!$B:$B=BA64,Data!$D:$D=$K64)+FILTER(Data!$L:$L,Data!$B:$B=BA64,Data!$D:$D=$K64)),""""),"""")"),"")</f>
        <v/>
      </c>
      <c r="CL64" s="69" t="str">
        <f>IFERROR(__xludf.DUMMYFUNCTION("IF($K64&lt;&gt;"""",IFERROR(FILTER(RawTotals!$AJ:$AJ,RawTotals!$A:$A=BB64)-(FILTER(Data!$K:$K,Data!$B:$B=BB64,Data!$D:$D=$K64)+FILTER(Data!$L:$L,Data!$B:$B=BB64,Data!$D:$D=$K64)),""""),"""")"),"")</f>
        <v/>
      </c>
      <c r="CM64" s="69" t="str">
        <f>IFERROR(__xludf.DUMMYFUNCTION("IF($K64&lt;&gt;"""",IFERROR(FILTER(RawTotals!$AJ:$AJ,RawTotals!$A:$A=BC64)-(FILTER(Data!$K:$K,Data!$B:$B=BC64,Data!$D:$D=$K64)+FILTER(Data!$L:$L,Data!$B:$B=BC64,Data!$D:$D=$K64)),""""),"""")"),"")</f>
        <v/>
      </c>
      <c r="CN64" s="69" t="str">
        <f>IFERROR(__xludf.DUMMYFUNCTION("IF($L64&lt;&gt;"""",IFERROR((FILTER(RawTotals!$AJ:$AJ,RawTotals!$A:$A=BD64)-(FILTER(Data!$K:$K,Data!$B:$B=BD64,Data!$D:$D=$L64)+FILTER(Data!$L:$L,Data!$B:$B=BD64,Data!$D:$D=$L64))),""""),"""")"),"")</f>
        <v/>
      </c>
      <c r="CO64" s="69" t="str">
        <f>IFERROR(__xludf.DUMMYFUNCTION("IF($L64&lt;&gt;"""",IFERROR((FILTER(RawTotals!$AJ:$AJ,RawTotals!$A:$A=BE64)-(FILTER(Data!$K:$K,Data!$B:$B=BE64,Data!$D:$D=$L64)+FILTER(Data!$L:$L,Data!$B:$B=BE64,Data!$D:$D=$L64))),""""),"""")"),"")</f>
        <v/>
      </c>
      <c r="CP64" s="69" t="str">
        <f>IFERROR(__xludf.DUMMYFUNCTION("IF($L64&lt;&gt;"""",IFERROR((FILTER(RawTotals!$AJ:$AJ,RawTotals!$A:$A=BF64)-(FILTER(Data!$K:$K,Data!$B:$B=BF64,Data!$D:$D=$L64)+FILTER(Data!$L:$L,Data!$B:$B=BF64,Data!$D:$D=$L64))),""""),"""")"),"")</f>
        <v/>
      </c>
      <c r="CQ64" s="69" t="str">
        <f>IFERROR(__xludf.DUMMYFUNCTION("IF($M64&lt;&gt;"""",IFERROR((FILTER(RawTotals!$AJ:$AJ,RawTotals!$A:$A=BG64)-(FILTER(Data!$K:$K,Data!$B:$B=BG64,Data!$D:$D=$M64)+FILTER(Data!$L:$L,Data!$B:$B=BG64,Data!$D:$D=$M64))),""""),"""")"),"")</f>
        <v/>
      </c>
      <c r="CR64" s="69" t="str">
        <f>IFERROR(__xludf.DUMMYFUNCTION("IF($M64&lt;&gt;"""",IFERROR((FILTER(RawTotals!$AJ:$AJ,RawTotals!$A:$A=BH64)-(FILTER(Data!$K:$K,Data!$B:$B=BH64,Data!$D:$D=$M64)+FILTER(Data!$L:$L,Data!$B:$B=BH64,Data!$D:$D=$M64))),""""),"""")"),"")</f>
        <v/>
      </c>
      <c r="CS64" s="70" t="str">
        <f>IFERROR(__xludf.DUMMYFUNCTION("IF($M64&lt;&gt;"""",IFERROR((FILTER(RawTotals!$AJ:$AJ,RawTotals!$A:$A=BI64)-(FILTER(Data!$K:$K,Data!$B:$B=BI64,Data!$D:$D=$M64)+FILTER(Data!$L:$L,Data!$B:$B=BI64,Data!$D:$D=$M64))),""""),"""")"),"")</f>
        <v/>
      </c>
      <c r="CT64" s="69"/>
      <c r="CU64" s="69"/>
      <c r="CV64" s="69"/>
      <c r="CW64" s="69"/>
      <c r="CX64" s="69"/>
      <c r="CY64" s="69"/>
      <c r="CZ64" s="69"/>
      <c r="DA64" s="69"/>
      <c r="DB64" s="69"/>
      <c r="DC64" s="69"/>
      <c r="DD64" s="69"/>
      <c r="DE64" s="69"/>
    </row>
    <row r="65">
      <c r="A65" s="65" t="str">
        <f>RawTotals!A65</f>
        <v/>
      </c>
      <c r="B65" s="68" t="str">
        <f>IFERROR(__xludf.DUMMYFUNCTION("IF(A65&lt;&gt;"""",IFERROR(TRANSPOSE(FILTER(Data!D:D,Data!B:B=A65,Data!R:R&lt;&gt;"""")),""No Defense""),"""")"),"")</f>
        <v/>
      </c>
      <c r="C65" s="65"/>
      <c r="D65" s="65"/>
      <c r="E65" s="65"/>
      <c r="F65" s="65"/>
      <c r="G65" s="65"/>
      <c r="H65" s="65"/>
      <c r="I65" s="65"/>
      <c r="J65" s="65"/>
      <c r="K65" s="65"/>
      <c r="L65" s="65"/>
      <c r="M65" s="65"/>
      <c r="N65" s="64" t="str">
        <f>IFERROR(__xludf.DUMMYFUNCTION("IFERROR(Textjoin("""",TRUE,FILTER(Data!$R:$R,Data!$D:$D=B65,Data!$B:$B=$A65)),"""")"),"")</f>
        <v/>
      </c>
      <c r="O65" s="64" t="str">
        <f>IFERROR(__xludf.DUMMYFUNCTION("IFERROR(Textjoin("""",TRUE,FILTER(Data!$R:$R,Data!$D:$D=C65,Data!$B:$B=$A65)),"""")"),"")</f>
        <v/>
      </c>
      <c r="P65" s="64" t="str">
        <f>IFERROR(__xludf.DUMMYFUNCTION("IFERROR(Textjoin("""",TRUE,FILTER(Data!$R:$R,Data!$D:$D=D65,Data!$B:$B=$A65)),"""")"),"")</f>
        <v/>
      </c>
      <c r="Q65" s="64" t="str">
        <f>IFERROR(__xludf.DUMMYFUNCTION("IFERROR(Textjoin("""",TRUE,FILTER(Data!$R:$R,Data!$D:$D=E65,Data!$B:$B=$A65)),"""")"),"")</f>
        <v/>
      </c>
      <c r="R65" s="64" t="str">
        <f>IFERROR(__xludf.DUMMYFUNCTION("IFERROR(Textjoin("""",TRUE,FILTER(Data!$R:$R,Data!$D:$D=F65,Data!$B:$B=$A65)),"""")"),"")</f>
        <v/>
      </c>
      <c r="S65" s="64" t="str">
        <f>IFERROR(__xludf.DUMMYFUNCTION("IFERROR(Textjoin("""",TRUE,FILTER(Data!$R:$R,Data!$D:$D=G65,Data!$B:$B=$A65)),"""")"),"")</f>
        <v/>
      </c>
      <c r="T65" s="64" t="str">
        <f>IFERROR(__xludf.DUMMYFUNCTION("IFERROR(Textjoin("""",TRUE,FILTER(Data!$R:$R,Data!$D:$D=H65,Data!$B:$B=$A65)),"""")"),"")</f>
        <v/>
      </c>
      <c r="U65" s="64" t="str">
        <f>IFERROR(__xludf.DUMMYFUNCTION("IFERROR(Textjoin("""",TRUE,FILTER(Data!$R:$R,Data!$D:$D=I65,Data!$B:$B=$A65)),"""")"),"")</f>
        <v/>
      </c>
      <c r="V65" s="64" t="str">
        <f>IFERROR(__xludf.DUMMYFUNCTION("IFERROR(Textjoin("""",TRUE,FILTER(Data!$R:$R,Data!$D:$D=J65,Data!$B:$B=$A65)),"""")"),"")</f>
        <v/>
      </c>
      <c r="W65" s="64" t="str">
        <f>IFERROR(__xludf.DUMMYFUNCTION("IFERROR(Textjoin("""",TRUE,FILTER(Data!$R:$R,Data!$D:$D=K65,Data!$B:$B=$A65)),"""")"),"")</f>
        <v/>
      </c>
      <c r="X65" s="64" t="str">
        <f>IFERROR(__xludf.DUMMYFUNCTION("IFERROR(Textjoin("""",TRUE,FILTER(Data!$R:$R,Data!$D:$D=L65,Data!$B:$B=$A65)),"""")"),"")</f>
        <v/>
      </c>
      <c r="Y65" s="64" t="str">
        <f>IFERROR(__xludf.DUMMYFUNCTION("IFERROR(Textjoin("""",TRUE,FILTER(Data!$R:$R,Data!$D:$D=M65,Data!$B:$B=$A65)),"""")"),"")</f>
        <v/>
      </c>
      <c r="Z65" s="64" t="str">
        <f>IFERROR(__xludf.DUMMYFUNCTION("IFERROR(SPLIT(N65,"",""),"""")"),"")</f>
        <v/>
      </c>
      <c r="AA65" s="65"/>
      <c r="AB65" s="65"/>
      <c r="AC65" s="69" t="str">
        <f>IFERROR(__xludf.DUMMYFUNCTION("IFERROR(SPLIT(O65,"",""),"""")"),"")</f>
        <v/>
      </c>
      <c r="AD65" s="65"/>
      <c r="AE65" s="65"/>
      <c r="AF65" s="69" t="str">
        <f>IFERROR(__xludf.DUMMYFUNCTION("IFERROR(SPLIT(P65,"",""),"""")"),"")</f>
        <v/>
      </c>
      <c r="AG65" s="65"/>
      <c r="AH65" s="65"/>
      <c r="AI65" s="69" t="str">
        <f>IFERROR(__xludf.DUMMYFUNCTION("IFERROR(SPLIT(Q65,"",""),"""")"),"")</f>
        <v/>
      </c>
      <c r="AJ65" s="65"/>
      <c r="AK65" s="65"/>
      <c r="AL65" s="69" t="str">
        <f>IFERROR(__xludf.DUMMYFUNCTION("IFERROR(SPLIT(R65,"",""),"""")"),"")</f>
        <v/>
      </c>
      <c r="AM65" s="65"/>
      <c r="AN65" s="65"/>
      <c r="AO65" s="69" t="str">
        <f>IFERROR(__xludf.DUMMYFUNCTION("IFERROR(SPLIT(S65,"",""),"""")"),"")</f>
        <v/>
      </c>
      <c r="AP65" s="65"/>
      <c r="AQ65" s="65"/>
      <c r="AR65" s="69" t="str">
        <f>IFERROR(__xludf.DUMMYFUNCTION("IFERROR(SPLIT(T65,"",""),"""")"),"")</f>
        <v/>
      </c>
      <c r="AS65" s="65"/>
      <c r="AT65" s="65"/>
      <c r="AU65" s="69" t="str">
        <f>IFERROR(__xludf.DUMMYFUNCTION("IFERROR(SPLIT(U65,"",""),"""")"),"")</f>
        <v/>
      </c>
      <c r="AV65" s="65"/>
      <c r="AW65" s="65"/>
      <c r="AX65" s="69" t="str">
        <f>IFERROR(__xludf.DUMMYFUNCTION("IFERROR(SPLIT(V65,"",""),"""")"),"")</f>
        <v/>
      </c>
      <c r="AY65" s="65"/>
      <c r="AZ65" s="65"/>
      <c r="BA65" s="69" t="str">
        <f>IFERROR(__xludf.DUMMYFUNCTION("IFERROR(SPLIT(W65,"",""),"""")"),"")</f>
        <v/>
      </c>
      <c r="BB65" s="69"/>
      <c r="BC65" s="69"/>
      <c r="BD65" s="69" t="str">
        <f>IFERROR(__xludf.DUMMYFUNCTION("IFERROR(SPLIT(X65,"",""),"""")"),"")</f>
        <v/>
      </c>
      <c r="BE65" s="69"/>
      <c r="BF65" s="69"/>
      <c r="BG65" s="69" t="str">
        <f>IFERROR(__xludf.DUMMYFUNCTION("IFERROR(SPLIT(Y65,"",""),"""")"),"")</f>
        <v/>
      </c>
      <c r="BH65" s="69"/>
      <c r="BI65" s="69"/>
      <c r="BJ65" s="68" t="str">
        <f>IFERROR(__xludf.DUMMYFUNCTION("IF($B65&lt;&gt;"""",IFERROR(FILTER(RawTotals!$AJ:$AJ,RawTotals!$A:$A=Z65)-(FILTER(Data!$K:$K,Data!$B:$B=Z65,Data!$D:$D=$B65)+FILTER(Data!$L:$L,Data!$B:$B=Z65,Data!$D:$D=$B65)),""""),"""")"),"")</f>
        <v/>
      </c>
      <c r="BK65" s="68" t="str">
        <f>IFERROR(__xludf.DUMMYFUNCTION("IF($B65&lt;&gt;"""",IFERROR(FILTER(RawTotals!$AJ:$AJ,RawTotals!$A:$A=AA65)-(FILTER(Data!$K:$K,Data!$B:$B=AA65,Data!$D:$D=$B65)+FILTER(Data!$L:$L,Data!$B:$B=AA65,Data!$D:$D=$B65)),""""),"""")"),"")</f>
        <v/>
      </c>
      <c r="BL65" s="68" t="str">
        <f>IFERROR(__xludf.DUMMYFUNCTION("IF($B65&lt;&gt;"""",IFERROR(FILTER(RawTotals!$AJ:$AJ,RawTotals!$A:$A=AB65)-(FILTER(Data!$K:$K,Data!$B:$B=AB65,Data!$D:$D=$B65)+FILTER(Data!$L:$L,Data!$B:$B=AB65,Data!$D:$D=$B65)),""""),"""")"),"")</f>
        <v/>
      </c>
      <c r="BM65" s="69" t="str">
        <f>IFERROR(__xludf.DUMMYFUNCTION("IF($C65&lt;&gt;"""",IFERROR(FILTER(RawTotals!$AJ:$AJ,RawTotals!$A:$A=AC65)-(FILTER(Data!$K:$K,Data!$B:$B=AC65,Data!$D:$D=$C65)+FILTER(Data!$L:$L,Data!$B:$B=AC65,Data!$D:$D=$C65)),""""),"""")"),"")</f>
        <v/>
      </c>
      <c r="BN65" s="69" t="str">
        <f>IFERROR(__xludf.DUMMYFUNCTION("IF($C65&lt;&gt;"""",IFERROR(FILTER(RawTotals!$AJ:$AJ,RawTotals!$A:$A=AD65)-(FILTER(Data!$K:$K,Data!$B:$B=AD65,Data!$D:$D=$C65)+FILTER(Data!$L:$L,Data!$B:$B=AD65,Data!$D:$D=$C65)),""""),"""")"),"")</f>
        <v/>
      </c>
      <c r="BO65" s="69" t="str">
        <f>IFERROR(__xludf.DUMMYFUNCTION("IF($C65&lt;&gt;"""",IFERROR(FILTER(RawTotals!$AJ:$AJ,RawTotals!$A:$A=AE65)-(FILTER(Data!$K:$K,Data!$B:$B=AE65,Data!$D:$D=$C65)+FILTER(Data!$L:$L,Data!$B:$B=AE65,Data!$D:$D=$C65)),""""),"""")"),"")</f>
        <v/>
      </c>
      <c r="BP65" s="69" t="str">
        <f>IFERROR(__xludf.DUMMYFUNCTION("IF($D65&lt;&gt;"""",IFERROR(FILTER(RawTotals!$AJ:$AJ,RawTotals!$A:$A=AF65)-(FILTER(Data!$K:$K,Data!$B:$B=AF65,Data!$D:$D=$D65)+FILTER(Data!$L:$L,Data!$B:$B=AF65,Data!$D:$D=$D65)),""""),"""")"),"")</f>
        <v/>
      </c>
      <c r="BQ65" s="69" t="str">
        <f>IFERROR(__xludf.DUMMYFUNCTION("IF($D65&lt;&gt;"""",IFERROR(FILTER(RawTotals!$AJ:$AJ,RawTotals!$A:$A=AG65)-(FILTER(Data!$K:$K,Data!$B:$B=AG65,Data!$D:$D=$D65)+FILTER(Data!$L:$L,Data!$B:$B=AG65,Data!$D:$D=$D65)),""""),"""")"),"")</f>
        <v/>
      </c>
      <c r="BR65" s="69" t="str">
        <f>IFERROR(__xludf.DUMMYFUNCTION("IF($D65&lt;&gt;"""",IFERROR(FILTER(RawTotals!$AJ:$AJ,RawTotals!$A:$A=AH65)-(FILTER(Data!$K:$K,Data!$B:$B=AH65,Data!$D:$D=$D65)+FILTER(Data!$L:$L,Data!$B:$B=AH65,Data!$D:$D=$D65)),""""),"""")"),"")</f>
        <v/>
      </c>
      <c r="BS65" s="69" t="str">
        <f>IFERROR(__xludf.DUMMYFUNCTION("IF($E65&lt;&gt;"""",IFERROR(FILTER(RawTotals!$AJ:$AJ,RawTotals!$A:$A=AI65)-(FILTER(Data!$K:$K,Data!$B:$B=AI65,Data!$D:$D=$E65)+FILTER(Data!$L:$L,Data!$B:$B=AI65,Data!$D:$D=$E65)),""""),"""")"),"")</f>
        <v/>
      </c>
      <c r="BT65" s="69" t="str">
        <f>IFERROR(__xludf.DUMMYFUNCTION("IF($E65&lt;&gt;"""",IFERROR(FILTER(RawTotals!$AJ:$AJ,RawTotals!$A:$A=AJ65)-(FILTER(Data!$K:$K,Data!$B:$B=AJ65,Data!$D:$D=$E65)+FILTER(Data!$L:$L,Data!$B:$B=AJ65,Data!$D:$D=$E65)),""""),"""")"),"")</f>
        <v/>
      </c>
      <c r="BU65" s="69" t="str">
        <f>IFERROR(__xludf.DUMMYFUNCTION("IF($E65&lt;&gt;"""",IFERROR(FILTER(RawTotals!$AJ:$AJ,RawTotals!$A:$A=AK65)-(FILTER(Data!$K:$K,Data!$B:$B=AK65,Data!$D:$D=$E65)+FILTER(Data!$L:$L,Data!$B:$B=AK65,Data!$D:$D=$E65)),""""),"""")"),"")</f>
        <v/>
      </c>
      <c r="BV65" s="69" t="str">
        <f>IFERROR(__xludf.DUMMYFUNCTION("IF($F65&lt;&gt;"""",IFERROR(FILTER(RawTotals!$AJ:$AJ,RawTotals!$A:$A=AL65)-(FILTER(Data!$K:$K,Data!$B:$B=AL65,Data!$D:$D=$F65)+FILTER(Data!$L:$L,Data!$B:$B=AL65,Data!$D:$D=$F65)),""""),"""")"),"")</f>
        <v/>
      </c>
      <c r="BW65" s="69" t="str">
        <f>IFERROR(__xludf.DUMMYFUNCTION("IF($F65&lt;&gt;"""",IFERROR(FILTER(RawTotals!$AJ:$AJ,RawTotals!$A:$A=AM65)-(FILTER(Data!$K:$K,Data!$B:$B=AM65,Data!$D:$D=$F65)+FILTER(Data!$L:$L,Data!$B:$B=AM65,Data!$D:$D=$F65)),""""),"""")"),"")</f>
        <v/>
      </c>
      <c r="BX65" s="69" t="str">
        <f>IFERROR(__xludf.DUMMYFUNCTION("IF($F65&lt;&gt;"""",IFERROR(FILTER(RawTotals!$AJ:$AJ,RawTotals!$A:$A=AN65)-(FILTER(Data!$K:$K,Data!$B:$B=AN65,Data!$D:$D=$F65)+FILTER(Data!$L:$L,Data!$B:$B=AN65,Data!$D:$D=$F65)),""""),"""")"),"")</f>
        <v/>
      </c>
      <c r="BY65" s="69" t="str">
        <f>IFERROR(__xludf.DUMMYFUNCTION("IF($G65&lt;&gt;"""",IFERROR(FILTER(RawTotals!$AJ:$AJ,RawTotals!$A:$A=AO65)-(FILTER(Data!$K:$K,Data!$B:$B=AO65,Data!$D:$D=$G65)+FILTER(Data!$L:$L,Data!$B:$B=AO65,Data!$D:$D=$G65)),""""),"""")"),"")</f>
        <v/>
      </c>
      <c r="BZ65" s="69" t="str">
        <f>IFERROR(__xludf.DUMMYFUNCTION("IF($G65&lt;&gt;"""",IFERROR(FILTER(RawTotals!$AJ:$AJ,RawTotals!$A:$A=AP65)-(FILTER(Data!$K:$K,Data!$B:$B=AP65,Data!$D:$D=$G65)+FILTER(Data!$L:$L,Data!$B:$B=AP65,Data!$D:$D=$G65)),""""),"""")"),"")</f>
        <v/>
      </c>
      <c r="CA65" s="69" t="str">
        <f>IFERROR(__xludf.DUMMYFUNCTION("IF($G65&lt;&gt;"""",IFERROR(FILTER(RawTotals!$AJ:$AJ,RawTotals!$A:$A=AQ65)-(FILTER(Data!$K:$K,Data!$B:$B=AQ65,Data!$D:$D=$G65)+FILTER(Data!$L:$L,Data!$B:$B=AQ65,Data!$D:$D=$G65)),""""),"""")"),"")</f>
        <v/>
      </c>
      <c r="CB65" s="69" t="str">
        <f>IFERROR(__xludf.DUMMYFUNCTION("IF($H65&lt;&gt;"""",IFERROR(FILTER(RawTotals!$AJ:$AJ,RawTotals!$A:$A=AR65)-(FILTER(Data!$K:$K,Data!$B:$B=AR65,Data!$D:$D=$H65)+FILTER(Data!$L:$L,Data!$B:$B=AR65,Data!$D:$D=$H65)),""""),"""")"),"")</f>
        <v/>
      </c>
      <c r="CC65" s="69" t="str">
        <f>IFERROR(__xludf.DUMMYFUNCTION("IF($H65&lt;&gt;"""",IFERROR(FILTER(RawTotals!$AJ:$AJ,RawTotals!$A:$A=AS65)-(FILTER(Data!$K:$K,Data!$B:$B=AS65,Data!$D:$D=$H65)+FILTER(Data!$L:$L,Data!$B:$B=AS65,Data!$D:$D=$H65)),""""),"""")"),"")</f>
        <v/>
      </c>
      <c r="CD65" s="69" t="str">
        <f>IFERROR(__xludf.DUMMYFUNCTION("IF($H65&lt;&gt;"""",IFERROR(FILTER(RawTotals!$AJ:$AJ,RawTotals!$A:$A=AT65)-(FILTER(Data!$K:$K,Data!$B:$B=AT65,Data!$D:$D=$H65)+FILTER(Data!$L:$L,Data!$B:$B=AT65,Data!$D:$D=$H65)),""""),"""")"),"")</f>
        <v/>
      </c>
      <c r="CE65" s="69" t="str">
        <f>IFERROR(__xludf.DUMMYFUNCTION("IF($I65&lt;&gt;"""",IFERROR(FILTER(RawTotals!$AJ:$AJ,RawTotals!$A:$A=AU65)-(FILTER(Data!$K:$K,Data!$B:$B=AU65,Data!$D:$D=$I65)+FILTER(Data!$L:$L,Data!$B:$B=AU65,Data!$D:$D=$I65)),""""),"""")"),"")</f>
        <v/>
      </c>
      <c r="CF65" s="69" t="str">
        <f>IFERROR(__xludf.DUMMYFUNCTION("IF($I65&lt;&gt;"""",IFERROR(FILTER(RawTotals!$AJ:$AJ,RawTotals!$A:$A=AV65)-(FILTER(Data!$K:$K,Data!$B:$B=AV65,Data!$D:$D=$I65)+FILTER(Data!$L:$L,Data!$B:$B=AV65,Data!$D:$D=$I65)),""""),"""")"),"")</f>
        <v/>
      </c>
      <c r="CG65" s="69" t="str">
        <f>IFERROR(__xludf.DUMMYFUNCTION("IF($I65&lt;&gt;"""",IFERROR(FILTER(RawTotals!$AJ:$AJ,RawTotals!$A:$A=AW65)-(FILTER(Data!$K:$K,Data!$B:$B=AW65,Data!$D:$D=$I65)+FILTER(Data!$L:$L,Data!$B:$B=AW65,Data!$D:$D=$I65)),""""),"""")"),"")</f>
        <v/>
      </c>
      <c r="CH65" s="69" t="str">
        <f>IFERROR(__xludf.DUMMYFUNCTION("IF($J65&lt;&gt;"""",IFERROR(FILTER(RawTotals!$AJ:$AJ,RawTotals!$A:$A=AX65)-(FILTER(Data!$K:$K,Data!$B:$B=AX65,Data!$D:$D=$J65)+FILTER(Data!$L:$L,Data!$B:$B=AX65,Data!$D:$D=$J65)),""""),"""")"),"")</f>
        <v/>
      </c>
      <c r="CI65" s="69" t="str">
        <f>IFERROR(__xludf.DUMMYFUNCTION("IF($J65&lt;&gt;"""",IFERROR(FILTER(RawTotals!$AJ:$AJ,RawTotals!$A:$A=AY65)-(FILTER(Data!$K:$K,Data!$B:$B=AY65,Data!$D:$D=$J65)+FILTER(Data!$L:$L,Data!$B:$B=AY65,Data!$D:$D=$J65)),""""),"""")"),"")</f>
        <v/>
      </c>
      <c r="CJ65" s="69" t="str">
        <f>IFERROR(__xludf.DUMMYFUNCTION("IF($J65&lt;&gt;"""",IFERROR(FILTER(RawTotals!$AJ:$AJ,RawTotals!$A:$A=AZ65)-(FILTER(Data!$K:$K,Data!$B:$B=AZ65,Data!$D:$D=$J65)+FILTER(Data!$L:$L,Data!$B:$B=AZ65,Data!$D:$D=$J65)),""""),"""")"),"")</f>
        <v/>
      </c>
      <c r="CK65" s="69" t="str">
        <f>IFERROR(__xludf.DUMMYFUNCTION("IF($K65&lt;&gt;"""",IFERROR(FILTER(RawTotals!$AJ:$AJ,RawTotals!$A:$A=BA65)-(FILTER(Data!$K:$K,Data!$B:$B=BA65,Data!$D:$D=$K65)+FILTER(Data!$L:$L,Data!$B:$B=BA65,Data!$D:$D=$K65)),""""),"""")"),"")</f>
        <v/>
      </c>
      <c r="CL65" s="69" t="str">
        <f>IFERROR(__xludf.DUMMYFUNCTION("IF($K65&lt;&gt;"""",IFERROR(FILTER(RawTotals!$AJ:$AJ,RawTotals!$A:$A=BB65)-(FILTER(Data!$K:$K,Data!$B:$B=BB65,Data!$D:$D=$K65)+FILTER(Data!$L:$L,Data!$B:$B=BB65,Data!$D:$D=$K65)),""""),"""")"),"")</f>
        <v/>
      </c>
      <c r="CM65" s="69" t="str">
        <f>IFERROR(__xludf.DUMMYFUNCTION("IF($K65&lt;&gt;"""",IFERROR(FILTER(RawTotals!$AJ:$AJ,RawTotals!$A:$A=BC65)-(FILTER(Data!$K:$K,Data!$B:$B=BC65,Data!$D:$D=$K65)+FILTER(Data!$L:$L,Data!$B:$B=BC65,Data!$D:$D=$K65)),""""),"""")"),"")</f>
        <v/>
      </c>
      <c r="CN65" s="69" t="str">
        <f>IFERROR(__xludf.DUMMYFUNCTION("IF($L65&lt;&gt;"""",IFERROR((FILTER(RawTotals!$AJ:$AJ,RawTotals!$A:$A=BD65)-(FILTER(Data!$K:$K,Data!$B:$B=BD65,Data!$D:$D=$L65)+FILTER(Data!$L:$L,Data!$B:$B=BD65,Data!$D:$D=$L65))),""""),"""")"),"")</f>
        <v/>
      </c>
      <c r="CO65" s="69" t="str">
        <f>IFERROR(__xludf.DUMMYFUNCTION("IF($L65&lt;&gt;"""",IFERROR((FILTER(RawTotals!$AJ:$AJ,RawTotals!$A:$A=BE65)-(FILTER(Data!$K:$K,Data!$B:$B=BE65,Data!$D:$D=$L65)+FILTER(Data!$L:$L,Data!$B:$B=BE65,Data!$D:$D=$L65))),""""),"""")"),"")</f>
        <v/>
      </c>
      <c r="CP65" s="69" t="str">
        <f>IFERROR(__xludf.DUMMYFUNCTION("IF($L65&lt;&gt;"""",IFERROR((FILTER(RawTotals!$AJ:$AJ,RawTotals!$A:$A=BF65)-(FILTER(Data!$K:$K,Data!$B:$B=BF65,Data!$D:$D=$L65)+FILTER(Data!$L:$L,Data!$B:$B=BF65,Data!$D:$D=$L65))),""""),"""")"),"")</f>
        <v/>
      </c>
      <c r="CQ65" s="69" t="str">
        <f>IFERROR(__xludf.DUMMYFUNCTION("IF($M65&lt;&gt;"""",IFERROR((FILTER(RawTotals!$AJ:$AJ,RawTotals!$A:$A=BG65)-(FILTER(Data!$K:$K,Data!$B:$B=BG65,Data!$D:$D=$M65)+FILTER(Data!$L:$L,Data!$B:$B=BG65,Data!$D:$D=$M65))),""""),"""")"),"")</f>
        <v/>
      </c>
      <c r="CR65" s="69" t="str">
        <f>IFERROR(__xludf.DUMMYFUNCTION("IF($M65&lt;&gt;"""",IFERROR((FILTER(RawTotals!$AJ:$AJ,RawTotals!$A:$A=BH65)-(FILTER(Data!$K:$K,Data!$B:$B=BH65,Data!$D:$D=$M65)+FILTER(Data!$L:$L,Data!$B:$B=BH65,Data!$D:$D=$M65))),""""),"""")"),"")</f>
        <v/>
      </c>
      <c r="CS65" s="70" t="str">
        <f>IFERROR(__xludf.DUMMYFUNCTION("IF($M65&lt;&gt;"""",IFERROR((FILTER(RawTotals!$AJ:$AJ,RawTotals!$A:$A=BI65)-(FILTER(Data!$K:$K,Data!$B:$B=BI65,Data!$D:$D=$M65)+FILTER(Data!$L:$L,Data!$B:$B=BI65,Data!$D:$D=$M65))),""""),"""")"),"")</f>
        <v/>
      </c>
      <c r="CT65" s="69"/>
      <c r="CU65" s="69"/>
      <c r="CV65" s="69"/>
      <c r="CW65" s="69"/>
      <c r="CX65" s="69"/>
      <c r="CY65" s="69"/>
      <c r="CZ65" s="69"/>
      <c r="DA65" s="69"/>
      <c r="DB65" s="69"/>
      <c r="DC65" s="69"/>
      <c r="DD65" s="69"/>
      <c r="DE65" s="69"/>
    </row>
    <row r="66">
      <c r="A66" s="65" t="str">
        <f>RawTotals!A66</f>
        <v/>
      </c>
      <c r="B66" s="68" t="str">
        <f>IFERROR(__xludf.DUMMYFUNCTION("IF(A66&lt;&gt;"""",IFERROR(TRANSPOSE(FILTER(Data!D:D,Data!B:B=A66,Data!R:R&lt;&gt;"""")),""No Defense""),"""")"),"")</f>
        <v/>
      </c>
      <c r="C66" s="65"/>
      <c r="D66" s="65"/>
      <c r="E66" s="65"/>
      <c r="F66" s="65"/>
      <c r="G66" s="65"/>
      <c r="H66" s="65"/>
      <c r="I66" s="65"/>
      <c r="J66" s="65"/>
      <c r="K66" s="65"/>
      <c r="L66" s="65"/>
      <c r="M66" s="65"/>
      <c r="N66" s="64" t="str">
        <f>IFERROR(__xludf.DUMMYFUNCTION("IFERROR(Textjoin("""",TRUE,FILTER(Data!$R:$R,Data!$D:$D=B66,Data!$B:$B=$A66)),"""")"),"")</f>
        <v/>
      </c>
      <c r="O66" s="64" t="str">
        <f>IFERROR(__xludf.DUMMYFUNCTION("IFERROR(Textjoin("""",TRUE,FILTER(Data!$R:$R,Data!$D:$D=C66,Data!$B:$B=$A66)),"""")"),"")</f>
        <v/>
      </c>
      <c r="P66" s="64" t="str">
        <f>IFERROR(__xludf.DUMMYFUNCTION("IFERROR(Textjoin("""",TRUE,FILTER(Data!$R:$R,Data!$D:$D=D66,Data!$B:$B=$A66)),"""")"),"")</f>
        <v/>
      </c>
      <c r="Q66" s="64" t="str">
        <f>IFERROR(__xludf.DUMMYFUNCTION("IFERROR(Textjoin("""",TRUE,FILTER(Data!$R:$R,Data!$D:$D=E66,Data!$B:$B=$A66)),"""")"),"")</f>
        <v/>
      </c>
      <c r="R66" s="64" t="str">
        <f>IFERROR(__xludf.DUMMYFUNCTION("IFERROR(Textjoin("""",TRUE,FILTER(Data!$R:$R,Data!$D:$D=F66,Data!$B:$B=$A66)),"""")"),"")</f>
        <v/>
      </c>
      <c r="S66" s="64" t="str">
        <f>IFERROR(__xludf.DUMMYFUNCTION("IFERROR(Textjoin("""",TRUE,FILTER(Data!$R:$R,Data!$D:$D=G66,Data!$B:$B=$A66)),"""")"),"")</f>
        <v/>
      </c>
      <c r="T66" s="64" t="str">
        <f>IFERROR(__xludf.DUMMYFUNCTION("IFERROR(Textjoin("""",TRUE,FILTER(Data!$R:$R,Data!$D:$D=H66,Data!$B:$B=$A66)),"""")"),"")</f>
        <v/>
      </c>
      <c r="U66" s="64" t="str">
        <f>IFERROR(__xludf.DUMMYFUNCTION("IFERROR(Textjoin("""",TRUE,FILTER(Data!$R:$R,Data!$D:$D=I66,Data!$B:$B=$A66)),"""")"),"")</f>
        <v/>
      </c>
      <c r="V66" s="64" t="str">
        <f>IFERROR(__xludf.DUMMYFUNCTION("IFERROR(Textjoin("""",TRUE,FILTER(Data!$R:$R,Data!$D:$D=J66,Data!$B:$B=$A66)),"""")"),"")</f>
        <v/>
      </c>
      <c r="W66" s="64" t="str">
        <f>IFERROR(__xludf.DUMMYFUNCTION("IFERROR(Textjoin("""",TRUE,FILTER(Data!$R:$R,Data!$D:$D=K66,Data!$B:$B=$A66)),"""")"),"")</f>
        <v/>
      </c>
      <c r="X66" s="64" t="str">
        <f>IFERROR(__xludf.DUMMYFUNCTION("IFERROR(Textjoin("""",TRUE,FILTER(Data!$R:$R,Data!$D:$D=L66,Data!$B:$B=$A66)),"""")"),"")</f>
        <v/>
      </c>
      <c r="Y66" s="64" t="str">
        <f>IFERROR(__xludf.DUMMYFUNCTION("IFERROR(Textjoin("""",TRUE,FILTER(Data!$R:$R,Data!$D:$D=M66,Data!$B:$B=$A66)),"""")"),"")</f>
        <v/>
      </c>
      <c r="Z66" s="64" t="str">
        <f>IFERROR(__xludf.DUMMYFUNCTION("IFERROR(SPLIT(N66,"",""),"""")"),"")</f>
        <v/>
      </c>
      <c r="AA66" s="65"/>
      <c r="AB66" s="65"/>
      <c r="AC66" s="69" t="str">
        <f>IFERROR(__xludf.DUMMYFUNCTION("IFERROR(SPLIT(O66,"",""),"""")"),"")</f>
        <v/>
      </c>
      <c r="AD66" s="65"/>
      <c r="AE66" s="65"/>
      <c r="AF66" s="69" t="str">
        <f>IFERROR(__xludf.DUMMYFUNCTION("IFERROR(SPLIT(P66,"",""),"""")"),"")</f>
        <v/>
      </c>
      <c r="AG66" s="65"/>
      <c r="AH66" s="65"/>
      <c r="AI66" s="69" t="str">
        <f>IFERROR(__xludf.DUMMYFUNCTION("IFERROR(SPLIT(Q66,"",""),"""")"),"")</f>
        <v/>
      </c>
      <c r="AJ66" s="65"/>
      <c r="AK66" s="65"/>
      <c r="AL66" s="69" t="str">
        <f>IFERROR(__xludf.DUMMYFUNCTION("IFERROR(SPLIT(R66,"",""),"""")"),"")</f>
        <v/>
      </c>
      <c r="AM66" s="65"/>
      <c r="AN66" s="65"/>
      <c r="AO66" s="69" t="str">
        <f>IFERROR(__xludf.DUMMYFUNCTION("IFERROR(SPLIT(S66,"",""),"""")"),"")</f>
        <v/>
      </c>
      <c r="AP66" s="65"/>
      <c r="AQ66" s="65"/>
      <c r="AR66" s="69" t="str">
        <f>IFERROR(__xludf.DUMMYFUNCTION("IFERROR(SPLIT(T66,"",""),"""")"),"")</f>
        <v/>
      </c>
      <c r="AS66" s="65"/>
      <c r="AT66" s="65"/>
      <c r="AU66" s="69" t="str">
        <f>IFERROR(__xludf.DUMMYFUNCTION("IFERROR(SPLIT(U66,"",""),"""")"),"")</f>
        <v/>
      </c>
      <c r="AV66" s="65"/>
      <c r="AW66" s="65"/>
      <c r="AX66" s="69" t="str">
        <f>IFERROR(__xludf.DUMMYFUNCTION("IFERROR(SPLIT(V66,"",""),"""")"),"")</f>
        <v/>
      </c>
      <c r="AY66" s="65"/>
      <c r="AZ66" s="65"/>
      <c r="BA66" s="69" t="str">
        <f>IFERROR(__xludf.DUMMYFUNCTION("IFERROR(SPLIT(W66,"",""),"""")"),"")</f>
        <v/>
      </c>
      <c r="BB66" s="69"/>
      <c r="BC66" s="69"/>
      <c r="BD66" s="69" t="str">
        <f>IFERROR(__xludf.DUMMYFUNCTION("IFERROR(SPLIT(X66,"",""),"""")"),"")</f>
        <v/>
      </c>
      <c r="BE66" s="69"/>
      <c r="BF66" s="69"/>
      <c r="BG66" s="69" t="str">
        <f>IFERROR(__xludf.DUMMYFUNCTION("IFERROR(SPLIT(Y66,"",""),"""")"),"")</f>
        <v/>
      </c>
      <c r="BH66" s="69"/>
      <c r="BI66" s="69"/>
      <c r="BJ66" s="68" t="str">
        <f>IFERROR(__xludf.DUMMYFUNCTION("IF($B66&lt;&gt;"""",IFERROR(FILTER(RawTotals!$AJ:$AJ,RawTotals!$A:$A=Z66)-(FILTER(Data!$K:$K,Data!$B:$B=Z66,Data!$D:$D=$B66)+FILTER(Data!$L:$L,Data!$B:$B=Z66,Data!$D:$D=$B66)),""""),"""")"),"")</f>
        <v/>
      </c>
      <c r="BK66" s="68" t="str">
        <f>IFERROR(__xludf.DUMMYFUNCTION("IF($B66&lt;&gt;"""",IFERROR(FILTER(RawTotals!$AJ:$AJ,RawTotals!$A:$A=AA66)-(FILTER(Data!$K:$K,Data!$B:$B=AA66,Data!$D:$D=$B66)+FILTER(Data!$L:$L,Data!$B:$B=AA66,Data!$D:$D=$B66)),""""),"""")"),"")</f>
        <v/>
      </c>
      <c r="BL66" s="68" t="str">
        <f>IFERROR(__xludf.DUMMYFUNCTION("IF($B66&lt;&gt;"""",IFERROR(FILTER(RawTotals!$AJ:$AJ,RawTotals!$A:$A=AB66)-(FILTER(Data!$K:$K,Data!$B:$B=AB66,Data!$D:$D=$B66)+FILTER(Data!$L:$L,Data!$B:$B=AB66,Data!$D:$D=$B66)),""""),"""")"),"")</f>
        <v/>
      </c>
      <c r="BM66" s="69" t="str">
        <f>IFERROR(__xludf.DUMMYFUNCTION("IF($C66&lt;&gt;"""",IFERROR(FILTER(RawTotals!$AJ:$AJ,RawTotals!$A:$A=AC66)-(FILTER(Data!$K:$K,Data!$B:$B=AC66,Data!$D:$D=$C66)+FILTER(Data!$L:$L,Data!$B:$B=AC66,Data!$D:$D=$C66)),""""),"""")"),"")</f>
        <v/>
      </c>
      <c r="BN66" s="69" t="str">
        <f>IFERROR(__xludf.DUMMYFUNCTION("IF($C66&lt;&gt;"""",IFERROR(FILTER(RawTotals!$AJ:$AJ,RawTotals!$A:$A=AD66)-(FILTER(Data!$K:$K,Data!$B:$B=AD66,Data!$D:$D=$C66)+FILTER(Data!$L:$L,Data!$B:$B=AD66,Data!$D:$D=$C66)),""""),"""")"),"")</f>
        <v/>
      </c>
      <c r="BO66" s="69" t="str">
        <f>IFERROR(__xludf.DUMMYFUNCTION("IF($C66&lt;&gt;"""",IFERROR(FILTER(RawTotals!$AJ:$AJ,RawTotals!$A:$A=AE66)-(FILTER(Data!$K:$K,Data!$B:$B=AE66,Data!$D:$D=$C66)+FILTER(Data!$L:$L,Data!$B:$B=AE66,Data!$D:$D=$C66)),""""),"""")"),"")</f>
        <v/>
      </c>
      <c r="BP66" s="69" t="str">
        <f>IFERROR(__xludf.DUMMYFUNCTION("IF($D66&lt;&gt;"""",IFERROR(FILTER(RawTotals!$AJ:$AJ,RawTotals!$A:$A=AF66)-(FILTER(Data!$K:$K,Data!$B:$B=AF66,Data!$D:$D=$D66)+FILTER(Data!$L:$L,Data!$B:$B=AF66,Data!$D:$D=$D66)),""""),"""")"),"")</f>
        <v/>
      </c>
      <c r="BQ66" s="69" t="str">
        <f>IFERROR(__xludf.DUMMYFUNCTION("IF($D66&lt;&gt;"""",IFERROR(FILTER(RawTotals!$AJ:$AJ,RawTotals!$A:$A=AG66)-(FILTER(Data!$K:$K,Data!$B:$B=AG66,Data!$D:$D=$D66)+FILTER(Data!$L:$L,Data!$B:$B=AG66,Data!$D:$D=$D66)),""""),"""")"),"")</f>
        <v/>
      </c>
      <c r="BR66" s="69" t="str">
        <f>IFERROR(__xludf.DUMMYFUNCTION("IF($D66&lt;&gt;"""",IFERROR(FILTER(RawTotals!$AJ:$AJ,RawTotals!$A:$A=AH66)-(FILTER(Data!$K:$K,Data!$B:$B=AH66,Data!$D:$D=$D66)+FILTER(Data!$L:$L,Data!$B:$B=AH66,Data!$D:$D=$D66)),""""),"""")"),"")</f>
        <v/>
      </c>
      <c r="BS66" s="69" t="str">
        <f>IFERROR(__xludf.DUMMYFUNCTION("IF($E66&lt;&gt;"""",IFERROR(FILTER(RawTotals!$AJ:$AJ,RawTotals!$A:$A=AI66)-(FILTER(Data!$K:$K,Data!$B:$B=AI66,Data!$D:$D=$E66)+FILTER(Data!$L:$L,Data!$B:$B=AI66,Data!$D:$D=$E66)),""""),"""")"),"")</f>
        <v/>
      </c>
      <c r="BT66" s="69" t="str">
        <f>IFERROR(__xludf.DUMMYFUNCTION("IF($E66&lt;&gt;"""",IFERROR(FILTER(RawTotals!$AJ:$AJ,RawTotals!$A:$A=AJ66)-(FILTER(Data!$K:$K,Data!$B:$B=AJ66,Data!$D:$D=$E66)+FILTER(Data!$L:$L,Data!$B:$B=AJ66,Data!$D:$D=$E66)),""""),"""")"),"")</f>
        <v/>
      </c>
      <c r="BU66" s="69" t="str">
        <f>IFERROR(__xludf.DUMMYFUNCTION("IF($E66&lt;&gt;"""",IFERROR(FILTER(RawTotals!$AJ:$AJ,RawTotals!$A:$A=AK66)-(FILTER(Data!$K:$K,Data!$B:$B=AK66,Data!$D:$D=$E66)+FILTER(Data!$L:$L,Data!$B:$B=AK66,Data!$D:$D=$E66)),""""),"""")"),"")</f>
        <v/>
      </c>
      <c r="BV66" s="69" t="str">
        <f>IFERROR(__xludf.DUMMYFUNCTION("IF($F66&lt;&gt;"""",IFERROR(FILTER(RawTotals!$AJ:$AJ,RawTotals!$A:$A=AL66)-(FILTER(Data!$K:$K,Data!$B:$B=AL66,Data!$D:$D=$F66)+FILTER(Data!$L:$L,Data!$B:$B=AL66,Data!$D:$D=$F66)),""""),"""")"),"")</f>
        <v/>
      </c>
      <c r="BW66" s="69" t="str">
        <f>IFERROR(__xludf.DUMMYFUNCTION("IF($F66&lt;&gt;"""",IFERROR(FILTER(RawTotals!$AJ:$AJ,RawTotals!$A:$A=AM66)-(FILTER(Data!$K:$K,Data!$B:$B=AM66,Data!$D:$D=$F66)+FILTER(Data!$L:$L,Data!$B:$B=AM66,Data!$D:$D=$F66)),""""),"""")"),"")</f>
        <v/>
      </c>
      <c r="BX66" s="69" t="str">
        <f>IFERROR(__xludf.DUMMYFUNCTION("IF($F66&lt;&gt;"""",IFERROR(FILTER(RawTotals!$AJ:$AJ,RawTotals!$A:$A=AN66)-(FILTER(Data!$K:$K,Data!$B:$B=AN66,Data!$D:$D=$F66)+FILTER(Data!$L:$L,Data!$B:$B=AN66,Data!$D:$D=$F66)),""""),"""")"),"")</f>
        <v/>
      </c>
      <c r="BY66" s="69" t="str">
        <f>IFERROR(__xludf.DUMMYFUNCTION("IF($G66&lt;&gt;"""",IFERROR(FILTER(RawTotals!$AJ:$AJ,RawTotals!$A:$A=AO66)-(FILTER(Data!$K:$K,Data!$B:$B=AO66,Data!$D:$D=$G66)+FILTER(Data!$L:$L,Data!$B:$B=AO66,Data!$D:$D=$G66)),""""),"""")"),"")</f>
        <v/>
      </c>
      <c r="BZ66" s="69" t="str">
        <f>IFERROR(__xludf.DUMMYFUNCTION("IF($G66&lt;&gt;"""",IFERROR(FILTER(RawTotals!$AJ:$AJ,RawTotals!$A:$A=AP66)-(FILTER(Data!$K:$K,Data!$B:$B=AP66,Data!$D:$D=$G66)+FILTER(Data!$L:$L,Data!$B:$B=AP66,Data!$D:$D=$G66)),""""),"""")"),"")</f>
        <v/>
      </c>
      <c r="CA66" s="69" t="str">
        <f>IFERROR(__xludf.DUMMYFUNCTION("IF($G66&lt;&gt;"""",IFERROR(FILTER(RawTotals!$AJ:$AJ,RawTotals!$A:$A=AQ66)-(FILTER(Data!$K:$K,Data!$B:$B=AQ66,Data!$D:$D=$G66)+FILTER(Data!$L:$L,Data!$B:$B=AQ66,Data!$D:$D=$G66)),""""),"""")"),"")</f>
        <v/>
      </c>
      <c r="CB66" s="69" t="str">
        <f>IFERROR(__xludf.DUMMYFUNCTION("IF($H66&lt;&gt;"""",IFERROR(FILTER(RawTotals!$AJ:$AJ,RawTotals!$A:$A=AR66)-(FILTER(Data!$K:$K,Data!$B:$B=AR66,Data!$D:$D=$H66)+FILTER(Data!$L:$L,Data!$B:$B=AR66,Data!$D:$D=$H66)),""""),"""")"),"")</f>
        <v/>
      </c>
      <c r="CC66" s="69" t="str">
        <f>IFERROR(__xludf.DUMMYFUNCTION("IF($H66&lt;&gt;"""",IFERROR(FILTER(RawTotals!$AJ:$AJ,RawTotals!$A:$A=AS66)-(FILTER(Data!$K:$K,Data!$B:$B=AS66,Data!$D:$D=$H66)+FILTER(Data!$L:$L,Data!$B:$B=AS66,Data!$D:$D=$H66)),""""),"""")"),"")</f>
        <v/>
      </c>
      <c r="CD66" s="69" t="str">
        <f>IFERROR(__xludf.DUMMYFUNCTION("IF($H66&lt;&gt;"""",IFERROR(FILTER(RawTotals!$AJ:$AJ,RawTotals!$A:$A=AT66)-(FILTER(Data!$K:$K,Data!$B:$B=AT66,Data!$D:$D=$H66)+FILTER(Data!$L:$L,Data!$B:$B=AT66,Data!$D:$D=$H66)),""""),"""")"),"")</f>
        <v/>
      </c>
      <c r="CE66" s="69" t="str">
        <f>IFERROR(__xludf.DUMMYFUNCTION("IF($I66&lt;&gt;"""",IFERROR(FILTER(RawTotals!$AJ:$AJ,RawTotals!$A:$A=AU66)-(FILTER(Data!$K:$K,Data!$B:$B=AU66,Data!$D:$D=$I66)+FILTER(Data!$L:$L,Data!$B:$B=AU66,Data!$D:$D=$I66)),""""),"""")"),"")</f>
        <v/>
      </c>
      <c r="CF66" s="69" t="str">
        <f>IFERROR(__xludf.DUMMYFUNCTION("IF($I66&lt;&gt;"""",IFERROR(FILTER(RawTotals!$AJ:$AJ,RawTotals!$A:$A=AV66)-(FILTER(Data!$K:$K,Data!$B:$B=AV66,Data!$D:$D=$I66)+FILTER(Data!$L:$L,Data!$B:$B=AV66,Data!$D:$D=$I66)),""""),"""")"),"")</f>
        <v/>
      </c>
      <c r="CG66" s="69" t="str">
        <f>IFERROR(__xludf.DUMMYFUNCTION("IF($I66&lt;&gt;"""",IFERROR(FILTER(RawTotals!$AJ:$AJ,RawTotals!$A:$A=AW66)-(FILTER(Data!$K:$K,Data!$B:$B=AW66,Data!$D:$D=$I66)+FILTER(Data!$L:$L,Data!$B:$B=AW66,Data!$D:$D=$I66)),""""),"""")"),"")</f>
        <v/>
      </c>
      <c r="CH66" s="69" t="str">
        <f>IFERROR(__xludf.DUMMYFUNCTION("IF($J66&lt;&gt;"""",IFERROR(FILTER(RawTotals!$AJ:$AJ,RawTotals!$A:$A=AX66)-(FILTER(Data!$K:$K,Data!$B:$B=AX66,Data!$D:$D=$J66)+FILTER(Data!$L:$L,Data!$B:$B=AX66,Data!$D:$D=$J66)),""""),"""")"),"")</f>
        <v/>
      </c>
      <c r="CI66" s="69" t="str">
        <f>IFERROR(__xludf.DUMMYFUNCTION("IF($J66&lt;&gt;"""",IFERROR(FILTER(RawTotals!$AJ:$AJ,RawTotals!$A:$A=AY66)-(FILTER(Data!$K:$K,Data!$B:$B=AY66,Data!$D:$D=$J66)+FILTER(Data!$L:$L,Data!$B:$B=AY66,Data!$D:$D=$J66)),""""),"""")"),"")</f>
        <v/>
      </c>
      <c r="CJ66" s="69" t="str">
        <f>IFERROR(__xludf.DUMMYFUNCTION("IF($J66&lt;&gt;"""",IFERROR(FILTER(RawTotals!$AJ:$AJ,RawTotals!$A:$A=AZ66)-(FILTER(Data!$K:$K,Data!$B:$B=AZ66,Data!$D:$D=$J66)+FILTER(Data!$L:$L,Data!$B:$B=AZ66,Data!$D:$D=$J66)),""""),"""")"),"")</f>
        <v/>
      </c>
      <c r="CK66" s="69" t="str">
        <f>IFERROR(__xludf.DUMMYFUNCTION("IF($K66&lt;&gt;"""",IFERROR(FILTER(RawTotals!$AJ:$AJ,RawTotals!$A:$A=BA66)-(FILTER(Data!$K:$K,Data!$B:$B=BA66,Data!$D:$D=$K66)+FILTER(Data!$L:$L,Data!$B:$B=BA66,Data!$D:$D=$K66)),""""),"""")"),"")</f>
        <v/>
      </c>
      <c r="CL66" s="69" t="str">
        <f>IFERROR(__xludf.DUMMYFUNCTION("IF($K66&lt;&gt;"""",IFERROR(FILTER(RawTotals!$AJ:$AJ,RawTotals!$A:$A=BB66)-(FILTER(Data!$K:$K,Data!$B:$B=BB66,Data!$D:$D=$K66)+FILTER(Data!$L:$L,Data!$B:$B=BB66,Data!$D:$D=$K66)),""""),"""")"),"")</f>
        <v/>
      </c>
      <c r="CM66" s="69" t="str">
        <f>IFERROR(__xludf.DUMMYFUNCTION("IF($K66&lt;&gt;"""",IFERROR(FILTER(RawTotals!$AJ:$AJ,RawTotals!$A:$A=BC66)-(FILTER(Data!$K:$K,Data!$B:$B=BC66,Data!$D:$D=$K66)+FILTER(Data!$L:$L,Data!$B:$B=BC66,Data!$D:$D=$K66)),""""),"""")"),"")</f>
        <v/>
      </c>
      <c r="CN66" s="69" t="str">
        <f>IFERROR(__xludf.DUMMYFUNCTION("IF($L66&lt;&gt;"""",IFERROR((FILTER(RawTotals!$AJ:$AJ,RawTotals!$A:$A=BD66)-(FILTER(Data!$K:$K,Data!$B:$B=BD66,Data!$D:$D=$L66)+FILTER(Data!$L:$L,Data!$B:$B=BD66,Data!$D:$D=$L66))),""""),"""")"),"")</f>
        <v/>
      </c>
      <c r="CO66" s="69" t="str">
        <f>IFERROR(__xludf.DUMMYFUNCTION("IF($L66&lt;&gt;"""",IFERROR((FILTER(RawTotals!$AJ:$AJ,RawTotals!$A:$A=BE66)-(FILTER(Data!$K:$K,Data!$B:$B=BE66,Data!$D:$D=$L66)+FILTER(Data!$L:$L,Data!$B:$B=BE66,Data!$D:$D=$L66))),""""),"""")"),"")</f>
        <v/>
      </c>
      <c r="CP66" s="69" t="str">
        <f>IFERROR(__xludf.DUMMYFUNCTION("IF($L66&lt;&gt;"""",IFERROR((FILTER(RawTotals!$AJ:$AJ,RawTotals!$A:$A=BF66)-(FILTER(Data!$K:$K,Data!$B:$B=BF66,Data!$D:$D=$L66)+FILTER(Data!$L:$L,Data!$B:$B=BF66,Data!$D:$D=$L66))),""""),"""")"),"")</f>
        <v/>
      </c>
      <c r="CQ66" s="69" t="str">
        <f>IFERROR(__xludf.DUMMYFUNCTION("IF($M66&lt;&gt;"""",IFERROR((FILTER(RawTotals!$AJ:$AJ,RawTotals!$A:$A=BG66)-(FILTER(Data!$K:$K,Data!$B:$B=BG66,Data!$D:$D=$M66)+FILTER(Data!$L:$L,Data!$B:$B=BG66,Data!$D:$D=$M66))),""""),"""")"),"")</f>
        <v/>
      </c>
      <c r="CR66" s="69" t="str">
        <f>IFERROR(__xludf.DUMMYFUNCTION("IF($M66&lt;&gt;"""",IFERROR((FILTER(RawTotals!$AJ:$AJ,RawTotals!$A:$A=BH66)-(FILTER(Data!$K:$K,Data!$B:$B=BH66,Data!$D:$D=$M66)+FILTER(Data!$L:$L,Data!$B:$B=BH66,Data!$D:$D=$M66))),""""),"""")"),"")</f>
        <v/>
      </c>
      <c r="CS66" s="70" t="str">
        <f>IFERROR(__xludf.DUMMYFUNCTION("IF($M66&lt;&gt;"""",IFERROR((FILTER(RawTotals!$AJ:$AJ,RawTotals!$A:$A=BI66)-(FILTER(Data!$K:$K,Data!$B:$B=BI66,Data!$D:$D=$M66)+FILTER(Data!$L:$L,Data!$B:$B=BI66,Data!$D:$D=$M66))),""""),"""")"),"")</f>
        <v/>
      </c>
      <c r="CT66" s="69"/>
      <c r="CU66" s="69"/>
      <c r="CV66" s="69"/>
      <c r="CW66" s="69"/>
      <c r="CX66" s="69"/>
      <c r="CY66" s="69"/>
      <c r="CZ66" s="69"/>
      <c r="DA66" s="69"/>
      <c r="DB66" s="69"/>
      <c r="DC66" s="69"/>
      <c r="DD66" s="69"/>
      <c r="DE66" s="69"/>
    </row>
    <row r="67">
      <c r="A67" s="65" t="str">
        <f>RawTotals!A67</f>
        <v/>
      </c>
      <c r="B67" s="68" t="str">
        <f>IFERROR(__xludf.DUMMYFUNCTION("IF(A67&lt;&gt;"""",IFERROR(TRANSPOSE(FILTER(Data!D:D,Data!B:B=A67,Data!R:R&lt;&gt;"""")),""No Defense""),"""")"),"")</f>
        <v/>
      </c>
      <c r="C67" s="65"/>
      <c r="D67" s="65"/>
      <c r="E67" s="65"/>
      <c r="F67" s="65"/>
      <c r="G67" s="65"/>
      <c r="H67" s="65"/>
      <c r="I67" s="65"/>
      <c r="J67" s="65"/>
      <c r="K67" s="65"/>
      <c r="L67" s="65"/>
      <c r="M67" s="65"/>
      <c r="N67" s="64" t="str">
        <f>IFERROR(__xludf.DUMMYFUNCTION("IFERROR(Textjoin("""",TRUE,FILTER(Data!$R:$R,Data!$D:$D=B67,Data!$B:$B=$A67)),"""")"),"")</f>
        <v/>
      </c>
      <c r="O67" s="64" t="str">
        <f>IFERROR(__xludf.DUMMYFUNCTION("IFERROR(Textjoin("""",TRUE,FILTER(Data!$R:$R,Data!$D:$D=C67,Data!$B:$B=$A67)),"""")"),"")</f>
        <v/>
      </c>
      <c r="P67" s="64" t="str">
        <f>IFERROR(__xludf.DUMMYFUNCTION("IFERROR(Textjoin("""",TRUE,FILTER(Data!$R:$R,Data!$D:$D=D67,Data!$B:$B=$A67)),"""")"),"")</f>
        <v/>
      </c>
      <c r="Q67" s="64" t="str">
        <f>IFERROR(__xludf.DUMMYFUNCTION("IFERROR(Textjoin("""",TRUE,FILTER(Data!$R:$R,Data!$D:$D=E67,Data!$B:$B=$A67)),"""")"),"")</f>
        <v/>
      </c>
      <c r="R67" s="64" t="str">
        <f>IFERROR(__xludf.DUMMYFUNCTION("IFERROR(Textjoin("""",TRUE,FILTER(Data!$R:$R,Data!$D:$D=F67,Data!$B:$B=$A67)),"""")"),"")</f>
        <v/>
      </c>
      <c r="S67" s="64" t="str">
        <f>IFERROR(__xludf.DUMMYFUNCTION("IFERROR(Textjoin("""",TRUE,FILTER(Data!$R:$R,Data!$D:$D=G67,Data!$B:$B=$A67)),"""")"),"")</f>
        <v/>
      </c>
      <c r="T67" s="64" t="str">
        <f>IFERROR(__xludf.DUMMYFUNCTION("IFERROR(Textjoin("""",TRUE,FILTER(Data!$R:$R,Data!$D:$D=H67,Data!$B:$B=$A67)),"""")"),"")</f>
        <v/>
      </c>
      <c r="U67" s="64" t="str">
        <f>IFERROR(__xludf.DUMMYFUNCTION("IFERROR(Textjoin("""",TRUE,FILTER(Data!$R:$R,Data!$D:$D=I67,Data!$B:$B=$A67)),"""")"),"")</f>
        <v/>
      </c>
      <c r="V67" s="64" t="str">
        <f>IFERROR(__xludf.DUMMYFUNCTION("IFERROR(Textjoin("""",TRUE,FILTER(Data!$R:$R,Data!$D:$D=J67,Data!$B:$B=$A67)),"""")"),"")</f>
        <v/>
      </c>
      <c r="W67" s="64" t="str">
        <f>IFERROR(__xludf.DUMMYFUNCTION("IFERROR(Textjoin("""",TRUE,FILTER(Data!$R:$R,Data!$D:$D=K67,Data!$B:$B=$A67)),"""")"),"")</f>
        <v/>
      </c>
      <c r="X67" s="64" t="str">
        <f>IFERROR(__xludf.DUMMYFUNCTION("IFERROR(Textjoin("""",TRUE,FILTER(Data!$R:$R,Data!$D:$D=L67,Data!$B:$B=$A67)),"""")"),"")</f>
        <v/>
      </c>
      <c r="Y67" s="64" t="str">
        <f>IFERROR(__xludf.DUMMYFUNCTION("IFERROR(Textjoin("""",TRUE,FILTER(Data!$R:$R,Data!$D:$D=M67,Data!$B:$B=$A67)),"""")"),"")</f>
        <v/>
      </c>
      <c r="Z67" s="64" t="str">
        <f>IFERROR(__xludf.DUMMYFUNCTION("IFERROR(SPLIT(N67,"",""),"""")"),"")</f>
        <v/>
      </c>
      <c r="AA67" s="65"/>
      <c r="AB67" s="65"/>
      <c r="AC67" s="69" t="str">
        <f>IFERROR(__xludf.DUMMYFUNCTION("IFERROR(SPLIT(O67,"",""),"""")"),"")</f>
        <v/>
      </c>
      <c r="AD67" s="65"/>
      <c r="AE67" s="65"/>
      <c r="AF67" s="69" t="str">
        <f>IFERROR(__xludf.DUMMYFUNCTION("IFERROR(SPLIT(P67,"",""),"""")"),"")</f>
        <v/>
      </c>
      <c r="AG67" s="65"/>
      <c r="AH67" s="65"/>
      <c r="AI67" s="69" t="str">
        <f>IFERROR(__xludf.DUMMYFUNCTION("IFERROR(SPLIT(Q67,"",""),"""")"),"")</f>
        <v/>
      </c>
      <c r="AJ67" s="65"/>
      <c r="AK67" s="65"/>
      <c r="AL67" s="69" t="str">
        <f>IFERROR(__xludf.DUMMYFUNCTION("IFERROR(SPLIT(R67,"",""),"""")"),"")</f>
        <v/>
      </c>
      <c r="AM67" s="65"/>
      <c r="AN67" s="65"/>
      <c r="AO67" s="69" t="str">
        <f>IFERROR(__xludf.DUMMYFUNCTION("IFERROR(SPLIT(S67,"",""),"""")"),"")</f>
        <v/>
      </c>
      <c r="AP67" s="65"/>
      <c r="AQ67" s="65"/>
      <c r="AR67" s="69" t="str">
        <f>IFERROR(__xludf.DUMMYFUNCTION("IFERROR(SPLIT(T67,"",""),"""")"),"")</f>
        <v/>
      </c>
      <c r="AS67" s="65"/>
      <c r="AT67" s="65"/>
      <c r="AU67" s="69" t="str">
        <f>IFERROR(__xludf.DUMMYFUNCTION("IFERROR(SPLIT(U67,"",""),"""")"),"")</f>
        <v/>
      </c>
      <c r="AV67" s="65"/>
      <c r="AW67" s="65"/>
      <c r="AX67" s="69" t="str">
        <f>IFERROR(__xludf.DUMMYFUNCTION("IFERROR(SPLIT(V67,"",""),"""")"),"")</f>
        <v/>
      </c>
      <c r="AY67" s="65"/>
      <c r="AZ67" s="65"/>
      <c r="BA67" s="69" t="str">
        <f>IFERROR(__xludf.DUMMYFUNCTION("IFERROR(SPLIT(W67,"",""),"""")"),"")</f>
        <v/>
      </c>
      <c r="BB67" s="69"/>
      <c r="BC67" s="69"/>
      <c r="BD67" s="69" t="str">
        <f>IFERROR(__xludf.DUMMYFUNCTION("IFERROR(SPLIT(X67,"",""),"""")"),"")</f>
        <v/>
      </c>
      <c r="BE67" s="69"/>
      <c r="BF67" s="69"/>
      <c r="BG67" s="69" t="str">
        <f>IFERROR(__xludf.DUMMYFUNCTION("IFERROR(SPLIT(Y67,"",""),"""")"),"")</f>
        <v/>
      </c>
      <c r="BH67" s="69"/>
      <c r="BI67" s="69"/>
      <c r="BJ67" s="68" t="str">
        <f>IFERROR(__xludf.DUMMYFUNCTION("IF($B67&lt;&gt;"""",IFERROR(FILTER(RawTotals!$AJ:$AJ,RawTotals!$A:$A=Z67)-(FILTER(Data!$K:$K,Data!$B:$B=Z67,Data!$D:$D=$B67)+FILTER(Data!$L:$L,Data!$B:$B=Z67,Data!$D:$D=$B67)),""""),"""")"),"")</f>
        <v/>
      </c>
      <c r="BK67" s="68" t="str">
        <f>IFERROR(__xludf.DUMMYFUNCTION("IF($B67&lt;&gt;"""",IFERROR(FILTER(RawTotals!$AJ:$AJ,RawTotals!$A:$A=AA67)-(FILTER(Data!$K:$K,Data!$B:$B=AA67,Data!$D:$D=$B67)+FILTER(Data!$L:$L,Data!$B:$B=AA67,Data!$D:$D=$B67)),""""),"""")"),"")</f>
        <v/>
      </c>
      <c r="BL67" s="68" t="str">
        <f>IFERROR(__xludf.DUMMYFUNCTION("IF($B67&lt;&gt;"""",IFERROR(FILTER(RawTotals!$AJ:$AJ,RawTotals!$A:$A=AB67)-(FILTER(Data!$K:$K,Data!$B:$B=AB67,Data!$D:$D=$B67)+FILTER(Data!$L:$L,Data!$B:$B=AB67,Data!$D:$D=$B67)),""""),"""")"),"")</f>
        <v/>
      </c>
      <c r="BM67" s="69" t="str">
        <f>IFERROR(__xludf.DUMMYFUNCTION("IF($C67&lt;&gt;"""",IFERROR(FILTER(RawTotals!$AJ:$AJ,RawTotals!$A:$A=AC67)-(FILTER(Data!$K:$K,Data!$B:$B=AC67,Data!$D:$D=$C67)+FILTER(Data!$L:$L,Data!$B:$B=AC67,Data!$D:$D=$C67)),""""),"""")"),"")</f>
        <v/>
      </c>
      <c r="BN67" s="69" t="str">
        <f>IFERROR(__xludf.DUMMYFUNCTION("IF($C67&lt;&gt;"""",IFERROR(FILTER(RawTotals!$AJ:$AJ,RawTotals!$A:$A=AD67)-(FILTER(Data!$K:$K,Data!$B:$B=AD67,Data!$D:$D=$C67)+FILTER(Data!$L:$L,Data!$B:$B=AD67,Data!$D:$D=$C67)),""""),"""")"),"")</f>
        <v/>
      </c>
      <c r="BO67" s="69" t="str">
        <f>IFERROR(__xludf.DUMMYFUNCTION("IF($C67&lt;&gt;"""",IFERROR(FILTER(RawTotals!$AJ:$AJ,RawTotals!$A:$A=AE67)-(FILTER(Data!$K:$K,Data!$B:$B=AE67,Data!$D:$D=$C67)+FILTER(Data!$L:$L,Data!$B:$B=AE67,Data!$D:$D=$C67)),""""),"""")"),"")</f>
        <v/>
      </c>
      <c r="BP67" s="69" t="str">
        <f>IFERROR(__xludf.DUMMYFUNCTION("IF($D67&lt;&gt;"""",IFERROR(FILTER(RawTotals!$AJ:$AJ,RawTotals!$A:$A=AF67)-(FILTER(Data!$K:$K,Data!$B:$B=AF67,Data!$D:$D=$D67)+FILTER(Data!$L:$L,Data!$B:$B=AF67,Data!$D:$D=$D67)),""""),"""")"),"")</f>
        <v/>
      </c>
      <c r="BQ67" s="69" t="str">
        <f>IFERROR(__xludf.DUMMYFUNCTION("IF($D67&lt;&gt;"""",IFERROR(FILTER(RawTotals!$AJ:$AJ,RawTotals!$A:$A=AG67)-(FILTER(Data!$K:$K,Data!$B:$B=AG67,Data!$D:$D=$D67)+FILTER(Data!$L:$L,Data!$B:$B=AG67,Data!$D:$D=$D67)),""""),"""")"),"")</f>
        <v/>
      </c>
      <c r="BR67" s="69" t="str">
        <f>IFERROR(__xludf.DUMMYFUNCTION("IF($D67&lt;&gt;"""",IFERROR(FILTER(RawTotals!$AJ:$AJ,RawTotals!$A:$A=AH67)-(FILTER(Data!$K:$K,Data!$B:$B=AH67,Data!$D:$D=$D67)+FILTER(Data!$L:$L,Data!$B:$B=AH67,Data!$D:$D=$D67)),""""),"""")"),"")</f>
        <v/>
      </c>
      <c r="BS67" s="69" t="str">
        <f>IFERROR(__xludf.DUMMYFUNCTION("IF($E67&lt;&gt;"""",IFERROR(FILTER(RawTotals!$AJ:$AJ,RawTotals!$A:$A=AI67)-(FILTER(Data!$K:$K,Data!$B:$B=AI67,Data!$D:$D=$E67)+FILTER(Data!$L:$L,Data!$B:$B=AI67,Data!$D:$D=$E67)),""""),"""")"),"")</f>
        <v/>
      </c>
      <c r="BT67" s="69" t="str">
        <f>IFERROR(__xludf.DUMMYFUNCTION("IF($E67&lt;&gt;"""",IFERROR(FILTER(RawTotals!$AJ:$AJ,RawTotals!$A:$A=AJ67)-(FILTER(Data!$K:$K,Data!$B:$B=AJ67,Data!$D:$D=$E67)+FILTER(Data!$L:$L,Data!$B:$B=AJ67,Data!$D:$D=$E67)),""""),"""")"),"")</f>
        <v/>
      </c>
      <c r="BU67" s="69" t="str">
        <f>IFERROR(__xludf.DUMMYFUNCTION("IF($E67&lt;&gt;"""",IFERROR(FILTER(RawTotals!$AJ:$AJ,RawTotals!$A:$A=AK67)-(FILTER(Data!$K:$K,Data!$B:$B=AK67,Data!$D:$D=$E67)+FILTER(Data!$L:$L,Data!$B:$B=AK67,Data!$D:$D=$E67)),""""),"""")"),"")</f>
        <v/>
      </c>
      <c r="BV67" s="69" t="str">
        <f>IFERROR(__xludf.DUMMYFUNCTION("IF($F67&lt;&gt;"""",IFERROR(FILTER(RawTotals!$AJ:$AJ,RawTotals!$A:$A=AL67)-(FILTER(Data!$K:$K,Data!$B:$B=AL67,Data!$D:$D=$F67)+FILTER(Data!$L:$L,Data!$B:$B=AL67,Data!$D:$D=$F67)),""""),"""")"),"")</f>
        <v/>
      </c>
      <c r="BW67" s="69" t="str">
        <f>IFERROR(__xludf.DUMMYFUNCTION("IF($F67&lt;&gt;"""",IFERROR(FILTER(RawTotals!$AJ:$AJ,RawTotals!$A:$A=AM67)-(FILTER(Data!$K:$K,Data!$B:$B=AM67,Data!$D:$D=$F67)+FILTER(Data!$L:$L,Data!$B:$B=AM67,Data!$D:$D=$F67)),""""),"""")"),"")</f>
        <v/>
      </c>
      <c r="BX67" s="69" t="str">
        <f>IFERROR(__xludf.DUMMYFUNCTION("IF($F67&lt;&gt;"""",IFERROR(FILTER(RawTotals!$AJ:$AJ,RawTotals!$A:$A=AN67)-(FILTER(Data!$K:$K,Data!$B:$B=AN67,Data!$D:$D=$F67)+FILTER(Data!$L:$L,Data!$B:$B=AN67,Data!$D:$D=$F67)),""""),"""")"),"")</f>
        <v/>
      </c>
      <c r="BY67" s="69" t="str">
        <f>IFERROR(__xludf.DUMMYFUNCTION("IF($G67&lt;&gt;"""",IFERROR(FILTER(RawTotals!$AJ:$AJ,RawTotals!$A:$A=AO67)-(FILTER(Data!$K:$K,Data!$B:$B=AO67,Data!$D:$D=$G67)+FILTER(Data!$L:$L,Data!$B:$B=AO67,Data!$D:$D=$G67)),""""),"""")"),"")</f>
        <v/>
      </c>
      <c r="BZ67" s="69" t="str">
        <f>IFERROR(__xludf.DUMMYFUNCTION("IF($G67&lt;&gt;"""",IFERROR(FILTER(RawTotals!$AJ:$AJ,RawTotals!$A:$A=AP67)-(FILTER(Data!$K:$K,Data!$B:$B=AP67,Data!$D:$D=$G67)+FILTER(Data!$L:$L,Data!$B:$B=AP67,Data!$D:$D=$G67)),""""),"""")"),"")</f>
        <v/>
      </c>
      <c r="CA67" s="69" t="str">
        <f>IFERROR(__xludf.DUMMYFUNCTION("IF($G67&lt;&gt;"""",IFERROR(FILTER(RawTotals!$AJ:$AJ,RawTotals!$A:$A=AQ67)-(FILTER(Data!$K:$K,Data!$B:$B=AQ67,Data!$D:$D=$G67)+FILTER(Data!$L:$L,Data!$B:$B=AQ67,Data!$D:$D=$G67)),""""),"""")"),"")</f>
        <v/>
      </c>
      <c r="CB67" s="69" t="str">
        <f>IFERROR(__xludf.DUMMYFUNCTION("IF($H67&lt;&gt;"""",IFERROR(FILTER(RawTotals!$AJ:$AJ,RawTotals!$A:$A=AR67)-(FILTER(Data!$K:$K,Data!$B:$B=AR67,Data!$D:$D=$H67)+FILTER(Data!$L:$L,Data!$B:$B=AR67,Data!$D:$D=$H67)),""""),"""")"),"")</f>
        <v/>
      </c>
      <c r="CC67" s="69" t="str">
        <f>IFERROR(__xludf.DUMMYFUNCTION("IF($H67&lt;&gt;"""",IFERROR(FILTER(RawTotals!$AJ:$AJ,RawTotals!$A:$A=AS67)-(FILTER(Data!$K:$K,Data!$B:$B=AS67,Data!$D:$D=$H67)+FILTER(Data!$L:$L,Data!$B:$B=AS67,Data!$D:$D=$H67)),""""),"""")"),"")</f>
        <v/>
      </c>
      <c r="CD67" s="69" t="str">
        <f>IFERROR(__xludf.DUMMYFUNCTION("IF($H67&lt;&gt;"""",IFERROR(FILTER(RawTotals!$AJ:$AJ,RawTotals!$A:$A=AT67)-(FILTER(Data!$K:$K,Data!$B:$B=AT67,Data!$D:$D=$H67)+FILTER(Data!$L:$L,Data!$B:$B=AT67,Data!$D:$D=$H67)),""""),"""")"),"")</f>
        <v/>
      </c>
      <c r="CE67" s="69" t="str">
        <f>IFERROR(__xludf.DUMMYFUNCTION("IF($I67&lt;&gt;"""",IFERROR(FILTER(RawTotals!$AJ:$AJ,RawTotals!$A:$A=AU67)-(FILTER(Data!$K:$K,Data!$B:$B=AU67,Data!$D:$D=$I67)+FILTER(Data!$L:$L,Data!$B:$B=AU67,Data!$D:$D=$I67)),""""),"""")"),"")</f>
        <v/>
      </c>
      <c r="CF67" s="69" t="str">
        <f>IFERROR(__xludf.DUMMYFUNCTION("IF($I67&lt;&gt;"""",IFERROR(FILTER(RawTotals!$AJ:$AJ,RawTotals!$A:$A=AV67)-(FILTER(Data!$K:$K,Data!$B:$B=AV67,Data!$D:$D=$I67)+FILTER(Data!$L:$L,Data!$B:$B=AV67,Data!$D:$D=$I67)),""""),"""")"),"")</f>
        <v/>
      </c>
      <c r="CG67" s="69" t="str">
        <f>IFERROR(__xludf.DUMMYFUNCTION("IF($I67&lt;&gt;"""",IFERROR(FILTER(RawTotals!$AJ:$AJ,RawTotals!$A:$A=AW67)-(FILTER(Data!$K:$K,Data!$B:$B=AW67,Data!$D:$D=$I67)+FILTER(Data!$L:$L,Data!$B:$B=AW67,Data!$D:$D=$I67)),""""),"""")"),"")</f>
        <v/>
      </c>
      <c r="CH67" s="69" t="str">
        <f>IFERROR(__xludf.DUMMYFUNCTION("IF($J67&lt;&gt;"""",IFERROR(FILTER(RawTotals!$AJ:$AJ,RawTotals!$A:$A=AX67)-(FILTER(Data!$K:$K,Data!$B:$B=AX67,Data!$D:$D=$J67)+FILTER(Data!$L:$L,Data!$B:$B=AX67,Data!$D:$D=$J67)),""""),"""")"),"")</f>
        <v/>
      </c>
      <c r="CI67" s="69" t="str">
        <f>IFERROR(__xludf.DUMMYFUNCTION("IF($J67&lt;&gt;"""",IFERROR(FILTER(RawTotals!$AJ:$AJ,RawTotals!$A:$A=AY67)-(FILTER(Data!$K:$K,Data!$B:$B=AY67,Data!$D:$D=$J67)+FILTER(Data!$L:$L,Data!$B:$B=AY67,Data!$D:$D=$J67)),""""),"""")"),"")</f>
        <v/>
      </c>
      <c r="CJ67" s="69" t="str">
        <f>IFERROR(__xludf.DUMMYFUNCTION("IF($J67&lt;&gt;"""",IFERROR(FILTER(RawTotals!$AJ:$AJ,RawTotals!$A:$A=AZ67)-(FILTER(Data!$K:$K,Data!$B:$B=AZ67,Data!$D:$D=$J67)+FILTER(Data!$L:$L,Data!$B:$B=AZ67,Data!$D:$D=$J67)),""""),"""")"),"")</f>
        <v/>
      </c>
      <c r="CK67" s="69" t="str">
        <f>IFERROR(__xludf.DUMMYFUNCTION("IF($K67&lt;&gt;"""",IFERROR(FILTER(RawTotals!$AJ:$AJ,RawTotals!$A:$A=BA67)-(FILTER(Data!$K:$K,Data!$B:$B=BA67,Data!$D:$D=$K67)+FILTER(Data!$L:$L,Data!$B:$B=BA67,Data!$D:$D=$K67)),""""),"""")"),"")</f>
        <v/>
      </c>
      <c r="CL67" s="69" t="str">
        <f>IFERROR(__xludf.DUMMYFUNCTION("IF($K67&lt;&gt;"""",IFERROR(FILTER(RawTotals!$AJ:$AJ,RawTotals!$A:$A=BB67)-(FILTER(Data!$K:$K,Data!$B:$B=BB67,Data!$D:$D=$K67)+FILTER(Data!$L:$L,Data!$B:$B=BB67,Data!$D:$D=$K67)),""""),"""")"),"")</f>
        <v/>
      </c>
      <c r="CM67" s="69" t="str">
        <f>IFERROR(__xludf.DUMMYFUNCTION("IF($K67&lt;&gt;"""",IFERROR(FILTER(RawTotals!$AJ:$AJ,RawTotals!$A:$A=BC67)-(FILTER(Data!$K:$K,Data!$B:$B=BC67,Data!$D:$D=$K67)+FILTER(Data!$L:$L,Data!$B:$B=BC67,Data!$D:$D=$K67)),""""),"""")"),"")</f>
        <v/>
      </c>
      <c r="CN67" s="69" t="str">
        <f>IFERROR(__xludf.DUMMYFUNCTION("IF($L67&lt;&gt;"""",IFERROR((FILTER(RawTotals!$AJ:$AJ,RawTotals!$A:$A=BD67)-(FILTER(Data!$K:$K,Data!$B:$B=BD67,Data!$D:$D=$L67)+FILTER(Data!$L:$L,Data!$B:$B=BD67,Data!$D:$D=$L67))),""""),"""")"),"")</f>
        <v/>
      </c>
      <c r="CO67" s="69" t="str">
        <f>IFERROR(__xludf.DUMMYFUNCTION("IF($L67&lt;&gt;"""",IFERROR((FILTER(RawTotals!$AJ:$AJ,RawTotals!$A:$A=BE67)-(FILTER(Data!$K:$K,Data!$B:$B=BE67,Data!$D:$D=$L67)+FILTER(Data!$L:$L,Data!$B:$B=BE67,Data!$D:$D=$L67))),""""),"""")"),"")</f>
        <v/>
      </c>
      <c r="CP67" s="69" t="str">
        <f>IFERROR(__xludf.DUMMYFUNCTION("IF($L67&lt;&gt;"""",IFERROR((FILTER(RawTotals!$AJ:$AJ,RawTotals!$A:$A=BF67)-(FILTER(Data!$K:$K,Data!$B:$B=BF67,Data!$D:$D=$L67)+FILTER(Data!$L:$L,Data!$B:$B=BF67,Data!$D:$D=$L67))),""""),"""")"),"")</f>
        <v/>
      </c>
      <c r="CQ67" s="69" t="str">
        <f>IFERROR(__xludf.DUMMYFUNCTION("IF($M67&lt;&gt;"""",IFERROR((FILTER(RawTotals!$AJ:$AJ,RawTotals!$A:$A=BG67)-(FILTER(Data!$K:$K,Data!$B:$B=BG67,Data!$D:$D=$M67)+FILTER(Data!$L:$L,Data!$B:$B=BG67,Data!$D:$D=$M67))),""""),"""")"),"")</f>
        <v/>
      </c>
      <c r="CR67" s="69" t="str">
        <f>IFERROR(__xludf.DUMMYFUNCTION("IF($M67&lt;&gt;"""",IFERROR((FILTER(RawTotals!$AJ:$AJ,RawTotals!$A:$A=BH67)-(FILTER(Data!$K:$K,Data!$B:$B=BH67,Data!$D:$D=$M67)+FILTER(Data!$L:$L,Data!$B:$B=BH67,Data!$D:$D=$M67))),""""),"""")"),"")</f>
        <v/>
      </c>
      <c r="CS67" s="70" t="str">
        <f>IFERROR(__xludf.DUMMYFUNCTION("IF($M67&lt;&gt;"""",IFERROR((FILTER(RawTotals!$AJ:$AJ,RawTotals!$A:$A=BI67)-(FILTER(Data!$K:$K,Data!$B:$B=BI67,Data!$D:$D=$M67)+FILTER(Data!$L:$L,Data!$B:$B=BI67,Data!$D:$D=$M67))),""""),"""")"),"")</f>
        <v/>
      </c>
      <c r="CT67" s="69"/>
      <c r="CU67" s="69"/>
      <c r="CV67" s="69"/>
      <c r="CW67" s="69"/>
      <c r="CX67" s="69"/>
      <c r="CY67" s="69"/>
      <c r="CZ67" s="69"/>
      <c r="DA67" s="69"/>
      <c r="DB67" s="69"/>
      <c r="DC67" s="69"/>
      <c r="DD67" s="69"/>
      <c r="DE67" s="69"/>
    </row>
    <row r="68">
      <c r="A68" s="65" t="str">
        <f>RawTotals!A68</f>
        <v/>
      </c>
      <c r="B68" s="68" t="str">
        <f>IFERROR(__xludf.DUMMYFUNCTION("IF(A68&lt;&gt;"""",IFERROR(TRANSPOSE(FILTER(Data!D:D,Data!B:B=A68,Data!R:R&lt;&gt;"""")),""No Defense""),"""")"),"")</f>
        <v/>
      </c>
      <c r="C68" s="65"/>
      <c r="D68" s="65"/>
      <c r="E68" s="65"/>
      <c r="F68" s="65"/>
      <c r="G68" s="65"/>
      <c r="H68" s="65"/>
      <c r="I68" s="65"/>
      <c r="J68" s="65"/>
      <c r="K68" s="65"/>
      <c r="L68" s="65"/>
      <c r="M68" s="65"/>
      <c r="N68" s="64" t="str">
        <f>IFERROR(__xludf.DUMMYFUNCTION("IFERROR(Textjoin("""",TRUE,FILTER(Data!$R:$R,Data!$D:$D=B68,Data!$B:$B=$A68)),"""")"),"")</f>
        <v/>
      </c>
      <c r="O68" s="64" t="str">
        <f>IFERROR(__xludf.DUMMYFUNCTION("IFERROR(Textjoin("""",TRUE,FILTER(Data!$R:$R,Data!$D:$D=C68,Data!$B:$B=$A68)),"""")"),"")</f>
        <v/>
      </c>
      <c r="P68" s="64" t="str">
        <f>IFERROR(__xludf.DUMMYFUNCTION("IFERROR(Textjoin("""",TRUE,FILTER(Data!$R:$R,Data!$D:$D=D68,Data!$B:$B=$A68)),"""")"),"")</f>
        <v/>
      </c>
      <c r="Q68" s="64" t="str">
        <f>IFERROR(__xludf.DUMMYFUNCTION("IFERROR(Textjoin("""",TRUE,FILTER(Data!$R:$R,Data!$D:$D=E68,Data!$B:$B=$A68)),"""")"),"")</f>
        <v/>
      </c>
      <c r="R68" s="64" t="str">
        <f>IFERROR(__xludf.DUMMYFUNCTION("IFERROR(Textjoin("""",TRUE,FILTER(Data!$R:$R,Data!$D:$D=F68,Data!$B:$B=$A68)),"""")"),"")</f>
        <v/>
      </c>
      <c r="S68" s="64" t="str">
        <f>IFERROR(__xludf.DUMMYFUNCTION("IFERROR(Textjoin("""",TRUE,FILTER(Data!$R:$R,Data!$D:$D=G68,Data!$B:$B=$A68)),"""")"),"")</f>
        <v/>
      </c>
      <c r="T68" s="64" t="str">
        <f>IFERROR(__xludf.DUMMYFUNCTION("IFERROR(Textjoin("""",TRUE,FILTER(Data!$R:$R,Data!$D:$D=H68,Data!$B:$B=$A68)),"""")"),"")</f>
        <v/>
      </c>
      <c r="U68" s="64" t="str">
        <f>IFERROR(__xludf.DUMMYFUNCTION("IFERROR(Textjoin("""",TRUE,FILTER(Data!$R:$R,Data!$D:$D=I68,Data!$B:$B=$A68)),"""")"),"")</f>
        <v/>
      </c>
      <c r="V68" s="64" t="str">
        <f>IFERROR(__xludf.DUMMYFUNCTION("IFERROR(Textjoin("""",TRUE,FILTER(Data!$R:$R,Data!$D:$D=J68,Data!$B:$B=$A68)),"""")"),"")</f>
        <v/>
      </c>
      <c r="W68" s="64" t="str">
        <f>IFERROR(__xludf.DUMMYFUNCTION("IFERROR(Textjoin("""",TRUE,FILTER(Data!$R:$R,Data!$D:$D=K68,Data!$B:$B=$A68)),"""")"),"")</f>
        <v/>
      </c>
      <c r="X68" s="64" t="str">
        <f>IFERROR(__xludf.DUMMYFUNCTION("IFERROR(Textjoin("""",TRUE,FILTER(Data!$R:$R,Data!$D:$D=L68,Data!$B:$B=$A68)),"""")"),"")</f>
        <v/>
      </c>
      <c r="Y68" s="64" t="str">
        <f>IFERROR(__xludf.DUMMYFUNCTION("IFERROR(Textjoin("""",TRUE,FILTER(Data!$R:$R,Data!$D:$D=M68,Data!$B:$B=$A68)),"""")"),"")</f>
        <v/>
      </c>
      <c r="Z68" s="64" t="str">
        <f>IFERROR(__xludf.DUMMYFUNCTION("IFERROR(SPLIT(N68,"",""),"""")"),"")</f>
        <v/>
      </c>
      <c r="AA68" s="65"/>
      <c r="AB68" s="65"/>
      <c r="AC68" s="69" t="str">
        <f>IFERROR(__xludf.DUMMYFUNCTION("IFERROR(SPLIT(O68,"",""),"""")"),"")</f>
        <v/>
      </c>
      <c r="AD68" s="65"/>
      <c r="AE68" s="65"/>
      <c r="AF68" s="69" t="str">
        <f>IFERROR(__xludf.DUMMYFUNCTION("IFERROR(SPLIT(P68,"",""),"""")"),"")</f>
        <v/>
      </c>
      <c r="AG68" s="65"/>
      <c r="AH68" s="65"/>
      <c r="AI68" s="69" t="str">
        <f>IFERROR(__xludf.DUMMYFUNCTION("IFERROR(SPLIT(Q68,"",""),"""")"),"")</f>
        <v/>
      </c>
      <c r="AJ68" s="65"/>
      <c r="AK68" s="65"/>
      <c r="AL68" s="69" t="str">
        <f>IFERROR(__xludf.DUMMYFUNCTION("IFERROR(SPLIT(R68,"",""),"""")"),"")</f>
        <v/>
      </c>
      <c r="AM68" s="65"/>
      <c r="AN68" s="65"/>
      <c r="AO68" s="69" t="str">
        <f>IFERROR(__xludf.DUMMYFUNCTION("IFERROR(SPLIT(S68,"",""),"""")"),"")</f>
        <v/>
      </c>
      <c r="AP68" s="65"/>
      <c r="AQ68" s="65"/>
      <c r="AR68" s="69" t="str">
        <f>IFERROR(__xludf.DUMMYFUNCTION("IFERROR(SPLIT(T68,"",""),"""")"),"")</f>
        <v/>
      </c>
      <c r="AS68" s="65"/>
      <c r="AT68" s="65"/>
      <c r="AU68" s="69" t="str">
        <f>IFERROR(__xludf.DUMMYFUNCTION("IFERROR(SPLIT(U68,"",""),"""")"),"")</f>
        <v/>
      </c>
      <c r="AV68" s="65"/>
      <c r="AW68" s="65"/>
      <c r="AX68" s="69" t="str">
        <f>IFERROR(__xludf.DUMMYFUNCTION("IFERROR(SPLIT(V68,"",""),"""")"),"")</f>
        <v/>
      </c>
      <c r="AY68" s="65"/>
      <c r="AZ68" s="65"/>
      <c r="BA68" s="69" t="str">
        <f>IFERROR(__xludf.DUMMYFUNCTION("IFERROR(SPLIT(W68,"",""),"""")"),"")</f>
        <v/>
      </c>
      <c r="BB68" s="69"/>
      <c r="BC68" s="69"/>
      <c r="BD68" s="69" t="str">
        <f>IFERROR(__xludf.DUMMYFUNCTION("IFERROR(SPLIT(X68,"",""),"""")"),"")</f>
        <v/>
      </c>
      <c r="BE68" s="69"/>
      <c r="BF68" s="69"/>
      <c r="BG68" s="69" t="str">
        <f>IFERROR(__xludf.DUMMYFUNCTION("IFERROR(SPLIT(Y68,"",""),"""")"),"")</f>
        <v/>
      </c>
      <c r="BH68" s="69"/>
      <c r="BI68" s="69"/>
      <c r="BJ68" s="68" t="str">
        <f>IFERROR(__xludf.DUMMYFUNCTION("IF($B68&lt;&gt;"""",IFERROR(FILTER(RawTotals!$AJ:$AJ,RawTotals!$A:$A=Z68)-(FILTER(Data!$K:$K,Data!$B:$B=Z68,Data!$D:$D=$B68)+FILTER(Data!$L:$L,Data!$B:$B=Z68,Data!$D:$D=$B68)),""""),"""")"),"")</f>
        <v/>
      </c>
      <c r="BK68" s="68" t="str">
        <f>IFERROR(__xludf.DUMMYFUNCTION("IF($B68&lt;&gt;"""",IFERROR(FILTER(RawTotals!$AJ:$AJ,RawTotals!$A:$A=AA68)-(FILTER(Data!$K:$K,Data!$B:$B=AA68,Data!$D:$D=$B68)+FILTER(Data!$L:$L,Data!$B:$B=AA68,Data!$D:$D=$B68)),""""),"""")"),"")</f>
        <v/>
      </c>
      <c r="BL68" s="68" t="str">
        <f>IFERROR(__xludf.DUMMYFUNCTION("IF($B68&lt;&gt;"""",IFERROR(FILTER(RawTotals!$AJ:$AJ,RawTotals!$A:$A=AB68)-(FILTER(Data!$K:$K,Data!$B:$B=AB68,Data!$D:$D=$B68)+FILTER(Data!$L:$L,Data!$B:$B=AB68,Data!$D:$D=$B68)),""""),"""")"),"")</f>
        <v/>
      </c>
      <c r="BM68" s="69" t="str">
        <f>IFERROR(__xludf.DUMMYFUNCTION("IF($C68&lt;&gt;"""",IFERROR(FILTER(RawTotals!$AJ:$AJ,RawTotals!$A:$A=AC68)-(FILTER(Data!$K:$K,Data!$B:$B=AC68,Data!$D:$D=$C68)+FILTER(Data!$L:$L,Data!$B:$B=AC68,Data!$D:$D=$C68)),""""),"""")"),"")</f>
        <v/>
      </c>
      <c r="BN68" s="69" t="str">
        <f>IFERROR(__xludf.DUMMYFUNCTION("IF($C68&lt;&gt;"""",IFERROR(FILTER(RawTotals!$AJ:$AJ,RawTotals!$A:$A=AD68)-(FILTER(Data!$K:$K,Data!$B:$B=AD68,Data!$D:$D=$C68)+FILTER(Data!$L:$L,Data!$B:$B=AD68,Data!$D:$D=$C68)),""""),"""")"),"")</f>
        <v/>
      </c>
      <c r="BO68" s="69" t="str">
        <f>IFERROR(__xludf.DUMMYFUNCTION("IF($C68&lt;&gt;"""",IFERROR(FILTER(RawTotals!$AJ:$AJ,RawTotals!$A:$A=AE68)-(FILTER(Data!$K:$K,Data!$B:$B=AE68,Data!$D:$D=$C68)+FILTER(Data!$L:$L,Data!$B:$B=AE68,Data!$D:$D=$C68)),""""),"""")"),"")</f>
        <v/>
      </c>
      <c r="BP68" s="69" t="str">
        <f>IFERROR(__xludf.DUMMYFUNCTION("IF($D68&lt;&gt;"""",IFERROR(FILTER(RawTotals!$AJ:$AJ,RawTotals!$A:$A=AF68)-(FILTER(Data!$K:$K,Data!$B:$B=AF68,Data!$D:$D=$D68)+FILTER(Data!$L:$L,Data!$B:$B=AF68,Data!$D:$D=$D68)),""""),"""")"),"")</f>
        <v/>
      </c>
      <c r="BQ68" s="69" t="str">
        <f>IFERROR(__xludf.DUMMYFUNCTION("IF($D68&lt;&gt;"""",IFERROR(FILTER(RawTotals!$AJ:$AJ,RawTotals!$A:$A=AG68)-(FILTER(Data!$K:$K,Data!$B:$B=AG68,Data!$D:$D=$D68)+FILTER(Data!$L:$L,Data!$B:$B=AG68,Data!$D:$D=$D68)),""""),"""")"),"")</f>
        <v/>
      </c>
      <c r="BR68" s="69" t="str">
        <f>IFERROR(__xludf.DUMMYFUNCTION("IF($D68&lt;&gt;"""",IFERROR(FILTER(RawTotals!$AJ:$AJ,RawTotals!$A:$A=AH68)-(FILTER(Data!$K:$K,Data!$B:$B=AH68,Data!$D:$D=$D68)+FILTER(Data!$L:$L,Data!$B:$B=AH68,Data!$D:$D=$D68)),""""),"""")"),"")</f>
        <v/>
      </c>
      <c r="BS68" s="69" t="str">
        <f>IFERROR(__xludf.DUMMYFUNCTION("IF($E68&lt;&gt;"""",IFERROR(FILTER(RawTotals!$AJ:$AJ,RawTotals!$A:$A=AI68)-(FILTER(Data!$K:$K,Data!$B:$B=AI68,Data!$D:$D=$E68)+FILTER(Data!$L:$L,Data!$B:$B=AI68,Data!$D:$D=$E68)),""""),"""")"),"")</f>
        <v/>
      </c>
      <c r="BT68" s="69" t="str">
        <f>IFERROR(__xludf.DUMMYFUNCTION("IF($E68&lt;&gt;"""",IFERROR(FILTER(RawTotals!$AJ:$AJ,RawTotals!$A:$A=AJ68)-(FILTER(Data!$K:$K,Data!$B:$B=AJ68,Data!$D:$D=$E68)+FILTER(Data!$L:$L,Data!$B:$B=AJ68,Data!$D:$D=$E68)),""""),"""")"),"")</f>
        <v/>
      </c>
      <c r="BU68" s="69" t="str">
        <f>IFERROR(__xludf.DUMMYFUNCTION("IF($E68&lt;&gt;"""",IFERROR(FILTER(RawTotals!$AJ:$AJ,RawTotals!$A:$A=AK68)-(FILTER(Data!$K:$K,Data!$B:$B=AK68,Data!$D:$D=$E68)+FILTER(Data!$L:$L,Data!$B:$B=AK68,Data!$D:$D=$E68)),""""),"""")"),"")</f>
        <v/>
      </c>
      <c r="BV68" s="69" t="str">
        <f>IFERROR(__xludf.DUMMYFUNCTION("IF($F68&lt;&gt;"""",IFERROR(FILTER(RawTotals!$AJ:$AJ,RawTotals!$A:$A=AL68)-(FILTER(Data!$K:$K,Data!$B:$B=AL68,Data!$D:$D=$F68)+FILTER(Data!$L:$L,Data!$B:$B=AL68,Data!$D:$D=$F68)),""""),"""")"),"")</f>
        <v/>
      </c>
      <c r="BW68" s="69" t="str">
        <f>IFERROR(__xludf.DUMMYFUNCTION("IF($F68&lt;&gt;"""",IFERROR(FILTER(RawTotals!$AJ:$AJ,RawTotals!$A:$A=AM68)-(FILTER(Data!$K:$K,Data!$B:$B=AM68,Data!$D:$D=$F68)+FILTER(Data!$L:$L,Data!$B:$B=AM68,Data!$D:$D=$F68)),""""),"""")"),"")</f>
        <v/>
      </c>
      <c r="BX68" s="69" t="str">
        <f>IFERROR(__xludf.DUMMYFUNCTION("IF($F68&lt;&gt;"""",IFERROR(FILTER(RawTotals!$AJ:$AJ,RawTotals!$A:$A=AN68)-(FILTER(Data!$K:$K,Data!$B:$B=AN68,Data!$D:$D=$F68)+FILTER(Data!$L:$L,Data!$B:$B=AN68,Data!$D:$D=$F68)),""""),"""")"),"")</f>
        <v/>
      </c>
      <c r="BY68" s="69" t="str">
        <f>IFERROR(__xludf.DUMMYFUNCTION("IF($G68&lt;&gt;"""",IFERROR(FILTER(RawTotals!$AJ:$AJ,RawTotals!$A:$A=AO68)-(FILTER(Data!$K:$K,Data!$B:$B=AO68,Data!$D:$D=$G68)+FILTER(Data!$L:$L,Data!$B:$B=AO68,Data!$D:$D=$G68)),""""),"""")"),"")</f>
        <v/>
      </c>
      <c r="BZ68" s="69" t="str">
        <f>IFERROR(__xludf.DUMMYFUNCTION("IF($G68&lt;&gt;"""",IFERROR(FILTER(RawTotals!$AJ:$AJ,RawTotals!$A:$A=AP68)-(FILTER(Data!$K:$K,Data!$B:$B=AP68,Data!$D:$D=$G68)+FILTER(Data!$L:$L,Data!$B:$B=AP68,Data!$D:$D=$G68)),""""),"""")"),"")</f>
        <v/>
      </c>
      <c r="CA68" s="69" t="str">
        <f>IFERROR(__xludf.DUMMYFUNCTION("IF($G68&lt;&gt;"""",IFERROR(FILTER(RawTotals!$AJ:$AJ,RawTotals!$A:$A=AQ68)-(FILTER(Data!$K:$K,Data!$B:$B=AQ68,Data!$D:$D=$G68)+FILTER(Data!$L:$L,Data!$B:$B=AQ68,Data!$D:$D=$G68)),""""),"""")"),"")</f>
        <v/>
      </c>
      <c r="CB68" s="69" t="str">
        <f>IFERROR(__xludf.DUMMYFUNCTION("IF($H68&lt;&gt;"""",IFERROR(FILTER(RawTotals!$AJ:$AJ,RawTotals!$A:$A=AR68)-(FILTER(Data!$K:$K,Data!$B:$B=AR68,Data!$D:$D=$H68)+FILTER(Data!$L:$L,Data!$B:$B=AR68,Data!$D:$D=$H68)),""""),"""")"),"")</f>
        <v/>
      </c>
      <c r="CC68" s="69" t="str">
        <f>IFERROR(__xludf.DUMMYFUNCTION("IF($H68&lt;&gt;"""",IFERROR(FILTER(RawTotals!$AJ:$AJ,RawTotals!$A:$A=AS68)-(FILTER(Data!$K:$K,Data!$B:$B=AS68,Data!$D:$D=$H68)+FILTER(Data!$L:$L,Data!$B:$B=AS68,Data!$D:$D=$H68)),""""),"""")"),"")</f>
        <v/>
      </c>
      <c r="CD68" s="69" t="str">
        <f>IFERROR(__xludf.DUMMYFUNCTION("IF($H68&lt;&gt;"""",IFERROR(FILTER(RawTotals!$AJ:$AJ,RawTotals!$A:$A=AT68)-(FILTER(Data!$K:$K,Data!$B:$B=AT68,Data!$D:$D=$H68)+FILTER(Data!$L:$L,Data!$B:$B=AT68,Data!$D:$D=$H68)),""""),"""")"),"")</f>
        <v/>
      </c>
      <c r="CE68" s="69" t="str">
        <f>IFERROR(__xludf.DUMMYFUNCTION("IF($I68&lt;&gt;"""",IFERROR(FILTER(RawTotals!$AJ:$AJ,RawTotals!$A:$A=AU68)-(FILTER(Data!$K:$K,Data!$B:$B=AU68,Data!$D:$D=$I68)+FILTER(Data!$L:$L,Data!$B:$B=AU68,Data!$D:$D=$I68)),""""),"""")"),"")</f>
        <v/>
      </c>
      <c r="CF68" s="69" t="str">
        <f>IFERROR(__xludf.DUMMYFUNCTION("IF($I68&lt;&gt;"""",IFERROR(FILTER(RawTotals!$AJ:$AJ,RawTotals!$A:$A=AV68)-(FILTER(Data!$K:$K,Data!$B:$B=AV68,Data!$D:$D=$I68)+FILTER(Data!$L:$L,Data!$B:$B=AV68,Data!$D:$D=$I68)),""""),"""")"),"")</f>
        <v/>
      </c>
      <c r="CG68" s="69" t="str">
        <f>IFERROR(__xludf.DUMMYFUNCTION("IF($I68&lt;&gt;"""",IFERROR(FILTER(RawTotals!$AJ:$AJ,RawTotals!$A:$A=AW68)-(FILTER(Data!$K:$K,Data!$B:$B=AW68,Data!$D:$D=$I68)+FILTER(Data!$L:$L,Data!$B:$B=AW68,Data!$D:$D=$I68)),""""),"""")"),"")</f>
        <v/>
      </c>
      <c r="CH68" s="69" t="str">
        <f>IFERROR(__xludf.DUMMYFUNCTION("IF($J68&lt;&gt;"""",IFERROR(FILTER(RawTotals!$AJ:$AJ,RawTotals!$A:$A=AX68)-(FILTER(Data!$K:$K,Data!$B:$B=AX68,Data!$D:$D=$J68)+FILTER(Data!$L:$L,Data!$B:$B=AX68,Data!$D:$D=$J68)),""""),"""")"),"")</f>
        <v/>
      </c>
      <c r="CI68" s="69" t="str">
        <f>IFERROR(__xludf.DUMMYFUNCTION("IF($J68&lt;&gt;"""",IFERROR(FILTER(RawTotals!$AJ:$AJ,RawTotals!$A:$A=AY68)-(FILTER(Data!$K:$K,Data!$B:$B=AY68,Data!$D:$D=$J68)+FILTER(Data!$L:$L,Data!$B:$B=AY68,Data!$D:$D=$J68)),""""),"""")"),"")</f>
        <v/>
      </c>
      <c r="CJ68" s="69" t="str">
        <f>IFERROR(__xludf.DUMMYFUNCTION("IF($J68&lt;&gt;"""",IFERROR(FILTER(RawTotals!$AJ:$AJ,RawTotals!$A:$A=AZ68)-(FILTER(Data!$K:$K,Data!$B:$B=AZ68,Data!$D:$D=$J68)+FILTER(Data!$L:$L,Data!$B:$B=AZ68,Data!$D:$D=$J68)),""""),"""")"),"")</f>
        <v/>
      </c>
      <c r="CK68" s="69" t="str">
        <f>IFERROR(__xludf.DUMMYFUNCTION("IF($K68&lt;&gt;"""",IFERROR(FILTER(RawTotals!$AJ:$AJ,RawTotals!$A:$A=BA68)-(FILTER(Data!$K:$K,Data!$B:$B=BA68,Data!$D:$D=$K68)+FILTER(Data!$L:$L,Data!$B:$B=BA68,Data!$D:$D=$K68)),""""),"""")"),"")</f>
        <v/>
      </c>
      <c r="CL68" s="69" t="str">
        <f>IFERROR(__xludf.DUMMYFUNCTION("IF($K68&lt;&gt;"""",IFERROR(FILTER(RawTotals!$AJ:$AJ,RawTotals!$A:$A=BB68)-(FILTER(Data!$K:$K,Data!$B:$B=BB68,Data!$D:$D=$K68)+FILTER(Data!$L:$L,Data!$B:$B=BB68,Data!$D:$D=$K68)),""""),"""")"),"")</f>
        <v/>
      </c>
      <c r="CM68" s="69" t="str">
        <f>IFERROR(__xludf.DUMMYFUNCTION("IF($K68&lt;&gt;"""",IFERROR(FILTER(RawTotals!$AJ:$AJ,RawTotals!$A:$A=BC68)-(FILTER(Data!$K:$K,Data!$B:$B=BC68,Data!$D:$D=$K68)+FILTER(Data!$L:$L,Data!$B:$B=BC68,Data!$D:$D=$K68)),""""),"""")"),"")</f>
        <v/>
      </c>
      <c r="CN68" s="69" t="str">
        <f>IFERROR(__xludf.DUMMYFUNCTION("IF($L68&lt;&gt;"""",IFERROR((FILTER(RawTotals!$AJ:$AJ,RawTotals!$A:$A=BD68)-(FILTER(Data!$K:$K,Data!$B:$B=BD68,Data!$D:$D=$L68)+FILTER(Data!$L:$L,Data!$B:$B=BD68,Data!$D:$D=$L68))),""""),"""")"),"")</f>
        <v/>
      </c>
      <c r="CO68" s="69" t="str">
        <f>IFERROR(__xludf.DUMMYFUNCTION("IF($L68&lt;&gt;"""",IFERROR((FILTER(RawTotals!$AJ:$AJ,RawTotals!$A:$A=BE68)-(FILTER(Data!$K:$K,Data!$B:$B=BE68,Data!$D:$D=$L68)+FILTER(Data!$L:$L,Data!$B:$B=BE68,Data!$D:$D=$L68))),""""),"""")"),"")</f>
        <v/>
      </c>
      <c r="CP68" s="69" t="str">
        <f>IFERROR(__xludf.DUMMYFUNCTION("IF($L68&lt;&gt;"""",IFERROR((FILTER(RawTotals!$AJ:$AJ,RawTotals!$A:$A=BF68)-(FILTER(Data!$K:$K,Data!$B:$B=BF68,Data!$D:$D=$L68)+FILTER(Data!$L:$L,Data!$B:$B=BF68,Data!$D:$D=$L68))),""""),"""")"),"")</f>
        <v/>
      </c>
      <c r="CQ68" s="69" t="str">
        <f>IFERROR(__xludf.DUMMYFUNCTION("IF($M68&lt;&gt;"""",IFERROR((FILTER(RawTotals!$AJ:$AJ,RawTotals!$A:$A=BG68)-(FILTER(Data!$K:$K,Data!$B:$B=BG68,Data!$D:$D=$M68)+FILTER(Data!$L:$L,Data!$B:$B=BG68,Data!$D:$D=$M68))),""""),"""")"),"")</f>
        <v/>
      </c>
      <c r="CR68" s="69" t="str">
        <f>IFERROR(__xludf.DUMMYFUNCTION("IF($M68&lt;&gt;"""",IFERROR((FILTER(RawTotals!$AJ:$AJ,RawTotals!$A:$A=BH68)-(FILTER(Data!$K:$K,Data!$B:$B=BH68,Data!$D:$D=$M68)+FILTER(Data!$L:$L,Data!$B:$B=BH68,Data!$D:$D=$M68))),""""),"""")"),"")</f>
        <v/>
      </c>
      <c r="CS68" s="70" t="str">
        <f>IFERROR(__xludf.DUMMYFUNCTION("IF($M68&lt;&gt;"""",IFERROR((FILTER(RawTotals!$AJ:$AJ,RawTotals!$A:$A=BI68)-(FILTER(Data!$K:$K,Data!$B:$B=BI68,Data!$D:$D=$M68)+FILTER(Data!$L:$L,Data!$B:$B=BI68,Data!$D:$D=$M68))),""""),"""")"),"")</f>
        <v/>
      </c>
      <c r="CT68" s="69"/>
      <c r="CU68" s="69"/>
      <c r="CV68" s="69"/>
      <c r="CW68" s="69"/>
      <c r="CX68" s="69"/>
      <c r="CY68" s="69"/>
      <c r="CZ68" s="69"/>
      <c r="DA68" s="69"/>
      <c r="DB68" s="69"/>
      <c r="DC68" s="69"/>
      <c r="DD68" s="69"/>
      <c r="DE68" s="69"/>
    </row>
    <row r="69">
      <c r="A69" s="65" t="str">
        <f>RawTotals!A69</f>
        <v/>
      </c>
      <c r="B69" s="68" t="str">
        <f>IFERROR(__xludf.DUMMYFUNCTION("IF(A69&lt;&gt;"""",IFERROR(TRANSPOSE(FILTER(Data!D:D,Data!B:B=A69,Data!R:R&lt;&gt;"""")),""No Defense""),"""")"),"")</f>
        <v/>
      </c>
      <c r="C69" s="65"/>
      <c r="D69" s="65"/>
      <c r="E69" s="65"/>
      <c r="F69" s="65"/>
      <c r="G69" s="65"/>
      <c r="H69" s="65"/>
      <c r="I69" s="65"/>
      <c r="J69" s="65"/>
      <c r="K69" s="65"/>
      <c r="L69" s="65"/>
      <c r="M69" s="65"/>
      <c r="N69" s="64" t="str">
        <f>IFERROR(__xludf.DUMMYFUNCTION("IFERROR(Textjoin("""",TRUE,FILTER(Data!$R:$R,Data!$D:$D=B69,Data!$B:$B=$A69)),"""")"),"")</f>
        <v/>
      </c>
      <c r="O69" s="64" t="str">
        <f>IFERROR(__xludf.DUMMYFUNCTION("IFERROR(Textjoin("""",TRUE,FILTER(Data!$R:$R,Data!$D:$D=C69,Data!$B:$B=$A69)),"""")"),"")</f>
        <v/>
      </c>
      <c r="P69" s="64" t="str">
        <f>IFERROR(__xludf.DUMMYFUNCTION("IFERROR(Textjoin("""",TRUE,FILTER(Data!$R:$R,Data!$D:$D=D69,Data!$B:$B=$A69)),"""")"),"")</f>
        <v/>
      </c>
      <c r="Q69" s="64" t="str">
        <f>IFERROR(__xludf.DUMMYFUNCTION("IFERROR(Textjoin("""",TRUE,FILTER(Data!$R:$R,Data!$D:$D=E69,Data!$B:$B=$A69)),"""")"),"")</f>
        <v/>
      </c>
      <c r="R69" s="64" t="str">
        <f>IFERROR(__xludf.DUMMYFUNCTION("IFERROR(Textjoin("""",TRUE,FILTER(Data!$R:$R,Data!$D:$D=F69,Data!$B:$B=$A69)),"""")"),"")</f>
        <v/>
      </c>
      <c r="S69" s="64" t="str">
        <f>IFERROR(__xludf.DUMMYFUNCTION("IFERROR(Textjoin("""",TRUE,FILTER(Data!$R:$R,Data!$D:$D=G69,Data!$B:$B=$A69)),"""")"),"")</f>
        <v/>
      </c>
      <c r="T69" s="64" t="str">
        <f>IFERROR(__xludf.DUMMYFUNCTION("IFERROR(Textjoin("""",TRUE,FILTER(Data!$R:$R,Data!$D:$D=H69,Data!$B:$B=$A69)),"""")"),"")</f>
        <v/>
      </c>
      <c r="U69" s="64" t="str">
        <f>IFERROR(__xludf.DUMMYFUNCTION("IFERROR(Textjoin("""",TRUE,FILTER(Data!$R:$R,Data!$D:$D=I69,Data!$B:$B=$A69)),"""")"),"")</f>
        <v/>
      </c>
      <c r="V69" s="64" t="str">
        <f>IFERROR(__xludf.DUMMYFUNCTION("IFERROR(Textjoin("""",TRUE,FILTER(Data!$R:$R,Data!$D:$D=J69,Data!$B:$B=$A69)),"""")"),"")</f>
        <v/>
      </c>
      <c r="W69" s="64" t="str">
        <f>IFERROR(__xludf.DUMMYFUNCTION("IFERROR(Textjoin("""",TRUE,FILTER(Data!$R:$R,Data!$D:$D=K69,Data!$B:$B=$A69)),"""")"),"")</f>
        <v/>
      </c>
      <c r="X69" s="64" t="str">
        <f>IFERROR(__xludf.DUMMYFUNCTION("IFERROR(Textjoin("""",TRUE,FILTER(Data!$R:$R,Data!$D:$D=L69,Data!$B:$B=$A69)),"""")"),"")</f>
        <v/>
      </c>
      <c r="Y69" s="64" t="str">
        <f>IFERROR(__xludf.DUMMYFUNCTION("IFERROR(Textjoin("""",TRUE,FILTER(Data!$R:$R,Data!$D:$D=M69,Data!$B:$B=$A69)),"""")"),"")</f>
        <v/>
      </c>
      <c r="Z69" s="64" t="str">
        <f>IFERROR(__xludf.DUMMYFUNCTION("IFERROR(SPLIT(N69,"",""),"""")"),"")</f>
        <v/>
      </c>
      <c r="AA69" s="65"/>
      <c r="AB69" s="65"/>
      <c r="AC69" s="69" t="str">
        <f>IFERROR(__xludf.DUMMYFUNCTION("IFERROR(SPLIT(O69,"",""),"""")"),"")</f>
        <v/>
      </c>
      <c r="AD69" s="65"/>
      <c r="AE69" s="65"/>
      <c r="AF69" s="69" t="str">
        <f>IFERROR(__xludf.DUMMYFUNCTION("IFERROR(SPLIT(P69,"",""),"""")"),"")</f>
        <v/>
      </c>
      <c r="AG69" s="65"/>
      <c r="AH69" s="65"/>
      <c r="AI69" s="69" t="str">
        <f>IFERROR(__xludf.DUMMYFUNCTION("IFERROR(SPLIT(Q69,"",""),"""")"),"")</f>
        <v/>
      </c>
      <c r="AJ69" s="65"/>
      <c r="AK69" s="65"/>
      <c r="AL69" s="69" t="str">
        <f>IFERROR(__xludf.DUMMYFUNCTION("IFERROR(SPLIT(R69,"",""),"""")"),"")</f>
        <v/>
      </c>
      <c r="AM69" s="65"/>
      <c r="AN69" s="65"/>
      <c r="AO69" s="69" t="str">
        <f>IFERROR(__xludf.DUMMYFUNCTION("IFERROR(SPLIT(S69,"",""),"""")"),"")</f>
        <v/>
      </c>
      <c r="AP69" s="65"/>
      <c r="AQ69" s="65"/>
      <c r="AR69" s="69" t="str">
        <f>IFERROR(__xludf.DUMMYFUNCTION("IFERROR(SPLIT(T69,"",""),"""")"),"")</f>
        <v/>
      </c>
      <c r="AS69" s="65"/>
      <c r="AT69" s="65"/>
      <c r="AU69" s="69" t="str">
        <f>IFERROR(__xludf.DUMMYFUNCTION("IFERROR(SPLIT(U69,"",""),"""")"),"")</f>
        <v/>
      </c>
      <c r="AV69" s="65"/>
      <c r="AW69" s="65"/>
      <c r="AX69" s="69" t="str">
        <f>IFERROR(__xludf.DUMMYFUNCTION("IFERROR(SPLIT(V69,"",""),"""")"),"")</f>
        <v/>
      </c>
      <c r="AY69" s="65"/>
      <c r="AZ69" s="65"/>
      <c r="BA69" s="69" t="str">
        <f>IFERROR(__xludf.DUMMYFUNCTION("IFERROR(SPLIT(W69,"",""),"""")"),"")</f>
        <v/>
      </c>
      <c r="BB69" s="69"/>
      <c r="BC69" s="69"/>
      <c r="BD69" s="69" t="str">
        <f>IFERROR(__xludf.DUMMYFUNCTION("IFERROR(SPLIT(X69,"",""),"""")"),"")</f>
        <v/>
      </c>
      <c r="BE69" s="69"/>
      <c r="BF69" s="69"/>
      <c r="BG69" s="69" t="str">
        <f>IFERROR(__xludf.DUMMYFUNCTION("IFERROR(SPLIT(Y69,"",""),"""")"),"")</f>
        <v/>
      </c>
      <c r="BH69" s="69"/>
      <c r="BI69" s="69"/>
      <c r="BJ69" s="68" t="str">
        <f>IFERROR(__xludf.DUMMYFUNCTION("IF($B69&lt;&gt;"""",IFERROR(FILTER(RawTotals!$AJ:$AJ,RawTotals!$A:$A=Z69)-(FILTER(Data!$K:$K,Data!$B:$B=Z69,Data!$D:$D=$B69)+FILTER(Data!$L:$L,Data!$B:$B=Z69,Data!$D:$D=$B69)),""""),"""")"),"")</f>
        <v/>
      </c>
      <c r="BK69" s="68" t="str">
        <f>IFERROR(__xludf.DUMMYFUNCTION("IF($B69&lt;&gt;"""",IFERROR(FILTER(RawTotals!$AJ:$AJ,RawTotals!$A:$A=AA69)-(FILTER(Data!$K:$K,Data!$B:$B=AA69,Data!$D:$D=$B69)+FILTER(Data!$L:$L,Data!$B:$B=AA69,Data!$D:$D=$B69)),""""),"""")"),"")</f>
        <v/>
      </c>
      <c r="BL69" s="68" t="str">
        <f>IFERROR(__xludf.DUMMYFUNCTION("IF($B69&lt;&gt;"""",IFERROR(FILTER(RawTotals!$AJ:$AJ,RawTotals!$A:$A=AB69)-(FILTER(Data!$K:$K,Data!$B:$B=AB69,Data!$D:$D=$B69)+FILTER(Data!$L:$L,Data!$B:$B=AB69,Data!$D:$D=$B69)),""""),"""")"),"")</f>
        <v/>
      </c>
      <c r="BM69" s="69" t="str">
        <f>IFERROR(__xludf.DUMMYFUNCTION("IF($C69&lt;&gt;"""",IFERROR(FILTER(RawTotals!$AJ:$AJ,RawTotals!$A:$A=AC69)-(FILTER(Data!$K:$K,Data!$B:$B=AC69,Data!$D:$D=$C69)+FILTER(Data!$L:$L,Data!$B:$B=AC69,Data!$D:$D=$C69)),""""),"""")"),"")</f>
        <v/>
      </c>
      <c r="BN69" s="69" t="str">
        <f>IFERROR(__xludf.DUMMYFUNCTION("IF($C69&lt;&gt;"""",IFERROR(FILTER(RawTotals!$AJ:$AJ,RawTotals!$A:$A=AD69)-(FILTER(Data!$K:$K,Data!$B:$B=AD69,Data!$D:$D=$C69)+FILTER(Data!$L:$L,Data!$B:$B=AD69,Data!$D:$D=$C69)),""""),"""")"),"")</f>
        <v/>
      </c>
      <c r="BO69" s="69" t="str">
        <f>IFERROR(__xludf.DUMMYFUNCTION("IF($C69&lt;&gt;"""",IFERROR(FILTER(RawTotals!$AJ:$AJ,RawTotals!$A:$A=AE69)-(FILTER(Data!$K:$K,Data!$B:$B=AE69,Data!$D:$D=$C69)+FILTER(Data!$L:$L,Data!$B:$B=AE69,Data!$D:$D=$C69)),""""),"""")"),"")</f>
        <v/>
      </c>
      <c r="BP69" s="69" t="str">
        <f>IFERROR(__xludf.DUMMYFUNCTION("IF($D69&lt;&gt;"""",IFERROR(FILTER(RawTotals!$AJ:$AJ,RawTotals!$A:$A=AF69)-(FILTER(Data!$K:$K,Data!$B:$B=AF69,Data!$D:$D=$D69)+FILTER(Data!$L:$L,Data!$B:$B=AF69,Data!$D:$D=$D69)),""""),"""")"),"")</f>
        <v/>
      </c>
      <c r="BQ69" s="69" t="str">
        <f>IFERROR(__xludf.DUMMYFUNCTION("IF($D69&lt;&gt;"""",IFERROR(FILTER(RawTotals!$AJ:$AJ,RawTotals!$A:$A=AG69)-(FILTER(Data!$K:$K,Data!$B:$B=AG69,Data!$D:$D=$D69)+FILTER(Data!$L:$L,Data!$B:$B=AG69,Data!$D:$D=$D69)),""""),"""")"),"")</f>
        <v/>
      </c>
      <c r="BR69" s="69" t="str">
        <f>IFERROR(__xludf.DUMMYFUNCTION("IF($D69&lt;&gt;"""",IFERROR(FILTER(RawTotals!$AJ:$AJ,RawTotals!$A:$A=AH69)-(FILTER(Data!$K:$K,Data!$B:$B=AH69,Data!$D:$D=$D69)+FILTER(Data!$L:$L,Data!$B:$B=AH69,Data!$D:$D=$D69)),""""),"""")"),"")</f>
        <v/>
      </c>
      <c r="BS69" s="69" t="str">
        <f>IFERROR(__xludf.DUMMYFUNCTION("IF($E69&lt;&gt;"""",IFERROR(FILTER(RawTotals!$AJ:$AJ,RawTotals!$A:$A=AI69)-(FILTER(Data!$K:$K,Data!$B:$B=AI69,Data!$D:$D=$E69)+FILTER(Data!$L:$L,Data!$B:$B=AI69,Data!$D:$D=$E69)),""""),"""")"),"")</f>
        <v/>
      </c>
      <c r="BT69" s="69" t="str">
        <f>IFERROR(__xludf.DUMMYFUNCTION("IF($E69&lt;&gt;"""",IFERROR(FILTER(RawTotals!$AJ:$AJ,RawTotals!$A:$A=AJ69)-(FILTER(Data!$K:$K,Data!$B:$B=AJ69,Data!$D:$D=$E69)+FILTER(Data!$L:$L,Data!$B:$B=AJ69,Data!$D:$D=$E69)),""""),"""")"),"")</f>
        <v/>
      </c>
      <c r="BU69" s="69" t="str">
        <f>IFERROR(__xludf.DUMMYFUNCTION("IF($E69&lt;&gt;"""",IFERROR(FILTER(RawTotals!$AJ:$AJ,RawTotals!$A:$A=AK69)-(FILTER(Data!$K:$K,Data!$B:$B=AK69,Data!$D:$D=$E69)+FILTER(Data!$L:$L,Data!$B:$B=AK69,Data!$D:$D=$E69)),""""),"""")"),"")</f>
        <v/>
      </c>
      <c r="BV69" s="69" t="str">
        <f>IFERROR(__xludf.DUMMYFUNCTION("IF($F69&lt;&gt;"""",IFERROR(FILTER(RawTotals!$AJ:$AJ,RawTotals!$A:$A=AL69)-(FILTER(Data!$K:$K,Data!$B:$B=AL69,Data!$D:$D=$F69)+FILTER(Data!$L:$L,Data!$B:$B=AL69,Data!$D:$D=$F69)),""""),"""")"),"")</f>
        <v/>
      </c>
      <c r="BW69" s="69" t="str">
        <f>IFERROR(__xludf.DUMMYFUNCTION("IF($F69&lt;&gt;"""",IFERROR(FILTER(RawTotals!$AJ:$AJ,RawTotals!$A:$A=AM69)-(FILTER(Data!$K:$K,Data!$B:$B=AM69,Data!$D:$D=$F69)+FILTER(Data!$L:$L,Data!$B:$B=AM69,Data!$D:$D=$F69)),""""),"""")"),"")</f>
        <v/>
      </c>
      <c r="BX69" s="69" t="str">
        <f>IFERROR(__xludf.DUMMYFUNCTION("IF($F69&lt;&gt;"""",IFERROR(FILTER(RawTotals!$AJ:$AJ,RawTotals!$A:$A=AN69)-(FILTER(Data!$K:$K,Data!$B:$B=AN69,Data!$D:$D=$F69)+FILTER(Data!$L:$L,Data!$B:$B=AN69,Data!$D:$D=$F69)),""""),"""")"),"")</f>
        <v/>
      </c>
      <c r="BY69" s="69" t="str">
        <f>IFERROR(__xludf.DUMMYFUNCTION("IF($G69&lt;&gt;"""",IFERROR(FILTER(RawTotals!$AJ:$AJ,RawTotals!$A:$A=AO69)-(FILTER(Data!$K:$K,Data!$B:$B=AO69,Data!$D:$D=$G69)+FILTER(Data!$L:$L,Data!$B:$B=AO69,Data!$D:$D=$G69)),""""),"""")"),"")</f>
        <v/>
      </c>
      <c r="BZ69" s="69" t="str">
        <f>IFERROR(__xludf.DUMMYFUNCTION("IF($G69&lt;&gt;"""",IFERROR(FILTER(RawTotals!$AJ:$AJ,RawTotals!$A:$A=AP69)-(FILTER(Data!$K:$K,Data!$B:$B=AP69,Data!$D:$D=$G69)+FILTER(Data!$L:$L,Data!$B:$B=AP69,Data!$D:$D=$G69)),""""),"""")"),"")</f>
        <v/>
      </c>
      <c r="CA69" s="69" t="str">
        <f>IFERROR(__xludf.DUMMYFUNCTION("IF($G69&lt;&gt;"""",IFERROR(FILTER(RawTotals!$AJ:$AJ,RawTotals!$A:$A=AQ69)-(FILTER(Data!$K:$K,Data!$B:$B=AQ69,Data!$D:$D=$G69)+FILTER(Data!$L:$L,Data!$B:$B=AQ69,Data!$D:$D=$G69)),""""),"""")"),"")</f>
        <v/>
      </c>
      <c r="CB69" s="69" t="str">
        <f>IFERROR(__xludf.DUMMYFUNCTION("IF($H69&lt;&gt;"""",IFERROR(FILTER(RawTotals!$AJ:$AJ,RawTotals!$A:$A=AR69)-(FILTER(Data!$K:$K,Data!$B:$B=AR69,Data!$D:$D=$H69)+FILTER(Data!$L:$L,Data!$B:$B=AR69,Data!$D:$D=$H69)),""""),"""")"),"")</f>
        <v/>
      </c>
      <c r="CC69" s="69" t="str">
        <f>IFERROR(__xludf.DUMMYFUNCTION("IF($H69&lt;&gt;"""",IFERROR(FILTER(RawTotals!$AJ:$AJ,RawTotals!$A:$A=AS69)-(FILTER(Data!$K:$K,Data!$B:$B=AS69,Data!$D:$D=$H69)+FILTER(Data!$L:$L,Data!$B:$B=AS69,Data!$D:$D=$H69)),""""),"""")"),"")</f>
        <v/>
      </c>
      <c r="CD69" s="69" t="str">
        <f>IFERROR(__xludf.DUMMYFUNCTION("IF($H69&lt;&gt;"""",IFERROR(FILTER(RawTotals!$AJ:$AJ,RawTotals!$A:$A=AT69)-(FILTER(Data!$K:$K,Data!$B:$B=AT69,Data!$D:$D=$H69)+FILTER(Data!$L:$L,Data!$B:$B=AT69,Data!$D:$D=$H69)),""""),"""")"),"")</f>
        <v/>
      </c>
      <c r="CE69" s="69" t="str">
        <f>IFERROR(__xludf.DUMMYFUNCTION("IF($I69&lt;&gt;"""",IFERROR(FILTER(RawTotals!$AJ:$AJ,RawTotals!$A:$A=AU69)-(FILTER(Data!$K:$K,Data!$B:$B=AU69,Data!$D:$D=$I69)+FILTER(Data!$L:$L,Data!$B:$B=AU69,Data!$D:$D=$I69)),""""),"""")"),"")</f>
        <v/>
      </c>
      <c r="CF69" s="69" t="str">
        <f>IFERROR(__xludf.DUMMYFUNCTION("IF($I69&lt;&gt;"""",IFERROR(FILTER(RawTotals!$AJ:$AJ,RawTotals!$A:$A=AV69)-(FILTER(Data!$K:$K,Data!$B:$B=AV69,Data!$D:$D=$I69)+FILTER(Data!$L:$L,Data!$B:$B=AV69,Data!$D:$D=$I69)),""""),"""")"),"")</f>
        <v/>
      </c>
      <c r="CG69" s="69" t="str">
        <f>IFERROR(__xludf.DUMMYFUNCTION("IF($I69&lt;&gt;"""",IFERROR(FILTER(RawTotals!$AJ:$AJ,RawTotals!$A:$A=AW69)-(FILTER(Data!$K:$K,Data!$B:$B=AW69,Data!$D:$D=$I69)+FILTER(Data!$L:$L,Data!$B:$B=AW69,Data!$D:$D=$I69)),""""),"""")"),"")</f>
        <v/>
      </c>
      <c r="CH69" s="69" t="str">
        <f>IFERROR(__xludf.DUMMYFUNCTION("IF($J69&lt;&gt;"""",IFERROR(FILTER(RawTotals!$AJ:$AJ,RawTotals!$A:$A=AX69)-(FILTER(Data!$K:$K,Data!$B:$B=AX69,Data!$D:$D=$J69)+FILTER(Data!$L:$L,Data!$B:$B=AX69,Data!$D:$D=$J69)),""""),"""")"),"")</f>
        <v/>
      </c>
      <c r="CI69" s="69" t="str">
        <f>IFERROR(__xludf.DUMMYFUNCTION("IF($J69&lt;&gt;"""",IFERROR(FILTER(RawTotals!$AJ:$AJ,RawTotals!$A:$A=AY69)-(FILTER(Data!$K:$K,Data!$B:$B=AY69,Data!$D:$D=$J69)+FILTER(Data!$L:$L,Data!$B:$B=AY69,Data!$D:$D=$J69)),""""),"""")"),"")</f>
        <v/>
      </c>
      <c r="CJ69" s="69" t="str">
        <f>IFERROR(__xludf.DUMMYFUNCTION("IF($J69&lt;&gt;"""",IFERROR(FILTER(RawTotals!$AJ:$AJ,RawTotals!$A:$A=AZ69)-(FILTER(Data!$K:$K,Data!$B:$B=AZ69,Data!$D:$D=$J69)+FILTER(Data!$L:$L,Data!$B:$B=AZ69,Data!$D:$D=$J69)),""""),"""")"),"")</f>
        <v/>
      </c>
      <c r="CK69" s="69" t="str">
        <f>IFERROR(__xludf.DUMMYFUNCTION("IF($K69&lt;&gt;"""",IFERROR(FILTER(RawTotals!$AJ:$AJ,RawTotals!$A:$A=BA69)-(FILTER(Data!$K:$K,Data!$B:$B=BA69,Data!$D:$D=$K69)+FILTER(Data!$L:$L,Data!$B:$B=BA69,Data!$D:$D=$K69)),""""),"""")"),"")</f>
        <v/>
      </c>
      <c r="CL69" s="69" t="str">
        <f>IFERROR(__xludf.DUMMYFUNCTION("IF($K69&lt;&gt;"""",IFERROR(FILTER(RawTotals!$AJ:$AJ,RawTotals!$A:$A=BB69)-(FILTER(Data!$K:$K,Data!$B:$B=BB69,Data!$D:$D=$K69)+FILTER(Data!$L:$L,Data!$B:$B=BB69,Data!$D:$D=$K69)),""""),"""")"),"")</f>
        <v/>
      </c>
      <c r="CM69" s="69" t="str">
        <f>IFERROR(__xludf.DUMMYFUNCTION("IF($K69&lt;&gt;"""",IFERROR(FILTER(RawTotals!$AJ:$AJ,RawTotals!$A:$A=BC69)-(FILTER(Data!$K:$K,Data!$B:$B=BC69,Data!$D:$D=$K69)+FILTER(Data!$L:$L,Data!$B:$B=BC69,Data!$D:$D=$K69)),""""),"""")"),"")</f>
        <v/>
      </c>
      <c r="CN69" s="69" t="str">
        <f>IFERROR(__xludf.DUMMYFUNCTION("IF($L69&lt;&gt;"""",IFERROR((FILTER(RawTotals!$AJ:$AJ,RawTotals!$A:$A=BD69)-(FILTER(Data!$K:$K,Data!$B:$B=BD69,Data!$D:$D=$L69)+FILTER(Data!$L:$L,Data!$B:$B=BD69,Data!$D:$D=$L69))),""""),"""")"),"")</f>
        <v/>
      </c>
      <c r="CO69" s="69" t="str">
        <f>IFERROR(__xludf.DUMMYFUNCTION("IF($L69&lt;&gt;"""",IFERROR((FILTER(RawTotals!$AJ:$AJ,RawTotals!$A:$A=BE69)-(FILTER(Data!$K:$K,Data!$B:$B=BE69,Data!$D:$D=$L69)+FILTER(Data!$L:$L,Data!$B:$B=BE69,Data!$D:$D=$L69))),""""),"""")"),"")</f>
        <v/>
      </c>
      <c r="CP69" s="69" t="str">
        <f>IFERROR(__xludf.DUMMYFUNCTION("IF($L69&lt;&gt;"""",IFERROR((FILTER(RawTotals!$AJ:$AJ,RawTotals!$A:$A=BF69)-(FILTER(Data!$K:$K,Data!$B:$B=BF69,Data!$D:$D=$L69)+FILTER(Data!$L:$L,Data!$B:$B=BF69,Data!$D:$D=$L69))),""""),"""")"),"")</f>
        <v/>
      </c>
      <c r="CQ69" s="69" t="str">
        <f>IFERROR(__xludf.DUMMYFUNCTION("IF($M69&lt;&gt;"""",IFERROR((FILTER(RawTotals!$AJ:$AJ,RawTotals!$A:$A=BG69)-(FILTER(Data!$K:$K,Data!$B:$B=BG69,Data!$D:$D=$M69)+FILTER(Data!$L:$L,Data!$B:$B=BG69,Data!$D:$D=$M69))),""""),"""")"),"")</f>
        <v/>
      </c>
      <c r="CR69" s="69" t="str">
        <f>IFERROR(__xludf.DUMMYFUNCTION("IF($M69&lt;&gt;"""",IFERROR((FILTER(RawTotals!$AJ:$AJ,RawTotals!$A:$A=BH69)-(FILTER(Data!$K:$K,Data!$B:$B=BH69,Data!$D:$D=$M69)+FILTER(Data!$L:$L,Data!$B:$B=BH69,Data!$D:$D=$M69))),""""),"""")"),"")</f>
        <v/>
      </c>
      <c r="CS69" s="70" t="str">
        <f>IFERROR(__xludf.DUMMYFUNCTION("IF($M69&lt;&gt;"""",IFERROR((FILTER(RawTotals!$AJ:$AJ,RawTotals!$A:$A=BI69)-(FILTER(Data!$K:$K,Data!$B:$B=BI69,Data!$D:$D=$M69)+FILTER(Data!$L:$L,Data!$B:$B=BI69,Data!$D:$D=$M69))),""""),"""")"),"")</f>
        <v/>
      </c>
      <c r="CT69" s="69"/>
      <c r="CU69" s="69"/>
      <c r="CV69" s="69"/>
      <c r="CW69" s="69"/>
      <c r="CX69" s="69"/>
      <c r="CY69" s="69"/>
      <c r="CZ69" s="69"/>
      <c r="DA69" s="69"/>
      <c r="DB69" s="69"/>
      <c r="DC69" s="69"/>
      <c r="DD69" s="69"/>
      <c r="DE69" s="69"/>
    </row>
    <row r="70">
      <c r="A70" s="65" t="str">
        <f>RawTotals!A70</f>
        <v/>
      </c>
      <c r="B70" s="68" t="str">
        <f>IFERROR(__xludf.DUMMYFUNCTION("IF(A70&lt;&gt;"""",IFERROR(TRANSPOSE(FILTER(Data!D:D,Data!B:B=A70,Data!R:R&lt;&gt;"""")),""No Defense""),"""")"),"")</f>
        <v/>
      </c>
      <c r="C70" s="65"/>
      <c r="D70" s="65"/>
      <c r="E70" s="65"/>
      <c r="F70" s="65"/>
      <c r="G70" s="65"/>
      <c r="H70" s="65"/>
      <c r="I70" s="65"/>
      <c r="J70" s="65"/>
      <c r="K70" s="65"/>
      <c r="L70" s="65"/>
      <c r="M70" s="65"/>
      <c r="N70" s="64" t="str">
        <f>IFERROR(__xludf.DUMMYFUNCTION("IFERROR(Textjoin("""",TRUE,FILTER(Data!$R:$R,Data!$D:$D=B70,Data!$B:$B=$A70)),"""")"),"")</f>
        <v/>
      </c>
      <c r="O70" s="64" t="str">
        <f>IFERROR(__xludf.DUMMYFUNCTION("IFERROR(Textjoin("""",TRUE,FILTER(Data!$R:$R,Data!$D:$D=C70,Data!$B:$B=$A70)),"""")"),"")</f>
        <v/>
      </c>
      <c r="P70" s="64" t="str">
        <f>IFERROR(__xludf.DUMMYFUNCTION("IFERROR(Textjoin("""",TRUE,FILTER(Data!$R:$R,Data!$D:$D=D70,Data!$B:$B=$A70)),"""")"),"")</f>
        <v/>
      </c>
      <c r="Q70" s="64" t="str">
        <f>IFERROR(__xludf.DUMMYFUNCTION("IFERROR(Textjoin("""",TRUE,FILTER(Data!$R:$R,Data!$D:$D=E70,Data!$B:$B=$A70)),"""")"),"")</f>
        <v/>
      </c>
      <c r="R70" s="64" t="str">
        <f>IFERROR(__xludf.DUMMYFUNCTION("IFERROR(Textjoin("""",TRUE,FILTER(Data!$R:$R,Data!$D:$D=F70,Data!$B:$B=$A70)),"""")"),"")</f>
        <v/>
      </c>
      <c r="S70" s="64" t="str">
        <f>IFERROR(__xludf.DUMMYFUNCTION("IFERROR(Textjoin("""",TRUE,FILTER(Data!$R:$R,Data!$D:$D=G70,Data!$B:$B=$A70)),"""")"),"")</f>
        <v/>
      </c>
      <c r="T70" s="64" t="str">
        <f>IFERROR(__xludf.DUMMYFUNCTION("IFERROR(Textjoin("""",TRUE,FILTER(Data!$R:$R,Data!$D:$D=H70,Data!$B:$B=$A70)),"""")"),"")</f>
        <v/>
      </c>
      <c r="U70" s="64" t="str">
        <f>IFERROR(__xludf.DUMMYFUNCTION("IFERROR(Textjoin("""",TRUE,FILTER(Data!$R:$R,Data!$D:$D=I70,Data!$B:$B=$A70)),"""")"),"")</f>
        <v/>
      </c>
      <c r="V70" s="64" t="str">
        <f>IFERROR(__xludf.DUMMYFUNCTION("IFERROR(Textjoin("""",TRUE,FILTER(Data!$R:$R,Data!$D:$D=J70,Data!$B:$B=$A70)),"""")"),"")</f>
        <v/>
      </c>
      <c r="W70" s="64" t="str">
        <f>IFERROR(__xludf.DUMMYFUNCTION("IFERROR(Textjoin("""",TRUE,FILTER(Data!$R:$R,Data!$D:$D=K70,Data!$B:$B=$A70)),"""")"),"")</f>
        <v/>
      </c>
      <c r="X70" s="64" t="str">
        <f>IFERROR(__xludf.DUMMYFUNCTION("IFERROR(Textjoin("""",TRUE,FILTER(Data!$R:$R,Data!$D:$D=L70,Data!$B:$B=$A70)),"""")"),"")</f>
        <v/>
      </c>
      <c r="Y70" s="64" t="str">
        <f>IFERROR(__xludf.DUMMYFUNCTION("IFERROR(Textjoin("""",TRUE,FILTER(Data!$R:$R,Data!$D:$D=M70,Data!$B:$B=$A70)),"""")"),"")</f>
        <v/>
      </c>
      <c r="Z70" s="64" t="str">
        <f>IFERROR(__xludf.DUMMYFUNCTION("IFERROR(SPLIT(N70,"",""),"""")"),"")</f>
        <v/>
      </c>
      <c r="AA70" s="65"/>
      <c r="AB70" s="65"/>
      <c r="AC70" s="69" t="str">
        <f>IFERROR(__xludf.DUMMYFUNCTION("IFERROR(SPLIT(O70,"",""),"""")"),"")</f>
        <v/>
      </c>
      <c r="AD70" s="65"/>
      <c r="AE70" s="65"/>
      <c r="AF70" s="69" t="str">
        <f>IFERROR(__xludf.DUMMYFUNCTION("IFERROR(SPLIT(P70,"",""),"""")"),"")</f>
        <v/>
      </c>
      <c r="AG70" s="65"/>
      <c r="AH70" s="65"/>
      <c r="AI70" s="69" t="str">
        <f>IFERROR(__xludf.DUMMYFUNCTION("IFERROR(SPLIT(Q70,"",""),"""")"),"")</f>
        <v/>
      </c>
      <c r="AJ70" s="65"/>
      <c r="AK70" s="65"/>
      <c r="AL70" s="69" t="str">
        <f>IFERROR(__xludf.DUMMYFUNCTION("IFERROR(SPLIT(R70,"",""),"""")"),"")</f>
        <v/>
      </c>
      <c r="AM70" s="65"/>
      <c r="AN70" s="65"/>
      <c r="AO70" s="69" t="str">
        <f>IFERROR(__xludf.DUMMYFUNCTION("IFERROR(SPLIT(S70,"",""),"""")"),"")</f>
        <v/>
      </c>
      <c r="AP70" s="65"/>
      <c r="AQ70" s="65"/>
      <c r="AR70" s="69" t="str">
        <f>IFERROR(__xludf.DUMMYFUNCTION("IFERROR(SPLIT(T70,"",""),"""")"),"")</f>
        <v/>
      </c>
      <c r="AS70" s="65"/>
      <c r="AT70" s="65"/>
      <c r="AU70" s="69" t="str">
        <f>IFERROR(__xludf.DUMMYFUNCTION("IFERROR(SPLIT(U70,"",""),"""")"),"")</f>
        <v/>
      </c>
      <c r="AV70" s="65"/>
      <c r="AW70" s="65"/>
      <c r="AX70" s="69" t="str">
        <f>IFERROR(__xludf.DUMMYFUNCTION("IFERROR(SPLIT(V70,"",""),"""")"),"")</f>
        <v/>
      </c>
      <c r="AY70" s="65"/>
      <c r="AZ70" s="65"/>
      <c r="BA70" s="69" t="str">
        <f>IFERROR(__xludf.DUMMYFUNCTION("IFERROR(SPLIT(W70,"",""),"""")"),"")</f>
        <v/>
      </c>
      <c r="BB70" s="69"/>
      <c r="BC70" s="69"/>
      <c r="BD70" s="69" t="str">
        <f>IFERROR(__xludf.DUMMYFUNCTION("IFERROR(SPLIT(X70,"",""),"""")"),"")</f>
        <v/>
      </c>
      <c r="BE70" s="69"/>
      <c r="BF70" s="69"/>
      <c r="BG70" s="69" t="str">
        <f>IFERROR(__xludf.DUMMYFUNCTION("IFERROR(SPLIT(Y70,"",""),"""")"),"")</f>
        <v/>
      </c>
      <c r="BH70" s="69"/>
      <c r="BI70" s="69"/>
      <c r="BJ70" s="68" t="str">
        <f>IFERROR(__xludf.DUMMYFUNCTION("IF($B70&lt;&gt;"""",IFERROR(FILTER(RawTotals!$AJ:$AJ,RawTotals!$A:$A=Z70)-(FILTER(Data!$K:$K,Data!$B:$B=Z70,Data!$D:$D=$B70)+FILTER(Data!$L:$L,Data!$B:$B=Z70,Data!$D:$D=$B70)),""""),"""")"),"")</f>
        <v/>
      </c>
      <c r="BK70" s="68" t="str">
        <f>IFERROR(__xludf.DUMMYFUNCTION("IF($B70&lt;&gt;"""",IFERROR(FILTER(RawTotals!$AJ:$AJ,RawTotals!$A:$A=AA70)-(FILTER(Data!$K:$K,Data!$B:$B=AA70,Data!$D:$D=$B70)+FILTER(Data!$L:$L,Data!$B:$B=AA70,Data!$D:$D=$B70)),""""),"""")"),"")</f>
        <v/>
      </c>
      <c r="BL70" s="68" t="str">
        <f>IFERROR(__xludf.DUMMYFUNCTION("IF($B70&lt;&gt;"""",IFERROR(FILTER(RawTotals!$AJ:$AJ,RawTotals!$A:$A=AB70)-(FILTER(Data!$K:$K,Data!$B:$B=AB70,Data!$D:$D=$B70)+FILTER(Data!$L:$L,Data!$B:$B=AB70,Data!$D:$D=$B70)),""""),"""")"),"")</f>
        <v/>
      </c>
      <c r="BM70" s="69" t="str">
        <f>IFERROR(__xludf.DUMMYFUNCTION("IF($C70&lt;&gt;"""",IFERROR(FILTER(RawTotals!$AJ:$AJ,RawTotals!$A:$A=AC70)-(FILTER(Data!$K:$K,Data!$B:$B=AC70,Data!$D:$D=$C70)+FILTER(Data!$L:$L,Data!$B:$B=AC70,Data!$D:$D=$C70)),""""),"""")"),"")</f>
        <v/>
      </c>
      <c r="BN70" s="69" t="str">
        <f>IFERROR(__xludf.DUMMYFUNCTION("IF($C70&lt;&gt;"""",IFERROR(FILTER(RawTotals!$AJ:$AJ,RawTotals!$A:$A=AD70)-(FILTER(Data!$K:$K,Data!$B:$B=AD70,Data!$D:$D=$C70)+FILTER(Data!$L:$L,Data!$B:$B=AD70,Data!$D:$D=$C70)),""""),"""")"),"")</f>
        <v/>
      </c>
      <c r="BO70" s="69" t="str">
        <f>IFERROR(__xludf.DUMMYFUNCTION("IF($C70&lt;&gt;"""",IFERROR(FILTER(RawTotals!$AJ:$AJ,RawTotals!$A:$A=AE70)-(FILTER(Data!$K:$K,Data!$B:$B=AE70,Data!$D:$D=$C70)+FILTER(Data!$L:$L,Data!$B:$B=AE70,Data!$D:$D=$C70)),""""),"""")"),"")</f>
        <v/>
      </c>
      <c r="BP70" s="69" t="str">
        <f>IFERROR(__xludf.DUMMYFUNCTION("IF($D70&lt;&gt;"""",IFERROR(FILTER(RawTotals!$AJ:$AJ,RawTotals!$A:$A=AF70)-(FILTER(Data!$K:$K,Data!$B:$B=AF70,Data!$D:$D=$D70)+FILTER(Data!$L:$L,Data!$B:$B=AF70,Data!$D:$D=$D70)),""""),"""")"),"")</f>
        <v/>
      </c>
      <c r="BQ70" s="69" t="str">
        <f>IFERROR(__xludf.DUMMYFUNCTION("IF($D70&lt;&gt;"""",IFERROR(FILTER(RawTotals!$AJ:$AJ,RawTotals!$A:$A=AG70)-(FILTER(Data!$K:$K,Data!$B:$B=AG70,Data!$D:$D=$D70)+FILTER(Data!$L:$L,Data!$B:$B=AG70,Data!$D:$D=$D70)),""""),"""")"),"")</f>
        <v/>
      </c>
      <c r="BR70" s="69" t="str">
        <f>IFERROR(__xludf.DUMMYFUNCTION("IF($D70&lt;&gt;"""",IFERROR(FILTER(RawTotals!$AJ:$AJ,RawTotals!$A:$A=AH70)-(FILTER(Data!$K:$K,Data!$B:$B=AH70,Data!$D:$D=$D70)+FILTER(Data!$L:$L,Data!$B:$B=AH70,Data!$D:$D=$D70)),""""),"""")"),"")</f>
        <v/>
      </c>
      <c r="BS70" s="69" t="str">
        <f>IFERROR(__xludf.DUMMYFUNCTION("IF($E70&lt;&gt;"""",IFERROR(FILTER(RawTotals!$AJ:$AJ,RawTotals!$A:$A=AI70)-(FILTER(Data!$K:$K,Data!$B:$B=AI70,Data!$D:$D=$E70)+FILTER(Data!$L:$L,Data!$B:$B=AI70,Data!$D:$D=$E70)),""""),"""")"),"")</f>
        <v/>
      </c>
      <c r="BT70" s="69" t="str">
        <f>IFERROR(__xludf.DUMMYFUNCTION("IF($E70&lt;&gt;"""",IFERROR(FILTER(RawTotals!$AJ:$AJ,RawTotals!$A:$A=AJ70)-(FILTER(Data!$K:$K,Data!$B:$B=AJ70,Data!$D:$D=$E70)+FILTER(Data!$L:$L,Data!$B:$B=AJ70,Data!$D:$D=$E70)),""""),"""")"),"")</f>
        <v/>
      </c>
      <c r="BU70" s="69" t="str">
        <f>IFERROR(__xludf.DUMMYFUNCTION("IF($E70&lt;&gt;"""",IFERROR(FILTER(RawTotals!$AJ:$AJ,RawTotals!$A:$A=AK70)-(FILTER(Data!$K:$K,Data!$B:$B=AK70,Data!$D:$D=$E70)+FILTER(Data!$L:$L,Data!$B:$B=AK70,Data!$D:$D=$E70)),""""),"""")"),"")</f>
        <v/>
      </c>
      <c r="BV70" s="69" t="str">
        <f>IFERROR(__xludf.DUMMYFUNCTION("IF($F70&lt;&gt;"""",IFERROR(FILTER(RawTotals!$AJ:$AJ,RawTotals!$A:$A=AL70)-(FILTER(Data!$K:$K,Data!$B:$B=AL70,Data!$D:$D=$F70)+FILTER(Data!$L:$L,Data!$B:$B=AL70,Data!$D:$D=$F70)),""""),"""")"),"")</f>
        <v/>
      </c>
      <c r="BW70" s="69" t="str">
        <f>IFERROR(__xludf.DUMMYFUNCTION("IF($F70&lt;&gt;"""",IFERROR(FILTER(RawTotals!$AJ:$AJ,RawTotals!$A:$A=AM70)-(FILTER(Data!$K:$K,Data!$B:$B=AM70,Data!$D:$D=$F70)+FILTER(Data!$L:$L,Data!$B:$B=AM70,Data!$D:$D=$F70)),""""),"""")"),"")</f>
        <v/>
      </c>
      <c r="BX70" s="69" t="str">
        <f>IFERROR(__xludf.DUMMYFUNCTION("IF($F70&lt;&gt;"""",IFERROR(FILTER(RawTotals!$AJ:$AJ,RawTotals!$A:$A=AN70)-(FILTER(Data!$K:$K,Data!$B:$B=AN70,Data!$D:$D=$F70)+FILTER(Data!$L:$L,Data!$B:$B=AN70,Data!$D:$D=$F70)),""""),"""")"),"")</f>
        <v/>
      </c>
      <c r="BY70" s="69" t="str">
        <f>IFERROR(__xludf.DUMMYFUNCTION("IF($G70&lt;&gt;"""",IFERROR(FILTER(RawTotals!$AJ:$AJ,RawTotals!$A:$A=AO70)-(FILTER(Data!$K:$K,Data!$B:$B=AO70,Data!$D:$D=$G70)+FILTER(Data!$L:$L,Data!$B:$B=AO70,Data!$D:$D=$G70)),""""),"""")"),"")</f>
        <v/>
      </c>
      <c r="BZ70" s="69" t="str">
        <f>IFERROR(__xludf.DUMMYFUNCTION("IF($G70&lt;&gt;"""",IFERROR(FILTER(RawTotals!$AJ:$AJ,RawTotals!$A:$A=AP70)-(FILTER(Data!$K:$K,Data!$B:$B=AP70,Data!$D:$D=$G70)+FILTER(Data!$L:$L,Data!$B:$B=AP70,Data!$D:$D=$G70)),""""),"""")"),"")</f>
        <v/>
      </c>
      <c r="CA70" s="69" t="str">
        <f>IFERROR(__xludf.DUMMYFUNCTION("IF($G70&lt;&gt;"""",IFERROR(FILTER(RawTotals!$AJ:$AJ,RawTotals!$A:$A=AQ70)-(FILTER(Data!$K:$K,Data!$B:$B=AQ70,Data!$D:$D=$G70)+FILTER(Data!$L:$L,Data!$B:$B=AQ70,Data!$D:$D=$G70)),""""),"""")"),"")</f>
        <v/>
      </c>
      <c r="CB70" s="69" t="str">
        <f>IFERROR(__xludf.DUMMYFUNCTION("IF($H70&lt;&gt;"""",IFERROR(FILTER(RawTotals!$AJ:$AJ,RawTotals!$A:$A=AR70)-(FILTER(Data!$K:$K,Data!$B:$B=AR70,Data!$D:$D=$H70)+FILTER(Data!$L:$L,Data!$B:$B=AR70,Data!$D:$D=$H70)),""""),"""")"),"")</f>
        <v/>
      </c>
      <c r="CC70" s="69" t="str">
        <f>IFERROR(__xludf.DUMMYFUNCTION("IF($H70&lt;&gt;"""",IFERROR(FILTER(RawTotals!$AJ:$AJ,RawTotals!$A:$A=AS70)-(FILTER(Data!$K:$K,Data!$B:$B=AS70,Data!$D:$D=$H70)+FILTER(Data!$L:$L,Data!$B:$B=AS70,Data!$D:$D=$H70)),""""),"""")"),"")</f>
        <v/>
      </c>
      <c r="CD70" s="69" t="str">
        <f>IFERROR(__xludf.DUMMYFUNCTION("IF($H70&lt;&gt;"""",IFERROR(FILTER(RawTotals!$AJ:$AJ,RawTotals!$A:$A=AT70)-(FILTER(Data!$K:$K,Data!$B:$B=AT70,Data!$D:$D=$H70)+FILTER(Data!$L:$L,Data!$B:$B=AT70,Data!$D:$D=$H70)),""""),"""")"),"")</f>
        <v/>
      </c>
      <c r="CE70" s="69" t="str">
        <f>IFERROR(__xludf.DUMMYFUNCTION("IF($I70&lt;&gt;"""",IFERROR(FILTER(RawTotals!$AJ:$AJ,RawTotals!$A:$A=AU70)-(FILTER(Data!$K:$K,Data!$B:$B=AU70,Data!$D:$D=$I70)+FILTER(Data!$L:$L,Data!$B:$B=AU70,Data!$D:$D=$I70)),""""),"""")"),"")</f>
        <v/>
      </c>
      <c r="CF70" s="69" t="str">
        <f>IFERROR(__xludf.DUMMYFUNCTION("IF($I70&lt;&gt;"""",IFERROR(FILTER(RawTotals!$AJ:$AJ,RawTotals!$A:$A=AV70)-(FILTER(Data!$K:$K,Data!$B:$B=AV70,Data!$D:$D=$I70)+FILTER(Data!$L:$L,Data!$B:$B=AV70,Data!$D:$D=$I70)),""""),"""")"),"")</f>
        <v/>
      </c>
      <c r="CG70" s="69" t="str">
        <f>IFERROR(__xludf.DUMMYFUNCTION("IF($I70&lt;&gt;"""",IFERROR(FILTER(RawTotals!$AJ:$AJ,RawTotals!$A:$A=AW70)-(FILTER(Data!$K:$K,Data!$B:$B=AW70,Data!$D:$D=$I70)+FILTER(Data!$L:$L,Data!$B:$B=AW70,Data!$D:$D=$I70)),""""),"""")"),"")</f>
        <v/>
      </c>
      <c r="CH70" s="69" t="str">
        <f>IFERROR(__xludf.DUMMYFUNCTION("IF($J70&lt;&gt;"""",IFERROR(FILTER(RawTotals!$AJ:$AJ,RawTotals!$A:$A=AX70)-(FILTER(Data!$K:$K,Data!$B:$B=AX70,Data!$D:$D=$J70)+FILTER(Data!$L:$L,Data!$B:$B=AX70,Data!$D:$D=$J70)),""""),"""")"),"")</f>
        <v/>
      </c>
      <c r="CI70" s="69" t="str">
        <f>IFERROR(__xludf.DUMMYFUNCTION("IF($J70&lt;&gt;"""",IFERROR(FILTER(RawTotals!$AJ:$AJ,RawTotals!$A:$A=AY70)-(FILTER(Data!$K:$K,Data!$B:$B=AY70,Data!$D:$D=$J70)+FILTER(Data!$L:$L,Data!$B:$B=AY70,Data!$D:$D=$J70)),""""),"""")"),"")</f>
        <v/>
      </c>
      <c r="CJ70" s="69" t="str">
        <f>IFERROR(__xludf.DUMMYFUNCTION("IF($J70&lt;&gt;"""",IFERROR(FILTER(RawTotals!$AJ:$AJ,RawTotals!$A:$A=AZ70)-(FILTER(Data!$K:$K,Data!$B:$B=AZ70,Data!$D:$D=$J70)+FILTER(Data!$L:$L,Data!$B:$B=AZ70,Data!$D:$D=$J70)),""""),"""")"),"")</f>
        <v/>
      </c>
      <c r="CK70" s="69" t="str">
        <f>IFERROR(__xludf.DUMMYFUNCTION("IF($K70&lt;&gt;"""",IFERROR(FILTER(RawTotals!$AJ:$AJ,RawTotals!$A:$A=BA70)-(FILTER(Data!$K:$K,Data!$B:$B=BA70,Data!$D:$D=$K70)+FILTER(Data!$L:$L,Data!$B:$B=BA70,Data!$D:$D=$K70)),""""),"""")"),"")</f>
        <v/>
      </c>
      <c r="CL70" s="69" t="str">
        <f>IFERROR(__xludf.DUMMYFUNCTION("IF($K70&lt;&gt;"""",IFERROR(FILTER(RawTotals!$AJ:$AJ,RawTotals!$A:$A=BB70)-(FILTER(Data!$K:$K,Data!$B:$B=BB70,Data!$D:$D=$K70)+FILTER(Data!$L:$L,Data!$B:$B=BB70,Data!$D:$D=$K70)),""""),"""")"),"")</f>
        <v/>
      </c>
      <c r="CM70" s="69" t="str">
        <f>IFERROR(__xludf.DUMMYFUNCTION("IF($K70&lt;&gt;"""",IFERROR(FILTER(RawTotals!$AJ:$AJ,RawTotals!$A:$A=BC70)-(FILTER(Data!$K:$K,Data!$B:$B=BC70,Data!$D:$D=$K70)+FILTER(Data!$L:$L,Data!$B:$B=BC70,Data!$D:$D=$K70)),""""),"""")"),"")</f>
        <v/>
      </c>
      <c r="CN70" s="69" t="str">
        <f>IFERROR(__xludf.DUMMYFUNCTION("IF($L70&lt;&gt;"""",IFERROR((FILTER(RawTotals!$AJ:$AJ,RawTotals!$A:$A=BD70)-(FILTER(Data!$K:$K,Data!$B:$B=BD70,Data!$D:$D=$L70)+FILTER(Data!$L:$L,Data!$B:$B=BD70,Data!$D:$D=$L70))),""""),"""")"),"")</f>
        <v/>
      </c>
      <c r="CO70" s="69" t="str">
        <f>IFERROR(__xludf.DUMMYFUNCTION("IF($L70&lt;&gt;"""",IFERROR((FILTER(RawTotals!$AJ:$AJ,RawTotals!$A:$A=BE70)-(FILTER(Data!$K:$K,Data!$B:$B=BE70,Data!$D:$D=$L70)+FILTER(Data!$L:$L,Data!$B:$B=BE70,Data!$D:$D=$L70))),""""),"""")"),"")</f>
        <v/>
      </c>
      <c r="CP70" s="69" t="str">
        <f>IFERROR(__xludf.DUMMYFUNCTION("IF($L70&lt;&gt;"""",IFERROR((FILTER(RawTotals!$AJ:$AJ,RawTotals!$A:$A=BF70)-(FILTER(Data!$K:$K,Data!$B:$B=BF70,Data!$D:$D=$L70)+FILTER(Data!$L:$L,Data!$B:$B=BF70,Data!$D:$D=$L70))),""""),"""")"),"")</f>
        <v/>
      </c>
      <c r="CQ70" s="69" t="str">
        <f>IFERROR(__xludf.DUMMYFUNCTION("IF($M70&lt;&gt;"""",IFERROR((FILTER(RawTotals!$AJ:$AJ,RawTotals!$A:$A=BG70)-(FILTER(Data!$K:$K,Data!$B:$B=BG70,Data!$D:$D=$M70)+FILTER(Data!$L:$L,Data!$B:$B=BG70,Data!$D:$D=$M70))),""""),"""")"),"")</f>
        <v/>
      </c>
      <c r="CR70" s="69" t="str">
        <f>IFERROR(__xludf.DUMMYFUNCTION("IF($M70&lt;&gt;"""",IFERROR((FILTER(RawTotals!$AJ:$AJ,RawTotals!$A:$A=BH70)-(FILTER(Data!$K:$K,Data!$B:$B=BH70,Data!$D:$D=$M70)+FILTER(Data!$L:$L,Data!$B:$B=BH70,Data!$D:$D=$M70))),""""),"""")"),"")</f>
        <v/>
      </c>
      <c r="CS70" s="70" t="str">
        <f>IFERROR(__xludf.DUMMYFUNCTION("IF($M70&lt;&gt;"""",IFERROR((FILTER(RawTotals!$AJ:$AJ,RawTotals!$A:$A=BI70)-(FILTER(Data!$K:$K,Data!$B:$B=BI70,Data!$D:$D=$M70)+FILTER(Data!$L:$L,Data!$B:$B=BI70,Data!$D:$D=$M70))),""""),"""")"),"")</f>
        <v/>
      </c>
      <c r="CT70" s="69"/>
      <c r="CU70" s="69"/>
      <c r="CV70" s="69"/>
      <c r="CW70" s="69"/>
      <c r="CX70" s="69"/>
      <c r="CY70" s="69"/>
      <c r="CZ70" s="69"/>
      <c r="DA70" s="69"/>
      <c r="DB70" s="69"/>
      <c r="DC70" s="69"/>
      <c r="DD70" s="69"/>
      <c r="DE70" s="69"/>
    </row>
    <row r="71">
      <c r="A71" s="65" t="str">
        <f>RawTotals!A71</f>
        <v/>
      </c>
      <c r="B71" s="68" t="str">
        <f>IFERROR(__xludf.DUMMYFUNCTION("IF(A71&lt;&gt;"""",IFERROR(TRANSPOSE(FILTER(Data!D:D,Data!B:B=A71,Data!R:R&lt;&gt;"""")),""No Defense""),"""")"),"")</f>
        <v/>
      </c>
      <c r="C71" s="65"/>
      <c r="D71" s="65"/>
      <c r="E71" s="65"/>
      <c r="F71" s="65"/>
      <c r="G71" s="65"/>
      <c r="H71" s="65"/>
      <c r="I71" s="65"/>
      <c r="J71" s="65"/>
      <c r="K71" s="65"/>
      <c r="L71" s="65"/>
      <c r="M71" s="65"/>
      <c r="N71" s="64" t="str">
        <f>IFERROR(__xludf.DUMMYFUNCTION("IFERROR(Textjoin("""",TRUE,FILTER(Data!$R:$R,Data!$D:$D=B71,Data!$B:$B=$A71)),"""")"),"")</f>
        <v/>
      </c>
      <c r="O71" s="64" t="str">
        <f>IFERROR(__xludf.DUMMYFUNCTION("IFERROR(Textjoin("""",TRUE,FILTER(Data!$R:$R,Data!$D:$D=C71,Data!$B:$B=$A71)),"""")"),"")</f>
        <v/>
      </c>
      <c r="P71" s="64" t="str">
        <f>IFERROR(__xludf.DUMMYFUNCTION("IFERROR(Textjoin("""",TRUE,FILTER(Data!$R:$R,Data!$D:$D=D71,Data!$B:$B=$A71)),"""")"),"")</f>
        <v/>
      </c>
      <c r="Q71" s="64" t="str">
        <f>IFERROR(__xludf.DUMMYFUNCTION("IFERROR(Textjoin("""",TRUE,FILTER(Data!$R:$R,Data!$D:$D=E71,Data!$B:$B=$A71)),"""")"),"")</f>
        <v/>
      </c>
      <c r="R71" s="64" t="str">
        <f>IFERROR(__xludf.DUMMYFUNCTION("IFERROR(Textjoin("""",TRUE,FILTER(Data!$R:$R,Data!$D:$D=F71,Data!$B:$B=$A71)),"""")"),"")</f>
        <v/>
      </c>
      <c r="S71" s="64" t="str">
        <f>IFERROR(__xludf.DUMMYFUNCTION("IFERROR(Textjoin("""",TRUE,FILTER(Data!$R:$R,Data!$D:$D=G71,Data!$B:$B=$A71)),"""")"),"")</f>
        <v/>
      </c>
      <c r="T71" s="64" t="str">
        <f>IFERROR(__xludf.DUMMYFUNCTION("IFERROR(Textjoin("""",TRUE,FILTER(Data!$R:$R,Data!$D:$D=H71,Data!$B:$B=$A71)),"""")"),"")</f>
        <v/>
      </c>
      <c r="U71" s="64" t="str">
        <f>IFERROR(__xludf.DUMMYFUNCTION("IFERROR(Textjoin("""",TRUE,FILTER(Data!$R:$R,Data!$D:$D=I71,Data!$B:$B=$A71)),"""")"),"")</f>
        <v/>
      </c>
      <c r="V71" s="64" t="str">
        <f>IFERROR(__xludf.DUMMYFUNCTION("IFERROR(Textjoin("""",TRUE,FILTER(Data!$R:$R,Data!$D:$D=J71,Data!$B:$B=$A71)),"""")"),"")</f>
        <v/>
      </c>
      <c r="W71" s="64" t="str">
        <f>IFERROR(__xludf.DUMMYFUNCTION("IFERROR(Textjoin("""",TRUE,FILTER(Data!$R:$R,Data!$D:$D=K71,Data!$B:$B=$A71)),"""")"),"")</f>
        <v/>
      </c>
      <c r="X71" s="64" t="str">
        <f>IFERROR(__xludf.DUMMYFUNCTION("IFERROR(Textjoin("""",TRUE,FILTER(Data!$R:$R,Data!$D:$D=L71,Data!$B:$B=$A71)),"""")"),"")</f>
        <v/>
      </c>
      <c r="Y71" s="64" t="str">
        <f>IFERROR(__xludf.DUMMYFUNCTION("IFERROR(Textjoin("""",TRUE,FILTER(Data!$R:$R,Data!$D:$D=M71,Data!$B:$B=$A71)),"""")"),"")</f>
        <v/>
      </c>
      <c r="Z71" s="64" t="str">
        <f>IFERROR(__xludf.DUMMYFUNCTION("IFERROR(SPLIT(N71,"",""),"""")"),"")</f>
        <v/>
      </c>
      <c r="AA71" s="65"/>
      <c r="AB71" s="65"/>
      <c r="AC71" s="69" t="str">
        <f>IFERROR(__xludf.DUMMYFUNCTION("IFERROR(SPLIT(O71,"",""),"""")"),"")</f>
        <v/>
      </c>
      <c r="AD71" s="65"/>
      <c r="AE71" s="65"/>
      <c r="AF71" s="69" t="str">
        <f>IFERROR(__xludf.DUMMYFUNCTION("IFERROR(SPLIT(P71,"",""),"""")"),"")</f>
        <v/>
      </c>
      <c r="AG71" s="65"/>
      <c r="AH71" s="65"/>
      <c r="AI71" s="69" t="str">
        <f>IFERROR(__xludf.DUMMYFUNCTION("IFERROR(SPLIT(Q71,"",""),"""")"),"")</f>
        <v/>
      </c>
      <c r="AJ71" s="65"/>
      <c r="AK71" s="65"/>
      <c r="AL71" s="69" t="str">
        <f>IFERROR(__xludf.DUMMYFUNCTION("IFERROR(SPLIT(R71,"",""),"""")"),"")</f>
        <v/>
      </c>
      <c r="AM71" s="65"/>
      <c r="AN71" s="65"/>
      <c r="AO71" s="69" t="str">
        <f>IFERROR(__xludf.DUMMYFUNCTION("IFERROR(SPLIT(S71,"",""),"""")"),"")</f>
        <v/>
      </c>
      <c r="AP71" s="65"/>
      <c r="AQ71" s="65"/>
      <c r="AR71" s="69" t="str">
        <f>IFERROR(__xludf.DUMMYFUNCTION("IFERROR(SPLIT(T71,"",""),"""")"),"")</f>
        <v/>
      </c>
      <c r="AS71" s="65"/>
      <c r="AT71" s="65"/>
      <c r="AU71" s="69" t="str">
        <f>IFERROR(__xludf.DUMMYFUNCTION("IFERROR(SPLIT(U71,"",""),"""")"),"")</f>
        <v/>
      </c>
      <c r="AV71" s="65"/>
      <c r="AW71" s="65"/>
      <c r="AX71" s="69" t="str">
        <f>IFERROR(__xludf.DUMMYFUNCTION("IFERROR(SPLIT(V71,"",""),"""")"),"")</f>
        <v/>
      </c>
      <c r="AY71" s="65"/>
      <c r="AZ71" s="65"/>
      <c r="BA71" s="69" t="str">
        <f>IFERROR(__xludf.DUMMYFUNCTION("IFERROR(SPLIT(W71,"",""),"""")"),"")</f>
        <v/>
      </c>
      <c r="BB71" s="69"/>
      <c r="BC71" s="69"/>
      <c r="BD71" s="69" t="str">
        <f>IFERROR(__xludf.DUMMYFUNCTION("IFERROR(SPLIT(X71,"",""),"""")"),"")</f>
        <v/>
      </c>
      <c r="BE71" s="69"/>
      <c r="BF71" s="69"/>
      <c r="BG71" s="69" t="str">
        <f>IFERROR(__xludf.DUMMYFUNCTION("IFERROR(SPLIT(Y71,"",""),"""")"),"")</f>
        <v/>
      </c>
      <c r="BH71" s="69"/>
      <c r="BI71" s="69"/>
      <c r="BJ71" s="68" t="str">
        <f>IFERROR(__xludf.DUMMYFUNCTION("IF($B71&lt;&gt;"""",IFERROR(FILTER(RawTotals!$AJ:$AJ,RawTotals!$A:$A=Z71)-(FILTER(Data!$K:$K,Data!$B:$B=Z71,Data!$D:$D=$B71)+FILTER(Data!$L:$L,Data!$B:$B=Z71,Data!$D:$D=$B71)),""""),"""")"),"")</f>
        <v/>
      </c>
      <c r="BK71" s="68" t="str">
        <f>IFERROR(__xludf.DUMMYFUNCTION("IF($B71&lt;&gt;"""",IFERROR(FILTER(RawTotals!$AJ:$AJ,RawTotals!$A:$A=AA71)-(FILTER(Data!$K:$K,Data!$B:$B=AA71,Data!$D:$D=$B71)+FILTER(Data!$L:$L,Data!$B:$B=AA71,Data!$D:$D=$B71)),""""),"""")"),"")</f>
        <v/>
      </c>
      <c r="BL71" s="68" t="str">
        <f>IFERROR(__xludf.DUMMYFUNCTION("IF($B71&lt;&gt;"""",IFERROR(FILTER(RawTotals!$AJ:$AJ,RawTotals!$A:$A=AB71)-(FILTER(Data!$K:$K,Data!$B:$B=AB71,Data!$D:$D=$B71)+FILTER(Data!$L:$L,Data!$B:$B=AB71,Data!$D:$D=$B71)),""""),"""")"),"")</f>
        <v/>
      </c>
      <c r="BM71" s="69" t="str">
        <f>IFERROR(__xludf.DUMMYFUNCTION("IF($C71&lt;&gt;"""",IFERROR(FILTER(RawTotals!$AJ:$AJ,RawTotals!$A:$A=AC71)-(FILTER(Data!$K:$K,Data!$B:$B=AC71,Data!$D:$D=$C71)+FILTER(Data!$L:$L,Data!$B:$B=AC71,Data!$D:$D=$C71)),""""),"""")"),"")</f>
        <v/>
      </c>
      <c r="BN71" s="69" t="str">
        <f>IFERROR(__xludf.DUMMYFUNCTION("IF($C71&lt;&gt;"""",IFERROR(FILTER(RawTotals!$AJ:$AJ,RawTotals!$A:$A=AD71)-(FILTER(Data!$K:$K,Data!$B:$B=AD71,Data!$D:$D=$C71)+FILTER(Data!$L:$L,Data!$B:$B=AD71,Data!$D:$D=$C71)),""""),"""")"),"")</f>
        <v/>
      </c>
      <c r="BO71" s="69" t="str">
        <f>IFERROR(__xludf.DUMMYFUNCTION("IF($C71&lt;&gt;"""",IFERROR(FILTER(RawTotals!$AJ:$AJ,RawTotals!$A:$A=AE71)-(FILTER(Data!$K:$K,Data!$B:$B=AE71,Data!$D:$D=$C71)+FILTER(Data!$L:$L,Data!$B:$B=AE71,Data!$D:$D=$C71)),""""),"""")"),"")</f>
        <v/>
      </c>
      <c r="BP71" s="69" t="str">
        <f>IFERROR(__xludf.DUMMYFUNCTION("IF($D71&lt;&gt;"""",IFERROR(FILTER(RawTotals!$AJ:$AJ,RawTotals!$A:$A=AF71)-(FILTER(Data!$K:$K,Data!$B:$B=AF71,Data!$D:$D=$D71)+FILTER(Data!$L:$L,Data!$B:$B=AF71,Data!$D:$D=$D71)),""""),"""")"),"")</f>
        <v/>
      </c>
      <c r="BQ71" s="69" t="str">
        <f>IFERROR(__xludf.DUMMYFUNCTION("IF($D71&lt;&gt;"""",IFERROR(FILTER(RawTotals!$AJ:$AJ,RawTotals!$A:$A=AG71)-(FILTER(Data!$K:$K,Data!$B:$B=AG71,Data!$D:$D=$D71)+FILTER(Data!$L:$L,Data!$B:$B=AG71,Data!$D:$D=$D71)),""""),"""")"),"")</f>
        <v/>
      </c>
      <c r="BR71" s="69" t="str">
        <f>IFERROR(__xludf.DUMMYFUNCTION("IF($D71&lt;&gt;"""",IFERROR(FILTER(RawTotals!$AJ:$AJ,RawTotals!$A:$A=AH71)-(FILTER(Data!$K:$K,Data!$B:$B=AH71,Data!$D:$D=$D71)+FILTER(Data!$L:$L,Data!$B:$B=AH71,Data!$D:$D=$D71)),""""),"""")"),"")</f>
        <v/>
      </c>
      <c r="BS71" s="69" t="str">
        <f>IFERROR(__xludf.DUMMYFUNCTION("IF($E71&lt;&gt;"""",IFERROR(FILTER(RawTotals!$AJ:$AJ,RawTotals!$A:$A=AI71)-(FILTER(Data!$K:$K,Data!$B:$B=AI71,Data!$D:$D=$E71)+FILTER(Data!$L:$L,Data!$B:$B=AI71,Data!$D:$D=$E71)),""""),"""")"),"")</f>
        <v/>
      </c>
      <c r="BT71" s="69" t="str">
        <f>IFERROR(__xludf.DUMMYFUNCTION("IF($E71&lt;&gt;"""",IFERROR(FILTER(RawTotals!$AJ:$AJ,RawTotals!$A:$A=AJ71)-(FILTER(Data!$K:$K,Data!$B:$B=AJ71,Data!$D:$D=$E71)+FILTER(Data!$L:$L,Data!$B:$B=AJ71,Data!$D:$D=$E71)),""""),"""")"),"")</f>
        <v/>
      </c>
      <c r="BU71" s="69" t="str">
        <f>IFERROR(__xludf.DUMMYFUNCTION("IF($E71&lt;&gt;"""",IFERROR(FILTER(RawTotals!$AJ:$AJ,RawTotals!$A:$A=AK71)-(FILTER(Data!$K:$K,Data!$B:$B=AK71,Data!$D:$D=$E71)+FILTER(Data!$L:$L,Data!$B:$B=AK71,Data!$D:$D=$E71)),""""),"""")"),"")</f>
        <v/>
      </c>
      <c r="BV71" s="69" t="str">
        <f>IFERROR(__xludf.DUMMYFUNCTION("IF($F71&lt;&gt;"""",IFERROR(FILTER(RawTotals!$AJ:$AJ,RawTotals!$A:$A=AL71)-(FILTER(Data!$K:$K,Data!$B:$B=AL71,Data!$D:$D=$F71)+FILTER(Data!$L:$L,Data!$B:$B=AL71,Data!$D:$D=$F71)),""""),"""")"),"")</f>
        <v/>
      </c>
      <c r="BW71" s="69" t="str">
        <f>IFERROR(__xludf.DUMMYFUNCTION("IF($F71&lt;&gt;"""",IFERROR(FILTER(RawTotals!$AJ:$AJ,RawTotals!$A:$A=AM71)-(FILTER(Data!$K:$K,Data!$B:$B=AM71,Data!$D:$D=$F71)+FILTER(Data!$L:$L,Data!$B:$B=AM71,Data!$D:$D=$F71)),""""),"""")"),"")</f>
        <v/>
      </c>
      <c r="BX71" s="69" t="str">
        <f>IFERROR(__xludf.DUMMYFUNCTION("IF($F71&lt;&gt;"""",IFERROR(FILTER(RawTotals!$AJ:$AJ,RawTotals!$A:$A=AN71)-(FILTER(Data!$K:$K,Data!$B:$B=AN71,Data!$D:$D=$F71)+FILTER(Data!$L:$L,Data!$B:$B=AN71,Data!$D:$D=$F71)),""""),"""")"),"")</f>
        <v/>
      </c>
      <c r="BY71" s="69" t="str">
        <f>IFERROR(__xludf.DUMMYFUNCTION("IF($G71&lt;&gt;"""",IFERROR(FILTER(RawTotals!$AJ:$AJ,RawTotals!$A:$A=AO71)-(FILTER(Data!$K:$K,Data!$B:$B=AO71,Data!$D:$D=$G71)+FILTER(Data!$L:$L,Data!$B:$B=AO71,Data!$D:$D=$G71)),""""),"""")"),"")</f>
        <v/>
      </c>
      <c r="BZ71" s="69" t="str">
        <f>IFERROR(__xludf.DUMMYFUNCTION("IF($G71&lt;&gt;"""",IFERROR(FILTER(RawTotals!$AJ:$AJ,RawTotals!$A:$A=AP71)-(FILTER(Data!$K:$K,Data!$B:$B=AP71,Data!$D:$D=$G71)+FILTER(Data!$L:$L,Data!$B:$B=AP71,Data!$D:$D=$G71)),""""),"""")"),"")</f>
        <v/>
      </c>
      <c r="CA71" s="69" t="str">
        <f>IFERROR(__xludf.DUMMYFUNCTION("IF($G71&lt;&gt;"""",IFERROR(FILTER(RawTotals!$AJ:$AJ,RawTotals!$A:$A=AQ71)-(FILTER(Data!$K:$K,Data!$B:$B=AQ71,Data!$D:$D=$G71)+FILTER(Data!$L:$L,Data!$B:$B=AQ71,Data!$D:$D=$G71)),""""),"""")"),"")</f>
        <v/>
      </c>
      <c r="CB71" s="69" t="str">
        <f>IFERROR(__xludf.DUMMYFUNCTION("IF($H71&lt;&gt;"""",IFERROR(FILTER(RawTotals!$AJ:$AJ,RawTotals!$A:$A=AR71)-(FILTER(Data!$K:$K,Data!$B:$B=AR71,Data!$D:$D=$H71)+FILTER(Data!$L:$L,Data!$B:$B=AR71,Data!$D:$D=$H71)),""""),"""")"),"")</f>
        <v/>
      </c>
      <c r="CC71" s="69" t="str">
        <f>IFERROR(__xludf.DUMMYFUNCTION("IF($H71&lt;&gt;"""",IFERROR(FILTER(RawTotals!$AJ:$AJ,RawTotals!$A:$A=AS71)-(FILTER(Data!$K:$K,Data!$B:$B=AS71,Data!$D:$D=$H71)+FILTER(Data!$L:$L,Data!$B:$B=AS71,Data!$D:$D=$H71)),""""),"""")"),"")</f>
        <v/>
      </c>
      <c r="CD71" s="69" t="str">
        <f>IFERROR(__xludf.DUMMYFUNCTION("IF($H71&lt;&gt;"""",IFERROR(FILTER(RawTotals!$AJ:$AJ,RawTotals!$A:$A=AT71)-(FILTER(Data!$K:$K,Data!$B:$B=AT71,Data!$D:$D=$H71)+FILTER(Data!$L:$L,Data!$B:$B=AT71,Data!$D:$D=$H71)),""""),"""")"),"")</f>
        <v/>
      </c>
      <c r="CE71" s="69" t="str">
        <f>IFERROR(__xludf.DUMMYFUNCTION("IF($I71&lt;&gt;"""",IFERROR(FILTER(RawTotals!$AJ:$AJ,RawTotals!$A:$A=AU71)-(FILTER(Data!$K:$K,Data!$B:$B=AU71,Data!$D:$D=$I71)+FILTER(Data!$L:$L,Data!$B:$B=AU71,Data!$D:$D=$I71)),""""),"""")"),"")</f>
        <v/>
      </c>
      <c r="CF71" s="69" t="str">
        <f>IFERROR(__xludf.DUMMYFUNCTION("IF($I71&lt;&gt;"""",IFERROR(FILTER(RawTotals!$AJ:$AJ,RawTotals!$A:$A=AV71)-(FILTER(Data!$K:$K,Data!$B:$B=AV71,Data!$D:$D=$I71)+FILTER(Data!$L:$L,Data!$B:$B=AV71,Data!$D:$D=$I71)),""""),"""")"),"")</f>
        <v/>
      </c>
      <c r="CG71" s="69" t="str">
        <f>IFERROR(__xludf.DUMMYFUNCTION("IF($I71&lt;&gt;"""",IFERROR(FILTER(RawTotals!$AJ:$AJ,RawTotals!$A:$A=AW71)-(FILTER(Data!$K:$K,Data!$B:$B=AW71,Data!$D:$D=$I71)+FILTER(Data!$L:$L,Data!$B:$B=AW71,Data!$D:$D=$I71)),""""),"""")"),"")</f>
        <v/>
      </c>
      <c r="CH71" s="69" t="str">
        <f>IFERROR(__xludf.DUMMYFUNCTION("IF($J71&lt;&gt;"""",IFERROR(FILTER(RawTotals!$AJ:$AJ,RawTotals!$A:$A=AX71)-(FILTER(Data!$K:$K,Data!$B:$B=AX71,Data!$D:$D=$J71)+FILTER(Data!$L:$L,Data!$B:$B=AX71,Data!$D:$D=$J71)),""""),"""")"),"")</f>
        <v/>
      </c>
      <c r="CI71" s="69" t="str">
        <f>IFERROR(__xludf.DUMMYFUNCTION("IF($J71&lt;&gt;"""",IFERROR(FILTER(RawTotals!$AJ:$AJ,RawTotals!$A:$A=AY71)-(FILTER(Data!$K:$K,Data!$B:$B=AY71,Data!$D:$D=$J71)+FILTER(Data!$L:$L,Data!$B:$B=AY71,Data!$D:$D=$J71)),""""),"""")"),"")</f>
        <v/>
      </c>
      <c r="CJ71" s="69" t="str">
        <f>IFERROR(__xludf.DUMMYFUNCTION("IF($J71&lt;&gt;"""",IFERROR(FILTER(RawTotals!$AJ:$AJ,RawTotals!$A:$A=AZ71)-(FILTER(Data!$K:$K,Data!$B:$B=AZ71,Data!$D:$D=$J71)+FILTER(Data!$L:$L,Data!$B:$B=AZ71,Data!$D:$D=$J71)),""""),"""")"),"")</f>
        <v/>
      </c>
      <c r="CK71" s="69" t="str">
        <f>IFERROR(__xludf.DUMMYFUNCTION("IF($K71&lt;&gt;"""",IFERROR(FILTER(RawTotals!$AJ:$AJ,RawTotals!$A:$A=BA71)-(FILTER(Data!$K:$K,Data!$B:$B=BA71,Data!$D:$D=$K71)+FILTER(Data!$L:$L,Data!$B:$B=BA71,Data!$D:$D=$K71)),""""),"""")"),"")</f>
        <v/>
      </c>
      <c r="CL71" s="69" t="str">
        <f>IFERROR(__xludf.DUMMYFUNCTION("IF($K71&lt;&gt;"""",IFERROR(FILTER(RawTotals!$AJ:$AJ,RawTotals!$A:$A=BB71)-(FILTER(Data!$K:$K,Data!$B:$B=BB71,Data!$D:$D=$K71)+FILTER(Data!$L:$L,Data!$B:$B=BB71,Data!$D:$D=$K71)),""""),"""")"),"")</f>
        <v/>
      </c>
      <c r="CM71" s="69" t="str">
        <f>IFERROR(__xludf.DUMMYFUNCTION("IF($K71&lt;&gt;"""",IFERROR(FILTER(RawTotals!$AJ:$AJ,RawTotals!$A:$A=BC71)-(FILTER(Data!$K:$K,Data!$B:$B=BC71,Data!$D:$D=$K71)+FILTER(Data!$L:$L,Data!$B:$B=BC71,Data!$D:$D=$K71)),""""),"""")"),"")</f>
        <v/>
      </c>
      <c r="CN71" s="69" t="str">
        <f>IFERROR(__xludf.DUMMYFUNCTION("IF($L71&lt;&gt;"""",IFERROR((FILTER(RawTotals!$AJ:$AJ,RawTotals!$A:$A=BD71)-(FILTER(Data!$K:$K,Data!$B:$B=BD71,Data!$D:$D=$L71)+FILTER(Data!$L:$L,Data!$B:$B=BD71,Data!$D:$D=$L71))),""""),"""")"),"")</f>
        <v/>
      </c>
      <c r="CO71" s="69" t="str">
        <f>IFERROR(__xludf.DUMMYFUNCTION("IF($L71&lt;&gt;"""",IFERROR((FILTER(RawTotals!$AJ:$AJ,RawTotals!$A:$A=BE71)-(FILTER(Data!$K:$K,Data!$B:$B=BE71,Data!$D:$D=$L71)+FILTER(Data!$L:$L,Data!$B:$B=BE71,Data!$D:$D=$L71))),""""),"""")"),"")</f>
        <v/>
      </c>
      <c r="CP71" s="69" t="str">
        <f>IFERROR(__xludf.DUMMYFUNCTION("IF($L71&lt;&gt;"""",IFERROR((FILTER(RawTotals!$AJ:$AJ,RawTotals!$A:$A=BF71)-(FILTER(Data!$K:$K,Data!$B:$B=BF71,Data!$D:$D=$L71)+FILTER(Data!$L:$L,Data!$B:$B=BF71,Data!$D:$D=$L71))),""""),"""")"),"")</f>
        <v/>
      </c>
      <c r="CQ71" s="69" t="str">
        <f>IFERROR(__xludf.DUMMYFUNCTION("IF($M71&lt;&gt;"""",IFERROR((FILTER(RawTotals!$AJ:$AJ,RawTotals!$A:$A=BG71)-(FILTER(Data!$K:$K,Data!$B:$B=BG71,Data!$D:$D=$M71)+FILTER(Data!$L:$L,Data!$B:$B=BG71,Data!$D:$D=$M71))),""""),"""")"),"")</f>
        <v/>
      </c>
      <c r="CR71" s="69" t="str">
        <f>IFERROR(__xludf.DUMMYFUNCTION("IF($M71&lt;&gt;"""",IFERROR((FILTER(RawTotals!$AJ:$AJ,RawTotals!$A:$A=BH71)-(FILTER(Data!$K:$K,Data!$B:$B=BH71,Data!$D:$D=$M71)+FILTER(Data!$L:$L,Data!$B:$B=BH71,Data!$D:$D=$M71))),""""),"""")"),"")</f>
        <v/>
      </c>
      <c r="CS71" s="70" t="str">
        <f>IFERROR(__xludf.DUMMYFUNCTION("IF($M71&lt;&gt;"""",IFERROR((FILTER(RawTotals!$AJ:$AJ,RawTotals!$A:$A=BI71)-(FILTER(Data!$K:$K,Data!$B:$B=BI71,Data!$D:$D=$M71)+FILTER(Data!$L:$L,Data!$B:$B=BI71,Data!$D:$D=$M71))),""""),"""")"),"")</f>
        <v/>
      </c>
      <c r="CT71" s="69"/>
      <c r="CU71" s="69"/>
      <c r="CV71" s="69"/>
      <c r="CW71" s="69"/>
      <c r="CX71" s="69"/>
      <c r="CY71" s="69"/>
      <c r="CZ71" s="69"/>
      <c r="DA71" s="69"/>
      <c r="DB71" s="69"/>
      <c r="DC71" s="69"/>
      <c r="DD71" s="69"/>
      <c r="DE71" s="69"/>
    </row>
    <row r="72">
      <c r="A72" s="65" t="str">
        <f>RawTotals!A72</f>
        <v/>
      </c>
      <c r="B72" s="68" t="str">
        <f>IFERROR(__xludf.DUMMYFUNCTION("IF(A72&lt;&gt;"""",IFERROR(TRANSPOSE(FILTER(Data!D:D,Data!B:B=A72,Data!R:R&lt;&gt;"""")),""No Defense""),"""")"),"")</f>
        <v/>
      </c>
      <c r="C72" s="65"/>
      <c r="D72" s="65"/>
      <c r="E72" s="65"/>
      <c r="F72" s="65"/>
      <c r="G72" s="65"/>
      <c r="H72" s="65"/>
      <c r="I72" s="65"/>
      <c r="J72" s="65"/>
      <c r="K72" s="65"/>
      <c r="L72" s="65"/>
      <c r="M72" s="65"/>
      <c r="N72" s="64" t="str">
        <f>IFERROR(__xludf.DUMMYFUNCTION("IFERROR(Textjoin("""",TRUE,FILTER(Data!$R:$R,Data!$D:$D=B72,Data!$B:$B=$A72)),"""")"),"")</f>
        <v/>
      </c>
      <c r="O72" s="64" t="str">
        <f>IFERROR(__xludf.DUMMYFUNCTION("IFERROR(Textjoin("""",TRUE,FILTER(Data!$R:$R,Data!$D:$D=C72,Data!$B:$B=$A72)),"""")"),"")</f>
        <v/>
      </c>
      <c r="P72" s="64" t="str">
        <f>IFERROR(__xludf.DUMMYFUNCTION("IFERROR(Textjoin("""",TRUE,FILTER(Data!$R:$R,Data!$D:$D=D72,Data!$B:$B=$A72)),"""")"),"")</f>
        <v/>
      </c>
      <c r="Q72" s="64" t="str">
        <f>IFERROR(__xludf.DUMMYFUNCTION("IFERROR(Textjoin("""",TRUE,FILTER(Data!$R:$R,Data!$D:$D=E72,Data!$B:$B=$A72)),"""")"),"")</f>
        <v/>
      </c>
      <c r="R72" s="64" t="str">
        <f>IFERROR(__xludf.DUMMYFUNCTION("IFERROR(Textjoin("""",TRUE,FILTER(Data!$R:$R,Data!$D:$D=F72,Data!$B:$B=$A72)),"""")"),"")</f>
        <v/>
      </c>
      <c r="S72" s="64" t="str">
        <f>IFERROR(__xludf.DUMMYFUNCTION("IFERROR(Textjoin("""",TRUE,FILTER(Data!$R:$R,Data!$D:$D=G72,Data!$B:$B=$A72)),"""")"),"")</f>
        <v/>
      </c>
      <c r="T72" s="64" t="str">
        <f>IFERROR(__xludf.DUMMYFUNCTION("IFERROR(Textjoin("""",TRUE,FILTER(Data!$R:$R,Data!$D:$D=H72,Data!$B:$B=$A72)),"""")"),"")</f>
        <v/>
      </c>
      <c r="U72" s="64" t="str">
        <f>IFERROR(__xludf.DUMMYFUNCTION("IFERROR(Textjoin("""",TRUE,FILTER(Data!$R:$R,Data!$D:$D=I72,Data!$B:$B=$A72)),"""")"),"")</f>
        <v/>
      </c>
      <c r="V72" s="64" t="str">
        <f>IFERROR(__xludf.DUMMYFUNCTION("IFERROR(Textjoin("""",TRUE,FILTER(Data!$R:$R,Data!$D:$D=J72,Data!$B:$B=$A72)),"""")"),"")</f>
        <v/>
      </c>
      <c r="W72" s="64" t="str">
        <f>IFERROR(__xludf.DUMMYFUNCTION("IFERROR(Textjoin("""",TRUE,FILTER(Data!$R:$R,Data!$D:$D=K72,Data!$B:$B=$A72)),"""")"),"")</f>
        <v/>
      </c>
      <c r="X72" s="64" t="str">
        <f>IFERROR(__xludf.DUMMYFUNCTION("IFERROR(Textjoin("""",TRUE,FILTER(Data!$R:$R,Data!$D:$D=L72,Data!$B:$B=$A72)),"""")"),"")</f>
        <v/>
      </c>
      <c r="Y72" s="64" t="str">
        <f>IFERROR(__xludf.DUMMYFUNCTION("IFERROR(Textjoin("""",TRUE,FILTER(Data!$R:$R,Data!$D:$D=M72,Data!$B:$B=$A72)),"""")"),"")</f>
        <v/>
      </c>
      <c r="Z72" s="64" t="str">
        <f>IFERROR(__xludf.DUMMYFUNCTION("IFERROR(SPLIT(N72,"",""),"""")"),"")</f>
        <v/>
      </c>
      <c r="AA72" s="65"/>
      <c r="AB72" s="65"/>
      <c r="AC72" s="69" t="str">
        <f>IFERROR(__xludf.DUMMYFUNCTION("IFERROR(SPLIT(O72,"",""),"""")"),"")</f>
        <v/>
      </c>
      <c r="AD72" s="65"/>
      <c r="AE72" s="65"/>
      <c r="AF72" s="69" t="str">
        <f>IFERROR(__xludf.DUMMYFUNCTION("IFERROR(SPLIT(P72,"",""),"""")"),"")</f>
        <v/>
      </c>
      <c r="AG72" s="65"/>
      <c r="AH72" s="65"/>
      <c r="AI72" s="69" t="str">
        <f>IFERROR(__xludf.DUMMYFUNCTION("IFERROR(SPLIT(Q72,"",""),"""")"),"")</f>
        <v/>
      </c>
      <c r="AJ72" s="65"/>
      <c r="AK72" s="65"/>
      <c r="AL72" s="69" t="str">
        <f>IFERROR(__xludf.DUMMYFUNCTION("IFERROR(SPLIT(R72,"",""),"""")"),"")</f>
        <v/>
      </c>
      <c r="AM72" s="65"/>
      <c r="AN72" s="65"/>
      <c r="AO72" s="69" t="str">
        <f>IFERROR(__xludf.DUMMYFUNCTION("IFERROR(SPLIT(S72,"",""),"""")"),"")</f>
        <v/>
      </c>
      <c r="AP72" s="65"/>
      <c r="AQ72" s="65"/>
      <c r="AR72" s="69" t="str">
        <f>IFERROR(__xludf.DUMMYFUNCTION("IFERROR(SPLIT(T72,"",""),"""")"),"")</f>
        <v/>
      </c>
      <c r="AS72" s="65"/>
      <c r="AT72" s="65"/>
      <c r="AU72" s="69" t="str">
        <f>IFERROR(__xludf.DUMMYFUNCTION("IFERROR(SPLIT(U72,"",""),"""")"),"")</f>
        <v/>
      </c>
      <c r="AV72" s="65"/>
      <c r="AW72" s="65"/>
      <c r="AX72" s="69" t="str">
        <f>IFERROR(__xludf.DUMMYFUNCTION("IFERROR(SPLIT(V72,"",""),"""")"),"")</f>
        <v/>
      </c>
      <c r="AY72" s="65"/>
      <c r="AZ72" s="65"/>
      <c r="BA72" s="69" t="str">
        <f>IFERROR(__xludf.DUMMYFUNCTION("IFERROR(SPLIT(W72,"",""),"""")"),"")</f>
        <v/>
      </c>
      <c r="BB72" s="69"/>
      <c r="BC72" s="69"/>
      <c r="BD72" s="69" t="str">
        <f>IFERROR(__xludf.DUMMYFUNCTION("IFERROR(SPLIT(X72,"",""),"""")"),"")</f>
        <v/>
      </c>
      <c r="BE72" s="69"/>
      <c r="BF72" s="69"/>
      <c r="BG72" s="69" t="str">
        <f>IFERROR(__xludf.DUMMYFUNCTION("IFERROR(SPLIT(Y72,"",""),"""")"),"")</f>
        <v/>
      </c>
      <c r="BH72" s="69"/>
      <c r="BI72" s="69"/>
      <c r="BJ72" s="68" t="str">
        <f>IFERROR(__xludf.DUMMYFUNCTION("IF($B72&lt;&gt;"""",IFERROR(FILTER(RawTotals!$AJ:$AJ,RawTotals!$A:$A=Z72)-(FILTER(Data!$K:$K,Data!$B:$B=Z72,Data!$D:$D=$B72)+FILTER(Data!$L:$L,Data!$B:$B=Z72,Data!$D:$D=$B72)),""""),"""")"),"")</f>
        <v/>
      </c>
      <c r="BK72" s="68" t="str">
        <f>IFERROR(__xludf.DUMMYFUNCTION("IF($B72&lt;&gt;"""",IFERROR(FILTER(RawTotals!$AJ:$AJ,RawTotals!$A:$A=AA72)-(FILTER(Data!$K:$K,Data!$B:$B=AA72,Data!$D:$D=$B72)+FILTER(Data!$L:$L,Data!$B:$B=AA72,Data!$D:$D=$B72)),""""),"""")"),"")</f>
        <v/>
      </c>
      <c r="BL72" s="68" t="str">
        <f>IFERROR(__xludf.DUMMYFUNCTION("IF($B72&lt;&gt;"""",IFERROR(FILTER(RawTotals!$AJ:$AJ,RawTotals!$A:$A=AB72)-(FILTER(Data!$K:$K,Data!$B:$B=AB72,Data!$D:$D=$B72)+FILTER(Data!$L:$L,Data!$B:$B=AB72,Data!$D:$D=$B72)),""""),"""")"),"")</f>
        <v/>
      </c>
      <c r="BM72" s="69" t="str">
        <f>IFERROR(__xludf.DUMMYFUNCTION("IF($C72&lt;&gt;"""",IFERROR(FILTER(RawTotals!$AJ:$AJ,RawTotals!$A:$A=AC72)-(FILTER(Data!$K:$K,Data!$B:$B=AC72,Data!$D:$D=$C72)+FILTER(Data!$L:$L,Data!$B:$B=AC72,Data!$D:$D=$C72)),""""),"""")"),"")</f>
        <v/>
      </c>
      <c r="BN72" s="69" t="str">
        <f>IFERROR(__xludf.DUMMYFUNCTION("IF($C72&lt;&gt;"""",IFERROR(FILTER(RawTotals!$AJ:$AJ,RawTotals!$A:$A=AD72)-(FILTER(Data!$K:$K,Data!$B:$B=AD72,Data!$D:$D=$C72)+FILTER(Data!$L:$L,Data!$B:$B=AD72,Data!$D:$D=$C72)),""""),"""")"),"")</f>
        <v/>
      </c>
      <c r="BO72" s="69" t="str">
        <f>IFERROR(__xludf.DUMMYFUNCTION("IF($C72&lt;&gt;"""",IFERROR(FILTER(RawTotals!$AJ:$AJ,RawTotals!$A:$A=AE72)-(FILTER(Data!$K:$K,Data!$B:$B=AE72,Data!$D:$D=$C72)+FILTER(Data!$L:$L,Data!$B:$B=AE72,Data!$D:$D=$C72)),""""),"""")"),"")</f>
        <v/>
      </c>
      <c r="BP72" s="69" t="str">
        <f>IFERROR(__xludf.DUMMYFUNCTION("IF($D72&lt;&gt;"""",IFERROR(FILTER(RawTotals!$AJ:$AJ,RawTotals!$A:$A=AF72)-(FILTER(Data!$K:$K,Data!$B:$B=AF72,Data!$D:$D=$D72)+FILTER(Data!$L:$L,Data!$B:$B=AF72,Data!$D:$D=$D72)),""""),"""")"),"")</f>
        <v/>
      </c>
      <c r="BQ72" s="69" t="str">
        <f>IFERROR(__xludf.DUMMYFUNCTION("IF($D72&lt;&gt;"""",IFERROR(FILTER(RawTotals!$AJ:$AJ,RawTotals!$A:$A=AG72)-(FILTER(Data!$K:$K,Data!$B:$B=AG72,Data!$D:$D=$D72)+FILTER(Data!$L:$L,Data!$B:$B=AG72,Data!$D:$D=$D72)),""""),"""")"),"")</f>
        <v/>
      </c>
      <c r="BR72" s="69" t="str">
        <f>IFERROR(__xludf.DUMMYFUNCTION("IF($D72&lt;&gt;"""",IFERROR(FILTER(RawTotals!$AJ:$AJ,RawTotals!$A:$A=AH72)-(FILTER(Data!$K:$K,Data!$B:$B=AH72,Data!$D:$D=$D72)+FILTER(Data!$L:$L,Data!$B:$B=AH72,Data!$D:$D=$D72)),""""),"""")"),"")</f>
        <v/>
      </c>
      <c r="BS72" s="69" t="str">
        <f>IFERROR(__xludf.DUMMYFUNCTION("IF($E72&lt;&gt;"""",IFERROR(FILTER(RawTotals!$AJ:$AJ,RawTotals!$A:$A=AI72)-(FILTER(Data!$K:$K,Data!$B:$B=AI72,Data!$D:$D=$E72)+FILTER(Data!$L:$L,Data!$B:$B=AI72,Data!$D:$D=$E72)),""""),"""")"),"")</f>
        <v/>
      </c>
      <c r="BT72" s="69" t="str">
        <f>IFERROR(__xludf.DUMMYFUNCTION("IF($E72&lt;&gt;"""",IFERROR(FILTER(RawTotals!$AJ:$AJ,RawTotals!$A:$A=AJ72)-(FILTER(Data!$K:$K,Data!$B:$B=AJ72,Data!$D:$D=$E72)+FILTER(Data!$L:$L,Data!$B:$B=AJ72,Data!$D:$D=$E72)),""""),"""")"),"")</f>
        <v/>
      </c>
      <c r="BU72" s="69" t="str">
        <f>IFERROR(__xludf.DUMMYFUNCTION("IF($E72&lt;&gt;"""",IFERROR(FILTER(RawTotals!$AJ:$AJ,RawTotals!$A:$A=AK72)-(FILTER(Data!$K:$K,Data!$B:$B=AK72,Data!$D:$D=$E72)+FILTER(Data!$L:$L,Data!$B:$B=AK72,Data!$D:$D=$E72)),""""),"""")"),"")</f>
        <v/>
      </c>
      <c r="BV72" s="69" t="str">
        <f>IFERROR(__xludf.DUMMYFUNCTION("IF($F72&lt;&gt;"""",IFERROR(FILTER(RawTotals!$AJ:$AJ,RawTotals!$A:$A=AL72)-(FILTER(Data!$K:$K,Data!$B:$B=AL72,Data!$D:$D=$F72)+FILTER(Data!$L:$L,Data!$B:$B=AL72,Data!$D:$D=$F72)),""""),"""")"),"")</f>
        <v/>
      </c>
      <c r="BW72" s="69" t="str">
        <f>IFERROR(__xludf.DUMMYFUNCTION("IF($F72&lt;&gt;"""",IFERROR(FILTER(RawTotals!$AJ:$AJ,RawTotals!$A:$A=AM72)-(FILTER(Data!$K:$K,Data!$B:$B=AM72,Data!$D:$D=$F72)+FILTER(Data!$L:$L,Data!$B:$B=AM72,Data!$D:$D=$F72)),""""),"""")"),"")</f>
        <v/>
      </c>
      <c r="BX72" s="69" t="str">
        <f>IFERROR(__xludf.DUMMYFUNCTION("IF($F72&lt;&gt;"""",IFERROR(FILTER(RawTotals!$AJ:$AJ,RawTotals!$A:$A=AN72)-(FILTER(Data!$K:$K,Data!$B:$B=AN72,Data!$D:$D=$F72)+FILTER(Data!$L:$L,Data!$B:$B=AN72,Data!$D:$D=$F72)),""""),"""")"),"")</f>
        <v/>
      </c>
      <c r="BY72" s="69" t="str">
        <f>IFERROR(__xludf.DUMMYFUNCTION("IF($G72&lt;&gt;"""",IFERROR(FILTER(RawTotals!$AJ:$AJ,RawTotals!$A:$A=AO72)-(FILTER(Data!$K:$K,Data!$B:$B=AO72,Data!$D:$D=$G72)+FILTER(Data!$L:$L,Data!$B:$B=AO72,Data!$D:$D=$G72)),""""),"""")"),"")</f>
        <v/>
      </c>
      <c r="BZ72" s="69" t="str">
        <f>IFERROR(__xludf.DUMMYFUNCTION("IF($G72&lt;&gt;"""",IFERROR(FILTER(RawTotals!$AJ:$AJ,RawTotals!$A:$A=AP72)-(FILTER(Data!$K:$K,Data!$B:$B=AP72,Data!$D:$D=$G72)+FILTER(Data!$L:$L,Data!$B:$B=AP72,Data!$D:$D=$G72)),""""),"""")"),"")</f>
        <v/>
      </c>
      <c r="CA72" s="69" t="str">
        <f>IFERROR(__xludf.DUMMYFUNCTION("IF($G72&lt;&gt;"""",IFERROR(FILTER(RawTotals!$AJ:$AJ,RawTotals!$A:$A=AQ72)-(FILTER(Data!$K:$K,Data!$B:$B=AQ72,Data!$D:$D=$G72)+FILTER(Data!$L:$L,Data!$B:$B=AQ72,Data!$D:$D=$G72)),""""),"""")"),"")</f>
        <v/>
      </c>
      <c r="CB72" s="69" t="str">
        <f>IFERROR(__xludf.DUMMYFUNCTION("IF($H72&lt;&gt;"""",IFERROR(FILTER(RawTotals!$AJ:$AJ,RawTotals!$A:$A=AR72)-(FILTER(Data!$K:$K,Data!$B:$B=AR72,Data!$D:$D=$H72)+FILTER(Data!$L:$L,Data!$B:$B=AR72,Data!$D:$D=$H72)),""""),"""")"),"")</f>
        <v/>
      </c>
      <c r="CC72" s="69" t="str">
        <f>IFERROR(__xludf.DUMMYFUNCTION("IF($H72&lt;&gt;"""",IFERROR(FILTER(RawTotals!$AJ:$AJ,RawTotals!$A:$A=AS72)-(FILTER(Data!$K:$K,Data!$B:$B=AS72,Data!$D:$D=$H72)+FILTER(Data!$L:$L,Data!$B:$B=AS72,Data!$D:$D=$H72)),""""),"""")"),"")</f>
        <v/>
      </c>
      <c r="CD72" s="69" t="str">
        <f>IFERROR(__xludf.DUMMYFUNCTION("IF($H72&lt;&gt;"""",IFERROR(FILTER(RawTotals!$AJ:$AJ,RawTotals!$A:$A=AT72)-(FILTER(Data!$K:$K,Data!$B:$B=AT72,Data!$D:$D=$H72)+FILTER(Data!$L:$L,Data!$B:$B=AT72,Data!$D:$D=$H72)),""""),"""")"),"")</f>
        <v/>
      </c>
      <c r="CE72" s="69" t="str">
        <f>IFERROR(__xludf.DUMMYFUNCTION("IF($I72&lt;&gt;"""",IFERROR(FILTER(RawTotals!$AJ:$AJ,RawTotals!$A:$A=AU72)-(FILTER(Data!$K:$K,Data!$B:$B=AU72,Data!$D:$D=$I72)+FILTER(Data!$L:$L,Data!$B:$B=AU72,Data!$D:$D=$I72)),""""),"""")"),"")</f>
        <v/>
      </c>
      <c r="CF72" s="69" t="str">
        <f>IFERROR(__xludf.DUMMYFUNCTION("IF($I72&lt;&gt;"""",IFERROR(FILTER(RawTotals!$AJ:$AJ,RawTotals!$A:$A=AV72)-(FILTER(Data!$K:$K,Data!$B:$B=AV72,Data!$D:$D=$I72)+FILTER(Data!$L:$L,Data!$B:$B=AV72,Data!$D:$D=$I72)),""""),"""")"),"")</f>
        <v/>
      </c>
      <c r="CG72" s="69" t="str">
        <f>IFERROR(__xludf.DUMMYFUNCTION("IF($I72&lt;&gt;"""",IFERROR(FILTER(RawTotals!$AJ:$AJ,RawTotals!$A:$A=AW72)-(FILTER(Data!$K:$K,Data!$B:$B=AW72,Data!$D:$D=$I72)+FILTER(Data!$L:$L,Data!$B:$B=AW72,Data!$D:$D=$I72)),""""),"""")"),"")</f>
        <v/>
      </c>
      <c r="CH72" s="69" t="str">
        <f>IFERROR(__xludf.DUMMYFUNCTION("IF($J72&lt;&gt;"""",IFERROR(FILTER(RawTotals!$AJ:$AJ,RawTotals!$A:$A=AX72)-(FILTER(Data!$K:$K,Data!$B:$B=AX72,Data!$D:$D=$J72)+FILTER(Data!$L:$L,Data!$B:$B=AX72,Data!$D:$D=$J72)),""""),"""")"),"")</f>
        <v/>
      </c>
      <c r="CI72" s="69" t="str">
        <f>IFERROR(__xludf.DUMMYFUNCTION("IF($J72&lt;&gt;"""",IFERROR(FILTER(RawTotals!$AJ:$AJ,RawTotals!$A:$A=AY72)-(FILTER(Data!$K:$K,Data!$B:$B=AY72,Data!$D:$D=$J72)+FILTER(Data!$L:$L,Data!$B:$B=AY72,Data!$D:$D=$J72)),""""),"""")"),"")</f>
        <v/>
      </c>
      <c r="CJ72" s="69" t="str">
        <f>IFERROR(__xludf.DUMMYFUNCTION("IF($J72&lt;&gt;"""",IFERROR(FILTER(RawTotals!$AJ:$AJ,RawTotals!$A:$A=AZ72)-(FILTER(Data!$K:$K,Data!$B:$B=AZ72,Data!$D:$D=$J72)+FILTER(Data!$L:$L,Data!$B:$B=AZ72,Data!$D:$D=$J72)),""""),"""")"),"")</f>
        <v/>
      </c>
      <c r="CK72" s="69" t="str">
        <f>IFERROR(__xludf.DUMMYFUNCTION("IF($K72&lt;&gt;"""",IFERROR(FILTER(RawTotals!$AJ:$AJ,RawTotals!$A:$A=BA72)-(FILTER(Data!$K:$K,Data!$B:$B=BA72,Data!$D:$D=$K72)+FILTER(Data!$L:$L,Data!$B:$B=BA72,Data!$D:$D=$K72)),""""),"""")"),"")</f>
        <v/>
      </c>
      <c r="CL72" s="69" t="str">
        <f>IFERROR(__xludf.DUMMYFUNCTION("IF($K72&lt;&gt;"""",IFERROR(FILTER(RawTotals!$AJ:$AJ,RawTotals!$A:$A=BB72)-(FILTER(Data!$K:$K,Data!$B:$B=BB72,Data!$D:$D=$K72)+FILTER(Data!$L:$L,Data!$B:$B=BB72,Data!$D:$D=$K72)),""""),"""")"),"")</f>
        <v/>
      </c>
      <c r="CM72" s="69" t="str">
        <f>IFERROR(__xludf.DUMMYFUNCTION("IF($K72&lt;&gt;"""",IFERROR(FILTER(RawTotals!$AJ:$AJ,RawTotals!$A:$A=BC72)-(FILTER(Data!$K:$K,Data!$B:$B=BC72,Data!$D:$D=$K72)+FILTER(Data!$L:$L,Data!$B:$B=BC72,Data!$D:$D=$K72)),""""),"""")"),"")</f>
        <v/>
      </c>
      <c r="CN72" s="69" t="str">
        <f>IFERROR(__xludf.DUMMYFUNCTION("IF($L72&lt;&gt;"""",IFERROR((FILTER(RawTotals!$AJ:$AJ,RawTotals!$A:$A=BD72)-(FILTER(Data!$K:$K,Data!$B:$B=BD72,Data!$D:$D=$L72)+FILTER(Data!$L:$L,Data!$B:$B=BD72,Data!$D:$D=$L72))),""""),"""")"),"")</f>
        <v/>
      </c>
      <c r="CO72" s="69" t="str">
        <f>IFERROR(__xludf.DUMMYFUNCTION("IF($L72&lt;&gt;"""",IFERROR((FILTER(RawTotals!$AJ:$AJ,RawTotals!$A:$A=BE72)-(FILTER(Data!$K:$K,Data!$B:$B=BE72,Data!$D:$D=$L72)+FILTER(Data!$L:$L,Data!$B:$B=BE72,Data!$D:$D=$L72))),""""),"""")"),"")</f>
        <v/>
      </c>
      <c r="CP72" s="69" t="str">
        <f>IFERROR(__xludf.DUMMYFUNCTION("IF($L72&lt;&gt;"""",IFERROR((FILTER(RawTotals!$AJ:$AJ,RawTotals!$A:$A=BF72)-(FILTER(Data!$K:$K,Data!$B:$B=BF72,Data!$D:$D=$L72)+FILTER(Data!$L:$L,Data!$B:$B=BF72,Data!$D:$D=$L72))),""""),"""")"),"")</f>
        <v/>
      </c>
      <c r="CQ72" s="69" t="str">
        <f>IFERROR(__xludf.DUMMYFUNCTION("IF($M72&lt;&gt;"""",IFERROR((FILTER(RawTotals!$AJ:$AJ,RawTotals!$A:$A=BG72)-(FILTER(Data!$K:$K,Data!$B:$B=BG72,Data!$D:$D=$M72)+FILTER(Data!$L:$L,Data!$B:$B=BG72,Data!$D:$D=$M72))),""""),"""")"),"")</f>
        <v/>
      </c>
      <c r="CR72" s="69" t="str">
        <f>IFERROR(__xludf.DUMMYFUNCTION("IF($M72&lt;&gt;"""",IFERROR((FILTER(RawTotals!$AJ:$AJ,RawTotals!$A:$A=BH72)-(FILTER(Data!$K:$K,Data!$B:$B=BH72,Data!$D:$D=$M72)+FILTER(Data!$L:$L,Data!$B:$B=BH72,Data!$D:$D=$M72))),""""),"""")"),"")</f>
        <v/>
      </c>
      <c r="CS72" s="70" t="str">
        <f>IFERROR(__xludf.DUMMYFUNCTION("IF($M72&lt;&gt;"""",IFERROR((FILTER(RawTotals!$AJ:$AJ,RawTotals!$A:$A=BI72)-(FILTER(Data!$K:$K,Data!$B:$B=BI72,Data!$D:$D=$M72)+FILTER(Data!$L:$L,Data!$B:$B=BI72,Data!$D:$D=$M72))),""""),"""")"),"")</f>
        <v/>
      </c>
      <c r="CT72" s="69"/>
      <c r="CU72" s="69"/>
      <c r="CV72" s="69"/>
      <c r="CW72" s="69"/>
      <c r="CX72" s="69"/>
      <c r="CY72" s="69"/>
      <c r="CZ72" s="69"/>
      <c r="DA72" s="69"/>
      <c r="DB72" s="69"/>
      <c r="DC72" s="69"/>
      <c r="DD72" s="69"/>
      <c r="DE72" s="69"/>
    </row>
    <row r="73">
      <c r="A73" s="65" t="str">
        <f>RawTotals!A73</f>
        <v/>
      </c>
      <c r="B73" s="68" t="str">
        <f>IFERROR(__xludf.DUMMYFUNCTION("IF(A73&lt;&gt;"""",IFERROR(TRANSPOSE(FILTER(Data!D:D,Data!B:B=A73,Data!R:R&lt;&gt;"""")),""No Defense""),"""")"),"")</f>
        <v/>
      </c>
      <c r="C73" s="65"/>
      <c r="D73" s="65"/>
      <c r="E73" s="65"/>
      <c r="F73" s="65"/>
      <c r="G73" s="65"/>
      <c r="H73" s="65"/>
      <c r="I73" s="65"/>
      <c r="J73" s="65"/>
      <c r="K73" s="65"/>
      <c r="L73" s="65"/>
      <c r="M73" s="65"/>
      <c r="N73" s="64" t="str">
        <f>IFERROR(__xludf.DUMMYFUNCTION("IFERROR(Textjoin("""",TRUE,FILTER(Data!$R:$R,Data!$D:$D=B73,Data!$B:$B=$A73)),"""")"),"")</f>
        <v/>
      </c>
      <c r="O73" s="64" t="str">
        <f>IFERROR(__xludf.DUMMYFUNCTION("IFERROR(Textjoin("""",TRUE,FILTER(Data!$R:$R,Data!$D:$D=C73,Data!$B:$B=$A73)),"""")"),"")</f>
        <v/>
      </c>
      <c r="P73" s="64" t="str">
        <f>IFERROR(__xludf.DUMMYFUNCTION("IFERROR(Textjoin("""",TRUE,FILTER(Data!$R:$R,Data!$D:$D=D73,Data!$B:$B=$A73)),"""")"),"")</f>
        <v/>
      </c>
      <c r="Q73" s="64" t="str">
        <f>IFERROR(__xludf.DUMMYFUNCTION("IFERROR(Textjoin("""",TRUE,FILTER(Data!$R:$R,Data!$D:$D=E73,Data!$B:$B=$A73)),"""")"),"")</f>
        <v/>
      </c>
      <c r="R73" s="64" t="str">
        <f>IFERROR(__xludf.DUMMYFUNCTION("IFERROR(Textjoin("""",TRUE,FILTER(Data!$R:$R,Data!$D:$D=F73,Data!$B:$B=$A73)),"""")"),"")</f>
        <v/>
      </c>
      <c r="S73" s="64" t="str">
        <f>IFERROR(__xludf.DUMMYFUNCTION("IFERROR(Textjoin("""",TRUE,FILTER(Data!$R:$R,Data!$D:$D=G73,Data!$B:$B=$A73)),"""")"),"")</f>
        <v/>
      </c>
      <c r="T73" s="64" t="str">
        <f>IFERROR(__xludf.DUMMYFUNCTION("IFERROR(Textjoin("""",TRUE,FILTER(Data!$R:$R,Data!$D:$D=H73,Data!$B:$B=$A73)),"""")"),"")</f>
        <v/>
      </c>
      <c r="U73" s="64" t="str">
        <f>IFERROR(__xludf.DUMMYFUNCTION("IFERROR(Textjoin("""",TRUE,FILTER(Data!$R:$R,Data!$D:$D=I73,Data!$B:$B=$A73)),"""")"),"")</f>
        <v/>
      </c>
      <c r="V73" s="64" t="str">
        <f>IFERROR(__xludf.DUMMYFUNCTION("IFERROR(Textjoin("""",TRUE,FILTER(Data!$R:$R,Data!$D:$D=J73,Data!$B:$B=$A73)),"""")"),"")</f>
        <v/>
      </c>
      <c r="W73" s="64" t="str">
        <f>IFERROR(__xludf.DUMMYFUNCTION("IFERROR(Textjoin("""",TRUE,FILTER(Data!$R:$R,Data!$D:$D=K73,Data!$B:$B=$A73)),"""")"),"")</f>
        <v/>
      </c>
      <c r="X73" s="64" t="str">
        <f>IFERROR(__xludf.DUMMYFUNCTION("IFERROR(Textjoin("""",TRUE,FILTER(Data!$R:$R,Data!$D:$D=L73,Data!$B:$B=$A73)),"""")"),"")</f>
        <v/>
      </c>
      <c r="Y73" s="64" t="str">
        <f>IFERROR(__xludf.DUMMYFUNCTION("IFERROR(Textjoin("""",TRUE,FILTER(Data!$R:$R,Data!$D:$D=M73,Data!$B:$B=$A73)),"""")"),"")</f>
        <v/>
      </c>
      <c r="Z73" s="64" t="str">
        <f>IFERROR(__xludf.DUMMYFUNCTION("IFERROR(SPLIT(N73,"",""),"""")"),"")</f>
        <v/>
      </c>
      <c r="AA73" s="65"/>
      <c r="AB73" s="65"/>
      <c r="AC73" s="69" t="str">
        <f>IFERROR(__xludf.DUMMYFUNCTION("IFERROR(SPLIT(O73,"",""),"""")"),"")</f>
        <v/>
      </c>
      <c r="AD73" s="65"/>
      <c r="AE73" s="65"/>
      <c r="AF73" s="69" t="str">
        <f>IFERROR(__xludf.DUMMYFUNCTION("IFERROR(SPLIT(P73,"",""),"""")"),"")</f>
        <v/>
      </c>
      <c r="AG73" s="65"/>
      <c r="AH73" s="65"/>
      <c r="AI73" s="69" t="str">
        <f>IFERROR(__xludf.DUMMYFUNCTION("IFERROR(SPLIT(Q73,"",""),"""")"),"")</f>
        <v/>
      </c>
      <c r="AJ73" s="65"/>
      <c r="AK73" s="65"/>
      <c r="AL73" s="69" t="str">
        <f>IFERROR(__xludf.DUMMYFUNCTION("IFERROR(SPLIT(R73,"",""),"""")"),"")</f>
        <v/>
      </c>
      <c r="AM73" s="65"/>
      <c r="AN73" s="65"/>
      <c r="AO73" s="69" t="str">
        <f>IFERROR(__xludf.DUMMYFUNCTION("IFERROR(SPLIT(S73,"",""),"""")"),"")</f>
        <v/>
      </c>
      <c r="AP73" s="65"/>
      <c r="AQ73" s="65"/>
      <c r="AR73" s="69" t="str">
        <f>IFERROR(__xludf.DUMMYFUNCTION("IFERROR(SPLIT(T73,"",""),"""")"),"")</f>
        <v/>
      </c>
      <c r="AS73" s="65"/>
      <c r="AT73" s="65"/>
      <c r="AU73" s="69" t="str">
        <f>IFERROR(__xludf.DUMMYFUNCTION("IFERROR(SPLIT(U73,"",""),"""")"),"")</f>
        <v/>
      </c>
      <c r="AV73" s="65"/>
      <c r="AW73" s="65"/>
      <c r="AX73" s="69" t="str">
        <f>IFERROR(__xludf.DUMMYFUNCTION("IFERROR(SPLIT(V73,"",""),"""")"),"")</f>
        <v/>
      </c>
      <c r="AY73" s="65"/>
      <c r="AZ73" s="65"/>
      <c r="BA73" s="69" t="str">
        <f>IFERROR(__xludf.DUMMYFUNCTION("IFERROR(SPLIT(W73,"",""),"""")"),"")</f>
        <v/>
      </c>
      <c r="BB73" s="69"/>
      <c r="BC73" s="69"/>
      <c r="BD73" s="69" t="str">
        <f>IFERROR(__xludf.DUMMYFUNCTION("IFERROR(SPLIT(X73,"",""),"""")"),"")</f>
        <v/>
      </c>
      <c r="BE73" s="69"/>
      <c r="BF73" s="69"/>
      <c r="BG73" s="69" t="str">
        <f>IFERROR(__xludf.DUMMYFUNCTION("IFERROR(SPLIT(Y73,"",""),"""")"),"")</f>
        <v/>
      </c>
      <c r="BH73" s="69"/>
      <c r="BI73" s="69"/>
      <c r="BJ73" s="68" t="str">
        <f>IFERROR(__xludf.DUMMYFUNCTION("IF($B73&lt;&gt;"""",IFERROR(FILTER(RawTotals!$AJ:$AJ,RawTotals!$A:$A=Z73)-(FILTER(Data!$K:$K,Data!$B:$B=Z73,Data!$D:$D=$B73)+FILTER(Data!$L:$L,Data!$B:$B=Z73,Data!$D:$D=$B73)),""""),"""")"),"")</f>
        <v/>
      </c>
      <c r="BK73" s="68" t="str">
        <f>IFERROR(__xludf.DUMMYFUNCTION("IF($B73&lt;&gt;"""",IFERROR(FILTER(RawTotals!$AJ:$AJ,RawTotals!$A:$A=AA73)-(FILTER(Data!$K:$K,Data!$B:$B=AA73,Data!$D:$D=$B73)+FILTER(Data!$L:$L,Data!$B:$B=AA73,Data!$D:$D=$B73)),""""),"""")"),"")</f>
        <v/>
      </c>
      <c r="BL73" s="68" t="str">
        <f>IFERROR(__xludf.DUMMYFUNCTION("IF($B73&lt;&gt;"""",IFERROR(FILTER(RawTotals!$AJ:$AJ,RawTotals!$A:$A=AB73)-(FILTER(Data!$K:$K,Data!$B:$B=AB73,Data!$D:$D=$B73)+FILTER(Data!$L:$L,Data!$B:$B=AB73,Data!$D:$D=$B73)),""""),"""")"),"")</f>
        <v/>
      </c>
      <c r="BM73" s="69" t="str">
        <f>IFERROR(__xludf.DUMMYFUNCTION("IF($C73&lt;&gt;"""",IFERROR(FILTER(RawTotals!$AJ:$AJ,RawTotals!$A:$A=AC73)-(FILTER(Data!$K:$K,Data!$B:$B=AC73,Data!$D:$D=$C73)+FILTER(Data!$L:$L,Data!$B:$B=AC73,Data!$D:$D=$C73)),""""),"""")"),"")</f>
        <v/>
      </c>
      <c r="BN73" s="69" t="str">
        <f>IFERROR(__xludf.DUMMYFUNCTION("IF($C73&lt;&gt;"""",IFERROR(FILTER(RawTotals!$AJ:$AJ,RawTotals!$A:$A=AD73)-(FILTER(Data!$K:$K,Data!$B:$B=AD73,Data!$D:$D=$C73)+FILTER(Data!$L:$L,Data!$B:$B=AD73,Data!$D:$D=$C73)),""""),"""")"),"")</f>
        <v/>
      </c>
      <c r="BO73" s="69" t="str">
        <f>IFERROR(__xludf.DUMMYFUNCTION("IF($C73&lt;&gt;"""",IFERROR(FILTER(RawTotals!$AJ:$AJ,RawTotals!$A:$A=AE73)-(FILTER(Data!$K:$K,Data!$B:$B=AE73,Data!$D:$D=$C73)+FILTER(Data!$L:$L,Data!$B:$B=AE73,Data!$D:$D=$C73)),""""),"""")"),"")</f>
        <v/>
      </c>
      <c r="BP73" s="69" t="str">
        <f>IFERROR(__xludf.DUMMYFUNCTION("IF($D73&lt;&gt;"""",IFERROR(FILTER(RawTotals!$AJ:$AJ,RawTotals!$A:$A=AF73)-(FILTER(Data!$K:$K,Data!$B:$B=AF73,Data!$D:$D=$D73)+FILTER(Data!$L:$L,Data!$B:$B=AF73,Data!$D:$D=$D73)),""""),"""")"),"")</f>
        <v/>
      </c>
      <c r="BQ73" s="69" t="str">
        <f>IFERROR(__xludf.DUMMYFUNCTION("IF($D73&lt;&gt;"""",IFERROR(FILTER(RawTotals!$AJ:$AJ,RawTotals!$A:$A=AG73)-(FILTER(Data!$K:$K,Data!$B:$B=AG73,Data!$D:$D=$D73)+FILTER(Data!$L:$L,Data!$B:$B=AG73,Data!$D:$D=$D73)),""""),"""")"),"")</f>
        <v/>
      </c>
      <c r="BR73" s="69" t="str">
        <f>IFERROR(__xludf.DUMMYFUNCTION("IF($D73&lt;&gt;"""",IFERROR(FILTER(RawTotals!$AJ:$AJ,RawTotals!$A:$A=AH73)-(FILTER(Data!$K:$K,Data!$B:$B=AH73,Data!$D:$D=$D73)+FILTER(Data!$L:$L,Data!$B:$B=AH73,Data!$D:$D=$D73)),""""),"""")"),"")</f>
        <v/>
      </c>
      <c r="BS73" s="69" t="str">
        <f>IFERROR(__xludf.DUMMYFUNCTION("IF($E73&lt;&gt;"""",IFERROR(FILTER(RawTotals!$AJ:$AJ,RawTotals!$A:$A=AI73)-(FILTER(Data!$K:$K,Data!$B:$B=AI73,Data!$D:$D=$E73)+FILTER(Data!$L:$L,Data!$B:$B=AI73,Data!$D:$D=$E73)),""""),"""")"),"")</f>
        <v/>
      </c>
      <c r="BT73" s="69" t="str">
        <f>IFERROR(__xludf.DUMMYFUNCTION("IF($E73&lt;&gt;"""",IFERROR(FILTER(RawTotals!$AJ:$AJ,RawTotals!$A:$A=AJ73)-(FILTER(Data!$K:$K,Data!$B:$B=AJ73,Data!$D:$D=$E73)+FILTER(Data!$L:$L,Data!$B:$B=AJ73,Data!$D:$D=$E73)),""""),"""")"),"")</f>
        <v/>
      </c>
      <c r="BU73" s="69" t="str">
        <f>IFERROR(__xludf.DUMMYFUNCTION("IF($E73&lt;&gt;"""",IFERROR(FILTER(RawTotals!$AJ:$AJ,RawTotals!$A:$A=AK73)-(FILTER(Data!$K:$K,Data!$B:$B=AK73,Data!$D:$D=$E73)+FILTER(Data!$L:$L,Data!$B:$B=AK73,Data!$D:$D=$E73)),""""),"""")"),"")</f>
        <v/>
      </c>
      <c r="BV73" s="69" t="str">
        <f>IFERROR(__xludf.DUMMYFUNCTION("IF($F73&lt;&gt;"""",IFERROR(FILTER(RawTotals!$AJ:$AJ,RawTotals!$A:$A=AL73)-(FILTER(Data!$K:$K,Data!$B:$B=AL73,Data!$D:$D=$F73)+FILTER(Data!$L:$L,Data!$B:$B=AL73,Data!$D:$D=$F73)),""""),"""")"),"")</f>
        <v/>
      </c>
      <c r="BW73" s="69" t="str">
        <f>IFERROR(__xludf.DUMMYFUNCTION("IF($F73&lt;&gt;"""",IFERROR(FILTER(RawTotals!$AJ:$AJ,RawTotals!$A:$A=AM73)-(FILTER(Data!$K:$K,Data!$B:$B=AM73,Data!$D:$D=$F73)+FILTER(Data!$L:$L,Data!$B:$B=AM73,Data!$D:$D=$F73)),""""),"""")"),"")</f>
        <v/>
      </c>
      <c r="BX73" s="69" t="str">
        <f>IFERROR(__xludf.DUMMYFUNCTION("IF($F73&lt;&gt;"""",IFERROR(FILTER(RawTotals!$AJ:$AJ,RawTotals!$A:$A=AN73)-(FILTER(Data!$K:$K,Data!$B:$B=AN73,Data!$D:$D=$F73)+FILTER(Data!$L:$L,Data!$B:$B=AN73,Data!$D:$D=$F73)),""""),"""")"),"")</f>
        <v/>
      </c>
      <c r="BY73" s="69" t="str">
        <f>IFERROR(__xludf.DUMMYFUNCTION("IF($G73&lt;&gt;"""",IFERROR(FILTER(RawTotals!$AJ:$AJ,RawTotals!$A:$A=AO73)-(FILTER(Data!$K:$K,Data!$B:$B=AO73,Data!$D:$D=$G73)+FILTER(Data!$L:$L,Data!$B:$B=AO73,Data!$D:$D=$G73)),""""),"""")"),"")</f>
        <v/>
      </c>
      <c r="BZ73" s="69" t="str">
        <f>IFERROR(__xludf.DUMMYFUNCTION("IF($G73&lt;&gt;"""",IFERROR(FILTER(RawTotals!$AJ:$AJ,RawTotals!$A:$A=AP73)-(FILTER(Data!$K:$K,Data!$B:$B=AP73,Data!$D:$D=$G73)+FILTER(Data!$L:$L,Data!$B:$B=AP73,Data!$D:$D=$G73)),""""),"""")"),"")</f>
        <v/>
      </c>
      <c r="CA73" s="69" t="str">
        <f>IFERROR(__xludf.DUMMYFUNCTION("IF($G73&lt;&gt;"""",IFERROR(FILTER(RawTotals!$AJ:$AJ,RawTotals!$A:$A=AQ73)-(FILTER(Data!$K:$K,Data!$B:$B=AQ73,Data!$D:$D=$G73)+FILTER(Data!$L:$L,Data!$B:$B=AQ73,Data!$D:$D=$G73)),""""),"""")"),"")</f>
        <v/>
      </c>
      <c r="CB73" s="69" t="str">
        <f>IFERROR(__xludf.DUMMYFUNCTION("IF($H73&lt;&gt;"""",IFERROR(FILTER(RawTotals!$AJ:$AJ,RawTotals!$A:$A=AR73)-(FILTER(Data!$K:$K,Data!$B:$B=AR73,Data!$D:$D=$H73)+FILTER(Data!$L:$L,Data!$B:$B=AR73,Data!$D:$D=$H73)),""""),"""")"),"")</f>
        <v/>
      </c>
      <c r="CC73" s="69" t="str">
        <f>IFERROR(__xludf.DUMMYFUNCTION("IF($H73&lt;&gt;"""",IFERROR(FILTER(RawTotals!$AJ:$AJ,RawTotals!$A:$A=AS73)-(FILTER(Data!$K:$K,Data!$B:$B=AS73,Data!$D:$D=$H73)+FILTER(Data!$L:$L,Data!$B:$B=AS73,Data!$D:$D=$H73)),""""),"""")"),"")</f>
        <v/>
      </c>
      <c r="CD73" s="69" t="str">
        <f>IFERROR(__xludf.DUMMYFUNCTION("IF($H73&lt;&gt;"""",IFERROR(FILTER(RawTotals!$AJ:$AJ,RawTotals!$A:$A=AT73)-(FILTER(Data!$K:$K,Data!$B:$B=AT73,Data!$D:$D=$H73)+FILTER(Data!$L:$L,Data!$B:$B=AT73,Data!$D:$D=$H73)),""""),"""")"),"")</f>
        <v/>
      </c>
      <c r="CE73" s="69" t="str">
        <f>IFERROR(__xludf.DUMMYFUNCTION("IF($I73&lt;&gt;"""",IFERROR(FILTER(RawTotals!$AJ:$AJ,RawTotals!$A:$A=AU73)-(FILTER(Data!$K:$K,Data!$B:$B=AU73,Data!$D:$D=$I73)+FILTER(Data!$L:$L,Data!$B:$B=AU73,Data!$D:$D=$I73)),""""),"""")"),"")</f>
        <v/>
      </c>
      <c r="CF73" s="69" t="str">
        <f>IFERROR(__xludf.DUMMYFUNCTION("IF($I73&lt;&gt;"""",IFERROR(FILTER(RawTotals!$AJ:$AJ,RawTotals!$A:$A=AV73)-(FILTER(Data!$K:$K,Data!$B:$B=AV73,Data!$D:$D=$I73)+FILTER(Data!$L:$L,Data!$B:$B=AV73,Data!$D:$D=$I73)),""""),"""")"),"")</f>
        <v/>
      </c>
      <c r="CG73" s="69" t="str">
        <f>IFERROR(__xludf.DUMMYFUNCTION("IF($I73&lt;&gt;"""",IFERROR(FILTER(RawTotals!$AJ:$AJ,RawTotals!$A:$A=AW73)-(FILTER(Data!$K:$K,Data!$B:$B=AW73,Data!$D:$D=$I73)+FILTER(Data!$L:$L,Data!$B:$B=AW73,Data!$D:$D=$I73)),""""),"""")"),"")</f>
        <v/>
      </c>
      <c r="CH73" s="69" t="str">
        <f>IFERROR(__xludf.DUMMYFUNCTION("IF($J73&lt;&gt;"""",IFERROR(FILTER(RawTotals!$AJ:$AJ,RawTotals!$A:$A=AX73)-(FILTER(Data!$K:$K,Data!$B:$B=AX73,Data!$D:$D=$J73)+FILTER(Data!$L:$L,Data!$B:$B=AX73,Data!$D:$D=$J73)),""""),"""")"),"")</f>
        <v/>
      </c>
      <c r="CI73" s="69" t="str">
        <f>IFERROR(__xludf.DUMMYFUNCTION("IF($J73&lt;&gt;"""",IFERROR(FILTER(RawTotals!$AJ:$AJ,RawTotals!$A:$A=AY73)-(FILTER(Data!$K:$K,Data!$B:$B=AY73,Data!$D:$D=$J73)+FILTER(Data!$L:$L,Data!$B:$B=AY73,Data!$D:$D=$J73)),""""),"""")"),"")</f>
        <v/>
      </c>
      <c r="CJ73" s="69" t="str">
        <f>IFERROR(__xludf.DUMMYFUNCTION("IF($J73&lt;&gt;"""",IFERROR(FILTER(RawTotals!$AJ:$AJ,RawTotals!$A:$A=AZ73)-(FILTER(Data!$K:$K,Data!$B:$B=AZ73,Data!$D:$D=$J73)+FILTER(Data!$L:$L,Data!$B:$B=AZ73,Data!$D:$D=$J73)),""""),"""")"),"")</f>
        <v/>
      </c>
      <c r="CK73" s="69" t="str">
        <f>IFERROR(__xludf.DUMMYFUNCTION("IF($K73&lt;&gt;"""",IFERROR(FILTER(RawTotals!$AJ:$AJ,RawTotals!$A:$A=BA73)-(FILTER(Data!$K:$K,Data!$B:$B=BA73,Data!$D:$D=$K73)+FILTER(Data!$L:$L,Data!$B:$B=BA73,Data!$D:$D=$K73)),""""),"""")"),"")</f>
        <v/>
      </c>
      <c r="CL73" s="69" t="str">
        <f>IFERROR(__xludf.DUMMYFUNCTION("IF($K73&lt;&gt;"""",IFERROR(FILTER(RawTotals!$AJ:$AJ,RawTotals!$A:$A=BB73)-(FILTER(Data!$K:$K,Data!$B:$B=BB73,Data!$D:$D=$K73)+FILTER(Data!$L:$L,Data!$B:$B=BB73,Data!$D:$D=$K73)),""""),"""")"),"")</f>
        <v/>
      </c>
      <c r="CM73" s="69" t="str">
        <f>IFERROR(__xludf.DUMMYFUNCTION("IF($K73&lt;&gt;"""",IFERROR(FILTER(RawTotals!$AJ:$AJ,RawTotals!$A:$A=BC73)-(FILTER(Data!$K:$K,Data!$B:$B=BC73,Data!$D:$D=$K73)+FILTER(Data!$L:$L,Data!$B:$B=BC73,Data!$D:$D=$K73)),""""),"""")"),"")</f>
        <v/>
      </c>
      <c r="CN73" s="69" t="str">
        <f>IFERROR(__xludf.DUMMYFUNCTION("IF($L73&lt;&gt;"""",IFERROR((FILTER(RawTotals!$AJ:$AJ,RawTotals!$A:$A=BD73)-(FILTER(Data!$K:$K,Data!$B:$B=BD73,Data!$D:$D=$L73)+FILTER(Data!$L:$L,Data!$B:$B=BD73,Data!$D:$D=$L73))),""""),"""")"),"")</f>
        <v/>
      </c>
      <c r="CO73" s="69" t="str">
        <f>IFERROR(__xludf.DUMMYFUNCTION("IF($L73&lt;&gt;"""",IFERROR((FILTER(RawTotals!$AJ:$AJ,RawTotals!$A:$A=BE73)-(FILTER(Data!$K:$K,Data!$B:$B=BE73,Data!$D:$D=$L73)+FILTER(Data!$L:$L,Data!$B:$B=BE73,Data!$D:$D=$L73))),""""),"""")"),"")</f>
        <v/>
      </c>
      <c r="CP73" s="69" t="str">
        <f>IFERROR(__xludf.DUMMYFUNCTION("IF($L73&lt;&gt;"""",IFERROR((FILTER(RawTotals!$AJ:$AJ,RawTotals!$A:$A=BF73)-(FILTER(Data!$K:$K,Data!$B:$B=BF73,Data!$D:$D=$L73)+FILTER(Data!$L:$L,Data!$B:$B=BF73,Data!$D:$D=$L73))),""""),"""")"),"")</f>
        <v/>
      </c>
      <c r="CQ73" s="69" t="str">
        <f>IFERROR(__xludf.DUMMYFUNCTION("IF($M73&lt;&gt;"""",IFERROR((FILTER(RawTotals!$AJ:$AJ,RawTotals!$A:$A=BG73)-(FILTER(Data!$K:$K,Data!$B:$B=BG73,Data!$D:$D=$M73)+FILTER(Data!$L:$L,Data!$B:$B=BG73,Data!$D:$D=$M73))),""""),"""")"),"")</f>
        <v/>
      </c>
      <c r="CR73" s="69" t="str">
        <f>IFERROR(__xludf.DUMMYFUNCTION("IF($M73&lt;&gt;"""",IFERROR((FILTER(RawTotals!$AJ:$AJ,RawTotals!$A:$A=BH73)-(FILTER(Data!$K:$K,Data!$B:$B=BH73,Data!$D:$D=$M73)+FILTER(Data!$L:$L,Data!$B:$B=BH73,Data!$D:$D=$M73))),""""),"""")"),"")</f>
        <v/>
      </c>
      <c r="CS73" s="70" t="str">
        <f>IFERROR(__xludf.DUMMYFUNCTION("IF($M73&lt;&gt;"""",IFERROR((FILTER(RawTotals!$AJ:$AJ,RawTotals!$A:$A=BI73)-(FILTER(Data!$K:$K,Data!$B:$B=BI73,Data!$D:$D=$M73)+FILTER(Data!$L:$L,Data!$B:$B=BI73,Data!$D:$D=$M73))),""""),"""")"),"")</f>
        <v/>
      </c>
      <c r="CT73" s="69"/>
      <c r="CU73" s="69"/>
      <c r="CV73" s="69"/>
      <c r="CW73" s="69"/>
      <c r="CX73" s="69"/>
      <c r="CY73" s="69"/>
      <c r="CZ73" s="69"/>
      <c r="DA73" s="69"/>
      <c r="DB73" s="69"/>
      <c r="DC73" s="69"/>
      <c r="DD73" s="69"/>
      <c r="DE73" s="69"/>
    </row>
    <row r="74">
      <c r="A74" s="65" t="str">
        <f>RawTotals!A74</f>
        <v/>
      </c>
      <c r="B74" s="68" t="str">
        <f>IFERROR(__xludf.DUMMYFUNCTION("IF(A74&lt;&gt;"""",IFERROR(TRANSPOSE(FILTER(Data!D:D,Data!B:B=A74,Data!R:R&lt;&gt;"""")),""No Defense""),"""")"),"")</f>
        <v/>
      </c>
      <c r="C74" s="65"/>
      <c r="D74" s="65"/>
      <c r="E74" s="65"/>
      <c r="F74" s="65"/>
      <c r="G74" s="65"/>
      <c r="H74" s="65"/>
      <c r="I74" s="65"/>
      <c r="J74" s="65"/>
      <c r="K74" s="65"/>
      <c r="L74" s="65"/>
      <c r="M74" s="65"/>
      <c r="N74" s="64" t="str">
        <f>IFERROR(__xludf.DUMMYFUNCTION("IFERROR(Textjoin("""",TRUE,FILTER(Data!$R:$R,Data!$D:$D=B74,Data!$B:$B=$A74)),"""")"),"")</f>
        <v/>
      </c>
      <c r="O74" s="64" t="str">
        <f>IFERROR(__xludf.DUMMYFUNCTION("IFERROR(Textjoin("""",TRUE,FILTER(Data!$R:$R,Data!$D:$D=C74,Data!$B:$B=$A74)),"""")"),"")</f>
        <v/>
      </c>
      <c r="P74" s="64" t="str">
        <f>IFERROR(__xludf.DUMMYFUNCTION("IFERROR(Textjoin("""",TRUE,FILTER(Data!$R:$R,Data!$D:$D=D74,Data!$B:$B=$A74)),"""")"),"")</f>
        <v/>
      </c>
      <c r="Q74" s="64" t="str">
        <f>IFERROR(__xludf.DUMMYFUNCTION("IFERROR(Textjoin("""",TRUE,FILTER(Data!$R:$R,Data!$D:$D=E74,Data!$B:$B=$A74)),"""")"),"")</f>
        <v/>
      </c>
      <c r="R74" s="64" t="str">
        <f>IFERROR(__xludf.DUMMYFUNCTION("IFERROR(Textjoin("""",TRUE,FILTER(Data!$R:$R,Data!$D:$D=F74,Data!$B:$B=$A74)),"""")"),"")</f>
        <v/>
      </c>
      <c r="S74" s="64" t="str">
        <f>IFERROR(__xludf.DUMMYFUNCTION("IFERROR(Textjoin("""",TRUE,FILTER(Data!$R:$R,Data!$D:$D=G74,Data!$B:$B=$A74)),"""")"),"")</f>
        <v/>
      </c>
      <c r="T74" s="64" t="str">
        <f>IFERROR(__xludf.DUMMYFUNCTION("IFERROR(Textjoin("""",TRUE,FILTER(Data!$R:$R,Data!$D:$D=H74,Data!$B:$B=$A74)),"""")"),"")</f>
        <v/>
      </c>
      <c r="U74" s="64" t="str">
        <f>IFERROR(__xludf.DUMMYFUNCTION("IFERROR(Textjoin("""",TRUE,FILTER(Data!$R:$R,Data!$D:$D=I74,Data!$B:$B=$A74)),"""")"),"")</f>
        <v/>
      </c>
      <c r="V74" s="64" t="str">
        <f>IFERROR(__xludf.DUMMYFUNCTION("IFERROR(Textjoin("""",TRUE,FILTER(Data!$R:$R,Data!$D:$D=J74,Data!$B:$B=$A74)),"""")"),"")</f>
        <v/>
      </c>
      <c r="W74" s="64" t="str">
        <f>IFERROR(__xludf.DUMMYFUNCTION("IFERROR(Textjoin("""",TRUE,FILTER(Data!$R:$R,Data!$D:$D=K74,Data!$B:$B=$A74)),"""")"),"")</f>
        <v/>
      </c>
      <c r="X74" s="64" t="str">
        <f>IFERROR(__xludf.DUMMYFUNCTION("IFERROR(Textjoin("""",TRUE,FILTER(Data!$R:$R,Data!$D:$D=L74,Data!$B:$B=$A74)),"""")"),"")</f>
        <v/>
      </c>
      <c r="Y74" s="64" t="str">
        <f>IFERROR(__xludf.DUMMYFUNCTION("IFERROR(Textjoin("""",TRUE,FILTER(Data!$R:$R,Data!$D:$D=M74,Data!$B:$B=$A74)),"""")"),"")</f>
        <v/>
      </c>
      <c r="Z74" s="64" t="str">
        <f>IFERROR(__xludf.DUMMYFUNCTION("IFERROR(SPLIT(N74,"",""),"""")"),"")</f>
        <v/>
      </c>
      <c r="AA74" s="65"/>
      <c r="AB74" s="65"/>
      <c r="AC74" s="69" t="str">
        <f>IFERROR(__xludf.DUMMYFUNCTION("IFERROR(SPLIT(O74,"",""),"""")"),"")</f>
        <v/>
      </c>
      <c r="AD74" s="65"/>
      <c r="AE74" s="65"/>
      <c r="AF74" s="69" t="str">
        <f>IFERROR(__xludf.DUMMYFUNCTION("IFERROR(SPLIT(P74,"",""),"""")"),"")</f>
        <v/>
      </c>
      <c r="AG74" s="65"/>
      <c r="AH74" s="65"/>
      <c r="AI74" s="69" t="str">
        <f>IFERROR(__xludf.DUMMYFUNCTION("IFERROR(SPLIT(Q74,"",""),"""")"),"")</f>
        <v/>
      </c>
      <c r="AJ74" s="65"/>
      <c r="AK74" s="65"/>
      <c r="AL74" s="69" t="str">
        <f>IFERROR(__xludf.DUMMYFUNCTION("IFERROR(SPLIT(R74,"",""),"""")"),"")</f>
        <v/>
      </c>
      <c r="AM74" s="65"/>
      <c r="AN74" s="65"/>
      <c r="AO74" s="69" t="str">
        <f>IFERROR(__xludf.DUMMYFUNCTION("IFERROR(SPLIT(S74,"",""),"""")"),"")</f>
        <v/>
      </c>
      <c r="AP74" s="65"/>
      <c r="AQ74" s="65"/>
      <c r="AR74" s="69" t="str">
        <f>IFERROR(__xludf.DUMMYFUNCTION("IFERROR(SPLIT(T74,"",""),"""")"),"")</f>
        <v/>
      </c>
      <c r="AS74" s="65"/>
      <c r="AT74" s="65"/>
      <c r="AU74" s="69" t="str">
        <f>IFERROR(__xludf.DUMMYFUNCTION("IFERROR(SPLIT(U74,"",""),"""")"),"")</f>
        <v/>
      </c>
      <c r="AV74" s="65"/>
      <c r="AW74" s="65"/>
      <c r="AX74" s="69" t="str">
        <f>IFERROR(__xludf.DUMMYFUNCTION("IFERROR(SPLIT(V74,"",""),"""")"),"")</f>
        <v/>
      </c>
      <c r="AY74" s="65"/>
      <c r="AZ74" s="65"/>
      <c r="BA74" s="69" t="str">
        <f>IFERROR(__xludf.DUMMYFUNCTION("IFERROR(SPLIT(W74,"",""),"""")"),"")</f>
        <v/>
      </c>
      <c r="BB74" s="69"/>
      <c r="BC74" s="69"/>
      <c r="BD74" s="69" t="str">
        <f>IFERROR(__xludf.DUMMYFUNCTION("IFERROR(SPLIT(X74,"",""),"""")"),"")</f>
        <v/>
      </c>
      <c r="BE74" s="69"/>
      <c r="BF74" s="69"/>
      <c r="BG74" s="69" t="str">
        <f>IFERROR(__xludf.DUMMYFUNCTION("IFERROR(SPLIT(Y74,"",""),"""")"),"")</f>
        <v/>
      </c>
      <c r="BH74" s="69"/>
      <c r="BI74" s="69"/>
      <c r="BJ74" s="68" t="str">
        <f>IFERROR(__xludf.DUMMYFUNCTION("IF($B74&lt;&gt;"""",IFERROR(FILTER(RawTotals!$AJ:$AJ,RawTotals!$A:$A=Z74)-(FILTER(Data!$K:$K,Data!$B:$B=Z74,Data!$D:$D=$B74)+FILTER(Data!$L:$L,Data!$B:$B=Z74,Data!$D:$D=$B74)),""""),"""")"),"")</f>
        <v/>
      </c>
      <c r="BK74" s="68" t="str">
        <f>IFERROR(__xludf.DUMMYFUNCTION("IF($B74&lt;&gt;"""",IFERROR(FILTER(RawTotals!$AJ:$AJ,RawTotals!$A:$A=AA74)-(FILTER(Data!$K:$K,Data!$B:$B=AA74,Data!$D:$D=$B74)+FILTER(Data!$L:$L,Data!$B:$B=AA74,Data!$D:$D=$B74)),""""),"""")"),"")</f>
        <v/>
      </c>
      <c r="BL74" s="68" t="str">
        <f>IFERROR(__xludf.DUMMYFUNCTION("IF($B74&lt;&gt;"""",IFERROR(FILTER(RawTotals!$AJ:$AJ,RawTotals!$A:$A=AB74)-(FILTER(Data!$K:$K,Data!$B:$B=AB74,Data!$D:$D=$B74)+FILTER(Data!$L:$L,Data!$B:$B=AB74,Data!$D:$D=$B74)),""""),"""")"),"")</f>
        <v/>
      </c>
      <c r="BM74" s="69" t="str">
        <f>IFERROR(__xludf.DUMMYFUNCTION("IF($C74&lt;&gt;"""",IFERROR(FILTER(RawTotals!$AJ:$AJ,RawTotals!$A:$A=AC74)-(FILTER(Data!$K:$K,Data!$B:$B=AC74,Data!$D:$D=$C74)+FILTER(Data!$L:$L,Data!$B:$B=AC74,Data!$D:$D=$C74)),""""),"""")"),"")</f>
        <v/>
      </c>
      <c r="BN74" s="69" t="str">
        <f>IFERROR(__xludf.DUMMYFUNCTION("IF($C74&lt;&gt;"""",IFERROR(FILTER(RawTotals!$AJ:$AJ,RawTotals!$A:$A=AD74)-(FILTER(Data!$K:$K,Data!$B:$B=AD74,Data!$D:$D=$C74)+FILTER(Data!$L:$L,Data!$B:$B=AD74,Data!$D:$D=$C74)),""""),"""")"),"")</f>
        <v/>
      </c>
      <c r="BO74" s="69" t="str">
        <f>IFERROR(__xludf.DUMMYFUNCTION("IF($C74&lt;&gt;"""",IFERROR(FILTER(RawTotals!$AJ:$AJ,RawTotals!$A:$A=AE74)-(FILTER(Data!$K:$K,Data!$B:$B=AE74,Data!$D:$D=$C74)+FILTER(Data!$L:$L,Data!$B:$B=AE74,Data!$D:$D=$C74)),""""),"""")"),"")</f>
        <v/>
      </c>
      <c r="BP74" s="69" t="str">
        <f>IFERROR(__xludf.DUMMYFUNCTION("IF($D74&lt;&gt;"""",IFERROR(FILTER(RawTotals!$AJ:$AJ,RawTotals!$A:$A=AF74)-(FILTER(Data!$K:$K,Data!$B:$B=AF74,Data!$D:$D=$D74)+FILTER(Data!$L:$L,Data!$B:$B=AF74,Data!$D:$D=$D74)),""""),"""")"),"")</f>
        <v/>
      </c>
      <c r="BQ74" s="69" t="str">
        <f>IFERROR(__xludf.DUMMYFUNCTION("IF($D74&lt;&gt;"""",IFERROR(FILTER(RawTotals!$AJ:$AJ,RawTotals!$A:$A=AG74)-(FILTER(Data!$K:$K,Data!$B:$B=AG74,Data!$D:$D=$D74)+FILTER(Data!$L:$L,Data!$B:$B=AG74,Data!$D:$D=$D74)),""""),"""")"),"")</f>
        <v/>
      </c>
      <c r="BR74" s="69" t="str">
        <f>IFERROR(__xludf.DUMMYFUNCTION("IF($D74&lt;&gt;"""",IFERROR(FILTER(RawTotals!$AJ:$AJ,RawTotals!$A:$A=AH74)-(FILTER(Data!$K:$K,Data!$B:$B=AH74,Data!$D:$D=$D74)+FILTER(Data!$L:$L,Data!$B:$B=AH74,Data!$D:$D=$D74)),""""),"""")"),"")</f>
        <v/>
      </c>
      <c r="BS74" s="69" t="str">
        <f>IFERROR(__xludf.DUMMYFUNCTION("IF($E74&lt;&gt;"""",IFERROR(FILTER(RawTotals!$AJ:$AJ,RawTotals!$A:$A=AI74)-(FILTER(Data!$K:$K,Data!$B:$B=AI74,Data!$D:$D=$E74)+FILTER(Data!$L:$L,Data!$B:$B=AI74,Data!$D:$D=$E74)),""""),"""")"),"")</f>
        <v/>
      </c>
      <c r="BT74" s="69" t="str">
        <f>IFERROR(__xludf.DUMMYFUNCTION("IF($E74&lt;&gt;"""",IFERROR(FILTER(RawTotals!$AJ:$AJ,RawTotals!$A:$A=AJ74)-(FILTER(Data!$K:$K,Data!$B:$B=AJ74,Data!$D:$D=$E74)+FILTER(Data!$L:$L,Data!$B:$B=AJ74,Data!$D:$D=$E74)),""""),"""")"),"")</f>
        <v/>
      </c>
      <c r="BU74" s="69" t="str">
        <f>IFERROR(__xludf.DUMMYFUNCTION("IF($E74&lt;&gt;"""",IFERROR(FILTER(RawTotals!$AJ:$AJ,RawTotals!$A:$A=AK74)-(FILTER(Data!$K:$K,Data!$B:$B=AK74,Data!$D:$D=$E74)+FILTER(Data!$L:$L,Data!$B:$B=AK74,Data!$D:$D=$E74)),""""),"""")"),"")</f>
        <v/>
      </c>
      <c r="BV74" s="69" t="str">
        <f>IFERROR(__xludf.DUMMYFUNCTION("IF($F74&lt;&gt;"""",IFERROR(FILTER(RawTotals!$AJ:$AJ,RawTotals!$A:$A=AL74)-(FILTER(Data!$K:$K,Data!$B:$B=AL74,Data!$D:$D=$F74)+FILTER(Data!$L:$L,Data!$B:$B=AL74,Data!$D:$D=$F74)),""""),"""")"),"")</f>
        <v/>
      </c>
      <c r="BW74" s="69" t="str">
        <f>IFERROR(__xludf.DUMMYFUNCTION("IF($F74&lt;&gt;"""",IFERROR(FILTER(RawTotals!$AJ:$AJ,RawTotals!$A:$A=AM74)-(FILTER(Data!$K:$K,Data!$B:$B=AM74,Data!$D:$D=$F74)+FILTER(Data!$L:$L,Data!$B:$B=AM74,Data!$D:$D=$F74)),""""),"""")"),"")</f>
        <v/>
      </c>
      <c r="BX74" s="69" t="str">
        <f>IFERROR(__xludf.DUMMYFUNCTION("IF($F74&lt;&gt;"""",IFERROR(FILTER(RawTotals!$AJ:$AJ,RawTotals!$A:$A=AN74)-(FILTER(Data!$K:$K,Data!$B:$B=AN74,Data!$D:$D=$F74)+FILTER(Data!$L:$L,Data!$B:$B=AN74,Data!$D:$D=$F74)),""""),"""")"),"")</f>
        <v/>
      </c>
      <c r="BY74" s="69" t="str">
        <f>IFERROR(__xludf.DUMMYFUNCTION("IF($G74&lt;&gt;"""",IFERROR(FILTER(RawTotals!$AJ:$AJ,RawTotals!$A:$A=AO74)-(FILTER(Data!$K:$K,Data!$B:$B=AO74,Data!$D:$D=$G74)+FILTER(Data!$L:$L,Data!$B:$B=AO74,Data!$D:$D=$G74)),""""),"""")"),"")</f>
        <v/>
      </c>
      <c r="BZ74" s="69" t="str">
        <f>IFERROR(__xludf.DUMMYFUNCTION("IF($G74&lt;&gt;"""",IFERROR(FILTER(RawTotals!$AJ:$AJ,RawTotals!$A:$A=AP74)-(FILTER(Data!$K:$K,Data!$B:$B=AP74,Data!$D:$D=$G74)+FILTER(Data!$L:$L,Data!$B:$B=AP74,Data!$D:$D=$G74)),""""),"""")"),"")</f>
        <v/>
      </c>
      <c r="CA74" s="69" t="str">
        <f>IFERROR(__xludf.DUMMYFUNCTION("IF($G74&lt;&gt;"""",IFERROR(FILTER(RawTotals!$AJ:$AJ,RawTotals!$A:$A=AQ74)-(FILTER(Data!$K:$K,Data!$B:$B=AQ74,Data!$D:$D=$G74)+FILTER(Data!$L:$L,Data!$B:$B=AQ74,Data!$D:$D=$G74)),""""),"""")"),"")</f>
        <v/>
      </c>
      <c r="CB74" s="69" t="str">
        <f>IFERROR(__xludf.DUMMYFUNCTION("IF($H74&lt;&gt;"""",IFERROR(FILTER(RawTotals!$AJ:$AJ,RawTotals!$A:$A=AR74)-(FILTER(Data!$K:$K,Data!$B:$B=AR74,Data!$D:$D=$H74)+FILTER(Data!$L:$L,Data!$B:$B=AR74,Data!$D:$D=$H74)),""""),"""")"),"")</f>
        <v/>
      </c>
      <c r="CC74" s="69" t="str">
        <f>IFERROR(__xludf.DUMMYFUNCTION("IF($H74&lt;&gt;"""",IFERROR(FILTER(RawTotals!$AJ:$AJ,RawTotals!$A:$A=AS74)-(FILTER(Data!$K:$K,Data!$B:$B=AS74,Data!$D:$D=$H74)+FILTER(Data!$L:$L,Data!$B:$B=AS74,Data!$D:$D=$H74)),""""),"""")"),"")</f>
        <v/>
      </c>
      <c r="CD74" s="69" t="str">
        <f>IFERROR(__xludf.DUMMYFUNCTION("IF($H74&lt;&gt;"""",IFERROR(FILTER(RawTotals!$AJ:$AJ,RawTotals!$A:$A=AT74)-(FILTER(Data!$K:$K,Data!$B:$B=AT74,Data!$D:$D=$H74)+FILTER(Data!$L:$L,Data!$B:$B=AT74,Data!$D:$D=$H74)),""""),"""")"),"")</f>
        <v/>
      </c>
      <c r="CE74" s="69" t="str">
        <f>IFERROR(__xludf.DUMMYFUNCTION("IF($I74&lt;&gt;"""",IFERROR(FILTER(RawTotals!$AJ:$AJ,RawTotals!$A:$A=AU74)-(FILTER(Data!$K:$K,Data!$B:$B=AU74,Data!$D:$D=$I74)+FILTER(Data!$L:$L,Data!$B:$B=AU74,Data!$D:$D=$I74)),""""),"""")"),"")</f>
        <v/>
      </c>
      <c r="CF74" s="69" t="str">
        <f>IFERROR(__xludf.DUMMYFUNCTION("IF($I74&lt;&gt;"""",IFERROR(FILTER(RawTotals!$AJ:$AJ,RawTotals!$A:$A=AV74)-(FILTER(Data!$K:$K,Data!$B:$B=AV74,Data!$D:$D=$I74)+FILTER(Data!$L:$L,Data!$B:$B=AV74,Data!$D:$D=$I74)),""""),"""")"),"")</f>
        <v/>
      </c>
      <c r="CG74" s="69" t="str">
        <f>IFERROR(__xludf.DUMMYFUNCTION("IF($I74&lt;&gt;"""",IFERROR(FILTER(RawTotals!$AJ:$AJ,RawTotals!$A:$A=AW74)-(FILTER(Data!$K:$K,Data!$B:$B=AW74,Data!$D:$D=$I74)+FILTER(Data!$L:$L,Data!$B:$B=AW74,Data!$D:$D=$I74)),""""),"""")"),"")</f>
        <v/>
      </c>
      <c r="CH74" s="69" t="str">
        <f>IFERROR(__xludf.DUMMYFUNCTION("IF($J74&lt;&gt;"""",IFERROR(FILTER(RawTotals!$AJ:$AJ,RawTotals!$A:$A=AX74)-(FILTER(Data!$K:$K,Data!$B:$B=AX74,Data!$D:$D=$J74)+FILTER(Data!$L:$L,Data!$B:$B=AX74,Data!$D:$D=$J74)),""""),"""")"),"")</f>
        <v/>
      </c>
      <c r="CI74" s="69" t="str">
        <f>IFERROR(__xludf.DUMMYFUNCTION("IF($J74&lt;&gt;"""",IFERROR(FILTER(RawTotals!$AJ:$AJ,RawTotals!$A:$A=AY74)-(FILTER(Data!$K:$K,Data!$B:$B=AY74,Data!$D:$D=$J74)+FILTER(Data!$L:$L,Data!$B:$B=AY74,Data!$D:$D=$J74)),""""),"""")"),"")</f>
        <v/>
      </c>
      <c r="CJ74" s="69" t="str">
        <f>IFERROR(__xludf.DUMMYFUNCTION("IF($J74&lt;&gt;"""",IFERROR(FILTER(RawTotals!$AJ:$AJ,RawTotals!$A:$A=AZ74)-(FILTER(Data!$K:$K,Data!$B:$B=AZ74,Data!$D:$D=$J74)+FILTER(Data!$L:$L,Data!$B:$B=AZ74,Data!$D:$D=$J74)),""""),"""")"),"")</f>
        <v/>
      </c>
      <c r="CK74" s="69" t="str">
        <f>IFERROR(__xludf.DUMMYFUNCTION("IF($K74&lt;&gt;"""",IFERROR(FILTER(RawTotals!$AJ:$AJ,RawTotals!$A:$A=BA74)-(FILTER(Data!$K:$K,Data!$B:$B=BA74,Data!$D:$D=$K74)+FILTER(Data!$L:$L,Data!$B:$B=BA74,Data!$D:$D=$K74)),""""),"""")"),"")</f>
        <v/>
      </c>
      <c r="CL74" s="69" t="str">
        <f>IFERROR(__xludf.DUMMYFUNCTION("IF($K74&lt;&gt;"""",IFERROR(FILTER(RawTotals!$AJ:$AJ,RawTotals!$A:$A=BB74)-(FILTER(Data!$K:$K,Data!$B:$B=BB74,Data!$D:$D=$K74)+FILTER(Data!$L:$L,Data!$B:$B=BB74,Data!$D:$D=$K74)),""""),"""")"),"")</f>
        <v/>
      </c>
      <c r="CM74" s="69" t="str">
        <f>IFERROR(__xludf.DUMMYFUNCTION("IF($K74&lt;&gt;"""",IFERROR(FILTER(RawTotals!$AJ:$AJ,RawTotals!$A:$A=BC74)-(FILTER(Data!$K:$K,Data!$B:$B=BC74,Data!$D:$D=$K74)+FILTER(Data!$L:$L,Data!$B:$B=BC74,Data!$D:$D=$K74)),""""),"""")"),"")</f>
        <v/>
      </c>
      <c r="CN74" s="69" t="str">
        <f>IFERROR(__xludf.DUMMYFUNCTION("IF($L74&lt;&gt;"""",IFERROR((FILTER(RawTotals!$AJ:$AJ,RawTotals!$A:$A=BD74)-(FILTER(Data!$K:$K,Data!$B:$B=BD74,Data!$D:$D=$L74)+FILTER(Data!$L:$L,Data!$B:$B=BD74,Data!$D:$D=$L74))),""""),"""")"),"")</f>
        <v/>
      </c>
      <c r="CO74" s="69" t="str">
        <f>IFERROR(__xludf.DUMMYFUNCTION("IF($L74&lt;&gt;"""",IFERROR((FILTER(RawTotals!$AJ:$AJ,RawTotals!$A:$A=BE74)-(FILTER(Data!$K:$K,Data!$B:$B=BE74,Data!$D:$D=$L74)+FILTER(Data!$L:$L,Data!$B:$B=BE74,Data!$D:$D=$L74))),""""),"""")"),"")</f>
        <v/>
      </c>
      <c r="CP74" s="69" t="str">
        <f>IFERROR(__xludf.DUMMYFUNCTION("IF($L74&lt;&gt;"""",IFERROR((FILTER(RawTotals!$AJ:$AJ,RawTotals!$A:$A=BF74)-(FILTER(Data!$K:$K,Data!$B:$B=BF74,Data!$D:$D=$L74)+FILTER(Data!$L:$L,Data!$B:$B=BF74,Data!$D:$D=$L74))),""""),"""")"),"")</f>
        <v/>
      </c>
      <c r="CQ74" s="69" t="str">
        <f>IFERROR(__xludf.DUMMYFUNCTION("IF($M74&lt;&gt;"""",IFERROR((FILTER(RawTotals!$AJ:$AJ,RawTotals!$A:$A=BG74)-(FILTER(Data!$K:$K,Data!$B:$B=BG74,Data!$D:$D=$M74)+FILTER(Data!$L:$L,Data!$B:$B=BG74,Data!$D:$D=$M74))),""""),"""")"),"")</f>
        <v/>
      </c>
      <c r="CR74" s="69" t="str">
        <f>IFERROR(__xludf.DUMMYFUNCTION("IF($M74&lt;&gt;"""",IFERROR((FILTER(RawTotals!$AJ:$AJ,RawTotals!$A:$A=BH74)-(FILTER(Data!$K:$K,Data!$B:$B=BH74,Data!$D:$D=$M74)+FILTER(Data!$L:$L,Data!$B:$B=BH74,Data!$D:$D=$M74))),""""),"""")"),"")</f>
        <v/>
      </c>
      <c r="CS74" s="70" t="str">
        <f>IFERROR(__xludf.DUMMYFUNCTION("IF($M74&lt;&gt;"""",IFERROR((FILTER(RawTotals!$AJ:$AJ,RawTotals!$A:$A=BI74)-(FILTER(Data!$K:$K,Data!$B:$B=BI74,Data!$D:$D=$M74)+FILTER(Data!$L:$L,Data!$B:$B=BI74,Data!$D:$D=$M74))),""""),"""")"),"")</f>
        <v/>
      </c>
      <c r="CT74" s="69"/>
      <c r="CU74" s="69"/>
      <c r="CV74" s="69"/>
      <c r="CW74" s="69"/>
      <c r="CX74" s="69"/>
      <c r="CY74" s="69"/>
      <c r="CZ74" s="69"/>
      <c r="DA74" s="69"/>
      <c r="DB74" s="69"/>
      <c r="DC74" s="69"/>
      <c r="DD74" s="69"/>
      <c r="DE74" s="69"/>
    </row>
    <row r="75">
      <c r="A75" s="65" t="str">
        <f>RawTotals!A75</f>
        <v/>
      </c>
      <c r="B75" s="68" t="str">
        <f>IFERROR(__xludf.DUMMYFUNCTION("IF(A75&lt;&gt;"""",IFERROR(TRANSPOSE(FILTER(Data!D:D,Data!B:B=A75,Data!R:R&lt;&gt;"""")),""No Defense""),"""")"),"")</f>
        <v/>
      </c>
      <c r="C75" s="65"/>
      <c r="D75" s="65"/>
      <c r="E75" s="65"/>
      <c r="F75" s="65"/>
      <c r="G75" s="65"/>
      <c r="H75" s="65"/>
      <c r="I75" s="65"/>
      <c r="J75" s="65"/>
      <c r="K75" s="65"/>
      <c r="L75" s="65"/>
      <c r="M75" s="65"/>
      <c r="N75" s="64" t="str">
        <f>IFERROR(__xludf.DUMMYFUNCTION("IFERROR(Textjoin("""",TRUE,FILTER(Data!$R:$R,Data!$D:$D=B75,Data!$B:$B=$A75)),"""")"),"")</f>
        <v/>
      </c>
      <c r="O75" s="64" t="str">
        <f>IFERROR(__xludf.DUMMYFUNCTION("IFERROR(Textjoin("""",TRUE,FILTER(Data!$R:$R,Data!$D:$D=C75,Data!$B:$B=$A75)),"""")"),"")</f>
        <v/>
      </c>
      <c r="P75" s="64" t="str">
        <f>IFERROR(__xludf.DUMMYFUNCTION("IFERROR(Textjoin("""",TRUE,FILTER(Data!$R:$R,Data!$D:$D=D75,Data!$B:$B=$A75)),"""")"),"")</f>
        <v/>
      </c>
      <c r="Q75" s="64" t="str">
        <f>IFERROR(__xludf.DUMMYFUNCTION("IFERROR(Textjoin("""",TRUE,FILTER(Data!$R:$R,Data!$D:$D=E75,Data!$B:$B=$A75)),"""")"),"")</f>
        <v/>
      </c>
      <c r="R75" s="64" t="str">
        <f>IFERROR(__xludf.DUMMYFUNCTION("IFERROR(Textjoin("""",TRUE,FILTER(Data!$R:$R,Data!$D:$D=F75,Data!$B:$B=$A75)),"""")"),"")</f>
        <v/>
      </c>
      <c r="S75" s="64" t="str">
        <f>IFERROR(__xludf.DUMMYFUNCTION("IFERROR(Textjoin("""",TRUE,FILTER(Data!$R:$R,Data!$D:$D=G75,Data!$B:$B=$A75)),"""")"),"")</f>
        <v/>
      </c>
      <c r="T75" s="64" t="str">
        <f>IFERROR(__xludf.DUMMYFUNCTION("IFERROR(Textjoin("""",TRUE,FILTER(Data!$R:$R,Data!$D:$D=H75,Data!$B:$B=$A75)),"""")"),"")</f>
        <v/>
      </c>
      <c r="U75" s="64" t="str">
        <f>IFERROR(__xludf.DUMMYFUNCTION("IFERROR(Textjoin("""",TRUE,FILTER(Data!$R:$R,Data!$D:$D=I75,Data!$B:$B=$A75)),"""")"),"")</f>
        <v/>
      </c>
      <c r="V75" s="64" t="str">
        <f>IFERROR(__xludf.DUMMYFUNCTION("IFERROR(Textjoin("""",TRUE,FILTER(Data!$R:$R,Data!$D:$D=J75,Data!$B:$B=$A75)),"""")"),"")</f>
        <v/>
      </c>
      <c r="W75" s="64" t="str">
        <f>IFERROR(__xludf.DUMMYFUNCTION("IFERROR(Textjoin("""",TRUE,FILTER(Data!$R:$R,Data!$D:$D=K75,Data!$B:$B=$A75)),"""")"),"")</f>
        <v/>
      </c>
      <c r="X75" s="64" t="str">
        <f>IFERROR(__xludf.DUMMYFUNCTION("IFERROR(Textjoin("""",TRUE,FILTER(Data!$R:$R,Data!$D:$D=L75,Data!$B:$B=$A75)),"""")"),"")</f>
        <v/>
      </c>
      <c r="Y75" s="64" t="str">
        <f>IFERROR(__xludf.DUMMYFUNCTION("IFERROR(Textjoin("""",TRUE,FILTER(Data!$R:$R,Data!$D:$D=M75,Data!$B:$B=$A75)),"""")"),"")</f>
        <v/>
      </c>
      <c r="Z75" s="64" t="str">
        <f>IFERROR(__xludf.DUMMYFUNCTION("IFERROR(SPLIT(N75,"",""),"""")"),"")</f>
        <v/>
      </c>
      <c r="AA75" s="65"/>
      <c r="AB75" s="65"/>
      <c r="AC75" s="69" t="str">
        <f>IFERROR(__xludf.DUMMYFUNCTION("IFERROR(SPLIT(O75,"",""),"""")"),"")</f>
        <v/>
      </c>
      <c r="AD75" s="65"/>
      <c r="AE75" s="65"/>
      <c r="AF75" s="69" t="str">
        <f>IFERROR(__xludf.DUMMYFUNCTION("IFERROR(SPLIT(P75,"",""),"""")"),"")</f>
        <v/>
      </c>
      <c r="AG75" s="65"/>
      <c r="AH75" s="65"/>
      <c r="AI75" s="69" t="str">
        <f>IFERROR(__xludf.DUMMYFUNCTION("IFERROR(SPLIT(Q75,"",""),"""")"),"")</f>
        <v/>
      </c>
      <c r="AJ75" s="65"/>
      <c r="AK75" s="65"/>
      <c r="AL75" s="69" t="str">
        <f>IFERROR(__xludf.DUMMYFUNCTION("IFERROR(SPLIT(R75,"",""),"""")"),"")</f>
        <v/>
      </c>
      <c r="AM75" s="65"/>
      <c r="AN75" s="65"/>
      <c r="AO75" s="69" t="str">
        <f>IFERROR(__xludf.DUMMYFUNCTION("IFERROR(SPLIT(S75,"",""),"""")"),"")</f>
        <v/>
      </c>
      <c r="AP75" s="65"/>
      <c r="AQ75" s="65"/>
      <c r="AR75" s="69" t="str">
        <f>IFERROR(__xludf.DUMMYFUNCTION("IFERROR(SPLIT(T75,"",""),"""")"),"")</f>
        <v/>
      </c>
      <c r="AS75" s="65"/>
      <c r="AT75" s="65"/>
      <c r="AU75" s="69" t="str">
        <f>IFERROR(__xludf.DUMMYFUNCTION("IFERROR(SPLIT(U75,"",""),"""")"),"")</f>
        <v/>
      </c>
      <c r="AV75" s="65"/>
      <c r="AW75" s="65"/>
      <c r="AX75" s="69" t="str">
        <f>IFERROR(__xludf.DUMMYFUNCTION("IFERROR(SPLIT(V75,"",""),"""")"),"")</f>
        <v/>
      </c>
      <c r="AY75" s="65"/>
      <c r="AZ75" s="65"/>
      <c r="BA75" s="69" t="str">
        <f>IFERROR(__xludf.DUMMYFUNCTION("IFERROR(SPLIT(W75,"",""),"""")"),"")</f>
        <v/>
      </c>
      <c r="BB75" s="69"/>
      <c r="BC75" s="69"/>
      <c r="BD75" s="69" t="str">
        <f>IFERROR(__xludf.DUMMYFUNCTION("IFERROR(SPLIT(X75,"",""),"""")"),"")</f>
        <v/>
      </c>
      <c r="BE75" s="69"/>
      <c r="BF75" s="69"/>
      <c r="BG75" s="69" t="str">
        <f>IFERROR(__xludf.DUMMYFUNCTION("IFERROR(SPLIT(Y75,"",""),"""")"),"")</f>
        <v/>
      </c>
      <c r="BH75" s="69"/>
      <c r="BI75" s="69"/>
      <c r="BJ75" s="68" t="str">
        <f>IFERROR(__xludf.DUMMYFUNCTION("IF($B75&lt;&gt;"""",IFERROR(FILTER(RawTotals!$AJ:$AJ,RawTotals!$A:$A=Z75)-(FILTER(Data!$K:$K,Data!$B:$B=Z75,Data!$D:$D=$B75)+FILTER(Data!$L:$L,Data!$B:$B=Z75,Data!$D:$D=$B75)),""""),"""")"),"")</f>
        <v/>
      </c>
      <c r="BK75" s="68" t="str">
        <f>IFERROR(__xludf.DUMMYFUNCTION("IF($B75&lt;&gt;"""",IFERROR(FILTER(RawTotals!$AJ:$AJ,RawTotals!$A:$A=AA75)-(FILTER(Data!$K:$K,Data!$B:$B=AA75,Data!$D:$D=$B75)+FILTER(Data!$L:$L,Data!$B:$B=AA75,Data!$D:$D=$B75)),""""),"""")"),"")</f>
        <v/>
      </c>
      <c r="BL75" s="68" t="str">
        <f>IFERROR(__xludf.DUMMYFUNCTION("IF($B75&lt;&gt;"""",IFERROR(FILTER(RawTotals!$AJ:$AJ,RawTotals!$A:$A=AB75)-(FILTER(Data!$K:$K,Data!$B:$B=AB75,Data!$D:$D=$B75)+FILTER(Data!$L:$L,Data!$B:$B=AB75,Data!$D:$D=$B75)),""""),"""")"),"")</f>
        <v/>
      </c>
      <c r="BM75" s="69" t="str">
        <f>IFERROR(__xludf.DUMMYFUNCTION("IF($C75&lt;&gt;"""",IFERROR(FILTER(RawTotals!$AJ:$AJ,RawTotals!$A:$A=AC75)-(FILTER(Data!$K:$K,Data!$B:$B=AC75,Data!$D:$D=$C75)+FILTER(Data!$L:$L,Data!$B:$B=AC75,Data!$D:$D=$C75)),""""),"""")"),"")</f>
        <v/>
      </c>
      <c r="BN75" s="69" t="str">
        <f>IFERROR(__xludf.DUMMYFUNCTION("IF($C75&lt;&gt;"""",IFERROR(FILTER(RawTotals!$AJ:$AJ,RawTotals!$A:$A=AD75)-(FILTER(Data!$K:$K,Data!$B:$B=AD75,Data!$D:$D=$C75)+FILTER(Data!$L:$L,Data!$B:$B=AD75,Data!$D:$D=$C75)),""""),"""")"),"")</f>
        <v/>
      </c>
      <c r="BO75" s="69" t="str">
        <f>IFERROR(__xludf.DUMMYFUNCTION("IF($C75&lt;&gt;"""",IFERROR(FILTER(RawTotals!$AJ:$AJ,RawTotals!$A:$A=AE75)-(FILTER(Data!$K:$K,Data!$B:$B=AE75,Data!$D:$D=$C75)+FILTER(Data!$L:$L,Data!$B:$B=AE75,Data!$D:$D=$C75)),""""),"""")"),"")</f>
        <v/>
      </c>
      <c r="BP75" s="69" t="str">
        <f>IFERROR(__xludf.DUMMYFUNCTION("IF($D75&lt;&gt;"""",IFERROR(FILTER(RawTotals!$AJ:$AJ,RawTotals!$A:$A=AF75)-(FILTER(Data!$K:$K,Data!$B:$B=AF75,Data!$D:$D=$D75)+FILTER(Data!$L:$L,Data!$B:$B=AF75,Data!$D:$D=$D75)),""""),"""")"),"")</f>
        <v/>
      </c>
      <c r="BQ75" s="69" t="str">
        <f>IFERROR(__xludf.DUMMYFUNCTION("IF($D75&lt;&gt;"""",IFERROR(FILTER(RawTotals!$AJ:$AJ,RawTotals!$A:$A=AG75)-(FILTER(Data!$K:$K,Data!$B:$B=AG75,Data!$D:$D=$D75)+FILTER(Data!$L:$L,Data!$B:$B=AG75,Data!$D:$D=$D75)),""""),"""")"),"")</f>
        <v/>
      </c>
      <c r="BR75" s="69" t="str">
        <f>IFERROR(__xludf.DUMMYFUNCTION("IF($D75&lt;&gt;"""",IFERROR(FILTER(RawTotals!$AJ:$AJ,RawTotals!$A:$A=AH75)-(FILTER(Data!$K:$K,Data!$B:$B=AH75,Data!$D:$D=$D75)+FILTER(Data!$L:$L,Data!$B:$B=AH75,Data!$D:$D=$D75)),""""),"""")"),"")</f>
        <v/>
      </c>
      <c r="BS75" s="69" t="str">
        <f>IFERROR(__xludf.DUMMYFUNCTION("IF($E75&lt;&gt;"""",IFERROR(FILTER(RawTotals!$AJ:$AJ,RawTotals!$A:$A=AI75)-(FILTER(Data!$K:$K,Data!$B:$B=AI75,Data!$D:$D=$E75)+FILTER(Data!$L:$L,Data!$B:$B=AI75,Data!$D:$D=$E75)),""""),"""")"),"")</f>
        <v/>
      </c>
      <c r="BT75" s="69" t="str">
        <f>IFERROR(__xludf.DUMMYFUNCTION("IF($E75&lt;&gt;"""",IFERROR(FILTER(RawTotals!$AJ:$AJ,RawTotals!$A:$A=AJ75)-(FILTER(Data!$K:$K,Data!$B:$B=AJ75,Data!$D:$D=$E75)+FILTER(Data!$L:$L,Data!$B:$B=AJ75,Data!$D:$D=$E75)),""""),"""")"),"")</f>
        <v/>
      </c>
      <c r="BU75" s="69" t="str">
        <f>IFERROR(__xludf.DUMMYFUNCTION("IF($E75&lt;&gt;"""",IFERROR(FILTER(RawTotals!$AJ:$AJ,RawTotals!$A:$A=AK75)-(FILTER(Data!$K:$K,Data!$B:$B=AK75,Data!$D:$D=$E75)+FILTER(Data!$L:$L,Data!$B:$B=AK75,Data!$D:$D=$E75)),""""),"""")"),"")</f>
        <v/>
      </c>
      <c r="BV75" s="69" t="str">
        <f>IFERROR(__xludf.DUMMYFUNCTION("IF($F75&lt;&gt;"""",IFERROR(FILTER(RawTotals!$AJ:$AJ,RawTotals!$A:$A=AL75)-(FILTER(Data!$K:$K,Data!$B:$B=AL75,Data!$D:$D=$F75)+FILTER(Data!$L:$L,Data!$B:$B=AL75,Data!$D:$D=$F75)),""""),"""")"),"")</f>
        <v/>
      </c>
      <c r="BW75" s="69" t="str">
        <f>IFERROR(__xludf.DUMMYFUNCTION("IF($F75&lt;&gt;"""",IFERROR(FILTER(RawTotals!$AJ:$AJ,RawTotals!$A:$A=AM75)-(FILTER(Data!$K:$K,Data!$B:$B=AM75,Data!$D:$D=$F75)+FILTER(Data!$L:$L,Data!$B:$B=AM75,Data!$D:$D=$F75)),""""),"""")"),"")</f>
        <v/>
      </c>
      <c r="BX75" s="69" t="str">
        <f>IFERROR(__xludf.DUMMYFUNCTION("IF($F75&lt;&gt;"""",IFERROR(FILTER(RawTotals!$AJ:$AJ,RawTotals!$A:$A=AN75)-(FILTER(Data!$K:$K,Data!$B:$B=AN75,Data!$D:$D=$F75)+FILTER(Data!$L:$L,Data!$B:$B=AN75,Data!$D:$D=$F75)),""""),"""")"),"")</f>
        <v/>
      </c>
      <c r="BY75" s="69" t="str">
        <f>IFERROR(__xludf.DUMMYFUNCTION("IF($G75&lt;&gt;"""",IFERROR(FILTER(RawTotals!$AJ:$AJ,RawTotals!$A:$A=AO75)-(FILTER(Data!$K:$K,Data!$B:$B=AO75,Data!$D:$D=$G75)+FILTER(Data!$L:$L,Data!$B:$B=AO75,Data!$D:$D=$G75)),""""),"""")"),"")</f>
        <v/>
      </c>
      <c r="BZ75" s="69" t="str">
        <f>IFERROR(__xludf.DUMMYFUNCTION("IF($G75&lt;&gt;"""",IFERROR(FILTER(RawTotals!$AJ:$AJ,RawTotals!$A:$A=AP75)-(FILTER(Data!$K:$K,Data!$B:$B=AP75,Data!$D:$D=$G75)+FILTER(Data!$L:$L,Data!$B:$B=AP75,Data!$D:$D=$G75)),""""),"""")"),"")</f>
        <v/>
      </c>
      <c r="CA75" s="69" t="str">
        <f>IFERROR(__xludf.DUMMYFUNCTION("IF($G75&lt;&gt;"""",IFERROR(FILTER(RawTotals!$AJ:$AJ,RawTotals!$A:$A=AQ75)-(FILTER(Data!$K:$K,Data!$B:$B=AQ75,Data!$D:$D=$G75)+FILTER(Data!$L:$L,Data!$B:$B=AQ75,Data!$D:$D=$G75)),""""),"""")"),"")</f>
        <v/>
      </c>
      <c r="CB75" s="69" t="str">
        <f>IFERROR(__xludf.DUMMYFUNCTION("IF($H75&lt;&gt;"""",IFERROR(FILTER(RawTotals!$AJ:$AJ,RawTotals!$A:$A=AR75)-(FILTER(Data!$K:$K,Data!$B:$B=AR75,Data!$D:$D=$H75)+FILTER(Data!$L:$L,Data!$B:$B=AR75,Data!$D:$D=$H75)),""""),"""")"),"")</f>
        <v/>
      </c>
      <c r="CC75" s="69" t="str">
        <f>IFERROR(__xludf.DUMMYFUNCTION("IF($H75&lt;&gt;"""",IFERROR(FILTER(RawTotals!$AJ:$AJ,RawTotals!$A:$A=AS75)-(FILTER(Data!$K:$K,Data!$B:$B=AS75,Data!$D:$D=$H75)+FILTER(Data!$L:$L,Data!$B:$B=AS75,Data!$D:$D=$H75)),""""),"""")"),"")</f>
        <v/>
      </c>
      <c r="CD75" s="69" t="str">
        <f>IFERROR(__xludf.DUMMYFUNCTION("IF($H75&lt;&gt;"""",IFERROR(FILTER(RawTotals!$AJ:$AJ,RawTotals!$A:$A=AT75)-(FILTER(Data!$K:$K,Data!$B:$B=AT75,Data!$D:$D=$H75)+FILTER(Data!$L:$L,Data!$B:$B=AT75,Data!$D:$D=$H75)),""""),"""")"),"")</f>
        <v/>
      </c>
      <c r="CE75" s="69" t="str">
        <f>IFERROR(__xludf.DUMMYFUNCTION("IF($I75&lt;&gt;"""",IFERROR(FILTER(RawTotals!$AJ:$AJ,RawTotals!$A:$A=AU75)-(FILTER(Data!$K:$K,Data!$B:$B=AU75,Data!$D:$D=$I75)+FILTER(Data!$L:$L,Data!$B:$B=AU75,Data!$D:$D=$I75)),""""),"""")"),"")</f>
        <v/>
      </c>
      <c r="CF75" s="69" t="str">
        <f>IFERROR(__xludf.DUMMYFUNCTION("IF($I75&lt;&gt;"""",IFERROR(FILTER(RawTotals!$AJ:$AJ,RawTotals!$A:$A=AV75)-(FILTER(Data!$K:$K,Data!$B:$B=AV75,Data!$D:$D=$I75)+FILTER(Data!$L:$L,Data!$B:$B=AV75,Data!$D:$D=$I75)),""""),"""")"),"")</f>
        <v/>
      </c>
      <c r="CG75" s="69" t="str">
        <f>IFERROR(__xludf.DUMMYFUNCTION("IF($I75&lt;&gt;"""",IFERROR(FILTER(RawTotals!$AJ:$AJ,RawTotals!$A:$A=AW75)-(FILTER(Data!$K:$K,Data!$B:$B=AW75,Data!$D:$D=$I75)+FILTER(Data!$L:$L,Data!$B:$B=AW75,Data!$D:$D=$I75)),""""),"""")"),"")</f>
        <v/>
      </c>
      <c r="CH75" s="69" t="str">
        <f>IFERROR(__xludf.DUMMYFUNCTION("IF($J75&lt;&gt;"""",IFERROR(FILTER(RawTotals!$AJ:$AJ,RawTotals!$A:$A=AX75)-(FILTER(Data!$K:$K,Data!$B:$B=AX75,Data!$D:$D=$J75)+FILTER(Data!$L:$L,Data!$B:$B=AX75,Data!$D:$D=$J75)),""""),"""")"),"")</f>
        <v/>
      </c>
      <c r="CI75" s="69" t="str">
        <f>IFERROR(__xludf.DUMMYFUNCTION("IF($J75&lt;&gt;"""",IFERROR(FILTER(RawTotals!$AJ:$AJ,RawTotals!$A:$A=AY75)-(FILTER(Data!$K:$K,Data!$B:$B=AY75,Data!$D:$D=$J75)+FILTER(Data!$L:$L,Data!$B:$B=AY75,Data!$D:$D=$J75)),""""),"""")"),"")</f>
        <v/>
      </c>
      <c r="CJ75" s="69" t="str">
        <f>IFERROR(__xludf.DUMMYFUNCTION("IF($J75&lt;&gt;"""",IFERROR(FILTER(RawTotals!$AJ:$AJ,RawTotals!$A:$A=AZ75)-(FILTER(Data!$K:$K,Data!$B:$B=AZ75,Data!$D:$D=$J75)+FILTER(Data!$L:$L,Data!$B:$B=AZ75,Data!$D:$D=$J75)),""""),"""")"),"")</f>
        <v/>
      </c>
      <c r="CK75" s="69" t="str">
        <f>IFERROR(__xludf.DUMMYFUNCTION("IF($K75&lt;&gt;"""",IFERROR(FILTER(RawTotals!$AJ:$AJ,RawTotals!$A:$A=BA75)-(FILTER(Data!$K:$K,Data!$B:$B=BA75,Data!$D:$D=$K75)+FILTER(Data!$L:$L,Data!$B:$B=BA75,Data!$D:$D=$K75)),""""),"""")"),"")</f>
        <v/>
      </c>
      <c r="CL75" s="69" t="str">
        <f>IFERROR(__xludf.DUMMYFUNCTION("IF($K75&lt;&gt;"""",IFERROR(FILTER(RawTotals!$AJ:$AJ,RawTotals!$A:$A=BB75)-(FILTER(Data!$K:$K,Data!$B:$B=BB75,Data!$D:$D=$K75)+FILTER(Data!$L:$L,Data!$B:$B=BB75,Data!$D:$D=$K75)),""""),"""")"),"")</f>
        <v/>
      </c>
      <c r="CM75" s="69" t="str">
        <f>IFERROR(__xludf.DUMMYFUNCTION("IF($K75&lt;&gt;"""",IFERROR(FILTER(RawTotals!$AJ:$AJ,RawTotals!$A:$A=BC75)-(FILTER(Data!$K:$K,Data!$B:$B=BC75,Data!$D:$D=$K75)+FILTER(Data!$L:$L,Data!$B:$B=BC75,Data!$D:$D=$K75)),""""),"""")"),"")</f>
        <v/>
      </c>
      <c r="CN75" s="69" t="str">
        <f>IFERROR(__xludf.DUMMYFUNCTION("IF($L75&lt;&gt;"""",IFERROR((FILTER(RawTotals!$AJ:$AJ,RawTotals!$A:$A=BD75)-(FILTER(Data!$K:$K,Data!$B:$B=BD75,Data!$D:$D=$L75)+FILTER(Data!$L:$L,Data!$B:$B=BD75,Data!$D:$D=$L75))),""""),"""")"),"")</f>
        <v/>
      </c>
      <c r="CO75" s="69" t="str">
        <f>IFERROR(__xludf.DUMMYFUNCTION("IF($L75&lt;&gt;"""",IFERROR((FILTER(RawTotals!$AJ:$AJ,RawTotals!$A:$A=BE75)-(FILTER(Data!$K:$K,Data!$B:$B=BE75,Data!$D:$D=$L75)+FILTER(Data!$L:$L,Data!$B:$B=BE75,Data!$D:$D=$L75))),""""),"""")"),"")</f>
        <v/>
      </c>
      <c r="CP75" s="69" t="str">
        <f>IFERROR(__xludf.DUMMYFUNCTION("IF($L75&lt;&gt;"""",IFERROR((FILTER(RawTotals!$AJ:$AJ,RawTotals!$A:$A=BF75)-(FILTER(Data!$K:$K,Data!$B:$B=BF75,Data!$D:$D=$L75)+FILTER(Data!$L:$L,Data!$B:$B=BF75,Data!$D:$D=$L75))),""""),"""")"),"")</f>
        <v/>
      </c>
      <c r="CQ75" s="69" t="str">
        <f>IFERROR(__xludf.DUMMYFUNCTION("IF($M75&lt;&gt;"""",IFERROR((FILTER(RawTotals!$AJ:$AJ,RawTotals!$A:$A=BG75)-(FILTER(Data!$K:$K,Data!$B:$B=BG75,Data!$D:$D=$M75)+FILTER(Data!$L:$L,Data!$B:$B=BG75,Data!$D:$D=$M75))),""""),"""")"),"")</f>
        <v/>
      </c>
      <c r="CR75" s="69" t="str">
        <f>IFERROR(__xludf.DUMMYFUNCTION("IF($M75&lt;&gt;"""",IFERROR((FILTER(RawTotals!$AJ:$AJ,RawTotals!$A:$A=BH75)-(FILTER(Data!$K:$K,Data!$B:$B=BH75,Data!$D:$D=$M75)+FILTER(Data!$L:$L,Data!$B:$B=BH75,Data!$D:$D=$M75))),""""),"""")"),"")</f>
        <v/>
      </c>
      <c r="CS75" s="70" t="str">
        <f>IFERROR(__xludf.DUMMYFUNCTION("IF($M75&lt;&gt;"""",IFERROR((FILTER(RawTotals!$AJ:$AJ,RawTotals!$A:$A=BI75)-(FILTER(Data!$K:$K,Data!$B:$B=BI75,Data!$D:$D=$M75)+FILTER(Data!$L:$L,Data!$B:$B=BI75,Data!$D:$D=$M75))),""""),"""")"),"")</f>
        <v/>
      </c>
      <c r="CT75" s="69"/>
      <c r="CU75" s="69"/>
      <c r="CV75" s="69"/>
      <c r="CW75" s="69"/>
      <c r="CX75" s="69"/>
      <c r="CY75" s="69"/>
      <c r="CZ75" s="69"/>
      <c r="DA75" s="69"/>
      <c r="DB75" s="69"/>
      <c r="DC75" s="69"/>
      <c r="DD75" s="69"/>
      <c r="DE75" s="69"/>
    </row>
    <row r="76">
      <c r="A76" s="65" t="str">
        <f>RawTotals!A76</f>
        <v/>
      </c>
      <c r="B76" s="68" t="str">
        <f>IFERROR(__xludf.DUMMYFUNCTION("IF(A76&lt;&gt;"""",IFERROR(TRANSPOSE(FILTER(Data!D:D,Data!B:B=A76,Data!R:R&lt;&gt;"""")),""No Defense""),"""")"),"")</f>
        <v/>
      </c>
      <c r="C76" s="65"/>
      <c r="D76" s="65"/>
      <c r="E76" s="65"/>
      <c r="F76" s="65"/>
      <c r="G76" s="65"/>
      <c r="H76" s="65"/>
      <c r="I76" s="65"/>
      <c r="J76" s="65"/>
      <c r="K76" s="65"/>
      <c r="L76" s="65"/>
      <c r="M76" s="65"/>
      <c r="N76" s="64" t="str">
        <f>IFERROR(__xludf.DUMMYFUNCTION("IFERROR(Textjoin("""",TRUE,FILTER(Data!$R:$R,Data!$D:$D=B76,Data!$B:$B=$A76)),"""")"),"")</f>
        <v/>
      </c>
      <c r="O76" s="64" t="str">
        <f>IFERROR(__xludf.DUMMYFUNCTION("IFERROR(Textjoin("""",TRUE,FILTER(Data!$R:$R,Data!$D:$D=C76,Data!$B:$B=$A76)),"""")"),"")</f>
        <v/>
      </c>
      <c r="P76" s="64" t="str">
        <f>IFERROR(__xludf.DUMMYFUNCTION("IFERROR(Textjoin("""",TRUE,FILTER(Data!$R:$R,Data!$D:$D=D76,Data!$B:$B=$A76)),"""")"),"")</f>
        <v/>
      </c>
      <c r="Q76" s="64" t="str">
        <f>IFERROR(__xludf.DUMMYFUNCTION("IFERROR(Textjoin("""",TRUE,FILTER(Data!$R:$R,Data!$D:$D=E76,Data!$B:$B=$A76)),"""")"),"")</f>
        <v/>
      </c>
      <c r="R76" s="64" t="str">
        <f>IFERROR(__xludf.DUMMYFUNCTION("IFERROR(Textjoin("""",TRUE,FILTER(Data!$R:$R,Data!$D:$D=F76,Data!$B:$B=$A76)),"""")"),"")</f>
        <v/>
      </c>
      <c r="S76" s="64" t="str">
        <f>IFERROR(__xludf.DUMMYFUNCTION("IFERROR(Textjoin("""",TRUE,FILTER(Data!$R:$R,Data!$D:$D=G76,Data!$B:$B=$A76)),"""")"),"")</f>
        <v/>
      </c>
      <c r="T76" s="64" t="str">
        <f>IFERROR(__xludf.DUMMYFUNCTION("IFERROR(Textjoin("""",TRUE,FILTER(Data!$R:$R,Data!$D:$D=H76,Data!$B:$B=$A76)),"""")"),"")</f>
        <v/>
      </c>
      <c r="U76" s="64" t="str">
        <f>IFERROR(__xludf.DUMMYFUNCTION("IFERROR(Textjoin("""",TRUE,FILTER(Data!$R:$R,Data!$D:$D=I76,Data!$B:$B=$A76)),"""")"),"")</f>
        <v/>
      </c>
      <c r="V76" s="64" t="str">
        <f>IFERROR(__xludf.DUMMYFUNCTION("IFERROR(Textjoin("""",TRUE,FILTER(Data!$R:$R,Data!$D:$D=J76,Data!$B:$B=$A76)),"""")"),"")</f>
        <v/>
      </c>
      <c r="W76" s="64" t="str">
        <f>IFERROR(__xludf.DUMMYFUNCTION("IFERROR(Textjoin("""",TRUE,FILTER(Data!$R:$R,Data!$D:$D=K76,Data!$B:$B=$A76)),"""")"),"")</f>
        <v/>
      </c>
      <c r="X76" s="64" t="str">
        <f>IFERROR(__xludf.DUMMYFUNCTION("IFERROR(Textjoin("""",TRUE,FILTER(Data!$R:$R,Data!$D:$D=L76,Data!$B:$B=$A76)),"""")"),"")</f>
        <v/>
      </c>
      <c r="Y76" s="64" t="str">
        <f>IFERROR(__xludf.DUMMYFUNCTION("IFERROR(Textjoin("""",TRUE,FILTER(Data!$R:$R,Data!$D:$D=M76,Data!$B:$B=$A76)),"""")"),"")</f>
        <v/>
      </c>
      <c r="Z76" s="64" t="str">
        <f>IFERROR(__xludf.DUMMYFUNCTION("IFERROR(SPLIT(N76,"",""),"""")"),"")</f>
        <v/>
      </c>
      <c r="AA76" s="65"/>
      <c r="AB76" s="65"/>
      <c r="AC76" s="69" t="str">
        <f>IFERROR(__xludf.DUMMYFUNCTION("IFERROR(SPLIT(O76,"",""),"""")"),"")</f>
        <v/>
      </c>
      <c r="AD76" s="65"/>
      <c r="AE76" s="65"/>
      <c r="AF76" s="69" t="str">
        <f>IFERROR(__xludf.DUMMYFUNCTION("IFERROR(SPLIT(P76,"",""),"""")"),"")</f>
        <v/>
      </c>
      <c r="AG76" s="65"/>
      <c r="AH76" s="65"/>
      <c r="AI76" s="69" t="str">
        <f>IFERROR(__xludf.DUMMYFUNCTION("IFERROR(SPLIT(Q76,"",""),"""")"),"")</f>
        <v/>
      </c>
      <c r="AJ76" s="65"/>
      <c r="AK76" s="65"/>
      <c r="AL76" s="69" t="str">
        <f>IFERROR(__xludf.DUMMYFUNCTION("IFERROR(SPLIT(R76,"",""),"""")"),"")</f>
        <v/>
      </c>
      <c r="AM76" s="65"/>
      <c r="AN76" s="65"/>
      <c r="AO76" s="69" t="str">
        <f>IFERROR(__xludf.DUMMYFUNCTION("IFERROR(SPLIT(S76,"",""),"""")"),"")</f>
        <v/>
      </c>
      <c r="AP76" s="65"/>
      <c r="AQ76" s="65"/>
      <c r="AR76" s="69" t="str">
        <f>IFERROR(__xludf.DUMMYFUNCTION("IFERROR(SPLIT(T76,"",""),"""")"),"")</f>
        <v/>
      </c>
      <c r="AS76" s="65"/>
      <c r="AT76" s="65"/>
      <c r="AU76" s="69" t="str">
        <f>IFERROR(__xludf.DUMMYFUNCTION("IFERROR(SPLIT(U76,"",""),"""")"),"")</f>
        <v/>
      </c>
      <c r="AV76" s="65"/>
      <c r="AW76" s="65"/>
      <c r="AX76" s="69" t="str">
        <f>IFERROR(__xludf.DUMMYFUNCTION("IFERROR(SPLIT(V76,"",""),"""")"),"")</f>
        <v/>
      </c>
      <c r="AY76" s="65"/>
      <c r="AZ76" s="65"/>
      <c r="BA76" s="69" t="str">
        <f>IFERROR(__xludf.DUMMYFUNCTION("IFERROR(SPLIT(W76,"",""),"""")"),"")</f>
        <v/>
      </c>
      <c r="BB76" s="69"/>
      <c r="BC76" s="69"/>
      <c r="BD76" s="69" t="str">
        <f>IFERROR(__xludf.DUMMYFUNCTION("IFERROR(SPLIT(X76,"",""),"""")"),"")</f>
        <v/>
      </c>
      <c r="BE76" s="69"/>
      <c r="BF76" s="69"/>
      <c r="BG76" s="69" t="str">
        <f>IFERROR(__xludf.DUMMYFUNCTION("IFERROR(SPLIT(Y76,"",""),"""")"),"")</f>
        <v/>
      </c>
      <c r="BH76" s="69"/>
      <c r="BI76" s="69"/>
      <c r="BJ76" s="68" t="str">
        <f>IFERROR(__xludf.DUMMYFUNCTION("IF($B76&lt;&gt;"""",IFERROR(FILTER(RawTotals!$AJ:$AJ,RawTotals!$A:$A=Z76)-(FILTER(Data!$K:$K,Data!$B:$B=Z76,Data!$D:$D=$B76)+FILTER(Data!$L:$L,Data!$B:$B=Z76,Data!$D:$D=$B76)),""""),"""")"),"")</f>
        <v/>
      </c>
      <c r="BK76" s="68" t="str">
        <f>IFERROR(__xludf.DUMMYFUNCTION("IF($B76&lt;&gt;"""",IFERROR(FILTER(RawTotals!$AJ:$AJ,RawTotals!$A:$A=AA76)-(FILTER(Data!$K:$K,Data!$B:$B=AA76,Data!$D:$D=$B76)+FILTER(Data!$L:$L,Data!$B:$B=AA76,Data!$D:$D=$B76)),""""),"""")"),"")</f>
        <v/>
      </c>
      <c r="BL76" s="68" t="str">
        <f>IFERROR(__xludf.DUMMYFUNCTION("IF($B76&lt;&gt;"""",IFERROR(FILTER(RawTotals!$AJ:$AJ,RawTotals!$A:$A=AB76)-(FILTER(Data!$K:$K,Data!$B:$B=AB76,Data!$D:$D=$B76)+FILTER(Data!$L:$L,Data!$B:$B=AB76,Data!$D:$D=$B76)),""""),"""")"),"")</f>
        <v/>
      </c>
      <c r="BM76" s="69" t="str">
        <f>IFERROR(__xludf.DUMMYFUNCTION("IF($C76&lt;&gt;"""",IFERROR(FILTER(RawTotals!$AJ:$AJ,RawTotals!$A:$A=AC76)-(FILTER(Data!$K:$K,Data!$B:$B=AC76,Data!$D:$D=$C76)+FILTER(Data!$L:$L,Data!$B:$B=AC76,Data!$D:$D=$C76)),""""),"""")"),"")</f>
        <v/>
      </c>
      <c r="BN76" s="69" t="str">
        <f>IFERROR(__xludf.DUMMYFUNCTION("IF($C76&lt;&gt;"""",IFERROR(FILTER(RawTotals!$AJ:$AJ,RawTotals!$A:$A=AD76)-(FILTER(Data!$K:$K,Data!$B:$B=AD76,Data!$D:$D=$C76)+FILTER(Data!$L:$L,Data!$B:$B=AD76,Data!$D:$D=$C76)),""""),"""")"),"")</f>
        <v/>
      </c>
      <c r="BO76" s="69" t="str">
        <f>IFERROR(__xludf.DUMMYFUNCTION("IF($C76&lt;&gt;"""",IFERROR(FILTER(RawTotals!$AJ:$AJ,RawTotals!$A:$A=AE76)-(FILTER(Data!$K:$K,Data!$B:$B=AE76,Data!$D:$D=$C76)+FILTER(Data!$L:$L,Data!$B:$B=AE76,Data!$D:$D=$C76)),""""),"""")"),"")</f>
        <v/>
      </c>
      <c r="BP76" s="69" t="str">
        <f>IFERROR(__xludf.DUMMYFUNCTION("IF($D76&lt;&gt;"""",IFERROR(FILTER(RawTotals!$AJ:$AJ,RawTotals!$A:$A=AF76)-(FILTER(Data!$K:$K,Data!$B:$B=AF76,Data!$D:$D=$D76)+FILTER(Data!$L:$L,Data!$B:$B=AF76,Data!$D:$D=$D76)),""""),"""")"),"")</f>
        <v/>
      </c>
      <c r="BQ76" s="69" t="str">
        <f>IFERROR(__xludf.DUMMYFUNCTION("IF($D76&lt;&gt;"""",IFERROR(FILTER(RawTotals!$AJ:$AJ,RawTotals!$A:$A=AG76)-(FILTER(Data!$K:$K,Data!$B:$B=AG76,Data!$D:$D=$D76)+FILTER(Data!$L:$L,Data!$B:$B=AG76,Data!$D:$D=$D76)),""""),"""")"),"")</f>
        <v/>
      </c>
      <c r="BR76" s="69" t="str">
        <f>IFERROR(__xludf.DUMMYFUNCTION("IF($D76&lt;&gt;"""",IFERROR(FILTER(RawTotals!$AJ:$AJ,RawTotals!$A:$A=AH76)-(FILTER(Data!$K:$K,Data!$B:$B=AH76,Data!$D:$D=$D76)+FILTER(Data!$L:$L,Data!$B:$B=AH76,Data!$D:$D=$D76)),""""),"""")"),"")</f>
        <v/>
      </c>
      <c r="BS76" s="69" t="str">
        <f>IFERROR(__xludf.DUMMYFUNCTION("IF($E76&lt;&gt;"""",IFERROR(FILTER(RawTotals!$AJ:$AJ,RawTotals!$A:$A=AI76)-(FILTER(Data!$K:$K,Data!$B:$B=AI76,Data!$D:$D=$E76)+FILTER(Data!$L:$L,Data!$B:$B=AI76,Data!$D:$D=$E76)),""""),"""")"),"")</f>
        <v/>
      </c>
      <c r="BT76" s="69" t="str">
        <f>IFERROR(__xludf.DUMMYFUNCTION("IF($E76&lt;&gt;"""",IFERROR(FILTER(RawTotals!$AJ:$AJ,RawTotals!$A:$A=AJ76)-(FILTER(Data!$K:$K,Data!$B:$B=AJ76,Data!$D:$D=$E76)+FILTER(Data!$L:$L,Data!$B:$B=AJ76,Data!$D:$D=$E76)),""""),"""")"),"")</f>
        <v/>
      </c>
      <c r="BU76" s="69" t="str">
        <f>IFERROR(__xludf.DUMMYFUNCTION("IF($E76&lt;&gt;"""",IFERROR(FILTER(RawTotals!$AJ:$AJ,RawTotals!$A:$A=AK76)-(FILTER(Data!$K:$K,Data!$B:$B=AK76,Data!$D:$D=$E76)+FILTER(Data!$L:$L,Data!$B:$B=AK76,Data!$D:$D=$E76)),""""),"""")"),"")</f>
        <v/>
      </c>
      <c r="BV76" s="69" t="str">
        <f>IFERROR(__xludf.DUMMYFUNCTION("IF($F76&lt;&gt;"""",IFERROR(FILTER(RawTotals!$AJ:$AJ,RawTotals!$A:$A=AL76)-(FILTER(Data!$K:$K,Data!$B:$B=AL76,Data!$D:$D=$F76)+FILTER(Data!$L:$L,Data!$B:$B=AL76,Data!$D:$D=$F76)),""""),"""")"),"")</f>
        <v/>
      </c>
      <c r="BW76" s="69" t="str">
        <f>IFERROR(__xludf.DUMMYFUNCTION("IF($F76&lt;&gt;"""",IFERROR(FILTER(RawTotals!$AJ:$AJ,RawTotals!$A:$A=AM76)-(FILTER(Data!$K:$K,Data!$B:$B=AM76,Data!$D:$D=$F76)+FILTER(Data!$L:$L,Data!$B:$B=AM76,Data!$D:$D=$F76)),""""),"""")"),"")</f>
        <v/>
      </c>
      <c r="BX76" s="69" t="str">
        <f>IFERROR(__xludf.DUMMYFUNCTION("IF($F76&lt;&gt;"""",IFERROR(FILTER(RawTotals!$AJ:$AJ,RawTotals!$A:$A=AN76)-(FILTER(Data!$K:$K,Data!$B:$B=AN76,Data!$D:$D=$F76)+FILTER(Data!$L:$L,Data!$B:$B=AN76,Data!$D:$D=$F76)),""""),"""")"),"")</f>
        <v/>
      </c>
      <c r="BY76" s="69" t="str">
        <f>IFERROR(__xludf.DUMMYFUNCTION("IF($G76&lt;&gt;"""",IFERROR(FILTER(RawTotals!$AJ:$AJ,RawTotals!$A:$A=AO76)-(FILTER(Data!$K:$K,Data!$B:$B=AO76,Data!$D:$D=$G76)+FILTER(Data!$L:$L,Data!$B:$B=AO76,Data!$D:$D=$G76)),""""),"""")"),"")</f>
        <v/>
      </c>
      <c r="BZ76" s="69" t="str">
        <f>IFERROR(__xludf.DUMMYFUNCTION("IF($G76&lt;&gt;"""",IFERROR(FILTER(RawTotals!$AJ:$AJ,RawTotals!$A:$A=AP76)-(FILTER(Data!$K:$K,Data!$B:$B=AP76,Data!$D:$D=$G76)+FILTER(Data!$L:$L,Data!$B:$B=AP76,Data!$D:$D=$G76)),""""),"""")"),"")</f>
        <v/>
      </c>
      <c r="CA76" s="69" t="str">
        <f>IFERROR(__xludf.DUMMYFUNCTION("IF($G76&lt;&gt;"""",IFERROR(FILTER(RawTotals!$AJ:$AJ,RawTotals!$A:$A=AQ76)-(FILTER(Data!$K:$K,Data!$B:$B=AQ76,Data!$D:$D=$G76)+FILTER(Data!$L:$L,Data!$B:$B=AQ76,Data!$D:$D=$G76)),""""),"""")"),"")</f>
        <v/>
      </c>
      <c r="CB76" s="69" t="str">
        <f>IFERROR(__xludf.DUMMYFUNCTION("IF($H76&lt;&gt;"""",IFERROR(FILTER(RawTotals!$AJ:$AJ,RawTotals!$A:$A=AR76)-(FILTER(Data!$K:$K,Data!$B:$B=AR76,Data!$D:$D=$H76)+FILTER(Data!$L:$L,Data!$B:$B=AR76,Data!$D:$D=$H76)),""""),"""")"),"")</f>
        <v/>
      </c>
      <c r="CC76" s="69" t="str">
        <f>IFERROR(__xludf.DUMMYFUNCTION("IF($H76&lt;&gt;"""",IFERROR(FILTER(RawTotals!$AJ:$AJ,RawTotals!$A:$A=AS76)-(FILTER(Data!$K:$K,Data!$B:$B=AS76,Data!$D:$D=$H76)+FILTER(Data!$L:$L,Data!$B:$B=AS76,Data!$D:$D=$H76)),""""),"""")"),"")</f>
        <v/>
      </c>
      <c r="CD76" s="69" t="str">
        <f>IFERROR(__xludf.DUMMYFUNCTION("IF($H76&lt;&gt;"""",IFERROR(FILTER(RawTotals!$AJ:$AJ,RawTotals!$A:$A=AT76)-(FILTER(Data!$K:$K,Data!$B:$B=AT76,Data!$D:$D=$H76)+FILTER(Data!$L:$L,Data!$B:$B=AT76,Data!$D:$D=$H76)),""""),"""")"),"")</f>
        <v/>
      </c>
      <c r="CE76" s="69" t="str">
        <f>IFERROR(__xludf.DUMMYFUNCTION("IF($I76&lt;&gt;"""",IFERROR(FILTER(RawTotals!$AJ:$AJ,RawTotals!$A:$A=AU76)-(FILTER(Data!$K:$K,Data!$B:$B=AU76,Data!$D:$D=$I76)+FILTER(Data!$L:$L,Data!$B:$B=AU76,Data!$D:$D=$I76)),""""),"""")"),"")</f>
        <v/>
      </c>
      <c r="CF76" s="69" t="str">
        <f>IFERROR(__xludf.DUMMYFUNCTION("IF($I76&lt;&gt;"""",IFERROR(FILTER(RawTotals!$AJ:$AJ,RawTotals!$A:$A=AV76)-(FILTER(Data!$K:$K,Data!$B:$B=AV76,Data!$D:$D=$I76)+FILTER(Data!$L:$L,Data!$B:$B=AV76,Data!$D:$D=$I76)),""""),"""")"),"")</f>
        <v/>
      </c>
      <c r="CG76" s="69" t="str">
        <f>IFERROR(__xludf.DUMMYFUNCTION("IF($I76&lt;&gt;"""",IFERROR(FILTER(RawTotals!$AJ:$AJ,RawTotals!$A:$A=AW76)-(FILTER(Data!$K:$K,Data!$B:$B=AW76,Data!$D:$D=$I76)+FILTER(Data!$L:$L,Data!$B:$B=AW76,Data!$D:$D=$I76)),""""),"""")"),"")</f>
        <v/>
      </c>
      <c r="CH76" s="69" t="str">
        <f>IFERROR(__xludf.DUMMYFUNCTION("IF($J76&lt;&gt;"""",IFERROR(FILTER(RawTotals!$AJ:$AJ,RawTotals!$A:$A=AX76)-(FILTER(Data!$K:$K,Data!$B:$B=AX76,Data!$D:$D=$J76)+FILTER(Data!$L:$L,Data!$B:$B=AX76,Data!$D:$D=$J76)),""""),"""")"),"")</f>
        <v/>
      </c>
      <c r="CI76" s="69" t="str">
        <f>IFERROR(__xludf.DUMMYFUNCTION("IF($J76&lt;&gt;"""",IFERROR(FILTER(RawTotals!$AJ:$AJ,RawTotals!$A:$A=AY76)-(FILTER(Data!$K:$K,Data!$B:$B=AY76,Data!$D:$D=$J76)+FILTER(Data!$L:$L,Data!$B:$B=AY76,Data!$D:$D=$J76)),""""),"""")"),"")</f>
        <v/>
      </c>
      <c r="CJ76" s="69" t="str">
        <f>IFERROR(__xludf.DUMMYFUNCTION("IF($J76&lt;&gt;"""",IFERROR(FILTER(RawTotals!$AJ:$AJ,RawTotals!$A:$A=AZ76)-(FILTER(Data!$K:$K,Data!$B:$B=AZ76,Data!$D:$D=$J76)+FILTER(Data!$L:$L,Data!$B:$B=AZ76,Data!$D:$D=$J76)),""""),"""")"),"")</f>
        <v/>
      </c>
      <c r="CK76" s="69" t="str">
        <f>IFERROR(__xludf.DUMMYFUNCTION("IF($K76&lt;&gt;"""",IFERROR(FILTER(RawTotals!$AJ:$AJ,RawTotals!$A:$A=BA76)-(FILTER(Data!$K:$K,Data!$B:$B=BA76,Data!$D:$D=$K76)+FILTER(Data!$L:$L,Data!$B:$B=BA76,Data!$D:$D=$K76)),""""),"""")"),"")</f>
        <v/>
      </c>
      <c r="CL76" s="69" t="str">
        <f>IFERROR(__xludf.DUMMYFUNCTION("IF($K76&lt;&gt;"""",IFERROR(FILTER(RawTotals!$AJ:$AJ,RawTotals!$A:$A=BB76)-(FILTER(Data!$K:$K,Data!$B:$B=BB76,Data!$D:$D=$K76)+FILTER(Data!$L:$L,Data!$B:$B=BB76,Data!$D:$D=$K76)),""""),"""")"),"")</f>
        <v/>
      </c>
      <c r="CM76" s="69" t="str">
        <f>IFERROR(__xludf.DUMMYFUNCTION("IF($K76&lt;&gt;"""",IFERROR(FILTER(RawTotals!$AJ:$AJ,RawTotals!$A:$A=BC76)-(FILTER(Data!$K:$K,Data!$B:$B=BC76,Data!$D:$D=$K76)+FILTER(Data!$L:$L,Data!$B:$B=BC76,Data!$D:$D=$K76)),""""),"""")"),"")</f>
        <v/>
      </c>
      <c r="CN76" s="69" t="str">
        <f>IFERROR(__xludf.DUMMYFUNCTION("IF($L76&lt;&gt;"""",IFERROR((FILTER(RawTotals!$AJ:$AJ,RawTotals!$A:$A=BD76)-(FILTER(Data!$K:$K,Data!$B:$B=BD76,Data!$D:$D=$L76)+FILTER(Data!$L:$L,Data!$B:$B=BD76,Data!$D:$D=$L76))),""""),"""")"),"")</f>
        <v/>
      </c>
      <c r="CO76" s="69" t="str">
        <f>IFERROR(__xludf.DUMMYFUNCTION("IF($L76&lt;&gt;"""",IFERROR((FILTER(RawTotals!$AJ:$AJ,RawTotals!$A:$A=BE76)-(FILTER(Data!$K:$K,Data!$B:$B=BE76,Data!$D:$D=$L76)+FILTER(Data!$L:$L,Data!$B:$B=BE76,Data!$D:$D=$L76))),""""),"""")"),"")</f>
        <v/>
      </c>
      <c r="CP76" s="69" t="str">
        <f>IFERROR(__xludf.DUMMYFUNCTION("IF($L76&lt;&gt;"""",IFERROR((FILTER(RawTotals!$AJ:$AJ,RawTotals!$A:$A=BF76)-(FILTER(Data!$K:$K,Data!$B:$B=BF76,Data!$D:$D=$L76)+FILTER(Data!$L:$L,Data!$B:$B=BF76,Data!$D:$D=$L76))),""""),"""")"),"")</f>
        <v/>
      </c>
      <c r="CQ76" s="69" t="str">
        <f>IFERROR(__xludf.DUMMYFUNCTION("IF($M76&lt;&gt;"""",IFERROR((FILTER(RawTotals!$AJ:$AJ,RawTotals!$A:$A=BG76)-(FILTER(Data!$K:$K,Data!$B:$B=BG76,Data!$D:$D=$M76)+FILTER(Data!$L:$L,Data!$B:$B=BG76,Data!$D:$D=$M76))),""""),"""")"),"")</f>
        <v/>
      </c>
      <c r="CR76" s="69" t="str">
        <f>IFERROR(__xludf.DUMMYFUNCTION("IF($M76&lt;&gt;"""",IFERROR((FILTER(RawTotals!$AJ:$AJ,RawTotals!$A:$A=BH76)-(FILTER(Data!$K:$K,Data!$B:$B=BH76,Data!$D:$D=$M76)+FILTER(Data!$L:$L,Data!$B:$B=BH76,Data!$D:$D=$M76))),""""),"""")"),"")</f>
        <v/>
      </c>
      <c r="CS76" s="70" t="str">
        <f>IFERROR(__xludf.DUMMYFUNCTION("IF($M76&lt;&gt;"""",IFERROR((FILTER(RawTotals!$AJ:$AJ,RawTotals!$A:$A=BI76)-(FILTER(Data!$K:$K,Data!$B:$B=BI76,Data!$D:$D=$M76)+FILTER(Data!$L:$L,Data!$B:$B=BI76,Data!$D:$D=$M76))),""""),"""")"),"")</f>
        <v/>
      </c>
      <c r="CT76" s="69"/>
      <c r="CU76" s="69"/>
      <c r="CV76" s="69"/>
      <c r="CW76" s="69"/>
      <c r="CX76" s="69"/>
      <c r="CY76" s="69"/>
      <c r="CZ76" s="69"/>
      <c r="DA76" s="69"/>
      <c r="DB76" s="69"/>
      <c r="DC76" s="69"/>
      <c r="DD76" s="69"/>
      <c r="DE76" s="69"/>
    </row>
    <row r="77">
      <c r="A77" s="65" t="str">
        <f>RawTotals!A77</f>
        <v/>
      </c>
      <c r="B77" s="68" t="str">
        <f>IFERROR(__xludf.DUMMYFUNCTION("IF(A77&lt;&gt;"""",IFERROR(TRANSPOSE(FILTER(Data!D:D,Data!B:B=A77,Data!R:R&lt;&gt;"""")),""No Defense""),"""")"),"")</f>
        <v/>
      </c>
      <c r="C77" s="65"/>
      <c r="D77" s="65"/>
      <c r="E77" s="65"/>
      <c r="F77" s="65"/>
      <c r="G77" s="65"/>
      <c r="H77" s="65"/>
      <c r="I77" s="65"/>
      <c r="J77" s="65"/>
      <c r="K77" s="65"/>
      <c r="L77" s="65"/>
      <c r="M77" s="65"/>
      <c r="N77" s="64" t="str">
        <f>IFERROR(__xludf.DUMMYFUNCTION("IFERROR(Textjoin("""",TRUE,FILTER(Data!$R:$R,Data!$D:$D=B77,Data!$B:$B=$A77)),"""")"),"")</f>
        <v/>
      </c>
      <c r="O77" s="64" t="str">
        <f>IFERROR(__xludf.DUMMYFUNCTION("IFERROR(Textjoin("""",TRUE,FILTER(Data!$R:$R,Data!$D:$D=C77,Data!$B:$B=$A77)),"""")"),"")</f>
        <v/>
      </c>
      <c r="P77" s="64" t="str">
        <f>IFERROR(__xludf.DUMMYFUNCTION("IFERROR(Textjoin("""",TRUE,FILTER(Data!$R:$R,Data!$D:$D=D77,Data!$B:$B=$A77)),"""")"),"")</f>
        <v/>
      </c>
      <c r="Q77" s="64" t="str">
        <f>IFERROR(__xludf.DUMMYFUNCTION("IFERROR(Textjoin("""",TRUE,FILTER(Data!$R:$R,Data!$D:$D=E77,Data!$B:$B=$A77)),"""")"),"")</f>
        <v/>
      </c>
      <c r="R77" s="64" t="str">
        <f>IFERROR(__xludf.DUMMYFUNCTION("IFERROR(Textjoin("""",TRUE,FILTER(Data!$R:$R,Data!$D:$D=F77,Data!$B:$B=$A77)),"""")"),"")</f>
        <v/>
      </c>
      <c r="S77" s="64" t="str">
        <f>IFERROR(__xludf.DUMMYFUNCTION("IFERROR(Textjoin("""",TRUE,FILTER(Data!$R:$R,Data!$D:$D=G77,Data!$B:$B=$A77)),"""")"),"")</f>
        <v/>
      </c>
      <c r="T77" s="64" t="str">
        <f>IFERROR(__xludf.DUMMYFUNCTION("IFERROR(Textjoin("""",TRUE,FILTER(Data!$R:$R,Data!$D:$D=H77,Data!$B:$B=$A77)),"""")"),"")</f>
        <v/>
      </c>
      <c r="U77" s="64" t="str">
        <f>IFERROR(__xludf.DUMMYFUNCTION("IFERROR(Textjoin("""",TRUE,FILTER(Data!$R:$R,Data!$D:$D=I77,Data!$B:$B=$A77)),"""")"),"")</f>
        <v/>
      </c>
      <c r="V77" s="64" t="str">
        <f>IFERROR(__xludf.DUMMYFUNCTION("IFERROR(Textjoin("""",TRUE,FILTER(Data!$R:$R,Data!$D:$D=J77,Data!$B:$B=$A77)),"""")"),"")</f>
        <v/>
      </c>
      <c r="W77" s="64" t="str">
        <f>IFERROR(__xludf.DUMMYFUNCTION("IFERROR(Textjoin("""",TRUE,FILTER(Data!$R:$R,Data!$D:$D=K77,Data!$B:$B=$A77)),"""")"),"")</f>
        <v/>
      </c>
      <c r="X77" s="64" t="str">
        <f>IFERROR(__xludf.DUMMYFUNCTION("IFERROR(Textjoin("""",TRUE,FILTER(Data!$R:$R,Data!$D:$D=L77,Data!$B:$B=$A77)),"""")"),"")</f>
        <v/>
      </c>
      <c r="Y77" s="64" t="str">
        <f>IFERROR(__xludf.DUMMYFUNCTION("IFERROR(Textjoin("""",TRUE,FILTER(Data!$R:$R,Data!$D:$D=M77,Data!$B:$B=$A77)),"""")"),"")</f>
        <v/>
      </c>
      <c r="Z77" s="64" t="str">
        <f>IFERROR(__xludf.DUMMYFUNCTION("IFERROR(SPLIT(N77,"",""),"""")"),"")</f>
        <v/>
      </c>
      <c r="AA77" s="65"/>
      <c r="AB77" s="65"/>
      <c r="AC77" s="69" t="str">
        <f>IFERROR(__xludf.DUMMYFUNCTION("IFERROR(SPLIT(O77,"",""),"""")"),"")</f>
        <v/>
      </c>
      <c r="AD77" s="65"/>
      <c r="AE77" s="65"/>
      <c r="AF77" s="69" t="str">
        <f>IFERROR(__xludf.DUMMYFUNCTION("IFERROR(SPLIT(P77,"",""),"""")"),"")</f>
        <v/>
      </c>
      <c r="AG77" s="65"/>
      <c r="AH77" s="65"/>
      <c r="AI77" s="69" t="str">
        <f>IFERROR(__xludf.DUMMYFUNCTION("IFERROR(SPLIT(Q77,"",""),"""")"),"")</f>
        <v/>
      </c>
      <c r="AJ77" s="65"/>
      <c r="AK77" s="65"/>
      <c r="AL77" s="69" t="str">
        <f>IFERROR(__xludf.DUMMYFUNCTION("IFERROR(SPLIT(R77,"",""),"""")"),"")</f>
        <v/>
      </c>
      <c r="AM77" s="65"/>
      <c r="AN77" s="65"/>
      <c r="AO77" s="69" t="str">
        <f>IFERROR(__xludf.DUMMYFUNCTION("IFERROR(SPLIT(S77,"",""),"""")"),"")</f>
        <v/>
      </c>
      <c r="AP77" s="65"/>
      <c r="AQ77" s="65"/>
      <c r="AR77" s="69" t="str">
        <f>IFERROR(__xludf.DUMMYFUNCTION("IFERROR(SPLIT(T77,"",""),"""")"),"")</f>
        <v/>
      </c>
      <c r="AS77" s="65"/>
      <c r="AT77" s="65"/>
      <c r="AU77" s="69" t="str">
        <f>IFERROR(__xludf.DUMMYFUNCTION("IFERROR(SPLIT(U77,"",""),"""")"),"")</f>
        <v/>
      </c>
      <c r="AV77" s="65"/>
      <c r="AW77" s="65"/>
      <c r="AX77" s="69" t="str">
        <f>IFERROR(__xludf.DUMMYFUNCTION("IFERROR(SPLIT(V77,"",""),"""")"),"")</f>
        <v/>
      </c>
      <c r="AY77" s="65"/>
      <c r="AZ77" s="65"/>
      <c r="BA77" s="69" t="str">
        <f>IFERROR(__xludf.DUMMYFUNCTION("IFERROR(SPLIT(W77,"",""),"""")"),"")</f>
        <v/>
      </c>
      <c r="BB77" s="69"/>
      <c r="BC77" s="69"/>
      <c r="BD77" s="69" t="str">
        <f>IFERROR(__xludf.DUMMYFUNCTION("IFERROR(SPLIT(X77,"",""),"""")"),"")</f>
        <v/>
      </c>
      <c r="BE77" s="69"/>
      <c r="BF77" s="69"/>
      <c r="BG77" s="69" t="str">
        <f>IFERROR(__xludf.DUMMYFUNCTION("IFERROR(SPLIT(Y77,"",""),"""")"),"")</f>
        <v/>
      </c>
      <c r="BH77" s="69"/>
      <c r="BI77" s="69"/>
      <c r="BJ77" s="68" t="str">
        <f>IFERROR(__xludf.DUMMYFUNCTION("IF($B77&lt;&gt;"""",IFERROR(FILTER(RawTotals!$AJ:$AJ,RawTotals!$A:$A=Z77)-(FILTER(Data!$K:$K,Data!$B:$B=Z77,Data!$D:$D=$B77)+FILTER(Data!$L:$L,Data!$B:$B=Z77,Data!$D:$D=$B77)),""""),"""")"),"")</f>
        <v/>
      </c>
      <c r="BK77" s="68" t="str">
        <f>IFERROR(__xludf.DUMMYFUNCTION("IF($B77&lt;&gt;"""",IFERROR(FILTER(RawTotals!$AJ:$AJ,RawTotals!$A:$A=AA77)-(FILTER(Data!$K:$K,Data!$B:$B=AA77,Data!$D:$D=$B77)+FILTER(Data!$L:$L,Data!$B:$B=AA77,Data!$D:$D=$B77)),""""),"""")"),"")</f>
        <v/>
      </c>
      <c r="BL77" s="68" t="str">
        <f>IFERROR(__xludf.DUMMYFUNCTION("IF($B77&lt;&gt;"""",IFERROR(FILTER(RawTotals!$AJ:$AJ,RawTotals!$A:$A=AB77)-(FILTER(Data!$K:$K,Data!$B:$B=AB77,Data!$D:$D=$B77)+FILTER(Data!$L:$L,Data!$B:$B=AB77,Data!$D:$D=$B77)),""""),"""")"),"")</f>
        <v/>
      </c>
      <c r="BM77" s="69" t="str">
        <f>IFERROR(__xludf.DUMMYFUNCTION("IF($C77&lt;&gt;"""",IFERROR(FILTER(RawTotals!$AJ:$AJ,RawTotals!$A:$A=AC77)-(FILTER(Data!$K:$K,Data!$B:$B=AC77,Data!$D:$D=$C77)+FILTER(Data!$L:$L,Data!$B:$B=AC77,Data!$D:$D=$C77)),""""),"""")"),"")</f>
        <v/>
      </c>
      <c r="BN77" s="69" t="str">
        <f>IFERROR(__xludf.DUMMYFUNCTION("IF($C77&lt;&gt;"""",IFERROR(FILTER(RawTotals!$AJ:$AJ,RawTotals!$A:$A=AD77)-(FILTER(Data!$K:$K,Data!$B:$B=AD77,Data!$D:$D=$C77)+FILTER(Data!$L:$L,Data!$B:$B=AD77,Data!$D:$D=$C77)),""""),"""")"),"")</f>
        <v/>
      </c>
      <c r="BO77" s="69" t="str">
        <f>IFERROR(__xludf.DUMMYFUNCTION("IF($C77&lt;&gt;"""",IFERROR(FILTER(RawTotals!$AJ:$AJ,RawTotals!$A:$A=AE77)-(FILTER(Data!$K:$K,Data!$B:$B=AE77,Data!$D:$D=$C77)+FILTER(Data!$L:$L,Data!$B:$B=AE77,Data!$D:$D=$C77)),""""),"""")"),"")</f>
        <v/>
      </c>
      <c r="BP77" s="69" t="str">
        <f>IFERROR(__xludf.DUMMYFUNCTION("IF($D77&lt;&gt;"""",IFERROR(FILTER(RawTotals!$AJ:$AJ,RawTotals!$A:$A=AF77)-(FILTER(Data!$K:$K,Data!$B:$B=AF77,Data!$D:$D=$D77)+FILTER(Data!$L:$L,Data!$B:$B=AF77,Data!$D:$D=$D77)),""""),"""")"),"")</f>
        <v/>
      </c>
      <c r="BQ77" s="69" t="str">
        <f>IFERROR(__xludf.DUMMYFUNCTION("IF($D77&lt;&gt;"""",IFERROR(FILTER(RawTotals!$AJ:$AJ,RawTotals!$A:$A=AG77)-(FILTER(Data!$K:$K,Data!$B:$B=AG77,Data!$D:$D=$D77)+FILTER(Data!$L:$L,Data!$B:$B=AG77,Data!$D:$D=$D77)),""""),"""")"),"")</f>
        <v/>
      </c>
      <c r="BR77" s="69" t="str">
        <f>IFERROR(__xludf.DUMMYFUNCTION("IF($D77&lt;&gt;"""",IFERROR(FILTER(RawTotals!$AJ:$AJ,RawTotals!$A:$A=AH77)-(FILTER(Data!$K:$K,Data!$B:$B=AH77,Data!$D:$D=$D77)+FILTER(Data!$L:$L,Data!$B:$B=AH77,Data!$D:$D=$D77)),""""),"""")"),"")</f>
        <v/>
      </c>
      <c r="BS77" s="69" t="str">
        <f>IFERROR(__xludf.DUMMYFUNCTION("IF($E77&lt;&gt;"""",IFERROR(FILTER(RawTotals!$AJ:$AJ,RawTotals!$A:$A=AI77)-(FILTER(Data!$K:$K,Data!$B:$B=AI77,Data!$D:$D=$E77)+FILTER(Data!$L:$L,Data!$B:$B=AI77,Data!$D:$D=$E77)),""""),"""")"),"")</f>
        <v/>
      </c>
      <c r="BT77" s="69" t="str">
        <f>IFERROR(__xludf.DUMMYFUNCTION("IF($E77&lt;&gt;"""",IFERROR(FILTER(RawTotals!$AJ:$AJ,RawTotals!$A:$A=AJ77)-(FILTER(Data!$K:$K,Data!$B:$B=AJ77,Data!$D:$D=$E77)+FILTER(Data!$L:$L,Data!$B:$B=AJ77,Data!$D:$D=$E77)),""""),"""")"),"")</f>
        <v/>
      </c>
      <c r="BU77" s="69" t="str">
        <f>IFERROR(__xludf.DUMMYFUNCTION("IF($E77&lt;&gt;"""",IFERROR(FILTER(RawTotals!$AJ:$AJ,RawTotals!$A:$A=AK77)-(FILTER(Data!$K:$K,Data!$B:$B=AK77,Data!$D:$D=$E77)+FILTER(Data!$L:$L,Data!$B:$B=AK77,Data!$D:$D=$E77)),""""),"""")"),"")</f>
        <v/>
      </c>
      <c r="BV77" s="69" t="str">
        <f>IFERROR(__xludf.DUMMYFUNCTION("IF($F77&lt;&gt;"""",IFERROR(FILTER(RawTotals!$AJ:$AJ,RawTotals!$A:$A=AL77)-(FILTER(Data!$K:$K,Data!$B:$B=AL77,Data!$D:$D=$F77)+FILTER(Data!$L:$L,Data!$B:$B=AL77,Data!$D:$D=$F77)),""""),"""")"),"")</f>
        <v/>
      </c>
      <c r="BW77" s="69" t="str">
        <f>IFERROR(__xludf.DUMMYFUNCTION("IF($F77&lt;&gt;"""",IFERROR(FILTER(RawTotals!$AJ:$AJ,RawTotals!$A:$A=AM77)-(FILTER(Data!$K:$K,Data!$B:$B=AM77,Data!$D:$D=$F77)+FILTER(Data!$L:$L,Data!$B:$B=AM77,Data!$D:$D=$F77)),""""),"""")"),"")</f>
        <v/>
      </c>
      <c r="BX77" s="69" t="str">
        <f>IFERROR(__xludf.DUMMYFUNCTION("IF($F77&lt;&gt;"""",IFERROR(FILTER(RawTotals!$AJ:$AJ,RawTotals!$A:$A=AN77)-(FILTER(Data!$K:$K,Data!$B:$B=AN77,Data!$D:$D=$F77)+FILTER(Data!$L:$L,Data!$B:$B=AN77,Data!$D:$D=$F77)),""""),"""")"),"")</f>
        <v/>
      </c>
      <c r="BY77" s="69" t="str">
        <f>IFERROR(__xludf.DUMMYFUNCTION("IF($G77&lt;&gt;"""",IFERROR(FILTER(RawTotals!$AJ:$AJ,RawTotals!$A:$A=AO77)-(FILTER(Data!$K:$K,Data!$B:$B=AO77,Data!$D:$D=$G77)+FILTER(Data!$L:$L,Data!$B:$B=AO77,Data!$D:$D=$G77)),""""),"""")"),"")</f>
        <v/>
      </c>
      <c r="BZ77" s="69" t="str">
        <f>IFERROR(__xludf.DUMMYFUNCTION("IF($G77&lt;&gt;"""",IFERROR(FILTER(RawTotals!$AJ:$AJ,RawTotals!$A:$A=AP77)-(FILTER(Data!$K:$K,Data!$B:$B=AP77,Data!$D:$D=$G77)+FILTER(Data!$L:$L,Data!$B:$B=AP77,Data!$D:$D=$G77)),""""),"""")"),"")</f>
        <v/>
      </c>
      <c r="CA77" s="69" t="str">
        <f>IFERROR(__xludf.DUMMYFUNCTION("IF($G77&lt;&gt;"""",IFERROR(FILTER(RawTotals!$AJ:$AJ,RawTotals!$A:$A=AQ77)-(FILTER(Data!$K:$K,Data!$B:$B=AQ77,Data!$D:$D=$G77)+FILTER(Data!$L:$L,Data!$B:$B=AQ77,Data!$D:$D=$G77)),""""),"""")"),"")</f>
        <v/>
      </c>
      <c r="CB77" s="69" t="str">
        <f>IFERROR(__xludf.DUMMYFUNCTION("IF($H77&lt;&gt;"""",IFERROR(FILTER(RawTotals!$AJ:$AJ,RawTotals!$A:$A=AR77)-(FILTER(Data!$K:$K,Data!$B:$B=AR77,Data!$D:$D=$H77)+FILTER(Data!$L:$L,Data!$B:$B=AR77,Data!$D:$D=$H77)),""""),"""")"),"")</f>
        <v/>
      </c>
      <c r="CC77" s="69" t="str">
        <f>IFERROR(__xludf.DUMMYFUNCTION("IF($H77&lt;&gt;"""",IFERROR(FILTER(RawTotals!$AJ:$AJ,RawTotals!$A:$A=AS77)-(FILTER(Data!$K:$K,Data!$B:$B=AS77,Data!$D:$D=$H77)+FILTER(Data!$L:$L,Data!$B:$B=AS77,Data!$D:$D=$H77)),""""),"""")"),"")</f>
        <v/>
      </c>
      <c r="CD77" s="69" t="str">
        <f>IFERROR(__xludf.DUMMYFUNCTION("IF($H77&lt;&gt;"""",IFERROR(FILTER(RawTotals!$AJ:$AJ,RawTotals!$A:$A=AT77)-(FILTER(Data!$K:$K,Data!$B:$B=AT77,Data!$D:$D=$H77)+FILTER(Data!$L:$L,Data!$B:$B=AT77,Data!$D:$D=$H77)),""""),"""")"),"")</f>
        <v/>
      </c>
      <c r="CE77" s="69" t="str">
        <f>IFERROR(__xludf.DUMMYFUNCTION("IF($I77&lt;&gt;"""",IFERROR(FILTER(RawTotals!$AJ:$AJ,RawTotals!$A:$A=AU77)-(FILTER(Data!$K:$K,Data!$B:$B=AU77,Data!$D:$D=$I77)+FILTER(Data!$L:$L,Data!$B:$B=AU77,Data!$D:$D=$I77)),""""),"""")"),"")</f>
        <v/>
      </c>
      <c r="CF77" s="69" t="str">
        <f>IFERROR(__xludf.DUMMYFUNCTION("IF($I77&lt;&gt;"""",IFERROR(FILTER(RawTotals!$AJ:$AJ,RawTotals!$A:$A=AV77)-(FILTER(Data!$K:$K,Data!$B:$B=AV77,Data!$D:$D=$I77)+FILTER(Data!$L:$L,Data!$B:$B=AV77,Data!$D:$D=$I77)),""""),"""")"),"")</f>
        <v/>
      </c>
      <c r="CG77" s="69" t="str">
        <f>IFERROR(__xludf.DUMMYFUNCTION("IF($I77&lt;&gt;"""",IFERROR(FILTER(RawTotals!$AJ:$AJ,RawTotals!$A:$A=AW77)-(FILTER(Data!$K:$K,Data!$B:$B=AW77,Data!$D:$D=$I77)+FILTER(Data!$L:$L,Data!$B:$B=AW77,Data!$D:$D=$I77)),""""),"""")"),"")</f>
        <v/>
      </c>
      <c r="CH77" s="69" t="str">
        <f>IFERROR(__xludf.DUMMYFUNCTION("IF($J77&lt;&gt;"""",IFERROR(FILTER(RawTotals!$AJ:$AJ,RawTotals!$A:$A=AX77)-(FILTER(Data!$K:$K,Data!$B:$B=AX77,Data!$D:$D=$J77)+FILTER(Data!$L:$L,Data!$B:$B=AX77,Data!$D:$D=$J77)),""""),"""")"),"")</f>
        <v/>
      </c>
      <c r="CI77" s="69" t="str">
        <f>IFERROR(__xludf.DUMMYFUNCTION("IF($J77&lt;&gt;"""",IFERROR(FILTER(RawTotals!$AJ:$AJ,RawTotals!$A:$A=AY77)-(FILTER(Data!$K:$K,Data!$B:$B=AY77,Data!$D:$D=$J77)+FILTER(Data!$L:$L,Data!$B:$B=AY77,Data!$D:$D=$J77)),""""),"""")"),"")</f>
        <v/>
      </c>
      <c r="CJ77" s="69" t="str">
        <f>IFERROR(__xludf.DUMMYFUNCTION("IF($J77&lt;&gt;"""",IFERROR(FILTER(RawTotals!$AJ:$AJ,RawTotals!$A:$A=AZ77)-(FILTER(Data!$K:$K,Data!$B:$B=AZ77,Data!$D:$D=$J77)+FILTER(Data!$L:$L,Data!$B:$B=AZ77,Data!$D:$D=$J77)),""""),"""")"),"")</f>
        <v/>
      </c>
      <c r="CK77" s="69" t="str">
        <f>IFERROR(__xludf.DUMMYFUNCTION("IF($K77&lt;&gt;"""",IFERROR(FILTER(RawTotals!$AJ:$AJ,RawTotals!$A:$A=BA77)-(FILTER(Data!$K:$K,Data!$B:$B=BA77,Data!$D:$D=$K77)+FILTER(Data!$L:$L,Data!$B:$B=BA77,Data!$D:$D=$K77)),""""),"""")"),"")</f>
        <v/>
      </c>
      <c r="CL77" s="69" t="str">
        <f>IFERROR(__xludf.DUMMYFUNCTION("IF($K77&lt;&gt;"""",IFERROR(FILTER(RawTotals!$AJ:$AJ,RawTotals!$A:$A=BB77)-(FILTER(Data!$K:$K,Data!$B:$B=BB77,Data!$D:$D=$K77)+FILTER(Data!$L:$L,Data!$B:$B=BB77,Data!$D:$D=$K77)),""""),"""")"),"")</f>
        <v/>
      </c>
      <c r="CM77" s="69" t="str">
        <f>IFERROR(__xludf.DUMMYFUNCTION("IF($K77&lt;&gt;"""",IFERROR(FILTER(RawTotals!$AJ:$AJ,RawTotals!$A:$A=BC77)-(FILTER(Data!$K:$K,Data!$B:$B=BC77,Data!$D:$D=$K77)+FILTER(Data!$L:$L,Data!$B:$B=BC77,Data!$D:$D=$K77)),""""),"""")"),"")</f>
        <v/>
      </c>
      <c r="CN77" s="69" t="str">
        <f>IFERROR(__xludf.DUMMYFUNCTION("IF($L77&lt;&gt;"""",IFERROR((FILTER(RawTotals!$AJ:$AJ,RawTotals!$A:$A=BD77)-(FILTER(Data!$K:$K,Data!$B:$B=BD77,Data!$D:$D=$L77)+FILTER(Data!$L:$L,Data!$B:$B=BD77,Data!$D:$D=$L77))),""""),"""")"),"")</f>
        <v/>
      </c>
      <c r="CO77" s="69" t="str">
        <f>IFERROR(__xludf.DUMMYFUNCTION("IF($L77&lt;&gt;"""",IFERROR((FILTER(RawTotals!$AJ:$AJ,RawTotals!$A:$A=BE77)-(FILTER(Data!$K:$K,Data!$B:$B=BE77,Data!$D:$D=$L77)+FILTER(Data!$L:$L,Data!$B:$B=BE77,Data!$D:$D=$L77))),""""),"""")"),"")</f>
        <v/>
      </c>
      <c r="CP77" s="69" t="str">
        <f>IFERROR(__xludf.DUMMYFUNCTION("IF($L77&lt;&gt;"""",IFERROR((FILTER(RawTotals!$AJ:$AJ,RawTotals!$A:$A=BF77)-(FILTER(Data!$K:$K,Data!$B:$B=BF77,Data!$D:$D=$L77)+FILTER(Data!$L:$L,Data!$B:$B=BF77,Data!$D:$D=$L77))),""""),"""")"),"")</f>
        <v/>
      </c>
      <c r="CQ77" s="69" t="str">
        <f>IFERROR(__xludf.DUMMYFUNCTION("IF($M77&lt;&gt;"""",IFERROR((FILTER(RawTotals!$AJ:$AJ,RawTotals!$A:$A=BG77)-(FILTER(Data!$K:$K,Data!$B:$B=BG77,Data!$D:$D=$M77)+FILTER(Data!$L:$L,Data!$B:$B=BG77,Data!$D:$D=$M77))),""""),"""")"),"")</f>
        <v/>
      </c>
      <c r="CR77" s="69" t="str">
        <f>IFERROR(__xludf.DUMMYFUNCTION("IF($M77&lt;&gt;"""",IFERROR((FILTER(RawTotals!$AJ:$AJ,RawTotals!$A:$A=BH77)-(FILTER(Data!$K:$K,Data!$B:$B=BH77,Data!$D:$D=$M77)+FILTER(Data!$L:$L,Data!$B:$B=BH77,Data!$D:$D=$M77))),""""),"""")"),"")</f>
        <v/>
      </c>
      <c r="CS77" s="70" t="str">
        <f>IFERROR(__xludf.DUMMYFUNCTION("IF($M77&lt;&gt;"""",IFERROR((FILTER(RawTotals!$AJ:$AJ,RawTotals!$A:$A=BI77)-(FILTER(Data!$K:$K,Data!$B:$B=BI77,Data!$D:$D=$M77)+FILTER(Data!$L:$L,Data!$B:$B=BI77,Data!$D:$D=$M77))),""""),"""")"),"")</f>
        <v/>
      </c>
      <c r="CT77" s="69"/>
      <c r="CU77" s="69"/>
      <c r="CV77" s="69"/>
      <c r="CW77" s="69"/>
      <c r="CX77" s="69"/>
      <c r="CY77" s="69"/>
      <c r="CZ77" s="69"/>
      <c r="DA77" s="69"/>
      <c r="DB77" s="69"/>
      <c r="DC77" s="69"/>
      <c r="DD77" s="69"/>
      <c r="DE77" s="69"/>
    </row>
    <row r="78">
      <c r="A78" s="65" t="str">
        <f>RawTotals!A78</f>
        <v/>
      </c>
      <c r="B78" s="68" t="str">
        <f>IFERROR(__xludf.DUMMYFUNCTION("IF(A78&lt;&gt;"""",IFERROR(TRANSPOSE(FILTER(Data!D:D,Data!B:B=A78,Data!R:R&lt;&gt;"""")),""No Defense""),"""")"),"")</f>
        <v/>
      </c>
      <c r="C78" s="65"/>
      <c r="D78" s="65"/>
      <c r="E78" s="65"/>
      <c r="F78" s="65"/>
      <c r="G78" s="65"/>
      <c r="H78" s="65"/>
      <c r="I78" s="65"/>
      <c r="J78" s="65"/>
      <c r="K78" s="65"/>
      <c r="L78" s="65"/>
      <c r="M78" s="65"/>
      <c r="N78" s="64" t="str">
        <f>IFERROR(__xludf.DUMMYFUNCTION("IFERROR(Textjoin("""",TRUE,FILTER(Data!$R:$R,Data!$D:$D=B78,Data!$B:$B=$A78)),"""")"),"")</f>
        <v/>
      </c>
      <c r="O78" s="64" t="str">
        <f>IFERROR(__xludf.DUMMYFUNCTION("IFERROR(Textjoin("""",TRUE,FILTER(Data!$R:$R,Data!$D:$D=C78,Data!$B:$B=$A78)),"""")"),"")</f>
        <v/>
      </c>
      <c r="P78" s="64" t="str">
        <f>IFERROR(__xludf.DUMMYFUNCTION("IFERROR(Textjoin("""",TRUE,FILTER(Data!$R:$R,Data!$D:$D=D78,Data!$B:$B=$A78)),"""")"),"")</f>
        <v/>
      </c>
      <c r="Q78" s="64" t="str">
        <f>IFERROR(__xludf.DUMMYFUNCTION("IFERROR(Textjoin("""",TRUE,FILTER(Data!$R:$R,Data!$D:$D=E78,Data!$B:$B=$A78)),"""")"),"")</f>
        <v/>
      </c>
      <c r="R78" s="64" t="str">
        <f>IFERROR(__xludf.DUMMYFUNCTION("IFERROR(Textjoin("""",TRUE,FILTER(Data!$R:$R,Data!$D:$D=F78,Data!$B:$B=$A78)),"""")"),"")</f>
        <v/>
      </c>
      <c r="S78" s="64" t="str">
        <f>IFERROR(__xludf.DUMMYFUNCTION("IFERROR(Textjoin("""",TRUE,FILTER(Data!$R:$R,Data!$D:$D=G78,Data!$B:$B=$A78)),"""")"),"")</f>
        <v/>
      </c>
      <c r="T78" s="64" t="str">
        <f>IFERROR(__xludf.DUMMYFUNCTION("IFERROR(Textjoin("""",TRUE,FILTER(Data!$R:$R,Data!$D:$D=H78,Data!$B:$B=$A78)),"""")"),"")</f>
        <v/>
      </c>
      <c r="U78" s="64" t="str">
        <f>IFERROR(__xludf.DUMMYFUNCTION("IFERROR(Textjoin("""",TRUE,FILTER(Data!$R:$R,Data!$D:$D=I78,Data!$B:$B=$A78)),"""")"),"")</f>
        <v/>
      </c>
      <c r="V78" s="64" t="str">
        <f>IFERROR(__xludf.DUMMYFUNCTION("IFERROR(Textjoin("""",TRUE,FILTER(Data!$R:$R,Data!$D:$D=J78,Data!$B:$B=$A78)),"""")"),"")</f>
        <v/>
      </c>
      <c r="W78" s="64" t="str">
        <f>IFERROR(__xludf.DUMMYFUNCTION("IFERROR(Textjoin("""",TRUE,FILTER(Data!$R:$R,Data!$D:$D=K78,Data!$B:$B=$A78)),"""")"),"")</f>
        <v/>
      </c>
      <c r="X78" s="64" t="str">
        <f>IFERROR(__xludf.DUMMYFUNCTION("IFERROR(Textjoin("""",TRUE,FILTER(Data!$R:$R,Data!$D:$D=L78,Data!$B:$B=$A78)),"""")"),"")</f>
        <v/>
      </c>
      <c r="Y78" s="64" t="str">
        <f>IFERROR(__xludf.DUMMYFUNCTION("IFERROR(Textjoin("""",TRUE,FILTER(Data!$R:$R,Data!$D:$D=M78,Data!$B:$B=$A78)),"""")"),"")</f>
        <v/>
      </c>
      <c r="Z78" s="64" t="str">
        <f>IFERROR(__xludf.DUMMYFUNCTION("IFERROR(SPLIT(N78,"",""),"""")"),"")</f>
        <v/>
      </c>
      <c r="AA78" s="65"/>
      <c r="AB78" s="65"/>
      <c r="AC78" s="69" t="str">
        <f>IFERROR(__xludf.DUMMYFUNCTION("IFERROR(SPLIT(O78,"",""),"""")"),"")</f>
        <v/>
      </c>
      <c r="AD78" s="65"/>
      <c r="AE78" s="65"/>
      <c r="AF78" s="69" t="str">
        <f>IFERROR(__xludf.DUMMYFUNCTION("IFERROR(SPLIT(P78,"",""),"""")"),"")</f>
        <v/>
      </c>
      <c r="AG78" s="65"/>
      <c r="AH78" s="65"/>
      <c r="AI78" s="69" t="str">
        <f>IFERROR(__xludf.DUMMYFUNCTION("IFERROR(SPLIT(Q78,"",""),"""")"),"")</f>
        <v/>
      </c>
      <c r="AJ78" s="65"/>
      <c r="AK78" s="65"/>
      <c r="AL78" s="69" t="str">
        <f>IFERROR(__xludf.DUMMYFUNCTION("IFERROR(SPLIT(R78,"",""),"""")"),"")</f>
        <v/>
      </c>
      <c r="AM78" s="65"/>
      <c r="AN78" s="65"/>
      <c r="AO78" s="69" t="str">
        <f>IFERROR(__xludf.DUMMYFUNCTION("IFERROR(SPLIT(S78,"",""),"""")"),"")</f>
        <v/>
      </c>
      <c r="AP78" s="65"/>
      <c r="AQ78" s="65"/>
      <c r="AR78" s="69" t="str">
        <f>IFERROR(__xludf.DUMMYFUNCTION("IFERROR(SPLIT(T78,"",""),"""")"),"")</f>
        <v/>
      </c>
      <c r="AS78" s="65"/>
      <c r="AT78" s="65"/>
      <c r="AU78" s="69" t="str">
        <f>IFERROR(__xludf.DUMMYFUNCTION("IFERROR(SPLIT(U78,"",""),"""")"),"")</f>
        <v/>
      </c>
      <c r="AV78" s="65"/>
      <c r="AW78" s="65"/>
      <c r="AX78" s="69" t="str">
        <f>IFERROR(__xludf.DUMMYFUNCTION("IFERROR(SPLIT(V78,"",""),"""")"),"")</f>
        <v/>
      </c>
      <c r="AY78" s="65"/>
      <c r="AZ78" s="65"/>
      <c r="BA78" s="69" t="str">
        <f>IFERROR(__xludf.DUMMYFUNCTION("IFERROR(SPLIT(W78,"",""),"""")"),"")</f>
        <v/>
      </c>
      <c r="BB78" s="69"/>
      <c r="BC78" s="69"/>
      <c r="BD78" s="69" t="str">
        <f>IFERROR(__xludf.DUMMYFUNCTION("IFERROR(SPLIT(X78,"",""),"""")"),"")</f>
        <v/>
      </c>
      <c r="BE78" s="69"/>
      <c r="BF78" s="69"/>
      <c r="BG78" s="69" t="str">
        <f>IFERROR(__xludf.DUMMYFUNCTION("IFERROR(SPLIT(Y78,"",""),"""")"),"")</f>
        <v/>
      </c>
      <c r="BH78" s="69"/>
      <c r="BI78" s="69"/>
      <c r="BJ78" s="68" t="str">
        <f>IFERROR(__xludf.DUMMYFUNCTION("IF($B78&lt;&gt;"""",IFERROR(FILTER(RawTotals!$AJ:$AJ,RawTotals!$A:$A=Z78)-(FILTER(Data!$K:$K,Data!$B:$B=Z78,Data!$D:$D=$B78)+FILTER(Data!$L:$L,Data!$B:$B=Z78,Data!$D:$D=$B78)),""""),"""")"),"")</f>
        <v/>
      </c>
      <c r="BK78" s="68" t="str">
        <f>IFERROR(__xludf.DUMMYFUNCTION("IF($B78&lt;&gt;"""",IFERROR(FILTER(RawTotals!$AJ:$AJ,RawTotals!$A:$A=AA78)-(FILTER(Data!$K:$K,Data!$B:$B=AA78,Data!$D:$D=$B78)+FILTER(Data!$L:$L,Data!$B:$B=AA78,Data!$D:$D=$B78)),""""),"""")"),"")</f>
        <v/>
      </c>
      <c r="BL78" s="68" t="str">
        <f>IFERROR(__xludf.DUMMYFUNCTION("IF($B78&lt;&gt;"""",IFERROR(FILTER(RawTotals!$AJ:$AJ,RawTotals!$A:$A=AB78)-(FILTER(Data!$K:$K,Data!$B:$B=AB78,Data!$D:$D=$B78)+FILTER(Data!$L:$L,Data!$B:$B=AB78,Data!$D:$D=$B78)),""""),"""")"),"")</f>
        <v/>
      </c>
      <c r="BM78" s="69" t="str">
        <f>IFERROR(__xludf.DUMMYFUNCTION("IF($C78&lt;&gt;"""",IFERROR(FILTER(RawTotals!$AJ:$AJ,RawTotals!$A:$A=AC78)-(FILTER(Data!$K:$K,Data!$B:$B=AC78,Data!$D:$D=$C78)+FILTER(Data!$L:$L,Data!$B:$B=AC78,Data!$D:$D=$C78)),""""),"""")"),"")</f>
        <v/>
      </c>
      <c r="BN78" s="69" t="str">
        <f>IFERROR(__xludf.DUMMYFUNCTION("IF($C78&lt;&gt;"""",IFERROR(FILTER(RawTotals!$AJ:$AJ,RawTotals!$A:$A=AD78)-(FILTER(Data!$K:$K,Data!$B:$B=AD78,Data!$D:$D=$C78)+FILTER(Data!$L:$L,Data!$B:$B=AD78,Data!$D:$D=$C78)),""""),"""")"),"")</f>
        <v/>
      </c>
      <c r="BO78" s="69" t="str">
        <f>IFERROR(__xludf.DUMMYFUNCTION("IF($C78&lt;&gt;"""",IFERROR(FILTER(RawTotals!$AJ:$AJ,RawTotals!$A:$A=AE78)-(FILTER(Data!$K:$K,Data!$B:$B=AE78,Data!$D:$D=$C78)+FILTER(Data!$L:$L,Data!$B:$B=AE78,Data!$D:$D=$C78)),""""),"""")"),"")</f>
        <v/>
      </c>
      <c r="BP78" s="69" t="str">
        <f>IFERROR(__xludf.DUMMYFUNCTION("IF($D78&lt;&gt;"""",IFERROR(FILTER(RawTotals!$AJ:$AJ,RawTotals!$A:$A=AF78)-(FILTER(Data!$K:$K,Data!$B:$B=AF78,Data!$D:$D=$D78)+FILTER(Data!$L:$L,Data!$B:$B=AF78,Data!$D:$D=$D78)),""""),"""")"),"")</f>
        <v/>
      </c>
      <c r="BQ78" s="69" t="str">
        <f>IFERROR(__xludf.DUMMYFUNCTION("IF($D78&lt;&gt;"""",IFERROR(FILTER(RawTotals!$AJ:$AJ,RawTotals!$A:$A=AG78)-(FILTER(Data!$K:$K,Data!$B:$B=AG78,Data!$D:$D=$D78)+FILTER(Data!$L:$L,Data!$B:$B=AG78,Data!$D:$D=$D78)),""""),"""")"),"")</f>
        <v/>
      </c>
      <c r="BR78" s="69" t="str">
        <f>IFERROR(__xludf.DUMMYFUNCTION("IF($D78&lt;&gt;"""",IFERROR(FILTER(RawTotals!$AJ:$AJ,RawTotals!$A:$A=AH78)-(FILTER(Data!$K:$K,Data!$B:$B=AH78,Data!$D:$D=$D78)+FILTER(Data!$L:$L,Data!$B:$B=AH78,Data!$D:$D=$D78)),""""),"""")"),"")</f>
        <v/>
      </c>
      <c r="BS78" s="69" t="str">
        <f>IFERROR(__xludf.DUMMYFUNCTION("IF($E78&lt;&gt;"""",IFERROR(FILTER(RawTotals!$AJ:$AJ,RawTotals!$A:$A=AI78)-(FILTER(Data!$K:$K,Data!$B:$B=AI78,Data!$D:$D=$E78)+FILTER(Data!$L:$L,Data!$B:$B=AI78,Data!$D:$D=$E78)),""""),"""")"),"")</f>
        <v/>
      </c>
      <c r="BT78" s="69" t="str">
        <f>IFERROR(__xludf.DUMMYFUNCTION("IF($E78&lt;&gt;"""",IFERROR(FILTER(RawTotals!$AJ:$AJ,RawTotals!$A:$A=AJ78)-(FILTER(Data!$K:$K,Data!$B:$B=AJ78,Data!$D:$D=$E78)+FILTER(Data!$L:$L,Data!$B:$B=AJ78,Data!$D:$D=$E78)),""""),"""")"),"")</f>
        <v/>
      </c>
      <c r="BU78" s="69" t="str">
        <f>IFERROR(__xludf.DUMMYFUNCTION("IF($E78&lt;&gt;"""",IFERROR(FILTER(RawTotals!$AJ:$AJ,RawTotals!$A:$A=AK78)-(FILTER(Data!$K:$K,Data!$B:$B=AK78,Data!$D:$D=$E78)+FILTER(Data!$L:$L,Data!$B:$B=AK78,Data!$D:$D=$E78)),""""),"""")"),"")</f>
        <v/>
      </c>
      <c r="BV78" s="69" t="str">
        <f>IFERROR(__xludf.DUMMYFUNCTION("IF($F78&lt;&gt;"""",IFERROR(FILTER(RawTotals!$AJ:$AJ,RawTotals!$A:$A=AL78)-(FILTER(Data!$K:$K,Data!$B:$B=AL78,Data!$D:$D=$F78)+FILTER(Data!$L:$L,Data!$B:$B=AL78,Data!$D:$D=$F78)),""""),"""")"),"")</f>
        <v/>
      </c>
      <c r="BW78" s="69" t="str">
        <f>IFERROR(__xludf.DUMMYFUNCTION("IF($F78&lt;&gt;"""",IFERROR(FILTER(RawTotals!$AJ:$AJ,RawTotals!$A:$A=AM78)-(FILTER(Data!$K:$K,Data!$B:$B=AM78,Data!$D:$D=$F78)+FILTER(Data!$L:$L,Data!$B:$B=AM78,Data!$D:$D=$F78)),""""),"""")"),"")</f>
        <v/>
      </c>
      <c r="BX78" s="69" t="str">
        <f>IFERROR(__xludf.DUMMYFUNCTION("IF($F78&lt;&gt;"""",IFERROR(FILTER(RawTotals!$AJ:$AJ,RawTotals!$A:$A=AN78)-(FILTER(Data!$K:$K,Data!$B:$B=AN78,Data!$D:$D=$F78)+FILTER(Data!$L:$L,Data!$B:$B=AN78,Data!$D:$D=$F78)),""""),"""")"),"")</f>
        <v/>
      </c>
      <c r="BY78" s="69" t="str">
        <f>IFERROR(__xludf.DUMMYFUNCTION("IF($G78&lt;&gt;"""",IFERROR(FILTER(RawTotals!$AJ:$AJ,RawTotals!$A:$A=AO78)-(FILTER(Data!$K:$K,Data!$B:$B=AO78,Data!$D:$D=$G78)+FILTER(Data!$L:$L,Data!$B:$B=AO78,Data!$D:$D=$G78)),""""),"""")"),"")</f>
        <v/>
      </c>
      <c r="BZ78" s="69" t="str">
        <f>IFERROR(__xludf.DUMMYFUNCTION("IF($G78&lt;&gt;"""",IFERROR(FILTER(RawTotals!$AJ:$AJ,RawTotals!$A:$A=AP78)-(FILTER(Data!$K:$K,Data!$B:$B=AP78,Data!$D:$D=$G78)+FILTER(Data!$L:$L,Data!$B:$B=AP78,Data!$D:$D=$G78)),""""),"""")"),"")</f>
        <v/>
      </c>
      <c r="CA78" s="69" t="str">
        <f>IFERROR(__xludf.DUMMYFUNCTION("IF($G78&lt;&gt;"""",IFERROR(FILTER(RawTotals!$AJ:$AJ,RawTotals!$A:$A=AQ78)-(FILTER(Data!$K:$K,Data!$B:$B=AQ78,Data!$D:$D=$G78)+FILTER(Data!$L:$L,Data!$B:$B=AQ78,Data!$D:$D=$G78)),""""),"""")"),"")</f>
        <v/>
      </c>
      <c r="CB78" s="69" t="str">
        <f>IFERROR(__xludf.DUMMYFUNCTION("IF($H78&lt;&gt;"""",IFERROR(FILTER(RawTotals!$AJ:$AJ,RawTotals!$A:$A=AR78)-(FILTER(Data!$K:$K,Data!$B:$B=AR78,Data!$D:$D=$H78)+FILTER(Data!$L:$L,Data!$B:$B=AR78,Data!$D:$D=$H78)),""""),"""")"),"")</f>
        <v/>
      </c>
      <c r="CC78" s="69" t="str">
        <f>IFERROR(__xludf.DUMMYFUNCTION("IF($H78&lt;&gt;"""",IFERROR(FILTER(RawTotals!$AJ:$AJ,RawTotals!$A:$A=AS78)-(FILTER(Data!$K:$K,Data!$B:$B=AS78,Data!$D:$D=$H78)+FILTER(Data!$L:$L,Data!$B:$B=AS78,Data!$D:$D=$H78)),""""),"""")"),"")</f>
        <v/>
      </c>
      <c r="CD78" s="69" t="str">
        <f>IFERROR(__xludf.DUMMYFUNCTION("IF($H78&lt;&gt;"""",IFERROR(FILTER(RawTotals!$AJ:$AJ,RawTotals!$A:$A=AT78)-(FILTER(Data!$K:$K,Data!$B:$B=AT78,Data!$D:$D=$H78)+FILTER(Data!$L:$L,Data!$B:$B=AT78,Data!$D:$D=$H78)),""""),"""")"),"")</f>
        <v/>
      </c>
      <c r="CE78" s="69" t="str">
        <f>IFERROR(__xludf.DUMMYFUNCTION("IF($I78&lt;&gt;"""",IFERROR(FILTER(RawTotals!$AJ:$AJ,RawTotals!$A:$A=AU78)-(FILTER(Data!$K:$K,Data!$B:$B=AU78,Data!$D:$D=$I78)+FILTER(Data!$L:$L,Data!$B:$B=AU78,Data!$D:$D=$I78)),""""),"""")"),"")</f>
        <v/>
      </c>
      <c r="CF78" s="69" t="str">
        <f>IFERROR(__xludf.DUMMYFUNCTION("IF($I78&lt;&gt;"""",IFERROR(FILTER(RawTotals!$AJ:$AJ,RawTotals!$A:$A=AV78)-(FILTER(Data!$K:$K,Data!$B:$B=AV78,Data!$D:$D=$I78)+FILTER(Data!$L:$L,Data!$B:$B=AV78,Data!$D:$D=$I78)),""""),"""")"),"")</f>
        <v/>
      </c>
      <c r="CG78" s="69" t="str">
        <f>IFERROR(__xludf.DUMMYFUNCTION("IF($I78&lt;&gt;"""",IFERROR(FILTER(RawTotals!$AJ:$AJ,RawTotals!$A:$A=AW78)-(FILTER(Data!$K:$K,Data!$B:$B=AW78,Data!$D:$D=$I78)+FILTER(Data!$L:$L,Data!$B:$B=AW78,Data!$D:$D=$I78)),""""),"""")"),"")</f>
        <v/>
      </c>
      <c r="CH78" s="69" t="str">
        <f>IFERROR(__xludf.DUMMYFUNCTION("IF($J78&lt;&gt;"""",IFERROR(FILTER(RawTotals!$AJ:$AJ,RawTotals!$A:$A=AX78)-(FILTER(Data!$K:$K,Data!$B:$B=AX78,Data!$D:$D=$J78)+FILTER(Data!$L:$L,Data!$B:$B=AX78,Data!$D:$D=$J78)),""""),"""")"),"")</f>
        <v/>
      </c>
      <c r="CI78" s="69" t="str">
        <f>IFERROR(__xludf.DUMMYFUNCTION("IF($J78&lt;&gt;"""",IFERROR(FILTER(RawTotals!$AJ:$AJ,RawTotals!$A:$A=AY78)-(FILTER(Data!$K:$K,Data!$B:$B=AY78,Data!$D:$D=$J78)+FILTER(Data!$L:$L,Data!$B:$B=AY78,Data!$D:$D=$J78)),""""),"""")"),"")</f>
        <v/>
      </c>
      <c r="CJ78" s="69" t="str">
        <f>IFERROR(__xludf.DUMMYFUNCTION("IF($J78&lt;&gt;"""",IFERROR(FILTER(RawTotals!$AJ:$AJ,RawTotals!$A:$A=AZ78)-(FILTER(Data!$K:$K,Data!$B:$B=AZ78,Data!$D:$D=$J78)+FILTER(Data!$L:$L,Data!$B:$B=AZ78,Data!$D:$D=$J78)),""""),"""")"),"")</f>
        <v/>
      </c>
      <c r="CK78" s="69" t="str">
        <f>IFERROR(__xludf.DUMMYFUNCTION("IF($K78&lt;&gt;"""",IFERROR(FILTER(RawTotals!$AJ:$AJ,RawTotals!$A:$A=BA78)-(FILTER(Data!$K:$K,Data!$B:$B=BA78,Data!$D:$D=$K78)+FILTER(Data!$L:$L,Data!$B:$B=BA78,Data!$D:$D=$K78)),""""),"""")"),"")</f>
        <v/>
      </c>
      <c r="CL78" s="69" t="str">
        <f>IFERROR(__xludf.DUMMYFUNCTION("IF($K78&lt;&gt;"""",IFERROR(FILTER(RawTotals!$AJ:$AJ,RawTotals!$A:$A=BB78)-(FILTER(Data!$K:$K,Data!$B:$B=BB78,Data!$D:$D=$K78)+FILTER(Data!$L:$L,Data!$B:$B=BB78,Data!$D:$D=$K78)),""""),"""")"),"")</f>
        <v/>
      </c>
      <c r="CM78" s="69" t="str">
        <f>IFERROR(__xludf.DUMMYFUNCTION("IF($K78&lt;&gt;"""",IFERROR(FILTER(RawTotals!$AJ:$AJ,RawTotals!$A:$A=BC78)-(FILTER(Data!$K:$K,Data!$B:$B=BC78,Data!$D:$D=$K78)+FILTER(Data!$L:$L,Data!$B:$B=BC78,Data!$D:$D=$K78)),""""),"""")"),"")</f>
        <v/>
      </c>
      <c r="CN78" s="69" t="str">
        <f>IFERROR(__xludf.DUMMYFUNCTION("IF($L78&lt;&gt;"""",IFERROR((FILTER(RawTotals!$AJ:$AJ,RawTotals!$A:$A=BD78)-(FILTER(Data!$K:$K,Data!$B:$B=BD78,Data!$D:$D=$L78)+FILTER(Data!$L:$L,Data!$B:$B=BD78,Data!$D:$D=$L78))),""""),"""")"),"")</f>
        <v/>
      </c>
      <c r="CO78" s="69" t="str">
        <f>IFERROR(__xludf.DUMMYFUNCTION("IF($L78&lt;&gt;"""",IFERROR((FILTER(RawTotals!$AJ:$AJ,RawTotals!$A:$A=BE78)-(FILTER(Data!$K:$K,Data!$B:$B=BE78,Data!$D:$D=$L78)+FILTER(Data!$L:$L,Data!$B:$B=BE78,Data!$D:$D=$L78))),""""),"""")"),"")</f>
        <v/>
      </c>
      <c r="CP78" s="69" t="str">
        <f>IFERROR(__xludf.DUMMYFUNCTION("IF($L78&lt;&gt;"""",IFERROR((FILTER(RawTotals!$AJ:$AJ,RawTotals!$A:$A=BF78)-(FILTER(Data!$K:$K,Data!$B:$B=BF78,Data!$D:$D=$L78)+FILTER(Data!$L:$L,Data!$B:$B=BF78,Data!$D:$D=$L78))),""""),"""")"),"")</f>
        <v/>
      </c>
      <c r="CQ78" s="69" t="str">
        <f>IFERROR(__xludf.DUMMYFUNCTION("IF($M78&lt;&gt;"""",IFERROR((FILTER(RawTotals!$AJ:$AJ,RawTotals!$A:$A=BG78)-(FILTER(Data!$K:$K,Data!$B:$B=BG78,Data!$D:$D=$M78)+FILTER(Data!$L:$L,Data!$B:$B=BG78,Data!$D:$D=$M78))),""""),"""")"),"")</f>
        <v/>
      </c>
      <c r="CR78" s="69" t="str">
        <f>IFERROR(__xludf.DUMMYFUNCTION("IF($M78&lt;&gt;"""",IFERROR((FILTER(RawTotals!$AJ:$AJ,RawTotals!$A:$A=BH78)-(FILTER(Data!$K:$K,Data!$B:$B=BH78,Data!$D:$D=$M78)+FILTER(Data!$L:$L,Data!$B:$B=BH78,Data!$D:$D=$M78))),""""),"""")"),"")</f>
        <v/>
      </c>
      <c r="CS78" s="70" t="str">
        <f>IFERROR(__xludf.DUMMYFUNCTION("IF($M78&lt;&gt;"""",IFERROR((FILTER(RawTotals!$AJ:$AJ,RawTotals!$A:$A=BI78)-(FILTER(Data!$K:$K,Data!$B:$B=BI78,Data!$D:$D=$M78)+FILTER(Data!$L:$L,Data!$B:$B=BI78,Data!$D:$D=$M78))),""""),"""")"),"")</f>
        <v/>
      </c>
      <c r="CT78" s="69"/>
      <c r="CU78" s="69"/>
      <c r="CV78" s="69"/>
      <c r="CW78" s="69"/>
      <c r="CX78" s="69"/>
      <c r="CY78" s="69"/>
      <c r="CZ78" s="69"/>
      <c r="DA78" s="69"/>
      <c r="DB78" s="69"/>
      <c r="DC78" s="69"/>
      <c r="DD78" s="69"/>
      <c r="DE78" s="69"/>
    </row>
    <row r="79">
      <c r="A79" s="65" t="str">
        <f>RawTotals!A79</f>
        <v/>
      </c>
      <c r="B79" s="68" t="str">
        <f>IFERROR(__xludf.DUMMYFUNCTION("IF(A79&lt;&gt;"""",IFERROR(TRANSPOSE(FILTER(Data!D:D,Data!B:B=A79,Data!R:R&lt;&gt;"""")),""No Defense""),"""")"),"")</f>
        <v/>
      </c>
      <c r="C79" s="65"/>
      <c r="D79" s="65"/>
      <c r="E79" s="65"/>
      <c r="F79" s="65"/>
      <c r="G79" s="65"/>
      <c r="H79" s="65"/>
      <c r="I79" s="65"/>
      <c r="J79" s="65"/>
      <c r="K79" s="65"/>
      <c r="L79" s="65"/>
      <c r="M79" s="65"/>
      <c r="N79" s="64" t="str">
        <f>IFERROR(__xludf.DUMMYFUNCTION("IFERROR(Textjoin("""",TRUE,FILTER(Data!$R:$R,Data!$D:$D=B79,Data!$B:$B=$A79)),"""")"),"")</f>
        <v/>
      </c>
      <c r="O79" s="64" t="str">
        <f>IFERROR(__xludf.DUMMYFUNCTION("IFERROR(Textjoin("""",TRUE,FILTER(Data!$R:$R,Data!$D:$D=C79,Data!$B:$B=$A79)),"""")"),"")</f>
        <v/>
      </c>
      <c r="P79" s="64" t="str">
        <f>IFERROR(__xludf.DUMMYFUNCTION("IFERROR(Textjoin("""",TRUE,FILTER(Data!$R:$R,Data!$D:$D=D79,Data!$B:$B=$A79)),"""")"),"")</f>
        <v/>
      </c>
      <c r="Q79" s="64" t="str">
        <f>IFERROR(__xludf.DUMMYFUNCTION("IFERROR(Textjoin("""",TRUE,FILTER(Data!$R:$R,Data!$D:$D=E79,Data!$B:$B=$A79)),"""")"),"")</f>
        <v/>
      </c>
      <c r="R79" s="64" t="str">
        <f>IFERROR(__xludf.DUMMYFUNCTION("IFERROR(Textjoin("""",TRUE,FILTER(Data!$R:$R,Data!$D:$D=F79,Data!$B:$B=$A79)),"""")"),"")</f>
        <v/>
      </c>
      <c r="S79" s="64" t="str">
        <f>IFERROR(__xludf.DUMMYFUNCTION("IFERROR(Textjoin("""",TRUE,FILTER(Data!$R:$R,Data!$D:$D=G79,Data!$B:$B=$A79)),"""")"),"")</f>
        <v/>
      </c>
      <c r="T79" s="64" t="str">
        <f>IFERROR(__xludf.DUMMYFUNCTION("IFERROR(Textjoin("""",TRUE,FILTER(Data!$R:$R,Data!$D:$D=H79,Data!$B:$B=$A79)),"""")"),"")</f>
        <v/>
      </c>
      <c r="U79" s="64" t="str">
        <f>IFERROR(__xludf.DUMMYFUNCTION("IFERROR(Textjoin("""",TRUE,FILTER(Data!$R:$R,Data!$D:$D=I79,Data!$B:$B=$A79)),"""")"),"")</f>
        <v/>
      </c>
      <c r="V79" s="64" t="str">
        <f>IFERROR(__xludf.DUMMYFUNCTION("IFERROR(Textjoin("""",TRUE,FILTER(Data!$R:$R,Data!$D:$D=J79,Data!$B:$B=$A79)),"""")"),"")</f>
        <v/>
      </c>
      <c r="W79" s="64" t="str">
        <f>IFERROR(__xludf.DUMMYFUNCTION("IFERROR(Textjoin("""",TRUE,FILTER(Data!$R:$R,Data!$D:$D=K79,Data!$B:$B=$A79)),"""")"),"")</f>
        <v/>
      </c>
      <c r="X79" s="64" t="str">
        <f>IFERROR(__xludf.DUMMYFUNCTION("IFERROR(Textjoin("""",TRUE,FILTER(Data!$R:$R,Data!$D:$D=L79,Data!$B:$B=$A79)),"""")"),"")</f>
        <v/>
      </c>
      <c r="Y79" s="64" t="str">
        <f>IFERROR(__xludf.DUMMYFUNCTION("IFERROR(Textjoin("""",TRUE,FILTER(Data!$R:$R,Data!$D:$D=M79,Data!$B:$B=$A79)),"""")"),"")</f>
        <v/>
      </c>
      <c r="Z79" s="64" t="str">
        <f>IFERROR(__xludf.DUMMYFUNCTION("IFERROR(SPLIT(N79,"",""),"""")"),"")</f>
        <v/>
      </c>
      <c r="AA79" s="65"/>
      <c r="AB79" s="65"/>
      <c r="AC79" s="69" t="str">
        <f>IFERROR(__xludf.DUMMYFUNCTION("IFERROR(SPLIT(O79,"",""),"""")"),"")</f>
        <v/>
      </c>
      <c r="AD79" s="65"/>
      <c r="AE79" s="65"/>
      <c r="AF79" s="69" t="str">
        <f>IFERROR(__xludf.DUMMYFUNCTION("IFERROR(SPLIT(P79,"",""),"""")"),"")</f>
        <v/>
      </c>
      <c r="AG79" s="65"/>
      <c r="AH79" s="65"/>
      <c r="AI79" s="69" t="str">
        <f>IFERROR(__xludf.DUMMYFUNCTION("IFERROR(SPLIT(Q79,"",""),"""")"),"")</f>
        <v/>
      </c>
      <c r="AJ79" s="65"/>
      <c r="AK79" s="65"/>
      <c r="AL79" s="69" t="str">
        <f>IFERROR(__xludf.DUMMYFUNCTION("IFERROR(SPLIT(R79,"",""),"""")"),"")</f>
        <v/>
      </c>
      <c r="AM79" s="65"/>
      <c r="AN79" s="65"/>
      <c r="AO79" s="69" t="str">
        <f>IFERROR(__xludf.DUMMYFUNCTION("IFERROR(SPLIT(S79,"",""),"""")"),"")</f>
        <v/>
      </c>
      <c r="AP79" s="65"/>
      <c r="AQ79" s="65"/>
      <c r="AR79" s="69" t="str">
        <f>IFERROR(__xludf.DUMMYFUNCTION("IFERROR(SPLIT(T79,"",""),"""")"),"")</f>
        <v/>
      </c>
      <c r="AS79" s="65"/>
      <c r="AT79" s="65"/>
      <c r="AU79" s="69" t="str">
        <f>IFERROR(__xludf.DUMMYFUNCTION("IFERROR(SPLIT(U79,"",""),"""")"),"")</f>
        <v/>
      </c>
      <c r="AV79" s="65"/>
      <c r="AW79" s="65"/>
      <c r="AX79" s="69" t="str">
        <f>IFERROR(__xludf.DUMMYFUNCTION("IFERROR(SPLIT(V79,"",""),"""")"),"")</f>
        <v/>
      </c>
      <c r="AY79" s="65"/>
      <c r="AZ79" s="65"/>
      <c r="BA79" s="69" t="str">
        <f>IFERROR(__xludf.DUMMYFUNCTION("IFERROR(SPLIT(W79,"",""),"""")"),"")</f>
        <v/>
      </c>
      <c r="BB79" s="69"/>
      <c r="BC79" s="69"/>
      <c r="BD79" s="69" t="str">
        <f>IFERROR(__xludf.DUMMYFUNCTION("IFERROR(SPLIT(X79,"",""),"""")"),"")</f>
        <v/>
      </c>
      <c r="BE79" s="69"/>
      <c r="BF79" s="69"/>
      <c r="BG79" s="69" t="str">
        <f>IFERROR(__xludf.DUMMYFUNCTION("IFERROR(SPLIT(Y79,"",""),"""")"),"")</f>
        <v/>
      </c>
      <c r="BH79" s="69"/>
      <c r="BI79" s="69"/>
      <c r="BJ79" s="68" t="str">
        <f>IFERROR(__xludf.DUMMYFUNCTION("IF($B79&lt;&gt;"""",IFERROR(FILTER(RawTotals!$AJ:$AJ,RawTotals!$A:$A=Z79)-(FILTER(Data!$K:$K,Data!$B:$B=Z79,Data!$D:$D=$B79)+FILTER(Data!$L:$L,Data!$B:$B=Z79,Data!$D:$D=$B79)),""""),"""")"),"")</f>
        <v/>
      </c>
      <c r="BK79" s="68" t="str">
        <f>IFERROR(__xludf.DUMMYFUNCTION("IF($B79&lt;&gt;"""",IFERROR(FILTER(RawTotals!$AJ:$AJ,RawTotals!$A:$A=AA79)-(FILTER(Data!$K:$K,Data!$B:$B=AA79,Data!$D:$D=$B79)+FILTER(Data!$L:$L,Data!$B:$B=AA79,Data!$D:$D=$B79)),""""),"""")"),"")</f>
        <v/>
      </c>
      <c r="BL79" s="68" t="str">
        <f>IFERROR(__xludf.DUMMYFUNCTION("IF($B79&lt;&gt;"""",IFERROR(FILTER(RawTotals!$AJ:$AJ,RawTotals!$A:$A=AB79)-(FILTER(Data!$K:$K,Data!$B:$B=AB79,Data!$D:$D=$B79)+FILTER(Data!$L:$L,Data!$B:$B=AB79,Data!$D:$D=$B79)),""""),"""")"),"")</f>
        <v/>
      </c>
      <c r="BM79" s="69" t="str">
        <f>IFERROR(__xludf.DUMMYFUNCTION("IF($C79&lt;&gt;"""",IFERROR(FILTER(RawTotals!$AJ:$AJ,RawTotals!$A:$A=AC79)-(FILTER(Data!$K:$K,Data!$B:$B=AC79,Data!$D:$D=$C79)+FILTER(Data!$L:$L,Data!$B:$B=AC79,Data!$D:$D=$C79)),""""),"""")"),"")</f>
        <v/>
      </c>
      <c r="BN79" s="69" t="str">
        <f>IFERROR(__xludf.DUMMYFUNCTION("IF($C79&lt;&gt;"""",IFERROR(FILTER(RawTotals!$AJ:$AJ,RawTotals!$A:$A=AD79)-(FILTER(Data!$K:$K,Data!$B:$B=AD79,Data!$D:$D=$C79)+FILTER(Data!$L:$L,Data!$B:$B=AD79,Data!$D:$D=$C79)),""""),"""")"),"")</f>
        <v/>
      </c>
      <c r="BO79" s="69" t="str">
        <f>IFERROR(__xludf.DUMMYFUNCTION("IF($C79&lt;&gt;"""",IFERROR(FILTER(RawTotals!$AJ:$AJ,RawTotals!$A:$A=AE79)-(FILTER(Data!$K:$K,Data!$B:$B=AE79,Data!$D:$D=$C79)+FILTER(Data!$L:$L,Data!$B:$B=AE79,Data!$D:$D=$C79)),""""),"""")"),"")</f>
        <v/>
      </c>
      <c r="BP79" s="69" t="str">
        <f>IFERROR(__xludf.DUMMYFUNCTION("IF($D79&lt;&gt;"""",IFERROR(FILTER(RawTotals!$AJ:$AJ,RawTotals!$A:$A=AF79)-(FILTER(Data!$K:$K,Data!$B:$B=AF79,Data!$D:$D=$D79)+FILTER(Data!$L:$L,Data!$B:$B=AF79,Data!$D:$D=$D79)),""""),"""")"),"")</f>
        <v/>
      </c>
      <c r="BQ79" s="69" t="str">
        <f>IFERROR(__xludf.DUMMYFUNCTION("IF($D79&lt;&gt;"""",IFERROR(FILTER(RawTotals!$AJ:$AJ,RawTotals!$A:$A=AG79)-(FILTER(Data!$K:$K,Data!$B:$B=AG79,Data!$D:$D=$D79)+FILTER(Data!$L:$L,Data!$B:$B=AG79,Data!$D:$D=$D79)),""""),"""")"),"")</f>
        <v/>
      </c>
      <c r="BR79" s="69" t="str">
        <f>IFERROR(__xludf.DUMMYFUNCTION("IF($D79&lt;&gt;"""",IFERROR(FILTER(RawTotals!$AJ:$AJ,RawTotals!$A:$A=AH79)-(FILTER(Data!$K:$K,Data!$B:$B=AH79,Data!$D:$D=$D79)+FILTER(Data!$L:$L,Data!$B:$B=AH79,Data!$D:$D=$D79)),""""),"""")"),"")</f>
        <v/>
      </c>
      <c r="BS79" s="69" t="str">
        <f>IFERROR(__xludf.DUMMYFUNCTION("IF($E79&lt;&gt;"""",IFERROR(FILTER(RawTotals!$AJ:$AJ,RawTotals!$A:$A=AI79)-(FILTER(Data!$K:$K,Data!$B:$B=AI79,Data!$D:$D=$E79)+FILTER(Data!$L:$L,Data!$B:$B=AI79,Data!$D:$D=$E79)),""""),"""")"),"")</f>
        <v/>
      </c>
      <c r="BT79" s="69" t="str">
        <f>IFERROR(__xludf.DUMMYFUNCTION("IF($E79&lt;&gt;"""",IFERROR(FILTER(RawTotals!$AJ:$AJ,RawTotals!$A:$A=AJ79)-(FILTER(Data!$K:$K,Data!$B:$B=AJ79,Data!$D:$D=$E79)+FILTER(Data!$L:$L,Data!$B:$B=AJ79,Data!$D:$D=$E79)),""""),"""")"),"")</f>
        <v/>
      </c>
      <c r="BU79" s="69" t="str">
        <f>IFERROR(__xludf.DUMMYFUNCTION("IF($E79&lt;&gt;"""",IFERROR(FILTER(RawTotals!$AJ:$AJ,RawTotals!$A:$A=AK79)-(FILTER(Data!$K:$K,Data!$B:$B=AK79,Data!$D:$D=$E79)+FILTER(Data!$L:$L,Data!$B:$B=AK79,Data!$D:$D=$E79)),""""),"""")"),"")</f>
        <v/>
      </c>
      <c r="BV79" s="69" t="str">
        <f>IFERROR(__xludf.DUMMYFUNCTION("IF($F79&lt;&gt;"""",IFERROR(FILTER(RawTotals!$AJ:$AJ,RawTotals!$A:$A=AL79)-(FILTER(Data!$K:$K,Data!$B:$B=AL79,Data!$D:$D=$F79)+FILTER(Data!$L:$L,Data!$B:$B=AL79,Data!$D:$D=$F79)),""""),"""")"),"")</f>
        <v/>
      </c>
      <c r="BW79" s="69" t="str">
        <f>IFERROR(__xludf.DUMMYFUNCTION("IF($F79&lt;&gt;"""",IFERROR(FILTER(RawTotals!$AJ:$AJ,RawTotals!$A:$A=AM79)-(FILTER(Data!$K:$K,Data!$B:$B=AM79,Data!$D:$D=$F79)+FILTER(Data!$L:$L,Data!$B:$B=AM79,Data!$D:$D=$F79)),""""),"""")"),"")</f>
        <v/>
      </c>
      <c r="BX79" s="69" t="str">
        <f>IFERROR(__xludf.DUMMYFUNCTION("IF($F79&lt;&gt;"""",IFERROR(FILTER(RawTotals!$AJ:$AJ,RawTotals!$A:$A=AN79)-(FILTER(Data!$K:$K,Data!$B:$B=AN79,Data!$D:$D=$F79)+FILTER(Data!$L:$L,Data!$B:$B=AN79,Data!$D:$D=$F79)),""""),"""")"),"")</f>
        <v/>
      </c>
      <c r="BY79" s="69" t="str">
        <f>IFERROR(__xludf.DUMMYFUNCTION("IF($G79&lt;&gt;"""",IFERROR(FILTER(RawTotals!$AJ:$AJ,RawTotals!$A:$A=AO79)-(FILTER(Data!$K:$K,Data!$B:$B=AO79,Data!$D:$D=$G79)+FILTER(Data!$L:$L,Data!$B:$B=AO79,Data!$D:$D=$G79)),""""),"""")"),"")</f>
        <v/>
      </c>
      <c r="BZ79" s="69" t="str">
        <f>IFERROR(__xludf.DUMMYFUNCTION("IF($G79&lt;&gt;"""",IFERROR(FILTER(RawTotals!$AJ:$AJ,RawTotals!$A:$A=AP79)-(FILTER(Data!$K:$K,Data!$B:$B=AP79,Data!$D:$D=$G79)+FILTER(Data!$L:$L,Data!$B:$B=AP79,Data!$D:$D=$G79)),""""),"""")"),"")</f>
        <v/>
      </c>
      <c r="CA79" s="69" t="str">
        <f>IFERROR(__xludf.DUMMYFUNCTION("IF($G79&lt;&gt;"""",IFERROR(FILTER(RawTotals!$AJ:$AJ,RawTotals!$A:$A=AQ79)-(FILTER(Data!$K:$K,Data!$B:$B=AQ79,Data!$D:$D=$G79)+FILTER(Data!$L:$L,Data!$B:$B=AQ79,Data!$D:$D=$G79)),""""),"""")"),"")</f>
        <v/>
      </c>
      <c r="CB79" s="69" t="str">
        <f>IFERROR(__xludf.DUMMYFUNCTION("IF($H79&lt;&gt;"""",IFERROR(FILTER(RawTotals!$AJ:$AJ,RawTotals!$A:$A=AR79)-(FILTER(Data!$K:$K,Data!$B:$B=AR79,Data!$D:$D=$H79)+FILTER(Data!$L:$L,Data!$B:$B=AR79,Data!$D:$D=$H79)),""""),"""")"),"")</f>
        <v/>
      </c>
      <c r="CC79" s="69" t="str">
        <f>IFERROR(__xludf.DUMMYFUNCTION("IF($H79&lt;&gt;"""",IFERROR(FILTER(RawTotals!$AJ:$AJ,RawTotals!$A:$A=AS79)-(FILTER(Data!$K:$K,Data!$B:$B=AS79,Data!$D:$D=$H79)+FILTER(Data!$L:$L,Data!$B:$B=AS79,Data!$D:$D=$H79)),""""),"""")"),"")</f>
        <v/>
      </c>
      <c r="CD79" s="69" t="str">
        <f>IFERROR(__xludf.DUMMYFUNCTION("IF($H79&lt;&gt;"""",IFERROR(FILTER(RawTotals!$AJ:$AJ,RawTotals!$A:$A=AT79)-(FILTER(Data!$K:$K,Data!$B:$B=AT79,Data!$D:$D=$H79)+FILTER(Data!$L:$L,Data!$B:$B=AT79,Data!$D:$D=$H79)),""""),"""")"),"")</f>
        <v/>
      </c>
      <c r="CE79" s="69" t="str">
        <f>IFERROR(__xludf.DUMMYFUNCTION("IF($I79&lt;&gt;"""",IFERROR(FILTER(RawTotals!$AJ:$AJ,RawTotals!$A:$A=AU79)-(FILTER(Data!$K:$K,Data!$B:$B=AU79,Data!$D:$D=$I79)+FILTER(Data!$L:$L,Data!$B:$B=AU79,Data!$D:$D=$I79)),""""),"""")"),"")</f>
        <v/>
      </c>
      <c r="CF79" s="69" t="str">
        <f>IFERROR(__xludf.DUMMYFUNCTION("IF($I79&lt;&gt;"""",IFERROR(FILTER(RawTotals!$AJ:$AJ,RawTotals!$A:$A=AV79)-(FILTER(Data!$K:$K,Data!$B:$B=AV79,Data!$D:$D=$I79)+FILTER(Data!$L:$L,Data!$B:$B=AV79,Data!$D:$D=$I79)),""""),"""")"),"")</f>
        <v/>
      </c>
      <c r="CG79" s="69" t="str">
        <f>IFERROR(__xludf.DUMMYFUNCTION("IF($I79&lt;&gt;"""",IFERROR(FILTER(RawTotals!$AJ:$AJ,RawTotals!$A:$A=AW79)-(FILTER(Data!$K:$K,Data!$B:$B=AW79,Data!$D:$D=$I79)+FILTER(Data!$L:$L,Data!$B:$B=AW79,Data!$D:$D=$I79)),""""),"""")"),"")</f>
        <v/>
      </c>
      <c r="CH79" s="69" t="str">
        <f>IFERROR(__xludf.DUMMYFUNCTION("IF($J79&lt;&gt;"""",IFERROR(FILTER(RawTotals!$AJ:$AJ,RawTotals!$A:$A=AX79)-(FILTER(Data!$K:$K,Data!$B:$B=AX79,Data!$D:$D=$J79)+FILTER(Data!$L:$L,Data!$B:$B=AX79,Data!$D:$D=$J79)),""""),"""")"),"")</f>
        <v/>
      </c>
      <c r="CI79" s="69" t="str">
        <f>IFERROR(__xludf.DUMMYFUNCTION("IF($J79&lt;&gt;"""",IFERROR(FILTER(RawTotals!$AJ:$AJ,RawTotals!$A:$A=AY79)-(FILTER(Data!$K:$K,Data!$B:$B=AY79,Data!$D:$D=$J79)+FILTER(Data!$L:$L,Data!$B:$B=AY79,Data!$D:$D=$J79)),""""),"""")"),"")</f>
        <v/>
      </c>
      <c r="CJ79" s="69" t="str">
        <f>IFERROR(__xludf.DUMMYFUNCTION("IF($J79&lt;&gt;"""",IFERROR(FILTER(RawTotals!$AJ:$AJ,RawTotals!$A:$A=AZ79)-(FILTER(Data!$K:$K,Data!$B:$B=AZ79,Data!$D:$D=$J79)+FILTER(Data!$L:$L,Data!$B:$B=AZ79,Data!$D:$D=$J79)),""""),"""")"),"")</f>
        <v/>
      </c>
      <c r="CK79" s="69" t="str">
        <f>IFERROR(__xludf.DUMMYFUNCTION("IF($K79&lt;&gt;"""",IFERROR(FILTER(RawTotals!$AJ:$AJ,RawTotals!$A:$A=BA79)-(FILTER(Data!$K:$K,Data!$B:$B=BA79,Data!$D:$D=$K79)+FILTER(Data!$L:$L,Data!$B:$B=BA79,Data!$D:$D=$K79)),""""),"""")"),"")</f>
        <v/>
      </c>
      <c r="CL79" s="69" t="str">
        <f>IFERROR(__xludf.DUMMYFUNCTION("IF($K79&lt;&gt;"""",IFERROR(FILTER(RawTotals!$AJ:$AJ,RawTotals!$A:$A=BB79)-(FILTER(Data!$K:$K,Data!$B:$B=BB79,Data!$D:$D=$K79)+FILTER(Data!$L:$L,Data!$B:$B=BB79,Data!$D:$D=$K79)),""""),"""")"),"")</f>
        <v/>
      </c>
      <c r="CM79" s="69" t="str">
        <f>IFERROR(__xludf.DUMMYFUNCTION("IF($K79&lt;&gt;"""",IFERROR(FILTER(RawTotals!$AJ:$AJ,RawTotals!$A:$A=BC79)-(FILTER(Data!$K:$K,Data!$B:$B=BC79,Data!$D:$D=$K79)+FILTER(Data!$L:$L,Data!$B:$B=BC79,Data!$D:$D=$K79)),""""),"""")"),"")</f>
        <v/>
      </c>
      <c r="CN79" s="69" t="str">
        <f>IFERROR(__xludf.DUMMYFUNCTION("IF($L79&lt;&gt;"""",IFERROR((FILTER(RawTotals!$AJ:$AJ,RawTotals!$A:$A=BD79)-(FILTER(Data!$K:$K,Data!$B:$B=BD79,Data!$D:$D=$L79)+FILTER(Data!$L:$L,Data!$B:$B=BD79,Data!$D:$D=$L79))),""""),"""")"),"")</f>
        <v/>
      </c>
      <c r="CO79" s="69" t="str">
        <f>IFERROR(__xludf.DUMMYFUNCTION("IF($L79&lt;&gt;"""",IFERROR((FILTER(RawTotals!$AJ:$AJ,RawTotals!$A:$A=BE79)-(FILTER(Data!$K:$K,Data!$B:$B=BE79,Data!$D:$D=$L79)+FILTER(Data!$L:$L,Data!$B:$B=BE79,Data!$D:$D=$L79))),""""),"""")"),"")</f>
        <v/>
      </c>
      <c r="CP79" s="69" t="str">
        <f>IFERROR(__xludf.DUMMYFUNCTION("IF($L79&lt;&gt;"""",IFERROR((FILTER(RawTotals!$AJ:$AJ,RawTotals!$A:$A=BF79)-(FILTER(Data!$K:$K,Data!$B:$B=BF79,Data!$D:$D=$L79)+FILTER(Data!$L:$L,Data!$B:$B=BF79,Data!$D:$D=$L79))),""""),"""")"),"")</f>
        <v/>
      </c>
      <c r="CQ79" s="69" t="str">
        <f>IFERROR(__xludf.DUMMYFUNCTION("IF($M79&lt;&gt;"""",IFERROR((FILTER(RawTotals!$AJ:$AJ,RawTotals!$A:$A=BG79)-(FILTER(Data!$K:$K,Data!$B:$B=BG79,Data!$D:$D=$M79)+FILTER(Data!$L:$L,Data!$B:$B=BG79,Data!$D:$D=$M79))),""""),"""")"),"")</f>
        <v/>
      </c>
      <c r="CR79" s="69" t="str">
        <f>IFERROR(__xludf.DUMMYFUNCTION("IF($M79&lt;&gt;"""",IFERROR((FILTER(RawTotals!$AJ:$AJ,RawTotals!$A:$A=BH79)-(FILTER(Data!$K:$K,Data!$B:$B=BH79,Data!$D:$D=$M79)+FILTER(Data!$L:$L,Data!$B:$B=BH79,Data!$D:$D=$M79))),""""),"""")"),"")</f>
        <v/>
      </c>
      <c r="CS79" s="70" t="str">
        <f>IFERROR(__xludf.DUMMYFUNCTION("IF($M79&lt;&gt;"""",IFERROR((FILTER(RawTotals!$AJ:$AJ,RawTotals!$A:$A=BI79)-(FILTER(Data!$K:$K,Data!$B:$B=BI79,Data!$D:$D=$M79)+FILTER(Data!$L:$L,Data!$B:$B=BI79,Data!$D:$D=$M79))),""""),"""")"),"")</f>
        <v/>
      </c>
      <c r="CT79" s="69"/>
      <c r="CU79" s="69"/>
      <c r="CV79" s="69"/>
      <c r="CW79" s="69"/>
      <c r="CX79" s="69"/>
      <c r="CY79" s="69"/>
      <c r="CZ79" s="69"/>
      <c r="DA79" s="69"/>
      <c r="DB79" s="69"/>
      <c r="DC79" s="69"/>
      <c r="DD79" s="69"/>
      <c r="DE79" s="69"/>
    </row>
    <row r="80">
      <c r="A80" s="65" t="str">
        <f>RawTotals!A80</f>
        <v/>
      </c>
      <c r="B80" s="68" t="str">
        <f>IFERROR(__xludf.DUMMYFUNCTION("IF(A80&lt;&gt;"""",IFERROR(TRANSPOSE(FILTER(Data!D:D,Data!B:B=A80,Data!R:R&lt;&gt;"""")),""No Defense""),"""")"),"")</f>
        <v/>
      </c>
      <c r="C80" s="65"/>
      <c r="D80" s="65"/>
      <c r="E80" s="65"/>
      <c r="F80" s="65"/>
      <c r="G80" s="65"/>
      <c r="H80" s="65"/>
      <c r="I80" s="65"/>
      <c r="J80" s="65"/>
      <c r="K80" s="65"/>
      <c r="L80" s="65"/>
      <c r="M80" s="65"/>
      <c r="N80" s="64" t="str">
        <f>IFERROR(__xludf.DUMMYFUNCTION("IFERROR(Textjoin("""",TRUE,FILTER(Data!$R:$R,Data!$D:$D=B80,Data!$B:$B=$A80)),"""")"),"")</f>
        <v/>
      </c>
      <c r="O80" s="64" t="str">
        <f>IFERROR(__xludf.DUMMYFUNCTION("IFERROR(Textjoin("""",TRUE,FILTER(Data!$R:$R,Data!$D:$D=C80,Data!$B:$B=$A80)),"""")"),"")</f>
        <v/>
      </c>
      <c r="P80" s="64" t="str">
        <f>IFERROR(__xludf.DUMMYFUNCTION("IFERROR(Textjoin("""",TRUE,FILTER(Data!$R:$R,Data!$D:$D=D80,Data!$B:$B=$A80)),"""")"),"")</f>
        <v/>
      </c>
      <c r="Q80" s="64" t="str">
        <f>IFERROR(__xludf.DUMMYFUNCTION("IFERROR(Textjoin("""",TRUE,FILTER(Data!$R:$R,Data!$D:$D=E80,Data!$B:$B=$A80)),"""")"),"")</f>
        <v/>
      </c>
      <c r="R80" s="64" t="str">
        <f>IFERROR(__xludf.DUMMYFUNCTION("IFERROR(Textjoin("""",TRUE,FILTER(Data!$R:$R,Data!$D:$D=F80,Data!$B:$B=$A80)),"""")"),"")</f>
        <v/>
      </c>
      <c r="S80" s="64" t="str">
        <f>IFERROR(__xludf.DUMMYFUNCTION("IFERROR(Textjoin("""",TRUE,FILTER(Data!$R:$R,Data!$D:$D=G80,Data!$B:$B=$A80)),"""")"),"")</f>
        <v/>
      </c>
      <c r="T80" s="64" t="str">
        <f>IFERROR(__xludf.DUMMYFUNCTION("IFERROR(Textjoin("""",TRUE,FILTER(Data!$R:$R,Data!$D:$D=H80,Data!$B:$B=$A80)),"""")"),"")</f>
        <v/>
      </c>
      <c r="U80" s="64" t="str">
        <f>IFERROR(__xludf.DUMMYFUNCTION("IFERROR(Textjoin("""",TRUE,FILTER(Data!$R:$R,Data!$D:$D=I80,Data!$B:$B=$A80)),"""")"),"")</f>
        <v/>
      </c>
      <c r="V80" s="64" t="str">
        <f>IFERROR(__xludf.DUMMYFUNCTION("IFERROR(Textjoin("""",TRUE,FILTER(Data!$R:$R,Data!$D:$D=J80,Data!$B:$B=$A80)),"""")"),"")</f>
        <v/>
      </c>
      <c r="W80" s="64" t="str">
        <f>IFERROR(__xludf.DUMMYFUNCTION("IFERROR(Textjoin("""",TRUE,FILTER(Data!$R:$R,Data!$D:$D=K80,Data!$B:$B=$A80)),"""")"),"")</f>
        <v/>
      </c>
      <c r="X80" s="64" t="str">
        <f>IFERROR(__xludf.DUMMYFUNCTION("IFERROR(Textjoin("""",TRUE,FILTER(Data!$R:$R,Data!$D:$D=L80,Data!$B:$B=$A80)),"""")"),"")</f>
        <v/>
      </c>
      <c r="Y80" s="64" t="str">
        <f>IFERROR(__xludf.DUMMYFUNCTION("IFERROR(Textjoin("""",TRUE,FILTER(Data!$R:$R,Data!$D:$D=M80,Data!$B:$B=$A80)),"""")"),"")</f>
        <v/>
      </c>
      <c r="Z80" s="64" t="str">
        <f>IFERROR(__xludf.DUMMYFUNCTION("IFERROR(SPLIT(N80,"",""),"""")"),"")</f>
        <v/>
      </c>
      <c r="AA80" s="65"/>
      <c r="AB80" s="65"/>
      <c r="AC80" s="69" t="str">
        <f>IFERROR(__xludf.DUMMYFUNCTION("IFERROR(SPLIT(O80,"",""),"""")"),"")</f>
        <v/>
      </c>
      <c r="AD80" s="65"/>
      <c r="AE80" s="65"/>
      <c r="AF80" s="69" t="str">
        <f>IFERROR(__xludf.DUMMYFUNCTION("IFERROR(SPLIT(P80,"",""),"""")"),"")</f>
        <v/>
      </c>
      <c r="AG80" s="65"/>
      <c r="AH80" s="65"/>
      <c r="AI80" s="69" t="str">
        <f>IFERROR(__xludf.DUMMYFUNCTION("IFERROR(SPLIT(Q80,"",""),"""")"),"")</f>
        <v/>
      </c>
      <c r="AJ80" s="65"/>
      <c r="AK80" s="65"/>
      <c r="AL80" s="69" t="str">
        <f>IFERROR(__xludf.DUMMYFUNCTION("IFERROR(SPLIT(R80,"",""),"""")"),"")</f>
        <v/>
      </c>
      <c r="AM80" s="65"/>
      <c r="AN80" s="65"/>
      <c r="AO80" s="69" t="str">
        <f>IFERROR(__xludf.DUMMYFUNCTION("IFERROR(SPLIT(S80,"",""),"""")"),"")</f>
        <v/>
      </c>
      <c r="AP80" s="65"/>
      <c r="AQ80" s="65"/>
      <c r="AR80" s="69" t="str">
        <f>IFERROR(__xludf.DUMMYFUNCTION("IFERROR(SPLIT(T80,"",""),"""")"),"")</f>
        <v/>
      </c>
      <c r="AS80" s="65"/>
      <c r="AT80" s="65"/>
      <c r="AU80" s="69" t="str">
        <f>IFERROR(__xludf.DUMMYFUNCTION("IFERROR(SPLIT(U80,"",""),"""")"),"")</f>
        <v/>
      </c>
      <c r="AV80" s="65"/>
      <c r="AW80" s="65"/>
      <c r="AX80" s="69" t="str">
        <f>IFERROR(__xludf.DUMMYFUNCTION("IFERROR(SPLIT(V80,"",""),"""")"),"")</f>
        <v/>
      </c>
      <c r="AY80" s="65"/>
      <c r="AZ80" s="65"/>
      <c r="BA80" s="69" t="str">
        <f>IFERROR(__xludf.DUMMYFUNCTION("IFERROR(SPLIT(W80,"",""),"""")"),"")</f>
        <v/>
      </c>
      <c r="BB80" s="69"/>
      <c r="BC80" s="69"/>
      <c r="BD80" s="69" t="str">
        <f>IFERROR(__xludf.DUMMYFUNCTION("IFERROR(SPLIT(X80,"",""),"""")"),"")</f>
        <v/>
      </c>
      <c r="BE80" s="69"/>
      <c r="BF80" s="69"/>
      <c r="BG80" s="69" t="str">
        <f>IFERROR(__xludf.DUMMYFUNCTION("IFERROR(SPLIT(Y80,"",""),"""")"),"")</f>
        <v/>
      </c>
      <c r="BH80" s="69"/>
      <c r="BI80" s="69"/>
      <c r="BJ80" s="68" t="str">
        <f>IFERROR(__xludf.DUMMYFUNCTION("IF($B80&lt;&gt;"""",IFERROR(FILTER(RawTotals!$AJ:$AJ,RawTotals!$A:$A=Z80)-(FILTER(Data!$K:$K,Data!$B:$B=Z80,Data!$D:$D=$B80)+FILTER(Data!$L:$L,Data!$B:$B=Z80,Data!$D:$D=$B80)),""""),"""")"),"")</f>
        <v/>
      </c>
      <c r="BK80" s="68" t="str">
        <f>IFERROR(__xludf.DUMMYFUNCTION("IF($B80&lt;&gt;"""",IFERROR(FILTER(RawTotals!$AJ:$AJ,RawTotals!$A:$A=AA80)-(FILTER(Data!$K:$K,Data!$B:$B=AA80,Data!$D:$D=$B80)+FILTER(Data!$L:$L,Data!$B:$B=AA80,Data!$D:$D=$B80)),""""),"""")"),"")</f>
        <v/>
      </c>
      <c r="BL80" s="68" t="str">
        <f>IFERROR(__xludf.DUMMYFUNCTION("IF($B80&lt;&gt;"""",IFERROR(FILTER(RawTotals!$AJ:$AJ,RawTotals!$A:$A=AB80)-(FILTER(Data!$K:$K,Data!$B:$B=AB80,Data!$D:$D=$B80)+FILTER(Data!$L:$L,Data!$B:$B=AB80,Data!$D:$D=$B80)),""""),"""")"),"")</f>
        <v/>
      </c>
      <c r="BM80" s="69" t="str">
        <f>IFERROR(__xludf.DUMMYFUNCTION("IF($C80&lt;&gt;"""",IFERROR(FILTER(RawTotals!$AJ:$AJ,RawTotals!$A:$A=AC80)-(FILTER(Data!$K:$K,Data!$B:$B=AC80,Data!$D:$D=$C80)+FILTER(Data!$L:$L,Data!$B:$B=AC80,Data!$D:$D=$C80)),""""),"""")"),"")</f>
        <v/>
      </c>
      <c r="BN80" s="69" t="str">
        <f>IFERROR(__xludf.DUMMYFUNCTION("IF($C80&lt;&gt;"""",IFERROR(FILTER(RawTotals!$AJ:$AJ,RawTotals!$A:$A=AD80)-(FILTER(Data!$K:$K,Data!$B:$B=AD80,Data!$D:$D=$C80)+FILTER(Data!$L:$L,Data!$B:$B=AD80,Data!$D:$D=$C80)),""""),"""")"),"")</f>
        <v/>
      </c>
      <c r="BO80" s="69" t="str">
        <f>IFERROR(__xludf.DUMMYFUNCTION("IF($C80&lt;&gt;"""",IFERROR(FILTER(RawTotals!$AJ:$AJ,RawTotals!$A:$A=AE80)-(FILTER(Data!$K:$K,Data!$B:$B=AE80,Data!$D:$D=$C80)+FILTER(Data!$L:$L,Data!$B:$B=AE80,Data!$D:$D=$C80)),""""),"""")"),"")</f>
        <v/>
      </c>
      <c r="BP80" s="69" t="str">
        <f>IFERROR(__xludf.DUMMYFUNCTION("IF($D80&lt;&gt;"""",IFERROR(FILTER(RawTotals!$AJ:$AJ,RawTotals!$A:$A=AF80)-(FILTER(Data!$K:$K,Data!$B:$B=AF80,Data!$D:$D=$D80)+FILTER(Data!$L:$L,Data!$B:$B=AF80,Data!$D:$D=$D80)),""""),"""")"),"")</f>
        <v/>
      </c>
      <c r="BQ80" s="69" t="str">
        <f>IFERROR(__xludf.DUMMYFUNCTION("IF($D80&lt;&gt;"""",IFERROR(FILTER(RawTotals!$AJ:$AJ,RawTotals!$A:$A=AG80)-(FILTER(Data!$K:$K,Data!$B:$B=AG80,Data!$D:$D=$D80)+FILTER(Data!$L:$L,Data!$B:$B=AG80,Data!$D:$D=$D80)),""""),"""")"),"")</f>
        <v/>
      </c>
      <c r="BR80" s="69" t="str">
        <f>IFERROR(__xludf.DUMMYFUNCTION("IF($D80&lt;&gt;"""",IFERROR(FILTER(RawTotals!$AJ:$AJ,RawTotals!$A:$A=AH80)-(FILTER(Data!$K:$K,Data!$B:$B=AH80,Data!$D:$D=$D80)+FILTER(Data!$L:$L,Data!$B:$B=AH80,Data!$D:$D=$D80)),""""),"""")"),"")</f>
        <v/>
      </c>
      <c r="BS80" s="69" t="str">
        <f>IFERROR(__xludf.DUMMYFUNCTION("IF($E80&lt;&gt;"""",IFERROR(FILTER(RawTotals!$AJ:$AJ,RawTotals!$A:$A=AI80)-(FILTER(Data!$K:$K,Data!$B:$B=AI80,Data!$D:$D=$E80)+FILTER(Data!$L:$L,Data!$B:$B=AI80,Data!$D:$D=$E80)),""""),"""")"),"")</f>
        <v/>
      </c>
      <c r="BT80" s="69" t="str">
        <f>IFERROR(__xludf.DUMMYFUNCTION("IF($E80&lt;&gt;"""",IFERROR(FILTER(RawTotals!$AJ:$AJ,RawTotals!$A:$A=AJ80)-(FILTER(Data!$K:$K,Data!$B:$B=AJ80,Data!$D:$D=$E80)+FILTER(Data!$L:$L,Data!$B:$B=AJ80,Data!$D:$D=$E80)),""""),"""")"),"")</f>
        <v/>
      </c>
      <c r="BU80" s="69" t="str">
        <f>IFERROR(__xludf.DUMMYFUNCTION("IF($E80&lt;&gt;"""",IFERROR(FILTER(RawTotals!$AJ:$AJ,RawTotals!$A:$A=AK80)-(FILTER(Data!$K:$K,Data!$B:$B=AK80,Data!$D:$D=$E80)+FILTER(Data!$L:$L,Data!$B:$B=AK80,Data!$D:$D=$E80)),""""),"""")"),"")</f>
        <v/>
      </c>
      <c r="BV80" s="69" t="str">
        <f>IFERROR(__xludf.DUMMYFUNCTION("IF($F80&lt;&gt;"""",IFERROR(FILTER(RawTotals!$AJ:$AJ,RawTotals!$A:$A=AL80)-(FILTER(Data!$K:$K,Data!$B:$B=AL80,Data!$D:$D=$F80)+FILTER(Data!$L:$L,Data!$B:$B=AL80,Data!$D:$D=$F80)),""""),"""")"),"")</f>
        <v/>
      </c>
      <c r="BW80" s="69" t="str">
        <f>IFERROR(__xludf.DUMMYFUNCTION("IF($F80&lt;&gt;"""",IFERROR(FILTER(RawTotals!$AJ:$AJ,RawTotals!$A:$A=AM80)-(FILTER(Data!$K:$K,Data!$B:$B=AM80,Data!$D:$D=$F80)+FILTER(Data!$L:$L,Data!$B:$B=AM80,Data!$D:$D=$F80)),""""),"""")"),"")</f>
        <v/>
      </c>
      <c r="BX80" s="69" t="str">
        <f>IFERROR(__xludf.DUMMYFUNCTION("IF($F80&lt;&gt;"""",IFERROR(FILTER(RawTotals!$AJ:$AJ,RawTotals!$A:$A=AN80)-(FILTER(Data!$K:$K,Data!$B:$B=AN80,Data!$D:$D=$F80)+FILTER(Data!$L:$L,Data!$B:$B=AN80,Data!$D:$D=$F80)),""""),"""")"),"")</f>
        <v/>
      </c>
      <c r="BY80" s="69" t="str">
        <f>IFERROR(__xludf.DUMMYFUNCTION("IF($G80&lt;&gt;"""",IFERROR(FILTER(RawTotals!$AJ:$AJ,RawTotals!$A:$A=AO80)-(FILTER(Data!$K:$K,Data!$B:$B=AO80,Data!$D:$D=$G80)+FILTER(Data!$L:$L,Data!$B:$B=AO80,Data!$D:$D=$G80)),""""),"""")"),"")</f>
        <v/>
      </c>
      <c r="BZ80" s="69" t="str">
        <f>IFERROR(__xludf.DUMMYFUNCTION("IF($G80&lt;&gt;"""",IFERROR(FILTER(RawTotals!$AJ:$AJ,RawTotals!$A:$A=AP80)-(FILTER(Data!$K:$K,Data!$B:$B=AP80,Data!$D:$D=$G80)+FILTER(Data!$L:$L,Data!$B:$B=AP80,Data!$D:$D=$G80)),""""),"""")"),"")</f>
        <v/>
      </c>
      <c r="CA80" s="69" t="str">
        <f>IFERROR(__xludf.DUMMYFUNCTION("IF($G80&lt;&gt;"""",IFERROR(FILTER(RawTotals!$AJ:$AJ,RawTotals!$A:$A=AQ80)-(FILTER(Data!$K:$K,Data!$B:$B=AQ80,Data!$D:$D=$G80)+FILTER(Data!$L:$L,Data!$B:$B=AQ80,Data!$D:$D=$G80)),""""),"""")"),"")</f>
        <v/>
      </c>
      <c r="CB80" s="69" t="str">
        <f>IFERROR(__xludf.DUMMYFUNCTION("IF($H80&lt;&gt;"""",IFERROR(FILTER(RawTotals!$AJ:$AJ,RawTotals!$A:$A=AR80)-(FILTER(Data!$K:$K,Data!$B:$B=AR80,Data!$D:$D=$H80)+FILTER(Data!$L:$L,Data!$B:$B=AR80,Data!$D:$D=$H80)),""""),"""")"),"")</f>
        <v/>
      </c>
      <c r="CC80" s="69" t="str">
        <f>IFERROR(__xludf.DUMMYFUNCTION("IF($H80&lt;&gt;"""",IFERROR(FILTER(RawTotals!$AJ:$AJ,RawTotals!$A:$A=AS80)-(FILTER(Data!$K:$K,Data!$B:$B=AS80,Data!$D:$D=$H80)+FILTER(Data!$L:$L,Data!$B:$B=AS80,Data!$D:$D=$H80)),""""),"""")"),"")</f>
        <v/>
      </c>
      <c r="CD80" s="69" t="str">
        <f>IFERROR(__xludf.DUMMYFUNCTION("IF($H80&lt;&gt;"""",IFERROR(FILTER(RawTotals!$AJ:$AJ,RawTotals!$A:$A=AT80)-(FILTER(Data!$K:$K,Data!$B:$B=AT80,Data!$D:$D=$H80)+FILTER(Data!$L:$L,Data!$B:$B=AT80,Data!$D:$D=$H80)),""""),"""")"),"")</f>
        <v/>
      </c>
      <c r="CE80" s="69" t="str">
        <f>IFERROR(__xludf.DUMMYFUNCTION("IF($I80&lt;&gt;"""",IFERROR(FILTER(RawTotals!$AJ:$AJ,RawTotals!$A:$A=AU80)-(FILTER(Data!$K:$K,Data!$B:$B=AU80,Data!$D:$D=$I80)+FILTER(Data!$L:$L,Data!$B:$B=AU80,Data!$D:$D=$I80)),""""),"""")"),"")</f>
        <v/>
      </c>
      <c r="CF80" s="69" t="str">
        <f>IFERROR(__xludf.DUMMYFUNCTION("IF($I80&lt;&gt;"""",IFERROR(FILTER(RawTotals!$AJ:$AJ,RawTotals!$A:$A=AV80)-(FILTER(Data!$K:$K,Data!$B:$B=AV80,Data!$D:$D=$I80)+FILTER(Data!$L:$L,Data!$B:$B=AV80,Data!$D:$D=$I80)),""""),"""")"),"")</f>
        <v/>
      </c>
      <c r="CG80" s="69" t="str">
        <f>IFERROR(__xludf.DUMMYFUNCTION("IF($I80&lt;&gt;"""",IFERROR(FILTER(RawTotals!$AJ:$AJ,RawTotals!$A:$A=AW80)-(FILTER(Data!$K:$K,Data!$B:$B=AW80,Data!$D:$D=$I80)+FILTER(Data!$L:$L,Data!$B:$B=AW80,Data!$D:$D=$I80)),""""),"""")"),"")</f>
        <v/>
      </c>
      <c r="CH80" s="69" t="str">
        <f>IFERROR(__xludf.DUMMYFUNCTION("IF($J80&lt;&gt;"""",IFERROR(FILTER(RawTotals!$AJ:$AJ,RawTotals!$A:$A=AX80)-(FILTER(Data!$K:$K,Data!$B:$B=AX80,Data!$D:$D=$J80)+FILTER(Data!$L:$L,Data!$B:$B=AX80,Data!$D:$D=$J80)),""""),"""")"),"")</f>
        <v/>
      </c>
      <c r="CI80" s="69" t="str">
        <f>IFERROR(__xludf.DUMMYFUNCTION("IF($J80&lt;&gt;"""",IFERROR(FILTER(RawTotals!$AJ:$AJ,RawTotals!$A:$A=AY80)-(FILTER(Data!$K:$K,Data!$B:$B=AY80,Data!$D:$D=$J80)+FILTER(Data!$L:$L,Data!$B:$B=AY80,Data!$D:$D=$J80)),""""),"""")"),"")</f>
        <v/>
      </c>
      <c r="CJ80" s="69" t="str">
        <f>IFERROR(__xludf.DUMMYFUNCTION("IF($J80&lt;&gt;"""",IFERROR(FILTER(RawTotals!$AJ:$AJ,RawTotals!$A:$A=AZ80)-(FILTER(Data!$K:$K,Data!$B:$B=AZ80,Data!$D:$D=$J80)+FILTER(Data!$L:$L,Data!$B:$B=AZ80,Data!$D:$D=$J80)),""""),"""")"),"")</f>
        <v/>
      </c>
      <c r="CK80" s="69" t="str">
        <f>IFERROR(__xludf.DUMMYFUNCTION("IF($K80&lt;&gt;"""",IFERROR(FILTER(RawTotals!$AJ:$AJ,RawTotals!$A:$A=BA80)-(FILTER(Data!$K:$K,Data!$B:$B=BA80,Data!$D:$D=$K80)+FILTER(Data!$L:$L,Data!$B:$B=BA80,Data!$D:$D=$K80)),""""),"""")"),"")</f>
        <v/>
      </c>
      <c r="CL80" s="69" t="str">
        <f>IFERROR(__xludf.DUMMYFUNCTION("IF($K80&lt;&gt;"""",IFERROR(FILTER(RawTotals!$AJ:$AJ,RawTotals!$A:$A=BB80)-(FILTER(Data!$K:$K,Data!$B:$B=BB80,Data!$D:$D=$K80)+FILTER(Data!$L:$L,Data!$B:$B=BB80,Data!$D:$D=$K80)),""""),"""")"),"")</f>
        <v/>
      </c>
      <c r="CM80" s="69" t="str">
        <f>IFERROR(__xludf.DUMMYFUNCTION("IF($K80&lt;&gt;"""",IFERROR(FILTER(RawTotals!$AJ:$AJ,RawTotals!$A:$A=BC80)-(FILTER(Data!$K:$K,Data!$B:$B=BC80,Data!$D:$D=$K80)+FILTER(Data!$L:$L,Data!$B:$B=BC80,Data!$D:$D=$K80)),""""),"""")"),"")</f>
        <v/>
      </c>
      <c r="CN80" s="69" t="str">
        <f>IFERROR(__xludf.DUMMYFUNCTION("IF($L80&lt;&gt;"""",IFERROR((FILTER(RawTotals!$AJ:$AJ,RawTotals!$A:$A=BD80)-(FILTER(Data!$K:$K,Data!$B:$B=BD80,Data!$D:$D=$L80)+FILTER(Data!$L:$L,Data!$B:$B=BD80,Data!$D:$D=$L80))),""""),"""")"),"")</f>
        <v/>
      </c>
      <c r="CO80" s="69" t="str">
        <f>IFERROR(__xludf.DUMMYFUNCTION("IF($L80&lt;&gt;"""",IFERROR((FILTER(RawTotals!$AJ:$AJ,RawTotals!$A:$A=BE80)-(FILTER(Data!$K:$K,Data!$B:$B=BE80,Data!$D:$D=$L80)+FILTER(Data!$L:$L,Data!$B:$B=BE80,Data!$D:$D=$L80))),""""),"""")"),"")</f>
        <v/>
      </c>
      <c r="CP80" s="69" t="str">
        <f>IFERROR(__xludf.DUMMYFUNCTION("IF($L80&lt;&gt;"""",IFERROR((FILTER(RawTotals!$AJ:$AJ,RawTotals!$A:$A=BF80)-(FILTER(Data!$K:$K,Data!$B:$B=BF80,Data!$D:$D=$L80)+FILTER(Data!$L:$L,Data!$B:$B=BF80,Data!$D:$D=$L80))),""""),"""")"),"")</f>
        <v/>
      </c>
      <c r="CQ80" s="69" t="str">
        <f>IFERROR(__xludf.DUMMYFUNCTION("IF($M80&lt;&gt;"""",IFERROR((FILTER(RawTotals!$AJ:$AJ,RawTotals!$A:$A=BG80)-(FILTER(Data!$K:$K,Data!$B:$B=BG80,Data!$D:$D=$M80)+FILTER(Data!$L:$L,Data!$B:$B=BG80,Data!$D:$D=$M80))),""""),"""")"),"")</f>
        <v/>
      </c>
      <c r="CR80" s="69" t="str">
        <f>IFERROR(__xludf.DUMMYFUNCTION("IF($M80&lt;&gt;"""",IFERROR((FILTER(RawTotals!$AJ:$AJ,RawTotals!$A:$A=BH80)-(FILTER(Data!$K:$K,Data!$B:$B=BH80,Data!$D:$D=$M80)+FILTER(Data!$L:$L,Data!$B:$B=BH80,Data!$D:$D=$M80))),""""),"""")"),"")</f>
        <v/>
      </c>
      <c r="CS80" s="70" t="str">
        <f>IFERROR(__xludf.DUMMYFUNCTION("IF($M80&lt;&gt;"""",IFERROR((FILTER(RawTotals!$AJ:$AJ,RawTotals!$A:$A=BI80)-(FILTER(Data!$K:$K,Data!$B:$B=BI80,Data!$D:$D=$M80)+FILTER(Data!$L:$L,Data!$B:$B=BI80,Data!$D:$D=$M80))),""""),"""")"),"")</f>
        <v/>
      </c>
      <c r="CT80" s="69"/>
      <c r="CU80" s="69"/>
      <c r="CV80" s="69"/>
      <c r="CW80" s="69"/>
      <c r="CX80" s="69"/>
      <c r="CY80" s="69"/>
      <c r="CZ80" s="69"/>
      <c r="DA80" s="69"/>
      <c r="DB80" s="69"/>
      <c r="DC80" s="69"/>
      <c r="DD80" s="69"/>
      <c r="DE80" s="69"/>
    </row>
    <row r="81">
      <c r="A81" s="65" t="str">
        <f>RawTotals!A81</f>
        <v/>
      </c>
      <c r="B81" s="68" t="str">
        <f>IFERROR(__xludf.DUMMYFUNCTION("IF(A81&lt;&gt;"""",IFERROR(TRANSPOSE(FILTER(Data!D:D,Data!B:B=A81,Data!R:R&lt;&gt;"""")),""No Defense""),"""")"),"")</f>
        <v/>
      </c>
      <c r="C81" s="65"/>
      <c r="D81" s="65"/>
      <c r="E81" s="65"/>
      <c r="F81" s="65"/>
      <c r="G81" s="65"/>
      <c r="H81" s="65"/>
      <c r="I81" s="65"/>
      <c r="J81" s="65"/>
      <c r="K81" s="65"/>
      <c r="L81" s="65"/>
      <c r="M81" s="65"/>
      <c r="N81" s="64" t="str">
        <f>IFERROR(__xludf.DUMMYFUNCTION("IFERROR(Textjoin("""",TRUE,FILTER(Data!$R:$R,Data!$D:$D=B81,Data!$B:$B=$A81)),"""")"),"")</f>
        <v/>
      </c>
      <c r="O81" s="64" t="str">
        <f>IFERROR(__xludf.DUMMYFUNCTION("IFERROR(Textjoin("""",TRUE,FILTER(Data!$R:$R,Data!$D:$D=C81,Data!$B:$B=$A81)),"""")"),"")</f>
        <v/>
      </c>
      <c r="P81" s="64" t="str">
        <f>IFERROR(__xludf.DUMMYFUNCTION("IFERROR(Textjoin("""",TRUE,FILTER(Data!$R:$R,Data!$D:$D=D81,Data!$B:$B=$A81)),"""")"),"")</f>
        <v/>
      </c>
      <c r="Q81" s="64" t="str">
        <f>IFERROR(__xludf.DUMMYFUNCTION("IFERROR(Textjoin("""",TRUE,FILTER(Data!$R:$R,Data!$D:$D=E81,Data!$B:$B=$A81)),"""")"),"")</f>
        <v/>
      </c>
      <c r="R81" s="64" t="str">
        <f>IFERROR(__xludf.DUMMYFUNCTION("IFERROR(Textjoin("""",TRUE,FILTER(Data!$R:$R,Data!$D:$D=F81,Data!$B:$B=$A81)),"""")"),"")</f>
        <v/>
      </c>
      <c r="S81" s="64" t="str">
        <f>IFERROR(__xludf.DUMMYFUNCTION("IFERROR(Textjoin("""",TRUE,FILTER(Data!$R:$R,Data!$D:$D=G81,Data!$B:$B=$A81)),"""")"),"")</f>
        <v/>
      </c>
      <c r="T81" s="64" t="str">
        <f>IFERROR(__xludf.DUMMYFUNCTION("IFERROR(Textjoin("""",TRUE,FILTER(Data!$R:$R,Data!$D:$D=H81,Data!$B:$B=$A81)),"""")"),"")</f>
        <v/>
      </c>
      <c r="U81" s="64" t="str">
        <f>IFERROR(__xludf.DUMMYFUNCTION("IFERROR(Textjoin("""",TRUE,FILTER(Data!$R:$R,Data!$D:$D=I81,Data!$B:$B=$A81)),"""")"),"")</f>
        <v/>
      </c>
      <c r="V81" s="64" t="str">
        <f>IFERROR(__xludf.DUMMYFUNCTION("IFERROR(Textjoin("""",TRUE,FILTER(Data!$R:$R,Data!$D:$D=J81,Data!$B:$B=$A81)),"""")"),"")</f>
        <v/>
      </c>
      <c r="W81" s="64" t="str">
        <f>IFERROR(__xludf.DUMMYFUNCTION("IFERROR(Textjoin("""",TRUE,FILTER(Data!$R:$R,Data!$D:$D=K81,Data!$B:$B=$A81)),"""")"),"")</f>
        <v/>
      </c>
      <c r="X81" s="64" t="str">
        <f>IFERROR(__xludf.DUMMYFUNCTION("IFERROR(Textjoin("""",TRUE,FILTER(Data!$R:$R,Data!$D:$D=L81,Data!$B:$B=$A81)),"""")"),"")</f>
        <v/>
      </c>
      <c r="Y81" s="64" t="str">
        <f>IFERROR(__xludf.DUMMYFUNCTION("IFERROR(Textjoin("""",TRUE,FILTER(Data!$R:$R,Data!$D:$D=M81,Data!$B:$B=$A81)),"""")"),"")</f>
        <v/>
      </c>
      <c r="Z81" s="64" t="str">
        <f>IFERROR(__xludf.DUMMYFUNCTION("IFERROR(SPLIT(N81,"",""),"""")"),"")</f>
        <v/>
      </c>
      <c r="AA81" s="65"/>
      <c r="AB81" s="65"/>
      <c r="AC81" s="69" t="str">
        <f>IFERROR(__xludf.DUMMYFUNCTION("IFERROR(SPLIT(O81,"",""),"""")"),"")</f>
        <v/>
      </c>
      <c r="AD81" s="65"/>
      <c r="AE81" s="65"/>
      <c r="AF81" s="69" t="str">
        <f>IFERROR(__xludf.DUMMYFUNCTION("IFERROR(SPLIT(P81,"",""),"""")"),"")</f>
        <v/>
      </c>
      <c r="AG81" s="65"/>
      <c r="AH81" s="65"/>
      <c r="AI81" s="69" t="str">
        <f>IFERROR(__xludf.DUMMYFUNCTION("IFERROR(SPLIT(Q81,"",""),"""")"),"")</f>
        <v/>
      </c>
      <c r="AJ81" s="65"/>
      <c r="AK81" s="65"/>
      <c r="AL81" s="69" t="str">
        <f>IFERROR(__xludf.DUMMYFUNCTION("IFERROR(SPLIT(R81,"",""),"""")"),"")</f>
        <v/>
      </c>
      <c r="AM81" s="65"/>
      <c r="AN81" s="65"/>
      <c r="AO81" s="69" t="str">
        <f>IFERROR(__xludf.DUMMYFUNCTION("IFERROR(SPLIT(S81,"",""),"""")"),"")</f>
        <v/>
      </c>
      <c r="AP81" s="65"/>
      <c r="AQ81" s="65"/>
      <c r="AR81" s="69" t="str">
        <f>IFERROR(__xludf.DUMMYFUNCTION("IFERROR(SPLIT(T81,"",""),"""")"),"")</f>
        <v/>
      </c>
      <c r="AS81" s="65"/>
      <c r="AT81" s="65"/>
      <c r="AU81" s="69" t="str">
        <f>IFERROR(__xludf.DUMMYFUNCTION("IFERROR(SPLIT(U81,"",""),"""")"),"")</f>
        <v/>
      </c>
      <c r="AV81" s="65"/>
      <c r="AW81" s="65"/>
      <c r="AX81" s="69" t="str">
        <f>IFERROR(__xludf.DUMMYFUNCTION("IFERROR(SPLIT(V81,"",""),"""")"),"")</f>
        <v/>
      </c>
      <c r="AY81" s="65"/>
      <c r="AZ81" s="65"/>
      <c r="BA81" s="69" t="str">
        <f>IFERROR(__xludf.DUMMYFUNCTION("IFERROR(SPLIT(W81,"",""),"""")"),"")</f>
        <v/>
      </c>
      <c r="BB81" s="69"/>
      <c r="BC81" s="69"/>
      <c r="BD81" s="69" t="str">
        <f>IFERROR(__xludf.DUMMYFUNCTION("IFERROR(SPLIT(X81,"",""),"""")"),"")</f>
        <v/>
      </c>
      <c r="BE81" s="69"/>
      <c r="BF81" s="69"/>
      <c r="BG81" s="69" t="str">
        <f>IFERROR(__xludf.DUMMYFUNCTION("IFERROR(SPLIT(Y81,"",""),"""")"),"")</f>
        <v/>
      </c>
      <c r="BH81" s="69"/>
      <c r="BI81" s="69"/>
      <c r="BJ81" s="68" t="str">
        <f>IFERROR(__xludf.DUMMYFUNCTION("IF($B81&lt;&gt;"""",IFERROR(FILTER(RawTotals!$AJ:$AJ,RawTotals!$A:$A=Z81)-(FILTER(Data!$K:$K,Data!$B:$B=Z81,Data!$D:$D=$B81)+FILTER(Data!$L:$L,Data!$B:$B=Z81,Data!$D:$D=$B81)),""""),"""")"),"")</f>
        <v/>
      </c>
      <c r="BK81" s="68" t="str">
        <f>IFERROR(__xludf.DUMMYFUNCTION("IF($B81&lt;&gt;"""",IFERROR(FILTER(RawTotals!$AJ:$AJ,RawTotals!$A:$A=AA81)-(FILTER(Data!$K:$K,Data!$B:$B=AA81,Data!$D:$D=$B81)+FILTER(Data!$L:$L,Data!$B:$B=AA81,Data!$D:$D=$B81)),""""),"""")"),"")</f>
        <v/>
      </c>
      <c r="BL81" s="68" t="str">
        <f>IFERROR(__xludf.DUMMYFUNCTION("IF($B81&lt;&gt;"""",IFERROR(FILTER(RawTotals!$AJ:$AJ,RawTotals!$A:$A=AB81)-(FILTER(Data!$K:$K,Data!$B:$B=AB81,Data!$D:$D=$B81)+FILTER(Data!$L:$L,Data!$B:$B=AB81,Data!$D:$D=$B81)),""""),"""")"),"")</f>
        <v/>
      </c>
      <c r="BM81" s="69" t="str">
        <f>IFERROR(__xludf.DUMMYFUNCTION("IF($C81&lt;&gt;"""",IFERROR(FILTER(RawTotals!$AJ:$AJ,RawTotals!$A:$A=AC81)-(FILTER(Data!$K:$K,Data!$B:$B=AC81,Data!$D:$D=$C81)+FILTER(Data!$L:$L,Data!$B:$B=AC81,Data!$D:$D=$C81)),""""),"""")"),"")</f>
        <v/>
      </c>
      <c r="BN81" s="69" t="str">
        <f>IFERROR(__xludf.DUMMYFUNCTION("IF($C81&lt;&gt;"""",IFERROR(FILTER(RawTotals!$AJ:$AJ,RawTotals!$A:$A=AD81)-(FILTER(Data!$K:$K,Data!$B:$B=AD81,Data!$D:$D=$C81)+FILTER(Data!$L:$L,Data!$B:$B=AD81,Data!$D:$D=$C81)),""""),"""")"),"")</f>
        <v/>
      </c>
      <c r="BO81" s="69" t="str">
        <f>IFERROR(__xludf.DUMMYFUNCTION("IF($C81&lt;&gt;"""",IFERROR(FILTER(RawTotals!$AJ:$AJ,RawTotals!$A:$A=AE81)-(FILTER(Data!$K:$K,Data!$B:$B=AE81,Data!$D:$D=$C81)+FILTER(Data!$L:$L,Data!$B:$B=AE81,Data!$D:$D=$C81)),""""),"""")"),"")</f>
        <v/>
      </c>
      <c r="BP81" s="69" t="str">
        <f>IFERROR(__xludf.DUMMYFUNCTION("IF($D81&lt;&gt;"""",IFERROR(FILTER(RawTotals!$AJ:$AJ,RawTotals!$A:$A=AF81)-(FILTER(Data!$K:$K,Data!$B:$B=AF81,Data!$D:$D=$D81)+FILTER(Data!$L:$L,Data!$B:$B=AF81,Data!$D:$D=$D81)),""""),"""")"),"")</f>
        <v/>
      </c>
      <c r="BQ81" s="69" t="str">
        <f>IFERROR(__xludf.DUMMYFUNCTION("IF($D81&lt;&gt;"""",IFERROR(FILTER(RawTotals!$AJ:$AJ,RawTotals!$A:$A=AG81)-(FILTER(Data!$K:$K,Data!$B:$B=AG81,Data!$D:$D=$D81)+FILTER(Data!$L:$L,Data!$B:$B=AG81,Data!$D:$D=$D81)),""""),"""")"),"")</f>
        <v/>
      </c>
      <c r="BR81" s="69" t="str">
        <f>IFERROR(__xludf.DUMMYFUNCTION("IF($D81&lt;&gt;"""",IFERROR(FILTER(RawTotals!$AJ:$AJ,RawTotals!$A:$A=AH81)-(FILTER(Data!$K:$K,Data!$B:$B=AH81,Data!$D:$D=$D81)+FILTER(Data!$L:$L,Data!$B:$B=AH81,Data!$D:$D=$D81)),""""),"""")"),"")</f>
        <v/>
      </c>
      <c r="BS81" s="69" t="str">
        <f>IFERROR(__xludf.DUMMYFUNCTION("IF($E81&lt;&gt;"""",IFERROR(FILTER(RawTotals!$AJ:$AJ,RawTotals!$A:$A=AI81)-(FILTER(Data!$K:$K,Data!$B:$B=AI81,Data!$D:$D=$E81)+FILTER(Data!$L:$L,Data!$B:$B=AI81,Data!$D:$D=$E81)),""""),"""")"),"")</f>
        <v/>
      </c>
      <c r="BT81" s="69" t="str">
        <f>IFERROR(__xludf.DUMMYFUNCTION("IF($E81&lt;&gt;"""",IFERROR(FILTER(RawTotals!$AJ:$AJ,RawTotals!$A:$A=AJ81)-(FILTER(Data!$K:$K,Data!$B:$B=AJ81,Data!$D:$D=$E81)+FILTER(Data!$L:$L,Data!$B:$B=AJ81,Data!$D:$D=$E81)),""""),"""")"),"")</f>
        <v/>
      </c>
      <c r="BU81" s="69" t="str">
        <f>IFERROR(__xludf.DUMMYFUNCTION("IF($E81&lt;&gt;"""",IFERROR(FILTER(RawTotals!$AJ:$AJ,RawTotals!$A:$A=AK81)-(FILTER(Data!$K:$K,Data!$B:$B=AK81,Data!$D:$D=$E81)+FILTER(Data!$L:$L,Data!$B:$B=AK81,Data!$D:$D=$E81)),""""),"""")"),"")</f>
        <v/>
      </c>
      <c r="BV81" s="69" t="str">
        <f>IFERROR(__xludf.DUMMYFUNCTION("IF($F81&lt;&gt;"""",IFERROR(FILTER(RawTotals!$AJ:$AJ,RawTotals!$A:$A=AL81)-(FILTER(Data!$K:$K,Data!$B:$B=AL81,Data!$D:$D=$F81)+FILTER(Data!$L:$L,Data!$B:$B=AL81,Data!$D:$D=$F81)),""""),"""")"),"")</f>
        <v/>
      </c>
      <c r="BW81" s="69" t="str">
        <f>IFERROR(__xludf.DUMMYFUNCTION("IF($F81&lt;&gt;"""",IFERROR(FILTER(RawTotals!$AJ:$AJ,RawTotals!$A:$A=AM81)-(FILTER(Data!$K:$K,Data!$B:$B=AM81,Data!$D:$D=$F81)+FILTER(Data!$L:$L,Data!$B:$B=AM81,Data!$D:$D=$F81)),""""),"""")"),"")</f>
        <v/>
      </c>
      <c r="BX81" s="69" t="str">
        <f>IFERROR(__xludf.DUMMYFUNCTION("IF($F81&lt;&gt;"""",IFERROR(FILTER(RawTotals!$AJ:$AJ,RawTotals!$A:$A=AN81)-(FILTER(Data!$K:$K,Data!$B:$B=AN81,Data!$D:$D=$F81)+FILTER(Data!$L:$L,Data!$B:$B=AN81,Data!$D:$D=$F81)),""""),"""")"),"")</f>
        <v/>
      </c>
      <c r="BY81" s="69" t="str">
        <f>IFERROR(__xludf.DUMMYFUNCTION("IF($G81&lt;&gt;"""",IFERROR(FILTER(RawTotals!$AJ:$AJ,RawTotals!$A:$A=AO81)-(FILTER(Data!$K:$K,Data!$B:$B=AO81,Data!$D:$D=$G81)+FILTER(Data!$L:$L,Data!$B:$B=AO81,Data!$D:$D=$G81)),""""),"""")"),"")</f>
        <v/>
      </c>
      <c r="BZ81" s="69" t="str">
        <f>IFERROR(__xludf.DUMMYFUNCTION("IF($G81&lt;&gt;"""",IFERROR(FILTER(RawTotals!$AJ:$AJ,RawTotals!$A:$A=AP81)-(FILTER(Data!$K:$K,Data!$B:$B=AP81,Data!$D:$D=$G81)+FILTER(Data!$L:$L,Data!$B:$B=AP81,Data!$D:$D=$G81)),""""),"""")"),"")</f>
        <v/>
      </c>
      <c r="CA81" s="69" t="str">
        <f>IFERROR(__xludf.DUMMYFUNCTION("IF($G81&lt;&gt;"""",IFERROR(FILTER(RawTotals!$AJ:$AJ,RawTotals!$A:$A=AQ81)-(FILTER(Data!$K:$K,Data!$B:$B=AQ81,Data!$D:$D=$G81)+FILTER(Data!$L:$L,Data!$B:$B=AQ81,Data!$D:$D=$G81)),""""),"""")"),"")</f>
        <v/>
      </c>
      <c r="CB81" s="69" t="str">
        <f>IFERROR(__xludf.DUMMYFUNCTION("IF($H81&lt;&gt;"""",IFERROR(FILTER(RawTotals!$AJ:$AJ,RawTotals!$A:$A=AR81)-(FILTER(Data!$K:$K,Data!$B:$B=AR81,Data!$D:$D=$H81)+FILTER(Data!$L:$L,Data!$B:$B=AR81,Data!$D:$D=$H81)),""""),"""")"),"")</f>
        <v/>
      </c>
      <c r="CC81" s="69" t="str">
        <f>IFERROR(__xludf.DUMMYFUNCTION("IF($H81&lt;&gt;"""",IFERROR(FILTER(RawTotals!$AJ:$AJ,RawTotals!$A:$A=AS81)-(FILTER(Data!$K:$K,Data!$B:$B=AS81,Data!$D:$D=$H81)+FILTER(Data!$L:$L,Data!$B:$B=AS81,Data!$D:$D=$H81)),""""),"""")"),"")</f>
        <v/>
      </c>
      <c r="CD81" s="69" t="str">
        <f>IFERROR(__xludf.DUMMYFUNCTION("IF($H81&lt;&gt;"""",IFERROR(FILTER(RawTotals!$AJ:$AJ,RawTotals!$A:$A=AT81)-(FILTER(Data!$K:$K,Data!$B:$B=AT81,Data!$D:$D=$H81)+FILTER(Data!$L:$L,Data!$B:$B=AT81,Data!$D:$D=$H81)),""""),"""")"),"")</f>
        <v/>
      </c>
      <c r="CE81" s="69" t="str">
        <f>IFERROR(__xludf.DUMMYFUNCTION("IF($I81&lt;&gt;"""",IFERROR(FILTER(RawTotals!$AJ:$AJ,RawTotals!$A:$A=AU81)-(FILTER(Data!$K:$K,Data!$B:$B=AU81,Data!$D:$D=$I81)+FILTER(Data!$L:$L,Data!$B:$B=AU81,Data!$D:$D=$I81)),""""),"""")"),"")</f>
        <v/>
      </c>
      <c r="CF81" s="69" t="str">
        <f>IFERROR(__xludf.DUMMYFUNCTION("IF($I81&lt;&gt;"""",IFERROR(FILTER(RawTotals!$AJ:$AJ,RawTotals!$A:$A=AV81)-(FILTER(Data!$K:$K,Data!$B:$B=AV81,Data!$D:$D=$I81)+FILTER(Data!$L:$L,Data!$B:$B=AV81,Data!$D:$D=$I81)),""""),"""")"),"")</f>
        <v/>
      </c>
      <c r="CG81" s="69" t="str">
        <f>IFERROR(__xludf.DUMMYFUNCTION("IF($I81&lt;&gt;"""",IFERROR(FILTER(RawTotals!$AJ:$AJ,RawTotals!$A:$A=AW81)-(FILTER(Data!$K:$K,Data!$B:$B=AW81,Data!$D:$D=$I81)+FILTER(Data!$L:$L,Data!$B:$B=AW81,Data!$D:$D=$I81)),""""),"""")"),"")</f>
        <v/>
      </c>
      <c r="CH81" s="69" t="str">
        <f>IFERROR(__xludf.DUMMYFUNCTION("IF($J81&lt;&gt;"""",IFERROR(FILTER(RawTotals!$AJ:$AJ,RawTotals!$A:$A=AX81)-(FILTER(Data!$K:$K,Data!$B:$B=AX81,Data!$D:$D=$J81)+FILTER(Data!$L:$L,Data!$B:$B=AX81,Data!$D:$D=$J81)),""""),"""")"),"")</f>
        <v/>
      </c>
      <c r="CI81" s="69" t="str">
        <f>IFERROR(__xludf.DUMMYFUNCTION("IF($J81&lt;&gt;"""",IFERROR(FILTER(RawTotals!$AJ:$AJ,RawTotals!$A:$A=AY81)-(FILTER(Data!$K:$K,Data!$B:$B=AY81,Data!$D:$D=$J81)+FILTER(Data!$L:$L,Data!$B:$B=AY81,Data!$D:$D=$J81)),""""),"""")"),"")</f>
        <v/>
      </c>
      <c r="CJ81" s="69" t="str">
        <f>IFERROR(__xludf.DUMMYFUNCTION("IF($J81&lt;&gt;"""",IFERROR(FILTER(RawTotals!$AJ:$AJ,RawTotals!$A:$A=AZ81)-(FILTER(Data!$K:$K,Data!$B:$B=AZ81,Data!$D:$D=$J81)+FILTER(Data!$L:$L,Data!$B:$B=AZ81,Data!$D:$D=$J81)),""""),"""")"),"")</f>
        <v/>
      </c>
      <c r="CK81" s="69" t="str">
        <f>IFERROR(__xludf.DUMMYFUNCTION("IF($K81&lt;&gt;"""",IFERROR(FILTER(RawTotals!$AJ:$AJ,RawTotals!$A:$A=BA81)-(FILTER(Data!$K:$K,Data!$B:$B=BA81,Data!$D:$D=$K81)+FILTER(Data!$L:$L,Data!$B:$B=BA81,Data!$D:$D=$K81)),""""),"""")"),"")</f>
        <v/>
      </c>
      <c r="CL81" s="69" t="str">
        <f>IFERROR(__xludf.DUMMYFUNCTION("IF($K81&lt;&gt;"""",IFERROR(FILTER(RawTotals!$AJ:$AJ,RawTotals!$A:$A=BB81)-(FILTER(Data!$K:$K,Data!$B:$B=BB81,Data!$D:$D=$K81)+FILTER(Data!$L:$L,Data!$B:$B=BB81,Data!$D:$D=$K81)),""""),"""")"),"")</f>
        <v/>
      </c>
      <c r="CM81" s="69" t="str">
        <f>IFERROR(__xludf.DUMMYFUNCTION("IF($K81&lt;&gt;"""",IFERROR(FILTER(RawTotals!$AJ:$AJ,RawTotals!$A:$A=BC81)-(FILTER(Data!$K:$K,Data!$B:$B=BC81,Data!$D:$D=$K81)+FILTER(Data!$L:$L,Data!$B:$B=BC81,Data!$D:$D=$K81)),""""),"""")"),"")</f>
        <v/>
      </c>
      <c r="CN81" s="69" t="str">
        <f>IFERROR(__xludf.DUMMYFUNCTION("IF($L81&lt;&gt;"""",IFERROR((FILTER(RawTotals!$AJ:$AJ,RawTotals!$A:$A=BD81)-(FILTER(Data!$K:$K,Data!$B:$B=BD81,Data!$D:$D=$L81)+FILTER(Data!$L:$L,Data!$B:$B=BD81,Data!$D:$D=$L81))),""""),"""")"),"")</f>
        <v/>
      </c>
      <c r="CO81" s="69" t="str">
        <f>IFERROR(__xludf.DUMMYFUNCTION("IF($L81&lt;&gt;"""",IFERROR((FILTER(RawTotals!$AJ:$AJ,RawTotals!$A:$A=BE81)-(FILTER(Data!$K:$K,Data!$B:$B=BE81,Data!$D:$D=$L81)+FILTER(Data!$L:$L,Data!$B:$B=BE81,Data!$D:$D=$L81))),""""),"""")"),"")</f>
        <v/>
      </c>
      <c r="CP81" s="69" t="str">
        <f>IFERROR(__xludf.DUMMYFUNCTION("IF($L81&lt;&gt;"""",IFERROR((FILTER(RawTotals!$AJ:$AJ,RawTotals!$A:$A=BF81)-(FILTER(Data!$K:$K,Data!$B:$B=BF81,Data!$D:$D=$L81)+FILTER(Data!$L:$L,Data!$B:$B=BF81,Data!$D:$D=$L81))),""""),"""")"),"")</f>
        <v/>
      </c>
      <c r="CQ81" s="69" t="str">
        <f>IFERROR(__xludf.DUMMYFUNCTION("IF($M81&lt;&gt;"""",IFERROR((FILTER(RawTotals!$AJ:$AJ,RawTotals!$A:$A=BG81)-(FILTER(Data!$K:$K,Data!$B:$B=BG81,Data!$D:$D=$M81)+FILTER(Data!$L:$L,Data!$B:$B=BG81,Data!$D:$D=$M81))),""""),"""")"),"")</f>
        <v/>
      </c>
      <c r="CR81" s="69" t="str">
        <f>IFERROR(__xludf.DUMMYFUNCTION("IF($M81&lt;&gt;"""",IFERROR((FILTER(RawTotals!$AJ:$AJ,RawTotals!$A:$A=BH81)-(FILTER(Data!$K:$K,Data!$B:$B=BH81,Data!$D:$D=$M81)+FILTER(Data!$L:$L,Data!$B:$B=BH81,Data!$D:$D=$M81))),""""),"""")"),"")</f>
        <v/>
      </c>
      <c r="CS81" s="70" t="str">
        <f>IFERROR(__xludf.DUMMYFUNCTION("IF($M81&lt;&gt;"""",IFERROR((FILTER(RawTotals!$AJ:$AJ,RawTotals!$A:$A=BI81)-(FILTER(Data!$K:$K,Data!$B:$B=BI81,Data!$D:$D=$M81)+FILTER(Data!$L:$L,Data!$B:$B=BI81,Data!$D:$D=$M81))),""""),"""")"),"")</f>
        <v/>
      </c>
      <c r="CT81" s="69"/>
      <c r="CU81" s="69"/>
      <c r="CV81" s="69"/>
      <c r="CW81" s="69"/>
      <c r="CX81" s="69"/>
      <c r="CY81" s="69"/>
      <c r="CZ81" s="69"/>
      <c r="DA81" s="69"/>
      <c r="DB81" s="69"/>
      <c r="DC81" s="69"/>
      <c r="DD81" s="69"/>
      <c r="DE81" s="69"/>
    </row>
    <row r="82">
      <c r="A82" s="65" t="str">
        <f>RawTotals!A82</f>
        <v/>
      </c>
      <c r="B82" s="68" t="str">
        <f>IFERROR(__xludf.DUMMYFUNCTION("IF(A82&lt;&gt;"""",IFERROR(TRANSPOSE(FILTER(Data!D:D,Data!B:B=A82,Data!R:R&lt;&gt;"""")),""No Defense""),"""")"),"")</f>
        <v/>
      </c>
      <c r="C82" s="65"/>
      <c r="D82" s="65"/>
      <c r="E82" s="65"/>
      <c r="F82" s="65"/>
      <c r="G82" s="65"/>
      <c r="H82" s="65"/>
      <c r="I82" s="65"/>
      <c r="J82" s="65"/>
      <c r="K82" s="65"/>
      <c r="L82" s="65"/>
      <c r="M82" s="65"/>
      <c r="N82" s="64" t="str">
        <f>IFERROR(__xludf.DUMMYFUNCTION("IFERROR(Textjoin("""",TRUE,FILTER(Data!$R:$R,Data!$D:$D=B82,Data!$B:$B=$A82)),"""")"),"")</f>
        <v/>
      </c>
      <c r="O82" s="64" t="str">
        <f>IFERROR(__xludf.DUMMYFUNCTION("IFERROR(Textjoin("""",TRUE,FILTER(Data!$R:$R,Data!$D:$D=C82,Data!$B:$B=$A82)),"""")"),"")</f>
        <v/>
      </c>
      <c r="P82" s="64" t="str">
        <f>IFERROR(__xludf.DUMMYFUNCTION("IFERROR(Textjoin("""",TRUE,FILTER(Data!$R:$R,Data!$D:$D=D82,Data!$B:$B=$A82)),"""")"),"")</f>
        <v/>
      </c>
      <c r="Q82" s="64" t="str">
        <f>IFERROR(__xludf.DUMMYFUNCTION("IFERROR(Textjoin("""",TRUE,FILTER(Data!$R:$R,Data!$D:$D=E82,Data!$B:$B=$A82)),"""")"),"")</f>
        <v/>
      </c>
      <c r="R82" s="64" t="str">
        <f>IFERROR(__xludf.DUMMYFUNCTION("IFERROR(Textjoin("""",TRUE,FILTER(Data!$R:$R,Data!$D:$D=F82,Data!$B:$B=$A82)),"""")"),"")</f>
        <v/>
      </c>
      <c r="S82" s="64" t="str">
        <f>IFERROR(__xludf.DUMMYFUNCTION("IFERROR(Textjoin("""",TRUE,FILTER(Data!$R:$R,Data!$D:$D=G82,Data!$B:$B=$A82)),"""")"),"")</f>
        <v/>
      </c>
      <c r="T82" s="64" t="str">
        <f>IFERROR(__xludf.DUMMYFUNCTION("IFERROR(Textjoin("""",TRUE,FILTER(Data!$R:$R,Data!$D:$D=H82,Data!$B:$B=$A82)),"""")"),"")</f>
        <v/>
      </c>
      <c r="U82" s="64" t="str">
        <f>IFERROR(__xludf.DUMMYFUNCTION("IFERROR(Textjoin("""",TRUE,FILTER(Data!$R:$R,Data!$D:$D=I82,Data!$B:$B=$A82)),"""")"),"")</f>
        <v/>
      </c>
      <c r="V82" s="64" t="str">
        <f>IFERROR(__xludf.DUMMYFUNCTION("IFERROR(Textjoin("""",TRUE,FILTER(Data!$R:$R,Data!$D:$D=J82,Data!$B:$B=$A82)),"""")"),"")</f>
        <v/>
      </c>
      <c r="W82" s="64" t="str">
        <f>IFERROR(__xludf.DUMMYFUNCTION("IFERROR(Textjoin("""",TRUE,FILTER(Data!$R:$R,Data!$D:$D=K82,Data!$B:$B=$A82)),"""")"),"")</f>
        <v/>
      </c>
      <c r="X82" s="64" t="str">
        <f>IFERROR(__xludf.DUMMYFUNCTION("IFERROR(Textjoin("""",TRUE,FILTER(Data!$R:$R,Data!$D:$D=L82,Data!$B:$B=$A82)),"""")"),"")</f>
        <v/>
      </c>
      <c r="Y82" s="64" t="str">
        <f>IFERROR(__xludf.DUMMYFUNCTION("IFERROR(Textjoin("""",TRUE,FILTER(Data!$R:$R,Data!$D:$D=M82,Data!$B:$B=$A82)),"""")"),"")</f>
        <v/>
      </c>
      <c r="Z82" s="64" t="str">
        <f>IFERROR(__xludf.DUMMYFUNCTION("IFERROR(SPLIT(N82,"",""),"""")"),"")</f>
        <v/>
      </c>
      <c r="AA82" s="65"/>
      <c r="AB82" s="65"/>
      <c r="AC82" s="69" t="str">
        <f>IFERROR(__xludf.DUMMYFUNCTION("IFERROR(SPLIT(O82,"",""),"""")"),"")</f>
        <v/>
      </c>
      <c r="AD82" s="65"/>
      <c r="AE82" s="65"/>
      <c r="AF82" s="69" t="str">
        <f>IFERROR(__xludf.DUMMYFUNCTION("IFERROR(SPLIT(P82,"",""),"""")"),"")</f>
        <v/>
      </c>
      <c r="AG82" s="65"/>
      <c r="AH82" s="65"/>
      <c r="AI82" s="69" t="str">
        <f>IFERROR(__xludf.DUMMYFUNCTION("IFERROR(SPLIT(Q82,"",""),"""")"),"")</f>
        <v/>
      </c>
      <c r="AJ82" s="65"/>
      <c r="AK82" s="65"/>
      <c r="AL82" s="69" t="str">
        <f>IFERROR(__xludf.DUMMYFUNCTION("IFERROR(SPLIT(R82,"",""),"""")"),"")</f>
        <v/>
      </c>
      <c r="AM82" s="65"/>
      <c r="AN82" s="65"/>
      <c r="AO82" s="69" t="str">
        <f>IFERROR(__xludf.DUMMYFUNCTION("IFERROR(SPLIT(S82,"",""),"""")"),"")</f>
        <v/>
      </c>
      <c r="AP82" s="65"/>
      <c r="AQ82" s="65"/>
      <c r="AR82" s="69" t="str">
        <f>IFERROR(__xludf.DUMMYFUNCTION("IFERROR(SPLIT(T82,"",""),"""")"),"")</f>
        <v/>
      </c>
      <c r="AS82" s="65"/>
      <c r="AT82" s="65"/>
      <c r="AU82" s="69" t="str">
        <f>IFERROR(__xludf.DUMMYFUNCTION("IFERROR(SPLIT(U82,"",""),"""")"),"")</f>
        <v/>
      </c>
      <c r="AV82" s="65"/>
      <c r="AW82" s="65"/>
      <c r="AX82" s="69" t="str">
        <f>IFERROR(__xludf.DUMMYFUNCTION("IFERROR(SPLIT(V82,"",""),"""")"),"")</f>
        <v/>
      </c>
      <c r="AY82" s="65"/>
      <c r="AZ82" s="65"/>
      <c r="BA82" s="69" t="str">
        <f>IFERROR(__xludf.DUMMYFUNCTION("IFERROR(SPLIT(W82,"",""),"""")"),"")</f>
        <v/>
      </c>
      <c r="BB82" s="69"/>
      <c r="BC82" s="69"/>
      <c r="BD82" s="69" t="str">
        <f>IFERROR(__xludf.DUMMYFUNCTION("IFERROR(SPLIT(X82,"",""),"""")"),"")</f>
        <v/>
      </c>
      <c r="BE82" s="69"/>
      <c r="BF82" s="69"/>
      <c r="BG82" s="69" t="str">
        <f>IFERROR(__xludf.DUMMYFUNCTION("IFERROR(SPLIT(Y82,"",""),"""")"),"")</f>
        <v/>
      </c>
      <c r="BH82" s="69"/>
      <c r="BI82" s="69"/>
      <c r="BJ82" s="68" t="str">
        <f>IFERROR(__xludf.DUMMYFUNCTION("IF($B82&lt;&gt;"""",IFERROR(FILTER(RawTotals!$AJ:$AJ,RawTotals!$A:$A=Z82)-(FILTER(Data!$K:$K,Data!$B:$B=Z82,Data!$D:$D=$B82)+FILTER(Data!$L:$L,Data!$B:$B=Z82,Data!$D:$D=$B82)),""""),"""")"),"")</f>
        <v/>
      </c>
      <c r="BK82" s="68" t="str">
        <f>IFERROR(__xludf.DUMMYFUNCTION("IF($B82&lt;&gt;"""",IFERROR(FILTER(RawTotals!$AJ:$AJ,RawTotals!$A:$A=AA82)-(FILTER(Data!$K:$K,Data!$B:$B=AA82,Data!$D:$D=$B82)+FILTER(Data!$L:$L,Data!$B:$B=AA82,Data!$D:$D=$B82)),""""),"""")"),"")</f>
        <v/>
      </c>
      <c r="BL82" s="68" t="str">
        <f>IFERROR(__xludf.DUMMYFUNCTION("IF($B82&lt;&gt;"""",IFERROR(FILTER(RawTotals!$AJ:$AJ,RawTotals!$A:$A=AB82)-(FILTER(Data!$K:$K,Data!$B:$B=AB82,Data!$D:$D=$B82)+FILTER(Data!$L:$L,Data!$B:$B=AB82,Data!$D:$D=$B82)),""""),"""")"),"")</f>
        <v/>
      </c>
      <c r="BM82" s="69" t="str">
        <f>IFERROR(__xludf.DUMMYFUNCTION("IF($C82&lt;&gt;"""",IFERROR(FILTER(RawTotals!$AJ:$AJ,RawTotals!$A:$A=AC82)-(FILTER(Data!$K:$K,Data!$B:$B=AC82,Data!$D:$D=$C82)+FILTER(Data!$L:$L,Data!$B:$B=AC82,Data!$D:$D=$C82)),""""),"""")"),"")</f>
        <v/>
      </c>
      <c r="BN82" s="69" t="str">
        <f>IFERROR(__xludf.DUMMYFUNCTION("IF($C82&lt;&gt;"""",IFERROR(FILTER(RawTotals!$AJ:$AJ,RawTotals!$A:$A=AD82)-(FILTER(Data!$K:$K,Data!$B:$B=AD82,Data!$D:$D=$C82)+FILTER(Data!$L:$L,Data!$B:$B=AD82,Data!$D:$D=$C82)),""""),"""")"),"")</f>
        <v/>
      </c>
      <c r="BO82" s="69" t="str">
        <f>IFERROR(__xludf.DUMMYFUNCTION("IF($C82&lt;&gt;"""",IFERROR(FILTER(RawTotals!$AJ:$AJ,RawTotals!$A:$A=AE82)-(FILTER(Data!$K:$K,Data!$B:$B=AE82,Data!$D:$D=$C82)+FILTER(Data!$L:$L,Data!$B:$B=AE82,Data!$D:$D=$C82)),""""),"""")"),"")</f>
        <v/>
      </c>
      <c r="BP82" s="69" t="str">
        <f>IFERROR(__xludf.DUMMYFUNCTION("IF($D82&lt;&gt;"""",IFERROR(FILTER(RawTotals!$AJ:$AJ,RawTotals!$A:$A=AF82)-(FILTER(Data!$K:$K,Data!$B:$B=AF82,Data!$D:$D=$D82)+FILTER(Data!$L:$L,Data!$B:$B=AF82,Data!$D:$D=$D82)),""""),"""")"),"")</f>
        <v/>
      </c>
      <c r="BQ82" s="69" t="str">
        <f>IFERROR(__xludf.DUMMYFUNCTION("IF($D82&lt;&gt;"""",IFERROR(FILTER(RawTotals!$AJ:$AJ,RawTotals!$A:$A=AG82)-(FILTER(Data!$K:$K,Data!$B:$B=AG82,Data!$D:$D=$D82)+FILTER(Data!$L:$L,Data!$B:$B=AG82,Data!$D:$D=$D82)),""""),"""")"),"")</f>
        <v/>
      </c>
      <c r="BR82" s="69" t="str">
        <f>IFERROR(__xludf.DUMMYFUNCTION("IF($D82&lt;&gt;"""",IFERROR(FILTER(RawTotals!$AJ:$AJ,RawTotals!$A:$A=AH82)-(FILTER(Data!$K:$K,Data!$B:$B=AH82,Data!$D:$D=$D82)+FILTER(Data!$L:$L,Data!$B:$B=AH82,Data!$D:$D=$D82)),""""),"""")"),"")</f>
        <v/>
      </c>
      <c r="BS82" s="69" t="str">
        <f>IFERROR(__xludf.DUMMYFUNCTION("IF($E82&lt;&gt;"""",IFERROR(FILTER(RawTotals!$AJ:$AJ,RawTotals!$A:$A=AI82)-(FILTER(Data!$K:$K,Data!$B:$B=AI82,Data!$D:$D=$E82)+FILTER(Data!$L:$L,Data!$B:$B=AI82,Data!$D:$D=$E82)),""""),"""")"),"")</f>
        <v/>
      </c>
      <c r="BT82" s="69" t="str">
        <f>IFERROR(__xludf.DUMMYFUNCTION("IF($E82&lt;&gt;"""",IFERROR(FILTER(RawTotals!$AJ:$AJ,RawTotals!$A:$A=AJ82)-(FILTER(Data!$K:$K,Data!$B:$B=AJ82,Data!$D:$D=$E82)+FILTER(Data!$L:$L,Data!$B:$B=AJ82,Data!$D:$D=$E82)),""""),"""")"),"")</f>
        <v/>
      </c>
      <c r="BU82" s="69" t="str">
        <f>IFERROR(__xludf.DUMMYFUNCTION("IF($E82&lt;&gt;"""",IFERROR(FILTER(RawTotals!$AJ:$AJ,RawTotals!$A:$A=AK82)-(FILTER(Data!$K:$K,Data!$B:$B=AK82,Data!$D:$D=$E82)+FILTER(Data!$L:$L,Data!$B:$B=AK82,Data!$D:$D=$E82)),""""),"""")"),"")</f>
        <v/>
      </c>
      <c r="BV82" s="69" t="str">
        <f>IFERROR(__xludf.DUMMYFUNCTION("IF($F82&lt;&gt;"""",IFERROR(FILTER(RawTotals!$AJ:$AJ,RawTotals!$A:$A=AL82)-(FILTER(Data!$K:$K,Data!$B:$B=AL82,Data!$D:$D=$F82)+FILTER(Data!$L:$L,Data!$B:$B=AL82,Data!$D:$D=$F82)),""""),"""")"),"")</f>
        <v/>
      </c>
      <c r="BW82" s="69" t="str">
        <f>IFERROR(__xludf.DUMMYFUNCTION("IF($F82&lt;&gt;"""",IFERROR(FILTER(RawTotals!$AJ:$AJ,RawTotals!$A:$A=AM82)-(FILTER(Data!$K:$K,Data!$B:$B=AM82,Data!$D:$D=$F82)+FILTER(Data!$L:$L,Data!$B:$B=AM82,Data!$D:$D=$F82)),""""),"""")"),"")</f>
        <v/>
      </c>
      <c r="BX82" s="69" t="str">
        <f>IFERROR(__xludf.DUMMYFUNCTION("IF($F82&lt;&gt;"""",IFERROR(FILTER(RawTotals!$AJ:$AJ,RawTotals!$A:$A=AN82)-(FILTER(Data!$K:$K,Data!$B:$B=AN82,Data!$D:$D=$F82)+FILTER(Data!$L:$L,Data!$B:$B=AN82,Data!$D:$D=$F82)),""""),"""")"),"")</f>
        <v/>
      </c>
      <c r="BY82" s="69" t="str">
        <f>IFERROR(__xludf.DUMMYFUNCTION("IF($G82&lt;&gt;"""",IFERROR(FILTER(RawTotals!$AJ:$AJ,RawTotals!$A:$A=AO82)-(FILTER(Data!$K:$K,Data!$B:$B=AO82,Data!$D:$D=$G82)+FILTER(Data!$L:$L,Data!$B:$B=AO82,Data!$D:$D=$G82)),""""),"""")"),"")</f>
        <v/>
      </c>
      <c r="BZ82" s="69" t="str">
        <f>IFERROR(__xludf.DUMMYFUNCTION("IF($G82&lt;&gt;"""",IFERROR(FILTER(RawTotals!$AJ:$AJ,RawTotals!$A:$A=AP82)-(FILTER(Data!$K:$K,Data!$B:$B=AP82,Data!$D:$D=$G82)+FILTER(Data!$L:$L,Data!$B:$B=AP82,Data!$D:$D=$G82)),""""),"""")"),"")</f>
        <v/>
      </c>
      <c r="CA82" s="69" t="str">
        <f>IFERROR(__xludf.DUMMYFUNCTION("IF($G82&lt;&gt;"""",IFERROR(FILTER(RawTotals!$AJ:$AJ,RawTotals!$A:$A=AQ82)-(FILTER(Data!$K:$K,Data!$B:$B=AQ82,Data!$D:$D=$G82)+FILTER(Data!$L:$L,Data!$B:$B=AQ82,Data!$D:$D=$G82)),""""),"""")"),"")</f>
        <v/>
      </c>
      <c r="CB82" s="69" t="str">
        <f>IFERROR(__xludf.DUMMYFUNCTION("IF($H82&lt;&gt;"""",IFERROR(FILTER(RawTotals!$AJ:$AJ,RawTotals!$A:$A=AR82)-(FILTER(Data!$K:$K,Data!$B:$B=AR82,Data!$D:$D=$H82)+FILTER(Data!$L:$L,Data!$B:$B=AR82,Data!$D:$D=$H82)),""""),"""")"),"")</f>
        <v/>
      </c>
      <c r="CC82" s="69" t="str">
        <f>IFERROR(__xludf.DUMMYFUNCTION("IF($H82&lt;&gt;"""",IFERROR(FILTER(RawTotals!$AJ:$AJ,RawTotals!$A:$A=AS82)-(FILTER(Data!$K:$K,Data!$B:$B=AS82,Data!$D:$D=$H82)+FILTER(Data!$L:$L,Data!$B:$B=AS82,Data!$D:$D=$H82)),""""),"""")"),"")</f>
        <v/>
      </c>
      <c r="CD82" s="69" t="str">
        <f>IFERROR(__xludf.DUMMYFUNCTION("IF($H82&lt;&gt;"""",IFERROR(FILTER(RawTotals!$AJ:$AJ,RawTotals!$A:$A=AT82)-(FILTER(Data!$K:$K,Data!$B:$B=AT82,Data!$D:$D=$H82)+FILTER(Data!$L:$L,Data!$B:$B=AT82,Data!$D:$D=$H82)),""""),"""")"),"")</f>
        <v/>
      </c>
      <c r="CE82" s="69" t="str">
        <f>IFERROR(__xludf.DUMMYFUNCTION("IF($I82&lt;&gt;"""",IFERROR(FILTER(RawTotals!$AJ:$AJ,RawTotals!$A:$A=AU82)-(FILTER(Data!$K:$K,Data!$B:$B=AU82,Data!$D:$D=$I82)+FILTER(Data!$L:$L,Data!$B:$B=AU82,Data!$D:$D=$I82)),""""),"""")"),"")</f>
        <v/>
      </c>
      <c r="CF82" s="69" t="str">
        <f>IFERROR(__xludf.DUMMYFUNCTION("IF($I82&lt;&gt;"""",IFERROR(FILTER(RawTotals!$AJ:$AJ,RawTotals!$A:$A=AV82)-(FILTER(Data!$K:$K,Data!$B:$B=AV82,Data!$D:$D=$I82)+FILTER(Data!$L:$L,Data!$B:$B=AV82,Data!$D:$D=$I82)),""""),"""")"),"")</f>
        <v/>
      </c>
      <c r="CG82" s="69" t="str">
        <f>IFERROR(__xludf.DUMMYFUNCTION("IF($I82&lt;&gt;"""",IFERROR(FILTER(RawTotals!$AJ:$AJ,RawTotals!$A:$A=AW82)-(FILTER(Data!$K:$K,Data!$B:$B=AW82,Data!$D:$D=$I82)+FILTER(Data!$L:$L,Data!$B:$B=AW82,Data!$D:$D=$I82)),""""),"""")"),"")</f>
        <v/>
      </c>
      <c r="CH82" s="69" t="str">
        <f>IFERROR(__xludf.DUMMYFUNCTION("IF($J82&lt;&gt;"""",IFERROR(FILTER(RawTotals!$AJ:$AJ,RawTotals!$A:$A=AX82)-(FILTER(Data!$K:$K,Data!$B:$B=AX82,Data!$D:$D=$J82)+FILTER(Data!$L:$L,Data!$B:$B=AX82,Data!$D:$D=$J82)),""""),"""")"),"")</f>
        <v/>
      </c>
      <c r="CI82" s="69" t="str">
        <f>IFERROR(__xludf.DUMMYFUNCTION("IF($J82&lt;&gt;"""",IFERROR(FILTER(RawTotals!$AJ:$AJ,RawTotals!$A:$A=AY82)-(FILTER(Data!$K:$K,Data!$B:$B=AY82,Data!$D:$D=$J82)+FILTER(Data!$L:$L,Data!$B:$B=AY82,Data!$D:$D=$J82)),""""),"""")"),"")</f>
        <v/>
      </c>
      <c r="CJ82" s="69" t="str">
        <f>IFERROR(__xludf.DUMMYFUNCTION("IF($J82&lt;&gt;"""",IFERROR(FILTER(RawTotals!$AJ:$AJ,RawTotals!$A:$A=AZ82)-(FILTER(Data!$K:$K,Data!$B:$B=AZ82,Data!$D:$D=$J82)+FILTER(Data!$L:$L,Data!$B:$B=AZ82,Data!$D:$D=$J82)),""""),"""")"),"")</f>
        <v/>
      </c>
      <c r="CK82" s="69" t="str">
        <f>IFERROR(__xludf.DUMMYFUNCTION("IF($K82&lt;&gt;"""",IFERROR(FILTER(RawTotals!$AJ:$AJ,RawTotals!$A:$A=BA82)-(FILTER(Data!$K:$K,Data!$B:$B=BA82,Data!$D:$D=$K82)+FILTER(Data!$L:$L,Data!$B:$B=BA82,Data!$D:$D=$K82)),""""),"""")"),"")</f>
        <v/>
      </c>
      <c r="CL82" s="69" t="str">
        <f>IFERROR(__xludf.DUMMYFUNCTION("IF($K82&lt;&gt;"""",IFERROR(FILTER(RawTotals!$AJ:$AJ,RawTotals!$A:$A=BB82)-(FILTER(Data!$K:$K,Data!$B:$B=BB82,Data!$D:$D=$K82)+FILTER(Data!$L:$L,Data!$B:$B=BB82,Data!$D:$D=$K82)),""""),"""")"),"")</f>
        <v/>
      </c>
      <c r="CM82" s="69" t="str">
        <f>IFERROR(__xludf.DUMMYFUNCTION("IF($K82&lt;&gt;"""",IFERROR(FILTER(RawTotals!$AJ:$AJ,RawTotals!$A:$A=BC82)-(FILTER(Data!$K:$K,Data!$B:$B=BC82,Data!$D:$D=$K82)+FILTER(Data!$L:$L,Data!$B:$B=BC82,Data!$D:$D=$K82)),""""),"""")"),"")</f>
        <v/>
      </c>
      <c r="CN82" s="69" t="str">
        <f>IFERROR(__xludf.DUMMYFUNCTION("IF($L82&lt;&gt;"""",IFERROR((FILTER(RawTotals!$AJ:$AJ,RawTotals!$A:$A=BD82)-(FILTER(Data!$K:$K,Data!$B:$B=BD82,Data!$D:$D=$L82)+FILTER(Data!$L:$L,Data!$B:$B=BD82,Data!$D:$D=$L82))),""""),"""")"),"")</f>
        <v/>
      </c>
      <c r="CO82" s="69" t="str">
        <f>IFERROR(__xludf.DUMMYFUNCTION("IF($L82&lt;&gt;"""",IFERROR((FILTER(RawTotals!$AJ:$AJ,RawTotals!$A:$A=BE82)-(FILTER(Data!$K:$K,Data!$B:$B=BE82,Data!$D:$D=$L82)+FILTER(Data!$L:$L,Data!$B:$B=BE82,Data!$D:$D=$L82))),""""),"""")"),"")</f>
        <v/>
      </c>
      <c r="CP82" s="69" t="str">
        <f>IFERROR(__xludf.DUMMYFUNCTION("IF($L82&lt;&gt;"""",IFERROR((FILTER(RawTotals!$AJ:$AJ,RawTotals!$A:$A=BF82)-(FILTER(Data!$K:$K,Data!$B:$B=BF82,Data!$D:$D=$L82)+FILTER(Data!$L:$L,Data!$B:$B=BF82,Data!$D:$D=$L82))),""""),"""")"),"")</f>
        <v/>
      </c>
      <c r="CQ82" s="69" t="str">
        <f>IFERROR(__xludf.DUMMYFUNCTION("IF($M82&lt;&gt;"""",IFERROR((FILTER(RawTotals!$AJ:$AJ,RawTotals!$A:$A=BG82)-(FILTER(Data!$K:$K,Data!$B:$B=BG82,Data!$D:$D=$M82)+FILTER(Data!$L:$L,Data!$B:$B=BG82,Data!$D:$D=$M82))),""""),"""")"),"")</f>
        <v/>
      </c>
      <c r="CR82" s="69" t="str">
        <f>IFERROR(__xludf.DUMMYFUNCTION("IF($M82&lt;&gt;"""",IFERROR((FILTER(RawTotals!$AJ:$AJ,RawTotals!$A:$A=BH82)-(FILTER(Data!$K:$K,Data!$B:$B=BH82,Data!$D:$D=$M82)+FILTER(Data!$L:$L,Data!$B:$B=BH82,Data!$D:$D=$M82))),""""),"""")"),"")</f>
        <v/>
      </c>
      <c r="CS82" s="70" t="str">
        <f>IFERROR(__xludf.DUMMYFUNCTION("IF($M82&lt;&gt;"""",IFERROR((FILTER(RawTotals!$AJ:$AJ,RawTotals!$A:$A=BI82)-(FILTER(Data!$K:$K,Data!$B:$B=BI82,Data!$D:$D=$M82)+FILTER(Data!$L:$L,Data!$B:$B=BI82,Data!$D:$D=$M82))),""""),"""")"),"")</f>
        <v/>
      </c>
      <c r="CT82" s="69"/>
      <c r="CU82" s="69"/>
      <c r="CV82" s="69"/>
      <c r="CW82" s="69"/>
      <c r="CX82" s="69"/>
      <c r="CY82" s="69"/>
      <c r="CZ82" s="69"/>
      <c r="DA82" s="69"/>
      <c r="DB82" s="69"/>
      <c r="DC82" s="69"/>
      <c r="DD82" s="69"/>
      <c r="DE82" s="69"/>
    </row>
    <row r="83">
      <c r="A83" s="65" t="str">
        <f>RawTotals!A83</f>
        <v/>
      </c>
      <c r="B83" s="68" t="str">
        <f>IFERROR(__xludf.DUMMYFUNCTION("IF(A83&lt;&gt;"""",IFERROR(TRANSPOSE(FILTER(Data!D:D,Data!B:B=A83,Data!R:R&lt;&gt;"""")),""No Defense""),"""")"),"")</f>
        <v/>
      </c>
      <c r="C83" s="65"/>
      <c r="D83" s="65"/>
      <c r="E83" s="65"/>
      <c r="F83" s="65"/>
      <c r="G83" s="65"/>
      <c r="H83" s="65"/>
      <c r="I83" s="65"/>
      <c r="J83" s="65"/>
      <c r="K83" s="65"/>
      <c r="L83" s="65"/>
      <c r="M83" s="65"/>
      <c r="N83" s="64" t="str">
        <f>IFERROR(__xludf.DUMMYFUNCTION("IFERROR(Textjoin("""",TRUE,FILTER(Data!$R:$R,Data!$D:$D=B83,Data!$B:$B=$A83)),"""")"),"")</f>
        <v/>
      </c>
      <c r="O83" s="64" t="str">
        <f>IFERROR(__xludf.DUMMYFUNCTION("IFERROR(Textjoin("""",TRUE,FILTER(Data!$R:$R,Data!$D:$D=C83,Data!$B:$B=$A83)),"""")"),"")</f>
        <v/>
      </c>
      <c r="P83" s="64" t="str">
        <f>IFERROR(__xludf.DUMMYFUNCTION("IFERROR(Textjoin("""",TRUE,FILTER(Data!$R:$R,Data!$D:$D=D83,Data!$B:$B=$A83)),"""")"),"")</f>
        <v/>
      </c>
      <c r="Q83" s="64" t="str">
        <f>IFERROR(__xludf.DUMMYFUNCTION("IFERROR(Textjoin("""",TRUE,FILTER(Data!$R:$R,Data!$D:$D=E83,Data!$B:$B=$A83)),"""")"),"")</f>
        <v/>
      </c>
      <c r="R83" s="64" t="str">
        <f>IFERROR(__xludf.DUMMYFUNCTION("IFERROR(Textjoin("""",TRUE,FILTER(Data!$R:$R,Data!$D:$D=F83,Data!$B:$B=$A83)),"""")"),"")</f>
        <v/>
      </c>
      <c r="S83" s="64" t="str">
        <f>IFERROR(__xludf.DUMMYFUNCTION("IFERROR(Textjoin("""",TRUE,FILTER(Data!$R:$R,Data!$D:$D=G83,Data!$B:$B=$A83)),"""")"),"")</f>
        <v/>
      </c>
      <c r="T83" s="64" t="str">
        <f>IFERROR(__xludf.DUMMYFUNCTION("IFERROR(Textjoin("""",TRUE,FILTER(Data!$R:$R,Data!$D:$D=H83,Data!$B:$B=$A83)),"""")"),"")</f>
        <v/>
      </c>
      <c r="U83" s="64" t="str">
        <f>IFERROR(__xludf.DUMMYFUNCTION("IFERROR(Textjoin("""",TRUE,FILTER(Data!$R:$R,Data!$D:$D=I83,Data!$B:$B=$A83)),"""")"),"")</f>
        <v/>
      </c>
      <c r="V83" s="64" t="str">
        <f>IFERROR(__xludf.DUMMYFUNCTION("IFERROR(Textjoin("""",TRUE,FILTER(Data!$R:$R,Data!$D:$D=J83,Data!$B:$B=$A83)),"""")"),"")</f>
        <v/>
      </c>
      <c r="W83" s="64" t="str">
        <f>IFERROR(__xludf.DUMMYFUNCTION("IFERROR(Textjoin("""",TRUE,FILTER(Data!$R:$R,Data!$D:$D=K83,Data!$B:$B=$A83)),"""")"),"")</f>
        <v/>
      </c>
      <c r="X83" s="64" t="str">
        <f>IFERROR(__xludf.DUMMYFUNCTION("IFERROR(Textjoin("""",TRUE,FILTER(Data!$R:$R,Data!$D:$D=L83,Data!$B:$B=$A83)),"""")"),"")</f>
        <v/>
      </c>
      <c r="Y83" s="64" t="str">
        <f>IFERROR(__xludf.DUMMYFUNCTION("IFERROR(Textjoin("""",TRUE,FILTER(Data!$R:$R,Data!$D:$D=M83,Data!$B:$B=$A83)),"""")"),"")</f>
        <v/>
      </c>
      <c r="Z83" s="64" t="str">
        <f>IFERROR(__xludf.DUMMYFUNCTION("IFERROR(SPLIT(N83,"",""),"""")"),"")</f>
        <v/>
      </c>
      <c r="AA83" s="65"/>
      <c r="AB83" s="65"/>
      <c r="AC83" s="69" t="str">
        <f>IFERROR(__xludf.DUMMYFUNCTION("IFERROR(SPLIT(O83,"",""),"""")"),"")</f>
        <v/>
      </c>
      <c r="AD83" s="65"/>
      <c r="AE83" s="65"/>
      <c r="AF83" s="69" t="str">
        <f>IFERROR(__xludf.DUMMYFUNCTION("IFERROR(SPLIT(P83,"",""),"""")"),"")</f>
        <v/>
      </c>
      <c r="AG83" s="65"/>
      <c r="AH83" s="65"/>
      <c r="AI83" s="69" t="str">
        <f>IFERROR(__xludf.DUMMYFUNCTION("IFERROR(SPLIT(Q83,"",""),"""")"),"")</f>
        <v/>
      </c>
      <c r="AJ83" s="65"/>
      <c r="AK83" s="65"/>
      <c r="AL83" s="69" t="str">
        <f>IFERROR(__xludf.DUMMYFUNCTION("IFERROR(SPLIT(R83,"",""),"""")"),"")</f>
        <v/>
      </c>
      <c r="AM83" s="65"/>
      <c r="AN83" s="65"/>
      <c r="AO83" s="69" t="str">
        <f>IFERROR(__xludf.DUMMYFUNCTION("IFERROR(SPLIT(S83,"",""),"""")"),"")</f>
        <v/>
      </c>
      <c r="AP83" s="65"/>
      <c r="AQ83" s="65"/>
      <c r="AR83" s="69" t="str">
        <f>IFERROR(__xludf.DUMMYFUNCTION("IFERROR(SPLIT(T83,"",""),"""")"),"")</f>
        <v/>
      </c>
      <c r="AS83" s="65"/>
      <c r="AT83" s="65"/>
      <c r="AU83" s="69" t="str">
        <f>IFERROR(__xludf.DUMMYFUNCTION("IFERROR(SPLIT(U83,"",""),"""")"),"")</f>
        <v/>
      </c>
      <c r="AV83" s="65"/>
      <c r="AW83" s="65"/>
      <c r="AX83" s="69" t="str">
        <f>IFERROR(__xludf.DUMMYFUNCTION("IFERROR(SPLIT(V83,"",""),"""")"),"")</f>
        <v/>
      </c>
      <c r="AY83" s="65"/>
      <c r="AZ83" s="65"/>
      <c r="BA83" s="69" t="str">
        <f>IFERROR(__xludf.DUMMYFUNCTION("IFERROR(SPLIT(W83,"",""),"""")"),"")</f>
        <v/>
      </c>
      <c r="BB83" s="69"/>
      <c r="BC83" s="69"/>
      <c r="BD83" s="69" t="str">
        <f>IFERROR(__xludf.DUMMYFUNCTION("IFERROR(SPLIT(X83,"",""),"""")"),"")</f>
        <v/>
      </c>
      <c r="BE83" s="69"/>
      <c r="BF83" s="69"/>
      <c r="BG83" s="69" t="str">
        <f>IFERROR(__xludf.DUMMYFUNCTION("IFERROR(SPLIT(Y83,"",""),"""")"),"")</f>
        <v/>
      </c>
      <c r="BH83" s="69"/>
      <c r="BI83" s="69"/>
      <c r="BJ83" s="68" t="str">
        <f>IFERROR(__xludf.DUMMYFUNCTION("IF($B83&lt;&gt;"""",IFERROR(FILTER(RawTotals!$AJ:$AJ,RawTotals!$A:$A=Z83)-(FILTER(Data!$K:$K,Data!$B:$B=Z83,Data!$D:$D=$B83)+FILTER(Data!$L:$L,Data!$B:$B=Z83,Data!$D:$D=$B83)),""""),"""")"),"")</f>
        <v/>
      </c>
      <c r="BK83" s="68" t="str">
        <f>IFERROR(__xludf.DUMMYFUNCTION("IF($B83&lt;&gt;"""",IFERROR(FILTER(RawTotals!$AJ:$AJ,RawTotals!$A:$A=AA83)-(FILTER(Data!$K:$K,Data!$B:$B=AA83,Data!$D:$D=$B83)+FILTER(Data!$L:$L,Data!$B:$B=AA83,Data!$D:$D=$B83)),""""),"""")"),"")</f>
        <v/>
      </c>
      <c r="BL83" s="68" t="str">
        <f>IFERROR(__xludf.DUMMYFUNCTION("IF($B83&lt;&gt;"""",IFERROR(FILTER(RawTotals!$AJ:$AJ,RawTotals!$A:$A=AB83)-(FILTER(Data!$K:$K,Data!$B:$B=AB83,Data!$D:$D=$B83)+FILTER(Data!$L:$L,Data!$B:$B=AB83,Data!$D:$D=$B83)),""""),"""")"),"")</f>
        <v/>
      </c>
      <c r="BM83" s="69" t="str">
        <f>IFERROR(__xludf.DUMMYFUNCTION("IF($C83&lt;&gt;"""",IFERROR(FILTER(RawTotals!$AJ:$AJ,RawTotals!$A:$A=AC83)-(FILTER(Data!$K:$K,Data!$B:$B=AC83,Data!$D:$D=$C83)+FILTER(Data!$L:$L,Data!$B:$B=AC83,Data!$D:$D=$C83)),""""),"""")"),"")</f>
        <v/>
      </c>
      <c r="BN83" s="69" t="str">
        <f>IFERROR(__xludf.DUMMYFUNCTION("IF($C83&lt;&gt;"""",IFERROR(FILTER(RawTotals!$AJ:$AJ,RawTotals!$A:$A=AD83)-(FILTER(Data!$K:$K,Data!$B:$B=AD83,Data!$D:$D=$C83)+FILTER(Data!$L:$L,Data!$B:$B=AD83,Data!$D:$D=$C83)),""""),"""")"),"")</f>
        <v/>
      </c>
      <c r="BO83" s="69" t="str">
        <f>IFERROR(__xludf.DUMMYFUNCTION("IF($C83&lt;&gt;"""",IFERROR(FILTER(RawTotals!$AJ:$AJ,RawTotals!$A:$A=AE83)-(FILTER(Data!$K:$K,Data!$B:$B=AE83,Data!$D:$D=$C83)+FILTER(Data!$L:$L,Data!$B:$B=AE83,Data!$D:$D=$C83)),""""),"""")"),"")</f>
        <v/>
      </c>
      <c r="BP83" s="69" t="str">
        <f>IFERROR(__xludf.DUMMYFUNCTION("IF($D83&lt;&gt;"""",IFERROR(FILTER(RawTotals!$AJ:$AJ,RawTotals!$A:$A=AF83)-(FILTER(Data!$K:$K,Data!$B:$B=AF83,Data!$D:$D=$D83)+FILTER(Data!$L:$L,Data!$B:$B=AF83,Data!$D:$D=$D83)),""""),"""")"),"")</f>
        <v/>
      </c>
      <c r="BQ83" s="69" t="str">
        <f>IFERROR(__xludf.DUMMYFUNCTION("IF($D83&lt;&gt;"""",IFERROR(FILTER(RawTotals!$AJ:$AJ,RawTotals!$A:$A=AG83)-(FILTER(Data!$K:$K,Data!$B:$B=AG83,Data!$D:$D=$D83)+FILTER(Data!$L:$L,Data!$B:$B=AG83,Data!$D:$D=$D83)),""""),"""")"),"")</f>
        <v/>
      </c>
      <c r="BR83" s="69" t="str">
        <f>IFERROR(__xludf.DUMMYFUNCTION("IF($D83&lt;&gt;"""",IFERROR(FILTER(RawTotals!$AJ:$AJ,RawTotals!$A:$A=AH83)-(FILTER(Data!$K:$K,Data!$B:$B=AH83,Data!$D:$D=$D83)+FILTER(Data!$L:$L,Data!$B:$B=AH83,Data!$D:$D=$D83)),""""),"""")"),"")</f>
        <v/>
      </c>
      <c r="BS83" s="69" t="str">
        <f>IFERROR(__xludf.DUMMYFUNCTION("IF($E83&lt;&gt;"""",IFERROR(FILTER(RawTotals!$AJ:$AJ,RawTotals!$A:$A=AI83)-(FILTER(Data!$K:$K,Data!$B:$B=AI83,Data!$D:$D=$E83)+FILTER(Data!$L:$L,Data!$B:$B=AI83,Data!$D:$D=$E83)),""""),"""")"),"")</f>
        <v/>
      </c>
      <c r="BT83" s="69" t="str">
        <f>IFERROR(__xludf.DUMMYFUNCTION("IF($E83&lt;&gt;"""",IFERROR(FILTER(RawTotals!$AJ:$AJ,RawTotals!$A:$A=AJ83)-(FILTER(Data!$K:$K,Data!$B:$B=AJ83,Data!$D:$D=$E83)+FILTER(Data!$L:$L,Data!$B:$B=AJ83,Data!$D:$D=$E83)),""""),"""")"),"")</f>
        <v/>
      </c>
      <c r="BU83" s="69" t="str">
        <f>IFERROR(__xludf.DUMMYFUNCTION("IF($E83&lt;&gt;"""",IFERROR(FILTER(RawTotals!$AJ:$AJ,RawTotals!$A:$A=AK83)-(FILTER(Data!$K:$K,Data!$B:$B=AK83,Data!$D:$D=$E83)+FILTER(Data!$L:$L,Data!$B:$B=AK83,Data!$D:$D=$E83)),""""),"""")"),"")</f>
        <v/>
      </c>
      <c r="BV83" s="69" t="str">
        <f>IFERROR(__xludf.DUMMYFUNCTION("IF($F83&lt;&gt;"""",IFERROR(FILTER(RawTotals!$AJ:$AJ,RawTotals!$A:$A=AL83)-(FILTER(Data!$K:$K,Data!$B:$B=AL83,Data!$D:$D=$F83)+FILTER(Data!$L:$L,Data!$B:$B=AL83,Data!$D:$D=$F83)),""""),"""")"),"")</f>
        <v/>
      </c>
      <c r="BW83" s="69" t="str">
        <f>IFERROR(__xludf.DUMMYFUNCTION("IF($F83&lt;&gt;"""",IFERROR(FILTER(RawTotals!$AJ:$AJ,RawTotals!$A:$A=AM83)-(FILTER(Data!$K:$K,Data!$B:$B=AM83,Data!$D:$D=$F83)+FILTER(Data!$L:$L,Data!$B:$B=AM83,Data!$D:$D=$F83)),""""),"""")"),"")</f>
        <v/>
      </c>
      <c r="BX83" s="69" t="str">
        <f>IFERROR(__xludf.DUMMYFUNCTION("IF($F83&lt;&gt;"""",IFERROR(FILTER(RawTotals!$AJ:$AJ,RawTotals!$A:$A=AN83)-(FILTER(Data!$K:$K,Data!$B:$B=AN83,Data!$D:$D=$F83)+FILTER(Data!$L:$L,Data!$B:$B=AN83,Data!$D:$D=$F83)),""""),"""")"),"")</f>
        <v/>
      </c>
      <c r="BY83" s="69" t="str">
        <f>IFERROR(__xludf.DUMMYFUNCTION("IF($G83&lt;&gt;"""",IFERROR(FILTER(RawTotals!$AJ:$AJ,RawTotals!$A:$A=AO83)-(FILTER(Data!$K:$K,Data!$B:$B=AO83,Data!$D:$D=$G83)+FILTER(Data!$L:$L,Data!$B:$B=AO83,Data!$D:$D=$G83)),""""),"""")"),"")</f>
        <v/>
      </c>
      <c r="BZ83" s="69" t="str">
        <f>IFERROR(__xludf.DUMMYFUNCTION("IF($G83&lt;&gt;"""",IFERROR(FILTER(RawTotals!$AJ:$AJ,RawTotals!$A:$A=AP83)-(FILTER(Data!$K:$K,Data!$B:$B=AP83,Data!$D:$D=$G83)+FILTER(Data!$L:$L,Data!$B:$B=AP83,Data!$D:$D=$G83)),""""),"""")"),"")</f>
        <v/>
      </c>
      <c r="CA83" s="69" t="str">
        <f>IFERROR(__xludf.DUMMYFUNCTION("IF($G83&lt;&gt;"""",IFERROR(FILTER(RawTotals!$AJ:$AJ,RawTotals!$A:$A=AQ83)-(FILTER(Data!$K:$K,Data!$B:$B=AQ83,Data!$D:$D=$G83)+FILTER(Data!$L:$L,Data!$B:$B=AQ83,Data!$D:$D=$G83)),""""),"""")"),"")</f>
        <v/>
      </c>
      <c r="CB83" s="69" t="str">
        <f>IFERROR(__xludf.DUMMYFUNCTION("IF($H83&lt;&gt;"""",IFERROR(FILTER(RawTotals!$AJ:$AJ,RawTotals!$A:$A=AR83)-(FILTER(Data!$K:$K,Data!$B:$B=AR83,Data!$D:$D=$H83)+FILTER(Data!$L:$L,Data!$B:$B=AR83,Data!$D:$D=$H83)),""""),"""")"),"")</f>
        <v/>
      </c>
      <c r="CC83" s="69" t="str">
        <f>IFERROR(__xludf.DUMMYFUNCTION("IF($H83&lt;&gt;"""",IFERROR(FILTER(RawTotals!$AJ:$AJ,RawTotals!$A:$A=AS83)-(FILTER(Data!$K:$K,Data!$B:$B=AS83,Data!$D:$D=$H83)+FILTER(Data!$L:$L,Data!$B:$B=AS83,Data!$D:$D=$H83)),""""),"""")"),"")</f>
        <v/>
      </c>
      <c r="CD83" s="69" t="str">
        <f>IFERROR(__xludf.DUMMYFUNCTION("IF($H83&lt;&gt;"""",IFERROR(FILTER(RawTotals!$AJ:$AJ,RawTotals!$A:$A=AT83)-(FILTER(Data!$K:$K,Data!$B:$B=AT83,Data!$D:$D=$H83)+FILTER(Data!$L:$L,Data!$B:$B=AT83,Data!$D:$D=$H83)),""""),"""")"),"")</f>
        <v/>
      </c>
      <c r="CE83" s="69" t="str">
        <f>IFERROR(__xludf.DUMMYFUNCTION("IF($I83&lt;&gt;"""",IFERROR(FILTER(RawTotals!$AJ:$AJ,RawTotals!$A:$A=AU83)-(FILTER(Data!$K:$K,Data!$B:$B=AU83,Data!$D:$D=$I83)+FILTER(Data!$L:$L,Data!$B:$B=AU83,Data!$D:$D=$I83)),""""),"""")"),"")</f>
        <v/>
      </c>
      <c r="CF83" s="69" t="str">
        <f>IFERROR(__xludf.DUMMYFUNCTION("IF($I83&lt;&gt;"""",IFERROR(FILTER(RawTotals!$AJ:$AJ,RawTotals!$A:$A=AV83)-(FILTER(Data!$K:$K,Data!$B:$B=AV83,Data!$D:$D=$I83)+FILTER(Data!$L:$L,Data!$B:$B=AV83,Data!$D:$D=$I83)),""""),"""")"),"")</f>
        <v/>
      </c>
      <c r="CG83" s="69" t="str">
        <f>IFERROR(__xludf.DUMMYFUNCTION("IF($I83&lt;&gt;"""",IFERROR(FILTER(RawTotals!$AJ:$AJ,RawTotals!$A:$A=AW83)-(FILTER(Data!$K:$K,Data!$B:$B=AW83,Data!$D:$D=$I83)+FILTER(Data!$L:$L,Data!$B:$B=AW83,Data!$D:$D=$I83)),""""),"""")"),"")</f>
        <v/>
      </c>
      <c r="CH83" s="69" t="str">
        <f>IFERROR(__xludf.DUMMYFUNCTION("IF($J83&lt;&gt;"""",IFERROR(FILTER(RawTotals!$AJ:$AJ,RawTotals!$A:$A=AX83)-(FILTER(Data!$K:$K,Data!$B:$B=AX83,Data!$D:$D=$J83)+FILTER(Data!$L:$L,Data!$B:$B=AX83,Data!$D:$D=$J83)),""""),"""")"),"")</f>
        <v/>
      </c>
      <c r="CI83" s="69" t="str">
        <f>IFERROR(__xludf.DUMMYFUNCTION("IF($J83&lt;&gt;"""",IFERROR(FILTER(RawTotals!$AJ:$AJ,RawTotals!$A:$A=AY83)-(FILTER(Data!$K:$K,Data!$B:$B=AY83,Data!$D:$D=$J83)+FILTER(Data!$L:$L,Data!$B:$B=AY83,Data!$D:$D=$J83)),""""),"""")"),"")</f>
        <v/>
      </c>
      <c r="CJ83" s="69" t="str">
        <f>IFERROR(__xludf.DUMMYFUNCTION("IF($J83&lt;&gt;"""",IFERROR(FILTER(RawTotals!$AJ:$AJ,RawTotals!$A:$A=AZ83)-(FILTER(Data!$K:$K,Data!$B:$B=AZ83,Data!$D:$D=$J83)+FILTER(Data!$L:$L,Data!$B:$B=AZ83,Data!$D:$D=$J83)),""""),"""")"),"")</f>
        <v/>
      </c>
      <c r="CK83" s="69" t="str">
        <f>IFERROR(__xludf.DUMMYFUNCTION("IF($K83&lt;&gt;"""",IFERROR(FILTER(RawTotals!$AJ:$AJ,RawTotals!$A:$A=BA83)-(FILTER(Data!$K:$K,Data!$B:$B=BA83,Data!$D:$D=$K83)+FILTER(Data!$L:$L,Data!$B:$B=BA83,Data!$D:$D=$K83)),""""),"""")"),"")</f>
        <v/>
      </c>
      <c r="CL83" s="69" t="str">
        <f>IFERROR(__xludf.DUMMYFUNCTION("IF($K83&lt;&gt;"""",IFERROR(FILTER(RawTotals!$AJ:$AJ,RawTotals!$A:$A=BB83)-(FILTER(Data!$K:$K,Data!$B:$B=BB83,Data!$D:$D=$K83)+FILTER(Data!$L:$L,Data!$B:$B=BB83,Data!$D:$D=$K83)),""""),"""")"),"")</f>
        <v/>
      </c>
      <c r="CM83" s="69" t="str">
        <f>IFERROR(__xludf.DUMMYFUNCTION("IF($K83&lt;&gt;"""",IFERROR(FILTER(RawTotals!$AJ:$AJ,RawTotals!$A:$A=BC83)-(FILTER(Data!$K:$K,Data!$B:$B=BC83,Data!$D:$D=$K83)+FILTER(Data!$L:$L,Data!$B:$B=BC83,Data!$D:$D=$K83)),""""),"""")"),"")</f>
        <v/>
      </c>
      <c r="CN83" s="69" t="str">
        <f>IFERROR(__xludf.DUMMYFUNCTION("IF($L83&lt;&gt;"""",IFERROR((FILTER(RawTotals!$AJ:$AJ,RawTotals!$A:$A=BD83)-(FILTER(Data!$K:$K,Data!$B:$B=BD83,Data!$D:$D=$L83)+FILTER(Data!$L:$L,Data!$B:$B=BD83,Data!$D:$D=$L83))),""""),"""")"),"")</f>
        <v/>
      </c>
      <c r="CO83" s="69" t="str">
        <f>IFERROR(__xludf.DUMMYFUNCTION("IF($L83&lt;&gt;"""",IFERROR((FILTER(RawTotals!$AJ:$AJ,RawTotals!$A:$A=BE83)-(FILTER(Data!$K:$K,Data!$B:$B=BE83,Data!$D:$D=$L83)+FILTER(Data!$L:$L,Data!$B:$B=BE83,Data!$D:$D=$L83))),""""),"""")"),"")</f>
        <v/>
      </c>
      <c r="CP83" s="69" t="str">
        <f>IFERROR(__xludf.DUMMYFUNCTION("IF($L83&lt;&gt;"""",IFERROR((FILTER(RawTotals!$AJ:$AJ,RawTotals!$A:$A=BF83)-(FILTER(Data!$K:$K,Data!$B:$B=BF83,Data!$D:$D=$L83)+FILTER(Data!$L:$L,Data!$B:$B=BF83,Data!$D:$D=$L83))),""""),"""")"),"")</f>
        <v/>
      </c>
      <c r="CQ83" s="69" t="str">
        <f>IFERROR(__xludf.DUMMYFUNCTION("IF($M83&lt;&gt;"""",IFERROR((FILTER(RawTotals!$AJ:$AJ,RawTotals!$A:$A=BG83)-(FILTER(Data!$K:$K,Data!$B:$B=BG83,Data!$D:$D=$M83)+FILTER(Data!$L:$L,Data!$B:$B=BG83,Data!$D:$D=$M83))),""""),"""")"),"")</f>
        <v/>
      </c>
      <c r="CR83" s="69" t="str">
        <f>IFERROR(__xludf.DUMMYFUNCTION("IF($M83&lt;&gt;"""",IFERROR((FILTER(RawTotals!$AJ:$AJ,RawTotals!$A:$A=BH83)-(FILTER(Data!$K:$K,Data!$B:$B=BH83,Data!$D:$D=$M83)+FILTER(Data!$L:$L,Data!$B:$B=BH83,Data!$D:$D=$M83))),""""),"""")"),"")</f>
        <v/>
      </c>
      <c r="CS83" s="70" t="str">
        <f>IFERROR(__xludf.DUMMYFUNCTION("IF($M83&lt;&gt;"""",IFERROR((FILTER(RawTotals!$AJ:$AJ,RawTotals!$A:$A=BI83)-(FILTER(Data!$K:$K,Data!$B:$B=BI83,Data!$D:$D=$M83)+FILTER(Data!$L:$L,Data!$B:$B=BI83,Data!$D:$D=$M83))),""""),"""")"),"")</f>
        <v/>
      </c>
      <c r="CT83" s="69"/>
      <c r="CU83" s="69"/>
      <c r="CV83" s="69"/>
      <c r="CW83" s="69"/>
      <c r="CX83" s="69"/>
      <c r="CY83" s="69"/>
      <c r="CZ83" s="69"/>
      <c r="DA83" s="69"/>
      <c r="DB83" s="69"/>
      <c r="DC83" s="69"/>
      <c r="DD83" s="69"/>
      <c r="DE83" s="69"/>
    </row>
    <row r="84">
      <c r="A84" s="65" t="str">
        <f>RawTotals!A84</f>
        <v/>
      </c>
      <c r="B84" s="68" t="str">
        <f>IFERROR(__xludf.DUMMYFUNCTION("IF(A84&lt;&gt;"""",IFERROR(TRANSPOSE(FILTER(Data!D:D,Data!B:B=A84,Data!R:R&lt;&gt;"""")),""No Defense""),"""")"),"")</f>
        <v/>
      </c>
      <c r="C84" s="65"/>
      <c r="D84" s="65"/>
      <c r="E84" s="65"/>
      <c r="F84" s="65"/>
      <c r="G84" s="65"/>
      <c r="H84" s="65"/>
      <c r="I84" s="65"/>
      <c r="J84" s="65"/>
      <c r="K84" s="65"/>
      <c r="L84" s="65"/>
      <c r="M84" s="65"/>
      <c r="N84" s="64" t="str">
        <f>IFERROR(__xludf.DUMMYFUNCTION("IFERROR(Textjoin("""",TRUE,FILTER(Data!$R:$R,Data!$D:$D=B84,Data!$B:$B=$A84)),"""")"),"")</f>
        <v/>
      </c>
      <c r="O84" s="64" t="str">
        <f>IFERROR(__xludf.DUMMYFUNCTION("IFERROR(Textjoin("""",TRUE,FILTER(Data!$R:$R,Data!$D:$D=C84,Data!$B:$B=$A84)),"""")"),"")</f>
        <v/>
      </c>
      <c r="P84" s="64" t="str">
        <f>IFERROR(__xludf.DUMMYFUNCTION("IFERROR(Textjoin("""",TRUE,FILTER(Data!$R:$R,Data!$D:$D=D84,Data!$B:$B=$A84)),"""")"),"")</f>
        <v/>
      </c>
      <c r="Q84" s="64" t="str">
        <f>IFERROR(__xludf.DUMMYFUNCTION("IFERROR(Textjoin("""",TRUE,FILTER(Data!$R:$R,Data!$D:$D=E84,Data!$B:$B=$A84)),"""")"),"")</f>
        <v/>
      </c>
      <c r="R84" s="64" t="str">
        <f>IFERROR(__xludf.DUMMYFUNCTION("IFERROR(Textjoin("""",TRUE,FILTER(Data!$R:$R,Data!$D:$D=F84,Data!$B:$B=$A84)),"""")"),"")</f>
        <v/>
      </c>
      <c r="S84" s="64" t="str">
        <f>IFERROR(__xludf.DUMMYFUNCTION("IFERROR(Textjoin("""",TRUE,FILTER(Data!$R:$R,Data!$D:$D=G84,Data!$B:$B=$A84)),"""")"),"")</f>
        <v/>
      </c>
      <c r="T84" s="64" t="str">
        <f>IFERROR(__xludf.DUMMYFUNCTION("IFERROR(Textjoin("""",TRUE,FILTER(Data!$R:$R,Data!$D:$D=H84,Data!$B:$B=$A84)),"""")"),"")</f>
        <v/>
      </c>
      <c r="U84" s="64" t="str">
        <f>IFERROR(__xludf.DUMMYFUNCTION("IFERROR(Textjoin("""",TRUE,FILTER(Data!$R:$R,Data!$D:$D=I84,Data!$B:$B=$A84)),"""")"),"")</f>
        <v/>
      </c>
      <c r="V84" s="64" t="str">
        <f>IFERROR(__xludf.DUMMYFUNCTION("IFERROR(Textjoin("""",TRUE,FILTER(Data!$R:$R,Data!$D:$D=J84,Data!$B:$B=$A84)),"""")"),"")</f>
        <v/>
      </c>
      <c r="W84" s="64" t="str">
        <f>IFERROR(__xludf.DUMMYFUNCTION("IFERROR(Textjoin("""",TRUE,FILTER(Data!$R:$R,Data!$D:$D=K84,Data!$B:$B=$A84)),"""")"),"")</f>
        <v/>
      </c>
      <c r="X84" s="64" t="str">
        <f>IFERROR(__xludf.DUMMYFUNCTION("IFERROR(Textjoin("""",TRUE,FILTER(Data!$R:$R,Data!$D:$D=L84,Data!$B:$B=$A84)),"""")"),"")</f>
        <v/>
      </c>
      <c r="Y84" s="64" t="str">
        <f>IFERROR(__xludf.DUMMYFUNCTION("IFERROR(Textjoin("""",TRUE,FILTER(Data!$R:$R,Data!$D:$D=M84,Data!$B:$B=$A84)),"""")"),"")</f>
        <v/>
      </c>
      <c r="Z84" s="64" t="str">
        <f>IFERROR(__xludf.DUMMYFUNCTION("IFERROR(SPLIT(N84,"",""),"""")"),"")</f>
        <v/>
      </c>
      <c r="AA84" s="65"/>
      <c r="AB84" s="65"/>
      <c r="AC84" s="69" t="str">
        <f>IFERROR(__xludf.DUMMYFUNCTION("IFERROR(SPLIT(O84,"",""),"""")"),"")</f>
        <v/>
      </c>
      <c r="AD84" s="65"/>
      <c r="AE84" s="65"/>
      <c r="AF84" s="69" t="str">
        <f>IFERROR(__xludf.DUMMYFUNCTION("IFERROR(SPLIT(P84,"",""),"""")"),"")</f>
        <v/>
      </c>
      <c r="AG84" s="65"/>
      <c r="AH84" s="65"/>
      <c r="AI84" s="69" t="str">
        <f>IFERROR(__xludf.DUMMYFUNCTION("IFERROR(SPLIT(Q84,"",""),"""")"),"")</f>
        <v/>
      </c>
      <c r="AJ84" s="65"/>
      <c r="AK84" s="65"/>
      <c r="AL84" s="69" t="str">
        <f>IFERROR(__xludf.DUMMYFUNCTION("IFERROR(SPLIT(R84,"",""),"""")"),"")</f>
        <v/>
      </c>
      <c r="AM84" s="65"/>
      <c r="AN84" s="65"/>
      <c r="AO84" s="69" t="str">
        <f>IFERROR(__xludf.DUMMYFUNCTION("IFERROR(SPLIT(S84,"",""),"""")"),"")</f>
        <v/>
      </c>
      <c r="AP84" s="65"/>
      <c r="AQ84" s="65"/>
      <c r="AR84" s="69" t="str">
        <f>IFERROR(__xludf.DUMMYFUNCTION("IFERROR(SPLIT(T84,"",""),"""")"),"")</f>
        <v/>
      </c>
      <c r="AS84" s="65"/>
      <c r="AT84" s="65"/>
      <c r="AU84" s="69" t="str">
        <f>IFERROR(__xludf.DUMMYFUNCTION("IFERROR(SPLIT(U84,"",""),"""")"),"")</f>
        <v/>
      </c>
      <c r="AV84" s="65"/>
      <c r="AW84" s="65"/>
      <c r="AX84" s="69" t="str">
        <f>IFERROR(__xludf.DUMMYFUNCTION("IFERROR(SPLIT(V84,"",""),"""")"),"")</f>
        <v/>
      </c>
      <c r="AY84" s="65"/>
      <c r="AZ84" s="65"/>
      <c r="BA84" s="69" t="str">
        <f>IFERROR(__xludf.DUMMYFUNCTION("IFERROR(SPLIT(W84,"",""),"""")"),"")</f>
        <v/>
      </c>
      <c r="BB84" s="69"/>
      <c r="BC84" s="69"/>
      <c r="BD84" s="69" t="str">
        <f>IFERROR(__xludf.DUMMYFUNCTION("IFERROR(SPLIT(X84,"",""),"""")"),"")</f>
        <v/>
      </c>
      <c r="BE84" s="69"/>
      <c r="BF84" s="69"/>
      <c r="BG84" s="69" t="str">
        <f>IFERROR(__xludf.DUMMYFUNCTION("IFERROR(SPLIT(Y84,"",""),"""")"),"")</f>
        <v/>
      </c>
      <c r="BH84" s="69"/>
      <c r="BI84" s="69"/>
      <c r="BJ84" s="68" t="str">
        <f>IFERROR(__xludf.DUMMYFUNCTION("IF($B84&lt;&gt;"""",IFERROR(FILTER(RawTotals!$AJ:$AJ,RawTotals!$A:$A=Z84)-(FILTER(Data!$K:$K,Data!$B:$B=Z84,Data!$D:$D=$B84)+FILTER(Data!$L:$L,Data!$B:$B=Z84,Data!$D:$D=$B84)),""""),"""")"),"")</f>
        <v/>
      </c>
      <c r="BK84" s="68" t="str">
        <f>IFERROR(__xludf.DUMMYFUNCTION("IF($B84&lt;&gt;"""",IFERROR(FILTER(RawTotals!$AJ:$AJ,RawTotals!$A:$A=AA84)-(FILTER(Data!$K:$K,Data!$B:$B=AA84,Data!$D:$D=$B84)+FILTER(Data!$L:$L,Data!$B:$B=AA84,Data!$D:$D=$B84)),""""),"""")"),"")</f>
        <v/>
      </c>
      <c r="BL84" s="68" t="str">
        <f>IFERROR(__xludf.DUMMYFUNCTION("IF($B84&lt;&gt;"""",IFERROR(FILTER(RawTotals!$AJ:$AJ,RawTotals!$A:$A=AB84)-(FILTER(Data!$K:$K,Data!$B:$B=AB84,Data!$D:$D=$B84)+FILTER(Data!$L:$L,Data!$B:$B=AB84,Data!$D:$D=$B84)),""""),"""")"),"")</f>
        <v/>
      </c>
      <c r="BM84" s="69" t="str">
        <f>IFERROR(__xludf.DUMMYFUNCTION("IF($C84&lt;&gt;"""",IFERROR(FILTER(RawTotals!$AJ:$AJ,RawTotals!$A:$A=AC84)-(FILTER(Data!$K:$K,Data!$B:$B=AC84,Data!$D:$D=$C84)+FILTER(Data!$L:$L,Data!$B:$B=AC84,Data!$D:$D=$C84)),""""),"""")"),"")</f>
        <v/>
      </c>
      <c r="BN84" s="69" t="str">
        <f>IFERROR(__xludf.DUMMYFUNCTION("IF($C84&lt;&gt;"""",IFERROR(FILTER(RawTotals!$AJ:$AJ,RawTotals!$A:$A=AD84)-(FILTER(Data!$K:$K,Data!$B:$B=AD84,Data!$D:$D=$C84)+FILTER(Data!$L:$L,Data!$B:$B=AD84,Data!$D:$D=$C84)),""""),"""")"),"")</f>
        <v/>
      </c>
      <c r="BO84" s="69" t="str">
        <f>IFERROR(__xludf.DUMMYFUNCTION("IF($C84&lt;&gt;"""",IFERROR(FILTER(RawTotals!$AJ:$AJ,RawTotals!$A:$A=AE84)-(FILTER(Data!$K:$K,Data!$B:$B=AE84,Data!$D:$D=$C84)+FILTER(Data!$L:$L,Data!$B:$B=AE84,Data!$D:$D=$C84)),""""),"""")"),"")</f>
        <v/>
      </c>
      <c r="BP84" s="69" t="str">
        <f>IFERROR(__xludf.DUMMYFUNCTION("IF($D84&lt;&gt;"""",IFERROR(FILTER(RawTotals!$AJ:$AJ,RawTotals!$A:$A=AF84)-(FILTER(Data!$K:$K,Data!$B:$B=AF84,Data!$D:$D=$D84)+FILTER(Data!$L:$L,Data!$B:$B=AF84,Data!$D:$D=$D84)),""""),"""")"),"")</f>
        <v/>
      </c>
      <c r="BQ84" s="69" t="str">
        <f>IFERROR(__xludf.DUMMYFUNCTION("IF($D84&lt;&gt;"""",IFERROR(FILTER(RawTotals!$AJ:$AJ,RawTotals!$A:$A=AG84)-(FILTER(Data!$K:$K,Data!$B:$B=AG84,Data!$D:$D=$D84)+FILTER(Data!$L:$L,Data!$B:$B=AG84,Data!$D:$D=$D84)),""""),"""")"),"")</f>
        <v/>
      </c>
      <c r="BR84" s="69" t="str">
        <f>IFERROR(__xludf.DUMMYFUNCTION("IF($D84&lt;&gt;"""",IFERROR(FILTER(RawTotals!$AJ:$AJ,RawTotals!$A:$A=AH84)-(FILTER(Data!$K:$K,Data!$B:$B=AH84,Data!$D:$D=$D84)+FILTER(Data!$L:$L,Data!$B:$B=AH84,Data!$D:$D=$D84)),""""),"""")"),"")</f>
        <v/>
      </c>
      <c r="BS84" s="69" t="str">
        <f>IFERROR(__xludf.DUMMYFUNCTION("IF($E84&lt;&gt;"""",IFERROR(FILTER(RawTotals!$AJ:$AJ,RawTotals!$A:$A=AI84)-(FILTER(Data!$K:$K,Data!$B:$B=AI84,Data!$D:$D=$E84)+FILTER(Data!$L:$L,Data!$B:$B=AI84,Data!$D:$D=$E84)),""""),"""")"),"")</f>
        <v/>
      </c>
      <c r="BT84" s="69" t="str">
        <f>IFERROR(__xludf.DUMMYFUNCTION("IF($E84&lt;&gt;"""",IFERROR(FILTER(RawTotals!$AJ:$AJ,RawTotals!$A:$A=AJ84)-(FILTER(Data!$K:$K,Data!$B:$B=AJ84,Data!$D:$D=$E84)+FILTER(Data!$L:$L,Data!$B:$B=AJ84,Data!$D:$D=$E84)),""""),"""")"),"")</f>
        <v/>
      </c>
      <c r="BU84" s="69" t="str">
        <f>IFERROR(__xludf.DUMMYFUNCTION("IF($E84&lt;&gt;"""",IFERROR(FILTER(RawTotals!$AJ:$AJ,RawTotals!$A:$A=AK84)-(FILTER(Data!$K:$K,Data!$B:$B=AK84,Data!$D:$D=$E84)+FILTER(Data!$L:$L,Data!$B:$B=AK84,Data!$D:$D=$E84)),""""),"""")"),"")</f>
        <v/>
      </c>
      <c r="BV84" s="69" t="str">
        <f>IFERROR(__xludf.DUMMYFUNCTION("IF($F84&lt;&gt;"""",IFERROR(FILTER(RawTotals!$AJ:$AJ,RawTotals!$A:$A=AL84)-(FILTER(Data!$K:$K,Data!$B:$B=AL84,Data!$D:$D=$F84)+FILTER(Data!$L:$L,Data!$B:$B=AL84,Data!$D:$D=$F84)),""""),"""")"),"")</f>
        <v/>
      </c>
      <c r="BW84" s="69" t="str">
        <f>IFERROR(__xludf.DUMMYFUNCTION("IF($F84&lt;&gt;"""",IFERROR(FILTER(RawTotals!$AJ:$AJ,RawTotals!$A:$A=AM84)-(FILTER(Data!$K:$K,Data!$B:$B=AM84,Data!$D:$D=$F84)+FILTER(Data!$L:$L,Data!$B:$B=AM84,Data!$D:$D=$F84)),""""),"""")"),"")</f>
        <v/>
      </c>
      <c r="BX84" s="69" t="str">
        <f>IFERROR(__xludf.DUMMYFUNCTION("IF($F84&lt;&gt;"""",IFERROR(FILTER(RawTotals!$AJ:$AJ,RawTotals!$A:$A=AN84)-(FILTER(Data!$K:$K,Data!$B:$B=AN84,Data!$D:$D=$F84)+FILTER(Data!$L:$L,Data!$B:$B=AN84,Data!$D:$D=$F84)),""""),"""")"),"")</f>
        <v/>
      </c>
      <c r="BY84" s="69" t="str">
        <f>IFERROR(__xludf.DUMMYFUNCTION("IF($G84&lt;&gt;"""",IFERROR(FILTER(RawTotals!$AJ:$AJ,RawTotals!$A:$A=AO84)-(FILTER(Data!$K:$K,Data!$B:$B=AO84,Data!$D:$D=$G84)+FILTER(Data!$L:$L,Data!$B:$B=AO84,Data!$D:$D=$G84)),""""),"""")"),"")</f>
        <v/>
      </c>
      <c r="BZ84" s="69" t="str">
        <f>IFERROR(__xludf.DUMMYFUNCTION("IF($G84&lt;&gt;"""",IFERROR(FILTER(RawTotals!$AJ:$AJ,RawTotals!$A:$A=AP84)-(FILTER(Data!$K:$K,Data!$B:$B=AP84,Data!$D:$D=$G84)+FILTER(Data!$L:$L,Data!$B:$B=AP84,Data!$D:$D=$G84)),""""),"""")"),"")</f>
        <v/>
      </c>
      <c r="CA84" s="69" t="str">
        <f>IFERROR(__xludf.DUMMYFUNCTION("IF($G84&lt;&gt;"""",IFERROR(FILTER(RawTotals!$AJ:$AJ,RawTotals!$A:$A=AQ84)-(FILTER(Data!$K:$K,Data!$B:$B=AQ84,Data!$D:$D=$G84)+FILTER(Data!$L:$L,Data!$B:$B=AQ84,Data!$D:$D=$G84)),""""),"""")"),"")</f>
        <v/>
      </c>
      <c r="CB84" s="69" t="str">
        <f>IFERROR(__xludf.DUMMYFUNCTION("IF($H84&lt;&gt;"""",IFERROR(FILTER(RawTotals!$AJ:$AJ,RawTotals!$A:$A=AR84)-(FILTER(Data!$K:$K,Data!$B:$B=AR84,Data!$D:$D=$H84)+FILTER(Data!$L:$L,Data!$B:$B=AR84,Data!$D:$D=$H84)),""""),"""")"),"")</f>
        <v/>
      </c>
      <c r="CC84" s="69" t="str">
        <f>IFERROR(__xludf.DUMMYFUNCTION("IF($H84&lt;&gt;"""",IFERROR(FILTER(RawTotals!$AJ:$AJ,RawTotals!$A:$A=AS84)-(FILTER(Data!$K:$K,Data!$B:$B=AS84,Data!$D:$D=$H84)+FILTER(Data!$L:$L,Data!$B:$B=AS84,Data!$D:$D=$H84)),""""),"""")"),"")</f>
        <v/>
      </c>
      <c r="CD84" s="69" t="str">
        <f>IFERROR(__xludf.DUMMYFUNCTION("IF($H84&lt;&gt;"""",IFERROR(FILTER(RawTotals!$AJ:$AJ,RawTotals!$A:$A=AT84)-(FILTER(Data!$K:$K,Data!$B:$B=AT84,Data!$D:$D=$H84)+FILTER(Data!$L:$L,Data!$B:$B=AT84,Data!$D:$D=$H84)),""""),"""")"),"")</f>
        <v/>
      </c>
      <c r="CE84" s="69" t="str">
        <f>IFERROR(__xludf.DUMMYFUNCTION("IF($I84&lt;&gt;"""",IFERROR(FILTER(RawTotals!$AJ:$AJ,RawTotals!$A:$A=AU84)-(FILTER(Data!$K:$K,Data!$B:$B=AU84,Data!$D:$D=$I84)+FILTER(Data!$L:$L,Data!$B:$B=AU84,Data!$D:$D=$I84)),""""),"""")"),"")</f>
        <v/>
      </c>
      <c r="CF84" s="69" t="str">
        <f>IFERROR(__xludf.DUMMYFUNCTION("IF($I84&lt;&gt;"""",IFERROR(FILTER(RawTotals!$AJ:$AJ,RawTotals!$A:$A=AV84)-(FILTER(Data!$K:$K,Data!$B:$B=AV84,Data!$D:$D=$I84)+FILTER(Data!$L:$L,Data!$B:$B=AV84,Data!$D:$D=$I84)),""""),"""")"),"")</f>
        <v/>
      </c>
      <c r="CG84" s="69" t="str">
        <f>IFERROR(__xludf.DUMMYFUNCTION("IF($I84&lt;&gt;"""",IFERROR(FILTER(RawTotals!$AJ:$AJ,RawTotals!$A:$A=AW84)-(FILTER(Data!$K:$K,Data!$B:$B=AW84,Data!$D:$D=$I84)+FILTER(Data!$L:$L,Data!$B:$B=AW84,Data!$D:$D=$I84)),""""),"""")"),"")</f>
        <v/>
      </c>
      <c r="CH84" s="69" t="str">
        <f>IFERROR(__xludf.DUMMYFUNCTION("IF($J84&lt;&gt;"""",IFERROR(FILTER(RawTotals!$AJ:$AJ,RawTotals!$A:$A=AX84)-(FILTER(Data!$K:$K,Data!$B:$B=AX84,Data!$D:$D=$J84)+FILTER(Data!$L:$L,Data!$B:$B=AX84,Data!$D:$D=$J84)),""""),"""")"),"")</f>
        <v/>
      </c>
      <c r="CI84" s="69" t="str">
        <f>IFERROR(__xludf.DUMMYFUNCTION("IF($J84&lt;&gt;"""",IFERROR(FILTER(RawTotals!$AJ:$AJ,RawTotals!$A:$A=AY84)-(FILTER(Data!$K:$K,Data!$B:$B=AY84,Data!$D:$D=$J84)+FILTER(Data!$L:$L,Data!$B:$B=AY84,Data!$D:$D=$J84)),""""),"""")"),"")</f>
        <v/>
      </c>
      <c r="CJ84" s="69" t="str">
        <f>IFERROR(__xludf.DUMMYFUNCTION("IF($J84&lt;&gt;"""",IFERROR(FILTER(RawTotals!$AJ:$AJ,RawTotals!$A:$A=AZ84)-(FILTER(Data!$K:$K,Data!$B:$B=AZ84,Data!$D:$D=$J84)+FILTER(Data!$L:$L,Data!$B:$B=AZ84,Data!$D:$D=$J84)),""""),"""")"),"")</f>
        <v/>
      </c>
      <c r="CK84" s="69" t="str">
        <f>IFERROR(__xludf.DUMMYFUNCTION("IF($K84&lt;&gt;"""",IFERROR(FILTER(RawTotals!$AJ:$AJ,RawTotals!$A:$A=BA84)-(FILTER(Data!$K:$K,Data!$B:$B=BA84,Data!$D:$D=$K84)+FILTER(Data!$L:$L,Data!$B:$B=BA84,Data!$D:$D=$K84)),""""),"""")"),"")</f>
        <v/>
      </c>
      <c r="CL84" s="69" t="str">
        <f>IFERROR(__xludf.DUMMYFUNCTION("IF($K84&lt;&gt;"""",IFERROR(FILTER(RawTotals!$AJ:$AJ,RawTotals!$A:$A=BB84)-(FILTER(Data!$K:$K,Data!$B:$B=BB84,Data!$D:$D=$K84)+FILTER(Data!$L:$L,Data!$B:$B=BB84,Data!$D:$D=$K84)),""""),"""")"),"")</f>
        <v/>
      </c>
      <c r="CM84" s="69" t="str">
        <f>IFERROR(__xludf.DUMMYFUNCTION("IF($K84&lt;&gt;"""",IFERROR(FILTER(RawTotals!$AJ:$AJ,RawTotals!$A:$A=BC84)-(FILTER(Data!$K:$K,Data!$B:$B=BC84,Data!$D:$D=$K84)+FILTER(Data!$L:$L,Data!$B:$B=BC84,Data!$D:$D=$K84)),""""),"""")"),"")</f>
        <v/>
      </c>
      <c r="CN84" s="69" t="str">
        <f>IFERROR(__xludf.DUMMYFUNCTION("IF($L84&lt;&gt;"""",IFERROR((FILTER(RawTotals!$AJ:$AJ,RawTotals!$A:$A=BD84)-(FILTER(Data!$K:$K,Data!$B:$B=BD84,Data!$D:$D=$L84)+FILTER(Data!$L:$L,Data!$B:$B=BD84,Data!$D:$D=$L84))),""""),"""")"),"")</f>
        <v/>
      </c>
      <c r="CO84" s="69" t="str">
        <f>IFERROR(__xludf.DUMMYFUNCTION("IF($L84&lt;&gt;"""",IFERROR((FILTER(RawTotals!$AJ:$AJ,RawTotals!$A:$A=BE84)-(FILTER(Data!$K:$K,Data!$B:$B=BE84,Data!$D:$D=$L84)+FILTER(Data!$L:$L,Data!$B:$B=BE84,Data!$D:$D=$L84))),""""),"""")"),"")</f>
        <v/>
      </c>
      <c r="CP84" s="69" t="str">
        <f>IFERROR(__xludf.DUMMYFUNCTION("IF($L84&lt;&gt;"""",IFERROR((FILTER(RawTotals!$AJ:$AJ,RawTotals!$A:$A=BF84)-(FILTER(Data!$K:$K,Data!$B:$B=BF84,Data!$D:$D=$L84)+FILTER(Data!$L:$L,Data!$B:$B=BF84,Data!$D:$D=$L84))),""""),"""")"),"")</f>
        <v/>
      </c>
      <c r="CQ84" s="69" t="str">
        <f>IFERROR(__xludf.DUMMYFUNCTION("IF($M84&lt;&gt;"""",IFERROR((FILTER(RawTotals!$AJ:$AJ,RawTotals!$A:$A=BG84)-(FILTER(Data!$K:$K,Data!$B:$B=BG84,Data!$D:$D=$M84)+FILTER(Data!$L:$L,Data!$B:$B=BG84,Data!$D:$D=$M84))),""""),"""")"),"")</f>
        <v/>
      </c>
      <c r="CR84" s="69" t="str">
        <f>IFERROR(__xludf.DUMMYFUNCTION("IF($M84&lt;&gt;"""",IFERROR((FILTER(RawTotals!$AJ:$AJ,RawTotals!$A:$A=BH84)-(FILTER(Data!$K:$K,Data!$B:$B=BH84,Data!$D:$D=$M84)+FILTER(Data!$L:$L,Data!$B:$B=BH84,Data!$D:$D=$M84))),""""),"""")"),"")</f>
        <v/>
      </c>
      <c r="CS84" s="70" t="str">
        <f>IFERROR(__xludf.DUMMYFUNCTION("IF($M84&lt;&gt;"""",IFERROR((FILTER(RawTotals!$AJ:$AJ,RawTotals!$A:$A=BI84)-(FILTER(Data!$K:$K,Data!$B:$B=BI84,Data!$D:$D=$M84)+FILTER(Data!$L:$L,Data!$B:$B=BI84,Data!$D:$D=$M84))),""""),"""")"),"")</f>
        <v/>
      </c>
      <c r="CT84" s="69"/>
      <c r="CU84" s="69"/>
      <c r="CV84" s="69"/>
      <c r="CW84" s="69"/>
      <c r="CX84" s="69"/>
      <c r="CY84" s="69"/>
      <c r="CZ84" s="69"/>
      <c r="DA84" s="69"/>
      <c r="DB84" s="69"/>
      <c r="DC84" s="69"/>
      <c r="DD84" s="69"/>
      <c r="DE84" s="69"/>
    </row>
    <row r="85">
      <c r="A85" s="65" t="str">
        <f>RawTotals!A85</f>
        <v/>
      </c>
      <c r="B85" s="68" t="str">
        <f>IFERROR(__xludf.DUMMYFUNCTION("IF(A85&lt;&gt;"""",IFERROR(TRANSPOSE(FILTER(Data!D:D,Data!B:B=A85,Data!R:R&lt;&gt;"""")),""No Defense""),"""")"),"")</f>
        <v/>
      </c>
      <c r="C85" s="65"/>
      <c r="D85" s="65"/>
      <c r="E85" s="65"/>
      <c r="F85" s="65"/>
      <c r="G85" s="65"/>
      <c r="H85" s="65"/>
      <c r="I85" s="65"/>
      <c r="J85" s="65"/>
      <c r="K85" s="65"/>
      <c r="L85" s="65"/>
      <c r="M85" s="65"/>
      <c r="N85" s="64" t="str">
        <f>IFERROR(__xludf.DUMMYFUNCTION("IFERROR(Textjoin("""",TRUE,FILTER(Data!$R:$R,Data!$D:$D=B85,Data!$B:$B=$A85)),"""")"),"")</f>
        <v/>
      </c>
      <c r="O85" s="64" t="str">
        <f>IFERROR(__xludf.DUMMYFUNCTION("IFERROR(Textjoin("""",TRUE,FILTER(Data!$R:$R,Data!$D:$D=C85,Data!$B:$B=$A85)),"""")"),"")</f>
        <v/>
      </c>
      <c r="P85" s="64" t="str">
        <f>IFERROR(__xludf.DUMMYFUNCTION("IFERROR(Textjoin("""",TRUE,FILTER(Data!$R:$R,Data!$D:$D=D85,Data!$B:$B=$A85)),"""")"),"")</f>
        <v/>
      </c>
      <c r="Q85" s="64" t="str">
        <f>IFERROR(__xludf.DUMMYFUNCTION("IFERROR(Textjoin("""",TRUE,FILTER(Data!$R:$R,Data!$D:$D=E85,Data!$B:$B=$A85)),"""")"),"")</f>
        <v/>
      </c>
      <c r="R85" s="64" t="str">
        <f>IFERROR(__xludf.DUMMYFUNCTION("IFERROR(Textjoin("""",TRUE,FILTER(Data!$R:$R,Data!$D:$D=F85,Data!$B:$B=$A85)),"""")"),"")</f>
        <v/>
      </c>
      <c r="S85" s="64" t="str">
        <f>IFERROR(__xludf.DUMMYFUNCTION("IFERROR(Textjoin("""",TRUE,FILTER(Data!$R:$R,Data!$D:$D=G85,Data!$B:$B=$A85)),"""")"),"")</f>
        <v/>
      </c>
      <c r="T85" s="64" t="str">
        <f>IFERROR(__xludf.DUMMYFUNCTION("IFERROR(Textjoin("""",TRUE,FILTER(Data!$R:$R,Data!$D:$D=H85,Data!$B:$B=$A85)),"""")"),"")</f>
        <v/>
      </c>
      <c r="U85" s="64" t="str">
        <f>IFERROR(__xludf.DUMMYFUNCTION("IFERROR(Textjoin("""",TRUE,FILTER(Data!$R:$R,Data!$D:$D=I85,Data!$B:$B=$A85)),"""")"),"")</f>
        <v/>
      </c>
      <c r="V85" s="64" t="str">
        <f>IFERROR(__xludf.DUMMYFUNCTION("IFERROR(Textjoin("""",TRUE,FILTER(Data!$R:$R,Data!$D:$D=J85,Data!$B:$B=$A85)),"""")"),"")</f>
        <v/>
      </c>
      <c r="W85" s="64" t="str">
        <f>IFERROR(__xludf.DUMMYFUNCTION("IFERROR(Textjoin("""",TRUE,FILTER(Data!$R:$R,Data!$D:$D=K85,Data!$B:$B=$A85)),"""")"),"")</f>
        <v/>
      </c>
      <c r="X85" s="64" t="str">
        <f>IFERROR(__xludf.DUMMYFUNCTION("IFERROR(Textjoin("""",TRUE,FILTER(Data!$R:$R,Data!$D:$D=L85,Data!$B:$B=$A85)),"""")"),"")</f>
        <v/>
      </c>
      <c r="Y85" s="64" t="str">
        <f>IFERROR(__xludf.DUMMYFUNCTION("IFERROR(Textjoin("""",TRUE,FILTER(Data!$R:$R,Data!$D:$D=M85,Data!$B:$B=$A85)),"""")"),"")</f>
        <v/>
      </c>
      <c r="Z85" s="64" t="str">
        <f>IFERROR(__xludf.DUMMYFUNCTION("IFERROR(SPLIT(N85,"",""),"""")"),"")</f>
        <v/>
      </c>
      <c r="AA85" s="65"/>
      <c r="AB85" s="65"/>
      <c r="AC85" s="69" t="str">
        <f>IFERROR(__xludf.DUMMYFUNCTION("IFERROR(SPLIT(O85,"",""),"""")"),"")</f>
        <v/>
      </c>
      <c r="AD85" s="65"/>
      <c r="AE85" s="65"/>
      <c r="AF85" s="69" t="str">
        <f>IFERROR(__xludf.DUMMYFUNCTION("IFERROR(SPLIT(P85,"",""),"""")"),"")</f>
        <v/>
      </c>
      <c r="AG85" s="65"/>
      <c r="AH85" s="65"/>
      <c r="AI85" s="69" t="str">
        <f>IFERROR(__xludf.DUMMYFUNCTION("IFERROR(SPLIT(Q85,"",""),"""")"),"")</f>
        <v/>
      </c>
      <c r="AJ85" s="65"/>
      <c r="AK85" s="65"/>
      <c r="AL85" s="69" t="str">
        <f>IFERROR(__xludf.DUMMYFUNCTION("IFERROR(SPLIT(R85,"",""),"""")"),"")</f>
        <v/>
      </c>
      <c r="AM85" s="65"/>
      <c r="AN85" s="65"/>
      <c r="AO85" s="69" t="str">
        <f>IFERROR(__xludf.DUMMYFUNCTION("IFERROR(SPLIT(S85,"",""),"""")"),"")</f>
        <v/>
      </c>
      <c r="AP85" s="65"/>
      <c r="AQ85" s="65"/>
      <c r="AR85" s="69" t="str">
        <f>IFERROR(__xludf.DUMMYFUNCTION("IFERROR(SPLIT(T85,"",""),"""")"),"")</f>
        <v/>
      </c>
      <c r="AS85" s="65"/>
      <c r="AT85" s="65"/>
      <c r="AU85" s="69" t="str">
        <f>IFERROR(__xludf.DUMMYFUNCTION("IFERROR(SPLIT(U85,"",""),"""")"),"")</f>
        <v/>
      </c>
      <c r="AV85" s="65"/>
      <c r="AW85" s="65"/>
      <c r="AX85" s="69" t="str">
        <f>IFERROR(__xludf.DUMMYFUNCTION("IFERROR(SPLIT(V85,"",""),"""")"),"")</f>
        <v/>
      </c>
      <c r="AY85" s="65"/>
      <c r="AZ85" s="65"/>
      <c r="BA85" s="69" t="str">
        <f>IFERROR(__xludf.DUMMYFUNCTION("IFERROR(SPLIT(W85,"",""),"""")"),"")</f>
        <v/>
      </c>
      <c r="BB85" s="69"/>
      <c r="BC85" s="69"/>
      <c r="BD85" s="69" t="str">
        <f>IFERROR(__xludf.DUMMYFUNCTION("IFERROR(SPLIT(X85,"",""),"""")"),"")</f>
        <v/>
      </c>
      <c r="BE85" s="69"/>
      <c r="BF85" s="69"/>
      <c r="BG85" s="69" t="str">
        <f>IFERROR(__xludf.DUMMYFUNCTION("IFERROR(SPLIT(Y85,"",""),"""")"),"")</f>
        <v/>
      </c>
      <c r="BH85" s="69"/>
      <c r="BI85" s="69"/>
      <c r="BJ85" s="68" t="str">
        <f>IFERROR(__xludf.DUMMYFUNCTION("IF($B85&lt;&gt;"""",IFERROR(FILTER(RawTotals!$AJ:$AJ,RawTotals!$A:$A=Z85)-(FILTER(Data!$K:$K,Data!$B:$B=Z85,Data!$D:$D=$B85)+FILTER(Data!$L:$L,Data!$B:$B=Z85,Data!$D:$D=$B85)),""""),"""")"),"")</f>
        <v/>
      </c>
      <c r="BK85" s="68" t="str">
        <f>IFERROR(__xludf.DUMMYFUNCTION("IF($B85&lt;&gt;"""",IFERROR(FILTER(RawTotals!$AJ:$AJ,RawTotals!$A:$A=AA85)-(FILTER(Data!$K:$K,Data!$B:$B=AA85,Data!$D:$D=$B85)+FILTER(Data!$L:$L,Data!$B:$B=AA85,Data!$D:$D=$B85)),""""),"""")"),"")</f>
        <v/>
      </c>
      <c r="BL85" s="68" t="str">
        <f>IFERROR(__xludf.DUMMYFUNCTION("IF($B85&lt;&gt;"""",IFERROR(FILTER(RawTotals!$AJ:$AJ,RawTotals!$A:$A=AB85)-(FILTER(Data!$K:$K,Data!$B:$B=AB85,Data!$D:$D=$B85)+FILTER(Data!$L:$L,Data!$B:$B=AB85,Data!$D:$D=$B85)),""""),"""")"),"")</f>
        <v/>
      </c>
      <c r="BM85" s="69" t="str">
        <f>IFERROR(__xludf.DUMMYFUNCTION("IF($C85&lt;&gt;"""",IFERROR(FILTER(RawTotals!$AJ:$AJ,RawTotals!$A:$A=AC85)-(FILTER(Data!$K:$K,Data!$B:$B=AC85,Data!$D:$D=$C85)+FILTER(Data!$L:$L,Data!$B:$B=AC85,Data!$D:$D=$C85)),""""),"""")"),"")</f>
        <v/>
      </c>
      <c r="BN85" s="69" t="str">
        <f>IFERROR(__xludf.DUMMYFUNCTION("IF($C85&lt;&gt;"""",IFERROR(FILTER(RawTotals!$AJ:$AJ,RawTotals!$A:$A=AD85)-(FILTER(Data!$K:$K,Data!$B:$B=AD85,Data!$D:$D=$C85)+FILTER(Data!$L:$L,Data!$B:$B=AD85,Data!$D:$D=$C85)),""""),"""")"),"")</f>
        <v/>
      </c>
      <c r="BO85" s="69" t="str">
        <f>IFERROR(__xludf.DUMMYFUNCTION("IF($C85&lt;&gt;"""",IFERROR(FILTER(RawTotals!$AJ:$AJ,RawTotals!$A:$A=AE85)-(FILTER(Data!$K:$K,Data!$B:$B=AE85,Data!$D:$D=$C85)+FILTER(Data!$L:$L,Data!$B:$B=AE85,Data!$D:$D=$C85)),""""),"""")"),"")</f>
        <v/>
      </c>
      <c r="BP85" s="69" t="str">
        <f>IFERROR(__xludf.DUMMYFUNCTION("IF($D85&lt;&gt;"""",IFERROR(FILTER(RawTotals!$AJ:$AJ,RawTotals!$A:$A=AF85)-(FILTER(Data!$K:$K,Data!$B:$B=AF85,Data!$D:$D=$D85)+FILTER(Data!$L:$L,Data!$B:$B=AF85,Data!$D:$D=$D85)),""""),"""")"),"")</f>
        <v/>
      </c>
      <c r="BQ85" s="69" t="str">
        <f>IFERROR(__xludf.DUMMYFUNCTION("IF($D85&lt;&gt;"""",IFERROR(FILTER(RawTotals!$AJ:$AJ,RawTotals!$A:$A=AG85)-(FILTER(Data!$K:$K,Data!$B:$B=AG85,Data!$D:$D=$D85)+FILTER(Data!$L:$L,Data!$B:$B=AG85,Data!$D:$D=$D85)),""""),"""")"),"")</f>
        <v/>
      </c>
      <c r="BR85" s="69" t="str">
        <f>IFERROR(__xludf.DUMMYFUNCTION("IF($D85&lt;&gt;"""",IFERROR(FILTER(RawTotals!$AJ:$AJ,RawTotals!$A:$A=AH85)-(FILTER(Data!$K:$K,Data!$B:$B=AH85,Data!$D:$D=$D85)+FILTER(Data!$L:$L,Data!$B:$B=AH85,Data!$D:$D=$D85)),""""),"""")"),"")</f>
        <v/>
      </c>
      <c r="BS85" s="69" t="str">
        <f>IFERROR(__xludf.DUMMYFUNCTION("IF($E85&lt;&gt;"""",IFERROR(FILTER(RawTotals!$AJ:$AJ,RawTotals!$A:$A=AI85)-(FILTER(Data!$K:$K,Data!$B:$B=AI85,Data!$D:$D=$E85)+FILTER(Data!$L:$L,Data!$B:$B=AI85,Data!$D:$D=$E85)),""""),"""")"),"")</f>
        <v/>
      </c>
      <c r="BT85" s="69" t="str">
        <f>IFERROR(__xludf.DUMMYFUNCTION("IF($E85&lt;&gt;"""",IFERROR(FILTER(RawTotals!$AJ:$AJ,RawTotals!$A:$A=AJ85)-(FILTER(Data!$K:$K,Data!$B:$B=AJ85,Data!$D:$D=$E85)+FILTER(Data!$L:$L,Data!$B:$B=AJ85,Data!$D:$D=$E85)),""""),"""")"),"")</f>
        <v/>
      </c>
      <c r="BU85" s="69" t="str">
        <f>IFERROR(__xludf.DUMMYFUNCTION("IF($E85&lt;&gt;"""",IFERROR(FILTER(RawTotals!$AJ:$AJ,RawTotals!$A:$A=AK85)-(FILTER(Data!$K:$K,Data!$B:$B=AK85,Data!$D:$D=$E85)+FILTER(Data!$L:$L,Data!$B:$B=AK85,Data!$D:$D=$E85)),""""),"""")"),"")</f>
        <v/>
      </c>
      <c r="BV85" s="69" t="str">
        <f>IFERROR(__xludf.DUMMYFUNCTION("IF($F85&lt;&gt;"""",IFERROR(FILTER(RawTotals!$AJ:$AJ,RawTotals!$A:$A=AL85)-(FILTER(Data!$K:$K,Data!$B:$B=AL85,Data!$D:$D=$F85)+FILTER(Data!$L:$L,Data!$B:$B=AL85,Data!$D:$D=$F85)),""""),"""")"),"")</f>
        <v/>
      </c>
      <c r="BW85" s="69" t="str">
        <f>IFERROR(__xludf.DUMMYFUNCTION("IF($F85&lt;&gt;"""",IFERROR(FILTER(RawTotals!$AJ:$AJ,RawTotals!$A:$A=AM85)-(FILTER(Data!$K:$K,Data!$B:$B=AM85,Data!$D:$D=$F85)+FILTER(Data!$L:$L,Data!$B:$B=AM85,Data!$D:$D=$F85)),""""),"""")"),"")</f>
        <v/>
      </c>
      <c r="BX85" s="69" t="str">
        <f>IFERROR(__xludf.DUMMYFUNCTION("IF($F85&lt;&gt;"""",IFERROR(FILTER(RawTotals!$AJ:$AJ,RawTotals!$A:$A=AN85)-(FILTER(Data!$K:$K,Data!$B:$B=AN85,Data!$D:$D=$F85)+FILTER(Data!$L:$L,Data!$B:$B=AN85,Data!$D:$D=$F85)),""""),"""")"),"")</f>
        <v/>
      </c>
      <c r="BY85" s="69" t="str">
        <f>IFERROR(__xludf.DUMMYFUNCTION("IF($G85&lt;&gt;"""",IFERROR(FILTER(RawTotals!$AJ:$AJ,RawTotals!$A:$A=AO85)-(FILTER(Data!$K:$K,Data!$B:$B=AO85,Data!$D:$D=$G85)+FILTER(Data!$L:$L,Data!$B:$B=AO85,Data!$D:$D=$G85)),""""),"""")"),"")</f>
        <v/>
      </c>
      <c r="BZ85" s="69" t="str">
        <f>IFERROR(__xludf.DUMMYFUNCTION("IF($G85&lt;&gt;"""",IFERROR(FILTER(RawTotals!$AJ:$AJ,RawTotals!$A:$A=AP85)-(FILTER(Data!$K:$K,Data!$B:$B=AP85,Data!$D:$D=$G85)+FILTER(Data!$L:$L,Data!$B:$B=AP85,Data!$D:$D=$G85)),""""),"""")"),"")</f>
        <v/>
      </c>
      <c r="CA85" s="69" t="str">
        <f>IFERROR(__xludf.DUMMYFUNCTION("IF($G85&lt;&gt;"""",IFERROR(FILTER(RawTotals!$AJ:$AJ,RawTotals!$A:$A=AQ85)-(FILTER(Data!$K:$K,Data!$B:$B=AQ85,Data!$D:$D=$G85)+FILTER(Data!$L:$L,Data!$B:$B=AQ85,Data!$D:$D=$G85)),""""),"""")"),"")</f>
        <v/>
      </c>
      <c r="CB85" s="69" t="str">
        <f>IFERROR(__xludf.DUMMYFUNCTION("IF($H85&lt;&gt;"""",IFERROR(FILTER(RawTotals!$AJ:$AJ,RawTotals!$A:$A=AR85)-(FILTER(Data!$K:$K,Data!$B:$B=AR85,Data!$D:$D=$H85)+FILTER(Data!$L:$L,Data!$B:$B=AR85,Data!$D:$D=$H85)),""""),"""")"),"")</f>
        <v/>
      </c>
      <c r="CC85" s="69" t="str">
        <f>IFERROR(__xludf.DUMMYFUNCTION("IF($H85&lt;&gt;"""",IFERROR(FILTER(RawTotals!$AJ:$AJ,RawTotals!$A:$A=AS85)-(FILTER(Data!$K:$K,Data!$B:$B=AS85,Data!$D:$D=$H85)+FILTER(Data!$L:$L,Data!$B:$B=AS85,Data!$D:$D=$H85)),""""),"""")"),"")</f>
        <v/>
      </c>
      <c r="CD85" s="69" t="str">
        <f>IFERROR(__xludf.DUMMYFUNCTION("IF($H85&lt;&gt;"""",IFERROR(FILTER(RawTotals!$AJ:$AJ,RawTotals!$A:$A=AT85)-(FILTER(Data!$K:$K,Data!$B:$B=AT85,Data!$D:$D=$H85)+FILTER(Data!$L:$L,Data!$B:$B=AT85,Data!$D:$D=$H85)),""""),"""")"),"")</f>
        <v/>
      </c>
      <c r="CE85" s="69" t="str">
        <f>IFERROR(__xludf.DUMMYFUNCTION("IF($I85&lt;&gt;"""",IFERROR(FILTER(RawTotals!$AJ:$AJ,RawTotals!$A:$A=AU85)-(FILTER(Data!$K:$K,Data!$B:$B=AU85,Data!$D:$D=$I85)+FILTER(Data!$L:$L,Data!$B:$B=AU85,Data!$D:$D=$I85)),""""),"""")"),"")</f>
        <v/>
      </c>
      <c r="CF85" s="69" t="str">
        <f>IFERROR(__xludf.DUMMYFUNCTION("IF($I85&lt;&gt;"""",IFERROR(FILTER(RawTotals!$AJ:$AJ,RawTotals!$A:$A=AV85)-(FILTER(Data!$K:$K,Data!$B:$B=AV85,Data!$D:$D=$I85)+FILTER(Data!$L:$L,Data!$B:$B=AV85,Data!$D:$D=$I85)),""""),"""")"),"")</f>
        <v/>
      </c>
      <c r="CG85" s="69" t="str">
        <f>IFERROR(__xludf.DUMMYFUNCTION("IF($I85&lt;&gt;"""",IFERROR(FILTER(RawTotals!$AJ:$AJ,RawTotals!$A:$A=AW85)-(FILTER(Data!$K:$K,Data!$B:$B=AW85,Data!$D:$D=$I85)+FILTER(Data!$L:$L,Data!$B:$B=AW85,Data!$D:$D=$I85)),""""),"""")"),"")</f>
        <v/>
      </c>
      <c r="CH85" s="69" t="str">
        <f>IFERROR(__xludf.DUMMYFUNCTION("IF($J85&lt;&gt;"""",IFERROR(FILTER(RawTotals!$AJ:$AJ,RawTotals!$A:$A=AX85)-(FILTER(Data!$K:$K,Data!$B:$B=AX85,Data!$D:$D=$J85)+FILTER(Data!$L:$L,Data!$B:$B=AX85,Data!$D:$D=$J85)),""""),"""")"),"")</f>
        <v/>
      </c>
      <c r="CI85" s="69" t="str">
        <f>IFERROR(__xludf.DUMMYFUNCTION("IF($J85&lt;&gt;"""",IFERROR(FILTER(RawTotals!$AJ:$AJ,RawTotals!$A:$A=AY85)-(FILTER(Data!$K:$K,Data!$B:$B=AY85,Data!$D:$D=$J85)+FILTER(Data!$L:$L,Data!$B:$B=AY85,Data!$D:$D=$J85)),""""),"""")"),"")</f>
        <v/>
      </c>
      <c r="CJ85" s="69" t="str">
        <f>IFERROR(__xludf.DUMMYFUNCTION("IF($J85&lt;&gt;"""",IFERROR(FILTER(RawTotals!$AJ:$AJ,RawTotals!$A:$A=AZ85)-(FILTER(Data!$K:$K,Data!$B:$B=AZ85,Data!$D:$D=$J85)+FILTER(Data!$L:$L,Data!$B:$B=AZ85,Data!$D:$D=$J85)),""""),"""")"),"")</f>
        <v/>
      </c>
      <c r="CK85" s="69" t="str">
        <f>IFERROR(__xludf.DUMMYFUNCTION("IF($K85&lt;&gt;"""",IFERROR(FILTER(RawTotals!$AJ:$AJ,RawTotals!$A:$A=BA85)-(FILTER(Data!$K:$K,Data!$B:$B=BA85,Data!$D:$D=$K85)+FILTER(Data!$L:$L,Data!$B:$B=BA85,Data!$D:$D=$K85)),""""),"""")"),"")</f>
        <v/>
      </c>
      <c r="CL85" s="69" t="str">
        <f>IFERROR(__xludf.DUMMYFUNCTION("IF($K85&lt;&gt;"""",IFERROR(FILTER(RawTotals!$AJ:$AJ,RawTotals!$A:$A=BB85)-(FILTER(Data!$K:$K,Data!$B:$B=BB85,Data!$D:$D=$K85)+FILTER(Data!$L:$L,Data!$B:$B=BB85,Data!$D:$D=$K85)),""""),"""")"),"")</f>
        <v/>
      </c>
      <c r="CM85" s="69" t="str">
        <f>IFERROR(__xludf.DUMMYFUNCTION("IF($K85&lt;&gt;"""",IFERROR(FILTER(RawTotals!$AJ:$AJ,RawTotals!$A:$A=BC85)-(FILTER(Data!$K:$K,Data!$B:$B=BC85,Data!$D:$D=$K85)+FILTER(Data!$L:$L,Data!$B:$B=BC85,Data!$D:$D=$K85)),""""),"""")"),"")</f>
        <v/>
      </c>
      <c r="CN85" s="69" t="str">
        <f>IFERROR(__xludf.DUMMYFUNCTION("IF($L85&lt;&gt;"""",IFERROR((FILTER(RawTotals!$AJ:$AJ,RawTotals!$A:$A=BD85)-(FILTER(Data!$K:$K,Data!$B:$B=BD85,Data!$D:$D=$L85)+FILTER(Data!$L:$L,Data!$B:$B=BD85,Data!$D:$D=$L85))),""""),"""")"),"")</f>
        <v/>
      </c>
      <c r="CO85" s="69" t="str">
        <f>IFERROR(__xludf.DUMMYFUNCTION("IF($L85&lt;&gt;"""",IFERROR((FILTER(RawTotals!$AJ:$AJ,RawTotals!$A:$A=BE85)-(FILTER(Data!$K:$K,Data!$B:$B=BE85,Data!$D:$D=$L85)+FILTER(Data!$L:$L,Data!$B:$B=BE85,Data!$D:$D=$L85))),""""),"""")"),"")</f>
        <v/>
      </c>
      <c r="CP85" s="69" t="str">
        <f>IFERROR(__xludf.DUMMYFUNCTION("IF($L85&lt;&gt;"""",IFERROR((FILTER(RawTotals!$AJ:$AJ,RawTotals!$A:$A=BF85)-(FILTER(Data!$K:$K,Data!$B:$B=BF85,Data!$D:$D=$L85)+FILTER(Data!$L:$L,Data!$B:$B=BF85,Data!$D:$D=$L85))),""""),"""")"),"")</f>
        <v/>
      </c>
      <c r="CQ85" s="69" t="str">
        <f>IFERROR(__xludf.DUMMYFUNCTION("IF($M85&lt;&gt;"""",IFERROR((FILTER(RawTotals!$AJ:$AJ,RawTotals!$A:$A=BG85)-(FILTER(Data!$K:$K,Data!$B:$B=BG85,Data!$D:$D=$M85)+FILTER(Data!$L:$L,Data!$B:$B=BG85,Data!$D:$D=$M85))),""""),"""")"),"")</f>
        <v/>
      </c>
      <c r="CR85" s="69" t="str">
        <f>IFERROR(__xludf.DUMMYFUNCTION("IF($M85&lt;&gt;"""",IFERROR((FILTER(RawTotals!$AJ:$AJ,RawTotals!$A:$A=BH85)-(FILTER(Data!$K:$K,Data!$B:$B=BH85,Data!$D:$D=$M85)+FILTER(Data!$L:$L,Data!$B:$B=BH85,Data!$D:$D=$M85))),""""),"""")"),"")</f>
        <v/>
      </c>
      <c r="CS85" s="70" t="str">
        <f>IFERROR(__xludf.DUMMYFUNCTION("IF($M85&lt;&gt;"""",IFERROR((FILTER(RawTotals!$AJ:$AJ,RawTotals!$A:$A=BI85)-(FILTER(Data!$K:$K,Data!$B:$B=BI85,Data!$D:$D=$M85)+FILTER(Data!$L:$L,Data!$B:$B=BI85,Data!$D:$D=$M85))),""""),"""")"),"")</f>
        <v/>
      </c>
      <c r="CT85" s="69"/>
      <c r="CU85" s="69"/>
      <c r="CV85" s="69"/>
      <c r="CW85" s="69"/>
      <c r="CX85" s="69"/>
      <c r="CY85" s="69"/>
      <c r="CZ85" s="69"/>
      <c r="DA85" s="69"/>
      <c r="DB85" s="69"/>
      <c r="DC85" s="69"/>
      <c r="DD85" s="69"/>
      <c r="DE85" s="69"/>
    </row>
    <row r="86">
      <c r="A86" s="65" t="str">
        <f>RawTotals!A86</f>
        <v/>
      </c>
      <c r="B86" s="68" t="str">
        <f>IFERROR(__xludf.DUMMYFUNCTION("IF(A86&lt;&gt;"""",IFERROR(TRANSPOSE(FILTER(Data!D:D,Data!B:B=A86,Data!R:R&lt;&gt;"""")),""No Defense""),"""")"),"")</f>
        <v/>
      </c>
      <c r="C86" s="65"/>
      <c r="D86" s="65"/>
      <c r="E86" s="65"/>
      <c r="F86" s="65"/>
      <c r="G86" s="65"/>
      <c r="H86" s="65"/>
      <c r="I86" s="65"/>
      <c r="J86" s="65"/>
      <c r="K86" s="65"/>
      <c r="L86" s="65"/>
      <c r="M86" s="65"/>
      <c r="N86" s="64" t="str">
        <f>IFERROR(__xludf.DUMMYFUNCTION("IFERROR(Textjoin("""",TRUE,FILTER(Data!$R:$R,Data!$D:$D=B86,Data!$B:$B=$A86)),"""")"),"")</f>
        <v/>
      </c>
      <c r="O86" s="64" t="str">
        <f>IFERROR(__xludf.DUMMYFUNCTION("IFERROR(Textjoin("""",TRUE,FILTER(Data!$R:$R,Data!$D:$D=C86,Data!$B:$B=$A86)),"""")"),"")</f>
        <v/>
      </c>
      <c r="P86" s="64" t="str">
        <f>IFERROR(__xludf.DUMMYFUNCTION("IFERROR(Textjoin("""",TRUE,FILTER(Data!$R:$R,Data!$D:$D=D86,Data!$B:$B=$A86)),"""")"),"")</f>
        <v/>
      </c>
      <c r="Q86" s="64" t="str">
        <f>IFERROR(__xludf.DUMMYFUNCTION("IFERROR(Textjoin("""",TRUE,FILTER(Data!$R:$R,Data!$D:$D=E86,Data!$B:$B=$A86)),"""")"),"")</f>
        <v/>
      </c>
      <c r="R86" s="64" t="str">
        <f>IFERROR(__xludf.DUMMYFUNCTION("IFERROR(Textjoin("""",TRUE,FILTER(Data!$R:$R,Data!$D:$D=F86,Data!$B:$B=$A86)),"""")"),"")</f>
        <v/>
      </c>
      <c r="S86" s="64" t="str">
        <f>IFERROR(__xludf.DUMMYFUNCTION("IFERROR(Textjoin("""",TRUE,FILTER(Data!$R:$R,Data!$D:$D=G86,Data!$B:$B=$A86)),"""")"),"")</f>
        <v/>
      </c>
      <c r="T86" s="64" t="str">
        <f>IFERROR(__xludf.DUMMYFUNCTION("IFERROR(Textjoin("""",TRUE,FILTER(Data!$R:$R,Data!$D:$D=H86,Data!$B:$B=$A86)),"""")"),"")</f>
        <v/>
      </c>
      <c r="U86" s="64" t="str">
        <f>IFERROR(__xludf.DUMMYFUNCTION("IFERROR(Textjoin("""",TRUE,FILTER(Data!$R:$R,Data!$D:$D=I86,Data!$B:$B=$A86)),"""")"),"")</f>
        <v/>
      </c>
      <c r="V86" s="64" t="str">
        <f>IFERROR(__xludf.DUMMYFUNCTION("IFERROR(Textjoin("""",TRUE,FILTER(Data!$R:$R,Data!$D:$D=J86,Data!$B:$B=$A86)),"""")"),"")</f>
        <v/>
      </c>
      <c r="W86" s="64" t="str">
        <f>IFERROR(__xludf.DUMMYFUNCTION("IFERROR(Textjoin("""",TRUE,FILTER(Data!$R:$R,Data!$D:$D=K86,Data!$B:$B=$A86)),"""")"),"")</f>
        <v/>
      </c>
      <c r="X86" s="64" t="str">
        <f>IFERROR(__xludf.DUMMYFUNCTION("IFERROR(Textjoin("""",TRUE,FILTER(Data!$R:$R,Data!$D:$D=L86,Data!$B:$B=$A86)),"""")"),"")</f>
        <v/>
      </c>
      <c r="Y86" s="64" t="str">
        <f>IFERROR(__xludf.DUMMYFUNCTION("IFERROR(Textjoin("""",TRUE,FILTER(Data!$R:$R,Data!$D:$D=M86,Data!$B:$B=$A86)),"""")"),"")</f>
        <v/>
      </c>
      <c r="Z86" s="64" t="str">
        <f>IFERROR(__xludf.DUMMYFUNCTION("IFERROR(SPLIT(N86,"",""),"""")"),"")</f>
        <v/>
      </c>
      <c r="AA86" s="65"/>
      <c r="AB86" s="65"/>
      <c r="AC86" s="69" t="str">
        <f>IFERROR(__xludf.DUMMYFUNCTION("IFERROR(SPLIT(O86,"",""),"""")"),"")</f>
        <v/>
      </c>
      <c r="AD86" s="65"/>
      <c r="AE86" s="65"/>
      <c r="AF86" s="69" t="str">
        <f>IFERROR(__xludf.DUMMYFUNCTION("IFERROR(SPLIT(P86,"",""),"""")"),"")</f>
        <v/>
      </c>
      <c r="AG86" s="65"/>
      <c r="AH86" s="65"/>
      <c r="AI86" s="69" t="str">
        <f>IFERROR(__xludf.DUMMYFUNCTION("IFERROR(SPLIT(Q86,"",""),"""")"),"")</f>
        <v/>
      </c>
      <c r="AJ86" s="65"/>
      <c r="AK86" s="65"/>
      <c r="AL86" s="69" t="str">
        <f>IFERROR(__xludf.DUMMYFUNCTION("IFERROR(SPLIT(R86,"",""),"""")"),"")</f>
        <v/>
      </c>
      <c r="AM86" s="65"/>
      <c r="AN86" s="65"/>
      <c r="AO86" s="69" t="str">
        <f>IFERROR(__xludf.DUMMYFUNCTION("IFERROR(SPLIT(S86,"",""),"""")"),"")</f>
        <v/>
      </c>
      <c r="AP86" s="65"/>
      <c r="AQ86" s="65"/>
      <c r="AR86" s="69" t="str">
        <f>IFERROR(__xludf.DUMMYFUNCTION("IFERROR(SPLIT(T86,"",""),"""")"),"")</f>
        <v/>
      </c>
      <c r="AS86" s="65"/>
      <c r="AT86" s="65"/>
      <c r="AU86" s="69" t="str">
        <f>IFERROR(__xludf.DUMMYFUNCTION("IFERROR(SPLIT(U86,"",""),"""")"),"")</f>
        <v/>
      </c>
      <c r="AV86" s="65"/>
      <c r="AW86" s="65"/>
      <c r="AX86" s="69" t="str">
        <f>IFERROR(__xludf.DUMMYFUNCTION("IFERROR(SPLIT(V86,"",""),"""")"),"")</f>
        <v/>
      </c>
      <c r="AY86" s="65"/>
      <c r="AZ86" s="65"/>
      <c r="BA86" s="69" t="str">
        <f>IFERROR(__xludf.DUMMYFUNCTION("IFERROR(SPLIT(W86,"",""),"""")"),"")</f>
        <v/>
      </c>
      <c r="BB86" s="69"/>
      <c r="BC86" s="69"/>
      <c r="BD86" s="69" t="str">
        <f>IFERROR(__xludf.DUMMYFUNCTION("IFERROR(SPLIT(X86,"",""),"""")"),"")</f>
        <v/>
      </c>
      <c r="BE86" s="69"/>
      <c r="BF86" s="69"/>
      <c r="BG86" s="69" t="str">
        <f>IFERROR(__xludf.DUMMYFUNCTION("IFERROR(SPLIT(Y86,"",""),"""")"),"")</f>
        <v/>
      </c>
      <c r="BH86" s="69"/>
      <c r="BI86" s="69"/>
      <c r="BJ86" s="68" t="str">
        <f>IFERROR(__xludf.DUMMYFUNCTION("IF($B86&lt;&gt;"""",IFERROR(FILTER(RawTotals!$AJ:$AJ,RawTotals!$A:$A=Z86)-(FILTER(Data!$K:$K,Data!$B:$B=Z86,Data!$D:$D=$B86)+FILTER(Data!$L:$L,Data!$B:$B=Z86,Data!$D:$D=$B86)),""""),"""")"),"")</f>
        <v/>
      </c>
      <c r="BK86" s="68" t="str">
        <f>IFERROR(__xludf.DUMMYFUNCTION("IF($B86&lt;&gt;"""",IFERROR(FILTER(RawTotals!$AJ:$AJ,RawTotals!$A:$A=AA86)-(FILTER(Data!$K:$K,Data!$B:$B=AA86,Data!$D:$D=$B86)+FILTER(Data!$L:$L,Data!$B:$B=AA86,Data!$D:$D=$B86)),""""),"""")"),"")</f>
        <v/>
      </c>
      <c r="BL86" s="68" t="str">
        <f>IFERROR(__xludf.DUMMYFUNCTION("IF($B86&lt;&gt;"""",IFERROR(FILTER(RawTotals!$AJ:$AJ,RawTotals!$A:$A=AB86)-(FILTER(Data!$K:$K,Data!$B:$B=AB86,Data!$D:$D=$B86)+FILTER(Data!$L:$L,Data!$B:$B=AB86,Data!$D:$D=$B86)),""""),"""")"),"")</f>
        <v/>
      </c>
      <c r="BM86" s="69" t="str">
        <f>IFERROR(__xludf.DUMMYFUNCTION("IF($C86&lt;&gt;"""",IFERROR(FILTER(RawTotals!$AJ:$AJ,RawTotals!$A:$A=AC86)-(FILTER(Data!$K:$K,Data!$B:$B=AC86,Data!$D:$D=$C86)+FILTER(Data!$L:$L,Data!$B:$B=AC86,Data!$D:$D=$C86)),""""),"""")"),"")</f>
        <v/>
      </c>
      <c r="BN86" s="69" t="str">
        <f>IFERROR(__xludf.DUMMYFUNCTION("IF($C86&lt;&gt;"""",IFERROR(FILTER(RawTotals!$AJ:$AJ,RawTotals!$A:$A=AD86)-(FILTER(Data!$K:$K,Data!$B:$B=AD86,Data!$D:$D=$C86)+FILTER(Data!$L:$L,Data!$B:$B=AD86,Data!$D:$D=$C86)),""""),"""")"),"")</f>
        <v/>
      </c>
      <c r="BO86" s="69" t="str">
        <f>IFERROR(__xludf.DUMMYFUNCTION("IF($C86&lt;&gt;"""",IFERROR(FILTER(RawTotals!$AJ:$AJ,RawTotals!$A:$A=AE86)-(FILTER(Data!$K:$K,Data!$B:$B=AE86,Data!$D:$D=$C86)+FILTER(Data!$L:$L,Data!$B:$B=AE86,Data!$D:$D=$C86)),""""),"""")"),"")</f>
        <v/>
      </c>
      <c r="BP86" s="69" t="str">
        <f>IFERROR(__xludf.DUMMYFUNCTION("IF($D86&lt;&gt;"""",IFERROR(FILTER(RawTotals!$AJ:$AJ,RawTotals!$A:$A=AF86)-(FILTER(Data!$K:$K,Data!$B:$B=AF86,Data!$D:$D=$D86)+FILTER(Data!$L:$L,Data!$B:$B=AF86,Data!$D:$D=$D86)),""""),"""")"),"")</f>
        <v/>
      </c>
      <c r="BQ86" s="69" t="str">
        <f>IFERROR(__xludf.DUMMYFUNCTION("IF($D86&lt;&gt;"""",IFERROR(FILTER(RawTotals!$AJ:$AJ,RawTotals!$A:$A=AG86)-(FILTER(Data!$K:$K,Data!$B:$B=AG86,Data!$D:$D=$D86)+FILTER(Data!$L:$L,Data!$B:$B=AG86,Data!$D:$D=$D86)),""""),"""")"),"")</f>
        <v/>
      </c>
      <c r="BR86" s="69" t="str">
        <f>IFERROR(__xludf.DUMMYFUNCTION("IF($D86&lt;&gt;"""",IFERROR(FILTER(RawTotals!$AJ:$AJ,RawTotals!$A:$A=AH86)-(FILTER(Data!$K:$K,Data!$B:$B=AH86,Data!$D:$D=$D86)+FILTER(Data!$L:$L,Data!$B:$B=AH86,Data!$D:$D=$D86)),""""),"""")"),"")</f>
        <v/>
      </c>
      <c r="BS86" s="69" t="str">
        <f>IFERROR(__xludf.DUMMYFUNCTION("IF($E86&lt;&gt;"""",IFERROR(FILTER(RawTotals!$AJ:$AJ,RawTotals!$A:$A=AI86)-(FILTER(Data!$K:$K,Data!$B:$B=AI86,Data!$D:$D=$E86)+FILTER(Data!$L:$L,Data!$B:$B=AI86,Data!$D:$D=$E86)),""""),"""")"),"")</f>
        <v/>
      </c>
      <c r="BT86" s="69" t="str">
        <f>IFERROR(__xludf.DUMMYFUNCTION("IF($E86&lt;&gt;"""",IFERROR(FILTER(RawTotals!$AJ:$AJ,RawTotals!$A:$A=AJ86)-(FILTER(Data!$K:$K,Data!$B:$B=AJ86,Data!$D:$D=$E86)+FILTER(Data!$L:$L,Data!$B:$B=AJ86,Data!$D:$D=$E86)),""""),"""")"),"")</f>
        <v/>
      </c>
      <c r="BU86" s="69" t="str">
        <f>IFERROR(__xludf.DUMMYFUNCTION("IF($E86&lt;&gt;"""",IFERROR(FILTER(RawTotals!$AJ:$AJ,RawTotals!$A:$A=AK86)-(FILTER(Data!$K:$K,Data!$B:$B=AK86,Data!$D:$D=$E86)+FILTER(Data!$L:$L,Data!$B:$B=AK86,Data!$D:$D=$E86)),""""),"""")"),"")</f>
        <v/>
      </c>
      <c r="BV86" s="69" t="str">
        <f>IFERROR(__xludf.DUMMYFUNCTION("IF($F86&lt;&gt;"""",IFERROR(FILTER(RawTotals!$AJ:$AJ,RawTotals!$A:$A=AL86)-(FILTER(Data!$K:$K,Data!$B:$B=AL86,Data!$D:$D=$F86)+FILTER(Data!$L:$L,Data!$B:$B=AL86,Data!$D:$D=$F86)),""""),"""")"),"")</f>
        <v/>
      </c>
      <c r="BW86" s="69" t="str">
        <f>IFERROR(__xludf.DUMMYFUNCTION("IF($F86&lt;&gt;"""",IFERROR(FILTER(RawTotals!$AJ:$AJ,RawTotals!$A:$A=AM86)-(FILTER(Data!$K:$K,Data!$B:$B=AM86,Data!$D:$D=$F86)+FILTER(Data!$L:$L,Data!$B:$B=AM86,Data!$D:$D=$F86)),""""),"""")"),"")</f>
        <v/>
      </c>
      <c r="BX86" s="69" t="str">
        <f>IFERROR(__xludf.DUMMYFUNCTION("IF($F86&lt;&gt;"""",IFERROR(FILTER(RawTotals!$AJ:$AJ,RawTotals!$A:$A=AN86)-(FILTER(Data!$K:$K,Data!$B:$B=AN86,Data!$D:$D=$F86)+FILTER(Data!$L:$L,Data!$B:$B=AN86,Data!$D:$D=$F86)),""""),"""")"),"")</f>
        <v/>
      </c>
      <c r="BY86" s="69" t="str">
        <f>IFERROR(__xludf.DUMMYFUNCTION("IF($G86&lt;&gt;"""",IFERROR(FILTER(RawTotals!$AJ:$AJ,RawTotals!$A:$A=AO86)-(FILTER(Data!$K:$K,Data!$B:$B=AO86,Data!$D:$D=$G86)+FILTER(Data!$L:$L,Data!$B:$B=AO86,Data!$D:$D=$G86)),""""),"""")"),"")</f>
        <v/>
      </c>
      <c r="BZ86" s="69" t="str">
        <f>IFERROR(__xludf.DUMMYFUNCTION("IF($G86&lt;&gt;"""",IFERROR(FILTER(RawTotals!$AJ:$AJ,RawTotals!$A:$A=AP86)-(FILTER(Data!$K:$K,Data!$B:$B=AP86,Data!$D:$D=$G86)+FILTER(Data!$L:$L,Data!$B:$B=AP86,Data!$D:$D=$G86)),""""),"""")"),"")</f>
        <v/>
      </c>
      <c r="CA86" s="69" t="str">
        <f>IFERROR(__xludf.DUMMYFUNCTION("IF($G86&lt;&gt;"""",IFERROR(FILTER(RawTotals!$AJ:$AJ,RawTotals!$A:$A=AQ86)-(FILTER(Data!$K:$K,Data!$B:$B=AQ86,Data!$D:$D=$G86)+FILTER(Data!$L:$L,Data!$B:$B=AQ86,Data!$D:$D=$G86)),""""),"""")"),"")</f>
        <v/>
      </c>
      <c r="CB86" s="69" t="str">
        <f>IFERROR(__xludf.DUMMYFUNCTION("IF($H86&lt;&gt;"""",IFERROR(FILTER(RawTotals!$AJ:$AJ,RawTotals!$A:$A=AR86)-(FILTER(Data!$K:$K,Data!$B:$B=AR86,Data!$D:$D=$H86)+FILTER(Data!$L:$L,Data!$B:$B=AR86,Data!$D:$D=$H86)),""""),"""")"),"")</f>
        <v/>
      </c>
      <c r="CC86" s="69" t="str">
        <f>IFERROR(__xludf.DUMMYFUNCTION("IF($H86&lt;&gt;"""",IFERROR(FILTER(RawTotals!$AJ:$AJ,RawTotals!$A:$A=AS86)-(FILTER(Data!$K:$K,Data!$B:$B=AS86,Data!$D:$D=$H86)+FILTER(Data!$L:$L,Data!$B:$B=AS86,Data!$D:$D=$H86)),""""),"""")"),"")</f>
        <v/>
      </c>
      <c r="CD86" s="69" t="str">
        <f>IFERROR(__xludf.DUMMYFUNCTION("IF($H86&lt;&gt;"""",IFERROR(FILTER(RawTotals!$AJ:$AJ,RawTotals!$A:$A=AT86)-(FILTER(Data!$K:$K,Data!$B:$B=AT86,Data!$D:$D=$H86)+FILTER(Data!$L:$L,Data!$B:$B=AT86,Data!$D:$D=$H86)),""""),"""")"),"")</f>
        <v/>
      </c>
      <c r="CE86" s="69" t="str">
        <f>IFERROR(__xludf.DUMMYFUNCTION("IF($I86&lt;&gt;"""",IFERROR(FILTER(RawTotals!$AJ:$AJ,RawTotals!$A:$A=AU86)-(FILTER(Data!$K:$K,Data!$B:$B=AU86,Data!$D:$D=$I86)+FILTER(Data!$L:$L,Data!$B:$B=AU86,Data!$D:$D=$I86)),""""),"""")"),"")</f>
        <v/>
      </c>
      <c r="CF86" s="69" t="str">
        <f>IFERROR(__xludf.DUMMYFUNCTION("IF($I86&lt;&gt;"""",IFERROR(FILTER(RawTotals!$AJ:$AJ,RawTotals!$A:$A=AV86)-(FILTER(Data!$K:$K,Data!$B:$B=AV86,Data!$D:$D=$I86)+FILTER(Data!$L:$L,Data!$B:$B=AV86,Data!$D:$D=$I86)),""""),"""")"),"")</f>
        <v/>
      </c>
      <c r="CG86" s="69" t="str">
        <f>IFERROR(__xludf.DUMMYFUNCTION("IF($I86&lt;&gt;"""",IFERROR(FILTER(RawTotals!$AJ:$AJ,RawTotals!$A:$A=AW86)-(FILTER(Data!$K:$K,Data!$B:$B=AW86,Data!$D:$D=$I86)+FILTER(Data!$L:$L,Data!$B:$B=AW86,Data!$D:$D=$I86)),""""),"""")"),"")</f>
        <v/>
      </c>
      <c r="CH86" s="69" t="str">
        <f>IFERROR(__xludf.DUMMYFUNCTION("IF($J86&lt;&gt;"""",IFERROR(FILTER(RawTotals!$AJ:$AJ,RawTotals!$A:$A=AX86)-(FILTER(Data!$K:$K,Data!$B:$B=AX86,Data!$D:$D=$J86)+FILTER(Data!$L:$L,Data!$B:$B=AX86,Data!$D:$D=$J86)),""""),"""")"),"")</f>
        <v/>
      </c>
      <c r="CI86" s="69" t="str">
        <f>IFERROR(__xludf.DUMMYFUNCTION("IF($J86&lt;&gt;"""",IFERROR(FILTER(RawTotals!$AJ:$AJ,RawTotals!$A:$A=AY86)-(FILTER(Data!$K:$K,Data!$B:$B=AY86,Data!$D:$D=$J86)+FILTER(Data!$L:$L,Data!$B:$B=AY86,Data!$D:$D=$J86)),""""),"""")"),"")</f>
        <v/>
      </c>
      <c r="CJ86" s="69" t="str">
        <f>IFERROR(__xludf.DUMMYFUNCTION("IF($J86&lt;&gt;"""",IFERROR(FILTER(RawTotals!$AJ:$AJ,RawTotals!$A:$A=AZ86)-(FILTER(Data!$K:$K,Data!$B:$B=AZ86,Data!$D:$D=$J86)+FILTER(Data!$L:$L,Data!$B:$B=AZ86,Data!$D:$D=$J86)),""""),"""")"),"")</f>
        <v/>
      </c>
      <c r="CK86" s="69" t="str">
        <f>IFERROR(__xludf.DUMMYFUNCTION("IF($K86&lt;&gt;"""",IFERROR(FILTER(RawTotals!$AJ:$AJ,RawTotals!$A:$A=BA86)-(FILTER(Data!$K:$K,Data!$B:$B=BA86,Data!$D:$D=$K86)+FILTER(Data!$L:$L,Data!$B:$B=BA86,Data!$D:$D=$K86)),""""),"""")"),"")</f>
        <v/>
      </c>
      <c r="CL86" s="69" t="str">
        <f>IFERROR(__xludf.DUMMYFUNCTION("IF($K86&lt;&gt;"""",IFERROR(FILTER(RawTotals!$AJ:$AJ,RawTotals!$A:$A=BB86)-(FILTER(Data!$K:$K,Data!$B:$B=BB86,Data!$D:$D=$K86)+FILTER(Data!$L:$L,Data!$B:$B=BB86,Data!$D:$D=$K86)),""""),"""")"),"")</f>
        <v/>
      </c>
      <c r="CM86" s="69" t="str">
        <f>IFERROR(__xludf.DUMMYFUNCTION("IF($K86&lt;&gt;"""",IFERROR(FILTER(RawTotals!$AJ:$AJ,RawTotals!$A:$A=BC86)-(FILTER(Data!$K:$K,Data!$B:$B=BC86,Data!$D:$D=$K86)+FILTER(Data!$L:$L,Data!$B:$B=BC86,Data!$D:$D=$K86)),""""),"""")"),"")</f>
        <v/>
      </c>
      <c r="CN86" s="69" t="str">
        <f>IFERROR(__xludf.DUMMYFUNCTION("IF($L86&lt;&gt;"""",IFERROR((FILTER(RawTotals!$AJ:$AJ,RawTotals!$A:$A=BD86)-(FILTER(Data!$K:$K,Data!$B:$B=BD86,Data!$D:$D=$L86)+FILTER(Data!$L:$L,Data!$B:$B=BD86,Data!$D:$D=$L86))),""""),"""")"),"")</f>
        <v/>
      </c>
      <c r="CO86" s="69" t="str">
        <f>IFERROR(__xludf.DUMMYFUNCTION("IF($L86&lt;&gt;"""",IFERROR((FILTER(RawTotals!$AJ:$AJ,RawTotals!$A:$A=BE86)-(FILTER(Data!$K:$K,Data!$B:$B=BE86,Data!$D:$D=$L86)+FILTER(Data!$L:$L,Data!$B:$B=BE86,Data!$D:$D=$L86))),""""),"""")"),"")</f>
        <v/>
      </c>
      <c r="CP86" s="69" t="str">
        <f>IFERROR(__xludf.DUMMYFUNCTION("IF($L86&lt;&gt;"""",IFERROR((FILTER(RawTotals!$AJ:$AJ,RawTotals!$A:$A=BF86)-(FILTER(Data!$K:$K,Data!$B:$B=BF86,Data!$D:$D=$L86)+FILTER(Data!$L:$L,Data!$B:$B=BF86,Data!$D:$D=$L86))),""""),"""")"),"")</f>
        <v/>
      </c>
      <c r="CQ86" s="69" t="str">
        <f>IFERROR(__xludf.DUMMYFUNCTION("IF($M86&lt;&gt;"""",IFERROR((FILTER(RawTotals!$AJ:$AJ,RawTotals!$A:$A=BG86)-(FILTER(Data!$K:$K,Data!$B:$B=BG86,Data!$D:$D=$M86)+FILTER(Data!$L:$L,Data!$B:$B=BG86,Data!$D:$D=$M86))),""""),"""")"),"")</f>
        <v/>
      </c>
      <c r="CR86" s="69" t="str">
        <f>IFERROR(__xludf.DUMMYFUNCTION("IF($M86&lt;&gt;"""",IFERROR((FILTER(RawTotals!$AJ:$AJ,RawTotals!$A:$A=BH86)-(FILTER(Data!$K:$K,Data!$B:$B=BH86,Data!$D:$D=$M86)+FILTER(Data!$L:$L,Data!$B:$B=BH86,Data!$D:$D=$M86))),""""),"""")"),"")</f>
        <v/>
      </c>
      <c r="CS86" s="70" t="str">
        <f>IFERROR(__xludf.DUMMYFUNCTION("IF($M86&lt;&gt;"""",IFERROR((FILTER(RawTotals!$AJ:$AJ,RawTotals!$A:$A=BI86)-(FILTER(Data!$K:$K,Data!$B:$B=BI86,Data!$D:$D=$M86)+FILTER(Data!$L:$L,Data!$B:$B=BI86,Data!$D:$D=$M86))),""""),"""")"),"")</f>
        <v/>
      </c>
      <c r="CT86" s="69"/>
      <c r="CU86" s="69"/>
      <c r="CV86" s="69"/>
      <c r="CW86" s="69"/>
      <c r="CX86" s="69"/>
      <c r="CY86" s="69"/>
      <c r="CZ86" s="69"/>
      <c r="DA86" s="69"/>
      <c r="DB86" s="69"/>
      <c r="DC86" s="69"/>
      <c r="DD86" s="69"/>
      <c r="DE86" s="69"/>
    </row>
    <row r="87">
      <c r="A87" s="65" t="str">
        <f>RawTotals!A87</f>
        <v/>
      </c>
      <c r="B87" s="68" t="str">
        <f>IFERROR(__xludf.DUMMYFUNCTION("IF(A87&lt;&gt;"""",IFERROR(TRANSPOSE(FILTER(Data!D:D,Data!B:B=A87,Data!R:R&lt;&gt;"""")),""No Defense""),"""")"),"")</f>
        <v/>
      </c>
      <c r="C87" s="65"/>
      <c r="D87" s="65"/>
      <c r="E87" s="65"/>
      <c r="F87" s="65"/>
      <c r="G87" s="65"/>
      <c r="H87" s="65"/>
      <c r="I87" s="65"/>
      <c r="J87" s="65"/>
      <c r="K87" s="65"/>
      <c r="L87" s="65"/>
      <c r="M87" s="65"/>
      <c r="N87" s="64" t="str">
        <f>IFERROR(__xludf.DUMMYFUNCTION("IFERROR(Textjoin("""",TRUE,FILTER(Data!$R:$R,Data!$D:$D=B87,Data!$B:$B=$A87)),"""")"),"")</f>
        <v/>
      </c>
      <c r="O87" s="64" t="str">
        <f>IFERROR(__xludf.DUMMYFUNCTION("IFERROR(Textjoin("""",TRUE,FILTER(Data!$R:$R,Data!$D:$D=C87,Data!$B:$B=$A87)),"""")"),"")</f>
        <v/>
      </c>
      <c r="P87" s="64" t="str">
        <f>IFERROR(__xludf.DUMMYFUNCTION("IFERROR(Textjoin("""",TRUE,FILTER(Data!$R:$R,Data!$D:$D=D87,Data!$B:$B=$A87)),"""")"),"")</f>
        <v/>
      </c>
      <c r="Q87" s="64" t="str">
        <f>IFERROR(__xludf.DUMMYFUNCTION("IFERROR(Textjoin("""",TRUE,FILTER(Data!$R:$R,Data!$D:$D=E87,Data!$B:$B=$A87)),"""")"),"")</f>
        <v/>
      </c>
      <c r="R87" s="64" t="str">
        <f>IFERROR(__xludf.DUMMYFUNCTION("IFERROR(Textjoin("""",TRUE,FILTER(Data!$R:$R,Data!$D:$D=F87,Data!$B:$B=$A87)),"""")"),"")</f>
        <v/>
      </c>
      <c r="S87" s="64" t="str">
        <f>IFERROR(__xludf.DUMMYFUNCTION("IFERROR(Textjoin("""",TRUE,FILTER(Data!$R:$R,Data!$D:$D=G87,Data!$B:$B=$A87)),"""")"),"")</f>
        <v/>
      </c>
      <c r="T87" s="64" t="str">
        <f>IFERROR(__xludf.DUMMYFUNCTION("IFERROR(Textjoin("""",TRUE,FILTER(Data!$R:$R,Data!$D:$D=H87,Data!$B:$B=$A87)),"""")"),"")</f>
        <v/>
      </c>
      <c r="U87" s="64" t="str">
        <f>IFERROR(__xludf.DUMMYFUNCTION("IFERROR(Textjoin("""",TRUE,FILTER(Data!$R:$R,Data!$D:$D=I87,Data!$B:$B=$A87)),"""")"),"")</f>
        <v/>
      </c>
      <c r="V87" s="64" t="str">
        <f>IFERROR(__xludf.DUMMYFUNCTION("IFERROR(Textjoin("""",TRUE,FILTER(Data!$R:$R,Data!$D:$D=J87,Data!$B:$B=$A87)),"""")"),"")</f>
        <v/>
      </c>
      <c r="W87" s="64" t="str">
        <f>IFERROR(__xludf.DUMMYFUNCTION("IFERROR(Textjoin("""",TRUE,FILTER(Data!$R:$R,Data!$D:$D=K87,Data!$B:$B=$A87)),"""")"),"")</f>
        <v/>
      </c>
      <c r="X87" s="64" t="str">
        <f>IFERROR(__xludf.DUMMYFUNCTION("IFERROR(Textjoin("""",TRUE,FILTER(Data!$R:$R,Data!$D:$D=L87,Data!$B:$B=$A87)),"""")"),"")</f>
        <v/>
      </c>
      <c r="Y87" s="64" t="str">
        <f>IFERROR(__xludf.DUMMYFUNCTION("IFERROR(Textjoin("""",TRUE,FILTER(Data!$R:$R,Data!$D:$D=M87,Data!$B:$B=$A87)),"""")"),"")</f>
        <v/>
      </c>
      <c r="Z87" s="64" t="str">
        <f>IFERROR(__xludf.DUMMYFUNCTION("IFERROR(SPLIT(N87,"",""),"""")"),"")</f>
        <v/>
      </c>
      <c r="AA87" s="65"/>
      <c r="AB87" s="65"/>
      <c r="AC87" s="69" t="str">
        <f>IFERROR(__xludf.DUMMYFUNCTION("IFERROR(SPLIT(O87,"",""),"""")"),"")</f>
        <v/>
      </c>
      <c r="AD87" s="65"/>
      <c r="AE87" s="65"/>
      <c r="AF87" s="69" t="str">
        <f>IFERROR(__xludf.DUMMYFUNCTION("IFERROR(SPLIT(P87,"",""),"""")"),"")</f>
        <v/>
      </c>
      <c r="AG87" s="65"/>
      <c r="AH87" s="65"/>
      <c r="AI87" s="69" t="str">
        <f>IFERROR(__xludf.DUMMYFUNCTION("IFERROR(SPLIT(Q87,"",""),"""")"),"")</f>
        <v/>
      </c>
      <c r="AJ87" s="65"/>
      <c r="AK87" s="65"/>
      <c r="AL87" s="69" t="str">
        <f>IFERROR(__xludf.DUMMYFUNCTION("IFERROR(SPLIT(R87,"",""),"""")"),"")</f>
        <v/>
      </c>
      <c r="AM87" s="65"/>
      <c r="AN87" s="65"/>
      <c r="AO87" s="69" t="str">
        <f>IFERROR(__xludf.DUMMYFUNCTION("IFERROR(SPLIT(S87,"",""),"""")"),"")</f>
        <v/>
      </c>
      <c r="AP87" s="65"/>
      <c r="AQ87" s="65"/>
      <c r="AR87" s="69" t="str">
        <f>IFERROR(__xludf.DUMMYFUNCTION("IFERROR(SPLIT(T87,"",""),"""")"),"")</f>
        <v/>
      </c>
      <c r="AS87" s="65"/>
      <c r="AT87" s="65"/>
      <c r="AU87" s="69" t="str">
        <f>IFERROR(__xludf.DUMMYFUNCTION("IFERROR(SPLIT(U87,"",""),"""")"),"")</f>
        <v/>
      </c>
      <c r="AV87" s="65"/>
      <c r="AW87" s="65"/>
      <c r="AX87" s="69" t="str">
        <f>IFERROR(__xludf.DUMMYFUNCTION("IFERROR(SPLIT(V87,"",""),"""")"),"")</f>
        <v/>
      </c>
      <c r="AY87" s="65"/>
      <c r="AZ87" s="65"/>
      <c r="BA87" s="69" t="str">
        <f>IFERROR(__xludf.DUMMYFUNCTION("IFERROR(SPLIT(W87,"",""),"""")"),"")</f>
        <v/>
      </c>
      <c r="BB87" s="69"/>
      <c r="BC87" s="69"/>
      <c r="BD87" s="69" t="str">
        <f>IFERROR(__xludf.DUMMYFUNCTION("IFERROR(SPLIT(X87,"",""),"""")"),"")</f>
        <v/>
      </c>
      <c r="BE87" s="69"/>
      <c r="BF87" s="69"/>
      <c r="BG87" s="69" t="str">
        <f>IFERROR(__xludf.DUMMYFUNCTION("IFERROR(SPLIT(Y87,"",""),"""")"),"")</f>
        <v/>
      </c>
      <c r="BH87" s="69"/>
      <c r="BI87" s="69"/>
      <c r="BJ87" s="68" t="str">
        <f>IFERROR(__xludf.DUMMYFUNCTION("IF($B87&lt;&gt;"""",IFERROR(FILTER(RawTotals!$AJ:$AJ,RawTotals!$A:$A=Z87)-(FILTER(Data!$K:$K,Data!$B:$B=Z87,Data!$D:$D=$B87)+FILTER(Data!$L:$L,Data!$B:$B=Z87,Data!$D:$D=$B87)),""""),"""")"),"")</f>
        <v/>
      </c>
      <c r="BK87" s="68" t="str">
        <f>IFERROR(__xludf.DUMMYFUNCTION("IF($B87&lt;&gt;"""",IFERROR(FILTER(RawTotals!$AJ:$AJ,RawTotals!$A:$A=AA87)-(FILTER(Data!$K:$K,Data!$B:$B=AA87,Data!$D:$D=$B87)+FILTER(Data!$L:$L,Data!$B:$B=AA87,Data!$D:$D=$B87)),""""),"""")"),"")</f>
        <v/>
      </c>
      <c r="BL87" s="68" t="str">
        <f>IFERROR(__xludf.DUMMYFUNCTION("IF($B87&lt;&gt;"""",IFERROR(FILTER(RawTotals!$AJ:$AJ,RawTotals!$A:$A=AB87)-(FILTER(Data!$K:$K,Data!$B:$B=AB87,Data!$D:$D=$B87)+FILTER(Data!$L:$L,Data!$B:$B=AB87,Data!$D:$D=$B87)),""""),"""")"),"")</f>
        <v/>
      </c>
      <c r="BM87" s="69" t="str">
        <f>IFERROR(__xludf.DUMMYFUNCTION("IF($C87&lt;&gt;"""",IFERROR(FILTER(RawTotals!$AJ:$AJ,RawTotals!$A:$A=AC87)-(FILTER(Data!$K:$K,Data!$B:$B=AC87,Data!$D:$D=$C87)+FILTER(Data!$L:$L,Data!$B:$B=AC87,Data!$D:$D=$C87)),""""),"""")"),"")</f>
        <v/>
      </c>
      <c r="BN87" s="69" t="str">
        <f>IFERROR(__xludf.DUMMYFUNCTION("IF($C87&lt;&gt;"""",IFERROR(FILTER(RawTotals!$AJ:$AJ,RawTotals!$A:$A=AD87)-(FILTER(Data!$K:$K,Data!$B:$B=AD87,Data!$D:$D=$C87)+FILTER(Data!$L:$L,Data!$B:$B=AD87,Data!$D:$D=$C87)),""""),"""")"),"")</f>
        <v/>
      </c>
      <c r="BO87" s="69" t="str">
        <f>IFERROR(__xludf.DUMMYFUNCTION("IF($C87&lt;&gt;"""",IFERROR(FILTER(RawTotals!$AJ:$AJ,RawTotals!$A:$A=AE87)-(FILTER(Data!$K:$K,Data!$B:$B=AE87,Data!$D:$D=$C87)+FILTER(Data!$L:$L,Data!$B:$B=AE87,Data!$D:$D=$C87)),""""),"""")"),"")</f>
        <v/>
      </c>
      <c r="BP87" s="69" t="str">
        <f>IFERROR(__xludf.DUMMYFUNCTION("IF($D87&lt;&gt;"""",IFERROR(FILTER(RawTotals!$AJ:$AJ,RawTotals!$A:$A=AF87)-(FILTER(Data!$K:$K,Data!$B:$B=AF87,Data!$D:$D=$D87)+FILTER(Data!$L:$L,Data!$B:$B=AF87,Data!$D:$D=$D87)),""""),"""")"),"")</f>
        <v/>
      </c>
      <c r="BQ87" s="69" t="str">
        <f>IFERROR(__xludf.DUMMYFUNCTION("IF($D87&lt;&gt;"""",IFERROR(FILTER(RawTotals!$AJ:$AJ,RawTotals!$A:$A=AG87)-(FILTER(Data!$K:$K,Data!$B:$B=AG87,Data!$D:$D=$D87)+FILTER(Data!$L:$L,Data!$B:$B=AG87,Data!$D:$D=$D87)),""""),"""")"),"")</f>
        <v/>
      </c>
      <c r="BR87" s="69" t="str">
        <f>IFERROR(__xludf.DUMMYFUNCTION("IF($D87&lt;&gt;"""",IFERROR(FILTER(RawTotals!$AJ:$AJ,RawTotals!$A:$A=AH87)-(FILTER(Data!$K:$K,Data!$B:$B=AH87,Data!$D:$D=$D87)+FILTER(Data!$L:$L,Data!$B:$B=AH87,Data!$D:$D=$D87)),""""),"""")"),"")</f>
        <v/>
      </c>
      <c r="BS87" s="69" t="str">
        <f>IFERROR(__xludf.DUMMYFUNCTION("IF($E87&lt;&gt;"""",IFERROR(FILTER(RawTotals!$AJ:$AJ,RawTotals!$A:$A=AI87)-(FILTER(Data!$K:$K,Data!$B:$B=AI87,Data!$D:$D=$E87)+FILTER(Data!$L:$L,Data!$B:$B=AI87,Data!$D:$D=$E87)),""""),"""")"),"")</f>
        <v/>
      </c>
      <c r="BT87" s="69" t="str">
        <f>IFERROR(__xludf.DUMMYFUNCTION("IF($E87&lt;&gt;"""",IFERROR(FILTER(RawTotals!$AJ:$AJ,RawTotals!$A:$A=AJ87)-(FILTER(Data!$K:$K,Data!$B:$B=AJ87,Data!$D:$D=$E87)+FILTER(Data!$L:$L,Data!$B:$B=AJ87,Data!$D:$D=$E87)),""""),"""")"),"")</f>
        <v/>
      </c>
      <c r="BU87" s="69" t="str">
        <f>IFERROR(__xludf.DUMMYFUNCTION("IF($E87&lt;&gt;"""",IFERROR(FILTER(RawTotals!$AJ:$AJ,RawTotals!$A:$A=AK87)-(FILTER(Data!$K:$K,Data!$B:$B=AK87,Data!$D:$D=$E87)+FILTER(Data!$L:$L,Data!$B:$B=AK87,Data!$D:$D=$E87)),""""),"""")"),"")</f>
        <v/>
      </c>
      <c r="BV87" s="69" t="str">
        <f>IFERROR(__xludf.DUMMYFUNCTION("IF($F87&lt;&gt;"""",IFERROR(FILTER(RawTotals!$AJ:$AJ,RawTotals!$A:$A=AL87)-(FILTER(Data!$K:$K,Data!$B:$B=AL87,Data!$D:$D=$F87)+FILTER(Data!$L:$L,Data!$B:$B=AL87,Data!$D:$D=$F87)),""""),"""")"),"")</f>
        <v/>
      </c>
      <c r="BW87" s="69" t="str">
        <f>IFERROR(__xludf.DUMMYFUNCTION("IF($F87&lt;&gt;"""",IFERROR(FILTER(RawTotals!$AJ:$AJ,RawTotals!$A:$A=AM87)-(FILTER(Data!$K:$K,Data!$B:$B=AM87,Data!$D:$D=$F87)+FILTER(Data!$L:$L,Data!$B:$B=AM87,Data!$D:$D=$F87)),""""),"""")"),"")</f>
        <v/>
      </c>
      <c r="BX87" s="69" t="str">
        <f>IFERROR(__xludf.DUMMYFUNCTION("IF($F87&lt;&gt;"""",IFERROR(FILTER(RawTotals!$AJ:$AJ,RawTotals!$A:$A=AN87)-(FILTER(Data!$K:$K,Data!$B:$B=AN87,Data!$D:$D=$F87)+FILTER(Data!$L:$L,Data!$B:$B=AN87,Data!$D:$D=$F87)),""""),"""")"),"")</f>
        <v/>
      </c>
      <c r="BY87" s="69" t="str">
        <f>IFERROR(__xludf.DUMMYFUNCTION("IF($G87&lt;&gt;"""",IFERROR(FILTER(RawTotals!$AJ:$AJ,RawTotals!$A:$A=AO87)-(FILTER(Data!$K:$K,Data!$B:$B=AO87,Data!$D:$D=$G87)+FILTER(Data!$L:$L,Data!$B:$B=AO87,Data!$D:$D=$G87)),""""),"""")"),"")</f>
        <v/>
      </c>
      <c r="BZ87" s="69" t="str">
        <f>IFERROR(__xludf.DUMMYFUNCTION("IF($G87&lt;&gt;"""",IFERROR(FILTER(RawTotals!$AJ:$AJ,RawTotals!$A:$A=AP87)-(FILTER(Data!$K:$K,Data!$B:$B=AP87,Data!$D:$D=$G87)+FILTER(Data!$L:$L,Data!$B:$B=AP87,Data!$D:$D=$G87)),""""),"""")"),"")</f>
        <v/>
      </c>
      <c r="CA87" s="69" t="str">
        <f>IFERROR(__xludf.DUMMYFUNCTION("IF($G87&lt;&gt;"""",IFERROR(FILTER(RawTotals!$AJ:$AJ,RawTotals!$A:$A=AQ87)-(FILTER(Data!$K:$K,Data!$B:$B=AQ87,Data!$D:$D=$G87)+FILTER(Data!$L:$L,Data!$B:$B=AQ87,Data!$D:$D=$G87)),""""),"""")"),"")</f>
        <v/>
      </c>
      <c r="CB87" s="69" t="str">
        <f>IFERROR(__xludf.DUMMYFUNCTION("IF($H87&lt;&gt;"""",IFERROR(FILTER(RawTotals!$AJ:$AJ,RawTotals!$A:$A=AR87)-(FILTER(Data!$K:$K,Data!$B:$B=AR87,Data!$D:$D=$H87)+FILTER(Data!$L:$L,Data!$B:$B=AR87,Data!$D:$D=$H87)),""""),"""")"),"")</f>
        <v/>
      </c>
      <c r="CC87" s="69" t="str">
        <f>IFERROR(__xludf.DUMMYFUNCTION("IF($H87&lt;&gt;"""",IFERROR(FILTER(RawTotals!$AJ:$AJ,RawTotals!$A:$A=AS87)-(FILTER(Data!$K:$K,Data!$B:$B=AS87,Data!$D:$D=$H87)+FILTER(Data!$L:$L,Data!$B:$B=AS87,Data!$D:$D=$H87)),""""),"""")"),"")</f>
        <v/>
      </c>
      <c r="CD87" s="69" t="str">
        <f>IFERROR(__xludf.DUMMYFUNCTION("IF($H87&lt;&gt;"""",IFERROR(FILTER(RawTotals!$AJ:$AJ,RawTotals!$A:$A=AT87)-(FILTER(Data!$K:$K,Data!$B:$B=AT87,Data!$D:$D=$H87)+FILTER(Data!$L:$L,Data!$B:$B=AT87,Data!$D:$D=$H87)),""""),"""")"),"")</f>
        <v/>
      </c>
      <c r="CE87" s="69" t="str">
        <f>IFERROR(__xludf.DUMMYFUNCTION("IF($I87&lt;&gt;"""",IFERROR(FILTER(RawTotals!$AJ:$AJ,RawTotals!$A:$A=AU87)-(FILTER(Data!$K:$K,Data!$B:$B=AU87,Data!$D:$D=$I87)+FILTER(Data!$L:$L,Data!$B:$B=AU87,Data!$D:$D=$I87)),""""),"""")"),"")</f>
        <v/>
      </c>
      <c r="CF87" s="69" t="str">
        <f>IFERROR(__xludf.DUMMYFUNCTION("IF($I87&lt;&gt;"""",IFERROR(FILTER(RawTotals!$AJ:$AJ,RawTotals!$A:$A=AV87)-(FILTER(Data!$K:$K,Data!$B:$B=AV87,Data!$D:$D=$I87)+FILTER(Data!$L:$L,Data!$B:$B=AV87,Data!$D:$D=$I87)),""""),"""")"),"")</f>
        <v/>
      </c>
      <c r="CG87" s="69" t="str">
        <f>IFERROR(__xludf.DUMMYFUNCTION("IF($I87&lt;&gt;"""",IFERROR(FILTER(RawTotals!$AJ:$AJ,RawTotals!$A:$A=AW87)-(FILTER(Data!$K:$K,Data!$B:$B=AW87,Data!$D:$D=$I87)+FILTER(Data!$L:$L,Data!$B:$B=AW87,Data!$D:$D=$I87)),""""),"""")"),"")</f>
        <v/>
      </c>
      <c r="CH87" s="69" t="str">
        <f>IFERROR(__xludf.DUMMYFUNCTION("IF($J87&lt;&gt;"""",IFERROR(FILTER(RawTotals!$AJ:$AJ,RawTotals!$A:$A=AX87)-(FILTER(Data!$K:$K,Data!$B:$B=AX87,Data!$D:$D=$J87)+FILTER(Data!$L:$L,Data!$B:$B=AX87,Data!$D:$D=$J87)),""""),"""")"),"")</f>
        <v/>
      </c>
      <c r="CI87" s="69" t="str">
        <f>IFERROR(__xludf.DUMMYFUNCTION("IF($J87&lt;&gt;"""",IFERROR(FILTER(RawTotals!$AJ:$AJ,RawTotals!$A:$A=AY87)-(FILTER(Data!$K:$K,Data!$B:$B=AY87,Data!$D:$D=$J87)+FILTER(Data!$L:$L,Data!$B:$B=AY87,Data!$D:$D=$J87)),""""),"""")"),"")</f>
        <v/>
      </c>
      <c r="CJ87" s="69" t="str">
        <f>IFERROR(__xludf.DUMMYFUNCTION("IF($J87&lt;&gt;"""",IFERROR(FILTER(RawTotals!$AJ:$AJ,RawTotals!$A:$A=AZ87)-(FILTER(Data!$K:$K,Data!$B:$B=AZ87,Data!$D:$D=$J87)+FILTER(Data!$L:$L,Data!$B:$B=AZ87,Data!$D:$D=$J87)),""""),"""")"),"")</f>
        <v/>
      </c>
      <c r="CK87" s="69" t="str">
        <f>IFERROR(__xludf.DUMMYFUNCTION("IF($K87&lt;&gt;"""",IFERROR(FILTER(RawTotals!$AJ:$AJ,RawTotals!$A:$A=BA87)-(FILTER(Data!$K:$K,Data!$B:$B=BA87,Data!$D:$D=$K87)+FILTER(Data!$L:$L,Data!$B:$B=BA87,Data!$D:$D=$K87)),""""),"""")"),"")</f>
        <v/>
      </c>
      <c r="CL87" s="69" t="str">
        <f>IFERROR(__xludf.DUMMYFUNCTION("IF($K87&lt;&gt;"""",IFERROR(FILTER(RawTotals!$AJ:$AJ,RawTotals!$A:$A=BB87)-(FILTER(Data!$K:$K,Data!$B:$B=BB87,Data!$D:$D=$K87)+FILTER(Data!$L:$L,Data!$B:$B=BB87,Data!$D:$D=$K87)),""""),"""")"),"")</f>
        <v/>
      </c>
      <c r="CM87" s="69" t="str">
        <f>IFERROR(__xludf.DUMMYFUNCTION("IF($K87&lt;&gt;"""",IFERROR(FILTER(RawTotals!$AJ:$AJ,RawTotals!$A:$A=BC87)-(FILTER(Data!$K:$K,Data!$B:$B=BC87,Data!$D:$D=$K87)+FILTER(Data!$L:$L,Data!$B:$B=BC87,Data!$D:$D=$K87)),""""),"""")"),"")</f>
        <v/>
      </c>
      <c r="CN87" s="69" t="str">
        <f>IFERROR(__xludf.DUMMYFUNCTION("IF($L87&lt;&gt;"""",IFERROR((FILTER(RawTotals!$AJ:$AJ,RawTotals!$A:$A=BD87)-(FILTER(Data!$K:$K,Data!$B:$B=BD87,Data!$D:$D=$L87)+FILTER(Data!$L:$L,Data!$B:$B=BD87,Data!$D:$D=$L87))),""""),"""")"),"")</f>
        <v/>
      </c>
      <c r="CO87" s="69" t="str">
        <f>IFERROR(__xludf.DUMMYFUNCTION("IF($L87&lt;&gt;"""",IFERROR((FILTER(RawTotals!$AJ:$AJ,RawTotals!$A:$A=BE87)-(FILTER(Data!$K:$K,Data!$B:$B=BE87,Data!$D:$D=$L87)+FILTER(Data!$L:$L,Data!$B:$B=BE87,Data!$D:$D=$L87))),""""),"""")"),"")</f>
        <v/>
      </c>
      <c r="CP87" s="69" t="str">
        <f>IFERROR(__xludf.DUMMYFUNCTION("IF($L87&lt;&gt;"""",IFERROR((FILTER(RawTotals!$AJ:$AJ,RawTotals!$A:$A=BF87)-(FILTER(Data!$K:$K,Data!$B:$B=BF87,Data!$D:$D=$L87)+FILTER(Data!$L:$L,Data!$B:$B=BF87,Data!$D:$D=$L87))),""""),"""")"),"")</f>
        <v/>
      </c>
      <c r="CQ87" s="69" t="str">
        <f>IFERROR(__xludf.DUMMYFUNCTION("IF($M87&lt;&gt;"""",IFERROR((FILTER(RawTotals!$AJ:$AJ,RawTotals!$A:$A=BG87)-(FILTER(Data!$K:$K,Data!$B:$B=BG87,Data!$D:$D=$M87)+FILTER(Data!$L:$L,Data!$B:$B=BG87,Data!$D:$D=$M87))),""""),"""")"),"")</f>
        <v/>
      </c>
      <c r="CR87" s="69" t="str">
        <f>IFERROR(__xludf.DUMMYFUNCTION("IF($M87&lt;&gt;"""",IFERROR((FILTER(RawTotals!$AJ:$AJ,RawTotals!$A:$A=BH87)-(FILTER(Data!$K:$K,Data!$B:$B=BH87,Data!$D:$D=$M87)+FILTER(Data!$L:$L,Data!$B:$B=BH87,Data!$D:$D=$M87))),""""),"""")"),"")</f>
        <v/>
      </c>
      <c r="CS87" s="70" t="str">
        <f>IFERROR(__xludf.DUMMYFUNCTION("IF($M87&lt;&gt;"""",IFERROR((FILTER(RawTotals!$AJ:$AJ,RawTotals!$A:$A=BI87)-(FILTER(Data!$K:$K,Data!$B:$B=BI87,Data!$D:$D=$M87)+FILTER(Data!$L:$L,Data!$B:$B=BI87,Data!$D:$D=$M87))),""""),"""")"),"")</f>
        <v/>
      </c>
      <c r="CT87" s="69"/>
      <c r="CU87" s="69"/>
      <c r="CV87" s="69"/>
      <c r="CW87" s="69"/>
      <c r="CX87" s="69"/>
      <c r="CY87" s="69"/>
      <c r="CZ87" s="69"/>
      <c r="DA87" s="69"/>
      <c r="DB87" s="69"/>
      <c r="DC87" s="69"/>
      <c r="DD87" s="69"/>
      <c r="DE87" s="69"/>
    </row>
    <row r="88">
      <c r="A88" s="65" t="str">
        <f>RawTotals!A88</f>
        <v/>
      </c>
      <c r="B88" s="68" t="str">
        <f>IFERROR(__xludf.DUMMYFUNCTION("IF(A88&lt;&gt;"""",IFERROR(TRANSPOSE(FILTER(Data!D:D,Data!B:B=A88,Data!R:R&lt;&gt;"""")),""No Defense""),"""")"),"")</f>
        <v/>
      </c>
      <c r="C88" s="65"/>
      <c r="D88" s="65"/>
      <c r="E88" s="65"/>
      <c r="F88" s="65"/>
      <c r="G88" s="65"/>
      <c r="H88" s="65"/>
      <c r="I88" s="65"/>
      <c r="J88" s="65"/>
      <c r="K88" s="65"/>
      <c r="L88" s="65"/>
      <c r="M88" s="65"/>
      <c r="N88" s="64" t="str">
        <f>IFERROR(__xludf.DUMMYFUNCTION("IFERROR(Textjoin("""",TRUE,FILTER(Data!$R:$R,Data!$D:$D=B88,Data!$B:$B=$A88)),"""")"),"")</f>
        <v/>
      </c>
      <c r="O88" s="64" t="str">
        <f>IFERROR(__xludf.DUMMYFUNCTION("IFERROR(Textjoin("""",TRUE,FILTER(Data!$R:$R,Data!$D:$D=C88,Data!$B:$B=$A88)),"""")"),"")</f>
        <v/>
      </c>
      <c r="P88" s="64" t="str">
        <f>IFERROR(__xludf.DUMMYFUNCTION("IFERROR(Textjoin("""",TRUE,FILTER(Data!$R:$R,Data!$D:$D=D88,Data!$B:$B=$A88)),"""")"),"")</f>
        <v/>
      </c>
      <c r="Q88" s="64" t="str">
        <f>IFERROR(__xludf.DUMMYFUNCTION("IFERROR(Textjoin("""",TRUE,FILTER(Data!$R:$R,Data!$D:$D=E88,Data!$B:$B=$A88)),"""")"),"")</f>
        <v/>
      </c>
      <c r="R88" s="64" t="str">
        <f>IFERROR(__xludf.DUMMYFUNCTION("IFERROR(Textjoin("""",TRUE,FILTER(Data!$R:$R,Data!$D:$D=F88,Data!$B:$B=$A88)),"""")"),"")</f>
        <v/>
      </c>
      <c r="S88" s="64" t="str">
        <f>IFERROR(__xludf.DUMMYFUNCTION("IFERROR(Textjoin("""",TRUE,FILTER(Data!$R:$R,Data!$D:$D=G88,Data!$B:$B=$A88)),"""")"),"")</f>
        <v/>
      </c>
      <c r="T88" s="64" t="str">
        <f>IFERROR(__xludf.DUMMYFUNCTION("IFERROR(Textjoin("""",TRUE,FILTER(Data!$R:$R,Data!$D:$D=H88,Data!$B:$B=$A88)),"""")"),"")</f>
        <v/>
      </c>
      <c r="U88" s="64" t="str">
        <f>IFERROR(__xludf.DUMMYFUNCTION("IFERROR(Textjoin("""",TRUE,FILTER(Data!$R:$R,Data!$D:$D=I88,Data!$B:$B=$A88)),"""")"),"")</f>
        <v/>
      </c>
      <c r="V88" s="64" t="str">
        <f>IFERROR(__xludf.DUMMYFUNCTION("IFERROR(Textjoin("""",TRUE,FILTER(Data!$R:$R,Data!$D:$D=J88,Data!$B:$B=$A88)),"""")"),"")</f>
        <v/>
      </c>
      <c r="W88" s="64" t="str">
        <f>IFERROR(__xludf.DUMMYFUNCTION("IFERROR(Textjoin("""",TRUE,FILTER(Data!$R:$R,Data!$D:$D=K88,Data!$B:$B=$A88)),"""")"),"")</f>
        <v/>
      </c>
      <c r="X88" s="64" t="str">
        <f>IFERROR(__xludf.DUMMYFUNCTION("IFERROR(Textjoin("""",TRUE,FILTER(Data!$R:$R,Data!$D:$D=L88,Data!$B:$B=$A88)),"""")"),"")</f>
        <v/>
      </c>
      <c r="Y88" s="64" t="str">
        <f>IFERROR(__xludf.DUMMYFUNCTION("IFERROR(Textjoin("""",TRUE,FILTER(Data!$R:$R,Data!$D:$D=M88,Data!$B:$B=$A88)),"""")"),"")</f>
        <v/>
      </c>
      <c r="Z88" s="64" t="str">
        <f>IFERROR(__xludf.DUMMYFUNCTION("IFERROR(SPLIT(N88,"",""),"""")"),"")</f>
        <v/>
      </c>
      <c r="AA88" s="65"/>
      <c r="AB88" s="65"/>
      <c r="AC88" s="69" t="str">
        <f>IFERROR(__xludf.DUMMYFUNCTION("IFERROR(SPLIT(O88,"",""),"""")"),"")</f>
        <v/>
      </c>
      <c r="AD88" s="65"/>
      <c r="AE88" s="65"/>
      <c r="AF88" s="69" t="str">
        <f>IFERROR(__xludf.DUMMYFUNCTION("IFERROR(SPLIT(P88,"",""),"""")"),"")</f>
        <v/>
      </c>
      <c r="AG88" s="65"/>
      <c r="AH88" s="65"/>
      <c r="AI88" s="69" t="str">
        <f>IFERROR(__xludf.DUMMYFUNCTION("IFERROR(SPLIT(Q88,"",""),"""")"),"")</f>
        <v/>
      </c>
      <c r="AJ88" s="65"/>
      <c r="AK88" s="65"/>
      <c r="AL88" s="69" t="str">
        <f>IFERROR(__xludf.DUMMYFUNCTION("IFERROR(SPLIT(R88,"",""),"""")"),"")</f>
        <v/>
      </c>
      <c r="AM88" s="65"/>
      <c r="AN88" s="65"/>
      <c r="AO88" s="69" t="str">
        <f>IFERROR(__xludf.DUMMYFUNCTION("IFERROR(SPLIT(S88,"",""),"""")"),"")</f>
        <v/>
      </c>
      <c r="AP88" s="65"/>
      <c r="AQ88" s="65"/>
      <c r="AR88" s="69" t="str">
        <f>IFERROR(__xludf.DUMMYFUNCTION("IFERROR(SPLIT(T88,"",""),"""")"),"")</f>
        <v/>
      </c>
      <c r="AS88" s="65"/>
      <c r="AT88" s="65"/>
      <c r="AU88" s="69" t="str">
        <f>IFERROR(__xludf.DUMMYFUNCTION("IFERROR(SPLIT(U88,"",""),"""")"),"")</f>
        <v/>
      </c>
      <c r="AV88" s="65"/>
      <c r="AW88" s="65"/>
      <c r="AX88" s="69" t="str">
        <f>IFERROR(__xludf.DUMMYFUNCTION("IFERROR(SPLIT(V88,"",""),"""")"),"")</f>
        <v/>
      </c>
      <c r="AY88" s="65"/>
      <c r="AZ88" s="65"/>
      <c r="BA88" s="69" t="str">
        <f>IFERROR(__xludf.DUMMYFUNCTION("IFERROR(SPLIT(W88,"",""),"""")"),"")</f>
        <v/>
      </c>
      <c r="BB88" s="69"/>
      <c r="BC88" s="69"/>
      <c r="BD88" s="69" t="str">
        <f>IFERROR(__xludf.DUMMYFUNCTION("IFERROR(SPLIT(X88,"",""),"""")"),"")</f>
        <v/>
      </c>
      <c r="BE88" s="69"/>
      <c r="BF88" s="69"/>
      <c r="BG88" s="69" t="str">
        <f>IFERROR(__xludf.DUMMYFUNCTION("IFERROR(SPLIT(Y88,"",""),"""")"),"")</f>
        <v/>
      </c>
      <c r="BH88" s="69"/>
      <c r="BI88" s="69"/>
      <c r="BJ88" s="68" t="str">
        <f>IFERROR(__xludf.DUMMYFUNCTION("IF($B88&lt;&gt;"""",IFERROR(FILTER(RawTotals!$AJ:$AJ,RawTotals!$A:$A=Z88)-(FILTER(Data!$K:$K,Data!$B:$B=Z88,Data!$D:$D=$B88)+FILTER(Data!$L:$L,Data!$B:$B=Z88,Data!$D:$D=$B88)),""""),"""")"),"")</f>
        <v/>
      </c>
      <c r="BK88" s="68" t="str">
        <f>IFERROR(__xludf.DUMMYFUNCTION("IF($B88&lt;&gt;"""",IFERROR(FILTER(RawTotals!$AJ:$AJ,RawTotals!$A:$A=AA88)-(FILTER(Data!$K:$K,Data!$B:$B=AA88,Data!$D:$D=$B88)+FILTER(Data!$L:$L,Data!$B:$B=AA88,Data!$D:$D=$B88)),""""),"""")"),"")</f>
        <v/>
      </c>
      <c r="BL88" s="68" t="str">
        <f>IFERROR(__xludf.DUMMYFUNCTION("IF($B88&lt;&gt;"""",IFERROR(FILTER(RawTotals!$AJ:$AJ,RawTotals!$A:$A=AB88)-(FILTER(Data!$K:$K,Data!$B:$B=AB88,Data!$D:$D=$B88)+FILTER(Data!$L:$L,Data!$B:$B=AB88,Data!$D:$D=$B88)),""""),"""")"),"")</f>
        <v/>
      </c>
      <c r="BM88" s="69" t="str">
        <f>IFERROR(__xludf.DUMMYFUNCTION("IF($C88&lt;&gt;"""",IFERROR(FILTER(RawTotals!$AJ:$AJ,RawTotals!$A:$A=AC88)-(FILTER(Data!$K:$K,Data!$B:$B=AC88,Data!$D:$D=$C88)+FILTER(Data!$L:$L,Data!$B:$B=AC88,Data!$D:$D=$C88)),""""),"""")"),"")</f>
        <v/>
      </c>
      <c r="BN88" s="69" t="str">
        <f>IFERROR(__xludf.DUMMYFUNCTION("IF($C88&lt;&gt;"""",IFERROR(FILTER(RawTotals!$AJ:$AJ,RawTotals!$A:$A=AD88)-(FILTER(Data!$K:$K,Data!$B:$B=AD88,Data!$D:$D=$C88)+FILTER(Data!$L:$L,Data!$B:$B=AD88,Data!$D:$D=$C88)),""""),"""")"),"")</f>
        <v/>
      </c>
      <c r="BO88" s="69" t="str">
        <f>IFERROR(__xludf.DUMMYFUNCTION("IF($C88&lt;&gt;"""",IFERROR(FILTER(RawTotals!$AJ:$AJ,RawTotals!$A:$A=AE88)-(FILTER(Data!$K:$K,Data!$B:$B=AE88,Data!$D:$D=$C88)+FILTER(Data!$L:$L,Data!$B:$B=AE88,Data!$D:$D=$C88)),""""),"""")"),"")</f>
        <v/>
      </c>
      <c r="BP88" s="69" t="str">
        <f>IFERROR(__xludf.DUMMYFUNCTION("IF($D88&lt;&gt;"""",IFERROR(FILTER(RawTotals!$AJ:$AJ,RawTotals!$A:$A=AF88)-(FILTER(Data!$K:$K,Data!$B:$B=AF88,Data!$D:$D=$D88)+FILTER(Data!$L:$L,Data!$B:$B=AF88,Data!$D:$D=$D88)),""""),"""")"),"")</f>
        <v/>
      </c>
      <c r="BQ88" s="69" t="str">
        <f>IFERROR(__xludf.DUMMYFUNCTION("IF($D88&lt;&gt;"""",IFERROR(FILTER(RawTotals!$AJ:$AJ,RawTotals!$A:$A=AG88)-(FILTER(Data!$K:$K,Data!$B:$B=AG88,Data!$D:$D=$D88)+FILTER(Data!$L:$L,Data!$B:$B=AG88,Data!$D:$D=$D88)),""""),"""")"),"")</f>
        <v/>
      </c>
      <c r="BR88" s="69" t="str">
        <f>IFERROR(__xludf.DUMMYFUNCTION("IF($D88&lt;&gt;"""",IFERROR(FILTER(RawTotals!$AJ:$AJ,RawTotals!$A:$A=AH88)-(FILTER(Data!$K:$K,Data!$B:$B=AH88,Data!$D:$D=$D88)+FILTER(Data!$L:$L,Data!$B:$B=AH88,Data!$D:$D=$D88)),""""),"""")"),"")</f>
        <v/>
      </c>
      <c r="BS88" s="69" t="str">
        <f>IFERROR(__xludf.DUMMYFUNCTION("IF($E88&lt;&gt;"""",IFERROR(FILTER(RawTotals!$AJ:$AJ,RawTotals!$A:$A=AI88)-(FILTER(Data!$K:$K,Data!$B:$B=AI88,Data!$D:$D=$E88)+FILTER(Data!$L:$L,Data!$B:$B=AI88,Data!$D:$D=$E88)),""""),"""")"),"")</f>
        <v/>
      </c>
      <c r="BT88" s="69" t="str">
        <f>IFERROR(__xludf.DUMMYFUNCTION("IF($E88&lt;&gt;"""",IFERROR(FILTER(RawTotals!$AJ:$AJ,RawTotals!$A:$A=AJ88)-(FILTER(Data!$K:$K,Data!$B:$B=AJ88,Data!$D:$D=$E88)+FILTER(Data!$L:$L,Data!$B:$B=AJ88,Data!$D:$D=$E88)),""""),"""")"),"")</f>
        <v/>
      </c>
      <c r="BU88" s="69" t="str">
        <f>IFERROR(__xludf.DUMMYFUNCTION("IF($E88&lt;&gt;"""",IFERROR(FILTER(RawTotals!$AJ:$AJ,RawTotals!$A:$A=AK88)-(FILTER(Data!$K:$K,Data!$B:$B=AK88,Data!$D:$D=$E88)+FILTER(Data!$L:$L,Data!$B:$B=AK88,Data!$D:$D=$E88)),""""),"""")"),"")</f>
        <v/>
      </c>
      <c r="BV88" s="69" t="str">
        <f>IFERROR(__xludf.DUMMYFUNCTION("IF($F88&lt;&gt;"""",IFERROR(FILTER(RawTotals!$AJ:$AJ,RawTotals!$A:$A=AL88)-(FILTER(Data!$K:$K,Data!$B:$B=AL88,Data!$D:$D=$F88)+FILTER(Data!$L:$L,Data!$B:$B=AL88,Data!$D:$D=$F88)),""""),"""")"),"")</f>
        <v/>
      </c>
      <c r="BW88" s="69" t="str">
        <f>IFERROR(__xludf.DUMMYFUNCTION("IF($F88&lt;&gt;"""",IFERROR(FILTER(RawTotals!$AJ:$AJ,RawTotals!$A:$A=AM88)-(FILTER(Data!$K:$K,Data!$B:$B=AM88,Data!$D:$D=$F88)+FILTER(Data!$L:$L,Data!$B:$B=AM88,Data!$D:$D=$F88)),""""),"""")"),"")</f>
        <v/>
      </c>
      <c r="BX88" s="69" t="str">
        <f>IFERROR(__xludf.DUMMYFUNCTION("IF($F88&lt;&gt;"""",IFERROR(FILTER(RawTotals!$AJ:$AJ,RawTotals!$A:$A=AN88)-(FILTER(Data!$K:$K,Data!$B:$B=AN88,Data!$D:$D=$F88)+FILTER(Data!$L:$L,Data!$B:$B=AN88,Data!$D:$D=$F88)),""""),"""")"),"")</f>
        <v/>
      </c>
      <c r="BY88" s="69" t="str">
        <f>IFERROR(__xludf.DUMMYFUNCTION("IF($G88&lt;&gt;"""",IFERROR(FILTER(RawTotals!$AJ:$AJ,RawTotals!$A:$A=AO88)-(FILTER(Data!$K:$K,Data!$B:$B=AO88,Data!$D:$D=$G88)+FILTER(Data!$L:$L,Data!$B:$B=AO88,Data!$D:$D=$G88)),""""),"""")"),"")</f>
        <v/>
      </c>
      <c r="BZ88" s="69" t="str">
        <f>IFERROR(__xludf.DUMMYFUNCTION("IF($G88&lt;&gt;"""",IFERROR(FILTER(RawTotals!$AJ:$AJ,RawTotals!$A:$A=AP88)-(FILTER(Data!$K:$K,Data!$B:$B=AP88,Data!$D:$D=$G88)+FILTER(Data!$L:$L,Data!$B:$B=AP88,Data!$D:$D=$G88)),""""),"""")"),"")</f>
        <v/>
      </c>
      <c r="CA88" s="69" t="str">
        <f>IFERROR(__xludf.DUMMYFUNCTION("IF($G88&lt;&gt;"""",IFERROR(FILTER(RawTotals!$AJ:$AJ,RawTotals!$A:$A=AQ88)-(FILTER(Data!$K:$K,Data!$B:$B=AQ88,Data!$D:$D=$G88)+FILTER(Data!$L:$L,Data!$B:$B=AQ88,Data!$D:$D=$G88)),""""),"""")"),"")</f>
        <v/>
      </c>
      <c r="CB88" s="69" t="str">
        <f>IFERROR(__xludf.DUMMYFUNCTION("IF($H88&lt;&gt;"""",IFERROR(FILTER(RawTotals!$AJ:$AJ,RawTotals!$A:$A=AR88)-(FILTER(Data!$K:$K,Data!$B:$B=AR88,Data!$D:$D=$H88)+FILTER(Data!$L:$L,Data!$B:$B=AR88,Data!$D:$D=$H88)),""""),"""")"),"")</f>
        <v/>
      </c>
      <c r="CC88" s="69" t="str">
        <f>IFERROR(__xludf.DUMMYFUNCTION("IF($H88&lt;&gt;"""",IFERROR(FILTER(RawTotals!$AJ:$AJ,RawTotals!$A:$A=AS88)-(FILTER(Data!$K:$K,Data!$B:$B=AS88,Data!$D:$D=$H88)+FILTER(Data!$L:$L,Data!$B:$B=AS88,Data!$D:$D=$H88)),""""),"""")"),"")</f>
        <v/>
      </c>
      <c r="CD88" s="69" t="str">
        <f>IFERROR(__xludf.DUMMYFUNCTION("IF($H88&lt;&gt;"""",IFERROR(FILTER(RawTotals!$AJ:$AJ,RawTotals!$A:$A=AT88)-(FILTER(Data!$K:$K,Data!$B:$B=AT88,Data!$D:$D=$H88)+FILTER(Data!$L:$L,Data!$B:$B=AT88,Data!$D:$D=$H88)),""""),"""")"),"")</f>
        <v/>
      </c>
      <c r="CE88" s="69" t="str">
        <f>IFERROR(__xludf.DUMMYFUNCTION("IF($I88&lt;&gt;"""",IFERROR(FILTER(RawTotals!$AJ:$AJ,RawTotals!$A:$A=AU88)-(FILTER(Data!$K:$K,Data!$B:$B=AU88,Data!$D:$D=$I88)+FILTER(Data!$L:$L,Data!$B:$B=AU88,Data!$D:$D=$I88)),""""),"""")"),"")</f>
        <v/>
      </c>
      <c r="CF88" s="69" t="str">
        <f>IFERROR(__xludf.DUMMYFUNCTION("IF($I88&lt;&gt;"""",IFERROR(FILTER(RawTotals!$AJ:$AJ,RawTotals!$A:$A=AV88)-(FILTER(Data!$K:$K,Data!$B:$B=AV88,Data!$D:$D=$I88)+FILTER(Data!$L:$L,Data!$B:$B=AV88,Data!$D:$D=$I88)),""""),"""")"),"")</f>
        <v/>
      </c>
      <c r="CG88" s="69" t="str">
        <f>IFERROR(__xludf.DUMMYFUNCTION("IF($I88&lt;&gt;"""",IFERROR(FILTER(RawTotals!$AJ:$AJ,RawTotals!$A:$A=AW88)-(FILTER(Data!$K:$K,Data!$B:$B=AW88,Data!$D:$D=$I88)+FILTER(Data!$L:$L,Data!$B:$B=AW88,Data!$D:$D=$I88)),""""),"""")"),"")</f>
        <v/>
      </c>
      <c r="CH88" s="69" t="str">
        <f>IFERROR(__xludf.DUMMYFUNCTION("IF($J88&lt;&gt;"""",IFERROR(FILTER(RawTotals!$AJ:$AJ,RawTotals!$A:$A=AX88)-(FILTER(Data!$K:$K,Data!$B:$B=AX88,Data!$D:$D=$J88)+FILTER(Data!$L:$L,Data!$B:$B=AX88,Data!$D:$D=$J88)),""""),"""")"),"")</f>
        <v/>
      </c>
      <c r="CI88" s="69" t="str">
        <f>IFERROR(__xludf.DUMMYFUNCTION("IF($J88&lt;&gt;"""",IFERROR(FILTER(RawTotals!$AJ:$AJ,RawTotals!$A:$A=AY88)-(FILTER(Data!$K:$K,Data!$B:$B=AY88,Data!$D:$D=$J88)+FILTER(Data!$L:$L,Data!$B:$B=AY88,Data!$D:$D=$J88)),""""),"""")"),"")</f>
        <v/>
      </c>
      <c r="CJ88" s="69" t="str">
        <f>IFERROR(__xludf.DUMMYFUNCTION("IF($J88&lt;&gt;"""",IFERROR(FILTER(RawTotals!$AJ:$AJ,RawTotals!$A:$A=AZ88)-(FILTER(Data!$K:$K,Data!$B:$B=AZ88,Data!$D:$D=$J88)+FILTER(Data!$L:$L,Data!$B:$B=AZ88,Data!$D:$D=$J88)),""""),"""")"),"")</f>
        <v/>
      </c>
      <c r="CK88" s="69" t="str">
        <f>IFERROR(__xludf.DUMMYFUNCTION("IF($K88&lt;&gt;"""",IFERROR(FILTER(RawTotals!$AJ:$AJ,RawTotals!$A:$A=BA88)-(FILTER(Data!$K:$K,Data!$B:$B=BA88,Data!$D:$D=$K88)+FILTER(Data!$L:$L,Data!$B:$B=BA88,Data!$D:$D=$K88)),""""),"""")"),"")</f>
        <v/>
      </c>
      <c r="CL88" s="69" t="str">
        <f>IFERROR(__xludf.DUMMYFUNCTION("IF($K88&lt;&gt;"""",IFERROR(FILTER(RawTotals!$AJ:$AJ,RawTotals!$A:$A=BB88)-(FILTER(Data!$K:$K,Data!$B:$B=BB88,Data!$D:$D=$K88)+FILTER(Data!$L:$L,Data!$B:$B=BB88,Data!$D:$D=$K88)),""""),"""")"),"")</f>
        <v/>
      </c>
      <c r="CM88" s="69" t="str">
        <f>IFERROR(__xludf.DUMMYFUNCTION("IF($K88&lt;&gt;"""",IFERROR(FILTER(RawTotals!$AJ:$AJ,RawTotals!$A:$A=BC88)-(FILTER(Data!$K:$K,Data!$B:$B=BC88,Data!$D:$D=$K88)+FILTER(Data!$L:$L,Data!$B:$B=BC88,Data!$D:$D=$K88)),""""),"""")"),"")</f>
        <v/>
      </c>
      <c r="CN88" s="69" t="str">
        <f>IFERROR(__xludf.DUMMYFUNCTION("IF($L88&lt;&gt;"""",IFERROR((FILTER(RawTotals!$AJ:$AJ,RawTotals!$A:$A=BD88)-(FILTER(Data!$K:$K,Data!$B:$B=BD88,Data!$D:$D=$L88)+FILTER(Data!$L:$L,Data!$B:$B=BD88,Data!$D:$D=$L88))),""""),"""")"),"")</f>
        <v/>
      </c>
      <c r="CO88" s="69" t="str">
        <f>IFERROR(__xludf.DUMMYFUNCTION("IF($L88&lt;&gt;"""",IFERROR((FILTER(RawTotals!$AJ:$AJ,RawTotals!$A:$A=BE88)-(FILTER(Data!$K:$K,Data!$B:$B=BE88,Data!$D:$D=$L88)+FILTER(Data!$L:$L,Data!$B:$B=BE88,Data!$D:$D=$L88))),""""),"""")"),"")</f>
        <v/>
      </c>
      <c r="CP88" s="69" t="str">
        <f>IFERROR(__xludf.DUMMYFUNCTION("IF($L88&lt;&gt;"""",IFERROR((FILTER(RawTotals!$AJ:$AJ,RawTotals!$A:$A=BF88)-(FILTER(Data!$K:$K,Data!$B:$B=BF88,Data!$D:$D=$L88)+FILTER(Data!$L:$L,Data!$B:$B=BF88,Data!$D:$D=$L88))),""""),"""")"),"")</f>
        <v/>
      </c>
      <c r="CQ88" s="69" t="str">
        <f>IFERROR(__xludf.DUMMYFUNCTION("IF($M88&lt;&gt;"""",IFERROR((FILTER(RawTotals!$AJ:$AJ,RawTotals!$A:$A=BG88)-(FILTER(Data!$K:$K,Data!$B:$B=BG88,Data!$D:$D=$M88)+FILTER(Data!$L:$L,Data!$B:$B=BG88,Data!$D:$D=$M88))),""""),"""")"),"")</f>
        <v/>
      </c>
      <c r="CR88" s="69" t="str">
        <f>IFERROR(__xludf.DUMMYFUNCTION("IF($M88&lt;&gt;"""",IFERROR((FILTER(RawTotals!$AJ:$AJ,RawTotals!$A:$A=BH88)-(FILTER(Data!$K:$K,Data!$B:$B=BH88,Data!$D:$D=$M88)+FILTER(Data!$L:$L,Data!$B:$B=BH88,Data!$D:$D=$M88))),""""),"""")"),"")</f>
        <v/>
      </c>
      <c r="CS88" s="70" t="str">
        <f>IFERROR(__xludf.DUMMYFUNCTION("IF($M88&lt;&gt;"""",IFERROR((FILTER(RawTotals!$AJ:$AJ,RawTotals!$A:$A=BI88)-(FILTER(Data!$K:$K,Data!$B:$B=BI88,Data!$D:$D=$M88)+FILTER(Data!$L:$L,Data!$B:$B=BI88,Data!$D:$D=$M88))),""""),"""")"),"")</f>
        <v/>
      </c>
      <c r="CT88" s="69"/>
      <c r="CU88" s="69"/>
      <c r="CV88" s="69"/>
      <c r="CW88" s="69"/>
      <c r="CX88" s="69"/>
      <c r="CY88" s="69"/>
      <c r="CZ88" s="69"/>
      <c r="DA88" s="69"/>
      <c r="DB88" s="69"/>
      <c r="DC88" s="69"/>
      <c r="DD88" s="69"/>
      <c r="DE88" s="69"/>
    </row>
    <row r="89">
      <c r="A89" s="65" t="str">
        <f>RawTotals!A89</f>
        <v/>
      </c>
      <c r="B89" s="68" t="str">
        <f>IFERROR(__xludf.DUMMYFUNCTION("IF(A89&lt;&gt;"""",IFERROR(TRANSPOSE(FILTER(Data!D:D,Data!B:B=A89,Data!R:R&lt;&gt;"""")),""No Defense""),"""")"),"")</f>
        <v/>
      </c>
      <c r="C89" s="65"/>
      <c r="D89" s="65"/>
      <c r="E89" s="65"/>
      <c r="F89" s="65"/>
      <c r="G89" s="65"/>
      <c r="H89" s="65"/>
      <c r="I89" s="65"/>
      <c r="J89" s="65"/>
      <c r="K89" s="65"/>
      <c r="L89" s="65"/>
      <c r="M89" s="65"/>
      <c r="N89" s="64" t="str">
        <f>IFERROR(__xludf.DUMMYFUNCTION("IFERROR(Textjoin("""",TRUE,FILTER(Data!$R:$R,Data!$D:$D=B89,Data!$B:$B=$A89)),"""")"),"")</f>
        <v/>
      </c>
      <c r="O89" s="64" t="str">
        <f>IFERROR(__xludf.DUMMYFUNCTION("IFERROR(Textjoin("""",TRUE,FILTER(Data!$R:$R,Data!$D:$D=C89,Data!$B:$B=$A89)),"""")"),"")</f>
        <v/>
      </c>
      <c r="P89" s="64" t="str">
        <f>IFERROR(__xludf.DUMMYFUNCTION("IFERROR(Textjoin("""",TRUE,FILTER(Data!$R:$R,Data!$D:$D=D89,Data!$B:$B=$A89)),"""")"),"")</f>
        <v/>
      </c>
      <c r="Q89" s="64" t="str">
        <f>IFERROR(__xludf.DUMMYFUNCTION("IFERROR(Textjoin("""",TRUE,FILTER(Data!$R:$R,Data!$D:$D=E89,Data!$B:$B=$A89)),"""")"),"")</f>
        <v/>
      </c>
      <c r="R89" s="64" t="str">
        <f>IFERROR(__xludf.DUMMYFUNCTION("IFERROR(Textjoin("""",TRUE,FILTER(Data!$R:$R,Data!$D:$D=F89,Data!$B:$B=$A89)),"""")"),"")</f>
        <v/>
      </c>
      <c r="S89" s="64" t="str">
        <f>IFERROR(__xludf.DUMMYFUNCTION("IFERROR(Textjoin("""",TRUE,FILTER(Data!$R:$R,Data!$D:$D=G89,Data!$B:$B=$A89)),"""")"),"")</f>
        <v/>
      </c>
      <c r="T89" s="64" t="str">
        <f>IFERROR(__xludf.DUMMYFUNCTION("IFERROR(Textjoin("""",TRUE,FILTER(Data!$R:$R,Data!$D:$D=H89,Data!$B:$B=$A89)),"""")"),"")</f>
        <v/>
      </c>
      <c r="U89" s="64" t="str">
        <f>IFERROR(__xludf.DUMMYFUNCTION("IFERROR(Textjoin("""",TRUE,FILTER(Data!$R:$R,Data!$D:$D=I89,Data!$B:$B=$A89)),"""")"),"")</f>
        <v/>
      </c>
      <c r="V89" s="64" t="str">
        <f>IFERROR(__xludf.DUMMYFUNCTION("IFERROR(Textjoin("""",TRUE,FILTER(Data!$R:$R,Data!$D:$D=J89,Data!$B:$B=$A89)),"""")"),"")</f>
        <v/>
      </c>
      <c r="W89" s="64" t="str">
        <f>IFERROR(__xludf.DUMMYFUNCTION("IFERROR(Textjoin("""",TRUE,FILTER(Data!$R:$R,Data!$D:$D=K89,Data!$B:$B=$A89)),"""")"),"")</f>
        <v/>
      </c>
      <c r="X89" s="64" t="str">
        <f>IFERROR(__xludf.DUMMYFUNCTION("IFERROR(Textjoin("""",TRUE,FILTER(Data!$R:$R,Data!$D:$D=L89,Data!$B:$B=$A89)),"""")"),"")</f>
        <v/>
      </c>
      <c r="Y89" s="64" t="str">
        <f>IFERROR(__xludf.DUMMYFUNCTION("IFERROR(Textjoin("""",TRUE,FILTER(Data!$R:$R,Data!$D:$D=M89,Data!$B:$B=$A89)),"""")"),"")</f>
        <v/>
      </c>
      <c r="Z89" s="64" t="str">
        <f>IFERROR(__xludf.DUMMYFUNCTION("IFERROR(SPLIT(N89,"",""),"""")"),"")</f>
        <v/>
      </c>
      <c r="AA89" s="65"/>
      <c r="AB89" s="65"/>
      <c r="AC89" s="69" t="str">
        <f>IFERROR(__xludf.DUMMYFUNCTION("IFERROR(SPLIT(O89,"",""),"""")"),"")</f>
        <v/>
      </c>
      <c r="AD89" s="65"/>
      <c r="AE89" s="65"/>
      <c r="AF89" s="69" t="str">
        <f>IFERROR(__xludf.DUMMYFUNCTION("IFERROR(SPLIT(P89,"",""),"""")"),"")</f>
        <v/>
      </c>
      <c r="AG89" s="65"/>
      <c r="AH89" s="65"/>
      <c r="AI89" s="69" t="str">
        <f>IFERROR(__xludf.DUMMYFUNCTION("IFERROR(SPLIT(Q89,"",""),"""")"),"")</f>
        <v/>
      </c>
      <c r="AJ89" s="65"/>
      <c r="AK89" s="65"/>
      <c r="AL89" s="69" t="str">
        <f>IFERROR(__xludf.DUMMYFUNCTION("IFERROR(SPLIT(R89,"",""),"""")"),"")</f>
        <v/>
      </c>
      <c r="AM89" s="65"/>
      <c r="AN89" s="65"/>
      <c r="AO89" s="69" t="str">
        <f>IFERROR(__xludf.DUMMYFUNCTION("IFERROR(SPLIT(S89,"",""),"""")"),"")</f>
        <v/>
      </c>
      <c r="AP89" s="65"/>
      <c r="AQ89" s="65"/>
      <c r="AR89" s="69" t="str">
        <f>IFERROR(__xludf.DUMMYFUNCTION("IFERROR(SPLIT(T89,"",""),"""")"),"")</f>
        <v/>
      </c>
      <c r="AS89" s="65"/>
      <c r="AT89" s="65"/>
      <c r="AU89" s="69" t="str">
        <f>IFERROR(__xludf.DUMMYFUNCTION("IFERROR(SPLIT(U89,"",""),"""")"),"")</f>
        <v/>
      </c>
      <c r="AV89" s="65"/>
      <c r="AW89" s="65"/>
      <c r="AX89" s="69" t="str">
        <f>IFERROR(__xludf.DUMMYFUNCTION("IFERROR(SPLIT(V89,"",""),"""")"),"")</f>
        <v/>
      </c>
      <c r="AY89" s="65"/>
      <c r="AZ89" s="65"/>
      <c r="BA89" s="69" t="str">
        <f>IFERROR(__xludf.DUMMYFUNCTION("IFERROR(SPLIT(W89,"",""),"""")"),"")</f>
        <v/>
      </c>
      <c r="BB89" s="69"/>
      <c r="BC89" s="69"/>
      <c r="BD89" s="69" t="str">
        <f>IFERROR(__xludf.DUMMYFUNCTION("IFERROR(SPLIT(X89,"",""),"""")"),"")</f>
        <v/>
      </c>
      <c r="BE89" s="69"/>
      <c r="BF89" s="69"/>
      <c r="BG89" s="69" t="str">
        <f>IFERROR(__xludf.DUMMYFUNCTION("IFERROR(SPLIT(Y89,"",""),"""")"),"")</f>
        <v/>
      </c>
      <c r="BH89" s="69"/>
      <c r="BI89" s="69"/>
      <c r="BJ89" s="68" t="str">
        <f>IFERROR(__xludf.DUMMYFUNCTION("IF($B89&lt;&gt;"""",IFERROR(FILTER(RawTotals!$AJ:$AJ,RawTotals!$A:$A=Z89)-(FILTER(Data!$K:$K,Data!$B:$B=Z89,Data!$D:$D=$B89)+FILTER(Data!$L:$L,Data!$B:$B=Z89,Data!$D:$D=$B89)),""""),"""")"),"")</f>
        <v/>
      </c>
      <c r="BK89" s="68" t="str">
        <f>IFERROR(__xludf.DUMMYFUNCTION("IF($B89&lt;&gt;"""",IFERROR(FILTER(RawTotals!$AJ:$AJ,RawTotals!$A:$A=AA89)-(FILTER(Data!$K:$K,Data!$B:$B=AA89,Data!$D:$D=$B89)+FILTER(Data!$L:$L,Data!$B:$B=AA89,Data!$D:$D=$B89)),""""),"""")"),"")</f>
        <v/>
      </c>
      <c r="BL89" s="68" t="str">
        <f>IFERROR(__xludf.DUMMYFUNCTION("IF($B89&lt;&gt;"""",IFERROR(FILTER(RawTotals!$AJ:$AJ,RawTotals!$A:$A=AB89)-(FILTER(Data!$K:$K,Data!$B:$B=AB89,Data!$D:$D=$B89)+FILTER(Data!$L:$L,Data!$B:$B=AB89,Data!$D:$D=$B89)),""""),"""")"),"")</f>
        <v/>
      </c>
      <c r="BM89" s="69" t="str">
        <f>IFERROR(__xludf.DUMMYFUNCTION("IF($C89&lt;&gt;"""",IFERROR(FILTER(RawTotals!$AJ:$AJ,RawTotals!$A:$A=AC89)-(FILTER(Data!$K:$K,Data!$B:$B=AC89,Data!$D:$D=$C89)+FILTER(Data!$L:$L,Data!$B:$B=AC89,Data!$D:$D=$C89)),""""),"""")"),"")</f>
        <v/>
      </c>
      <c r="BN89" s="69" t="str">
        <f>IFERROR(__xludf.DUMMYFUNCTION("IF($C89&lt;&gt;"""",IFERROR(FILTER(RawTotals!$AJ:$AJ,RawTotals!$A:$A=AD89)-(FILTER(Data!$K:$K,Data!$B:$B=AD89,Data!$D:$D=$C89)+FILTER(Data!$L:$L,Data!$B:$B=AD89,Data!$D:$D=$C89)),""""),"""")"),"")</f>
        <v/>
      </c>
      <c r="BO89" s="69" t="str">
        <f>IFERROR(__xludf.DUMMYFUNCTION("IF($C89&lt;&gt;"""",IFERROR(FILTER(RawTotals!$AJ:$AJ,RawTotals!$A:$A=AE89)-(FILTER(Data!$K:$K,Data!$B:$B=AE89,Data!$D:$D=$C89)+FILTER(Data!$L:$L,Data!$B:$B=AE89,Data!$D:$D=$C89)),""""),"""")"),"")</f>
        <v/>
      </c>
      <c r="BP89" s="69" t="str">
        <f>IFERROR(__xludf.DUMMYFUNCTION("IF($D89&lt;&gt;"""",IFERROR(FILTER(RawTotals!$AJ:$AJ,RawTotals!$A:$A=AF89)-(FILTER(Data!$K:$K,Data!$B:$B=AF89,Data!$D:$D=$D89)+FILTER(Data!$L:$L,Data!$B:$B=AF89,Data!$D:$D=$D89)),""""),"""")"),"")</f>
        <v/>
      </c>
      <c r="BQ89" s="69" t="str">
        <f>IFERROR(__xludf.DUMMYFUNCTION("IF($D89&lt;&gt;"""",IFERROR(FILTER(RawTotals!$AJ:$AJ,RawTotals!$A:$A=AG89)-(FILTER(Data!$K:$K,Data!$B:$B=AG89,Data!$D:$D=$D89)+FILTER(Data!$L:$L,Data!$B:$B=AG89,Data!$D:$D=$D89)),""""),"""")"),"")</f>
        <v/>
      </c>
      <c r="BR89" s="69" t="str">
        <f>IFERROR(__xludf.DUMMYFUNCTION("IF($D89&lt;&gt;"""",IFERROR(FILTER(RawTotals!$AJ:$AJ,RawTotals!$A:$A=AH89)-(FILTER(Data!$K:$K,Data!$B:$B=AH89,Data!$D:$D=$D89)+FILTER(Data!$L:$L,Data!$B:$B=AH89,Data!$D:$D=$D89)),""""),"""")"),"")</f>
        <v/>
      </c>
      <c r="BS89" s="69" t="str">
        <f>IFERROR(__xludf.DUMMYFUNCTION("IF($E89&lt;&gt;"""",IFERROR(FILTER(RawTotals!$AJ:$AJ,RawTotals!$A:$A=AI89)-(FILTER(Data!$K:$K,Data!$B:$B=AI89,Data!$D:$D=$E89)+FILTER(Data!$L:$L,Data!$B:$B=AI89,Data!$D:$D=$E89)),""""),"""")"),"")</f>
        <v/>
      </c>
      <c r="BT89" s="69" t="str">
        <f>IFERROR(__xludf.DUMMYFUNCTION("IF($E89&lt;&gt;"""",IFERROR(FILTER(RawTotals!$AJ:$AJ,RawTotals!$A:$A=AJ89)-(FILTER(Data!$K:$K,Data!$B:$B=AJ89,Data!$D:$D=$E89)+FILTER(Data!$L:$L,Data!$B:$B=AJ89,Data!$D:$D=$E89)),""""),"""")"),"")</f>
        <v/>
      </c>
      <c r="BU89" s="69" t="str">
        <f>IFERROR(__xludf.DUMMYFUNCTION("IF($E89&lt;&gt;"""",IFERROR(FILTER(RawTotals!$AJ:$AJ,RawTotals!$A:$A=AK89)-(FILTER(Data!$K:$K,Data!$B:$B=AK89,Data!$D:$D=$E89)+FILTER(Data!$L:$L,Data!$B:$B=AK89,Data!$D:$D=$E89)),""""),"""")"),"")</f>
        <v/>
      </c>
      <c r="BV89" s="69" t="str">
        <f>IFERROR(__xludf.DUMMYFUNCTION("IF($F89&lt;&gt;"""",IFERROR(FILTER(RawTotals!$AJ:$AJ,RawTotals!$A:$A=AL89)-(FILTER(Data!$K:$K,Data!$B:$B=AL89,Data!$D:$D=$F89)+FILTER(Data!$L:$L,Data!$B:$B=AL89,Data!$D:$D=$F89)),""""),"""")"),"")</f>
        <v/>
      </c>
      <c r="BW89" s="69" t="str">
        <f>IFERROR(__xludf.DUMMYFUNCTION("IF($F89&lt;&gt;"""",IFERROR(FILTER(RawTotals!$AJ:$AJ,RawTotals!$A:$A=AM89)-(FILTER(Data!$K:$K,Data!$B:$B=AM89,Data!$D:$D=$F89)+FILTER(Data!$L:$L,Data!$B:$B=AM89,Data!$D:$D=$F89)),""""),"""")"),"")</f>
        <v/>
      </c>
      <c r="BX89" s="69" t="str">
        <f>IFERROR(__xludf.DUMMYFUNCTION("IF($F89&lt;&gt;"""",IFERROR(FILTER(RawTotals!$AJ:$AJ,RawTotals!$A:$A=AN89)-(FILTER(Data!$K:$K,Data!$B:$B=AN89,Data!$D:$D=$F89)+FILTER(Data!$L:$L,Data!$B:$B=AN89,Data!$D:$D=$F89)),""""),"""")"),"")</f>
        <v/>
      </c>
      <c r="BY89" s="69" t="str">
        <f>IFERROR(__xludf.DUMMYFUNCTION("IF($G89&lt;&gt;"""",IFERROR(FILTER(RawTotals!$AJ:$AJ,RawTotals!$A:$A=AO89)-(FILTER(Data!$K:$K,Data!$B:$B=AO89,Data!$D:$D=$G89)+FILTER(Data!$L:$L,Data!$B:$B=AO89,Data!$D:$D=$G89)),""""),"""")"),"")</f>
        <v/>
      </c>
      <c r="BZ89" s="69" t="str">
        <f>IFERROR(__xludf.DUMMYFUNCTION("IF($G89&lt;&gt;"""",IFERROR(FILTER(RawTotals!$AJ:$AJ,RawTotals!$A:$A=AP89)-(FILTER(Data!$K:$K,Data!$B:$B=AP89,Data!$D:$D=$G89)+FILTER(Data!$L:$L,Data!$B:$B=AP89,Data!$D:$D=$G89)),""""),"""")"),"")</f>
        <v/>
      </c>
      <c r="CA89" s="69" t="str">
        <f>IFERROR(__xludf.DUMMYFUNCTION("IF($G89&lt;&gt;"""",IFERROR(FILTER(RawTotals!$AJ:$AJ,RawTotals!$A:$A=AQ89)-(FILTER(Data!$K:$K,Data!$B:$B=AQ89,Data!$D:$D=$G89)+FILTER(Data!$L:$L,Data!$B:$B=AQ89,Data!$D:$D=$G89)),""""),"""")"),"")</f>
        <v/>
      </c>
      <c r="CB89" s="69" t="str">
        <f>IFERROR(__xludf.DUMMYFUNCTION("IF($H89&lt;&gt;"""",IFERROR(FILTER(RawTotals!$AJ:$AJ,RawTotals!$A:$A=AR89)-(FILTER(Data!$K:$K,Data!$B:$B=AR89,Data!$D:$D=$H89)+FILTER(Data!$L:$L,Data!$B:$B=AR89,Data!$D:$D=$H89)),""""),"""")"),"")</f>
        <v/>
      </c>
      <c r="CC89" s="69" t="str">
        <f>IFERROR(__xludf.DUMMYFUNCTION("IF($H89&lt;&gt;"""",IFERROR(FILTER(RawTotals!$AJ:$AJ,RawTotals!$A:$A=AS89)-(FILTER(Data!$K:$K,Data!$B:$B=AS89,Data!$D:$D=$H89)+FILTER(Data!$L:$L,Data!$B:$B=AS89,Data!$D:$D=$H89)),""""),"""")"),"")</f>
        <v/>
      </c>
      <c r="CD89" s="69" t="str">
        <f>IFERROR(__xludf.DUMMYFUNCTION("IF($H89&lt;&gt;"""",IFERROR(FILTER(RawTotals!$AJ:$AJ,RawTotals!$A:$A=AT89)-(FILTER(Data!$K:$K,Data!$B:$B=AT89,Data!$D:$D=$H89)+FILTER(Data!$L:$L,Data!$B:$B=AT89,Data!$D:$D=$H89)),""""),"""")"),"")</f>
        <v/>
      </c>
      <c r="CE89" s="69" t="str">
        <f>IFERROR(__xludf.DUMMYFUNCTION("IF($I89&lt;&gt;"""",IFERROR(FILTER(RawTotals!$AJ:$AJ,RawTotals!$A:$A=AU89)-(FILTER(Data!$K:$K,Data!$B:$B=AU89,Data!$D:$D=$I89)+FILTER(Data!$L:$L,Data!$B:$B=AU89,Data!$D:$D=$I89)),""""),"""")"),"")</f>
        <v/>
      </c>
      <c r="CF89" s="69" t="str">
        <f>IFERROR(__xludf.DUMMYFUNCTION("IF($I89&lt;&gt;"""",IFERROR(FILTER(RawTotals!$AJ:$AJ,RawTotals!$A:$A=AV89)-(FILTER(Data!$K:$K,Data!$B:$B=AV89,Data!$D:$D=$I89)+FILTER(Data!$L:$L,Data!$B:$B=AV89,Data!$D:$D=$I89)),""""),"""")"),"")</f>
        <v/>
      </c>
      <c r="CG89" s="69" t="str">
        <f>IFERROR(__xludf.DUMMYFUNCTION("IF($I89&lt;&gt;"""",IFERROR(FILTER(RawTotals!$AJ:$AJ,RawTotals!$A:$A=AW89)-(FILTER(Data!$K:$K,Data!$B:$B=AW89,Data!$D:$D=$I89)+FILTER(Data!$L:$L,Data!$B:$B=AW89,Data!$D:$D=$I89)),""""),"""")"),"")</f>
        <v/>
      </c>
      <c r="CH89" s="69" t="str">
        <f>IFERROR(__xludf.DUMMYFUNCTION("IF($J89&lt;&gt;"""",IFERROR(FILTER(RawTotals!$AJ:$AJ,RawTotals!$A:$A=AX89)-(FILTER(Data!$K:$K,Data!$B:$B=AX89,Data!$D:$D=$J89)+FILTER(Data!$L:$L,Data!$B:$B=AX89,Data!$D:$D=$J89)),""""),"""")"),"")</f>
        <v/>
      </c>
      <c r="CI89" s="69" t="str">
        <f>IFERROR(__xludf.DUMMYFUNCTION("IF($J89&lt;&gt;"""",IFERROR(FILTER(RawTotals!$AJ:$AJ,RawTotals!$A:$A=AY89)-(FILTER(Data!$K:$K,Data!$B:$B=AY89,Data!$D:$D=$J89)+FILTER(Data!$L:$L,Data!$B:$B=AY89,Data!$D:$D=$J89)),""""),"""")"),"")</f>
        <v/>
      </c>
      <c r="CJ89" s="69" t="str">
        <f>IFERROR(__xludf.DUMMYFUNCTION("IF($J89&lt;&gt;"""",IFERROR(FILTER(RawTotals!$AJ:$AJ,RawTotals!$A:$A=AZ89)-(FILTER(Data!$K:$K,Data!$B:$B=AZ89,Data!$D:$D=$J89)+FILTER(Data!$L:$L,Data!$B:$B=AZ89,Data!$D:$D=$J89)),""""),"""")"),"")</f>
        <v/>
      </c>
      <c r="CK89" s="69" t="str">
        <f>IFERROR(__xludf.DUMMYFUNCTION("IF($K89&lt;&gt;"""",IFERROR(FILTER(RawTotals!$AJ:$AJ,RawTotals!$A:$A=BA89)-(FILTER(Data!$K:$K,Data!$B:$B=BA89,Data!$D:$D=$K89)+FILTER(Data!$L:$L,Data!$B:$B=BA89,Data!$D:$D=$K89)),""""),"""")"),"")</f>
        <v/>
      </c>
      <c r="CL89" s="69" t="str">
        <f>IFERROR(__xludf.DUMMYFUNCTION("IF($K89&lt;&gt;"""",IFERROR(FILTER(RawTotals!$AJ:$AJ,RawTotals!$A:$A=BB89)-(FILTER(Data!$K:$K,Data!$B:$B=BB89,Data!$D:$D=$K89)+FILTER(Data!$L:$L,Data!$B:$B=BB89,Data!$D:$D=$K89)),""""),"""")"),"")</f>
        <v/>
      </c>
      <c r="CM89" s="69" t="str">
        <f>IFERROR(__xludf.DUMMYFUNCTION("IF($K89&lt;&gt;"""",IFERROR(FILTER(RawTotals!$AJ:$AJ,RawTotals!$A:$A=BC89)-(FILTER(Data!$K:$K,Data!$B:$B=BC89,Data!$D:$D=$K89)+FILTER(Data!$L:$L,Data!$B:$B=BC89,Data!$D:$D=$K89)),""""),"""")"),"")</f>
        <v/>
      </c>
      <c r="CN89" s="69" t="str">
        <f>IFERROR(__xludf.DUMMYFUNCTION("IF($L89&lt;&gt;"""",IFERROR((FILTER(RawTotals!$AJ:$AJ,RawTotals!$A:$A=BD89)-(FILTER(Data!$K:$K,Data!$B:$B=BD89,Data!$D:$D=$L89)+FILTER(Data!$L:$L,Data!$B:$B=BD89,Data!$D:$D=$L89))),""""),"""")"),"")</f>
        <v/>
      </c>
      <c r="CO89" s="69" t="str">
        <f>IFERROR(__xludf.DUMMYFUNCTION("IF($L89&lt;&gt;"""",IFERROR((FILTER(RawTotals!$AJ:$AJ,RawTotals!$A:$A=BE89)-(FILTER(Data!$K:$K,Data!$B:$B=BE89,Data!$D:$D=$L89)+FILTER(Data!$L:$L,Data!$B:$B=BE89,Data!$D:$D=$L89))),""""),"""")"),"")</f>
        <v/>
      </c>
      <c r="CP89" s="69" t="str">
        <f>IFERROR(__xludf.DUMMYFUNCTION("IF($L89&lt;&gt;"""",IFERROR((FILTER(RawTotals!$AJ:$AJ,RawTotals!$A:$A=BF89)-(FILTER(Data!$K:$K,Data!$B:$B=BF89,Data!$D:$D=$L89)+FILTER(Data!$L:$L,Data!$B:$B=BF89,Data!$D:$D=$L89))),""""),"""")"),"")</f>
        <v/>
      </c>
      <c r="CQ89" s="69" t="str">
        <f>IFERROR(__xludf.DUMMYFUNCTION("IF($M89&lt;&gt;"""",IFERROR((FILTER(RawTotals!$AJ:$AJ,RawTotals!$A:$A=BG89)-(FILTER(Data!$K:$K,Data!$B:$B=BG89,Data!$D:$D=$M89)+FILTER(Data!$L:$L,Data!$B:$B=BG89,Data!$D:$D=$M89))),""""),"""")"),"")</f>
        <v/>
      </c>
      <c r="CR89" s="69" t="str">
        <f>IFERROR(__xludf.DUMMYFUNCTION("IF($M89&lt;&gt;"""",IFERROR((FILTER(RawTotals!$AJ:$AJ,RawTotals!$A:$A=BH89)-(FILTER(Data!$K:$K,Data!$B:$B=BH89,Data!$D:$D=$M89)+FILTER(Data!$L:$L,Data!$B:$B=BH89,Data!$D:$D=$M89))),""""),"""")"),"")</f>
        <v/>
      </c>
      <c r="CS89" s="70" t="str">
        <f>IFERROR(__xludf.DUMMYFUNCTION("IF($M89&lt;&gt;"""",IFERROR((FILTER(RawTotals!$AJ:$AJ,RawTotals!$A:$A=BI89)-(FILTER(Data!$K:$K,Data!$B:$B=BI89,Data!$D:$D=$M89)+FILTER(Data!$L:$L,Data!$B:$B=BI89,Data!$D:$D=$M89))),""""),"""")"),"")</f>
        <v/>
      </c>
      <c r="CT89" s="69"/>
      <c r="CU89" s="69"/>
      <c r="CV89" s="69"/>
      <c r="CW89" s="69"/>
      <c r="CX89" s="69"/>
      <c r="CY89" s="69"/>
      <c r="CZ89" s="69"/>
      <c r="DA89" s="69"/>
      <c r="DB89" s="69"/>
      <c r="DC89" s="69"/>
      <c r="DD89" s="69"/>
      <c r="DE89" s="69"/>
    </row>
    <row r="90">
      <c r="A90" s="65" t="str">
        <f>RawTotals!A90</f>
        <v/>
      </c>
      <c r="B90" s="68" t="str">
        <f>IFERROR(__xludf.DUMMYFUNCTION("IF(A90&lt;&gt;"""",IFERROR(TRANSPOSE(FILTER(Data!D:D,Data!B:B=A90,Data!R:R&lt;&gt;"""")),""No Defense""),"""")"),"")</f>
        <v/>
      </c>
      <c r="C90" s="65"/>
      <c r="D90" s="65"/>
      <c r="E90" s="65"/>
      <c r="F90" s="65"/>
      <c r="G90" s="65"/>
      <c r="H90" s="65"/>
      <c r="I90" s="65"/>
      <c r="J90" s="65"/>
      <c r="K90" s="65"/>
      <c r="L90" s="65"/>
      <c r="M90" s="65"/>
      <c r="N90" s="64" t="str">
        <f>IFERROR(__xludf.DUMMYFUNCTION("IFERROR(Textjoin("""",TRUE,FILTER(Data!$R:$R,Data!$D:$D=B90,Data!$B:$B=$A90)),"""")"),"")</f>
        <v/>
      </c>
      <c r="O90" s="64" t="str">
        <f>IFERROR(__xludf.DUMMYFUNCTION("IFERROR(Textjoin("""",TRUE,FILTER(Data!$R:$R,Data!$D:$D=C90,Data!$B:$B=$A90)),"""")"),"")</f>
        <v/>
      </c>
      <c r="P90" s="64" t="str">
        <f>IFERROR(__xludf.DUMMYFUNCTION("IFERROR(Textjoin("""",TRUE,FILTER(Data!$R:$R,Data!$D:$D=D90,Data!$B:$B=$A90)),"""")"),"")</f>
        <v/>
      </c>
      <c r="Q90" s="64" t="str">
        <f>IFERROR(__xludf.DUMMYFUNCTION("IFERROR(Textjoin("""",TRUE,FILTER(Data!$R:$R,Data!$D:$D=E90,Data!$B:$B=$A90)),"""")"),"")</f>
        <v/>
      </c>
      <c r="R90" s="64" t="str">
        <f>IFERROR(__xludf.DUMMYFUNCTION("IFERROR(Textjoin("""",TRUE,FILTER(Data!$R:$R,Data!$D:$D=F90,Data!$B:$B=$A90)),"""")"),"")</f>
        <v/>
      </c>
      <c r="S90" s="64" t="str">
        <f>IFERROR(__xludf.DUMMYFUNCTION("IFERROR(Textjoin("""",TRUE,FILTER(Data!$R:$R,Data!$D:$D=G90,Data!$B:$B=$A90)),"""")"),"")</f>
        <v/>
      </c>
      <c r="T90" s="64" t="str">
        <f>IFERROR(__xludf.DUMMYFUNCTION("IFERROR(Textjoin("""",TRUE,FILTER(Data!$R:$R,Data!$D:$D=H90,Data!$B:$B=$A90)),"""")"),"")</f>
        <v/>
      </c>
      <c r="U90" s="64" t="str">
        <f>IFERROR(__xludf.DUMMYFUNCTION("IFERROR(Textjoin("""",TRUE,FILTER(Data!$R:$R,Data!$D:$D=I90,Data!$B:$B=$A90)),"""")"),"")</f>
        <v/>
      </c>
      <c r="V90" s="64" t="str">
        <f>IFERROR(__xludf.DUMMYFUNCTION("IFERROR(Textjoin("""",TRUE,FILTER(Data!$R:$R,Data!$D:$D=J90,Data!$B:$B=$A90)),"""")"),"")</f>
        <v/>
      </c>
      <c r="W90" s="64" t="str">
        <f>IFERROR(__xludf.DUMMYFUNCTION("IFERROR(Textjoin("""",TRUE,FILTER(Data!$R:$R,Data!$D:$D=K90,Data!$B:$B=$A90)),"""")"),"")</f>
        <v/>
      </c>
      <c r="X90" s="64" t="str">
        <f>IFERROR(__xludf.DUMMYFUNCTION("IFERROR(Textjoin("""",TRUE,FILTER(Data!$R:$R,Data!$D:$D=L90,Data!$B:$B=$A90)),"""")"),"")</f>
        <v/>
      </c>
      <c r="Y90" s="64" t="str">
        <f>IFERROR(__xludf.DUMMYFUNCTION("IFERROR(Textjoin("""",TRUE,FILTER(Data!$R:$R,Data!$D:$D=M90,Data!$B:$B=$A90)),"""")"),"")</f>
        <v/>
      </c>
      <c r="Z90" s="64" t="str">
        <f>IFERROR(__xludf.DUMMYFUNCTION("IFERROR(SPLIT(N90,"",""),"""")"),"")</f>
        <v/>
      </c>
      <c r="AA90" s="65"/>
      <c r="AB90" s="65"/>
      <c r="AC90" s="69" t="str">
        <f>IFERROR(__xludf.DUMMYFUNCTION("IFERROR(SPLIT(O90,"",""),"""")"),"")</f>
        <v/>
      </c>
      <c r="AD90" s="65"/>
      <c r="AE90" s="65"/>
      <c r="AF90" s="69" t="str">
        <f>IFERROR(__xludf.DUMMYFUNCTION("IFERROR(SPLIT(P90,"",""),"""")"),"")</f>
        <v/>
      </c>
      <c r="AG90" s="65"/>
      <c r="AH90" s="65"/>
      <c r="AI90" s="69" t="str">
        <f>IFERROR(__xludf.DUMMYFUNCTION("IFERROR(SPLIT(Q90,"",""),"""")"),"")</f>
        <v/>
      </c>
      <c r="AJ90" s="65"/>
      <c r="AK90" s="65"/>
      <c r="AL90" s="69" t="str">
        <f>IFERROR(__xludf.DUMMYFUNCTION("IFERROR(SPLIT(R90,"",""),"""")"),"")</f>
        <v/>
      </c>
      <c r="AM90" s="65"/>
      <c r="AN90" s="65"/>
      <c r="AO90" s="69" t="str">
        <f>IFERROR(__xludf.DUMMYFUNCTION("IFERROR(SPLIT(S90,"",""),"""")"),"")</f>
        <v/>
      </c>
      <c r="AP90" s="65"/>
      <c r="AQ90" s="65"/>
      <c r="AR90" s="69" t="str">
        <f>IFERROR(__xludf.DUMMYFUNCTION("IFERROR(SPLIT(T90,"",""),"""")"),"")</f>
        <v/>
      </c>
      <c r="AS90" s="65"/>
      <c r="AT90" s="65"/>
      <c r="AU90" s="69" t="str">
        <f>IFERROR(__xludf.DUMMYFUNCTION("IFERROR(SPLIT(U90,"",""),"""")"),"")</f>
        <v/>
      </c>
      <c r="AV90" s="65"/>
      <c r="AW90" s="65"/>
      <c r="AX90" s="69" t="str">
        <f>IFERROR(__xludf.DUMMYFUNCTION("IFERROR(SPLIT(V90,"",""),"""")"),"")</f>
        <v/>
      </c>
      <c r="AY90" s="65"/>
      <c r="AZ90" s="65"/>
      <c r="BA90" s="69" t="str">
        <f>IFERROR(__xludf.DUMMYFUNCTION("IFERROR(SPLIT(W90,"",""),"""")"),"")</f>
        <v/>
      </c>
      <c r="BB90" s="69"/>
      <c r="BC90" s="69"/>
      <c r="BD90" s="69" t="str">
        <f>IFERROR(__xludf.DUMMYFUNCTION("IFERROR(SPLIT(X90,"",""),"""")"),"")</f>
        <v/>
      </c>
      <c r="BE90" s="69"/>
      <c r="BF90" s="69"/>
      <c r="BG90" s="69" t="str">
        <f>IFERROR(__xludf.DUMMYFUNCTION("IFERROR(SPLIT(Y90,"",""),"""")"),"")</f>
        <v/>
      </c>
      <c r="BH90" s="69"/>
      <c r="BI90" s="69"/>
      <c r="BJ90" s="68" t="str">
        <f>IFERROR(__xludf.DUMMYFUNCTION("IF($B90&lt;&gt;"""",IFERROR(FILTER(RawTotals!$AJ:$AJ,RawTotals!$A:$A=Z90)-(FILTER(Data!$K:$K,Data!$B:$B=Z90,Data!$D:$D=$B90)+FILTER(Data!$L:$L,Data!$B:$B=Z90,Data!$D:$D=$B90)),""""),"""")"),"")</f>
        <v/>
      </c>
      <c r="BK90" s="68" t="str">
        <f>IFERROR(__xludf.DUMMYFUNCTION("IF($B90&lt;&gt;"""",IFERROR(FILTER(RawTotals!$AJ:$AJ,RawTotals!$A:$A=AA90)-(FILTER(Data!$K:$K,Data!$B:$B=AA90,Data!$D:$D=$B90)+FILTER(Data!$L:$L,Data!$B:$B=AA90,Data!$D:$D=$B90)),""""),"""")"),"")</f>
        <v/>
      </c>
      <c r="BL90" s="68" t="str">
        <f>IFERROR(__xludf.DUMMYFUNCTION("IF($B90&lt;&gt;"""",IFERROR(FILTER(RawTotals!$AJ:$AJ,RawTotals!$A:$A=AB90)-(FILTER(Data!$K:$K,Data!$B:$B=AB90,Data!$D:$D=$B90)+FILTER(Data!$L:$L,Data!$B:$B=AB90,Data!$D:$D=$B90)),""""),"""")"),"")</f>
        <v/>
      </c>
      <c r="BM90" s="69" t="str">
        <f>IFERROR(__xludf.DUMMYFUNCTION("IF($C90&lt;&gt;"""",IFERROR(FILTER(RawTotals!$AJ:$AJ,RawTotals!$A:$A=AC90)-(FILTER(Data!$K:$K,Data!$B:$B=AC90,Data!$D:$D=$C90)+FILTER(Data!$L:$L,Data!$B:$B=AC90,Data!$D:$D=$C90)),""""),"""")"),"")</f>
        <v/>
      </c>
      <c r="BN90" s="69" t="str">
        <f>IFERROR(__xludf.DUMMYFUNCTION("IF($C90&lt;&gt;"""",IFERROR(FILTER(RawTotals!$AJ:$AJ,RawTotals!$A:$A=AD90)-(FILTER(Data!$K:$K,Data!$B:$B=AD90,Data!$D:$D=$C90)+FILTER(Data!$L:$L,Data!$B:$B=AD90,Data!$D:$D=$C90)),""""),"""")"),"")</f>
        <v/>
      </c>
      <c r="BO90" s="69" t="str">
        <f>IFERROR(__xludf.DUMMYFUNCTION("IF($C90&lt;&gt;"""",IFERROR(FILTER(RawTotals!$AJ:$AJ,RawTotals!$A:$A=AE90)-(FILTER(Data!$K:$K,Data!$B:$B=AE90,Data!$D:$D=$C90)+FILTER(Data!$L:$L,Data!$B:$B=AE90,Data!$D:$D=$C90)),""""),"""")"),"")</f>
        <v/>
      </c>
      <c r="BP90" s="69" t="str">
        <f>IFERROR(__xludf.DUMMYFUNCTION("IF($D90&lt;&gt;"""",IFERROR(FILTER(RawTotals!$AJ:$AJ,RawTotals!$A:$A=AF90)-(FILTER(Data!$K:$K,Data!$B:$B=AF90,Data!$D:$D=$D90)+FILTER(Data!$L:$L,Data!$B:$B=AF90,Data!$D:$D=$D90)),""""),"""")"),"")</f>
        <v/>
      </c>
      <c r="BQ90" s="69" t="str">
        <f>IFERROR(__xludf.DUMMYFUNCTION("IF($D90&lt;&gt;"""",IFERROR(FILTER(RawTotals!$AJ:$AJ,RawTotals!$A:$A=AG90)-(FILTER(Data!$K:$K,Data!$B:$B=AG90,Data!$D:$D=$D90)+FILTER(Data!$L:$L,Data!$B:$B=AG90,Data!$D:$D=$D90)),""""),"""")"),"")</f>
        <v/>
      </c>
      <c r="BR90" s="69" t="str">
        <f>IFERROR(__xludf.DUMMYFUNCTION("IF($D90&lt;&gt;"""",IFERROR(FILTER(RawTotals!$AJ:$AJ,RawTotals!$A:$A=AH90)-(FILTER(Data!$K:$K,Data!$B:$B=AH90,Data!$D:$D=$D90)+FILTER(Data!$L:$L,Data!$B:$B=AH90,Data!$D:$D=$D90)),""""),"""")"),"")</f>
        <v/>
      </c>
      <c r="BS90" s="69" t="str">
        <f>IFERROR(__xludf.DUMMYFUNCTION("IF($E90&lt;&gt;"""",IFERROR(FILTER(RawTotals!$AJ:$AJ,RawTotals!$A:$A=AI90)-(FILTER(Data!$K:$K,Data!$B:$B=AI90,Data!$D:$D=$E90)+FILTER(Data!$L:$L,Data!$B:$B=AI90,Data!$D:$D=$E90)),""""),"""")"),"")</f>
        <v/>
      </c>
      <c r="BT90" s="69" t="str">
        <f>IFERROR(__xludf.DUMMYFUNCTION("IF($E90&lt;&gt;"""",IFERROR(FILTER(RawTotals!$AJ:$AJ,RawTotals!$A:$A=AJ90)-(FILTER(Data!$K:$K,Data!$B:$B=AJ90,Data!$D:$D=$E90)+FILTER(Data!$L:$L,Data!$B:$B=AJ90,Data!$D:$D=$E90)),""""),"""")"),"")</f>
        <v/>
      </c>
      <c r="BU90" s="69" t="str">
        <f>IFERROR(__xludf.DUMMYFUNCTION("IF($E90&lt;&gt;"""",IFERROR(FILTER(RawTotals!$AJ:$AJ,RawTotals!$A:$A=AK90)-(FILTER(Data!$K:$K,Data!$B:$B=AK90,Data!$D:$D=$E90)+FILTER(Data!$L:$L,Data!$B:$B=AK90,Data!$D:$D=$E90)),""""),"""")"),"")</f>
        <v/>
      </c>
      <c r="BV90" s="69" t="str">
        <f>IFERROR(__xludf.DUMMYFUNCTION("IF($F90&lt;&gt;"""",IFERROR(FILTER(RawTotals!$AJ:$AJ,RawTotals!$A:$A=AL90)-(FILTER(Data!$K:$K,Data!$B:$B=AL90,Data!$D:$D=$F90)+FILTER(Data!$L:$L,Data!$B:$B=AL90,Data!$D:$D=$F90)),""""),"""")"),"")</f>
        <v/>
      </c>
      <c r="BW90" s="69" t="str">
        <f>IFERROR(__xludf.DUMMYFUNCTION("IF($F90&lt;&gt;"""",IFERROR(FILTER(RawTotals!$AJ:$AJ,RawTotals!$A:$A=AM90)-(FILTER(Data!$K:$K,Data!$B:$B=AM90,Data!$D:$D=$F90)+FILTER(Data!$L:$L,Data!$B:$B=AM90,Data!$D:$D=$F90)),""""),"""")"),"")</f>
        <v/>
      </c>
      <c r="BX90" s="69" t="str">
        <f>IFERROR(__xludf.DUMMYFUNCTION("IF($F90&lt;&gt;"""",IFERROR(FILTER(RawTotals!$AJ:$AJ,RawTotals!$A:$A=AN90)-(FILTER(Data!$K:$K,Data!$B:$B=AN90,Data!$D:$D=$F90)+FILTER(Data!$L:$L,Data!$B:$B=AN90,Data!$D:$D=$F90)),""""),"""")"),"")</f>
        <v/>
      </c>
      <c r="BY90" s="69" t="str">
        <f>IFERROR(__xludf.DUMMYFUNCTION("IF($G90&lt;&gt;"""",IFERROR(FILTER(RawTotals!$AJ:$AJ,RawTotals!$A:$A=AO90)-(FILTER(Data!$K:$K,Data!$B:$B=AO90,Data!$D:$D=$G90)+FILTER(Data!$L:$L,Data!$B:$B=AO90,Data!$D:$D=$G90)),""""),"""")"),"")</f>
        <v/>
      </c>
      <c r="BZ90" s="69" t="str">
        <f>IFERROR(__xludf.DUMMYFUNCTION("IF($G90&lt;&gt;"""",IFERROR(FILTER(RawTotals!$AJ:$AJ,RawTotals!$A:$A=AP90)-(FILTER(Data!$K:$K,Data!$B:$B=AP90,Data!$D:$D=$G90)+FILTER(Data!$L:$L,Data!$B:$B=AP90,Data!$D:$D=$G90)),""""),"""")"),"")</f>
        <v/>
      </c>
      <c r="CA90" s="69" t="str">
        <f>IFERROR(__xludf.DUMMYFUNCTION("IF($G90&lt;&gt;"""",IFERROR(FILTER(RawTotals!$AJ:$AJ,RawTotals!$A:$A=AQ90)-(FILTER(Data!$K:$K,Data!$B:$B=AQ90,Data!$D:$D=$G90)+FILTER(Data!$L:$L,Data!$B:$B=AQ90,Data!$D:$D=$G90)),""""),"""")"),"")</f>
        <v/>
      </c>
      <c r="CB90" s="69" t="str">
        <f>IFERROR(__xludf.DUMMYFUNCTION("IF($H90&lt;&gt;"""",IFERROR(FILTER(RawTotals!$AJ:$AJ,RawTotals!$A:$A=AR90)-(FILTER(Data!$K:$K,Data!$B:$B=AR90,Data!$D:$D=$H90)+FILTER(Data!$L:$L,Data!$B:$B=AR90,Data!$D:$D=$H90)),""""),"""")"),"")</f>
        <v/>
      </c>
      <c r="CC90" s="69" t="str">
        <f>IFERROR(__xludf.DUMMYFUNCTION("IF($H90&lt;&gt;"""",IFERROR(FILTER(RawTotals!$AJ:$AJ,RawTotals!$A:$A=AS90)-(FILTER(Data!$K:$K,Data!$B:$B=AS90,Data!$D:$D=$H90)+FILTER(Data!$L:$L,Data!$B:$B=AS90,Data!$D:$D=$H90)),""""),"""")"),"")</f>
        <v/>
      </c>
      <c r="CD90" s="69" t="str">
        <f>IFERROR(__xludf.DUMMYFUNCTION("IF($H90&lt;&gt;"""",IFERROR(FILTER(RawTotals!$AJ:$AJ,RawTotals!$A:$A=AT90)-(FILTER(Data!$K:$K,Data!$B:$B=AT90,Data!$D:$D=$H90)+FILTER(Data!$L:$L,Data!$B:$B=AT90,Data!$D:$D=$H90)),""""),"""")"),"")</f>
        <v/>
      </c>
      <c r="CE90" s="69" t="str">
        <f>IFERROR(__xludf.DUMMYFUNCTION("IF($I90&lt;&gt;"""",IFERROR(FILTER(RawTotals!$AJ:$AJ,RawTotals!$A:$A=AU90)-(FILTER(Data!$K:$K,Data!$B:$B=AU90,Data!$D:$D=$I90)+FILTER(Data!$L:$L,Data!$B:$B=AU90,Data!$D:$D=$I90)),""""),"""")"),"")</f>
        <v/>
      </c>
      <c r="CF90" s="69" t="str">
        <f>IFERROR(__xludf.DUMMYFUNCTION("IF($I90&lt;&gt;"""",IFERROR(FILTER(RawTotals!$AJ:$AJ,RawTotals!$A:$A=AV90)-(FILTER(Data!$K:$K,Data!$B:$B=AV90,Data!$D:$D=$I90)+FILTER(Data!$L:$L,Data!$B:$B=AV90,Data!$D:$D=$I90)),""""),"""")"),"")</f>
        <v/>
      </c>
      <c r="CG90" s="69" t="str">
        <f>IFERROR(__xludf.DUMMYFUNCTION("IF($I90&lt;&gt;"""",IFERROR(FILTER(RawTotals!$AJ:$AJ,RawTotals!$A:$A=AW90)-(FILTER(Data!$K:$K,Data!$B:$B=AW90,Data!$D:$D=$I90)+FILTER(Data!$L:$L,Data!$B:$B=AW90,Data!$D:$D=$I90)),""""),"""")"),"")</f>
        <v/>
      </c>
      <c r="CH90" s="69" t="str">
        <f>IFERROR(__xludf.DUMMYFUNCTION("IF($J90&lt;&gt;"""",IFERROR(FILTER(RawTotals!$AJ:$AJ,RawTotals!$A:$A=AX90)-(FILTER(Data!$K:$K,Data!$B:$B=AX90,Data!$D:$D=$J90)+FILTER(Data!$L:$L,Data!$B:$B=AX90,Data!$D:$D=$J90)),""""),"""")"),"")</f>
        <v/>
      </c>
      <c r="CI90" s="69" t="str">
        <f>IFERROR(__xludf.DUMMYFUNCTION("IF($J90&lt;&gt;"""",IFERROR(FILTER(RawTotals!$AJ:$AJ,RawTotals!$A:$A=AY90)-(FILTER(Data!$K:$K,Data!$B:$B=AY90,Data!$D:$D=$J90)+FILTER(Data!$L:$L,Data!$B:$B=AY90,Data!$D:$D=$J90)),""""),"""")"),"")</f>
        <v/>
      </c>
      <c r="CJ90" s="69" t="str">
        <f>IFERROR(__xludf.DUMMYFUNCTION("IF($J90&lt;&gt;"""",IFERROR(FILTER(RawTotals!$AJ:$AJ,RawTotals!$A:$A=AZ90)-(FILTER(Data!$K:$K,Data!$B:$B=AZ90,Data!$D:$D=$J90)+FILTER(Data!$L:$L,Data!$B:$B=AZ90,Data!$D:$D=$J90)),""""),"""")"),"")</f>
        <v/>
      </c>
      <c r="CK90" s="69" t="str">
        <f>IFERROR(__xludf.DUMMYFUNCTION("IF($K90&lt;&gt;"""",IFERROR(FILTER(RawTotals!$AJ:$AJ,RawTotals!$A:$A=BA90)-(FILTER(Data!$K:$K,Data!$B:$B=BA90,Data!$D:$D=$K90)+FILTER(Data!$L:$L,Data!$B:$B=BA90,Data!$D:$D=$K90)),""""),"""")"),"")</f>
        <v/>
      </c>
      <c r="CL90" s="69" t="str">
        <f>IFERROR(__xludf.DUMMYFUNCTION("IF($K90&lt;&gt;"""",IFERROR(FILTER(RawTotals!$AJ:$AJ,RawTotals!$A:$A=BB90)-(FILTER(Data!$K:$K,Data!$B:$B=BB90,Data!$D:$D=$K90)+FILTER(Data!$L:$L,Data!$B:$B=BB90,Data!$D:$D=$K90)),""""),"""")"),"")</f>
        <v/>
      </c>
      <c r="CM90" s="69" t="str">
        <f>IFERROR(__xludf.DUMMYFUNCTION("IF($K90&lt;&gt;"""",IFERROR(FILTER(RawTotals!$AJ:$AJ,RawTotals!$A:$A=BC90)-(FILTER(Data!$K:$K,Data!$B:$B=BC90,Data!$D:$D=$K90)+FILTER(Data!$L:$L,Data!$B:$B=BC90,Data!$D:$D=$K90)),""""),"""")"),"")</f>
        <v/>
      </c>
      <c r="CN90" s="69" t="str">
        <f>IFERROR(__xludf.DUMMYFUNCTION("IF($L90&lt;&gt;"""",IFERROR((FILTER(RawTotals!$AJ:$AJ,RawTotals!$A:$A=BD90)-(FILTER(Data!$K:$K,Data!$B:$B=BD90,Data!$D:$D=$L90)+FILTER(Data!$L:$L,Data!$B:$B=BD90,Data!$D:$D=$L90))),""""),"""")"),"")</f>
        <v/>
      </c>
      <c r="CO90" s="69" t="str">
        <f>IFERROR(__xludf.DUMMYFUNCTION("IF($L90&lt;&gt;"""",IFERROR((FILTER(RawTotals!$AJ:$AJ,RawTotals!$A:$A=BE90)-(FILTER(Data!$K:$K,Data!$B:$B=BE90,Data!$D:$D=$L90)+FILTER(Data!$L:$L,Data!$B:$B=BE90,Data!$D:$D=$L90))),""""),"""")"),"")</f>
        <v/>
      </c>
      <c r="CP90" s="69" t="str">
        <f>IFERROR(__xludf.DUMMYFUNCTION("IF($L90&lt;&gt;"""",IFERROR((FILTER(RawTotals!$AJ:$AJ,RawTotals!$A:$A=BF90)-(FILTER(Data!$K:$K,Data!$B:$B=BF90,Data!$D:$D=$L90)+FILTER(Data!$L:$L,Data!$B:$B=BF90,Data!$D:$D=$L90))),""""),"""")"),"")</f>
        <v/>
      </c>
      <c r="CQ90" s="69" t="str">
        <f>IFERROR(__xludf.DUMMYFUNCTION("IF($M90&lt;&gt;"""",IFERROR((FILTER(RawTotals!$AJ:$AJ,RawTotals!$A:$A=BG90)-(FILTER(Data!$K:$K,Data!$B:$B=BG90,Data!$D:$D=$M90)+FILTER(Data!$L:$L,Data!$B:$B=BG90,Data!$D:$D=$M90))),""""),"""")"),"")</f>
        <v/>
      </c>
      <c r="CR90" s="69" t="str">
        <f>IFERROR(__xludf.DUMMYFUNCTION("IF($M90&lt;&gt;"""",IFERROR((FILTER(RawTotals!$AJ:$AJ,RawTotals!$A:$A=BH90)-(FILTER(Data!$K:$K,Data!$B:$B=BH90,Data!$D:$D=$M90)+FILTER(Data!$L:$L,Data!$B:$B=BH90,Data!$D:$D=$M90))),""""),"""")"),"")</f>
        <v/>
      </c>
      <c r="CS90" s="70" t="str">
        <f>IFERROR(__xludf.DUMMYFUNCTION("IF($M90&lt;&gt;"""",IFERROR((FILTER(RawTotals!$AJ:$AJ,RawTotals!$A:$A=BI90)-(FILTER(Data!$K:$K,Data!$B:$B=BI90,Data!$D:$D=$M90)+FILTER(Data!$L:$L,Data!$B:$B=BI90,Data!$D:$D=$M90))),""""),"""")"),"")</f>
        <v/>
      </c>
      <c r="CT90" s="69"/>
      <c r="CU90" s="69"/>
      <c r="CV90" s="69"/>
      <c r="CW90" s="69"/>
      <c r="CX90" s="69"/>
      <c r="CY90" s="69"/>
      <c r="CZ90" s="69"/>
      <c r="DA90" s="69"/>
      <c r="DB90" s="69"/>
      <c r="DC90" s="69"/>
      <c r="DD90" s="69"/>
      <c r="DE90" s="69"/>
    </row>
    <row r="91">
      <c r="A91" s="65" t="str">
        <f>RawTotals!A91</f>
        <v/>
      </c>
      <c r="B91" s="68" t="str">
        <f>IFERROR(__xludf.DUMMYFUNCTION("IF(A91&lt;&gt;"""",IFERROR(TRANSPOSE(FILTER(Data!D:D,Data!B:B=A91,Data!R:R&lt;&gt;"""")),""No Defense""),"""")"),"")</f>
        <v/>
      </c>
      <c r="C91" s="65"/>
      <c r="D91" s="65"/>
      <c r="E91" s="65"/>
      <c r="F91" s="65"/>
      <c r="G91" s="65"/>
      <c r="H91" s="65"/>
      <c r="I91" s="65"/>
      <c r="J91" s="65"/>
      <c r="K91" s="65"/>
      <c r="L91" s="65"/>
      <c r="M91" s="65"/>
      <c r="N91" s="64" t="str">
        <f>IFERROR(__xludf.DUMMYFUNCTION("IFERROR(Textjoin("""",TRUE,FILTER(Data!$R:$R,Data!$D:$D=B91,Data!$B:$B=$A91)),"""")"),"")</f>
        <v/>
      </c>
      <c r="O91" s="64" t="str">
        <f>IFERROR(__xludf.DUMMYFUNCTION("IFERROR(Textjoin("""",TRUE,FILTER(Data!$R:$R,Data!$D:$D=C91,Data!$B:$B=$A91)),"""")"),"")</f>
        <v/>
      </c>
      <c r="P91" s="64" t="str">
        <f>IFERROR(__xludf.DUMMYFUNCTION("IFERROR(Textjoin("""",TRUE,FILTER(Data!$R:$R,Data!$D:$D=D91,Data!$B:$B=$A91)),"""")"),"")</f>
        <v/>
      </c>
      <c r="Q91" s="64" t="str">
        <f>IFERROR(__xludf.DUMMYFUNCTION("IFERROR(Textjoin("""",TRUE,FILTER(Data!$R:$R,Data!$D:$D=E91,Data!$B:$B=$A91)),"""")"),"")</f>
        <v/>
      </c>
      <c r="R91" s="64" t="str">
        <f>IFERROR(__xludf.DUMMYFUNCTION("IFERROR(Textjoin("""",TRUE,FILTER(Data!$R:$R,Data!$D:$D=F91,Data!$B:$B=$A91)),"""")"),"")</f>
        <v/>
      </c>
      <c r="S91" s="64" t="str">
        <f>IFERROR(__xludf.DUMMYFUNCTION("IFERROR(Textjoin("""",TRUE,FILTER(Data!$R:$R,Data!$D:$D=G91,Data!$B:$B=$A91)),"""")"),"")</f>
        <v/>
      </c>
      <c r="T91" s="64" t="str">
        <f>IFERROR(__xludf.DUMMYFUNCTION("IFERROR(Textjoin("""",TRUE,FILTER(Data!$R:$R,Data!$D:$D=H91,Data!$B:$B=$A91)),"""")"),"")</f>
        <v/>
      </c>
      <c r="U91" s="64" t="str">
        <f>IFERROR(__xludf.DUMMYFUNCTION("IFERROR(Textjoin("""",TRUE,FILTER(Data!$R:$R,Data!$D:$D=I91,Data!$B:$B=$A91)),"""")"),"")</f>
        <v/>
      </c>
      <c r="V91" s="64" t="str">
        <f>IFERROR(__xludf.DUMMYFUNCTION("IFERROR(Textjoin("""",TRUE,FILTER(Data!$R:$R,Data!$D:$D=J91,Data!$B:$B=$A91)),"""")"),"")</f>
        <v/>
      </c>
      <c r="W91" s="64" t="str">
        <f>IFERROR(__xludf.DUMMYFUNCTION("IFERROR(Textjoin("""",TRUE,FILTER(Data!$R:$R,Data!$D:$D=K91,Data!$B:$B=$A91)),"""")"),"")</f>
        <v/>
      </c>
      <c r="X91" s="64" t="str">
        <f>IFERROR(__xludf.DUMMYFUNCTION("IFERROR(Textjoin("""",TRUE,FILTER(Data!$R:$R,Data!$D:$D=L91,Data!$B:$B=$A91)),"""")"),"")</f>
        <v/>
      </c>
      <c r="Y91" s="64" t="str">
        <f>IFERROR(__xludf.DUMMYFUNCTION("IFERROR(Textjoin("""",TRUE,FILTER(Data!$R:$R,Data!$D:$D=M91,Data!$B:$B=$A91)),"""")"),"")</f>
        <v/>
      </c>
      <c r="Z91" s="64" t="str">
        <f>IFERROR(__xludf.DUMMYFUNCTION("IFERROR(SPLIT(N91,"",""),"""")"),"")</f>
        <v/>
      </c>
      <c r="AA91" s="65"/>
      <c r="AB91" s="65"/>
      <c r="AC91" s="69" t="str">
        <f>IFERROR(__xludf.DUMMYFUNCTION("IFERROR(SPLIT(O91,"",""),"""")"),"")</f>
        <v/>
      </c>
      <c r="AD91" s="65"/>
      <c r="AE91" s="65"/>
      <c r="AF91" s="69" t="str">
        <f>IFERROR(__xludf.DUMMYFUNCTION("IFERROR(SPLIT(P91,"",""),"""")"),"")</f>
        <v/>
      </c>
      <c r="AG91" s="65"/>
      <c r="AH91" s="65"/>
      <c r="AI91" s="69" t="str">
        <f>IFERROR(__xludf.DUMMYFUNCTION("IFERROR(SPLIT(Q91,"",""),"""")"),"")</f>
        <v/>
      </c>
      <c r="AJ91" s="65"/>
      <c r="AK91" s="65"/>
      <c r="AL91" s="69" t="str">
        <f>IFERROR(__xludf.DUMMYFUNCTION("IFERROR(SPLIT(R91,"",""),"""")"),"")</f>
        <v/>
      </c>
      <c r="AM91" s="65"/>
      <c r="AN91" s="65"/>
      <c r="AO91" s="69" t="str">
        <f>IFERROR(__xludf.DUMMYFUNCTION("IFERROR(SPLIT(S91,"",""),"""")"),"")</f>
        <v/>
      </c>
      <c r="AP91" s="65"/>
      <c r="AQ91" s="65"/>
      <c r="AR91" s="69" t="str">
        <f>IFERROR(__xludf.DUMMYFUNCTION("IFERROR(SPLIT(T91,"",""),"""")"),"")</f>
        <v/>
      </c>
      <c r="AS91" s="65"/>
      <c r="AT91" s="65"/>
      <c r="AU91" s="69" t="str">
        <f>IFERROR(__xludf.DUMMYFUNCTION("IFERROR(SPLIT(U91,"",""),"""")"),"")</f>
        <v/>
      </c>
      <c r="AV91" s="65"/>
      <c r="AW91" s="65"/>
      <c r="AX91" s="69" t="str">
        <f>IFERROR(__xludf.DUMMYFUNCTION("IFERROR(SPLIT(V91,"",""),"""")"),"")</f>
        <v/>
      </c>
      <c r="AY91" s="65"/>
      <c r="AZ91" s="65"/>
      <c r="BA91" s="69" t="str">
        <f>IFERROR(__xludf.DUMMYFUNCTION("IFERROR(SPLIT(W91,"",""),"""")"),"")</f>
        <v/>
      </c>
      <c r="BB91" s="69"/>
      <c r="BC91" s="69"/>
      <c r="BD91" s="69" t="str">
        <f>IFERROR(__xludf.DUMMYFUNCTION("IFERROR(SPLIT(X91,"",""),"""")"),"")</f>
        <v/>
      </c>
      <c r="BE91" s="69"/>
      <c r="BF91" s="69"/>
      <c r="BG91" s="69" t="str">
        <f>IFERROR(__xludf.DUMMYFUNCTION("IFERROR(SPLIT(Y91,"",""),"""")"),"")</f>
        <v/>
      </c>
      <c r="BH91" s="69"/>
      <c r="BI91" s="69"/>
      <c r="BJ91" s="68" t="str">
        <f>IFERROR(__xludf.DUMMYFUNCTION("IF($B91&lt;&gt;"""",IFERROR(FILTER(RawTotals!$AJ:$AJ,RawTotals!$A:$A=Z91)-(FILTER(Data!$K:$K,Data!$B:$B=Z91,Data!$D:$D=$B91)+FILTER(Data!$L:$L,Data!$B:$B=Z91,Data!$D:$D=$B91)),""""),"""")"),"")</f>
        <v/>
      </c>
      <c r="BK91" s="68" t="str">
        <f>IFERROR(__xludf.DUMMYFUNCTION("IF($B91&lt;&gt;"""",IFERROR(FILTER(RawTotals!$AJ:$AJ,RawTotals!$A:$A=AA91)-(FILTER(Data!$K:$K,Data!$B:$B=AA91,Data!$D:$D=$B91)+FILTER(Data!$L:$L,Data!$B:$B=AA91,Data!$D:$D=$B91)),""""),"""")"),"")</f>
        <v/>
      </c>
      <c r="BL91" s="68" t="str">
        <f>IFERROR(__xludf.DUMMYFUNCTION("IF($B91&lt;&gt;"""",IFERROR(FILTER(RawTotals!$AJ:$AJ,RawTotals!$A:$A=AB91)-(FILTER(Data!$K:$K,Data!$B:$B=AB91,Data!$D:$D=$B91)+FILTER(Data!$L:$L,Data!$B:$B=AB91,Data!$D:$D=$B91)),""""),"""")"),"")</f>
        <v/>
      </c>
      <c r="BM91" s="69" t="str">
        <f>IFERROR(__xludf.DUMMYFUNCTION("IF($C91&lt;&gt;"""",IFERROR(FILTER(RawTotals!$AJ:$AJ,RawTotals!$A:$A=AC91)-(FILTER(Data!$K:$K,Data!$B:$B=AC91,Data!$D:$D=$C91)+FILTER(Data!$L:$L,Data!$B:$B=AC91,Data!$D:$D=$C91)),""""),"""")"),"")</f>
        <v/>
      </c>
      <c r="BN91" s="69" t="str">
        <f>IFERROR(__xludf.DUMMYFUNCTION("IF($C91&lt;&gt;"""",IFERROR(FILTER(RawTotals!$AJ:$AJ,RawTotals!$A:$A=AD91)-(FILTER(Data!$K:$K,Data!$B:$B=AD91,Data!$D:$D=$C91)+FILTER(Data!$L:$L,Data!$B:$B=AD91,Data!$D:$D=$C91)),""""),"""")"),"")</f>
        <v/>
      </c>
      <c r="BO91" s="69" t="str">
        <f>IFERROR(__xludf.DUMMYFUNCTION("IF($C91&lt;&gt;"""",IFERROR(FILTER(RawTotals!$AJ:$AJ,RawTotals!$A:$A=AE91)-(FILTER(Data!$K:$K,Data!$B:$B=AE91,Data!$D:$D=$C91)+FILTER(Data!$L:$L,Data!$B:$B=AE91,Data!$D:$D=$C91)),""""),"""")"),"")</f>
        <v/>
      </c>
      <c r="BP91" s="69" t="str">
        <f>IFERROR(__xludf.DUMMYFUNCTION("IF($D91&lt;&gt;"""",IFERROR(FILTER(RawTotals!$AJ:$AJ,RawTotals!$A:$A=AF91)-(FILTER(Data!$K:$K,Data!$B:$B=AF91,Data!$D:$D=$D91)+FILTER(Data!$L:$L,Data!$B:$B=AF91,Data!$D:$D=$D91)),""""),"""")"),"")</f>
        <v/>
      </c>
      <c r="BQ91" s="69" t="str">
        <f>IFERROR(__xludf.DUMMYFUNCTION("IF($D91&lt;&gt;"""",IFERROR(FILTER(RawTotals!$AJ:$AJ,RawTotals!$A:$A=AG91)-(FILTER(Data!$K:$K,Data!$B:$B=AG91,Data!$D:$D=$D91)+FILTER(Data!$L:$L,Data!$B:$B=AG91,Data!$D:$D=$D91)),""""),"""")"),"")</f>
        <v/>
      </c>
      <c r="BR91" s="69" t="str">
        <f>IFERROR(__xludf.DUMMYFUNCTION("IF($D91&lt;&gt;"""",IFERROR(FILTER(RawTotals!$AJ:$AJ,RawTotals!$A:$A=AH91)-(FILTER(Data!$K:$K,Data!$B:$B=AH91,Data!$D:$D=$D91)+FILTER(Data!$L:$L,Data!$B:$B=AH91,Data!$D:$D=$D91)),""""),"""")"),"")</f>
        <v/>
      </c>
      <c r="BS91" s="69" t="str">
        <f>IFERROR(__xludf.DUMMYFUNCTION("IF($E91&lt;&gt;"""",IFERROR(FILTER(RawTotals!$AJ:$AJ,RawTotals!$A:$A=AI91)-(FILTER(Data!$K:$K,Data!$B:$B=AI91,Data!$D:$D=$E91)+FILTER(Data!$L:$L,Data!$B:$B=AI91,Data!$D:$D=$E91)),""""),"""")"),"")</f>
        <v/>
      </c>
      <c r="BT91" s="69" t="str">
        <f>IFERROR(__xludf.DUMMYFUNCTION("IF($E91&lt;&gt;"""",IFERROR(FILTER(RawTotals!$AJ:$AJ,RawTotals!$A:$A=AJ91)-(FILTER(Data!$K:$K,Data!$B:$B=AJ91,Data!$D:$D=$E91)+FILTER(Data!$L:$L,Data!$B:$B=AJ91,Data!$D:$D=$E91)),""""),"""")"),"")</f>
        <v/>
      </c>
      <c r="BU91" s="69" t="str">
        <f>IFERROR(__xludf.DUMMYFUNCTION("IF($E91&lt;&gt;"""",IFERROR(FILTER(RawTotals!$AJ:$AJ,RawTotals!$A:$A=AK91)-(FILTER(Data!$K:$K,Data!$B:$B=AK91,Data!$D:$D=$E91)+FILTER(Data!$L:$L,Data!$B:$B=AK91,Data!$D:$D=$E91)),""""),"""")"),"")</f>
        <v/>
      </c>
      <c r="BV91" s="69" t="str">
        <f>IFERROR(__xludf.DUMMYFUNCTION("IF($F91&lt;&gt;"""",IFERROR(FILTER(RawTotals!$AJ:$AJ,RawTotals!$A:$A=AL91)-(FILTER(Data!$K:$K,Data!$B:$B=AL91,Data!$D:$D=$F91)+FILTER(Data!$L:$L,Data!$B:$B=AL91,Data!$D:$D=$F91)),""""),"""")"),"")</f>
        <v/>
      </c>
      <c r="BW91" s="69" t="str">
        <f>IFERROR(__xludf.DUMMYFUNCTION("IF($F91&lt;&gt;"""",IFERROR(FILTER(RawTotals!$AJ:$AJ,RawTotals!$A:$A=AM91)-(FILTER(Data!$K:$K,Data!$B:$B=AM91,Data!$D:$D=$F91)+FILTER(Data!$L:$L,Data!$B:$B=AM91,Data!$D:$D=$F91)),""""),"""")"),"")</f>
        <v/>
      </c>
      <c r="BX91" s="69" t="str">
        <f>IFERROR(__xludf.DUMMYFUNCTION("IF($F91&lt;&gt;"""",IFERROR(FILTER(RawTotals!$AJ:$AJ,RawTotals!$A:$A=AN91)-(FILTER(Data!$K:$K,Data!$B:$B=AN91,Data!$D:$D=$F91)+FILTER(Data!$L:$L,Data!$B:$B=AN91,Data!$D:$D=$F91)),""""),"""")"),"")</f>
        <v/>
      </c>
      <c r="BY91" s="69" t="str">
        <f>IFERROR(__xludf.DUMMYFUNCTION("IF($G91&lt;&gt;"""",IFERROR(FILTER(RawTotals!$AJ:$AJ,RawTotals!$A:$A=AO91)-(FILTER(Data!$K:$K,Data!$B:$B=AO91,Data!$D:$D=$G91)+FILTER(Data!$L:$L,Data!$B:$B=AO91,Data!$D:$D=$G91)),""""),"""")"),"")</f>
        <v/>
      </c>
      <c r="BZ91" s="69" t="str">
        <f>IFERROR(__xludf.DUMMYFUNCTION("IF($G91&lt;&gt;"""",IFERROR(FILTER(RawTotals!$AJ:$AJ,RawTotals!$A:$A=AP91)-(FILTER(Data!$K:$K,Data!$B:$B=AP91,Data!$D:$D=$G91)+FILTER(Data!$L:$L,Data!$B:$B=AP91,Data!$D:$D=$G91)),""""),"""")"),"")</f>
        <v/>
      </c>
      <c r="CA91" s="69" t="str">
        <f>IFERROR(__xludf.DUMMYFUNCTION("IF($G91&lt;&gt;"""",IFERROR(FILTER(RawTotals!$AJ:$AJ,RawTotals!$A:$A=AQ91)-(FILTER(Data!$K:$K,Data!$B:$B=AQ91,Data!$D:$D=$G91)+FILTER(Data!$L:$L,Data!$B:$B=AQ91,Data!$D:$D=$G91)),""""),"""")"),"")</f>
        <v/>
      </c>
      <c r="CB91" s="69" t="str">
        <f>IFERROR(__xludf.DUMMYFUNCTION("IF($H91&lt;&gt;"""",IFERROR(FILTER(RawTotals!$AJ:$AJ,RawTotals!$A:$A=AR91)-(FILTER(Data!$K:$K,Data!$B:$B=AR91,Data!$D:$D=$H91)+FILTER(Data!$L:$L,Data!$B:$B=AR91,Data!$D:$D=$H91)),""""),"""")"),"")</f>
        <v/>
      </c>
      <c r="CC91" s="69" t="str">
        <f>IFERROR(__xludf.DUMMYFUNCTION("IF($H91&lt;&gt;"""",IFERROR(FILTER(RawTotals!$AJ:$AJ,RawTotals!$A:$A=AS91)-(FILTER(Data!$K:$K,Data!$B:$B=AS91,Data!$D:$D=$H91)+FILTER(Data!$L:$L,Data!$B:$B=AS91,Data!$D:$D=$H91)),""""),"""")"),"")</f>
        <v/>
      </c>
      <c r="CD91" s="69" t="str">
        <f>IFERROR(__xludf.DUMMYFUNCTION("IF($H91&lt;&gt;"""",IFERROR(FILTER(RawTotals!$AJ:$AJ,RawTotals!$A:$A=AT91)-(FILTER(Data!$K:$K,Data!$B:$B=AT91,Data!$D:$D=$H91)+FILTER(Data!$L:$L,Data!$B:$B=AT91,Data!$D:$D=$H91)),""""),"""")"),"")</f>
        <v/>
      </c>
      <c r="CE91" s="69" t="str">
        <f>IFERROR(__xludf.DUMMYFUNCTION("IF($I91&lt;&gt;"""",IFERROR(FILTER(RawTotals!$AJ:$AJ,RawTotals!$A:$A=AU91)-(FILTER(Data!$K:$K,Data!$B:$B=AU91,Data!$D:$D=$I91)+FILTER(Data!$L:$L,Data!$B:$B=AU91,Data!$D:$D=$I91)),""""),"""")"),"")</f>
        <v/>
      </c>
      <c r="CF91" s="69" t="str">
        <f>IFERROR(__xludf.DUMMYFUNCTION("IF($I91&lt;&gt;"""",IFERROR(FILTER(RawTotals!$AJ:$AJ,RawTotals!$A:$A=AV91)-(FILTER(Data!$K:$K,Data!$B:$B=AV91,Data!$D:$D=$I91)+FILTER(Data!$L:$L,Data!$B:$B=AV91,Data!$D:$D=$I91)),""""),"""")"),"")</f>
        <v/>
      </c>
      <c r="CG91" s="69" t="str">
        <f>IFERROR(__xludf.DUMMYFUNCTION("IF($I91&lt;&gt;"""",IFERROR(FILTER(RawTotals!$AJ:$AJ,RawTotals!$A:$A=AW91)-(FILTER(Data!$K:$K,Data!$B:$B=AW91,Data!$D:$D=$I91)+FILTER(Data!$L:$L,Data!$B:$B=AW91,Data!$D:$D=$I91)),""""),"""")"),"")</f>
        <v/>
      </c>
      <c r="CH91" s="69" t="str">
        <f>IFERROR(__xludf.DUMMYFUNCTION("IF($J91&lt;&gt;"""",IFERROR(FILTER(RawTotals!$AJ:$AJ,RawTotals!$A:$A=AX91)-(FILTER(Data!$K:$K,Data!$B:$B=AX91,Data!$D:$D=$J91)+FILTER(Data!$L:$L,Data!$B:$B=AX91,Data!$D:$D=$J91)),""""),"""")"),"")</f>
        <v/>
      </c>
      <c r="CI91" s="69" t="str">
        <f>IFERROR(__xludf.DUMMYFUNCTION("IF($J91&lt;&gt;"""",IFERROR(FILTER(RawTotals!$AJ:$AJ,RawTotals!$A:$A=AY91)-(FILTER(Data!$K:$K,Data!$B:$B=AY91,Data!$D:$D=$J91)+FILTER(Data!$L:$L,Data!$B:$B=AY91,Data!$D:$D=$J91)),""""),"""")"),"")</f>
        <v/>
      </c>
      <c r="CJ91" s="69" t="str">
        <f>IFERROR(__xludf.DUMMYFUNCTION("IF($J91&lt;&gt;"""",IFERROR(FILTER(RawTotals!$AJ:$AJ,RawTotals!$A:$A=AZ91)-(FILTER(Data!$K:$K,Data!$B:$B=AZ91,Data!$D:$D=$J91)+FILTER(Data!$L:$L,Data!$B:$B=AZ91,Data!$D:$D=$J91)),""""),"""")"),"")</f>
        <v/>
      </c>
      <c r="CK91" s="69" t="str">
        <f>IFERROR(__xludf.DUMMYFUNCTION("IF($K91&lt;&gt;"""",IFERROR(FILTER(RawTotals!$AJ:$AJ,RawTotals!$A:$A=BA91)-(FILTER(Data!$K:$K,Data!$B:$B=BA91,Data!$D:$D=$K91)+FILTER(Data!$L:$L,Data!$B:$B=BA91,Data!$D:$D=$K91)),""""),"""")"),"")</f>
        <v/>
      </c>
      <c r="CL91" s="69" t="str">
        <f>IFERROR(__xludf.DUMMYFUNCTION("IF($K91&lt;&gt;"""",IFERROR(FILTER(RawTotals!$AJ:$AJ,RawTotals!$A:$A=BB91)-(FILTER(Data!$K:$K,Data!$B:$B=BB91,Data!$D:$D=$K91)+FILTER(Data!$L:$L,Data!$B:$B=BB91,Data!$D:$D=$K91)),""""),"""")"),"")</f>
        <v/>
      </c>
      <c r="CM91" s="69" t="str">
        <f>IFERROR(__xludf.DUMMYFUNCTION("IF($K91&lt;&gt;"""",IFERROR(FILTER(RawTotals!$AJ:$AJ,RawTotals!$A:$A=BC91)-(FILTER(Data!$K:$K,Data!$B:$B=BC91,Data!$D:$D=$K91)+FILTER(Data!$L:$L,Data!$B:$B=BC91,Data!$D:$D=$K91)),""""),"""")"),"")</f>
        <v/>
      </c>
      <c r="CN91" s="69" t="str">
        <f>IFERROR(__xludf.DUMMYFUNCTION("IF($L91&lt;&gt;"""",IFERROR((FILTER(RawTotals!$AJ:$AJ,RawTotals!$A:$A=BD91)-(FILTER(Data!$K:$K,Data!$B:$B=BD91,Data!$D:$D=$L91)+FILTER(Data!$L:$L,Data!$B:$B=BD91,Data!$D:$D=$L91))),""""),"""")"),"")</f>
        <v/>
      </c>
      <c r="CO91" s="69" t="str">
        <f>IFERROR(__xludf.DUMMYFUNCTION("IF($L91&lt;&gt;"""",IFERROR((FILTER(RawTotals!$AJ:$AJ,RawTotals!$A:$A=BE91)-(FILTER(Data!$K:$K,Data!$B:$B=BE91,Data!$D:$D=$L91)+FILTER(Data!$L:$L,Data!$B:$B=BE91,Data!$D:$D=$L91))),""""),"""")"),"")</f>
        <v/>
      </c>
      <c r="CP91" s="69" t="str">
        <f>IFERROR(__xludf.DUMMYFUNCTION("IF($L91&lt;&gt;"""",IFERROR((FILTER(RawTotals!$AJ:$AJ,RawTotals!$A:$A=BF91)-(FILTER(Data!$K:$K,Data!$B:$B=BF91,Data!$D:$D=$L91)+FILTER(Data!$L:$L,Data!$B:$B=BF91,Data!$D:$D=$L91))),""""),"""")"),"")</f>
        <v/>
      </c>
      <c r="CQ91" s="69" t="str">
        <f>IFERROR(__xludf.DUMMYFUNCTION("IF($M91&lt;&gt;"""",IFERROR((FILTER(RawTotals!$AJ:$AJ,RawTotals!$A:$A=BG91)-(FILTER(Data!$K:$K,Data!$B:$B=BG91,Data!$D:$D=$M91)+FILTER(Data!$L:$L,Data!$B:$B=BG91,Data!$D:$D=$M91))),""""),"""")"),"")</f>
        <v/>
      </c>
      <c r="CR91" s="69" t="str">
        <f>IFERROR(__xludf.DUMMYFUNCTION("IF($M91&lt;&gt;"""",IFERROR((FILTER(RawTotals!$AJ:$AJ,RawTotals!$A:$A=BH91)-(FILTER(Data!$K:$K,Data!$B:$B=BH91,Data!$D:$D=$M91)+FILTER(Data!$L:$L,Data!$B:$B=BH91,Data!$D:$D=$M91))),""""),"""")"),"")</f>
        <v/>
      </c>
      <c r="CS91" s="70" t="str">
        <f>IFERROR(__xludf.DUMMYFUNCTION("IF($M91&lt;&gt;"""",IFERROR((FILTER(RawTotals!$AJ:$AJ,RawTotals!$A:$A=BI91)-(FILTER(Data!$K:$K,Data!$B:$B=BI91,Data!$D:$D=$M91)+FILTER(Data!$L:$L,Data!$B:$B=BI91,Data!$D:$D=$M91))),""""),"""")"),"")</f>
        <v/>
      </c>
      <c r="CT91" s="69"/>
      <c r="CU91" s="69"/>
      <c r="CV91" s="69"/>
      <c r="CW91" s="69"/>
      <c r="CX91" s="69"/>
      <c r="CY91" s="69"/>
      <c r="CZ91" s="69"/>
      <c r="DA91" s="69"/>
      <c r="DB91" s="69"/>
      <c r="DC91" s="69"/>
      <c r="DD91" s="69"/>
      <c r="DE91" s="69"/>
    </row>
    <row r="92">
      <c r="A92" s="65" t="str">
        <f>RawTotals!A92</f>
        <v/>
      </c>
      <c r="B92" s="68" t="str">
        <f>IFERROR(__xludf.DUMMYFUNCTION("IF(A92&lt;&gt;"""",IFERROR(TRANSPOSE(FILTER(Data!D:D,Data!B:B=A92,Data!R:R&lt;&gt;"""")),""No Defense""),"""")"),"")</f>
        <v/>
      </c>
      <c r="C92" s="65"/>
      <c r="D92" s="65"/>
      <c r="E92" s="65"/>
      <c r="F92" s="65"/>
      <c r="G92" s="65"/>
      <c r="H92" s="65"/>
      <c r="I92" s="65"/>
      <c r="J92" s="65"/>
      <c r="K92" s="65"/>
      <c r="L92" s="65"/>
      <c r="M92" s="65"/>
      <c r="N92" s="64" t="str">
        <f>IFERROR(__xludf.DUMMYFUNCTION("IFERROR(Textjoin("""",TRUE,FILTER(Data!$R:$R,Data!$D:$D=B92,Data!$B:$B=$A92)),"""")"),"")</f>
        <v/>
      </c>
      <c r="O92" s="64" t="str">
        <f>IFERROR(__xludf.DUMMYFUNCTION("IFERROR(Textjoin("""",TRUE,FILTER(Data!$R:$R,Data!$D:$D=C92,Data!$B:$B=$A92)),"""")"),"")</f>
        <v/>
      </c>
      <c r="P92" s="64" t="str">
        <f>IFERROR(__xludf.DUMMYFUNCTION("IFERROR(Textjoin("""",TRUE,FILTER(Data!$R:$R,Data!$D:$D=D92,Data!$B:$B=$A92)),"""")"),"")</f>
        <v/>
      </c>
      <c r="Q92" s="64" t="str">
        <f>IFERROR(__xludf.DUMMYFUNCTION("IFERROR(Textjoin("""",TRUE,FILTER(Data!$R:$R,Data!$D:$D=E92,Data!$B:$B=$A92)),"""")"),"")</f>
        <v/>
      </c>
      <c r="R92" s="64" t="str">
        <f>IFERROR(__xludf.DUMMYFUNCTION("IFERROR(Textjoin("""",TRUE,FILTER(Data!$R:$R,Data!$D:$D=F92,Data!$B:$B=$A92)),"""")"),"")</f>
        <v/>
      </c>
      <c r="S92" s="64" t="str">
        <f>IFERROR(__xludf.DUMMYFUNCTION("IFERROR(Textjoin("""",TRUE,FILTER(Data!$R:$R,Data!$D:$D=G92,Data!$B:$B=$A92)),"""")"),"")</f>
        <v/>
      </c>
      <c r="T92" s="64" t="str">
        <f>IFERROR(__xludf.DUMMYFUNCTION("IFERROR(Textjoin("""",TRUE,FILTER(Data!$R:$R,Data!$D:$D=H92,Data!$B:$B=$A92)),"""")"),"")</f>
        <v/>
      </c>
      <c r="U92" s="64" t="str">
        <f>IFERROR(__xludf.DUMMYFUNCTION("IFERROR(Textjoin("""",TRUE,FILTER(Data!$R:$R,Data!$D:$D=I92,Data!$B:$B=$A92)),"""")"),"")</f>
        <v/>
      </c>
      <c r="V92" s="64" t="str">
        <f>IFERROR(__xludf.DUMMYFUNCTION("IFERROR(Textjoin("""",TRUE,FILTER(Data!$R:$R,Data!$D:$D=J92,Data!$B:$B=$A92)),"""")"),"")</f>
        <v/>
      </c>
      <c r="W92" s="64" t="str">
        <f>IFERROR(__xludf.DUMMYFUNCTION("IFERROR(Textjoin("""",TRUE,FILTER(Data!$R:$R,Data!$D:$D=K92,Data!$B:$B=$A92)),"""")"),"")</f>
        <v/>
      </c>
      <c r="X92" s="64" t="str">
        <f>IFERROR(__xludf.DUMMYFUNCTION("IFERROR(Textjoin("""",TRUE,FILTER(Data!$R:$R,Data!$D:$D=L92,Data!$B:$B=$A92)),"""")"),"")</f>
        <v/>
      </c>
      <c r="Y92" s="64" t="str">
        <f>IFERROR(__xludf.DUMMYFUNCTION("IFERROR(Textjoin("""",TRUE,FILTER(Data!$R:$R,Data!$D:$D=M92,Data!$B:$B=$A92)),"""")"),"")</f>
        <v/>
      </c>
      <c r="Z92" s="64" t="str">
        <f>IFERROR(__xludf.DUMMYFUNCTION("IFERROR(SPLIT(N92,"",""),"""")"),"")</f>
        <v/>
      </c>
      <c r="AA92" s="65"/>
      <c r="AB92" s="65"/>
      <c r="AC92" s="69" t="str">
        <f>IFERROR(__xludf.DUMMYFUNCTION("IFERROR(SPLIT(O92,"",""),"""")"),"")</f>
        <v/>
      </c>
      <c r="AD92" s="65"/>
      <c r="AE92" s="65"/>
      <c r="AF92" s="69" t="str">
        <f>IFERROR(__xludf.DUMMYFUNCTION("IFERROR(SPLIT(P92,"",""),"""")"),"")</f>
        <v/>
      </c>
      <c r="AG92" s="65"/>
      <c r="AH92" s="65"/>
      <c r="AI92" s="69" t="str">
        <f>IFERROR(__xludf.DUMMYFUNCTION("IFERROR(SPLIT(Q92,"",""),"""")"),"")</f>
        <v/>
      </c>
      <c r="AJ92" s="65"/>
      <c r="AK92" s="65"/>
      <c r="AL92" s="69" t="str">
        <f>IFERROR(__xludf.DUMMYFUNCTION("IFERROR(SPLIT(R92,"",""),"""")"),"")</f>
        <v/>
      </c>
      <c r="AM92" s="65"/>
      <c r="AN92" s="65"/>
      <c r="AO92" s="69" t="str">
        <f>IFERROR(__xludf.DUMMYFUNCTION("IFERROR(SPLIT(S92,"",""),"""")"),"")</f>
        <v/>
      </c>
      <c r="AP92" s="65"/>
      <c r="AQ92" s="65"/>
      <c r="AR92" s="69" t="str">
        <f>IFERROR(__xludf.DUMMYFUNCTION("IFERROR(SPLIT(T92,"",""),"""")"),"")</f>
        <v/>
      </c>
      <c r="AS92" s="65"/>
      <c r="AT92" s="65"/>
      <c r="AU92" s="69" t="str">
        <f>IFERROR(__xludf.DUMMYFUNCTION("IFERROR(SPLIT(U92,"",""),"""")"),"")</f>
        <v/>
      </c>
      <c r="AV92" s="65"/>
      <c r="AW92" s="65"/>
      <c r="AX92" s="69" t="str">
        <f>IFERROR(__xludf.DUMMYFUNCTION("IFERROR(SPLIT(V92,"",""),"""")"),"")</f>
        <v/>
      </c>
      <c r="AY92" s="65"/>
      <c r="AZ92" s="65"/>
      <c r="BA92" s="69" t="str">
        <f>IFERROR(__xludf.DUMMYFUNCTION("IFERROR(SPLIT(W92,"",""),"""")"),"")</f>
        <v/>
      </c>
      <c r="BB92" s="69"/>
      <c r="BC92" s="69"/>
      <c r="BD92" s="69" t="str">
        <f>IFERROR(__xludf.DUMMYFUNCTION("IFERROR(SPLIT(X92,"",""),"""")"),"")</f>
        <v/>
      </c>
      <c r="BE92" s="69"/>
      <c r="BF92" s="69"/>
      <c r="BG92" s="69" t="str">
        <f>IFERROR(__xludf.DUMMYFUNCTION("IFERROR(SPLIT(Y92,"",""),"""")"),"")</f>
        <v/>
      </c>
      <c r="BH92" s="69"/>
      <c r="BI92" s="69"/>
      <c r="BJ92" s="68" t="str">
        <f>IFERROR(__xludf.DUMMYFUNCTION("IF($B92&lt;&gt;"""",IFERROR(FILTER(RawTotals!$AJ:$AJ,RawTotals!$A:$A=Z92)-(FILTER(Data!$K:$K,Data!$B:$B=Z92,Data!$D:$D=$B92)+FILTER(Data!$L:$L,Data!$B:$B=Z92,Data!$D:$D=$B92)),""""),"""")"),"")</f>
        <v/>
      </c>
      <c r="BK92" s="68" t="str">
        <f>IFERROR(__xludf.DUMMYFUNCTION("IF($B92&lt;&gt;"""",IFERROR(FILTER(RawTotals!$AJ:$AJ,RawTotals!$A:$A=AA92)-(FILTER(Data!$K:$K,Data!$B:$B=AA92,Data!$D:$D=$B92)+FILTER(Data!$L:$L,Data!$B:$B=AA92,Data!$D:$D=$B92)),""""),"""")"),"")</f>
        <v/>
      </c>
      <c r="BL92" s="68" t="str">
        <f>IFERROR(__xludf.DUMMYFUNCTION("IF($B92&lt;&gt;"""",IFERROR(FILTER(RawTotals!$AJ:$AJ,RawTotals!$A:$A=AB92)-(FILTER(Data!$K:$K,Data!$B:$B=AB92,Data!$D:$D=$B92)+FILTER(Data!$L:$L,Data!$B:$B=AB92,Data!$D:$D=$B92)),""""),"""")"),"")</f>
        <v/>
      </c>
      <c r="BM92" s="69" t="str">
        <f>IFERROR(__xludf.DUMMYFUNCTION("IF($C92&lt;&gt;"""",IFERROR(FILTER(RawTotals!$AJ:$AJ,RawTotals!$A:$A=AC92)-(FILTER(Data!$K:$K,Data!$B:$B=AC92,Data!$D:$D=$C92)+FILTER(Data!$L:$L,Data!$B:$B=AC92,Data!$D:$D=$C92)),""""),"""")"),"")</f>
        <v/>
      </c>
      <c r="BN92" s="69" t="str">
        <f>IFERROR(__xludf.DUMMYFUNCTION("IF($C92&lt;&gt;"""",IFERROR(FILTER(RawTotals!$AJ:$AJ,RawTotals!$A:$A=AD92)-(FILTER(Data!$K:$K,Data!$B:$B=AD92,Data!$D:$D=$C92)+FILTER(Data!$L:$L,Data!$B:$B=AD92,Data!$D:$D=$C92)),""""),"""")"),"")</f>
        <v/>
      </c>
      <c r="BO92" s="69" t="str">
        <f>IFERROR(__xludf.DUMMYFUNCTION("IF($C92&lt;&gt;"""",IFERROR(FILTER(RawTotals!$AJ:$AJ,RawTotals!$A:$A=AE92)-(FILTER(Data!$K:$K,Data!$B:$B=AE92,Data!$D:$D=$C92)+FILTER(Data!$L:$L,Data!$B:$B=AE92,Data!$D:$D=$C92)),""""),"""")"),"")</f>
        <v/>
      </c>
      <c r="BP92" s="69" t="str">
        <f>IFERROR(__xludf.DUMMYFUNCTION("IF($D92&lt;&gt;"""",IFERROR(FILTER(RawTotals!$AJ:$AJ,RawTotals!$A:$A=AF92)-(FILTER(Data!$K:$K,Data!$B:$B=AF92,Data!$D:$D=$D92)+FILTER(Data!$L:$L,Data!$B:$B=AF92,Data!$D:$D=$D92)),""""),"""")"),"")</f>
        <v/>
      </c>
      <c r="BQ92" s="69" t="str">
        <f>IFERROR(__xludf.DUMMYFUNCTION("IF($D92&lt;&gt;"""",IFERROR(FILTER(RawTotals!$AJ:$AJ,RawTotals!$A:$A=AG92)-(FILTER(Data!$K:$K,Data!$B:$B=AG92,Data!$D:$D=$D92)+FILTER(Data!$L:$L,Data!$B:$B=AG92,Data!$D:$D=$D92)),""""),"""")"),"")</f>
        <v/>
      </c>
      <c r="BR92" s="69" t="str">
        <f>IFERROR(__xludf.DUMMYFUNCTION("IF($D92&lt;&gt;"""",IFERROR(FILTER(RawTotals!$AJ:$AJ,RawTotals!$A:$A=AH92)-(FILTER(Data!$K:$K,Data!$B:$B=AH92,Data!$D:$D=$D92)+FILTER(Data!$L:$L,Data!$B:$B=AH92,Data!$D:$D=$D92)),""""),"""")"),"")</f>
        <v/>
      </c>
      <c r="BS92" s="69" t="str">
        <f>IFERROR(__xludf.DUMMYFUNCTION("IF($E92&lt;&gt;"""",IFERROR(FILTER(RawTotals!$AJ:$AJ,RawTotals!$A:$A=AI92)-(FILTER(Data!$K:$K,Data!$B:$B=AI92,Data!$D:$D=$E92)+FILTER(Data!$L:$L,Data!$B:$B=AI92,Data!$D:$D=$E92)),""""),"""")"),"")</f>
        <v/>
      </c>
      <c r="BT92" s="69" t="str">
        <f>IFERROR(__xludf.DUMMYFUNCTION("IF($E92&lt;&gt;"""",IFERROR(FILTER(RawTotals!$AJ:$AJ,RawTotals!$A:$A=AJ92)-(FILTER(Data!$K:$K,Data!$B:$B=AJ92,Data!$D:$D=$E92)+FILTER(Data!$L:$L,Data!$B:$B=AJ92,Data!$D:$D=$E92)),""""),"""")"),"")</f>
        <v/>
      </c>
      <c r="BU92" s="69" t="str">
        <f>IFERROR(__xludf.DUMMYFUNCTION("IF($E92&lt;&gt;"""",IFERROR(FILTER(RawTotals!$AJ:$AJ,RawTotals!$A:$A=AK92)-(FILTER(Data!$K:$K,Data!$B:$B=AK92,Data!$D:$D=$E92)+FILTER(Data!$L:$L,Data!$B:$B=AK92,Data!$D:$D=$E92)),""""),"""")"),"")</f>
        <v/>
      </c>
      <c r="BV92" s="69" t="str">
        <f>IFERROR(__xludf.DUMMYFUNCTION("IF($F92&lt;&gt;"""",IFERROR(FILTER(RawTotals!$AJ:$AJ,RawTotals!$A:$A=AL92)-(FILTER(Data!$K:$K,Data!$B:$B=AL92,Data!$D:$D=$F92)+FILTER(Data!$L:$L,Data!$B:$B=AL92,Data!$D:$D=$F92)),""""),"""")"),"")</f>
        <v/>
      </c>
      <c r="BW92" s="69" t="str">
        <f>IFERROR(__xludf.DUMMYFUNCTION("IF($F92&lt;&gt;"""",IFERROR(FILTER(RawTotals!$AJ:$AJ,RawTotals!$A:$A=AM92)-(FILTER(Data!$K:$K,Data!$B:$B=AM92,Data!$D:$D=$F92)+FILTER(Data!$L:$L,Data!$B:$B=AM92,Data!$D:$D=$F92)),""""),"""")"),"")</f>
        <v/>
      </c>
      <c r="BX92" s="69" t="str">
        <f>IFERROR(__xludf.DUMMYFUNCTION("IF($F92&lt;&gt;"""",IFERROR(FILTER(RawTotals!$AJ:$AJ,RawTotals!$A:$A=AN92)-(FILTER(Data!$K:$K,Data!$B:$B=AN92,Data!$D:$D=$F92)+FILTER(Data!$L:$L,Data!$B:$B=AN92,Data!$D:$D=$F92)),""""),"""")"),"")</f>
        <v/>
      </c>
      <c r="BY92" s="69" t="str">
        <f>IFERROR(__xludf.DUMMYFUNCTION("IF($G92&lt;&gt;"""",IFERROR(FILTER(RawTotals!$AJ:$AJ,RawTotals!$A:$A=AO92)-(FILTER(Data!$K:$K,Data!$B:$B=AO92,Data!$D:$D=$G92)+FILTER(Data!$L:$L,Data!$B:$B=AO92,Data!$D:$D=$G92)),""""),"""")"),"")</f>
        <v/>
      </c>
      <c r="BZ92" s="69" t="str">
        <f>IFERROR(__xludf.DUMMYFUNCTION("IF($G92&lt;&gt;"""",IFERROR(FILTER(RawTotals!$AJ:$AJ,RawTotals!$A:$A=AP92)-(FILTER(Data!$K:$K,Data!$B:$B=AP92,Data!$D:$D=$G92)+FILTER(Data!$L:$L,Data!$B:$B=AP92,Data!$D:$D=$G92)),""""),"""")"),"")</f>
        <v/>
      </c>
      <c r="CA92" s="69" t="str">
        <f>IFERROR(__xludf.DUMMYFUNCTION("IF($G92&lt;&gt;"""",IFERROR(FILTER(RawTotals!$AJ:$AJ,RawTotals!$A:$A=AQ92)-(FILTER(Data!$K:$K,Data!$B:$B=AQ92,Data!$D:$D=$G92)+FILTER(Data!$L:$L,Data!$B:$B=AQ92,Data!$D:$D=$G92)),""""),"""")"),"")</f>
        <v/>
      </c>
      <c r="CB92" s="69" t="str">
        <f>IFERROR(__xludf.DUMMYFUNCTION("IF($H92&lt;&gt;"""",IFERROR(FILTER(RawTotals!$AJ:$AJ,RawTotals!$A:$A=AR92)-(FILTER(Data!$K:$K,Data!$B:$B=AR92,Data!$D:$D=$H92)+FILTER(Data!$L:$L,Data!$B:$B=AR92,Data!$D:$D=$H92)),""""),"""")"),"")</f>
        <v/>
      </c>
      <c r="CC92" s="69" t="str">
        <f>IFERROR(__xludf.DUMMYFUNCTION("IF($H92&lt;&gt;"""",IFERROR(FILTER(RawTotals!$AJ:$AJ,RawTotals!$A:$A=AS92)-(FILTER(Data!$K:$K,Data!$B:$B=AS92,Data!$D:$D=$H92)+FILTER(Data!$L:$L,Data!$B:$B=AS92,Data!$D:$D=$H92)),""""),"""")"),"")</f>
        <v/>
      </c>
      <c r="CD92" s="69" t="str">
        <f>IFERROR(__xludf.DUMMYFUNCTION("IF($H92&lt;&gt;"""",IFERROR(FILTER(RawTotals!$AJ:$AJ,RawTotals!$A:$A=AT92)-(FILTER(Data!$K:$K,Data!$B:$B=AT92,Data!$D:$D=$H92)+FILTER(Data!$L:$L,Data!$B:$B=AT92,Data!$D:$D=$H92)),""""),"""")"),"")</f>
        <v/>
      </c>
      <c r="CE92" s="69" t="str">
        <f>IFERROR(__xludf.DUMMYFUNCTION("IF($I92&lt;&gt;"""",IFERROR(FILTER(RawTotals!$AJ:$AJ,RawTotals!$A:$A=AU92)-(FILTER(Data!$K:$K,Data!$B:$B=AU92,Data!$D:$D=$I92)+FILTER(Data!$L:$L,Data!$B:$B=AU92,Data!$D:$D=$I92)),""""),"""")"),"")</f>
        <v/>
      </c>
      <c r="CF92" s="69" t="str">
        <f>IFERROR(__xludf.DUMMYFUNCTION("IF($I92&lt;&gt;"""",IFERROR(FILTER(RawTotals!$AJ:$AJ,RawTotals!$A:$A=AV92)-(FILTER(Data!$K:$K,Data!$B:$B=AV92,Data!$D:$D=$I92)+FILTER(Data!$L:$L,Data!$B:$B=AV92,Data!$D:$D=$I92)),""""),"""")"),"")</f>
        <v/>
      </c>
      <c r="CG92" s="69" t="str">
        <f>IFERROR(__xludf.DUMMYFUNCTION("IF($I92&lt;&gt;"""",IFERROR(FILTER(RawTotals!$AJ:$AJ,RawTotals!$A:$A=AW92)-(FILTER(Data!$K:$K,Data!$B:$B=AW92,Data!$D:$D=$I92)+FILTER(Data!$L:$L,Data!$B:$B=AW92,Data!$D:$D=$I92)),""""),"""")"),"")</f>
        <v/>
      </c>
      <c r="CH92" s="69" t="str">
        <f>IFERROR(__xludf.DUMMYFUNCTION("IF($J92&lt;&gt;"""",IFERROR(FILTER(RawTotals!$AJ:$AJ,RawTotals!$A:$A=AX92)-(FILTER(Data!$K:$K,Data!$B:$B=AX92,Data!$D:$D=$J92)+FILTER(Data!$L:$L,Data!$B:$B=AX92,Data!$D:$D=$J92)),""""),"""")"),"")</f>
        <v/>
      </c>
      <c r="CI92" s="69" t="str">
        <f>IFERROR(__xludf.DUMMYFUNCTION("IF($J92&lt;&gt;"""",IFERROR(FILTER(RawTotals!$AJ:$AJ,RawTotals!$A:$A=AY92)-(FILTER(Data!$K:$K,Data!$B:$B=AY92,Data!$D:$D=$J92)+FILTER(Data!$L:$L,Data!$B:$B=AY92,Data!$D:$D=$J92)),""""),"""")"),"")</f>
        <v/>
      </c>
      <c r="CJ92" s="69" t="str">
        <f>IFERROR(__xludf.DUMMYFUNCTION("IF($J92&lt;&gt;"""",IFERROR(FILTER(RawTotals!$AJ:$AJ,RawTotals!$A:$A=AZ92)-(FILTER(Data!$K:$K,Data!$B:$B=AZ92,Data!$D:$D=$J92)+FILTER(Data!$L:$L,Data!$B:$B=AZ92,Data!$D:$D=$J92)),""""),"""")"),"")</f>
        <v/>
      </c>
      <c r="CK92" s="69" t="str">
        <f>IFERROR(__xludf.DUMMYFUNCTION("IF($K92&lt;&gt;"""",IFERROR(FILTER(RawTotals!$AJ:$AJ,RawTotals!$A:$A=BA92)-(FILTER(Data!$K:$K,Data!$B:$B=BA92,Data!$D:$D=$K92)+FILTER(Data!$L:$L,Data!$B:$B=BA92,Data!$D:$D=$K92)),""""),"""")"),"")</f>
        <v/>
      </c>
      <c r="CL92" s="69" t="str">
        <f>IFERROR(__xludf.DUMMYFUNCTION("IF($K92&lt;&gt;"""",IFERROR(FILTER(RawTotals!$AJ:$AJ,RawTotals!$A:$A=BB92)-(FILTER(Data!$K:$K,Data!$B:$B=BB92,Data!$D:$D=$K92)+FILTER(Data!$L:$L,Data!$B:$B=BB92,Data!$D:$D=$K92)),""""),"""")"),"")</f>
        <v/>
      </c>
      <c r="CM92" s="69" t="str">
        <f>IFERROR(__xludf.DUMMYFUNCTION("IF($K92&lt;&gt;"""",IFERROR(FILTER(RawTotals!$AJ:$AJ,RawTotals!$A:$A=BC92)-(FILTER(Data!$K:$K,Data!$B:$B=BC92,Data!$D:$D=$K92)+FILTER(Data!$L:$L,Data!$B:$B=BC92,Data!$D:$D=$K92)),""""),"""")"),"")</f>
        <v/>
      </c>
      <c r="CN92" s="69" t="str">
        <f>IFERROR(__xludf.DUMMYFUNCTION("IF($L92&lt;&gt;"""",IFERROR((FILTER(RawTotals!$AJ:$AJ,RawTotals!$A:$A=BD92)-(FILTER(Data!$K:$K,Data!$B:$B=BD92,Data!$D:$D=$L92)+FILTER(Data!$L:$L,Data!$B:$B=BD92,Data!$D:$D=$L92))),""""),"""")"),"")</f>
        <v/>
      </c>
      <c r="CO92" s="69" t="str">
        <f>IFERROR(__xludf.DUMMYFUNCTION("IF($L92&lt;&gt;"""",IFERROR((FILTER(RawTotals!$AJ:$AJ,RawTotals!$A:$A=BE92)-(FILTER(Data!$K:$K,Data!$B:$B=BE92,Data!$D:$D=$L92)+FILTER(Data!$L:$L,Data!$B:$B=BE92,Data!$D:$D=$L92))),""""),"""")"),"")</f>
        <v/>
      </c>
      <c r="CP92" s="69" t="str">
        <f>IFERROR(__xludf.DUMMYFUNCTION("IF($L92&lt;&gt;"""",IFERROR((FILTER(RawTotals!$AJ:$AJ,RawTotals!$A:$A=BF92)-(FILTER(Data!$K:$K,Data!$B:$B=BF92,Data!$D:$D=$L92)+FILTER(Data!$L:$L,Data!$B:$B=BF92,Data!$D:$D=$L92))),""""),"""")"),"")</f>
        <v/>
      </c>
      <c r="CQ92" s="69" t="str">
        <f>IFERROR(__xludf.DUMMYFUNCTION("IF($M92&lt;&gt;"""",IFERROR((FILTER(RawTotals!$AJ:$AJ,RawTotals!$A:$A=BG92)-(FILTER(Data!$K:$K,Data!$B:$B=BG92,Data!$D:$D=$M92)+FILTER(Data!$L:$L,Data!$B:$B=BG92,Data!$D:$D=$M92))),""""),"""")"),"")</f>
        <v/>
      </c>
      <c r="CR92" s="69" t="str">
        <f>IFERROR(__xludf.DUMMYFUNCTION("IF($M92&lt;&gt;"""",IFERROR((FILTER(RawTotals!$AJ:$AJ,RawTotals!$A:$A=BH92)-(FILTER(Data!$K:$K,Data!$B:$B=BH92,Data!$D:$D=$M92)+FILTER(Data!$L:$L,Data!$B:$B=BH92,Data!$D:$D=$M92))),""""),"""")"),"")</f>
        <v/>
      </c>
      <c r="CS92" s="70" t="str">
        <f>IFERROR(__xludf.DUMMYFUNCTION("IF($M92&lt;&gt;"""",IFERROR((FILTER(RawTotals!$AJ:$AJ,RawTotals!$A:$A=BI92)-(FILTER(Data!$K:$K,Data!$B:$B=BI92,Data!$D:$D=$M92)+FILTER(Data!$L:$L,Data!$B:$B=BI92,Data!$D:$D=$M92))),""""),"""")"),"")</f>
        <v/>
      </c>
      <c r="CT92" s="69"/>
      <c r="CU92" s="69"/>
      <c r="CV92" s="69"/>
      <c r="CW92" s="69"/>
      <c r="CX92" s="69"/>
      <c r="CY92" s="69"/>
      <c r="CZ92" s="69"/>
      <c r="DA92" s="69"/>
      <c r="DB92" s="69"/>
      <c r="DC92" s="69"/>
      <c r="DD92" s="69"/>
      <c r="DE92" s="69"/>
    </row>
    <row r="93">
      <c r="A93" s="65" t="str">
        <f>RawTotals!A93</f>
        <v/>
      </c>
      <c r="B93" s="68" t="str">
        <f>IFERROR(__xludf.DUMMYFUNCTION("IF(A93&lt;&gt;"""",IFERROR(TRANSPOSE(FILTER(Data!D:D,Data!B:B=A93,Data!R:R&lt;&gt;"""")),""No Defense""),"""")"),"")</f>
        <v/>
      </c>
      <c r="C93" s="65"/>
      <c r="D93" s="65"/>
      <c r="E93" s="65"/>
      <c r="F93" s="65"/>
      <c r="G93" s="65"/>
      <c r="H93" s="65"/>
      <c r="I93" s="65"/>
      <c r="J93" s="65"/>
      <c r="K93" s="65"/>
      <c r="L93" s="65"/>
      <c r="M93" s="65"/>
      <c r="N93" s="64" t="str">
        <f>IFERROR(__xludf.DUMMYFUNCTION("IFERROR(Textjoin("""",TRUE,FILTER(Data!$R:$R,Data!$D:$D=B93,Data!$B:$B=$A93)),"""")"),"")</f>
        <v/>
      </c>
      <c r="O93" s="64" t="str">
        <f>IFERROR(__xludf.DUMMYFUNCTION("IFERROR(Textjoin("""",TRUE,FILTER(Data!$R:$R,Data!$D:$D=C93,Data!$B:$B=$A93)),"""")"),"")</f>
        <v/>
      </c>
      <c r="P93" s="64" t="str">
        <f>IFERROR(__xludf.DUMMYFUNCTION("IFERROR(Textjoin("""",TRUE,FILTER(Data!$R:$R,Data!$D:$D=D93,Data!$B:$B=$A93)),"""")"),"")</f>
        <v/>
      </c>
      <c r="Q93" s="64" t="str">
        <f>IFERROR(__xludf.DUMMYFUNCTION("IFERROR(Textjoin("""",TRUE,FILTER(Data!$R:$R,Data!$D:$D=E93,Data!$B:$B=$A93)),"""")"),"")</f>
        <v/>
      </c>
      <c r="R93" s="64" t="str">
        <f>IFERROR(__xludf.DUMMYFUNCTION("IFERROR(Textjoin("""",TRUE,FILTER(Data!$R:$R,Data!$D:$D=F93,Data!$B:$B=$A93)),"""")"),"")</f>
        <v/>
      </c>
      <c r="S93" s="64" t="str">
        <f>IFERROR(__xludf.DUMMYFUNCTION("IFERROR(Textjoin("""",TRUE,FILTER(Data!$R:$R,Data!$D:$D=G93,Data!$B:$B=$A93)),"""")"),"")</f>
        <v/>
      </c>
      <c r="T93" s="64" t="str">
        <f>IFERROR(__xludf.DUMMYFUNCTION("IFERROR(Textjoin("""",TRUE,FILTER(Data!$R:$R,Data!$D:$D=H93,Data!$B:$B=$A93)),"""")"),"")</f>
        <v/>
      </c>
      <c r="U93" s="64" t="str">
        <f>IFERROR(__xludf.DUMMYFUNCTION("IFERROR(Textjoin("""",TRUE,FILTER(Data!$R:$R,Data!$D:$D=I93,Data!$B:$B=$A93)),"""")"),"")</f>
        <v/>
      </c>
      <c r="V93" s="64" t="str">
        <f>IFERROR(__xludf.DUMMYFUNCTION("IFERROR(Textjoin("""",TRUE,FILTER(Data!$R:$R,Data!$D:$D=J93,Data!$B:$B=$A93)),"""")"),"")</f>
        <v/>
      </c>
      <c r="W93" s="64" t="str">
        <f>IFERROR(__xludf.DUMMYFUNCTION("IFERROR(Textjoin("""",TRUE,FILTER(Data!$R:$R,Data!$D:$D=K93,Data!$B:$B=$A93)),"""")"),"")</f>
        <v/>
      </c>
      <c r="X93" s="64" t="str">
        <f>IFERROR(__xludf.DUMMYFUNCTION("IFERROR(Textjoin("""",TRUE,FILTER(Data!$R:$R,Data!$D:$D=L93,Data!$B:$B=$A93)),"""")"),"")</f>
        <v/>
      </c>
      <c r="Y93" s="64" t="str">
        <f>IFERROR(__xludf.DUMMYFUNCTION("IFERROR(Textjoin("""",TRUE,FILTER(Data!$R:$R,Data!$D:$D=M93,Data!$B:$B=$A93)),"""")"),"")</f>
        <v/>
      </c>
      <c r="Z93" s="64" t="str">
        <f>IFERROR(__xludf.DUMMYFUNCTION("IFERROR(SPLIT(N93,"",""),"""")"),"")</f>
        <v/>
      </c>
      <c r="AA93" s="65"/>
      <c r="AB93" s="65"/>
      <c r="AC93" s="69" t="str">
        <f>IFERROR(__xludf.DUMMYFUNCTION("IFERROR(SPLIT(O93,"",""),"""")"),"")</f>
        <v/>
      </c>
      <c r="AD93" s="65"/>
      <c r="AE93" s="65"/>
      <c r="AF93" s="69" t="str">
        <f>IFERROR(__xludf.DUMMYFUNCTION("IFERROR(SPLIT(P93,"",""),"""")"),"")</f>
        <v/>
      </c>
      <c r="AG93" s="65"/>
      <c r="AH93" s="65"/>
      <c r="AI93" s="69" t="str">
        <f>IFERROR(__xludf.DUMMYFUNCTION("IFERROR(SPLIT(Q93,"",""),"""")"),"")</f>
        <v/>
      </c>
      <c r="AJ93" s="65"/>
      <c r="AK93" s="65"/>
      <c r="AL93" s="69" t="str">
        <f>IFERROR(__xludf.DUMMYFUNCTION("IFERROR(SPLIT(R93,"",""),"""")"),"")</f>
        <v/>
      </c>
      <c r="AM93" s="65"/>
      <c r="AN93" s="65"/>
      <c r="AO93" s="69" t="str">
        <f>IFERROR(__xludf.DUMMYFUNCTION("IFERROR(SPLIT(S93,"",""),"""")"),"")</f>
        <v/>
      </c>
      <c r="AP93" s="65"/>
      <c r="AQ93" s="65"/>
      <c r="AR93" s="69" t="str">
        <f>IFERROR(__xludf.DUMMYFUNCTION("IFERROR(SPLIT(T93,"",""),"""")"),"")</f>
        <v/>
      </c>
      <c r="AS93" s="65"/>
      <c r="AT93" s="65"/>
      <c r="AU93" s="69" t="str">
        <f>IFERROR(__xludf.DUMMYFUNCTION("IFERROR(SPLIT(U93,"",""),"""")"),"")</f>
        <v/>
      </c>
      <c r="AV93" s="65"/>
      <c r="AW93" s="65"/>
      <c r="AX93" s="69" t="str">
        <f>IFERROR(__xludf.DUMMYFUNCTION("IFERROR(SPLIT(V93,"",""),"""")"),"")</f>
        <v/>
      </c>
      <c r="AY93" s="65"/>
      <c r="AZ93" s="65"/>
      <c r="BA93" s="69" t="str">
        <f>IFERROR(__xludf.DUMMYFUNCTION("IFERROR(SPLIT(W93,"",""),"""")"),"")</f>
        <v/>
      </c>
      <c r="BB93" s="69"/>
      <c r="BC93" s="69"/>
      <c r="BD93" s="69" t="str">
        <f>IFERROR(__xludf.DUMMYFUNCTION("IFERROR(SPLIT(X93,"",""),"""")"),"")</f>
        <v/>
      </c>
      <c r="BE93" s="69"/>
      <c r="BF93" s="69"/>
      <c r="BG93" s="69" t="str">
        <f>IFERROR(__xludf.DUMMYFUNCTION("IFERROR(SPLIT(Y93,"",""),"""")"),"")</f>
        <v/>
      </c>
      <c r="BH93" s="69"/>
      <c r="BI93" s="69"/>
      <c r="BJ93" s="68" t="str">
        <f>IFERROR(__xludf.DUMMYFUNCTION("IF($B93&lt;&gt;"""",IFERROR(FILTER(RawTotals!$AJ:$AJ,RawTotals!$A:$A=Z93)-(FILTER(Data!$K:$K,Data!$B:$B=Z93,Data!$D:$D=$B93)+FILTER(Data!$L:$L,Data!$B:$B=Z93,Data!$D:$D=$B93)),""""),"""")"),"")</f>
        <v/>
      </c>
      <c r="BK93" s="68" t="str">
        <f>IFERROR(__xludf.DUMMYFUNCTION("IF($B93&lt;&gt;"""",IFERROR(FILTER(RawTotals!$AJ:$AJ,RawTotals!$A:$A=AA93)-(FILTER(Data!$K:$K,Data!$B:$B=AA93,Data!$D:$D=$B93)+FILTER(Data!$L:$L,Data!$B:$B=AA93,Data!$D:$D=$B93)),""""),"""")"),"")</f>
        <v/>
      </c>
      <c r="BL93" s="68" t="str">
        <f>IFERROR(__xludf.DUMMYFUNCTION("IF($B93&lt;&gt;"""",IFERROR(FILTER(RawTotals!$AJ:$AJ,RawTotals!$A:$A=AB93)-(FILTER(Data!$K:$K,Data!$B:$B=AB93,Data!$D:$D=$B93)+FILTER(Data!$L:$L,Data!$B:$B=AB93,Data!$D:$D=$B93)),""""),"""")"),"")</f>
        <v/>
      </c>
      <c r="BM93" s="69" t="str">
        <f>IFERROR(__xludf.DUMMYFUNCTION("IF($C93&lt;&gt;"""",IFERROR(FILTER(RawTotals!$AJ:$AJ,RawTotals!$A:$A=AC93)-(FILTER(Data!$K:$K,Data!$B:$B=AC93,Data!$D:$D=$C93)+FILTER(Data!$L:$L,Data!$B:$B=AC93,Data!$D:$D=$C93)),""""),"""")"),"")</f>
        <v/>
      </c>
      <c r="BN93" s="69" t="str">
        <f>IFERROR(__xludf.DUMMYFUNCTION("IF($C93&lt;&gt;"""",IFERROR(FILTER(RawTotals!$AJ:$AJ,RawTotals!$A:$A=AD93)-(FILTER(Data!$K:$K,Data!$B:$B=AD93,Data!$D:$D=$C93)+FILTER(Data!$L:$L,Data!$B:$B=AD93,Data!$D:$D=$C93)),""""),"""")"),"")</f>
        <v/>
      </c>
      <c r="BO93" s="69" t="str">
        <f>IFERROR(__xludf.DUMMYFUNCTION("IF($C93&lt;&gt;"""",IFERROR(FILTER(RawTotals!$AJ:$AJ,RawTotals!$A:$A=AE93)-(FILTER(Data!$K:$K,Data!$B:$B=AE93,Data!$D:$D=$C93)+FILTER(Data!$L:$L,Data!$B:$B=AE93,Data!$D:$D=$C93)),""""),"""")"),"")</f>
        <v/>
      </c>
      <c r="BP93" s="69" t="str">
        <f>IFERROR(__xludf.DUMMYFUNCTION("IF($D93&lt;&gt;"""",IFERROR(FILTER(RawTotals!$AJ:$AJ,RawTotals!$A:$A=AF93)-(FILTER(Data!$K:$K,Data!$B:$B=AF93,Data!$D:$D=$D93)+FILTER(Data!$L:$L,Data!$B:$B=AF93,Data!$D:$D=$D93)),""""),"""")"),"")</f>
        <v/>
      </c>
      <c r="BQ93" s="69" t="str">
        <f>IFERROR(__xludf.DUMMYFUNCTION("IF($D93&lt;&gt;"""",IFERROR(FILTER(RawTotals!$AJ:$AJ,RawTotals!$A:$A=AG93)-(FILTER(Data!$K:$K,Data!$B:$B=AG93,Data!$D:$D=$D93)+FILTER(Data!$L:$L,Data!$B:$B=AG93,Data!$D:$D=$D93)),""""),"""")"),"")</f>
        <v/>
      </c>
      <c r="BR93" s="69" t="str">
        <f>IFERROR(__xludf.DUMMYFUNCTION("IF($D93&lt;&gt;"""",IFERROR(FILTER(RawTotals!$AJ:$AJ,RawTotals!$A:$A=AH93)-(FILTER(Data!$K:$K,Data!$B:$B=AH93,Data!$D:$D=$D93)+FILTER(Data!$L:$L,Data!$B:$B=AH93,Data!$D:$D=$D93)),""""),"""")"),"")</f>
        <v/>
      </c>
      <c r="BS93" s="69" t="str">
        <f>IFERROR(__xludf.DUMMYFUNCTION("IF($E93&lt;&gt;"""",IFERROR(FILTER(RawTotals!$AJ:$AJ,RawTotals!$A:$A=AI93)-(FILTER(Data!$K:$K,Data!$B:$B=AI93,Data!$D:$D=$E93)+FILTER(Data!$L:$L,Data!$B:$B=AI93,Data!$D:$D=$E93)),""""),"""")"),"")</f>
        <v/>
      </c>
      <c r="BT93" s="69" t="str">
        <f>IFERROR(__xludf.DUMMYFUNCTION("IF($E93&lt;&gt;"""",IFERROR(FILTER(RawTotals!$AJ:$AJ,RawTotals!$A:$A=AJ93)-(FILTER(Data!$K:$K,Data!$B:$B=AJ93,Data!$D:$D=$E93)+FILTER(Data!$L:$L,Data!$B:$B=AJ93,Data!$D:$D=$E93)),""""),"""")"),"")</f>
        <v/>
      </c>
      <c r="BU93" s="69" t="str">
        <f>IFERROR(__xludf.DUMMYFUNCTION("IF($E93&lt;&gt;"""",IFERROR(FILTER(RawTotals!$AJ:$AJ,RawTotals!$A:$A=AK93)-(FILTER(Data!$K:$K,Data!$B:$B=AK93,Data!$D:$D=$E93)+FILTER(Data!$L:$L,Data!$B:$B=AK93,Data!$D:$D=$E93)),""""),"""")"),"")</f>
        <v/>
      </c>
      <c r="BV93" s="69" t="str">
        <f>IFERROR(__xludf.DUMMYFUNCTION("IF($F93&lt;&gt;"""",IFERROR(FILTER(RawTotals!$AJ:$AJ,RawTotals!$A:$A=AL93)-(FILTER(Data!$K:$K,Data!$B:$B=AL93,Data!$D:$D=$F93)+FILTER(Data!$L:$L,Data!$B:$B=AL93,Data!$D:$D=$F93)),""""),"""")"),"")</f>
        <v/>
      </c>
      <c r="BW93" s="69" t="str">
        <f>IFERROR(__xludf.DUMMYFUNCTION("IF($F93&lt;&gt;"""",IFERROR(FILTER(RawTotals!$AJ:$AJ,RawTotals!$A:$A=AM93)-(FILTER(Data!$K:$K,Data!$B:$B=AM93,Data!$D:$D=$F93)+FILTER(Data!$L:$L,Data!$B:$B=AM93,Data!$D:$D=$F93)),""""),"""")"),"")</f>
        <v/>
      </c>
      <c r="BX93" s="69" t="str">
        <f>IFERROR(__xludf.DUMMYFUNCTION("IF($F93&lt;&gt;"""",IFERROR(FILTER(RawTotals!$AJ:$AJ,RawTotals!$A:$A=AN93)-(FILTER(Data!$K:$K,Data!$B:$B=AN93,Data!$D:$D=$F93)+FILTER(Data!$L:$L,Data!$B:$B=AN93,Data!$D:$D=$F93)),""""),"""")"),"")</f>
        <v/>
      </c>
      <c r="BY93" s="69" t="str">
        <f>IFERROR(__xludf.DUMMYFUNCTION("IF($G93&lt;&gt;"""",IFERROR(FILTER(RawTotals!$AJ:$AJ,RawTotals!$A:$A=AO93)-(FILTER(Data!$K:$K,Data!$B:$B=AO93,Data!$D:$D=$G93)+FILTER(Data!$L:$L,Data!$B:$B=AO93,Data!$D:$D=$G93)),""""),"""")"),"")</f>
        <v/>
      </c>
      <c r="BZ93" s="69" t="str">
        <f>IFERROR(__xludf.DUMMYFUNCTION("IF($G93&lt;&gt;"""",IFERROR(FILTER(RawTotals!$AJ:$AJ,RawTotals!$A:$A=AP93)-(FILTER(Data!$K:$K,Data!$B:$B=AP93,Data!$D:$D=$G93)+FILTER(Data!$L:$L,Data!$B:$B=AP93,Data!$D:$D=$G93)),""""),"""")"),"")</f>
        <v/>
      </c>
      <c r="CA93" s="69" t="str">
        <f>IFERROR(__xludf.DUMMYFUNCTION("IF($G93&lt;&gt;"""",IFERROR(FILTER(RawTotals!$AJ:$AJ,RawTotals!$A:$A=AQ93)-(FILTER(Data!$K:$K,Data!$B:$B=AQ93,Data!$D:$D=$G93)+FILTER(Data!$L:$L,Data!$B:$B=AQ93,Data!$D:$D=$G93)),""""),"""")"),"")</f>
        <v/>
      </c>
      <c r="CB93" s="69" t="str">
        <f>IFERROR(__xludf.DUMMYFUNCTION("IF($H93&lt;&gt;"""",IFERROR(FILTER(RawTotals!$AJ:$AJ,RawTotals!$A:$A=AR93)-(FILTER(Data!$K:$K,Data!$B:$B=AR93,Data!$D:$D=$H93)+FILTER(Data!$L:$L,Data!$B:$B=AR93,Data!$D:$D=$H93)),""""),"""")"),"")</f>
        <v/>
      </c>
      <c r="CC93" s="69" t="str">
        <f>IFERROR(__xludf.DUMMYFUNCTION("IF($H93&lt;&gt;"""",IFERROR(FILTER(RawTotals!$AJ:$AJ,RawTotals!$A:$A=AS93)-(FILTER(Data!$K:$K,Data!$B:$B=AS93,Data!$D:$D=$H93)+FILTER(Data!$L:$L,Data!$B:$B=AS93,Data!$D:$D=$H93)),""""),"""")"),"")</f>
        <v/>
      </c>
      <c r="CD93" s="69" t="str">
        <f>IFERROR(__xludf.DUMMYFUNCTION("IF($H93&lt;&gt;"""",IFERROR(FILTER(RawTotals!$AJ:$AJ,RawTotals!$A:$A=AT93)-(FILTER(Data!$K:$K,Data!$B:$B=AT93,Data!$D:$D=$H93)+FILTER(Data!$L:$L,Data!$B:$B=AT93,Data!$D:$D=$H93)),""""),"""")"),"")</f>
        <v/>
      </c>
      <c r="CE93" s="69" t="str">
        <f>IFERROR(__xludf.DUMMYFUNCTION("IF($I93&lt;&gt;"""",IFERROR(FILTER(RawTotals!$AJ:$AJ,RawTotals!$A:$A=AU93)-(FILTER(Data!$K:$K,Data!$B:$B=AU93,Data!$D:$D=$I93)+FILTER(Data!$L:$L,Data!$B:$B=AU93,Data!$D:$D=$I93)),""""),"""")"),"")</f>
        <v/>
      </c>
      <c r="CF93" s="69" t="str">
        <f>IFERROR(__xludf.DUMMYFUNCTION("IF($I93&lt;&gt;"""",IFERROR(FILTER(RawTotals!$AJ:$AJ,RawTotals!$A:$A=AV93)-(FILTER(Data!$K:$K,Data!$B:$B=AV93,Data!$D:$D=$I93)+FILTER(Data!$L:$L,Data!$B:$B=AV93,Data!$D:$D=$I93)),""""),"""")"),"")</f>
        <v/>
      </c>
      <c r="CG93" s="69" t="str">
        <f>IFERROR(__xludf.DUMMYFUNCTION("IF($I93&lt;&gt;"""",IFERROR(FILTER(RawTotals!$AJ:$AJ,RawTotals!$A:$A=AW93)-(FILTER(Data!$K:$K,Data!$B:$B=AW93,Data!$D:$D=$I93)+FILTER(Data!$L:$L,Data!$B:$B=AW93,Data!$D:$D=$I93)),""""),"""")"),"")</f>
        <v/>
      </c>
      <c r="CH93" s="69" t="str">
        <f>IFERROR(__xludf.DUMMYFUNCTION("IF($J93&lt;&gt;"""",IFERROR(FILTER(RawTotals!$AJ:$AJ,RawTotals!$A:$A=AX93)-(FILTER(Data!$K:$K,Data!$B:$B=AX93,Data!$D:$D=$J93)+FILTER(Data!$L:$L,Data!$B:$B=AX93,Data!$D:$D=$J93)),""""),"""")"),"")</f>
        <v/>
      </c>
      <c r="CI93" s="69" t="str">
        <f>IFERROR(__xludf.DUMMYFUNCTION("IF($J93&lt;&gt;"""",IFERROR(FILTER(RawTotals!$AJ:$AJ,RawTotals!$A:$A=AY93)-(FILTER(Data!$K:$K,Data!$B:$B=AY93,Data!$D:$D=$J93)+FILTER(Data!$L:$L,Data!$B:$B=AY93,Data!$D:$D=$J93)),""""),"""")"),"")</f>
        <v/>
      </c>
      <c r="CJ93" s="69" t="str">
        <f>IFERROR(__xludf.DUMMYFUNCTION("IF($J93&lt;&gt;"""",IFERROR(FILTER(RawTotals!$AJ:$AJ,RawTotals!$A:$A=AZ93)-(FILTER(Data!$K:$K,Data!$B:$B=AZ93,Data!$D:$D=$J93)+FILTER(Data!$L:$L,Data!$B:$B=AZ93,Data!$D:$D=$J93)),""""),"""")"),"")</f>
        <v/>
      </c>
      <c r="CK93" s="69" t="str">
        <f>IFERROR(__xludf.DUMMYFUNCTION("IF($K93&lt;&gt;"""",IFERROR(FILTER(RawTotals!$AJ:$AJ,RawTotals!$A:$A=BA93)-(FILTER(Data!$K:$K,Data!$B:$B=BA93,Data!$D:$D=$K93)+FILTER(Data!$L:$L,Data!$B:$B=BA93,Data!$D:$D=$K93)),""""),"""")"),"")</f>
        <v/>
      </c>
      <c r="CL93" s="69" t="str">
        <f>IFERROR(__xludf.DUMMYFUNCTION("IF($K93&lt;&gt;"""",IFERROR(FILTER(RawTotals!$AJ:$AJ,RawTotals!$A:$A=BB93)-(FILTER(Data!$K:$K,Data!$B:$B=BB93,Data!$D:$D=$K93)+FILTER(Data!$L:$L,Data!$B:$B=BB93,Data!$D:$D=$K93)),""""),"""")"),"")</f>
        <v/>
      </c>
      <c r="CM93" s="69" t="str">
        <f>IFERROR(__xludf.DUMMYFUNCTION("IF($K93&lt;&gt;"""",IFERROR(FILTER(RawTotals!$AJ:$AJ,RawTotals!$A:$A=BC93)-(FILTER(Data!$K:$K,Data!$B:$B=BC93,Data!$D:$D=$K93)+FILTER(Data!$L:$L,Data!$B:$B=BC93,Data!$D:$D=$K93)),""""),"""")"),"")</f>
        <v/>
      </c>
      <c r="CN93" s="69" t="str">
        <f>IFERROR(__xludf.DUMMYFUNCTION("IF($L93&lt;&gt;"""",IFERROR((FILTER(RawTotals!$AJ:$AJ,RawTotals!$A:$A=BD93)-(FILTER(Data!$K:$K,Data!$B:$B=BD93,Data!$D:$D=$L93)+FILTER(Data!$L:$L,Data!$B:$B=BD93,Data!$D:$D=$L93))),""""),"""")"),"")</f>
        <v/>
      </c>
      <c r="CO93" s="69" t="str">
        <f>IFERROR(__xludf.DUMMYFUNCTION("IF($L93&lt;&gt;"""",IFERROR((FILTER(RawTotals!$AJ:$AJ,RawTotals!$A:$A=BE93)-(FILTER(Data!$K:$K,Data!$B:$B=BE93,Data!$D:$D=$L93)+FILTER(Data!$L:$L,Data!$B:$B=BE93,Data!$D:$D=$L93))),""""),"""")"),"")</f>
        <v/>
      </c>
      <c r="CP93" s="69" t="str">
        <f>IFERROR(__xludf.DUMMYFUNCTION("IF($L93&lt;&gt;"""",IFERROR((FILTER(RawTotals!$AJ:$AJ,RawTotals!$A:$A=BF93)-(FILTER(Data!$K:$K,Data!$B:$B=BF93,Data!$D:$D=$L93)+FILTER(Data!$L:$L,Data!$B:$B=BF93,Data!$D:$D=$L93))),""""),"""")"),"")</f>
        <v/>
      </c>
      <c r="CQ93" s="69" t="str">
        <f>IFERROR(__xludf.DUMMYFUNCTION("IF($M93&lt;&gt;"""",IFERROR((FILTER(RawTotals!$AJ:$AJ,RawTotals!$A:$A=BG93)-(FILTER(Data!$K:$K,Data!$B:$B=BG93,Data!$D:$D=$M93)+FILTER(Data!$L:$L,Data!$B:$B=BG93,Data!$D:$D=$M93))),""""),"""")"),"")</f>
        <v/>
      </c>
      <c r="CR93" s="69" t="str">
        <f>IFERROR(__xludf.DUMMYFUNCTION("IF($M93&lt;&gt;"""",IFERROR((FILTER(RawTotals!$AJ:$AJ,RawTotals!$A:$A=BH93)-(FILTER(Data!$K:$K,Data!$B:$B=BH93,Data!$D:$D=$M93)+FILTER(Data!$L:$L,Data!$B:$B=BH93,Data!$D:$D=$M93))),""""),"""")"),"")</f>
        <v/>
      </c>
      <c r="CS93" s="70" t="str">
        <f>IFERROR(__xludf.DUMMYFUNCTION("IF($M93&lt;&gt;"""",IFERROR((FILTER(RawTotals!$AJ:$AJ,RawTotals!$A:$A=BI93)-(FILTER(Data!$K:$K,Data!$B:$B=BI93,Data!$D:$D=$M93)+FILTER(Data!$L:$L,Data!$B:$B=BI93,Data!$D:$D=$M93))),""""),"""")"),"")</f>
        <v/>
      </c>
      <c r="CT93" s="69"/>
      <c r="CU93" s="69"/>
      <c r="CV93" s="69"/>
      <c r="CW93" s="69"/>
      <c r="CX93" s="69"/>
      <c r="CY93" s="69"/>
      <c r="CZ93" s="69"/>
      <c r="DA93" s="69"/>
      <c r="DB93" s="69"/>
      <c r="DC93" s="69"/>
      <c r="DD93" s="69"/>
      <c r="DE93" s="69"/>
    </row>
    <row r="94">
      <c r="A94" s="65" t="str">
        <f>RawTotals!A94</f>
        <v/>
      </c>
      <c r="B94" s="68" t="str">
        <f>IFERROR(__xludf.DUMMYFUNCTION("IF(A94&lt;&gt;"""",IFERROR(TRANSPOSE(FILTER(Data!D:D,Data!B:B=A94,Data!R:R&lt;&gt;"""")),""No Defense""),"""")"),"")</f>
        <v/>
      </c>
      <c r="C94" s="65"/>
      <c r="D94" s="65"/>
      <c r="E94" s="65"/>
      <c r="F94" s="65"/>
      <c r="G94" s="65"/>
      <c r="H94" s="65"/>
      <c r="I94" s="65"/>
      <c r="J94" s="65"/>
      <c r="K94" s="65"/>
      <c r="L94" s="65"/>
      <c r="M94" s="65"/>
      <c r="N94" s="64" t="str">
        <f>IFERROR(__xludf.DUMMYFUNCTION("IFERROR(Textjoin("""",TRUE,FILTER(Data!$R:$R,Data!$D:$D=B94,Data!$B:$B=$A94)),"""")"),"")</f>
        <v/>
      </c>
      <c r="O94" s="64" t="str">
        <f>IFERROR(__xludf.DUMMYFUNCTION("IFERROR(Textjoin("""",TRUE,FILTER(Data!$R:$R,Data!$D:$D=C94,Data!$B:$B=$A94)),"""")"),"")</f>
        <v/>
      </c>
      <c r="P94" s="64" t="str">
        <f>IFERROR(__xludf.DUMMYFUNCTION("IFERROR(Textjoin("""",TRUE,FILTER(Data!$R:$R,Data!$D:$D=D94,Data!$B:$B=$A94)),"""")"),"")</f>
        <v/>
      </c>
      <c r="Q94" s="64" t="str">
        <f>IFERROR(__xludf.DUMMYFUNCTION("IFERROR(Textjoin("""",TRUE,FILTER(Data!$R:$R,Data!$D:$D=E94,Data!$B:$B=$A94)),"""")"),"")</f>
        <v/>
      </c>
      <c r="R94" s="64" t="str">
        <f>IFERROR(__xludf.DUMMYFUNCTION("IFERROR(Textjoin("""",TRUE,FILTER(Data!$R:$R,Data!$D:$D=F94,Data!$B:$B=$A94)),"""")"),"")</f>
        <v/>
      </c>
      <c r="S94" s="64" t="str">
        <f>IFERROR(__xludf.DUMMYFUNCTION("IFERROR(Textjoin("""",TRUE,FILTER(Data!$R:$R,Data!$D:$D=G94,Data!$B:$B=$A94)),"""")"),"")</f>
        <v/>
      </c>
      <c r="T94" s="64" t="str">
        <f>IFERROR(__xludf.DUMMYFUNCTION("IFERROR(Textjoin("""",TRUE,FILTER(Data!$R:$R,Data!$D:$D=H94,Data!$B:$B=$A94)),"""")"),"")</f>
        <v/>
      </c>
      <c r="U94" s="64" t="str">
        <f>IFERROR(__xludf.DUMMYFUNCTION("IFERROR(Textjoin("""",TRUE,FILTER(Data!$R:$R,Data!$D:$D=I94,Data!$B:$B=$A94)),"""")"),"")</f>
        <v/>
      </c>
      <c r="V94" s="64" t="str">
        <f>IFERROR(__xludf.DUMMYFUNCTION("IFERROR(Textjoin("""",TRUE,FILTER(Data!$R:$R,Data!$D:$D=J94,Data!$B:$B=$A94)),"""")"),"")</f>
        <v/>
      </c>
      <c r="W94" s="64" t="str">
        <f>IFERROR(__xludf.DUMMYFUNCTION("IFERROR(Textjoin("""",TRUE,FILTER(Data!$R:$R,Data!$D:$D=K94,Data!$B:$B=$A94)),"""")"),"")</f>
        <v/>
      </c>
      <c r="X94" s="64" t="str">
        <f>IFERROR(__xludf.DUMMYFUNCTION("IFERROR(Textjoin("""",TRUE,FILTER(Data!$R:$R,Data!$D:$D=L94,Data!$B:$B=$A94)),"""")"),"")</f>
        <v/>
      </c>
      <c r="Y94" s="64" t="str">
        <f>IFERROR(__xludf.DUMMYFUNCTION("IFERROR(Textjoin("""",TRUE,FILTER(Data!$R:$R,Data!$D:$D=M94,Data!$B:$B=$A94)),"""")"),"")</f>
        <v/>
      </c>
      <c r="Z94" s="64" t="str">
        <f>IFERROR(__xludf.DUMMYFUNCTION("IFERROR(SPLIT(N94,"",""),"""")"),"")</f>
        <v/>
      </c>
      <c r="AA94" s="65"/>
      <c r="AB94" s="65"/>
      <c r="AC94" s="69" t="str">
        <f>IFERROR(__xludf.DUMMYFUNCTION("IFERROR(SPLIT(O94,"",""),"""")"),"")</f>
        <v/>
      </c>
      <c r="AD94" s="65"/>
      <c r="AE94" s="65"/>
      <c r="AF94" s="69" t="str">
        <f>IFERROR(__xludf.DUMMYFUNCTION("IFERROR(SPLIT(P94,"",""),"""")"),"")</f>
        <v/>
      </c>
      <c r="AG94" s="65"/>
      <c r="AH94" s="65"/>
      <c r="AI94" s="69" t="str">
        <f>IFERROR(__xludf.DUMMYFUNCTION("IFERROR(SPLIT(Q94,"",""),"""")"),"")</f>
        <v/>
      </c>
      <c r="AJ94" s="65"/>
      <c r="AK94" s="65"/>
      <c r="AL94" s="69" t="str">
        <f>IFERROR(__xludf.DUMMYFUNCTION("IFERROR(SPLIT(R94,"",""),"""")"),"")</f>
        <v/>
      </c>
      <c r="AM94" s="65"/>
      <c r="AN94" s="65"/>
      <c r="AO94" s="69" t="str">
        <f>IFERROR(__xludf.DUMMYFUNCTION("IFERROR(SPLIT(S94,"",""),"""")"),"")</f>
        <v/>
      </c>
      <c r="AP94" s="65"/>
      <c r="AQ94" s="65"/>
      <c r="AR94" s="69" t="str">
        <f>IFERROR(__xludf.DUMMYFUNCTION("IFERROR(SPLIT(T94,"",""),"""")"),"")</f>
        <v/>
      </c>
      <c r="AS94" s="65"/>
      <c r="AT94" s="65"/>
      <c r="AU94" s="69" t="str">
        <f>IFERROR(__xludf.DUMMYFUNCTION("IFERROR(SPLIT(U94,"",""),"""")"),"")</f>
        <v/>
      </c>
      <c r="AV94" s="65"/>
      <c r="AW94" s="65"/>
      <c r="AX94" s="69" t="str">
        <f>IFERROR(__xludf.DUMMYFUNCTION("IFERROR(SPLIT(V94,"",""),"""")"),"")</f>
        <v/>
      </c>
      <c r="AY94" s="65"/>
      <c r="AZ94" s="65"/>
      <c r="BA94" s="69" t="str">
        <f>IFERROR(__xludf.DUMMYFUNCTION("IFERROR(SPLIT(W94,"",""),"""")"),"")</f>
        <v/>
      </c>
      <c r="BB94" s="69"/>
      <c r="BC94" s="69"/>
      <c r="BD94" s="69" t="str">
        <f>IFERROR(__xludf.DUMMYFUNCTION("IFERROR(SPLIT(X94,"",""),"""")"),"")</f>
        <v/>
      </c>
      <c r="BE94" s="69"/>
      <c r="BF94" s="69"/>
      <c r="BG94" s="69" t="str">
        <f>IFERROR(__xludf.DUMMYFUNCTION("IFERROR(SPLIT(Y94,"",""),"""")"),"")</f>
        <v/>
      </c>
      <c r="BH94" s="69"/>
      <c r="BI94" s="69"/>
      <c r="BJ94" s="68" t="str">
        <f>IFERROR(__xludf.DUMMYFUNCTION("IF($B94&lt;&gt;"""",IFERROR(FILTER(RawTotals!$AJ:$AJ,RawTotals!$A:$A=Z94)-(FILTER(Data!$K:$K,Data!$B:$B=Z94,Data!$D:$D=$B94)+FILTER(Data!$L:$L,Data!$B:$B=Z94,Data!$D:$D=$B94)),""""),"""")"),"")</f>
        <v/>
      </c>
      <c r="BK94" s="68" t="str">
        <f>IFERROR(__xludf.DUMMYFUNCTION("IF($B94&lt;&gt;"""",IFERROR(FILTER(RawTotals!$AJ:$AJ,RawTotals!$A:$A=AA94)-(FILTER(Data!$K:$K,Data!$B:$B=AA94,Data!$D:$D=$B94)+FILTER(Data!$L:$L,Data!$B:$B=AA94,Data!$D:$D=$B94)),""""),"""")"),"")</f>
        <v/>
      </c>
      <c r="BL94" s="68" t="str">
        <f>IFERROR(__xludf.DUMMYFUNCTION("IF($B94&lt;&gt;"""",IFERROR(FILTER(RawTotals!$AJ:$AJ,RawTotals!$A:$A=AB94)-(FILTER(Data!$K:$K,Data!$B:$B=AB94,Data!$D:$D=$B94)+FILTER(Data!$L:$L,Data!$B:$B=AB94,Data!$D:$D=$B94)),""""),"""")"),"")</f>
        <v/>
      </c>
      <c r="BM94" s="69" t="str">
        <f>IFERROR(__xludf.DUMMYFUNCTION("IF($C94&lt;&gt;"""",IFERROR(FILTER(RawTotals!$AJ:$AJ,RawTotals!$A:$A=AC94)-(FILTER(Data!$K:$K,Data!$B:$B=AC94,Data!$D:$D=$C94)+FILTER(Data!$L:$L,Data!$B:$B=AC94,Data!$D:$D=$C94)),""""),"""")"),"")</f>
        <v/>
      </c>
      <c r="BN94" s="69" t="str">
        <f>IFERROR(__xludf.DUMMYFUNCTION("IF($C94&lt;&gt;"""",IFERROR(FILTER(RawTotals!$AJ:$AJ,RawTotals!$A:$A=AD94)-(FILTER(Data!$K:$K,Data!$B:$B=AD94,Data!$D:$D=$C94)+FILTER(Data!$L:$L,Data!$B:$B=AD94,Data!$D:$D=$C94)),""""),"""")"),"")</f>
        <v/>
      </c>
      <c r="BO94" s="69" t="str">
        <f>IFERROR(__xludf.DUMMYFUNCTION("IF($C94&lt;&gt;"""",IFERROR(FILTER(RawTotals!$AJ:$AJ,RawTotals!$A:$A=AE94)-(FILTER(Data!$K:$K,Data!$B:$B=AE94,Data!$D:$D=$C94)+FILTER(Data!$L:$L,Data!$B:$B=AE94,Data!$D:$D=$C94)),""""),"""")"),"")</f>
        <v/>
      </c>
      <c r="BP94" s="69" t="str">
        <f>IFERROR(__xludf.DUMMYFUNCTION("IF($D94&lt;&gt;"""",IFERROR(FILTER(RawTotals!$AJ:$AJ,RawTotals!$A:$A=AF94)-(FILTER(Data!$K:$K,Data!$B:$B=AF94,Data!$D:$D=$D94)+FILTER(Data!$L:$L,Data!$B:$B=AF94,Data!$D:$D=$D94)),""""),"""")"),"")</f>
        <v/>
      </c>
      <c r="BQ94" s="69" t="str">
        <f>IFERROR(__xludf.DUMMYFUNCTION("IF($D94&lt;&gt;"""",IFERROR(FILTER(RawTotals!$AJ:$AJ,RawTotals!$A:$A=AG94)-(FILTER(Data!$K:$K,Data!$B:$B=AG94,Data!$D:$D=$D94)+FILTER(Data!$L:$L,Data!$B:$B=AG94,Data!$D:$D=$D94)),""""),"""")"),"")</f>
        <v/>
      </c>
      <c r="BR94" s="69" t="str">
        <f>IFERROR(__xludf.DUMMYFUNCTION("IF($D94&lt;&gt;"""",IFERROR(FILTER(RawTotals!$AJ:$AJ,RawTotals!$A:$A=AH94)-(FILTER(Data!$K:$K,Data!$B:$B=AH94,Data!$D:$D=$D94)+FILTER(Data!$L:$L,Data!$B:$B=AH94,Data!$D:$D=$D94)),""""),"""")"),"")</f>
        <v/>
      </c>
      <c r="BS94" s="69" t="str">
        <f>IFERROR(__xludf.DUMMYFUNCTION("IF($E94&lt;&gt;"""",IFERROR(FILTER(RawTotals!$AJ:$AJ,RawTotals!$A:$A=AI94)-(FILTER(Data!$K:$K,Data!$B:$B=AI94,Data!$D:$D=$E94)+FILTER(Data!$L:$L,Data!$B:$B=AI94,Data!$D:$D=$E94)),""""),"""")"),"")</f>
        <v/>
      </c>
      <c r="BT94" s="69" t="str">
        <f>IFERROR(__xludf.DUMMYFUNCTION("IF($E94&lt;&gt;"""",IFERROR(FILTER(RawTotals!$AJ:$AJ,RawTotals!$A:$A=AJ94)-(FILTER(Data!$K:$K,Data!$B:$B=AJ94,Data!$D:$D=$E94)+FILTER(Data!$L:$L,Data!$B:$B=AJ94,Data!$D:$D=$E94)),""""),"""")"),"")</f>
        <v/>
      </c>
      <c r="BU94" s="69" t="str">
        <f>IFERROR(__xludf.DUMMYFUNCTION("IF($E94&lt;&gt;"""",IFERROR(FILTER(RawTotals!$AJ:$AJ,RawTotals!$A:$A=AK94)-(FILTER(Data!$K:$K,Data!$B:$B=AK94,Data!$D:$D=$E94)+FILTER(Data!$L:$L,Data!$B:$B=AK94,Data!$D:$D=$E94)),""""),"""")"),"")</f>
        <v/>
      </c>
      <c r="BV94" s="69" t="str">
        <f>IFERROR(__xludf.DUMMYFUNCTION("IF($F94&lt;&gt;"""",IFERROR(FILTER(RawTotals!$AJ:$AJ,RawTotals!$A:$A=AL94)-(FILTER(Data!$K:$K,Data!$B:$B=AL94,Data!$D:$D=$F94)+FILTER(Data!$L:$L,Data!$B:$B=AL94,Data!$D:$D=$F94)),""""),"""")"),"")</f>
        <v/>
      </c>
      <c r="BW94" s="69" t="str">
        <f>IFERROR(__xludf.DUMMYFUNCTION("IF($F94&lt;&gt;"""",IFERROR(FILTER(RawTotals!$AJ:$AJ,RawTotals!$A:$A=AM94)-(FILTER(Data!$K:$K,Data!$B:$B=AM94,Data!$D:$D=$F94)+FILTER(Data!$L:$L,Data!$B:$B=AM94,Data!$D:$D=$F94)),""""),"""")"),"")</f>
        <v/>
      </c>
      <c r="BX94" s="69" t="str">
        <f>IFERROR(__xludf.DUMMYFUNCTION("IF($F94&lt;&gt;"""",IFERROR(FILTER(RawTotals!$AJ:$AJ,RawTotals!$A:$A=AN94)-(FILTER(Data!$K:$K,Data!$B:$B=AN94,Data!$D:$D=$F94)+FILTER(Data!$L:$L,Data!$B:$B=AN94,Data!$D:$D=$F94)),""""),"""")"),"")</f>
        <v/>
      </c>
      <c r="BY94" s="69" t="str">
        <f>IFERROR(__xludf.DUMMYFUNCTION("IF($G94&lt;&gt;"""",IFERROR(FILTER(RawTotals!$AJ:$AJ,RawTotals!$A:$A=AO94)-(FILTER(Data!$K:$K,Data!$B:$B=AO94,Data!$D:$D=$G94)+FILTER(Data!$L:$L,Data!$B:$B=AO94,Data!$D:$D=$G94)),""""),"""")"),"")</f>
        <v/>
      </c>
      <c r="BZ94" s="69" t="str">
        <f>IFERROR(__xludf.DUMMYFUNCTION("IF($G94&lt;&gt;"""",IFERROR(FILTER(RawTotals!$AJ:$AJ,RawTotals!$A:$A=AP94)-(FILTER(Data!$K:$K,Data!$B:$B=AP94,Data!$D:$D=$G94)+FILTER(Data!$L:$L,Data!$B:$B=AP94,Data!$D:$D=$G94)),""""),"""")"),"")</f>
        <v/>
      </c>
      <c r="CA94" s="69" t="str">
        <f>IFERROR(__xludf.DUMMYFUNCTION("IF($G94&lt;&gt;"""",IFERROR(FILTER(RawTotals!$AJ:$AJ,RawTotals!$A:$A=AQ94)-(FILTER(Data!$K:$K,Data!$B:$B=AQ94,Data!$D:$D=$G94)+FILTER(Data!$L:$L,Data!$B:$B=AQ94,Data!$D:$D=$G94)),""""),"""")"),"")</f>
        <v/>
      </c>
      <c r="CB94" s="69" t="str">
        <f>IFERROR(__xludf.DUMMYFUNCTION("IF($H94&lt;&gt;"""",IFERROR(FILTER(RawTotals!$AJ:$AJ,RawTotals!$A:$A=AR94)-(FILTER(Data!$K:$K,Data!$B:$B=AR94,Data!$D:$D=$H94)+FILTER(Data!$L:$L,Data!$B:$B=AR94,Data!$D:$D=$H94)),""""),"""")"),"")</f>
        <v/>
      </c>
      <c r="CC94" s="69" t="str">
        <f>IFERROR(__xludf.DUMMYFUNCTION("IF($H94&lt;&gt;"""",IFERROR(FILTER(RawTotals!$AJ:$AJ,RawTotals!$A:$A=AS94)-(FILTER(Data!$K:$K,Data!$B:$B=AS94,Data!$D:$D=$H94)+FILTER(Data!$L:$L,Data!$B:$B=AS94,Data!$D:$D=$H94)),""""),"""")"),"")</f>
        <v/>
      </c>
      <c r="CD94" s="69" t="str">
        <f>IFERROR(__xludf.DUMMYFUNCTION("IF($H94&lt;&gt;"""",IFERROR(FILTER(RawTotals!$AJ:$AJ,RawTotals!$A:$A=AT94)-(FILTER(Data!$K:$K,Data!$B:$B=AT94,Data!$D:$D=$H94)+FILTER(Data!$L:$L,Data!$B:$B=AT94,Data!$D:$D=$H94)),""""),"""")"),"")</f>
        <v/>
      </c>
      <c r="CE94" s="69" t="str">
        <f>IFERROR(__xludf.DUMMYFUNCTION("IF($I94&lt;&gt;"""",IFERROR(FILTER(RawTotals!$AJ:$AJ,RawTotals!$A:$A=AU94)-(FILTER(Data!$K:$K,Data!$B:$B=AU94,Data!$D:$D=$I94)+FILTER(Data!$L:$L,Data!$B:$B=AU94,Data!$D:$D=$I94)),""""),"""")"),"")</f>
        <v/>
      </c>
      <c r="CF94" s="69" t="str">
        <f>IFERROR(__xludf.DUMMYFUNCTION("IF($I94&lt;&gt;"""",IFERROR(FILTER(RawTotals!$AJ:$AJ,RawTotals!$A:$A=AV94)-(FILTER(Data!$K:$K,Data!$B:$B=AV94,Data!$D:$D=$I94)+FILTER(Data!$L:$L,Data!$B:$B=AV94,Data!$D:$D=$I94)),""""),"""")"),"")</f>
        <v/>
      </c>
      <c r="CG94" s="69" t="str">
        <f>IFERROR(__xludf.DUMMYFUNCTION("IF($I94&lt;&gt;"""",IFERROR(FILTER(RawTotals!$AJ:$AJ,RawTotals!$A:$A=AW94)-(FILTER(Data!$K:$K,Data!$B:$B=AW94,Data!$D:$D=$I94)+FILTER(Data!$L:$L,Data!$B:$B=AW94,Data!$D:$D=$I94)),""""),"""")"),"")</f>
        <v/>
      </c>
      <c r="CH94" s="69" t="str">
        <f>IFERROR(__xludf.DUMMYFUNCTION("IF($J94&lt;&gt;"""",IFERROR(FILTER(RawTotals!$AJ:$AJ,RawTotals!$A:$A=AX94)-(FILTER(Data!$K:$K,Data!$B:$B=AX94,Data!$D:$D=$J94)+FILTER(Data!$L:$L,Data!$B:$B=AX94,Data!$D:$D=$J94)),""""),"""")"),"")</f>
        <v/>
      </c>
      <c r="CI94" s="69" t="str">
        <f>IFERROR(__xludf.DUMMYFUNCTION("IF($J94&lt;&gt;"""",IFERROR(FILTER(RawTotals!$AJ:$AJ,RawTotals!$A:$A=AY94)-(FILTER(Data!$K:$K,Data!$B:$B=AY94,Data!$D:$D=$J94)+FILTER(Data!$L:$L,Data!$B:$B=AY94,Data!$D:$D=$J94)),""""),"""")"),"")</f>
        <v/>
      </c>
      <c r="CJ94" s="69" t="str">
        <f>IFERROR(__xludf.DUMMYFUNCTION("IF($J94&lt;&gt;"""",IFERROR(FILTER(RawTotals!$AJ:$AJ,RawTotals!$A:$A=AZ94)-(FILTER(Data!$K:$K,Data!$B:$B=AZ94,Data!$D:$D=$J94)+FILTER(Data!$L:$L,Data!$B:$B=AZ94,Data!$D:$D=$J94)),""""),"""")"),"")</f>
        <v/>
      </c>
      <c r="CK94" s="69" t="str">
        <f>IFERROR(__xludf.DUMMYFUNCTION("IF($K94&lt;&gt;"""",IFERROR(FILTER(RawTotals!$AJ:$AJ,RawTotals!$A:$A=BA94)-(FILTER(Data!$K:$K,Data!$B:$B=BA94,Data!$D:$D=$K94)+FILTER(Data!$L:$L,Data!$B:$B=BA94,Data!$D:$D=$K94)),""""),"""")"),"")</f>
        <v/>
      </c>
      <c r="CL94" s="69" t="str">
        <f>IFERROR(__xludf.DUMMYFUNCTION("IF($K94&lt;&gt;"""",IFERROR(FILTER(RawTotals!$AJ:$AJ,RawTotals!$A:$A=BB94)-(FILTER(Data!$K:$K,Data!$B:$B=BB94,Data!$D:$D=$K94)+FILTER(Data!$L:$L,Data!$B:$B=BB94,Data!$D:$D=$K94)),""""),"""")"),"")</f>
        <v/>
      </c>
      <c r="CM94" s="69" t="str">
        <f>IFERROR(__xludf.DUMMYFUNCTION("IF($K94&lt;&gt;"""",IFERROR(FILTER(RawTotals!$AJ:$AJ,RawTotals!$A:$A=BC94)-(FILTER(Data!$K:$K,Data!$B:$B=BC94,Data!$D:$D=$K94)+FILTER(Data!$L:$L,Data!$B:$B=BC94,Data!$D:$D=$K94)),""""),"""")"),"")</f>
        <v/>
      </c>
      <c r="CN94" s="69" t="str">
        <f>IFERROR(__xludf.DUMMYFUNCTION("IF($L94&lt;&gt;"""",IFERROR((FILTER(RawTotals!$AJ:$AJ,RawTotals!$A:$A=BD94)-(FILTER(Data!$K:$K,Data!$B:$B=BD94,Data!$D:$D=$L94)+FILTER(Data!$L:$L,Data!$B:$B=BD94,Data!$D:$D=$L94))),""""),"""")"),"")</f>
        <v/>
      </c>
      <c r="CO94" s="69" t="str">
        <f>IFERROR(__xludf.DUMMYFUNCTION("IF($L94&lt;&gt;"""",IFERROR((FILTER(RawTotals!$AJ:$AJ,RawTotals!$A:$A=BE94)-(FILTER(Data!$K:$K,Data!$B:$B=BE94,Data!$D:$D=$L94)+FILTER(Data!$L:$L,Data!$B:$B=BE94,Data!$D:$D=$L94))),""""),"""")"),"")</f>
        <v/>
      </c>
      <c r="CP94" s="69" t="str">
        <f>IFERROR(__xludf.DUMMYFUNCTION("IF($L94&lt;&gt;"""",IFERROR((FILTER(RawTotals!$AJ:$AJ,RawTotals!$A:$A=BF94)-(FILTER(Data!$K:$K,Data!$B:$B=BF94,Data!$D:$D=$L94)+FILTER(Data!$L:$L,Data!$B:$B=BF94,Data!$D:$D=$L94))),""""),"""")"),"")</f>
        <v/>
      </c>
      <c r="CQ94" s="69" t="str">
        <f>IFERROR(__xludf.DUMMYFUNCTION("IF($M94&lt;&gt;"""",IFERROR((FILTER(RawTotals!$AJ:$AJ,RawTotals!$A:$A=BG94)-(FILTER(Data!$K:$K,Data!$B:$B=BG94,Data!$D:$D=$M94)+FILTER(Data!$L:$L,Data!$B:$B=BG94,Data!$D:$D=$M94))),""""),"""")"),"")</f>
        <v/>
      </c>
      <c r="CR94" s="69" t="str">
        <f>IFERROR(__xludf.DUMMYFUNCTION("IF($M94&lt;&gt;"""",IFERROR((FILTER(RawTotals!$AJ:$AJ,RawTotals!$A:$A=BH94)-(FILTER(Data!$K:$K,Data!$B:$B=BH94,Data!$D:$D=$M94)+FILTER(Data!$L:$L,Data!$B:$B=BH94,Data!$D:$D=$M94))),""""),"""")"),"")</f>
        <v/>
      </c>
      <c r="CS94" s="70" t="str">
        <f>IFERROR(__xludf.DUMMYFUNCTION("IF($M94&lt;&gt;"""",IFERROR((FILTER(RawTotals!$AJ:$AJ,RawTotals!$A:$A=BI94)-(FILTER(Data!$K:$K,Data!$B:$B=BI94,Data!$D:$D=$M94)+FILTER(Data!$L:$L,Data!$B:$B=BI94,Data!$D:$D=$M94))),""""),"""")"),"")</f>
        <v/>
      </c>
      <c r="CT94" s="69"/>
      <c r="CU94" s="69"/>
      <c r="CV94" s="69"/>
      <c r="CW94" s="69"/>
      <c r="CX94" s="69"/>
      <c r="CY94" s="69"/>
      <c r="CZ94" s="69"/>
      <c r="DA94" s="69"/>
      <c r="DB94" s="69"/>
      <c r="DC94" s="69"/>
      <c r="DD94" s="69"/>
      <c r="DE94" s="69"/>
    </row>
    <row r="95">
      <c r="A95" s="65" t="str">
        <f>RawTotals!A95</f>
        <v/>
      </c>
      <c r="B95" s="68" t="str">
        <f>IFERROR(__xludf.DUMMYFUNCTION("IF(A95&lt;&gt;"""",IFERROR(TRANSPOSE(FILTER(Data!D:D,Data!B:B=A95,Data!R:R&lt;&gt;"""")),""No Defense""),"""")"),"")</f>
        <v/>
      </c>
      <c r="C95" s="65"/>
      <c r="D95" s="65"/>
      <c r="E95" s="65"/>
      <c r="F95" s="65"/>
      <c r="G95" s="65"/>
      <c r="H95" s="65"/>
      <c r="I95" s="65"/>
      <c r="J95" s="65"/>
      <c r="K95" s="65"/>
      <c r="L95" s="65"/>
      <c r="M95" s="65"/>
      <c r="N95" s="64" t="str">
        <f>IFERROR(__xludf.DUMMYFUNCTION("IFERROR(Textjoin("""",TRUE,FILTER(Data!$R:$R,Data!$D:$D=B95,Data!$B:$B=$A95)),"""")"),"")</f>
        <v/>
      </c>
      <c r="O95" s="64" t="str">
        <f>IFERROR(__xludf.DUMMYFUNCTION("IFERROR(Textjoin("""",TRUE,FILTER(Data!$R:$R,Data!$D:$D=C95,Data!$B:$B=$A95)),"""")"),"")</f>
        <v/>
      </c>
      <c r="P95" s="64" t="str">
        <f>IFERROR(__xludf.DUMMYFUNCTION("IFERROR(Textjoin("""",TRUE,FILTER(Data!$R:$R,Data!$D:$D=D95,Data!$B:$B=$A95)),"""")"),"")</f>
        <v/>
      </c>
      <c r="Q95" s="64" t="str">
        <f>IFERROR(__xludf.DUMMYFUNCTION("IFERROR(Textjoin("""",TRUE,FILTER(Data!$R:$R,Data!$D:$D=E95,Data!$B:$B=$A95)),"""")"),"")</f>
        <v/>
      </c>
      <c r="R95" s="64" t="str">
        <f>IFERROR(__xludf.DUMMYFUNCTION("IFERROR(Textjoin("""",TRUE,FILTER(Data!$R:$R,Data!$D:$D=F95,Data!$B:$B=$A95)),"""")"),"")</f>
        <v/>
      </c>
      <c r="S95" s="64" t="str">
        <f>IFERROR(__xludf.DUMMYFUNCTION("IFERROR(Textjoin("""",TRUE,FILTER(Data!$R:$R,Data!$D:$D=G95,Data!$B:$B=$A95)),"""")"),"")</f>
        <v/>
      </c>
      <c r="T95" s="64" t="str">
        <f>IFERROR(__xludf.DUMMYFUNCTION("IFERROR(Textjoin("""",TRUE,FILTER(Data!$R:$R,Data!$D:$D=H95,Data!$B:$B=$A95)),"""")"),"")</f>
        <v/>
      </c>
      <c r="U95" s="64" t="str">
        <f>IFERROR(__xludf.DUMMYFUNCTION("IFERROR(Textjoin("""",TRUE,FILTER(Data!$R:$R,Data!$D:$D=I95,Data!$B:$B=$A95)),"""")"),"")</f>
        <v/>
      </c>
      <c r="V95" s="64" t="str">
        <f>IFERROR(__xludf.DUMMYFUNCTION("IFERROR(Textjoin("""",TRUE,FILTER(Data!$R:$R,Data!$D:$D=J95,Data!$B:$B=$A95)),"""")"),"")</f>
        <v/>
      </c>
      <c r="W95" s="64" t="str">
        <f>IFERROR(__xludf.DUMMYFUNCTION("IFERROR(Textjoin("""",TRUE,FILTER(Data!$R:$R,Data!$D:$D=K95,Data!$B:$B=$A95)),"""")"),"")</f>
        <v/>
      </c>
      <c r="X95" s="64" t="str">
        <f>IFERROR(__xludf.DUMMYFUNCTION("IFERROR(Textjoin("""",TRUE,FILTER(Data!$R:$R,Data!$D:$D=L95,Data!$B:$B=$A95)),"""")"),"")</f>
        <v/>
      </c>
      <c r="Y95" s="64" t="str">
        <f>IFERROR(__xludf.DUMMYFUNCTION("IFERROR(Textjoin("""",TRUE,FILTER(Data!$R:$R,Data!$D:$D=M95,Data!$B:$B=$A95)),"""")"),"")</f>
        <v/>
      </c>
      <c r="Z95" s="64" t="str">
        <f>IFERROR(__xludf.DUMMYFUNCTION("IFERROR(SPLIT(N95,"",""),"""")"),"")</f>
        <v/>
      </c>
      <c r="AA95" s="65"/>
      <c r="AB95" s="65"/>
      <c r="AC95" s="69" t="str">
        <f>IFERROR(__xludf.DUMMYFUNCTION("IFERROR(SPLIT(O95,"",""),"""")"),"")</f>
        <v/>
      </c>
      <c r="AD95" s="65"/>
      <c r="AE95" s="65"/>
      <c r="AF95" s="69" t="str">
        <f>IFERROR(__xludf.DUMMYFUNCTION("IFERROR(SPLIT(P95,"",""),"""")"),"")</f>
        <v/>
      </c>
      <c r="AG95" s="65"/>
      <c r="AH95" s="65"/>
      <c r="AI95" s="69" t="str">
        <f>IFERROR(__xludf.DUMMYFUNCTION("IFERROR(SPLIT(Q95,"",""),"""")"),"")</f>
        <v/>
      </c>
      <c r="AJ95" s="65"/>
      <c r="AK95" s="65"/>
      <c r="AL95" s="69" t="str">
        <f>IFERROR(__xludf.DUMMYFUNCTION("IFERROR(SPLIT(R95,"",""),"""")"),"")</f>
        <v/>
      </c>
      <c r="AM95" s="65"/>
      <c r="AN95" s="65"/>
      <c r="AO95" s="69" t="str">
        <f>IFERROR(__xludf.DUMMYFUNCTION("IFERROR(SPLIT(S95,"",""),"""")"),"")</f>
        <v/>
      </c>
      <c r="AP95" s="65"/>
      <c r="AQ95" s="65"/>
      <c r="AR95" s="69" t="str">
        <f>IFERROR(__xludf.DUMMYFUNCTION("IFERROR(SPLIT(T95,"",""),"""")"),"")</f>
        <v/>
      </c>
      <c r="AS95" s="65"/>
      <c r="AT95" s="65"/>
      <c r="AU95" s="69" t="str">
        <f>IFERROR(__xludf.DUMMYFUNCTION("IFERROR(SPLIT(U95,"",""),"""")"),"")</f>
        <v/>
      </c>
      <c r="AV95" s="65"/>
      <c r="AW95" s="65"/>
      <c r="AX95" s="69" t="str">
        <f>IFERROR(__xludf.DUMMYFUNCTION("IFERROR(SPLIT(V95,"",""),"""")"),"")</f>
        <v/>
      </c>
      <c r="AY95" s="65"/>
      <c r="AZ95" s="65"/>
      <c r="BA95" s="69" t="str">
        <f>IFERROR(__xludf.DUMMYFUNCTION("IFERROR(SPLIT(W95,"",""),"""")"),"")</f>
        <v/>
      </c>
      <c r="BB95" s="69"/>
      <c r="BC95" s="69"/>
      <c r="BD95" s="69" t="str">
        <f>IFERROR(__xludf.DUMMYFUNCTION("IFERROR(SPLIT(X95,"",""),"""")"),"")</f>
        <v/>
      </c>
      <c r="BE95" s="69"/>
      <c r="BF95" s="69"/>
      <c r="BG95" s="69" t="str">
        <f>IFERROR(__xludf.DUMMYFUNCTION("IFERROR(SPLIT(Y95,"",""),"""")"),"")</f>
        <v/>
      </c>
      <c r="BH95" s="69"/>
      <c r="BI95" s="69"/>
      <c r="BJ95" s="68" t="str">
        <f>IFERROR(__xludf.DUMMYFUNCTION("IF($B95&lt;&gt;"""",IFERROR(FILTER(RawTotals!$AJ:$AJ,RawTotals!$A:$A=Z95)-(FILTER(Data!$K:$K,Data!$B:$B=Z95,Data!$D:$D=$B95)+FILTER(Data!$L:$L,Data!$B:$B=Z95,Data!$D:$D=$B95)),""""),"""")"),"")</f>
        <v/>
      </c>
      <c r="BK95" s="68" t="str">
        <f>IFERROR(__xludf.DUMMYFUNCTION("IF($B95&lt;&gt;"""",IFERROR(FILTER(RawTotals!$AJ:$AJ,RawTotals!$A:$A=AA95)-(FILTER(Data!$K:$K,Data!$B:$B=AA95,Data!$D:$D=$B95)+FILTER(Data!$L:$L,Data!$B:$B=AA95,Data!$D:$D=$B95)),""""),"""")"),"")</f>
        <v/>
      </c>
      <c r="BL95" s="68" t="str">
        <f>IFERROR(__xludf.DUMMYFUNCTION("IF($B95&lt;&gt;"""",IFERROR(FILTER(RawTotals!$AJ:$AJ,RawTotals!$A:$A=AB95)-(FILTER(Data!$K:$K,Data!$B:$B=AB95,Data!$D:$D=$B95)+FILTER(Data!$L:$L,Data!$B:$B=AB95,Data!$D:$D=$B95)),""""),"""")"),"")</f>
        <v/>
      </c>
      <c r="BM95" s="69" t="str">
        <f>IFERROR(__xludf.DUMMYFUNCTION("IF($C95&lt;&gt;"""",IFERROR(FILTER(RawTotals!$AJ:$AJ,RawTotals!$A:$A=AC95)-(FILTER(Data!$K:$K,Data!$B:$B=AC95,Data!$D:$D=$C95)+FILTER(Data!$L:$L,Data!$B:$B=AC95,Data!$D:$D=$C95)),""""),"""")"),"")</f>
        <v/>
      </c>
      <c r="BN95" s="69" t="str">
        <f>IFERROR(__xludf.DUMMYFUNCTION("IF($C95&lt;&gt;"""",IFERROR(FILTER(RawTotals!$AJ:$AJ,RawTotals!$A:$A=AD95)-(FILTER(Data!$K:$K,Data!$B:$B=AD95,Data!$D:$D=$C95)+FILTER(Data!$L:$L,Data!$B:$B=AD95,Data!$D:$D=$C95)),""""),"""")"),"")</f>
        <v/>
      </c>
      <c r="BO95" s="69" t="str">
        <f>IFERROR(__xludf.DUMMYFUNCTION("IF($C95&lt;&gt;"""",IFERROR(FILTER(RawTotals!$AJ:$AJ,RawTotals!$A:$A=AE95)-(FILTER(Data!$K:$K,Data!$B:$B=AE95,Data!$D:$D=$C95)+FILTER(Data!$L:$L,Data!$B:$B=AE95,Data!$D:$D=$C95)),""""),"""")"),"")</f>
        <v/>
      </c>
      <c r="BP95" s="69" t="str">
        <f>IFERROR(__xludf.DUMMYFUNCTION("IF($D95&lt;&gt;"""",IFERROR(FILTER(RawTotals!$AJ:$AJ,RawTotals!$A:$A=AF95)-(FILTER(Data!$K:$K,Data!$B:$B=AF95,Data!$D:$D=$D95)+FILTER(Data!$L:$L,Data!$B:$B=AF95,Data!$D:$D=$D95)),""""),"""")"),"")</f>
        <v/>
      </c>
      <c r="BQ95" s="69" t="str">
        <f>IFERROR(__xludf.DUMMYFUNCTION("IF($D95&lt;&gt;"""",IFERROR(FILTER(RawTotals!$AJ:$AJ,RawTotals!$A:$A=AG95)-(FILTER(Data!$K:$K,Data!$B:$B=AG95,Data!$D:$D=$D95)+FILTER(Data!$L:$L,Data!$B:$B=AG95,Data!$D:$D=$D95)),""""),"""")"),"")</f>
        <v/>
      </c>
      <c r="BR95" s="69" t="str">
        <f>IFERROR(__xludf.DUMMYFUNCTION("IF($D95&lt;&gt;"""",IFERROR(FILTER(RawTotals!$AJ:$AJ,RawTotals!$A:$A=AH95)-(FILTER(Data!$K:$K,Data!$B:$B=AH95,Data!$D:$D=$D95)+FILTER(Data!$L:$L,Data!$B:$B=AH95,Data!$D:$D=$D95)),""""),"""")"),"")</f>
        <v/>
      </c>
      <c r="BS95" s="69" t="str">
        <f>IFERROR(__xludf.DUMMYFUNCTION("IF($E95&lt;&gt;"""",IFERROR(FILTER(RawTotals!$AJ:$AJ,RawTotals!$A:$A=AI95)-(FILTER(Data!$K:$K,Data!$B:$B=AI95,Data!$D:$D=$E95)+FILTER(Data!$L:$L,Data!$B:$B=AI95,Data!$D:$D=$E95)),""""),"""")"),"")</f>
        <v/>
      </c>
      <c r="BT95" s="69" t="str">
        <f>IFERROR(__xludf.DUMMYFUNCTION("IF($E95&lt;&gt;"""",IFERROR(FILTER(RawTotals!$AJ:$AJ,RawTotals!$A:$A=AJ95)-(FILTER(Data!$K:$K,Data!$B:$B=AJ95,Data!$D:$D=$E95)+FILTER(Data!$L:$L,Data!$B:$B=AJ95,Data!$D:$D=$E95)),""""),"""")"),"")</f>
        <v/>
      </c>
      <c r="BU95" s="69" t="str">
        <f>IFERROR(__xludf.DUMMYFUNCTION("IF($E95&lt;&gt;"""",IFERROR(FILTER(RawTotals!$AJ:$AJ,RawTotals!$A:$A=AK95)-(FILTER(Data!$K:$K,Data!$B:$B=AK95,Data!$D:$D=$E95)+FILTER(Data!$L:$L,Data!$B:$B=AK95,Data!$D:$D=$E95)),""""),"""")"),"")</f>
        <v/>
      </c>
      <c r="BV95" s="69" t="str">
        <f>IFERROR(__xludf.DUMMYFUNCTION("IF($F95&lt;&gt;"""",IFERROR(FILTER(RawTotals!$AJ:$AJ,RawTotals!$A:$A=AL95)-(FILTER(Data!$K:$K,Data!$B:$B=AL95,Data!$D:$D=$F95)+FILTER(Data!$L:$L,Data!$B:$B=AL95,Data!$D:$D=$F95)),""""),"""")"),"")</f>
        <v/>
      </c>
      <c r="BW95" s="69" t="str">
        <f>IFERROR(__xludf.DUMMYFUNCTION("IF($F95&lt;&gt;"""",IFERROR(FILTER(RawTotals!$AJ:$AJ,RawTotals!$A:$A=AM95)-(FILTER(Data!$K:$K,Data!$B:$B=AM95,Data!$D:$D=$F95)+FILTER(Data!$L:$L,Data!$B:$B=AM95,Data!$D:$D=$F95)),""""),"""")"),"")</f>
        <v/>
      </c>
      <c r="BX95" s="69" t="str">
        <f>IFERROR(__xludf.DUMMYFUNCTION("IF($F95&lt;&gt;"""",IFERROR(FILTER(RawTotals!$AJ:$AJ,RawTotals!$A:$A=AN95)-(FILTER(Data!$K:$K,Data!$B:$B=AN95,Data!$D:$D=$F95)+FILTER(Data!$L:$L,Data!$B:$B=AN95,Data!$D:$D=$F95)),""""),"""")"),"")</f>
        <v/>
      </c>
      <c r="BY95" s="69" t="str">
        <f>IFERROR(__xludf.DUMMYFUNCTION("IF($G95&lt;&gt;"""",IFERROR(FILTER(RawTotals!$AJ:$AJ,RawTotals!$A:$A=AO95)-(FILTER(Data!$K:$K,Data!$B:$B=AO95,Data!$D:$D=$G95)+FILTER(Data!$L:$L,Data!$B:$B=AO95,Data!$D:$D=$G95)),""""),"""")"),"")</f>
        <v/>
      </c>
      <c r="BZ95" s="69" t="str">
        <f>IFERROR(__xludf.DUMMYFUNCTION("IF($G95&lt;&gt;"""",IFERROR(FILTER(RawTotals!$AJ:$AJ,RawTotals!$A:$A=AP95)-(FILTER(Data!$K:$K,Data!$B:$B=AP95,Data!$D:$D=$G95)+FILTER(Data!$L:$L,Data!$B:$B=AP95,Data!$D:$D=$G95)),""""),"""")"),"")</f>
        <v/>
      </c>
      <c r="CA95" s="69" t="str">
        <f>IFERROR(__xludf.DUMMYFUNCTION("IF($G95&lt;&gt;"""",IFERROR(FILTER(RawTotals!$AJ:$AJ,RawTotals!$A:$A=AQ95)-(FILTER(Data!$K:$K,Data!$B:$B=AQ95,Data!$D:$D=$G95)+FILTER(Data!$L:$L,Data!$B:$B=AQ95,Data!$D:$D=$G95)),""""),"""")"),"")</f>
        <v/>
      </c>
      <c r="CB95" s="69" t="str">
        <f>IFERROR(__xludf.DUMMYFUNCTION("IF($H95&lt;&gt;"""",IFERROR(FILTER(RawTotals!$AJ:$AJ,RawTotals!$A:$A=AR95)-(FILTER(Data!$K:$K,Data!$B:$B=AR95,Data!$D:$D=$H95)+FILTER(Data!$L:$L,Data!$B:$B=AR95,Data!$D:$D=$H95)),""""),"""")"),"")</f>
        <v/>
      </c>
      <c r="CC95" s="69" t="str">
        <f>IFERROR(__xludf.DUMMYFUNCTION("IF($H95&lt;&gt;"""",IFERROR(FILTER(RawTotals!$AJ:$AJ,RawTotals!$A:$A=AS95)-(FILTER(Data!$K:$K,Data!$B:$B=AS95,Data!$D:$D=$H95)+FILTER(Data!$L:$L,Data!$B:$B=AS95,Data!$D:$D=$H95)),""""),"""")"),"")</f>
        <v/>
      </c>
      <c r="CD95" s="69" t="str">
        <f>IFERROR(__xludf.DUMMYFUNCTION("IF($H95&lt;&gt;"""",IFERROR(FILTER(RawTotals!$AJ:$AJ,RawTotals!$A:$A=AT95)-(FILTER(Data!$K:$K,Data!$B:$B=AT95,Data!$D:$D=$H95)+FILTER(Data!$L:$L,Data!$B:$B=AT95,Data!$D:$D=$H95)),""""),"""")"),"")</f>
        <v/>
      </c>
      <c r="CE95" s="69" t="str">
        <f>IFERROR(__xludf.DUMMYFUNCTION("IF($I95&lt;&gt;"""",IFERROR(FILTER(RawTotals!$AJ:$AJ,RawTotals!$A:$A=AU95)-(FILTER(Data!$K:$K,Data!$B:$B=AU95,Data!$D:$D=$I95)+FILTER(Data!$L:$L,Data!$B:$B=AU95,Data!$D:$D=$I95)),""""),"""")"),"")</f>
        <v/>
      </c>
      <c r="CF95" s="69" t="str">
        <f>IFERROR(__xludf.DUMMYFUNCTION("IF($I95&lt;&gt;"""",IFERROR(FILTER(RawTotals!$AJ:$AJ,RawTotals!$A:$A=AV95)-(FILTER(Data!$K:$K,Data!$B:$B=AV95,Data!$D:$D=$I95)+FILTER(Data!$L:$L,Data!$B:$B=AV95,Data!$D:$D=$I95)),""""),"""")"),"")</f>
        <v/>
      </c>
      <c r="CG95" s="69" t="str">
        <f>IFERROR(__xludf.DUMMYFUNCTION("IF($I95&lt;&gt;"""",IFERROR(FILTER(RawTotals!$AJ:$AJ,RawTotals!$A:$A=AW95)-(FILTER(Data!$K:$K,Data!$B:$B=AW95,Data!$D:$D=$I95)+FILTER(Data!$L:$L,Data!$B:$B=AW95,Data!$D:$D=$I95)),""""),"""")"),"")</f>
        <v/>
      </c>
      <c r="CH95" s="69" t="str">
        <f>IFERROR(__xludf.DUMMYFUNCTION("IF($J95&lt;&gt;"""",IFERROR(FILTER(RawTotals!$AJ:$AJ,RawTotals!$A:$A=AX95)-(FILTER(Data!$K:$K,Data!$B:$B=AX95,Data!$D:$D=$J95)+FILTER(Data!$L:$L,Data!$B:$B=AX95,Data!$D:$D=$J95)),""""),"""")"),"")</f>
        <v/>
      </c>
      <c r="CI95" s="69" t="str">
        <f>IFERROR(__xludf.DUMMYFUNCTION("IF($J95&lt;&gt;"""",IFERROR(FILTER(RawTotals!$AJ:$AJ,RawTotals!$A:$A=AY95)-(FILTER(Data!$K:$K,Data!$B:$B=AY95,Data!$D:$D=$J95)+FILTER(Data!$L:$L,Data!$B:$B=AY95,Data!$D:$D=$J95)),""""),"""")"),"")</f>
        <v/>
      </c>
      <c r="CJ95" s="69" t="str">
        <f>IFERROR(__xludf.DUMMYFUNCTION("IF($J95&lt;&gt;"""",IFERROR(FILTER(RawTotals!$AJ:$AJ,RawTotals!$A:$A=AZ95)-(FILTER(Data!$K:$K,Data!$B:$B=AZ95,Data!$D:$D=$J95)+FILTER(Data!$L:$L,Data!$B:$B=AZ95,Data!$D:$D=$J95)),""""),"""")"),"")</f>
        <v/>
      </c>
      <c r="CK95" s="69" t="str">
        <f>IFERROR(__xludf.DUMMYFUNCTION("IF($K95&lt;&gt;"""",IFERROR(FILTER(RawTotals!$AJ:$AJ,RawTotals!$A:$A=BA95)-(FILTER(Data!$K:$K,Data!$B:$B=BA95,Data!$D:$D=$K95)+FILTER(Data!$L:$L,Data!$B:$B=BA95,Data!$D:$D=$K95)),""""),"""")"),"")</f>
        <v/>
      </c>
      <c r="CL95" s="69" t="str">
        <f>IFERROR(__xludf.DUMMYFUNCTION("IF($K95&lt;&gt;"""",IFERROR(FILTER(RawTotals!$AJ:$AJ,RawTotals!$A:$A=BB95)-(FILTER(Data!$K:$K,Data!$B:$B=BB95,Data!$D:$D=$K95)+FILTER(Data!$L:$L,Data!$B:$B=BB95,Data!$D:$D=$K95)),""""),"""")"),"")</f>
        <v/>
      </c>
      <c r="CM95" s="69" t="str">
        <f>IFERROR(__xludf.DUMMYFUNCTION("IF($K95&lt;&gt;"""",IFERROR(FILTER(RawTotals!$AJ:$AJ,RawTotals!$A:$A=BC95)-(FILTER(Data!$K:$K,Data!$B:$B=BC95,Data!$D:$D=$K95)+FILTER(Data!$L:$L,Data!$B:$B=BC95,Data!$D:$D=$K95)),""""),"""")"),"")</f>
        <v/>
      </c>
      <c r="CN95" s="69" t="str">
        <f>IFERROR(__xludf.DUMMYFUNCTION("IF($L95&lt;&gt;"""",IFERROR((FILTER(RawTotals!$AJ:$AJ,RawTotals!$A:$A=BD95)-(FILTER(Data!$K:$K,Data!$B:$B=BD95,Data!$D:$D=$L95)+FILTER(Data!$L:$L,Data!$B:$B=BD95,Data!$D:$D=$L95))),""""),"""")"),"")</f>
        <v/>
      </c>
      <c r="CO95" s="69" t="str">
        <f>IFERROR(__xludf.DUMMYFUNCTION("IF($L95&lt;&gt;"""",IFERROR((FILTER(RawTotals!$AJ:$AJ,RawTotals!$A:$A=BE95)-(FILTER(Data!$K:$K,Data!$B:$B=BE95,Data!$D:$D=$L95)+FILTER(Data!$L:$L,Data!$B:$B=BE95,Data!$D:$D=$L95))),""""),"""")"),"")</f>
        <v/>
      </c>
      <c r="CP95" s="69" t="str">
        <f>IFERROR(__xludf.DUMMYFUNCTION("IF($L95&lt;&gt;"""",IFERROR((FILTER(RawTotals!$AJ:$AJ,RawTotals!$A:$A=BF95)-(FILTER(Data!$K:$K,Data!$B:$B=BF95,Data!$D:$D=$L95)+FILTER(Data!$L:$L,Data!$B:$B=BF95,Data!$D:$D=$L95))),""""),"""")"),"")</f>
        <v/>
      </c>
      <c r="CQ95" s="69" t="str">
        <f>IFERROR(__xludf.DUMMYFUNCTION("IF($M95&lt;&gt;"""",IFERROR((FILTER(RawTotals!$AJ:$AJ,RawTotals!$A:$A=BG95)-(FILTER(Data!$K:$K,Data!$B:$B=BG95,Data!$D:$D=$M95)+FILTER(Data!$L:$L,Data!$B:$B=BG95,Data!$D:$D=$M95))),""""),"""")"),"")</f>
        <v/>
      </c>
      <c r="CR95" s="69" t="str">
        <f>IFERROR(__xludf.DUMMYFUNCTION("IF($M95&lt;&gt;"""",IFERROR((FILTER(RawTotals!$AJ:$AJ,RawTotals!$A:$A=BH95)-(FILTER(Data!$K:$K,Data!$B:$B=BH95,Data!$D:$D=$M95)+FILTER(Data!$L:$L,Data!$B:$B=BH95,Data!$D:$D=$M95))),""""),"""")"),"")</f>
        <v/>
      </c>
      <c r="CS95" s="70" t="str">
        <f>IFERROR(__xludf.DUMMYFUNCTION("IF($M95&lt;&gt;"""",IFERROR((FILTER(RawTotals!$AJ:$AJ,RawTotals!$A:$A=BI95)-(FILTER(Data!$K:$K,Data!$B:$B=BI95,Data!$D:$D=$M95)+FILTER(Data!$L:$L,Data!$B:$B=BI95,Data!$D:$D=$M95))),""""),"""")"),"")</f>
        <v/>
      </c>
      <c r="CT95" s="69"/>
      <c r="CU95" s="69"/>
      <c r="CV95" s="69"/>
      <c r="CW95" s="69"/>
      <c r="CX95" s="69"/>
      <c r="CY95" s="69"/>
      <c r="CZ95" s="69"/>
      <c r="DA95" s="69"/>
      <c r="DB95" s="69"/>
      <c r="DC95" s="69"/>
      <c r="DD95" s="69"/>
      <c r="DE95" s="69"/>
    </row>
    <row r="96">
      <c r="A96" s="65" t="str">
        <f>RawTotals!A96</f>
        <v/>
      </c>
      <c r="B96" s="68" t="str">
        <f>IFERROR(__xludf.DUMMYFUNCTION("IF(A96&lt;&gt;"""",IFERROR(TRANSPOSE(FILTER(Data!D:D,Data!B:B=A96,Data!R:R&lt;&gt;"""")),""No Defense""),"""")"),"")</f>
        <v/>
      </c>
      <c r="C96" s="65"/>
      <c r="D96" s="65"/>
      <c r="E96" s="65"/>
      <c r="F96" s="65"/>
      <c r="G96" s="65"/>
      <c r="H96" s="65"/>
      <c r="I96" s="65"/>
      <c r="J96" s="65"/>
      <c r="K96" s="65"/>
      <c r="L96" s="65"/>
      <c r="M96" s="65"/>
      <c r="N96" s="64" t="str">
        <f>IFERROR(__xludf.DUMMYFUNCTION("IFERROR(Textjoin("""",TRUE,FILTER(Data!$R:$R,Data!$D:$D=B96,Data!$B:$B=$A96)),"""")"),"")</f>
        <v/>
      </c>
      <c r="O96" s="64" t="str">
        <f>IFERROR(__xludf.DUMMYFUNCTION("IFERROR(Textjoin("""",TRUE,FILTER(Data!$R:$R,Data!$D:$D=C96,Data!$B:$B=$A96)),"""")"),"")</f>
        <v/>
      </c>
      <c r="P96" s="64" t="str">
        <f>IFERROR(__xludf.DUMMYFUNCTION("IFERROR(Textjoin("""",TRUE,FILTER(Data!$R:$R,Data!$D:$D=D96,Data!$B:$B=$A96)),"""")"),"")</f>
        <v/>
      </c>
      <c r="Q96" s="64" t="str">
        <f>IFERROR(__xludf.DUMMYFUNCTION("IFERROR(Textjoin("""",TRUE,FILTER(Data!$R:$R,Data!$D:$D=E96,Data!$B:$B=$A96)),"""")"),"")</f>
        <v/>
      </c>
      <c r="R96" s="64" t="str">
        <f>IFERROR(__xludf.DUMMYFUNCTION("IFERROR(Textjoin("""",TRUE,FILTER(Data!$R:$R,Data!$D:$D=F96,Data!$B:$B=$A96)),"""")"),"")</f>
        <v/>
      </c>
      <c r="S96" s="64" t="str">
        <f>IFERROR(__xludf.DUMMYFUNCTION("IFERROR(Textjoin("""",TRUE,FILTER(Data!$R:$R,Data!$D:$D=G96,Data!$B:$B=$A96)),"""")"),"")</f>
        <v/>
      </c>
      <c r="T96" s="64" t="str">
        <f>IFERROR(__xludf.DUMMYFUNCTION("IFERROR(Textjoin("""",TRUE,FILTER(Data!$R:$R,Data!$D:$D=H96,Data!$B:$B=$A96)),"""")"),"")</f>
        <v/>
      </c>
      <c r="U96" s="64" t="str">
        <f>IFERROR(__xludf.DUMMYFUNCTION("IFERROR(Textjoin("""",TRUE,FILTER(Data!$R:$R,Data!$D:$D=I96,Data!$B:$B=$A96)),"""")"),"")</f>
        <v/>
      </c>
      <c r="V96" s="64" t="str">
        <f>IFERROR(__xludf.DUMMYFUNCTION("IFERROR(Textjoin("""",TRUE,FILTER(Data!$R:$R,Data!$D:$D=J96,Data!$B:$B=$A96)),"""")"),"")</f>
        <v/>
      </c>
      <c r="W96" s="64" t="str">
        <f>IFERROR(__xludf.DUMMYFUNCTION("IFERROR(Textjoin("""",TRUE,FILTER(Data!$R:$R,Data!$D:$D=K96,Data!$B:$B=$A96)),"""")"),"")</f>
        <v/>
      </c>
      <c r="X96" s="64" t="str">
        <f>IFERROR(__xludf.DUMMYFUNCTION("IFERROR(Textjoin("""",TRUE,FILTER(Data!$R:$R,Data!$D:$D=L96,Data!$B:$B=$A96)),"""")"),"")</f>
        <v/>
      </c>
      <c r="Y96" s="64" t="str">
        <f>IFERROR(__xludf.DUMMYFUNCTION("IFERROR(Textjoin("""",TRUE,FILTER(Data!$R:$R,Data!$D:$D=M96,Data!$B:$B=$A96)),"""")"),"")</f>
        <v/>
      </c>
      <c r="Z96" s="64" t="str">
        <f>IFERROR(__xludf.DUMMYFUNCTION("IFERROR(SPLIT(N96,"",""),"""")"),"")</f>
        <v/>
      </c>
      <c r="AA96" s="65"/>
      <c r="AB96" s="65"/>
      <c r="AC96" s="69" t="str">
        <f>IFERROR(__xludf.DUMMYFUNCTION("IFERROR(SPLIT(O96,"",""),"""")"),"")</f>
        <v/>
      </c>
      <c r="AD96" s="65"/>
      <c r="AE96" s="65"/>
      <c r="AF96" s="69" t="str">
        <f>IFERROR(__xludf.DUMMYFUNCTION("IFERROR(SPLIT(P96,"",""),"""")"),"")</f>
        <v/>
      </c>
      <c r="AG96" s="65"/>
      <c r="AH96" s="65"/>
      <c r="AI96" s="69" t="str">
        <f>IFERROR(__xludf.DUMMYFUNCTION("IFERROR(SPLIT(Q96,"",""),"""")"),"")</f>
        <v/>
      </c>
      <c r="AJ96" s="65"/>
      <c r="AK96" s="65"/>
      <c r="AL96" s="69" t="str">
        <f>IFERROR(__xludf.DUMMYFUNCTION("IFERROR(SPLIT(R96,"",""),"""")"),"")</f>
        <v/>
      </c>
      <c r="AM96" s="65"/>
      <c r="AN96" s="65"/>
      <c r="AO96" s="69" t="str">
        <f>IFERROR(__xludf.DUMMYFUNCTION("IFERROR(SPLIT(S96,"",""),"""")"),"")</f>
        <v/>
      </c>
      <c r="AP96" s="65"/>
      <c r="AQ96" s="65"/>
      <c r="AR96" s="69" t="str">
        <f>IFERROR(__xludf.DUMMYFUNCTION("IFERROR(SPLIT(T96,"",""),"""")"),"")</f>
        <v/>
      </c>
      <c r="AS96" s="65"/>
      <c r="AT96" s="65"/>
      <c r="AU96" s="69" t="str">
        <f>IFERROR(__xludf.DUMMYFUNCTION("IFERROR(SPLIT(U96,"",""),"""")"),"")</f>
        <v/>
      </c>
      <c r="AV96" s="65"/>
      <c r="AW96" s="65"/>
      <c r="AX96" s="69" t="str">
        <f>IFERROR(__xludf.DUMMYFUNCTION("IFERROR(SPLIT(V96,"",""),"""")"),"")</f>
        <v/>
      </c>
      <c r="AY96" s="65"/>
      <c r="AZ96" s="65"/>
      <c r="BA96" s="69" t="str">
        <f>IFERROR(__xludf.DUMMYFUNCTION("IFERROR(SPLIT(W96,"",""),"""")"),"")</f>
        <v/>
      </c>
      <c r="BB96" s="69"/>
      <c r="BC96" s="69"/>
      <c r="BD96" s="69" t="str">
        <f>IFERROR(__xludf.DUMMYFUNCTION("IFERROR(SPLIT(X96,"",""),"""")"),"")</f>
        <v/>
      </c>
      <c r="BE96" s="69"/>
      <c r="BF96" s="69"/>
      <c r="BG96" s="69" t="str">
        <f>IFERROR(__xludf.DUMMYFUNCTION("IFERROR(SPLIT(Y96,"",""),"""")"),"")</f>
        <v/>
      </c>
      <c r="BH96" s="69"/>
      <c r="BI96" s="69"/>
      <c r="BJ96" s="68" t="str">
        <f>IFERROR(__xludf.DUMMYFUNCTION("IF($B96&lt;&gt;"""",IFERROR(FILTER(RawTotals!$AJ:$AJ,RawTotals!$A:$A=Z96)-(FILTER(Data!$K:$K,Data!$B:$B=Z96,Data!$D:$D=$B96)+FILTER(Data!$L:$L,Data!$B:$B=Z96,Data!$D:$D=$B96)),""""),"""")"),"")</f>
        <v/>
      </c>
      <c r="BK96" s="68" t="str">
        <f>IFERROR(__xludf.DUMMYFUNCTION("IF($B96&lt;&gt;"""",IFERROR(FILTER(RawTotals!$AJ:$AJ,RawTotals!$A:$A=AA96)-(FILTER(Data!$K:$K,Data!$B:$B=AA96,Data!$D:$D=$B96)+FILTER(Data!$L:$L,Data!$B:$B=AA96,Data!$D:$D=$B96)),""""),"""")"),"")</f>
        <v/>
      </c>
      <c r="BL96" s="68" t="str">
        <f>IFERROR(__xludf.DUMMYFUNCTION("IF($B96&lt;&gt;"""",IFERROR(FILTER(RawTotals!$AJ:$AJ,RawTotals!$A:$A=AB96)-(FILTER(Data!$K:$K,Data!$B:$B=AB96,Data!$D:$D=$B96)+FILTER(Data!$L:$L,Data!$B:$B=AB96,Data!$D:$D=$B96)),""""),"""")"),"")</f>
        <v/>
      </c>
      <c r="BM96" s="69" t="str">
        <f>IFERROR(__xludf.DUMMYFUNCTION("IF($C96&lt;&gt;"""",IFERROR(FILTER(RawTotals!$AJ:$AJ,RawTotals!$A:$A=AC96)-(FILTER(Data!$K:$K,Data!$B:$B=AC96,Data!$D:$D=$C96)+FILTER(Data!$L:$L,Data!$B:$B=AC96,Data!$D:$D=$C96)),""""),"""")"),"")</f>
        <v/>
      </c>
      <c r="BN96" s="69" t="str">
        <f>IFERROR(__xludf.DUMMYFUNCTION("IF($C96&lt;&gt;"""",IFERROR(FILTER(RawTotals!$AJ:$AJ,RawTotals!$A:$A=AD96)-(FILTER(Data!$K:$K,Data!$B:$B=AD96,Data!$D:$D=$C96)+FILTER(Data!$L:$L,Data!$B:$B=AD96,Data!$D:$D=$C96)),""""),"""")"),"")</f>
        <v/>
      </c>
      <c r="BO96" s="69" t="str">
        <f>IFERROR(__xludf.DUMMYFUNCTION("IF($C96&lt;&gt;"""",IFERROR(FILTER(RawTotals!$AJ:$AJ,RawTotals!$A:$A=AE96)-(FILTER(Data!$K:$K,Data!$B:$B=AE96,Data!$D:$D=$C96)+FILTER(Data!$L:$L,Data!$B:$B=AE96,Data!$D:$D=$C96)),""""),"""")"),"")</f>
        <v/>
      </c>
      <c r="BP96" s="69" t="str">
        <f>IFERROR(__xludf.DUMMYFUNCTION("IF($D96&lt;&gt;"""",IFERROR(FILTER(RawTotals!$AJ:$AJ,RawTotals!$A:$A=AF96)-(FILTER(Data!$K:$K,Data!$B:$B=AF96,Data!$D:$D=$D96)+FILTER(Data!$L:$L,Data!$B:$B=AF96,Data!$D:$D=$D96)),""""),"""")"),"")</f>
        <v/>
      </c>
      <c r="BQ96" s="69" t="str">
        <f>IFERROR(__xludf.DUMMYFUNCTION("IF($D96&lt;&gt;"""",IFERROR(FILTER(RawTotals!$AJ:$AJ,RawTotals!$A:$A=AG96)-(FILTER(Data!$K:$K,Data!$B:$B=AG96,Data!$D:$D=$D96)+FILTER(Data!$L:$L,Data!$B:$B=AG96,Data!$D:$D=$D96)),""""),"""")"),"")</f>
        <v/>
      </c>
      <c r="BR96" s="69" t="str">
        <f>IFERROR(__xludf.DUMMYFUNCTION("IF($D96&lt;&gt;"""",IFERROR(FILTER(RawTotals!$AJ:$AJ,RawTotals!$A:$A=AH96)-(FILTER(Data!$K:$K,Data!$B:$B=AH96,Data!$D:$D=$D96)+FILTER(Data!$L:$L,Data!$B:$B=AH96,Data!$D:$D=$D96)),""""),"""")"),"")</f>
        <v/>
      </c>
      <c r="BS96" s="69" t="str">
        <f>IFERROR(__xludf.DUMMYFUNCTION("IF($E96&lt;&gt;"""",IFERROR(FILTER(RawTotals!$AJ:$AJ,RawTotals!$A:$A=AI96)-(FILTER(Data!$K:$K,Data!$B:$B=AI96,Data!$D:$D=$E96)+FILTER(Data!$L:$L,Data!$B:$B=AI96,Data!$D:$D=$E96)),""""),"""")"),"")</f>
        <v/>
      </c>
      <c r="BT96" s="69" t="str">
        <f>IFERROR(__xludf.DUMMYFUNCTION("IF($E96&lt;&gt;"""",IFERROR(FILTER(RawTotals!$AJ:$AJ,RawTotals!$A:$A=AJ96)-(FILTER(Data!$K:$K,Data!$B:$B=AJ96,Data!$D:$D=$E96)+FILTER(Data!$L:$L,Data!$B:$B=AJ96,Data!$D:$D=$E96)),""""),"""")"),"")</f>
        <v/>
      </c>
      <c r="BU96" s="69" t="str">
        <f>IFERROR(__xludf.DUMMYFUNCTION("IF($E96&lt;&gt;"""",IFERROR(FILTER(RawTotals!$AJ:$AJ,RawTotals!$A:$A=AK96)-(FILTER(Data!$K:$K,Data!$B:$B=AK96,Data!$D:$D=$E96)+FILTER(Data!$L:$L,Data!$B:$B=AK96,Data!$D:$D=$E96)),""""),"""")"),"")</f>
        <v/>
      </c>
      <c r="BV96" s="69" t="str">
        <f>IFERROR(__xludf.DUMMYFUNCTION("IF($F96&lt;&gt;"""",IFERROR(FILTER(RawTotals!$AJ:$AJ,RawTotals!$A:$A=AL96)-(FILTER(Data!$K:$K,Data!$B:$B=AL96,Data!$D:$D=$F96)+FILTER(Data!$L:$L,Data!$B:$B=AL96,Data!$D:$D=$F96)),""""),"""")"),"")</f>
        <v/>
      </c>
      <c r="BW96" s="69" t="str">
        <f>IFERROR(__xludf.DUMMYFUNCTION("IF($F96&lt;&gt;"""",IFERROR(FILTER(RawTotals!$AJ:$AJ,RawTotals!$A:$A=AM96)-(FILTER(Data!$K:$K,Data!$B:$B=AM96,Data!$D:$D=$F96)+FILTER(Data!$L:$L,Data!$B:$B=AM96,Data!$D:$D=$F96)),""""),"""")"),"")</f>
        <v/>
      </c>
      <c r="BX96" s="69" t="str">
        <f>IFERROR(__xludf.DUMMYFUNCTION("IF($F96&lt;&gt;"""",IFERROR(FILTER(RawTotals!$AJ:$AJ,RawTotals!$A:$A=AN96)-(FILTER(Data!$K:$K,Data!$B:$B=AN96,Data!$D:$D=$F96)+FILTER(Data!$L:$L,Data!$B:$B=AN96,Data!$D:$D=$F96)),""""),"""")"),"")</f>
        <v/>
      </c>
      <c r="BY96" s="69" t="str">
        <f>IFERROR(__xludf.DUMMYFUNCTION("IF($G96&lt;&gt;"""",IFERROR(FILTER(RawTotals!$AJ:$AJ,RawTotals!$A:$A=AO96)-(FILTER(Data!$K:$K,Data!$B:$B=AO96,Data!$D:$D=$G96)+FILTER(Data!$L:$L,Data!$B:$B=AO96,Data!$D:$D=$G96)),""""),"""")"),"")</f>
        <v/>
      </c>
      <c r="BZ96" s="69" t="str">
        <f>IFERROR(__xludf.DUMMYFUNCTION("IF($G96&lt;&gt;"""",IFERROR(FILTER(RawTotals!$AJ:$AJ,RawTotals!$A:$A=AP96)-(FILTER(Data!$K:$K,Data!$B:$B=AP96,Data!$D:$D=$G96)+FILTER(Data!$L:$L,Data!$B:$B=AP96,Data!$D:$D=$G96)),""""),"""")"),"")</f>
        <v/>
      </c>
      <c r="CA96" s="69" t="str">
        <f>IFERROR(__xludf.DUMMYFUNCTION("IF($G96&lt;&gt;"""",IFERROR(FILTER(RawTotals!$AJ:$AJ,RawTotals!$A:$A=AQ96)-(FILTER(Data!$K:$K,Data!$B:$B=AQ96,Data!$D:$D=$G96)+FILTER(Data!$L:$L,Data!$B:$B=AQ96,Data!$D:$D=$G96)),""""),"""")"),"")</f>
        <v/>
      </c>
      <c r="CB96" s="69" t="str">
        <f>IFERROR(__xludf.DUMMYFUNCTION("IF($H96&lt;&gt;"""",IFERROR(FILTER(RawTotals!$AJ:$AJ,RawTotals!$A:$A=AR96)-(FILTER(Data!$K:$K,Data!$B:$B=AR96,Data!$D:$D=$H96)+FILTER(Data!$L:$L,Data!$B:$B=AR96,Data!$D:$D=$H96)),""""),"""")"),"")</f>
        <v/>
      </c>
      <c r="CC96" s="69" t="str">
        <f>IFERROR(__xludf.DUMMYFUNCTION("IF($H96&lt;&gt;"""",IFERROR(FILTER(RawTotals!$AJ:$AJ,RawTotals!$A:$A=AS96)-(FILTER(Data!$K:$K,Data!$B:$B=AS96,Data!$D:$D=$H96)+FILTER(Data!$L:$L,Data!$B:$B=AS96,Data!$D:$D=$H96)),""""),"""")"),"")</f>
        <v/>
      </c>
      <c r="CD96" s="69" t="str">
        <f>IFERROR(__xludf.DUMMYFUNCTION("IF($H96&lt;&gt;"""",IFERROR(FILTER(RawTotals!$AJ:$AJ,RawTotals!$A:$A=AT96)-(FILTER(Data!$K:$K,Data!$B:$B=AT96,Data!$D:$D=$H96)+FILTER(Data!$L:$L,Data!$B:$B=AT96,Data!$D:$D=$H96)),""""),"""")"),"")</f>
        <v/>
      </c>
      <c r="CE96" s="69" t="str">
        <f>IFERROR(__xludf.DUMMYFUNCTION("IF($I96&lt;&gt;"""",IFERROR(FILTER(RawTotals!$AJ:$AJ,RawTotals!$A:$A=AU96)-(FILTER(Data!$K:$K,Data!$B:$B=AU96,Data!$D:$D=$I96)+FILTER(Data!$L:$L,Data!$B:$B=AU96,Data!$D:$D=$I96)),""""),"""")"),"")</f>
        <v/>
      </c>
      <c r="CF96" s="69" t="str">
        <f>IFERROR(__xludf.DUMMYFUNCTION("IF($I96&lt;&gt;"""",IFERROR(FILTER(RawTotals!$AJ:$AJ,RawTotals!$A:$A=AV96)-(FILTER(Data!$K:$K,Data!$B:$B=AV96,Data!$D:$D=$I96)+FILTER(Data!$L:$L,Data!$B:$B=AV96,Data!$D:$D=$I96)),""""),"""")"),"")</f>
        <v/>
      </c>
      <c r="CG96" s="69" t="str">
        <f>IFERROR(__xludf.DUMMYFUNCTION("IF($I96&lt;&gt;"""",IFERROR(FILTER(RawTotals!$AJ:$AJ,RawTotals!$A:$A=AW96)-(FILTER(Data!$K:$K,Data!$B:$B=AW96,Data!$D:$D=$I96)+FILTER(Data!$L:$L,Data!$B:$B=AW96,Data!$D:$D=$I96)),""""),"""")"),"")</f>
        <v/>
      </c>
      <c r="CH96" s="69" t="str">
        <f>IFERROR(__xludf.DUMMYFUNCTION("IF($J96&lt;&gt;"""",IFERROR(FILTER(RawTotals!$AJ:$AJ,RawTotals!$A:$A=AX96)-(FILTER(Data!$K:$K,Data!$B:$B=AX96,Data!$D:$D=$J96)+FILTER(Data!$L:$L,Data!$B:$B=AX96,Data!$D:$D=$J96)),""""),"""")"),"")</f>
        <v/>
      </c>
      <c r="CI96" s="69" t="str">
        <f>IFERROR(__xludf.DUMMYFUNCTION("IF($J96&lt;&gt;"""",IFERROR(FILTER(RawTotals!$AJ:$AJ,RawTotals!$A:$A=AY96)-(FILTER(Data!$K:$K,Data!$B:$B=AY96,Data!$D:$D=$J96)+FILTER(Data!$L:$L,Data!$B:$B=AY96,Data!$D:$D=$J96)),""""),"""")"),"")</f>
        <v/>
      </c>
      <c r="CJ96" s="69" t="str">
        <f>IFERROR(__xludf.DUMMYFUNCTION("IF($J96&lt;&gt;"""",IFERROR(FILTER(RawTotals!$AJ:$AJ,RawTotals!$A:$A=AZ96)-(FILTER(Data!$K:$K,Data!$B:$B=AZ96,Data!$D:$D=$J96)+FILTER(Data!$L:$L,Data!$B:$B=AZ96,Data!$D:$D=$J96)),""""),"""")"),"")</f>
        <v/>
      </c>
      <c r="CK96" s="69" t="str">
        <f>IFERROR(__xludf.DUMMYFUNCTION("IF($K96&lt;&gt;"""",IFERROR(FILTER(RawTotals!$AJ:$AJ,RawTotals!$A:$A=BA96)-(FILTER(Data!$K:$K,Data!$B:$B=BA96,Data!$D:$D=$K96)+FILTER(Data!$L:$L,Data!$B:$B=BA96,Data!$D:$D=$K96)),""""),"""")"),"")</f>
        <v/>
      </c>
      <c r="CL96" s="69" t="str">
        <f>IFERROR(__xludf.DUMMYFUNCTION("IF($K96&lt;&gt;"""",IFERROR(FILTER(RawTotals!$AJ:$AJ,RawTotals!$A:$A=BB96)-(FILTER(Data!$K:$K,Data!$B:$B=BB96,Data!$D:$D=$K96)+FILTER(Data!$L:$L,Data!$B:$B=BB96,Data!$D:$D=$K96)),""""),"""")"),"")</f>
        <v/>
      </c>
      <c r="CM96" s="69" t="str">
        <f>IFERROR(__xludf.DUMMYFUNCTION("IF($K96&lt;&gt;"""",IFERROR(FILTER(RawTotals!$AJ:$AJ,RawTotals!$A:$A=BC96)-(FILTER(Data!$K:$K,Data!$B:$B=BC96,Data!$D:$D=$K96)+FILTER(Data!$L:$L,Data!$B:$B=BC96,Data!$D:$D=$K96)),""""),"""")"),"")</f>
        <v/>
      </c>
      <c r="CN96" s="69" t="str">
        <f>IFERROR(__xludf.DUMMYFUNCTION("IF($L96&lt;&gt;"""",IFERROR((FILTER(RawTotals!$AJ:$AJ,RawTotals!$A:$A=BD96)-(FILTER(Data!$K:$K,Data!$B:$B=BD96,Data!$D:$D=$L96)+FILTER(Data!$L:$L,Data!$B:$B=BD96,Data!$D:$D=$L96))),""""),"""")"),"")</f>
        <v/>
      </c>
      <c r="CO96" s="69" t="str">
        <f>IFERROR(__xludf.DUMMYFUNCTION("IF($L96&lt;&gt;"""",IFERROR((FILTER(RawTotals!$AJ:$AJ,RawTotals!$A:$A=BE96)-(FILTER(Data!$K:$K,Data!$B:$B=BE96,Data!$D:$D=$L96)+FILTER(Data!$L:$L,Data!$B:$B=BE96,Data!$D:$D=$L96))),""""),"""")"),"")</f>
        <v/>
      </c>
      <c r="CP96" s="69" t="str">
        <f>IFERROR(__xludf.DUMMYFUNCTION("IF($L96&lt;&gt;"""",IFERROR((FILTER(RawTotals!$AJ:$AJ,RawTotals!$A:$A=BF96)-(FILTER(Data!$K:$K,Data!$B:$B=BF96,Data!$D:$D=$L96)+FILTER(Data!$L:$L,Data!$B:$B=BF96,Data!$D:$D=$L96))),""""),"""")"),"")</f>
        <v/>
      </c>
      <c r="CQ96" s="69" t="str">
        <f>IFERROR(__xludf.DUMMYFUNCTION("IF($M96&lt;&gt;"""",IFERROR((FILTER(RawTotals!$AJ:$AJ,RawTotals!$A:$A=BG96)-(FILTER(Data!$K:$K,Data!$B:$B=BG96,Data!$D:$D=$M96)+FILTER(Data!$L:$L,Data!$B:$B=BG96,Data!$D:$D=$M96))),""""),"""")"),"")</f>
        <v/>
      </c>
      <c r="CR96" s="69" t="str">
        <f>IFERROR(__xludf.DUMMYFUNCTION("IF($M96&lt;&gt;"""",IFERROR((FILTER(RawTotals!$AJ:$AJ,RawTotals!$A:$A=BH96)-(FILTER(Data!$K:$K,Data!$B:$B=BH96,Data!$D:$D=$M96)+FILTER(Data!$L:$L,Data!$B:$B=BH96,Data!$D:$D=$M96))),""""),"""")"),"")</f>
        <v/>
      </c>
      <c r="CS96" s="70" t="str">
        <f>IFERROR(__xludf.DUMMYFUNCTION("IF($M96&lt;&gt;"""",IFERROR((FILTER(RawTotals!$AJ:$AJ,RawTotals!$A:$A=BI96)-(FILTER(Data!$K:$K,Data!$B:$B=BI96,Data!$D:$D=$M96)+FILTER(Data!$L:$L,Data!$B:$B=BI96,Data!$D:$D=$M96))),""""),"""")"),"")</f>
        <v/>
      </c>
      <c r="CT96" s="69"/>
      <c r="CU96" s="69"/>
      <c r="CV96" s="69"/>
      <c r="CW96" s="69"/>
      <c r="CX96" s="69"/>
      <c r="CY96" s="69"/>
      <c r="CZ96" s="69"/>
      <c r="DA96" s="69"/>
      <c r="DB96" s="69"/>
      <c r="DC96" s="69"/>
      <c r="DD96" s="69"/>
      <c r="DE96" s="69"/>
    </row>
    <row r="97">
      <c r="A97" s="65" t="str">
        <f>RawTotals!A97</f>
        <v/>
      </c>
      <c r="B97" s="68" t="str">
        <f>IFERROR(__xludf.DUMMYFUNCTION("IF(A97&lt;&gt;"""",IFERROR(TRANSPOSE(FILTER(Data!D:D,Data!B:B=A97,Data!R:R&lt;&gt;"""")),""No Defense""),"""")"),"")</f>
        <v/>
      </c>
      <c r="C97" s="65"/>
      <c r="D97" s="65"/>
      <c r="E97" s="65"/>
      <c r="F97" s="65"/>
      <c r="G97" s="65"/>
      <c r="H97" s="65"/>
      <c r="I97" s="65"/>
      <c r="J97" s="65"/>
      <c r="K97" s="65"/>
      <c r="L97" s="65"/>
      <c r="M97" s="65"/>
      <c r="N97" s="64" t="str">
        <f>IFERROR(__xludf.DUMMYFUNCTION("IFERROR(Textjoin("""",TRUE,FILTER(Data!$R:$R,Data!$D:$D=B97,Data!$B:$B=$A97)),"""")"),"")</f>
        <v/>
      </c>
      <c r="O97" s="64" t="str">
        <f>IFERROR(__xludf.DUMMYFUNCTION("IFERROR(Textjoin("""",TRUE,FILTER(Data!$R:$R,Data!$D:$D=C97,Data!$B:$B=$A97)),"""")"),"")</f>
        <v/>
      </c>
      <c r="P97" s="64" t="str">
        <f>IFERROR(__xludf.DUMMYFUNCTION("IFERROR(Textjoin("""",TRUE,FILTER(Data!$R:$R,Data!$D:$D=D97,Data!$B:$B=$A97)),"""")"),"")</f>
        <v/>
      </c>
      <c r="Q97" s="64" t="str">
        <f>IFERROR(__xludf.DUMMYFUNCTION("IFERROR(Textjoin("""",TRUE,FILTER(Data!$R:$R,Data!$D:$D=E97,Data!$B:$B=$A97)),"""")"),"")</f>
        <v/>
      </c>
      <c r="R97" s="64" t="str">
        <f>IFERROR(__xludf.DUMMYFUNCTION("IFERROR(Textjoin("""",TRUE,FILTER(Data!$R:$R,Data!$D:$D=F97,Data!$B:$B=$A97)),"""")"),"")</f>
        <v/>
      </c>
      <c r="S97" s="64" t="str">
        <f>IFERROR(__xludf.DUMMYFUNCTION("IFERROR(Textjoin("""",TRUE,FILTER(Data!$R:$R,Data!$D:$D=G97,Data!$B:$B=$A97)),"""")"),"")</f>
        <v/>
      </c>
      <c r="T97" s="64" t="str">
        <f>IFERROR(__xludf.DUMMYFUNCTION("IFERROR(Textjoin("""",TRUE,FILTER(Data!$R:$R,Data!$D:$D=H97,Data!$B:$B=$A97)),"""")"),"")</f>
        <v/>
      </c>
      <c r="U97" s="64" t="str">
        <f>IFERROR(__xludf.DUMMYFUNCTION("IFERROR(Textjoin("""",TRUE,FILTER(Data!$R:$R,Data!$D:$D=I97,Data!$B:$B=$A97)),"""")"),"")</f>
        <v/>
      </c>
      <c r="V97" s="64" t="str">
        <f>IFERROR(__xludf.DUMMYFUNCTION("IFERROR(Textjoin("""",TRUE,FILTER(Data!$R:$R,Data!$D:$D=J97,Data!$B:$B=$A97)),"""")"),"")</f>
        <v/>
      </c>
      <c r="W97" s="64" t="str">
        <f>IFERROR(__xludf.DUMMYFUNCTION("IFERROR(Textjoin("""",TRUE,FILTER(Data!$R:$R,Data!$D:$D=K97,Data!$B:$B=$A97)),"""")"),"")</f>
        <v/>
      </c>
      <c r="X97" s="64" t="str">
        <f>IFERROR(__xludf.DUMMYFUNCTION("IFERROR(Textjoin("""",TRUE,FILTER(Data!$R:$R,Data!$D:$D=L97,Data!$B:$B=$A97)),"""")"),"")</f>
        <v/>
      </c>
      <c r="Y97" s="64" t="str">
        <f>IFERROR(__xludf.DUMMYFUNCTION("IFERROR(Textjoin("""",TRUE,FILTER(Data!$R:$R,Data!$D:$D=M97,Data!$B:$B=$A97)),"""")"),"")</f>
        <v/>
      </c>
      <c r="Z97" s="64" t="str">
        <f>IFERROR(__xludf.DUMMYFUNCTION("IFERROR(SPLIT(N97,"",""),"""")"),"")</f>
        <v/>
      </c>
      <c r="AA97" s="65"/>
      <c r="AB97" s="65"/>
      <c r="AC97" s="69" t="str">
        <f>IFERROR(__xludf.DUMMYFUNCTION("IFERROR(SPLIT(O97,"",""),"""")"),"")</f>
        <v/>
      </c>
      <c r="AD97" s="65"/>
      <c r="AE97" s="65"/>
      <c r="AF97" s="69" t="str">
        <f>IFERROR(__xludf.DUMMYFUNCTION("IFERROR(SPLIT(P97,"",""),"""")"),"")</f>
        <v/>
      </c>
      <c r="AG97" s="65"/>
      <c r="AH97" s="65"/>
      <c r="AI97" s="69" t="str">
        <f>IFERROR(__xludf.DUMMYFUNCTION("IFERROR(SPLIT(Q97,"",""),"""")"),"")</f>
        <v/>
      </c>
      <c r="AJ97" s="65"/>
      <c r="AK97" s="65"/>
      <c r="AL97" s="69" t="str">
        <f>IFERROR(__xludf.DUMMYFUNCTION("IFERROR(SPLIT(R97,"",""),"""")"),"")</f>
        <v/>
      </c>
      <c r="AM97" s="65"/>
      <c r="AN97" s="65"/>
      <c r="AO97" s="69" t="str">
        <f>IFERROR(__xludf.DUMMYFUNCTION("IFERROR(SPLIT(S97,"",""),"""")"),"")</f>
        <v/>
      </c>
      <c r="AP97" s="65"/>
      <c r="AQ97" s="65"/>
      <c r="AR97" s="69" t="str">
        <f>IFERROR(__xludf.DUMMYFUNCTION("IFERROR(SPLIT(T97,"",""),"""")"),"")</f>
        <v/>
      </c>
      <c r="AS97" s="65"/>
      <c r="AT97" s="65"/>
      <c r="AU97" s="69" t="str">
        <f>IFERROR(__xludf.DUMMYFUNCTION("IFERROR(SPLIT(U97,"",""),"""")"),"")</f>
        <v/>
      </c>
      <c r="AV97" s="65"/>
      <c r="AW97" s="65"/>
      <c r="AX97" s="69" t="str">
        <f>IFERROR(__xludf.DUMMYFUNCTION("IFERROR(SPLIT(V97,"",""),"""")"),"")</f>
        <v/>
      </c>
      <c r="AY97" s="65"/>
      <c r="AZ97" s="65"/>
      <c r="BA97" s="69" t="str">
        <f>IFERROR(__xludf.DUMMYFUNCTION("IFERROR(SPLIT(W97,"",""),"""")"),"")</f>
        <v/>
      </c>
      <c r="BB97" s="69"/>
      <c r="BC97" s="69"/>
      <c r="BD97" s="69" t="str">
        <f>IFERROR(__xludf.DUMMYFUNCTION("IFERROR(SPLIT(X97,"",""),"""")"),"")</f>
        <v/>
      </c>
      <c r="BE97" s="69"/>
      <c r="BF97" s="69"/>
      <c r="BG97" s="69" t="str">
        <f>IFERROR(__xludf.DUMMYFUNCTION("IFERROR(SPLIT(Y97,"",""),"""")"),"")</f>
        <v/>
      </c>
      <c r="BH97" s="69"/>
      <c r="BI97" s="69"/>
      <c r="BJ97" s="68" t="str">
        <f>IFERROR(__xludf.DUMMYFUNCTION("IF($B97&lt;&gt;"""",IFERROR(FILTER(RawTotals!$AJ:$AJ,RawTotals!$A:$A=Z97)-(FILTER(Data!$K:$K,Data!$B:$B=Z97,Data!$D:$D=$B97)+FILTER(Data!$L:$L,Data!$B:$B=Z97,Data!$D:$D=$B97)),""""),"""")"),"")</f>
        <v/>
      </c>
      <c r="BK97" s="68" t="str">
        <f>IFERROR(__xludf.DUMMYFUNCTION("IF($B97&lt;&gt;"""",IFERROR(FILTER(RawTotals!$AJ:$AJ,RawTotals!$A:$A=AA97)-(FILTER(Data!$K:$K,Data!$B:$B=AA97,Data!$D:$D=$B97)+FILTER(Data!$L:$L,Data!$B:$B=AA97,Data!$D:$D=$B97)),""""),"""")"),"")</f>
        <v/>
      </c>
      <c r="BL97" s="68" t="str">
        <f>IFERROR(__xludf.DUMMYFUNCTION("IF($B97&lt;&gt;"""",IFERROR(FILTER(RawTotals!$AJ:$AJ,RawTotals!$A:$A=AB97)-(FILTER(Data!$K:$K,Data!$B:$B=AB97,Data!$D:$D=$B97)+FILTER(Data!$L:$L,Data!$B:$B=AB97,Data!$D:$D=$B97)),""""),"""")"),"")</f>
        <v/>
      </c>
      <c r="BM97" s="69" t="str">
        <f>IFERROR(__xludf.DUMMYFUNCTION("IF($C97&lt;&gt;"""",IFERROR(FILTER(RawTotals!$AJ:$AJ,RawTotals!$A:$A=AC97)-(FILTER(Data!$K:$K,Data!$B:$B=AC97,Data!$D:$D=$C97)+FILTER(Data!$L:$L,Data!$B:$B=AC97,Data!$D:$D=$C97)),""""),"""")"),"")</f>
        <v/>
      </c>
      <c r="BN97" s="69" t="str">
        <f>IFERROR(__xludf.DUMMYFUNCTION("IF($C97&lt;&gt;"""",IFERROR(FILTER(RawTotals!$AJ:$AJ,RawTotals!$A:$A=AD97)-(FILTER(Data!$K:$K,Data!$B:$B=AD97,Data!$D:$D=$C97)+FILTER(Data!$L:$L,Data!$B:$B=AD97,Data!$D:$D=$C97)),""""),"""")"),"")</f>
        <v/>
      </c>
      <c r="BO97" s="69" t="str">
        <f>IFERROR(__xludf.DUMMYFUNCTION("IF($C97&lt;&gt;"""",IFERROR(FILTER(RawTotals!$AJ:$AJ,RawTotals!$A:$A=AE97)-(FILTER(Data!$K:$K,Data!$B:$B=AE97,Data!$D:$D=$C97)+FILTER(Data!$L:$L,Data!$B:$B=AE97,Data!$D:$D=$C97)),""""),"""")"),"")</f>
        <v/>
      </c>
      <c r="BP97" s="69" t="str">
        <f>IFERROR(__xludf.DUMMYFUNCTION("IF($D97&lt;&gt;"""",IFERROR(FILTER(RawTotals!$AJ:$AJ,RawTotals!$A:$A=AF97)-(FILTER(Data!$K:$K,Data!$B:$B=AF97,Data!$D:$D=$D97)+FILTER(Data!$L:$L,Data!$B:$B=AF97,Data!$D:$D=$D97)),""""),"""")"),"")</f>
        <v/>
      </c>
      <c r="BQ97" s="69" t="str">
        <f>IFERROR(__xludf.DUMMYFUNCTION("IF($D97&lt;&gt;"""",IFERROR(FILTER(RawTotals!$AJ:$AJ,RawTotals!$A:$A=AG97)-(FILTER(Data!$K:$K,Data!$B:$B=AG97,Data!$D:$D=$D97)+FILTER(Data!$L:$L,Data!$B:$B=AG97,Data!$D:$D=$D97)),""""),"""")"),"")</f>
        <v/>
      </c>
      <c r="BR97" s="69" t="str">
        <f>IFERROR(__xludf.DUMMYFUNCTION("IF($D97&lt;&gt;"""",IFERROR(FILTER(RawTotals!$AJ:$AJ,RawTotals!$A:$A=AH97)-(FILTER(Data!$K:$K,Data!$B:$B=AH97,Data!$D:$D=$D97)+FILTER(Data!$L:$L,Data!$B:$B=AH97,Data!$D:$D=$D97)),""""),"""")"),"")</f>
        <v/>
      </c>
      <c r="BS97" s="69" t="str">
        <f>IFERROR(__xludf.DUMMYFUNCTION("IF($E97&lt;&gt;"""",IFERROR(FILTER(RawTotals!$AJ:$AJ,RawTotals!$A:$A=AI97)-(FILTER(Data!$K:$K,Data!$B:$B=AI97,Data!$D:$D=$E97)+FILTER(Data!$L:$L,Data!$B:$B=AI97,Data!$D:$D=$E97)),""""),"""")"),"")</f>
        <v/>
      </c>
      <c r="BT97" s="69" t="str">
        <f>IFERROR(__xludf.DUMMYFUNCTION("IF($E97&lt;&gt;"""",IFERROR(FILTER(RawTotals!$AJ:$AJ,RawTotals!$A:$A=AJ97)-(FILTER(Data!$K:$K,Data!$B:$B=AJ97,Data!$D:$D=$E97)+FILTER(Data!$L:$L,Data!$B:$B=AJ97,Data!$D:$D=$E97)),""""),"""")"),"")</f>
        <v/>
      </c>
      <c r="BU97" s="69" t="str">
        <f>IFERROR(__xludf.DUMMYFUNCTION("IF($E97&lt;&gt;"""",IFERROR(FILTER(RawTotals!$AJ:$AJ,RawTotals!$A:$A=AK97)-(FILTER(Data!$K:$K,Data!$B:$B=AK97,Data!$D:$D=$E97)+FILTER(Data!$L:$L,Data!$B:$B=AK97,Data!$D:$D=$E97)),""""),"""")"),"")</f>
        <v/>
      </c>
      <c r="BV97" s="69" t="str">
        <f>IFERROR(__xludf.DUMMYFUNCTION("IF($F97&lt;&gt;"""",IFERROR(FILTER(RawTotals!$AJ:$AJ,RawTotals!$A:$A=AL97)-(FILTER(Data!$K:$K,Data!$B:$B=AL97,Data!$D:$D=$F97)+FILTER(Data!$L:$L,Data!$B:$B=AL97,Data!$D:$D=$F97)),""""),"""")"),"")</f>
        <v/>
      </c>
      <c r="BW97" s="69" t="str">
        <f>IFERROR(__xludf.DUMMYFUNCTION("IF($F97&lt;&gt;"""",IFERROR(FILTER(RawTotals!$AJ:$AJ,RawTotals!$A:$A=AM97)-(FILTER(Data!$K:$K,Data!$B:$B=AM97,Data!$D:$D=$F97)+FILTER(Data!$L:$L,Data!$B:$B=AM97,Data!$D:$D=$F97)),""""),"""")"),"")</f>
        <v/>
      </c>
      <c r="BX97" s="69" t="str">
        <f>IFERROR(__xludf.DUMMYFUNCTION("IF($F97&lt;&gt;"""",IFERROR(FILTER(RawTotals!$AJ:$AJ,RawTotals!$A:$A=AN97)-(FILTER(Data!$K:$K,Data!$B:$B=AN97,Data!$D:$D=$F97)+FILTER(Data!$L:$L,Data!$B:$B=AN97,Data!$D:$D=$F97)),""""),"""")"),"")</f>
        <v/>
      </c>
      <c r="BY97" s="69" t="str">
        <f>IFERROR(__xludf.DUMMYFUNCTION("IF($G97&lt;&gt;"""",IFERROR(FILTER(RawTotals!$AJ:$AJ,RawTotals!$A:$A=AO97)-(FILTER(Data!$K:$K,Data!$B:$B=AO97,Data!$D:$D=$G97)+FILTER(Data!$L:$L,Data!$B:$B=AO97,Data!$D:$D=$G97)),""""),"""")"),"")</f>
        <v/>
      </c>
      <c r="BZ97" s="69" t="str">
        <f>IFERROR(__xludf.DUMMYFUNCTION("IF($G97&lt;&gt;"""",IFERROR(FILTER(RawTotals!$AJ:$AJ,RawTotals!$A:$A=AP97)-(FILTER(Data!$K:$K,Data!$B:$B=AP97,Data!$D:$D=$G97)+FILTER(Data!$L:$L,Data!$B:$B=AP97,Data!$D:$D=$G97)),""""),"""")"),"")</f>
        <v/>
      </c>
      <c r="CA97" s="69" t="str">
        <f>IFERROR(__xludf.DUMMYFUNCTION("IF($G97&lt;&gt;"""",IFERROR(FILTER(RawTotals!$AJ:$AJ,RawTotals!$A:$A=AQ97)-(FILTER(Data!$K:$K,Data!$B:$B=AQ97,Data!$D:$D=$G97)+FILTER(Data!$L:$L,Data!$B:$B=AQ97,Data!$D:$D=$G97)),""""),"""")"),"")</f>
        <v/>
      </c>
      <c r="CB97" s="69" t="str">
        <f>IFERROR(__xludf.DUMMYFUNCTION("IF($H97&lt;&gt;"""",IFERROR(FILTER(RawTotals!$AJ:$AJ,RawTotals!$A:$A=AR97)-(FILTER(Data!$K:$K,Data!$B:$B=AR97,Data!$D:$D=$H97)+FILTER(Data!$L:$L,Data!$B:$B=AR97,Data!$D:$D=$H97)),""""),"""")"),"")</f>
        <v/>
      </c>
      <c r="CC97" s="69" t="str">
        <f>IFERROR(__xludf.DUMMYFUNCTION("IF($H97&lt;&gt;"""",IFERROR(FILTER(RawTotals!$AJ:$AJ,RawTotals!$A:$A=AS97)-(FILTER(Data!$K:$K,Data!$B:$B=AS97,Data!$D:$D=$H97)+FILTER(Data!$L:$L,Data!$B:$B=AS97,Data!$D:$D=$H97)),""""),"""")"),"")</f>
        <v/>
      </c>
      <c r="CD97" s="69" t="str">
        <f>IFERROR(__xludf.DUMMYFUNCTION("IF($H97&lt;&gt;"""",IFERROR(FILTER(RawTotals!$AJ:$AJ,RawTotals!$A:$A=AT97)-(FILTER(Data!$K:$K,Data!$B:$B=AT97,Data!$D:$D=$H97)+FILTER(Data!$L:$L,Data!$B:$B=AT97,Data!$D:$D=$H97)),""""),"""")"),"")</f>
        <v/>
      </c>
      <c r="CE97" s="69" t="str">
        <f>IFERROR(__xludf.DUMMYFUNCTION("IF($I97&lt;&gt;"""",IFERROR(FILTER(RawTotals!$AJ:$AJ,RawTotals!$A:$A=AU97)-(FILTER(Data!$K:$K,Data!$B:$B=AU97,Data!$D:$D=$I97)+FILTER(Data!$L:$L,Data!$B:$B=AU97,Data!$D:$D=$I97)),""""),"""")"),"")</f>
        <v/>
      </c>
      <c r="CF97" s="69" t="str">
        <f>IFERROR(__xludf.DUMMYFUNCTION("IF($I97&lt;&gt;"""",IFERROR(FILTER(RawTotals!$AJ:$AJ,RawTotals!$A:$A=AV97)-(FILTER(Data!$K:$K,Data!$B:$B=AV97,Data!$D:$D=$I97)+FILTER(Data!$L:$L,Data!$B:$B=AV97,Data!$D:$D=$I97)),""""),"""")"),"")</f>
        <v/>
      </c>
      <c r="CG97" s="69" t="str">
        <f>IFERROR(__xludf.DUMMYFUNCTION("IF($I97&lt;&gt;"""",IFERROR(FILTER(RawTotals!$AJ:$AJ,RawTotals!$A:$A=AW97)-(FILTER(Data!$K:$K,Data!$B:$B=AW97,Data!$D:$D=$I97)+FILTER(Data!$L:$L,Data!$B:$B=AW97,Data!$D:$D=$I97)),""""),"""")"),"")</f>
        <v/>
      </c>
      <c r="CH97" s="69" t="str">
        <f>IFERROR(__xludf.DUMMYFUNCTION("IF($J97&lt;&gt;"""",IFERROR(FILTER(RawTotals!$AJ:$AJ,RawTotals!$A:$A=AX97)-(FILTER(Data!$K:$K,Data!$B:$B=AX97,Data!$D:$D=$J97)+FILTER(Data!$L:$L,Data!$B:$B=AX97,Data!$D:$D=$J97)),""""),"""")"),"")</f>
        <v/>
      </c>
      <c r="CI97" s="69" t="str">
        <f>IFERROR(__xludf.DUMMYFUNCTION("IF($J97&lt;&gt;"""",IFERROR(FILTER(RawTotals!$AJ:$AJ,RawTotals!$A:$A=AY97)-(FILTER(Data!$K:$K,Data!$B:$B=AY97,Data!$D:$D=$J97)+FILTER(Data!$L:$L,Data!$B:$B=AY97,Data!$D:$D=$J97)),""""),"""")"),"")</f>
        <v/>
      </c>
      <c r="CJ97" s="69" t="str">
        <f>IFERROR(__xludf.DUMMYFUNCTION("IF($J97&lt;&gt;"""",IFERROR(FILTER(RawTotals!$AJ:$AJ,RawTotals!$A:$A=AZ97)-(FILTER(Data!$K:$K,Data!$B:$B=AZ97,Data!$D:$D=$J97)+FILTER(Data!$L:$L,Data!$B:$B=AZ97,Data!$D:$D=$J97)),""""),"""")"),"")</f>
        <v/>
      </c>
      <c r="CK97" s="69" t="str">
        <f>IFERROR(__xludf.DUMMYFUNCTION("IF($K97&lt;&gt;"""",IFERROR(FILTER(RawTotals!$AJ:$AJ,RawTotals!$A:$A=BA97)-(FILTER(Data!$K:$K,Data!$B:$B=BA97,Data!$D:$D=$K97)+FILTER(Data!$L:$L,Data!$B:$B=BA97,Data!$D:$D=$K97)),""""),"""")"),"")</f>
        <v/>
      </c>
      <c r="CL97" s="69" t="str">
        <f>IFERROR(__xludf.DUMMYFUNCTION("IF($K97&lt;&gt;"""",IFERROR(FILTER(RawTotals!$AJ:$AJ,RawTotals!$A:$A=BB97)-(FILTER(Data!$K:$K,Data!$B:$B=BB97,Data!$D:$D=$K97)+FILTER(Data!$L:$L,Data!$B:$B=BB97,Data!$D:$D=$K97)),""""),"""")"),"")</f>
        <v/>
      </c>
      <c r="CM97" s="69" t="str">
        <f>IFERROR(__xludf.DUMMYFUNCTION("IF($K97&lt;&gt;"""",IFERROR(FILTER(RawTotals!$AJ:$AJ,RawTotals!$A:$A=BC97)-(FILTER(Data!$K:$K,Data!$B:$B=BC97,Data!$D:$D=$K97)+FILTER(Data!$L:$L,Data!$B:$B=BC97,Data!$D:$D=$K97)),""""),"""")"),"")</f>
        <v/>
      </c>
      <c r="CN97" s="69" t="str">
        <f>IFERROR(__xludf.DUMMYFUNCTION("IF($L97&lt;&gt;"""",IFERROR((FILTER(RawTotals!$AJ:$AJ,RawTotals!$A:$A=BD97)-(FILTER(Data!$K:$K,Data!$B:$B=BD97,Data!$D:$D=$L97)+FILTER(Data!$L:$L,Data!$B:$B=BD97,Data!$D:$D=$L97))),""""),"""")"),"")</f>
        <v/>
      </c>
      <c r="CO97" s="69" t="str">
        <f>IFERROR(__xludf.DUMMYFUNCTION("IF($L97&lt;&gt;"""",IFERROR((FILTER(RawTotals!$AJ:$AJ,RawTotals!$A:$A=BE97)-(FILTER(Data!$K:$K,Data!$B:$B=BE97,Data!$D:$D=$L97)+FILTER(Data!$L:$L,Data!$B:$B=BE97,Data!$D:$D=$L97))),""""),"""")"),"")</f>
        <v/>
      </c>
      <c r="CP97" s="69" t="str">
        <f>IFERROR(__xludf.DUMMYFUNCTION("IF($L97&lt;&gt;"""",IFERROR((FILTER(RawTotals!$AJ:$AJ,RawTotals!$A:$A=BF97)-(FILTER(Data!$K:$K,Data!$B:$B=BF97,Data!$D:$D=$L97)+FILTER(Data!$L:$L,Data!$B:$B=BF97,Data!$D:$D=$L97))),""""),"""")"),"")</f>
        <v/>
      </c>
      <c r="CQ97" s="69" t="str">
        <f>IFERROR(__xludf.DUMMYFUNCTION("IF($M97&lt;&gt;"""",IFERROR((FILTER(RawTotals!$AJ:$AJ,RawTotals!$A:$A=BG97)-(FILTER(Data!$K:$K,Data!$B:$B=BG97,Data!$D:$D=$M97)+FILTER(Data!$L:$L,Data!$B:$B=BG97,Data!$D:$D=$M97))),""""),"""")"),"")</f>
        <v/>
      </c>
      <c r="CR97" s="69" t="str">
        <f>IFERROR(__xludf.DUMMYFUNCTION("IF($M97&lt;&gt;"""",IFERROR((FILTER(RawTotals!$AJ:$AJ,RawTotals!$A:$A=BH97)-(FILTER(Data!$K:$K,Data!$B:$B=BH97,Data!$D:$D=$M97)+FILTER(Data!$L:$L,Data!$B:$B=BH97,Data!$D:$D=$M97))),""""),"""")"),"")</f>
        <v/>
      </c>
      <c r="CS97" s="70" t="str">
        <f>IFERROR(__xludf.DUMMYFUNCTION("IF($M97&lt;&gt;"""",IFERROR((FILTER(RawTotals!$AJ:$AJ,RawTotals!$A:$A=BI97)-(FILTER(Data!$K:$K,Data!$B:$B=BI97,Data!$D:$D=$M97)+FILTER(Data!$L:$L,Data!$B:$B=BI97,Data!$D:$D=$M97))),""""),"""")"),"")</f>
        <v/>
      </c>
      <c r="CT97" s="69"/>
      <c r="CU97" s="69"/>
      <c r="CV97" s="69"/>
      <c r="CW97" s="69"/>
      <c r="CX97" s="69"/>
      <c r="CY97" s="69"/>
      <c r="CZ97" s="69"/>
      <c r="DA97" s="69"/>
      <c r="DB97" s="69"/>
      <c r="DC97" s="69"/>
      <c r="DD97" s="69"/>
      <c r="DE97" s="69"/>
    </row>
    <row r="98">
      <c r="A98" s="65" t="str">
        <f>RawTotals!A98</f>
        <v/>
      </c>
      <c r="B98" s="68" t="str">
        <f>IFERROR(__xludf.DUMMYFUNCTION("IF(A98&lt;&gt;"""",IFERROR(TRANSPOSE(FILTER(Data!D:D,Data!B:B=A98,Data!R:R&lt;&gt;"""")),""No Defense""),"""")"),"")</f>
        <v/>
      </c>
      <c r="C98" s="65"/>
      <c r="D98" s="65"/>
      <c r="E98" s="65"/>
      <c r="F98" s="65"/>
      <c r="G98" s="65"/>
      <c r="H98" s="65"/>
      <c r="I98" s="65"/>
      <c r="J98" s="65"/>
      <c r="K98" s="65"/>
      <c r="L98" s="65"/>
      <c r="M98" s="65"/>
      <c r="N98" s="64" t="str">
        <f>IFERROR(__xludf.DUMMYFUNCTION("IFERROR(Textjoin("""",TRUE,FILTER(Data!$R:$R,Data!$D:$D=B98,Data!$B:$B=$A98)),"""")"),"")</f>
        <v/>
      </c>
      <c r="O98" s="64" t="str">
        <f>IFERROR(__xludf.DUMMYFUNCTION("IFERROR(Textjoin("""",TRUE,FILTER(Data!$R:$R,Data!$D:$D=C98,Data!$B:$B=$A98)),"""")"),"")</f>
        <v/>
      </c>
      <c r="P98" s="64" t="str">
        <f>IFERROR(__xludf.DUMMYFUNCTION("IFERROR(Textjoin("""",TRUE,FILTER(Data!$R:$R,Data!$D:$D=D98,Data!$B:$B=$A98)),"""")"),"")</f>
        <v/>
      </c>
      <c r="Q98" s="64" t="str">
        <f>IFERROR(__xludf.DUMMYFUNCTION("IFERROR(Textjoin("""",TRUE,FILTER(Data!$R:$R,Data!$D:$D=E98,Data!$B:$B=$A98)),"""")"),"")</f>
        <v/>
      </c>
      <c r="R98" s="64" t="str">
        <f>IFERROR(__xludf.DUMMYFUNCTION("IFERROR(Textjoin("""",TRUE,FILTER(Data!$R:$R,Data!$D:$D=F98,Data!$B:$B=$A98)),"""")"),"")</f>
        <v/>
      </c>
      <c r="S98" s="64" t="str">
        <f>IFERROR(__xludf.DUMMYFUNCTION("IFERROR(Textjoin("""",TRUE,FILTER(Data!$R:$R,Data!$D:$D=G98,Data!$B:$B=$A98)),"""")"),"")</f>
        <v/>
      </c>
      <c r="T98" s="64" t="str">
        <f>IFERROR(__xludf.DUMMYFUNCTION("IFERROR(Textjoin("""",TRUE,FILTER(Data!$R:$R,Data!$D:$D=H98,Data!$B:$B=$A98)),"""")"),"")</f>
        <v/>
      </c>
      <c r="U98" s="64" t="str">
        <f>IFERROR(__xludf.DUMMYFUNCTION("IFERROR(Textjoin("""",TRUE,FILTER(Data!$R:$R,Data!$D:$D=I98,Data!$B:$B=$A98)),"""")"),"")</f>
        <v/>
      </c>
      <c r="V98" s="64" t="str">
        <f>IFERROR(__xludf.DUMMYFUNCTION("IFERROR(Textjoin("""",TRUE,FILTER(Data!$R:$R,Data!$D:$D=J98,Data!$B:$B=$A98)),"""")"),"")</f>
        <v/>
      </c>
      <c r="W98" s="64" t="str">
        <f>IFERROR(__xludf.DUMMYFUNCTION("IFERROR(Textjoin("""",TRUE,FILTER(Data!$R:$R,Data!$D:$D=K98,Data!$B:$B=$A98)),"""")"),"")</f>
        <v/>
      </c>
      <c r="X98" s="64" t="str">
        <f>IFERROR(__xludf.DUMMYFUNCTION("IFERROR(Textjoin("""",TRUE,FILTER(Data!$R:$R,Data!$D:$D=L98,Data!$B:$B=$A98)),"""")"),"")</f>
        <v/>
      </c>
      <c r="Y98" s="64" t="str">
        <f>IFERROR(__xludf.DUMMYFUNCTION("IFERROR(Textjoin("""",TRUE,FILTER(Data!$R:$R,Data!$D:$D=M98,Data!$B:$B=$A98)),"""")"),"")</f>
        <v/>
      </c>
      <c r="Z98" s="64" t="str">
        <f>IFERROR(__xludf.DUMMYFUNCTION("IFERROR(SPLIT(N98,"",""),"""")"),"")</f>
        <v/>
      </c>
      <c r="AA98" s="65"/>
      <c r="AB98" s="65"/>
      <c r="AC98" s="69" t="str">
        <f>IFERROR(__xludf.DUMMYFUNCTION("IFERROR(SPLIT(O98,"",""),"""")"),"")</f>
        <v/>
      </c>
      <c r="AD98" s="65"/>
      <c r="AE98" s="65"/>
      <c r="AF98" s="69" t="str">
        <f>IFERROR(__xludf.DUMMYFUNCTION("IFERROR(SPLIT(P98,"",""),"""")"),"")</f>
        <v/>
      </c>
      <c r="AG98" s="65"/>
      <c r="AH98" s="65"/>
      <c r="AI98" s="69" t="str">
        <f>IFERROR(__xludf.DUMMYFUNCTION("IFERROR(SPLIT(Q98,"",""),"""")"),"")</f>
        <v/>
      </c>
      <c r="AJ98" s="65"/>
      <c r="AK98" s="65"/>
      <c r="AL98" s="69" t="str">
        <f>IFERROR(__xludf.DUMMYFUNCTION("IFERROR(SPLIT(R98,"",""),"""")"),"")</f>
        <v/>
      </c>
      <c r="AM98" s="65"/>
      <c r="AN98" s="65"/>
      <c r="AO98" s="69" t="str">
        <f>IFERROR(__xludf.DUMMYFUNCTION("IFERROR(SPLIT(S98,"",""),"""")"),"")</f>
        <v/>
      </c>
      <c r="AP98" s="65"/>
      <c r="AQ98" s="65"/>
      <c r="AR98" s="69" t="str">
        <f>IFERROR(__xludf.DUMMYFUNCTION("IFERROR(SPLIT(T98,"",""),"""")"),"")</f>
        <v/>
      </c>
      <c r="AS98" s="65"/>
      <c r="AT98" s="65"/>
      <c r="AU98" s="69" t="str">
        <f>IFERROR(__xludf.DUMMYFUNCTION("IFERROR(SPLIT(U98,"",""),"""")"),"")</f>
        <v/>
      </c>
      <c r="AV98" s="65"/>
      <c r="AW98" s="65"/>
      <c r="AX98" s="69" t="str">
        <f>IFERROR(__xludf.DUMMYFUNCTION("IFERROR(SPLIT(V98,"",""),"""")"),"")</f>
        <v/>
      </c>
      <c r="AY98" s="65"/>
      <c r="AZ98" s="65"/>
      <c r="BA98" s="69" t="str">
        <f>IFERROR(__xludf.DUMMYFUNCTION("IFERROR(SPLIT(W98,"",""),"""")"),"")</f>
        <v/>
      </c>
      <c r="BB98" s="69"/>
      <c r="BC98" s="69"/>
      <c r="BD98" s="69" t="str">
        <f>IFERROR(__xludf.DUMMYFUNCTION("IFERROR(SPLIT(X98,"",""),"""")"),"")</f>
        <v/>
      </c>
      <c r="BE98" s="69"/>
      <c r="BF98" s="69"/>
      <c r="BG98" s="69" t="str">
        <f>IFERROR(__xludf.DUMMYFUNCTION("IFERROR(SPLIT(Y98,"",""),"""")"),"")</f>
        <v/>
      </c>
      <c r="BH98" s="69"/>
      <c r="BI98" s="69"/>
      <c r="BJ98" s="68" t="str">
        <f>IFERROR(__xludf.DUMMYFUNCTION("IF($B98&lt;&gt;"""",IFERROR(FILTER(RawTotals!$AJ:$AJ,RawTotals!$A:$A=Z98)-(FILTER(Data!$K:$K,Data!$B:$B=Z98,Data!$D:$D=$B98)+FILTER(Data!$L:$L,Data!$B:$B=Z98,Data!$D:$D=$B98)),""""),"""")"),"")</f>
        <v/>
      </c>
      <c r="BK98" s="68" t="str">
        <f>IFERROR(__xludf.DUMMYFUNCTION("IF($B98&lt;&gt;"""",IFERROR(FILTER(RawTotals!$AJ:$AJ,RawTotals!$A:$A=AA98)-(FILTER(Data!$K:$K,Data!$B:$B=AA98,Data!$D:$D=$B98)+FILTER(Data!$L:$L,Data!$B:$B=AA98,Data!$D:$D=$B98)),""""),"""")"),"")</f>
        <v/>
      </c>
      <c r="BL98" s="68" t="str">
        <f>IFERROR(__xludf.DUMMYFUNCTION("IF($B98&lt;&gt;"""",IFERROR(FILTER(RawTotals!$AJ:$AJ,RawTotals!$A:$A=AB98)-(FILTER(Data!$K:$K,Data!$B:$B=AB98,Data!$D:$D=$B98)+FILTER(Data!$L:$L,Data!$B:$B=AB98,Data!$D:$D=$B98)),""""),"""")"),"")</f>
        <v/>
      </c>
      <c r="BM98" s="69" t="str">
        <f>IFERROR(__xludf.DUMMYFUNCTION("IF($C98&lt;&gt;"""",IFERROR(FILTER(RawTotals!$AJ:$AJ,RawTotals!$A:$A=AC98)-(FILTER(Data!$K:$K,Data!$B:$B=AC98,Data!$D:$D=$C98)+FILTER(Data!$L:$L,Data!$B:$B=AC98,Data!$D:$D=$C98)),""""),"""")"),"")</f>
        <v/>
      </c>
      <c r="BN98" s="69" t="str">
        <f>IFERROR(__xludf.DUMMYFUNCTION("IF($C98&lt;&gt;"""",IFERROR(FILTER(RawTotals!$AJ:$AJ,RawTotals!$A:$A=AD98)-(FILTER(Data!$K:$K,Data!$B:$B=AD98,Data!$D:$D=$C98)+FILTER(Data!$L:$L,Data!$B:$B=AD98,Data!$D:$D=$C98)),""""),"""")"),"")</f>
        <v/>
      </c>
      <c r="BO98" s="69" t="str">
        <f>IFERROR(__xludf.DUMMYFUNCTION("IF($C98&lt;&gt;"""",IFERROR(FILTER(RawTotals!$AJ:$AJ,RawTotals!$A:$A=AE98)-(FILTER(Data!$K:$K,Data!$B:$B=AE98,Data!$D:$D=$C98)+FILTER(Data!$L:$L,Data!$B:$B=AE98,Data!$D:$D=$C98)),""""),"""")"),"")</f>
        <v/>
      </c>
      <c r="BP98" s="69" t="str">
        <f>IFERROR(__xludf.DUMMYFUNCTION("IF($D98&lt;&gt;"""",IFERROR(FILTER(RawTotals!$AJ:$AJ,RawTotals!$A:$A=AF98)-(FILTER(Data!$K:$K,Data!$B:$B=AF98,Data!$D:$D=$D98)+FILTER(Data!$L:$L,Data!$B:$B=AF98,Data!$D:$D=$D98)),""""),"""")"),"")</f>
        <v/>
      </c>
      <c r="BQ98" s="69" t="str">
        <f>IFERROR(__xludf.DUMMYFUNCTION("IF($D98&lt;&gt;"""",IFERROR(FILTER(RawTotals!$AJ:$AJ,RawTotals!$A:$A=AG98)-(FILTER(Data!$K:$K,Data!$B:$B=AG98,Data!$D:$D=$D98)+FILTER(Data!$L:$L,Data!$B:$B=AG98,Data!$D:$D=$D98)),""""),"""")"),"")</f>
        <v/>
      </c>
      <c r="BR98" s="69" t="str">
        <f>IFERROR(__xludf.DUMMYFUNCTION("IF($D98&lt;&gt;"""",IFERROR(FILTER(RawTotals!$AJ:$AJ,RawTotals!$A:$A=AH98)-(FILTER(Data!$K:$K,Data!$B:$B=AH98,Data!$D:$D=$D98)+FILTER(Data!$L:$L,Data!$B:$B=AH98,Data!$D:$D=$D98)),""""),"""")"),"")</f>
        <v/>
      </c>
      <c r="BS98" s="69" t="str">
        <f>IFERROR(__xludf.DUMMYFUNCTION("IF($E98&lt;&gt;"""",IFERROR(FILTER(RawTotals!$AJ:$AJ,RawTotals!$A:$A=AI98)-(FILTER(Data!$K:$K,Data!$B:$B=AI98,Data!$D:$D=$E98)+FILTER(Data!$L:$L,Data!$B:$B=AI98,Data!$D:$D=$E98)),""""),"""")"),"")</f>
        <v/>
      </c>
      <c r="BT98" s="69" t="str">
        <f>IFERROR(__xludf.DUMMYFUNCTION("IF($E98&lt;&gt;"""",IFERROR(FILTER(RawTotals!$AJ:$AJ,RawTotals!$A:$A=AJ98)-(FILTER(Data!$K:$K,Data!$B:$B=AJ98,Data!$D:$D=$E98)+FILTER(Data!$L:$L,Data!$B:$B=AJ98,Data!$D:$D=$E98)),""""),"""")"),"")</f>
        <v/>
      </c>
      <c r="BU98" s="69" t="str">
        <f>IFERROR(__xludf.DUMMYFUNCTION("IF($E98&lt;&gt;"""",IFERROR(FILTER(RawTotals!$AJ:$AJ,RawTotals!$A:$A=AK98)-(FILTER(Data!$K:$K,Data!$B:$B=AK98,Data!$D:$D=$E98)+FILTER(Data!$L:$L,Data!$B:$B=AK98,Data!$D:$D=$E98)),""""),"""")"),"")</f>
        <v/>
      </c>
      <c r="BV98" s="69" t="str">
        <f>IFERROR(__xludf.DUMMYFUNCTION("IF($F98&lt;&gt;"""",IFERROR(FILTER(RawTotals!$AJ:$AJ,RawTotals!$A:$A=AL98)-(FILTER(Data!$K:$K,Data!$B:$B=AL98,Data!$D:$D=$F98)+FILTER(Data!$L:$L,Data!$B:$B=AL98,Data!$D:$D=$F98)),""""),"""")"),"")</f>
        <v/>
      </c>
      <c r="BW98" s="69" t="str">
        <f>IFERROR(__xludf.DUMMYFUNCTION("IF($F98&lt;&gt;"""",IFERROR(FILTER(RawTotals!$AJ:$AJ,RawTotals!$A:$A=AM98)-(FILTER(Data!$K:$K,Data!$B:$B=AM98,Data!$D:$D=$F98)+FILTER(Data!$L:$L,Data!$B:$B=AM98,Data!$D:$D=$F98)),""""),"""")"),"")</f>
        <v/>
      </c>
      <c r="BX98" s="69" t="str">
        <f>IFERROR(__xludf.DUMMYFUNCTION("IF($F98&lt;&gt;"""",IFERROR(FILTER(RawTotals!$AJ:$AJ,RawTotals!$A:$A=AN98)-(FILTER(Data!$K:$K,Data!$B:$B=AN98,Data!$D:$D=$F98)+FILTER(Data!$L:$L,Data!$B:$B=AN98,Data!$D:$D=$F98)),""""),"""")"),"")</f>
        <v/>
      </c>
      <c r="BY98" s="69" t="str">
        <f>IFERROR(__xludf.DUMMYFUNCTION("IF($G98&lt;&gt;"""",IFERROR(FILTER(RawTotals!$AJ:$AJ,RawTotals!$A:$A=AO98)-(FILTER(Data!$K:$K,Data!$B:$B=AO98,Data!$D:$D=$G98)+FILTER(Data!$L:$L,Data!$B:$B=AO98,Data!$D:$D=$G98)),""""),"""")"),"")</f>
        <v/>
      </c>
      <c r="BZ98" s="69" t="str">
        <f>IFERROR(__xludf.DUMMYFUNCTION("IF($G98&lt;&gt;"""",IFERROR(FILTER(RawTotals!$AJ:$AJ,RawTotals!$A:$A=AP98)-(FILTER(Data!$K:$K,Data!$B:$B=AP98,Data!$D:$D=$G98)+FILTER(Data!$L:$L,Data!$B:$B=AP98,Data!$D:$D=$G98)),""""),"""")"),"")</f>
        <v/>
      </c>
      <c r="CA98" s="69" t="str">
        <f>IFERROR(__xludf.DUMMYFUNCTION("IF($G98&lt;&gt;"""",IFERROR(FILTER(RawTotals!$AJ:$AJ,RawTotals!$A:$A=AQ98)-(FILTER(Data!$K:$K,Data!$B:$B=AQ98,Data!$D:$D=$G98)+FILTER(Data!$L:$L,Data!$B:$B=AQ98,Data!$D:$D=$G98)),""""),"""")"),"")</f>
        <v/>
      </c>
      <c r="CB98" s="69" t="str">
        <f>IFERROR(__xludf.DUMMYFUNCTION("IF($H98&lt;&gt;"""",IFERROR(FILTER(RawTotals!$AJ:$AJ,RawTotals!$A:$A=AR98)-(FILTER(Data!$K:$K,Data!$B:$B=AR98,Data!$D:$D=$H98)+FILTER(Data!$L:$L,Data!$B:$B=AR98,Data!$D:$D=$H98)),""""),"""")"),"")</f>
        <v/>
      </c>
      <c r="CC98" s="69" t="str">
        <f>IFERROR(__xludf.DUMMYFUNCTION("IF($H98&lt;&gt;"""",IFERROR(FILTER(RawTotals!$AJ:$AJ,RawTotals!$A:$A=AS98)-(FILTER(Data!$K:$K,Data!$B:$B=AS98,Data!$D:$D=$H98)+FILTER(Data!$L:$L,Data!$B:$B=AS98,Data!$D:$D=$H98)),""""),"""")"),"")</f>
        <v/>
      </c>
      <c r="CD98" s="69" t="str">
        <f>IFERROR(__xludf.DUMMYFUNCTION("IF($H98&lt;&gt;"""",IFERROR(FILTER(RawTotals!$AJ:$AJ,RawTotals!$A:$A=AT98)-(FILTER(Data!$K:$K,Data!$B:$B=AT98,Data!$D:$D=$H98)+FILTER(Data!$L:$L,Data!$B:$B=AT98,Data!$D:$D=$H98)),""""),"""")"),"")</f>
        <v/>
      </c>
      <c r="CE98" s="69" t="str">
        <f>IFERROR(__xludf.DUMMYFUNCTION("IF($I98&lt;&gt;"""",IFERROR(FILTER(RawTotals!$AJ:$AJ,RawTotals!$A:$A=AU98)-(FILTER(Data!$K:$K,Data!$B:$B=AU98,Data!$D:$D=$I98)+FILTER(Data!$L:$L,Data!$B:$B=AU98,Data!$D:$D=$I98)),""""),"""")"),"")</f>
        <v/>
      </c>
      <c r="CF98" s="69" t="str">
        <f>IFERROR(__xludf.DUMMYFUNCTION("IF($I98&lt;&gt;"""",IFERROR(FILTER(RawTotals!$AJ:$AJ,RawTotals!$A:$A=AV98)-(FILTER(Data!$K:$K,Data!$B:$B=AV98,Data!$D:$D=$I98)+FILTER(Data!$L:$L,Data!$B:$B=AV98,Data!$D:$D=$I98)),""""),"""")"),"")</f>
        <v/>
      </c>
      <c r="CG98" s="69" t="str">
        <f>IFERROR(__xludf.DUMMYFUNCTION("IF($I98&lt;&gt;"""",IFERROR(FILTER(RawTotals!$AJ:$AJ,RawTotals!$A:$A=AW98)-(FILTER(Data!$K:$K,Data!$B:$B=AW98,Data!$D:$D=$I98)+FILTER(Data!$L:$L,Data!$B:$B=AW98,Data!$D:$D=$I98)),""""),"""")"),"")</f>
        <v/>
      </c>
      <c r="CH98" s="69" t="str">
        <f>IFERROR(__xludf.DUMMYFUNCTION("IF($J98&lt;&gt;"""",IFERROR(FILTER(RawTotals!$AJ:$AJ,RawTotals!$A:$A=AX98)-(FILTER(Data!$K:$K,Data!$B:$B=AX98,Data!$D:$D=$J98)+FILTER(Data!$L:$L,Data!$B:$B=AX98,Data!$D:$D=$J98)),""""),"""")"),"")</f>
        <v/>
      </c>
      <c r="CI98" s="69" t="str">
        <f>IFERROR(__xludf.DUMMYFUNCTION("IF($J98&lt;&gt;"""",IFERROR(FILTER(RawTotals!$AJ:$AJ,RawTotals!$A:$A=AY98)-(FILTER(Data!$K:$K,Data!$B:$B=AY98,Data!$D:$D=$J98)+FILTER(Data!$L:$L,Data!$B:$B=AY98,Data!$D:$D=$J98)),""""),"""")"),"")</f>
        <v/>
      </c>
      <c r="CJ98" s="69" t="str">
        <f>IFERROR(__xludf.DUMMYFUNCTION("IF($J98&lt;&gt;"""",IFERROR(FILTER(RawTotals!$AJ:$AJ,RawTotals!$A:$A=AZ98)-(FILTER(Data!$K:$K,Data!$B:$B=AZ98,Data!$D:$D=$J98)+FILTER(Data!$L:$L,Data!$B:$B=AZ98,Data!$D:$D=$J98)),""""),"""")"),"")</f>
        <v/>
      </c>
      <c r="CK98" s="69" t="str">
        <f>IFERROR(__xludf.DUMMYFUNCTION("IF($K98&lt;&gt;"""",IFERROR(FILTER(RawTotals!$AJ:$AJ,RawTotals!$A:$A=BA98)-(FILTER(Data!$K:$K,Data!$B:$B=BA98,Data!$D:$D=$K98)+FILTER(Data!$L:$L,Data!$B:$B=BA98,Data!$D:$D=$K98)),""""),"""")"),"")</f>
        <v/>
      </c>
      <c r="CL98" s="69" t="str">
        <f>IFERROR(__xludf.DUMMYFUNCTION("IF($K98&lt;&gt;"""",IFERROR(FILTER(RawTotals!$AJ:$AJ,RawTotals!$A:$A=BB98)-(FILTER(Data!$K:$K,Data!$B:$B=BB98,Data!$D:$D=$K98)+FILTER(Data!$L:$L,Data!$B:$B=BB98,Data!$D:$D=$K98)),""""),"""")"),"")</f>
        <v/>
      </c>
      <c r="CM98" s="69" t="str">
        <f>IFERROR(__xludf.DUMMYFUNCTION("IF($K98&lt;&gt;"""",IFERROR(FILTER(RawTotals!$AJ:$AJ,RawTotals!$A:$A=BC98)-(FILTER(Data!$K:$K,Data!$B:$B=BC98,Data!$D:$D=$K98)+FILTER(Data!$L:$L,Data!$B:$B=BC98,Data!$D:$D=$K98)),""""),"""")"),"")</f>
        <v/>
      </c>
      <c r="CN98" s="69" t="str">
        <f>IFERROR(__xludf.DUMMYFUNCTION("IF($L98&lt;&gt;"""",IFERROR((FILTER(RawTotals!$AJ:$AJ,RawTotals!$A:$A=BD98)-(FILTER(Data!$K:$K,Data!$B:$B=BD98,Data!$D:$D=$L98)+FILTER(Data!$L:$L,Data!$B:$B=BD98,Data!$D:$D=$L98))),""""),"""")"),"")</f>
        <v/>
      </c>
      <c r="CO98" s="69" t="str">
        <f>IFERROR(__xludf.DUMMYFUNCTION("IF($L98&lt;&gt;"""",IFERROR((FILTER(RawTotals!$AJ:$AJ,RawTotals!$A:$A=BE98)-(FILTER(Data!$K:$K,Data!$B:$B=BE98,Data!$D:$D=$L98)+FILTER(Data!$L:$L,Data!$B:$B=BE98,Data!$D:$D=$L98))),""""),"""")"),"")</f>
        <v/>
      </c>
      <c r="CP98" s="69" t="str">
        <f>IFERROR(__xludf.DUMMYFUNCTION("IF($L98&lt;&gt;"""",IFERROR((FILTER(RawTotals!$AJ:$AJ,RawTotals!$A:$A=BF98)-(FILTER(Data!$K:$K,Data!$B:$B=BF98,Data!$D:$D=$L98)+FILTER(Data!$L:$L,Data!$B:$B=BF98,Data!$D:$D=$L98))),""""),"""")"),"")</f>
        <v/>
      </c>
      <c r="CQ98" s="69" t="str">
        <f>IFERROR(__xludf.DUMMYFUNCTION("IF($M98&lt;&gt;"""",IFERROR((FILTER(RawTotals!$AJ:$AJ,RawTotals!$A:$A=BG98)-(FILTER(Data!$K:$K,Data!$B:$B=BG98,Data!$D:$D=$M98)+FILTER(Data!$L:$L,Data!$B:$B=BG98,Data!$D:$D=$M98))),""""),"""")"),"")</f>
        <v/>
      </c>
      <c r="CR98" s="69" t="str">
        <f>IFERROR(__xludf.DUMMYFUNCTION("IF($M98&lt;&gt;"""",IFERROR((FILTER(RawTotals!$AJ:$AJ,RawTotals!$A:$A=BH98)-(FILTER(Data!$K:$K,Data!$B:$B=BH98,Data!$D:$D=$M98)+FILTER(Data!$L:$L,Data!$B:$B=BH98,Data!$D:$D=$M98))),""""),"""")"),"")</f>
        <v/>
      </c>
      <c r="CS98" s="70" t="str">
        <f>IFERROR(__xludf.DUMMYFUNCTION("IF($M98&lt;&gt;"""",IFERROR((FILTER(RawTotals!$AJ:$AJ,RawTotals!$A:$A=BI98)-(FILTER(Data!$K:$K,Data!$B:$B=BI98,Data!$D:$D=$M98)+FILTER(Data!$L:$L,Data!$B:$B=BI98,Data!$D:$D=$M98))),""""),"""")"),"")</f>
        <v/>
      </c>
      <c r="CT98" s="69"/>
      <c r="CU98" s="69"/>
      <c r="CV98" s="69"/>
      <c r="CW98" s="69"/>
      <c r="CX98" s="69"/>
      <c r="CY98" s="69"/>
      <c r="CZ98" s="69"/>
      <c r="DA98" s="69"/>
      <c r="DB98" s="69"/>
      <c r="DC98" s="69"/>
      <c r="DD98" s="69"/>
      <c r="DE98" s="69"/>
    </row>
    <row r="99">
      <c r="A99" s="65" t="str">
        <f>RawTotals!A99</f>
        <v/>
      </c>
      <c r="B99" s="68" t="str">
        <f>IFERROR(__xludf.DUMMYFUNCTION("IF(A99&lt;&gt;"""",IFERROR(TRANSPOSE(FILTER(Data!D:D,Data!B:B=A99,Data!R:R&lt;&gt;"""")),""No Defense""),"""")"),"")</f>
        <v/>
      </c>
      <c r="C99" s="65"/>
      <c r="D99" s="65"/>
      <c r="E99" s="65"/>
      <c r="F99" s="65"/>
      <c r="G99" s="65"/>
      <c r="H99" s="65"/>
      <c r="I99" s="65"/>
      <c r="J99" s="65"/>
      <c r="K99" s="65"/>
      <c r="L99" s="65"/>
      <c r="M99" s="65"/>
      <c r="N99" s="64" t="str">
        <f>IFERROR(__xludf.DUMMYFUNCTION("IFERROR(Textjoin("""",TRUE,FILTER(Data!$R:$R,Data!$D:$D=B99,Data!$B:$B=$A99)),"""")"),"")</f>
        <v/>
      </c>
      <c r="O99" s="64" t="str">
        <f>IFERROR(__xludf.DUMMYFUNCTION("IFERROR(Textjoin("""",TRUE,FILTER(Data!$R:$R,Data!$D:$D=C99,Data!$B:$B=$A99)),"""")"),"")</f>
        <v/>
      </c>
      <c r="P99" s="64" t="str">
        <f>IFERROR(__xludf.DUMMYFUNCTION("IFERROR(Textjoin("""",TRUE,FILTER(Data!$R:$R,Data!$D:$D=D99,Data!$B:$B=$A99)),"""")"),"")</f>
        <v/>
      </c>
      <c r="Q99" s="64" t="str">
        <f>IFERROR(__xludf.DUMMYFUNCTION("IFERROR(Textjoin("""",TRUE,FILTER(Data!$R:$R,Data!$D:$D=E99,Data!$B:$B=$A99)),"""")"),"")</f>
        <v/>
      </c>
      <c r="R99" s="64" t="str">
        <f>IFERROR(__xludf.DUMMYFUNCTION("IFERROR(Textjoin("""",TRUE,FILTER(Data!$R:$R,Data!$D:$D=F99,Data!$B:$B=$A99)),"""")"),"")</f>
        <v/>
      </c>
      <c r="S99" s="64" t="str">
        <f>IFERROR(__xludf.DUMMYFUNCTION("IFERROR(Textjoin("""",TRUE,FILTER(Data!$R:$R,Data!$D:$D=G99,Data!$B:$B=$A99)),"""")"),"")</f>
        <v/>
      </c>
      <c r="T99" s="64" t="str">
        <f>IFERROR(__xludf.DUMMYFUNCTION("IFERROR(Textjoin("""",TRUE,FILTER(Data!$R:$R,Data!$D:$D=H99,Data!$B:$B=$A99)),"""")"),"")</f>
        <v/>
      </c>
      <c r="U99" s="64" t="str">
        <f>IFERROR(__xludf.DUMMYFUNCTION("IFERROR(Textjoin("""",TRUE,FILTER(Data!$R:$R,Data!$D:$D=I99,Data!$B:$B=$A99)),"""")"),"")</f>
        <v/>
      </c>
      <c r="V99" s="64" t="str">
        <f>IFERROR(__xludf.DUMMYFUNCTION("IFERROR(Textjoin("""",TRUE,FILTER(Data!$R:$R,Data!$D:$D=J99,Data!$B:$B=$A99)),"""")"),"")</f>
        <v/>
      </c>
      <c r="W99" s="64" t="str">
        <f>IFERROR(__xludf.DUMMYFUNCTION("IFERROR(Textjoin("""",TRUE,FILTER(Data!$R:$R,Data!$D:$D=K99,Data!$B:$B=$A99)),"""")"),"")</f>
        <v/>
      </c>
      <c r="X99" s="64" t="str">
        <f>IFERROR(__xludf.DUMMYFUNCTION("IFERROR(Textjoin("""",TRUE,FILTER(Data!$R:$R,Data!$D:$D=L99,Data!$B:$B=$A99)),"""")"),"")</f>
        <v/>
      </c>
      <c r="Y99" s="64" t="str">
        <f>IFERROR(__xludf.DUMMYFUNCTION("IFERROR(Textjoin("""",TRUE,FILTER(Data!$R:$R,Data!$D:$D=M99,Data!$B:$B=$A99)),"""")"),"")</f>
        <v/>
      </c>
      <c r="Z99" s="64" t="str">
        <f>IFERROR(__xludf.DUMMYFUNCTION("IFERROR(SPLIT(N99,"",""),"""")"),"")</f>
        <v/>
      </c>
      <c r="AA99" s="65"/>
      <c r="AB99" s="65"/>
      <c r="AC99" s="69" t="str">
        <f>IFERROR(__xludf.DUMMYFUNCTION("IFERROR(SPLIT(O99,"",""),"""")"),"")</f>
        <v/>
      </c>
      <c r="AD99" s="65"/>
      <c r="AE99" s="65"/>
      <c r="AF99" s="69" t="str">
        <f>IFERROR(__xludf.DUMMYFUNCTION("IFERROR(SPLIT(P99,"",""),"""")"),"")</f>
        <v/>
      </c>
      <c r="AG99" s="65"/>
      <c r="AH99" s="65"/>
      <c r="AI99" s="69" t="str">
        <f>IFERROR(__xludf.DUMMYFUNCTION("IFERROR(SPLIT(Q99,"",""),"""")"),"")</f>
        <v/>
      </c>
      <c r="AJ99" s="65"/>
      <c r="AK99" s="65"/>
      <c r="AL99" s="69" t="str">
        <f>IFERROR(__xludf.DUMMYFUNCTION("IFERROR(SPLIT(R99,"",""),"""")"),"")</f>
        <v/>
      </c>
      <c r="AM99" s="65"/>
      <c r="AN99" s="65"/>
      <c r="AO99" s="69" t="str">
        <f>IFERROR(__xludf.DUMMYFUNCTION("IFERROR(SPLIT(S99,"",""),"""")"),"")</f>
        <v/>
      </c>
      <c r="AP99" s="65"/>
      <c r="AQ99" s="65"/>
      <c r="AR99" s="69" t="str">
        <f>IFERROR(__xludf.DUMMYFUNCTION("IFERROR(SPLIT(T99,"",""),"""")"),"")</f>
        <v/>
      </c>
      <c r="AS99" s="65"/>
      <c r="AT99" s="65"/>
      <c r="AU99" s="69" t="str">
        <f>IFERROR(__xludf.DUMMYFUNCTION("IFERROR(SPLIT(U99,"",""),"""")"),"")</f>
        <v/>
      </c>
      <c r="AV99" s="65"/>
      <c r="AW99" s="65"/>
      <c r="AX99" s="69" t="str">
        <f>IFERROR(__xludf.DUMMYFUNCTION("IFERROR(SPLIT(V99,"",""),"""")"),"")</f>
        <v/>
      </c>
      <c r="AY99" s="65"/>
      <c r="AZ99" s="65"/>
      <c r="BA99" s="69" t="str">
        <f>IFERROR(__xludf.DUMMYFUNCTION("IFERROR(SPLIT(W99,"",""),"""")"),"")</f>
        <v/>
      </c>
      <c r="BB99" s="69"/>
      <c r="BC99" s="69"/>
      <c r="BD99" s="69" t="str">
        <f>IFERROR(__xludf.DUMMYFUNCTION("IFERROR(SPLIT(X99,"",""),"""")"),"")</f>
        <v/>
      </c>
      <c r="BE99" s="69"/>
      <c r="BF99" s="69"/>
      <c r="BG99" s="69" t="str">
        <f>IFERROR(__xludf.DUMMYFUNCTION("IFERROR(SPLIT(Y99,"",""),"""")"),"")</f>
        <v/>
      </c>
      <c r="BH99" s="69"/>
      <c r="BI99" s="69"/>
      <c r="BJ99" s="68" t="str">
        <f>IFERROR(__xludf.DUMMYFUNCTION("IF($B99&lt;&gt;"""",IFERROR(FILTER(RawTotals!$AJ:$AJ,RawTotals!$A:$A=Z99)-(FILTER(Data!$K:$K,Data!$B:$B=Z99,Data!$D:$D=$B99)+FILTER(Data!$L:$L,Data!$B:$B=Z99,Data!$D:$D=$B99)),""""),"""")"),"")</f>
        <v/>
      </c>
      <c r="BK99" s="68" t="str">
        <f>IFERROR(__xludf.DUMMYFUNCTION("IF($B99&lt;&gt;"""",IFERROR(FILTER(RawTotals!$AJ:$AJ,RawTotals!$A:$A=AA99)-(FILTER(Data!$K:$K,Data!$B:$B=AA99,Data!$D:$D=$B99)+FILTER(Data!$L:$L,Data!$B:$B=AA99,Data!$D:$D=$B99)),""""),"""")"),"")</f>
        <v/>
      </c>
      <c r="BL99" s="68" t="str">
        <f>IFERROR(__xludf.DUMMYFUNCTION("IF($B99&lt;&gt;"""",IFERROR(FILTER(RawTotals!$AJ:$AJ,RawTotals!$A:$A=AB99)-(FILTER(Data!$K:$K,Data!$B:$B=AB99,Data!$D:$D=$B99)+FILTER(Data!$L:$L,Data!$B:$B=AB99,Data!$D:$D=$B99)),""""),"""")"),"")</f>
        <v/>
      </c>
      <c r="BM99" s="69" t="str">
        <f>IFERROR(__xludf.DUMMYFUNCTION("IF($C99&lt;&gt;"""",IFERROR(FILTER(RawTotals!$AJ:$AJ,RawTotals!$A:$A=AC99)-(FILTER(Data!$K:$K,Data!$B:$B=AC99,Data!$D:$D=$C99)+FILTER(Data!$L:$L,Data!$B:$B=AC99,Data!$D:$D=$C99)),""""),"""")"),"")</f>
        <v/>
      </c>
      <c r="BN99" s="69" t="str">
        <f>IFERROR(__xludf.DUMMYFUNCTION("IF($C99&lt;&gt;"""",IFERROR(FILTER(RawTotals!$AJ:$AJ,RawTotals!$A:$A=AD99)-(FILTER(Data!$K:$K,Data!$B:$B=AD99,Data!$D:$D=$C99)+FILTER(Data!$L:$L,Data!$B:$B=AD99,Data!$D:$D=$C99)),""""),"""")"),"")</f>
        <v/>
      </c>
      <c r="BO99" s="69" t="str">
        <f>IFERROR(__xludf.DUMMYFUNCTION("IF($C99&lt;&gt;"""",IFERROR(FILTER(RawTotals!$AJ:$AJ,RawTotals!$A:$A=AE99)-(FILTER(Data!$K:$K,Data!$B:$B=AE99,Data!$D:$D=$C99)+FILTER(Data!$L:$L,Data!$B:$B=AE99,Data!$D:$D=$C99)),""""),"""")"),"")</f>
        <v/>
      </c>
      <c r="BP99" s="69" t="str">
        <f>IFERROR(__xludf.DUMMYFUNCTION("IF($D99&lt;&gt;"""",IFERROR(FILTER(RawTotals!$AJ:$AJ,RawTotals!$A:$A=AF99)-(FILTER(Data!$K:$K,Data!$B:$B=AF99,Data!$D:$D=$D99)+FILTER(Data!$L:$L,Data!$B:$B=AF99,Data!$D:$D=$D99)),""""),"""")"),"")</f>
        <v/>
      </c>
      <c r="BQ99" s="69" t="str">
        <f>IFERROR(__xludf.DUMMYFUNCTION("IF($D99&lt;&gt;"""",IFERROR(FILTER(RawTotals!$AJ:$AJ,RawTotals!$A:$A=AG99)-(FILTER(Data!$K:$K,Data!$B:$B=AG99,Data!$D:$D=$D99)+FILTER(Data!$L:$L,Data!$B:$B=AG99,Data!$D:$D=$D99)),""""),"""")"),"")</f>
        <v/>
      </c>
      <c r="BR99" s="69" t="str">
        <f>IFERROR(__xludf.DUMMYFUNCTION("IF($D99&lt;&gt;"""",IFERROR(FILTER(RawTotals!$AJ:$AJ,RawTotals!$A:$A=AH99)-(FILTER(Data!$K:$K,Data!$B:$B=AH99,Data!$D:$D=$D99)+FILTER(Data!$L:$L,Data!$B:$B=AH99,Data!$D:$D=$D99)),""""),"""")"),"")</f>
        <v/>
      </c>
      <c r="BS99" s="69" t="str">
        <f>IFERROR(__xludf.DUMMYFUNCTION("IF($E99&lt;&gt;"""",IFERROR(FILTER(RawTotals!$AJ:$AJ,RawTotals!$A:$A=AI99)-(FILTER(Data!$K:$K,Data!$B:$B=AI99,Data!$D:$D=$E99)+FILTER(Data!$L:$L,Data!$B:$B=AI99,Data!$D:$D=$E99)),""""),"""")"),"")</f>
        <v/>
      </c>
      <c r="BT99" s="69" t="str">
        <f>IFERROR(__xludf.DUMMYFUNCTION("IF($E99&lt;&gt;"""",IFERROR(FILTER(RawTotals!$AJ:$AJ,RawTotals!$A:$A=AJ99)-(FILTER(Data!$K:$K,Data!$B:$B=AJ99,Data!$D:$D=$E99)+FILTER(Data!$L:$L,Data!$B:$B=AJ99,Data!$D:$D=$E99)),""""),"""")"),"")</f>
        <v/>
      </c>
      <c r="BU99" s="69" t="str">
        <f>IFERROR(__xludf.DUMMYFUNCTION("IF($E99&lt;&gt;"""",IFERROR(FILTER(RawTotals!$AJ:$AJ,RawTotals!$A:$A=AK99)-(FILTER(Data!$K:$K,Data!$B:$B=AK99,Data!$D:$D=$E99)+FILTER(Data!$L:$L,Data!$B:$B=AK99,Data!$D:$D=$E99)),""""),"""")"),"")</f>
        <v/>
      </c>
      <c r="BV99" s="69" t="str">
        <f>IFERROR(__xludf.DUMMYFUNCTION("IF($F99&lt;&gt;"""",IFERROR(FILTER(RawTotals!$AJ:$AJ,RawTotals!$A:$A=AL99)-(FILTER(Data!$K:$K,Data!$B:$B=AL99,Data!$D:$D=$F99)+FILTER(Data!$L:$L,Data!$B:$B=AL99,Data!$D:$D=$F99)),""""),"""")"),"")</f>
        <v/>
      </c>
      <c r="BW99" s="69" t="str">
        <f>IFERROR(__xludf.DUMMYFUNCTION("IF($F99&lt;&gt;"""",IFERROR(FILTER(RawTotals!$AJ:$AJ,RawTotals!$A:$A=AM99)-(FILTER(Data!$K:$K,Data!$B:$B=AM99,Data!$D:$D=$F99)+FILTER(Data!$L:$L,Data!$B:$B=AM99,Data!$D:$D=$F99)),""""),"""")"),"")</f>
        <v/>
      </c>
      <c r="BX99" s="69" t="str">
        <f>IFERROR(__xludf.DUMMYFUNCTION("IF($F99&lt;&gt;"""",IFERROR(FILTER(RawTotals!$AJ:$AJ,RawTotals!$A:$A=AN99)-(FILTER(Data!$K:$K,Data!$B:$B=AN99,Data!$D:$D=$F99)+FILTER(Data!$L:$L,Data!$B:$B=AN99,Data!$D:$D=$F99)),""""),"""")"),"")</f>
        <v/>
      </c>
      <c r="BY99" s="69" t="str">
        <f>IFERROR(__xludf.DUMMYFUNCTION("IF($G99&lt;&gt;"""",IFERROR(FILTER(RawTotals!$AJ:$AJ,RawTotals!$A:$A=AO99)-(FILTER(Data!$K:$K,Data!$B:$B=AO99,Data!$D:$D=$G99)+FILTER(Data!$L:$L,Data!$B:$B=AO99,Data!$D:$D=$G99)),""""),"""")"),"")</f>
        <v/>
      </c>
      <c r="BZ99" s="69" t="str">
        <f>IFERROR(__xludf.DUMMYFUNCTION("IF($G99&lt;&gt;"""",IFERROR(FILTER(RawTotals!$AJ:$AJ,RawTotals!$A:$A=AP99)-(FILTER(Data!$K:$K,Data!$B:$B=AP99,Data!$D:$D=$G99)+FILTER(Data!$L:$L,Data!$B:$B=AP99,Data!$D:$D=$G99)),""""),"""")"),"")</f>
        <v/>
      </c>
      <c r="CA99" s="69" t="str">
        <f>IFERROR(__xludf.DUMMYFUNCTION("IF($G99&lt;&gt;"""",IFERROR(FILTER(RawTotals!$AJ:$AJ,RawTotals!$A:$A=AQ99)-(FILTER(Data!$K:$K,Data!$B:$B=AQ99,Data!$D:$D=$G99)+FILTER(Data!$L:$L,Data!$B:$B=AQ99,Data!$D:$D=$G99)),""""),"""")"),"")</f>
        <v/>
      </c>
      <c r="CB99" s="69" t="str">
        <f>IFERROR(__xludf.DUMMYFUNCTION("IF($H99&lt;&gt;"""",IFERROR(FILTER(RawTotals!$AJ:$AJ,RawTotals!$A:$A=AR99)-(FILTER(Data!$K:$K,Data!$B:$B=AR99,Data!$D:$D=$H99)+FILTER(Data!$L:$L,Data!$B:$B=AR99,Data!$D:$D=$H99)),""""),"""")"),"")</f>
        <v/>
      </c>
      <c r="CC99" s="69" t="str">
        <f>IFERROR(__xludf.DUMMYFUNCTION("IF($H99&lt;&gt;"""",IFERROR(FILTER(RawTotals!$AJ:$AJ,RawTotals!$A:$A=AS99)-(FILTER(Data!$K:$K,Data!$B:$B=AS99,Data!$D:$D=$H99)+FILTER(Data!$L:$L,Data!$B:$B=AS99,Data!$D:$D=$H99)),""""),"""")"),"")</f>
        <v/>
      </c>
      <c r="CD99" s="69" t="str">
        <f>IFERROR(__xludf.DUMMYFUNCTION("IF($H99&lt;&gt;"""",IFERROR(FILTER(RawTotals!$AJ:$AJ,RawTotals!$A:$A=AT99)-(FILTER(Data!$K:$K,Data!$B:$B=AT99,Data!$D:$D=$H99)+FILTER(Data!$L:$L,Data!$B:$B=AT99,Data!$D:$D=$H99)),""""),"""")"),"")</f>
        <v/>
      </c>
      <c r="CE99" s="69" t="str">
        <f>IFERROR(__xludf.DUMMYFUNCTION("IF($I99&lt;&gt;"""",IFERROR(FILTER(RawTotals!$AJ:$AJ,RawTotals!$A:$A=AU99)-(FILTER(Data!$K:$K,Data!$B:$B=AU99,Data!$D:$D=$I99)+FILTER(Data!$L:$L,Data!$B:$B=AU99,Data!$D:$D=$I99)),""""),"""")"),"")</f>
        <v/>
      </c>
      <c r="CF99" s="69" t="str">
        <f>IFERROR(__xludf.DUMMYFUNCTION("IF($I99&lt;&gt;"""",IFERROR(FILTER(RawTotals!$AJ:$AJ,RawTotals!$A:$A=AV99)-(FILTER(Data!$K:$K,Data!$B:$B=AV99,Data!$D:$D=$I99)+FILTER(Data!$L:$L,Data!$B:$B=AV99,Data!$D:$D=$I99)),""""),"""")"),"")</f>
        <v/>
      </c>
      <c r="CG99" s="69" t="str">
        <f>IFERROR(__xludf.DUMMYFUNCTION("IF($I99&lt;&gt;"""",IFERROR(FILTER(RawTotals!$AJ:$AJ,RawTotals!$A:$A=AW99)-(FILTER(Data!$K:$K,Data!$B:$B=AW99,Data!$D:$D=$I99)+FILTER(Data!$L:$L,Data!$B:$B=AW99,Data!$D:$D=$I99)),""""),"""")"),"")</f>
        <v/>
      </c>
      <c r="CH99" s="69" t="str">
        <f>IFERROR(__xludf.DUMMYFUNCTION("IF($J99&lt;&gt;"""",IFERROR(FILTER(RawTotals!$AJ:$AJ,RawTotals!$A:$A=AX99)-(FILTER(Data!$K:$K,Data!$B:$B=AX99,Data!$D:$D=$J99)+FILTER(Data!$L:$L,Data!$B:$B=AX99,Data!$D:$D=$J99)),""""),"""")"),"")</f>
        <v/>
      </c>
      <c r="CI99" s="69" t="str">
        <f>IFERROR(__xludf.DUMMYFUNCTION("IF($J99&lt;&gt;"""",IFERROR(FILTER(RawTotals!$AJ:$AJ,RawTotals!$A:$A=AY99)-(FILTER(Data!$K:$K,Data!$B:$B=AY99,Data!$D:$D=$J99)+FILTER(Data!$L:$L,Data!$B:$B=AY99,Data!$D:$D=$J99)),""""),"""")"),"")</f>
        <v/>
      </c>
      <c r="CJ99" s="69" t="str">
        <f>IFERROR(__xludf.DUMMYFUNCTION("IF($J99&lt;&gt;"""",IFERROR(FILTER(RawTotals!$AJ:$AJ,RawTotals!$A:$A=AZ99)-(FILTER(Data!$K:$K,Data!$B:$B=AZ99,Data!$D:$D=$J99)+FILTER(Data!$L:$L,Data!$B:$B=AZ99,Data!$D:$D=$J99)),""""),"""")"),"")</f>
        <v/>
      </c>
      <c r="CK99" s="69" t="str">
        <f>IFERROR(__xludf.DUMMYFUNCTION("IF($K99&lt;&gt;"""",IFERROR(FILTER(RawTotals!$AJ:$AJ,RawTotals!$A:$A=BA99)-(FILTER(Data!$K:$K,Data!$B:$B=BA99,Data!$D:$D=$K99)+FILTER(Data!$L:$L,Data!$B:$B=BA99,Data!$D:$D=$K99)),""""),"""")"),"")</f>
        <v/>
      </c>
      <c r="CL99" s="69" t="str">
        <f>IFERROR(__xludf.DUMMYFUNCTION("IF($K99&lt;&gt;"""",IFERROR(FILTER(RawTotals!$AJ:$AJ,RawTotals!$A:$A=BB99)-(FILTER(Data!$K:$K,Data!$B:$B=BB99,Data!$D:$D=$K99)+FILTER(Data!$L:$L,Data!$B:$B=BB99,Data!$D:$D=$K99)),""""),"""")"),"")</f>
        <v/>
      </c>
      <c r="CM99" s="69" t="str">
        <f>IFERROR(__xludf.DUMMYFUNCTION("IF($K99&lt;&gt;"""",IFERROR(FILTER(RawTotals!$AJ:$AJ,RawTotals!$A:$A=BC99)-(FILTER(Data!$K:$K,Data!$B:$B=BC99,Data!$D:$D=$K99)+FILTER(Data!$L:$L,Data!$B:$B=BC99,Data!$D:$D=$K99)),""""),"""")"),"")</f>
        <v/>
      </c>
      <c r="CN99" s="69" t="str">
        <f>IFERROR(__xludf.DUMMYFUNCTION("IF($L99&lt;&gt;"""",IFERROR((FILTER(RawTotals!$AJ:$AJ,RawTotals!$A:$A=BD99)-(FILTER(Data!$K:$K,Data!$B:$B=BD99,Data!$D:$D=$L99)+FILTER(Data!$L:$L,Data!$B:$B=BD99,Data!$D:$D=$L99))),""""),"""")"),"")</f>
        <v/>
      </c>
      <c r="CO99" s="69" t="str">
        <f>IFERROR(__xludf.DUMMYFUNCTION("IF($L99&lt;&gt;"""",IFERROR((FILTER(RawTotals!$AJ:$AJ,RawTotals!$A:$A=BE99)-(FILTER(Data!$K:$K,Data!$B:$B=BE99,Data!$D:$D=$L99)+FILTER(Data!$L:$L,Data!$B:$B=BE99,Data!$D:$D=$L99))),""""),"""")"),"")</f>
        <v/>
      </c>
      <c r="CP99" s="69" t="str">
        <f>IFERROR(__xludf.DUMMYFUNCTION("IF($L99&lt;&gt;"""",IFERROR((FILTER(RawTotals!$AJ:$AJ,RawTotals!$A:$A=BF99)-(FILTER(Data!$K:$K,Data!$B:$B=BF99,Data!$D:$D=$L99)+FILTER(Data!$L:$L,Data!$B:$B=BF99,Data!$D:$D=$L99))),""""),"""")"),"")</f>
        <v/>
      </c>
      <c r="CQ99" s="69" t="str">
        <f>IFERROR(__xludf.DUMMYFUNCTION("IF($M99&lt;&gt;"""",IFERROR((FILTER(RawTotals!$AJ:$AJ,RawTotals!$A:$A=BG99)-(FILTER(Data!$K:$K,Data!$B:$B=BG99,Data!$D:$D=$M99)+FILTER(Data!$L:$L,Data!$B:$B=BG99,Data!$D:$D=$M99))),""""),"""")"),"")</f>
        <v/>
      </c>
      <c r="CR99" s="69" t="str">
        <f>IFERROR(__xludf.DUMMYFUNCTION("IF($M99&lt;&gt;"""",IFERROR((FILTER(RawTotals!$AJ:$AJ,RawTotals!$A:$A=BH99)-(FILTER(Data!$K:$K,Data!$B:$B=BH99,Data!$D:$D=$M99)+FILTER(Data!$L:$L,Data!$B:$B=BH99,Data!$D:$D=$M99))),""""),"""")"),"")</f>
        <v/>
      </c>
      <c r="CS99" s="70" t="str">
        <f>IFERROR(__xludf.DUMMYFUNCTION("IF($M99&lt;&gt;"""",IFERROR((FILTER(RawTotals!$AJ:$AJ,RawTotals!$A:$A=BI99)-(FILTER(Data!$K:$K,Data!$B:$B=BI99,Data!$D:$D=$M99)+FILTER(Data!$L:$L,Data!$B:$B=BI99,Data!$D:$D=$M99))),""""),"""")"),"")</f>
        <v/>
      </c>
      <c r="CT99" s="69"/>
      <c r="CU99" s="69"/>
      <c r="CV99" s="69"/>
      <c r="CW99" s="69"/>
      <c r="CX99" s="69"/>
      <c r="CY99" s="69"/>
      <c r="CZ99" s="69"/>
      <c r="DA99" s="69"/>
      <c r="DB99" s="69"/>
      <c r="DC99" s="69"/>
      <c r="DD99" s="69"/>
      <c r="DE99" s="69"/>
    </row>
    <row r="100">
      <c r="A100" s="65" t="str">
        <f>RawTotals!A100</f>
        <v/>
      </c>
      <c r="B100" s="68" t="str">
        <f>IFERROR(__xludf.DUMMYFUNCTION("IF(A100&lt;&gt;"""",IFERROR(TRANSPOSE(FILTER(Data!D:D,Data!B:B=A100,Data!R:R&lt;&gt;"""")),""No Defense""),"""")"),"")</f>
        <v/>
      </c>
      <c r="C100" s="65"/>
      <c r="D100" s="65"/>
      <c r="E100" s="65"/>
      <c r="F100" s="65"/>
      <c r="G100" s="65"/>
      <c r="H100" s="65"/>
      <c r="I100" s="65"/>
      <c r="J100" s="65"/>
      <c r="K100" s="65"/>
      <c r="L100" s="65"/>
      <c r="M100" s="65"/>
      <c r="N100" s="64" t="str">
        <f>IFERROR(__xludf.DUMMYFUNCTION("IFERROR(Textjoin("""",TRUE,FILTER(Data!$R:$R,Data!$D:$D=B100,Data!$B:$B=$A100)),"""")"),"")</f>
        <v/>
      </c>
      <c r="O100" s="64" t="str">
        <f>IFERROR(__xludf.DUMMYFUNCTION("IFERROR(Textjoin("""",TRUE,FILTER(Data!$R:$R,Data!$D:$D=C100,Data!$B:$B=$A100)),"""")"),"")</f>
        <v/>
      </c>
      <c r="P100" s="64" t="str">
        <f>IFERROR(__xludf.DUMMYFUNCTION("IFERROR(Textjoin("""",TRUE,FILTER(Data!$R:$R,Data!$D:$D=D100,Data!$B:$B=$A100)),"""")"),"")</f>
        <v/>
      </c>
      <c r="Q100" s="64" t="str">
        <f>IFERROR(__xludf.DUMMYFUNCTION("IFERROR(Textjoin("""",TRUE,FILTER(Data!$R:$R,Data!$D:$D=E100,Data!$B:$B=$A100)),"""")"),"")</f>
        <v/>
      </c>
      <c r="R100" s="64" t="str">
        <f>IFERROR(__xludf.DUMMYFUNCTION("IFERROR(Textjoin("""",TRUE,FILTER(Data!$R:$R,Data!$D:$D=F100,Data!$B:$B=$A100)),"""")"),"")</f>
        <v/>
      </c>
      <c r="S100" s="64" t="str">
        <f>IFERROR(__xludf.DUMMYFUNCTION("IFERROR(Textjoin("""",TRUE,FILTER(Data!$R:$R,Data!$D:$D=G100,Data!$B:$B=$A100)),"""")"),"")</f>
        <v/>
      </c>
      <c r="T100" s="64" t="str">
        <f>IFERROR(__xludf.DUMMYFUNCTION("IFERROR(Textjoin("""",TRUE,FILTER(Data!$R:$R,Data!$D:$D=H100,Data!$B:$B=$A100)),"""")"),"")</f>
        <v/>
      </c>
      <c r="U100" s="64" t="str">
        <f>IFERROR(__xludf.DUMMYFUNCTION("IFERROR(Textjoin("""",TRUE,FILTER(Data!$R:$R,Data!$D:$D=I100,Data!$B:$B=$A100)),"""")"),"")</f>
        <v/>
      </c>
      <c r="V100" s="64" t="str">
        <f>IFERROR(__xludf.DUMMYFUNCTION("IFERROR(Textjoin("""",TRUE,FILTER(Data!$R:$R,Data!$D:$D=J100,Data!$B:$B=$A100)),"""")"),"")</f>
        <v/>
      </c>
      <c r="W100" s="64" t="str">
        <f>IFERROR(__xludf.DUMMYFUNCTION("IFERROR(Textjoin("""",TRUE,FILTER(Data!$R:$R,Data!$D:$D=K100,Data!$B:$B=$A100)),"""")"),"")</f>
        <v/>
      </c>
      <c r="X100" s="64" t="str">
        <f>IFERROR(__xludf.DUMMYFUNCTION("IFERROR(Textjoin("""",TRUE,FILTER(Data!$R:$R,Data!$D:$D=L100,Data!$B:$B=$A100)),"""")"),"")</f>
        <v/>
      </c>
      <c r="Y100" s="64" t="str">
        <f>IFERROR(__xludf.DUMMYFUNCTION("IFERROR(Textjoin("""",TRUE,FILTER(Data!$R:$R,Data!$D:$D=M100,Data!$B:$B=$A100)),"""")"),"")</f>
        <v/>
      </c>
      <c r="Z100" s="64" t="str">
        <f>IFERROR(__xludf.DUMMYFUNCTION("IFERROR(SPLIT(N100,"",""),"""")"),"")</f>
        <v/>
      </c>
      <c r="AA100" s="65"/>
      <c r="AB100" s="65"/>
      <c r="AC100" s="69" t="str">
        <f>IFERROR(__xludf.DUMMYFUNCTION("IFERROR(SPLIT(O100,"",""),"""")"),"")</f>
        <v/>
      </c>
      <c r="AD100" s="65"/>
      <c r="AE100" s="65"/>
      <c r="AF100" s="69" t="str">
        <f>IFERROR(__xludf.DUMMYFUNCTION("IFERROR(SPLIT(P100,"",""),"""")"),"")</f>
        <v/>
      </c>
      <c r="AG100" s="65"/>
      <c r="AH100" s="65"/>
      <c r="AI100" s="69" t="str">
        <f>IFERROR(__xludf.DUMMYFUNCTION("IFERROR(SPLIT(Q100,"",""),"""")"),"")</f>
        <v/>
      </c>
      <c r="AJ100" s="65"/>
      <c r="AK100" s="65"/>
      <c r="AL100" s="69" t="str">
        <f>IFERROR(__xludf.DUMMYFUNCTION("IFERROR(SPLIT(R100,"",""),"""")"),"")</f>
        <v/>
      </c>
      <c r="AM100" s="65"/>
      <c r="AN100" s="65"/>
      <c r="AO100" s="69" t="str">
        <f>IFERROR(__xludf.DUMMYFUNCTION("IFERROR(SPLIT(S100,"",""),"""")"),"")</f>
        <v/>
      </c>
      <c r="AP100" s="65"/>
      <c r="AQ100" s="65"/>
      <c r="AR100" s="69" t="str">
        <f>IFERROR(__xludf.DUMMYFUNCTION("IFERROR(SPLIT(T100,"",""),"""")"),"")</f>
        <v/>
      </c>
      <c r="AS100" s="65"/>
      <c r="AT100" s="65"/>
      <c r="AU100" s="69" t="str">
        <f>IFERROR(__xludf.DUMMYFUNCTION("IFERROR(SPLIT(U100,"",""),"""")"),"")</f>
        <v/>
      </c>
      <c r="AV100" s="65"/>
      <c r="AW100" s="65"/>
      <c r="AX100" s="69" t="str">
        <f>IFERROR(__xludf.DUMMYFUNCTION("IFERROR(SPLIT(V100,"",""),"""")"),"")</f>
        <v/>
      </c>
      <c r="AY100" s="65"/>
      <c r="AZ100" s="65"/>
      <c r="BA100" s="69" t="str">
        <f>IFERROR(__xludf.DUMMYFUNCTION("IFERROR(SPLIT(W100,"",""),"""")"),"")</f>
        <v/>
      </c>
      <c r="BB100" s="69"/>
      <c r="BC100" s="69"/>
      <c r="BD100" s="69" t="str">
        <f>IFERROR(__xludf.DUMMYFUNCTION("IFERROR(SPLIT(X100,"",""),"""")"),"")</f>
        <v/>
      </c>
      <c r="BE100" s="69"/>
      <c r="BF100" s="69"/>
      <c r="BG100" s="69" t="str">
        <f>IFERROR(__xludf.DUMMYFUNCTION("IFERROR(SPLIT(Y100,"",""),"""")"),"")</f>
        <v/>
      </c>
      <c r="BH100" s="69"/>
      <c r="BI100" s="69"/>
      <c r="BJ100" s="68" t="str">
        <f>IFERROR(__xludf.DUMMYFUNCTION("IF($B100&lt;&gt;"""",IFERROR(FILTER(RawTotals!$AJ:$AJ,RawTotals!$A:$A=Z100)-(FILTER(Data!$K:$K,Data!$B:$B=Z100,Data!$D:$D=$B100)+FILTER(Data!$L:$L,Data!$B:$B=Z100,Data!$D:$D=$B100)),""""),"""")"),"")</f>
        <v/>
      </c>
      <c r="BK100" s="68" t="str">
        <f>IFERROR(__xludf.DUMMYFUNCTION("IF($B100&lt;&gt;"""",IFERROR(FILTER(RawTotals!$AJ:$AJ,RawTotals!$A:$A=AA100)-(FILTER(Data!$K:$K,Data!$B:$B=AA100,Data!$D:$D=$B100)+FILTER(Data!$L:$L,Data!$B:$B=AA100,Data!$D:$D=$B100)),""""),"""")"),"")</f>
        <v/>
      </c>
      <c r="BL100" s="68" t="str">
        <f>IFERROR(__xludf.DUMMYFUNCTION("IF($B100&lt;&gt;"""",IFERROR(FILTER(RawTotals!$AJ:$AJ,RawTotals!$A:$A=AB100)-(FILTER(Data!$K:$K,Data!$B:$B=AB100,Data!$D:$D=$B100)+FILTER(Data!$L:$L,Data!$B:$B=AB100,Data!$D:$D=$B100)),""""),"""")"),"")</f>
        <v/>
      </c>
      <c r="BM100" s="69" t="str">
        <f>IFERROR(__xludf.DUMMYFUNCTION("IF($C100&lt;&gt;"""",IFERROR(FILTER(RawTotals!$AJ:$AJ,RawTotals!$A:$A=AC100)-(FILTER(Data!$K:$K,Data!$B:$B=AC100,Data!$D:$D=$C100)+FILTER(Data!$L:$L,Data!$B:$B=AC100,Data!$D:$D=$C100)),""""),"""")"),"")</f>
        <v/>
      </c>
      <c r="BN100" s="69" t="str">
        <f>IFERROR(__xludf.DUMMYFUNCTION("IF($C100&lt;&gt;"""",IFERROR(FILTER(RawTotals!$AJ:$AJ,RawTotals!$A:$A=AD100)-(FILTER(Data!$K:$K,Data!$B:$B=AD100,Data!$D:$D=$C100)+FILTER(Data!$L:$L,Data!$B:$B=AD100,Data!$D:$D=$C100)),""""),"""")"),"")</f>
        <v/>
      </c>
      <c r="BO100" s="69" t="str">
        <f>IFERROR(__xludf.DUMMYFUNCTION("IF($C100&lt;&gt;"""",IFERROR(FILTER(RawTotals!$AJ:$AJ,RawTotals!$A:$A=AE100)-(FILTER(Data!$K:$K,Data!$B:$B=AE100,Data!$D:$D=$C100)+FILTER(Data!$L:$L,Data!$B:$B=AE100,Data!$D:$D=$C100)),""""),"""")"),"")</f>
        <v/>
      </c>
      <c r="BP100" s="69" t="str">
        <f>IFERROR(__xludf.DUMMYFUNCTION("IF($D100&lt;&gt;"""",IFERROR(FILTER(RawTotals!$AJ:$AJ,RawTotals!$A:$A=AF100)-(FILTER(Data!$K:$K,Data!$B:$B=AF100,Data!$D:$D=$D100)+FILTER(Data!$L:$L,Data!$B:$B=AF100,Data!$D:$D=$D100)),""""),"""")"),"")</f>
        <v/>
      </c>
      <c r="BQ100" s="69" t="str">
        <f>IFERROR(__xludf.DUMMYFUNCTION("IF($D100&lt;&gt;"""",IFERROR(FILTER(RawTotals!$AJ:$AJ,RawTotals!$A:$A=AG100)-(FILTER(Data!$K:$K,Data!$B:$B=AG100,Data!$D:$D=$D100)+FILTER(Data!$L:$L,Data!$B:$B=AG100,Data!$D:$D=$D100)),""""),"""")"),"")</f>
        <v/>
      </c>
      <c r="BR100" s="69" t="str">
        <f>IFERROR(__xludf.DUMMYFUNCTION("IF($D100&lt;&gt;"""",IFERROR(FILTER(RawTotals!$AJ:$AJ,RawTotals!$A:$A=AH100)-(FILTER(Data!$K:$K,Data!$B:$B=AH100,Data!$D:$D=$D100)+FILTER(Data!$L:$L,Data!$B:$B=AH100,Data!$D:$D=$D100)),""""),"""")"),"")</f>
        <v/>
      </c>
      <c r="BS100" s="69" t="str">
        <f>IFERROR(__xludf.DUMMYFUNCTION("IF($E100&lt;&gt;"""",IFERROR(FILTER(RawTotals!$AJ:$AJ,RawTotals!$A:$A=AI100)-(FILTER(Data!$K:$K,Data!$B:$B=AI100,Data!$D:$D=$E100)+FILTER(Data!$L:$L,Data!$B:$B=AI100,Data!$D:$D=$E100)),""""),"""")"),"")</f>
        <v/>
      </c>
      <c r="BT100" s="69" t="str">
        <f>IFERROR(__xludf.DUMMYFUNCTION("IF($E100&lt;&gt;"""",IFERROR(FILTER(RawTotals!$AJ:$AJ,RawTotals!$A:$A=AJ100)-(FILTER(Data!$K:$K,Data!$B:$B=AJ100,Data!$D:$D=$E100)+FILTER(Data!$L:$L,Data!$B:$B=AJ100,Data!$D:$D=$E100)),""""),"""")"),"")</f>
        <v/>
      </c>
      <c r="BU100" s="69" t="str">
        <f>IFERROR(__xludf.DUMMYFUNCTION("IF($E100&lt;&gt;"""",IFERROR(FILTER(RawTotals!$AJ:$AJ,RawTotals!$A:$A=AK100)-(FILTER(Data!$K:$K,Data!$B:$B=AK100,Data!$D:$D=$E100)+FILTER(Data!$L:$L,Data!$B:$B=AK100,Data!$D:$D=$E100)),""""),"""")"),"")</f>
        <v/>
      </c>
      <c r="BV100" s="69" t="str">
        <f>IFERROR(__xludf.DUMMYFUNCTION("IF($F100&lt;&gt;"""",IFERROR(FILTER(RawTotals!$AJ:$AJ,RawTotals!$A:$A=AL100)-(FILTER(Data!$K:$K,Data!$B:$B=AL100,Data!$D:$D=$F100)+FILTER(Data!$L:$L,Data!$B:$B=AL100,Data!$D:$D=$F100)),""""),"""")"),"")</f>
        <v/>
      </c>
      <c r="BW100" s="69" t="str">
        <f>IFERROR(__xludf.DUMMYFUNCTION("IF($F100&lt;&gt;"""",IFERROR(FILTER(RawTotals!$AJ:$AJ,RawTotals!$A:$A=AM100)-(FILTER(Data!$K:$K,Data!$B:$B=AM100,Data!$D:$D=$F100)+FILTER(Data!$L:$L,Data!$B:$B=AM100,Data!$D:$D=$F100)),""""),"""")"),"")</f>
        <v/>
      </c>
      <c r="BX100" s="69" t="str">
        <f>IFERROR(__xludf.DUMMYFUNCTION("IF($F100&lt;&gt;"""",IFERROR(FILTER(RawTotals!$AJ:$AJ,RawTotals!$A:$A=AN100)-(FILTER(Data!$K:$K,Data!$B:$B=AN100,Data!$D:$D=$F100)+FILTER(Data!$L:$L,Data!$B:$B=AN100,Data!$D:$D=$F100)),""""),"""")"),"")</f>
        <v/>
      </c>
      <c r="BY100" s="69" t="str">
        <f>IFERROR(__xludf.DUMMYFUNCTION("IF($G100&lt;&gt;"""",IFERROR(FILTER(RawTotals!$AJ:$AJ,RawTotals!$A:$A=AO100)-(FILTER(Data!$K:$K,Data!$B:$B=AO100,Data!$D:$D=$G100)+FILTER(Data!$L:$L,Data!$B:$B=AO100,Data!$D:$D=$G100)),""""),"""")"),"")</f>
        <v/>
      </c>
      <c r="BZ100" s="69" t="str">
        <f>IFERROR(__xludf.DUMMYFUNCTION("IF($G100&lt;&gt;"""",IFERROR(FILTER(RawTotals!$AJ:$AJ,RawTotals!$A:$A=AP100)-(FILTER(Data!$K:$K,Data!$B:$B=AP100,Data!$D:$D=$G100)+FILTER(Data!$L:$L,Data!$B:$B=AP100,Data!$D:$D=$G100)),""""),"""")"),"")</f>
        <v/>
      </c>
      <c r="CA100" s="69" t="str">
        <f>IFERROR(__xludf.DUMMYFUNCTION("IF($G100&lt;&gt;"""",IFERROR(FILTER(RawTotals!$AJ:$AJ,RawTotals!$A:$A=AQ100)-(FILTER(Data!$K:$K,Data!$B:$B=AQ100,Data!$D:$D=$G100)+FILTER(Data!$L:$L,Data!$B:$B=AQ100,Data!$D:$D=$G100)),""""),"""")"),"")</f>
        <v/>
      </c>
      <c r="CB100" s="69" t="str">
        <f>IFERROR(__xludf.DUMMYFUNCTION("IF($H100&lt;&gt;"""",IFERROR(FILTER(RawTotals!$AJ:$AJ,RawTotals!$A:$A=AR100)-(FILTER(Data!$K:$K,Data!$B:$B=AR100,Data!$D:$D=$H100)+FILTER(Data!$L:$L,Data!$B:$B=AR100,Data!$D:$D=$H100)),""""),"""")"),"")</f>
        <v/>
      </c>
      <c r="CC100" s="69" t="str">
        <f>IFERROR(__xludf.DUMMYFUNCTION("IF($H100&lt;&gt;"""",IFERROR(FILTER(RawTotals!$AJ:$AJ,RawTotals!$A:$A=AS100)-(FILTER(Data!$K:$K,Data!$B:$B=AS100,Data!$D:$D=$H100)+FILTER(Data!$L:$L,Data!$B:$B=AS100,Data!$D:$D=$H100)),""""),"""")"),"")</f>
        <v/>
      </c>
      <c r="CD100" s="69" t="str">
        <f>IFERROR(__xludf.DUMMYFUNCTION("IF($H100&lt;&gt;"""",IFERROR(FILTER(RawTotals!$AJ:$AJ,RawTotals!$A:$A=AT100)-(FILTER(Data!$K:$K,Data!$B:$B=AT100,Data!$D:$D=$H100)+FILTER(Data!$L:$L,Data!$B:$B=AT100,Data!$D:$D=$H100)),""""),"""")"),"")</f>
        <v/>
      </c>
      <c r="CE100" s="69" t="str">
        <f>IFERROR(__xludf.DUMMYFUNCTION("IF($I100&lt;&gt;"""",IFERROR(FILTER(RawTotals!$AJ:$AJ,RawTotals!$A:$A=AU100)-(FILTER(Data!$K:$K,Data!$B:$B=AU100,Data!$D:$D=$I100)+FILTER(Data!$L:$L,Data!$B:$B=AU100,Data!$D:$D=$I100)),""""),"""")"),"")</f>
        <v/>
      </c>
      <c r="CF100" s="69" t="str">
        <f>IFERROR(__xludf.DUMMYFUNCTION("IF($I100&lt;&gt;"""",IFERROR(FILTER(RawTotals!$AJ:$AJ,RawTotals!$A:$A=AV100)-(FILTER(Data!$K:$K,Data!$B:$B=AV100,Data!$D:$D=$I100)+FILTER(Data!$L:$L,Data!$B:$B=AV100,Data!$D:$D=$I100)),""""),"""")"),"")</f>
        <v/>
      </c>
      <c r="CG100" s="69" t="str">
        <f>IFERROR(__xludf.DUMMYFUNCTION("IF($I100&lt;&gt;"""",IFERROR(FILTER(RawTotals!$AJ:$AJ,RawTotals!$A:$A=AW100)-(FILTER(Data!$K:$K,Data!$B:$B=AW100,Data!$D:$D=$I100)+FILTER(Data!$L:$L,Data!$B:$B=AW100,Data!$D:$D=$I100)),""""),"""")"),"")</f>
        <v/>
      </c>
      <c r="CH100" s="69" t="str">
        <f>IFERROR(__xludf.DUMMYFUNCTION("IF($J100&lt;&gt;"""",IFERROR(FILTER(RawTotals!$AJ:$AJ,RawTotals!$A:$A=AX100)-(FILTER(Data!$K:$K,Data!$B:$B=AX100,Data!$D:$D=$J100)+FILTER(Data!$L:$L,Data!$B:$B=AX100,Data!$D:$D=$J100)),""""),"""")"),"")</f>
        <v/>
      </c>
      <c r="CI100" s="69" t="str">
        <f>IFERROR(__xludf.DUMMYFUNCTION("IF($J100&lt;&gt;"""",IFERROR(FILTER(RawTotals!$AJ:$AJ,RawTotals!$A:$A=AY100)-(FILTER(Data!$K:$K,Data!$B:$B=AY100,Data!$D:$D=$J100)+FILTER(Data!$L:$L,Data!$B:$B=AY100,Data!$D:$D=$J100)),""""),"""")"),"")</f>
        <v/>
      </c>
      <c r="CJ100" s="69" t="str">
        <f>IFERROR(__xludf.DUMMYFUNCTION("IF($J100&lt;&gt;"""",IFERROR(FILTER(RawTotals!$AJ:$AJ,RawTotals!$A:$A=AZ100)-(FILTER(Data!$K:$K,Data!$B:$B=AZ100,Data!$D:$D=$J100)+FILTER(Data!$L:$L,Data!$B:$B=AZ100,Data!$D:$D=$J100)),""""),"""")"),"")</f>
        <v/>
      </c>
      <c r="CK100" s="69" t="str">
        <f>IFERROR(__xludf.DUMMYFUNCTION("IF($K100&lt;&gt;"""",IFERROR(FILTER(RawTotals!$AJ:$AJ,RawTotals!$A:$A=BA100)-(FILTER(Data!$K:$K,Data!$B:$B=BA100,Data!$D:$D=$K100)+FILTER(Data!$L:$L,Data!$B:$B=BA100,Data!$D:$D=$K100)),""""),"""")"),"")</f>
        <v/>
      </c>
      <c r="CL100" s="69" t="str">
        <f>IFERROR(__xludf.DUMMYFUNCTION("IF($K100&lt;&gt;"""",IFERROR(FILTER(RawTotals!$AJ:$AJ,RawTotals!$A:$A=BB100)-(FILTER(Data!$K:$K,Data!$B:$B=BB100,Data!$D:$D=$K100)+FILTER(Data!$L:$L,Data!$B:$B=BB100,Data!$D:$D=$K100)),""""),"""")"),"")</f>
        <v/>
      </c>
      <c r="CM100" s="69" t="str">
        <f>IFERROR(__xludf.DUMMYFUNCTION("IF($K100&lt;&gt;"""",IFERROR(FILTER(RawTotals!$AJ:$AJ,RawTotals!$A:$A=BC100)-(FILTER(Data!$K:$K,Data!$B:$B=BC100,Data!$D:$D=$K100)+FILTER(Data!$L:$L,Data!$B:$B=BC100,Data!$D:$D=$K100)),""""),"""")"),"")</f>
        <v/>
      </c>
      <c r="CN100" s="69" t="str">
        <f>IFERROR(__xludf.DUMMYFUNCTION("IF($L100&lt;&gt;"""",IFERROR((FILTER(RawTotals!$AJ:$AJ,RawTotals!$A:$A=BD100)-(FILTER(Data!$K:$K,Data!$B:$B=BD100,Data!$D:$D=$L100)+FILTER(Data!$L:$L,Data!$B:$B=BD100,Data!$D:$D=$L100))),""""),"""")"),"")</f>
        <v/>
      </c>
      <c r="CO100" s="69" t="str">
        <f>IFERROR(__xludf.DUMMYFUNCTION("IF($L100&lt;&gt;"""",IFERROR((FILTER(RawTotals!$AJ:$AJ,RawTotals!$A:$A=BE100)-(FILTER(Data!$K:$K,Data!$B:$B=BE100,Data!$D:$D=$L100)+FILTER(Data!$L:$L,Data!$B:$B=BE100,Data!$D:$D=$L100))),""""),"""")"),"")</f>
        <v/>
      </c>
      <c r="CP100" s="69" t="str">
        <f>IFERROR(__xludf.DUMMYFUNCTION("IF($L100&lt;&gt;"""",IFERROR((FILTER(RawTotals!$AJ:$AJ,RawTotals!$A:$A=BF100)-(FILTER(Data!$K:$K,Data!$B:$B=BF100,Data!$D:$D=$L100)+FILTER(Data!$L:$L,Data!$B:$B=BF100,Data!$D:$D=$L100))),""""),"""")"),"")</f>
        <v/>
      </c>
      <c r="CQ100" s="69" t="str">
        <f>IFERROR(__xludf.DUMMYFUNCTION("IF($M100&lt;&gt;"""",IFERROR((FILTER(RawTotals!$AJ:$AJ,RawTotals!$A:$A=BG100)-(FILTER(Data!$K:$K,Data!$B:$B=BG100,Data!$D:$D=$M100)+FILTER(Data!$L:$L,Data!$B:$B=BG100,Data!$D:$D=$M100))),""""),"""")"),"")</f>
        <v/>
      </c>
      <c r="CR100" s="69" t="str">
        <f>IFERROR(__xludf.DUMMYFUNCTION("IF($M100&lt;&gt;"""",IFERROR((FILTER(RawTotals!$AJ:$AJ,RawTotals!$A:$A=BH100)-(FILTER(Data!$K:$K,Data!$B:$B=BH100,Data!$D:$D=$M100)+FILTER(Data!$L:$L,Data!$B:$B=BH100,Data!$D:$D=$M100))),""""),"""")"),"")</f>
        <v/>
      </c>
      <c r="CS100" s="70" t="str">
        <f>IFERROR(__xludf.DUMMYFUNCTION("IF($M100&lt;&gt;"""",IFERROR((FILTER(RawTotals!$AJ:$AJ,RawTotals!$A:$A=BI100)-(FILTER(Data!$K:$K,Data!$B:$B=BI100,Data!$D:$D=$M100)+FILTER(Data!$L:$L,Data!$B:$B=BI100,Data!$D:$D=$M100))),""""),"""")"),"")</f>
        <v/>
      </c>
      <c r="CT100" s="69"/>
      <c r="CU100" s="69"/>
      <c r="CV100" s="69"/>
      <c r="CW100" s="69"/>
      <c r="CX100" s="69"/>
      <c r="CY100" s="69"/>
      <c r="CZ100" s="69"/>
      <c r="DA100" s="69"/>
      <c r="DB100" s="69"/>
      <c r="DC100" s="69"/>
      <c r="DD100" s="69"/>
      <c r="DE100" s="69"/>
    </row>
    <row r="101">
      <c r="A101" s="65" t="str">
        <f>RawTotals!A101</f>
        <v/>
      </c>
      <c r="B101" s="68" t="str">
        <f>IFERROR(__xludf.DUMMYFUNCTION("IF(A101&lt;&gt;"""",IFERROR(TRANSPOSE(FILTER(Data!D:D,Data!B:B=A101,Data!R:R&lt;&gt;"""")),""No Defense""),"""")"),"")</f>
        <v/>
      </c>
      <c r="C101" s="65"/>
      <c r="D101" s="65"/>
      <c r="E101" s="65"/>
      <c r="F101" s="65"/>
      <c r="G101" s="65"/>
      <c r="H101" s="65"/>
      <c r="I101" s="65"/>
      <c r="J101" s="65"/>
      <c r="K101" s="65"/>
      <c r="L101" s="65"/>
      <c r="M101" s="65"/>
      <c r="N101" s="64" t="str">
        <f>IFERROR(__xludf.DUMMYFUNCTION("IFERROR(Textjoin("""",TRUE,FILTER(Data!$R:$R,Data!$D:$D=B101,Data!$B:$B=$A101)),"""")"),"")</f>
        <v/>
      </c>
      <c r="O101" s="64" t="str">
        <f>IFERROR(__xludf.DUMMYFUNCTION("IFERROR(Textjoin("""",TRUE,FILTER(Data!$R:$R,Data!$D:$D=C101,Data!$B:$B=$A101)),"""")"),"")</f>
        <v/>
      </c>
      <c r="P101" s="64" t="str">
        <f>IFERROR(__xludf.DUMMYFUNCTION("IFERROR(Textjoin("""",TRUE,FILTER(Data!$R:$R,Data!$D:$D=D101,Data!$B:$B=$A101)),"""")"),"")</f>
        <v/>
      </c>
      <c r="Q101" s="64" t="str">
        <f>IFERROR(__xludf.DUMMYFUNCTION("IFERROR(Textjoin("""",TRUE,FILTER(Data!$R:$R,Data!$D:$D=E101,Data!$B:$B=$A101)),"""")"),"")</f>
        <v/>
      </c>
      <c r="R101" s="64" t="str">
        <f>IFERROR(__xludf.DUMMYFUNCTION("IFERROR(Textjoin("""",TRUE,FILTER(Data!$R:$R,Data!$D:$D=F101,Data!$B:$B=$A101)),"""")"),"")</f>
        <v/>
      </c>
      <c r="S101" s="64" t="str">
        <f>IFERROR(__xludf.DUMMYFUNCTION("IFERROR(Textjoin("""",TRUE,FILTER(Data!$R:$R,Data!$D:$D=G101,Data!$B:$B=$A101)),"""")"),"")</f>
        <v/>
      </c>
      <c r="T101" s="64" t="str">
        <f>IFERROR(__xludf.DUMMYFUNCTION("IFERROR(Textjoin("""",TRUE,FILTER(Data!$R:$R,Data!$D:$D=H101,Data!$B:$B=$A101)),"""")"),"")</f>
        <v/>
      </c>
      <c r="U101" s="64" t="str">
        <f>IFERROR(__xludf.DUMMYFUNCTION("IFERROR(Textjoin("""",TRUE,FILTER(Data!$R:$R,Data!$D:$D=I101,Data!$B:$B=$A101)),"""")"),"")</f>
        <v/>
      </c>
      <c r="V101" s="64" t="str">
        <f>IFERROR(__xludf.DUMMYFUNCTION("IFERROR(Textjoin("""",TRUE,FILTER(Data!$R:$R,Data!$D:$D=J101,Data!$B:$B=$A101)),"""")"),"")</f>
        <v/>
      </c>
      <c r="W101" s="64" t="str">
        <f>IFERROR(__xludf.DUMMYFUNCTION("IFERROR(Textjoin("""",TRUE,FILTER(Data!$R:$R,Data!$D:$D=K101,Data!$B:$B=$A101)),"""")"),"")</f>
        <v/>
      </c>
      <c r="X101" s="64" t="str">
        <f>IFERROR(__xludf.DUMMYFUNCTION("IFERROR(Textjoin("""",TRUE,FILTER(Data!$R:$R,Data!$D:$D=L101,Data!$B:$B=$A101)),"""")"),"")</f>
        <v/>
      </c>
      <c r="Y101" s="64" t="str">
        <f>IFERROR(__xludf.DUMMYFUNCTION("IFERROR(Textjoin("""",TRUE,FILTER(Data!$R:$R,Data!$D:$D=M101,Data!$B:$B=$A101)),"""")"),"")</f>
        <v/>
      </c>
      <c r="Z101" s="64" t="str">
        <f>IFERROR(__xludf.DUMMYFUNCTION("IFERROR(SPLIT(N101,"",""),"""")"),"")</f>
        <v/>
      </c>
      <c r="AA101" s="65"/>
      <c r="AB101" s="65"/>
      <c r="AC101" s="69" t="str">
        <f>IFERROR(__xludf.DUMMYFUNCTION("IFERROR(SPLIT(O101,"",""),"""")"),"")</f>
        <v/>
      </c>
      <c r="AD101" s="65"/>
      <c r="AE101" s="65"/>
      <c r="AF101" s="69" t="str">
        <f>IFERROR(__xludf.DUMMYFUNCTION("IFERROR(SPLIT(P101,"",""),"""")"),"")</f>
        <v/>
      </c>
      <c r="AG101" s="65"/>
      <c r="AH101" s="65"/>
      <c r="AI101" s="69" t="str">
        <f>IFERROR(__xludf.DUMMYFUNCTION("IFERROR(SPLIT(Q101,"",""),"""")"),"")</f>
        <v/>
      </c>
      <c r="AJ101" s="65"/>
      <c r="AK101" s="65"/>
      <c r="AL101" s="69" t="str">
        <f>IFERROR(__xludf.DUMMYFUNCTION("IFERROR(SPLIT(R101,"",""),"""")"),"")</f>
        <v/>
      </c>
      <c r="AM101" s="65"/>
      <c r="AN101" s="65"/>
      <c r="AO101" s="69" t="str">
        <f>IFERROR(__xludf.DUMMYFUNCTION("IFERROR(SPLIT(S101,"",""),"""")"),"")</f>
        <v/>
      </c>
      <c r="AP101" s="65"/>
      <c r="AQ101" s="65"/>
      <c r="AR101" s="69" t="str">
        <f>IFERROR(__xludf.DUMMYFUNCTION("IFERROR(SPLIT(T101,"",""),"""")"),"")</f>
        <v/>
      </c>
      <c r="AS101" s="65"/>
      <c r="AT101" s="65"/>
      <c r="AU101" s="69" t="str">
        <f>IFERROR(__xludf.DUMMYFUNCTION("IFERROR(SPLIT(U101,"",""),"""")"),"")</f>
        <v/>
      </c>
      <c r="AV101" s="65"/>
      <c r="AW101" s="65"/>
      <c r="AX101" s="69" t="str">
        <f>IFERROR(__xludf.DUMMYFUNCTION("IFERROR(SPLIT(V101,"",""),"""")"),"")</f>
        <v/>
      </c>
      <c r="AY101" s="65"/>
      <c r="AZ101" s="65"/>
      <c r="BA101" s="69" t="str">
        <f>IFERROR(__xludf.DUMMYFUNCTION("IFERROR(SPLIT(W101,"",""),"""")"),"")</f>
        <v/>
      </c>
      <c r="BB101" s="69"/>
      <c r="BC101" s="69"/>
      <c r="BD101" s="69" t="str">
        <f>IFERROR(__xludf.DUMMYFUNCTION("IFERROR(SPLIT(X101,"",""),"""")"),"")</f>
        <v/>
      </c>
      <c r="BE101" s="69"/>
      <c r="BF101" s="69"/>
      <c r="BG101" s="69" t="str">
        <f>IFERROR(__xludf.DUMMYFUNCTION("IFERROR(SPLIT(Y101,"",""),"""")"),"")</f>
        <v/>
      </c>
      <c r="BH101" s="69"/>
      <c r="BI101" s="69"/>
      <c r="BJ101" s="68" t="str">
        <f>IFERROR(__xludf.DUMMYFUNCTION("IF($B101&lt;&gt;"""",IFERROR(FILTER(RawTotals!$AJ:$AJ,RawTotals!$A:$A=Z101)-(FILTER(Data!$K:$K,Data!$B:$B=Z101,Data!$D:$D=$B101)+FILTER(Data!$L:$L,Data!$B:$B=Z101,Data!$D:$D=$B101)),""""),"""")"),"")</f>
        <v/>
      </c>
      <c r="BK101" s="68" t="str">
        <f>IFERROR(__xludf.DUMMYFUNCTION("IF($B101&lt;&gt;"""",IFERROR(FILTER(RawTotals!$AJ:$AJ,RawTotals!$A:$A=AA101)-(FILTER(Data!$K:$K,Data!$B:$B=AA101,Data!$D:$D=$B101)+FILTER(Data!$L:$L,Data!$B:$B=AA101,Data!$D:$D=$B101)),""""),"""")"),"")</f>
        <v/>
      </c>
      <c r="BL101" s="68" t="str">
        <f>IFERROR(__xludf.DUMMYFUNCTION("IF($B101&lt;&gt;"""",IFERROR(FILTER(RawTotals!$AJ:$AJ,RawTotals!$A:$A=AB101)-(FILTER(Data!$K:$K,Data!$B:$B=AB101,Data!$D:$D=$B101)+FILTER(Data!$L:$L,Data!$B:$B=AB101,Data!$D:$D=$B101)),""""),"""")"),"")</f>
        <v/>
      </c>
      <c r="BM101" s="69" t="str">
        <f>IFERROR(__xludf.DUMMYFUNCTION("IF($C101&lt;&gt;"""",IFERROR(FILTER(RawTotals!$AJ:$AJ,RawTotals!$A:$A=AC101)-(FILTER(Data!$K:$K,Data!$B:$B=AC101,Data!$D:$D=$C101)+FILTER(Data!$L:$L,Data!$B:$B=AC101,Data!$D:$D=$C101)),""""),"""")"),"")</f>
        <v/>
      </c>
      <c r="BN101" s="69" t="str">
        <f>IFERROR(__xludf.DUMMYFUNCTION("IF($C101&lt;&gt;"""",IFERROR(FILTER(RawTotals!$AJ:$AJ,RawTotals!$A:$A=AD101)-(FILTER(Data!$K:$K,Data!$B:$B=AD101,Data!$D:$D=$C101)+FILTER(Data!$L:$L,Data!$B:$B=AD101,Data!$D:$D=$C101)),""""),"""")"),"")</f>
        <v/>
      </c>
      <c r="BO101" s="69" t="str">
        <f>IFERROR(__xludf.DUMMYFUNCTION("IF($C101&lt;&gt;"""",IFERROR(FILTER(RawTotals!$AJ:$AJ,RawTotals!$A:$A=AE101)-(FILTER(Data!$K:$K,Data!$B:$B=AE101,Data!$D:$D=$C101)+FILTER(Data!$L:$L,Data!$B:$B=AE101,Data!$D:$D=$C101)),""""),"""")"),"")</f>
        <v/>
      </c>
      <c r="BP101" s="69" t="str">
        <f>IFERROR(__xludf.DUMMYFUNCTION("IF($D101&lt;&gt;"""",IFERROR(FILTER(RawTotals!$AJ:$AJ,RawTotals!$A:$A=AF101)-(FILTER(Data!$K:$K,Data!$B:$B=AF101,Data!$D:$D=$D101)+FILTER(Data!$L:$L,Data!$B:$B=AF101,Data!$D:$D=$D101)),""""),"""")"),"")</f>
        <v/>
      </c>
      <c r="BQ101" s="69" t="str">
        <f>IFERROR(__xludf.DUMMYFUNCTION("IF($D101&lt;&gt;"""",IFERROR(FILTER(RawTotals!$AJ:$AJ,RawTotals!$A:$A=AG101)-(FILTER(Data!$K:$K,Data!$B:$B=AG101,Data!$D:$D=$D101)+FILTER(Data!$L:$L,Data!$B:$B=AG101,Data!$D:$D=$D101)),""""),"""")"),"")</f>
        <v/>
      </c>
      <c r="BR101" s="69" t="str">
        <f>IFERROR(__xludf.DUMMYFUNCTION("IF($D101&lt;&gt;"""",IFERROR(FILTER(RawTotals!$AJ:$AJ,RawTotals!$A:$A=AH101)-(FILTER(Data!$K:$K,Data!$B:$B=AH101,Data!$D:$D=$D101)+FILTER(Data!$L:$L,Data!$B:$B=AH101,Data!$D:$D=$D101)),""""),"""")"),"")</f>
        <v/>
      </c>
      <c r="BS101" s="69" t="str">
        <f>IFERROR(__xludf.DUMMYFUNCTION("IF($E101&lt;&gt;"""",IFERROR(FILTER(RawTotals!$AJ:$AJ,RawTotals!$A:$A=AI101)-(FILTER(Data!$K:$K,Data!$B:$B=AI101,Data!$D:$D=$E101)+FILTER(Data!$L:$L,Data!$B:$B=AI101,Data!$D:$D=$E101)),""""),"""")"),"")</f>
        <v/>
      </c>
      <c r="BT101" s="69" t="str">
        <f>IFERROR(__xludf.DUMMYFUNCTION("IF($E101&lt;&gt;"""",IFERROR(FILTER(RawTotals!$AJ:$AJ,RawTotals!$A:$A=AJ101)-(FILTER(Data!$K:$K,Data!$B:$B=AJ101,Data!$D:$D=$E101)+FILTER(Data!$L:$L,Data!$B:$B=AJ101,Data!$D:$D=$E101)),""""),"""")"),"")</f>
        <v/>
      </c>
      <c r="BU101" s="69" t="str">
        <f>IFERROR(__xludf.DUMMYFUNCTION("IF($E101&lt;&gt;"""",IFERROR(FILTER(RawTotals!$AJ:$AJ,RawTotals!$A:$A=AK101)-(FILTER(Data!$K:$K,Data!$B:$B=AK101,Data!$D:$D=$E101)+FILTER(Data!$L:$L,Data!$B:$B=AK101,Data!$D:$D=$E101)),""""),"""")"),"")</f>
        <v/>
      </c>
      <c r="BV101" s="69" t="str">
        <f>IFERROR(__xludf.DUMMYFUNCTION("IF($F101&lt;&gt;"""",IFERROR(FILTER(RawTotals!$AJ:$AJ,RawTotals!$A:$A=AL101)-(FILTER(Data!$K:$K,Data!$B:$B=AL101,Data!$D:$D=$F101)+FILTER(Data!$L:$L,Data!$B:$B=AL101,Data!$D:$D=$F101)),""""),"""")"),"")</f>
        <v/>
      </c>
      <c r="BW101" s="69" t="str">
        <f>IFERROR(__xludf.DUMMYFUNCTION("IF($F101&lt;&gt;"""",IFERROR(FILTER(RawTotals!$AJ:$AJ,RawTotals!$A:$A=AM101)-(FILTER(Data!$K:$K,Data!$B:$B=AM101,Data!$D:$D=$F101)+FILTER(Data!$L:$L,Data!$B:$B=AM101,Data!$D:$D=$F101)),""""),"""")"),"")</f>
        <v/>
      </c>
      <c r="BX101" s="69" t="str">
        <f>IFERROR(__xludf.DUMMYFUNCTION("IF($F101&lt;&gt;"""",IFERROR(FILTER(RawTotals!$AJ:$AJ,RawTotals!$A:$A=AN101)-(FILTER(Data!$K:$K,Data!$B:$B=AN101,Data!$D:$D=$F101)+FILTER(Data!$L:$L,Data!$B:$B=AN101,Data!$D:$D=$F101)),""""),"""")"),"")</f>
        <v/>
      </c>
      <c r="BY101" s="69" t="str">
        <f>IFERROR(__xludf.DUMMYFUNCTION("IF($G101&lt;&gt;"""",IFERROR(FILTER(RawTotals!$AJ:$AJ,RawTotals!$A:$A=AO101)-(FILTER(Data!$K:$K,Data!$B:$B=AO101,Data!$D:$D=$G101)+FILTER(Data!$L:$L,Data!$B:$B=AO101,Data!$D:$D=$G101)),""""),"""")"),"")</f>
        <v/>
      </c>
      <c r="BZ101" s="69" t="str">
        <f>IFERROR(__xludf.DUMMYFUNCTION("IF($G101&lt;&gt;"""",IFERROR(FILTER(RawTotals!$AJ:$AJ,RawTotals!$A:$A=AP101)-(FILTER(Data!$K:$K,Data!$B:$B=AP101,Data!$D:$D=$G101)+FILTER(Data!$L:$L,Data!$B:$B=AP101,Data!$D:$D=$G101)),""""),"""")"),"")</f>
        <v/>
      </c>
      <c r="CA101" s="69" t="str">
        <f>IFERROR(__xludf.DUMMYFUNCTION("IF($G101&lt;&gt;"""",IFERROR(FILTER(RawTotals!$AJ:$AJ,RawTotals!$A:$A=AQ101)-(FILTER(Data!$K:$K,Data!$B:$B=AQ101,Data!$D:$D=$G101)+FILTER(Data!$L:$L,Data!$B:$B=AQ101,Data!$D:$D=$G101)),""""),"""")"),"")</f>
        <v/>
      </c>
      <c r="CB101" s="69" t="str">
        <f>IFERROR(__xludf.DUMMYFUNCTION("IF($H101&lt;&gt;"""",IFERROR(FILTER(RawTotals!$AJ:$AJ,RawTotals!$A:$A=AR101)-(FILTER(Data!$K:$K,Data!$B:$B=AR101,Data!$D:$D=$H101)+FILTER(Data!$L:$L,Data!$B:$B=AR101,Data!$D:$D=$H101)),""""),"""")"),"")</f>
        <v/>
      </c>
      <c r="CC101" s="69" t="str">
        <f>IFERROR(__xludf.DUMMYFUNCTION("IF($H101&lt;&gt;"""",IFERROR(FILTER(RawTotals!$AJ:$AJ,RawTotals!$A:$A=AS101)-(FILTER(Data!$K:$K,Data!$B:$B=AS101,Data!$D:$D=$H101)+FILTER(Data!$L:$L,Data!$B:$B=AS101,Data!$D:$D=$H101)),""""),"""")"),"")</f>
        <v/>
      </c>
      <c r="CD101" s="69" t="str">
        <f>IFERROR(__xludf.DUMMYFUNCTION("IF($H101&lt;&gt;"""",IFERROR(FILTER(RawTotals!$AJ:$AJ,RawTotals!$A:$A=AT101)-(FILTER(Data!$K:$K,Data!$B:$B=AT101,Data!$D:$D=$H101)+FILTER(Data!$L:$L,Data!$B:$B=AT101,Data!$D:$D=$H101)),""""),"""")"),"")</f>
        <v/>
      </c>
      <c r="CE101" s="69" t="str">
        <f>IFERROR(__xludf.DUMMYFUNCTION("IF($I101&lt;&gt;"""",IFERROR(FILTER(RawTotals!$AJ:$AJ,RawTotals!$A:$A=AU101)-(FILTER(Data!$K:$K,Data!$B:$B=AU101,Data!$D:$D=$I101)+FILTER(Data!$L:$L,Data!$B:$B=AU101,Data!$D:$D=$I101)),""""),"""")"),"")</f>
        <v/>
      </c>
      <c r="CF101" s="69" t="str">
        <f>IFERROR(__xludf.DUMMYFUNCTION("IF($I101&lt;&gt;"""",IFERROR(FILTER(RawTotals!$AJ:$AJ,RawTotals!$A:$A=AV101)-(FILTER(Data!$K:$K,Data!$B:$B=AV101,Data!$D:$D=$I101)+FILTER(Data!$L:$L,Data!$B:$B=AV101,Data!$D:$D=$I101)),""""),"""")"),"")</f>
        <v/>
      </c>
      <c r="CG101" s="69" t="str">
        <f>IFERROR(__xludf.DUMMYFUNCTION("IF($I101&lt;&gt;"""",IFERROR(FILTER(RawTotals!$AJ:$AJ,RawTotals!$A:$A=AW101)-(FILTER(Data!$K:$K,Data!$B:$B=AW101,Data!$D:$D=$I101)+FILTER(Data!$L:$L,Data!$B:$B=AW101,Data!$D:$D=$I101)),""""),"""")"),"")</f>
        <v/>
      </c>
      <c r="CH101" s="69" t="str">
        <f>IFERROR(__xludf.DUMMYFUNCTION("IF($J101&lt;&gt;"""",IFERROR(FILTER(RawTotals!$AJ:$AJ,RawTotals!$A:$A=AX101)-(FILTER(Data!$K:$K,Data!$B:$B=AX101,Data!$D:$D=$J101)+FILTER(Data!$L:$L,Data!$B:$B=AX101,Data!$D:$D=$J101)),""""),"""")"),"")</f>
        <v/>
      </c>
      <c r="CI101" s="69" t="str">
        <f>IFERROR(__xludf.DUMMYFUNCTION("IF($J101&lt;&gt;"""",IFERROR(FILTER(RawTotals!$AJ:$AJ,RawTotals!$A:$A=AY101)-(FILTER(Data!$K:$K,Data!$B:$B=AY101,Data!$D:$D=$J101)+FILTER(Data!$L:$L,Data!$B:$B=AY101,Data!$D:$D=$J101)),""""),"""")"),"")</f>
        <v/>
      </c>
      <c r="CJ101" s="69" t="str">
        <f>IFERROR(__xludf.DUMMYFUNCTION("IF($J101&lt;&gt;"""",IFERROR(FILTER(RawTotals!$AJ:$AJ,RawTotals!$A:$A=AZ101)-(FILTER(Data!$K:$K,Data!$B:$B=AZ101,Data!$D:$D=$J101)+FILTER(Data!$L:$L,Data!$B:$B=AZ101,Data!$D:$D=$J101)),""""),"""")"),"")</f>
        <v/>
      </c>
      <c r="CK101" s="69" t="str">
        <f>IFERROR(__xludf.DUMMYFUNCTION("IF($K101&lt;&gt;"""",IFERROR(FILTER(RawTotals!$AJ:$AJ,RawTotals!$A:$A=BA101)-(FILTER(Data!$K:$K,Data!$B:$B=BA101,Data!$D:$D=$K101)+FILTER(Data!$L:$L,Data!$B:$B=BA101,Data!$D:$D=$K101)),""""),"""")"),"")</f>
        <v/>
      </c>
      <c r="CL101" s="69" t="str">
        <f>IFERROR(__xludf.DUMMYFUNCTION("IF($K101&lt;&gt;"""",IFERROR(FILTER(RawTotals!$AJ:$AJ,RawTotals!$A:$A=BB101)-(FILTER(Data!$K:$K,Data!$B:$B=BB101,Data!$D:$D=$K101)+FILTER(Data!$L:$L,Data!$B:$B=BB101,Data!$D:$D=$K101)),""""),"""")"),"")</f>
        <v/>
      </c>
      <c r="CM101" s="69" t="str">
        <f>IFERROR(__xludf.DUMMYFUNCTION("IF($K101&lt;&gt;"""",IFERROR(FILTER(RawTotals!$AJ:$AJ,RawTotals!$A:$A=BC101)-(FILTER(Data!$K:$K,Data!$B:$B=BC101,Data!$D:$D=$K101)+FILTER(Data!$L:$L,Data!$B:$B=BC101,Data!$D:$D=$K101)),""""),"""")"),"")</f>
        <v/>
      </c>
      <c r="CN101" s="69" t="str">
        <f>IFERROR(__xludf.DUMMYFUNCTION("IF($L101&lt;&gt;"""",IFERROR((FILTER(RawTotals!$AJ:$AJ,RawTotals!$A:$A=BD101)-(FILTER(Data!$K:$K,Data!$B:$B=BD101,Data!$D:$D=$L101)+FILTER(Data!$L:$L,Data!$B:$B=BD101,Data!$D:$D=$L101))),""""),"""")"),"")</f>
        <v/>
      </c>
      <c r="CO101" s="69" t="str">
        <f>IFERROR(__xludf.DUMMYFUNCTION("IF($L101&lt;&gt;"""",IFERROR((FILTER(RawTotals!$AJ:$AJ,RawTotals!$A:$A=BE101)-(FILTER(Data!$K:$K,Data!$B:$B=BE101,Data!$D:$D=$L101)+FILTER(Data!$L:$L,Data!$B:$B=BE101,Data!$D:$D=$L101))),""""),"""")"),"")</f>
        <v/>
      </c>
      <c r="CP101" s="69" t="str">
        <f>IFERROR(__xludf.DUMMYFUNCTION("IF($L101&lt;&gt;"""",IFERROR((FILTER(RawTotals!$AJ:$AJ,RawTotals!$A:$A=BF101)-(FILTER(Data!$K:$K,Data!$B:$B=BF101,Data!$D:$D=$L101)+FILTER(Data!$L:$L,Data!$B:$B=BF101,Data!$D:$D=$L101))),""""),"""")"),"")</f>
        <v/>
      </c>
      <c r="CQ101" s="69" t="str">
        <f>IFERROR(__xludf.DUMMYFUNCTION("IF($M101&lt;&gt;"""",IFERROR((FILTER(RawTotals!$AJ:$AJ,RawTotals!$A:$A=BG101)-(FILTER(Data!$K:$K,Data!$B:$B=BG101,Data!$D:$D=$M101)+FILTER(Data!$L:$L,Data!$B:$B=BG101,Data!$D:$D=$M101))),""""),"""")"),"")</f>
        <v/>
      </c>
      <c r="CR101" s="69" t="str">
        <f>IFERROR(__xludf.DUMMYFUNCTION("IF($M101&lt;&gt;"""",IFERROR((FILTER(RawTotals!$AJ:$AJ,RawTotals!$A:$A=BH101)-(FILTER(Data!$K:$K,Data!$B:$B=BH101,Data!$D:$D=$M101)+FILTER(Data!$L:$L,Data!$B:$B=BH101,Data!$D:$D=$M101))),""""),"""")"),"")</f>
        <v/>
      </c>
      <c r="CS101" s="70" t="str">
        <f>IFERROR(__xludf.DUMMYFUNCTION("IF($M101&lt;&gt;"""",IFERROR((FILTER(RawTotals!$AJ:$AJ,RawTotals!$A:$A=BI101)-(FILTER(Data!$K:$K,Data!$B:$B=BI101,Data!$D:$D=$M101)+FILTER(Data!$L:$L,Data!$B:$B=BI101,Data!$D:$D=$M101))),""""),"""")"),"")</f>
        <v/>
      </c>
      <c r="CT101" s="69"/>
      <c r="CU101" s="69"/>
      <c r="CV101" s="69"/>
      <c r="CW101" s="69"/>
      <c r="CX101" s="69"/>
      <c r="CY101" s="69"/>
      <c r="CZ101" s="69"/>
      <c r="DA101" s="69"/>
      <c r="DB101" s="69"/>
      <c r="DC101" s="69"/>
      <c r="DD101" s="69"/>
      <c r="DE101" s="69"/>
    </row>
    <row r="102">
      <c r="A102" s="65" t="str">
        <f>RawTotals!A102</f>
        <v/>
      </c>
      <c r="B102" s="68" t="str">
        <f>IFERROR(__xludf.DUMMYFUNCTION("IF(A102&lt;&gt;"""",IFERROR(TRANSPOSE(FILTER(Data!D:D,Data!B:B=A102,Data!R:R&lt;&gt;"""")),""No Defense""),"""")"),"")</f>
        <v/>
      </c>
      <c r="C102" s="65"/>
      <c r="D102" s="65"/>
      <c r="E102" s="65"/>
      <c r="F102" s="65"/>
      <c r="G102" s="65"/>
      <c r="H102" s="65"/>
      <c r="I102" s="65"/>
      <c r="J102" s="65"/>
      <c r="K102" s="65"/>
      <c r="L102" s="65"/>
      <c r="M102" s="65"/>
      <c r="N102" s="64" t="str">
        <f>IFERROR(__xludf.DUMMYFUNCTION("IFERROR(Textjoin("""",TRUE,FILTER(Data!$R:$R,Data!$D:$D=B102,Data!$B:$B=$A102)),"""")"),"")</f>
        <v/>
      </c>
      <c r="O102" s="64" t="str">
        <f>IFERROR(__xludf.DUMMYFUNCTION("IFERROR(Textjoin("""",TRUE,FILTER(Data!$R:$R,Data!$D:$D=C102,Data!$B:$B=$A102)),"""")"),"")</f>
        <v/>
      </c>
      <c r="P102" s="64" t="str">
        <f>IFERROR(__xludf.DUMMYFUNCTION("IFERROR(Textjoin("""",TRUE,FILTER(Data!$R:$R,Data!$D:$D=D102,Data!$B:$B=$A102)),"""")"),"")</f>
        <v/>
      </c>
      <c r="Q102" s="64" t="str">
        <f>IFERROR(__xludf.DUMMYFUNCTION("IFERROR(Textjoin("""",TRUE,FILTER(Data!$R:$R,Data!$D:$D=E102,Data!$B:$B=$A102)),"""")"),"")</f>
        <v/>
      </c>
      <c r="R102" s="64" t="str">
        <f>IFERROR(__xludf.DUMMYFUNCTION("IFERROR(Textjoin("""",TRUE,FILTER(Data!$R:$R,Data!$D:$D=F102,Data!$B:$B=$A102)),"""")"),"")</f>
        <v/>
      </c>
      <c r="S102" s="64" t="str">
        <f>IFERROR(__xludf.DUMMYFUNCTION("IFERROR(Textjoin("""",TRUE,FILTER(Data!$R:$R,Data!$D:$D=G102,Data!$B:$B=$A102)),"""")"),"")</f>
        <v/>
      </c>
      <c r="T102" s="64" t="str">
        <f>IFERROR(__xludf.DUMMYFUNCTION("IFERROR(Textjoin("""",TRUE,FILTER(Data!$R:$R,Data!$D:$D=H102,Data!$B:$B=$A102)),"""")"),"")</f>
        <v/>
      </c>
      <c r="U102" s="64" t="str">
        <f>IFERROR(__xludf.DUMMYFUNCTION("IFERROR(Textjoin("""",TRUE,FILTER(Data!$R:$R,Data!$D:$D=I102,Data!$B:$B=$A102)),"""")"),"")</f>
        <v/>
      </c>
      <c r="V102" s="64" t="str">
        <f>IFERROR(__xludf.DUMMYFUNCTION("IFERROR(Textjoin("""",TRUE,FILTER(Data!$R:$R,Data!$D:$D=J102,Data!$B:$B=$A102)),"""")"),"")</f>
        <v/>
      </c>
      <c r="W102" s="64" t="str">
        <f>IFERROR(__xludf.DUMMYFUNCTION("IFERROR(Textjoin("""",TRUE,FILTER(Data!$R:$R,Data!$D:$D=K102,Data!$B:$B=$A102)),"""")"),"")</f>
        <v/>
      </c>
      <c r="X102" s="64" t="str">
        <f>IFERROR(__xludf.DUMMYFUNCTION("IFERROR(Textjoin("""",TRUE,FILTER(Data!$R:$R,Data!$D:$D=L102,Data!$B:$B=$A102)),"""")"),"")</f>
        <v/>
      </c>
      <c r="Y102" s="64" t="str">
        <f>IFERROR(__xludf.DUMMYFUNCTION("IFERROR(Textjoin("""",TRUE,FILTER(Data!$R:$R,Data!$D:$D=M102,Data!$B:$B=$A102)),"""")"),"")</f>
        <v/>
      </c>
      <c r="Z102" s="64" t="str">
        <f>IFERROR(__xludf.DUMMYFUNCTION("IFERROR(SPLIT(N102,"",""),"""")"),"")</f>
        <v/>
      </c>
      <c r="AA102" s="65"/>
      <c r="AB102" s="65"/>
      <c r="AC102" s="69" t="str">
        <f>IFERROR(__xludf.DUMMYFUNCTION("IFERROR(SPLIT(O102,"",""),"""")"),"")</f>
        <v/>
      </c>
      <c r="AD102" s="65"/>
      <c r="AE102" s="65"/>
      <c r="AF102" s="69" t="str">
        <f>IFERROR(__xludf.DUMMYFUNCTION("IFERROR(SPLIT(P102,"",""),"""")"),"")</f>
        <v/>
      </c>
      <c r="AG102" s="65"/>
      <c r="AH102" s="65"/>
      <c r="AI102" s="69" t="str">
        <f>IFERROR(__xludf.DUMMYFUNCTION("IFERROR(SPLIT(Q102,"",""),"""")"),"")</f>
        <v/>
      </c>
      <c r="AJ102" s="65"/>
      <c r="AK102" s="65"/>
      <c r="AL102" s="69" t="str">
        <f>IFERROR(__xludf.DUMMYFUNCTION("IFERROR(SPLIT(R102,"",""),"""")"),"")</f>
        <v/>
      </c>
      <c r="AM102" s="65"/>
      <c r="AN102" s="65"/>
      <c r="AO102" s="69" t="str">
        <f>IFERROR(__xludf.DUMMYFUNCTION("IFERROR(SPLIT(S102,"",""),"""")"),"")</f>
        <v/>
      </c>
      <c r="AP102" s="65"/>
      <c r="AQ102" s="65"/>
      <c r="AR102" s="69" t="str">
        <f>IFERROR(__xludf.DUMMYFUNCTION("IFERROR(SPLIT(T102,"",""),"""")"),"")</f>
        <v/>
      </c>
      <c r="AS102" s="65"/>
      <c r="AT102" s="65"/>
      <c r="AU102" s="69" t="str">
        <f>IFERROR(__xludf.DUMMYFUNCTION("IFERROR(SPLIT(U102,"",""),"""")"),"")</f>
        <v/>
      </c>
      <c r="AV102" s="65"/>
      <c r="AW102" s="65"/>
      <c r="AX102" s="69" t="str">
        <f>IFERROR(__xludf.DUMMYFUNCTION("IFERROR(SPLIT(V102,"",""),"""")"),"")</f>
        <v/>
      </c>
      <c r="AY102" s="65"/>
      <c r="AZ102" s="65"/>
      <c r="BA102" s="69" t="str">
        <f>IFERROR(__xludf.DUMMYFUNCTION("IFERROR(SPLIT(W102,"",""),"""")"),"")</f>
        <v/>
      </c>
      <c r="BB102" s="69"/>
      <c r="BC102" s="69"/>
      <c r="BD102" s="69" t="str">
        <f>IFERROR(__xludf.DUMMYFUNCTION("IFERROR(SPLIT(X102,"",""),"""")"),"")</f>
        <v/>
      </c>
      <c r="BE102" s="69"/>
      <c r="BF102" s="69"/>
      <c r="BG102" s="69" t="str">
        <f>IFERROR(__xludf.DUMMYFUNCTION("IFERROR(SPLIT(Y102,"",""),"""")"),"")</f>
        <v/>
      </c>
      <c r="BH102" s="69"/>
      <c r="BI102" s="69"/>
      <c r="BJ102" s="68" t="str">
        <f>IFERROR(__xludf.DUMMYFUNCTION("IF($B102&lt;&gt;"""",IFERROR(FILTER(RawTotals!$AJ:$AJ,RawTotals!$A:$A=Z102)-(FILTER(Data!$K:$K,Data!$B:$B=Z102,Data!$D:$D=$B102)+FILTER(Data!$L:$L,Data!$B:$B=Z102,Data!$D:$D=$B102)),""""),"""")"),"")</f>
        <v/>
      </c>
      <c r="BK102" s="68" t="str">
        <f>IFERROR(__xludf.DUMMYFUNCTION("IF($B102&lt;&gt;"""",IFERROR(FILTER(RawTotals!$AJ:$AJ,RawTotals!$A:$A=AA102)-(FILTER(Data!$K:$K,Data!$B:$B=AA102,Data!$D:$D=$B102)+FILTER(Data!$L:$L,Data!$B:$B=AA102,Data!$D:$D=$B102)),""""),"""")"),"")</f>
        <v/>
      </c>
      <c r="BL102" s="68" t="str">
        <f>IFERROR(__xludf.DUMMYFUNCTION("IF($B102&lt;&gt;"""",IFERROR(FILTER(RawTotals!$AJ:$AJ,RawTotals!$A:$A=AB102)-(FILTER(Data!$K:$K,Data!$B:$B=AB102,Data!$D:$D=$B102)+FILTER(Data!$L:$L,Data!$B:$B=AB102,Data!$D:$D=$B102)),""""),"""")"),"")</f>
        <v/>
      </c>
      <c r="BM102" s="69" t="str">
        <f>IFERROR(__xludf.DUMMYFUNCTION("IF($C102&lt;&gt;"""",IFERROR(FILTER(RawTotals!$AJ:$AJ,RawTotals!$A:$A=AC102)-(FILTER(Data!$K:$K,Data!$B:$B=AC102,Data!$D:$D=$C102)+FILTER(Data!$L:$L,Data!$B:$B=AC102,Data!$D:$D=$C102)),""""),"""")"),"")</f>
        <v/>
      </c>
      <c r="BN102" s="69" t="str">
        <f>IFERROR(__xludf.DUMMYFUNCTION("IF($C102&lt;&gt;"""",IFERROR(FILTER(RawTotals!$AJ:$AJ,RawTotals!$A:$A=AD102)-(FILTER(Data!$K:$K,Data!$B:$B=AD102,Data!$D:$D=$C102)+FILTER(Data!$L:$L,Data!$B:$B=AD102,Data!$D:$D=$C102)),""""),"""")"),"")</f>
        <v/>
      </c>
      <c r="BO102" s="69" t="str">
        <f>IFERROR(__xludf.DUMMYFUNCTION("IF($C102&lt;&gt;"""",IFERROR(FILTER(RawTotals!$AJ:$AJ,RawTotals!$A:$A=AE102)-(FILTER(Data!$K:$K,Data!$B:$B=AE102,Data!$D:$D=$C102)+FILTER(Data!$L:$L,Data!$B:$B=AE102,Data!$D:$D=$C102)),""""),"""")"),"")</f>
        <v/>
      </c>
      <c r="BP102" s="69" t="str">
        <f>IFERROR(__xludf.DUMMYFUNCTION("IF($D102&lt;&gt;"""",IFERROR(FILTER(RawTotals!$AJ:$AJ,RawTotals!$A:$A=AF102)-(FILTER(Data!$K:$K,Data!$B:$B=AF102,Data!$D:$D=$D102)+FILTER(Data!$L:$L,Data!$B:$B=AF102,Data!$D:$D=$D102)),""""),"""")"),"")</f>
        <v/>
      </c>
      <c r="BQ102" s="69" t="str">
        <f>IFERROR(__xludf.DUMMYFUNCTION("IF($D102&lt;&gt;"""",IFERROR(FILTER(RawTotals!$AJ:$AJ,RawTotals!$A:$A=AG102)-(FILTER(Data!$K:$K,Data!$B:$B=AG102,Data!$D:$D=$D102)+FILTER(Data!$L:$L,Data!$B:$B=AG102,Data!$D:$D=$D102)),""""),"""")"),"")</f>
        <v/>
      </c>
      <c r="BR102" s="69" t="str">
        <f>IFERROR(__xludf.DUMMYFUNCTION("IF($D102&lt;&gt;"""",IFERROR(FILTER(RawTotals!$AJ:$AJ,RawTotals!$A:$A=AH102)-(FILTER(Data!$K:$K,Data!$B:$B=AH102,Data!$D:$D=$D102)+FILTER(Data!$L:$L,Data!$B:$B=AH102,Data!$D:$D=$D102)),""""),"""")"),"")</f>
        <v/>
      </c>
      <c r="BS102" s="69" t="str">
        <f>IFERROR(__xludf.DUMMYFUNCTION("IF($E102&lt;&gt;"""",IFERROR(FILTER(RawTotals!$AJ:$AJ,RawTotals!$A:$A=AI102)-(FILTER(Data!$K:$K,Data!$B:$B=AI102,Data!$D:$D=$E102)+FILTER(Data!$L:$L,Data!$B:$B=AI102,Data!$D:$D=$E102)),""""),"""")"),"")</f>
        <v/>
      </c>
      <c r="BT102" s="69" t="str">
        <f>IFERROR(__xludf.DUMMYFUNCTION("IF($E102&lt;&gt;"""",IFERROR(FILTER(RawTotals!$AJ:$AJ,RawTotals!$A:$A=AJ102)-(FILTER(Data!$K:$K,Data!$B:$B=AJ102,Data!$D:$D=$E102)+FILTER(Data!$L:$L,Data!$B:$B=AJ102,Data!$D:$D=$E102)),""""),"""")"),"")</f>
        <v/>
      </c>
      <c r="BU102" s="69" t="str">
        <f>IFERROR(__xludf.DUMMYFUNCTION("IF($E102&lt;&gt;"""",IFERROR(FILTER(RawTotals!$AJ:$AJ,RawTotals!$A:$A=AK102)-(FILTER(Data!$K:$K,Data!$B:$B=AK102,Data!$D:$D=$E102)+FILTER(Data!$L:$L,Data!$B:$B=AK102,Data!$D:$D=$E102)),""""),"""")"),"")</f>
        <v/>
      </c>
      <c r="BV102" s="69" t="str">
        <f>IFERROR(__xludf.DUMMYFUNCTION("IF($F102&lt;&gt;"""",IFERROR(FILTER(RawTotals!$AJ:$AJ,RawTotals!$A:$A=AL102)-(FILTER(Data!$K:$K,Data!$B:$B=AL102,Data!$D:$D=$F102)+FILTER(Data!$L:$L,Data!$B:$B=AL102,Data!$D:$D=$F102)),""""),"""")"),"")</f>
        <v/>
      </c>
      <c r="BW102" s="69" t="str">
        <f>IFERROR(__xludf.DUMMYFUNCTION("IF($F102&lt;&gt;"""",IFERROR(FILTER(RawTotals!$AJ:$AJ,RawTotals!$A:$A=AM102)-(FILTER(Data!$K:$K,Data!$B:$B=AM102,Data!$D:$D=$F102)+FILTER(Data!$L:$L,Data!$B:$B=AM102,Data!$D:$D=$F102)),""""),"""")"),"")</f>
        <v/>
      </c>
      <c r="BX102" s="69" t="str">
        <f>IFERROR(__xludf.DUMMYFUNCTION("IF($F102&lt;&gt;"""",IFERROR(FILTER(RawTotals!$AJ:$AJ,RawTotals!$A:$A=AN102)-(FILTER(Data!$K:$K,Data!$B:$B=AN102,Data!$D:$D=$F102)+FILTER(Data!$L:$L,Data!$B:$B=AN102,Data!$D:$D=$F102)),""""),"""")"),"")</f>
        <v/>
      </c>
      <c r="BY102" s="69" t="str">
        <f>IFERROR(__xludf.DUMMYFUNCTION("IF($G102&lt;&gt;"""",IFERROR(FILTER(RawTotals!$AJ:$AJ,RawTotals!$A:$A=AO102)-(FILTER(Data!$K:$K,Data!$B:$B=AO102,Data!$D:$D=$G102)+FILTER(Data!$L:$L,Data!$B:$B=AO102,Data!$D:$D=$G102)),""""),"""")"),"")</f>
        <v/>
      </c>
      <c r="BZ102" s="69" t="str">
        <f>IFERROR(__xludf.DUMMYFUNCTION("IF($G102&lt;&gt;"""",IFERROR(FILTER(RawTotals!$AJ:$AJ,RawTotals!$A:$A=AP102)-(FILTER(Data!$K:$K,Data!$B:$B=AP102,Data!$D:$D=$G102)+FILTER(Data!$L:$L,Data!$B:$B=AP102,Data!$D:$D=$G102)),""""),"""")"),"")</f>
        <v/>
      </c>
      <c r="CA102" s="69" t="str">
        <f>IFERROR(__xludf.DUMMYFUNCTION("IF($G102&lt;&gt;"""",IFERROR(FILTER(RawTotals!$AJ:$AJ,RawTotals!$A:$A=AQ102)-(FILTER(Data!$K:$K,Data!$B:$B=AQ102,Data!$D:$D=$G102)+FILTER(Data!$L:$L,Data!$B:$B=AQ102,Data!$D:$D=$G102)),""""),"""")"),"")</f>
        <v/>
      </c>
      <c r="CB102" s="69" t="str">
        <f>IFERROR(__xludf.DUMMYFUNCTION("IF($H102&lt;&gt;"""",IFERROR(FILTER(RawTotals!$AJ:$AJ,RawTotals!$A:$A=AR102)-(FILTER(Data!$K:$K,Data!$B:$B=AR102,Data!$D:$D=$H102)+FILTER(Data!$L:$L,Data!$B:$B=AR102,Data!$D:$D=$H102)),""""),"""")"),"")</f>
        <v/>
      </c>
      <c r="CC102" s="69" t="str">
        <f>IFERROR(__xludf.DUMMYFUNCTION("IF($H102&lt;&gt;"""",IFERROR(FILTER(RawTotals!$AJ:$AJ,RawTotals!$A:$A=AS102)-(FILTER(Data!$K:$K,Data!$B:$B=AS102,Data!$D:$D=$H102)+FILTER(Data!$L:$L,Data!$B:$B=AS102,Data!$D:$D=$H102)),""""),"""")"),"")</f>
        <v/>
      </c>
      <c r="CD102" s="69" t="str">
        <f>IFERROR(__xludf.DUMMYFUNCTION("IF($H102&lt;&gt;"""",IFERROR(FILTER(RawTotals!$AJ:$AJ,RawTotals!$A:$A=AT102)-(FILTER(Data!$K:$K,Data!$B:$B=AT102,Data!$D:$D=$H102)+FILTER(Data!$L:$L,Data!$B:$B=AT102,Data!$D:$D=$H102)),""""),"""")"),"")</f>
        <v/>
      </c>
      <c r="CE102" s="69" t="str">
        <f>IFERROR(__xludf.DUMMYFUNCTION("IF($I102&lt;&gt;"""",IFERROR(FILTER(RawTotals!$AJ:$AJ,RawTotals!$A:$A=AU102)-(FILTER(Data!$K:$K,Data!$B:$B=AU102,Data!$D:$D=$I102)+FILTER(Data!$L:$L,Data!$B:$B=AU102,Data!$D:$D=$I102)),""""),"""")"),"")</f>
        <v/>
      </c>
      <c r="CF102" s="69" t="str">
        <f>IFERROR(__xludf.DUMMYFUNCTION("IF($I102&lt;&gt;"""",IFERROR(FILTER(RawTotals!$AJ:$AJ,RawTotals!$A:$A=AV102)-(FILTER(Data!$K:$K,Data!$B:$B=AV102,Data!$D:$D=$I102)+FILTER(Data!$L:$L,Data!$B:$B=AV102,Data!$D:$D=$I102)),""""),"""")"),"")</f>
        <v/>
      </c>
      <c r="CG102" s="69" t="str">
        <f>IFERROR(__xludf.DUMMYFUNCTION("IF($I102&lt;&gt;"""",IFERROR(FILTER(RawTotals!$AJ:$AJ,RawTotals!$A:$A=AW102)-(FILTER(Data!$K:$K,Data!$B:$B=AW102,Data!$D:$D=$I102)+FILTER(Data!$L:$L,Data!$B:$B=AW102,Data!$D:$D=$I102)),""""),"""")"),"")</f>
        <v/>
      </c>
      <c r="CH102" s="69" t="str">
        <f>IFERROR(__xludf.DUMMYFUNCTION("IF($J102&lt;&gt;"""",IFERROR(FILTER(RawTotals!$AJ:$AJ,RawTotals!$A:$A=AX102)-(FILTER(Data!$K:$K,Data!$B:$B=AX102,Data!$D:$D=$J102)+FILTER(Data!$L:$L,Data!$B:$B=AX102,Data!$D:$D=$J102)),""""),"""")"),"")</f>
        <v/>
      </c>
      <c r="CI102" s="69" t="str">
        <f>IFERROR(__xludf.DUMMYFUNCTION("IF($J102&lt;&gt;"""",IFERROR(FILTER(RawTotals!$AJ:$AJ,RawTotals!$A:$A=AY102)-(FILTER(Data!$K:$K,Data!$B:$B=AY102,Data!$D:$D=$J102)+FILTER(Data!$L:$L,Data!$B:$B=AY102,Data!$D:$D=$J102)),""""),"""")"),"")</f>
        <v/>
      </c>
      <c r="CJ102" s="69" t="str">
        <f>IFERROR(__xludf.DUMMYFUNCTION("IF($J102&lt;&gt;"""",IFERROR(FILTER(RawTotals!$AJ:$AJ,RawTotals!$A:$A=AZ102)-(FILTER(Data!$K:$K,Data!$B:$B=AZ102,Data!$D:$D=$J102)+FILTER(Data!$L:$L,Data!$B:$B=AZ102,Data!$D:$D=$J102)),""""),"""")"),"")</f>
        <v/>
      </c>
      <c r="CK102" s="69" t="str">
        <f>IFERROR(__xludf.DUMMYFUNCTION("IF($K102&lt;&gt;"""",IFERROR(FILTER(RawTotals!$AJ:$AJ,RawTotals!$A:$A=BA102)-(FILTER(Data!$K:$K,Data!$B:$B=BA102,Data!$D:$D=$K102)+FILTER(Data!$L:$L,Data!$B:$B=BA102,Data!$D:$D=$K102)),""""),"""")"),"")</f>
        <v/>
      </c>
      <c r="CL102" s="69" t="str">
        <f>IFERROR(__xludf.DUMMYFUNCTION("IF($K102&lt;&gt;"""",IFERROR(FILTER(RawTotals!$AJ:$AJ,RawTotals!$A:$A=BB102)-(FILTER(Data!$K:$K,Data!$B:$B=BB102,Data!$D:$D=$K102)+FILTER(Data!$L:$L,Data!$B:$B=BB102,Data!$D:$D=$K102)),""""),"""")"),"")</f>
        <v/>
      </c>
      <c r="CM102" s="69" t="str">
        <f>IFERROR(__xludf.DUMMYFUNCTION("IF($K102&lt;&gt;"""",IFERROR(FILTER(RawTotals!$AJ:$AJ,RawTotals!$A:$A=BC102)-(FILTER(Data!$K:$K,Data!$B:$B=BC102,Data!$D:$D=$K102)+FILTER(Data!$L:$L,Data!$B:$B=BC102,Data!$D:$D=$K102)),""""),"""")"),"")</f>
        <v/>
      </c>
      <c r="CN102" s="69" t="str">
        <f>IFERROR(__xludf.DUMMYFUNCTION("IF($L102&lt;&gt;"""",IFERROR((FILTER(RawTotals!$AJ:$AJ,RawTotals!$A:$A=BD102)-(FILTER(Data!$K:$K,Data!$B:$B=BD102,Data!$D:$D=$L102)+FILTER(Data!$L:$L,Data!$B:$B=BD102,Data!$D:$D=$L102))),""""),"""")"),"")</f>
        <v/>
      </c>
      <c r="CO102" s="69" t="str">
        <f>IFERROR(__xludf.DUMMYFUNCTION("IF($L102&lt;&gt;"""",IFERROR((FILTER(RawTotals!$AJ:$AJ,RawTotals!$A:$A=BE102)-(FILTER(Data!$K:$K,Data!$B:$B=BE102,Data!$D:$D=$L102)+FILTER(Data!$L:$L,Data!$B:$B=BE102,Data!$D:$D=$L102))),""""),"""")"),"")</f>
        <v/>
      </c>
      <c r="CP102" s="69" t="str">
        <f>IFERROR(__xludf.DUMMYFUNCTION("IF($L102&lt;&gt;"""",IFERROR((FILTER(RawTotals!$AJ:$AJ,RawTotals!$A:$A=BF102)-(FILTER(Data!$K:$K,Data!$B:$B=BF102,Data!$D:$D=$L102)+FILTER(Data!$L:$L,Data!$B:$B=BF102,Data!$D:$D=$L102))),""""),"""")"),"")</f>
        <v/>
      </c>
      <c r="CQ102" s="69" t="str">
        <f>IFERROR(__xludf.DUMMYFUNCTION("IF($M102&lt;&gt;"""",IFERROR((FILTER(RawTotals!$AJ:$AJ,RawTotals!$A:$A=BG102)-(FILTER(Data!$K:$K,Data!$B:$B=BG102,Data!$D:$D=$M102)+FILTER(Data!$L:$L,Data!$B:$B=BG102,Data!$D:$D=$M102))),""""),"""")"),"")</f>
        <v/>
      </c>
      <c r="CR102" s="69" t="str">
        <f>IFERROR(__xludf.DUMMYFUNCTION("IF($M102&lt;&gt;"""",IFERROR((FILTER(RawTotals!$AJ:$AJ,RawTotals!$A:$A=BH102)-(FILTER(Data!$K:$K,Data!$B:$B=BH102,Data!$D:$D=$M102)+FILTER(Data!$L:$L,Data!$B:$B=BH102,Data!$D:$D=$M102))),""""),"""")"),"")</f>
        <v/>
      </c>
      <c r="CS102" s="70" t="str">
        <f>IFERROR(__xludf.DUMMYFUNCTION("IF($M102&lt;&gt;"""",IFERROR((FILTER(RawTotals!$AJ:$AJ,RawTotals!$A:$A=BI102)-(FILTER(Data!$K:$K,Data!$B:$B=BI102,Data!$D:$D=$M102)+FILTER(Data!$L:$L,Data!$B:$B=BI102,Data!$D:$D=$M102))),""""),"""")"),"")</f>
        <v/>
      </c>
      <c r="CT102" s="69"/>
      <c r="CU102" s="69"/>
      <c r="CV102" s="69"/>
      <c r="CW102" s="69"/>
      <c r="CX102" s="69"/>
      <c r="CY102" s="69"/>
      <c r="CZ102" s="69"/>
      <c r="DA102" s="69"/>
      <c r="DB102" s="69"/>
      <c r="DC102" s="69"/>
      <c r="DD102" s="69"/>
      <c r="DE102" s="69"/>
    </row>
    <row r="103">
      <c r="A103" s="65" t="str">
        <f>RawTotals!A103</f>
        <v/>
      </c>
      <c r="B103" s="68" t="str">
        <f>IFERROR(__xludf.DUMMYFUNCTION("IF(A103&lt;&gt;"""",IFERROR(TRANSPOSE(FILTER(Data!D:D,Data!B:B=A103,Data!R:R&lt;&gt;"""")),""No Defense""),"""")"),"")</f>
        <v/>
      </c>
      <c r="C103" s="65"/>
      <c r="D103" s="65"/>
      <c r="E103" s="65"/>
      <c r="F103" s="65"/>
      <c r="G103" s="65"/>
      <c r="H103" s="65"/>
      <c r="I103" s="65"/>
      <c r="J103" s="65"/>
      <c r="K103" s="65"/>
      <c r="L103" s="65"/>
      <c r="M103" s="65"/>
      <c r="N103" s="64" t="str">
        <f>IFERROR(__xludf.DUMMYFUNCTION("IFERROR(Textjoin("""",TRUE,FILTER(Data!$R:$R,Data!$D:$D=B103,Data!$B:$B=$A103)),"""")"),"")</f>
        <v/>
      </c>
      <c r="O103" s="64" t="str">
        <f>IFERROR(__xludf.DUMMYFUNCTION("IFERROR(Textjoin("""",TRUE,FILTER(Data!$R:$R,Data!$D:$D=C103,Data!$B:$B=$A103)),"""")"),"")</f>
        <v/>
      </c>
      <c r="P103" s="64" t="str">
        <f>IFERROR(__xludf.DUMMYFUNCTION("IFERROR(Textjoin("""",TRUE,FILTER(Data!$R:$R,Data!$D:$D=D103,Data!$B:$B=$A103)),"""")"),"")</f>
        <v/>
      </c>
      <c r="Q103" s="64" t="str">
        <f>IFERROR(__xludf.DUMMYFUNCTION("IFERROR(Textjoin("""",TRUE,FILTER(Data!$R:$R,Data!$D:$D=E103,Data!$B:$B=$A103)),"""")"),"")</f>
        <v/>
      </c>
      <c r="R103" s="64" t="str">
        <f>IFERROR(__xludf.DUMMYFUNCTION("IFERROR(Textjoin("""",TRUE,FILTER(Data!$R:$R,Data!$D:$D=F103,Data!$B:$B=$A103)),"""")"),"")</f>
        <v/>
      </c>
      <c r="S103" s="64" t="str">
        <f>IFERROR(__xludf.DUMMYFUNCTION("IFERROR(Textjoin("""",TRUE,FILTER(Data!$R:$R,Data!$D:$D=G103,Data!$B:$B=$A103)),"""")"),"")</f>
        <v/>
      </c>
      <c r="T103" s="64" t="str">
        <f>IFERROR(__xludf.DUMMYFUNCTION("IFERROR(Textjoin("""",TRUE,FILTER(Data!$R:$R,Data!$D:$D=H103,Data!$B:$B=$A103)),"""")"),"")</f>
        <v/>
      </c>
      <c r="U103" s="64" t="str">
        <f>IFERROR(__xludf.DUMMYFUNCTION("IFERROR(Textjoin("""",TRUE,FILTER(Data!$R:$R,Data!$D:$D=I103,Data!$B:$B=$A103)),"""")"),"")</f>
        <v/>
      </c>
      <c r="V103" s="64" t="str">
        <f>IFERROR(__xludf.DUMMYFUNCTION("IFERROR(Textjoin("""",TRUE,FILTER(Data!$R:$R,Data!$D:$D=J103,Data!$B:$B=$A103)),"""")"),"")</f>
        <v/>
      </c>
      <c r="W103" s="64" t="str">
        <f>IFERROR(__xludf.DUMMYFUNCTION("IFERROR(Textjoin("""",TRUE,FILTER(Data!$R:$R,Data!$D:$D=K103,Data!$B:$B=$A103)),"""")"),"")</f>
        <v/>
      </c>
      <c r="X103" s="64" t="str">
        <f>IFERROR(__xludf.DUMMYFUNCTION("IFERROR(Textjoin("""",TRUE,FILTER(Data!$R:$R,Data!$D:$D=L103,Data!$B:$B=$A103)),"""")"),"")</f>
        <v/>
      </c>
      <c r="Y103" s="64" t="str">
        <f>IFERROR(__xludf.DUMMYFUNCTION("IFERROR(Textjoin("""",TRUE,FILTER(Data!$R:$R,Data!$D:$D=M103,Data!$B:$B=$A103)),"""")"),"")</f>
        <v/>
      </c>
      <c r="Z103" s="64" t="str">
        <f>IFERROR(__xludf.DUMMYFUNCTION("IFERROR(SPLIT(N103,"",""),"""")"),"")</f>
        <v/>
      </c>
      <c r="AA103" s="65"/>
      <c r="AB103" s="65"/>
      <c r="AC103" s="69" t="str">
        <f>IFERROR(__xludf.DUMMYFUNCTION("IFERROR(SPLIT(O103,"",""),"""")"),"")</f>
        <v/>
      </c>
      <c r="AD103" s="65"/>
      <c r="AE103" s="65"/>
      <c r="AF103" s="69" t="str">
        <f>IFERROR(__xludf.DUMMYFUNCTION("IFERROR(SPLIT(P103,"",""),"""")"),"")</f>
        <v/>
      </c>
      <c r="AG103" s="65"/>
      <c r="AH103" s="65"/>
      <c r="AI103" s="69" t="str">
        <f>IFERROR(__xludf.DUMMYFUNCTION("IFERROR(SPLIT(Q103,"",""),"""")"),"")</f>
        <v/>
      </c>
      <c r="AJ103" s="65"/>
      <c r="AK103" s="65"/>
      <c r="AL103" s="69" t="str">
        <f>IFERROR(__xludf.DUMMYFUNCTION("IFERROR(SPLIT(R103,"",""),"""")"),"")</f>
        <v/>
      </c>
      <c r="AM103" s="65"/>
      <c r="AN103" s="65"/>
      <c r="AO103" s="69" t="str">
        <f>IFERROR(__xludf.DUMMYFUNCTION("IFERROR(SPLIT(S103,"",""),"""")"),"")</f>
        <v/>
      </c>
      <c r="AP103" s="65"/>
      <c r="AQ103" s="65"/>
      <c r="AR103" s="69" t="str">
        <f>IFERROR(__xludf.DUMMYFUNCTION("IFERROR(SPLIT(T103,"",""),"""")"),"")</f>
        <v/>
      </c>
      <c r="AS103" s="65"/>
      <c r="AT103" s="65"/>
      <c r="AU103" s="69" t="str">
        <f>IFERROR(__xludf.DUMMYFUNCTION("IFERROR(SPLIT(U103,"",""),"""")"),"")</f>
        <v/>
      </c>
      <c r="AV103" s="65"/>
      <c r="AW103" s="65"/>
      <c r="AX103" s="69" t="str">
        <f>IFERROR(__xludf.DUMMYFUNCTION("IFERROR(SPLIT(V103,"",""),"""")"),"")</f>
        <v/>
      </c>
      <c r="AY103" s="65"/>
      <c r="AZ103" s="65"/>
      <c r="BA103" s="69" t="str">
        <f>IFERROR(__xludf.DUMMYFUNCTION("IFERROR(SPLIT(W103,"",""),"""")"),"")</f>
        <v/>
      </c>
      <c r="BB103" s="69"/>
      <c r="BC103" s="69"/>
      <c r="BD103" s="69" t="str">
        <f>IFERROR(__xludf.DUMMYFUNCTION("IFERROR(SPLIT(X103,"",""),"""")"),"")</f>
        <v/>
      </c>
      <c r="BE103" s="69"/>
      <c r="BF103" s="69"/>
      <c r="BG103" s="69" t="str">
        <f>IFERROR(__xludf.DUMMYFUNCTION("IFERROR(SPLIT(Y103,"",""),"""")"),"")</f>
        <v/>
      </c>
      <c r="BH103" s="69"/>
      <c r="BI103" s="69"/>
      <c r="BJ103" s="68" t="str">
        <f>IFERROR(__xludf.DUMMYFUNCTION("IF($B103&lt;&gt;"""",IFERROR(FILTER(RawTotals!$AJ:$AJ,RawTotals!$A:$A=Z103)-(FILTER(Data!$K:$K,Data!$B:$B=Z103,Data!$D:$D=$B103)+FILTER(Data!$L:$L,Data!$B:$B=Z103,Data!$D:$D=$B103)),""""),"""")"),"")</f>
        <v/>
      </c>
      <c r="BK103" s="68" t="str">
        <f>IFERROR(__xludf.DUMMYFUNCTION("IF($B103&lt;&gt;"""",IFERROR(FILTER(RawTotals!$AJ:$AJ,RawTotals!$A:$A=AA103)-(FILTER(Data!$K:$K,Data!$B:$B=AA103,Data!$D:$D=$B103)+FILTER(Data!$L:$L,Data!$B:$B=AA103,Data!$D:$D=$B103)),""""),"""")"),"")</f>
        <v/>
      </c>
      <c r="BL103" s="68" t="str">
        <f>IFERROR(__xludf.DUMMYFUNCTION("IF($B103&lt;&gt;"""",IFERROR(FILTER(RawTotals!$AJ:$AJ,RawTotals!$A:$A=AB103)-(FILTER(Data!$K:$K,Data!$B:$B=AB103,Data!$D:$D=$B103)+FILTER(Data!$L:$L,Data!$B:$B=AB103,Data!$D:$D=$B103)),""""),"""")"),"")</f>
        <v/>
      </c>
      <c r="BM103" s="69" t="str">
        <f>IFERROR(__xludf.DUMMYFUNCTION("IF($C103&lt;&gt;"""",IFERROR(FILTER(RawTotals!$AJ:$AJ,RawTotals!$A:$A=AC103)-(FILTER(Data!$K:$K,Data!$B:$B=AC103,Data!$D:$D=$C103)+FILTER(Data!$L:$L,Data!$B:$B=AC103,Data!$D:$D=$C103)),""""),"""")"),"")</f>
        <v/>
      </c>
      <c r="BN103" s="69" t="str">
        <f>IFERROR(__xludf.DUMMYFUNCTION("IF($C103&lt;&gt;"""",IFERROR(FILTER(RawTotals!$AJ:$AJ,RawTotals!$A:$A=AD103)-(FILTER(Data!$K:$K,Data!$B:$B=AD103,Data!$D:$D=$C103)+FILTER(Data!$L:$L,Data!$B:$B=AD103,Data!$D:$D=$C103)),""""),"""")"),"")</f>
        <v/>
      </c>
      <c r="BO103" s="69" t="str">
        <f>IFERROR(__xludf.DUMMYFUNCTION("IF($C103&lt;&gt;"""",IFERROR(FILTER(RawTotals!$AJ:$AJ,RawTotals!$A:$A=AE103)-(FILTER(Data!$K:$K,Data!$B:$B=AE103,Data!$D:$D=$C103)+FILTER(Data!$L:$L,Data!$B:$B=AE103,Data!$D:$D=$C103)),""""),"""")"),"")</f>
        <v/>
      </c>
      <c r="BP103" s="69" t="str">
        <f>IFERROR(__xludf.DUMMYFUNCTION("IF($D103&lt;&gt;"""",IFERROR(FILTER(RawTotals!$AJ:$AJ,RawTotals!$A:$A=AF103)-(FILTER(Data!$K:$K,Data!$B:$B=AF103,Data!$D:$D=$D103)+FILTER(Data!$L:$L,Data!$B:$B=AF103,Data!$D:$D=$D103)),""""),"""")"),"")</f>
        <v/>
      </c>
      <c r="BQ103" s="69" t="str">
        <f>IFERROR(__xludf.DUMMYFUNCTION("IF($D103&lt;&gt;"""",IFERROR(FILTER(RawTotals!$AJ:$AJ,RawTotals!$A:$A=AG103)-(FILTER(Data!$K:$K,Data!$B:$B=AG103,Data!$D:$D=$D103)+FILTER(Data!$L:$L,Data!$B:$B=AG103,Data!$D:$D=$D103)),""""),"""")"),"")</f>
        <v/>
      </c>
      <c r="BR103" s="69" t="str">
        <f>IFERROR(__xludf.DUMMYFUNCTION("IF($D103&lt;&gt;"""",IFERROR(FILTER(RawTotals!$AJ:$AJ,RawTotals!$A:$A=AH103)-(FILTER(Data!$K:$K,Data!$B:$B=AH103,Data!$D:$D=$D103)+FILTER(Data!$L:$L,Data!$B:$B=AH103,Data!$D:$D=$D103)),""""),"""")"),"")</f>
        <v/>
      </c>
      <c r="BS103" s="69" t="str">
        <f>IFERROR(__xludf.DUMMYFUNCTION("IF($E103&lt;&gt;"""",IFERROR(FILTER(RawTotals!$AJ:$AJ,RawTotals!$A:$A=AI103)-(FILTER(Data!$K:$K,Data!$B:$B=AI103,Data!$D:$D=$E103)+FILTER(Data!$L:$L,Data!$B:$B=AI103,Data!$D:$D=$E103)),""""),"""")"),"")</f>
        <v/>
      </c>
      <c r="BT103" s="69" t="str">
        <f>IFERROR(__xludf.DUMMYFUNCTION("IF($E103&lt;&gt;"""",IFERROR(FILTER(RawTotals!$AJ:$AJ,RawTotals!$A:$A=AJ103)-(FILTER(Data!$K:$K,Data!$B:$B=AJ103,Data!$D:$D=$E103)+FILTER(Data!$L:$L,Data!$B:$B=AJ103,Data!$D:$D=$E103)),""""),"""")"),"")</f>
        <v/>
      </c>
      <c r="BU103" s="69" t="str">
        <f>IFERROR(__xludf.DUMMYFUNCTION("IF($E103&lt;&gt;"""",IFERROR(FILTER(RawTotals!$AJ:$AJ,RawTotals!$A:$A=AK103)-(FILTER(Data!$K:$K,Data!$B:$B=AK103,Data!$D:$D=$E103)+FILTER(Data!$L:$L,Data!$B:$B=AK103,Data!$D:$D=$E103)),""""),"""")"),"")</f>
        <v/>
      </c>
      <c r="BV103" s="69" t="str">
        <f>IFERROR(__xludf.DUMMYFUNCTION("IF($F103&lt;&gt;"""",IFERROR(FILTER(RawTotals!$AJ:$AJ,RawTotals!$A:$A=AL103)-(FILTER(Data!$K:$K,Data!$B:$B=AL103,Data!$D:$D=$F103)+FILTER(Data!$L:$L,Data!$B:$B=AL103,Data!$D:$D=$F103)),""""),"""")"),"")</f>
        <v/>
      </c>
      <c r="BW103" s="69" t="str">
        <f>IFERROR(__xludf.DUMMYFUNCTION("IF($F103&lt;&gt;"""",IFERROR(FILTER(RawTotals!$AJ:$AJ,RawTotals!$A:$A=AM103)-(FILTER(Data!$K:$K,Data!$B:$B=AM103,Data!$D:$D=$F103)+FILTER(Data!$L:$L,Data!$B:$B=AM103,Data!$D:$D=$F103)),""""),"""")"),"")</f>
        <v/>
      </c>
      <c r="BX103" s="69" t="str">
        <f>IFERROR(__xludf.DUMMYFUNCTION("IF($F103&lt;&gt;"""",IFERROR(FILTER(RawTotals!$AJ:$AJ,RawTotals!$A:$A=AN103)-(FILTER(Data!$K:$K,Data!$B:$B=AN103,Data!$D:$D=$F103)+FILTER(Data!$L:$L,Data!$B:$B=AN103,Data!$D:$D=$F103)),""""),"""")"),"")</f>
        <v/>
      </c>
      <c r="BY103" s="69" t="str">
        <f>IFERROR(__xludf.DUMMYFUNCTION("IF($G103&lt;&gt;"""",IFERROR(FILTER(RawTotals!$AJ:$AJ,RawTotals!$A:$A=AO103)-(FILTER(Data!$K:$K,Data!$B:$B=AO103,Data!$D:$D=$G103)+FILTER(Data!$L:$L,Data!$B:$B=AO103,Data!$D:$D=$G103)),""""),"""")"),"")</f>
        <v/>
      </c>
      <c r="BZ103" s="69" t="str">
        <f>IFERROR(__xludf.DUMMYFUNCTION("IF($G103&lt;&gt;"""",IFERROR(FILTER(RawTotals!$AJ:$AJ,RawTotals!$A:$A=AP103)-(FILTER(Data!$K:$K,Data!$B:$B=AP103,Data!$D:$D=$G103)+FILTER(Data!$L:$L,Data!$B:$B=AP103,Data!$D:$D=$G103)),""""),"""")"),"")</f>
        <v/>
      </c>
      <c r="CA103" s="69" t="str">
        <f>IFERROR(__xludf.DUMMYFUNCTION("IF($G103&lt;&gt;"""",IFERROR(FILTER(RawTotals!$AJ:$AJ,RawTotals!$A:$A=AQ103)-(FILTER(Data!$K:$K,Data!$B:$B=AQ103,Data!$D:$D=$G103)+FILTER(Data!$L:$L,Data!$B:$B=AQ103,Data!$D:$D=$G103)),""""),"""")"),"")</f>
        <v/>
      </c>
      <c r="CB103" s="69" t="str">
        <f>IFERROR(__xludf.DUMMYFUNCTION("IF($H103&lt;&gt;"""",IFERROR(FILTER(RawTotals!$AJ:$AJ,RawTotals!$A:$A=AR103)-(FILTER(Data!$K:$K,Data!$B:$B=AR103,Data!$D:$D=$H103)+FILTER(Data!$L:$L,Data!$B:$B=AR103,Data!$D:$D=$H103)),""""),"""")"),"")</f>
        <v/>
      </c>
      <c r="CC103" s="69" t="str">
        <f>IFERROR(__xludf.DUMMYFUNCTION("IF($H103&lt;&gt;"""",IFERROR(FILTER(RawTotals!$AJ:$AJ,RawTotals!$A:$A=AS103)-(FILTER(Data!$K:$K,Data!$B:$B=AS103,Data!$D:$D=$H103)+FILTER(Data!$L:$L,Data!$B:$B=AS103,Data!$D:$D=$H103)),""""),"""")"),"")</f>
        <v/>
      </c>
      <c r="CD103" s="69" t="str">
        <f>IFERROR(__xludf.DUMMYFUNCTION("IF($H103&lt;&gt;"""",IFERROR(FILTER(RawTotals!$AJ:$AJ,RawTotals!$A:$A=AT103)-(FILTER(Data!$K:$K,Data!$B:$B=AT103,Data!$D:$D=$H103)+FILTER(Data!$L:$L,Data!$B:$B=AT103,Data!$D:$D=$H103)),""""),"""")"),"")</f>
        <v/>
      </c>
      <c r="CE103" s="69" t="str">
        <f>IFERROR(__xludf.DUMMYFUNCTION("IF($I103&lt;&gt;"""",IFERROR(FILTER(RawTotals!$AJ:$AJ,RawTotals!$A:$A=AU103)-(FILTER(Data!$K:$K,Data!$B:$B=AU103,Data!$D:$D=$I103)+FILTER(Data!$L:$L,Data!$B:$B=AU103,Data!$D:$D=$I103)),""""),"""")"),"")</f>
        <v/>
      </c>
      <c r="CF103" s="69" t="str">
        <f>IFERROR(__xludf.DUMMYFUNCTION("IF($I103&lt;&gt;"""",IFERROR(FILTER(RawTotals!$AJ:$AJ,RawTotals!$A:$A=AV103)-(FILTER(Data!$K:$K,Data!$B:$B=AV103,Data!$D:$D=$I103)+FILTER(Data!$L:$L,Data!$B:$B=AV103,Data!$D:$D=$I103)),""""),"""")"),"")</f>
        <v/>
      </c>
      <c r="CG103" s="69" t="str">
        <f>IFERROR(__xludf.DUMMYFUNCTION("IF($I103&lt;&gt;"""",IFERROR(FILTER(RawTotals!$AJ:$AJ,RawTotals!$A:$A=AW103)-(FILTER(Data!$K:$K,Data!$B:$B=AW103,Data!$D:$D=$I103)+FILTER(Data!$L:$L,Data!$B:$B=AW103,Data!$D:$D=$I103)),""""),"""")"),"")</f>
        <v/>
      </c>
      <c r="CH103" s="69" t="str">
        <f>IFERROR(__xludf.DUMMYFUNCTION("IF($J103&lt;&gt;"""",IFERROR(FILTER(RawTotals!$AJ:$AJ,RawTotals!$A:$A=AX103)-(FILTER(Data!$K:$K,Data!$B:$B=AX103,Data!$D:$D=$J103)+FILTER(Data!$L:$L,Data!$B:$B=AX103,Data!$D:$D=$J103)),""""),"""")"),"")</f>
        <v/>
      </c>
      <c r="CI103" s="69" t="str">
        <f>IFERROR(__xludf.DUMMYFUNCTION("IF($J103&lt;&gt;"""",IFERROR(FILTER(RawTotals!$AJ:$AJ,RawTotals!$A:$A=AY103)-(FILTER(Data!$K:$K,Data!$B:$B=AY103,Data!$D:$D=$J103)+FILTER(Data!$L:$L,Data!$B:$B=AY103,Data!$D:$D=$J103)),""""),"""")"),"")</f>
        <v/>
      </c>
      <c r="CJ103" s="69" t="str">
        <f>IFERROR(__xludf.DUMMYFUNCTION("IF($J103&lt;&gt;"""",IFERROR(FILTER(RawTotals!$AJ:$AJ,RawTotals!$A:$A=AZ103)-(FILTER(Data!$K:$K,Data!$B:$B=AZ103,Data!$D:$D=$J103)+FILTER(Data!$L:$L,Data!$B:$B=AZ103,Data!$D:$D=$J103)),""""),"""")"),"")</f>
        <v/>
      </c>
      <c r="CK103" s="69" t="str">
        <f>IFERROR(__xludf.DUMMYFUNCTION("IF($K103&lt;&gt;"""",IFERROR(FILTER(RawTotals!$AJ:$AJ,RawTotals!$A:$A=BA103)-(FILTER(Data!$K:$K,Data!$B:$B=BA103,Data!$D:$D=$K103)+FILTER(Data!$L:$L,Data!$B:$B=BA103,Data!$D:$D=$K103)),""""),"""")"),"")</f>
        <v/>
      </c>
      <c r="CL103" s="69" t="str">
        <f>IFERROR(__xludf.DUMMYFUNCTION("IF($K103&lt;&gt;"""",IFERROR(FILTER(RawTotals!$AJ:$AJ,RawTotals!$A:$A=BB103)-(FILTER(Data!$K:$K,Data!$B:$B=BB103,Data!$D:$D=$K103)+FILTER(Data!$L:$L,Data!$B:$B=BB103,Data!$D:$D=$K103)),""""),"""")"),"")</f>
        <v/>
      </c>
      <c r="CM103" s="69" t="str">
        <f>IFERROR(__xludf.DUMMYFUNCTION("IF($K103&lt;&gt;"""",IFERROR(FILTER(RawTotals!$AJ:$AJ,RawTotals!$A:$A=BC103)-(FILTER(Data!$K:$K,Data!$B:$B=BC103,Data!$D:$D=$K103)+FILTER(Data!$L:$L,Data!$B:$B=BC103,Data!$D:$D=$K103)),""""),"""")"),"")</f>
        <v/>
      </c>
      <c r="CN103" s="69" t="str">
        <f>IFERROR(__xludf.DUMMYFUNCTION("IF($L103&lt;&gt;"""",IFERROR((FILTER(RawTotals!$AJ:$AJ,RawTotals!$A:$A=BD103)-(FILTER(Data!$K:$K,Data!$B:$B=BD103,Data!$D:$D=$L103)+FILTER(Data!$L:$L,Data!$B:$B=BD103,Data!$D:$D=$L103))),""""),"""")"),"")</f>
        <v/>
      </c>
      <c r="CO103" s="69" t="str">
        <f>IFERROR(__xludf.DUMMYFUNCTION("IF($L103&lt;&gt;"""",IFERROR((FILTER(RawTotals!$AJ:$AJ,RawTotals!$A:$A=BE103)-(FILTER(Data!$K:$K,Data!$B:$B=BE103,Data!$D:$D=$L103)+FILTER(Data!$L:$L,Data!$B:$B=BE103,Data!$D:$D=$L103))),""""),"""")"),"")</f>
        <v/>
      </c>
      <c r="CP103" s="69" t="str">
        <f>IFERROR(__xludf.DUMMYFUNCTION("IF($L103&lt;&gt;"""",IFERROR((FILTER(RawTotals!$AJ:$AJ,RawTotals!$A:$A=BF103)-(FILTER(Data!$K:$K,Data!$B:$B=BF103,Data!$D:$D=$L103)+FILTER(Data!$L:$L,Data!$B:$B=BF103,Data!$D:$D=$L103))),""""),"""")"),"")</f>
        <v/>
      </c>
      <c r="CQ103" s="69" t="str">
        <f>IFERROR(__xludf.DUMMYFUNCTION("IF($M103&lt;&gt;"""",IFERROR((FILTER(RawTotals!$AJ:$AJ,RawTotals!$A:$A=BG103)-(FILTER(Data!$K:$K,Data!$B:$B=BG103,Data!$D:$D=$M103)+FILTER(Data!$L:$L,Data!$B:$B=BG103,Data!$D:$D=$M103))),""""),"""")"),"")</f>
        <v/>
      </c>
      <c r="CR103" s="69" t="str">
        <f>IFERROR(__xludf.DUMMYFUNCTION("IF($M103&lt;&gt;"""",IFERROR((FILTER(RawTotals!$AJ:$AJ,RawTotals!$A:$A=BH103)-(FILTER(Data!$K:$K,Data!$B:$B=BH103,Data!$D:$D=$M103)+FILTER(Data!$L:$L,Data!$B:$B=BH103,Data!$D:$D=$M103))),""""),"""")"),"")</f>
        <v/>
      </c>
      <c r="CS103" s="70" t="str">
        <f>IFERROR(__xludf.DUMMYFUNCTION("IF($M103&lt;&gt;"""",IFERROR((FILTER(RawTotals!$AJ:$AJ,RawTotals!$A:$A=BI103)-(FILTER(Data!$K:$K,Data!$B:$B=BI103,Data!$D:$D=$M103)+FILTER(Data!$L:$L,Data!$B:$B=BI103,Data!$D:$D=$M103))),""""),"""")"),"")</f>
        <v/>
      </c>
      <c r="CT103" s="69"/>
      <c r="CU103" s="69"/>
      <c r="CV103" s="69"/>
      <c r="CW103" s="69"/>
      <c r="CX103" s="69"/>
      <c r="CY103" s="69"/>
      <c r="CZ103" s="69"/>
      <c r="DA103" s="69"/>
      <c r="DB103" s="69"/>
      <c r="DC103" s="69"/>
      <c r="DD103" s="69"/>
      <c r="DE103" s="69"/>
    </row>
    <row r="104">
      <c r="A104" s="65" t="str">
        <f>RawTotals!A104</f>
        <v/>
      </c>
      <c r="B104" s="68" t="str">
        <f>IFERROR(__xludf.DUMMYFUNCTION("IF(A104&lt;&gt;"""",IFERROR(TRANSPOSE(FILTER(Data!D:D,Data!B:B=A104,Data!R:R&lt;&gt;"""")),""No Defense""),"""")"),"")</f>
        <v/>
      </c>
      <c r="C104" s="65"/>
      <c r="D104" s="65"/>
      <c r="E104" s="65"/>
      <c r="F104" s="65"/>
      <c r="G104" s="65"/>
      <c r="H104" s="65"/>
      <c r="I104" s="65"/>
      <c r="J104" s="65"/>
      <c r="K104" s="65"/>
      <c r="L104" s="65"/>
      <c r="M104" s="65"/>
      <c r="N104" s="64" t="str">
        <f>IFERROR(__xludf.DUMMYFUNCTION("IFERROR(Textjoin("""",TRUE,FILTER(Data!$R:$R,Data!$D:$D=B104,Data!$B:$B=$A104)),"""")"),"")</f>
        <v/>
      </c>
      <c r="O104" s="64" t="str">
        <f>IFERROR(__xludf.DUMMYFUNCTION("IFERROR(Textjoin("""",TRUE,FILTER(Data!$R:$R,Data!$D:$D=C104,Data!$B:$B=$A104)),"""")"),"")</f>
        <v/>
      </c>
      <c r="P104" s="64" t="str">
        <f>IFERROR(__xludf.DUMMYFUNCTION("IFERROR(Textjoin("""",TRUE,FILTER(Data!$R:$R,Data!$D:$D=D104,Data!$B:$B=$A104)),"""")"),"")</f>
        <v/>
      </c>
      <c r="Q104" s="64" t="str">
        <f>IFERROR(__xludf.DUMMYFUNCTION("IFERROR(Textjoin("""",TRUE,FILTER(Data!$R:$R,Data!$D:$D=E104,Data!$B:$B=$A104)),"""")"),"")</f>
        <v/>
      </c>
      <c r="R104" s="64" t="str">
        <f>IFERROR(__xludf.DUMMYFUNCTION("IFERROR(Textjoin("""",TRUE,FILTER(Data!$R:$R,Data!$D:$D=F104,Data!$B:$B=$A104)),"""")"),"")</f>
        <v/>
      </c>
      <c r="S104" s="64" t="str">
        <f>IFERROR(__xludf.DUMMYFUNCTION("IFERROR(Textjoin("""",TRUE,FILTER(Data!$R:$R,Data!$D:$D=G104,Data!$B:$B=$A104)),"""")"),"")</f>
        <v/>
      </c>
      <c r="T104" s="64" t="str">
        <f>IFERROR(__xludf.DUMMYFUNCTION("IFERROR(Textjoin("""",TRUE,FILTER(Data!$R:$R,Data!$D:$D=H104,Data!$B:$B=$A104)),"""")"),"")</f>
        <v/>
      </c>
      <c r="U104" s="64" t="str">
        <f>IFERROR(__xludf.DUMMYFUNCTION("IFERROR(Textjoin("""",TRUE,FILTER(Data!$R:$R,Data!$D:$D=I104,Data!$B:$B=$A104)),"""")"),"")</f>
        <v/>
      </c>
      <c r="V104" s="64" t="str">
        <f>IFERROR(__xludf.DUMMYFUNCTION("IFERROR(Textjoin("""",TRUE,FILTER(Data!$R:$R,Data!$D:$D=J104,Data!$B:$B=$A104)),"""")"),"")</f>
        <v/>
      </c>
      <c r="W104" s="64" t="str">
        <f>IFERROR(__xludf.DUMMYFUNCTION("IFERROR(Textjoin("""",TRUE,FILTER(Data!$R:$R,Data!$D:$D=K104,Data!$B:$B=$A104)),"""")"),"")</f>
        <v/>
      </c>
      <c r="X104" s="64" t="str">
        <f>IFERROR(__xludf.DUMMYFUNCTION("IFERROR(Textjoin("""",TRUE,FILTER(Data!$R:$R,Data!$D:$D=L104,Data!$B:$B=$A104)),"""")"),"")</f>
        <v/>
      </c>
      <c r="Y104" s="64" t="str">
        <f>IFERROR(__xludf.DUMMYFUNCTION("IFERROR(Textjoin("""",TRUE,FILTER(Data!$R:$R,Data!$D:$D=M104,Data!$B:$B=$A104)),"""")"),"")</f>
        <v/>
      </c>
      <c r="Z104" s="64" t="str">
        <f>IFERROR(__xludf.DUMMYFUNCTION("IFERROR(SPLIT(N104,"",""),"""")"),"")</f>
        <v/>
      </c>
      <c r="AA104" s="65"/>
      <c r="AB104" s="65"/>
      <c r="AC104" s="69" t="str">
        <f>IFERROR(__xludf.DUMMYFUNCTION("IFERROR(SPLIT(O104,"",""),"""")"),"")</f>
        <v/>
      </c>
      <c r="AD104" s="65"/>
      <c r="AE104" s="65"/>
      <c r="AF104" s="69" t="str">
        <f>IFERROR(__xludf.DUMMYFUNCTION("IFERROR(SPLIT(P104,"",""),"""")"),"")</f>
        <v/>
      </c>
      <c r="AG104" s="65"/>
      <c r="AH104" s="65"/>
      <c r="AI104" s="69" t="str">
        <f>IFERROR(__xludf.DUMMYFUNCTION("IFERROR(SPLIT(Q104,"",""),"""")"),"")</f>
        <v/>
      </c>
      <c r="AJ104" s="65"/>
      <c r="AK104" s="65"/>
      <c r="AL104" s="69" t="str">
        <f>IFERROR(__xludf.DUMMYFUNCTION("IFERROR(SPLIT(R104,"",""),"""")"),"")</f>
        <v/>
      </c>
      <c r="AM104" s="65"/>
      <c r="AN104" s="65"/>
      <c r="AO104" s="69" t="str">
        <f>IFERROR(__xludf.DUMMYFUNCTION("IFERROR(SPLIT(S104,"",""),"""")"),"")</f>
        <v/>
      </c>
      <c r="AP104" s="65"/>
      <c r="AQ104" s="65"/>
      <c r="AR104" s="69" t="str">
        <f>IFERROR(__xludf.DUMMYFUNCTION("IFERROR(SPLIT(T104,"",""),"""")"),"")</f>
        <v/>
      </c>
      <c r="AS104" s="65"/>
      <c r="AT104" s="65"/>
      <c r="AU104" s="69" t="str">
        <f>IFERROR(__xludf.DUMMYFUNCTION("IFERROR(SPLIT(U104,"",""),"""")"),"")</f>
        <v/>
      </c>
      <c r="AV104" s="65"/>
      <c r="AW104" s="65"/>
      <c r="AX104" s="69" t="str">
        <f>IFERROR(__xludf.DUMMYFUNCTION("IFERROR(SPLIT(V104,"",""),"""")"),"")</f>
        <v/>
      </c>
      <c r="AY104" s="65"/>
      <c r="AZ104" s="65"/>
      <c r="BA104" s="69" t="str">
        <f>IFERROR(__xludf.DUMMYFUNCTION("IFERROR(SPLIT(W104,"",""),"""")"),"")</f>
        <v/>
      </c>
      <c r="BB104" s="69"/>
      <c r="BC104" s="69"/>
      <c r="BD104" s="69" t="str">
        <f>IFERROR(__xludf.DUMMYFUNCTION("IFERROR(SPLIT(X104,"",""),"""")"),"")</f>
        <v/>
      </c>
      <c r="BE104" s="69"/>
      <c r="BF104" s="69"/>
      <c r="BG104" s="69" t="str">
        <f>IFERROR(__xludf.DUMMYFUNCTION("IFERROR(SPLIT(Y104,"",""),"""")"),"")</f>
        <v/>
      </c>
      <c r="BH104" s="69"/>
      <c r="BI104" s="69"/>
      <c r="BJ104" s="68" t="str">
        <f>IFERROR(__xludf.DUMMYFUNCTION("IF($B104&lt;&gt;"""",IFERROR(FILTER(RawTotals!$AJ:$AJ,RawTotals!$A:$A=Z104)-(FILTER(Data!$K:$K,Data!$B:$B=Z104,Data!$D:$D=$B104)+FILTER(Data!$L:$L,Data!$B:$B=Z104,Data!$D:$D=$B104)),""""),"""")"),"")</f>
        <v/>
      </c>
      <c r="BK104" s="68" t="str">
        <f>IFERROR(__xludf.DUMMYFUNCTION("IF($B104&lt;&gt;"""",IFERROR(FILTER(RawTotals!$AJ:$AJ,RawTotals!$A:$A=AA104)-(FILTER(Data!$K:$K,Data!$B:$B=AA104,Data!$D:$D=$B104)+FILTER(Data!$L:$L,Data!$B:$B=AA104,Data!$D:$D=$B104)),""""),"""")"),"")</f>
        <v/>
      </c>
      <c r="BL104" s="68" t="str">
        <f>IFERROR(__xludf.DUMMYFUNCTION("IF($B104&lt;&gt;"""",IFERROR(FILTER(RawTotals!$AJ:$AJ,RawTotals!$A:$A=AB104)-(FILTER(Data!$K:$K,Data!$B:$B=AB104,Data!$D:$D=$B104)+FILTER(Data!$L:$L,Data!$B:$B=AB104,Data!$D:$D=$B104)),""""),"""")"),"")</f>
        <v/>
      </c>
      <c r="BM104" s="69" t="str">
        <f>IFERROR(__xludf.DUMMYFUNCTION("IF($C104&lt;&gt;"""",IFERROR(FILTER(RawTotals!$AJ:$AJ,RawTotals!$A:$A=AC104)-(FILTER(Data!$K:$K,Data!$B:$B=AC104,Data!$D:$D=$C104)+FILTER(Data!$L:$L,Data!$B:$B=AC104,Data!$D:$D=$C104)),""""),"""")"),"")</f>
        <v/>
      </c>
      <c r="BN104" s="69" t="str">
        <f>IFERROR(__xludf.DUMMYFUNCTION("IF($C104&lt;&gt;"""",IFERROR(FILTER(RawTotals!$AJ:$AJ,RawTotals!$A:$A=AD104)-(FILTER(Data!$K:$K,Data!$B:$B=AD104,Data!$D:$D=$C104)+FILTER(Data!$L:$L,Data!$B:$B=AD104,Data!$D:$D=$C104)),""""),"""")"),"")</f>
        <v/>
      </c>
      <c r="BO104" s="69" t="str">
        <f>IFERROR(__xludf.DUMMYFUNCTION("IF($C104&lt;&gt;"""",IFERROR(FILTER(RawTotals!$AJ:$AJ,RawTotals!$A:$A=AE104)-(FILTER(Data!$K:$K,Data!$B:$B=AE104,Data!$D:$D=$C104)+FILTER(Data!$L:$L,Data!$B:$B=AE104,Data!$D:$D=$C104)),""""),"""")"),"")</f>
        <v/>
      </c>
      <c r="BP104" s="69" t="str">
        <f>IFERROR(__xludf.DUMMYFUNCTION("IF($D104&lt;&gt;"""",IFERROR(FILTER(RawTotals!$AJ:$AJ,RawTotals!$A:$A=AF104)-(FILTER(Data!$K:$K,Data!$B:$B=AF104,Data!$D:$D=$D104)+FILTER(Data!$L:$L,Data!$B:$B=AF104,Data!$D:$D=$D104)),""""),"""")"),"")</f>
        <v/>
      </c>
      <c r="BQ104" s="69" t="str">
        <f>IFERROR(__xludf.DUMMYFUNCTION("IF($D104&lt;&gt;"""",IFERROR(FILTER(RawTotals!$AJ:$AJ,RawTotals!$A:$A=AG104)-(FILTER(Data!$K:$K,Data!$B:$B=AG104,Data!$D:$D=$D104)+FILTER(Data!$L:$L,Data!$B:$B=AG104,Data!$D:$D=$D104)),""""),"""")"),"")</f>
        <v/>
      </c>
      <c r="BR104" s="69" t="str">
        <f>IFERROR(__xludf.DUMMYFUNCTION("IF($D104&lt;&gt;"""",IFERROR(FILTER(RawTotals!$AJ:$AJ,RawTotals!$A:$A=AH104)-(FILTER(Data!$K:$K,Data!$B:$B=AH104,Data!$D:$D=$D104)+FILTER(Data!$L:$L,Data!$B:$B=AH104,Data!$D:$D=$D104)),""""),"""")"),"")</f>
        <v/>
      </c>
      <c r="BS104" s="69" t="str">
        <f>IFERROR(__xludf.DUMMYFUNCTION("IF($E104&lt;&gt;"""",IFERROR(FILTER(RawTotals!$AJ:$AJ,RawTotals!$A:$A=AI104)-(FILTER(Data!$K:$K,Data!$B:$B=AI104,Data!$D:$D=$E104)+FILTER(Data!$L:$L,Data!$B:$B=AI104,Data!$D:$D=$E104)),""""),"""")"),"")</f>
        <v/>
      </c>
      <c r="BT104" s="69" t="str">
        <f>IFERROR(__xludf.DUMMYFUNCTION("IF($E104&lt;&gt;"""",IFERROR(FILTER(RawTotals!$AJ:$AJ,RawTotals!$A:$A=AJ104)-(FILTER(Data!$K:$K,Data!$B:$B=AJ104,Data!$D:$D=$E104)+FILTER(Data!$L:$L,Data!$B:$B=AJ104,Data!$D:$D=$E104)),""""),"""")"),"")</f>
        <v/>
      </c>
      <c r="BU104" s="69" t="str">
        <f>IFERROR(__xludf.DUMMYFUNCTION("IF($E104&lt;&gt;"""",IFERROR(FILTER(RawTotals!$AJ:$AJ,RawTotals!$A:$A=AK104)-(FILTER(Data!$K:$K,Data!$B:$B=AK104,Data!$D:$D=$E104)+FILTER(Data!$L:$L,Data!$B:$B=AK104,Data!$D:$D=$E104)),""""),"""")"),"")</f>
        <v/>
      </c>
      <c r="BV104" s="69" t="str">
        <f>IFERROR(__xludf.DUMMYFUNCTION("IF($F104&lt;&gt;"""",IFERROR(FILTER(RawTotals!$AJ:$AJ,RawTotals!$A:$A=AL104)-(FILTER(Data!$K:$K,Data!$B:$B=AL104,Data!$D:$D=$F104)+FILTER(Data!$L:$L,Data!$B:$B=AL104,Data!$D:$D=$F104)),""""),"""")"),"")</f>
        <v/>
      </c>
      <c r="BW104" s="69" t="str">
        <f>IFERROR(__xludf.DUMMYFUNCTION("IF($F104&lt;&gt;"""",IFERROR(FILTER(RawTotals!$AJ:$AJ,RawTotals!$A:$A=AM104)-(FILTER(Data!$K:$K,Data!$B:$B=AM104,Data!$D:$D=$F104)+FILTER(Data!$L:$L,Data!$B:$B=AM104,Data!$D:$D=$F104)),""""),"""")"),"")</f>
        <v/>
      </c>
      <c r="BX104" s="69" t="str">
        <f>IFERROR(__xludf.DUMMYFUNCTION("IF($F104&lt;&gt;"""",IFERROR(FILTER(RawTotals!$AJ:$AJ,RawTotals!$A:$A=AN104)-(FILTER(Data!$K:$K,Data!$B:$B=AN104,Data!$D:$D=$F104)+FILTER(Data!$L:$L,Data!$B:$B=AN104,Data!$D:$D=$F104)),""""),"""")"),"")</f>
        <v/>
      </c>
      <c r="BY104" s="69" t="str">
        <f>IFERROR(__xludf.DUMMYFUNCTION("IF($G104&lt;&gt;"""",IFERROR(FILTER(RawTotals!$AJ:$AJ,RawTotals!$A:$A=AO104)-(FILTER(Data!$K:$K,Data!$B:$B=AO104,Data!$D:$D=$G104)+FILTER(Data!$L:$L,Data!$B:$B=AO104,Data!$D:$D=$G104)),""""),"""")"),"")</f>
        <v/>
      </c>
      <c r="BZ104" s="69" t="str">
        <f>IFERROR(__xludf.DUMMYFUNCTION("IF($G104&lt;&gt;"""",IFERROR(FILTER(RawTotals!$AJ:$AJ,RawTotals!$A:$A=AP104)-(FILTER(Data!$K:$K,Data!$B:$B=AP104,Data!$D:$D=$G104)+FILTER(Data!$L:$L,Data!$B:$B=AP104,Data!$D:$D=$G104)),""""),"""")"),"")</f>
        <v/>
      </c>
      <c r="CA104" s="69" t="str">
        <f>IFERROR(__xludf.DUMMYFUNCTION("IF($G104&lt;&gt;"""",IFERROR(FILTER(RawTotals!$AJ:$AJ,RawTotals!$A:$A=AQ104)-(FILTER(Data!$K:$K,Data!$B:$B=AQ104,Data!$D:$D=$G104)+FILTER(Data!$L:$L,Data!$B:$B=AQ104,Data!$D:$D=$G104)),""""),"""")"),"")</f>
        <v/>
      </c>
      <c r="CB104" s="69" t="str">
        <f>IFERROR(__xludf.DUMMYFUNCTION("IF($H104&lt;&gt;"""",IFERROR(FILTER(RawTotals!$AJ:$AJ,RawTotals!$A:$A=AR104)-(FILTER(Data!$K:$K,Data!$B:$B=AR104,Data!$D:$D=$H104)+FILTER(Data!$L:$L,Data!$B:$B=AR104,Data!$D:$D=$H104)),""""),"""")"),"")</f>
        <v/>
      </c>
      <c r="CC104" s="69" t="str">
        <f>IFERROR(__xludf.DUMMYFUNCTION("IF($H104&lt;&gt;"""",IFERROR(FILTER(RawTotals!$AJ:$AJ,RawTotals!$A:$A=AS104)-(FILTER(Data!$K:$K,Data!$B:$B=AS104,Data!$D:$D=$H104)+FILTER(Data!$L:$L,Data!$B:$B=AS104,Data!$D:$D=$H104)),""""),"""")"),"")</f>
        <v/>
      </c>
      <c r="CD104" s="69" t="str">
        <f>IFERROR(__xludf.DUMMYFUNCTION("IF($H104&lt;&gt;"""",IFERROR(FILTER(RawTotals!$AJ:$AJ,RawTotals!$A:$A=AT104)-(FILTER(Data!$K:$K,Data!$B:$B=AT104,Data!$D:$D=$H104)+FILTER(Data!$L:$L,Data!$B:$B=AT104,Data!$D:$D=$H104)),""""),"""")"),"")</f>
        <v/>
      </c>
      <c r="CE104" s="69" t="str">
        <f>IFERROR(__xludf.DUMMYFUNCTION("IF($I104&lt;&gt;"""",IFERROR(FILTER(RawTotals!$AJ:$AJ,RawTotals!$A:$A=AU104)-(FILTER(Data!$K:$K,Data!$B:$B=AU104,Data!$D:$D=$I104)+FILTER(Data!$L:$L,Data!$B:$B=AU104,Data!$D:$D=$I104)),""""),"""")"),"")</f>
        <v/>
      </c>
      <c r="CF104" s="69" t="str">
        <f>IFERROR(__xludf.DUMMYFUNCTION("IF($I104&lt;&gt;"""",IFERROR(FILTER(RawTotals!$AJ:$AJ,RawTotals!$A:$A=AV104)-(FILTER(Data!$K:$K,Data!$B:$B=AV104,Data!$D:$D=$I104)+FILTER(Data!$L:$L,Data!$B:$B=AV104,Data!$D:$D=$I104)),""""),"""")"),"")</f>
        <v/>
      </c>
      <c r="CG104" s="69" t="str">
        <f>IFERROR(__xludf.DUMMYFUNCTION("IF($I104&lt;&gt;"""",IFERROR(FILTER(RawTotals!$AJ:$AJ,RawTotals!$A:$A=AW104)-(FILTER(Data!$K:$K,Data!$B:$B=AW104,Data!$D:$D=$I104)+FILTER(Data!$L:$L,Data!$B:$B=AW104,Data!$D:$D=$I104)),""""),"""")"),"")</f>
        <v/>
      </c>
      <c r="CH104" s="69" t="str">
        <f>IFERROR(__xludf.DUMMYFUNCTION("IF($J104&lt;&gt;"""",IFERROR(FILTER(RawTotals!$AJ:$AJ,RawTotals!$A:$A=AX104)-(FILTER(Data!$K:$K,Data!$B:$B=AX104,Data!$D:$D=$J104)+FILTER(Data!$L:$L,Data!$B:$B=AX104,Data!$D:$D=$J104)),""""),"""")"),"")</f>
        <v/>
      </c>
      <c r="CI104" s="69" t="str">
        <f>IFERROR(__xludf.DUMMYFUNCTION("IF($J104&lt;&gt;"""",IFERROR(FILTER(RawTotals!$AJ:$AJ,RawTotals!$A:$A=AY104)-(FILTER(Data!$K:$K,Data!$B:$B=AY104,Data!$D:$D=$J104)+FILTER(Data!$L:$L,Data!$B:$B=AY104,Data!$D:$D=$J104)),""""),"""")"),"")</f>
        <v/>
      </c>
      <c r="CJ104" s="69" t="str">
        <f>IFERROR(__xludf.DUMMYFUNCTION("IF($J104&lt;&gt;"""",IFERROR(FILTER(RawTotals!$AJ:$AJ,RawTotals!$A:$A=AZ104)-(FILTER(Data!$K:$K,Data!$B:$B=AZ104,Data!$D:$D=$J104)+FILTER(Data!$L:$L,Data!$B:$B=AZ104,Data!$D:$D=$J104)),""""),"""")"),"")</f>
        <v/>
      </c>
      <c r="CK104" s="69" t="str">
        <f>IFERROR(__xludf.DUMMYFUNCTION("IF($K104&lt;&gt;"""",IFERROR(FILTER(RawTotals!$AJ:$AJ,RawTotals!$A:$A=BA104)-(FILTER(Data!$K:$K,Data!$B:$B=BA104,Data!$D:$D=$K104)+FILTER(Data!$L:$L,Data!$B:$B=BA104,Data!$D:$D=$K104)),""""),"""")"),"")</f>
        <v/>
      </c>
      <c r="CL104" s="69" t="str">
        <f>IFERROR(__xludf.DUMMYFUNCTION("IF($K104&lt;&gt;"""",IFERROR(FILTER(RawTotals!$AJ:$AJ,RawTotals!$A:$A=BB104)-(FILTER(Data!$K:$K,Data!$B:$B=BB104,Data!$D:$D=$K104)+FILTER(Data!$L:$L,Data!$B:$B=BB104,Data!$D:$D=$K104)),""""),"""")"),"")</f>
        <v/>
      </c>
      <c r="CM104" s="69" t="str">
        <f>IFERROR(__xludf.DUMMYFUNCTION("IF($K104&lt;&gt;"""",IFERROR(FILTER(RawTotals!$AJ:$AJ,RawTotals!$A:$A=BC104)-(FILTER(Data!$K:$K,Data!$B:$B=BC104,Data!$D:$D=$K104)+FILTER(Data!$L:$L,Data!$B:$B=BC104,Data!$D:$D=$K104)),""""),"""")"),"")</f>
        <v/>
      </c>
      <c r="CN104" s="69" t="str">
        <f>IFERROR(__xludf.DUMMYFUNCTION("IF($L104&lt;&gt;"""",IFERROR((FILTER(RawTotals!$AJ:$AJ,RawTotals!$A:$A=BD104)-(FILTER(Data!$K:$K,Data!$B:$B=BD104,Data!$D:$D=$L104)+FILTER(Data!$L:$L,Data!$B:$B=BD104,Data!$D:$D=$L104))),""""),"""")"),"")</f>
        <v/>
      </c>
      <c r="CO104" s="69" t="str">
        <f>IFERROR(__xludf.DUMMYFUNCTION("IF($L104&lt;&gt;"""",IFERROR((FILTER(RawTotals!$AJ:$AJ,RawTotals!$A:$A=BE104)-(FILTER(Data!$K:$K,Data!$B:$B=BE104,Data!$D:$D=$L104)+FILTER(Data!$L:$L,Data!$B:$B=BE104,Data!$D:$D=$L104))),""""),"""")"),"")</f>
        <v/>
      </c>
      <c r="CP104" s="69" t="str">
        <f>IFERROR(__xludf.DUMMYFUNCTION("IF($L104&lt;&gt;"""",IFERROR((FILTER(RawTotals!$AJ:$AJ,RawTotals!$A:$A=BF104)-(FILTER(Data!$K:$K,Data!$B:$B=BF104,Data!$D:$D=$L104)+FILTER(Data!$L:$L,Data!$B:$B=BF104,Data!$D:$D=$L104))),""""),"""")"),"")</f>
        <v/>
      </c>
      <c r="CQ104" s="69" t="str">
        <f>IFERROR(__xludf.DUMMYFUNCTION("IF($M104&lt;&gt;"""",IFERROR((FILTER(RawTotals!$AJ:$AJ,RawTotals!$A:$A=BG104)-(FILTER(Data!$K:$K,Data!$B:$B=BG104,Data!$D:$D=$M104)+FILTER(Data!$L:$L,Data!$B:$B=BG104,Data!$D:$D=$M104))),""""),"""")"),"")</f>
        <v/>
      </c>
      <c r="CR104" s="69" t="str">
        <f>IFERROR(__xludf.DUMMYFUNCTION("IF($M104&lt;&gt;"""",IFERROR((FILTER(RawTotals!$AJ:$AJ,RawTotals!$A:$A=BH104)-(FILTER(Data!$K:$K,Data!$B:$B=BH104,Data!$D:$D=$M104)+FILTER(Data!$L:$L,Data!$B:$B=BH104,Data!$D:$D=$M104))),""""),"""")"),"")</f>
        <v/>
      </c>
      <c r="CS104" s="70" t="str">
        <f>IFERROR(__xludf.DUMMYFUNCTION("IF($M104&lt;&gt;"""",IFERROR((FILTER(RawTotals!$AJ:$AJ,RawTotals!$A:$A=BI104)-(FILTER(Data!$K:$K,Data!$B:$B=BI104,Data!$D:$D=$M104)+FILTER(Data!$L:$L,Data!$B:$B=BI104,Data!$D:$D=$M104))),""""),"""")"),"")</f>
        <v/>
      </c>
      <c r="CT104" s="69"/>
      <c r="CU104" s="69"/>
      <c r="CV104" s="69"/>
      <c r="CW104" s="69"/>
      <c r="CX104" s="69"/>
      <c r="CY104" s="69"/>
      <c r="CZ104" s="69"/>
      <c r="DA104" s="69"/>
      <c r="DB104" s="69"/>
      <c r="DC104" s="69"/>
      <c r="DD104" s="69"/>
      <c r="DE104" s="69"/>
    </row>
    <row r="105">
      <c r="A105" s="65" t="str">
        <f>RawTotals!A105</f>
        <v/>
      </c>
      <c r="B105" s="68" t="str">
        <f>IFERROR(__xludf.DUMMYFUNCTION("IF(A105&lt;&gt;"""",IFERROR(TRANSPOSE(FILTER(Data!D:D,Data!B:B=A105,Data!R:R&lt;&gt;"""")),""No Defense""),"""")"),"")</f>
        <v/>
      </c>
      <c r="C105" s="65"/>
      <c r="D105" s="65"/>
      <c r="E105" s="65"/>
      <c r="F105" s="65"/>
      <c r="G105" s="65"/>
      <c r="H105" s="65"/>
      <c r="I105" s="65"/>
      <c r="J105" s="65"/>
      <c r="K105" s="65"/>
      <c r="L105" s="65"/>
      <c r="M105" s="65"/>
      <c r="N105" s="64" t="str">
        <f>IFERROR(__xludf.DUMMYFUNCTION("IFERROR(Textjoin("""",TRUE,FILTER(Data!$R:$R,Data!$D:$D=B105,Data!$B:$B=$A105)),"""")"),"")</f>
        <v/>
      </c>
      <c r="O105" s="64" t="str">
        <f>IFERROR(__xludf.DUMMYFUNCTION("IFERROR(Textjoin("""",TRUE,FILTER(Data!$R:$R,Data!$D:$D=C105,Data!$B:$B=$A105)),"""")"),"")</f>
        <v/>
      </c>
      <c r="P105" s="64" t="str">
        <f>IFERROR(__xludf.DUMMYFUNCTION("IFERROR(Textjoin("""",TRUE,FILTER(Data!$R:$R,Data!$D:$D=D105,Data!$B:$B=$A105)),"""")"),"")</f>
        <v/>
      </c>
      <c r="Q105" s="64" t="str">
        <f>IFERROR(__xludf.DUMMYFUNCTION("IFERROR(Textjoin("""",TRUE,FILTER(Data!$R:$R,Data!$D:$D=E105,Data!$B:$B=$A105)),"""")"),"")</f>
        <v/>
      </c>
      <c r="R105" s="64" t="str">
        <f>IFERROR(__xludf.DUMMYFUNCTION("IFERROR(Textjoin("""",TRUE,FILTER(Data!$R:$R,Data!$D:$D=F105,Data!$B:$B=$A105)),"""")"),"")</f>
        <v/>
      </c>
      <c r="S105" s="64" t="str">
        <f>IFERROR(__xludf.DUMMYFUNCTION("IFERROR(Textjoin("""",TRUE,FILTER(Data!$R:$R,Data!$D:$D=G105,Data!$B:$B=$A105)),"""")"),"")</f>
        <v/>
      </c>
      <c r="T105" s="64" t="str">
        <f>IFERROR(__xludf.DUMMYFUNCTION("IFERROR(Textjoin("""",TRUE,FILTER(Data!$R:$R,Data!$D:$D=H105,Data!$B:$B=$A105)),"""")"),"")</f>
        <v/>
      </c>
      <c r="U105" s="64" t="str">
        <f>IFERROR(__xludf.DUMMYFUNCTION("IFERROR(Textjoin("""",TRUE,FILTER(Data!$R:$R,Data!$D:$D=I105,Data!$B:$B=$A105)),"""")"),"")</f>
        <v/>
      </c>
      <c r="V105" s="64" t="str">
        <f>IFERROR(__xludf.DUMMYFUNCTION("IFERROR(Textjoin("""",TRUE,FILTER(Data!$R:$R,Data!$D:$D=J105,Data!$B:$B=$A105)),"""")"),"")</f>
        <v/>
      </c>
      <c r="W105" s="64" t="str">
        <f>IFERROR(__xludf.DUMMYFUNCTION("IFERROR(Textjoin("""",TRUE,FILTER(Data!$R:$R,Data!$D:$D=K105,Data!$B:$B=$A105)),"""")"),"")</f>
        <v/>
      </c>
      <c r="X105" s="64" t="str">
        <f>IFERROR(__xludf.DUMMYFUNCTION("IFERROR(Textjoin("""",TRUE,FILTER(Data!$R:$R,Data!$D:$D=L105,Data!$B:$B=$A105)),"""")"),"")</f>
        <v/>
      </c>
      <c r="Y105" s="64" t="str">
        <f>IFERROR(__xludf.DUMMYFUNCTION("IFERROR(Textjoin("""",TRUE,FILTER(Data!$R:$R,Data!$D:$D=M105,Data!$B:$B=$A105)),"""")"),"")</f>
        <v/>
      </c>
      <c r="Z105" s="64" t="str">
        <f>IFERROR(__xludf.DUMMYFUNCTION("IFERROR(SPLIT(N105,"",""),"""")"),"")</f>
        <v/>
      </c>
      <c r="AA105" s="65"/>
      <c r="AB105" s="65"/>
      <c r="AC105" s="69" t="str">
        <f>IFERROR(__xludf.DUMMYFUNCTION("IFERROR(SPLIT(O105,"",""),"""")"),"")</f>
        <v/>
      </c>
      <c r="AD105" s="65"/>
      <c r="AE105" s="65"/>
      <c r="AF105" s="69" t="str">
        <f>IFERROR(__xludf.DUMMYFUNCTION("IFERROR(SPLIT(P105,"",""),"""")"),"")</f>
        <v/>
      </c>
      <c r="AG105" s="65"/>
      <c r="AH105" s="65"/>
      <c r="AI105" s="69" t="str">
        <f>IFERROR(__xludf.DUMMYFUNCTION("IFERROR(SPLIT(Q105,"",""),"""")"),"")</f>
        <v/>
      </c>
      <c r="AJ105" s="65"/>
      <c r="AK105" s="65"/>
      <c r="AL105" s="69" t="str">
        <f>IFERROR(__xludf.DUMMYFUNCTION("IFERROR(SPLIT(R105,"",""),"""")"),"")</f>
        <v/>
      </c>
      <c r="AM105" s="65"/>
      <c r="AN105" s="65"/>
      <c r="AO105" s="69" t="str">
        <f>IFERROR(__xludf.DUMMYFUNCTION("IFERROR(SPLIT(S105,"",""),"""")"),"")</f>
        <v/>
      </c>
      <c r="AP105" s="65"/>
      <c r="AQ105" s="65"/>
      <c r="AR105" s="69" t="str">
        <f>IFERROR(__xludf.DUMMYFUNCTION("IFERROR(SPLIT(T105,"",""),"""")"),"")</f>
        <v/>
      </c>
      <c r="AS105" s="65"/>
      <c r="AT105" s="65"/>
      <c r="AU105" s="69" t="str">
        <f>IFERROR(__xludf.DUMMYFUNCTION("IFERROR(SPLIT(U105,"",""),"""")"),"")</f>
        <v/>
      </c>
      <c r="AV105" s="65"/>
      <c r="AW105" s="65"/>
      <c r="AX105" s="69" t="str">
        <f>IFERROR(__xludf.DUMMYFUNCTION("IFERROR(SPLIT(V105,"",""),"""")"),"")</f>
        <v/>
      </c>
      <c r="AY105" s="65"/>
      <c r="AZ105" s="65"/>
      <c r="BA105" s="69" t="str">
        <f>IFERROR(__xludf.DUMMYFUNCTION("IFERROR(SPLIT(W105,"",""),"""")"),"")</f>
        <v/>
      </c>
      <c r="BB105" s="69"/>
      <c r="BC105" s="69"/>
      <c r="BD105" s="69" t="str">
        <f>IFERROR(__xludf.DUMMYFUNCTION("IFERROR(SPLIT(X105,"",""),"""")"),"")</f>
        <v/>
      </c>
      <c r="BE105" s="69"/>
      <c r="BF105" s="69"/>
      <c r="BG105" s="69" t="str">
        <f>IFERROR(__xludf.DUMMYFUNCTION("IFERROR(SPLIT(Y105,"",""),"""")"),"")</f>
        <v/>
      </c>
      <c r="BH105" s="69"/>
      <c r="BI105" s="69"/>
      <c r="BJ105" s="68" t="str">
        <f>IFERROR(__xludf.DUMMYFUNCTION("IF($B105&lt;&gt;"""",IFERROR(FILTER(RawTotals!$AJ:$AJ,RawTotals!$A:$A=Z105)-(FILTER(Data!$K:$K,Data!$B:$B=Z105,Data!$D:$D=$B105)+FILTER(Data!$L:$L,Data!$B:$B=Z105,Data!$D:$D=$B105)),""""),"""")"),"")</f>
        <v/>
      </c>
      <c r="BK105" s="68" t="str">
        <f>IFERROR(__xludf.DUMMYFUNCTION("IF($B105&lt;&gt;"""",IFERROR(FILTER(RawTotals!$AJ:$AJ,RawTotals!$A:$A=AA105)-(FILTER(Data!$K:$K,Data!$B:$B=AA105,Data!$D:$D=$B105)+FILTER(Data!$L:$L,Data!$B:$B=AA105,Data!$D:$D=$B105)),""""),"""")"),"")</f>
        <v/>
      </c>
      <c r="BL105" s="68" t="str">
        <f>IFERROR(__xludf.DUMMYFUNCTION("IF($B105&lt;&gt;"""",IFERROR(FILTER(RawTotals!$AJ:$AJ,RawTotals!$A:$A=AB105)-(FILTER(Data!$K:$K,Data!$B:$B=AB105,Data!$D:$D=$B105)+FILTER(Data!$L:$L,Data!$B:$B=AB105,Data!$D:$D=$B105)),""""),"""")"),"")</f>
        <v/>
      </c>
      <c r="BM105" s="69" t="str">
        <f>IFERROR(__xludf.DUMMYFUNCTION("IF($C105&lt;&gt;"""",IFERROR(FILTER(RawTotals!$AJ:$AJ,RawTotals!$A:$A=AC105)-(FILTER(Data!$K:$K,Data!$B:$B=AC105,Data!$D:$D=$C105)+FILTER(Data!$L:$L,Data!$B:$B=AC105,Data!$D:$D=$C105)),""""),"""")"),"")</f>
        <v/>
      </c>
      <c r="BN105" s="69" t="str">
        <f>IFERROR(__xludf.DUMMYFUNCTION("IF($C105&lt;&gt;"""",IFERROR(FILTER(RawTotals!$AJ:$AJ,RawTotals!$A:$A=AD105)-(FILTER(Data!$K:$K,Data!$B:$B=AD105,Data!$D:$D=$C105)+FILTER(Data!$L:$L,Data!$B:$B=AD105,Data!$D:$D=$C105)),""""),"""")"),"")</f>
        <v/>
      </c>
      <c r="BO105" s="69" t="str">
        <f>IFERROR(__xludf.DUMMYFUNCTION("IF($C105&lt;&gt;"""",IFERROR(FILTER(RawTotals!$AJ:$AJ,RawTotals!$A:$A=AE105)-(FILTER(Data!$K:$K,Data!$B:$B=AE105,Data!$D:$D=$C105)+FILTER(Data!$L:$L,Data!$B:$B=AE105,Data!$D:$D=$C105)),""""),"""")"),"")</f>
        <v/>
      </c>
      <c r="BP105" s="69" t="str">
        <f>IFERROR(__xludf.DUMMYFUNCTION("IF($D105&lt;&gt;"""",IFERROR(FILTER(RawTotals!$AJ:$AJ,RawTotals!$A:$A=AF105)-(FILTER(Data!$K:$K,Data!$B:$B=AF105,Data!$D:$D=$D105)+FILTER(Data!$L:$L,Data!$B:$B=AF105,Data!$D:$D=$D105)),""""),"""")"),"")</f>
        <v/>
      </c>
      <c r="BQ105" s="69" t="str">
        <f>IFERROR(__xludf.DUMMYFUNCTION("IF($D105&lt;&gt;"""",IFERROR(FILTER(RawTotals!$AJ:$AJ,RawTotals!$A:$A=AG105)-(FILTER(Data!$K:$K,Data!$B:$B=AG105,Data!$D:$D=$D105)+FILTER(Data!$L:$L,Data!$B:$B=AG105,Data!$D:$D=$D105)),""""),"""")"),"")</f>
        <v/>
      </c>
      <c r="BR105" s="69" t="str">
        <f>IFERROR(__xludf.DUMMYFUNCTION("IF($D105&lt;&gt;"""",IFERROR(FILTER(RawTotals!$AJ:$AJ,RawTotals!$A:$A=AH105)-(FILTER(Data!$K:$K,Data!$B:$B=AH105,Data!$D:$D=$D105)+FILTER(Data!$L:$L,Data!$B:$B=AH105,Data!$D:$D=$D105)),""""),"""")"),"")</f>
        <v/>
      </c>
      <c r="BS105" s="69" t="str">
        <f>IFERROR(__xludf.DUMMYFUNCTION("IF($E105&lt;&gt;"""",IFERROR(FILTER(RawTotals!$AJ:$AJ,RawTotals!$A:$A=AI105)-(FILTER(Data!$K:$K,Data!$B:$B=AI105,Data!$D:$D=$E105)+FILTER(Data!$L:$L,Data!$B:$B=AI105,Data!$D:$D=$E105)),""""),"""")"),"")</f>
        <v/>
      </c>
      <c r="BT105" s="69" t="str">
        <f>IFERROR(__xludf.DUMMYFUNCTION("IF($E105&lt;&gt;"""",IFERROR(FILTER(RawTotals!$AJ:$AJ,RawTotals!$A:$A=AJ105)-(FILTER(Data!$K:$K,Data!$B:$B=AJ105,Data!$D:$D=$E105)+FILTER(Data!$L:$L,Data!$B:$B=AJ105,Data!$D:$D=$E105)),""""),"""")"),"")</f>
        <v/>
      </c>
      <c r="BU105" s="69" t="str">
        <f>IFERROR(__xludf.DUMMYFUNCTION("IF($E105&lt;&gt;"""",IFERROR(FILTER(RawTotals!$AJ:$AJ,RawTotals!$A:$A=AK105)-(FILTER(Data!$K:$K,Data!$B:$B=AK105,Data!$D:$D=$E105)+FILTER(Data!$L:$L,Data!$B:$B=AK105,Data!$D:$D=$E105)),""""),"""")"),"")</f>
        <v/>
      </c>
      <c r="BV105" s="69" t="str">
        <f>IFERROR(__xludf.DUMMYFUNCTION("IF($F105&lt;&gt;"""",IFERROR(FILTER(RawTotals!$AJ:$AJ,RawTotals!$A:$A=AL105)-(FILTER(Data!$K:$K,Data!$B:$B=AL105,Data!$D:$D=$F105)+FILTER(Data!$L:$L,Data!$B:$B=AL105,Data!$D:$D=$F105)),""""),"""")"),"")</f>
        <v/>
      </c>
      <c r="BW105" s="69" t="str">
        <f>IFERROR(__xludf.DUMMYFUNCTION("IF($F105&lt;&gt;"""",IFERROR(FILTER(RawTotals!$AJ:$AJ,RawTotals!$A:$A=AM105)-(FILTER(Data!$K:$K,Data!$B:$B=AM105,Data!$D:$D=$F105)+FILTER(Data!$L:$L,Data!$B:$B=AM105,Data!$D:$D=$F105)),""""),"""")"),"")</f>
        <v/>
      </c>
      <c r="BX105" s="69" t="str">
        <f>IFERROR(__xludf.DUMMYFUNCTION("IF($F105&lt;&gt;"""",IFERROR(FILTER(RawTotals!$AJ:$AJ,RawTotals!$A:$A=AN105)-(FILTER(Data!$K:$K,Data!$B:$B=AN105,Data!$D:$D=$F105)+FILTER(Data!$L:$L,Data!$B:$B=AN105,Data!$D:$D=$F105)),""""),"""")"),"")</f>
        <v/>
      </c>
      <c r="BY105" s="69" t="str">
        <f>IFERROR(__xludf.DUMMYFUNCTION("IF($G105&lt;&gt;"""",IFERROR(FILTER(RawTotals!$AJ:$AJ,RawTotals!$A:$A=AO105)-(FILTER(Data!$K:$K,Data!$B:$B=AO105,Data!$D:$D=$G105)+FILTER(Data!$L:$L,Data!$B:$B=AO105,Data!$D:$D=$G105)),""""),"""")"),"")</f>
        <v/>
      </c>
      <c r="BZ105" s="69" t="str">
        <f>IFERROR(__xludf.DUMMYFUNCTION("IF($G105&lt;&gt;"""",IFERROR(FILTER(RawTotals!$AJ:$AJ,RawTotals!$A:$A=AP105)-(FILTER(Data!$K:$K,Data!$B:$B=AP105,Data!$D:$D=$G105)+FILTER(Data!$L:$L,Data!$B:$B=AP105,Data!$D:$D=$G105)),""""),"""")"),"")</f>
        <v/>
      </c>
      <c r="CA105" s="69" t="str">
        <f>IFERROR(__xludf.DUMMYFUNCTION("IF($G105&lt;&gt;"""",IFERROR(FILTER(RawTotals!$AJ:$AJ,RawTotals!$A:$A=AQ105)-(FILTER(Data!$K:$K,Data!$B:$B=AQ105,Data!$D:$D=$G105)+FILTER(Data!$L:$L,Data!$B:$B=AQ105,Data!$D:$D=$G105)),""""),"""")"),"")</f>
        <v/>
      </c>
      <c r="CB105" s="69" t="str">
        <f>IFERROR(__xludf.DUMMYFUNCTION("IF($H105&lt;&gt;"""",IFERROR(FILTER(RawTotals!$AJ:$AJ,RawTotals!$A:$A=AR105)-(FILTER(Data!$K:$K,Data!$B:$B=AR105,Data!$D:$D=$H105)+FILTER(Data!$L:$L,Data!$B:$B=AR105,Data!$D:$D=$H105)),""""),"""")"),"")</f>
        <v/>
      </c>
      <c r="CC105" s="69" t="str">
        <f>IFERROR(__xludf.DUMMYFUNCTION("IF($H105&lt;&gt;"""",IFERROR(FILTER(RawTotals!$AJ:$AJ,RawTotals!$A:$A=AS105)-(FILTER(Data!$K:$K,Data!$B:$B=AS105,Data!$D:$D=$H105)+FILTER(Data!$L:$L,Data!$B:$B=AS105,Data!$D:$D=$H105)),""""),"""")"),"")</f>
        <v/>
      </c>
      <c r="CD105" s="69" t="str">
        <f>IFERROR(__xludf.DUMMYFUNCTION("IF($H105&lt;&gt;"""",IFERROR(FILTER(RawTotals!$AJ:$AJ,RawTotals!$A:$A=AT105)-(FILTER(Data!$K:$K,Data!$B:$B=AT105,Data!$D:$D=$H105)+FILTER(Data!$L:$L,Data!$B:$B=AT105,Data!$D:$D=$H105)),""""),"""")"),"")</f>
        <v/>
      </c>
      <c r="CE105" s="69" t="str">
        <f>IFERROR(__xludf.DUMMYFUNCTION("IF($I105&lt;&gt;"""",IFERROR(FILTER(RawTotals!$AJ:$AJ,RawTotals!$A:$A=AU105)-(FILTER(Data!$K:$K,Data!$B:$B=AU105,Data!$D:$D=$I105)+FILTER(Data!$L:$L,Data!$B:$B=AU105,Data!$D:$D=$I105)),""""),"""")"),"")</f>
        <v/>
      </c>
      <c r="CF105" s="69" t="str">
        <f>IFERROR(__xludf.DUMMYFUNCTION("IF($I105&lt;&gt;"""",IFERROR(FILTER(RawTotals!$AJ:$AJ,RawTotals!$A:$A=AV105)-(FILTER(Data!$K:$K,Data!$B:$B=AV105,Data!$D:$D=$I105)+FILTER(Data!$L:$L,Data!$B:$B=AV105,Data!$D:$D=$I105)),""""),"""")"),"")</f>
        <v/>
      </c>
      <c r="CG105" s="69" t="str">
        <f>IFERROR(__xludf.DUMMYFUNCTION("IF($I105&lt;&gt;"""",IFERROR(FILTER(RawTotals!$AJ:$AJ,RawTotals!$A:$A=AW105)-(FILTER(Data!$K:$K,Data!$B:$B=AW105,Data!$D:$D=$I105)+FILTER(Data!$L:$L,Data!$B:$B=AW105,Data!$D:$D=$I105)),""""),"""")"),"")</f>
        <v/>
      </c>
      <c r="CH105" s="69" t="str">
        <f>IFERROR(__xludf.DUMMYFUNCTION("IF($J105&lt;&gt;"""",IFERROR(FILTER(RawTotals!$AJ:$AJ,RawTotals!$A:$A=AX105)-(FILTER(Data!$K:$K,Data!$B:$B=AX105,Data!$D:$D=$J105)+FILTER(Data!$L:$L,Data!$B:$B=AX105,Data!$D:$D=$J105)),""""),"""")"),"")</f>
        <v/>
      </c>
      <c r="CI105" s="69" t="str">
        <f>IFERROR(__xludf.DUMMYFUNCTION("IF($J105&lt;&gt;"""",IFERROR(FILTER(RawTotals!$AJ:$AJ,RawTotals!$A:$A=AY105)-(FILTER(Data!$K:$K,Data!$B:$B=AY105,Data!$D:$D=$J105)+FILTER(Data!$L:$L,Data!$B:$B=AY105,Data!$D:$D=$J105)),""""),"""")"),"")</f>
        <v/>
      </c>
      <c r="CJ105" s="69" t="str">
        <f>IFERROR(__xludf.DUMMYFUNCTION("IF($J105&lt;&gt;"""",IFERROR(FILTER(RawTotals!$AJ:$AJ,RawTotals!$A:$A=AZ105)-(FILTER(Data!$K:$K,Data!$B:$B=AZ105,Data!$D:$D=$J105)+FILTER(Data!$L:$L,Data!$B:$B=AZ105,Data!$D:$D=$J105)),""""),"""")"),"")</f>
        <v/>
      </c>
      <c r="CK105" s="69" t="str">
        <f>IFERROR(__xludf.DUMMYFUNCTION("IF($K105&lt;&gt;"""",IFERROR(FILTER(RawTotals!$AJ:$AJ,RawTotals!$A:$A=BA105)-(FILTER(Data!$K:$K,Data!$B:$B=BA105,Data!$D:$D=$K105)+FILTER(Data!$L:$L,Data!$B:$B=BA105,Data!$D:$D=$K105)),""""),"""")"),"")</f>
        <v/>
      </c>
      <c r="CL105" s="69" t="str">
        <f>IFERROR(__xludf.DUMMYFUNCTION("IF($K105&lt;&gt;"""",IFERROR(FILTER(RawTotals!$AJ:$AJ,RawTotals!$A:$A=BB105)-(FILTER(Data!$K:$K,Data!$B:$B=BB105,Data!$D:$D=$K105)+FILTER(Data!$L:$L,Data!$B:$B=BB105,Data!$D:$D=$K105)),""""),"""")"),"")</f>
        <v/>
      </c>
      <c r="CM105" s="69" t="str">
        <f>IFERROR(__xludf.DUMMYFUNCTION("IF($K105&lt;&gt;"""",IFERROR(FILTER(RawTotals!$AJ:$AJ,RawTotals!$A:$A=BC105)-(FILTER(Data!$K:$K,Data!$B:$B=BC105,Data!$D:$D=$K105)+FILTER(Data!$L:$L,Data!$B:$B=BC105,Data!$D:$D=$K105)),""""),"""")"),"")</f>
        <v/>
      </c>
      <c r="CN105" s="69" t="str">
        <f>IFERROR(__xludf.DUMMYFUNCTION("IF($L105&lt;&gt;"""",IFERROR((FILTER(RawTotals!$AJ:$AJ,RawTotals!$A:$A=BD105)-(FILTER(Data!$K:$K,Data!$B:$B=BD105,Data!$D:$D=$L105)+FILTER(Data!$L:$L,Data!$B:$B=BD105,Data!$D:$D=$L105))),""""),"""")"),"")</f>
        <v/>
      </c>
      <c r="CO105" s="69" t="str">
        <f>IFERROR(__xludf.DUMMYFUNCTION("IF($L105&lt;&gt;"""",IFERROR((FILTER(RawTotals!$AJ:$AJ,RawTotals!$A:$A=BE105)-(FILTER(Data!$K:$K,Data!$B:$B=BE105,Data!$D:$D=$L105)+FILTER(Data!$L:$L,Data!$B:$B=BE105,Data!$D:$D=$L105))),""""),"""")"),"")</f>
        <v/>
      </c>
      <c r="CP105" s="69" t="str">
        <f>IFERROR(__xludf.DUMMYFUNCTION("IF($L105&lt;&gt;"""",IFERROR((FILTER(RawTotals!$AJ:$AJ,RawTotals!$A:$A=BF105)-(FILTER(Data!$K:$K,Data!$B:$B=BF105,Data!$D:$D=$L105)+FILTER(Data!$L:$L,Data!$B:$B=BF105,Data!$D:$D=$L105))),""""),"""")"),"")</f>
        <v/>
      </c>
      <c r="CQ105" s="69" t="str">
        <f>IFERROR(__xludf.DUMMYFUNCTION("IF($M105&lt;&gt;"""",IFERROR((FILTER(RawTotals!$AJ:$AJ,RawTotals!$A:$A=BG105)-(FILTER(Data!$K:$K,Data!$B:$B=BG105,Data!$D:$D=$M105)+FILTER(Data!$L:$L,Data!$B:$B=BG105,Data!$D:$D=$M105))),""""),"""")"),"")</f>
        <v/>
      </c>
      <c r="CR105" s="69" t="str">
        <f>IFERROR(__xludf.DUMMYFUNCTION("IF($M105&lt;&gt;"""",IFERROR((FILTER(RawTotals!$AJ:$AJ,RawTotals!$A:$A=BH105)-(FILTER(Data!$K:$K,Data!$B:$B=BH105,Data!$D:$D=$M105)+FILTER(Data!$L:$L,Data!$B:$B=BH105,Data!$D:$D=$M105))),""""),"""")"),"")</f>
        <v/>
      </c>
      <c r="CS105" s="70" t="str">
        <f>IFERROR(__xludf.DUMMYFUNCTION("IF($M105&lt;&gt;"""",IFERROR((FILTER(RawTotals!$AJ:$AJ,RawTotals!$A:$A=BI105)-(FILTER(Data!$K:$K,Data!$B:$B=BI105,Data!$D:$D=$M105)+FILTER(Data!$L:$L,Data!$B:$B=BI105,Data!$D:$D=$M105))),""""),"""")"),"")</f>
        <v/>
      </c>
      <c r="CT105" s="69"/>
      <c r="CU105" s="69"/>
      <c r="CV105" s="69"/>
      <c r="CW105" s="69"/>
      <c r="CX105" s="69"/>
      <c r="CY105" s="69"/>
      <c r="CZ105" s="69"/>
      <c r="DA105" s="69"/>
      <c r="DB105" s="69"/>
      <c r="DC105" s="69"/>
      <c r="DD105" s="69"/>
      <c r="DE105" s="69"/>
    </row>
    <row r="106">
      <c r="A106" s="65" t="str">
        <f>RawTotals!A106</f>
        <v/>
      </c>
      <c r="B106" s="68" t="str">
        <f>IFERROR(__xludf.DUMMYFUNCTION("IF(A106&lt;&gt;"""",IFERROR(TRANSPOSE(FILTER(Data!D:D,Data!B:B=A106,Data!R:R&lt;&gt;"""")),""No Defense""),"""")"),"")</f>
        <v/>
      </c>
      <c r="C106" s="65"/>
      <c r="D106" s="65"/>
      <c r="E106" s="65"/>
      <c r="F106" s="65"/>
      <c r="G106" s="65"/>
      <c r="H106" s="65"/>
      <c r="I106" s="65"/>
      <c r="J106" s="65"/>
      <c r="K106" s="65"/>
      <c r="L106" s="65"/>
      <c r="M106" s="65"/>
      <c r="N106" s="64" t="str">
        <f>IFERROR(__xludf.DUMMYFUNCTION("IFERROR(Textjoin("""",TRUE,FILTER(Data!$R:$R,Data!$D:$D=B106,Data!$B:$B=$A106)),"""")"),"")</f>
        <v/>
      </c>
      <c r="O106" s="64" t="str">
        <f>IFERROR(__xludf.DUMMYFUNCTION("IFERROR(Textjoin("""",TRUE,FILTER(Data!$R:$R,Data!$D:$D=C106,Data!$B:$B=$A106)),"""")"),"")</f>
        <v/>
      </c>
      <c r="P106" s="64" t="str">
        <f>IFERROR(__xludf.DUMMYFUNCTION("IFERROR(Textjoin("""",TRUE,FILTER(Data!$R:$R,Data!$D:$D=D106,Data!$B:$B=$A106)),"""")"),"")</f>
        <v/>
      </c>
      <c r="Q106" s="64" t="str">
        <f>IFERROR(__xludf.DUMMYFUNCTION("IFERROR(Textjoin("""",TRUE,FILTER(Data!$R:$R,Data!$D:$D=E106,Data!$B:$B=$A106)),"""")"),"")</f>
        <v/>
      </c>
      <c r="R106" s="64" t="str">
        <f>IFERROR(__xludf.DUMMYFUNCTION("IFERROR(Textjoin("""",TRUE,FILTER(Data!$R:$R,Data!$D:$D=F106,Data!$B:$B=$A106)),"""")"),"")</f>
        <v/>
      </c>
      <c r="S106" s="64" t="str">
        <f>IFERROR(__xludf.DUMMYFUNCTION("IFERROR(Textjoin("""",TRUE,FILTER(Data!$R:$R,Data!$D:$D=G106,Data!$B:$B=$A106)),"""")"),"")</f>
        <v/>
      </c>
      <c r="T106" s="64" t="str">
        <f>IFERROR(__xludf.DUMMYFUNCTION("IFERROR(Textjoin("""",TRUE,FILTER(Data!$R:$R,Data!$D:$D=H106,Data!$B:$B=$A106)),"""")"),"")</f>
        <v/>
      </c>
      <c r="U106" s="64" t="str">
        <f>IFERROR(__xludf.DUMMYFUNCTION("IFERROR(Textjoin("""",TRUE,FILTER(Data!$R:$R,Data!$D:$D=I106,Data!$B:$B=$A106)),"""")"),"")</f>
        <v/>
      </c>
      <c r="V106" s="64" t="str">
        <f>IFERROR(__xludf.DUMMYFUNCTION("IFERROR(Textjoin("""",TRUE,FILTER(Data!$R:$R,Data!$D:$D=J106,Data!$B:$B=$A106)),"""")"),"")</f>
        <v/>
      </c>
      <c r="W106" s="64" t="str">
        <f>IFERROR(__xludf.DUMMYFUNCTION("IFERROR(Textjoin("""",TRUE,FILTER(Data!$R:$R,Data!$D:$D=K106,Data!$B:$B=$A106)),"""")"),"")</f>
        <v/>
      </c>
      <c r="X106" s="64" t="str">
        <f>IFERROR(__xludf.DUMMYFUNCTION("IFERROR(Textjoin("""",TRUE,FILTER(Data!$R:$R,Data!$D:$D=L106,Data!$B:$B=$A106)),"""")"),"")</f>
        <v/>
      </c>
      <c r="Y106" s="64" t="str">
        <f>IFERROR(__xludf.DUMMYFUNCTION("IFERROR(Textjoin("""",TRUE,FILTER(Data!$R:$R,Data!$D:$D=M106,Data!$B:$B=$A106)),"""")"),"")</f>
        <v/>
      </c>
      <c r="Z106" s="64" t="str">
        <f>IFERROR(__xludf.DUMMYFUNCTION("IFERROR(SPLIT(N106,"",""),"""")"),"")</f>
        <v/>
      </c>
      <c r="AA106" s="65"/>
      <c r="AB106" s="65"/>
      <c r="AC106" s="69" t="str">
        <f>IFERROR(__xludf.DUMMYFUNCTION("IFERROR(SPLIT(O106,"",""),"""")"),"")</f>
        <v/>
      </c>
      <c r="AD106" s="65"/>
      <c r="AE106" s="65"/>
      <c r="AF106" s="69" t="str">
        <f>IFERROR(__xludf.DUMMYFUNCTION("IFERROR(SPLIT(P106,"",""),"""")"),"")</f>
        <v/>
      </c>
      <c r="AG106" s="65"/>
      <c r="AH106" s="65"/>
      <c r="AI106" s="69" t="str">
        <f>IFERROR(__xludf.DUMMYFUNCTION("IFERROR(SPLIT(Q106,"",""),"""")"),"")</f>
        <v/>
      </c>
      <c r="AJ106" s="65"/>
      <c r="AK106" s="65"/>
      <c r="AL106" s="69" t="str">
        <f>IFERROR(__xludf.DUMMYFUNCTION("IFERROR(SPLIT(R106,"",""),"""")"),"")</f>
        <v/>
      </c>
      <c r="AM106" s="65"/>
      <c r="AN106" s="65"/>
      <c r="AO106" s="69" t="str">
        <f>IFERROR(__xludf.DUMMYFUNCTION("IFERROR(SPLIT(S106,"",""),"""")"),"")</f>
        <v/>
      </c>
      <c r="AP106" s="65"/>
      <c r="AQ106" s="65"/>
      <c r="AR106" s="69" t="str">
        <f>IFERROR(__xludf.DUMMYFUNCTION("IFERROR(SPLIT(T106,"",""),"""")"),"")</f>
        <v/>
      </c>
      <c r="AS106" s="65"/>
      <c r="AT106" s="65"/>
      <c r="AU106" s="69" t="str">
        <f>IFERROR(__xludf.DUMMYFUNCTION("IFERROR(SPLIT(U106,"",""),"""")"),"")</f>
        <v/>
      </c>
      <c r="AV106" s="65"/>
      <c r="AW106" s="65"/>
      <c r="AX106" s="69" t="str">
        <f>IFERROR(__xludf.DUMMYFUNCTION("IFERROR(SPLIT(V106,"",""),"""")"),"")</f>
        <v/>
      </c>
      <c r="AY106" s="65"/>
      <c r="AZ106" s="65"/>
      <c r="BA106" s="69" t="str">
        <f>IFERROR(__xludf.DUMMYFUNCTION("IFERROR(SPLIT(W106,"",""),"""")"),"")</f>
        <v/>
      </c>
      <c r="BB106" s="69"/>
      <c r="BC106" s="69"/>
      <c r="BD106" s="69" t="str">
        <f>IFERROR(__xludf.DUMMYFUNCTION("IFERROR(SPLIT(X106,"",""),"""")"),"")</f>
        <v/>
      </c>
      <c r="BE106" s="69"/>
      <c r="BF106" s="69"/>
      <c r="BG106" s="69" t="str">
        <f>IFERROR(__xludf.DUMMYFUNCTION("IFERROR(SPLIT(Y106,"",""),"""")"),"")</f>
        <v/>
      </c>
      <c r="BH106" s="69"/>
      <c r="BI106" s="69"/>
      <c r="BJ106" s="68" t="str">
        <f>IFERROR(__xludf.DUMMYFUNCTION("IF($B106&lt;&gt;"""",IFERROR(FILTER(RawTotals!$AJ:$AJ,RawTotals!$A:$A=Z106)-(FILTER(Data!$K:$K,Data!$B:$B=Z106,Data!$D:$D=$B106)+FILTER(Data!$L:$L,Data!$B:$B=Z106,Data!$D:$D=$B106)),""""),"""")"),"")</f>
        <v/>
      </c>
      <c r="BK106" s="68" t="str">
        <f>IFERROR(__xludf.DUMMYFUNCTION("IF($B106&lt;&gt;"""",IFERROR(FILTER(RawTotals!$AJ:$AJ,RawTotals!$A:$A=AA106)-(FILTER(Data!$K:$K,Data!$B:$B=AA106,Data!$D:$D=$B106)+FILTER(Data!$L:$L,Data!$B:$B=AA106,Data!$D:$D=$B106)),""""),"""")"),"")</f>
        <v/>
      </c>
      <c r="BL106" s="68" t="str">
        <f>IFERROR(__xludf.DUMMYFUNCTION("IF($B106&lt;&gt;"""",IFERROR(FILTER(RawTotals!$AJ:$AJ,RawTotals!$A:$A=AB106)-(FILTER(Data!$K:$K,Data!$B:$B=AB106,Data!$D:$D=$B106)+FILTER(Data!$L:$L,Data!$B:$B=AB106,Data!$D:$D=$B106)),""""),"""")"),"")</f>
        <v/>
      </c>
      <c r="BM106" s="69" t="str">
        <f>IFERROR(__xludf.DUMMYFUNCTION("IF($C106&lt;&gt;"""",IFERROR(FILTER(RawTotals!$AJ:$AJ,RawTotals!$A:$A=AC106)-(FILTER(Data!$K:$K,Data!$B:$B=AC106,Data!$D:$D=$C106)+FILTER(Data!$L:$L,Data!$B:$B=AC106,Data!$D:$D=$C106)),""""),"""")"),"")</f>
        <v/>
      </c>
      <c r="BN106" s="69" t="str">
        <f>IFERROR(__xludf.DUMMYFUNCTION("IF($C106&lt;&gt;"""",IFERROR(FILTER(RawTotals!$AJ:$AJ,RawTotals!$A:$A=AD106)-(FILTER(Data!$K:$K,Data!$B:$B=AD106,Data!$D:$D=$C106)+FILTER(Data!$L:$L,Data!$B:$B=AD106,Data!$D:$D=$C106)),""""),"""")"),"")</f>
        <v/>
      </c>
      <c r="BO106" s="69" t="str">
        <f>IFERROR(__xludf.DUMMYFUNCTION("IF($C106&lt;&gt;"""",IFERROR(FILTER(RawTotals!$AJ:$AJ,RawTotals!$A:$A=AE106)-(FILTER(Data!$K:$K,Data!$B:$B=AE106,Data!$D:$D=$C106)+FILTER(Data!$L:$L,Data!$B:$B=AE106,Data!$D:$D=$C106)),""""),"""")"),"")</f>
        <v/>
      </c>
      <c r="BP106" s="69" t="str">
        <f>IFERROR(__xludf.DUMMYFUNCTION("IF($D106&lt;&gt;"""",IFERROR(FILTER(RawTotals!$AJ:$AJ,RawTotals!$A:$A=AF106)-(FILTER(Data!$K:$K,Data!$B:$B=AF106,Data!$D:$D=$D106)+FILTER(Data!$L:$L,Data!$B:$B=AF106,Data!$D:$D=$D106)),""""),"""")"),"")</f>
        <v/>
      </c>
      <c r="BQ106" s="69" t="str">
        <f>IFERROR(__xludf.DUMMYFUNCTION("IF($D106&lt;&gt;"""",IFERROR(FILTER(RawTotals!$AJ:$AJ,RawTotals!$A:$A=AG106)-(FILTER(Data!$K:$K,Data!$B:$B=AG106,Data!$D:$D=$D106)+FILTER(Data!$L:$L,Data!$B:$B=AG106,Data!$D:$D=$D106)),""""),"""")"),"")</f>
        <v/>
      </c>
      <c r="BR106" s="69" t="str">
        <f>IFERROR(__xludf.DUMMYFUNCTION("IF($D106&lt;&gt;"""",IFERROR(FILTER(RawTotals!$AJ:$AJ,RawTotals!$A:$A=AH106)-(FILTER(Data!$K:$K,Data!$B:$B=AH106,Data!$D:$D=$D106)+FILTER(Data!$L:$L,Data!$B:$B=AH106,Data!$D:$D=$D106)),""""),"""")"),"")</f>
        <v/>
      </c>
      <c r="BS106" s="69" t="str">
        <f>IFERROR(__xludf.DUMMYFUNCTION("IF($E106&lt;&gt;"""",IFERROR(FILTER(RawTotals!$AJ:$AJ,RawTotals!$A:$A=AI106)-(FILTER(Data!$K:$K,Data!$B:$B=AI106,Data!$D:$D=$E106)+FILTER(Data!$L:$L,Data!$B:$B=AI106,Data!$D:$D=$E106)),""""),"""")"),"")</f>
        <v/>
      </c>
      <c r="BT106" s="69" t="str">
        <f>IFERROR(__xludf.DUMMYFUNCTION("IF($E106&lt;&gt;"""",IFERROR(FILTER(RawTotals!$AJ:$AJ,RawTotals!$A:$A=AJ106)-(FILTER(Data!$K:$K,Data!$B:$B=AJ106,Data!$D:$D=$E106)+FILTER(Data!$L:$L,Data!$B:$B=AJ106,Data!$D:$D=$E106)),""""),"""")"),"")</f>
        <v/>
      </c>
      <c r="BU106" s="69" t="str">
        <f>IFERROR(__xludf.DUMMYFUNCTION("IF($E106&lt;&gt;"""",IFERROR(FILTER(RawTotals!$AJ:$AJ,RawTotals!$A:$A=AK106)-(FILTER(Data!$K:$K,Data!$B:$B=AK106,Data!$D:$D=$E106)+FILTER(Data!$L:$L,Data!$B:$B=AK106,Data!$D:$D=$E106)),""""),"""")"),"")</f>
        <v/>
      </c>
      <c r="BV106" s="69" t="str">
        <f>IFERROR(__xludf.DUMMYFUNCTION("IF($F106&lt;&gt;"""",IFERROR(FILTER(RawTotals!$AJ:$AJ,RawTotals!$A:$A=AL106)-(FILTER(Data!$K:$K,Data!$B:$B=AL106,Data!$D:$D=$F106)+FILTER(Data!$L:$L,Data!$B:$B=AL106,Data!$D:$D=$F106)),""""),"""")"),"")</f>
        <v/>
      </c>
      <c r="BW106" s="69" t="str">
        <f>IFERROR(__xludf.DUMMYFUNCTION("IF($F106&lt;&gt;"""",IFERROR(FILTER(RawTotals!$AJ:$AJ,RawTotals!$A:$A=AM106)-(FILTER(Data!$K:$K,Data!$B:$B=AM106,Data!$D:$D=$F106)+FILTER(Data!$L:$L,Data!$B:$B=AM106,Data!$D:$D=$F106)),""""),"""")"),"")</f>
        <v/>
      </c>
      <c r="BX106" s="69" t="str">
        <f>IFERROR(__xludf.DUMMYFUNCTION("IF($F106&lt;&gt;"""",IFERROR(FILTER(RawTotals!$AJ:$AJ,RawTotals!$A:$A=AN106)-(FILTER(Data!$K:$K,Data!$B:$B=AN106,Data!$D:$D=$F106)+FILTER(Data!$L:$L,Data!$B:$B=AN106,Data!$D:$D=$F106)),""""),"""")"),"")</f>
        <v/>
      </c>
      <c r="BY106" s="69" t="str">
        <f>IFERROR(__xludf.DUMMYFUNCTION("IF($G106&lt;&gt;"""",IFERROR(FILTER(RawTotals!$AJ:$AJ,RawTotals!$A:$A=AO106)-(FILTER(Data!$K:$K,Data!$B:$B=AO106,Data!$D:$D=$G106)+FILTER(Data!$L:$L,Data!$B:$B=AO106,Data!$D:$D=$G106)),""""),"""")"),"")</f>
        <v/>
      </c>
      <c r="BZ106" s="69" t="str">
        <f>IFERROR(__xludf.DUMMYFUNCTION("IF($G106&lt;&gt;"""",IFERROR(FILTER(RawTotals!$AJ:$AJ,RawTotals!$A:$A=AP106)-(FILTER(Data!$K:$K,Data!$B:$B=AP106,Data!$D:$D=$G106)+FILTER(Data!$L:$L,Data!$B:$B=AP106,Data!$D:$D=$G106)),""""),"""")"),"")</f>
        <v/>
      </c>
      <c r="CA106" s="69" t="str">
        <f>IFERROR(__xludf.DUMMYFUNCTION("IF($G106&lt;&gt;"""",IFERROR(FILTER(RawTotals!$AJ:$AJ,RawTotals!$A:$A=AQ106)-(FILTER(Data!$K:$K,Data!$B:$B=AQ106,Data!$D:$D=$G106)+FILTER(Data!$L:$L,Data!$B:$B=AQ106,Data!$D:$D=$G106)),""""),"""")"),"")</f>
        <v/>
      </c>
      <c r="CB106" s="69" t="str">
        <f>IFERROR(__xludf.DUMMYFUNCTION("IF($H106&lt;&gt;"""",IFERROR(FILTER(RawTotals!$AJ:$AJ,RawTotals!$A:$A=AR106)-(FILTER(Data!$K:$K,Data!$B:$B=AR106,Data!$D:$D=$H106)+FILTER(Data!$L:$L,Data!$B:$B=AR106,Data!$D:$D=$H106)),""""),"""")"),"")</f>
        <v/>
      </c>
      <c r="CC106" s="69" t="str">
        <f>IFERROR(__xludf.DUMMYFUNCTION("IF($H106&lt;&gt;"""",IFERROR(FILTER(RawTotals!$AJ:$AJ,RawTotals!$A:$A=AS106)-(FILTER(Data!$K:$K,Data!$B:$B=AS106,Data!$D:$D=$H106)+FILTER(Data!$L:$L,Data!$B:$B=AS106,Data!$D:$D=$H106)),""""),"""")"),"")</f>
        <v/>
      </c>
      <c r="CD106" s="69" t="str">
        <f>IFERROR(__xludf.DUMMYFUNCTION("IF($H106&lt;&gt;"""",IFERROR(FILTER(RawTotals!$AJ:$AJ,RawTotals!$A:$A=AT106)-(FILTER(Data!$K:$K,Data!$B:$B=AT106,Data!$D:$D=$H106)+FILTER(Data!$L:$L,Data!$B:$B=AT106,Data!$D:$D=$H106)),""""),"""")"),"")</f>
        <v/>
      </c>
      <c r="CE106" s="69" t="str">
        <f>IFERROR(__xludf.DUMMYFUNCTION("IF($I106&lt;&gt;"""",IFERROR(FILTER(RawTotals!$AJ:$AJ,RawTotals!$A:$A=AU106)-(FILTER(Data!$K:$K,Data!$B:$B=AU106,Data!$D:$D=$I106)+FILTER(Data!$L:$L,Data!$B:$B=AU106,Data!$D:$D=$I106)),""""),"""")"),"")</f>
        <v/>
      </c>
      <c r="CF106" s="69" t="str">
        <f>IFERROR(__xludf.DUMMYFUNCTION("IF($I106&lt;&gt;"""",IFERROR(FILTER(RawTotals!$AJ:$AJ,RawTotals!$A:$A=AV106)-(FILTER(Data!$K:$K,Data!$B:$B=AV106,Data!$D:$D=$I106)+FILTER(Data!$L:$L,Data!$B:$B=AV106,Data!$D:$D=$I106)),""""),"""")"),"")</f>
        <v/>
      </c>
      <c r="CG106" s="69" t="str">
        <f>IFERROR(__xludf.DUMMYFUNCTION("IF($I106&lt;&gt;"""",IFERROR(FILTER(RawTotals!$AJ:$AJ,RawTotals!$A:$A=AW106)-(FILTER(Data!$K:$K,Data!$B:$B=AW106,Data!$D:$D=$I106)+FILTER(Data!$L:$L,Data!$B:$B=AW106,Data!$D:$D=$I106)),""""),"""")"),"")</f>
        <v/>
      </c>
      <c r="CH106" s="69" t="str">
        <f>IFERROR(__xludf.DUMMYFUNCTION("IF($J106&lt;&gt;"""",IFERROR(FILTER(RawTotals!$AJ:$AJ,RawTotals!$A:$A=AX106)-(FILTER(Data!$K:$K,Data!$B:$B=AX106,Data!$D:$D=$J106)+FILTER(Data!$L:$L,Data!$B:$B=AX106,Data!$D:$D=$J106)),""""),"""")"),"")</f>
        <v/>
      </c>
      <c r="CI106" s="69" t="str">
        <f>IFERROR(__xludf.DUMMYFUNCTION("IF($J106&lt;&gt;"""",IFERROR(FILTER(RawTotals!$AJ:$AJ,RawTotals!$A:$A=AY106)-(FILTER(Data!$K:$K,Data!$B:$B=AY106,Data!$D:$D=$J106)+FILTER(Data!$L:$L,Data!$B:$B=AY106,Data!$D:$D=$J106)),""""),"""")"),"")</f>
        <v/>
      </c>
      <c r="CJ106" s="69" t="str">
        <f>IFERROR(__xludf.DUMMYFUNCTION("IF($J106&lt;&gt;"""",IFERROR(FILTER(RawTotals!$AJ:$AJ,RawTotals!$A:$A=AZ106)-(FILTER(Data!$K:$K,Data!$B:$B=AZ106,Data!$D:$D=$J106)+FILTER(Data!$L:$L,Data!$B:$B=AZ106,Data!$D:$D=$J106)),""""),"""")"),"")</f>
        <v/>
      </c>
      <c r="CK106" s="69" t="str">
        <f>IFERROR(__xludf.DUMMYFUNCTION("IF($K106&lt;&gt;"""",IFERROR(FILTER(RawTotals!$AJ:$AJ,RawTotals!$A:$A=BA106)-(FILTER(Data!$K:$K,Data!$B:$B=BA106,Data!$D:$D=$K106)+FILTER(Data!$L:$L,Data!$B:$B=BA106,Data!$D:$D=$K106)),""""),"""")"),"")</f>
        <v/>
      </c>
      <c r="CL106" s="69" t="str">
        <f>IFERROR(__xludf.DUMMYFUNCTION("IF($K106&lt;&gt;"""",IFERROR(FILTER(RawTotals!$AJ:$AJ,RawTotals!$A:$A=BB106)-(FILTER(Data!$K:$K,Data!$B:$B=BB106,Data!$D:$D=$K106)+FILTER(Data!$L:$L,Data!$B:$B=BB106,Data!$D:$D=$K106)),""""),"""")"),"")</f>
        <v/>
      </c>
      <c r="CM106" s="69" t="str">
        <f>IFERROR(__xludf.DUMMYFUNCTION("IF($K106&lt;&gt;"""",IFERROR(FILTER(RawTotals!$AJ:$AJ,RawTotals!$A:$A=BC106)-(FILTER(Data!$K:$K,Data!$B:$B=BC106,Data!$D:$D=$K106)+FILTER(Data!$L:$L,Data!$B:$B=BC106,Data!$D:$D=$K106)),""""),"""")"),"")</f>
        <v/>
      </c>
      <c r="CN106" s="69" t="str">
        <f>IFERROR(__xludf.DUMMYFUNCTION("IF($L106&lt;&gt;"""",IFERROR((FILTER(RawTotals!$AJ:$AJ,RawTotals!$A:$A=BD106)-(FILTER(Data!$K:$K,Data!$B:$B=BD106,Data!$D:$D=$L106)+FILTER(Data!$L:$L,Data!$B:$B=BD106,Data!$D:$D=$L106))),""""),"""")"),"")</f>
        <v/>
      </c>
      <c r="CO106" s="69" t="str">
        <f>IFERROR(__xludf.DUMMYFUNCTION("IF($L106&lt;&gt;"""",IFERROR((FILTER(RawTotals!$AJ:$AJ,RawTotals!$A:$A=BE106)-(FILTER(Data!$K:$K,Data!$B:$B=BE106,Data!$D:$D=$L106)+FILTER(Data!$L:$L,Data!$B:$B=BE106,Data!$D:$D=$L106))),""""),"""")"),"")</f>
        <v/>
      </c>
      <c r="CP106" s="69" t="str">
        <f>IFERROR(__xludf.DUMMYFUNCTION("IF($L106&lt;&gt;"""",IFERROR((FILTER(RawTotals!$AJ:$AJ,RawTotals!$A:$A=BF106)-(FILTER(Data!$K:$K,Data!$B:$B=BF106,Data!$D:$D=$L106)+FILTER(Data!$L:$L,Data!$B:$B=BF106,Data!$D:$D=$L106))),""""),"""")"),"")</f>
        <v/>
      </c>
      <c r="CQ106" s="69" t="str">
        <f>IFERROR(__xludf.DUMMYFUNCTION("IF($M106&lt;&gt;"""",IFERROR((FILTER(RawTotals!$AJ:$AJ,RawTotals!$A:$A=BG106)-(FILTER(Data!$K:$K,Data!$B:$B=BG106,Data!$D:$D=$M106)+FILTER(Data!$L:$L,Data!$B:$B=BG106,Data!$D:$D=$M106))),""""),"""")"),"")</f>
        <v/>
      </c>
      <c r="CR106" s="69" t="str">
        <f>IFERROR(__xludf.DUMMYFUNCTION("IF($M106&lt;&gt;"""",IFERROR((FILTER(RawTotals!$AJ:$AJ,RawTotals!$A:$A=BH106)-(FILTER(Data!$K:$K,Data!$B:$B=BH106,Data!$D:$D=$M106)+FILTER(Data!$L:$L,Data!$B:$B=BH106,Data!$D:$D=$M106))),""""),"""")"),"")</f>
        <v/>
      </c>
      <c r="CS106" s="70" t="str">
        <f>IFERROR(__xludf.DUMMYFUNCTION("IF($M106&lt;&gt;"""",IFERROR((FILTER(RawTotals!$AJ:$AJ,RawTotals!$A:$A=BI106)-(FILTER(Data!$K:$K,Data!$B:$B=BI106,Data!$D:$D=$M106)+FILTER(Data!$L:$L,Data!$B:$B=BI106,Data!$D:$D=$M106))),""""),"""")"),"")</f>
        <v/>
      </c>
      <c r="CT106" s="69"/>
      <c r="CU106" s="69"/>
      <c r="CV106" s="69"/>
      <c r="CW106" s="69"/>
      <c r="CX106" s="69"/>
      <c r="CY106" s="69"/>
      <c r="CZ106" s="69"/>
      <c r="DA106" s="69"/>
      <c r="DB106" s="69"/>
      <c r="DC106" s="69"/>
      <c r="DD106" s="69"/>
      <c r="DE106" s="69"/>
    </row>
    <row r="107">
      <c r="A107" s="65" t="str">
        <f>RawTotals!A107</f>
        <v/>
      </c>
      <c r="B107" s="68" t="str">
        <f>IFERROR(__xludf.DUMMYFUNCTION("IF(A107&lt;&gt;"""",IFERROR(TRANSPOSE(FILTER(Data!D:D,Data!B:B=A107,Data!R:R&lt;&gt;"""")),""No Defense""),"""")"),"")</f>
        <v/>
      </c>
      <c r="C107" s="65"/>
      <c r="D107" s="65"/>
      <c r="E107" s="65"/>
      <c r="F107" s="65"/>
      <c r="G107" s="65"/>
      <c r="H107" s="65"/>
      <c r="I107" s="65"/>
      <c r="J107" s="65"/>
      <c r="K107" s="65"/>
      <c r="L107" s="65"/>
      <c r="M107" s="65"/>
      <c r="N107" s="64" t="str">
        <f>IFERROR(__xludf.DUMMYFUNCTION("IFERROR(Textjoin("""",TRUE,FILTER(Data!$R:$R,Data!$D:$D=B107,Data!$B:$B=$A107)),"""")"),"")</f>
        <v/>
      </c>
      <c r="O107" s="64" t="str">
        <f>IFERROR(__xludf.DUMMYFUNCTION("IFERROR(Textjoin("""",TRUE,FILTER(Data!$R:$R,Data!$D:$D=C107,Data!$B:$B=$A107)),"""")"),"")</f>
        <v/>
      </c>
      <c r="P107" s="64" t="str">
        <f>IFERROR(__xludf.DUMMYFUNCTION("IFERROR(Textjoin("""",TRUE,FILTER(Data!$R:$R,Data!$D:$D=D107,Data!$B:$B=$A107)),"""")"),"")</f>
        <v/>
      </c>
      <c r="Q107" s="64" t="str">
        <f>IFERROR(__xludf.DUMMYFUNCTION("IFERROR(Textjoin("""",TRUE,FILTER(Data!$R:$R,Data!$D:$D=E107,Data!$B:$B=$A107)),"""")"),"")</f>
        <v/>
      </c>
      <c r="R107" s="64" t="str">
        <f>IFERROR(__xludf.DUMMYFUNCTION("IFERROR(Textjoin("""",TRUE,FILTER(Data!$R:$R,Data!$D:$D=F107,Data!$B:$B=$A107)),"""")"),"")</f>
        <v/>
      </c>
      <c r="S107" s="64" t="str">
        <f>IFERROR(__xludf.DUMMYFUNCTION("IFERROR(Textjoin("""",TRUE,FILTER(Data!$R:$R,Data!$D:$D=G107,Data!$B:$B=$A107)),"""")"),"")</f>
        <v/>
      </c>
      <c r="T107" s="64" t="str">
        <f>IFERROR(__xludf.DUMMYFUNCTION("IFERROR(Textjoin("""",TRUE,FILTER(Data!$R:$R,Data!$D:$D=H107,Data!$B:$B=$A107)),"""")"),"")</f>
        <v/>
      </c>
      <c r="U107" s="64" t="str">
        <f>IFERROR(__xludf.DUMMYFUNCTION("IFERROR(Textjoin("""",TRUE,FILTER(Data!$R:$R,Data!$D:$D=I107,Data!$B:$B=$A107)),"""")"),"")</f>
        <v/>
      </c>
      <c r="V107" s="64" t="str">
        <f>IFERROR(__xludf.DUMMYFUNCTION("IFERROR(Textjoin("""",TRUE,FILTER(Data!$R:$R,Data!$D:$D=J107,Data!$B:$B=$A107)),"""")"),"")</f>
        <v/>
      </c>
      <c r="W107" s="64" t="str">
        <f>IFERROR(__xludf.DUMMYFUNCTION("IFERROR(Textjoin("""",TRUE,FILTER(Data!$R:$R,Data!$D:$D=K107,Data!$B:$B=$A107)),"""")"),"")</f>
        <v/>
      </c>
      <c r="X107" s="64" t="str">
        <f>IFERROR(__xludf.DUMMYFUNCTION("IFERROR(Textjoin("""",TRUE,FILTER(Data!$R:$R,Data!$D:$D=L107,Data!$B:$B=$A107)),"""")"),"")</f>
        <v/>
      </c>
      <c r="Y107" s="64" t="str">
        <f>IFERROR(__xludf.DUMMYFUNCTION("IFERROR(Textjoin("""",TRUE,FILTER(Data!$R:$R,Data!$D:$D=M107,Data!$B:$B=$A107)),"""")"),"")</f>
        <v/>
      </c>
      <c r="Z107" s="64" t="str">
        <f>IFERROR(__xludf.DUMMYFUNCTION("IFERROR(SPLIT(N107,"",""),"""")"),"")</f>
        <v/>
      </c>
      <c r="AA107" s="65"/>
      <c r="AB107" s="65"/>
      <c r="AC107" s="69" t="str">
        <f>IFERROR(__xludf.DUMMYFUNCTION("IFERROR(SPLIT(O107,"",""),"""")"),"")</f>
        <v/>
      </c>
      <c r="AD107" s="65"/>
      <c r="AE107" s="65"/>
      <c r="AF107" s="69" t="str">
        <f>IFERROR(__xludf.DUMMYFUNCTION("IFERROR(SPLIT(P107,"",""),"""")"),"")</f>
        <v/>
      </c>
      <c r="AG107" s="65"/>
      <c r="AH107" s="65"/>
      <c r="AI107" s="69" t="str">
        <f>IFERROR(__xludf.DUMMYFUNCTION("IFERROR(SPLIT(Q107,"",""),"""")"),"")</f>
        <v/>
      </c>
      <c r="AJ107" s="65"/>
      <c r="AK107" s="65"/>
      <c r="AL107" s="69" t="str">
        <f>IFERROR(__xludf.DUMMYFUNCTION("IFERROR(SPLIT(R107,"",""),"""")"),"")</f>
        <v/>
      </c>
      <c r="AM107" s="65"/>
      <c r="AN107" s="65"/>
      <c r="AO107" s="69" t="str">
        <f>IFERROR(__xludf.DUMMYFUNCTION("IFERROR(SPLIT(S107,"",""),"""")"),"")</f>
        <v/>
      </c>
      <c r="AP107" s="65"/>
      <c r="AQ107" s="65"/>
      <c r="AR107" s="69" t="str">
        <f>IFERROR(__xludf.DUMMYFUNCTION("IFERROR(SPLIT(T107,"",""),"""")"),"")</f>
        <v/>
      </c>
      <c r="AS107" s="65"/>
      <c r="AT107" s="65"/>
      <c r="AU107" s="69" t="str">
        <f>IFERROR(__xludf.DUMMYFUNCTION("IFERROR(SPLIT(U107,"",""),"""")"),"")</f>
        <v/>
      </c>
      <c r="AV107" s="65"/>
      <c r="AW107" s="65"/>
      <c r="AX107" s="69" t="str">
        <f>IFERROR(__xludf.DUMMYFUNCTION("IFERROR(SPLIT(V107,"",""),"""")"),"")</f>
        <v/>
      </c>
      <c r="AY107" s="65"/>
      <c r="AZ107" s="65"/>
      <c r="BA107" s="69" t="str">
        <f>IFERROR(__xludf.DUMMYFUNCTION("IFERROR(SPLIT(W107,"",""),"""")"),"")</f>
        <v/>
      </c>
      <c r="BB107" s="69"/>
      <c r="BC107" s="69"/>
      <c r="BD107" s="69" t="str">
        <f>IFERROR(__xludf.DUMMYFUNCTION("IFERROR(SPLIT(X107,"",""),"""")"),"")</f>
        <v/>
      </c>
      <c r="BE107" s="69"/>
      <c r="BF107" s="69"/>
      <c r="BG107" s="69" t="str">
        <f>IFERROR(__xludf.DUMMYFUNCTION("IFERROR(SPLIT(Y107,"",""),"""")"),"")</f>
        <v/>
      </c>
      <c r="BH107" s="69"/>
      <c r="BI107" s="69"/>
      <c r="BJ107" s="68" t="str">
        <f>IFERROR(__xludf.DUMMYFUNCTION("IF($B107&lt;&gt;"""",IFERROR(FILTER(RawTotals!$AJ:$AJ,RawTotals!$A:$A=Z107)-(FILTER(Data!$K:$K,Data!$B:$B=Z107,Data!$D:$D=$B107)+FILTER(Data!$L:$L,Data!$B:$B=Z107,Data!$D:$D=$B107)),""""),"""")"),"")</f>
        <v/>
      </c>
      <c r="BK107" s="68" t="str">
        <f>IFERROR(__xludf.DUMMYFUNCTION("IF($B107&lt;&gt;"""",IFERROR(FILTER(RawTotals!$AJ:$AJ,RawTotals!$A:$A=AA107)-(FILTER(Data!$K:$K,Data!$B:$B=AA107,Data!$D:$D=$B107)+FILTER(Data!$L:$L,Data!$B:$B=AA107,Data!$D:$D=$B107)),""""),"""")"),"")</f>
        <v/>
      </c>
      <c r="BL107" s="68" t="str">
        <f>IFERROR(__xludf.DUMMYFUNCTION("IF($B107&lt;&gt;"""",IFERROR(FILTER(RawTotals!$AJ:$AJ,RawTotals!$A:$A=AB107)-(FILTER(Data!$K:$K,Data!$B:$B=AB107,Data!$D:$D=$B107)+FILTER(Data!$L:$L,Data!$B:$B=AB107,Data!$D:$D=$B107)),""""),"""")"),"")</f>
        <v/>
      </c>
      <c r="BM107" s="69" t="str">
        <f>IFERROR(__xludf.DUMMYFUNCTION("IF($C107&lt;&gt;"""",IFERROR(FILTER(RawTotals!$AJ:$AJ,RawTotals!$A:$A=AC107)-(FILTER(Data!$K:$K,Data!$B:$B=AC107,Data!$D:$D=$C107)+FILTER(Data!$L:$L,Data!$B:$B=AC107,Data!$D:$D=$C107)),""""),"""")"),"")</f>
        <v/>
      </c>
      <c r="BN107" s="69" t="str">
        <f>IFERROR(__xludf.DUMMYFUNCTION("IF($C107&lt;&gt;"""",IFERROR(FILTER(RawTotals!$AJ:$AJ,RawTotals!$A:$A=AD107)-(FILTER(Data!$K:$K,Data!$B:$B=AD107,Data!$D:$D=$C107)+FILTER(Data!$L:$L,Data!$B:$B=AD107,Data!$D:$D=$C107)),""""),"""")"),"")</f>
        <v/>
      </c>
      <c r="BO107" s="69" t="str">
        <f>IFERROR(__xludf.DUMMYFUNCTION("IF($C107&lt;&gt;"""",IFERROR(FILTER(RawTotals!$AJ:$AJ,RawTotals!$A:$A=AE107)-(FILTER(Data!$K:$K,Data!$B:$B=AE107,Data!$D:$D=$C107)+FILTER(Data!$L:$L,Data!$B:$B=AE107,Data!$D:$D=$C107)),""""),"""")"),"")</f>
        <v/>
      </c>
      <c r="BP107" s="69" t="str">
        <f>IFERROR(__xludf.DUMMYFUNCTION("IF($D107&lt;&gt;"""",IFERROR(FILTER(RawTotals!$AJ:$AJ,RawTotals!$A:$A=AF107)-(FILTER(Data!$K:$K,Data!$B:$B=AF107,Data!$D:$D=$D107)+FILTER(Data!$L:$L,Data!$B:$B=AF107,Data!$D:$D=$D107)),""""),"""")"),"")</f>
        <v/>
      </c>
      <c r="BQ107" s="69" t="str">
        <f>IFERROR(__xludf.DUMMYFUNCTION("IF($D107&lt;&gt;"""",IFERROR(FILTER(RawTotals!$AJ:$AJ,RawTotals!$A:$A=AG107)-(FILTER(Data!$K:$K,Data!$B:$B=AG107,Data!$D:$D=$D107)+FILTER(Data!$L:$L,Data!$B:$B=AG107,Data!$D:$D=$D107)),""""),"""")"),"")</f>
        <v/>
      </c>
      <c r="BR107" s="69" t="str">
        <f>IFERROR(__xludf.DUMMYFUNCTION("IF($D107&lt;&gt;"""",IFERROR(FILTER(RawTotals!$AJ:$AJ,RawTotals!$A:$A=AH107)-(FILTER(Data!$K:$K,Data!$B:$B=AH107,Data!$D:$D=$D107)+FILTER(Data!$L:$L,Data!$B:$B=AH107,Data!$D:$D=$D107)),""""),"""")"),"")</f>
        <v/>
      </c>
      <c r="BS107" s="69" t="str">
        <f>IFERROR(__xludf.DUMMYFUNCTION("IF($E107&lt;&gt;"""",IFERROR(FILTER(RawTotals!$AJ:$AJ,RawTotals!$A:$A=AI107)-(FILTER(Data!$K:$K,Data!$B:$B=AI107,Data!$D:$D=$E107)+FILTER(Data!$L:$L,Data!$B:$B=AI107,Data!$D:$D=$E107)),""""),"""")"),"")</f>
        <v/>
      </c>
      <c r="BT107" s="69" t="str">
        <f>IFERROR(__xludf.DUMMYFUNCTION("IF($E107&lt;&gt;"""",IFERROR(FILTER(RawTotals!$AJ:$AJ,RawTotals!$A:$A=AJ107)-(FILTER(Data!$K:$K,Data!$B:$B=AJ107,Data!$D:$D=$E107)+FILTER(Data!$L:$L,Data!$B:$B=AJ107,Data!$D:$D=$E107)),""""),"""")"),"")</f>
        <v/>
      </c>
      <c r="BU107" s="69" t="str">
        <f>IFERROR(__xludf.DUMMYFUNCTION("IF($E107&lt;&gt;"""",IFERROR(FILTER(RawTotals!$AJ:$AJ,RawTotals!$A:$A=AK107)-(FILTER(Data!$K:$K,Data!$B:$B=AK107,Data!$D:$D=$E107)+FILTER(Data!$L:$L,Data!$B:$B=AK107,Data!$D:$D=$E107)),""""),"""")"),"")</f>
        <v/>
      </c>
      <c r="BV107" s="69" t="str">
        <f>IFERROR(__xludf.DUMMYFUNCTION("IF($F107&lt;&gt;"""",IFERROR(FILTER(RawTotals!$AJ:$AJ,RawTotals!$A:$A=AL107)-(FILTER(Data!$K:$K,Data!$B:$B=AL107,Data!$D:$D=$F107)+FILTER(Data!$L:$L,Data!$B:$B=AL107,Data!$D:$D=$F107)),""""),"""")"),"")</f>
        <v/>
      </c>
      <c r="BW107" s="69" t="str">
        <f>IFERROR(__xludf.DUMMYFUNCTION("IF($F107&lt;&gt;"""",IFERROR(FILTER(RawTotals!$AJ:$AJ,RawTotals!$A:$A=AM107)-(FILTER(Data!$K:$K,Data!$B:$B=AM107,Data!$D:$D=$F107)+FILTER(Data!$L:$L,Data!$B:$B=AM107,Data!$D:$D=$F107)),""""),"""")"),"")</f>
        <v/>
      </c>
      <c r="BX107" s="69" t="str">
        <f>IFERROR(__xludf.DUMMYFUNCTION("IF($F107&lt;&gt;"""",IFERROR(FILTER(RawTotals!$AJ:$AJ,RawTotals!$A:$A=AN107)-(FILTER(Data!$K:$K,Data!$B:$B=AN107,Data!$D:$D=$F107)+FILTER(Data!$L:$L,Data!$B:$B=AN107,Data!$D:$D=$F107)),""""),"""")"),"")</f>
        <v/>
      </c>
      <c r="BY107" s="69" t="str">
        <f>IFERROR(__xludf.DUMMYFUNCTION("IF($G107&lt;&gt;"""",IFERROR(FILTER(RawTotals!$AJ:$AJ,RawTotals!$A:$A=AO107)-(FILTER(Data!$K:$K,Data!$B:$B=AO107,Data!$D:$D=$G107)+FILTER(Data!$L:$L,Data!$B:$B=AO107,Data!$D:$D=$G107)),""""),"""")"),"")</f>
        <v/>
      </c>
      <c r="BZ107" s="69" t="str">
        <f>IFERROR(__xludf.DUMMYFUNCTION("IF($G107&lt;&gt;"""",IFERROR(FILTER(RawTotals!$AJ:$AJ,RawTotals!$A:$A=AP107)-(FILTER(Data!$K:$K,Data!$B:$B=AP107,Data!$D:$D=$G107)+FILTER(Data!$L:$L,Data!$B:$B=AP107,Data!$D:$D=$G107)),""""),"""")"),"")</f>
        <v/>
      </c>
      <c r="CA107" s="69" t="str">
        <f>IFERROR(__xludf.DUMMYFUNCTION("IF($G107&lt;&gt;"""",IFERROR(FILTER(RawTotals!$AJ:$AJ,RawTotals!$A:$A=AQ107)-(FILTER(Data!$K:$K,Data!$B:$B=AQ107,Data!$D:$D=$G107)+FILTER(Data!$L:$L,Data!$B:$B=AQ107,Data!$D:$D=$G107)),""""),"""")"),"")</f>
        <v/>
      </c>
      <c r="CB107" s="69" t="str">
        <f>IFERROR(__xludf.DUMMYFUNCTION("IF($H107&lt;&gt;"""",IFERROR(FILTER(RawTotals!$AJ:$AJ,RawTotals!$A:$A=AR107)-(FILTER(Data!$K:$K,Data!$B:$B=AR107,Data!$D:$D=$H107)+FILTER(Data!$L:$L,Data!$B:$B=AR107,Data!$D:$D=$H107)),""""),"""")"),"")</f>
        <v/>
      </c>
      <c r="CC107" s="69" t="str">
        <f>IFERROR(__xludf.DUMMYFUNCTION("IF($H107&lt;&gt;"""",IFERROR(FILTER(RawTotals!$AJ:$AJ,RawTotals!$A:$A=AS107)-(FILTER(Data!$K:$K,Data!$B:$B=AS107,Data!$D:$D=$H107)+FILTER(Data!$L:$L,Data!$B:$B=AS107,Data!$D:$D=$H107)),""""),"""")"),"")</f>
        <v/>
      </c>
      <c r="CD107" s="69" t="str">
        <f>IFERROR(__xludf.DUMMYFUNCTION("IF($H107&lt;&gt;"""",IFERROR(FILTER(RawTotals!$AJ:$AJ,RawTotals!$A:$A=AT107)-(FILTER(Data!$K:$K,Data!$B:$B=AT107,Data!$D:$D=$H107)+FILTER(Data!$L:$L,Data!$B:$B=AT107,Data!$D:$D=$H107)),""""),"""")"),"")</f>
        <v/>
      </c>
      <c r="CE107" s="69" t="str">
        <f>IFERROR(__xludf.DUMMYFUNCTION("IF($I107&lt;&gt;"""",IFERROR(FILTER(RawTotals!$AJ:$AJ,RawTotals!$A:$A=AU107)-(FILTER(Data!$K:$K,Data!$B:$B=AU107,Data!$D:$D=$I107)+FILTER(Data!$L:$L,Data!$B:$B=AU107,Data!$D:$D=$I107)),""""),"""")"),"")</f>
        <v/>
      </c>
      <c r="CF107" s="69" t="str">
        <f>IFERROR(__xludf.DUMMYFUNCTION("IF($I107&lt;&gt;"""",IFERROR(FILTER(RawTotals!$AJ:$AJ,RawTotals!$A:$A=AV107)-(FILTER(Data!$K:$K,Data!$B:$B=AV107,Data!$D:$D=$I107)+FILTER(Data!$L:$L,Data!$B:$B=AV107,Data!$D:$D=$I107)),""""),"""")"),"")</f>
        <v/>
      </c>
      <c r="CG107" s="69" t="str">
        <f>IFERROR(__xludf.DUMMYFUNCTION("IF($I107&lt;&gt;"""",IFERROR(FILTER(RawTotals!$AJ:$AJ,RawTotals!$A:$A=AW107)-(FILTER(Data!$K:$K,Data!$B:$B=AW107,Data!$D:$D=$I107)+FILTER(Data!$L:$L,Data!$B:$B=AW107,Data!$D:$D=$I107)),""""),"""")"),"")</f>
        <v/>
      </c>
      <c r="CH107" s="69" t="str">
        <f>IFERROR(__xludf.DUMMYFUNCTION("IF($J107&lt;&gt;"""",IFERROR(FILTER(RawTotals!$AJ:$AJ,RawTotals!$A:$A=AX107)-(FILTER(Data!$K:$K,Data!$B:$B=AX107,Data!$D:$D=$J107)+FILTER(Data!$L:$L,Data!$B:$B=AX107,Data!$D:$D=$J107)),""""),"""")"),"")</f>
        <v/>
      </c>
      <c r="CI107" s="69" t="str">
        <f>IFERROR(__xludf.DUMMYFUNCTION("IF($J107&lt;&gt;"""",IFERROR(FILTER(RawTotals!$AJ:$AJ,RawTotals!$A:$A=AY107)-(FILTER(Data!$K:$K,Data!$B:$B=AY107,Data!$D:$D=$J107)+FILTER(Data!$L:$L,Data!$B:$B=AY107,Data!$D:$D=$J107)),""""),"""")"),"")</f>
        <v/>
      </c>
      <c r="CJ107" s="69" t="str">
        <f>IFERROR(__xludf.DUMMYFUNCTION("IF($J107&lt;&gt;"""",IFERROR(FILTER(RawTotals!$AJ:$AJ,RawTotals!$A:$A=AZ107)-(FILTER(Data!$K:$K,Data!$B:$B=AZ107,Data!$D:$D=$J107)+FILTER(Data!$L:$L,Data!$B:$B=AZ107,Data!$D:$D=$J107)),""""),"""")"),"")</f>
        <v/>
      </c>
      <c r="CK107" s="69" t="str">
        <f>IFERROR(__xludf.DUMMYFUNCTION("IF($K107&lt;&gt;"""",IFERROR(FILTER(RawTotals!$AJ:$AJ,RawTotals!$A:$A=BA107)-(FILTER(Data!$K:$K,Data!$B:$B=BA107,Data!$D:$D=$K107)+FILTER(Data!$L:$L,Data!$B:$B=BA107,Data!$D:$D=$K107)),""""),"""")"),"")</f>
        <v/>
      </c>
      <c r="CL107" s="69" t="str">
        <f>IFERROR(__xludf.DUMMYFUNCTION("IF($K107&lt;&gt;"""",IFERROR(FILTER(RawTotals!$AJ:$AJ,RawTotals!$A:$A=BB107)-(FILTER(Data!$K:$K,Data!$B:$B=BB107,Data!$D:$D=$K107)+FILTER(Data!$L:$L,Data!$B:$B=BB107,Data!$D:$D=$K107)),""""),"""")"),"")</f>
        <v/>
      </c>
      <c r="CM107" s="69" t="str">
        <f>IFERROR(__xludf.DUMMYFUNCTION("IF($K107&lt;&gt;"""",IFERROR(FILTER(RawTotals!$AJ:$AJ,RawTotals!$A:$A=BC107)-(FILTER(Data!$K:$K,Data!$B:$B=BC107,Data!$D:$D=$K107)+FILTER(Data!$L:$L,Data!$B:$B=BC107,Data!$D:$D=$K107)),""""),"""")"),"")</f>
        <v/>
      </c>
      <c r="CN107" s="69" t="str">
        <f>IFERROR(__xludf.DUMMYFUNCTION("IF($L107&lt;&gt;"""",IFERROR((FILTER(RawTotals!$AJ:$AJ,RawTotals!$A:$A=BD107)-(FILTER(Data!$K:$K,Data!$B:$B=BD107,Data!$D:$D=$L107)+FILTER(Data!$L:$L,Data!$B:$B=BD107,Data!$D:$D=$L107))),""""),"""")"),"")</f>
        <v/>
      </c>
      <c r="CO107" s="69" t="str">
        <f>IFERROR(__xludf.DUMMYFUNCTION("IF($L107&lt;&gt;"""",IFERROR((FILTER(RawTotals!$AJ:$AJ,RawTotals!$A:$A=BE107)-(FILTER(Data!$K:$K,Data!$B:$B=BE107,Data!$D:$D=$L107)+FILTER(Data!$L:$L,Data!$B:$B=BE107,Data!$D:$D=$L107))),""""),"""")"),"")</f>
        <v/>
      </c>
      <c r="CP107" s="69" t="str">
        <f>IFERROR(__xludf.DUMMYFUNCTION("IF($L107&lt;&gt;"""",IFERROR((FILTER(RawTotals!$AJ:$AJ,RawTotals!$A:$A=BF107)-(FILTER(Data!$K:$K,Data!$B:$B=BF107,Data!$D:$D=$L107)+FILTER(Data!$L:$L,Data!$B:$B=BF107,Data!$D:$D=$L107))),""""),"""")"),"")</f>
        <v/>
      </c>
      <c r="CQ107" s="69" t="str">
        <f>IFERROR(__xludf.DUMMYFUNCTION("IF($M107&lt;&gt;"""",IFERROR((FILTER(RawTotals!$AJ:$AJ,RawTotals!$A:$A=BG107)-(FILTER(Data!$K:$K,Data!$B:$B=BG107,Data!$D:$D=$M107)+FILTER(Data!$L:$L,Data!$B:$B=BG107,Data!$D:$D=$M107))),""""),"""")"),"")</f>
        <v/>
      </c>
      <c r="CR107" s="69" t="str">
        <f>IFERROR(__xludf.DUMMYFUNCTION("IF($M107&lt;&gt;"""",IFERROR((FILTER(RawTotals!$AJ:$AJ,RawTotals!$A:$A=BH107)-(FILTER(Data!$K:$K,Data!$B:$B=BH107,Data!$D:$D=$M107)+FILTER(Data!$L:$L,Data!$B:$B=BH107,Data!$D:$D=$M107))),""""),"""")"),"")</f>
        <v/>
      </c>
      <c r="CS107" s="70" t="str">
        <f>IFERROR(__xludf.DUMMYFUNCTION("IF($M107&lt;&gt;"""",IFERROR((FILTER(RawTotals!$AJ:$AJ,RawTotals!$A:$A=BI107)-(FILTER(Data!$K:$K,Data!$B:$B=BI107,Data!$D:$D=$M107)+FILTER(Data!$L:$L,Data!$B:$B=BI107,Data!$D:$D=$M107))),""""),"""")"),"")</f>
        <v/>
      </c>
      <c r="CT107" s="69"/>
      <c r="CU107" s="69"/>
      <c r="CV107" s="69"/>
      <c r="CW107" s="69"/>
      <c r="CX107" s="69"/>
      <c r="CY107" s="69"/>
      <c r="CZ107" s="69"/>
      <c r="DA107" s="69"/>
      <c r="DB107" s="69"/>
      <c r="DC107" s="69"/>
      <c r="DD107" s="69"/>
      <c r="DE107" s="69"/>
    </row>
    <row r="108">
      <c r="A108" s="65" t="str">
        <f>RawTotals!A108</f>
        <v/>
      </c>
      <c r="B108" s="68" t="str">
        <f>IFERROR(__xludf.DUMMYFUNCTION("IF(A108&lt;&gt;"""",IFERROR(TRANSPOSE(FILTER(Data!D:D,Data!B:B=A108,Data!R:R&lt;&gt;"""")),""No Defense""),"""")"),"")</f>
        <v/>
      </c>
      <c r="C108" s="65"/>
      <c r="D108" s="65"/>
      <c r="E108" s="65"/>
      <c r="F108" s="65"/>
      <c r="G108" s="65"/>
      <c r="H108" s="65"/>
      <c r="I108" s="65"/>
      <c r="J108" s="65"/>
      <c r="K108" s="65"/>
      <c r="L108" s="65"/>
      <c r="M108" s="65"/>
      <c r="N108" s="64" t="str">
        <f>IFERROR(__xludf.DUMMYFUNCTION("IFERROR(Textjoin("""",TRUE,FILTER(Data!$R:$R,Data!$D:$D=B108,Data!$B:$B=$A108)),"""")"),"")</f>
        <v/>
      </c>
      <c r="O108" s="64" t="str">
        <f>IFERROR(__xludf.DUMMYFUNCTION("IFERROR(Textjoin("""",TRUE,FILTER(Data!$R:$R,Data!$D:$D=C108,Data!$B:$B=$A108)),"""")"),"")</f>
        <v/>
      </c>
      <c r="P108" s="64" t="str">
        <f>IFERROR(__xludf.DUMMYFUNCTION("IFERROR(Textjoin("""",TRUE,FILTER(Data!$R:$R,Data!$D:$D=D108,Data!$B:$B=$A108)),"""")"),"")</f>
        <v/>
      </c>
      <c r="Q108" s="64" t="str">
        <f>IFERROR(__xludf.DUMMYFUNCTION("IFERROR(Textjoin("""",TRUE,FILTER(Data!$R:$R,Data!$D:$D=E108,Data!$B:$B=$A108)),"""")"),"")</f>
        <v/>
      </c>
      <c r="R108" s="64" t="str">
        <f>IFERROR(__xludf.DUMMYFUNCTION("IFERROR(Textjoin("""",TRUE,FILTER(Data!$R:$R,Data!$D:$D=F108,Data!$B:$B=$A108)),"""")"),"")</f>
        <v/>
      </c>
      <c r="S108" s="64" t="str">
        <f>IFERROR(__xludf.DUMMYFUNCTION("IFERROR(Textjoin("""",TRUE,FILTER(Data!$R:$R,Data!$D:$D=G108,Data!$B:$B=$A108)),"""")"),"")</f>
        <v/>
      </c>
      <c r="T108" s="64" t="str">
        <f>IFERROR(__xludf.DUMMYFUNCTION("IFERROR(Textjoin("""",TRUE,FILTER(Data!$R:$R,Data!$D:$D=H108,Data!$B:$B=$A108)),"""")"),"")</f>
        <v/>
      </c>
      <c r="U108" s="64" t="str">
        <f>IFERROR(__xludf.DUMMYFUNCTION("IFERROR(Textjoin("""",TRUE,FILTER(Data!$R:$R,Data!$D:$D=I108,Data!$B:$B=$A108)),"""")"),"")</f>
        <v/>
      </c>
      <c r="V108" s="64" t="str">
        <f>IFERROR(__xludf.DUMMYFUNCTION("IFERROR(Textjoin("""",TRUE,FILTER(Data!$R:$R,Data!$D:$D=J108,Data!$B:$B=$A108)),"""")"),"")</f>
        <v/>
      </c>
      <c r="W108" s="64" t="str">
        <f>IFERROR(__xludf.DUMMYFUNCTION("IFERROR(Textjoin("""",TRUE,FILTER(Data!$R:$R,Data!$D:$D=K108,Data!$B:$B=$A108)),"""")"),"")</f>
        <v/>
      </c>
      <c r="X108" s="64" t="str">
        <f>IFERROR(__xludf.DUMMYFUNCTION("IFERROR(Textjoin("""",TRUE,FILTER(Data!$R:$R,Data!$D:$D=L108,Data!$B:$B=$A108)),"""")"),"")</f>
        <v/>
      </c>
      <c r="Y108" s="64" t="str">
        <f>IFERROR(__xludf.DUMMYFUNCTION("IFERROR(Textjoin("""",TRUE,FILTER(Data!$R:$R,Data!$D:$D=M108,Data!$B:$B=$A108)),"""")"),"")</f>
        <v/>
      </c>
      <c r="Z108" s="64" t="str">
        <f>IFERROR(__xludf.DUMMYFUNCTION("IFERROR(SPLIT(N108,"",""),"""")"),"")</f>
        <v/>
      </c>
      <c r="AA108" s="65"/>
      <c r="AB108" s="65"/>
      <c r="AC108" s="69" t="str">
        <f>IFERROR(__xludf.DUMMYFUNCTION("IFERROR(SPLIT(O108,"",""),"""")"),"")</f>
        <v/>
      </c>
      <c r="AD108" s="65"/>
      <c r="AE108" s="65"/>
      <c r="AF108" s="69" t="str">
        <f>IFERROR(__xludf.DUMMYFUNCTION("IFERROR(SPLIT(P108,"",""),"""")"),"")</f>
        <v/>
      </c>
      <c r="AG108" s="65"/>
      <c r="AH108" s="65"/>
      <c r="AI108" s="69" t="str">
        <f>IFERROR(__xludf.DUMMYFUNCTION("IFERROR(SPLIT(Q108,"",""),"""")"),"")</f>
        <v/>
      </c>
      <c r="AJ108" s="65"/>
      <c r="AK108" s="65"/>
      <c r="AL108" s="69" t="str">
        <f>IFERROR(__xludf.DUMMYFUNCTION("IFERROR(SPLIT(R108,"",""),"""")"),"")</f>
        <v/>
      </c>
      <c r="AM108" s="65"/>
      <c r="AN108" s="65"/>
      <c r="AO108" s="69" t="str">
        <f>IFERROR(__xludf.DUMMYFUNCTION("IFERROR(SPLIT(S108,"",""),"""")"),"")</f>
        <v/>
      </c>
      <c r="AP108" s="65"/>
      <c r="AQ108" s="65"/>
      <c r="AR108" s="69" t="str">
        <f>IFERROR(__xludf.DUMMYFUNCTION("IFERROR(SPLIT(T108,"",""),"""")"),"")</f>
        <v/>
      </c>
      <c r="AS108" s="65"/>
      <c r="AT108" s="65"/>
      <c r="AU108" s="69" t="str">
        <f>IFERROR(__xludf.DUMMYFUNCTION("IFERROR(SPLIT(U108,"",""),"""")"),"")</f>
        <v/>
      </c>
      <c r="AV108" s="65"/>
      <c r="AW108" s="65"/>
      <c r="AX108" s="69" t="str">
        <f>IFERROR(__xludf.DUMMYFUNCTION("IFERROR(SPLIT(V108,"",""),"""")"),"")</f>
        <v/>
      </c>
      <c r="AY108" s="65"/>
      <c r="AZ108" s="65"/>
      <c r="BA108" s="69" t="str">
        <f>IFERROR(__xludf.DUMMYFUNCTION("IFERROR(SPLIT(W108,"",""),"""")"),"")</f>
        <v/>
      </c>
      <c r="BB108" s="69"/>
      <c r="BC108" s="69"/>
      <c r="BD108" s="69" t="str">
        <f>IFERROR(__xludf.DUMMYFUNCTION("IFERROR(SPLIT(X108,"",""),"""")"),"")</f>
        <v/>
      </c>
      <c r="BE108" s="69"/>
      <c r="BF108" s="69"/>
      <c r="BG108" s="69" t="str">
        <f>IFERROR(__xludf.DUMMYFUNCTION("IFERROR(SPLIT(Y108,"",""),"""")"),"")</f>
        <v/>
      </c>
      <c r="BH108" s="69"/>
      <c r="BI108" s="69"/>
      <c r="BJ108" s="68" t="str">
        <f>IFERROR(__xludf.DUMMYFUNCTION("IF($B108&lt;&gt;"""",IFERROR(FILTER(RawTotals!$AJ:$AJ,RawTotals!$A:$A=Z108)-(FILTER(Data!$K:$K,Data!$B:$B=Z108,Data!$D:$D=$B108)+FILTER(Data!$L:$L,Data!$B:$B=Z108,Data!$D:$D=$B108)),""""),"""")"),"")</f>
        <v/>
      </c>
      <c r="BK108" s="68" t="str">
        <f>IFERROR(__xludf.DUMMYFUNCTION("IF($B108&lt;&gt;"""",IFERROR(FILTER(RawTotals!$AJ:$AJ,RawTotals!$A:$A=AA108)-(FILTER(Data!$K:$K,Data!$B:$B=AA108,Data!$D:$D=$B108)+FILTER(Data!$L:$L,Data!$B:$B=AA108,Data!$D:$D=$B108)),""""),"""")"),"")</f>
        <v/>
      </c>
      <c r="BL108" s="68" t="str">
        <f>IFERROR(__xludf.DUMMYFUNCTION("IF($B108&lt;&gt;"""",IFERROR(FILTER(RawTotals!$AJ:$AJ,RawTotals!$A:$A=AB108)-(FILTER(Data!$K:$K,Data!$B:$B=AB108,Data!$D:$D=$B108)+FILTER(Data!$L:$L,Data!$B:$B=AB108,Data!$D:$D=$B108)),""""),"""")"),"")</f>
        <v/>
      </c>
      <c r="BM108" s="69" t="str">
        <f>IFERROR(__xludf.DUMMYFUNCTION("IF($C108&lt;&gt;"""",IFERROR(FILTER(RawTotals!$AJ:$AJ,RawTotals!$A:$A=AC108)-(FILTER(Data!$K:$K,Data!$B:$B=AC108,Data!$D:$D=$C108)+FILTER(Data!$L:$L,Data!$B:$B=AC108,Data!$D:$D=$C108)),""""),"""")"),"")</f>
        <v/>
      </c>
      <c r="BN108" s="69" t="str">
        <f>IFERROR(__xludf.DUMMYFUNCTION("IF($C108&lt;&gt;"""",IFERROR(FILTER(RawTotals!$AJ:$AJ,RawTotals!$A:$A=AD108)-(FILTER(Data!$K:$K,Data!$B:$B=AD108,Data!$D:$D=$C108)+FILTER(Data!$L:$L,Data!$B:$B=AD108,Data!$D:$D=$C108)),""""),"""")"),"")</f>
        <v/>
      </c>
      <c r="BO108" s="69" t="str">
        <f>IFERROR(__xludf.DUMMYFUNCTION("IF($C108&lt;&gt;"""",IFERROR(FILTER(RawTotals!$AJ:$AJ,RawTotals!$A:$A=AE108)-(FILTER(Data!$K:$K,Data!$B:$B=AE108,Data!$D:$D=$C108)+FILTER(Data!$L:$L,Data!$B:$B=AE108,Data!$D:$D=$C108)),""""),"""")"),"")</f>
        <v/>
      </c>
      <c r="BP108" s="69" t="str">
        <f>IFERROR(__xludf.DUMMYFUNCTION("IF($D108&lt;&gt;"""",IFERROR(FILTER(RawTotals!$AJ:$AJ,RawTotals!$A:$A=AF108)-(FILTER(Data!$K:$K,Data!$B:$B=AF108,Data!$D:$D=$D108)+FILTER(Data!$L:$L,Data!$B:$B=AF108,Data!$D:$D=$D108)),""""),"""")"),"")</f>
        <v/>
      </c>
      <c r="BQ108" s="69" t="str">
        <f>IFERROR(__xludf.DUMMYFUNCTION("IF($D108&lt;&gt;"""",IFERROR(FILTER(RawTotals!$AJ:$AJ,RawTotals!$A:$A=AG108)-(FILTER(Data!$K:$K,Data!$B:$B=AG108,Data!$D:$D=$D108)+FILTER(Data!$L:$L,Data!$B:$B=AG108,Data!$D:$D=$D108)),""""),"""")"),"")</f>
        <v/>
      </c>
      <c r="BR108" s="69" t="str">
        <f>IFERROR(__xludf.DUMMYFUNCTION("IF($D108&lt;&gt;"""",IFERROR(FILTER(RawTotals!$AJ:$AJ,RawTotals!$A:$A=AH108)-(FILTER(Data!$K:$K,Data!$B:$B=AH108,Data!$D:$D=$D108)+FILTER(Data!$L:$L,Data!$B:$B=AH108,Data!$D:$D=$D108)),""""),"""")"),"")</f>
        <v/>
      </c>
      <c r="BS108" s="69" t="str">
        <f>IFERROR(__xludf.DUMMYFUNCTION("IF($E108&lt;&gt;"""",IFERROR(FILTER(RawTotals!$AJ:$AJ,RawTotals!$A:$A=AI108)-(FILTER(Data!$K:$K,Data!$B:$B=AI108,Data!$D:$D=$E108)+FILTER(Data!$L:$L,Data!$B:$B=AI108,Data!$D:$D=$E108)),""""),"""")"),"")</f>
        <v/>
      </c>
      <c r="BT108" s="69" t="str">
        <f>IFERROR(__xludf.DUMMYFUNCTION("IF($E108&lt;&gt;"""",IFERROR(FILTER(RawTotals!$AJ:$AJ,RawTotals!$A:$A=AJ108)-(FILTER(Data!$K:$K,Data!$B:$B=AJ108,Data!$D:$D=$E108)+FILTER(Data!$L:$L,Data!$B:$B=AJ108,Data!$D:$D=$E108)),""""),"""")"),"")</f>
        <v/>
      </c>
      <c r="BU108" s="69" t="str">
        <f>IFERROR(__xludf.DUMMYFUNCTION("IF($E108&lt;&gt;"""",IFERROR(FILTER(RawTotals!$AJ:$AJ,RawTotals!$A:$A=AK108)-(FILTER(Data!$K:$K,Data!$B:$B=AK108,Data!$D:$D=$E108)+FILTER(Data!$L:$L,Data!$B:$B=AK108,Data!$D:$D=$E108)),""""),"""")"),"")</f>
        <v/>
      </c>
      <c r="BV108" s="69" t="str">
        <f>IFERROR(__xludf.DUMMYFUNCTION("IF($F108&lt;&gt;"""",IFERROR(FILTER(RawTotals!$AJ:$AJ,RawTotals!$A:$A=AL108)-(FILTER(Data!$K:$K,Data!$B:$B=AL108,Data!$D:$D=$F108)+FILTER(Data!$L:$L,Data!$B:$B=AL108,Data!$D:$D=$F108)),""""),"""")"),"")</f>
        <v/>
      </c>
      <c r="BW108" s="69" t="str">
        <f>IFERROR(__xludf.DUMMYFUNCTION("IF($F108&lt;&gt;"""",IFERROR(FILTER(RawTotals!$AJ:$AJ,RawTotals!$A:$A=AM108)-(FILTER(Data!$K:$K,Data!$B:$B=AM108,Data!$D:$D=$F108)+FILTER(Data!$L:$L,Data!$B:$B=AM108,Data!$D:$D=$F108)),""""),"""")"),"")</f>
        <v/>
      </c>
      <c r="BX108" s="69" t="str">
        <f>IFERROR(__xludf.DUMMYFUNCTION("IF($F108&lt;&gt;"""",IFERROR(FILTER(RawTotals!$AJ:$AJ,RawTotals!$A:$A=AN108)-(FILTER(Data!$K:$K,Data!$B:$B=AN108,Data!$D:$D=$F108)+FILTER(Data!$L:$L,Data!$B:$B=AN108,Data!$D:$D=$F108)),""""),"""")"),"")</f>
        <v/>
      </c>
      <c r="BY108" s="69" t="str">
        <f>IFERROR(__xludf.DUMMYFUNCTION("IF($G108&lt;&gt;"""",IFERROR(FILTER(RawTotals!$AJ:$AJ,RawTotals!$A:$A=AO108)-(FILTER(Data!$K:$K,Data!$B:$B=AO108,Data!$D:$D=$G108)+FILTER(Data!$L:$L,Data!$B:$B=AO108,Data!$D:$D=$G108)),""""),"""")"),"")</f>
        <v/>
      </c>
      <c r="BZ108" s="69" t="str">
        <f>IFERROR(__xludf.DUMMYFUNCTION("IF($G108&lt;&gt;"""",IFERROR(FILTER(RawTotals!$AJ:$AJ,RawTotals!$A:$A=AP108)-(FILTER(Data!$K:$K,Data!$B:$B=AP108,Data!$D:$D=$G108)+FILTER(Data!$L:$L,Data!$B:$B=AP108,Data!$D:$D=$G108)),""""),"""")"),"")</f>
        <v/>
      </c>
      <c r="CA108" s="69" t="str">
        <f>IFERROR(__xludf.DUMMYFUNCTION("IF($G108&lt;&gt;"""",IFERROR(FILTER(RawTotals!$AJ:$AJ,RawTotals!$A:$A=AQ108)-(FILTER(Data!$K:$K,Data!$B:$B=AQ108,Data!$D:$D=$G108)+FILTER(Data!$L:$L,Data!$B:$B=AQ108,Data!$D:$D=$G108)),""""),"""")"),"")</f>
        <v/>
      </c>
      <c r="CB108" s="69" t="str">
        <f>IFERROR(__xludf.DUMMYFUNCTION("IF($H108&lt;&gt;"""",IFERROR(FILTER(RawTotals!$AJ:$AJ,RawTotals!$A:$A=AR108)-(FILTER(Data!$K:$K,Data!$B:$B=AR108,Data!$D:$D=$H108)+FILTER(Data!$L:$L,Data!$B:$B=AR108,Data!$D:$D=$H108)),""""),"""")"),"")</f>
        <v/>
      </c>
      <c r="CC108" s="69" t="str">
        <f>IFERROR(__xludf.DUMMYFUNCTION("IF($H108&lt;&gt;"""",IFERROR(FILTER(RawTotals!$AJ:$AJ,RawTotals!$A:$A=AS108)-(FILTER(Data!$K:$K,Data!$B:$B=AS108,Data!$D:$D=$H108)+FILTER(Data!$L:$L,Data!$B:$B=AS108,Data!$D:$D=$H108)),""""),"""")"),"")</f>
        <v/>
      </c>
      <c r="CD108" s="69" t="str">
        <f>IFERROR(__xludf.DUMMYFUNCTION("IF($H108&lt;&gt;"""",IFERROR(FILTER(RawTotals!$AJ:$AJ,RawTotals!$A:$A=AT108)-(FILTER(Data!$K:$K,Data!$B:$B=AT108,Data!$D:$D=$H108)+FILTER(Data!$L:$L,Data!$B:$B=AT108,Data!$D:$D=$H108)),""""),"""")"),"")</f>
        <v/>
      </c>
      <c r="CE108" s="69" t="str">
        <f>IFERROR(__xludf.DUMMYFUNCTION("IF($I108&lt;&gt;"""",IFERROR(FILTER(RawTotals!$AJ:$AJ,RawTotals!$A:$A=AU108)-(FILTER(Data!$K:$K,Data!$B:$B=AU108,Data!$D:$D=$I108)+FILTER(Data!$L:$L,Data!$B:$B=AU108,Data!$D:$D=$I108)),""""),"""")"),"")</f>
        <v/>
      </c>
      <c r="CF108" s="69" t="str">
        <f>IFERROR(__xludf.DUMMYFUNCTION("IF($I108&lt;&gt;"""",IFERROR(FILTER(RawTotals!$AJ:$AJ,RawTotals!$A:$A=AV108)-(FILTER(Data!$K:$K,Data!$B:$B=AV108,Data!$D:$D=$I108)+FILTER(Data!$L:$L,Data!$B:$B=AV108,Data!$D:$D=$I108)),""""),"""")"),"")</f>
        <v/>
      </c>
      <c r="CG108" s="69" t="str">
        <f>IFERROR(__xludf.DUMMYFUNCTION("IF($I108&lt;&gt;"""",IFERROR(FILTER(RawTotals!$AJ:$AJ,RawTotals!$A:$A=AW108)-(FILTER(Data!$K:$K,Data!$B:$B=AW108,Data!$D:$D=$I108)+FILTER(Data!$L:$L,Data!$B:$B=AW108,Data!$D:$D=$I108)),""""),"""")"),"")</f>
        <v/>
      </c>
      <c r="CH108" s="69" t="str">
        <f>IFERROR(__xludf.DUMMYFUNCTION("IF($J108&lt;&gt;"""",IFERROR(FILTER(RawTotals!$AJ:$AJ,RawTotals!$A:$A=AX108)-(FILTER(Data!$K:$K,Data!$B:$B=AX108,Data!$D:$D=$J108)+FILTER(Data!$L:$L,Data!$B:$B=AX108,Data!$D:$D=$J108)),""""),"""")"),"")</f>
        <v/>
      </c>
      <c r="CI108" s="69" t="str">
        <f>IFERROR(__xludf.DUMMYFUNCTION("IF($J108&lt;&gt;"""",IFERROR(FILTER(RawTotals!$AJ:$AJ,RawTotals!$A:$A=AY108)-(FILTER(Data!$K:$K,Data!$B:$B=AY108,Data!$D:$D=$J108)+FILTER(Data!$L:$L,Data!$B:$B=AY108,Data!$D:$D=$J108)),""""),"""")"),"")</f>
        <v/>
      </c>
      <c r="CJ108" s="69" t="str">
        <f>IFERROR(__xludf.DUMMYFUNCTION("IF($J108&lt;&gt;"""",IFERROR(FILTER(RawTotals!$AJ:$AJ,RawTotals!$A:$A=AZ108)-(FILTER(Data!$K:$K,Data!$B:$B=AZ108,Data!$D:$D=$J108)+FILTER(Data!$L:$L,Data!$B:$B=AZ108,Data!$D:$D=$J108)),""""),"""")"),"")</f>
        <v/>
      </c>
      <c r="CK108" s="69" t="str">
        <f>IFERROR(__xludf.DUMMYFUNCTION("IF($K108&lt;&gt;"""",IFERROR(FILTER(RawTotals!$AJ:$AJ,RawTotals!$A:$A=BA108)-(FILTER(Data!$K:$K,Data!$B:$B=BA108,Data!$D:$D=$K108)+FILTER(Data!$L:$L,Data!$B:$B=BA108,Data!$D:$D=$K108)),""""),"""")"),"")</f>
        <v/>
      </c>
      <c r="CL108" s="69" t="str">
        <f>IFERROR(__xludf.DUMMYFUNCTION("IF($K108&lt;&gt;"""",IFERROR(FILTER(RawTotals!$AJ:$AJ,RawTotals!$A:$A=BB108)-(FILTER(Data!$K:$K,Data!$B:$B=BB108,Data!$D:$D=$K108)+FILTER(Data!$L:$L,Data!$B:$B=BB108,Data!$D:$D=$K108)),""""),"""")"),"")</f>
        <v/>
      </c>
      <c r="CM108" s="69" t="str">
        <f>IFERROR(__xludf.DUMMYFUNCTION("IF($K108&lt;&gt;"""",IFERROR(FILTER(RawTotals!$AJ:$AJ,RawTotals!$A:$A=BC108)-(FILTER(Data!$K:$K,Data!$B:$B=BC108,Data!$D:$D=$K108)+FILTER(Data!$L:$L,Data!$B:$B=BC108,Data!$D:$D=$K108)),""""),"""")"),"")</f>
        <v/>
      </c>
      <c r="CN108" s="69" t="str">
        <f>IFERROR(__xludf.DUMMYFUNCTION("IF($L108&lt;&gt;"""",IFERROR((FILTER(RawTotals!$AJ:$AJ,RawTotals!$A:$A=BD108)-(FILTER(Data!$K:$K,Data!$B:$B=BD108,Data!$D:$D=$L108)+FILTER(Data!$L:$L,Data!$B:$B=BD108,Data!$D:$D=$L108))),""""),"""")"),"")</f>
        <v/>
      </c>
      <c r="CO108" s="69" t="str">
        <f>IFERROR(__xludf.DUMMYFUNCTION("IF($L108&lt;&gt;"""",IFERROR((FILTER(RawTotals!$AJ:$AJ,RawTotals!$A:$A=BE108)-(FILTER(Data!$K:$K,Data!$B:$B=BE108,Data!$D:$D=$L108)+FILTER(Data!$L:$L,Data!$B:$B=BE108,Data!$D:$D=$L108))),""""),"""")"),"")</f>
        <v/>
      </c>
      <c r="CP108" s="69" t="str">
        <f>IFERROR(__xludf.DUMMYFUNCTION("IF($L108&lt;&gt;"""",IFERROR((FILTER(RawTotals!$AJ:$AJ,RawTotals!$A:$A=BF108)-(FILTER(Data!$K:$K,Data!$B:$B=BF108,Data!$D:$D=$L108)+FILTER(Data!$L:$L,Data!$B:$B=BF108,Data!$D:$D=$L108))),""""),"""")"),"")</f>
        <v/>
      </c>
      <c r="CQ108" s="69" t="str">
        <f>IFERROR(__xludf.DUMMYFUNCTION("IF($M108&lt;&gt;"""",IFERROR((FILTER(RawTotals!$AJ:$AJ,RawTotals!$A:$A=BG108)-(FILTER(Data!$K:$K,Data!$B:$B=BG108,Data!$D:$D=$M108)+FILTER(Data!$L:$L,Data!$B:$B=BG108,Data!$D:$D=$M108))),""""),"""")"),"")</f>
        <v/>
      </c>
      <c r="CR108" s="69" t="str">
        <f>IFERROR(__xludf.DUMMYFUNCTION("IF($M108&lt;&gt;"""",IFERROR((FILTER(RawTotals!$AJ:$AJ,RawTotals!$A:$A=BH108)-(FILTER(Data!$K:$K,Data!$B:$B=BH108,Data!$D:$D=$M108)+FILTER(Data!$L:$L,Data!$B:$B=BH108,Data!$D:$D=$M108))),""""),"""")"),"")</f>
        <v/>
      </c>
      <c r="CS108" s="70" t="str">
        <f>IFERROR(__xludf.DUMMYFUNCTION("IF($M108&lt;&gt;"""",IFERROR((FILTER(RawTotals!$AJ:$AJ,RawTotals!$A:$A=BI108)-(FILTER(Data!$K:$K,Data!$B:$B=BI108,Data!$D:$D=$M108)+FILTER(Data!$L:$L,Data!$B:$B=BI108,Data!$D:$D=$M108))),""""),"""")"),"")</f>
        <v/>
      </c>
      <c r="CT108" s="69"/>
      <c r="CU108" s="69"/>
      <c r="CV108" s="69"/>
      <c r="CW108" s="69"/>
      <c r="CX108" s="69"/>
      <c r="CY108" s="69"/>
      <c r="CZ108" s="69"/>
      <c r="DA108" s="69"/>
      <c r="DB108" s="69"/>
      <c r="DC108" s="69"/>
      <c r="DD108" s="69"/>
      <c r="DE108" s="69"/>
    </row>
    <row r="109">
      <c r="A109" s="65" t="str">
        <f>RawTotals!A109</f>
        <v/>
      </c>
      <c r="B109" s="68" t="str">
        <f>IFERROR(__xludf.DUMMYFUNCTION("IF(A109&lt;&gt;"""",IFERROR(TRANSPOSE(FILTER(Data!D:D,Data!B:B=A109,Data!R:R&lt;&gt;"""")),""No Defense""),"""")"),"")</f>
        <v/>
      </c>
      <c r="C109" s="65"/>
      <c r="D109" s="65"/>
      <c r="E109" s="65"/>
      <c r="F109" s="65"/>
      <c r="G109" s="65"/>
      <c r="H109" s="65"/>
      <c r="I109" s="65"/>
      <c r="J109" s="65"/>
      <c r="K109" s="65"/>
      <c r="L109" s="65"/>
      <c r="M109" s="65"/>
      <c r="N109" s="64" t="str">
        <f>IFERROR(__xludf.DUMMYFUNCTION("IFERROR(Textjoin("""",TRUE,FILTER(Data!$R:$R,Data!$D:$D=B109,Data!$B:$B=$A109)),"""")"),"")</f>
        <v/>
      </c>
      <c r="O109" s="64" t="str">
        <f>IFERROR(__xludf.DUMMYFUNCTION("IFERROR(Textjoin("""",TRUE,FILTER(Data!$R:$R,Data!$D:$D=C109,Data!$B:$B=$A109)),"""")"),"")</f>
        <v/>
      </c>
      <c r="P109" s="64" t="str">
        <f>IFERROR(__xludf.DUMMYFUNCTION("IFERROR(Textjoin("""",TRUE,FILTER(Data!$R:$R,Data!$D:$D=D109,Data!$B:$B=$A109)),"""")"),"")</f>
        <v/>
      </c>
      <c r="Q109" s="64" t="str">
        <f>IFERROR(__xludf.DUMMYFUNCTION("IFERROR(Textjoin("""",TRUE,FILTER(Data!$R:$R,Data!$D:$D=E109,Data!$B:$B=$A109)),"""")"),"")</f>
        <v/>
      </c>
      <c r="R109" s="64" t="str">
        <f>IFERROR(__xludf.DUMMYFUNCTION("IFERROR(Textjoin("""",TRUE,FILTER(Data!$R:$R,Data!$D:$D=F109,Data!$B:$B=$A109)),"""")"),"")</f>
        <v/>
      </c>
      <c r="S109" s="64" t="str">
        <f>IFERROR(__xludf.DUMMYFUNCTION("IFERROR(Textjoin("""",TRUE,FILTER(Data!$R:$R,Data!$D:$D=G109,Data!$B:$B=$A109)),"""")"),"")</f>
        <v/>
      </c>
      <c r="T109" s="64" t="str">
        <f>IFERROR(__xludf.DUMMYFUNCTION("IFERROR(Textjoin("""",TRUE,FILTER(Data!$R:$R,Data!$D:$D=H109,Data!$B:$B=$A109)),"""")"),"")</f>
        <v/>
      </c>
      <c r="U109" s="64" t="str">
        <f>IFERROR(__xludf.DUMMYFUNCTION("IFERROR(Textjoin("""",TRUE,FILTER(Data!$R:$R,Data!$D:$D=I109,Data!$B:$B=$A109)),"""")"),"")</f>
        <v/>
      </c>
      <c r="V109" s="64" t="str">
        <f>IFERROR(__xludf.DUMMYFUNCTION("IFERROR(Textjoin("""",TRUE,FILTER(Data!$R:$R,Data!$D:$D=J109,Data!$B:$B=$A109)),"""")"),"")</f>
        <v/>
      </c>
      <c r="W109" s="64" t="str">
        <f>IFERROR(__xludf.DUMMYFUNCTION("IFERROR(Textjoin("""",TRUE,FILTER(Data!$R:$R,Data!$D:$D=K109,Data!$B:$B=$A109)),"""")"),"")</f>
        <v/>
      </c>
      <c r="X109" s="64" t="str">
        <f>IFERROR(__xludf.DUMMYFUNCTION("IFERROR(Textjoin("""",TRUE,FILTER(Data!$R:$R,Data!$D:$D=L109,Data!$B:$B=$A109)),"""")"),"")</f>
        <v/>
      </c>
      <c r="Y109" s="64" t="str">
        <f>IFERROR(__xludf.DUMMYFUNCTION("IFERROR(Textjoin("""",TRUE,FILTER(Data!$R:$R,Data!$D:$D=M109,Data!$B:$B=$A109)),"""")"),"")</f>
        <v/>
      </c>
      <c r="Z109" s="64" t="str">
        <f>IFERROR(__xludf.DUMMYFUNCTION("IFERROR(SPLIT(N109,"",""),"""")"),"")</f>
        <v/>
      </c>
      <c r="AA109" s="65"/>
      <c r="AB109" s="65"/>
      <c r="AC109" s="69" t="str">
        <f>IFERROR(__xludf.DUMMYFUNCTION("IFERROR(SPLIT(O109,"",""),"""")"),"")</f>
        <v/>
      </c>
      <c r="AD109" s="65"/>
      <c r="AE109" s="65"/>
      <c r="AF109" s="69" t="str">
        <f>IFERROR(__xludf.DUMMYFUNCTION("IFERROR(SPLIT(P109,"",""),"""")"),"")</f>
        <v/>
      </c>
      <c r="AG109" s="65"/>
      <c r="AH109" s="65"/>
      <c r="AI109" s="69" t="str">
        <f>IFERROR(__xludf.DUMMYFUNCTION("IFERROR(SPLIT(Q109,"",""),"""")"),"")</f>
        <v/>
      </c>
      <c r="AJ109" s="65"/>
      <c r="AK109" s="65"/>
      <c r="AL109" s="69" t="str">
        <f>IFERROR(__xludf.DUMMYFUNCTION("IFERROR(SPLIT(R109,"",""),"""")"),"")</f>
        <v/>
      </c>
      <c r="AM109" s="65"/>
      <c r="AN109" s="65"/>
      <c r="AO109" s="69" t="str">
        <f>IFERROR(__xludf.DUMMYFUNCTION("IFERROR(SPLIT(S109,"",""),"""")"),"")</f>
        <v/>
      </c>
      <c r="AP109" s="65"/>
      <c r="AQ109" s="65"/>
      <c r="AR109" s="69" t="str">
        <f>IFERROR(__xludf.DUMMYFUNCTION("IFERROR(SPLIT(T109,"",""),"""")"),"")</f>
        <v/>
      </c>
      <c r="AS109" s="65"/>
      <c r="AT109" s="65"/>
      <c r="AU109" s="69" t="str">
        <f>IFERROR(__xludf.DUMMYFUNCTION("IFERROR(SPLIT(U109,"",""),"""")"),"")</f>
        <v/>
      </c>
      <c r="AV109" s="65"/>
      <c r="AW109" s="65"/>
      <c r="AX109" s="69" t="str">
        <f>IFERROR(__xludf.DUMMYFUNCTION("IFERROR(SPLIT(V109,"",""),"""")"),"")</f>
        <v/>
      </c>
      <c r="AY109" s="65"/>
      <c r="AZ109" s="65"/>
      <c r="BA109" s="69" t="str">
        <f>IFERROR(__xludf.DUMMYFUNCTION("IFERROR(SPLIT(W109,"",""),"""")"),"")</f>
        <v/>
      </c>
      <c r="BB109" s="69"/>
      <c r="BC109" s="69"/>
      <c r="BD109" s="69" t="str">
        <f>IFERROR(__xludf.DUMMYFUNCTION("IFERROR(SPLIT(X109,"",""),"""")"),"")</f>
        <v/>
      </c>
      <c r="BE109" s="69"/>
      <c r="BF109" s="69"/>
      <c r="BG109" s="69" t="str">
        <f>IFERROR(__xludf.DUMMYFUNCTION("IFERROR(SPLIT(Y109,"",""),"""")"),"")</f>
        <v/>
      </c>
      <c r="BH109" s="69"/>
      <c r="BI109" s="69"/>
      <c r="BJ109" s="68" t="str">
        <f>IFERROR(__xludf.DUMMYFUNCTION("IF($B109&lt;&gt;"""",IFERROR(FILTER(RawTotals!$AJ:$AJ,RawTotals!$A:$A=Z109)-(FILTER(Data!$K:$K,Data!$B:$B=Z109,Data!$D:$D=$B109)+FILTER(Data!$L:$L,Data!$B:$B=Z109,Data!$D:$D=$B109)),""""),"""")"),"")</f>
        <v/>
      </c>
      <c r="BK109" s="68" t="str">
        <f>IFERROR(__xludf.DUMMYFUNCTION("IF($B109&lt;&gt;"""",IFERROR(FILTER(RawTotals!$AJ:$AJ,RawTotals!$A:$A=AA109)-(FILTER(Data!$K:$K,Data!$B:$B=AA109,Data!$D:$D=$B109)+FILTER(Data!$L:$L,Data!$B:$B=AA109,Data!$D:$D=$B109)),""""),"""")"),"")</f>
        <v/>
      </c>
      <c r="BL109" s="68" t="str">
        <f>IFERROR(__xludf.DUMMYFUNCTION("IF($B109&lt;&gt;"""",IFERROR(FILTER(RawTotals!$AJ:$AJ,RawTotals!$A:$A=AB109)-(FILTER(Data!$K:$K,Data!$B:$B=AB109,Data!$D:$D=$B109)+FILTER(Data!$L:$L,Data!$B:$B=AB109,Data!$D:$D=$B109)),""""),"""")"),"")</f>
        <v/>
      </c>
      <c r="BM109" s="69" t="str">
        <f>IFERROR(__xludf.DUMMYFUNCTION("IF($C109&lt;&gt;"""",IFERROR(FILTER(RawTotals!$AJ:$AJ,RawTotals!$A:$A=AC109)-(FILTER(Data!$K:$K,Data!$B:$B=AC109,Data!$D:$D=$C109)+FILTER(Data!$L:$L,Data!$B:$B=AC109,Data!$D:$D=$C109)),""""),"""")"),"")</f>
        <v/>
      </c>
      <c r="BN109" s="69" t="str">
        <f>IFERROR(__xludf.DUMMYFUNCTION("IF($C109&lt;&gt;"""",IFERROR(FILTER(RawTotals!$AJ:$AJ,RawTotals!$A:$A=AD109)-(FILTER(Data!$K:$K,Data!$B:$B=AD109,Data!$D:$D=$C109)+FILTER(Data!$L:$L,Data!$B:$B=AD109,Data!$D:$D=$C109)),""""),"""")"),"")</f>
        <v/>
      </c>
      <c r="BO109" s="69" t="str">
        <f>IFERROR(__xludf.DUMMYFUNCTION("IF($C109&lt;&gt;"""",IFERROR(FILTER(RawTotals!$AJ:$AJ,RawTotals!$A:$A=AE109)-(FILTER(Data!$K:$K,Data!$B:$B=AE109,Data!$D:$D=$C109)+FILTER(Data!$L:$L,Data!$B:$B=AE109,Data!$D:$D=$C109)),""""),"""")"),"")</f>
        <v/>
      </c>
      <c r="BP109" s="69" t="str">
        <f>IFERROR(__xludf.DUMMYFUNCTION("IF($D109&lt;&gt;"""",IFERROR(FILTER(RawTotals!$AJ:$AJ,RawTotals!$A:$A=AF109)-(FILTER(Data!$K:$K,Data!$B:$B=AF109,Data!$D:$D=$D109)+FILTER(Data!$L:$L,Data!$B:$B=AF109,Data!$D:$D=$D109)),""""),"""")"),"")</f>
        <v/>
      </c>
      <c r="BQ109" s="69" t="str">
        <f>IFERROR(__xludf.DUMMYFUNCTION("IF($D109&lt;&gt;"""",IFERROR(FILTER(RawTotals!$AJ:$AJ,RawTotals!$A:$A=AG109)-(FILTER(Data!$K:$K,Data!$B:$B=AG109,Data!$D:$D=$D109)+FILTER(Data!$L:$L,Data!$B:$B=AG109,Data!$D:$D=$D109)),""""),"""")"),"")</f>
        <v/>
      </c>
      <c r="BR109" s="69" t="str">
        <f>IFERROR(__xludf.DUMMYFUNCTION("IF($D109&lt;&gt;"""",IFERROR(FILTER(RawTotals!$AJ:$AJ,RawTotals!$A:$A=AH109)-(FILTER(Data!$K:$K,Data!$B:$B=AH109,Data!$D:$D=$D109)+FILTER(Data!$L:$L,Data!$B:$B=AH109,Data!$D:$D=$D109)),""""),"""")"),"")</f>
        <v/>
      </c>
      <c r="BS109" s="69" t="str">
        <f>IFERROR(__xludf.DUMMYFUNCTION("IF($E109&lt;&gt;"""",IFERROR(FILTER(RawTotals!$AJ:$AJ,RawTotals!$A:$A=AI109)-(FILTER(Data!$K:$K,Data!$B:$B=AI109,Data!$D:$D=$E109)+FILTER(Data!$L:$L,Data!$B:$B=AI109,Data!$D:$D=$E109)),""""),"""")"),"")</f>
        <v/>
      </c>
      <c r="BT109" s="69" t="str">
        <f>IFERROR(__xludf.DUMMYFUNCTION("IF($E109&lt;&gt;"""",IFERROR(FILTER(RawTotals!$AJ:$AJ,RawTotals!$A:$A=AJ109)-(FILTER(Data!$K:$K,Data!$B:$B=AJ109,Data!$D:$D=$E109)+FILTER(Data!$L:$L,Data!$B:$B=AJ109,Data!$D:$D=$E109)),""""),"""")"),"")</f>
        <v/>
      </c>
      <c r="BU109" s="69" t="str">
        <f>IFERROR(__xludf.DUMMYFUNCTION("IF($E109&lt;&gt;"""",IFERROR(FILTER(RawTotals!$AJ:$AJ,RawTotals!$A:$A=AK109)-(FILTER(Data!$K:$K,Data!$B:$B=AK109,Data!$D:$D=$E109)+FILTER(Data!$L:$L,Data!$B:$B=AK109,Data!$D:$D=$E109)),""""),"""")"),"")</f>
        <v/>
      </c>
      <c r="BV109" s="69" t="str">
        <f>IFERROR(__xludf.DUMMYFUNCTION("IF($F109&lt;&gt;"""",IFERROR(FILTER(RawTotals!$AJ:$AJ,RawTotals!$A:$A=AL109)-(FILTER(Data!$K:$K,Data!$B:$B=AL109,Data!$D:$D=$F109)+FILTER(Data!$L:$L,Data!$B:$B=AL109,Data!$D:$D=$F109)),""""),"""")"),"")</f>
        <v/>
      </c>
      <c r="BW109" s="69" t="str">
        <f>IFERROR(__xludf.DUMMYFUNCTION("IF($F109&lt;&gt;"""",IFERROR(FILTER(RawTotals!$AJ:$AJ,RawTotals!$A:$A=AM109)-(FILTER(Data!$K:$K,Data!$B:$B=AM109,Data!$D:$D=$F109)+FILTER(Data!$L:$L,Data!$B:$B=AM109,Data!$D:$D=$F109)),""""),"""")"),"")</f>
        <v/>
      </c>
      <c r="BX109" s="69" t="str">
        <f>IFERROR(__xludf.DUMMYFUNCTION("IF($F109&lt;&gt;"""",IFERROR(FILTER(RawTotals!$AJ:$AJ,RawTotals!$A:$A=AN109)-(FILTER(Data!$K:$K,Data!$B:$B=AN109,Data!$D:$D=$F109)+FILTER(Data!$L:$L,Data!$B:$B=AN109,Data!$D:$D=$F109)),""""),"""")"),"")</f>
        <v/>
      </c>
      <c r="BY109" s="69" t="str">
        <f>IFERROR(__xludf.DUMMYFUNCTION("IF($G109&lt;&gt;"""",IFERROR(FILTER(RawTotals!$AJ:$AJ,RawTotals!$A:$A=AO109)-(FILTER(Data!$K:$K,Data!$B:$B=AO109,Data!$D:$D=$G109)+FILTER(Data!$L:$L,Data!$B:$B=AO109,Data!$D:$D=$G109)),""""),"""")"),"")</f>
        <v/>
      </c>
      <c r="BZ109" s="69" t="str">
        <f>IFERROR(__xludf.DUMMYFUNCTION("IF($G109&lt;&gt;"""",IFERROR(FILTER(RawTotals!$AJ:$AJ,RawTotals!$A:$A=AP109)-(FILTER(Data!$K:$K,Data!$B:$B=AP109,Data!$D:$D=$G109)+FILTER(Data!$L:$L,Data!$B:$B=AP109,Data!$D:$D=$G109)),""""),"""")"),"")</f>
        <v/>
      </c>
      <c r="CA109" s="69" t="str">
        <f>IFERROR(__xludf.DUMMYFUNCTION("IF($G109&lt;&gt;"""",IFERROR(FILTER(RawTotals!$AJ:$AJ,RawTotals!$A:$A=AQ109)-(FILTER(Data!$K:$K,Data!$B:$B=AQ109,Data!$D:$D=$G109)+FILTER(Data!$L:$L,Data!$B:$B=AQ109,Data!$D:$D=$G109)),""""),"""")"),"")</f>
        <v/>
      </c>
      <c r="CB109" s="69" t="str">
        <f>IFERROR(__xludf.DUMMYFUNCTION("IF($H109&lt;&gt;"""",IFERROR(FILTER(RawTotals!$AJ:$AJ,RawTotals!$A:$A=AR109)-(FILTER(Data!$K:$K,Data!$B:$B=AR109,Data!$D:$D=$H109)+FILTER(Data!$L:$L,Data!$B:$B=AR109,Data!$D:$D=$H109)),""""),"""")"),"")</f>
        <v/>
      </c>
      <c r="CC109" s="69" t="str">
        <f>IFERROR(__xludf.DUMMYFUNCTION("IF($H109&lt;&gt;"""",IFERROR(FILTER(RawTotals!$AJ:$AJ,RawTotals!$A:$A=AS109)-(FILTER(Data!$K:$K,Data!$B:$B=AS109,Data!$D:$D=$H109)+FILTER(Data!$L:$L,Data!$B:$B=AS109,Data!$D:$D=$H109)),""""),"""")"),"")</f>
        <v/>
      </c>
      <c r="CD109" s="69" t="str">
        <f>IFERROR(__xludf.DUMMYFUNCTION("IF($H109&lt;&gt;"""",IFERROR(FILTER(RawTotals!$AJ:$AJ,RawTotals!$A:$A=AT109)-(FILTER(Data!$K:$K,Data!$B:$B=AT109,Data!$D:$D=$H109)+FILTER(Data!$L:$L,Data!$B:$B=AT109,Data!$D:$D=$H109)),""""),"""")"),"")</f>
        <v/>
      </c>
      <c r="CE109" s="69" t="str">
        <f>IFERROR(__xludf.DUMMYFUNCTION("IF($I109&lt;&gt;"""",IFERROR(FILTER(RawTotals!$AJ:$AJ,RawTotals!$A:$A=AU109)-(FILTER(Data!$K:$K,Data!$B:$B=AU109,Data!$D:$D=$I109)+FILTER(Data!$L:$L,Data!$B:$B=AU109,Data!$D:$D=$I109)),""""),"""")"),"")</f>
        <v/>
      </c>
      <c r="CF109" s="69" t="str">
        <f>IFERROR(__xludf.DUMMYFUNCTION("IF($I109&lt;&gt;"""",IFERROR(FILTER(RawTotals!$AJ:$AJ,RawTotals!$A:$A=AV109)-(FILTER(Data!$K:$K,Data!$B:$B=AV109,Data!$D:$D=$I109)+FILTER(Data!$L:$L,Data!$B:$B=AV109,Data!$D:$D=$I109)),""""),"""")"),"")</f>
        <v/>
      </c>
      <c r="CG109" s="69" t="str">
        <f>IFERROR(__xludf.DUMMYFUNCTION("IF($I109&lt;&gt;"""",IFERROR(FILTER(RawTotals!$AJ:$AJ,RawTotals!$A:$A=AW109)-(FILTER(Data!$K:$K,Data!$B:$B=AW109,Data!$D:$D=$I109)+FILTER(Data!$L:$L,Data!$B:$B=AW109,Data!$D:$D=$I109)),""""),"""")"),"")</f>
        <v/>
      </c>
      <c r="CH109" s="69" t="str">
        <f>IFERROR(__xludf.DUMMYFUNCTION("IF($J109&lt;&gt;"""",IFERROR(FILTER(RawTotals!$AJ:$AJ,RawTotals!$A:$A=AX109)-(FILTER(Data!$K:$K,Data!$B:$B=AX109,Data!$D:$D=$J109)+FILTER(Data!$L:$L,Data!$B:$B=AX109,Data!$D:$D=$J109)),""""),"""")"),"")</f>
        <v/>
      </c>
      <c r="CI109" s="69" t="str">
        <f>IFERROR(__xludf.DUMMYFUNCTION("IF($J109&lt;&gt;"""",IFERROR(FILTER(RawTotals!$AJ:$AJ,RawTotals!$A:$A=AY109)-(FILTER(Data!$K:$K,Data!$B:$B=AY109,Data!$D:$D=$J109)+FILTER(Data!$L:$L,Data!$B:$B=AY109,Data!$D:$D=$J109)),""""),"""")"),"")</f>
        <v/>
      </c>
      <c r="CJ109" s="69" t="str">
        <f>IFERROR(__xludf.DUMMYFUNCTION("IF($J109&lt;&gt;"""",IFERROR(FILTER(RawTotals!$AJ:$AJ,RawTotals!$A:$A=AZ109)-(FILTER(Data!$K:$K,Data!$B:$B=AZ109,Data!$D:$D=$J109)+FILTER(Data!$L:$L,Data!$B:$B=AZ109,Data!$D:$D=$J109)),""""),"""")"),"")</f>
        <v/>
      </c>
      <c r="CK109" s="69" t="str">
        <f>IFERROR(__xludf.DUMMYFUNCTION("IF($K109&lt;&gt;"""",IFERROR(FILTER(RawTotals!$AJ:$AJ,RawTotals!$A:$A=BA109)-(FILTER(Data!$K:$K,Data!$B:$B=BA109,Data!$D:$D=$K109)+FILTER(Data!$L:$L,Data!$B:$B=BA109,Data!$D:$D=$K109)),""""),"""")"),"")</f>
        <v/>
      </c>
      <c r="CL109" s="69" t="str">
        <f>IFERROR(__xludf.DUMMYFUNCTION("IF($K109&lt;&gt;"""",IFERROR(FILTER(RawTotals!$AJ:$AJ,RawTotals!$A:$A=BB109)-(FILTER(Data!$K:$K,Data!$B:$B=BB109,Data!$D:$D=$K109)+FILTER(Data!$L:$L,Data!$B:$B=BB109,Data!$D:$D=$K109)),""""),"""")"),"")</f>
        <v/>
      </c>
      <c r="CM109" s="69" t="str">
        <f>IFERROR(__xludf.DUMMYFUNCTION("IF($K109&lt;&gt;"""",IFERROR(FILTER(RawTotals!$AJ:$AJ,RawTotals!$A:$A=BC109)-(FILTER(Data!$K:$K,Data!$B:$B=BC109,Data!$D:$D=$K109)+FILTER(Data!$L:$L,Data!$B:$B=BC109,Data!$D:$D=$K109)),""""),"""")"),"")</f>
        <v/>
      </c>
      <c r="CN109" s="69" t="str">
        <f>IFERROR(__xludf.DUMMYFUNCTION("IF($L109&lt;&gt;"""",IFERROR((FILTER(RawTotals!$AJ:$AJ,RawTotals!$A:$A=BD109)-(FILTER(Data!$K:$K,Data!$B:$B=BD109,Data!$D:$D=$L109)+FILTER(Data!$L:$L,Data!$B:$B=BD109,Data!$D:$D=$L109))),""""),"""")"),"")</f>
        <v/>
      </c>
      <c r="CO109" s="69" t="str">
        <f>IFERROR(__xludf.DUMMYFUNCTION("IF($L109&lt;&gt;"""",IFERROR((FILTER(RawTotals!$AJ:$AJ,RawTotals!$A:$A=BE109)-(FILTER(Data!$K:$K,Data!$B:$B=BE109,Data!$D:$D=$L109)+FILTER(Data!$L:$L,Data!$B:$B=BE109,Data!$D:$D=$L109))),""""),"""")"),"")</f>
        <v/>
      </c>
      <c r="CP109" s="69" t="str">
        <f>IFERROR(__xludf.DUMMYFUNCTION("IF($L109&lt;&gt;"""",IFERROR((FILTER(RawTotals!$AJ:$AJ,RawTotals!$A:$A=BF109)-(FILTER(Data!$K:$K,Data!$B:$B=BF109,Data!$D:$D=$L109)+FILTER(Data!$L:$L,Data!$B:$B=BF109,Data!$D:$D=$L109))),""""),"""")"),"")</f>
        <v/>
      </c>
      <c r="CQ109" s="69" t="str">
        <f>IFERROR(__xludf.DUMMYFUNCTION("IF($M109&lt;&gt;"""",IFERROR((FILTER(RawTotals!$AJ:$AJ,RawTotals!$A:$A=BG109)-(FILTER(Data!$K:$K,Data!$B:$B=BG109,Data!$D:$D=$M109)+FILTER(Data!$L:$L,Data!$B:$B=BG109,Data!$D:$D=$M109))),""""),"""")"),"")</f>
        <v/>
      </c>
      <c r="CR109" s="69" t="str">
        <f>IFERROR(__xludf.DUMMYFUNCTION("IF($M109&lt;&gt;"""",IFERROR((FILTER(RawTotals!$AJ:$AJ,RawTotals!$A:$A=BH109)-(FILTER(Data!$K:$K,Data!$B:$B=BH109,Data!$D:$D=$M109)+FILTER(Data!$L:$L,Data!$B:$B=BH109,Data!$D:$D=$M109))),""""),"""")"),"")</f>
        <v/>
      </c>
      <c r="CS109" s="70" t="str">
        <f>IFERROR(__xludf.DUMMYFUNCTION("IF($M109&lt;&gt;"""",IFERROR((FILTER(RawTotals!$AJ:$AJ,RawTotals!$A:$A=BI109)-(FILTER(Data!$K:$K,Data!$B:$B=BI109,Data!$D:$D=$M109)+FILTER(Data!$L:$L,Data!$B:$B=BI109,Data!$D:$D=$M109))),""""),"""")"),"")</f>
        <v/>
      </c>
      <c r="CT109" s="69"/>
      <c r="CU109" s="69"/>
      <c r="CV109" s="69"/>
      <c r="CW109" s="69"/>
      <c r="CX109" s="69"/>
      <c r="CY109" s="69"/>
      <c r="CZ109" s="69"/>
      <c r="DA109" s="69"/>
      <c r="DB109" s="69"/>
      <c r="DC109" s="69"/>
      <c r="DD109" s="69"/>
      <c r="DE109" s="69"/>
    </row>
    <row r="110">
      <c r="A110" s="65" t="str">
        <f>RawTotals!A110</f>
        <v/>
      </c>
      <c r="B110" s="68" t="str">
        <f>IFERROR(__xludf.DUMMYFUNCTION("IF(A110&lt;&gt;"""",IFERROR(TRANSPOSE(FILTER(Data!D:D,Data!B:B=A110,Data!R:R&lt;&gt;"""")),""No Defense""),"""")"),"")</f>
        <v/>
      </c>
      <c r="C110" s="65"/>
      <c r="D110" s="65"/>
      <c r="E110" s="65"/>
      <c r="F110" s="65"/>
      <c r="G110" s="65"/>
      <c r="H110" s="65"/>
      <c r="I110" s="65"/>
      <c r="J110" s="65"/>
      <c r="K110" s="65"/>
      <c r="L110" s="65"/>
      <c r="M110" s="65"/>
      <c r="N110" s="64" t="str">
        <f>IFERROR(__xludf.DUMMYFUNCTION("IFERROR(Textjoin("""",TRUE,FILTER(Data!$R:$R,Data!$D:$D=B110,Data!$B:$B=$A110)),"""")"),"")</f>
        <v/>
      </c>
      <c r="O110" s="64" t="str">
        <f>IFERROR(__xludf.DUMMYFUNCTION("IFERROR(Textjoin("""",TRUE,FILTER(Data!$R:$R,Data!$D:$D=C110,Data!$B:$B=$A110)),"""")"),"")</f>
        <v/>
      </c>
      <c r="P110" s="64" t="str">
        <f>IFERROR(__xludf.DUMMYFUNCTION("IFERROR(Textjoin("""",TRUE,FILTER(Data!$R:$R,Data!$D:$D=D110,Data!$B:$B=$A110)),"""")"),"")</f>
        <v/>
      </c>
      <c r="Q110" s="64" t="str">
        <f>IFERROR(__xludf.DUMMYFUNCTION("IFERROR(Textjoin("""",TRUE,FILTER(Data!$R:$R,Data!$D:$D=E110,Data!$B:$B=$A110)),"""")"),"")</f>
        <v/>
      </c>
      <c r="R110" s="64" t="str">
        <f>IFERROR(__xludf.DUMMYFUNCTION("IFERROR(Textjoin("""",TRUE,FILTER(Data!$R:$R,Data!$D:$D=F110,Data!$B:$B=$A110)),"""")"),"")</f>
        <v/>
      </c>
      <c r="S110" s="64" t="str">
        <f>IFERROR(__xludf.DUMMYFUNCTION("IFERROR(Textjoin("""",TRUE,FILTER(Data!$R:$R,Data!$D:$D=G110,Data!$B:$B=$A110)),"""")"),"")</f>
        <v/>
      </c>
      <c r="T110" s="64" t="str">
        <f>IFERROR(__xludf.DUMMYFUNCTION("IFERROR(Textjoin("""",TRUE,FILTER(Data!$R:$R,Data!$D:$D=H110,Data!$B:$B=$A110)),"""")"),"")</f>
        <v/>
      </c>
      <c r="U110" s="64" t="str">
        <f>IFERROR(__xludf.DUMMYFUNCTION("IFERROR(Textjoin("""",TRUE,FILTER(Data!$R:$R,Data!$D:$D=I110,Data!$B:$B=$A110)),"""")"),"")</f>
        <v/>
      </c>
      <c r="V110" s="64" t="str">
        <f>IFERROR(__xludf.DUMMYFUNCTION("IFERROR(Textjoin("""",TRUE,FILTER(Data!$R:$R,Data!$D:$D=J110,Data!$B:$B=$A110)),"""")"),"")</f>
        <v/>
      </c>
      <c r="W110" s="64" t="str">
        <f>IFERROR(__xludf.DUMMYFUNCTION("IFERROR(Textjoin("""",TRUE,FILTER(Data!$R:$R,Data!$D:$D=K110,Data!$B:$B=$A110)),"""")"),"")</f>
        <v/>
      </c>
      <c r="X110" s="64" t="str">
        <f>IFERROR(__xludf.DUMMYFUNCTION("IFERROR(Textjoin("""",TRUE,FILTER(Data!$R:$R,Data!$D:$D=L110,Data!$B:$B=$A110)),"""")"),"")</f>
        <v/>
      </c>
      <c r="Y110" s="64" t="str">
        <f>IFERROR(__xludf.DUMMYFUNCTION("IFERROR(Textjoin("""",TRUE,FILTER(Data!$R:$R,Data!$D:$D=M110,Data!$B:$B=$A110)),"""")"),"")</f>
        <v/>
      </c>
      <c r="Z110" s="64" t="str">
        <f>IFERROR(__xludf.DUMMYFUNCTION("IFERROR(SPLIT(N110,"",""),"""")"),"")</f>
        <v/>
      </c>
      <c r="AA110" s="65"/>
      <c r="AB110" s="65"/>
      <c r="AC110" s="69" t="str">
        <f>IFERROR(__xludf.DUMMYFUNCTION("IFERROR(SPLIT(O110,"",""),"""")"),"")</f>
        <v/>
      </c>
      <c r="AD110" s="65"/>
      <c r="AE110" s="65"/>
      <c r="AF110" s="69" t="str">
        <f>IFERROR(__xludf.DUMMYFUNCTION("IFERROR(SPLIT(P110,"",""),"""")"),"")</f>
        <v/>
      </c>
      <c r="AG110" s="65"/>
      <c r="AH110" s="65"/>
      <c r="AI110" s="69" t="str">
        <f>IFERROR(__xludf.DUMMYFUNCTION("IFERROR(SPLIT(Q110,"",""),"""")"),"")</f>
        <v/>
      </c>
      <c r="AJ110" s="65"/>
      <c r="AK110" s="65"/>
      <c r="AL110" s="69" t="str">
        <f>IFERROR(__xludf.DUMMYFUNCTION("IFERROR(SPLIT(R110,"",""),"""")"),"")</f>
        <v/>
      </c>
      <c r="AM110" s="65"/>
      <c r="AN110" s="65"/>
      <c r="AO110" s="69" t="str">
        <f>IFERROR(__xludf.DUMMYFUNCTION("IFERROR(SPLIT(S110,"",""),"""")"),"")</f>
        <v/>
      </c>
      <c r="AP110" s="65"/>
      <c r="AQ110" s="65"/>
      <c r="AR110" s="69" t="str">
        <f>IFERROR(__xludf.DUMMYFUNCTION("IFERROR(SPLIT(T110,"",""),"""")"),"")</f>
        <v/>
      </c>
      <c r="AS110" s="65"/>
      <c r="AT110" s="65"/>
      <c r="AU110" s="69" t="str">
        <f>IFERROR(__xludf.DUMMYFUNCTION("IFERROR(SPLIT(U110,"",""),"""")"),"")</f>
        <v/>
      </c>
      <c r="AV110" s="65"/>
      <c r="AW110" s="65"/>
      <c r="AX110" s="69" t="str">
        <f>IFERROR(__xludf.DUMMYFUNCTION("IFERROR(SPLIT(V110,"",""),"""")"),"")</f>
        <v/>
      </c>
      <c r="AY110" s="65"/>
      <c r="AZ110" s="65"/>
      <c r="BA110" s="69" t="str">
        <f>IFERROR(__xludf.DUMMYFUNCTION("IFERROR(SPLIT(W110,"",""),"""")"),"")</f>
        <v/>
      </c>
      <c r="BB110" s="69"/>
      <c r="BC110" s="69"/>
      <c r="BD110" s="69" t="str">
        <f>IFERROR(__xludf.DUMMYFUNCTION("IFERROR(SPLIT(X110,"",""),"""")"),"")</f>
        <v/>
      </c>
      <c r="BE110" s="69"/>
      <c r="BF110" s="69"/>
      <c r="BG110" s="69" t="str">
        <f>IFERROR(__xludf.DUMMYFUNCTION("IFERROR(SPLIT(Y110,"",""),"""")"),"")</f>
        <v/>
      </c>
      <c r="BH110" s="69"/>
      <c r="BI110" s="69"/>
      <c r="BJ110" s="68" t="str">
        <f>IFERROR(__xludf.DUMMYFUNCTION("IF($B110&lt;&gt;"""",IFERROR(FILTER(RawTotals!$AJ:$AJ,RawTotals!$A:$A=Z110)-(FILTER(Data!$K:$K,Data!$B:$B=Z110,Data!$D:$D=$B110)+FILTER(Data!$L:$L,Data!$B:$B=Z110,Data!$D:$D=$B110)),""""),"""")"),"")</f>
        <v/>
      </c>
      <c r="BK110" s="68" t="str">
        <f>IFERROR(__xludf.DUMMYFUNCTION("IF($B110&lt;&gt;"""",IFERROR(FILTER(RawTotals!$AJ:$AJ,RawTotals!$A:$A=AA110)-(FILTER(Data!$K:$K,Data!$B:$B=AA110,Data!$D:$D=$B110)+FILTER(Data!$L:$L,Data!$B:$B=AA110,Data!$D:$D=$B110)),""""),"""")"),"")</f>
        <v/>
      </c>
      <c r="BL110" s="68" t="str">
        <f>IFERROR(__xludf.DUMMYFUNCTION("IF($B110&lt;&gt;"""",IFERROR(FILTER(RawTotals!$AJ:$AJ,RawTotals!$A:$A=AB110)-(FILTER(Data!$K:$K,Data!$B:$B=AB110,Data!$D:$D=$B110)+FILTER(Data!$L:$L,Data!$B:$B=AB110,Data!$D:$D=$B110)),""""),"""")"),"")</f>
        <v/>
      </c>
      <c r="BM110" s="69" t="str">
        <f>IFERROR(__xludf.DUMMYFUNCTION("IF($C110&lt;&gt;"""",IFERROR(FILTER(RawTotals!$AJ:$AJ,RawTotals!$A:$A=AC110)-(FILTER(Data!$K:$K,Data!$B:$B=AC110,Data!$D:$D=$C110)+FILTER(Data!$L:$L,Data!$B:$B=AC110,Data!$D:$D=$C110)),""""),"""")"),"")</f>
        <v/>
      </c>
      <c r="BN110" s="69" t="str">
        <f>IFERROR(__xludf.DUMMYFUNCTION("IF($C110&lt;&gt;"""",IFERROR(FILTER(RawTotals!$AJ:$AJ,RawTotals!$A:$A=AD110)-(FILTER(Data!$K:$K,Data!$B:$B=AD110,Data!$D:$D=$C110)+FILTER(Data!$L:$L,Data!$B:$B=AD110,Data!$D:$D=$C110)),""""),"""")"),"")</f>
        <v/>
      </c>
      <c r="BO110" s="69" t="str">
        <f>IFERROR(__xludf.DUMMYFUNCTION("IF($C110&lt;&gt;"""",IFERROR(FILTER(RawTotals!$AJ:$AJ,RawTotals!$A:$A=AE110)-(FILTER(Data!$K:$K,Data!$B:$B=AE110,Data!$D:$D=$C110)+FILTER(Data!$L:$L,Data!$B:$B=AE110,Data!$D:$D=$C110)),""""),"""")"),"")</f>
        <v/>
      </c>
      <c r="BP110" s="69" t="str">
        <f>IFERROR(__xludf.DUMMYFUNCTION("IF($D110&lt;&gt;"""",IFERROR(FILTER(RawTotals!$AJ:$AJ,RawTotals!$A:$A=AF110)-(FILTER(Data!$K:$K,Data!$B:$B=AF110,Data!$D:$D=$D110)+FILTER(Data!$L:$L,Data!$B:$B=AF110,Data!$D:$D=$D110)),""""),"""")"),"")</f>
        <v/>
      </c>
      <c r="BQ110" s="69" t="str">
        <f>IFERROR(__xludf.DUMMYFUNCTION("IF($D110&lt;&gt;"""",IFERROR(FILTER(RawTotals!$AJ:$AJ,RawTotals!$A:$A=AG110)-(FILTER(Data!$K:$K,Data!$B:$B=AG110,Data!$D:$D=$D110)+FILTER(Data!$L:$L,Data!$B:$B=AG110,Data!$D:$D=$D110)),""""),"""")"),"")</f>
        <v/>
      </c>
      <c r="BR110" s="69" t="str">
        <f>IFERROR(__xludf.DUMMYFUNCTION("IF($D110&lt;&gt;"""",IFERROR(FILTER(RawTotals!$AJ:$AJ,RawTotals!$A:$A=AH110)-(FILTER(Data!$K:$K,Data!$B:$B=AH110,Data!$D:$D=$D110)+FILTER(Data!$L:$L,Data!$B:$B=AH110,Data!$D:$D=$D110)),""""),"""")"),"")</f>
        <v/>
      </c>
      <c r="BS110" s="69" t="str">
        <f>IFERROR(__xludf.DUMMYFUNCTION("IF($E110&lt;&gt;"""",IFERROR(FILTER(RawTotals!$AJ:$AJ,RawTotals!$A:$A=AI110)-(FILTER(Data!$K:$K,Data!$B:$B=AI110,Data!$D:$D=$E110)+FILTER(Data!$L:$L,Data!$B:$B=AI110,Data!$D:$D=$E110)),""""),"""")"),"")</f>
        <v/>
      </c>
      <c r="BT110" s="69" t="str">
        <f>IFERROR(__xludf.DUMMYFUNCTION("IF($E110&lt;&gt;"""",IFERROR(FILTER(RawTotals!$AJ:$AJ,RawTotals!$A:$A=AJ110)-(FILTER(Data!$K:$K,Data!$B:$B=AJ110,Data!$D:$D=$E110)+FILTER(Data!$L:$L,Data!$B:$B=AJ110,Data!$D:$D=$E110)),""""),"""")"),"")</f>
        <v/>
      </c>
      <c r="BU110" s="69" t="str">
        <f>IFERROR(__xludf.DUMMYFUNCTION("IF($E110&lt;&gt;"""",IFERROR(FILTER(RawTotals!$AJ:$AJ,RawTotals!$A:$A=AK110)-(FILTER(Data!$K:$K,Data!$B:$B=AK110,Data!$D:$D=$E110)+FILTER(Data!$L:$L,Data!$B:$B=AK110,Data!$D:$D=$E110)),""""),"""")"),"")</f>
        <v/>
      </c>
      <c r="BV110" s="69" t="str">
        <f>IFERROR(__xludf.DUMMYFUNCTION("IF($F110&lt;&gt;"""",IFERROR(FILTER(RawTotals!$AJ:$AJ,RawTotals!$A:$A=AL110)-(FILTER(Data!$K:$K,Data!$B:$B=AL110,Data!$D:$D=$F110)+FILTER(Data!$L:$L,Data!$B:$B=AL110,Data!$D:$D=$F110)),""""),"""")"),"")</f>
        <v/>
      </c>
      <c r="BW110" s="69" t="str">
        <f>IFERROR(__xludf.DUMMYFUNCTION("IF($F110&lt;&gt;"""",IFERROR(FILTER(RawTotals!$AJ:$AJ,RawTotals!$A:$A=AM110)-(FILTER(Data!$K:$K,Data!$B:$B=AM110,Data!$D:$D=$F110)+FILTER(Data!$L:$L,Data!$B:$B=AM110,Data!$D:$D=$F110)),""""),"""")"),"")</f>
        <v/>
      </c>
      <c r="BX110" s="69" t="str">
        <f>IFERROR(__xludf.DUMMYFUNCTION("IF($F110&lt;&gt;"""",IFERROR(FILTER(RawTotals!$AJ:$AJ,RawTotals!$A:$A=AN110)-(FILTER(Data!$K:$K,Data!$B:$B=AN110,Data!$D:$D=$F110)+FILTER(Data!$L:$L,Data!$B:$B=AN110,Data!$D:$D=$F110)),""""),"""")"),"")</f>
        <v/>
      </c>
      <c r="BY110" s="69" t="str">
        <f>IFERROR(__xludf.DUMMYFUNCTION("IF($G110&lt;&gt;"""",IFERROR(FILTER(RawTotals!$AJ:$AJ,RawTotals!$A:$A=AO110)-(FILTER(Data!$K:$K,Data!$B:$B=AO110,Data!$D:$D=$G110)+FILTER(Data!$L:$L,Data!$B:$B=AO110,Data!$D:$D=$G110)),""""),"""")"),"")</f>
        <v/>
      </c>
      <c r="BZ110" s="69" t="str">
        <f>IFERROR(__xludf.DUMMYFUNCTION("IF($G110&lt;&gt;"""",IFERROR(FILTER(RawTotals!$AJ:$AJ,RawTotals!$A:$A=AP110)-(FILTER(Data!$K:$K,Data!$B:$B=AP110,Data!$D:$D=$G110)+FILTER(Data!$L:$L,Data!$B:$B=AP110,Data!$D:$D=$G110)),""""),"""")"),"")</f>
        <v/>
      </c>
      <c r="CA110" s="69" t="str">
        <f>IFERROR(__xludf.DUMMYFUNCTION("IF($G110&lt;&gt;"""",IFERROR(FILTER(RawTotals!$AJ:$AJ,RawTotals!$A:$A=AQ110)-(FILTER(Data!$K:$K,Data!$B:$B=AQ110,Data!$D:$D=$G110)+FILTER(Data!$L:$L,Data!$B:$B=AQ110,Data!$D:$D=$G110)),""""),"""")"),"")</f>
        <v/>
      </c>
      <c r="CB110" s="69" t="str">
        <f>IFERROR(__xludf.DUMMYFUNCTION("IF($H110&lt;&gt;"""",IFERROR(FILTER(RawTotals!$AJ:$AJ,RawTotals!$A:$A=AR110)-(FILTER(Data!$K:$K,Data!$B:$B=AR110,Data!$D:$D=$H110)+FILTER(Data!$L:$L,Data!$B:$B=AR110,Data!$D:$D=$H110)),""""),"""")"),"")</f>
        <v/>
      </c>
      <c r="CC110" s="69" t="str">
        <f>IFERROR(__xludf.DUMMYFUNCTION("IF($H110&lt;&gt;"""",IFERROR(FILTER(RawTotals!$AJ:$AJ,RawTotals!$A:$A=AS110)-(FILTER(Data!$K:$K,Data!$B:$B=AS110,Data!$D:$D=$H110)+FILTER(Data!$L:$L,Data!$B:$B=AS110,Data!$D:$D=$H110)),""""),"""")"),"")</f>
        <v/>
      </c>
      <c r="CD110" s="69" t="str">
        <f>IFERROR(__xludf.DUMMYFUNCTION("IF($H110&lt;&gt;"""",IFERROR(FILTER(RawTotals!$AJ:$AJ,RawTotals!$A:$A=AT110)-(FILTER(Data!$K:$K,Data!$B:$B=AT110,Data!$D:$D=$H110)+FILTER(Data!$L:$L,Data!$B:$B=AT110,Data!$D:$D=$H110)),""""),"""")"),"")</f>
        <v/>
      </c>
      <c r="CE110" s="69" t="str">
        <f>IFERROR(__xludf.DUMMYFUNCTION("IF($I110&lt;&gt;"""",IFERROR(FILTER(RawTotals!$AJ:$AJ,RawTotals!$A:$A=AU110)-(FILTER(Data!$K:$K,Data!$B:$B=AU110,Data!$D:$D=$I110)+FILTER(Data!$L:$L,Data!$B:$B=AU110,Data!$D:$D=$I110)),""""),"""")"),"")</f>
        <v/>
      </c>
      <c r="CF110" s="69" t="str">
        <f>IFERROR(__xludf.DUMMYFUNCTION("IF($I110&lt;&gt;"""",IFERROR(FILTER(RawTotals!$AJ:$AJ,RawTotals!$A:$A=AV110)-(FILTER(Data!$K:$K,Data!$B:$B=AV110,Data!$D:$D=$I110)+FILTER(Data!$L:$L,Data!$B:$B=AV110,Data!$D:$D=$I110)),""""),"""")"),"")</f>
        <v/>
      </c>
      <c r="CG110" s="69" t="str">
        <f>IFERROR(__xludf.DUMMYFUNCTION("IF($I110&lt;&gt;"""",IFERROR(FILTER(RawTotals!$AJ:$AJ,RawTotals!$A:$A=AW110)-(FILTER(Data!$K:$K,Data!$B:$B=AW110,Data!$D:$D=$I110)+FILTER(Data!$L:$L,Data!$B:$B=AW110,Data!$D:$D=$I110)),""""),"""")"),"")</f>
        <v/>
      </c>
      <c r="CH110" s="69" t="str">
        <f>IFERROR(__xludf.DUMMYFUNCTION("IF($J110&lt;&gt;"""",IFERROR(FILTER(RawTotals!$AJ:$AJ,RawTotals!$A:$A=AX110)-(FILTER(Data!$K:$K,Data!$B:$B=AX110,Data!$D:$D=$J110)+FILTER(Data!$L:$L,Data!$B:$B=AX110,Data!$D:$D=$J110)),""""),"""")"),"")</f>
        <v/>
      </c>
      <c r="CI110" s="69" t="str">
        <f>IFERROR(__xludf.DUMMYFUNCTION("IF($J110&lt;&gt;"""",IFERROR(FILTER(RawTotals!$AJ:$AJ,RawTotals!$A:$A=AY110)-(FILTER(Data!$K:$K,Data!$B:$B=AY110,Data!$D:$D=$J110)+FILTER(Data!$L:$L,Data!$B:$B=AY110,Data!$D:$D=$J110)),""""),"""")"),"")</f>
        <v/>
      </c>
      <c r="CJ110" s="69" t="str">
        <f>IFERROR(__xludf.DUMMYFUNCTION("IF($J110&lt;&gt;"""",IFERROR(FILTER(RawTotals!$AJ:$AJ,RawTotals!$A:$A=AZ110)-(FILTER(Data!$K:$K,Data!$B:$B=AZ110,Data!$D:$D=$J110)+FILTER(Data!$L:$L,Data!$B:$B=AZ110,Data!$D:$D=$J110)),""""),"""")"),"")</f>
        <v/>
      </c>
      <c r="CK110" s="69" t="str">
        <f>IFERROR(__xludf.DUMMYFUNCTION("IF($K110&lt;&gt;"""",IFERROR(FILTER(RawTotals!$AJ:$AJ,RawTotals!$A:$A=BA110)-(FILTER(Data!$K:$K,Data!$B:$B=BA110,Data!$D:$D=$K110)+FILTER(Data!$L:$L,Data!$B:$B=BA110,Data!$D:$D=$K110)),""""),"""")"),"")</f>
        <v/>
      </c>
      <c r="CL110" s="69" t="str">
        <f>IFERROR(__xludf.DUMMYFUNCTION("IF($K110&lt;&gt;"""",IFERROR(FILTER(RawTotals!$AJ:$AJ,RawTotals!$A:$A=BB110)-(FILTER(Data!$K:$K,Data!$B:$B=BB110,Data!$D:$D=$K110)+FILTER(Data!$L:$L,Data!$B:$B=BB110,Data!$D:$D=$K110)),""""),"""")"),"")</f>
        <v/>
      </c>
      <c r="CM110" s="69" t="str">
        <f>IFERROR(__xludf.DUMMYFUNCTION("IF($K110&lt;&gt;"""",IFERROR(FILTER(RawTotals!$AJ:$AJ,RawTotals!$A:$A=BC110)-(FILTER(Data!$K:$K,Data!$B:$B=BC110,Data!$D:$D=$K110)+FILTER(Data!$L:$L,Data!$B:$B=BC110,Data!$D:$D=$K110)),""""),"""")"),"")</f>
        <v/>
      </c>
      <c r="CN110" s="69" t="str">
        <f>IFERROR(__xludf.DUMMYFUNCTION("IF($L110&lt;&gt;"""",IFERROR((FILTER(RawTotals!$AJ:$AJ,RawTotals!$A:$A=BD110)-(FILTER(Data!$K:$K,Data!$B:$B=BD110,Data!$D:$D=$L110)+FILTER(Data!$L:$L,Data!$B:$B=BD110,Data!$D:$D=$L110))),""""),"""")"),"")</f>
        <v/>
      </c>
      <c r="CO110" s="69" t="str">
        <f>IFERROR(__xludf.DUMMYFUNCTION("IF($L110&lt;&gt;"""",IFERROR((FILTER(RawTotals!$AJ:$AJ,RawTotals!$A:$A=BE110)-(FILTER(Data!$K:$K,Data!$B:$B=BE110,Data!$D:$D=$L110)+FILTER(Data!$L:$L,Data!$B:$B=BE110,Data!$D:$D=$L110))),""""),"""")"),"")</f>
        <v/>
      </c>
      <c r="CP110" s="69" t="str">
        <f>IFERROR(__xludf.DUMMYFUNCTION("IF($L110&lt;&gt;"""",IFERROR((FILTER(RawTotals!$AJ:$AJ,RawTotals!$A:$A=BF110)-(FILTER(Data!$K:$K,Data!$B:$B=BF110,Data!$D:$D=$L110)+FILTER(Data!$L:$L,Data!$B:$B=BF110,Data!$D:$D=$L110))),""""),"""")"),"")</f>
        <v/>
      </c>
      <c r="CQ110" s="69" t="str">
        <f>IFERROR(__xludf.DUMMYFUNCTION("IF($M110&lt;&gt;"""",IFERROR((FILTER(RawTotals!$AJ:$AJ,RawTotals!$A:$A=BG110)-(FILTER(Data!$K:$K,Data!$B:$B=BG110,Data!$D:$D=$M110)+FILTER(Data!$L:$L,Data!$B:$B=BG110,Data!$D:$D=$M110))),""""),"""")"),"")</f>
        <v/>
      </c>
      <c r="CR110" s="69" t="str">
        <f>IFERROR(__xludf.DUMMYFUNCTION("IF($M110&lt;&gt;"""",IFERROR((FILTER(RawTotals!$AJ:$AJ,RawTotals!$A:$A=BH110)-(FILTER(Data!$K:$K,Data!$B:$B=BH110,Data!$D:$D=$M110)+FILTER(Data!$L:$L,Data!$B:$B=BH110,Data!$D:$D=$M110))),""""),"""")"),"")</f>
        <v/>
      </c>
      <c r="CS110" s="70" t="str">
        <f>IFERROR(__xludf.DUMMYFUNCTION("IF($M110&lt;&gt;"""",IFERROR((FILTER(RawTotals!$AJ:$AJ,RawTotals!$A:$A=BI110)-(FILTER(Data!$K:$K,Data!$B:$B=BI110,Data!$D:$D=$M110)+FILTER(Data!$L:$L,Data!$B:$B=BI110,Data!$D:$D=$M110))),""""),"""")"),"")</f>
        <v/>
      </c>
      <c r="CT110" s="69"/>
      <c r="CU110" s="69"/>
      <c r="CV110" s="69"/>
      <c r="CW110" s="69"/>
      <c r="CX110" s="69"/>
      <c r="CY110" s="69"/>
      <c r="CZ110" s="69"/>
      <c r="DA110" s="69"/>
      <c r="DB110" s="69"/>
      <c r="DC110" s="69"/>
      <c r="DD110" s="69"/>
      <c r="DE110" s="69"/>
    </row>
    <row r="111">
      <c r="A111" s="65" t="str">
        <f>RawTotals!A111</f>
        <v/>
      </c>
      <c r="B111" s="68" t="str">
        <f>IFERROR(__xludf.DUMMYFUNCTION("IF(A111&lt;&gt;"""",IFERROR(TRANSPOSE(FILTER(Data!D:D,Data!B:B=A111,Data!R:R&lt;&gt;"""")),""No Defense""),"""")"),"")</f>
        <v/>
      </c>
      <c r="C111" s="65"/>
      <c r="D111" s="65"/>
      <c r="E111" s="65"/>
      <c r="F111" s="65"/>
      <c r="G111" s="65"/>
      <c r="H111" s="65"/>
      <c r="I111" s="65"/>
      <c r="J111" s="65"/>
      <c r="K111" s="65"/>
      <c r="L111" s="65"/>
      <c r="M111" s="65"/>
      <c r="N111" s="64" t="str">
        <f>IFERROR(__xludf.DUMMYFUNCTION("IFERROR(Textjoin("""",TRUE,FILTER(Data!$R:$R,Data!$D:$D=B111,Data!$B:$B=$A111)),"""")"),"")</f>
        <v/>
      </c>
      <c r="O111" s="64" t="str">
        <f>IFERROR(__xludf.DUMMYFUNCTION("IFERROR(Textjoin("""",TRUE,FILTER(Data!$R:$R,Data!$D:$D=C111,Data!$B:$B=$A111)),"""")"),"")</f>
        <v/>
      </c>
      <c r="P111" s="64" t="str">
        <f>IFERROR(__xludf.DUMMYFUNCTION("IFERROR(Textjoin("""",TRUE,FILTER(Data!$R:$R,Data!$D:$D=D111,Data!$B:$B=$A111)),"""")"),"")</f>
        <v/>
      </c>
      <c r="Q111" s="64" t="str">
        <f>IFERROR(__xludf.DUMMYFUNCTION("IFERROR(Textjoin("""",TRUE,FILTER(Data!$R:$R,Data!$D:$D=E111,Data!$B:$B=$A111)),"""")"),"")</f>
        <v/>
      </c>
      <c r="R111" s="64" t="str">
        <f>IFERROR(__xludf.DUMMYFUNCTION("IFERROR(Textjoin("""",TRUE,FILTER(Data!$R:$R,Data!$D:$D=F111,Data!$B:$B=$A111)),"""")"),"")</f>
        <v/>
      </c>
      <c r="S111" s="64" t="str">
        <f>IFERROR(__xludf.DUMMYFUNCTION("IFERROR(Textjoin("""",TRUE,FILTER(Data!$R:$R,Data!$D:$D=G111,Data!$B:$B=$A111)),"""")"),"")</f>
        <v/>
      </c>
      <c r="T111" s="64" t="str">
        <f>IFERROR(__xludf.DUMMYFUNCTION("IFERROR(Textjoin("""",TRUE,FILTER(Data!$R:$R,Data!$D:$D=H111,Data!$B:$B=$A111)),"""")"),"")</f>
        <v/>
      </c>
      <c r="U111" s="64" t="str">
        <f>IFERROR(__xludf.DUMMYFUNCTION("IFERROR(Textjoin("""",TRUE,FILTER(Data!$R:$R,Data!$D:$D=I111,Data!$B:$B=$A111)),"""")"),"")</f>
        <v/>
      </c>
      <c r="V111" s="64" t="str">
        <f>IFERROR(__xludf.DUMMYFUNCTION("IFERROR(Textjoin("""",TRUE,FILTER(Data!$R:$R,Data!$D:$D=J111,Data!$B:$B=$A111)),"""")"),"")</f>
        <v/>
      </c>
      <c r="W111" s="64" t="str">
        <f>IFERROR(__xludf.DUMMYFUNCTION("IFERROR(Textjoin("""",TRUE,FILTER(Data!$R:$R,Data!$D:$D=K111,Data!$B:$B=$A111)),"""")"),"")</f>
        <v/>
      </c>
      <c r="X111" s="64" t="str">
        <f>IFERROR(__xludf.DUMMYFUNCTION("IFERROR(Textjoin("""",TRUE,FILTER(Data!$R:$R,Data!$D:$D=L111,Data!$B:$B=$A111)),"""")"),"")</f>
        <v/>
      </c>
      <c r="Y111" s="64" t="str">
        <f>IFERROR(__xludf.DUMMYFUNCTION("IFERROR(Textjoin("""",TRUE,FILTER(Data!$R:$R,Data!$D:$D=M111,Data!$B:$B=$A111)),"""")"),"")</f>
        <v/>
      </c>
      <c r="Z111" s="64" t="str">
        <f>IFERROR(__xludf.DUMMYFUNCTION("IFERROR(SPLIT(N111,"",""),"""")"),"")</f>
        <v/>
      </c>
      <c r="AA111" s="65"/>
      <c r="AB111" s="65"/>
      <c r="AC111" s="69" t="str">
        <f>IFERROR(__xludf.DUMMYFUNCTION("IFERROR(SPLIT(O111,"",""),"""")"),"")</f>
        <v/>
      </c>
      <c r="AD111" s="65"/>
      <c r="AE111" s="65"/>
      <c r="AF111" s="69" t="str">
        <f>IFERROR(__xludf.DUMMYFUNCTION("IFERROR(SPLIT(P111,"",""),"""")"),"")</f>
        <v/>
      </c>
      <c r="AG111" s="65"/>
      <c r="AH111" s="65"/>
      <c r="AI111" s="69" t="str">
        <f>IFERROR(__xludf.DUMMYFUNCTION("IFERROR(SPLIT(Q111,"",""),"""")"),"")</f>
        <v/>
      </c>
      <c r="AJ111" s="65"/>
      <c r="AK111" s="65"/>
      <c r="AL111" s="69" t="str">
        <f>IFERROR(__xludf.DUMMYFUNCTION("IFERROR(SPLIT(R111,"",""),"""")"),"")</f>
        <v/>
      </c>
      <c r="AM111" s="65"/>
      <c r="AN111" s="65"/>
      <c r="AO111" s="69" t="str">
        <f>IFERROR(__xludf.DUMMYFUNCTION("IFERROR(SPLIT(S111,"",""),"""")"),"")</f>
        <v/>
      </c>
      <c r="AP111" s="65"/>
      <c r="AQ111" s="65"/>
      <c r="AR111" s="69" t="str">
        <f>IFERROR(__xludf.DUMMYFUNCTION("IFERROR(SPLIT(T111,"",""),"""")"),"")</f>
        <v/>
      </c>
      <c r="AS111" s="65"/>
      <c r="AT111" s="65"/>
      <c r="AU111" s="69" t="str">
        <f>IFERROR(__xludf.DUMMYFUNCTION("IFERROR(SPLIT(U111,"",""),"""")"),"")</f>
        <v/>
      </c>
      <c r="AV111" s="65"/>
      <c r="AW111" s="65"/>
      <c r="AX111" s="69" t="str">
        <f>IFERROR(__xludf.DUMMYFUNCTION("IFERROR(SPLIT(V111,"",""),"""")"),"")</f>
        <v/>
      </c>
      <c r="AY111" s="65"/>
      <c r="AZ111" s="65"/>
      <c r="BA111" s="69" t="str">
        <f>IFERROR(__xludf.DUMMYFUNCTION("IFERROR(SPLIT(W111,"",""),"""")"),"")</f>
        <v/>
      </c>
      <c r="BB111" s="69"/>
      <c r="BC111" s="69"/>
      <c r="BD111" s="69" t="str">
        <f>IFERROR(__xludf.DUMMYFUNCTION("IFERROR(SPLIT(X111,"",""),"""")"),"")</f>
        <v/>
      </c>
      <c r="BE111" s="69"/>
      <c r="BF111" s="69"/>
      <c r="BG111" s="69" t="str">
        <f>IFERROR(__xludf.DUMMYFUNCTION("IFERROR(SPLIT(Y111,"",""),"""")"),"")</f>
        <v/>
      </c>
      <c r="BH111" s="69"/>
      <c r="BI111" s="69"/>
      <c r="BJ111" s="68" t="str">
        <f>IFERROR(__xludf.DUMMYFUNCTION("IF($B111&lt;&gt;"""",IFERROR(FILTER(RawTotals!$AJ:$AJ,RawTotals!$A:$A=Z111)-(FILTER(Data!$K:$K,Data!$B:$B=Z111,Data!$D:$D=$B111)+FILTER(Data!$L:$L,Data!$B:$B=Z111,Data!$D:$D=$B111)),""""),"""")"),"")</f>
        <v/>
      </c>
      <c r="BK111" s="68" t="str">
        <f>IFERROR(__xludf.DUMMYFUNCTION("IF($B111&lt;&gt;"""",IFERROR(FILTER(RawTotals!$AJ:$AJ,RawTotals!$A:$A=AA111)-(FILTER(Data!$K:$K,Data!$B:$B=AA111,Data!$D:$D=$B111)+FILTER(Data!$L:$L,Data!$B:$B=AA111,Data!$D:$D=$B111)),""""),"""")"),"")</f>
        <v/>
      </c>
      <c r="BL111" s="68" t="str">
        <f>IFERROR(__xludf.DUMMYFUNCTION("IF($B111&lt;&gt;"""",IFERROR(FILTER(RawTotals!$AJ:$AJ,RawTotals!$A:$A=AB111)-(FILTER(Data!$K:$K,Data!$B:$B=AB111,Data!$D:$D=$B111)+FILTER(Data!$L:$L,Data!$B:$B=AB111,Data!$D:$D=$B111)),""""),"""")"),"")</f>
        <v/>
      </c>
      <c r="BM111" s="69" t="str">
        <f>IFERROR(__xludf.DUMMYFUNCTION("IF($C111&lt;&gt;"""",IFERROR(FILTER(RawTotals!$AJ:$AJ,RawTotals!$A:$A=AC111)-(FILTER(Data!$K:$K,Data!$B:$B=AC111,Data!$D:$D=$C111)+FILTER(Data!$L:$L,Data!$B:$B=AC111,Data!$D:$D=$C111)),""""),"""")"),"")</f>
        <v/>
      </c>
      <c r="BN111" s="69" t="str">
        <f>IFERROR(__xludf.DUMMYFUNCTION("IF($C111&lt;&gt;"""",IFERROR(FILTER(RawTotals!$AJ:$AJ,RawTotals!$A:$A=AD111)-(FILTER(Data!$K:$K,Data!$B:$B=AD111,Data!$D:$D=$C111)+FILTER(Data!$L:$L,Data!$B:$B=AD111,Data!$D:$D=$C111)),""""),"""")"),"")</f>
        <v/>
      </c>
      <c r="BO111" s="69" t="str">
        <f>IFERROR(__xludf.DUMMYFUNCTION("IF($C111&lt;&gt;"""",IFERROR(FILTER(RawTotals!$AJ:$AJ,RawTotals!$A:$A=AE111)-(FILTER(Data!$K:$K,Data!$B:$B=AE111,Data!$D:$D=$C111)+FILTER(Data!$L:$L,Data!$B:$B=AE111,Data!$D:$D=$C111)),""""),"""")"),"")</f>
        <v/>
      </c>
      <c r="BP111" s="69" t="str">
        <f>IFERROR(__xludf.DUMMYFUNCTION("IF($D111&lt;&gt;"""",IFERROR(FILTER(RawTotals!$AJ:$AJ,RawTotals!$A:$A=AF111)-(FILTER(Data!$K:$K,Data!$B:$B=AF111,Data!$D:$D=$D111)+FILTER(Data!$L:$L,Data!$B:$B=AF111,Data!$D:$D=$D111)),""""),"""")"),"")</f>
        <v/>
      </c>
      <c r="BQ111" s="69" t="str">
        <f>IFERROR(__xludf.DUMMYFUNCTION("IF($D111&lt;&gt;"""",IFERROR(FILTER(RawTotals!$AJ:$AJ,RawTotals!$A:$A=AG111)-(FILTER(Data!$K:$K,Data!$B:$B=AG111,Data!$D:$D=$D111)+FILTER(Data!$L:$L,Data!$B:$B=AG111,Data!$D:$D=$D111)),""""),"""")"),"")</f>
        <v/>
      </c>
      <c r="BR111" s="69" t="str">
        <f>IFERROR(__xludf.DUMMYFUNCTION("IF($D111&lt;&gt;"""",IFERROR(FILTER(RawTotals!$AJ:$AJ,RawTotals!$A:$A=AH111)-(FILTER(Data!$K:$K,Data!$B:$B=AH111,Data!$D:$D=$D111)+FILTER(Data!$L:$L,Data!$B:$B=AH111,Data!$D:$D=$D111)),""""),"""")"),"")</f>
        <v/>
      </c>
      <c r="BS111" s="69" t="str">
        <f>IFERROR(__xludf.DUMMYFUNCTION("IF($E111&lt;&gt;"""",IFERROR(FILTER(RawTotals!$AJ:$AJ,RawTotals!$A:$A=AI111)-(FILTER(Data!$K:$K,Data!$B:$B=AI111,Data!$D:$D=$E111)+FILTER(Data!$L:$L,Data!$B:$B=AI111,Data!$D:$D=$E111)),""""),"""")"),"")</f>
        <v/>
      </c>
      <c r="BT111" s="69" t="str">
        <f>IFERROR(__xludf.DUMMYFUNCTION("IF($E111&lt;&gt;"""",IFERROR(FILTER(RawTotals!$AJ:$AJ,RawTotals!$A:$A=AJ111)-(FILTER(Data!$K:$K,Data!$B:$B=AJ111,Data!$D:$D=$E111)+FILTER(Data!$L:$L,Data!$B:$B=AJ111,Data!$D:$D=$E111)),""""),"""")"),"")</f>
        <v/>
      </c>
      <c r="BU111" s="69" t="str">
        <f>IFERROR(__xludf.DUMMYFUNCTION("IF($E111&lt;&gt;"""",IFERROR(FILTER(RawTotals!$AJ:$AJ,RawTotals!$A:$A=AK111)-(FILTER(Data!$K:$K,Data!$B:$B=AK111,Data!$D:$D=$E111)+FILTER(Data!$L:$L,Data!$B:$B=AK111,Data!$D:$D=$E111)),""""),"""")"),"")</f>
        <v/>
      </c>
      <c r="BV111" s="69" t="str">
        <f>IFERROR(__xludf.DUMMYFUNCTION("IF($F111&lt;&gt;"""",IFERROR(FILTER(RawTotals!$AJ:$AJ,RawTotals!$A:$A=AL111)-(FILTER(Data!$K:$K,Data!$B:$B=AL111,Data!$D:$D=$F111)+FILTER(Data!$L:$L,Data!$B:$B=AL111,Data!$D:$D=$F111)),""""),"""")"),"")</f>
        <v/>
      </c>
      <c r="BW111" s="69" t="str">
        <f>IFERROR(__xludf.DUMMYFUNCTION("IF($F111&lt;&gt;"""",IFERROR(FILTER(RawTotals!$AJ:$AJ,RawTotals!$A:$A=AM111)-(FILTER(Data!$K:$K,Data!$B:$B=AM111,Data!$D:$D=$F111)+FILTER(Data!$L:$L,Data!$B:$B=AM111,Data!$D:$D=$F111)),""""),"""")"),"")</f>
        <v/>
      </c>
      <c r="BX111" s="69" t="str">
        <f>IFERROR(__xludf.DUMMYFUNCTION("IF($F111&lt;&gt;"""",IFERROR(FILTER(RawTotals!$AJ:$AJ,RawTotals!$A:$A=AN111)-(FILTER(Data!$K:$K,Data!$B:$B=AN111,Data!$D:$D=$F111)+FILTER(Data!$L:$L,Data!$B:$B=AN111,Data!$D:$D=$F111)),""""),"""")"),"")</f>
        <v/>
      </c>
      <c r="BY111" s="69" t="str">
        <f>IFERROR(__xludf.DUMMYFUNCTION("IF($G111&lt;&gt;"""",IFERROR(FILTER(RawTotals!$AJ:$AJ,RawTotals!$A:$A=AO111)-(FILTER(Data!$K:$K,Data!$B:$B=AO111,Data!$D:$D=$G111)+FILTER(Data!$L:$L,Data!$B:$B=AO111,Data!$D:$D=$G111)),""""),"""")"),"")</f>
        <v/>
      </c>
      <c r="BZ111" s="69" t="str">
        <f>IFERROR(__xludf.DUMMYFUNCTION("IF($G111&lt;&gt;"""",IFERROR(FILTER(RawTotals!$AJ:$AJ,RawTotals!$A:$A=AP111)-(FILTER(Data!$K:$K,Data!$B:$B=AP111,Data!$D:$D=$G111)+FILTER(Data!$L:$L,Data!$B:$B=AP111,Data!$D:$D=$G111)),""""),"""")"),"")</f>
        <v/>
      </c>
      <c r="CA111" s="69" t="str">
        <f>IFERROR(__xludf.DUMMYFUNCTION("IF($G111&lt;&gt;"""",IFERROR(FILTER(RawTotals!$AJ:$AJ,RawTotals!$A:$A=AQ111)-(FILTER(Data!$K:$K,Data!$B:$B=AQ111,Data!$D:$D=$G111)+FILTER(Data!$L:$L,Data!$B:$B=AQ111,Data!$D:$D=$G111)),""""),"""")"),"")</f>
        <v/>
      </c>
      <c r="CB111" s="69" t="str">
        <f>IFERROR(__xludf.DUMMYFUNCTION("IF($H111&lt;&gt;"""",IFERROR(FILTER(RawTotals!$AJ:$AJ,RawTotals!$A:$A=AR111)-(FILTER(Data!$K:$K,Data!$B:$B=AR111,Data!$D:$D=$H111)+FILTER(Data!$L:$L,Data!$B:$B=AR111,Data!$D:$D=$H111)),""""),"""")"),"")</f>
        <v/>
      </c>
      <c r="CC111" s="69" t="str">
        <f>IFERROR(__xludf.DUMMYFUNCTION("IF($H111&lt;&gt;"""",IFERROR(FILTER(RawTotals!$AJ:$AJ,RawTotals!$A:$A=AS111)-(FILTER(Data!$K:$K,Data!$B:$B=AS111,Data!$D:$D=$H111)+FILTER(Data!$L:$L,Data!$B:$B=AS111,Data!$D:$D=$H111)),""""),"""")"),"")</f>
        <v/>
      </c>
      <c r="CD111" s="69" t="str">
        <f>IFERROR(__xludf.DUMMYFUNCTION("IF($H111&lt;&gt;"""",IFERROR(FILTER(RawTotals!$AJ:$AJ,RawTotals!$A:$A=AT111)-(FILTER(Data!$K:$K,Data!$B:$B=AT111,Data!$D:$D=$H111)+FILTER(Data!$L:$L,Data!$B:$B=AT111,Data!$D:$D=$H111)),""""),"""")"),"")</f>
        <v/>
      </c>
      <c r="CE111" s="69" t="str">
        <f>IFERROR(__xludf.DUMMYFUNCTION("IF($I111&lt;&gt;"""",IFERROR(FILTER(RawTotals!$AJ:$AJ,RawTotals!$A:$A=AU111)-(FILTER(Data!$K:$K,Data!$B:$B=AU111,Data!$D:$D=$I111)+FILTER(Data!$L:$L,Data!$B:$B=AU111,Data!$D:$D=$I111)),""""),"""")"),"")</f>
        <v/>
      </c>
      <c r="CF111" s="69" t="str">
        <f>IFERROR(__xludf.DUMMYFUNCTION("IF($I111&lt;&gt;"""",IFERROR(FILTER(RawTotals!$AJ:$AJ,RawTotals!$A:$A=AV111)-(FILTER(Data!$K:$K,Data!$B:$B=AV111,Data!$D:$D=$I111)+FILTER(Data!$L:$L,Data!$B:$B=AV111,Data!$D:$D=$I111)),""""),"""")"),"")</f>
        <v/>
      </c>
      <c r="CG111" s="69" t="str">
        <f>IFERROR(__xludf.DUMMYFUNCTION("IF($I111&lt;&gt;"""",IFERROR(FILTER(RawTotals!$AJ:$AJ,RawTotals!$A:$A=AW111)-(FILTER(Data!$K:$K,Data!$B:$B=AW111,Data!$D:$D=$I111)+FILTER(Data!$L:$L,Data!$B:$B=AW111,Data!$D:$D=$I111)),""""),"""")"),"")</f>
        <v/>
      </c>
      <c r="CH111" s="69" t="str">
        <f>IFERROR(__xludf.DUMMYFUNCTION("IF($J111&lt;&gt;"""",IFERROR(FILTER(RawTotals!$AJ:$AJ,RawTotals!$A:$A=AX111)-(FILTER(Data!$K:$K,Data!$B:$B=AX111,Data!$D:$D=$J111)+FILTER(Data!$L:$L,Data!$B:$B=AX111,Data!$D:$D=$J111)),""""),"""")"),"")</f>
        <v/>
      </c>
      <c r="CI111" s="69" t="str">
        <f>IFERROR(__xludf.DUMMYFUNCTION("IF($J111&lt;&gt;"""",IFERROR(FILTER(RawTotals!$AJ:$AJ,RawTotals!$A:$A=AY111)-(FILTER(Data!$K:$K,Data!$B:$B=AY111,Data!$D:$D=$J111)+FILTER(Data!$L:$L,Data!$B:$B=AY111,Data!$D:$D=$J111)),""""),"""")"),"")</f>
        <v/>
      </c>
      <c r="CJ111" s="69" t="str">
        <f>IFERROR(__xludf.DUMMYFUNCTION("IF($J111&lt;&gt;"""",IFERROR(FILTER(RawTotals!$AJ:$AJ,RawTotals!$A:$A=AZ111)-(FILTER(Data!$K:$K,Data!$B:$B=AZ111,Data!$D:$D=$J111)+FILTER(Data!$L:$L,Data!$B:$B=AZ111,Data!$D:$D=$J111)),""""),"""")"),"")</f>
        <v/>
      </c>
      <c r="CK111" s="69" t="str">
        <f>IFERROR(__xludf.DUMMYFUNCTION("IF($K111&lt;&gt;"""",IFERROR(FILTER(RawTotals!$AJ:$AJ,RawTotals!$A:$A=BA111)-(FILTER(Data!$K:$K,Data!$B:$B=BA111,Data!$D:$D=$K111)+FILTER(Data!$L:$L,Data!$B:$B=BA111,Data!$D:$D=$K111)),""""),"""")"),"")</f>
        <v/>
      </c>
      <c r="CL111" s="69" t="str">
        <f>IFERROR(__xludf.DUMMYFUNCTION("IF($K111&lt;&gt;"""",IFERROR(FILTER(RawTotals!$AJ:$AJ,RawTotals!$A:$A=BB111)-(FILTER(Data!$K:$K,Data!$B:$B=BB111,Data!$D:$D=$K111)+FILTER(Data!$L:$L,Data!$B:$B=BB111,Data!$D:$D=$K111)),""""),"""")"),"")</f>
        <v/>
      </c>
      <c r="CM111" s="69" t="str">
        <f>IFERROR(__xludf.DUMMYFUNCTION("IF($K111&lt;&gt;"""",IFERROR(FILTER(RawTotals!$AJ:$AJ,RawTotals!$A:$A=BC111)-(FILTER(Data!$K:$K,Data!$B:$B=BC111,Data!$D:$D=$K111)+FILTER(Data!$L:$L,Data!$B:$B=BC111,Data!$D:$D=$K111)),""""),"""")"),"")</f>
        <v/>
      </c>
      <c r="CN111" s="69" t="str">
        <f>IFERROR(__xludf.DUMMYFUNCTION("IF($L111&lt;&gt;"""",IFERROR((FILTER(RawTotals!$AJ:$AJ,RawTotals!$A:$A=BD111)-(FILTER(Data!$K:$K,Data!$B:$B=BD111,Data!$D:$D=$L111)+FILTER(Data!$L:$L,Data!$B:$B=BD111,Data!$D:$D=$L111))),""""),"""")"),"")</f>
        <v/>
      </c>
      <c r="CO111" s="69" t="str">
        <f>IFERROR(__xludf.DUMMYFUNCTION("IF($L111&lt;&gt;"""",IFERROR((FILTER(RawTotals!$AJ:$AJ,RawTotals!$A:$A=BE111)-(FILTER(Data!$K:$K,Data!$B:$B=BE111,Data!$D:$D=$L111)+FILTER(Data!$L:$L,Data!$B:$B=BE111,Data!$D:$D=$L111))),""""),"""")"),"")</f>
        <v/>
      </c>
      <c r="CP111" s="69" t="str">
        <f>IFERROR(__xludf.DUMMYFUNCTION("IF($L111&lt;&gt;"""",IFERROR((FILTER(RawTotals!$AJ:$AJ,RawTotals!$A:$A=BF111)-(FILTER(Data!$K:$K,Data!$B:$B=BF111,Data!$D:$D=$L111)+FILTER(Data!$L:$L,Data!$B:$B=BF111,Data!$D:$D=$L111))),""""),"""")"),"")</f>
        <v/>
      </c>
      <c r="CQ111" s="69" t="str">
        <f>IFERROR(__xludf.DUMMYFUNCTION("IF($M111&lt;&gt;"""",IFERROR((FILTER(RawTotals!$AJ:$AJ,RawTotals!$A:$A=BG111)-(FILTER(Data!$K:$K,Data!$B:$B=BG111,Data!$D:$D=$M111)+FILTER(Data!$L:$L,Data!$B:$B=BG111,Data!$D:$D=$M111))),""""),"""")"),"")</f>
        <v/>
      </c>
      <c r="CR111" s="69" t="str">
        <f>IFERROR(__xludf.DUMMYFUNCTION("IF($M111&lt;&gt;"""",IFERROR((FILTER(RawTotals!$AJ:$AJ,RawTotals!$A:$A=BH111)-(FILTER(Data!$K:$K,Data!$B:$B=BH111,Data!$D:$D=$M111)+FILTER(Data!$L:$L,Data!$B:$B=BH111,Data!$D:$D=$M111))),""""),"""")"),"")</f>
        <v/>
      </c>
      <c r="CS111" s="70" t="str">
        <f>IFERROR(__xludf.DUMMYFUNCTION("IF($M111&lt;&gt;"""",IFERROR((FILTER(RawTotals!$AJ:$AJ,RawTotals!$A:$A=BI111)-(FILTER(Data!$K:$K,Data!$B:$B=BI111,Data!$D:$D=$M111)+FILTER(Data!$L:$L,Data!$B:$B=BI111,Data!$D:$D=$M111))),""""),"""")"),"")</f>
        <v/>
      </c>
      <c r="CT111" s="69"/>
      <c r="CU111" s="69"/>
      <c r="CV111" s="69"/>
      <c r="CW111" s="69"/>
      <c r="CX111" s="69"/>
      <c r="CY111" s="69"/>
      <c r="CZ111" s="69"/>
      <c r="DA111" s="69"/>
      <c r="DB111" s="69"/>
      <c r="DC111" s="69"/>
      <c r="DD111" s="69"/>
      <c r="DE111" s="69"/>
    </row>
    <row r="112">
      <c r="A112" s="65" t="str">
        <f>RawTotals!A112</f>
        <v/>
      </c>
      <c r="B112" s="68" t="str">
        <f>IFERROR(__xludf.DUMMYFUNCTION("IF(A112&lt;&gt;"""",IFERROR(TRANSPOSE(FILTER(Data!D:D,Data!B:B=A112,Data!R:R&lt;&gt;"""")),""No Defense""),"""")"),"")</f>
        <v/>
      </c>
      <c r="C112" s="65"/>
      <c r="D112" s="65"/>
      <c r="E112" s="65"/>
      <c r="F112" s="65"/>
      <c r="G112" s="65"/>
      <c r="H112" s="65"/>
      <c r="I112" s="65"/>
      <c r="J112" s="65"/>
      <c r="K112" s="65"/>
      <c r="L112" s="65"/>
      <c r="M112" s="65"/>
      <c r="N112" s="64" t="str">
        <f>IFERROR(__xludf.DUMMYFUNCTION("IFERROR(Textjoin("""",TRUE,FILTER(Data!$R:$R,Data!$D:$D=B112,Data!$B:$B=$A112)),"""")"),"")</f>
        <v/>
      </c>
      <c r="O112" s="64" t="str">
        <f>IFERROR(__xludf.DUMMYFUNCTION("IFERROR(Textjoin("""",TRUE,FILTER(Data!$R:$R,Data!$D:$D=C112,Data!$B:$B=$A112)),"""")"),"")</f>
        <v/>
      </c>
      <c r="P112" s="64" t="str">
        <f>IFERROR(__xludf.DUMMYFUNCTION("IFERROR(Textjoin("""",TRUE,FILTER(Data!$R:$R,Data!$D:$D=D112,Data!$B:$B=$A112)),"""")"),"")</f>
        <v/>
      </c>
      <c r="Q112" s="64" t="str">
        <f>IFERROR(__xludf.DUMMYFUNCTION("IFERROR(Textjoin("""",TRUE,FILTER(Data!$R:$R,Data!$D:$D=E112,Data!$B:$B=$A112)),"""")"),"")</f>
        <v/>
      </c>
      <c r="R112" s="64" t="str">
        <f>IFERROR(__xludf.DUMMYFUNCTION("IFERROR(Textjoin("""",TRUE,FILTER(Data!$R:$R,Data!$D:$D=F112,Data!$B:$B=$A112)),"""")"),"")</f>
        <v/>
      </c>
      <c r="S112" s="64" t="str">
        <f>IFERROR(__xludf.DUMMYFUNCTION("IFERROR(Textjoin("""",TRUE,FILTER(Data!$R:$R,Data!$D:$D=G112,Data!$B:$B=$A112)),"""")"),"")</f>
        <v/>
      </c>
      <c r="T112" s="64" t="str">
        <f>IFERROR(__xludf.DUMMYFUNCTION("IFERROR(Textjoin("""",TRUE,FILTER(Data!$R:$R,Data!$D:$D=H112,Data!$B:$B=$A112)),"""")"),"")</f>
        <v/>
      </c>
      <c r="U112" s="64" t="str">
        <f>IFERROR(__xludf.DUMMYFUNCTION("IFERROR(Textjoin("""",TRUE,FILTER(Data!$R:$R,Data!$D:$D=I112,Data!$B:$B=$A112)),"""")"),"")</f>
        <v/>
      </c>
      <c r="V112" s="64" t="str">
        <f>IFERROR(__xludf.DUMMYFUNCTION("IFERROR(Textjoin("""",TRUE,FILTER(Data!$R:$R,Data!$D:$D=J112,Data!$B:$B=$A112)),"""")"),"")</f>
        <v/>
      </c>
      <c r="W112" s="64" t="str">
        <f>IFERROR(__xludf.DUMMYFUNCTION("IFERROR(Textjoin("""",TRUE,FILTER(Data!$R:$R,Data!$D:$D=K112,Data!$B:$B=$A112)),"""")"),"")</f>
        <v/>
      </c>
      <c r="X112" s="64" t="str">
        <f>IFERROR(__xludf.DUMMYFUNCTION("IFERROR(Textjoin("""",TRUE,FILTER(Data!$R:$R,Data!$D:$D=L112,Data!$B:$B=$A112)),"""")"),"")</f>
        <v/>
      </c>
      <c r="Y112" s="64" t="str">
        <f>IFERROR(__xludf.DUMMYFUNCTION("IFERROR(Textjoin("""",TRUE,FILTER(Data!$R:$R,Data!$D:$D=M112,Data!$B:$B=$A112)),"""")"),"")</f>
        <v/>
      </c>
      <c r="Z112" s="64" t="str">
        <f>IFERROR(__xludf.DUMMYFUNCTION("IFERROR(SPLIT(N112,"",""),"""")"),"")</f>
        <v/>
      </c>
      <c r="AA112" s="65"/>
      <c r="AB112" s="65"/>
      <c r="AC112" s="69" t="str">
        <f>IFERROR(__xludf.DUMMYFUNCTION("IFERROR(SPLIT(O112,"",""),"""")"),"")</f>
        <v/>
      </c>
      <c r="AD112" s="65"/>
      <c r="AE112" s="65"/>
      <c r="AF112" s="69" t="str">
        <f>IFERROR(__xludf.DUMMYFUNCTION("IFERROR(SPLIT(P112,"",""),"""")"),"")</f>
        <v/>
      </c>
      <c r="AG112" s="65"/>
      <c r="AH112" s="65"/>
      <c r="AI112" s="69" t="str">
        <f>IFERROR(__xludf.DUMMYFUNCTION("IFERROR(SPLIT(Q112,"",""),"""")"),"")</f>
        <v/>
      </c>
      <c r="AJ112" s="65"/>
      <c r="AK112" s="65"/>
      <c r="AL112" s="69" t="str">
        <f>IFERROR(__xludf.DUMMYFUNCTION("IFERROR(SPLIT(R112,"",""),"""")"),"")</f>
        <v/>
      </c>
      <c r="AM112" s="65"/>
      <c r="AN112" s="65"/>
      <c r="AO112" s="69" t="str">
        <f>IFERROR(__xludf.DUMMYFUNCTION("IFERROR(SPLIT(S112,"",""),"""")"),"")</f>
        <v/>
      </c>
      <c r="AP112" s="65"/>
      <c r="AQ112" s="65"/>
      <c r="AR112" s="69" t="str">
        <f>IFERROR(__xludf.DUMMYFUNCTION("IFERROR(SPLIT(T112,"",""),"""")"),"")</f>
        <v/>
      </c>
      <c r="AS112" s="65"/>
      <c r="AT112" s="65"/>
      <c r="AU112" s="69" t="str">
        <f>IFERROR(__xludf.DUMMYFUNCTION("IFERROR(SPLIT(U112,"",""),"""")"),"")</f>
        <v/>
      </c>
      <c r="AV112" s="65"/>
      <c r="AW112" s="65"/>
      <c r="AX112" s="69" t="str">
        <f>IFERROR(__xludf.DUMMYFUNCTION("IFERROR(SPLIT(V112,"",""),"""")"),"")</f>
        <v/>
      </c>
      <c r="AY112" s="65"/>
      <c r="AZ112" s="65"/>
      <c r="BA112" s="69" t="str">
        <f>IFERROR(__xludf.DUMMYFUNCTION("IFERROR(SPLIT(W112,"",""),"""")"),"")</f>
        <v/>
      </c>
      <c r="BB112" s="69"/>
      <c r="BC112" s="69"/>
      <c r="BD112" s="69" t="str">
        <f>IFERROR(__xludf.DUMMYFUNCTION("IFERROR(SPLIT(X112,"",""),"""")"),"")</f>
        <v/>
      </c>
      <c r="BE112" s="69"/>
      <c r="BF112" s="69"/>
      <c r="BG112" s="69" t="str">
        <f>IFERROR(__xludf.DUMMYFUNCTION("IFERROR(SPLIT(Y112,"",""),"""")"),"")</f>
        <v/>
      </c>
      <c r="BH112" s="69"/>
      <c r="BI112" s="69"/>
      <c r="BJ112" s="68" t="str">
        <f>IFERROR(__xludf.DUMMYFUNCTION("IF($B112&lt;&gt;"""",IFERROR(FILTER(RawTotals!$AJ:$AJ,RawTotals!$A:$A=Z112)-(FILTER(Data!$K:$K,Data!$B:$B=Z112,Data!$D:$D=$B112)+FILTER(Data!$L:$L,Data!$B:$B=Z112,Data!$D:$D=$B112)),""""),"""")"),"")</f>
        <v/>
      </c>
      <c r="BK112" s="68" t="str">
        <f>IFERROR(__xludf.DUMMYFUNCTION("IF($B112&lt;&gt;"""",IFERROR(FILTER(RawTotals!$AJ:$AJ,RawTotals!$A:$A=AA112)-(FILTER(Data!$K:$K,Data!$B:$B=AA112,Data!$D:$D=$B112)+FILTER(Data!$L:$L,Data!$B:$B=AA112,Data!$D:$D=$B112)),""""),"""")"),"")</f>
        <v/>
      </c>
      <c r="BL112" s="68" t="str">
        <f>IFERROR(__xludf.DUMMYFUNCTION("IF($B112&lt;&gt;"""",IFERROR(FILTER(RawTotals!$AJ:$AJ,RawTotals!$A:$A=AB112)-(FILTER(Data!$K:$K,Data!$B:$B=AB112,Data!$D:$D=$B112)+FILTER(Data!$L:$L,Data!$B:$B=AB112,Data!$D:$D=$B112)),""""),"""")"),"")</f>
        <v/>
      </c>
      <c r="BM112" s="69" t="str">
        <f>IFERROR(__xludf.DUMMYFUNCTION("IF($C112&lt;&gt;"""",IFERROR(FILTER(RawTotals!$AJ:$AJ,RawTotals!$A:$A=AC112)-(FILTER(Data!$K:$K,Data!$B:$B=AC112,Data!$D:$D=$C112)+FILTER(Data!$L:$L,Data!$B:$B=AC112,Data!$D:$D=$C112)),""""),"""")"),"")</f>
        <v/>
      </c>
      <c r="BN112" s="69" t="str">
        <f>IFERROR(__xludf.DUMMYFUNCTION("IF($C112&lt;&gt;"""",IFERROR(FILTER(RawTotals!$AJ:$AJ,RawTotals!$A:$A=AD112)-(FILTER(Data!$K:$K,Data!$B:$B=AD112,Data!$D:$D=$C112)+FILTER(Data!$L:$L,Data!$B:$B=AD112,Data!$D:$D=$C112)),""""),"""")"),"")</f>
        <v/>
      </c>
      <c r="BO112" s="69" t="str">
        <f>IFERROR(__xludf.DUMMYFUNCTION("IF($C112&lt;&gt;"""",IFERROR(FILTER(RawTotals!$AJ:$AJ,RawTotals!$A:$A=AE112)-(FILTER(Data!$K:$K,Data!$B:$B=AE112,Data!$D:$D=$C112)+FILTER(Data!$L:$L,Data!$B:$B=AE112,Data!$D:$D=$C112)),""""),"""")"),"")</f>
        <v/>
      </c>
      <c r="BP112" s="69" t="str">
        <f>IFERROR(__xludf.DUMMYFUNCTION("IF($D112&lt;&gt;"""",IFERROR(FILTER(RawTotals!$AJ:$AJ,RawTotals!$A:$A=AF112)-(FILTER(Data!$K:$K,Data!$B:$B=AF112,Data!$D:$D=$D112)+FILTER(Data!$L:$L,Data!$B:$B=AF112,Data!$D:$D=$D112)),""""),"""")"),"")</f>
        <v/>
      </c>
      <c r="BQ112" s="69" t="str">
        <f>IFERROR(__xludf.DUMMYFUNCTION("IF($D112&lt;&gt;"""",IFERROR(FILTER(RawTotals!$AJ:$AJ,RawTotals!$A:$A=AG112)-(FILTER(Data!$K:$K,Data!$B:$B=AG112,Data!$D:$D=$D112)+FILTER(Data!$L:$L,Data!$B:$B=AG112,Data!$D:$D=$D112)),""""),"""")"),"")</f>
        <v/>
      </c>
      <c r="BR112" s="69" t="str">
        <f>IFERROR(__xludf.DUMMYFUNCTION("IF($D112&lt;&gt;"""",IFERROR(FILTER(RawTotals!$AJ:$AJ,RawTotals!$A:$A=AH112)-(FILTER(Data!$K:$K,Data!$B:$B=AH112,Data!$D:$D=$D112)+FILTER(Data!$L:$L,Data!$B:$B=AH112,Data!$D:$D=$D112)),""""),"""")"),"")</f>
        <v/>
      </c>
      <c r="BS112" s="69" t="str">
        <f>IFERROR(__xludf.DUMMYFUNCTION("IF($E112&lt;&gt;"""",IFERROR(FILTER(RawTotals!$AJ:$AJ,RawTotals!$A:$A=AI112)-(FILTER(Data!$K:$K,Data!$B:$B=AI112,Data!$D:$D=$E112)+FILTER(Data!$L:$L,Data!$B:$B=AI112,Data!$D:$D=$E112)),""""),"""")"),"")</f>
        <v/>
      </c>
      <c r="BT112" s="69" t="str">
        <f>IFERROR(__xludf.DUMMYFUNCTION("IF($E112&lt;&gt;"""",IFERROR(FILTER(RawTotals!$AJ:$AJ,RawTotals!$A:$A=AJ112)-(FILTER(Data!$K:$K,Data!$B:$B=AJ112,Data!$D:$D=$E112)+FILTER(Data!$L:$L,Data!$B:$B=AJ112,Data!$D:$D=$E112)),""""),"""")"),"")</f>
        <v/>
      </c>
      <c r="BU112" s="69" t="str">
        <f>IFERROR(__xludf.DUMMYFUNCTION("IF($E112&lt;&gt;"""",IFERROR(FILTER(RawTotals!$AJ:$AJ,RawTotals!$A:$A=AK112)-(FILTER(Data!$K:$K,Data!$B:$B=AK112,Data!$D:$D=$E112)+FILTER(Data!$L:$L,Data!$B:$B=AK112,Data!$D:$D=$E112)),""""),"""")"),"")</f>
        <v/>
      </c>
      <c r="BV112" s="69" t="str">
        <f>IFERROR(__xludf.DUMMYFUNCTION("IF($F112&lt;&gt;"""",IFERROR(FILTER(RawTotals!$AJ:$AJ,RawTotals!$A:$A=AL112)-(FILTER(Data!$K:$K,Data!$B:$B=AL112,Data!$D:$D=$F112)+FILTER(Data!$L:$L,Data!$B:$B=AL112,Data!$D:$D=$F112)),""""),"""")"),"")</f>
        <v/>
      </c>
      <c r="BW112" s="69" t="str">
        <f>IFERROR(__xludf.DUMMYFUNCTION("IF($F112&lt;&gt;"""",IFERROR(FILTER(RawTotals!$AJ:$AJ,RawTotals!$A:$A=AM112)-(FILTER(Data!$K:$K,Data!$B:$B=AM112,Data!$D:$D=$F112)+FILTER(Data!$L:$L,Data!$B:$B=AM112,Data!$D:$D=$F112)),""""),"""")"),"")</f>
        <v/>
      </c>
      <c r="BX112" s="69" t="str">
        <f>IFERROR(__xludf.DUMMYFUNCTION("IF($F112&lt;&gt;"""",IFERROR(FILTER(RawTotals!$AJ:$AJ,RawTotals!$A:$A=AN112)-(FILTER(Data!$K:$K,Data!$B:$B=AN112,Data!$D:$D=$F112)+FILTER(Data!$L:$L,Data!$B:$B=AN112,Data!$D:$D=$F112)),""""),"""")"),"")</f>
        <v/>
      </c>
      <c r="BY112" s="69" t="str">
        <f>IFERROR(__xludf.DUMMYFUNCTION("IF($G112&lt;&gt;"""",IFERROR(FILTER(RawTotals!$AJ:$AJ,RawTotals!$A:$A=AO112)-(FILTER(Data!$K:$K,Data!$B:$B=AO112,Data!$D:$D=$G112)+FILTER(Data!$L:$L,Data!$B:$B=AO112,Data!$D:$D=$G112)),""""),"""")"),"")</f>
        <v/>
      </c>
      <c r="BZ112" s="69" t="str">
        <f>IFERROR(__xludf.DUMMYFUNCTION("IF($G112&lt;&gt;"""",IFERROR(FILTER(RawTotals!$AJ:$AJ,RawTotals!$A:$A=AP112)-(FILTER(Data!$K:$K,Data!$B:$B=AP112,Data!$D:$D=$G112)+FILTER(Data!$L:$L,Data!$B:$B=AP112,Data!$D:$D=$G112)),""""),"""")"),"")</f>
        <v/>
      </c>
      <c r="CA112" s="69" t="str">
        <f>IFERROR(__xludf.DUMMYFUNCTION("IF($G112&lt;&gt;"""",IFERROR(FILTER(RawTotals!$AJ:$AJ,RawTotals!$A:$A=AQ112)-(FILTER(Data!$K:$K,Data!$B:$B=AQ112,Data!$D:$D=$G112)+FILTER(Data!$L:$L,Data!$B:$B=AQ112,Data!$D:$D=$G112)),""""),"""")"),"")</f>
        <v/>
      </c>
      <c r="CB112" s="69" t="str">
        <f>IFERROR(__xludf.DUMMYFUNCTION("IF($H112&lt;&gt;"""",IFERROR(FILTER(RawTotals!$AJ:$AJ,RawTotals!$A:$A=AR112)-(FILTER(Data!$K:$K,Data!$B:$B=AR112,Data!$D:$D=$H112)+FILTER(Data!$L:$L,Data!$B:$B=AR112,Data!$D:$D=$H112)),""""),"""")"),"")</f>
        <v/>
      </c>
      <c r="CC112" s="69" t="str">
        <f>IFERROR(__xludf.DUMMYFUNCTION("IF($H112&lt;&gt;"""",IFERROR(FILTER(RawTotals!$AJ:$AJ,RawTotals!$A:$A=AS112)-(FILTER(Data!$K:$K,Data!$B:$B=AS112,Data!$D:$D=$H112)+FILTER(Data!$L:$L,Data!$B:$B=AS112,Data!$D:$D=$H112)),""""),"""")"),"")</f>
        <v/>
      </c>
      <c r="CD112" s="69" t="str">
        <f>IFERROR(__xludf.DUMMYFUNCTION("IF($H112&lt;&gt;"""",IFERROR(FILTER(RawTotals!$AJ:$AJ,RawTotals!$A:$A=AT112)-(FILTER(Data!$K:$K,Data!$B:$B=AT112,Data!$D:$D=$H112)+FILTER(Data!$L:$L,Data!$B:$B=AT112,Data!$D:$D=$H112)),""""),"""")"),"")</f>
        <v/>
      </c>
      <c r="CE112" s="69" t="str">
        <f>IFERROR(__xludf.DUMMYFUNCTION("IF($I112&lt;&gt;"""",IFERROR(FILTER(RawTotals!$AJ:$AJ,RawTotals!$A:$A=AU112)-(FILTER(Data!$K:$K,Data!$B:$B=AU112,Data!$D:$D=$I112)+FILTER(Data!$L:$L,Data!$B:$B=AU112,Data!$D:$D=$I112)),""""),"""")"),"")</f>
        <v/>
      </c>
      <c r="CF112" s="69" t="str">
        <f>IFERROR(__xludf.DUMMYFUNCTION("IF($I112&lt;&gt;"""",IFERROR(FILTER(RawTotals!$AJ:$AJ,RawTotals!$A:$A=AV112)-(FILTER(Data!$K:$K,Data!$B:$B=AV112,Data!$D:$D=$I112)+FILTER(Data!$L:$L,Data!$B:$B=AV112,Data!$D:$D=$I112)),""""),"""")"),"")</f>
        <v/>
      </c>
      <c r="CG112" s="69" t="str">
        <f>IFERROR(__xludf.DUMMYFUNCTION("IF($I112&lt;&gt;"""",IFERROR(FILTER(RawTotals!$AJ:$AJ,RawTotals!$A:$A=AW112)-(FILTER(Data!$K:$K,Data!$B:$B=AW112,Data!$D:$D=$I112)+FILTER(Data!$L:$L,Data!$B:$B=AW112,Data!$D:$D=$I112)),""""),"""")"),"")</f>
        <v/>
      </c>
      <c r="CH112" s="69" t="str">
        <f>IFERROR(__xludf.DUMMYFUNCTION("IF($J112&lt;&gt;"""",IFERROR(FILTER(RawTotals!$AJ:$AJ,RawTotals!$A:$A=AX112)-(FILTER(Data!$K:$K,Data!$B:$B=AX112,Data!$D:$D=$J112)+FILTER(Data!$L:$L,Data!$B:$B=AX112,Data!$D:$D=$J112)),""""),"""")"),"")</f>
        <v/>
      </c>
      <c r="CI112" s="69" t="str">
        <f>IFERROR(__xludf.DUMMYFUNCTION("IF($J112&lt;&gt;"""",IFERROR(FILTER(RawTotals!$AJ:$AJ,RawTotals!$A:$A=AY112)-(FILTER(Data!$K:$K,Data!$B:$B=AY112,Data!$D:$D=$J112)+FILTER(Data!$L:$L,Data!$B:$B=AY112,Data!$D:$D=$J112)),""""),"""")"),"")</f>
        <v/>
      </c>
      <c r="CJ112" s="69" t="str">
        <f>IFERROR(__xludf.DUMMYFUNCTION("IF($J112&lt;&gt;"""",IFERROR(FILTER(RawTotals!$AJ:$AJ,RawTotals!$A:$A=AZ112)-(FILTER(Data!$K:$K,Data!$B:$B=AZ112,Data!$D:$D=$J112)+FILTER(Data!$L:$L,Data!$B:$B=AZ112,Data!$D:$D=$J112)),""""),"""")"),"")</f>
        <v/>
      </c>
      <c r="CK112" s="69" t="str">
        <f>IFERROR(__xludf.DUMMYFUNCTION("IF($K112&lt;&gt;"""",IFERROR(FILTER(RawTotals!$AJ:$AJ,RawTotals!$A:$A=BA112)-(FILTER(Data!$K:$K,Data!$B:$B=BA112,Data!$D:$D=$K112)+FILTER(Data!$L:$L,Data!$B:$B=BA112,Data!$D:$D=$K112)),""""),"""")"),"")</f>
        <v/>
      </c>
      <c r="CL112" s="69" t="str">
        <f>IFERROR(__xludf.DUMMYFUNCTION("IF($K112&lt;&gt;"""",IFERROR(FILTER(RawTotals!$AJ:$AJ,RawTotals!$A:$A=BB112)-(FILTER(Data!$K:$K,Data!$B:$B=BB112,Data!$D:$D=$K112)+FILTER(Data!$L:$L,Data!$B:$B=BB112,Data!$D:$D=$K112)),""""),"""")"),"")</f>
        <v/>
      </c>
      <c r="CM112" s="69" t="str">
        <f>IFERROR(__xludf.DUMMYFUNCTION("IF($K112&lt;&gt;"""",IFERROR(FILTER(RawTotals!$AJ:$AJ,RawTotals!$A:$A=BC112)-(FILTER(Data!$K:$K,Data!$B:$B=BC112,Data!$D:$D=$K112)+FILTER(Data!$L:$L,Data!$B:$B=BC112,Data!$D:$D=$K112)),""""),"""")"),"")</f>
        <v/>
      </c>
      <c r="CN112" s="69" t="str">
        <f>IFERROR(__xludf.DUMMYFUNCTION("IF($L112&lt;&gt;"""",IFERROR((FILTER(RawTotals!$AJ:$AJ,RawTotals!$A:$A=BD112)-(FILTER(Data!$K:$K,Data!$B:$B=BD112,Data!$D:$D=$L112)+FILTER(Data!$L:$L,Data!$B:$B=BD112,Data!$D:$D=$L112))),""""),"""")"),"")</f>
        <v/>
      </c>
      <c r="CO112" s="69" t="str">
        <f>IFERROR(__xludf.DUMMYFUNCTION("IF($L112&lt;&gt;"""",IFERROR((FILTER(RawTotals!$AJ:$AJ,RawTotals!$A:$A=BE112)-(FILTER(Data!$K:$K,Data!$B:$B=BE112,Data!$D:$D=$L112)+FILTER(Data!$L:$L,Data!$B:$B=BE112,Data!$D:$D=$L112))),""""),"""")"),"")</f>
        <v/>
      </c>
      <c r="CP112" s="69" t="str">
        <f>IFERROR(__xludf.DUMMYFUNCTION("IF($L112&lt;&gt;"""",IFERROR((FILTER(RawTotals!$AJ:$AJ,RawTotals!$A:$A=BF112)-(FILTER(Data!$K:$K,Data!$B:$B=BF112,Data!$D:$D=$L112)+FILTER(Data!$L:$L,Data!$B:$B=BF112,Data!$D:$D=$L112))),""""),"""")"),"")</f>
        <v/>
      </c>
      <c r="CQ112" s="69" t="str">
        <f>IFERROR(__xludf.DUMMYFUNCTION("IF($M112&lt;&gt;"""",IFERROR((FILTER(RawTotals!$AJ:$AJ,RawTotals!$A:$A=BG112)-(FILTER(Data!$K:$K,Data!$B:$B=BG112,Data!$D:$D=$M112)+FILTER(Data!$L:$L,Data!$B:$B=BG112,Data!$D:$D=$M112))),""""),"""")"),"")</f>
        <v/>
      </c>
      <c r="CR112" s="69" t="str">
        <f>IFERROR(__xludf.DUMMYFUNCTION("IF($M112&lt;&gt;"""",IFERROR((FILTER(RawTotals!$AJ:$AJ,RawTotals!$A:$A=BH112)-(FILTER(Data!$K:$K,Data!$B:$B=BH112,Data!$D:$D=$M112)+FILTER(Data!$L:$L,Data!$B:$B=BH112,Data!$D:$D=$M112))),""""),"""")"),"")</f>
        <v/>
      </c>
      <c r="CS112" s="70" t="str">
        <f>IFERROR(__xludf.DUMMYFUNCTION("IF($M112&lt;&gt;"""",IFERROR((FILTER(RawTotals!$AJ:$AJ,RawTotals!$A:$A=BI112)-(FILTER(Data!$K:$K,Data!$B:$B=BI112,Data!$D:$D=$M112)+FILTER(Data!$L:$L,Data!$B:$B=BI112,Data!$D:$D=$M112))),""""),"""")"),"")</f>
        <v/>
      </c>
      <c r="CT112" s="69"/>
      <c r="CU112" s="69"/>
      <c r="CV112" s="69"/>
      <c r="CW112" s="69"/>
      <c r="CX112" s="69"/>
      <c r="CY112" s="69"/>
      <c r="CZ112" s="69"/>
      <c r="DA112" s="69"/>
      <c r="DB112" s="69"/>
      <c r="DC112" s="69"/>
      <c r="DD112" s="69"/>
      <c r="DE112" s="69"/>
    </row>
    <row r="113">
      <c r="A113" s="65" t="str">
        <f>RawTotals!A113</f>
        <v/>
      </c>
      <c r="B113" s="68" t="str">
        <f>IFERROR(__xludf.DUMMYFUNCTION("IF(A113&lt;&gt;"""",IFERROR(TRANSPOSE(FILTER(Data!D:D,Data!B:B=A113,Data!R:R&lt;&gt;"""")),""No Defense""),"""")"),"")</f>
        <v/>
      </c>
      <c r="C113" s="65"/>
      <c r="D113" s="65"/>
      <c r="E113" s="65"/>
      <c r="F113" s="65"/>
      <c r="G113" s="65"/>
      <c r="H113" s="65"/>
      <c r="I113" s="65"/>
      <c r="J113" s="65"/>
      <c r="K113" s="65"/>
      <c r="L113" s="65"/>
      <c r="M113" s="65"/>
      <c r="N113" s="64" t="str">
        <f>IFERROR(__xludf.DUMMYFUNCTION("IFERROR(Textjoin("""",TRUE,FILTER(Data!$R:$R,Data!$D:$D=B113,Data!$B:$B=$A113)),"""")"),"")</f>
        <v/>
      </c>
      <c r="O113" s="64" t="str">
        <f>IFERROR(__xludf.DUMMYFUNCTION("IFERROR(Textjoin("""",TRUE,FILTER(Data!$R:$R,Data!$D:$D=C113,Data!$B:$B=$A113)),"""")"),"")</f>
        <v/>
      </c>
      <c r="P113" s="64" t="str">
        <f>IFERROR(__xludf.DUMMYFUNCTION("IFERROR(Textjoin("""",TRUE,FILTER(Data!$R:$R,Data!$D:$D=D113,Data!$B:$B=$A113)),"""")"),"")</f>
        <v/>
      </c>
      <c r="Q113" s="64" t="str">
        <f>IFERROR(__xludf.DUMMYFUNCTION("IFERROR(Textjoin("""",TRUE,FILTER(Data!$R:$R,Data!$D:$D=E113,Data!$B:$B=$A113)),"""")"),"")</f>
        <v/>
      </c>
      <c r="R113" s="64" t="str">
        <f>IFERROR(__xludf.DUMMYFUNCTION("IFERROR(Textjoin("""",TRUE,FILTER(Data!$R:$R,Data!$D:$D=F113,Data!$B:$B=$A113)),"""")"),"")</f>
        <v/>
      </c>
      <c r="S113" s="64" t="str">
        <f>IFERROR(__xludf.DUMMYFUNCTION("IFERROR(Textjoin("""",TRUE,FILTER(Data!$R:$R,Data!$D:$D=G113,Data!$B:$B=$A113)),"""")"),"")</f>
        <v/>
      </c>
      <c r="T113" s="64" t="str">
        <f>IFERROR(__xludf.DUMMYFUNCTION("IFERROR(Textjoin("""",TRUE,FILTER(Data!$R:$R,Data!$D:$D=H113,Data!$B:$B=$A113)),"""")"),"")</f>
        <v/>
      </c>
      <c r="U113" s="64" t="str">
        <f>IFERROR(__xludf.DUMMYFUNCTION("IFERROR(Textjoin("""",TRUE,FILTER(Data!$R:$R,Data!$D:$D=I113,Data!$B:$B=$A113)),"""")"),"")</f>
        <v/>
      </c>
      <c r="V113" s="64" t="str">
        <f>IFERROR(__xludf.DUMMYFUNCTION("IFERROR(Textjoin("""",TRUE,FILTER(Data!$R:$R,Data!$D:$D=J113,Data!$B:$B=$A113)),"""")"),"")</f>
        <v/>
      </c>
      <c r="W113" s="64" t="str">
        <f>IFERROR(__xludf.DUMMYFUNCTION("IFERROR(Textjoin("""",TRUE,FILTER(Data!$R:$R,Data!$D:$D=K113,Data!$B:$B=$A113)),"""")"),"")</f>
        <v/>
      </c>
      <c r="X113" s="64" t="str">
        <f>IFERROR(__xludf.DUMMYFUNCTION("IFERROR(Textjoin("""",TRUE,FILTER(Data!$R:$R,Data!$D:$D=L113,Data!$B:$B=$A113)),"""")"),"")</f>
        <v/>
      </c>
      <c r="Y113" s="64" t="str">
        <f>IFERROR(__xludf.DUMMYFUNCTION("IFERROR(Textjoin("""",TRUE,FILTER(Data!$R:$R,Data!$D:$D=M113,Data!$B:$B=$A113)),"""")"),"")</f>
        <v/>
      </c>
      <c r="Z113" s="64" t="str">
        <f>IFERROR(__xludf.DUMMYFUNCTION("IFERROR(SPLIT(N113,"",""),"""")"),"")</f>
        <v/>
      </c>
      <c r="AA113" s="65"/>
      <c r="AB113" s="65"/>
      <c r="AC113" s="69" t="str">
        <f>IFERROR(__xludf.DUMMYFUNCTION("IFERROR(SPLIT(O113,"",""),"""")"),"")</f>
        <v/>
      </c>
      <c r="AD113" s="65"/>
      <c r="AE113" s="65"/>
      <c r="AF113" s="69" t="str">
        <f>IFERROR(__xludf.DUMMYFUNCTION("IFERROR(SPLIT(P113,"",""),"""")"),"")</f>
        <v/>
      </c>
      <c r="AG113" s="65"/>
      <c r="AH113" s="65"/>
      <c r="AI113" s="69" t="str">
        <f>IFERROR(__xludf.DUMMYFUNCTION("IFERROR(SPLIT(Q113,"",""),"""")"),"")</f>
        <v/>
      </c>
      <c r="AJ113" s="65"/>
      <c r="AK113" s="65"/>
      <c r="AL113" s="69" t="str">
        <f>IFERROR(__xludf.DUMMYFUNCTION("IFERROR(SPLIT(R113,"",""),"""")"),"")</f>
        <v/>
      </c>
      <c r="AM113" s="65"/>
      <c r="AN113" s="65"/>
      <c r="AO113" s="69" t="str">
        <f>IFERROR(__xludf.DUMMYFUNCTION("IFERROR(SPLIT(S113,"",""),"""")"),"")</f>
        <v/>
      </c>
      <c r="AP113" s="65"/>
      <c r="AQ113" s="65"/>
      <c r="AR113" s="69" t="str">
        <f>IFERROR(__xludf.DUMMYFUNCTION("IFERROR(SPLIT(T113,"",""),"""")"),"")</f>
        <v/>
      </c>
      <c r="AS113" s="65"/>
      <c r="AT113" s="65"/>
      <c r="AU113" s="69" t="str">
        <f>IFERROR(__xludf.DUMMYFUNCTION("IFERROR(SPLIT(U113,"",""),"""")"),"")</f>
        <v/>
      </c>
      <c r="AV113" s="65"/>
      <c r="AW113" s="65"/>
      <c r="AX113" s="69" t="str">
        <f>IFERROR(__xludf.DUMMYFUNCTION("IFERROR(SPLIT(V113,"",""),"""")"),"")</f>
        <v/>
      </c>
      <c r="AY113" s="65"/>
      <c r="AZ113" s="65"/>
      <c r="BA113" s="69" t="str">
        <f>IFERROR(__xludf.DUMMYFUNCTION("IFERROR(SPLIT(W113,"",""),"""")"),"")</f>
        <v/>
      </c>
      <c r="BB113" s="69"/>
      <c r="BC113" s="69"/>
      <c r="BD113" s="69" t="str">
        <f>IFERROR(__xludf.DUMMYFUNCTION("IFERROR(SPLIT(X113,"",""),"""")"),"")</f>
        <v/>
      </c>
      <c r="BE113" s="69"/>
      <c r="BF113" s="69"/>
      <c r="BG113" s="69" t="str">
        <f>IFERROR(__xludf.DUMMYFUNCTION("IFERROR(SPLIT(Y113,"",""),"""")"),"")</f>
        <v/>
      </c>
      <c r="BH113" s="69"/>
      <c r="BI113" s="69"/>
      <c r="BJ113" s="68" t="str">
        <f>IFERROR(__xludf.DUMMYFUNCTION("IF($B113&lt;&gt;"""",IFERROR(FILTER(RawTotals!$AJ:$AJ,RawTotals!$A:$A=Z113)-(FILTER(Data!$K:$K,Data!$B:$B=Z113,Data!$D:$D=$B113)+FILTER(Data!$L:$L,Data!$B:$B=Z113,Data!$D:$D=$B113)),""""),"""")"),"")</f>
        <v/>
      </c>
      <c r="BK113" s="68" t="str">
        <f>IFERROR(__xludf.DUMMYFUNCTION("IF($B113&lt;&gt;"""",IFERROR(FILTER(RawTotals!$AJ:$AJ,RawTotals!$A:$A=AA113)-(FILTER(Data!$K:$K,Data!$B:$B=AA113,Data!$D:$D=$B113)+FILTER(Data!$L:$L,Data!$B:$B=AA113,Data!$D:$D=$B113)),""""),"""")"),"")</f>
        <v/>
      </c>
      <c r="BL113" s="68" t="str">
        <f>IFERROR(__xludf.DUMMYFUNCTION("IF($B113&lt;&gt;"""",IFERROR(FILTER(RawTotals!$AJ:$AJ,RawTotals!$A:$A=AB113)-(FILTER(Data!$K:$K,Data!$B:$B=AB113,Data!$D:$D=$B113)+FILTER(Data!$L:$L,Data!$B:$B=AB113,Data!$D:$D=$B113)),""""),"""")"),"")</f>
        <v/>
      </c>
      <c r="BM113" s="69" t="str">
        <f>IFERROR(__xludf.DUMMYFUNCTION("IF($C113&lt;&gt;"""",IFERROR(FILTER(RawTotals!$AJ:$AJ,RawTotals!$A:$A=AC113)-(FILTER(Data!$K:$K,Data!$B:$B=AC113,Data!$D:$D=$C113)+FILTER(Data!$L:$L,Data!$B:$B=AC113,Data!$D:$D=$C113)),""""),"""")"),"")</f>
        <v/>
      </c>
      <c r="BN113" s="69" t="str">
        <f>IFERROR(__xludf.DUMMYFUNCTION("IF($C113&lt;&gt;"""",IFERROR(FILTER(RawTotals!$AJ:$AJ,RawTotals!$A:$A=AD113)-(FILTER(Data!$K:$K,Data!$B:$B=AD113,Data!$D:$D=$C113)+FILTER(Data!$L:$L,Data!$B:$B=AD113,Data!$D:$D=$C113)),""""),"""")"),"")</f>
        <v/>
      </c>
      <c r="BO113" s="69" t="str">
        <f>IFERROR(__xludf.DUMMYFUNCTION("IF($C113&lt;&gt;"""",IFERROR(FILTER(RawTotals!$AJ:$AJ,RawTotals!$A:$A=AE113)-(FILTER(Data!$K:$K,Data!$B:$B=AE113,Data!$D:$D=$C113)+FILTER(Data!$L:$L,Data!$B:$B=AE113,Data!$D:$D=$C113)),""""),"""")"),"")</f>
        <v/>
      </c>
      <c r="BP113" s="69" t="str">
        <f>IFERROR(__xludf.DUMMYFUNCTION("IF($D113&lt;&gt;"""",IFERROR(FILTER(RawTotals!$AJ:$AJ,RawTotals!$A:$A=AF113)-(FILTER(Data!$K:$K,Data!$B:$B=AF113,Data!$D:$D=$D113)+FILTER(Data!$L:$L,Data!$B:$B=AF113,Data!$D:$D=$D113)),""""),"""")"),"")</f>
        <v/>
      </c>
      <c r="BQ113" s="69" t="str">
        <f>IFERROR(__xludf.DUMMYFUNCTION("IF($D113&lt;&gt;"""",IFERROR(FILTER(RawTotals!$AJ:$AJ,RawTotals!$A:$A=AG113)-(FILTER(Data!$K:$K,Data!$B:$B=AG113,Data!$D:$D=$D113)+FILTER(Data!$L:$L,Data!$B:$B=AG113,Data!$D:$D=$D113)),""""),"""")"),"")</f>
        <v/>
      </c>
      <c r="BR113" s="69" t="str">
        <f>IFERROR(__xludf.DUMMYFUNCTION("IF($D113&lt;&gt;"""",IFERROR(FILTER(RawTotals!$AJ:$AJ,RawTotals!$A:$A=AH113)-(FILTER(Data!$K:$K,Data!$B:$B=AH113,Data!$D:$D=$D113)+FILTER(Data!$L:$L,Data!$B:$B=AH113,Data!$D:$D=$D113)),""""),"""")"),"")</f>
        <v/>
      </c>
      <c r="BS113" s="69" t="str">
        <f>IFERROR(__xludf.DUMMYFUNCTION("IF($E113&lt;&gt;"""",IFERROR(FILTER(RawTotals!$AJ:$AJ,RawTotals!$A:$A=AI113)-(FILTER(Data!$K:$K,Data!$B:$B=AI113,Data!$D:$D=$E113)+FILTER(Data!$L:$L,Data!$B:$B=AI113,Data!$D:$D=$E113)),""""),"""")"),"")</f>
        <v/>
      </c>
      <c r="BT113" s="69" t="str">
        <f>IFERROR(__xludf.DUMMYFUNCTION("IF($E113&lt;&gt;"""",IFERROR(FILTER(RawTotals!$AJ:$AJ,RawTotals!$A:$A=AJ113)-(FILTER(Data!$K:$K,Data!$B:$B=AJ113,Data!$D:$D=$E113)+FILTER(Data!$L:$L,Data!$B:$B=AJ113,Data!$D:$D=$E113)),""""),"""")"),"")</f>
        <v/>
      </c>
      <c r="BU113" s="69" t="str">
        <f>IFERROR(__xludf.DUMMYFUNCTION("IF($E113&lt;&gt;"""",IFERROR(FILTER(RawTotals!$AJ:$AJ,RawTotals!$A:$A=AK113)-(FILTER(Data!$K:$K,Data!$B:$B=AK113,Data!$D:$D=$E113)+FILTER(Data!$L:$L,Data!$B:$B=AK113,Data!$D:$D=$E113)),""""),"""")"),"")</f>
        <v/>
      </c>
      <c r="BV113" s="69" t="str">
        <f>IFERROR(__xludf.DUMMYFUNCTION("IF($F113&lt;&gt;"""",IFERROR(FILTER(RawTotals!$AJ:$AJ,RawTotals!$A:$A=AL113)-(FILTER(Data!$K:$K,Data!$B:$B=AL113,Data!$D:$D=$F113)+FILTER(Data!$L:$L,Data!$B:$B=AL113,Data!$D:$D=$F113)),""""),"""")"),"")</f>
        <v/>
      </c>
      <c r="BW113" s="69" t="str">
        <f>IFERROR(__xludf.DUMMYFUNCTION("IF($F113&lt;&gt;"""",IFERROR(FILTER(RawTotals!$AJ:$AJ,RawTotals!$A:$A=AM113)-(FILTER(Data!$K:$K,Data!$B:$B=AM113,Data!$D:$D=$F113)+FILTER(Data!$L:$L,Data!$B:$B=AM113,Data!$D:$D=$F113)),""""),"""")"),"")</f>
        <v/>
      </c>
      <c r="BX113" s="69" t="str">
        <f>IFERROR(__xludf.DUMMYFUNCTION("IF($F113&lt;&gt;"""",IFERROR(FILTER(RawTotals!$AJ:$AJ,RawTotals!$A:$A=AN113)-(FILTER(Data!$K:$K,Data!$B:$B=AN113,Data!$D:$D=$F113)+FILTER(Data!$L:$L,Data!$B:$B=AN113,Data!$D:$D=$F113)),""""),"""")"),"")</f>
        <v/>
      </c>
      <c r="BY113" s="69" t="str">
        <f>IFERROR(__xludf.DUMMYFUNCTION("IF($G113&lt;&gt;"""",IFERROR(FILTER(RawTotals!$AJ:$AJ,RawTotals!$A:$A=AO113)-(FILTER(Data!$K:$K,Data!$B:$B=AO113,Data!$D:$D=$G113)+FILTER(Data!$L:$L,Data!$B:$B=AO113,Data!$D:$D=$G113)),""""),"""")"),"")</f>
        <v/>
      </c>
      <c r="BZ113" s="69" t="str">
        <f>IFERROR(__xludf.DUMMYFUNCTION("IF($G113&lt;&gt;"""",IFERROR(FILTER(RawTotals!$AJ:$AJ,RawTotals!$A:$A=AP113)-(FILTER(Data!$K:$K,Data!$B:$B=AP113,Data!$D:$D=$G113)+FILTER(Data!$L:$L,Data!$B:$B=AP113,Data!$D:$D=$G113)),""""),"""")"),"")</f>
        <v/>
      </c>
      <c r="CA113" s="69" t="str">
        <f>IFERROR(__xludf.DUMMYFUNCTION("IF($G113&lt;&gt;"""",IFERROR(FILTER(RawTotals!$AJ:$AJ,RawTotals!$A:$A=AQ113)-(FILTER(Data!$K:$K,Data!$B:$B=AQ113,Data!$D:$D=$G113)+FILTER(Data!$L:$L,Data!$B:$B=AQ113,Data!$D:$D=$G113)),""""),"""")"),"")</f>
        <v/>
      </c>
      <c r="CB113" s="69" t="str">
        <f>IFERROR(__xludf.DUMMYFUNCTION("IF($H113&lt;&gt;"""",IFERROR(FILTER(RawTotals!$AJ:$AJ,RawTotals!$A:$A=AR113)-(FILTER(Data!$K:$K,Data!$B:$B=AR113,Data!$D:$D=$H113)+FILTER(Data!$L:$L,Data!$B:$B=AR113,Data!$D:$D=$H113)),""""),"""")"),"")</f>
        <v/>
      </c>
      <c r="CC113" s="69" t="str">
        <f>IFERROR(__xludf.DUMMYFUNCTION("IF($H113&lt;&gt;"""",IFERROR(FILTER(RawTotals!$AJ:$AJ,RawTotals!$A:$A=AS113)-(FILTER(Data!$K:$K,Data!$B:$B=AS113,Data!$D:$D=$H113)+FILTER(Data!$L:$L,Data!$B:$B=AS113,Data!$D:$D=$H113)),""""),"""")"),"")</f>
        <v/>
      </c>
      <c r="CD113" s="69" t="str">
        <f>IFERROR(__xludf.DUMMYFUNCTION("IF($H113&lt;&gt;"""",IFERROR(FILTER(RawTotals!$AJ:$AJ,RawTotals!$A:$A=AT113)-(FILTER(Data!$K:$K,Data!$B:$B=AT113,Data!$D:$D=$H113)+FILTER(Data!$L:$L,Data!$B:$B=AT113,Data!$D:$D=$H113)),""""),"""")"),"")</f>
        <v/>
      </c>
      <c r="CE113" s="69" t="str">
        <f>IFERROR(__xludf.DUMMYFUNCTION("IF($I113&lt;&gt;"""",IFERROR(FILTER(RawTotals!$AJ:$AJ,RawTotals!$A:$A=AU113)-(FILTER(Data!$K:$K,Data!$B:$B=AU113,Data!$D:$D=$I113)+FILTER(Data!$L:$L,Data!$B:$B=AU113,Data!$D:$D=$I113)),""""),"""")"),"")</f>
        <v/>
      </c>
      <c r="CF113" s="69" t="str">
        <f>IFERROR(__xludf.DUMMYFUNCTION("IF($I113&lt;&gt;"""",IFERROR(FILTER(RawTotals!$AJ:$AJ,RawTotals!$A:$A=AV113)-(FILTER(Data!$K:$K,Data!$B:$B=AV113,Data!$D:$D=$I113)+FILTER(Data!$L:$L,Data!$B:$B=AV113,Data!$D:$D=$I113)),""""),"""")"),"")</f>
        <v/>
      </c>
      <c r="CG113" s="69" t="str">
        <f>IFERROR(__xludf.DUMMYFUNCTION("IF($I113&lt;&gt;"""",IFERROR(FILTER(RawTotals!$AJ:$AJ,RawTotals!$A:$A=AW113)-(FILTER(Data!$K:$K,Data!$B:$B=AW113,Data!$D:$D=$I113)+FILTER(Data!$L:$L,Data!$B:$B=AW113,Data!$D:$D=$I113)),""""),"""")"),"")</f>
        <v/>
      </c>
      <c r="CH113" s="69" t="str">
        <f>IFERROR(__xludf.DUMMYFUNCTION("IF($J113&lt;&gt;"""",IFERROR(FILTER(RawTotals!$AJ:$AJ,RawTotals!$A:$A=AX113)-(FILTER(Data!$K:$K,Data!$B:$B=AX113,Data!$D:$D=$J113)+FILTER(Data!$L:$L,Data!$B:$B=AX113,Data!$D:$D=$J113)),""""),"""")"),"")</f>
        <v/>
      </c>
      <c r="CI113" s="69" t="str">
        <f>IFERROR(__xludf.DUMMYFUNCTION("IF($J113&lt;&gt;"""",IFERROR(FILTER(RawTotals!$AJ:$AJ,RawTotals!$A:$A=AY113)-(FILTER(Data!$K:$K,Data!$B:$B=AY113,Data!$D:$D=$J113)+FILTER(Data!$L:$L,Data!$B:$B=AY113,Data!$D:$D=$J113)),""""),"""")"),"")</f>
        <v/>
      </c>
      <c r="CJ113" s="69" t="str">
        <f>IFERROR(__xludf.DUMMYFUNCTION("IF($J113&lt;&gt;"""",IFERROR(FILTER(RawTotals!$AJ:$AJ,RawTotals!$A:$A=AZ113)-(FILTER(Data!$K:$K,Data!$B:$B=AZ113,Data!$D:$D=$J113)+FILTER(Data!$L:$L,Data!$B:$B=AZ113,Data!$D:$D=$J113)),""""),"""")"),"")</f>
        <v/>
      </c>
      <c r="CK113" s="69" t="str">
        <f>IFERROR(__xludf.DUMMYFUNCTION("IF($K113&lt;&gt;"""",IFERROR(FILTER(RawTotals!$AJ:$AJ,RawTotals!$A:$A=BA113)-(FILTER(Data!$K:$K,Data!$B:$B=BA113,Data!$D:$D=$K113)+FILTER(Data!$L:$L,Data!$B:$B=BA113,Data!$D:$D=$K113)),""""),"""")"),"")</f>
        <v/>
      </c>
      <c r="CL113" s="69" t="str">
        <f>IFERROR(__xludf.DUMMYFUNCTION("IF($K113&lt;&gt;"""",IFERROR(FILTER(RawTotals!$AJ:$AJ,RawTotals!$A:$A=BB113)-(FILTER(Data!$K:$K,Data!$B:$B=BB113,Data!$D:$D=$K113)+FILTER(Data!$L:$L,Data!$B:$B=BB113,Data!$D:$D=$K113)),""""),"""")"),"")</f>
        <v/>
      </c>
      <c r="CM113" s="69" t="str">
        <f>IFERROR(__xludf.DUMMYFUNCTION("IF($K113&lt;&gt;"""",IFERROR(FILTER(RawTotals!$AJ:$AJ,RawTotals!$A:$A=BC113)-(FILTER(Data!$K:$K,Data!$B:$B=BC113,Data!$D:$D=$K113)+FILTER(Data!$L:$L,Data!$B:$B=BC113,Data!$D:$D=$K113)),""""),"""")"),"")</f>
        <v/>
      </c>
      <c r="CN113" s="69" t="str">
        <f>IFERROR(__xludf.DUMMYFUNCTION("IF($L113&lt;&gt;"""",IFERROR((FILTER(RawTotals!$AJ:$AJ,RawTotals!$A:$A=BD113)-(FILTER(Data!$K:$K,Data!$B:$B=BD113,Data!$D:$D=$L113)+FILTER(Data!$L:$L,Data!$B:$B=BD113,Data!$D:$D=$L113))),""""),"""")"),"")</f>
        <v/>
      </c>
      <c r="CO113" s="69" t="str">
        <f>IFERROR(__xludf.DUMMYFUNCTION("IF($L113&lt;&gt;"""",IFERROR((FILTER(RawTotals!$AJ:$AJ,RawTotals!$A:$A=BE113)-(FILTER(Data!$K:$K,Data!$B:$B=BE113,Data!$D:$D=$L113)+FILTER(Data!$L:$L,Data!$B:$B=BE113,Data!$D:$D=$L113))),""""),"""")"),"")</f>
        <v/>
      </c>
      <c r="CP113" s="69" t="str">
        <f>IFERROR(__xludf.DUMMYFUNCTION("IF($L113&lt;&gt;"""",IFERROR((FILTER(RawTotals!$AJ:$AJ,RawTotals!$A:$A=BF113)-(FILTER(Data!$K:$K,Data!$B:$B=BF113,Data!$D:$D=$L113)+FILTER(Data!$L:$L,Data!$B:$B=BF113,Data!$D:$D=$L113))),""""),"""")"),"")</f>
        <v/>
      </c>
      <c r="CQ113" s="69" t="str">
        <f>IFERROR(__xludf.DUMMYFUNCTION("IF($M113&lt;&gt;"""",IFERROR((FILTER(RawTotals!$AJ:$AJ,RawTotals!$A:$A=BG113)-(FILTER(Data!$K:$K,Data!$B:$B=BG113,Data!$D:$D=$M113)+FILTER(Data!$L:$L,Data!$B:$B=BG113,Data!$D:$D=$M113))),""""),"""")"),"")</f>
        <v/>
      </c>
      <c r="CR113" s="69" t="str">
        <f>IFERROR(__xludf.DUMMYFUNCTION("IF($M113&lt;&gt;"""",IFERROR((FILTER(RawTotals!$AJ:$AJ,RawTotals!$A:$A=BH113)-(FILTER(Data!$K:$K,Data!$B:$B=BH113,Data!$D:$D=$M113)+FILTER(Data!$L:$L,Data!$B:$B=BH113,Data!$D:$D=$M113))),""""),"""")"),"")</f>
        <v/>
      </c>
      <c r="CS113" s="70" t="str">
        <f>IFERROR(__xludf.DUMMYFUNCTION("IF($M113&lt;&gt;"""",IFERROR((FILTER(RawTotals!$AJ:$AJ,RawTotals!$A:$A=BI113)-(FILTER(Data!$K:$K,Data!$B:$B=BI113,Data!$D:$D=$M113)+FILTER(Data!$L:$L,Data!$B:$B=BI113,Data!$D:$D=$M113))),""""),"""")"),"")</f>
        <v/>
      </c>
      <c r="CT113" s="69"/>
      <c r="CU113" s="69"/>
      <c r="CV113" s="69"/>
      <c r="CW113" s="69"/>
      <c r="CX113" s="69"/>
      <c r="CY113" s="69"/>
      <c r="CZ113" s="69"/>
      <c r="DA113" s="69"/>
      <c r="DB113" s="69"/>
      <c r="DC113" s="69"/>
      <c r="DD113" s="69"/>
      <c r="DE113" s="69"/>
    </row>
    <row r="114">
      <c r="A114" s="65" t="str">
        <f>RawTotals!A114</f>
        <v/>
      </c>
      <c r="B114" s="68" t="str">
        <f>IFERROR(__xludf.DUMMYFUNCTION("IF(A114&lt;&gt;"""",IFERROR(TRANSPOSE(FILTER(Data!D:D,Data!B:B=A114,Data!R:R&lt;&gt;"""")),""No Defense""),"""")"),"")</f>
        <v/>
      </c>
      <c r="C114" s="65"/>
      <c r="D114" s="65"/>
      <c r="E114" s="65"/>
      <c r="F114" s="65"/>
      <c r="G114" s="65"/>
      <c r="H114" s="65"/>
      <c r="I114" s="65"/>
      <c r="J114" s="65"/>
      <c r="K114" s="65"/>
      <c r="L114" s="65"/>
      <c r="M114" s="65"/>
      <c r="N114" s="64" t="str">
        <f>IFERROR(__xludf.DUMMYFUNCTION("IFERROR(Textjoin("""",TRUE,FILTER(Data!$R:$R,Data!$D:$D=B114,Data!$B:$B=$A114)),"""")"),"")</f>
        <v/>
      </c>
      <c r="O114" s="64" t="str">
        <f>IFERROR(__xludf.DUMMYFUNCTION("IFERROR(Textjoin("""",TRUE,FILTER(Data!$R:$R,Data!$D:$D=C114,Data!$B:$B=$A114)),"""")"),"")</f>
        <v/>
      </c>
      <c r="P114" s="64" t="str">
        <f>IFERROR(__xludf.DUMMYFUNCTION("IFERROR(Textjoin("""",TRUE,FILTER(Data!$R:$R,Data!$D:$D=D114,Data!$B:$B=$A114)),"""")"),"")</f>
        <v/>
      </c>
      <c r="Q114" s="64" t="str">
        <f>IFERROR(__xludf.DUMMYFUNCTION("IFERROR(Textjoin("""",TRUE,FILTER(Data!$R:$R,Data!$D:$D=E114,Data!$B:$B=$A114)),"""")"),"")</f>
        <v/>
      </c>
      <c r="R114" s="64" t="str">
        <f>IFERROR(__xludf.DUMMYFUNCTION("IFERROR(Textjoin("""",TRUE,FILTER(Data!$R:$R,Data!$D:$D=F114,Data!$B:$B=$A114)),"""")"),"")</f>
        <v/>
      </c>
      <c r="S114" s="64" t="str">
        <f>IFERROR(__xludf.DUMMYFUNCTION("IFERROR(Textjoin("""",TRUE,FILTER(Data!$R:$R,Data!$D:$D=G114,Data!$B:$B=$A114)),"""")"),"")</f>
        <v/>
      </c>
      <c r="T114" s="64" t="str">
        <f>IFERROR(__xludf.DUMMYFUNCTION("IFERROR(Textjoin("""",TRUE,FILTER(Data!$R:$R,Data!$D:$D=H114,Data!$B:$B=$A114)),"""")"),"")</f>
        <v/>
      </c>
      <c r="U114" s="64" t="str">
        <f>IFERROR(__xludf.DUMMYFUNCTION("IFERROR(Textjoin("""",TRUE,FILTER(Data!$R:$R,Data!$D:$D=I114,Data!$B:$B=$A114)),"""")"),"")</f>
        <v/>
      </c>
      <c r="V114" s="64" t="str">
        <f>IFERROR(__xludf.DUMMYFUNCTION("IFERROR(Textjoin("""",TRUE,FILTER(Data!$R:$R,Data!$D:$D=J114,Data!$B:$B=$A114)),"""")"),"")</f>
        <v/>
      </c>
      <c r="W114" s="64" t="str">
        <f>IFERROR(__xludf.DUMMYFUNCTION("IFERROR(Textjoin("""",TRUE,FILTER(Data!$R:$R,Data!$D:$D=K114,Data!$B:$B=$A114)),"""")"),"")</f>
        <v/>
      </c>
      <c r="X114" s="64" t="str">
        <f>IFERROR(__xludf.DUMMYFUNCTION("IFERROR(Textjoin("""",TRUE,FILTER(Data!$R:$R,Data!$D:$D=L114,Data!$B:$B=$A114)),"""")"),"")</f>
        <v/>
      </c>
      <c r="Y114" s="64" t="str">
        <f>IFERROR(__xludf.DUMMYFUNCTION("IFERROR(Textjoin("""",TRUE,FILTER(Data!$R:$R,Data!$D:$D=M114,Data!$B:$B=$A114)),"""")"),"")</f>
        <v/>
      </c>
      <c r="Z114" s="64" t="str">
        <f>IFERROR(__xludf.DUMMYFUNCTION("IFERROR(SPLIT(N114,"",""),"""")"),"")</f>
        <v/>
      </c>
      <c r="AA114" s="65"/>
      <c r="AB114" s="65"/>
      <c r="AC114" s="69" t="str">
        <f>IFERROR(__xludf.DUMMYFUNCTION("IFERROR(SPLIT(O114,"",""),"""")"),"")</f>
        <v/>
      </c>
      <c r="AD114" s="65"/>
      <c r="AE114" s="65"/>
      <c r="AF114" s="69" t="str">
        <f>IFERROR(__xludf.DUMMYFUNCTION("IFERROR(SPLIT(P114,"",""),"""")"),"")</f>
        <v/>
      </c>
      <c r="AG114" s="65"/>
      <c r="AH114" s="65"/>
      <c r="AI114" s="69" t="str">
        <f>IFERROR(__xludf.DUMMYFUNCTION("IFERROR(SPLIT(Q114,"",""),"""")"),"")</f>
        <v/>
      </c>
      <c r="AJ114" s="65"/>
      <c r="AK114" s="65"/>
      <c r="AL114" s="69" t="str">
        <f>IFERROR(__xludf.DUMMYFUNCTION("IFERROR(SPLIT(R114,"",""),"""")"),"")</f>
        <v/>
      </c>
      <c r="AM114" s="65"/>
      <c r="AN114" s="65"/>
      <c r="AO114" s="69" t="str">
        <f>IFERROR(__xludf.DUMMYFUNCTION("IFERROR(SPLIT(S114,"",""),"""")"),"")</f>
        <v/>
      </c>
      <c r="AP114" s="65"/>
      <c r="AQ114" s="65"/>
      <c r="AR114" s="69" t="str">
        <f>IFERROR(__xludf.DUMMYFUNCTION("IFERROR(SPLIT(T114,"",""),"""")"),"")</f>
        <v/>
      </c>
      <c r="AS114" s="65"/>
      <c r="AT114" s="65"/>
      <c r="AU114" s="69" t="str">
        <f>IFERROR(__xludf.DUMMYFUNCTION("IFERROR(SPLIT(U114,"",""),"""")"),"")</f>
        <v/>
      </c>
      <c r="AV114" s="65"/>
      <c r="AW114" s="65"/>
      <c r="AX114" s="69" t="str">
        <f>IFERROR(__xludf.DUMMYFUNCTION("IFERROR(SPLIT(V114,"",""),"""")"),"")</f>
        <v/>
      </c>
      <c r="AY114" s="65"/>
      <c r="AZ114" s="65"/>
      <c r="BA114" s="69" t="str">
        <f>IFERROR(__xludf.DUMMYFUNCTION("IFERROR(SPLIT(W114,"",""),"""")"),"")</f>
        <v/>
      </c>
      <c r="BB114" s="69"/>
      <c r="BC114" s="69"/>
      <c r="BD114" s="69" t="str">
        <f>IFERROR(__xludf.DUMMYFUNCTION("IFERROR(SPLIT(X114,"",""),"""")"),"")</f>
        <v/>
      </c>
      <c r="BE114" s="69"/>
      <c r="BF114" s="69"/>
      <c r="BG114" s="69" t="str">
        <f>IFERROR(__xludf.DUMMYFUNCTION("IFERROR(SPLIT(Y114,"",""),"""")"),"")</f>
        <v/>
      </c>
      <c r="BH114" s="69"/>
      <c r="BI114" s="69"/>
      <c r="BJ114" s="68" t="str">
        <f>IFERROR(__xludf.DUMMYFUNCTION("IF($B114&lt;&gt;"""",IFERROR(FILTER(RawTotals!$AJ:$AJ,RawTotals!$A:$A=Z114)-(FILTER(Data!$K:$K,Data!$B:$B=Z114,Data!$D:$D=$B114)+FILTER(Data!$L:$L,Data!$B:$B=Z114,Data!$D:$D=$B114)),""""),"""")"),"")</f>
        <v/>
      </c>
      <c r="BK114" s="68" t="str">
        <f>IFERROR(__xludf.DUMMYFUNCTION("IF($B114&lt;&gt;"""",IFERROR(FILTER(RawTotals!$AJ:$AJ,RawTotals!$A:$A=AA114)-(FILTER(Data!$K:$K,Data!$B:$B=AA114,Data!$D:$D=$B114)+FILTER(Data!$L:$L,Data!$B:$B=AA114,Data!$D:$D=$B114)),""""),"""")"),"")</f>
        <v/>
      </c>
      <c r="BL114" s="68" t="str">
        <f>IFERROR(__xludf.DUMMYFUNCTION("IF($B114&lt;&gt;"""",IFERROR(FILTER(RawTotals!$AJ:$AJ,RawTotals!$A:$A=AB114)-(FILTER(Data!$K:$K,Data!$B:$B=AB114,Data!$D:$D=$B114)+FILTER(Data!$L:$L,Data!$B:$B=AB114,Data!$D:$D=$B114)),""""),"""")"),"")</f>
        <v/>
      </c>
      <c r="BM114" s="69" t="str">
        <f>IFERROR(__xludf.DUMMYFUNCTION("IF($C114&lt;&gt;"""",IFERROR(FILTER(RawTotals!$AJ:$AJ,RawTotals!$A:$A=AC114)-(FILTER(Data!$K:$K,Data!$B:$B=AC114,Data!$D:$D=$C114)+FILTER(Data!$L:$L,Data!$B:$B=AC114,Data!$D:$D=$C114)),""""),"""")"),"")</f>
        <v/>
      </c>
      <c r="BN114" s="69" t="str">
        <f>IFERROR(__xludf.DUMMYFUNCTION("IF($C114&lt;&gt;"""",IFERROR(FILTER(RawTotals!$AJ:$AJ,RawTotals!$A:$A=AD114)-(FILTER(Data!$K:$K,Data!$B:$B=AD114,Data!$D:$D=$C114)+FILTER(Data!$L:$L,Data!$B:$B=AD114,Data!$D:$D=$C114)),""""),"""")"),"")</f>
        <v/>
      </c>
      <c r="BO114" s="69" t="str">
        <f>IFERROR(__xludf.DUMMYFUNCTION("IF($C114&lt;&gt;"""",IFERROR(FILTER(RawTotals!$AJ:$AJ,RawTotals!$A:$A=AE114)-(FILTER(Data!$K:$K,Data!$B:$B=AE114,Data!$D:$D=$C114)+FILTER(Data!$L:$L,Data!$B:$B=AE114,Data!$D:$D=$C114)),""""),"""")"),"")</f>
        <v/>
      </c>
      <c r="BP114" s="69" t="str">
        <f>IFERROR(__xludf.DUMMYFUNCTION("IF($D114&lt;&gt;"""",IFERROR(FILTER(RawTotals!$AJ:$AJ,RawTotals!$A:$A=AF114)-(FILTER(Data!$K:$K,Data!$B:$B=AF114,Data!$D:$D=$D114)+FILTER(Data!$L:$L,Data!$B:$B=AF114,Data!$D:$D=$D114)),""""),"""")"),"")</f>
        <v/>
      </c>
      <c r="BQ114" s="69" t="str">
        <f>IFERROR(__xludf.DUMMYFUNCTION("IF($D114&lt;&gt;"""",IFERROR(FILTER(RawTotals!$AJ:$AJ,RawTotals!$A:$A=AG114)-(FILTER(Data!$K:$K,Data!$B:$B=AG114,Data!$D:$D=$D114)+FILTER(Data!$L:$L,Data!$B:$B=AG114,Data!$D:$D=$D114)),""""),"""")"),"")</f>
        <v/>
      </c>
      <c r="BR114" s="69" t="str">
        <f>IFERROR(__xludf.DUMMYFUNCTION("IF($D114&lt;&gt;"""",IFERROR(FILTER(RawTotals!$AJ:$AJ,RawTotals!$A:$A=AH114)-(FILTER(Data!$K:$K,Data!$B:$B=AH114,Data!$D:$D=$D114)+FILTER(Data!$L:$L,Data!$B:$B=AH114,Data!$D:$D=$D114)),""""),"""")"),"")</f>
        <v/>
      </c>
      <c r="BS114" s="69" t="str">
        <f>IFERROR(__xludf.DUMMYFUNCTION("IF($E114&lt;&gt;"""",IFERROR(FILTER(RawTotals!$AJ:$AJ,RawTotals!$A:$A=AI114)-(FILTER(Data!$K:$K,Data!$B:$B=AI114,Data!$D:$D=$E114)+FILTER(Data!$L:$L,Data!$B:$B=AI114,Data!$D:$D=$E114)),""""),"""")"),"")</f>
        <v/>
      </c>
      <c r="BT114" s="69" t="str">
        <f>IFERROR(__xludf.DUMMYFUNCTION("IF($E114&lt;&gt;"""",IFERROR(FILTER(RawTotals!$AJ:$AJ,RawTotals!$A:$A=AJ114)-(FILTER(Data!$K:$K,Data!$B:$B=AJ114,Data!$D:$D=$E114)+FILTER(Data!$L:$L,Data!$B:$B=AJ114,Data!$D:$D=$E114)),""""),"""")"),"")</f>
        <v/>
      </c>
      <c r="BU114" s="69" t="str">
        <f>IFERROR(__xludf.DUMMYFUNCTION("IF($E114&lt;&gt;"""",IFERROR(FILTER(RawTotals!$AJ:$AJ,RawTotals!$A:$A=AK114)-(FILTER(Data!$K:$K,Data!$B:$B=AK114,Data!$D:$D=$E114)+FILTER(Data!$L:$L,Data!$B:$B=AK114,Data!$D:$D=$E114)),""""),"""")"),"")</f>
        <v/>
      </c>
      <c r="BV114" s="69" t="str">
        <f>IFERROR(__xludf.DUMMYFUNCTION("IF($F114&lt;&gt;"""",IFERROR(FILTER(RawTotals!$AJ:$AJ,RawTotals!$A:$A=AL114)-(FILTER(Data!$K:$K,Data!$B:$B=AL114,Data!$D:$D=$F114)+FILTER(Data!$L:$L,Data!$B:$B=AL114,Data!$D:$D=$F114)),""""),"""")"),"")</f>
        <v/>
      </c>
      <c r="BW114" s="69" t="str">
        <f>IFERROR(__xludf.DUMMYFUNCTION("IF($F114&lt;&gt;"""",IFERROR(FILTER(RawTotals!$AJ:$AJ,RawTotals!$A:$A=AM114)-(FILTER(Data!$K:$K,Data!$B:$B=AM114,Data!$D:$D=$F114)+FILTER(Data!$L:$L,Data!$B:$B=AM114,Data!$D:$D=$F114)),""""),"""")"),"")</f>
        <v/>
      </c>
      <c r="BX114" s="69" t="str">
        <f>IFERROR(__xludf.DUMMYFUNCTION("IF($F114&lt;&gt;"""",IFERROR(FILTER(RawTotals!$AJ:$AJ,RawTotals!$A:$A=AN114)-(FILTER(Data!$K:$K,Data!$B:$B=AN114,Data!$D:$D=$F114)+FILTER(Data!$L:$L,Data!$B:$B=AN114,Data!$D:$D=$F114)),""""),"""")"),"")</f>
        <v/>
      </c>
      <c r="BY114" s="69" t="str">
        <f>IFERROR(__xludf.DUMMYFUNCTION("IF($G114&lt;&gt;"""",IFERROR(FILTER(RawTotals!$AJ:$AJ,RawTotals!$A:$A=AO114)-(FILTER(Data!$K:$K,Data!$B:$B=AO114,Data!$D:$D=$G114)+FILTER(Data!$L:$L,Data!$B:$B=AO114,Data!$D:$D=$G114)),""""),"""")"),"")</f>
        <v/>
      </c>
      <c r="BZ114" s="69" t="str">
        <f>IFERROR(__xludf.DUMMYFUNCTION("IF($G114&lt;&gt;"""",IFERROR(FILTER(RawTotals!$AJ:$AJ,RawTotals!$A:$A=AP114)-(FILTER(Data!$K:$K,Data!$B:$B=AP114,Data!$D:$D=$G114)+FILTER(Data!$L:$L,Data!$B:$B=AP114,Data!$D:$D=$G114)),""""),"""")"),"")</f>
        <v/>
      </c>
      <c r="CA114" s="69" t="str">
        <f>IFERROR(__xludf.DUMMYFUNCTION("IF($G114&lt;&gt;"""",IFERROR(FILTER(RawTotals!$AJ:$AJ,RawTotals!$A:$A=AQ114)-(FILTER(Data!$K:$K,Data!$B:$B=AQ114,Data!$D:$D=$G114)+FILTER(Data!$L:$L,Data!$B:$B=AQ114,Data!$D:$D=$G114)),""""),"""")"),"")</f>
        <v/>
      </c>
      <c r="CB114" s="69" t="str">
        <f>IFERROR(__xludf.DUMMYFUNCTION("IF($H114&lt;&gt;"""",IFERROR(FILTER(RawTotals!$AJ:$AJ,RawTotals!$A:$A=AR114)-(FILTER(Data!$K:$K,Data!$B:$B=AR114,Data!$D:$D=$H114)+FILTER(Data!$L:$L,Data!$B:$B=AR114,Data!$D:$D=$H114)),""""),"""")"),"")</f>
        <v/>
      </c>
      <c r="CC114" s="69" t="str">
        <f>IFERROR(__xludf.DUMMYFUNCTION("IF($H114&lt;&gt;"""",IFERROR(FILTER(RawTotals!$AJ:$AJ,RawTotals!$A:$A=AS114)-(FILTER(Data!$K:$K,Data!$B:$B=AS114,Data!$D:$D=$H114)+FILTER(Data!$L:$L,Data!$B:$B=AS114,Data!$D:$D=$H114)),""""),"""")"),"")</f>
        <v/>
      </c>
      <c r="CD114" s="69" t="str">
        <f>IFERROR(__xludf.DUMMYFUNCTION("IF($H114&lt;&gt;"""",IFERROR(FILTER(RawTotals!$AJ:$AJ,RawTotals!$A:$A=AT114)-(FILTER(Data!$K:$K,Data!$B:$B=AT114,Data!$D:$D=$H114)+FILTER(Data!$L:$L,Data!$B:$B=AT114,Data!$D:$D=$H114)),""""),"""")"),"")</f>
        <v/>
      </c>
      <c r="CE114" s="69" t="str">
        <f>IFERROR(__xludf.DUMMYFUNCTION("IF($I114&lt;&gt;"""",IFERROR(FILTER(RawTotals!$AJ:$AJ,RawTotals!$A:$A=AU114)-(FILTER(Data!$K:$K,Data!$B:$B=AU114,Data!$D:$D=$I114)+FILTER(Data!$L:$L,Data!$B:$B=AU114,Data!$D:$D=$I114)),""""),"""")"),"")</f>
        <v/>
      </c>
      <c r="CF114" s="69" t="str">
        <f>IFERROR(__xludf.DUMMYFUNCTION("IF($I114&lt;&gt;"""",IFERROR(FILTER(RawTotals!$AJ:$AJ,RawTotals!$A:$A=AV114)-(FILTER(Data!$K:$K,Data!$B:$B=AV114,Data!$D:$D=$I114)+FILTER(Data!$L:$L,Data!$B:$B=AV114,Data!$D:$D=$I114)),""""),"""")"),"")</f>
        <v/>
      </c>
      <c r="CG114" s="69" t="str">
        <f>IFERROR(__xludf.DUMMYFUNCTION("IF($I114&lt;&gt;"""",IFERROR(FILTER(RawTotals!$AJ:$AJ,RawTotals!$A:$A=AW114)-(FILTER(Data!$K:$K,Data!$B:$B=AW114,Data!$D:$D=$I114)+FILTER(Data!$L:$L,Data!$B:$B=AW114,Data!$D:$D=$I114)),""""),"""")"),"")</f>
        <v/>
      </c>
      <c r="CH114" s="69" t="str">
        <f>IFERROR(__xludf.DUMMYFUNCTION("IF($J114&lt;&gt;"""",IFERROR(FILTER(RawTotals!$AJ:$AJ,RawTotals!$A:$A=AX114)-(FILTER(Data!$K:$K,Data!$B:$B=AX114,Data!$D:$D=$J114)+FILTER(Data!$L:$L,Data!$B:$B=AX114,Data!$D:$D=$J114)),""""),"""")"),"")</f>
        <v/>
      </c>
      <c r="CI114" s="69" t="str">
        <f>IFERROR(__xludf.DUMMYFUNCTION("IF($J114&lt;&gt;"""",IFERROR(FILTER(RawTotals!$AJ:$AJ,RawTotals!$A:$A=AY114)-(FILTER(Data!$K:$K,Data!$B:$B=AY114,Data!$D:$D=$J114)+FILTER(Data!$L:$L,Data!$B:$B=AY114,Data!$D:$D=$J114)),""""),"""")"),"")</f>
        <v/>
      </c>
      <c r="CJ114" s="69" t="str">
        <f>IFERROR(__xludf.DUMMYFUNCTION("IF($J114&lt;&gt;"""",IFERROR(FILTER(RawTotals!$AJ:$AJ,RawTotals!$A:$A=AZ114)-(FILTER(Data!$K:$K,Data!$B:$B=AZ114,Data!$D:$D=$J114)+FILTER(Data!$L:$L,Data!$B:$B=AZ114,Data!$D:$D=$J114)),""""),"""")"),"")</f>
        <v/>
      </c>
      <c r="CK114" s="69" t="str">
        <f>IFERROR(__xludf.DUMMYFUNCTION("IF($K114&lt;&gt;"""",IFERROR(FILTER(RawTotals!$AJ:$AJ,RawTotals!$A:$A=BA114)-(FILTER(Data!$K:$K,Data!$B:$B=BA114,Data!$D:$D=$K114)+FILTER(Data!$L:$L,Data!$B:$B=BA114,Data!$D:$D=$K114)),""""),"""")"),"")</f>
        <v/>
      </c>
      <c r="CL114" s="69" t="str">
        <f>IFERROR(__xludf.DUMMYFUNCTION("IF($K114&lt;&gt;"""",IFERROR(FILTER(RawTotals!$AJ:$AJ,RawTotals!$A:$A=BB114)-(FILTER(Data!$K:$K,Data!$B:$B=BB114,Data!$D:$D=$K114)+FILTER(Data!$L:$L,Data!$B:$B=BB114,Data!$D:$D=$K114)),""""),"""")"),"")</f>
        <v/>
      </c>
      <c r="CM114" s="69" t="str">
        <f>IFERROR(__xludf.DUMMYFUNCTION("IF($K114&lt;&gt;"""",IFERROR(FILTER(RawTotals!$AJ:$AJ,RawTotals!$A:$A=BC114)-(FILTER(Data!$K:$K,Data!$B:$B=BC114,Data!$D:$D=$K114)+FILTER(Data!$L:$L,Data!$B:$B=BC114,Data!$D:$D=$K114)),""""),"""")"),"")</f>
        <v/>
      </c>
      <c r="CN114" s="69" t="str">
        <f>IFERROR(__xludf.DUMMYFUNCTION("IF($L114&lt;&gt;"""",IFERROR((FILTER(RawTotals!$AJ:$AJ,RawTotals!$A:$A=BD114)-(FILTER(Data!$K:$K,Data!$B:$B=BD114,Data!$D:$D=$L114)+FILTER(Data!$L:$L,Data!$B:$B=BD114,Data!$D:$D=$L114))),""""),"""")"),"")</f>
        <v/>
      </c>
      <c r="CO114" s="69" t="str">
        <f>IFERROR(__xludf.DUMMYFUNCTION("IF($L114&lt;&gt;"""",IFERROR((FILTER(RawTotals!$AJ:$AJ,RawTotals!$A:$A=BE114)-(FILTER(Data!$K:$K,Data!$B:$B=BE114,Data!$D:$D=$L114)+FILTER(Data!$L:$L,Data!$B:$B=BE114,Data!$D:$D=$L114))),""""),"""")"),"")</f>
        <v/>
      </c>
      <c r="CP114" s="69" t="str">
        <f>IFERROR(__xludf.DUMMYFUNCTION("IF($L114&lt;&gt;"""",IFERROR((FILTER(RawTotals!$AJ:$AJ,RawTotals!$A:$A=BF114)-(FILTER(Data!$K:$K,Data!$B:$B=BF114,Data!$D:$D=$L114)+FILTER(Data!$L:$L,Data!$B:$B=BF114,Data!$D:$D=$L114))),""""),"""")"),"")</f>
        <v/>
      </c>
      <c r="CQ114" s="69" t="str">
        <f>IFERROR(__xludf.DUMMYFUNCTION("IF($M114&lt;&gt;"""",IFERROR((FILTER(RawTotals!$AJ:$AJ,RawTotals!$A:$A=BG114)-(FILTER(Data!$K:$K,Data!$B:$B=BG114,Data!$D:$D=$M114)+FILTER(Data!$L:$L,Data!$B:$B=BG114,Data!$D:$D=$M114))),""""),"""")"),"")</f>
        <v/>
      </c>
      <c r="CR114" s="69" t="str">
        <f>IFERROR(__xludf.DUMMYFUNCTION("IF($M114&lt;&gt;"""",IFERROR((FILTER(RawTotals!$AJ:$AJ,RawTotals!$A:$A=BH114)-(FILTER(Data!$K:$K,Data!$B:$B=BH114,Data!$D:$D=$M114)+FILTER(Data!$L:$L,Data!$B:$B=BH114,Data!$D:$D=$M114))),""""),"""")"),"")</f>
        <v/>
      </c>
      <c r="CS114" s="70" t="str">
        <f>IFERROR(__xludf.DUMMYFUNCTION("IF($M114&lt;&gt;"""",IFERROR((FILTER(RawTotals!$AJ:$AJ,RawTotals!$A:$A=BI114)-(FILTER(Data!$K:$K,Data!$B:$B=BI114,Data!$D:$D=$M114)+FILTER(Data!$L:$L,Data!$B:$B=BI114,Data!$D:$D=$M114))),""""),"""")"),"")</f>
        <v/>
      </c>
      <c r="CT114" s="69"/>
      <c r="CU114" s="69"/>
      <c r="CV114" s="69"/>
      <c r="CW114" s="69"/>
      <c r="CX114" s="69"/>
      <c r="CY114" s="69"/>
      <c r="CZ114" s="69"/>
      <c r="DA114" s="69"/>
      <c r="DB114" s="69"/>
      <c r="DC114" s="69"/>
      <c r="DD114" s="69"/>
      <c r="DE114" s="69"/>
    </row>
    <row r="115">
      <c r="A115" s="65" t="str">
        <f>RawTotals!A115</f>
        <v/>
      </c>
      <c r="B115" s="68" t="str">
        <f>IFERROR(__xludf.DUMMYFUNCTION("IF(A115&lt;&gt;"""",IFERROR(TRANSPOSE(FILTER(Data!D:D,Data!B:B=A115,Data!R:R&lt;&gt;"""")),""No Defense""),"""")"),"")</f>
        <v/>
      </c>
      <c r="C115" s="65"/>
      <c r="D115" s="65"/>
      <c r="E115" s="65"/>
      <c r="F115" s="65"/>
      <c r="G115" s="65"/>
      <c r="H115" s="65"/>
      <c r="I115" s="65"/>
      <c r="J115" s="65"/>
      <c r="K115" s="65"/>
      <c r="L115" s="65"/>
      <c r="M115" s="65"/>
      <c r="N115" s="64" t="str">
        <f>IFERROR(__xludf.DUMMYFUNCTION("IFERROR(Textjoin("""",TRUE,FILTER(Data!$R:$R,Data!$D:$D=B115,Data!$B:$B=$A115)),"""")"),"")</f>
        <v/>
      </c>
      <c r="O115" s="64" t="str">
        <f>IFERROR(__xludf.DUMMYFUNCTION("IFERROR(Textjoin("""",TRUE,FILTER(Data!$R:$R,Data!$D:$D=C115,Data!$B:$B=$A115)),"""")"),"")</f>
        <v/>
      </c>
      <c r="P115" s="64" t="str">
        <f>IFERROR(__xludf.DUMMYFUNCTION("IFERROR(Textjoin("""",TRUE,FILTER(Data!$R:$R,Data!$D:$D=D115,Data!$B:$B=$A115)),"""")"),"")</f>
        <v/>
      </c>
      <c r="Q115" s="64" t="str">
        <f>IFERROR(__xludf.DUMMYFUNCTION("IFERROR(Textjoin("""",TRUE,FILTER(Data!$R:$R,Data!$D:$D=E115,Data!$B:$B=$A115)),"""")"),"")</f>
        <v/>
      </c>
      <c r="R115" s="64" t="str">
        <f>IFERROR(__xludf.DUMMYFUNCTION("IFERROR(Textjoin("""",TRUE,FILTER(Data!$R:$R,Data!$D:$D=F115,Data!$B:$B=$A115)),"""")"),"")</f>
        <v/>
      </c>
      <c r="S115" s="64" t="str">
        <f>IFERROR(__xludf.DUMMYFUNCTION("IFERROR(Textjoin("""",TRUE,FILTER(Data!$R:$R,Data!$D:$D=G115,Data!$B:$B=$A115)),"""")"),"")</f>
        <v/>
      </c>
      <c r="T115" s="64" t="str">
        <f>IFERROR(__xludf.DUMMYFUNCTION("IFERROR(Textjoin("""",TRUE,FILTER(Data!$R:$R,Data!$D:$D=H115,Data!$B:$B=$A115)),"""")"),"")</f>
        <v/>
      </c>
      <c r="U115" s="64" t="str">
        <f>IFERROR(__xludf.DUMMYFUNCTION("IFERROR(Textjoin("""",TRUE,FILTER(Data!$R:$R,Data!$D:$D=I115,Data!$B:$B=$A115)),"""")"),"")</f>
        <v/>
      </c>
      <c r="V115" s="64" t="str">
        <f>IFERROR(__xludf.DUMMYFUNCTION("IFERROR(Textjoin("""",TRUE,FILTER(Data!$R:$R,Data!$D:$D=J115,Data!$B:$B=$A115)),"""")"),"")</f>
        <v/>
      </c>
      <c r="W115" s="64" t="str">
        <f>IFERROR(__xludf.DUMMYFUNCTION("IFERROR(Textjoin("""",TRUE,FILTER(Data!$R:$R,Data!$D:$D=K115,Data!$B:$B=$A115)),"""")"),"")</f>
        <v/>
      </c>
      <c r="X115" s="64" t="str">
        <f>IFERROR(__xludf.DUMMYFUNCTION("IFERROR(Textjoin("""",TRUE,FILTER(Data!$R:$R,Data!$D:$D=L115,Data!$B:$B=$A115)),"""")"),"")</f>
        <v/>
      </c>
      <c r="Y115" s="64" t="str">
        <f>IFERROR(__xludf.DUMMYFUNCTION("IFERROR(Textjoin("""",TRUE,FILTER(Data!$R:$R,Data!$D:$D=M115,Data!$B:$B=$A115)),"""")"),"")</f>
        <v/>
      </c>
      <c r="Z115" s="64" t="str">
        <f>IFERROR(__xludf.DUMMYFUNCTION("IFERROR(SPLIT(N115,"",""),"""")"),"")</f>
        <v/>
      </c>
      <c r="AA115" s="65"/>
      <c r="AB115" s="65"/>
      <c r="AC115" s="69" t="str">
        <f>IFERROR(__xludf.DUMMYFUNCTION("IFERROR(SPLIT(O115,"",""),"""")"),"")</f>
        <v/>
      </c>
      <c r="AD115" s="65"/>
      <c r="AE115" s="65"/>
      <c r="AF115" s="69" t="str">
        <f>IFERROR(__xludf.DUMMYFUNCTION("IFERROR(SPLIT(P115,"",""),"""")"),"")</f>
        <v/>
      </c>
      <c r="AG115" s="65"/>
      <c r="AH115" s="65"/>
      <c r="AI115" s="69" t="str">
        <f>IFERROR(__xludf.DUMMYFUNCTION("IFERROR(SPLIT(Q115,"",""),"""")"),"")</f>
        <v/>
      </c>
      <c r="AJ115" s="65"/>
      <c r="AK115" s="65"/>
      <c r="AL115" s="69" t="str">
        <f>IFERROR(__xludf.DUMMYFUNCTION("IFERROR(SPLIT(R115,"",""),"""")"),"")</f>
        <v/>
      </c>
      <c r="AM115" s="65"/>
      <c r="AN115" s="65"/>
      <c r="AO115" s="69" t="str">
        <f>IFERROR(__xludf.DUMMYFUNCTION("IFERROR(SPLIT(S115,"",""),"""")"),"")</f>
        <v/>
      </c>
      <c r="AP115" s="65"/>
      <c r="AQ115" s="65"/>
      <c r="AR115" s="69" t="str">
        <f>IFERROR(__xludf.DUMMYFUNCTION("IFERROR(SPLIT(T115,"",""),"""")"),"")</f>
        <v/>
      </c>
      <c r="AS115" s="65"/>
      <c r="AT115" s="65"/>
      <c r="AU115" s="69" t="str">
        <f>IFERROR(__xludf.DUMMYFUNCTION("IFERROR(SPLIT(U115,"",""),"""")"),"")</f>
        <v/>
      </c>
      <c r="AV115" s="65"/>
      <c r="AW115" s="65"/>
      <c r="AX115" s="69" t="str">
        <f>IFERROR(__xludf.DUMMYFUNCTION("IFERROR(SPLIT(V115,"",""),"""")"),"")</f>
        <v/>
      </c>
      <c r="AY115" s="65"/>
      <c r="AZ115" s="65"/>
      <c r="BA115" s="69" t="str">
        <f>IFERROR(__xludf.DUMMYFUNCTION("IFERROR(SPLIT(W115,"",""),"""")"),"")</f>
        <v/>
      </c>
      <c r="BB115" s="69"/>
      <c r="BC115" s="69"/>
      <c r="BD115" s="69" t="str">
        <f>IFERROR(__xludf.DUMMYFUNCTION("IFERROR(SPLIT(X115,"",""),"""")"),"")</f>
        <v/>
      </c>
      <c r="BE115" s="69"/>
      <c r="BF115" s="69"/>
      <c r="BG115" s="69" t="str">
        <f>IFERROR(__xludf.DUMMYFUNCTION("IFERROR(SPLIT(Y115,"",""),"""")"),"")</f>
        <v/>
      </c>
      <c r="BH115" s="69"/>
      <c r="BI115" s="69"/>
      <c r="BJ115" s="68" t="str">
        <f>IFERROR(__xludf.DUMMYFUNCTION("IF($B115&lt;&gt;"""",IFERROR(FILTER(RawTotals!$AJ:$AJ,RawTotals!$A:$A=Z115)-(FILTER(Data!$K:$K,Data!$B:$B=Z115,Data!$D:$D=$B115)+FILTER(Data!$L:$L,Data!$B:$B=Z115,Data!$D:$D=$B115)),""""),"""")"),"")</f>
        <v/>
      </c>
      <c r="BK115" s="68" t="str">
        <f>IFERROR(__xludf.DUMMYFUNCTION("IF($B115&lt;&gt;"""",IFERROR(FILTER(RawTotals!$AJ:$AJ,RawTotals!$A:$A=AA115)-(FILTER(Data!$K:$K,Data!$B:$B=AA115,Data!$D:$D=$B115)+FILTER(Data!$L:$L,Data!$B:$B=AA115,Data!$D:$D=$B115)),""""),"""")"),"")</f>
        <v/>
      </c>
      <c r="BL115" s="68" t="str">
        <f>IFERROR(__xludf.DUMMYFUNCTION("IF($B115&lt;&gt;"""",IFERROR(FILTER(RawTotals!$AJ:$AJ,RawTotals!$A:$A=AB115)-(FILTER(Data!$K:$K,Data!$B:$B=AB115,Data!$D:$D=$B115)+FILTER(Data!$L:$L,Data!$B:$B=AB115,Data!$D:$D=$B115)),""""),"""")"),"")</f>
        <v/>
      </c>
      <c r="BM115" s="69" t="str">
        <f>IFERROR(__xludf.DUMMYFUNCTION("IF($C115&lt;&gt;"""",IFERROR(FILTER(RawTotals!$AJ:$AJ,RawTotals!$A:$A=AC115)-(FILTER(Data!$K:$K,Data!$B:$B=AC115,Data!$D:$D=$C115)+FILTER(Data!$L:$L,Data!$B:$B=AC115,Data!$D:$D=$C115)),""""),"""")"),"")</f>
        <v/>
      </c>
      <c r="BN115" s="69" t="str">
        <f>IFERROR(__xludf.DUMMYFUNCTION("IF($C115&lt;&gt;"""",IFERROR(FILTER(RawTotals!$AJ:$AJ,RawTotals!$A:$A=AD115)-(FILTER(Data!$K:$K,Data!$B:$B=AD115,Data!$D:$D=$C115)+FILTER(Data!$L:$L,Data!$B:$B=AD115,Data!$D:$D=$C115)),""""),"""")"),"")</f>
        <v/>
      </c>
      <c r="BO115" s="69" t="str">
        <f>IFERROR(__xludf.DUMMYFUNCTION("IF($C115&lt;&gt;"""",IFERROR(FILTER(RawTotals!$AJ:$AJ,RawTotals!$A:$A=AE115)-(FILTER(Data!$K:$K,Data!$B:$B=AE115,Data!$D:$D=$C115)+FILTER(Data!$L:$L,Data!$B:$B=AE115,Data!$D:$D=$C115)),""""),"""")"),"")</f>
        <v/>
      </c>
      <c r="BP115" s="69" t="str">
        <f>IFERROR(__xludf.DUMMYFUNCTION("IF($D115&lt;&gt;"""",IFERROR(FILTER(RawTotals!$AJ:$AJ,RawTotals!$A:$A=AF115)-(FILTER(Data!$K:$K,Data!$B:$B=AF115,Data!$D:$D=$D115)+FILTER(Data!$L:$L,Data!$B:$B=AF115,Data!$D:$D=$D115)),""""),"""")"),"")</f>
        <v/>
      </c>
      <c r="BQ115" s="69" t="str">
        <f>IFERROR(__xludf.DUMMYFUNCTION("IF($D115&lt;&gt;"""",IFERROR(FILTER(RawTotals!$AJ:$AJ,RawTotals!$A:$A=AG115)-(FILTER(Data!$K:$K,Data!$B:$B=AG115,Data!$D:$D=$D115)+FILTER(Data!$L:$L,Data!$B:$B=AG115,Data!$D:$D=$D115)),""""),"""")"),"")</f>
        <v/>
      </c>
      <c r="BR115" s="69" t="str">
        <f>IFERROR(__xludf.DUMMYFUNCTION("IF($D115&lt;&gt;"""",IFERROR(FILTER(RawTotals!$AJ:$AJ,RawTotals!$A:$A=AH115)-(FILTER(Data!$K:$K,Data!$B:$B=AH115,Data!$D:$D=$D115)+FILTER(Data!$L:$L,Data!$B:$B=AH115,Data!$D:$D=$D115)),""""),"""")"),"")</f>
        <v/>
      </c>
      <c r="BS115" s="69" t="str">
        <f>IFERROR(__xludf.DUMMYFUNCTION("IF($E115&lt;&gt;"""",IFERROR(FILTER(RawTotals!$AJ:$AJ,RawTotals!$A:$A=AI115)-(FILTER(Data!$K:$K,Data!$B:$B=AI115,Data!$D:$D=$E115)+FILTER(Data!$L:$L,Data!$B:$B=AI115,Data!$D:$D=$E115)),""""),"""")"),"")</f>
        <v/>
      </c>
      <c r="BT115" s="69" t="str">
        <f>IFERROR(__xludf.DUMMYFUNCTION("IF($E115&lt;&gt;"""",IFERROR(FILTER(RawTotals!$AJ:$AJ,RawTotals!$A:$A=AJ115)-(FILTER(Data!$K:$K,Data!$B:$B=AJ115,Data!$D:$D=$E115)+FILTER(Data!$L:$L,Data!$B:$B=AJ115,Data!$D:$D=$E115)),""""),"""")"),"")</f>
        <v/>
      </c>
      <c r="BU115" s="69" t="str">
        <f>IFERROR(__xludf.DUMMYFUNCTION("IF($E115&lt;&gt;"""",IFERROR(FILTER(RawTotals!$AJ:$AJ,RawTotals!$A:$A=AK115)-(FILTER(Data!$K:$K,Data!$B:$B=AK115,Data!$D:$D=$E115)+FILTER(Data!$L:$L,Data!$B:$B=AK115,Data!$D:$D=$E115)),""""),"""")"),"")</f>
        <v/>
      </c>
      <c r="BV115" s="69" t="str">
        <f>IFERROR(__xludf.DUMMYFUNCTION("IF($F115&lt;&gt;"""",IFERROR(FILTER(RawTotals!$AJ:$AJ,RawTotals!$A:$A=AL115)-(FILTER(Data!$K:$K,Data!$B:$B=AL115,Data!$D:$D=$F115)+FILTER(Data!$L:$L,Data!$B:$B=AL115,Data!$D:$D=$F115)),""""),"""")"),"")</f>
        <v/>
      </c>
      <c r="BW115" s="69" t="str">
        <f>IFERROR(__xludf.DUMMYFUNCTION("IF($F115&lt;&gt;"""",IFERROR(FILTER(RawTotals!$AJ:$AJ,RawTotals!$A:$A=AM115)-(FILTER(Data!$K:$K,Data!$B:$B=AM115,Data!$D:$D=$F115)+FILTER(Data!$L:$L,Data!$B:$B=AM115,Data!$D:$D=$F115)),""""),"""")"),"")</f>
        <v/>
      </c>
      <c r="BX115" s="69" t="str">
        <f>IFERROR(__xludf.DUMMYFUNCTION("IF($F115&lt;&gt;"""",IFERROR(FILTER(RawTotals!$AJ:$AJ,RawTotals!$A:$A=AN115)-(FILTER(Data!$K:$K,Data!$B:$B=AN115,Data!$D:$D=$F115)+FILTER(Data!$L:$L,Data!$B:$B=AN115,Data!$D:$D=$F115)),""""),"""")"),"")</f>
        <v/>
      </c>
      <c r="BY115" s="69" t="str">
        <f>IFERROR(__xludf.DUMMYFUNCTION("IF($G115&lt;&gt;"""",IFERROR(FILTER(RawTotals!$AJ:$AJ,RawTotals!$A:$A=AO115)-(FILTER(Data!$K:$K,Data!$B:$B=AO115,Data!$D:$D=$G115)+FILTER(Data!$L:$L,Data!$B:$B=AO115,Data!$D:$D=$G115)),""""),"""")"),"")</f>
        <v/>
      </c>
      <c r="BZ115" s="69" t="str">
        <f>IFERROR(__xludf.DUMMYFUNCTION("IF($G115&lt;&gt;"""",IFERROR(FILTER(RawTotals!$AJ:$AJ,RawTotals!$A:$A=AP115)-(FILTER(Data!$K:$K,Data!$B:$B=AP115,Data!$D:$D=$G115)+FILTER(Data!$L:$L,Data!$B:$B=AP115,Data!$D:$D=$G115)),""""),"""")"),"")</f>
        <v/>
      </c>
      <c r="CA115" s="69" t="str">
        <f>IFERROR(__xludf.DUMMYFUNCTION("IF($G115&lt;&gt;"""",IFERROR(FILTER(RawTotals!$AJ:$AJ,RawTotals!$A:$A=AQ115)-(FILTER(Data!$K:$K,Data!$B:$B=AQ115,Data!$D:$D=$G115)+FILTER(Data!$L:$L,Data!$B:$B=AQ115,Data!$D:$D=$G115)),""""),"""")"),"")</f>
        <v/>
      </c>
      <c r="CB115" s="69" t="str">
        <f>IFERROR(__xludf.DUMMYFUNCTION("IF($H115&lt;&gt;"""",IFERROR(FILTER(RawTotals!$AJ:$AJ,RawTotals!$A:$A=AR115)-(FILTER(Data!$K:$K,Data!$B:$B=AR115,Data!$D:$D=$H115)+FILTER(Data!$L:$L,Data!$B:$B=AR115,Data!$D:$D=$H115)),""""),"""")"),"")</f>
        <v/>
      </c>
      <c r="CC115" s="69" t="str">
        <f>IFERROR(__xludf.DUMMYFUNCTION("IF($H115&lt;&gt;"""",IFERROR(FILTER(RawTotals!$AJ:$AJ,RawTotals!$A:$A=AS115)-(FILTER(Data!$K:$K,Data!$B:$B=AS115,Data!$D:$D=$H115)+FILTER(Data!$L:$L,Data!$B:$B=AS115,Data!$D:$D=$H115)),""""),"""")"),"")</f>
        <v/>
      </c>
      <c r="CD115" s="69" t="str">
        <f>IFERROR(__xludf.DUMMYFUNCTION("IF($H115&lt;&gt;"""",IFERROR(FILTER(RawTotals!$AJ:$AJ,RawTotals!$A:$A=AT115)-(FILTER(Data!$K:$K,Data!$B:$B=AT115,Data!$D:$D=$H115)+FILTER(Data!$L:$L,Data!$B:$B=AT115,Data!$D:$D=$H115)),""""),"""")"),"")</f>
        <v/>
      </c>
      <c r="CE115" s="69" t="str">
        <f>IFERROR(__xludf.DUMMYFUNCTION("IF($I115&lt;&gt;"""",IFERROR(FILTER(RawTotals!$AJ:$AJ,RawTotals!$A:$A=AU115)-(FILTER(Data!$K:$K,Data!$B:$B=AU115,Data!$D:$D=$I115)+FILTER(Data!$L:$L,Data!$B:$B=AU115,Data!$D:$D=$I115)),""""),"""")"),"")</f>
        <v/>
      </c>
      <c r="CF115" s="69" t="str">
        <f>IFERROR(__xludf.DUMMYFUNCTION("IF($I115&lt;&gt;"""",IFERROR(FILTER(RawTotals!$AJ:$AJ,RawTotals!$A:$A=AV115)-(FILTER(Data!$K:$K,Data!$B:$B=AV115,Data!$D:$D=$I115)+FILTER(Data!$L:$L,Data!$B:$B=AV115,Data!$D:$D=$I115)),""""),"""")"),"")</f>
        <v/>
      </c>
      <c r="CG115" s="69" t="str">
        <f>IFERROR(__xludf.DUMMYFUNCTION("IF($I115&lt;&gt;"""",IFERROR(FILTER(RawTotals!$AJ:$AJ,RawTotals!$A:$A=AW115)-(FILTER(Data!$K:$K,Data!$B:$B=AW115,Data!$D:$D=$I115)+FILTER(Data!$L:$L,Data!$B:$B=AW115,Data!$D:$D=$I115)),""""),"""")"),"")</f>
        <v/>
      </c>
      <c r="CH115" s="69" t="str">
        <f>IFERROR(__xludf.DUMMYFUNCTION("IF($J115&lt;&gt;"""",IFERROR(FILTER(RawTotals!$AJ:$AJ,RawTotals!$A:$A=AX115)-(FILTER(Data!$K:$K,Data!$B:$B=AX115,Data!$D:$D=$J115)+FILTER(Data!$L:$L,Data!$B:$B=AX115,Data!$D:$D=$J115)),""""),"""")"),"")</f>
        <v/>
      </c>
      <c r="CI115" s="69" t="str">
        <f>IFERROR(__xludf.DUMMYFUNCTION("IF($J115&lt;&gt;"""",IFERROR(FILTER(RawTotals!$AJ:$AJ,RawTotals!$A:$A=AY115)-(FILTER(Data!$K:$K,Data!$B:$B=AY115,Data!$D:$D=$J115)+FILTER(Data!$L:$L,Data!$B:$B=AY115,Data!$D:$D=$J115)),""""),"""")"),"")</f>
        <v/>
      </c>
      <c r="CJ115" s="69" t="str">
        <f>IFERROR(__xludf.DUMMYFUNCTION("IF($J115&lt;&gt;"""",IFERROR(FILTER(RawTotals!$AJ:$AJ,RawTotals!$A:$A=AZ115)-(FILTER(Data!$K:$K,Data!$B:$B=AZ115,Data!$D:$D=$J115)+FILTER(Data!$L:$L,Data!$B:$B=AZ115,Data!$D:$D=$J115)),""""),"""")"),"")</f>
        <v/>
      </c>
      <c r="CK115" s="69" t="str">
        <f>IFERROR(__xludf.DUMMYFUNCTION("IF($K115&lt;&gt;"""",IFERROR(FILTER(RawTotals!$AJ:$AJ,RawTotals!$A:$A=BA115)-(FILTER(Data!$K:$K,Data!$B:$B=BA115,Data!$D:$D=$K115)+FILTER(Data!$L:$L,Data!$B:$B=BA115,Data!$D:$D=$K115)),""""),"""")"),"")</f>
        <v/>
      </c>
      <c r="CL115" s="69" t="str">
        <f>IFERROR(__xludf.DUMMYFUNCTION("IF($K115&lt;&gt;"""",IFERROR(FILTER(RawTotals!$AJ:$AJ,RawTotals!$A:$A=BB115)-(FILTER(Data!$K:$K,Data!$B:$B=BB115,Data!$D:$D=$K115)+FILTER(Data!$L:$L,Data!$B:$B=BB115,Data!$D:$D=$K115)),""""),"""")"),"")</f>
        <v/>
      </c>
      <c r="CM115" s="69" t="str">
        <f>IFERROR(__xludf.DUMMYFUNCTION("IF($K115&lt;&gt;"""",IFERROR(FILTER(RawTotals!$AJ:$AJ,RawTotals!$A:$A=BC115)-(FILTER(Data!$K:$K,Data!$B:$B=BC115,Data!$D:$D=$K115)+FILTER(Data!$L:$L,Data!$B:$B=BC115,Data!$D:$D=$K115)),""""),"""")"),"")</f>
        <v/>
      </c>
      <c r="CN115" s="69" t="str">
        <f>IFERROR(__xludf.DUMMYFUNCTION("IF($L115&lt;&gt;"""",IFERROR((FILTER(RawTotals!$AJ:$AJ,RawTotals!$A:$A=BD115)-(FILTER(Data!$K:$K,Data!$B:$B=BD115,Data!$D:$D=$L115)+FILTER(Data!$L:$L,Data!$B:$B=BD115,Data!$D:$D=$L115))),""""),"""")"),"")</f>
        <v/>
      </c>
      <c r="CO115" s="69" t="str">
        <f>IFERROR(__xludf.DUMMYFUNCTION("IF($L115&lt;&gt;"""",IFERROR((FILTER(RawTotals!$AJ:$AJ,RawTotals!$A:$A=BE115)-(FILTER(Data!$K:$K,Data!$B:$B=BE115,Data!$D:$D=$L115)+FILTER(Data!$L:$L,Data!$B:$B=BE115,Data!$D:$D=$L115))),""""),"""")"),"")</f>
        <v/>
      </c>
      <c r="CP115" s="69" t="str">
        <f>IFERROR(__xludf.DUMMYFUNCTION("IF($L115&lt;&gt;"""",IFERROR((FILTER(RawTotals!$AJ:$AJ,RawTotals!$A:$A=BF115)-(FILTER(Data!$K:$K,Data!$B:$B=BF115,Data!$D:$D=$L115)+FILTER(Data!$L:$L,Data!$B:$B=BF115,Data!$D:$D=$L115))),""""),"""")"),"")</f>
        <v/>
      </c>
      <c r="CQ115" s="69" t="str">
        <f>IFERROR(__xludf.DUMMYFUNCTION("IF($M115&lt;&gt;"""",IFERROR((FILTER(RawTotals!$AJ:$AJ,RawTotals!$A:$A=BG115)-(FILTER(Data!$K:$K,Data!$B:$B=BG115,Data!$D:$D=$M115)+FILTER(Data!$L:$L,Data!$B:$B=BG115,Data!$D:$D=$M115))),""""),"""")"),"")</f>
        <v/>
      </c>
      <c r="CR115" s="69" t="str">
        <f>IFERROR(__xludf.DUMMYFUNCTION("IF($M115&lt;&gt;"""",IFERROR((FILTER(RawTotals!$AJ:$AJ,RawTotals!$A:$A=BH115)-(FILTER(Data!$K:$K,Data!$B:$B=BH115,Data!$D:$D=$M115)+FILTER(Data!$L:$L,Data!$B:$B=BH115,Data!$D:$D=$M115))),""""),"""")"),"")</f>
        <v/>
      </c>
      <c r="CS115" s="70" t="str">
        <f>IFERROR(__xludf.DUMMYFUNCTION("IF($M115&lt;&gt;"""",IFERROR((FILTER(RawTotals!$AJ:$AJ,RawTotals!$A:$A=BI115)-(FILTER(Data!$K:$K,Data!$B:$B=BI115,Data!$D:$D=$M115)+FILTER(Data!$L:$L,Data!$B:$B=BI115,Data!$D:$D=$M115))),""""),"""")"),"")</f>
        <v/>
      </c>
      <c r="CT115" s="69"/>
      <c r="CU115" s="69"/>
      <c r="CV115" s="69"/>
      <c r="CW115" s="69"/>
      <c r="CX115" s="69"/>
      <c r="CY115" s="69"/>
      <c r="CZ115" s="69"/>
      <c r="DA115" s="69"/>
      <c r="DB115" s="69"/>
      <c r="DC115" s="69"/>
      <c r="DD115" s="69"/>
      <c r="DE115" s="69"/>
    </row>
    <row r="116">
      <c r="A116" s="65" t="str">
        <f>RawTotals!A116</f>
        <v/>
      </c>
      <c r="B116" s="68" t="str">
        <f>IFERROR(__xludf.DUMMYFUNCTION("IF(A116&lt;&gt;"""",IFERROR(TRANSPOSE(FILTER(Data!D:D,Data!B:B=A116,Data!R:R&lt;&gt;"""")),""No Defense""),"""")"),"")</f>
        <v/>
      </c>
      <c r="C116" s="65"/>
      <c r="D116" s="65"/>
      <c r="E116" s="65"/>
      <c r="F116" s="65"/>
      <c r="G116" s="65"/>
      <c r="H116" s="65"/>
      <c r="I116" s="65"/>
      <c r="J116" s="65"/>
      <c r="K116" s="65"/>
      <c r="L116" s="65"/>
      <c r="M116" s="65"/>
      <c r="N116" s="64" t="str">
        <f>IFERROR(__xludf.DUMMYFUNCTION("IFERROR(Textjoin("""",TRUE,FILTER(Data!$R:$R,Data!$D:$D=B116,Data!$B:$B=$A116)),"""")"),"")</f>
        <v/>
      </c>
      <c r="O116" s="64" t="str">
        <f>IFERROR(__xludf.DUMMYFUNCTION("IFERROR(Textjoin("""",TRUE,FILTER(Data!$R:$R,Data!$D:$D=C116,Data!$B:$B=$A116)),"""")"),"")</f>
        <v/>
      </c>
      <c r="P116" s="64" t="str">
        <f>IFERROR(__xludf.DUMMYFUNCTION("IFERROR(Textjoin("""",TRUE,FILTER(Data!$R:$R,Data!$D:$D=D116,Data!$B:$B=$A116)),"""")"),"")</f>
        <v/>
      </c>
      <c r="Q116" s="64" t="str">
        <f>IFERROR(__xludf.DUMMYFUNCTION("IFERROR(Textjoin("""",TRUE,FILTER(Data!$R:$R,Data!$D:$D=E116,Data!$B:$B=$A116)),"""")"),"")</f>
        <v/>
      </c>
      <c r="R116" s="64" t="str">
        <f>IFERROR(__xludf.DUMMYFUNCTION("IFERROR(Textjoin("""",TRUE,FILTER(Data!$R:$R,Data!$D:$D=F116,Data!$B:$B=$A116)),"""")"),"")</f>
        <v/>
      </c>
      <c r="S116" s="64" t="str">
        <f>IFERROR(__xludf.DUMMYFUNCTION("IFERROR(Textjoin("""",TRUE,FILTER(Data!$R:$R,Data!$D:$D=G116,Data!$B:$B=$A116)),"""")"),"")</f>
        <v/>
      </c>
      <c r="T116" s="64" t="str">
        <f>IFERROR(__xludf.DUMMYFUNCTION("IFERROR(Textjoin("""",TRUE,FILTER(Data!$R:$R,Data!$D:$D=H116,Data!$B:$B=$A116)),"""")"),"")</f>
        <v/>
      </c>
      <c r="U116" s="64" t="str">
        <f>IFERROR(__xludf.DUMMYFUNCTION("IFERROR(Textjoin("""",TRUE,FILTER(Data!$R:$R,Data!$D:$D=I116,Data!$B:$B=$A116)),"""")"),"")</f>
        <v/>
      </c>
      <c r="V116" s="64" t="str">
        <f>IFERROR(__xludf.DUMMYFUNCTION("IFERROR(Textjoin("""",TRUE,FILTER(Data!$R:$R,Data!$D:$D=J116,Data!$B:$B=$A116)),"""")"),"")</f>
        <v/>
      </c>
      <c r="W116" s="64" t="str">
        <f>IFERROR(__xludf.DUMMYFUNCTION("IFERROR(Textjoin("""",TRUE,FILTER(Data!$R:$R,Data!$D:$D=K116,Data!$B:$B=$A116)),"""")"),"")</f>
        <v/>
      </c>
      <c r="X116" s="64" t="str">
        <f>IFERROR(__xludf.DUMMYFUNCTION("IFERROR(Textjoin("""",TRUE,FILTER(Data!$R:$R,Data!$D:$D=L116,Data!$B:$B=$A116)),"""")"),"")</f>
        <v/>
      </c>
      <c r="Y116" s="64" t="str">
        <f>IFERROR(__xludf.DUMMYFUNCTION("IFERROR(Textjoin("""",TRUE,FILTER(Data!$R:$R,Data!$D:$D=M116,Data!$B:$B=$A116)),"""")"),"")</f>
        <v/>
      </c>
      <c r="Z116" s="64" t="str">
        <f>IFERROR(__xludf.DUMMYFUNCTION("IFERROR(SPLIT(N116,"",""),"""")"),"")</f>
        <v/>
      </c>
      <c r="AA116" s="65"/>
      <c r="AB116" s="65"/>
      <c r="AC116" s="69" t="str">
        <f>IFERROR(__xludf.DUMMYFUNCTION("IFERROR(SPLIT(O116,"",""),"""")"),"")</f>
        <v/>
      </c>
      <c r="AD116" s="65"/>
      <c r="AE116" s="65"/>
      <c r="AF116" s="69" t="str">
        <f>IFERROR(__xludf.DUMMYFUNCTION("IFERROR(SPLIT(P116,"",""),"""")"),"")</f>
        <v/>
      </c>
      <c r="AG116" s="65"/>
      <c r="AH116" s="65"/>
      <c r="AI116" s="69" t="str">
        <f>IFERROR(__xludf.DUMMYFUNCTION("IFERROR(SPLIT(Q116,"",""),"""")"),"")</f>
        <v/>
      </c>
      <c r="AJ116" s="65"/>
      <c r="AK116" s="65"/>
      <c r="AL116" s="69" t="str">
        <f>IFERROR(__xludf.DUMMYFUNCTION("IFERROR(SPLIT(R116,"",""),"""")"),"")</f>
        <v/>
      </c>
      <c r="AM116" s="65"/>
      <c r="AN116" s="65"/>
      <c r="AO116" s="69" t="str">
        <f>IFERROR(__xludf.DUMMYFUNCTION("IFERROR(SPLIT(S116,"",""),"""")"),"")</f>
        <v/>
      </c>
      <c r="AP116" s="65"/>
      <c r="AQ116" s="65"/>
      <c r="AR116" s="69" t="str">
        <f>IFERROR(__xludf.DUMMYFUNCTION("IFERROR(SPLIT(T116,"",""),"""")"),"")</f>
        <v/>
      </c>
      <c r="AS116" s="65"/>
      <c r="AT116" s="65"/>
      <c r="AU116" s="69" t="str">
        <f>IFERROR(__xludf.DUMMYFUNCTION("IFERROR(SPLIT(U116,"",""),"""")"),"")</f>
        <v/>
      </c>
      <c r="AV116" s="65"/>
      <c r="AW116" s="65"/>
      <c r="AX116" s="69" t="str">
        <f>IFERROR(__xludf.DUMMYFUNCTION("IFERROR(SPLIT(V116,"",""),"""")"),"")</f>
        <v/>
      </c>
      <c r="AY116" s="65"/>
      <c r="AZ116" s="65"/>
      <c r="BA116" s="69" t="str">
        <f>IFERROR(__xludf.DUMMYFUNCTION("IFERROR(SPLIT(W116,"",""),"""")"),"")</f>
        <v/>
      </c>
      <c r="BB116" s="69"/>
      <c r="BC116" s="69"/>
      <c r="BD116" s="69" t="str">
        <f>IFERROR(__xludf.DUMMYFUNCTION("IFERROR(SPLIT(X116,"",""),"""")"),"")</f>
        <v/>
      </c>
      <c r="BE116" s="69"/>
      <c r="BF116" s="69"/>
      <c r="BG116" s="69" t="str">
        <f>IFERROR(__xludf.DUMMYFUNCTION("IFERROR(SPLIT(Y116,"",""),"""")"),"")</f>
        <v/>
      </c>
      <c r="BH116" s="69"/>
      <c r="BI116" s="69"/>
      <c r="BJ116" s="68" t="str">
        <f>IFERROR(__xludf.DUMMYFUNCTION("IF($B116&lt;&gt;"""",IFERROR(FILTER(RawTotals!$AJ:$AJ,RawTotals!$A:$A=Z116)-(FILTER(Data!$K:$K,Data!$B:$B=Z116,Data!$D:$D=$B116)+FILTER(Data!$L:$L,Data!$B:$B=Z116,Data!$D:$D=$B116)),""""),"""")"),"")</f>
        <v/>
      </c>
      <c r="BK116" s="68" t="str">
        <f>IFERROR(__xludf.DUMMYFUNCTION("IF($B116&lt;&gt;"""",IFERROR(FILTER(RawTotals!$AJ:$AJ,RawTotals!$A:$A=AA116)-(FILTER(Data!$K:$K,Data!$B:$B=AA116,Data!$D:$D=$B116)+FILTER(Data!$L:$L,Data!$B:$B=AA116,Data!$D:$D=$B116)),""""),"""")"),"")</f>
        <v/>
      </c>
      <c r="BL116" s="68" t="str">
        <f>IFERROR(__xludf.DUMMYFUNCTION("IF($B116&lt;&gt;"""",IFERROR(FILTER(RawTotals!$AJ:$AJ,RawTotals!$A:$A=AB116)-(FILTER(Data!$K:$K,Data!$B:$B=AB116,Data!$D:$D=$B116)+FILTER(Data!$L:$L,Data!$B:$B=AB116,Data!$D:$D=$B116)),""""),"""")"),"")</f>
        <v/>
      </c>
      <c r="BM116" s="69" t="str">
        <f>IFERROR(__xludf.DUMMYFUNCTION("IF($C116&lt;&gt;"""",IFERROR(FILTER(RawTotals!$AJ:$AJ,RawTotals!$A:$A=AC116)-(FILTER(Data!$K:$K,Data!$B:$B=AC116,Data!$D:$D=$C116)+FILTER(Data!$L:$L,Data!$B:$B=AC116,Data!$D:$D=$C116)),""""),"""")"),"")</f>
        <v/>
      </c>
      <c r="BN116" s="69" t="str">
        <f>IFERROR(__xludf.DUMMYFUNCTION("IF($C116&lt;&gt;"""",IFERROR(FILTER(RawTotals!$AJ:$AJ,RawTotals!$A:$A=AD116)-(FILTER(Data!$K:$K,Data!$B:$B=AD116,Data!$D:$D=$C116)+FILTER(Data!$L:$L,Data!$B:$B=AD116,Data!$D:$D=$C116)),""""),"""")"),"")</f>
        <v/>
      </c>
      <c r="BO116" s="69" t="str">
        <f>IFERROR(__xludf.DUMMYFUNCTION("IF($C116&lt;&gt;"""",IFERROR(FILTER(RawTotals!$AJ:$AJ,RawTotals!$A:$A=AE116)-(FILTER(Data!$K:$K,Data!$B:$B=AE116,Data!$D:$D=$C116)+FILTER(Data!$L:$L,Data!$B:$B=AE116,Data!$D:$D=$C116)),""""),"""")"),"")</f>
        <v/>
      </c>
      <c r="BP116" s="69" t="str">
        <f>IFERROR(__xludf.DUMMYFUNCTION("IF($D116&lt;&gt;"""",IFERROR(FILTER(RawTotals!$AJ:$AJ,RawTotals!$A:$A=AF116)-(FILTER(Data!$K:$K,Data!$B:$B=AF116,Data!$D:$D=$D116)+FILTER(Data!$L:$L,Data!$B:$B=AF116,Data!$D:$D=$D116)),""""),"""")"),"")</f>
        <v/>
      </c>
      <c r="BQ116" s="69" t="str">
        <f>IFERROR(__xludf.DUMMYFUNCTION("IF($D116&lt;&gt;"""",IFERROR(FILTER(RawTotals!$AJ:$AJ,RawTotals!$A:$A=AG116)-(FILTER(Data!$K:$K,Data!$B:$B=AG116,Data!$D:$D=$D116)+FILTER(Data!$L:$L,Data!$B:$B=AG116,Data!$D:$D=$D116)),""""),"""")"),"")</f>
        <v/>
      </c>
      <c r="BR116" s="69" t="str">
        <f>IFERROR(__xludf.DUMMYFUNCTION("IF($D116&lt;&gt;"""",IFERROR(FILTER(RawTotals!$AJ:$AJ,RawTotals!$A:$A=AH116)-(FILTER(Data!$K:$K,Data!$B:$B=AH116,Data!$D:$D=$D116)+FILTER(Data!$L:$L,Data!$B:$B=AH116,Data!$D:$D=$D116)),""""),"""")"),"")</f>
        <v/>
      </c>
      <c r="BS116" s="69" t="str">
        <f>IFERROR(__xludf.DUMMYFUNCTION("IF($E116&lt;&gt;"""",IFERROR(FILTER(RawTotals!$AJ:$AJ,RawTotals!$A:$A=AI116)-(FILTER(Data!$K:$K,Data!$B:$B=AI116,Data!$D:$D=$E116)+FILTER(Data!$L:$L,Data!$B:$B=AI116,Data!$D:$D=$E116)),""""),"""")"),"")</f>
        <v/>
      </c>
      <c r="BT116" s="69" t="str">
        <f>IFERROR(__xludf.DUMMYFUNCTION("IF($E116&lt;&gt;"""",IFERROR(FILTER(RawTotals!$AJ:$AJ,RawTotals!$A:$A=AJ116)-(FILTER(Data!$K:$K,Data!$B:$B=AJ116,Data!$D:$D=$E116)+FILTER(Data!$L:$L,Data!$B:$B=AJ116,Data!$D:$D=$E116)),""""),"""")"),"")</f>
        <v/>
      </c>
      <c r="BU116" s="69" t="str">
        <f>IFERROR(__xludf.DUMMYFUNCTION("IF($E116&lt;&gt;"""",IFERROR(FILTER(RawTotals!$AJ:$AJ,RawTotals!$A:$A=AK116)-(FILTER(Data!$K:$K,Data!$B:$B=AK116,Data!$D:$D=$E116)+FILTER(Data!$L:$L,Data!$B:$B=AK116,Data!$D:$D=$E116)),""""),"""")"),"")</f>
        <v/>
      </c>
      <c r="BV116" s="69" t="str">
        <f>IFERROR(__xludf.DUMMYFUNCTION("IF($F116&lt;&gt;"""",IFERROR(FILTER(RawTotals!$AJ:$AJ,RawTotals!$A:$A=AL116)-(FILTER(Data!$K:$K,Data!$B:$B=AL116,Data!$D:$D=$F116)+FILTER(Data!$L:$L,Data!$B:$B=AL116,Data!$D:$D=$F116)),""""),"""")"),"")</f>
        <v/>
      </c>
      <c r="BW116" s="69" t="str">
        <f>IFERROR(__xludf.DUMMYFUNCTION("IF($F116&lt;&gt;"""",IFERROR(FILTER(RawTotals!$AJ:$AJ,RawTotals!$A:$A=AM116)-(FILTER(Data!$K:$K,Data!$B:$B=AM116,Data!$D:$D=$F116)+FILTER(Data!$L:$L,Data!$B:$B=AM116,Data!$D:$D=$F116)),""""),"""")"),"")</f>
        <v/>
      </c>
      <c r="BX116" s="69" t="str">
        <f>IFERROR(__xludf.DUMMYFUNCTION("IF($F116&lt;&gt;"""",IFERROR(FILTER(RawTotals!$AJ:$AJ,RawTotals!$A:$A=AN116)-(FILTER(Data!$K:$K,Data!$B:$B=AN116,Data!$D:$D=$F116)+FILTER(Data!$L:$L,Data!$B:$B=AN116,Data!$D:$D=$F116)),""""),"""")"),"")</f>
        <v/>
      </c>
      <c r="BY116" s="69" t="str">
        <f>IFERROR(__xludf.DUMMYFUNCTION("IF($G116&lt;&gt;"""",IFERROR(FILTER(RawTotals!$AJ:$AJ,RawTotals!$A:$A=AO116)-(FILTER(Data!$K:$K,Data!$B:$B=AO116,Data!$D:$D=$G116)+FILTER(Data!$L:$L,Data!$B:$B=AO116,Data!$D:$D=$G116)),""""),"""")"),"")</f>
        <v/>
      </c>
      <c r="BZ116" s="69" t="str">
        <f>IFERROR(__xludf.DUMMYFUNCTION("IF($G116&lt;&gt;"""",IFERROR(FILTER(RawTotals!$AJ:$AJ,RawTotals!$A:$A=AP116)-(FILTER(Data!$K:$K,Data!$B:$B=AP116,Data!$D:$D=$G116)+FILTER(Data!$L:$L,Data!$B:$B=AP116,Data!$D:$D=$G116)),""""),"""")"),"")</f>
        <v/>
      </c>
      <c r="CA116" s="69" t="str">
        <f>IFERROR(__xludf.DUMMYFUNCTION("IF($G116&lt;&gt;"""",IFERROR(FILTER(RawTotals!$AJ:$AJ,RawTotals!$A:$A=AQ116)-(FILTER(Data!$K:$K,Data!$B:$B=AQ116,Data!$D:$D=$G116)+FILTER(Data!$L:$L,Data!$B:$B=AQ116,Data!$D:$D=$G116)),""""),"""")"),"")</f>
        <v/>
      </c>
      <c r="CB116" s="69" t="str">
        <f>IFERROR(__xludf.DUMMYFUNCTION("IF($H116&lt;&gt;"""",IFERROR(FILTER(RawTotals!$AJ:$AJ,RawTotals!$A:$A=AR116)-(FILTER(Data!$K:$K,Data!$B:$B=AR116,Data!$D:$D=$H116)+FILTER(Data!$L:$L,Data!$B:$B=AR116,Data!$D:$D=$H116)),""""),"""")"),"")</f>
        <v/>
      </c>
      <c r="CC116" s="69" t="str">
        <f>IFERROR(__xludf.DUMMYFUNCTION("IF($H116&lt;&gt;"""",IFERROR(FILTER(RawTotals!$AJ:$AJ,RawTotals!$A:$A=AS116)-(FILTER(Data!$K:$K,Data!$B:$B=AS116,Data!$D:$D=$H116)+FILTER(Data!$L:$L,Data!$B:$B=AS116,Data!$D:$D=$H116)),""""),"""")"),"")</f>
        <v/>
      </c>
      <c r="CD116" s="69" t="str">
        <f>IFERROR(__xludf.DUMMYFUNCTION("IF($H116&lt;&gt;"""",IFERROR(FILTER(RawTotals!$AJ:$AJ,RawTotals!$A:$A=AT116)-(FILTER(Data!$K:$K,Data!$B:$B=AT116,Data!$D:$D=$H116)+FILTER(Data!$L:$L,Data!$B:$B=AT116,Data!$D:$D=$H116)),""""),"""")"),"")</f>
        <v/>
      </c>
      <c r="CE116" s="69" t="str">
        <f>IFERROR(__xludf.DUMMYFUNCTION("IF($I116&lt;&gt;"""",IFERROR(FILTER(RawTotals!$AJ:$AJ,RawTotals!$A:$A=AU116)-(FILTER(Data!$K:$K,Data!$B:$B=AU116,Data!$D:$D=$I116)+FILTER(Data!$L:$L,Data!$B:$B=AU116,Data!$D:$D=$I116)),""""),"""")"),"")</f>
        <v/>
      </c>
      <c r="CF116" s="69" t="str">
        <f>IFERROR(__xludf.DUMMYFUNCTION("IF($I116&lt;&gt;"""",IFERROR(FILTER(RawTotals!$AJ:$AJ,RawTotals!$A:$A=AV116)-(FILTER(Data!$K:$K,Data!$B:$B=AV116,Data!$D:$D=$I116)+FILTER(Data!$L:$L,Data!$B:$B=AV116,Data!$D:$D=$I116)),""""),"""")"),"")</f>
        <v/>
      </c>
      <c r="CG116" s="69" t="str">
        <f>IFERROR(__xludf.DUMMYFUNCTION("IF($I116&lt;&gt;"""",IFERROR(FILTER(RawTotals!$AJ:$AJ,RawTotals!$A:$A=AW116)-(FILTER(Data!$K:$K,Data!$B:$B=AW116,Data!$D:$D=$I116)+FILTER(Data!$L:$L,Data!$B:$B=AW116,Data!$D:$D=$I116)),""""),"""")"),"")</f>
        <v/>
      </c>
      <c r="CH116" s="69" t="str">
        <f>IFERROR(__xludf.DUMMYFUNCTION("IF($J116&lt;&gt;"""",IFERROR(FILTER(RawTotals!$AJ:$AJ,RawTotals!$A:$A=AX116)-(FILTER(Data!$K:$K,Data!$B:$B=AX116,Data!$D:$D=$J116)+FILTER(Data!$L:$L,Data!$B:$B=AX116,Data!$D:$D=$J116)),""""),"""")"),"")</f>
        <v/>
      </c>
      <c r="CI116" s="69" t="str">
        <f>IFERROR(__xludf.DUMMYFUNCTION("IF($J116&lt;&gt;"""",IFERROR(FILTER(RawTotals!$AJ:$AJ,RawTotals!$A:$A=AY116)-(FILTER(Data!$K:$K,Data!$B:$B=AY116,Data!$D:$D=$J116)+FILTER(Data!$L:$L,Data!$B:$B=AY116,Data!$D:$D=$J116)),""""),"""")"),"")</f>
        <v/>
      </c>
      <c r="CJ116" s="69" t="str">
        <f>IFERROR(__xludf.DUMMYFUNCTION("IF($J116&lt;&gt;"""",IFERROR(FILTER(RawTotals!$AJ:$AJ,RawTotals!$A:$A=AZ116)-(FILTER(Data!$K:$K,Data!$B:$B=AZ116,Data!$D:$D=$J116)+FILTER(Data!$L:$L,Data!$B:$B=AZ116,Data!$D:$D=$J116)),""""),"""")"),"")</f>
        <v/>
      </c>
      <c r="CK116" s="69" t="str">
        <f>IFERROR(__xludf.DUMMYFUNCTION("IF($K116&lt;&gt;"""",IFERROR(FILTER(RawTotals!$AJ:$AJ,RawTotals!$A:$A=BA116)-(FILTER(Data!$K:$K,Data!$B:$B=BA116,Data!$D:$D=$K116)+FILTER(Data!$L:$L,Data!$B:$B=BA116,Data!$D:$D=$K116)),""""),"""")"),"")</f>
        <v/>
      </c>
      <c r="CL116" s="69" t="str">
        <f>IFERROR(__xludf.DUMMYFUNCTION("IF($K116&lt;&gt;"""",IFERROR(FILTER(RawTotals!$AJ:$AJ,RawTotals!$A:$A=BB116)-(FILTER(Data!$K:$K,Data!$B:$B=BB116,Data!$D:$D=$K116)+FILTER(Data!$L:$L,Data!$B:$B=BB116,Data!$D:$D=$K116)),""""),"""")"),"")</f>
        <v/>
      </c>
      <c r="CM116" s="69" t="str">
        <f>IFERROR(__xludf.DUMMYFUNCTION("IF($K116&lt;&gt;"""",IFERROR(FILTER(RawTotals!$AJ:$AJ,RawTotals!$A:$A=BC116)-(FILTER(Data!$K:$K,Data!$B:$B=BC116,Data!$D:$D=$K116)+FILTER(Data!$L:$L,Data!$B:$B=BC116,Data!$D:$D=$K116)),""""),"""")"),"")</f>
        <v/>
      </c>
      <c r="CN116" s="69" t="str">
        <f>IFERROR(__xludf.DUMMYFUNCTION("IF($L116&lt;&gt;"""",IFERROR((FILTER(RawTotals!$AJ:$AJ,RawTotals!$A:$A=BD116)-(FILTER(Data!$K:$K,Data!$B:$B=BD116,Data!$D:$D=$L116)+FILTER(Data!$L:$L,Data!$B:$B=BD116,Data!$D:$D=$L116))),""""),"""")"),"")</f>
        <v/>
      </c>
      <c r="CO116" s="69" t="str">
        <f>IFERROR(__xludf.DUMMYFUNCTION("IF($L116&lt;&gt;"""",IFERROR((FILTER(RawTotals!$AJ:$AJ,RawTotals!$A:$A=BE116)-(FILTER(Data!$K:$K,Data!$B:$B=BE116,Data!$D:$D=$L116)+FILTER(Data!$L:$L,Data!$B:$B=BE116,Data!$D:$D=$L116))),""""),"""")"),"")</f>
        <v/>
      </c>
      <c r="CP116" s="69" t="str">
        <f>IFERROR(__xludf.DUMMYFUNCTION("IF($L116&lt;&gt;"""",IFERROR((FILTER(RawTotals!$AJ:$AJ,RawTotals!$A:$A=BF116)-(FILTER(Data!$K:$K,Data!$B:$B=BF116,Data!$D:$D=$L116)+FILTER(Data!$L:$L,Data!$B:$B=BF116,Data!$D:$D=$L116))),""""),"""")"),"")</f>
        <v/>
      </c>
      <c r="CQ116" s="69" t="str">
        <f>IFERROR(__xludf.DUMMYFUNCTION("IF($M116&lt;&gt;"""",IFERROR((FILTER(RawTotals!$AJ:$AJ,RawTotals!$A:$A=BG116)-(FILTER(Data!$K:$K,Data!$B:$B=BG116,Data!$D:$D=$M116)+FILTER(Data!$L:$L,Data!$B:$B=BG116,Data!$D:$D=$M116))),""""),"""")"),"")</f>
        <v/>
      </c>
      <c r="CR116" s="69" t="str">
        <f>IFERROR(__xludf.DUMMYFUNCTION("IF($M116&lt;&gt;"""",IFERROR((FILTER(RawTotals!$AJ:$AJ,RawTotals!$A:$A=BH116)-(FILTER(Data!$K:$K,Data!$B:$B=BH116,Data!$D:$D=$M116)+FILTER(Data!$L:$L,Data!$B:$B=BH116,Data!$D:$D=$M116))),""""),"""")"),"")</f>
        <v/>
      </c>
      <c r="CS116" s="70" t="str">
        <f>IFERROR(__xludf.DUMMYFUNCTION("IF($M116&lt;&gt;"""",IFERROR((FILTER(RawTotals!$AJ:$AJ,RawTotals!$A:$A=BI116)-(FILTER(Data!$K:$K,Data!$B:$B=BI116,Data!$D:$D=$M116)+FILTER(Data!$L:$L,Data!$B:$B=BI116,Data!$D:$D=$M116))),""""),"""")"),"")</f>
        <v/>
      </c>
      <c r="CT116" s="69"/>
      <c r="CU116" s="69"/>
      <c r="CV116" s="69"/>
      <c r="CW116" s="69"/>
      <c r="CX116" s="69"/>
      <c r="CY116" s="69"/>
      <c r="CZ116" s="69"/>
      <c r="DA116" s="69"/>
      <c r="DB116" s="69"/>
      <c r="DC116" s="69"/>
      <c r="DD116" s="69"/>
      <c r="DE116" s="69"/>
    </row>
    <row r="117">
      <c r="A117" s="65" t="str">
        <f>RawTotals!A117</f>
        <v/>
      </c>
      <c r="B117" s="68" t="str">
        <f>IFERROR(__xludf.DUMMYFUNCTION("IF(A117&lt;&gt;"""",IFERROR(TRANSPOSE(FILTER(Data!D:D,Data!B:B=A117,Data!R:R&lt;&gt;"""")),""No Defense""),"""")"),"")</f>
        <v/>
      </c>
      <c r="C117" s="65"/>
      <c r="D117" s="65"/>
      <c r="E117" s="65"/>
      <c r="F117" s="65"/>
      <c r="G117" s="65"/>
      <c r="H117" s="65"/>
      <c r="I117" s="65"/>
      <c r="J117" s="65"/>
      <c r="K117" s="65"/>
      <c r="L117" s="65"/>
      <c r="M117" s="65"/>
      <c r="N117" s="64" t="str">
        <f>IFERROR(__xludf.DUMMYFUNCTION("IFERROR(Textjoin("""",TRUE,FILTER(Data!$R:$R,Data!$D:$D=B117,Data!$B:$B=$A117)),"""")"),"")</f>
        <v/>
      </c>
      <c r="O117" s="64" t="str">
        <f>IFERROR(__xludf.DUMMYFUNCTION("IFERROR(Textjoin("""",TRUE,FILTER(Data!$R:$R,Data!$D:$D=C117,Data!$B:$B=$A117)),"""")"),"")</f>
        <v/>
      </c>
      <c r="P117" s="64" t="str">
        <f>IFERROR(__xludf.DUMMYFUNCTION("IFERROR(Textjoin("""",TRUE,FILTER(Data!$R:$R,Data!$D:$D=D117,Data!$B:$B=$A117)),"""")"),"")</f>
        <v/>
      </c>
      <c r="Q117" s="64" t="str">
        <f>IFERROR(__xludf.DUMMYFUNCTION("IFERROR(Textjoin("""",TRUE,FILTER(Data!$R:$R,Data!$D:$D=E117,Data!$B:$B=$A117)),"""")"),"")</f>
        <v/>
      </c>
      <c r="R117" s="64" t="str">
        <f>IFERROR(__xludf.DUMMYFUNCTION("IFERROR(Textjoin("""",TRUE,FILTER(Data!$R:$R,Data!$D:$D=F117,Data!$B:$B=$A117)),"""")"),"")</f>
        <v/>
      </c>
      <c r="S117" s="64" t="str">
        <f>IFERROR(__xludf.DUMMYFUNCTION("IFERROR(Textjoin("""",TRUE,FILTER(Data!$R:$R,Data!$D:$D=G117,Data!$B:$B=$A117)),"""")"),"")</f>
        <v/>
      </c>
      <c r="T117" s="64" t="str">
        <f>IFERROR(__xludf.DUMMYFUNCTION("IFERROR(Textjoin("""",TRUE,FILTER(Data!$R:$R,Data!$D:$D=H117,Data!$B:$B=$A117)),"""")"),"")</f>
        <v/>
      </c>
      <c r="U117" s="64" t="str">
        <f>IFERROR(__xludf.DUMMYFUNCTION("IFERROR(Textjoin("""",TRUE,FILTER(Data!$R:$R,Data!$D:$D=I117,Data!$B:$B=$A117)),"""")"),"")</f>
        <v/>
      </c>
      <c r="V117" s="64" t="str">
        <f>IFERROR(__xludf.DUMMYFUNCTION("IFERROR(Textjoin("""",TRUE,FILTER(Data!$R:$R,Data!$D:$D=J117,Data!$B:$B=$A117)),"""")"),"")</f>
        <v/>
      </c>
      <c r="W117" s="64" t="str">
        <f>IFERROR(__xludf.DUMMYFUNCTION("IFERROR(Textjoin("""",TRUE,FILTER(Data!$R:$R,Data!$D:$D=K117,Data!$B:$B=$A117)),"""")"),"")</f>
        <v/>
      </c>
      <c r="X117" s="64" t="str">
        <f>IFERROR(__xludf.DUMMYFUNCTION("IFERROR(Textjoin("""",TRUE,FILTER(Data!$R:$R,Data!$D:$D=L117,Data!$B:$B=$A117)),"""")"),"")</f>
        <v/>
      </c>
      <c r="Y117" s="64" t="str">
        <f>IFERROR(__xludf.DUMMYFUNCTION("IFERROR(Textjoin("""",TRUE,FILTER(Data!$R:$R,Data!$D:$D=M117,Data!$B:$B=$A117)),"""")"),"")</f>
        <v/>
      </c>
      <c r="Z117" s="64" t="str">
        <f>IFERROR(__xludf.DUMMYFUNCTION("IFERROR(SPLIT(N117,"",""),"""")"),"")</f>
        <v/>
      </c>
      <c r="AA117" s="65"/>
      <c r="AB117" s="65"/>
      <c r="AC117" s="69" t="str">
        <f>IFERROR(__xludf.DUMMYFUNCTION("IFERROR(SPLIT(O117,"",""),"""")"),"")</f>
        <v/>
      </c>
      <c r="AD117" s="65"/>
      <c r="AE117" s="65"/>
      <c r="AF117" s="69" t="str">
        <f>IFERROR(__xludf.DUMMYFUNCTION("IFERROR(SPLIT(P117,"",""),"""")"),"")</f>
        <v/>
      </c>
      <c r="AG117" s="65"/>
      <c r="AH117" s="65"/>
      <c r="AI117" s="69" t="str">
        <f>IFERROR(__xludf.DUMMYFUNCTION("IFERROR(SPLIT(Q117,"",""),"""")"),"")</f>
        <v/>
      </c>
      <c r="AJ117" s="65"/>
      <c r="AK117" s="65"/>
      <c r="AL117" s="69" t="str">
        <f>IFERROR(__xludf.DUMMYFUNCTION("IFERROR(SPLIT(R117,"",""),"""")"),"")</f>
        <v/>
      </c>
      <c r="AM117" s="65"/>
      <c r="AN117" s="65"/>
      <c r="AO117" s="69" t="str">
        <f>IFERROR(__xludf.DUMMYFUNCTION("IFERROR(SPLIT(S117,"",""),"""")"),"")</f>
        <v/>
      </c>
      <c r="AP117" s="65"/>
      <c r="AQ117" s="65"/>
      <c r="AR117" s="69" t="str">
        <f>IFERROR(__xludf.DUMMYFUNCTION("IFERROR(SPLIT(T117,"",""),"""")"),"")</f>
        <v/>
      </c>
      <c r="AS117" s="65"/>
      <c r="AT117" s="65"/>
      <c r="AU117" s="69" t="str">
        <f>IFERROR(__xludf.DUMMYFUNCTION("IFERROR(SPLIT(U117,"",""),"""")"),"")</f>
        <v/>
      </c>
      <c r="AV117" s="65"/>
      <c r="AW117" s="65"/>
      <c r="AX117" s="69" t="str">
        <f>IFERROR(__xludf.DUMMYFUNCTION("IFERROR(SPLIT(V117,"",""),"""")"),"")</f>
        <v/>
      </c>
      <c r="AY117" s="65"/>
      <c r="AZ117" s="65"/>
      <c r="BA117" s="69" t="str">
        <f>IFERROR(__xludf.DUMMYFUNCTION("IFERROR(SPLIT(W117,"",""),"""")"),"")</f>
        <v/>
      </c>
      <c r="BB117" s="69"/>
      <c r="BC117" s="69"/>
      <c r="BD117" s="69" t="str">
        <f>IFERROR(__xludf.DUMMYFUNCTION("IFERROR(SPLIT(X117,"",""),"""")"),"")</f>
        <v/>
      </c>
      <c r="BE117" s="69"/>
      <c r="BF117" s="69"/>
      <c r="BG117" s="69" t="str">
        <f>IFERROR(__xludf.DUMMYFUNCTION("IFERROR(SPLIT(Y117,"",""),"""")"),"")</f>
        <v/>
      </c>
      <c r="BH117" s="69"/>
      <c r="BI117" s="69"/>
      <c r="BJ117" s="68" t="str">
        <f>IFERROR(__xludf.DUMMYFUNCTION("IF($B117&lt;&gt;"""",IFERROR(FILTER(RawTotals!$AJ:$AJ,RawTotals!$A:$A=Z117)-(FILTER(Data!$K:$K,Data!$B:$B=Z117,Data!$D:$D=$B117)+FILTER(Data!$L:$L,Data!$B:$B=Z117,Data!$D:$D=$B117)),""""),"""")"),"")</f>
        <v/>
      </c>
      <c r="BK117" s="68" t="str">
        <f>IFERROR(__xludf.DUMMYFUNCTION("IF($B117&lt;&gt;"""",IFERROR(FILTER(RawTotals!$AJ:$AJ,RawTotals!$A:$A=AA117)-(FILTER(Data!$K:$K,Data!$B:$B=AA117,Data!$D:$D=$B117)+FILTER(Data!$L:$L,Data!$B:$B=AA117,Data!$D:$D=$B117)),""""),"""")"),"")</f>
        <v/>
      </c>
      <c r="BL117" s="68" t="str">
        <f>IFERROR(__xludf.DUMMYFUNCTION("IF($B117&lt;&gt;"""",IFERROR(FILTER(RawTotals!$AJ:$AJ,RawTotals!$A:$A=AB117)-(FILTER(Data!$K:$K,Data!$B:$B=AB117,Data!$D:$D=$B117)+FILTER(Data!$L:$L,Data!$B:$B=AB117,Data!$D:$D=$B117)),""""),"""")"),"")</f>
        <v/>
      </c>
      <c r="BM117" s="69" t="str">
        <f>IFERROR(__xludf.DUMMYFUNCTION("IF($C117&lt;&gt;"""",IFERROR(FILTER(RawTotals!$AJ:$AJ,RawTotals!$A:$A=AC117)-(FILTER(Data!$K:$K,Data!$B:$B=AC117,Data!$D:$D=$C117)+FILTER(Data!$L:$L,Data!$B:$B=AC117,Data!$D:$D=$C117)),""""),"""")"),"")</f>
        <v/>
      </c>
      <c r="BN117" s="69" t="str">
        <f>IFERROR(__xludf.DUMMYFUNCTION("IF($C117&lt;&gt;"""",IFERROR(FILTER(RawTotals!$AJ:$AJ,RawTotals!$A:$A=AD117)-(FILTER(Data!$K:$K,Data!$B:$B=AD117,Data!$D:$D=$C117)+FILTER(Data!$L:$L,Data!$B:$B=AD117,Data!$D:$D=$C117)),""""),"""")"),"")</f>
        <v/>
      </c>
      <c r="BO117" s="69" t="str">
        <f>IFERROR(__xludf.DUMMYFUNCTION("IF($C117&lt;&gt;"""",IFERROR(FILTER(RawTotals!$AJ:$AJ,RawTotals!$A:$A=AE117)-(FILTER(Data!$K:$K,Data!$B:$B=AE117,Data!$D:$D=$C117)+FILTER(Data!$L:$L,Data!$B:$B=AE117,Data!$D:$D=$C117)),""""),"""")"),"")</f>
        <v/>
      </c>
      <c r="BP117" s="69" t="str">
        <f>IFERROR(__xludf.DUMMYFUNCTION("IF($D117&lt;&gt;"""",IFERROR(FILTER(RawTotals!$AJ:$AJ,RawTotals!$A:$A=AF117)-(FILTER(Data!$K:$K,Data!$B:$B=AF117,Data!$D:$D=$D117)+FILTER(Data!$L:$L,Data!$B:$B=AF117,Data!$D:$D=$D117)),""""),"""")"),"")</f>
        <v/>
      </c>
      <c r="BQ117" s="69" t="str">
        <f>IFERROR(__xludf.DUMMYFUNCTION("IF($D117&lt;&gt;"""",IFERROR(FILTER(RawTotals!$AJ:$AJ,RawTotals!$A:$A=AG117)-(FILTER(Data!$K:$K,Data!$B:$B=AG117,Data!$D:$D=$D117)+FILTER(Data!$L:$L,Data!$B:$B=AG117,Data!$D:$D=$D117)),""""),"""")"),"")</f>
        <v/>
      </c>
      <c r="BR117" s="69" t="str">
        <f>IFERROR(__xludf.DUMMYFUNCTION("IF($D117&lt;&gt;"""",IFERROR(FILTER(RawTotals!$AJ:$AJ,RawTotals!$A:$A=AH117)-(FILTER(Data!$K:$K,Data!$B:$B=AH117,Data!$D:$D=$D117)+FILTER(Data!$L:$L,Data!$B:$B=AH117,Data!$D:$D=$D117)),""""),"""")"),"")</f>
        <v/>
      </c>
      <c r="BS117" s="69" t="str">
        <f>IFERROR(__xludf.DUMMYFUNCTION("IF($E117&lt;&gt;"""",IFERROR(FILTER(RawTotals!$AJ:$AJ,RawTotals!$A:$A=AI117)-(FILTER(Data!$K:$K,Data!$B:$B=AI117,Data!$D:$D=$E117)+FILTER(Data!$L:$L,Data!$B:$B=AI117,Data!$D:$D=$E117)),""""),"""")"),"")</f>
        <v/>
      </c>
      <c r="BT117" s="69" t="str">
        <f>IFERROR(__xludf.DUMMYFUNCTION("IF($E117&lt;&gt;"""",IFERROR(FILTER(RawTotals!$AJ:$AJ,RawTotals!$A:$A=AJ117)-(FILTER(Data!$K:$K,Data!$B:$B=AJ117,Data!$D:$D=$E117)+FILTER(Data!$L:$L,Data!$B:$B=AJ117,Data!$D:$D=$E117)),""""),"""")"),"")</f>
        <v/>
      </c>
      <c r="BU117" s="69" t="str">
        <f>IFERROR(__xludf.DUMMYFUNCTION("IF($E117&lt;&gt;"""",IFERROR(FILTER(RawTotals!$AJ:$AJ,RawTotals!$A:$A=AK117)-(FILTER(Data!$K:$K,Data!$B:$B=AK117,Data!$D:$D=$E117)+FILTER(Data!$L:$L,Data!$B:$B=AK117,Data!$D:$D=$E117)),""""),"""")"),"")</f>
        <v/>
      </c>
      <c r="BV117" s="69" t="str">
        <f>IFERROR(__xludf.DUMMYFUNCTION("IF($F117&lt;&gt;"""",IFERROR(FILTER(RawTotals!$AJ:$AJ,RawTotals!$A:$A=AL117)-(FILTER(Data!$K:$K,Data!$B:$B=AL117,Data!$D:$D=$F117)+FILTER(Data!$L:$L,Data!$B:$B=AL117,Data!$D:$D=$F117)),""""),"""")"),"")</f>
        <v/>
      </c>
      <c r="BW117" s="69" t="str">
        <f>IFERROR(__xludf.DUMMYFUNCTION("IF($F117&lt;&gt;"""",IFERROR(FILTER(RawTotals!$AJ:$AJ,RawTotals!$A:$A=AM117)-(FILTER(Data!$K:$K,Data!$B:$B=AM117,Data!$D:$D=$F117)+FILTER(Data!$L:$L,Data!$B:$B=AM117,Data!$D:$D=$F117)),""""),"""")"),"")</f>
        <v/>
      </c>
      <c r="BX117" s="69" t="str">
        <f>IFERROR(__xludf.DUMMYFUNCTION("IF($F117&lt;&gt;"""",IFERROR(FILTER(RawTotals!$AJ:$AJ,RawTotals!$A:$A=AN117)-(FILTER(Data!$K:$K,Data!$B:$B=AN117,Data!$D:$D=$F117)+FILTER(Data!$L:$L,Data!$B:$B=AN117,Data!$D:$D=$F117)),""""),"""")"),"")</f>
        <v/>
      </c>
      <c r="BY117" s="69" t="str">
        <f>IFERROR(__xludf.DUMMYFUNCTION("IF($G117&lt;&gt;"""",IFERROR(FILTER(RawTotals!$AJ:$AJ,RawTotals!$A:$A=AO117)-(FILTER(Data!$K:$K,Data!$B:$B=AO117,Data!$D:$D=$G117)+FILTER(Data!$L:$L,Data!$B:$B=AO117,Data!$D:$D=$G117)),""""),"""")"),"")</f>
        <v/>
      </c>
      <c r="BZ117" s="69" t="str">
        <f>IFERROR(__xludf.DUMMYFUNCTION("IF($G117&lt;&gt;"""",IFERROR(FILTER(RawTotals!$AJ:$AJ,RawTotals!$A:$A=AP117)-(FILTER(Data!$K:$K,Data!$B:$B=AP117,Data!$D:$D=$G117)+FILTER(Data!$L:$L,Data!$B:$B=AP117,Data!$D:$D=$G117)),""""),"""")"),"")</f>
        <v/>
      </c>
      <c r="CA117" s="69" t="str">
        <f>IFERROR(__xludf.DUMMYFUNCTION("IF($G117&lt;&gt;"""",IFERROR(FILTER(RawTotals!$AJ:$AJ,RawTotals!$A:$A=AQ117)-(FILTER(Data!$K:$K,Data!$B:$B=AQ117,Data!$D:$D=$G117)+FILTER(Data!$L:$L,Data!$B:$B=AQ117,Data!$D:$D=$G117)),""""),"""")"),"")</f>
        <v/>
      </c>
      <c r="CB117" s="69" t="str">
        <f>IFERROR(__xludf.DUMMYFUNCTION("IF($H117&lt;&gt;"""",IFERROR(FILTER(RawTotals!$AJ:$AJ,RawTotals!$A:$A=AR117)-(FILTER(Data!$K:$K,Data!$B:$B=AR117,Data!$D:$D=$H117)+FILTER(Data!$L:$L,Data!$B:$B=AR117,Data!$D:$D=$H117)),""""),"""")"),"")</f>
        <v/>
      </c>
      <c r="CC117" s="69" t="str">
        <f>IFERROR(__xludf.DUMMYFUNCTION("IF($H117&lt;&gt;"""",IFERROR(FILTER(RawTotals!$AJ:$AJ,RawTotals!$A:$A=AS117)-(FILTER(Data!$K:$K,Data!$B:$B=AS117,Data!$D:$D=$H117)+FILTER(Data!$L:$L,Data!$B:$B=AS117,Data!$D:$D=$H117)),""""),"""")"),"")</f>
        <v/>
      </c>
      <c r="CD117" s="69" t="str">
        <f>IFERROR(__xludf.DUMMYFUNCTION("IF($H117&lt;&gt;"""",IFERROR(FILTER(RawTotals!$AJ:$AJ,RawTotals!$A:$A=AT117)-(FILTER(Data!$K:$K,Data!$B:$B=AT117,Data!$D:$D=$H117)+FILTER(Data!$L:$L,Data!$B:$B=AT117,Data!$D:$D=$H117)),""""),"""")"),"")</f>
        <v/>
      </c>
      <c r="CE117" s="69" t="str">
        <f>IFERROR(__xludf.DUMMYFUNCTION("IF($I117&lt;&gt;"""",IFERROR(FILTER(RawTotals!$AJ:$AJ,RawTotals!$A:$A=AU117)-(FILTER(Data!$K:$K,Data!$B:$B=AU117,Data!$D:$D=$I117)+FILTER(Data!$L:$L,Data!$B:$B=AU117,Data!$D:$D=$I117)),""""),"""")"),"")</f>
        <v/>
      </c>
      <c r="CF117" s="69" t="str">
        <f>IFERROR(__xludf.DUMMYFUNCTION("IF($I117&lt;&gt;"""",IFERROR(FILTER(RawTotals!$AJ:$AJ,RawTotals!$A:$A=AV117)-(FILTER(Data!$K:$K,Data!$B:$B=AV117,Data!$D:$D=$I117)+FILTER(Data!$L:$L,Data!$B:$B=AV117,Data!$D:$D=$I117)),""""),"""")"),"")</f>
        <v/>
      </c>
      <c r="CG117" s="69" t="str">
        <f>IFERROR(__xludf.DUMMYFUNCTION("IF($I117&lt;&gt;"""",IFERROR(FILTER(RawTotals!$AJ:$AJ,RawTotals!$A:$A=AW117)-(FILTER(Data!$K:$K,Data!$B:$B=AW117,Data!$D:$D=$I117)+FILTER(Data!$L:$L,Data!$B:$B=AW117,Data!$D:$D=$I117)),""""),"""")"),"")</f>
        <v/>
      </c>
      <c r="CH117" s="69" t="str">
        <f>IFERROR(__xludf.DUMMYFUNCTION("IF($J117&lt;&gt;"""",IFERROR(FILTER(RawTotals!$AJ:$AJ,RawTotals!$A:$A=AX117)-(FILTER(Data!$K:$K,Data!$B:$B=AX117,Data!$D:$D=$J117)+FILTER(Data!$L:$L,Data!$B:$B=AX117,Data!$D:$D=$J117)),""""),"""")"),"")</f>
        <v/>
      </c>
      <c r="CI117" s="69" t="str">
        <f>IFERROR(__xludf.DUMMYFUNCTION("IF($J117&lt;&gt;"""",IFERROR(FILTER(RawTotals!$AJ:$AJ,RawTotals!$A:$A=AY117)-(FILTER(Data!$K:$K,Data!$B:$B=AY117,Data!$D:$D=$J117)+FILTER(Data!$L:$L,Data!$B:$B=AY117,Data!$D:$D=$J117)),""""),"""")"),"")</f>
        <v/>
      </c>
      <c r="CJ117" s="69" t="str">
        <f>IFERROR(__xludf.DUMMYFUNCTION("IF($J117&lt;&gt;"""",IFERROR(FILTER(RawTotals!$AJ:$AJ,RawTotals!$A:$A=AZ117)-(FILTER(Data!$K:$K,Data!$B:$B=AZ117,Data!$D:$D=$J117)+FILTER(Data!$L:$L,Data!$B:$B=AZ117,Data!$D:$D=$J117)),""""),"""")"),"")</f>
        <v/>
      </c>
      <c r="CK117" s="69" t="str">
        <f>IFERROR(__xludf.DUMMYFUNCTION("IF($K117&lt;&gt;"""",IFERROR(FILTER(RawTotals!$AJ:$AJ,RawTotals!$A:$A=BA117)-(FILTER(Data!$K:$K,Data!$B:$B=BA117,Data!$D:$D=$K117)+FILTER(Data!$L:$L,Data!$B:$B=BA117,Data!$D:$D=$K117)),""""),"""")"),"")</f>
        <v/>
      </c>
      <c r="CL117" s="69" t="str">
        <f>IFERROR(__xludf.DUMMYFUNCTION("IF($K117&lt;&gt;"""",IFERROR(FILTER(RawTotals!$AJ:$AJ,RawTotals!$A:$A=BB117)-(FILTER(Data!$K:$K,Data!$B:$B=BB117,Data!$D:$D=$K117)+FILTER(Data!$L:$L,Data!$B:$B=BB117,Data!$D:$D=$K117)),""""),"""")"),"")</f>
        <v/>
      </c>
      <c r="CM117" s="69" t="str">
        <f>IFERROR(__xludf.DUMMYFUNCTION("IF($K117&lt;&gt;"""",IFERROR(FILTER(RawTotals!$AJ:$AJ,RawTotals!$A:$A=BC117)-(FILTER(Data!$K:$K,Data!$B:$B=BC117,Data!$D:$D=$K117)+FILTER(Data!$L:$L,Data!$B:$B=BC117,Data!$D:$D=$K117)),""""),"""")"),"")</f>
        <v/>
      </c>
      <c r="CN117" s="69" t="str">
        <f>IFERROR(__xludf.DUMMYFUNCTION("IF($L117&lt;&gt;"""",IFERROR((FILTER(RawTotals!$AJ:$AJ,RawTotals!$A:$A=BD117)-(FILTER(Data!$K:$K,Data!$B:$B=BD117,Data!$D:$D=$L117)+FILTER(Data!$L:$L,Data!$B:$B=BD117,Data!$D:$D=$L117))),""""),"""")"),"")</f>
        <v/>
      </c>
      <c r="CO117" s="69" t="str">
        <f>IFERROR(__xludf.DUMMYFUNCTION("IF($L117&lt;&gt;"""",IFERROR((FILTER(RawTotals!$AJ:$AJ,RawTotals!$A:$A=BE117)-(FILTER(Data!$K:$K,Data!$B:$B=BE117,Data!$D:$D=$L117)+FILTER(Data!$L:$L,Data!$B:$B=BE117,Data!$D:$D=$L117))),""""),"""")"),"")</f>
        <v/>
      </c>
      <c r="CP117" s="69" t="str">
        <f>IFERROR(__xludf.DUMMYFUNCTION("IF($L117&lt;&gt;"""",IFERROR((FILTER(RawTotals!$AJ:$AJ,RawTotals!$A:$A=BF117)-(FILTER(Data!$K:$K,Data!$B:$B=BF117,Data!$D:$D=$L117)+FILTER(Data!$L:$L,Data!$B:$B=BF117,Data!$D:$D=$L117))),""""),"""")"),"")</f>
        <v/>
      </c>
      <c r="CQ117" s="69" t="str">
        <f>IFERROR(__xludf.DUMMYFUNCTION("IF($M117&lt;&gt;"""",IFERROR((FILTER(RawTotals!$AJ:$AJ,RawTotals!$A:$A=BG117)-(FILTER(Data!$K:$K,Data!$B:$B=BG117,Data!$D:$D=$M117)+FILTER(Data!$L:$L,Data!$B:$B=BG117,Data!$D:$D=$M117))),""""),"""")"),"")</f>
        <v/>
      </c>
      <c r="CR117" s="69" t="str">
        <f>IFERROR(__xludf.DUMMYFUNCTION("IF($M117&lt;&gt;"""",IFERROR((FILTER(RawTotals!$AJ:$AJ,RawTotals!$A:$A=BH117)-(FILTER(Data!$K:$K,Data!$B:$B=BH117,Data!$D:$D=$M117)+FILTER(Data!$L:$L,Data!$B:$B=BH117,Data!$D:$D=$M117))),""""),"""")"),"")</f>
        <v/>
      </c>
      <c r="CS117" s="70" t="str">
        <f>IFERROR(__xludf.DUMMYFUNCTION("IF($M117&lt;&gt;"""",IFERROR((FILTER(RawTotals!$AJ:$AJ,RawTotals!$A:$A=BI117)-(FILTER(Data!$K:$K,Data!$B:$B=BI117,Data!$D:$D=$M117)+FILTER(Data!$L:$L,Data!$B:$B=BI117,Data!$D:$D=$M117))),""""),"""")"),"")</f>
        <v/>
      </c>
      <c r="CT117" s="69"/>
      <c r="CU117" s="69"/>
      <c r="CV117" s="69"/>
      <c r="CW117" s="69"/>
      <c r="CX117" s="69"/>
      <c r="CY117" s="69"/>
      <c r="CZ117" s="69"/>
      <c r="DA117" s="69"/>
      <c r="DB117" s="69"/>
      <c r="DC117" s="69"/>
      <c r="DD117" s="69"/>
      <c r="DE117" s="69"/>
    </row>
    <row r="118">
      <c r="A118" s="65" t="str">
        <f>RawTotals!A118</f>
        <v/>
      </c>
      <c r="B118" s="68" t="str">
        <f>IFERROR(__xludf.DUMMYFUNCTION("IF(A118&lt;&gt;"""",IFERROR(TRANSPOSE(FILTER(Data!D:D,Data!B:B=A118,Data!R:R&lt;&gt;"""")),""No Defense""),"""")"),"")</f>
        <v/>
      </c>
      <c r="C118" s="65"/>
      <c r="D118" s="65"/>
      <c r="E118" s="65"/>
      <c r="F118" s="65"/>
      <c r="G118" s="65"/>
      <c r="H118" s="65"/>
      <c r="I118" s="65"/>
      <c r="J118" s="65"/>
      <c r="K118" s="65"/>
      <c r="L118" s="65"/>
      <c r="M118" s="65"/>
      <c r="N118" s="64" t="str">
        <f>IFERROR(__xludf.DUMMYFUNCTION("IFERROR(Textjoin("""",TRUE,FILTER(Data!$R:$R,Data!$D:$D=B118,Data!$B:$B=$A118)),"""")"),"")</f>
        <v/>
      </c>
      <c r="O118" s="64" t="str">
        <f>IFERROR(__xludf.DUMMYFUNCTION("IFERROR(Textjoin("""",TRUE,FILTER(Data!$R:$R,Data!$D:$D=C118,Data!$B:$B=$A118)),"""")"),"")</f>
        <v/>
      </c>
      <c r="P118" s="64" t="str">
        <f>IFERROR(__xludf.DUMMYFUNCTION("IFERROR(Textjoin("""",TRUE,FILTER(Data!$R:$R,Data!$D:$D=D118,Data!$B:$B=$A118)),"""")"),"")</f>
        <v/>
      </c>
      <c r="Q118" s="64" t="str">
        <f>IFERROR(__xludf.DUMMYFUNCTION("IFERROR(Textjoin("""",TRUE,FILTER(Data!$R:$R,Data!$D:$D=E118,Data!$B:$B=$A118)),"""")"),"")</f>
        <v/>
      </c>
      <c r="R118" s="64" t="str">
        <f>IFERROR(__xludf.DUMMYFUNCTION("IFERROR(Textjoin("""",TRUE,FILTER(Data!$R:$R,Data!$D:$D=F118,Data!$B:$B=$A118)),"""")"),"")</f>
        <v/>
      </c>
      <c r="S118" s="64" t="str">
        <f>IFERROR(__xludf.DUMMYFUNCTION("IFERROR(Textjoin("""",TRUE,FILTER(Data!$R:$R,Data!$D:$D=G118,Data!$B:$B=$A118)),"""")"),"")</f>
        <v/>
      </c>
      <c r="T118" s="64" t="str">
        <f>IFERROR(__xludf.DUMMYFUNCTION("IFERROR(Textjoin("""",TRUE,FILTER(Data!$R:$R,Data!$D:$D=H118,Data!$B:$B=$A118)),"""")"),"")</f>
        <v/>
      </c>
      <c r="U118" s="64" t="str">
        <f>IFERROR(__xludf.DUMMYFUNCTION("IFERROR(Textjoin("""",TRUE,FILTER(Data!$R:$R,Data!$D:$D=I118,Data!$B:$B=$A118)),"""")"),"")</f>
        <v/>
      </c>
      <c r="V118" s="64" t="str">
        <f>IFERROR(__xludf.DUMMYFUNCTION("IFERROR(Textjoin("""",TRUE,FILTER(Data!$R:$R,Data!$D:$D=J118,Data!$B:$B=$A118)),"""")"),"")</f>
        <v/>
      </c>
      <c r="W118" s="64" t="str">
        <f>IFERROR(__xludf.DUMMYFUNCTION("IFERROR(Textjoin("""",TRUE,FILTER(Data!$R:$R,Data!$D:$D=K118,Data!$B:$B=$A118)),"""")"),"")</f>
        <v/>
      </c>
      <c r="X118" s="64" t="str">
        <f>IFERROR(__xludf.DUMMYFUNCTION("IFERROR(Textjoin("""",TRUE,FILTER(Data!$R:$R,Data!$D:$D=L118,Data!$B:$B=$A118)),"""")"),"")</f>
        <v/>
      </c>
      <c r="Y118" s="64" t="str">
        <f>IFERROR(__xludf.DUMMYFUNCTION("IFERROR(Textjoin("""",TRUE,FILTER(Data!$R:$R,Data!$D:$D=M118,Data!$B:$B=$A118)),"""")"),"")</f>
        <v/>
      </c>
      <c r="Z118" s="64" t="str">
        <f>IFERROR(__xludf.DUMMYFUNCTION("IFERROR(SPLIT(N118,"",""),"""")"),"")</f>
        <v/>
      </c>
      <c r="AA118" s="65"/>
      <c r="AB118" s="65"/>
      <c r="AC118" s="69" t="str">
        <f>IFERROR(__xludf.DUMMYFUNCTION("IFERROR(SPLIT(O118,"",""),"""")"),"")</f>
        <v/>
      </c>
      <c r="AD118" s="65"/>
      <c r="AE118" s="65"/>
      <c r="AF118" s="69" t="str">
        <f>IFERROR(__xludf.DUMMYFUNCTION("IFERROR(SPLIT(P118,"",""),"""")"),"")</f>
        <v/>
      </c>
      <c r="AG118" s="65"/>
      <c r="AH118" s="65"/>
      <c r="AI118" s="69" t="str">
        <f>IFERROR(__xludf.DUMMYFUNCTION("IFERROR(SPLIT(Q118,"",""),"""")"),"")</f>
        <v/>
      </c>
      <c r="AJ118" s="65"/>
      <c r="AK118" s="65"/>
      <c r="AL118" s="69" t="str">
        <f>IFERROR(__xludf.DUMMYFUNCTION("IFERROR(SPLIT(R118,"",""),"""")"),"")</f>
        <v/>
      </c>
      <c r="AM118" s="65"/>
      <c r="AN118" s="65"/>
      <c r="AO118" s="69" t="str">
        <f>IFERROR(__xludf.DUMMYFUNCTION("IFERROR(SPLIT(S118,"",""),"""")"),"")</f>
        <v/>
      </c>
      <c r="AP118" s="65"/>
      <c r="AQ118" s="65"/>
      <c r="AR118" s="69" t="str">
        <f>IFERROR(__xludf.DUMMYFUNCTION("IFERROR(SPLIT(T118,"",""),"""")"),"")</f>
        <v/>
      </c>
      <c r="AS118" s="65"/>
      <c r="AT118" s="65"/>
      <c r="AU118" s="69" t="str">
        <f>IFERROR(__xludf.DUMMYFUNCTION("IFERROR(SPLIT(U118,"",""),"""")"),"")</f>
        <v/>
      </c>
      <c r="AV118" s="65"/>
      <c r="AW118" s="65"/>
      <c r="AX118" s="69" t="str">
        <f>IFERROR(__xludf.DUMMYFUNCTION("IFERROR(SPLIT(V118,"",""),"""")"),"")</f>
        <v/>
      </c>
      <c r="AY118" s="65"/>
      <c r="AZ118" s="65"/>
      <c r="BA118" s="69" t="str">
        <f>IFERROR(__xludf.DUMMYFUNCTION("IFERROR(SPLIT(W118,"",""),"""")"),"")</f>
        <v/>
      </c>
      <c r="BB118" s="69"/>
      <c r="BC118" s="69"/>
      <c r="BD118" s="69" t="str">
        <f>IFERROR(__xludf.DUMMYFUNCTION("IFERROR(SPLIT(X118,"",""),"""")"),"")</f>
        <v/>
      </c>
      <c r="BE118" s="69"/>
      <c r="BF118" s="69"/>
      <c r="BG118" s="69" t="str">
        <f>IFERROR(__xludf.DUMMYFUNCTION("IFERROR(SPLIT(Y118,"",""),"""")"),"")</f>
        <v/>
      </c>
      <c r="BH118" s="69"/>
      <c r="BI118" s="69"/>
      <c r="BJ118" s="68" t="str">
        <f>IFERROR(__xludf.DUMMYFUNCTION("IF($B118&lt;&gt;"""",IFERROR(FILTER(RawTotals!$AJ:$AJ,RawTotals!$A:$A=Z118)-(FILTER(Data!$K:$K,Data!$B:$B=Z118,Data!$D:$D=$B118)+FILTER(Data!$L:$L,Data!$B:$B=Z118,Data!$D:$D=$B118)),""""),"""")"),"")</f>
        <v/>
      </c>
      <c r="BK118" s="68" t="str">
        <f>IFERROR(__xludf.DUMMYFUNCTION("IF($B118&lt;&gt;"""",IFERROR(FILTER(RawTotals!$AJ:$AJ,RawTotals!$A:$A=AA118)-(FILTER(Data!$K:$K,Data!$B:$B=AA118,Data!$D:$D=$B118)+FILTER(Data!$L:$L,Data!$B:$B=AA118,Data!$D:$D=$B118)),""""),"""")"),"")</f>
        <v/>
      </c>
      <c r="BL118" s="68" t="str">
        <f>IFERROR(__xludf.DUMMYFUNCTION("IF($B118&lt;&gt;"""",IFERROR(FILTER(RawTotals!$AJ:$AJ,RawTotals!$A:$A=AB118)-(FILTER(Data!$K:$K,Data!$B:$B=AB118,Data!$D:$D=$B118)+FILTER(Data!$L:$L,Data!$B:$B=AB118,Data!$D:$D=$B118)),""""),"""")"),"")</f>
        <v/>
      </c>
      <c r="BM118" s="69" t="str">
        <f>IFERROR(__xludf.DUMMYFUNCTION("IF($C118&lt;&gt;"""",IFERROR(FILTER(RawTotals!$AJ:$AJ,RawTotals!$A:$A=AC118)-(FILTER(Data!$K:$K,Data!$B:$B=AC118,Data!$D:$D=$C118)+FILTER(Data!$L:$L,Data!$B:$B=AC118,Data!$D:$D=$C118)),""""),"""")"),"")</f>
        <v/>
      </c>
      <c r="BN118" s="69" t="str">
        <f>IFERROR(__xludf.DUMMYFUNCTION("IF($C118&lt;&gt;"""",IFERROR(FILTER(RawTotals!$AJ:$AJ,RawTotals!$A:$A=AD118)-(FILTER(Data!$K:$K,Data!$B:$B=AD118,Data!$D:$D=$C118)+FILTER(Data!$L:$L,Data!$B:$B=AD118,Data!$D:$D=$C118)),""""),"""")"),"")</f>
        <v/>
      </c>
      <c r="BO118" s="69" t="str">
        <f>IFERROR(__xludf.DUMMYFUNCTION("IF($C118&lt;&gt;"""",IFERROR(FILTER(RawTotals!$AJ:$AJ,RawTotals!$A:$A=AE118)-(FILTER(Data!$K:$K,Data!$B:$B=AE118,Data!$D:$D=$C118)+FILTER(Data!$L:$L,Data!$B:$B=AE118,Data!$D:$D=$C118)),""""),"""")"),"")</f>
        <v/>
      </c>
      <c r="BP118" s="69" t="str">
        <f>IFERROR(__xludf.DUMMYFUNCTION("IF($D118&lt;&gt;"""",IFERROR(FILTER(RawTotals!$AJ:$AJ,RawTotals!$A:$A=AF118)-(FILTER(Data!$K:$K,Data!$B:$B=AF118,Data!$D:$D=$D118)+FILTER(Data!$L:$L,Data!$B:$B=AF118,Data!$D:$D=$D118)),""""),"""")"),"")</f>
        <v/>
      </c>
      <c r="BQ118" s="69" t="str">
        <f>IFERROR(__xludf.DUMMYFUNCTION("IF($D118&lt;&gt;"""",IFERROR(FILTER(RawTotals!$AJ:$AJ,RawTotals!$A:$A=AG118)-(FILTER(Data!$K:$K,Data!$B:$B=AG118,Data!$D:$D=$D118)+FILTER(Data!$L:$L,Data!$B:$B=AG118,Data!$D:$D=$D118)),""""),"""")"),"")</f>
        <v/>
      </c>
      <c r="BR118" s="69" t="str">
        <f>IFERROR(__xludf.DUMMYFUNCTION("IF($D118&lt;&gt;"""",IFERROR(FILTER(RawTotals!$AJ:$AJ,RawTotals!$A:$A=AH118)-(FILTER(Data!$K:$K,Data!$B:$B=AH118,Data!$D:$D=$D118)+FILTER(Data!$L:$L,Data!$B:$B=AH118,Data!$D:$D=$D118)),""""),"""")"),"")</f>
        <v/>
      </c>
      <c r="BS118" s="69" t="str">
        <f>IFERROR(__xludf.DUMMYFUNCTION("IF($E118&lt;&gt;"""",IFERROR(FILTER(RawTotals!$AJ:$AJ,RawTotals!$A:$A=AI118)-(FILTER(Data!$K:$K,Data!$B:$B=AI118,Data!$D:$D=$E118)+FILTER(Data!$L:$L,Data!$B:$B=AI118,Data!$D:$D=$E118)),""""),"""")"),"")</f>
        <v/>
      </c>
      <c r="BT118" s="69" t="str">
        <f>IFERROR(__xludf.DUMMYFUNCTION("IF($E118&lt;&gt;"""",IFERROR(FILTER(RawTotals!$AJ:$AJ,RawTotals!$A:$A=AJ118)-(FILTER(Data!$K:$K,Data!$B:$B=AJ118,Data!$D:$D=$E118)+FILTER(Data!$L:$L,Data!$B:$B=AJ118,Data!$D:$D=$E118)),""""),"""")"),"")</f>
        <v/>
      </c>
      <c r="BU118" s="69" t="str">
        <f>IFERROR(__xludf.DUMMYFUNCTION("IF($E118&lt;&gt;"""",IFERROR(FILTER(RawTotals!$AJ:$AJ,RawTotals!$A:$A=AK118)-(FILTER(Data!$K:$K,Data!$B:$B=AK118,Data!$D:$D=$E118)+FILTER(Data!$L:$L,Data!$B:$B=AK118,Data!$D:$D=$E118)),""""),"""")"),"")</f>
        <v/>
      </c>
      <c r="BV118" s="69" t="str">
        <f>IFERROR(__xludf.DUMMYFUNCTION("IF($F118&lt;&gt;"""",IFERROR(FILTER(RawTotals!$AJ:$AJ,RawTotals!$A:$A=AL118)-(FILTER(Data!$K:$K,Data!$B:$B=AL118,Data!$D:$D=$F118)+FILTER(Data!$L:$L,Data!$B:$B=AL118,Data!$D:$D=$F118)),""""),"""")"),"")</f>
        <v/>
      </c>
      <c r="BW118" s="69" t="str">
        <f>IFERROR(__xludf.DUMMYFUNCTION("IF($F118&lt;&gt;"""",IFERROR(FILTER(RawTotals!$AJ:$AJ,RawTotals!$A:$A=AM118)-(FILTER(Data!$K:$K,Data!$B:$B=AM118,Data!$D:$D=$F118)+FILTER(Data!$L:$L,Data!$B:$B=AM118,Data!$D:$D=$F118)),""""),"""")"),"")</f>
        <v/>
      </c>
      <c r="BX118" s="69" t="str">
        <f>IFERROR(__xludf.DUMMYFUNCTION("IF($F118&lt;&gt;"""",IFERROR(FILTER(RawTotals!$AJ:$AJ,RawTotals!$A:$A=AN118)-(FILTER(Data!$K:$K,Data!$B:$B=AN118,Data!$D:$D=$F118)+FILTER(Data!$L:$L,Data!$B:$B=AN118,Data!$D:$D=$F118)),""""),"""")"),"")</f>
        <v/>
      </c>
      <c r="BY118" s="69" t="str">
        <f>IFERROR(__xludf.DUMMYFUNCTION("IF($G118&lt;&gt;"""",IFERROR(FILTER(RawTotals!$AJ:$AJ,RawTotals!$A:$A=AO118)-(FILTER(Data!$K:$K,Data!$B:$B=AO118,Data!$D:$D=$G118)+FILTER(Data!$L:$L,Data!$B:$B=AO118,Data!$D:$D=$G118)),""""),"""")"),"")</f>
        <v/>
      </c>
      <c r="BZ118" s="69" t="str">
        <f>IFERROR(__xludf.DUMMYFUNCTION("IF($G118&lt;&gt;"""",IFERROR(FILTER(RawTotals!$AJ:$AJ,RawTotals!$A:$A=AP118)-(FILTER(Data!$K:$K,Data!$B:$B=AP118,Data!$D:$D=$G118)+FILTER(Data!$L:$L,Data!$B:$B=AP118,Data!$D:$D=$G118)),""""),"""")"),"")</f>
        <v/>
      </c>
      <c r="CA118" s="69" t="str">
        <f>IFERROR(__xludf.DUMMYFUNCTION("IF($G118&lt;&gt;"""",IFERROR(FILTER(RawTotals!$AJ:$AJ,RawTotals!$A:$A=AQ118)-(FILTER(Data!$K:$K,Data!$B:$B=AQ118,Data!$D:$D=$G118)+FILTER(Data!$L:$L,Data!$B:$B=AQ118,Data!$D:$D=$G118)),""""),"""")"),"")</f>
        <v/>
      </c>
      <c r="CB118" s="69" t="str">
        <f>IFERROR(__xludf.DUMMYFUNCTION("IF($H118&lt;&gt;"""",IFERROR(FILTER(RawTotals!$AJ:$AJ,RawTotals!$A:$A=AR118)-(FILTER(Data!$K:$K,Data!$B:$B=AR118,Data!$D:$D=$H118)+FILTER(Data!$L:$L,Data!$B:$B=AR118,Data!$D:$D=$H118)),""""),"""")"),"")</f>
        <v/>
      </c>
      <c r="CC118" s="69" t="str">
        <f>IFERROR(__xludf.DUMMYFUNCTION("IF($H118&lt;&gt;"""",IFERROR(FILTER(RawTotals!$AJ:$AJ,RawTotals!$A:$A=AS118)-(FILTER(Data!$K:$K,Data!$B:$B=AS118,Data!$D:$D=$H118)+FILTER(Data!$L:$L,Data!$B:$B=AS118,Data!$D:$D=$H118)),""""),"""")"),"")</f>
        <v/>
      </c>
      <c r="CD118" s="69" t="str">
        <f>IFERROR(__xludf.DUMMYFUNCTION("IF($H118&lt;&gt;"""",IFERROR(FILTER(RawTotals!$AJ:$AJ,RawTotals!$A:$A=AT118)-(FILTER(Data!$K:$K,Data!$B:$B=AT118,Data!$D:$D=$H118)+FILTER(Data!$L:$L,Data!$B:$B=AT118,Data!$D:$D=$H118)),""""),"""")"),"")</f>
        <v/>
      </c>
      <c r="CE118" s="69" t="str">
        <f>IFERROR(__xludf.DUMMYFUNCTION("IF($I118&lt;&gt;"""",IFERROR(FILTER(RawTotals!$AJ:$AJ,RawTotals!$A:$A=AU118)-(FILTER(Data!$K:$K,Data!$B:$B=AU118,Data!$D:$D=$I118)+FILTER(Data!$L:$L,Data!$B:$B=AU118,Data!$D:$D=$I118)),""""),"""")"),"")</f>
        <v/>
      </c>
      <c r="CF118" s="69" t="str">
        <f>IFERROR(__xludf.DUMMYFUNCTION("IF($I118&lt;&gt;"""",IFERROR(FILTER(RawTotals!$AJ:$AJ,RawTotals!$A:$A=AV118)-(FILTER(Data!$K:$K,Data!$B:$B=AV118,Data!$D:$D=$I118)+FILTER(Data!$L:$L,Data!$B:$B=AV118,Data!$D:$D=$I118)),""""),"""")"),"")</f>
        <v/>
      </c>
      <c r="CG118" s="69" t="str">
        <f>IFERROR(__xludf.DUMMYFUNCTION("IF($I118&lt;&gt;"""",IFERROR(FILTER(RawTotals!$AJ:$AJ,RawTotals!$A:$A=AW118)-(FILTER(Data!$K:$K,Data!$B:$B=AW118,Data!$D:$D=$I118)+FILTER(Data!$L:$L,Data!$B:$B=AW118,Data!$D:$D=$I118)),""""),"""")"),"")</f>
        <v/>
      </c>
      <c r="CH118" s="69" t="str">
        <f>IFERROR(__xludf.DUMMYFUNCTION("IF($J118&lt;&gt;"""",IFERROR(FILTER(RawTotals!$AJ:$AJ,RawTotals!$A:$A=AX118)-(FILTER(Data!$K:$K,Data!$B:$B=AX118,Data!$D:$D=$J118)+FILTER(Data!$L:$L,Data!$B:$B=AX118,Data!$D:$D=$J118)),""""),"""")"),"")</f>
        <v/>
      </c>
      <c r="CI118" s="69" t="str">
        <f>IFERROR(__xludf.DUMMYFUNCTION("IF($J118&lt;&gt;"""",IFERROR(FILTER(RawTotals!$AJ:$AJ,RawTotals!$A:$A=AY118)-(FILTER(Data!$K:$K,Data!$B:$B=AY118,Data!$D:$D=$J118)+FILTER(Data!$L:$L,Data!$B:$B=AY118,Data!$D:$D=$J118)),""""),"""")"),"")</f>
        <v/>
      </c>
      <c r="CJ118" s="69" t="str">
        <f>IFERROR(__xludf.DUMMYFUNCTION("IF($J118&lt;&gt;"""",IFERROR(FILTER(RawTotals!$AJ:$AJ,RawTotals!$A:$A=AZ118)-(FILTER(Data!$K:$K,Data!$B:$B=AZ118,Data!$D:$D=$J118)+FILTER(Data!$L:$L,Data!$B:$B=AZ118,Data!$D:$D=$J118)),""""),"""")"),"")</f>
        <v/>
      </c>
      <c r="CK118" s="69" t="str">
        <f>IFERROR(__xludf.DUMMYFUNCTION("IF($K118&lt;&gt;"""",IFERROR(FILTER(RawTotals!$AJ:$AJ,RawTotals!$A:$A=BA118)-(FILTER(Data!$K:$K,Data!$B:$B=BA118,Data!$D:$D=$K118)+FILTER(Data!$L:$L,Data!$B:$B=BA118,Data!$D:$D=$K118)),""""),"""")"),"")</f>
        <v/>
      </c>
      <c r="CL118" s="69" t="str">
        <f>IFERROR(__xludf.DUMMYFUNCTION("IF($K118&lt;&gt;"""",IFERROR(FILTER(RawTotals!$AJ:$AJ,RawTotals!$A:$A=BB118)-(FILTER(Data!$K:$K,Data!$B:$B=BB118,Data!$D:$D=$K118)+FILTER(Data!$L:$L,Data!$B:$B=BB118,Data!$D:$D=$K118)),""""),"""")"),"")</f>
        <v/>
      </c>
      <c r="CM118" s="69" t="str">
        <f>IFERROR(__xludf.DUMMYFUNCTION("IF($K118&lt;&gt;"""",IFERROR(FILTER(RawTotals!$AJ:$AJ,RawTotals!$A:$A=BC118)-(FILTER(Data!$K:$K,Data!$B:$B=BC118,Data!$D:$D=$K118)+FILTER(Data!$L:$L,Data!$B:$B=BC118,Data!$D:$D=$K118)),""""),"""")"),"")</f>
        <v/>
      </c>
      <c r="CN118" s="69" t="str">
        <f>IFERROR(__xludf.DUMMYFUNCTION("IF($L118&lt;&gt;"""",IFERROR((FILTER(RawTotals!$AJ:$AJ,RawTotals!$A:$A=BD118)-(FILTER(Data!$K:$K,Data!$B:$B=BD118,Data!$D:$D=$L118)+FILTER(Data!$L:$L,Data!$B:$B=BD118,Data!$D:$D=$L118))),""""),"""")"),"")</f>
        <v/>
      </c>
      <c r="CO118" s="69" t="str">
        <f>IFERROR(__xludf.DUMMYFUNCTION("IF($L118&lt;&gt;"""",IFERROR((FILTER(RawTotals!$AJ:$AJ,RawTotals!$A:$A=BE118)-(FILTER(Data!$K:$K,Data!$B:$B=BE118,Data!$D:$D=$L118)+FILTER(Data!$L:$L,Data!$B:$B=BE118,Data!$D:$D=$L118))),""""),"""")"),"")</f>
        <v/>
      </c>
      <c r="CP118" s="69" t="str">
        <f>IFERROR(__xludf.DUMMYFUNCTION("IF($L118&lt;&gt;"""",IFERROR((FILTER(RawTotals!$AJ:$AJ,RawTotals!$A:$A=BF118)-(FILTER(Data!$K:$K,Data!$B:$B=BF118,Data!$D:$D=$L118)+FILTER(Data!$L:$L,Data!$B:$B=BF118,Data!$D:$D=$L118))),""""),"""")"),"")</f>
        <v/>
      </c>
      <c r="CQ118" s="69" t="str">
        <f>IFERROR(__xludf.DUMMYFUNCTION("IF($M118&lt;&gt;"""",IFERROR((FILTER(RawTotals!$AJ:$AJ,RawTotals!$A:$A=BG118)-(FILTER(Data!$K:$K,Data!$B:$B=BG118,Data!$D:$D=$M118)+FILTER(Data!$L:$L,Data!$B:$B=BG118,Data!$D:$D=$M118))),""""),"""")"),"")</f>
        <v/>
      </c>
      <c r="CR118" s="69" t="str">
        <f>IFERROR(__xludf.DUMMYFUNCTION("IF($M118&lt;&gt;"""",IFERROR((FILTER(RawTotals!$AJ:$AJ,RawTotals!$A:$A=BH118)-(FILTER(Data!$K:$K,Data!$B:$B=BH118,Data!$D:$D=$M118)+FILTER(Data!$L:$L,Data!$B:$B=BH118,Data!$D:$D=$M118))),""""),"""")"),"")</f>
        <v/>
      </c>
      <c r="CS118" s="70" t="str">
        <f>IFERROR(__xludf.DUMMYFUNCTION("IF($M118&lt;&gt;"""",IFERROR((FILTER(RawTotals!$AJ:$AJ,RawTotals!$A:$A=BI118)-(FILTER(Data!$K:$K,Data!$B:$B=BI118,Data!$D:$D=$M118)+FILTER(Data!$L:$L,Data!$B:$B=BI118,Data!$D:$D=$M118))),""""),"""")"),"")</f>
        <v/>
      </c>
      <c r="CT118" s="69"/>
      <c r="CU118" s="69"/>
      <c r="CV118" s="69"/>
      <c r="CW118" s="69"/>
      <c r="CX118" s="69"/>
      <c r="CY118" s="69"/>
      <c r="CZ118" s="69"/>
      <c r="DA118" s="69"/>
      <c r="DB118" s="69"/>
      <c r="DC118" s="69"/>
      <c r="DD118" s="69"/>
      <c r="DE118" s="69"/>
    </row>
    <row r="119">
      <c r="A119" s="65" t="str">
        <f>RawTotals!A119</f>
        <v/>
      </c>
      <c r="B119" s="68" t="str">
        <f>IFERROR(__xludf.DUMMYFUNCTION("IF(A119&lt;&gt;"""",IFERROR(TRANSPOSE(FILTER(Data!D:D,Data!B:B=A119,Data!R:R&lt;&gt;"""")),""No Defense""),"""")"),"")</f>
        <v/>
      </c>
      <c r="C119" s="65"/>
      <c r="D119" s="65"/>
      <c r="E119" s="65"/>
      <c r="F119" s="65"/>
      <c r="G119" s="65"/>
      <c r="H119" s="65"/>
      <c r="I119" s="65"/>
      <c r="J119" s="65"/>
      <c r="K119" s="65"/>
      <c r="L119" s="65"/>
      <c r="M119" s="65"/>
      <c r="N119" s="64" t="str">
        <f>IFERROR(__xludf.DUMMYFUNCTION("IFERROR(Textjoin("""",TRUE,FILTER(Data!$R:$R,Data!$D:$D=B119,Data!$B:$B=$A119)),"""")"),"")</f>
        <v/>
      </c>
      <c r="O119" s="64" t="str">
        <f>IFERROR(__xludf.DUMMYFUNCTION("IFERROR(Textjoin("""",TRUE,FILTER(Data!$R:$R,Data!$D:$D=C119,Data!$B:$B=$A119)),"""")"),"")</f>
        <v/>
      </c>
      <c r="P119" s="64" t="str">
        <f>IFERROR(__xludf.DUMMYFUNCTION("IFERROR(Textjoin("""",TRUE,FILTER(Data!$R:$R,Data!$D:$D=D119,Data!$B:$B=$A119)),"""")"),"")</f>
        <v/>
      </c>
      <c r="Q119" s="64" t="str">
        <f>IFERROR(__xludf.DUMMYFUNCTION("IFERROR(Textjoin("""",TRUE,FILTER(Data!$R:$R,Data!$D:$D=E119,Data!$B:$B=$A119)),"""")"),"")</f>
        <v/>
      </c>
      <c r="R119" s="64" t="str">
        <f>IFERROR(__xludf.DUMMYFUNCTION("IFERROR(Textjoin("""",TRUE,FILTER(Data!$R:$R,Data!$D:$D=F119,Data!$B:$B=$A119)),"""")"),"")</f>
        <v/>
      </c>
      <c r="S119" s="64" t="str">
        <f>IFERROR(__xludf.DUMMYFUNCTION("IFERROR(Textjoin("""",TRUE,FILTER(Data!$R:$R,Data!$D:$D=G119,Data!$B:$B=$A119)),"""")"),"")</f>
        <v/>
      </c>
      <c r="T119" s="64" t="str">
        <f>IFERROR(__xludf.DUMMYFUNCTION("IFERROR(Textjoin("""",TRUE,FILTER(Data!$R:$R,Data!$D:$D=H119,Data!$B:$B=$A119)),"""")"),"")</f>
        <v/>
      </c>
      <c r="U119" s="64" t="str">
        <f>IFERROR(__xludf.DUMMYFUNCTION("IFERROR(Textjoin("""",TRUE,FILTER(Data!$R:$R,Data!$D:$D=I119,Data!$B:$B=$A119)),"""")"),"")</f>
        <v/>
      </c>
      <c r="V119" s="64" t="str">
        <f>IFERROR(__xludf.DUMMYFUNCTION("IFERROR(Textjoin("""",TRUE,FILTER(Data!$R:$R,Data!$D:$D=J119,Data!$B:$B=$A119)),"""")"),"")</f>
        <v/>
      </c>
      <c r="W119" s="64" t="str">
        <f>IFERROR(__xludf.DUMMYFUNCTION("IFERROR(Textjoin("""",TRUE,FILTER(Data!$R:$R,Data!$D:$D=K119,Data!$B:$B=$A119)),"""")"),"")</f>
        <v/>
      </c>
      <c r="X119" s="64" t="str">
        <f>IFERROR(__xludf.DUMMYFUNCTION("IFERROR(Textjoin("""",TRUE,FILTER(Data!$R:$R,Data!$D:$D=L119,Data!$B:$B=$A119)),"""")"),"")</f>
        <v/>
      </c>
      <c r="Y119" s="64" t="str">
        <f>IFERROR(__xludf.DUMMYFUNCTION("IFERROR(Textjoin("""",TRUE,FILTER(Data!$R:$R,Data!$D:$D=M119,Data!$B:$B=$A119)),"""")"),"")</f>
        <v/>
      </c>
      <c r="Z119" s="64" t="str">
        <f>IFERROR(__xludf.DUMMYFUNCTION("IFERROR(SPLIT(N119,"",""),"""")"),"")</f>
        <v/>
      </c>
      <c r="AA119" s="65"/>
      <c r="AB119" s="65"/>
      <c r="AC119" s="69" t="str">
        <f>IFERROR(__xludf.DUMMYFUNCTION("IFERROR(SPLIT(O119,"",""),"""")"),"")</f>
        <v/>
      </c>
      <c r="AD119" s="65"/>
      <c r="AE119" s="65"/>
      <c r="AF119" s="69" t="str">
        <f>IFERROR(__xludf.DUMMYFUNCTION("IFERROR(SPLIT(P119,"",""),"""")"),"")</f>
        <v/>
      </c>
      <c r="AG119" s="65"/>
      <c r="AH119" s="65"/>
      <c r="AI119" s="69" t="str">
        <f>IFERROR(__xludf.DUMMYFUNCTION("IFERROR(SPLIT(Q119,"",""),"""")"),"")</f>
        <v/>
      </c>
      <c r="AJ119" s="65"/>
      <c r="AK119" s="65"/>
      <c r="AL119" s="69" t="str">
        <f>IFERROR(__xludf.DUMMYFUNCTION("IFERROR(SPLIT(R119,"",""),"""")"),"")</f>
        <v/>
      </c>
      <c r="AM119" s="65"/>
      <c r="AN119" s="65"/>
      <c r="AO119" s="69" t="str">
        <f>IFERROR(__xludf.DUMMYFUNCTION("IFERROR(SPLIT(S119,"",""),"""")"),"")</f>
        <v/>
      </c>
      <c r="AP119" s="65"/>
      <c r="AQ119" s="65"/>
      <c r="AR119" s="69" t="str">
        <f>IFERROR(__xludf.DUMMYFUNCTION("IFERROR(SPLIT(T119,"",""),"""")"),"")</f>
        <v/>
      </c>
      <c r="AS119" s="65"/>
      <c r="AT119" s="65"/>
      <c r="AU119" s="69" t="str">
        <f>IFERROR(__xludf.DUMMYFUNCTION("IFERROR(SPLIT(U119,"",""),"""")"),"")</f>
        <v/>
      </c>
      <c r="AV119" s="65"/>
      <c r="AW119" s="65"/>
      <c r="AX119" s="69" t="str">
        <f>IFERROR(__xludf.DUMMYFUNCTION("IFERROR(SPLIT(V119,"",""),"""")"),"")</f>
        <v/>
      </c>
      <c r="AY119" s="65"/>
      <c r="AZ119" s="65"/>
      <c r="BA119" s="69" t="str">
        <f>IFERROR(__xludf.DUMMYFUNCTION("IFERROR(SPLIT(W119,"",""),"""")"),"")</f>
        <v/>
      </c>
      <c r="BB119" s="69"/>
      <c r="BC119" s="69"/>
      <c r="BD119" s="69" t="str">
        <f>IFERROR(__xludf.DUMMYFUNCTION("IFERROR(SPLIT(X119,"",""),"""")"),"")</f>
        <v/>
      </c>
      <c r="BE119" s="69"/>
      <c r="BF119" s="69"/>
      <c r="BG119" s="69" t="str">
        <f>IFERROR(__xludf.DUMMYFUNCTION("IFERROR(SPLIT(Y119,"",""),"""")"),"")</f>
        <v/>
      </c>
      <c r="BH119" s="69"/>
      <c r="BI119" s="69"/>
      <c r="BJ119" s="68" t="str">
        <f>IFERROR(__xludf.DUMMYFUNCTION("IF($B119&lt;&gt;"""",IFERROR(FILTER(RawTotals!$AJ:$AJ,RawTotals!$A:$A=Z119)-(FILTER(Data!$K:$K,Data!$B:$B=Z119,Data!$D:$D=$B119)+FILTER(Data!$L:$L,Data!$B:$B=Z119,Data!$D:$D=$B119)),""""),"""")"),"")</f>
        <v/>
      </c>
      <c r="BK119" s="68" t="str">
        <f>IFERROR(__xludf.DUMMYFUNCTION("IF($B119&lt;&gt;"""",IFERROR(FILTER(RawTotals!$AJ:$AJ,RawTotals!$A:$A=AA119)-(FILTER(Data!$K:$K,Data!$B:$B=AA119,Data!$D:$D=$B119)+FILTER(Data!$L:$L,Data!$B:$B=AA119,Data!$D:$D=$B119)),""""),"""")"),"")</f>
        <v/>
      </c>
      <c r="BL119" s="68" t="str">
        <f>IFERROR(__xludf.DUMMYFUNCTION("IF($B119&lt;&gt;"""",IFERROR(FILTER(RawTotals!$AJ:$AJ,RawTotals!$A:$A=AB119)-(FILTER(Data!$K:$K,Data!$B:$B=AB119,Data!$D:$D=$B119)+FILTER(Data!$L:$L,Data!$B:$B=AB119,Data!$D:$D=$B119)),""""),"""")"),"")</f>
        <v/>
      </c>
      <c r="BM119" s="69" t="str">
        <f>IFERROR(__xludf.DUMMYFUNCTION("IF($C119&lt;&gt;"""",IFERROR(FILTER(RawTotals!$AJ:$AJ,RawTotals!$A:$A=AC119)-(FILTER(Data!$K:$K,Data!$B:$B=AC119,Data!$D:$D=$C119)+FILTER(Data!$L:$L,Data!$B:$B=AC119,Data!$D:$D=$C119)),""""),"""")"),"")</f>
        <v/>
      </c>
      <c r="BN119" s="69" t="str">
        <f>IFERROR(__xludf.DUMMYFUNCTION("IF($C119&lt;&gt;"""",IFERROR(FILTER(RawTotals!$AJ:$AJ,RawTotals!$A:$A=AD119)-(FILTER(Data!$K:$K,Data!$B:$B=AD119,Data!$D:$D=$C119)+FILTER(Data!$L:$L,Data!$B:$B=AD119,Data!$D:$D=$C119)),""""),"""")"),"")</f>
        <v/>
      </c>
      <c r="BO119" s="69" t="str">
        <f>IFERROR(__xludf.DUMMYFUNCTION("IF($C119&lt;&gt;"""",IFERROR(FILTER(RawTotals!$AJ:$AJ,RawTotals!$A:$A=AE119)-(FILTER(Data!$K:$K,Data!$B:$B=AE119,Data!$D:$D=$C119)+FILTER(Data!$L:$L,Data!$B:$B=AE119,Data!$D:$D=$C119)),""""),"""")"),"")</f>
        <v/>
      </c>
      <c r="BP119" s="69" t="str">
        <f>IFERROR(__xludf.DUMMYFUNCTION("IF($D119&lt;&gt;"""",IFERROR(FILTER(RawTotals!$AJ:$AJ,RawTotals!$A:$A=AF119)-(FILTER(Data!$K:$K,Data!$B:$B=AF119,Data!$D:$D=$D119)+FILTER(Data!$L:$L,Data!$B:$B=AF119,Data!$D:$D=$D119)),""""),"""")"),"")</f>
        <v/>
      </c>
      <c r="BQ119" s="69" t="str">
        <f>IFERROR(__xludf.DUMMYFUNCTION("IF($D119&lt;&gt;"""",IFERROR(FILTER(RawTotals!$AJ:$AJ,RawTotals!$A:$A=AG119)-(FILTER(Data!$K:$K,Data!$B:$B=AG119,Data!$D:$D=$D119)+FILTER(Data!$L:$L,Data!$B:$B=AG119,Data!$D:$D=$D119)),""""),"""")"),"")</f>
        <v/>
      </c>
      <c r="BR119" s="69" t="str">
        <f>IFERROR(__xludf.DUMMYFUNCTION("IF($D119&lt;&gt;"""",IFERROR(FILTER(RawTotals!$AJ:$AJ,RawTotals!$A:$A=AH119)-(FILTER(Data!$K:$K,Data!$B:$B=AH119,Data!$D:$D=$D119)+FILTER(Data!$L:$L,Data!$B:$B=AH119,Data!$D:$D=$D119)),""""),"""")"),"")</f>
        <v/>
      </c>
      <c r="BS119" s="69" t="str">
        <f>IFERROR(__xludf.DUMMYFUNCTION("IF($E119&lt;&gt;"""",IFERROR(FILTER(RawTotals!$AJ:$AJ,RawTotals!$A:$A=AI119)-(FILTER(Data!$K:$K,Data!$B:$B=AI119,Data!$D:$D=$E119)+FILTER(Data!$L:$L,Data!$B:$B=AI119,Data!$D:$D=$E119)),""""),"""")"),"")</f>
        <v/>
      </c>
      <c r="BT119" s="69" t="str">
        <f>IFERROR(__xludf.DUMMYFUNCTION("IF($E119&lt;&gt;"""",IFERROR(FILTER(RawTotals!$AJ:$AJ,RawTotals!$A:$A=AJ119)-(FILTER(Data!$K:$K,Data!$B:$B=AJ119,Data!$D:$D=$E119)+FILTER(Data!$L:$L,Data!$B:$B=AJ119,Data!$D:$D=$E119)),""""),"""")"),"")</f>
        <v/>
      </c>
      <c r="BU119" s="69" t="str">
        <f>IFERROR(__xludf.DUMMYFUNCTION("IF($E119&lt;&gt;"""",IFERROR(FILTER(RawTotals!$AJ:$AJ,RawTotals!$A:$A=AK119)-(FILTER(Data!$K:$K,Data!$B:$B=AK119,Data!$D:$D=$E119)+FILTER(Data!$L:$L,Data!$B:$B=AK119,Data!$D:$D=$E119)),""""),"""")"),"")</f>
        <v/>
      </c>
      <c r="BV119" s="69" t="str">
        <f>IFERROR(__xludf.DUMMYFUNCTION("IF($F119&lt;&gt;"""",IFERROR(FILTER(RawTotals!$AJ:$AJ,RawTotals!$A:$A=AL119)-(FILTER(Data!$K:$K,Data!$B:$B=AL119,Data!$D:$D=$F119)+FILTER(Data!$L:$L,Data!$B:$B=AL119,Data!$D:$D=$F119)),""""),"""")"),"")</f>
        <v/>
      </c>
      <c r="BW119" s="69" t="str">
        <f>IFERROR(__xludf.DUMMYFUNCTION("IF($F119&lt;&gt;"""",IFERROR(FILTER(RawTotals!$AJ:$AJ,RawTotals!$A:$A=AM119)-(FILTER(Data!$K:$K,Data!$B:$B=AM119,Data!$D:$D=$F119)+FILTER(Data!$L:$L,Data!$B:$B=AM119,Data!$D:$D=$F119)),""""),"""")"),"")</f>
        <v/>
      </c>
      <c r="BX119" s="69" t="str">
        <f>IFERROR(__xludf.DUMMYFUNCTION("IF($F119&lt;&gt;"""",IFERROR(FILTER(RawTotals!$AJ:$AJ,RawTotals!$A:$A=AN119)-(FILTER(Data!$K:$K,Data!$B:$B=AN119,Data!$D:$D=$F119)+FILTER(Data!$L:$L,Data!$B:$B=AN119,Data!$D:$D=$F119)),""""),"""")"),"")</f>
        <v/>
      </c>
      <c r="BY119" s="69" t="str">
        <f>IFERROR(__xludf.DUMMYFUNCTION("IF($G119&lt;&gt;"""",IFERROR(FILTER(RawTotals!$AJ:$AJ,RawTotals!$A:$A=AO119)-(FILTER(Data!$K:$K,Data!$B:$B=AO119,Data!$D:$D=$G119)+FILTER(Data!$L:$L,Data!$B:$B=AO119,Data!$D:$D=$G119)),""""),"""")"),"")</f>
        <v/>
      </c>
      <c r="BZ119" s="69" t="str">
        <f>IFERROR(__xludf.DUMMYFUNCTION("IF($G119&lt;&gt;"""",IFERROR(FILTER(RawTotals!$AJ:$AJ,RawTotals!$A:$A=AP119)-(FILTER(Data!$K:$K,Data!$B:$B=AP119,Data!$D:$D=$G119)+FILTER(Data!$L:$L,Data!$B:$B=AP119,Data!$D:$D=$G119)),""""),"""")"),"")</f>
        <v/>
      </c>
      <c r="CA119" s="69" t="str">
        <f>IFERROR(__xludf.DUMMYFUNCTION("IF($G119&lt;&gt;"""",IFERROR(FILTER(RawTotals!$AJ:$AJ,RawTotals!$A:$A=AQ119)-(FILTER(Data!$K:$K,Data!$B:$B=AQ119,Data!$D:$D=$G119)+FILTER(Data!$L:$L,Data!$B:$B=AQ119,Data!$D:$D=$G119)),""""),"""")"),"")</f>
        <v/>
      </c>
      <c r="CB119" s="69" t="str">
        <f>IFERROR(__xludf.DUMMYFUNCTION("IF($H119&lt;&gt;"""",IFERROR(FILTER(RawTotals!$AJ:$AJ,RawTotals!$A:$A=AR119)-(FILTER(Data!$K:$K,Data!$B:$B=AR119,Data!$D:$D=$H119)+FILTER(Data!$L:$L,Data!$B:$B=AR119,Data!$D:$D=$H119)),""""),"""")"),"")</f>
        <v/>
      </c>
      <c r="CC119" s="69" t="str">
        <f>IFERROR(__xludf.DUMMYFUNCTION("IF($H119&lt;&gt;"""",IFERROR(FILTER(RawTotals!$AJ:$AJ,RawTotals!$A:$A=AS119)-(FILTER(Data!$K:$K,Data!$B:$B=AS119,Data!$D:$D=$H119)+FILTER(Data!$L:$L,Data!$B:$B=AS119,Data!$D:$D=$H119)),""""),"""")"),"")</f>
        <v/>
      </c>
      <c r="CD119" s="69" t="str">
        <f>IFERROR(__xludf.DUMMYFUNCTION("IF($H119&lt;&gt;"""",IFERROR(FILTER(RawTotals!$AJ:$AJ,RawTotals!$A:$A=AT119)-(FILTER(Data!$K:$K,Data!$B:$B=AT119,Data!$D:$D=$H119)+FILTER(Data!$L:$L,Data!$B:$B=AT119,Data!$D:$D=$H119)),""""),"""")"),"")</f>
        <v/>
      </c>
      <c r="CE119" s="69" t="str">
        <f>IFERROR(__xludf.DUMMYFUNCTION("IF($I119&lt;&gt;"""",IFERROR(FILTER(RawTotals!$AJ:$AJ,RawTotals!$A:$A=AU119)-(FILTER(Data!$K:$K,Data!$B:$B=AU119,Data!$D:$D=$I119)+FILTER(Data!$L:$L,Data!$B:$B=AU119,Data!$D:$D=$I119)),""""),"""")"),"")</f>
        <v/>
      </c>
      <c r="CF119" s="69" t="str">
        <f>IFERROR(__xludf.DUMMYFUNCTION("IF($I119&lt;&gt;"""",IFERROR(FILTER(RawTotals!$AJ:$AJ,RawTotals!$A:$A=AV119)-(FILTER(Data!$K:$K,Data!$B:$B=AV119,Data!$D:$D=$I119)+FILTER(Data!$L:$L,Data!$B:$B=AV119,Data!$D:$D=$I119)),""""),"""")"),"")</f>
        <v/>
      </c>
      <c r="CG119" s="69" t="str">
        <f>IFERROR(__xludf.DUMMYFUNCTION("IF($I119&lt;&gt;"""",IFERROR(FILTER(RawTotals!$AJ:$AJ,RawTotals!$A:$A=AW119)-(FILTER(Data!$K:$K,Data!$B:$B=AW119,Data!$D:$D=$I119)+FILTER(Data!$L:$L,Data!$B:$B=AW119,Data!$D:$D=$I119)),""""),"""")"),"")</f>
        <v/>
      </c>
      <c r="CH119" s="69" t="str">
        <f>IFERROR(__xludf.DUMMYFUNCTION("IF($J119&lt;&gt;"""",IFERROR(FILTER(RawTotals!$AJ:$AJ,RawTotals!$A:$A=AX119)-(FILTER(Data!$K:$K,Data!$B:$B=AX119,Data!$D:$D=$J119)+FILTER(Data!$L:$L,Data!$B:$B=AX119,Data!$D:$D=$J119)),""""),"""")"),"")</f>
        <v/>
      </c>
      <c r="CI119" s="69" t="str">
        <f>IFERROR(__xludf.DUMMYFUNCTION("IF($J119&lt;&gt;"""",IFERROR(FILTER(RawTotals!$AJ:$AJ,RawTotals!$A:$A=AY119)-(FILTER(Data!$K:$K,Data!$B:$B=AY119,Data!$D:$D=$J119)+FILTER(Data!$L:$L,Data!$B:$B=AY119,Data!$D:$D=$J119)),""""),"""")"),"")</f>
        <v/>
      </c>
      <c r="CJ119" s="69" t="str">
        <f>IFERROR(__xludf.DUMMYFUNCTION("IF($J119&lt;&gt;"""",IFERROR(FILTER(RawTotals!$AJ:$AJ,RawTotals!$A:$A=AZ119)-(FILTER(Data!$K:$K,Data!$B:$B=AZ119,Data!$D:$D=$J119)+FILTER(Data!$L:$L,Data!$B:$B=AZ119,Data!$D:$D=$J119)),""""),"""")"),"")</f>
        <v/>
      </c>
      <c r="CK119" s="69" t="str">
        <f>IFERROR(__xludf.DUMMYFUNCTION("IF($K119&lt;&gt;"""",IFERROR(FILTER(RawTotals!$AJ:$AJ,RawTotals!$A:$A=BA119)-(FILTER(Data!$K:$K,Data!$B:$B=BA119,Data!$D:$D=$K119)+FILTER(Data!$L:$L,Data!$B:$B=BA119,Data!$D:$D=$K119)),""""),"""")"),"")</f>
        <v/>
      </c>
      <c r="CL119" s="69" t="str">
        <f>IFERROR(__xludf.DUMMYFUNCTION("IF($K119&lt;&gt;"""",IFERROR(FILTER(RawTotals!$AJ:$AJ,RawTotals!$A:$A=BB119)-(FILTER(Data!$K:$K,Data!$B:$B=BB119,Data!$D:$D=$K119)+FILTER(Data!$L:$L,Data!$B:$B=BB119,Data!$D:$D=$K119)),""""),"""")"),"")</f>
        <v/>
      </c>
      <c r="CM119" s="69" t="str">
        <f>IFERROR(__xludf.DUMMYFUNCTION("IF($K119&lt;&gt;"""",IFERROR(FILTER(RawTotals!$AJ:$AJ,RawTotals!$A:$A=BC119)-(FILTER(Data!$K:$K,Data!$B:$B=BC119,Data!$D:$D=$K119)+FILTER(Data!$L:$L,Data!$B:$B=BC119,Data!$D:$D=$K119)),""""),"""")"),"")</f>
        <v/>
      </c>
      <c r="CN119" s="69" t="str">
        <f>IFERROR(__xludf.DUMMYFUNCTION("IF($L119&lt;&gt;"""",IFERROR((FILTER(RawTotals!$AJ:$AJ,RawTotals!$A:$A=BD119)-(FILTER(Data!$K:$K,Data!$B:$B=BD119,Data!$D:$D=$L119)+FILTER(Data!$L:$L,Data!$B:$B=BD119,Data!$D:$D=$L119))),""""),"""")"),"")</f>
        <v/>
      </c>
      <c r="CO119" s="69" t="str">
        <f>IFERROR(__xludf.DUMMYFUNCTION("IF($L119&lt;&gt;"""",IFERROR((FILTER(RawTotals!$AJ:$AJ,RawTotals!$A:$A=BE119)-(FILTER(Data!$K:$K,Data!$B:$B=BE119,Data!$D:$D=$L119)+FILTER(Data!$L:$L,Data!$B:$B=BE119,Data!$D:$D=$L119))),""""),"""")"),"")</f>
        <v/>
      </c>
      <c r="CP119" s="69" t="str">
        <f>IFERROR(__xludf.DUMMYFUNCTION("IF($L119&lt;&gt;"""",IFERROR((FILTER(RawTotals!$AJ:$AJ,RawTotals!$A:$A=BF119)-(FILTER(Data!$K:$K,Data!$B:$B=BF119,Data!$D:$D=$L119)+FILTER(Data!$L:$L,Data!$B:$B=BF119,Data!$D:$D=$L119))),""""),"""")"),"")</f>
        <v/>
      </c>
      <c r="CQ119" s="69" t="str">
        <f>IFERROR(__xludf.DUMMYFUNCTION("IF($M119&lt;&gt;"""",IFERROR((FILTER(RawTotals!$AJ:$AJ,RawTotals!$A:$A=BG119)-(FILTER(Data!$K:$K,Data!$B:$B=BG119,Data!$D:$D=$M119)+FILTER(Data!$L:$L,Data!$B:$B=BG119,Data!$D:$D=$M119))),""""),"""")"),"")</f>
        <v/>
      </c>
      <c r="CR119" s="69" t="str">
        <f>IFERROR(__xludf.DUMMYFUNCTION("IF($M119&lt;&gt;"""",IFERROR((FILTER(RawTotals!$AJ:$AJ,RawTotals!$A:$A=BH119)-(FILTER(Data!$K:$K,Data!$B:$B=BH119,Data!$D:$D=$M119)+FILTER(Data!$L:$L,Data!$B:$B=BH119,Data!$D:$D=$M119))),""""),"""")"),"")</f>
        <v/>
      </c>
      <c r="CS119" s="70" t="str">
        <f>IFERROR(__xludf.DUMMYFUNCTION("IF($M119&lt;&gt;"""",IFERROR((FILTER(RawTotals!$AJ:$AJ,RawTotals!$A:$A=BI119)-(FILTER(Data!$K:$K,Data!$B:$B=BI119,Data!$D:$D=$M119)+FILTER(Data!$L:$L,Data!$B:$B=BI119,Data!$D:$D=$M119))),""""),"""")"),"")</f>
        <v/>
      </c>
      <c r="CT119" s="69"/>
      <c r="CU119" s="69"/>
      <c r="CV119" s="69"/>
      <c r="CW119" s="69"/>
      <c r="CX119" s="69"/>
      <c r="CY119" s="69"/>
      <c r="CZ119" s="69"/>
      <c r="DA119" s="69"/>
      <c r="DB119" s="69"/>
      <c r="DC119" s="69"/>
      <c r="DD119" s="69"/>
      <c r="DE119" s="69"/>
    </row>
    <row r="120">
      <c r="A120" s="65" t="str">
        <f>RawTotals!A120</f>
        <v/>
      </c>
      <c r="B120" s="68" t="str">
        <f>IFERROR(__xludf.DUMMYFUNCTION("IF(A120&lt;&gt;"""",IFERROR(TRANSPOSE(FILTER(Data!D:D,Data!B:B=A120,Data!R:R&lt;&gt;"""")),""No Defense""),"""")"),"")</f>
        <v/>
      </c>
      <c r="C120" s="65"/>
      <c r="D120" s="65"/>
      <c r="E120" s="65"/>
      <c r="F120" s="65"/>
      <c r="G120" s="65"/>
      <c r="H120" s="65"/>
      <c r="I120" s="65"/>
      <c r="J120" s="65"/>
      <c r="K120" s="65"/>
      <c r="L120" s="65"/>
      <c r="M120" s="65"/>
      <c r="N120" s="64" t="str">
        <f>IFERROR(__xludf.DUMMYFUNCTION("IFERROR(Textjoin("""",TRUE,FILTER(Data!$R:$R,Data!$D:$D=B120,Data!$B:$B=$A120)),"""")"),"")</f>
        <v/>
      </c>
      <c r="O120" s="64" t="str">
        <f>IFERROR(__xludf.DUMMYFUNCTION("IFERROR(Textjoin("""",TRUE,FILTER(Data!$R:$R,Data!$D:$D=C120,Data!$B:$B=$A120)),"""")"),"")</f>
        <v/>
      </c>
      <c r="P120" s="64" t="str">
        <f>IFERROR(__xludf.DUMMYFUNCTION("IFERROR(Textjoin("""",TRUE,FILTER(Data!$R:$R,Data!$D:$D=D120,Data!$B:$B=$A120)),"""")"),"")</f>
        <v/>
      </c>
      <c r="Q120" s="64" t="str">
        <f>IFERROR(__xludf.DUMMYFUNCTION("IFERROR(Textjoin("""",TRUE,FILTER(Data!$R:$R,Data!$D:$D=E120,Data!$B:$B=$A120)),"""")"),"")</f>
        <v/>
      </c>
      <c r="R120" s="64" t="str">
        <f>IFERROR(__xludf.DUMMYFUNCTION("IFERROR(Textjoin("""",TRUE,FILTER(Data!$R:$R,Data!$D:$D=F120,Data!$B:$B=$A120)),"""")"),"")</f>
        <v/>
      </c>
      <c r="S120" s="64" t="str">
        <f>IFERROR(__xludf.DUMMYFUNCTION("IFERROR(Textjoin("""",TRUE,FILTER(Data!$R:$R,Data!$D:$D=G120,Data!$B:$B=$A120)),"""")"),"")</f>
        <v/>
      </c>
      <c r="T120" s="64" t="str">
        <f>IFERROR(__xludf.DUMMYFUNCTION("IFERROR(Textjoin("""",TRUE,FILTER(Data!$R:$R,Data!$D:$D=H120,Data!$B:$B=$A120)),"""")"),"")</f>
        <v/>
      </c>
      <c r="U120" s="64" t="str">
        <f>IFERROR(__xludf.DUMMYFUNCTION("IFERROR(Textjoin("""",TRUE,FILTER(Data!$R:$R,Data!$D:$D=I120,Data!$B:$B=$A120)),"""")"),"")</f>
        <v/>
      </c>
      <c r="V120" s="64" t="str">
        <f>IFERROR(__xludf.DUMMYFUNCTION("IFERROR(Textjoin("""",TRUE,FILTER(Data!$R:$R,Data!$D:$D=J120,Data!$B:$B=$A120)),"""")"),"")</f>
        <v/>
      </c>
      <c r="W120" s="64" t="str">
        <f>IFERROR(__xludf.DUMMYFUNCTION("IFERROR(Textjoin("""",TRUE,FILTER(Data!$R:$R,Data!$D:$D=K120,Data!$B:$B=$A120)),"""")"),"")</f>
        <v/>
      </c>
      <c r="X120" s="64" t="str">
        <f>IFERROR(__xludf.DUMMYFUNCTION("IFERROR(Textjoin("""",TRUE,FILTER(Data!$R:$R,Data!$D:$D=L120,Data!$B:$B=$A120)),"""")"),"")</f>
        <v/>
      </c>
      <c r="Y120" s="64" t="str">
        <f>IFERROR(__xludf.DUMMYFUNCTION("IFERROR(Textjoin("""",TRUE,FILTER(Data!$R:$R,Data!$D:$D=M120,Data!$B:$B=$A120)),"""")"),"")</f>
        <v/>
      </c>
      <c r="Z120" s="64" t="str">
        <f>IFERROR(__xludf.DUMMYFUNCTION("IFERROR(SPLIT(N120,"",""),"""")"),"")</f>
        <v/>
      </c>
      <c r="AA120" s="65"/>
      <c r="AB120" s="65"/>
      <c r="AC120" s="69" t="str">
        <f>IFERROR(__xludf.DUMMYFUNCTION("IFERROR(SPLIT(O120,"",""),"""")"),"")</f>
        <v/>
      </c>
      <c r="AD120" s="65"/>
      <c r="AE120" s="65"/>
      <c r="AF120" s="69" t="str">
        <f>IFERROR(__xludf.DUMMYFUNCTION("IFERROR(SPLIT(P120,"",""),"""")"),"")</f>
        <v/>
      </c>
      <c r="AG120" s="65"/>
      <c r="AH120" s="65"/>
      <c r="AI120" s="69" t="str">
        <f>IFERROR(__xludf.DUMMYFUNCTION("IFERROR(SPLIT(Q120,"",""),"""")"),"")</f>
        <v/>
      </c>
      <c r="AJ120" s="65"/>
      <c r="AK120" s="65"/>
      <c r="AL120" s="69" t="str">
        <f>IFERROR(__xludf.DUMMYFUNCTION("IFERROR(SPLIT(R120,"",""),"""")"),"")</f>
        <v/>
      </c>
      <c r="AM120" s="65"/>
      <c r="AN120" s="65"/>
      <c r="AO120" s="69" t="str">
        <f>IFERROR(__xludf.DUMMYFUNCTION("IFERROR(SPLIT(S120,"",""),"""")"),"")</f>
        <v/>
      </c>
      <c r="AP120" s="65"/>
      <c r="AQ120" s="65"/>
      <c r="AR120" s="69" t="str">
        <f>IFERROR(__xludf.DUMMYFUNCTION("IFERROR(SPLIT(T120,"",""),"""")"),"")</f>
        <v/>
      </c>
      <c r="AS120" s="65"/>
      <c r="AT120" s="65"/>
      <c r="AU120" s="69" t="str">
        <f>IFERROR(__xludf.DUMMYFUNCTION("IFERROR(SPLIT(U120,"",""),"""")"),"")</f>
        <v/>
      </c>
      <c r="AV120" s="65"/>
      <c r="AW120" s="65"/>
      <c r="AX120" s="69" t="str">
        <f>IFERROR(__xludf.DUMMYFUNCTION("IFERROR(SPLIT(V120,"",""),"""")"),"")</f>
        <v/>
      </c>
      <c r="AY120" s="65"/>
      <c r="AZ120" s="65"/>
      <c r="BA120" s="69" t="str">
        <f>IFERROR(__xludf.DUMMYFUNCTION("IFERROR(SPLIT(W120,"",""),"""")"),"")</f>
        <v/>
      </c>
      <c r="BB120" s="69"/>
      <c r="BC120" s="69"/>
      <c r="BD120" s="69" t="str">
        <f>IFERROR(__xludf.DUMMYFUNCTION("IFERROR(SPLIT(X120,"",""),"""")"),"")</f>
        <v/>
      </c>
      <c r="BE120" s="69"/>
      <c r="BF120" s="69"/>
      <c r="BG120" s="69" t="str">
        <f>IFERROR(__xludf.DUMMYFUNCTION("IFERROR(SPLIT(Y120,"",""),"""")"),"")</f>
        <v/>
      </c>
      <c r="BH120" s="69"/>
      <c r="BI120" s="69"/>
      <c r="BJ120" s="68" t="str">
        <f>IFERROR(__xludf.DUMMYFUNCTION("IF($B120&lt;&gt;"""",IFERROR(FILTER(RawTotals!$AJ:$AJ,RawTotals!$A:$A=Z120)-(FILTER(Data!$K:$K,Data!$B:$B=Z120,Data!$D:$D=$B120)+FILTER(Data!$L:$L,Data!$B:$B=Z120,Data!$D:$D=$B120)),""""),"""")"),"")</f>
        <v/>
      </c>
      <c r="BK120" s="68" t="str">
        <f>IFERROR(__xludf.DUMMYFUNCTION("IF($B120&lt;&gt;"""",IFERROR(FILTER(RawTotals!$AJ:$AJ,RawTotals!$A:$A=AA120)-(FILTER(Data!$K:$K,Data!$B:$B=AA120,Data!$D:$D=$B120)+FILTER(Data!$L:$L,Data!$B:$B=AA120,Data!$D:$D=$B120)),""""),"""")"),"")</f>
        <v/>
      </c>
      <c r="BL120" s="68" t="str">
        <f>IFERROR(__xludf.DUMMYFUNCTION("IF($B120&lt;&gt;"""",IFERROR(FILTER(RawTotals!$AJ:$AJ,RawTotals!$A:$A=AB120)-(FILTER(Data!$K:$K,Data!$B:$B=AB120,Data!$D:$D=$B120)+FILTER(Data!$L:$L,Data!$B:$B=AB120,Data!$D:$D=$B120)),""""),"""")"),"")</f>
        <v/>
      </c>
      <c r="BM120" s="69" t="str">
        <f>IFERROR(__xludf.DUMMYFUNCTION("IF($C120&lt;&gt;"""",IFERROR(FILTER(RawTotals!$AJ:$AJ,RawTotals!$A:$A=AC120)-(FILTER(Data!$K:$K,Data!$B:$B=AC120,Data!$D:$D=$C120)+FILTER(Data!$L:$L,Data!$B:$B=AC120,Data!$D:$D=$C120)),""""),"""")"),"")</f>
        <v/>
      </c>
      <c r="BN120" s="69" t="str">
        <f>IFERROR(__xludf.DUMMYFUNCTION("IF($C120&lt;&gt;"""",IFERROR(FILTER(RawTotals!$AJ:$AJ,RawTotals!$A:$A=AD120)-(FILTER(Data!$K:$K,Data!$B:$B=AD120,Data!$D:$D=$C120)+FILTER(Data!$L:$L,Data!$B:$B=AD120,Data!$D:$D=$C120)),""""),"""")"),"")</f>
        <v/>
      </c>
      <c r="BO120" s="69" t="str">
        <f>IFERROR(__xludf.DUMMYFUNCTION("IF($C120&lt;&gt;"""",IFERROR(FILTER(RawTotals!$AJ:$AJ,RawTotals!$A:$A=AE120)-(FILTER(Data!$K:$K,Data!$B:$B=AE120,Data!$D:$D=$C120)+FILTER(Data!$L:$L,Data!$B:$B=AE120,Data!$D:$D=$C120)),""""),"""")"),"")</f>
        <v/>
      </c>
      <c r="BP120" s="69" t="str">
        <f>IFERROR(__xludf.DUMMYFUNCTION("IF($D120&lt;&gt;"""",IFERROR(FILTER(RawTotals!$AJ:$AJ,RawTotals!$A:$A=AF120)-(FILTER(Data!$K:$K,Data!$B:$B=AF120,Data!$D:$D=$D120)+FILTER(Data!$L:$L,Data!$B:$B=AF120,Data!$D:$D=$D120)),""""),"""")"),"")</f>
        <v/>
      </c>
      <c r="BQ120" s="69" t="str">
        <f>IFERROR(__xludf.DUMMYFUNCTION("IF($D120&lt;&gt;"""",IFERROR(FILTER(RawTotals!$AJ:$AJ,RawTotals!$A:$A=AG120)-(FILTER(Data!$K:$K,Data!$B:$B=AG120,Data!$D:$D=$D120)+FILTER(Data!$L:$L,Data!$B:$B=AG120,Data!$D:$D=$D120)),""""),"""")"),"")</f>
        <v/>
      </c>
      <c r="BR120" s="69" t="str">
        <f>IFERROR(__xludf.DUMMYFUNCTION("IF($D120&lt;&gt;"""",IFERROR(FILTER(RawTotals!$AJ:$AJ,RawTotals!$A:$A=AH120)-(FILTER(Data!$K:$K,Data!$B:$B=AH120,Data!$D:$D=$D120)+FILTER(Data!$L:$L,Data!$B:$B=AH120,Data!$D:$D=$D120)),""""),"""")"),"")</f>
        <v/>
      </c>
      <c r="BS120" s="69" t="str">
        <f>IFERROR(__xludf.DUMMYFUNCTION("IF($E120&lt;&gt;"""",IFERROR(FILTER(RawTotals!$AJ:$AJ,RawTotals!$A:$A=AI120)-(FILTER(Data!$K:$K,Data!$B:$B=AI120,Data!$D:$D=$E120)+FILTER(Data!$L:$L,Data!$B:$B=AI120,Data!$D:$D=$E120)),""""),"""")"),"")</f>
        <v/>
      </c>
      <c r="BT120" s="69" t="str">
        <f>IFERROR(__xludf.DUMMYFUNCTION("IF($E120&lt;&gt;"""",IFERROR(FILTER(RawTotals!$AJ:$AJ,RawTotals!$A:$A=AJ120)-(FILTER(Data!$K:$K,Data!$B:$B=AJ120,Data!$D:$D=$E120)+FILTER(Data!$L:$L,Data!$B:$B=AJ120,Data!$D:$D=$E120)),""""),"""")"),"")</f>
        <v/>
      </c>
      <c r="BU120" s="69" t="str">
        <f>IFERROR(__xludf.DUMMYFUNCTION("IF($E120&lt;&gt;"""",IFERROR(FILTER(RawTotals!$AJ:$AJ,RawTotals!$A:$A=AK120)-(FILTER(Data!$K:$K,Data!$B:$B=AK120,Data!$D:$D=$E120)+FILTER(Data!$L:$L,Data!$B:$B=AK120,Data!$D:$D=$E120)),""""),"""")"),"")</f>
        <v/>
      </c>
      <c r="BV120" s="69" t="str">
        <f>IFERROR(__xludf.DUMMYFUNCTION("IF($F120&lt;&gt;"""",IFERROR(FILTER(RawTotals!$AJ:$AJ,RawTotals!$A:$A=AL120)-(FILTER(Data!$K:$K,Data!$B:$B=AL120,Data!$D:$D=$F120)+FILTER(Data!$L:$L,Data!$B:$B=AL120,Data!$D:$D=$F120)),""""),"""")"),"")</f>
        <v/>
      </c>
      <c r="BW120" s="69" t="str">
        <f>IFERROR(__xludf.DUMMYFUNCTION("IF($F120&lt;&gt;"""",IFERROR(FILTER(RawTotals!$AJ:$AJ,RawTotals!$A:$A=AM120)-(FILTER(Data!$K:$K,Data!$B:$B=AM120,Data!$D:$D=$F120)+FILTER(Data!$L:$L,Data!$B:$B=AM120,Data!$D:$D=$F120)),""""),"""")"),"")</f>
        <v/>
      </c>
      <c r="BX120" s="69" t="str">
        <f>IFERROR(__xludf.DUMMYFUNCTION("IF($F120&lt;&gt;"""",IFERROR(FILTER(RawTotals!$AJ:$AJ,RawTotals!$A:$A=AN120)-(FILTER(Data!$K:$K,Data!$B:$B=AN120,Data!$D:$D=$F120)+FILTER(Data!$L:$L,Data!$B:$B=AN120,Data!$D:$D=$F120)),""""),"""")"),"")</f>
        <v/>
      </c>
      <c r="BY120" s="69" t="str">
        <f>IFERROR(__xludf.DUMMYFUNCTION("IF($G120&lt;&gt;"""",IFERROR(FILTER(RawTotals!$AJ:$AJ,RawTotals!$A:$A=AO120)-(FILTER(Data!$K:$K,Data!$B:$B=AO120,Data!$D:$D=$G120)+FILTER(Data!$L:$L,Data!$B:$B=AO120,Data!$D:$D=$G120)),""""),"""")"),"")</f>
        <v/>
      </c>
      <c r="BZ120" s="69" t="str">
        <f>IFERROR(__xludf.DUMMYFUNCTION("IF($G120&lt;&gt;"""",IFERROR(FILTER(RawTotals!$AJ:$AJ,RawTotals!$A:$A=AP120)-(FILTER(Data!$K:$K,Data!$B:$B=AP120,Data!$D:$D=$G120)+FILTER(Data!$L:$L,Data!$B:$B=AP120,Data!$D:$D=$G120)),""""),"""")"),"")</f>
        <v/>
      </c>
      <c r="CA120" s="69" t="str">
        <f>IFERROR(__xludf.DUMMYFUNCTION("IF($G120&lt;&gt;"""",IFERROR(FILTER(RawTotals!$AJ:$AJ,RawTotals!$A:$A=AQ120)-(FILTER(Data!$K:$K,Data!$B:$B=AQ120,Data!$D:$D=$G120)+FILTER(Data!$L:$L,Data!$B:$B=AQ120,Data!$D:$D=$G120)),""""),"""")"),"")</f>
        <v/>
      </c>
      <c r="CB120" s="69" t="str">
        <f>IFERROR(__xludf.DUMMYFUNCTION("IF($H120&lt;&gt;"""",IFERROR(FILTER(RawTotals!$AJ:$AJ,RawTotals!$A:$A=AR120)-(FILTER(Data!$K:$K,Data!$B:$B=AR120,Data!$D:$D=$H120)+FILTER(Data!$L:$L,Data!$B:$B=AR120,Data!$D:$D=$H120)),""""),"""")"),"")</f>
        <v/>
      </c>
      <c r="CC120" s="69" t="str">
        <f>IFERROR(__xludf.DUMMYFUNCTION("IF($H120&lt;&gt;"""",IFERROR(FILTER(RawTotals!$AJ:$AJ,RawTotals!$A:$A=AS120)-(FILTER(Data!$K:$K,Data!$B:$B=AS120,Data!$D:$D=$H120)+FILTER(Data!$L:$L,Data!$B:$B=AS120,Data!$D:$D=$H120)),""""),"""")"),"")</f>
        <v/>
      </c>
      <c r="CD120" s="69" t="str">
        <f>IFERROR(__xludf.DUMMYFUNCTION("IF($H120&lt;&gt;"""",IFERROR(FILTER(RawTotals!$AJ:$AJ,RawTotals!$A:$A=AT120)-(FILTER(Data!$K:$K,Data!$B:$B=AT120,Data!$D:$D=$H120)+FILTER(Data!$L:$L,Data!$B:$B=AT120,Data!$D:$D=$H120)),""""),"""")"),"")</f>
        <v/>
      </c>
      <c r="CE120" s="69" t="str">
        <f>IFERROR(__xludf.DUMMYFUNCTION("IF($I120&lt;&gt;"""",IFERROR(FILTER(RawTotals!$AJ:$AJ,RawTotals!$A:$A=AU120)-(FILTER(Data!$K:$K,Data!$B:$B=AU120,Data!$D:$D=$I120)+FILTER(Data!$L:$L,Data!$B:$B=AU120,Data!$D:$D=$I120)),""""),"""")"),"")</f>
        <v/>
      </c>
      <c r="CF120" s="69" t="str">
        <f>IFERROR(__xludf.DUMMYFUNCTION("IF($I120&lt;&gt;"""",IFERROR(FILTER(RawTotals!$AJ:$AJ,RawTotals!$A:$A=AV120)-(FILTER(Data!$K:$K,Data!$B:$B=AV120,Data!$D:$D=$I120)+FILTER(Data!$L:$L,Data!$B:$B=AV120,Data!$D:$D=$I120)),""""),"""")"),"")</f>
        <v/>
      </c>
      <c r="CG120" s="69" t="str">
        <f>IFERROR(__xludf.DUMMYFUNCTION("IF($I120&lt;&gt;"""",IFERROR(FILTER(RawTotals!$AJ:$AJ,RawTotals!$A:$A=AW120)-(FILTER(Data!$K:$K,Data!$B:$B=AW120,Data!$D:$D=$I120)+FILTER(Data!$L:$L,Data!$B:$B=AW120,Data!$D:$D=$I120)),""""),"""")"),"")</f>
        <v/>
      </c>
      <c r="CH120" s="69" t="str">
        <f>IFERROR(__xludf.DUMMYFUNCTION("IF($J120&lt;&gt;"""",IFERROR(FILTER(RawTotals!$AJ:$AJ,RawTotals!$A:$A=AX120)-(FILTER(Data!$K:$K,Data!$B:$B=AX120,Data!$D:$D=$J120)+FILTER(Data!$L:$L,Data!$B:$B=AX120,Data!$D:$D=$J120)),""""),"""")"),"")</f>
        <v/>
      </c>
      <c r="CI120" s="69" t="str">
        <f>IFERROR(__xludf.DUMMYFUNCTION("IF($J120&lt;&gt;"""",IFERROR(FILTER(RawTotals!$AJ:$AJ,RawTotals!$A:$A=AY120)-(FILTER(Data!$K:$K,Data!$B:$B=AY120,Data!$D:$D=$J120)+FILTER(Data!$L:$L,Data!$B:$B=AY120,Data!$D:$D=$J120)),""""),"""")"),"")</f>
        <v/>
      </c>
      <c r="CJ120" s="69" t="str">
        <f>IFERROR(__xludf.DUMMYFUNCTION("IF($J120&lt;&gt;"""",IFERROR(FILTER(RawTotals!$AJ:$AJ,RawTotals!$A:$A=AZ120)-(FILTER(Data!$K:$K,Data!$B:$B=AZ120,Data!$D:$D=$J120)+FILTER(Data!$L:$L,Data!$B:$B=AZ120,Data!$D:$D=$J120)),""""),"""")"),"")</f>
        <v/>
      </c>
      <c r="CK120" s="69" t="str">
        <f>IFERROR(__xludf.DUMMYFUNCTION("IF($K120&lt;&gt;"""",IFERROR(FILTER(RawTotals!$AJ:$AJ,RawTotals!$A:$A=BA120)-(FILTER(Data!$K:$K,Data!$B:$B=BA120,Data!$D:$D=$K120)+FILTER(Data!$L:$L,Data!$B:$B=BA120,Data!$D:$D=$K120)),""""),"""")"),"")</f>
        <v/>
      </c>
      <c r="CL120" s="69" t="str">
        <f>IFERROR(__xludf.DUMMYFUNCTION("IF($K120&lt;&gt;"""",IFERROR(FILTER(RawTotals!$AJ:$AJ,RawTotals!$A:$A=BB120)-(FILTER(Data!$K:$K,Data!$B:$B=BB120,Data!$D:$D=$K120)+FILTER(Data!$L:$L,Data!$B:$B=BB120,Data!$D:$D=$K120)),""""),"""")"),"")</f>
        <v/>
      </c>
      <c r="CM120" s="69" t="str">
        <f>IFERROR(__xludf.DUMMYFUNCTION("IF($K120&lt;&gt;"""",IFERROR(FILTER(RawTotals!$AJ:$AJ,RawTotals!$A:$A=BC120)-(FILTER(Data!$K:$K,Data!$B:$B=BC120,Data!$D:$D=$K120)+FILTER(Data!$L:$L,Data!$B:$B=BC120,Data!$D:$D=$K120)),""""),"""")"),"")</f>
        <v/>
      </c>
      <c r="CN120" s="69" t="str">
        <f>IFERROR(__xludf.DUMMYFUNCTION("IF($L120&lt;&gt;"""",IFERROR((FILTER(RawTotals!$AJ:$AJ,RawTotals!$A:$A=BD120)-(FILTER(Data!$K:$K,Data!$B:$B=BD120,Data!$D:$D=$L120)+FILTER(Data!$L:$L,Data!$B:$B=BD120,Data!$D:$D=$L120))),""""),"""")"),"")</f>
        <v/>
      </c>
      <c r="CO120" s="69" t="str">
        <f>IFERROR(__xludf.DUMMYFUNCTION("IF($L120&lt;&gt;"""",IFERROR((FILTER(RawTotals!$AJ:$AJ,RawTotals!$A:$A=BE120)-(FILTER(Data!$K:$K,Data!$B:$B=BE120,Data!$D:$D=$L120)+FILTER(Data!$L:$L,Data!$B:$B=BE120,Data!$D:$D=$L120))),""""),"""")"),"")</f>
        <v/>
      </c>
      <c r="CP120" s="69" t="str">
        <f>IFERROR(__xludf.DUMMYFUNCTION("IF($L120&lt;&gt;"""",IFERROR((FILTER(RawTotals!$AJ:$AJ,RawTotals!$A:$A=BF120)-(FILTER(Data!$K:$K,Data!$B:$B=BF120,Data!$D:$D=$L120)+FILTER(Data!$L:$L,Data!$B:$B=BF120,Data!$D:$D=$L120))),""""),"""")"),"")</f>
        <v/>
      </c>
      <c r="CQ120" s="69" t="str">
        <f>IFERROR(__xludf.DUMMYFUNCTION("IF($M120&lt;&gt;"""",IFERROR((FILTER(RawTotals!$AJ:$AJ,RawTotals!$A:$A=BG120)-(FILTER(Data!$K:$K,Data!$B:$B=BG120,Data!$D:$D=$M120)+FILTER(Data!$L:$L,Data!$B:$B=BG120,Data!$D:$D=$M120))),""""),"""")"),"")</f>
        <v/>
      </c>
      <c r="CR120" s="69" t="str">
        <f>IFERROR(__xludf.DUMMYFUNCTION("IF($M120&lt;&gt;"""",IFERROR((FILTER(RawTotals!$AJ:$AJ,RawTotals!$A:$A=BH120)-(FILTER(Data!$K:$K,Data!$B:$B=BH120,Data!$D:$D=$M120)+FILTER(Data!$L:$L,Data!$B:$B=BH120,Data!$D:$D=$M120))),""""),"""")"),"")</f>
        <v/>
      </c>
      <c r="CS120" s="70" t="str">
        <f>IFERROR(__xludf.DUMMYFUNCTION("IF($M120&lt;&gt;"""",IFERROR((FILTER(RawTotals!$AJ:$AJ,RawTotals!$A:$A=BI120)-(FILTER(Data!$K:$K,Data!$B:$B=BI120,Data!$D:$D=$M120)+FILTER(Data!$L:$L,Data!$B:$B=BI120,Data!$D:$D=$M120))),""""),"""")"),"")</f>
        <v/>
      </c>
      <c r="CT120" s="69"/>
      <c r="CU120" s="69"/>
      <c r="CV120" s="69"/>
      <c r="CW120" s="69"/>
      <c r="CX120" s="69"/>
      <c r="CY120" s="69"/>
      <c r="CZ120" s="69"/>
      <c r="DA120" s="69"/>
      <c r="DB120" s="69"/>
      <c r="DC120" s="69"/>
      <c r="DD120" s="69"/>
      <c r="DE120" s="69"/>
    </row>
    <row r="121">
      <c r="A121" s="65" t="str">
        <f>RawTotals!A121</f>
        <v/>
      </c>
      <c r="B121" s="68" t="str">
        <f>IFERROR(__xludf.DUMMYFUNCTION("IF(A121&lt;&gt;"""",IFERROR(TRANSPOSE(FILTER(Data!D:D,Data!B:B=A121,Data!R:R&lt;&gt;"""")),""No Defense""),"""")"),"")</f>
        <v/>
      </c>
      <c r="C121" s="65"/>
      <c r="D121" s="65"/>
      <c r="E121" s="65"/>
      <c r="F121" s="65"/>
      <c r="G121" s="65"/>
      <c r="H121" s="65"/>
      <c r="I121" s="65"/>
      <c r="J121" s="65"/>
      <c r="K121" s="65"/>
      <c r="L121" s="65"/>
      <c r="M121" s="65"/>
      <c r="N121" s="64" t="str">
        <f>IFERROR(__xludf.DUMMYFUNCTION("IFERROR(Textjoin("""",TRUE,FILTER(Data!$R:$R,Data!$D:$D=B121,Data!$B:$B=$A121)),"""")"),"")</f>
        <v/>
      </c>
      <c r="O121" s="64" t="str">
        <f>IFERROR(__xludf.DUMMYFUNCTION("IFERROR(Textjoin("""",TRUE,FILTER(Data!$R:$R,Data!$D:$D=C121,Data!$B:$B=$A121)),"""")"),"")</f>
        <v/>
      </c>
      <c r="P121" s="64" t="str">
        <f>IFERROR(__xludf.DUMMYFUNCTION("IFERROR(Textjoin("""",TRUE,FILTER(Data!$R:$R,Data!$D:$D=D121,Data!$B:$B=$A121)),"""")"),"")</f>
        <v/>
      </c>
      <c r="Q121" s="64" t="str">
        <f>IFERROR(__xludf.DUMMYFUNCTION("IFERROR(Textjoin("""",TRUE,FILTER(Data!$R:$R,Data!$D:$D=E121,Data!$B:$B=$A121)),"""")"),"")</f>
        <v/>
      </c>
      <c r="R121" s="64" t="str">
        <f>IFERROR(__xludf.DUMMYFUNCTION("IFERROR(Textjoin("""",TRUE,FILTER(Data!$R:$R,Data!$D:$D=F121,Data!$B:$B=$A121)),"""")"),"")</f>
        <v/>
      </c>
      <c r="S121" s="64" t="str">
        <f>IFERROR(__xludf.DUMMYFUNCTION("IFERROR(Textjoin("""",TRUE,FILTER(Data!$R:$R,Data!$D:$D=G121,Data!$B:$B=$A121)),"""")"),"")</f>
        <v/>
      </c>
      <c r="T121" s="64" t="str">
        <f>IFERROR(__xludf.DUMMYFUNCTION("IFERROR(Textjoin("""",TRUE,FILTER(Data!$R:$R,Data!$D:$D=H121,Data!$B:$B=$A121)),"""")"),"")</f>
        <v/>
      </c>
      <c r="U121" s="64" t="str">
        <f>IFERROR(__xludf.DUMMYFUNCTION("IFERROR(Textjoin("""",TRUE,FILTER(Data!$R:$R,Data!$D:$D=I121,Data!$B:$B=$A121)),"""")"),"")</f>
        <v/>
      </c>
      <c r="V121" s="64" t="str">
        <f>IFERROR(__xludf.DUMMYFUNCTION("IFERROR(Textjoin("""",TRUE,FILTER(Data!$R:$R,Data!$D:$D=J121,Data!$B:$B=$A121)),"""")"),"")</f>
        <v/>
      </c>
      <c r="W121" s="64" t="str">
        <f>IFERROR(__xludf.DUMMYFUNCTION("IFERROR(Textjoin("""",TRUE,FILTER(Data!$R:$R,Data!$D:$D=K121,Data!$B:$B=$A121)),"""")"),"")</f>
        <v/>
      </c>
      <c r="X121" s="64" t="str">
        <f>IFERROR(__xludf.DUMMYFUNCTION("IFERROR(Textjoin("""",TRUE,FILTER(Data!$R:$R,Data!$D:$D=L121,Data!$B:$B=$A121)),"""")"),"")</f>
        <v/>
      </c>
      <c r="Y121" s="64" t="str">
        <f>IFERROR(__xludf.DUMMYFUNCTION("IFERROR(Textjoin("""",TRUE,FILTER(Data!$R:$R,Data!$D:$D=M121,Data!$B:$B=$A121)),"""")"),"")</f>
        <v/>
      </c>
      <c r="Z121" s="64" t="str">
        <f>IFERROR(__xludf.DUMMYFUNCTION("IFERROR(SPLIT(N121,"",""),"""")"),"")</f>
        <v/>
      </c>
      <c r="AA121" s="65"/>
      <c r="AB121" s="65"/>
      <c r="AC121" s="69" t="str">
        <f>IFERROR(__xludf.DUMMYFUNCTION("IFERROR(SPLIT(O121,"",""),"""")"),"")</f>
        <v/>
      </c>
      <c r="AD121" s="65"/>
      <c r="AE121" s="65"/>
      <c r="AF121" s="69" t="str">
        <f>IFERROR(__xludf.DUMMYFUNCTION("IFERROR(SPLIT(P121,"",""),"""")"),"")</f>
        <v/>
      </c>
      <c r="AG121" s="65"/>
      <c r="AH121" s="65"/>
      <c r="AI121" s="69" t="str">
        <f>IFERROR(__xludf.DUMMYFUNCTION("IFERROR(SPLIT(Q121,"",""),"""")"),"")</f>
        <v/>
      </c>
      <c r="AJ121" s="65"/>
      <c r="AK121" s="65"/>
      <c r="AL121" s="69" t="str">
        <f>IFERROR(__xludf.DUMMYFUNCTION("IFERROR(SPLIT(R121,"",""),"""")"),"")</f>
        <v/>
      </c>
      <c r="AM121" s="65"/>
      <c r="AN121" s="65"/>
      <c r="AO121" s="69" t="str">
        <f>IFERROR(__xludf.DUMMYFUNCTION("IFERROR(SPLIT(S121,"",""),"""")"),"")</f>
        <v/>
      </c>
      <c r="AP121" s="65"/>
      <c r="AQ121" s="65"/>
      <c r="AR121" s="69" t="str">
        <f>IFERROR(__xludf.DUMMYFUNCTION("IFERROR(SPLIT(T121,"",""),"""")"),"")</f>
        <v/>
      </c>
      <c r="AS121" s="65"/>
      <c r="AT121" s="65"/>
      <c r="AU121" s="69" t="str">
        <f>IFERROR(__xludf.DUMMYFUNCTION("IFERROR(SPLIT(U121,"",""),"""")"),"")</f>
        <v/>
      </c>
      <c r="AV121" s="65"/>
      <c r="AW121" s="65"/>
      <c r="AX121" s="69" t="str">
        <f>IFERROR(__xludf.DUMMYFUNCTION("IFERROR(SPLIT(V121,"",""),"""")"),"")</f>
        <v/>
      </c>
      <c r="AY121" s="65"/>
      <c r="AZ121" s="65"/>
      <c r="BA121" s="69" t="str">
        <f>IFERROR(__xludf.DUMMYFUNCTION("IFERROR(SPLIT(W121,"",""),"""")"),"")</f>
        <v/>
      </c>
      <c r="BB121" s="69"/>
      <c r="BC121" s="69"/>
      <c r="BD121" s="69" t="str">
        <f>IFERROR(__xludf.DUMMYFUNCTION("IFERROR(SPLIT(X121,"",""),"""")"),"")</f>
        <v/>
      </c>
      <c r="BE121" s="69"/>
      <c r="BF121" s="69"/>
      <c r="BG121" s="69" t="str">
        <f>IFERROR(__xludf.DUMMYFUNCTION("IFERROR(SPLIT(Y121,"",""),"""")"),"")</f>
        <v/>
      </c>
      <c r="BH121" s="69"/>
      <c r="BI121" s="69"/>
      <c r="BJ121" s="68" t="str">
        <f>IFERROR(__xludf.DUMMYFUNCTION("IF($B121&lt;&gt;"""",IFERROR(FILTER(RawTotals!$AJ:$AJ,RawTotals!$A:$A=Z121)-(FILTER(Data!$K:$K,Data!$B:$B=Z121,Data!$D:$D=$B121)+FILTER(Data!$L:$L,Data!$B:$B=Z121,Data!$D:$D=$B121)),""""),"""")"),"")</f>
        <v/>
      </c>
      <c r="BK121" s="68" t="str">
        <f>IFERROR(__xludf.DUMMYFUNCTION("IF($B121&lt;&gt;"""",IFERROR(FILTER(RawTotals!$AJ:$AJ,RawTotals!$A:$A=AA121)-(FILTER(Data!$K:$K,Data!$B:$B=AA121,Data!$D:$D=$B121)+FILTER(Data!$L:$L,Data!$B:$B=AA121,Data!$D:$D=$B121)),""""),"""")"),"")</f>
        <v/>
      </c>
      <c r="BL121" s="68" t="str">
        <f>IFERROR(__xludf.DUMMYFUNCTION("IF($B121&lt;&gt;"""",IFERROR(FILTER(RawTotals!$AJ:$AJ,RawTotals!$A:$A=AB121)-(FILTER(Data!$K:$K,Data!$B:$B=AB121,Data!$D:$D=$B121)+FILTER(Data!$L:$L,Data!$B:$B=AB121,Data!$D:$D=$B121)),""""),"""")"),"")</f>
        <v/>
      </c>
      <c r="BM121" s="69" t="str">
        <f>IFERROR(__xludf.DUMMYFUNCTION("IF($C121&lt;&gt;"""",IFERROR(FILTER(RawTotals!$AJ:$AJ,RawTotals!$A:$A=AC121)-(FILTER(Data!$K:$K,Data!$B:$B=AC121,Data!$D:$D=$C121)+FILTER(Data!$L:$L,Data!$B:$B=AC121,Data!$D:$D=$C121)),""""),"""")"),"")</f>
        <v/>
      </c>
      <c r="BN121" s="69" t="str">
        <f>IFERROR(__xludf.DUMMYFUNCTION("IF($C121&lt;&gt;"""",IFERROR(FILTER(RawTotals!$AJ:$AJ,RawTotals!$A:$A=AD121)-(FILTER(Data!$K:$K,Data!$B:$B=AD121,Data!$D:$D=$C121)+FILTER(Data!$L:$L,Data!$B:$B=AD121,Data!$D:$D=$C121)),""""),"""")"),"")</f>
        <v/>
      </c>
      <c r="BO121" s="69" t="str">
        <f>IFERROR(__xludf.DUMMYFUNCTION("IF($C121&lt;&gt;"""",IFERROR(FILTER(RawTotals!$AJ:$AJ,RawTotals!$A:$A=AE121)-(FILTER(Data!$K:$K,Data!$B:$B=AE121,Data!$D:$D=$C121)+FILTER(Data!$L:$L,Data!$B:$B=AE121,Data!$D:$D=$C121)),""""),"""")"),"")</f>
        <v/>
      </c>
      <c r="BP121" s="69" t="str">
        <f>IFERROR(__xludf.DUMMYFUNCTION("IF($D121&lt;&gt;"""",IFERROR(FILTER(RawTotals!$AJ:$AJ,RawTotals!$A:$A=AF121)-(FILTER(Data!$K:$K,Data!$B:$B=AF121,Data!$D:$D=$D121)+FILTER(Data!$L:$L,Data!$B:$B=AF121,Data!$D:$D=$D121)),""""),"""")"),"")</f>
        <v/>
      </c>
      <c r="BQ121" s="69" t="str">
        <f>IFERROR(__xludf.DUMMYFUNCTION("IF($D121&lt;&gt;"""",IFERROR(FILTER(RawTotals!$AJ:$AJ,RawTotals!$A:$A=AG121)-(FILTER(Data!$K:$K,Data!$B:$B=AG121,Data!$D:$D=$D121)+FILTER(Data!$L:$L,Data!$B:$B=AG121,Data!$D:$D=$D121)),""""),"""")"),"")</f>
        <v/>
      </c>
      <c r="BR121" s="69" t="str">
        <f>IFERROR(__xludf.DUMMYFUNCTION("IF($D121&lt;&gt;"""",IFERROR(FILTER(RawTotals!$AJ:$AJ,RawTotals!$A:$A=AH121)-(FILTER(Data!$K:$K,Data!$B:$B=AH121,Data!$D:$D=$D121)+FILTER(Data!$L:$L,Data!$B:$B=AH121,Data!$D:$D=$D121)),""""),"""")"),"")</f>
        <v/>
      </c>
      <c r="BS121" s="69" t="str">
        <f>IFERROR(__xludf.DUMMYFUNCTION("IF($E121&lt;&gt;"""",IFERROR(FILTER(RawTotals!$AJ:$AJ,RawTotals!$A:$A=AI121)-(FILTER(Data!$K:$K,Data!$B:$B=AI121,Data!$D:$D=$E121)+FILTER(Data!$L:$L,Data!$B:$B=AI121,Data!$D:$D=$E121)),""""),"""")"),"")</f>
        <v/>
      </c>
      <c r="BT121" s="69" t="str">
        <f>IFERROR(__xludf.DUMMYFUNCTION("IF($E121&lt;&gt;"""",IFERROR(FILTER(RawTotals!$AJ:$AJ,RawTotals!$A:$A=AJ121)-(FILTER(Data!$K:$K,Data!$B:$B=AJ121,Data!$D:$D=$E121)+FILTER(Data!$L:$L,Data!$B:$B=AJ121,Data!$D:$D=$E121)),""""),"""")"),"")</f>
        <v/>
      </c>
      <c r="BU121" s="69" t="str">
        <f>IFERROR(__xludf.DUMMYFUNCTION("IF($E121&lt;&gt;"""",IFERROR(FILTER(RawTotals!$AJ:$AJ,RawTotals!$A:$A=AK121)-(FILTER(Data!$K:$K,Data!$B:$B=AK121,Data!$D:$D=$E121)+FILTER(Data!$L:$L,Data!$B:$B=AK121,Data!$D:$D=$E121)),""""),"""")"),"")</f>
        <v/>
      </c>
      <c r="BV121" s="69" t="str">
        <f>IFERROR(__xludf.DUMMYFUNCTION("IF($F121&lt;&gt;"""",IFERROR(FILTER(RawTotals!$AJ:$AJ,RawTotals!$A:$A=AL121)-(FILTER(Data!$K:$K,Data!$B:$B=AL121,Data!$D:$D=$F121)+FILTER(Data!$L:$L,Data!$B:$B=AL121,Data!$D:$D=$F121)),""""),"""")"),"")</f>
        <v/>
      </c>
      <c r="BW121" s="69" t="str">
        <f>IFERROR(__xludf.DUMMYFUNCTION("IF($F121&lt;&gt;"""",IFERROR(FILTER(RawTotals!$AJ:$AJ,RawTotals!$A:$A=AM121)-(FILTER(Data!$K:$K,Data!$B:$B=AM121,Data!$D:$D=$F121)+FILTER(Data!$L:$L,Data!$B:$B=AM121,Data!$D:$D=$F121)),""""),"""")"),"")</f>
        <v/>
      </c>
      <c r="BX121" s="69" t="str">
        <f>IFERROR(__xludf.DUMMYFUNCTION("IF($F121&lt;&gt;"""",IFERROR(FILTER(RawTotals!$AJ:$AJ,RawTotals!$A:$A=AN121)-(FILTER(Data!$K:$K,Data!$B:$B=AN121,Data!$D:$D=$F121)+FILTER(Data!$L:$L,Data!$B:$B=AN121,Data!$D:$D=$F121)),""""),"""")"),"")</f>
        <v/>
      </c>
      <c r="BY121" s="69" t="str">
        <f>IFERROR(__xludf.DUMMYFUNCTION("IF($G121&lt;&gt;"""",IFERROR(FILTER(RawTotals!$AJ:$AJ,RawTotals!$A:$A=AO121)-(FILTER(Data!$K:$K,Data!$B:$B=AO121,Data!$D:$D=$G121)+FILTER(Data!$L:$L,Data!$B:$B=AO121,Data!$D:$D=$G121)),""""),"""")"),"")</f>
        <v/>
      </c>
      <c r="BZ121" s="69" t="str">
        <f>IFERROR(__xludf.DUMMYFUNCTION("IF($G121&lt;&gt;"""",IFERROR(FILTER(RawTotals!$AJ:$AJ,RawTotals!$A:$A=AP121)-(FILTER(Data!$K:$K,Data!$B:$B=AP121,Data!$D:$D=$G121)+FILTER(Data!$L:$L,Data!$B:$B=AP121,Data!$D:$D=$G121)),""""),"""")"),"")</f>
        <v/>
      </c>
      <c r="CA121" s="69" t="str">
        <f>IFERROR(__xludf.DUMMYFUNCTION("IF($G121&lt;&gt;"""",IFERROR(FILTER(RawTotals!$AJ:$AJ,RawTotals!$A:$A=AQ121)-(FILTER(Data!$K:$K,Data!$B:$B=AQ121,Data!$D:$D=$G121)+FILTER(Data!$L:$L,Data!$B:$B=AQ121,Data!$D:$D=$G121)),""""),"""")"),"")</f>
        <v/>
      </c>
      <c r="CB121" s="69" t="str">
        <f>IFERROR(__xludf.DUMMYFUNCTION("IF($H121&lt;&gt;"""",IFERROR(FILTER(RawTotals!$AJ:$AJ,RawTotals!$A:$A=AR121)-(FILTER(Data!$K:$K,Data!$B:$B=AR121,Data!$D:$D=$H121)+FILTER(Data!$L:$L,Data!$B:$B=AR121,Data!$D:$D=$H121)),""""),"""")"),"")</f>
        <v/>
      </c>
      <c r="CC121" s="69" t="str">
        <f>IFERROR(__xludf.DUMMYFUNCTION("IF($H121&lt;&gt;"""",IFERROR(FILTER(RawTotals!$AJ:$AJ,RawTotals!$A:$A=AS121)-(FILTER(Data!$K:$K,Data!$B:$B=AS121,Data!$D:$D=$H121)+FILTER(Data!$L:$L,Data!$B:$B=AS121,Data!$D:$D=$H121)),""""),"""")"),"")</f>
        <v/>
      </c>
      <c r="CD121" s="69" t="str">
        <f>IFERROR(__xludf.DUMMYFUNCTION("IF($H121&lt;&gt;"""",IFERROR(FILTER(RawTotals!$AJ:$AJ,RawTotals!$A:$A=AT121)-(FILTER(Data!$K:$K,Data!$B:$B=AT121,Data!$D:$D=$H121)+FILTER(Data!$L:$L,Data!$B:$B=AT121,Data!$D:$D=$H121)),""""),"""")"),"")</f>
        <v/>
      </c>
      <c r="CE121" s="69" t="str">
        <f>IFERROR(__xludf.DUMMYFUNCTION("IF($I121&lt;&gt;"""",IFERROR(FILTER(RawTotals!$AJ:$AJ,RawTotals!$A:$A=AU121)-(FILTER(Data!$K:$K,Data!$B:$B=AU121,Data!$D:$D=$I121)+FILTER(Data!$L:$L,Data!$B:$B=AU121,Data!$D:$D=$I121)),""""),"""")"),"")</f>
        <v/>
      </c>
      <c r="CF121" s="69" t="str">
        <f>IFERROR(__xludf.DUMMYFUNCTION("IF($I121&lt;&gt;"""",IFERROR(FILTER(RawTotals!$AJ:$AJ,RawTotals!$A:$A=AV121)-(FILTER(Data!$K:$K,Data!$B:$B=AV121,Data!$D:$D=$I121)+FILTER(Data!$L:$L,Data!$B:$B=AV121,Data!$D:$D=$I121)),""""),"""")"),"")</f>
        <v/>
      </c>
      <c r="CG121" s="69" t="str">
        <f>IFERROR(__xludf.DUMMYFUNCTION("IF($I121&lt;&gt;"""",IFERROR(FILTER(RawTotals!$AJ:$AJ,RawTotals!$A:$A=AW121)-(FILTER(Data!$K:$K,Data!$B:$B=AW121,Data!$D:$D=$I121)+FILTER(Data!$L:$L,Data!$B:$B=AW121,Data!$D:$D=$I121)),""""),"""")"),"")</f>
        <v/>
      </c>
      <c r="CH121" s="69" t="str">
        <f>IFERROR(__xludf.DUMMYFUNCTION("IF($J121&lt;&gt;"""",IFERROR(FILTER(RawTotals!$AJ:$AJ,RawTotals!$A:$A=AX121)-(FILTER(Data!$K:$K,Data!$B:$B=AX121,Data!$D:$D=$J121)+FILTER(Data!$L:$L,Data!$B:$B=AX121,Data!$D:$D=$J121)),""""),"""")"),"")</f>
        <v/>
      </c>
      <c r="CI121" s="69" t="str">
        <f>IFERROR(__xludf.DUMMYFUNCTION("IF($J121&lt;&gt;"""",IFERROR(FILTER(RawTotals!$AJ:$AJ,RawTotals!$A:$A=AY121)-(FILTER(Data!$K:$K,Data!$B:$B=AY121,Data!$D:$D=$J121)+FILTER(Data!$L:$L,Data!$B:$B=AY121,Data!$D:$D=$J121)),""""),"""")"),"")</f>
        <v/>
      </c>
      <c r="CJ121" s="69" t="str">
        <f>IFERROR(__xludf.DUMMYFUNCTION("IF($J121&lt;&gt;"""",IFERROR(FILTER(RawTotals!$AJ:$AJ,RawTotals!$A:$A=AZ121)-(FILTER(Data!$K:$K,Data!$B:$B=AZ121,Data!$D:$D=$J121)+FILTER(Data!$L:$L,Data!$B:$B=AZ121,Data!$D:$D=$J121)),""""),"""")"),"")</f>
        <v/>
      </c>
      <c r="CK121" s="69" t="str">
        <f>IFERROR(__xludf.DUMMYFUNCTION("IF($K121&lt;&gt;"""",IFERROR(FILTER(RawTotals!$AJ:$AJ,RawTotals!$A:$A=BA121)-(FILTER(Data!$K:$K,Data!$B:$B=BA121,Data!$D:$D=$K121)+FILTER(Data!$L:$L,Data!$B:$B=BA121,Data!$D:$D=$K121)),""""),"""")"),"")</f>
        <v/>
      </c>
      <c r="CL121" s="69" t="str">
        <f>IFERROR(__xludf.DUMMYFUNCTION("IF($K121&lt;&gt;"""",IFERROR(FILTER(RawTotals!$AJ:$AJ,RawTotals!$A:$A=BB121)-(FILTER(Data!$K:$K,Data!$B:$B=BB121,Data!$D:$D=$K121)+FILTER(Data!$L:$L,Data!$B:$B=BB121,Data!$D:$D=$K121)),""""),"""")"),"")</f>
        <v/>
      </c>
      <c r="CM121" s="69" t="str">
        <f>IFERROR(__xludf.DUMMYFUNCTION("IF($K121&lt;&gt;"""",IFERROR(FILTER(RawTotals!$AJ:$AJ,RawTotals!$A:$A=BC121)-(FILTER(Data!$K:$K,Data!$B:$B=BC121,Data!$D:$D=$K121)+FILTER(Data!$L:$L,Data!$B:$B=BC121,Data!$D:$D=$K121)),""""),"""")"),"")</f>
        <v/>
      </c>
      <c r="CN121" s="69" t="str">
        <f>IFERROR(__xludf.DUMMYFUNCTION("IF($L121&lt;&gt;"""",IFERROR((FILTER(RawTotals!$AJ:$AJ,RawTotals!$A:$A=BD121)-(FILTER(Data!$K:$K,Data!$B:$B=BD121,Data!$D:$D=$L121)+FILTER(Data!$L:$L,Data!$B:$B=BD121,Data!$D:$D=$L121))),""""),"""")"),"")</f>
        <v/>
      </c>
      <c r="CO121" s="69" t="str">
        <f>IFERROR(__xludf.DUMMYFUNCTION("IF($L121&lt;&gt;"""",IFERROR((FILTER(RawTotals!$AJ:$AJ,RawTotals!$A:$A=BE121)-(FILTER(Data!$K:$K,Data!$B:$B=BE121,Data!$D:$D=$L121)+FILTER(Data!$L:$L,Data!$B:$B=BE121,Data!$D:$D=$L121))),""""),"""")"),"")</f>
        <v/>
      </c>
      <c r="CP121" s="69" t="str">
        <f>IFERROR(__xludf.DUMMYFUNCTION("IF($L121&lt;&gt;"""",IFERROR((FILTER(RawTotals!$AJ:$AJ,RawTotals!$A:$A=BF121)-(FILTER(Data!$K:$K,Data!$B:$B=BF121,Data!$D:$D=$L121)+FILTER(Data!$L:$L,Data!$B:$B=BF121,Data!$D:$D=$L121))),""""),"""")"),"")</f>
        <v/>
      </c>
      <c r="CQ121" s="69" t="str">
        <f>IFERROR(__xludf.DUMMYFUNCTION("IF($M121&lt;&gt;"""",IFERROR((FILTER(RawTotals!$AJ:$AJ,RawTotals!$A:$A=BG121)-(FILTER(Data!$K:$K,Data!$B:$B=BG121,Data!$D:$D=$M121)+FILTER(Data!$L:$L,Data!$B:$B=BG121,Data!$D:$D=$M121))),""""),"""")"),"")</f>
        <v/>
      </c>
      <c r="CR121" s="69" t="str">
        <f>IFERROR(__xludf.DUMMYFUNCTION("IF($M121&lt;&gt;"""",IFERROR((FILTER(RawTotals!$AJ:$AJ,RawTotals!$A:$A=BH121)-(FILTER(Data!$K:$K,Data!$B:$B=BH121,Data!$D:$D=$M121)+FILTER(Data!$L:$L,Data!$B:$B=BH121,Data!$D:$D=$M121))),""""),"""")"),"")</f>
        <v/>
      </c>
      <c r="CS121" s="70" t="str">
        <f>IFERROR(__xludf.DUMMYFUNCTION("IF($M121&lt;&gt;"""",IFERROR((FILTER(RawTotals!$AJ:$AJ,RawTotals!$A:$A=BI121)-(FILTER(Data!$K:$K,Data!$B:$B=BI121,Data!$D:$D=$M121)+FILTER(Data!$L:$L,Data!$B:$B=BI121,Data!$D:$D=$M121))),""""),"""")"),"")</f>
        <v/>
      </c>
      <c r="CT121" s="69"/>
      <c r="CU121" s="69"/>
      <c r="CV121" s="69"/>
      <c r="CW121" s="69"/>
      <c r="CX121" s="69"/>
      <c r="CY121" s="69"/>
      <c r="CZ121" s="69"/>
      <c r="DA121" s="69"/>
      <c r="DB121" s="69"/>
      <c r="DC121" s="69"/>
      <c r="DD121" s="69"/>
      <c r="DE121" s="69"/>
    </row>
    <row r="122">
      <c r="A122" s="65" t="str">
        <f>RawTotals!A122</f>
        <v/>
      </c>
      <c r="B122" s="68" t="str">
        <f>IFERROR(__xludf.DUMMYFUNCTION("IF(A122&lt;&gt;"""",IFERROR(TRANSPOSE(FILTER(Data!D:D,Data!B:B=A122,Data!R:R&lt;&gt;"""")),""No Defense""),"""")"),"")</f>
        <v/>
      </c>
      <c r="C122" s="65"/>
      <c r="D122" s="65"/>
      <c r="E122" s="65"/>
      <c r="F122" s="65"/>
      <c r="G122" s="65"/>
      <c r="H122" s="65"/>
      <c r="I122" s="65"/>
      <c r="J122" s="65"/>
      <c r="K122" s="65"/>
      <c r="L122" s="65"/>
      <c r="M122" s="65"/>
      <c r="N122" s="64" t="str">
        <f>IFERROR(__xludf.DUMMYFUNCTION("IFERROR(Textjoin("""",TRUE,FILTER(Data!$R:$R,Data!$D:$D=B122,Data!$B:$B=$A122)),"""")"),"")</f>
        <v/>
      </c>
      <c r="O122" s="64" t="str">
        <f>IFERROR(__xludf.DUMMYFUNCTION("IFERROR(Textjoin("""",TRUE,FILTER(Data!$R:$R,Data!$D:$D=C122,Data!$B:$B=$A122)),"""")"),"")</f>
        <v/>
      </c>
      <c r="P122" s="64" t="str">
        <f>IFERROR(__xludf.DUMMYFUNCTION("IFERROR(Textjoin("""",TRUE,FILTER(Data!$R:$R,Data!$D:$D=D122,Data!$B:$B=$A122)),"""")"),"")</f>
        <v/>
      </c>
      <c r="Q122" s="64" t="str">
        <f>IFERROR(__xludf.DUMMYFUNCTION("IFERROR(Textjoin("""",TRUE,FILTER(Data!$R:$R,Data!$D:$D=E122,Data!$B:$B=$A122)),"""")"),"")</f>
        <v/>
      </c>
      <c r="R122" s="64" t="str">
        <f>IFERROR(__xludf.DUMMYFUNCTION("IFERROR(Textjoin("""",TRUE,FILTER(Data!$R:$R,Data!$D:$D=F122,Data!$B:$B=$A122)),"""")"),"")</f>
        <v/>
      </c>
      <c r="S122" s="64" t="str">
        <f>IFERROR(__xludf.DUMMYFUNCTION("IFERROR(Textjoin("""",TRUE,FILTER(Data!$R:$R,Data!$D:$D=G122,Data!$B:$B=$A122)),"""")"),"")</f>
        <v/>
      </c>
      <c r="T122" s="64" t="str">
        <f>IFERROR(__xludf.DUMMYFUNCTION("IFERROR(Textjoin("""",TRUE,FILTER(Data!$R:$R,Data!$D:$D=H122,Data!$B:$B=$A122)),"""")"),"")</f>
        <v/>
      </c>
      <c r="U122" s="64" t="str">
        <f>IFERROR(__xludf.DUMMYFUNCTION("IFERROR(Textjoin("""",TRUE,FILTER(Data!$R:$R,Data!$D:$D=I122,Data!$B:$B=$A122)),"""")"),"")</f>
        <v/>
      </c>
      <c r="V122" s="64" t="str">
        <f>IFERROR(__xludf.DUMMYFUNCTION("IFERROR(Textjoin("""",TRUE,FILTER(Data!$R:$R,Data!$D:$D=J122,Data!$B:$B=$A122)),"""")"),"")</f>
        <v/>
      </c>
      <c r="W122" s="64" t="str">
        <f>IFERROR(__xludf.DUMMYFUNCTION("IFERROR(Textjoin("""",TRUE,FILTER(Data!$R:$R,Data!$D:$D=K122,Data!$B:$B=$A122)),"""")"),"")</f>
        <v/>
      </c>
      <c r="X122" s="64" t="str">
        <f>IFERROR(__xludf.DUMMYFUNCTION("IFERROR(Textjoin("""",TRUE,FILTER(Data!$R:$R,Data!$D:$D=L122,Data!$B:$B=$A122)),"""")"),"")</f>
        <v/>
      </c>
      <c r="Y122" s="64" t="str">
        <f>IFERROR(__xludf.DUMMYFUNCTION("IFERROR(Textjoin("""",TRUE,FILTER(Data!$R:$R,Data!$D:$D=M122,Data!$B:$B=$A122)),"""")"),"")</f>
        <v/>
      </c>
      <c r="Z122" s="64" t="str">
        <f>IFERROR(__xludf.DUMMYFUNCTION("IFERROR(SPLIT(N122,"",""),"""")"),"")</f>
        <v/>
      </c>
      <c r="AA122" s="65"/>
      <c r="AB122" s="65"/>
      <c r="AC122" s="69" t="str">
        <f>IFERROR(__xludf.DUMMYFUNCTION("IFERROR(SPLIT(O122,"",""),"""")"),"")</f>
        <v/>
      </c>
      <c r="AD122" s="65"/>
      <c r="AE122" s="65"/>
      <c r="AF122" s="69" t="str">
        <f>IFERROR(__xludf.DUMMYFUNCTION("IFERROR(SPLIT(P122,"",""),"""")"),"")</f>
        <v/>
      </c>
      <c r="AG122" s="65"/>
      <c r="AH122" s="65"/>
      <c r="AI122" s="69" t="str">
        <f>IFERROR(__xludf.DUMMYFUNCTION("IFERROR(SPLIT(Q122,"",""),"""")"),"")</f>
        <v/>
      </c>
      <c r="AJ122" s="65"/>
      <c r="AK122" s="65"/>
      <c r="AL122" s="69" t="str">
        <f>IFERROR(__xludf.DUMMYFUNCTION("IFERROR(SPLIT(R122,"",""),"""")"),"")</f>
        <v/>
      </c>
      <c r="AM122" s="65"/>
      <c r="AN122" s="65"/>
      <c r="AO122" s="69" t="str">
        <f>IFERROR(__xludf.DUMMYFUNCTION("IFERROR(SPLIT(S122,"",""),"""")"),"")</f>
        <v/>
      </c>
      <c r="AP122" s="65"/>
      <c r="AQ122" s="65"/>
      <c r="AR122" s="69" t="str">
        <f>IFERROR(__xludf.DUMMYFUNCTION("IFERROR(SPLIT(T122,"",""),"""")"),"")</f>
        <v/>
      </c>
      <c r="AS122" s="65"/>
      <c r="AT122" s="65"/>
      <c r="AU122" s="69" t="str">
        <f>IFERROR(__xludf.DUMMYFUNCTION("IFERROR(SPLIT(U122,"",""),"""")"),"")</f>
        <v/>
      </c>
      <c r="AV122" s="65"/>
      <c r="AW122" s="65"/>
      <c r="AX122" s="69" t="str">
        <f>IFERROR(__xludf.DUMMYFUNCTION("IFERROR(SPLIT(V122,"",""),"""")"),"")</f>
        <v/>
      </c>
      <c r="AY122" s="65"/>
      <c r="AZ122" s="65"/>
      <c r="BA122" s="69" t="str">
        <f>IFERROR(__xludf.DUMMYFUNCTION("IFERROR(SPLIT(W122,"",""),"""")"),"")</f>
        <v/>
      </c>
      <c r="BB122" s="69"/>
      <c r="BC122" s="69"/>
      <c r="BD122" s="69" t="str">
        <f>IFERROR(__xludf.DUMMYFUNCTION("IFERROR(SPLIT(X122,"",""),"""")"),"")</f>
        <v/>
      </c>
      <c r="BE122" s="69"/>
      <c r="BF122" s="69"/>
      <c r="BG122" s="69" t="str">
        <f>IFERROR(__xludf.DUMMYFUNCTION("IFERROR(SPLIT(Y122,"",""),"""")"),"")</f>
        <v/>
      </c>
      <c r="BH122" s="69"/>
      <c r="BI122" s="69"/>
      <c r="BJ122" s="68" t="str">
        <f>IFERROR(__xludf.DUMMYFUNCTION("IF($B122&lt;&gt;"""",IFERROR(FILTER(RawTotals!$AJ:$AJ,RawTotals!$A:$A=Z122)-(FILTER(Data!$K:$K,Data!$B:$B=Z122,Data!$D:$D=$B122)+FILTER(Data!$L:$L,Data!$B:$B=Z122,Data!$D:$D=$B122)),""""),"""")"),"")</f>
        <v/>
      </c>
      <c r="BK122" s="68" t="str">
        <f>IFERROR(__xludf.DUMMYFUNCTION("IF($B122&lt;&gt;"""",IFERROR(FILTER(RawTotals!$AJ:$AJ,RawTotals!$A:$A=AA122)-(FILTER(Data!$K:$K,Data!$B:$B=AA122,Data!$D:$D=$B122)+FILTER(Data!$L:$L,Data!$B:$B=AA122,Data!$D:$D=$B122)),""""),"""")"),"")</f>
        <v/>
      </c>
      <c r="BL122" s="68" t="str">
        <f>IFERROR(__xludf.DUMMYFUNCTION("IF($B122&lt;&gt;"""",IFERROR(FILTER(RawTotals!$AJ:$AJ,RawTotals!$A:$A=AB122)-(FILTER(Data!$K:$K,Data!$B:$B=AB122,Data!$D:$D=$B122)+FILTER(Data!$L:$L,Data!$B:$B=AB122,Data!$D:$D=$B122)),""""),"""")"),"")</f>
        <v/>
      </c>
      <c r="BM122" s="69" t="str">
        <f>IFERROR(__xludf.DUMMYFUNCTION("IF($C122&lt;&gt;"""",IFERROR(FILTER(RawTotals!$AJ:$AJ,RawTotals!$A:$A=AC122)-(FILTER(Data!$K:$K,Data!$B:$B=AC122,Data!$D:$D=$C122)+FILTER(Data!$L:$L,Data!$B:$B=AC122,Data!$D:$D=$C122)),""""),"""")"),"")</f>
        <v/>
      </c>
      <c r="BN122" s="69" t="str">
        <f>IFERROR(__xludf.DUMMYFUNCTION("IF($C122&lt;&gt;"""",IFERROR(FILTER(RawTotals!$AJ:$AJ,RawTotals!$A:$A=AD122)-(FILTER(Data!$K:$K,Data!$B:$B=AD122,Data!$D:$D=$C122)+FILTER(Data!$L:$L,Data!$B:$B=AD122,Data!$D:$D=$C122)),""""),"""")"),"")</f>
        <v/>
      </c>
      <c r="BO122" s="69" t="str">
        <f>IFERROR(__xludf.DUMMYFUNCTION("IF($C122&lt;&gt;"""",IFERROR(FILTER(RawTotals!$AJ:$AJ,RawTotals!$A:$A=AE122)-(FILTER(Data!$K:$K,Data!$B:$B=AE122,Data!$D:$D=$C122)+FILTER(Data!$L:$L,Data!$B:$B=AE122,Data!$D:$D=$C122)),""""),"""")"),"")</f>
        <v/>
      </c>
      <c r="BP122" s="69" t="str">
        <f>IFERROR(__xludf.DUMMYFUNCTION("IF($D122&lt;&gt;"""",IFERROR(FILTER(RawTotals!$AJ:$AJ,RawTotals!$A:$A=AF122)-(FILTER(Data!$K:$K,Data!$B:$B=AF122,Data!$D:$D=$D122)+FILTER(Data!$L:$L,Data!$B:$B=AF122,Data!$D:$D=$D122)),""""),"""")"),"")</f>
        <v/>
      </c>
      <c r="BQ122" s="69" t="str">
        <f>IFERROR(__xludf.DUMMYFUNCTION("IF($D122&lt;&gt;"""",IFERROR(FILTER(RawTotals!$AJ:$AJ,RawTotals!$A:$A=AG122)-(FILTER(Data!$K:$K,Data!$B:$B=AG122,Data!$D:$D=$D122)+FILTER(Data!$L:$L,Data!$B:$B=AG122,Data!$D:$D=$D122)),""""),"""")"),"")</f>
        <v/>
      </c>
      <c r="BR122" s="69" t="str">
        <f>IFERROR(__xludf.DUMMYFUNCTION("IF($D122&lt;&gt;"""",IFERROR(FILTER(RawTotals!$AJ:$AJ,RawTotals!$A:$A=AH122)-(FILTER(Data!$K:$K,Data!$B:$B=AH122,Data!$D:$D=$D122)+FILTER(Data!$L:$L,Data!$B:$B=AH122,Data!$D:$D=$D122)),""""),"""")"),"")</f>
        <v/>
      </c>
      <c r="BS122" s="69" t="str">
        <f>IFERROR(__xludf.DUMMYFUNCTION("IF($E122&lt;&gt;"""",IFERROR(FILTER(RawTotals!$AJ:$AJ,RawTotals!$A:$A=AI122)-(FILTER(Data!$K:$K,Data!$B:$B=AI122,Data!$D:$D=$E122)+FILTER(Data!$L:$L,Data!$B:$B=AI122,Data!$D:$D=$E122)),""""),"""")"),"")</f>
        <v/>
      </c>
      <c r="BT122" s="69" t="str">
        <f>IFERROR(__xludf.DUMMYFUNCTION("IF($E122&lt;&gt;"""",IFERROR(FILTER(RawTotals!$AJ:$AJ,RawTotals!$A:$A=AJ122)-(FILTER(Data!$K:$K,Data!$B:$B=AJ122,Data!$D:$D=$E122)+FILTER(Data!$L:$L,Data!$B:$B=AJ122,Data!$D:$D=$E122)),""""),"""")"),"")</f>
        <v/>
      </c>
      <c r="BU122" s="69" t="str">
        <f>IFERROR(__xludf.DUMMYFUNCTION("IF($E122&lt;&gt;"""",IFERROR(FILTER(RawTotals!$AJ:$AJ,RawTotals!$A:$A=AK122)-(FILTER(Data!$K:$K,Data!$B:$B=AK122,Data!$D:$D=$E122)+FILTER(Data!$L:$L,Data!$B:$B=AK122,Data!$D:$D=$E122)),""""),"""")"),"")</f>
        <v/>
      </c>
      <c r="BV122" s="69" t="str">
        <f>IFERROR(__xludf.DUMMYFUNCTION("IF($F122&lt;&gt;"""",IFERROR(FILTER(RawTotals!$AJ:$AJ,RawTotals!$A:$A=AL122)-(FILTER(Data!$K:$K,Data!$B:$B=AL122,Data!$D:$D=$F122)+FILTER(Data!$L:$L,Data!$B:$B=AL122,Data!$D:$D=$F122)),""""),"""")"),"")</f>
        <v/>
      </c>
      <c r="BW122" s="69" t="str">
        <f>IFERROR(__xludf.DUMMYFUNCTION("IF($F122&lt;&gt;"""",IFERROR(FILTER(RawTotals!$AJ:$AJ,RawTotals!$A:$A=AM122)-(FILTER(Data!$K:$K,Data!$B:$B=AM122,Data!$D:$D=$F122)+FILTER(Data!$L:$L,Data!$B:$B=AM122,Data!$D:$D=$F122)),""""),"""")"),"")</f>
        <v/>
      </c>
      <c r="BX122" s="69" t="str">
        <f>IFERROR(__xludf.DUMMYFUNCTION("IF($F122&lt;&gt;"""",IFERROR(FILTER(RawTotals!$AJ:$AJ,RawTotals!$A:$A=AN122)-(FILTER(Data!$K:$K,Data!$B:$B=AN122,Data!$D:$D=$F122)+FILTER(Data!$L:$L,Data!$B:$B=AN122,Data!$D:$D=$F122)),""""),"""")"),"")</f>
        <v/>
      </c>
      <c r="BY122" s="69" t="str">
        <f>IFERROR(__xludf.DUMMYFUNCTION("IF($G122&lt;&gt;"""",IFERROR(FILTER(RawTotals!$AJ:$AJ,RawTotals!$A:$A=AO122)-(FILTER(Data!$K:$K,Data!$B:$B=AO122,Data!$D:$D=$G122)+FILTER(Data!$L:$L,Data!$B:$B=AO122,Data!$D:$D=$G122)),""""),"""")"),"")</f>
        <v/>
      </c>
      <c r="BZ122" s="69" t="str">
        <f>IFERROR(__xludf.DUMMYFUNCTION("IF($G122&lt;&gt;"""",IFERROR(FILTER(RawTotals!$AJ:$AJ,RawTotals!$A:$A=AP122)-(FILTER(Data!$K:$K,Data!$B:$B=AP122,Data!$D:$D=$G122)+FILTER(Data!$L:$L,Data!$B:$B=AP122,Data!$D:$D=$G122)),""""),"""")"),"")</f>
        <v/>
      </c>
      <c r="CA122" s="69" t="str">
        <f>IFERROR(__xludf.DUMMYFUNCTION("IF($G122&lt;&gt;"""",IFERROR(FILTER(RawTotals!$AJ:$AJ,RawTotals!$A:$A=AQ122)-(FILTER(Data!$K:$K,Data!$B:$B=AQ122,Data!$D:$D=$G122)+FILTER(Data!$L:$L,Data!$B:$B=AQ122,Data!$D:$D=$G122)),""""),"""")"),"")</f>
        <v/>
      </c>
      <c r="CB122" s="69" t="str">
        <f>IFERROR(__xludf.DUMMYFUNCTION("IF($H122&lt;&gt;"""",IFERROR(FILTER(RawTotals!$AJ:$AJ,RawTotals!$A:$A=AR122)-(FILTER(Data!$K:$K,Data!$B:$B=AR122,Data!$D:$D=$H122)+FILTER(Data!$L:$L,Data!$B:$B=AR122,Data!$D:$D=$H122)),""""),"""")"),"")</f>
        <v/>
      </c>
      <c r="CC122" s="69" t="str">
        <f>IFERROR(__xludf.DUMMYFUNCTION("IF($H122&lt;&gt;"""",IFERROR(FILTER(RawTotals!$AJ:$AJ,RawTotals!$A:$A=AS122)-(FILTER(Data!$K:$K,Data!$B:$B=AS122,Data!$D:$D=$H122)+FILTER(Data!$L:$L,Data!$B:$B=AS122,Data!$D:$D=$H122)),""""),"""")"),"")</f>
        <v/>
      </c>
      <c r="CD122" s="69" t="str">
        <f>IFERROR(__xludf.DUMMYFUNCTION("IF($H122&lt;&gt;"""",IFERROR(FILTER(RawTotals!$AJ:$AJ,RawTotals!$A:$A=AT122)-(FILTER(Data!$K:$K,Data!$B:$B=AT122,Data!$D:$D=$H122)+FILTER(Data!$L:$L,Data!$B:$B=AT122,Data!$D:$D=$H122)),""""),"""")"),"")</f>
        <v/>
      </c>
      <c r="CE122" s="69" t="str">
        <f>IFERROR(__xludf.DUMMYFUNCTION("IF($I122&lt;&gt;"""",IFERROR(FILTER(RawTotals!$AJ:$AJ,RawTotals!$A:$A=AU122)-(FILTER(Data!$K:$K,Data!$B:$B=AU122,Data!$D:$D=$I122)+FILTER(Data!$L:$L,Data!$B:$B=AU122,Data!$D:$D=$I122)),""""),"""")"),"")</f>
        <v/>
      </c>
      <c r="CF122" s="69" t="str">
        <f>IFERROR(__xludf.DUMMYFUNCTION("IF($I122&lt;&gt;"""",IFERROR(FILTER(RawTotals!$AJ:$AJ,RawTotals!$A:$A=AV122)-(FILTER(Data!$K:$K,Data!$B:$B=AV122,Data!$D:$D=$I122)+FILTER(Data!$L:$L,Data!$B:$B=AV122,Data!$D:$D=$I122)),""""),"""")"),"")</f>
        <v/>
      </c>
      <c r="CG122" s="69" t="str">
        <f>IFERROR(__xludf.DUMMYFUNCTION("IF($I122&lt;&gt;"""",IFERROR(FILTER(RawTotals!$AJ:$AJ,RawTotals!$A:$A=AW122)-(FILTER(Data!$K:$K,Data!$B:$B=AW122,Data!$D:$D=$I122)+FILTER(Data!$L:$L,Data!$B:$B=AW122,Data!$D:$D=$I122)),""""),"""")"),"")</f>
        <v/>
      </c>
      <c r="CH122" s="69" t="str">
        <f>IFERROR(__xludf.DUMMYFUNCTION("IF($J122&lt;&gt;"""",IFERROR(FILTER(RawTotals!$AJ:$AJ,RawTotals!$A:$A=AX122)-(FILTER(Data!$K:$K,Data!$B:$B=AX122,Data!$D:$D=$J122)+FILTER(Data!$L:$L,Data!$B:$B=AX122,Data!$D:$D=$J122)),""""),"""")"),"")</f>
        <v/>
      </c>
      <c r="CI122" s="69" t="str">
        <f>IFERROR(__xludf.DUMMYFUNCTION("IF($J122&lt;&gt;"""",IFERROR(FILTER(RawTotals!$AJ:$AJ,RawTotals!$A:$A=AY122)-(FILTER(Data!$K:$K,Data!$B:$B=AY122,Data!$D:$D=$J122)+FILTER(Data!$L:$L,Data!$B:$B=AY122,Data!$D:$D=$J122)),""""),"""")"),"")</f>
        <v/>
      </c>
      <c r="CJ122" s="69" t="str">
        <f>IFERROR(__xludf.DUMMYFUNCTION("IF($J122&lt;&gt;"""",IFERROR(FILTER(RawTotals!$AJ:$AJ,RawTotals!$A:$A=AZ122)-(FILTER(Data!$K:$K,Data!$B:$B=AZ122,Data!$D:$D=$J122)+FILTER(Data!$L:$L,Data!$B:$B=AZ122,Data!$D:$D=$J122)),""""),"""")"),"")</f>
        <v/>
      </c>
      <c r="CK122" s="69" t="str">
        <f>IFERROR(__xludf.DUMMYFUNCTION("IF($K122&lt;&gt;"""",IFERROR(FILTER(RawTotals!$AJ:$AJ,RawTotals!$A:$A=BA122)-(FILTER(Data!$K:$K,Data!$B:$B=BA122,Data!$D:$D=$K122)+FILTER(Data!$L:$L,Data!$B:$B=BA122,Data!$D:$D=$K122)),""""),"""")"),"")</f>
        <v/>
      </c>
      <c r="CL122" s="69" t="str">
        <f>IFERROR(__xludf.DUMMYFUNCTION("IF($K122&lt;&gt;"""",IFERROR(FILTER(RawTotals!$AJ:$AJ,RawTotals!$A:$A=BB122)-(FILTER(Data!$K:$K,Data!$B:$B=BB122,Data!$D:$D=$K122)+FILTER(Data!$L:$L,Data!$B:$B=BB122,Data!$D:$D=$K122)),""""),"""")"),"")</f>
        <v/>
      </c>
      <c r="CM122" s="69" t="str">
        <f>IFERROR(__xludf.DUMMYFUNCTION("IF($K122&lt;&gt;"""",IFERROR(FILTER(RawTotals!$AJ:$AJ,RawTotals!$A:$A=BC122)-(FILTER(Data!$K:$K,Data!$B:$B=BC122,Data!$D:$D=$K122)+FILTER(Data!$L:$L,Data!$B:$B=BC122,Data!$D:$D=$K122)),""""),"""")"),"")</f>
        <v/>
      </c>
      <c r="CN122" s="69" t="str">
        <f>IFERROR(__xludf.DUMMYFUNCTION("IF($L122&lt;&gt;"""",IFERROR((FILTER(RawTotals!$AJ:$AJ,RawTotals!$A:$A=BD122)-(FILTER(Data!$K:$K,Data!$B:$B=BD122,Data!$D:$D=$L122)+FILTER(Data!$L:$L,Data!$B:$B=BD122,Data!$D:$D=$L122))),""""),"""")"),"")</f>
        <v/>
      </c>
      <c r="CO122" s="69" t="str">
        <f>IFERROR(__xludf.DUMMYFUNCTION("IF($L122&lt;&gt;"""",IFERROR((FILTER(RawTotals!$AJ:$AJ,RawTotals!$A:$A=BE122)-(FILTER(Data!$K:$K,Data!$B:$B=BE122,Data!$D:$D=$L122)+FILTER(Data!$L:$L,Data!$B:$B=BE122,Data!$D:$D=$L122))),""""),"""")"),"")</f>
        <v/>
      </c>
      <c r="CP122" s="69" t="str">
        <f>IFERROR(__xludf.DUMMYFUNCTION("IF($L122&lt;&gt;"""",IFERROR((FILTER(RawTotals!$AJ:$AJ,RawTotals!$A:$A=BF122)-(FILTER(Data!$K:$K,Data!$B:$B=BF122,Data!$D:$D=$L122)+FILTER(Data!$L:$L,Data!$B:$B=BF122,Data!$D:$D=$L122))),""""),"""")"),"")</f>
        <v/>
      </c>
      <c r="CQ122" s="69" t="str">
        <f>IFERROR(__xludf.DUMMYFUNCTION("IF($M122&lt;&gt;"""",IFERROR((FILTER(RawTotals!$AJ:$AJ,RawTotals!$A:$A=BG122)-(FILTER(Data!$K:$K,Data!$B:$B=BG122,Data!$D:$D=$M122)+FILTER(Data!$L:$L,Data!$B:$B=BG122,Data!$D:$D=$M122))),""""),"""")"),"")</f>
        <v/>
      </c>
      <c r="CR122" s="69" t="str">
        <f>IFERROR(__xludf.DUMMYFUNCTION("IF($M122&lt;&gt;"""",IFERROR((FILTER(RawTotals!$AJ:$AJ,RawTotals!$A:$A=BH122)-(FILTER(Data!$K:$K,Data!$B:$B=BH122,Data!$D:$D=$M122)+FILTER(Data!$L:$L,Data!$B:$B=BH122,Data!$D:$D=$M122))),""""),"""")"),"")</f>
        <v/>
      </c>
      <c r="CS122" s="70" t="str">
        <f>IFERROR(__xludf.DUMMYFUNCTION("IF($M122&lt;&gt;"""",IFERROR((FILTER(RawTotals!$AJ:$AJ,RawTotals!$A:$A=BI122)-(FILTER(Data!$K:$K,Data!$B:$B=BI122,Data!$D:$D=$M122)+FILTER(Data!$L:$L,Data!$B:$B=BI122,Data!$D:$D=$M122))),""""),"""")"),"")</f>
        <v/>
      </c>
      <c r="CT122" s="69"/>
      <c r="CU122" s="69"/>
      <c r="CV122" s="69"/>
      <c r="CW122" s="69"/>
      <c r="CX122" s="69"/>
      <c r="CY122" s="69"/>
      <c r="CZ122" s="69"/>
      <c r="DA122" s="69"/>
      <c r="DB122" s="69"/>
      <c r="DC122" s="69"/>
      <c r="DD122" s="69"/>
      <c r="DE122" s="69"/>
    </row>
    <row r="123">
      <c r="A123" s="65" t="str">
        <f>RawTotals!A123</f>
        <v/>
      </c>
      <c r="B123" s="68" t="str">
        <f>IFERROR(__xludf.DUMMYFUNCTION("IF(A123&lt;&gt;"""",IFERROR(TRANSPOSE(FILTER(Data!D:D,Data!B:B=A123,Data!R:R&lt;&gt;"""")),""No Defense""),"""")"),"")</f>
        <v/>
      </c>
      <c r="C123" s="65"/>
      <c r="D123" s="65"/>
      <c r="E123" s="65"/>
      <c r="F123" s="65"/>
      <c r="G123" s="65"/>
      <c r="H123" s="65"/>
      <c r="I123" s="65"/>
      <c r="J123" s="65"/>
      <c r="K123" s="65"/>
      <c r="L123" s="65"/>
      <c r="M123" s="65"/>
      <c r="N123" s="64" t="str">
        <f>IFERROR(__xludf.DUMMYFUNCTION("IFERROR(Textjoin("""",TRUE,FILTER(Data!$R:$R,Data!$D:$D=B123,Data!$B:$B=$A123)),"""")"),"")</f>
        <v/>
      </c>
      <c r="O123" s="64" t="str">
        <f>IFERROR(__xludf.DUMMYFUNCTION("IFERROR(Textjoin("""",TRUE,FILTER(Data!$R:$R,Data!$D:$D=C123,Data!$B:$B=$A123)),"""")"),"")</f>
        <v/>
      </c>
      <c r="P123" s="64" t="str">
        <f>IFERROR(__xludf.DUMMYFUNCTION("IFERROR(Textjoin("""",TRUE,FILTER(Data!$R:$R,Data!$D:$D=D123,Data!$B:$B=$A123)),"""")"),"")</f>
        <v/>
      </c>
      <c r="Q123" s="64" t="str">
        <f>IFERROR(__xludf.DUMMYFUNCTION("IFERROR(Textjoin("""",TRUE,FILTER(Data!$R:$R,Data!$D:$D=E123,Data!$B:$B=$A123)),"""")"),"")</f>
        <v/>
      </c>
      <c r="R123" s="64" t="str">
        <f>IFERROR(__xludf.DUMMYFUNCTION("IFERROR(Textjoin("""",TRUE,FILTER(Data!$R:$R,Data!$D:$D=F123,Data!$B:$B=$A123)),"""")"),"")</f>
        <v/>
      </c>
      <c r="S123" s="64" t="str">
        <f>IFERROR(__xludf.DUMMYFUNCTION("IFERROR(Textjoin("""",TRUE,FILTER(Data!$R:$R,Data!$D:$D=G123,Data!$B:$B=$A123)),"""")"),"")</f>
        <v/>
      </c>
      <c r="T123" s="64" t="str">
        <f>IFERROR(__xludf.DUMMYFUNCTION("IFERROR(Textjoin("""",TRUE,FILTER(Data!$R:$R,Data!$D:$D=H123,Data!$B:$B=$A123)),"""")"),"")</f>
        <v/>
      </c>
      <c r="U123" s="64" t="str">
        <f>IFERROR(__xludf.DUMMYFUNCTION("IFERROR(Textjoin("""",TRUE,FILTER(Data!$R:$R,Data!$D:$D=I123,Data!$B:$B=$A123)),"""")"),"")</f>
        <v/>
      </c>
      <c r="V123" s="64" t="str">
        <f>IFERROR(__xludf.DUMMYFUNCTION("IFERROR(Textjoin("""",TRUE,FILTER(Data!$R:$R,Data!$D:$D=J123,Data!$B:$B=$A123)),"""")"),"")</f>
        <v/>
      </c>
      <c r="W123" s="64" t="str">
        <f>IFERROR(__xludf.DUMMYFUNCTION("IFERROR(Textjoin("""",TRUE,FILTER(Data!$R:$R,Data!$D:$D=K123,Data!$B:$B=$A123)),"""")"),"")</f>
        <v/>
      </c>
      <c r="X123" s="64" t="str">
        <f>IFERROR(__xludf.DUMMYFUNCTION("IFERROR(Textjoin("""",TRUE,FILTER(Data!$R:$R,Data!$D:$D=L123,Data!$B:$B=$A123)),"""")"),"")</f>
        <v/>
      </c>
      <c r="Y123" s="64" t="str">
        <f>IFERROR(__xludf.DUMMYFUNCTION("IFERROR(Textjoin("""",TRUE,FILTER(Data!$R:$R,Data!$D:$D=M123,Data!$B:$B=$A123)),"""")"),"")</f>
        <v/>
      </c>
      <c r="Z123" s="64" t="str">
        <f>IFERROR(__xludf.DUMMYFUNCTION("IFERROR(SPLIT(N123,"",""),"""")"),"")</f>
        <v/>
      </c>
      <c r="AA123" s="65"/>
      <c r="AB123" s="65"/>
      <c r="AC123" s="69" t="str">
        <f>IFERROR(__xludf.DUMMYFUNCTION("IFERROR(SPLIT(O123,"",""),"""")"),"")</f>
        <v/>
      </c>
      <c r="AD123" s="65"/>
      <c r="AE123" s="65"/>
      <c r="AF123" s="69" t="str">
        <f>IFERROR(__xludf.DUMMYFUNCTION("IFERROR(SPLIT(P123,"",""),"""")"),"")</f>
        <v/>
      </c>
      <c r="AG123" s="65"/>
      <c r="AH123" s="65"/>
      <c r="AI123" s="69" t="str">
        <f>IFERROR(__xludf.DUMMYFUNCTION("IFERROR(SPLIT(Q123,"",""),"""")"),"")</f>
        <v/>
      </c>
      <c r="AJ123" s="65"/>
      <c r="AK123" s="65"/>
      <c r="AL123" s="69" t="str">
        <f>IFERROR(__xludf.DUMMYFUNCTION("IFERROR(SPLIT(R123,"",""),"""")"),"")</f>
        <v/>
      </c>
      <c r="AM123" s="65"/>
      <c r="AN123" s="65"/>
      <c r="AO123" s="69" t="str">
        <f>IFERROR(__xludf.DUMMYFUNCTION("IFERROR(SPLIT(S123,"",""),"""")"),"")</f>
        <v/>
      </c>
      <c r="AP123" s="65"/>
      <c r="AQ123" s="65"/>
      <c r="AR123" s="69" t="str">
        <f>IFERROR(__xludf.DUMMYFUNCTION("IFERROR(SPLIT(T123,"",""),"""")"),"")</f>
        <v/>
      </c>
      <c r="AS123" s="65"/>
      <c r="AT123" s="65"/>
      <c r="AU123" s="69" t="str">
        <f>IFERROR(__xludf.DUMMYFUNCTION("IFERROR(SPLIT(U123,"",""),"""")"),"")</f>
        <v/>
      </c>
      <c r="AV123" s="65"/>
      <c r="AW123" s="65"/>
      <c r="AX123" s="69" t="str">
        <f>IFERROR(__xludf.DUMMYFUNCTION("IFERROR(SPLIT(V123,"",""),"""")"),"")</f>
        <v/>
      </c>
      <c r="AY123" s="65"/>
      <c r="AZ123" s="65"/>
      <c r="BA123" s="69" t="str">
        <f>IFERROR(__xludf.DUMMYFUNCTION("IFERROR(SPLIT(W123,"",""),"""")"),"")</f>
        <v/>
      </c>
      <c r="BB123" s="69"/>
      <c r="BC123" s="69"/>
      <c r="BD123" s="69" t="str">
        <f>IFERROR(__xludf.DUMMYFUNCTION("IFERROR(SPLIT(X123,"",""),"""")"),"")</f>
        <v/>
      </c>
      <c r="BE123" s="69"/>
      <c r="BF123" s="69"/>
      <c r="BG123" s="69" t="str">
        <f>IFERROR(__xludf.DUMMYFUNCTION("IFERROR(SPLIT(Y123,"",""),"""")"),"")</f>
        <v/>
      </c>
      <c r="BH123" s="69"/>
      <c r="BI123" s="69"/>
      <c r="BJ123" s="68" t="str">
        <f>IFERROR(__xludf.DUMMYFUNCTION("IF($B123&lt;&gt;"""",IFERROR(FILTER(RawTotals!$AJ:$AJ,RawTotals!$A:$A=Z123)-(FILTER(Data!$K:$K,Data!$B:$B=Z123,Data!$D:$D=$B123)+FILTER(Data!$L:$L,Data!$B:$B=Z123,Data!$D:$D=$B123)),""""),"""")"),"")</f>
        <v/>
      </c>
      <c r="BK123" s="68" t="str">
        <f>IFERROR(__xludf.DUMMYFUNCTION("IF($B123&lt;&gt;"""",IFERROR(FILTER(RawTotals!$AJ:$AJ,RawTotals!$A:$A=AA123)-(FILTER(Data!$K:$K,Data!$B:$B=AA123,Data!$D:$D=$B123)+FILTER(Data!$L:$L,Data!$B:$B=AA123,Data!$D:$D=$B123)),""""),"""")"),"")</f>
        <v/>
      </c>
      <c r="BL123" s="68" t="str">
        <f>IFERROR(__xludf.DUMMYFUNCTION("IF($B123&lt;&gt;"""",IFERROR(FILTER(RawTotals!$AJ:$AJ,RawTotals!$A:$A=AB123)-(FILTER(Data!$K:$K,Data!$B:$B=AB123,Data!$D:$D=$B123)+FILTER(Data!$L:$L,Data!$B:$B=AB123,Data!$D:$D=$B123)),""""),"""")"),"")</f>
        <v/>
      </c>
      <c r="BM123" s="69" t="str">
        <f>IFERROR(__xludf.DUMMYFUNCTION("IF($C123&lt;&gt;"""",IFERROR(FILTER(RawTotals!$AJ:$AJ,RawTotals!$A:$A=AC123)-(FILTER(Data!$K:$K,Data!$B:$B=AC123,Data!$D:$D=$C123)+FILTER(Data!$L:$L,Data!$B:$B=AC123,Data!$D:$D=$C123)),""""),"""")"),"")</f>
        <v/>
      </c>
      <c r="BN123" s="69" t="str">
        <f>IFERROR(__xludf.DUMMYFUNCTION("IF($C123&lt;&gt;"""",IFERROR(FILTER(RawTotals!$AJ:$AJ,RawTotals!$A:$A=AD123)-(FILTER(Data!$K:$K,Data!$B:$B=AD123,Data!$D:$D=$C123)+FILTER(Data!$L:$L,Data!$B:$B=AD123,Data!$D:$D=$C123)),""""),"""")"),"")</f>
        <v/>
      </c>
      <c r="BO123" s="69" t="str">
        <f>IFERROR(__xludf.DUMMYFUNCTION("IF($C123&lt;&gt;"""",IFERROR(FILTER(RawTotals!$AJ:$AJ,RawTotals!$A:$A=AE123)-(FILTER(Data!$K:$K,Data!$B:$B=AE123,Data!$D:$D=$C123)+FILTER(Data!$L:$L,Data!$B:$B=AE123,Data!$D:$D=$C123)),""""),"""")"),"")</f>
        <v/>
      </c>
      <c r="BP123" s="69" t="str">
        <f>IFERROR(__xludf.DUMMYFUNCTION("IF($D123&lt;&gt;"""",IFERROR(FILTER(RawTotals!$AJ:$AJ,RawTotals!$A:$A=AF123)-(FILTER(Data!$K:$K,Data!$B:$B=AF123,Data!$D:$D=$D123)+FILTER(Data!$L:$L,Data!$B:$B=AF123,Data!$D:$D=$D123)),""""),"""")"),"")</f>
        <v/>
      </c>
      <c r="BQ123" s="69" t="str">
        <f>IFERROR(__xludf.DUMMYFUNCTION("IF($D123&lt;&gt;"""",IFERROR(FILTER(RawTotals!$AJ:$AJ,RawTotals!$A:$A=AG123)-(FILTER(Data!$K:$K,Data!$B:$B=AG123,Data!$D:$D=$D123)+FILTER(Data!$L:$L,Data!$B:$B=AG123,Data!$D:$D=$D123)),""""),"""")"),"")</f>
        <v/>
      </c>
      <c r="BR123" s="69" t="str">
        <f>IFERROR(__xludf.DUMMYFUNCTION("IF($D123&lt;&gt;"""",IFERROR(FILTER(RawTotals!$AJ:$AJ,RawTotals!$A:$A=AH123)-(FILTER(Data!$K:$K,Data!$B:$B=AH123,Data!$D:$D=$D123)+FILTER(Data!$L:$L,Data!$B:$B=AH123,Data!$D:$D=$D123)),""""),"""")"),"")</f>
        <v/>
      </c>
      <c r="BS123" s="69" t="str">
        <f>IFERROR(__xludf.DUMMYFUNCTION("IF($E123&lt;&gt;"""",IFERROR(FILTER(RawTotals!$AJ:$AJ,RawTotals!$A:$A=AI123)-(FILTER(Data!$K:$K,Data!$B:$B=AI123,Data!$D:$D=$E123)+FILTER(Data!$L:$L,Data!$B:$B=AI123,Data!$D:$D=$E123)),""""),"""")"),"")</f>
        <v/>
      </c>
      <c r="BT123" s="69" t="str">
        <f>IFERROR(__xludf.DUMMYFUNCTION("IF($E123&lt;&gt;"""",IFERROR(FILTER(RawTotals!$AJ:$AJ,RawTotals!$A:$A=AJ123)-(FILTER(Data!$K:$K,Data!$B:$B=AJ123,Data!$D:$D=$E123)+FILTER(Data!$L:$L,Data!$B:$B=AJ123,Data!$D:$D=$E123)),""""),"""")"),"")</f>
        <v/>
      </c>
      <c r="BU123" s="69" t="str">
        <f>IFERROR(__xludf.DUMMYFUNCTION("IF($E123&lt;&gt;"""",IFERROR(FILTER(RawTotals!$AJ:$AJ,RawTotals!$A:$A=AK123)-(FILTER(Data!$K:$K,Data!$B:$B=AK123,Data!$D:$D=$E123)+FILTER(Data!$L:$L,Data!$B:$B=AK123,Data!$D:$D=$E123)),""""),"""")"),"")</f>
        <v/>
      </c>
      <c r="BV123" s="69" t="str">
        <f>IFERROR(__xludf.DUMMYFUNCTION("IF($F123&lt;&gt;"""",IFERROR(FILTER(RawTotals!$AJ:$AJ,RawTotals!$A:$A=AL123)-(FILTER(Data!$K:$K,Data!$B:$B=AL123,Data!$D:$D=$F123)+FILTER(Data!$L:$L,Data!$B:$B=AL123,Data!$D:$D=$F123)),""""),"""")"),"")</f>
        <v/>
      </c>
      <c r="BW123" s="69" t="str">
        <f>IFERROR(__xludf.DUMMYFUNCTION("IF($F123&lt;&gt;"""",IFERROR(FILTER(RawTotals!$AJ:$AJ,RawTotals!$A:$A=AM123)-(FILTER(Data!$K:$K,Data!$B:$B=AM123,Data!$D:$D=$F123)+FILTER(Data!$L:$L,Data!$B:$B=AM123,Data!$D:$D=$F123)),""""),"""")"),"")</f>
        <v/>
      </c>
      <c r="BX123" s="69" t="str">
        <f>IFERROR(__xludf.DUMMYFUNCTION("IF($F123&lt;&gt;"""",IFERROR(FILTER(RawTotals!$AJ:$AJ,RawTotals!$A:$A=AN123)-(FILTER(Data!$K:$K,Data!$B:$B=AN123,Data!$D:$D=$F123)+FILTER(Data!$L:$L,Data!$B:$B=AN123,Data!$D:$D=$F123)),""""),"""")"),"")</f>
        <v/>
      </c>
      <c r="BY123" s="69" t="str">
        <f>IFERROR(__xludf.DUMMYFUNCTION("IF($G123&lt;&gt;"""",IFERROR(FILTER(RawTotals!$AJ:$AJ,RawTotals!$A:$A=AO123)-(FILTER(Data!$K:$K,Data!$B:$B=AO123,Data!$D:$D=$G123)+FILTER(Data!$L:$L,Data!$B:$B=AO123,Data!$D:$D=$G123)),""""),"""")"),"")</f>
        <v/>
      </c>
      <c r="BZ123" s="69" t="str">
        <f>IFERROR(__xludf.DUMMYFUNCTION("IF($G123&lt;&gt;"""",IFERROR(FILTER(RawTotals!$AJ:$AJ,RawTotals!$A:$A=AP123)-(FILTER(Data!$K:$K,Data!$B:$B=AP123,Data!$D:$D=$G123)+FILTER(Data!$L:$L,Data!$B:$B=AP123,Data!$D:$D=$G123)),""""),"""")"),"")</f>
        <v/>
      </c>
      <c r="CA123" s="69" t="str">
        <f>IFERROR(__xludf.DUMMYFUNCTION("IF($G123&lt;&gt;"""",IFERROR(FILTER(RawTotals!$AJ:$AJ,RawTotals!$A:$A=AQ123)-(FILTER(Data!$K:$K,Data!$B:$B=AQ123,Data!$D:$D=$G123)+FILTER(Data!$L:$L,Data!$B:$B=AQ123,Data!$D:$D=$G123)),""""),"""")"),"")</f>
        <v/>
      </c>
      <c r="CB123" s="69" t="str">
        <f>IFERROR(__xludf.DUMMYFUNCTION("IF($H123&lt;&gt;"""",IFERROR(FILTER(RawTotals!$AJ:$AJ,RawTotals!$A:$A=AR123)-(FILTER(Data!$K:$K,Data!$B:$B=AR123,Data!$D:$D=$H123)+FILTER(Data!$L:$L,Data!$B:$B=AR123,Data!$D:$D=$H123)),""""),"""")"),"")</f>
        <v/>
      </c>
      <c r="CC123" s="69" t="str">
        <f>IFERROR(__xludf.DUMMYFUNCTION("IF($H123&lt;&gt;"""",IFERROR(FILTER(RawTotals!$AJ:$AJ,RawTotals!$A:$A=AS123)-(FILTER(Data!$K:$K,Data!$B:$B=AS123,Data!$D:$D=$H123)+FILTER(Data!$L:$L,Data!$B:$B=AS123,Data!$D:$D=$H123)),""""),"""")"),"")</f>
        <v/>
      </c>
      <c r="CD123" s="69" t="str">
        <f>IFERROR(__xludf.DUMMYFUNCTION("IF($H123&lt;&gt;"""",IFERROR(FILTER(RawTotals!$AJ:$AJ,RawTotals!$A:$A=AT123)-(FILTER(Data!$K:$K,Data!$B:$B=AT123,Data!$D:$D=$H123)+FILTER(Data!$L:$L,Data!$B:$B=AT123,Data!$D:$D=$H123)),""""),"""")"),"")</f>
        <v/>
      </c>
      <c r="CE123" s="69" t="str">
        <f>IFERROR(__xludf.DUMMYFUNCTION("IF($I123&lt;&gt;"""",IFERROR(FILTER(RawTotals!$AJ:$AJ,RawTotals!$A:$A=AU123)-(FILTER(Data!$K:$K,Data!$B:$B=AU123,Data!$D:$D=$I123)+FILTER(Data!$L:$L,Data!$B:$B=AU123,Data!$D:$D=$I123)),""""),"""")"),"")</f>
        <v/>
      </c>
      <c r="CF123" s="69" t="str">
        <f>IFERROR(__xludf.DUMMYFUNCTION("IF($I123&lt;&gt;"""",IFERROR(FILTER(RawTotals!$AJ:$AJ,RawTotals!$A:$A=AV123)-(FILTER(Data!$K:$K,Data!$B:$B=AV123,Data!$D:$D=$I123)+FILTER(Data!$L:$L,Data!$B:$B=AV123,Data!$D:$D=$I123)),""""),"""")"),"")</f>
        <v/>
      </c>
      <c r="CG123" s="69" t="str">
        <f>IFERROR(__xludf.DUMMYFUNCTION("IF($I123&lt;&gt;"""",IFERROR(FILTER(RawTotals!$AJ:$AJ,RawTotals!$A:$A=AW123)-(FILTER(Data!$K:$K,Data!$B:$B=AW123,Data!$D:$D=$I123)+FILTER(Data!$L:$L,Data!$B:$B=AW123,Data!$D:$D=$I123)),""""),"""")"),"")</f>
        <v/>
      </c>
      <c r="CH123" s="69" t="str">
        <f>IFERROR(__xludf.DUMMYFUNCTION("IF($J123&lt;&gt;"""",IFERROR(FILTER(RawTotals!$AJ:$AJ,RawTotals!$A:$A=AX123)-(FILTER(Data!$K:$K,Data!$B:$B=AX123,Data!$D:$D=$J123)+FILTER(Data!$L:$L,Data!$B:$B=AX123,Data!$D:$D=$J123)),""""),"""")"),"")</f>
        <v/>
      </c>
      <c r="CI123" s="69" t="str">
        <f>IFERROR(__xludf.DUMMYFUNCTION("IF($J123&lt;&gt;"""",IFERROR(FILTER(RawTotals!$AJ:$AJ,RawTotals!$A:$A=AY123)-(FILTER(Data!$K:$K,Data!$B:$B=AY123,Data!$D:$D=$J123)+FILTER(Data!$L:$L,Data!$B:$B=AY123,Data!$D:$D=$J123)),""""),"""")"),"")</f>
        <v/>
      </c>
      <c r="CJ123" s="69" t="str">
        <f>IFERROR(__xludf.DUMMYFUNCTION("IF($J123&lt;&gt;"""",IFERROR(FILTER(RawTotals!$AJ:$AJ,RawTotals!$A:$A=AZ123)-(FILTER(Data!$K:$K,Data!$B:$B=AZ123,Data!$D:$D=$J123)+FILTER(Data!$L:$L,Data!$B:$B=AZ123,Data!$D:$D=$J123)),""""),"""")"),"")</f>
        <v/>
      </c>
      <c r="CK123" s="69" t="str">
        <f>IFERROR(__xludf.DUMMYFUNCTION("IF($K123&lt;&gt;"""",IFERROR(FILTER(RawTotals!$AJ:$AJ,RawTotals!$A:$A=BA123)-(FILTER(Data!$K:$K,Data!$B:$B=BA123,Data!$D:$D=$K123)+FILTER(Data!$L:$L,Data!$B:$B=BA123,Data!$D:$D=$K123)),""""),"""")"),"")</f>
        <v/>
      </c>
      <c r="CL123" s="69" t="str">
        <f>IFERROR(__xludf.DUMMYFUNCTION("IF($K123&lt;&gt;"""",IFERROR(FILTER(RawTotals!$AJ:$AJ,RawTotals!$A:$A=BB123)-(FILTER(Data!$K:$K,Data!$B:$B=BB123,Data!$D:$D=$K123)+FILTER(Data!$L:$L,Data!$B:$B=BB123,Data!$D:$D=$K123)),""""),"""")"),"")</f>
        <v/>
      </c>
      <c r="CM123" s="69" t="str">
        <f>IFERROR(__xludf.DUMMYFUNCTION("IF($K123&lt;&gt;"""",IFERROR(FILTER(RawTotals!$AJ:$AJ,RawTotals!$A:$A=BC123)-(FILTER(Data!$K:$K,Data!$B:$B=BC123,Data!$D:$D=$K123)+FILTER(Data!$L:$L,Data!$B:$B=BC123,Data!$D:$D=$K123)),""""),"""")"),"")</f>
        <v/>
      </c>
      <c r="CN123" s="69" t="str">
        <f>IFERROR(__xludf.DUMMYFUNCTION("IF($L123&lt;&gt;"""",IFERROR((FILTER(RawTotals!$AJ:$AJ,RawTotals!$A:$A=BD123)-(FILTER(Data!$K:$K,Data!$B:$B=BD123,Data!$D:$D=$L123)+FILTER(Data!$L:$L,Data!$B:$B=BD123,Data!$D:$D=$L123))),""""),"""")"),"")</f>
        <v/>
      </c>
      <c r="CO123" s="69" t="str">
        <f>IFERROR(__xludf.DUMMYFUNCTION("IF($L123&lt;&gt;"""",IFERROR((FILTER(RawTotals!$AJ:$AJ,RawTotals!$A:$A=BE123)-(FILTER(Data!$K:$K,Data!$B:$B=BE123,Data!$D:$D=$L123)+FILTER(Data!$L:$L,Data!$B:$B=BE123,Data!$D:$D=$L123))),""""),"""")"),"")</f>
        <v/>
      </c>
      <c r="CP123" s="69" t="str">
        <f>IFERROR(__xludf.DUMMYFUNCTION("IF($L123&lt;&gt;"""",IFERROR((FILTER(RawTotals!$AJ:$AJ,RawTotals!$A:$A=BF123)-(FILTER(Data!$K:$K,Data!$B:$B=BF123,Data!$D:$D=$L123)+FILTER(Data!$L:$L,Data!$B:$B=BF123,Data!$D:$D=$L123))),""""),"""")"),"")</f>
        <v/>
      </c>
      <c r="CQ123" s="69" t="str">
        <f>IFERROR(__xludf.DUMMYFUNCTION("IF($M123&lt;&gt;"""",IFERROR((FILTER(RawTotals!$AJ:$AJ,RawTotals!$A:$A=BG123)-(FILTER(Data!$K:$K,Data!$B:$B=BG123,Data!$D:$D=$M123)+FILTER(Data!$L:$L,Data!$B:$B=BG123,Data!$D:$D=$M123))),""""),"""")"),"")</f>
        <v/>
      </c>
      <c r="CR123" s="69" t="str">
        <f>IFERROR(__xludf.DUMMYFUNCTION("IF($M123&lt;&gt;"""",IFERROR((FILTER(RawTotals!$AJ:$AJ,RawTotals!$A:$A=BH123)-(FILTER(Data!$K:$K,Data!$B:$B=BH123,Data!$D:$D=$M123)+FILTER(Data!$L:$L,Data!$B:$B=BH123,Data!$D:$D=$M123))),""""),"""")"),"")</f>
        <v/>
      </c>
      <c r="CS123" s="70" t="str">
        <f>IFERROR(__xludf.DUMMYFUNCTION("IF($M123&lt;&gt;"""",IFERROR((FILTER(RawTotals!$AJ:$AJ,RawTotals!$A:$A=BI123)-(FILTER(Data!$K:$K,Data!$B:$B=BI123,Data!$D:$D=$M123)+FILTER(Data!$L:$L,Data!$B:$B=BI123,Data!$D:$D=$M123))),""""),"""")"),"")</f>
        <v/>
      </c>
      <c r="CT123" s="69"/>
      <c r="CU123" s="69"/>
      <c r="CV123" s="69"/>
      <c r="CW123" s="69"/>
      <c r="CX123" s="69"/>
      <c r="CY123" s="69"/>
      <c r="CZ123" s="69"/>
      <c r="DA123" s="69"/>
      <c r="DB123" s="69"/>
      <c r="DC123" s="69"/>
      <c r="DD123" s="69"/>
      <c r="DE123" s="69"/>
    </row>
    <row r="124">
      <c r="A124" s="65" t="str">
        <f>RawTotals!A124</f>
        <v/>
      </c>
      <c r="B124" s="68" t="str">
        <f>IFERROR(__xludf.DUMMYFUNCTION("IF(A124&lt;&gt;"""",IFERROR(TRANSPOSE(FILTER(Data!D:D,Data!B:B=A124,Data!R:R&lt;&gt;"""")),""No Defense""),"""")"),"")</f>
        <v/>
      </c>
      <c r="C124" s="65"/>
      <c r="D124" s="65"/>
      <c r="E124" s="65"/>
      <c r="F124" s="65"/>
      <c r="G124" s="65"/>
      <c r="H124" s="65"/>
      <c r="I124" s="65"/>
      <c r="J124" s="65"/>
      <c r="K124" s="65"/>
      <c r="L124" s="65"/>
      <c r="M124" s="65"/>
      <c r="N124" s="64" t="str">
        <f>IFERROR(__xludf.DUMMYFUNCTION("IFERROR(Textjoin("""",TRUE,FILTER(Data!$R:$R,Data!$D:$D=B124,Data!$B:$B=$A124)),"""")"),"")</f>
        <v/>
      </c>
      <c r="O124" s="64" t="str">
        <f>IFERROR(__xludf.DUMMYFUNCTION("IFERROR(Textjoin("""",TRUE,FILTER(Data!$R:$R,Data!$D:$D=C124,Data!$B:$B=$A124)),"""")"),"")</f>
        <v/>
      </c>
      <c r="P124" s="64" t="str">
        <f>IFERROR(__xludf.DUMMYFUNCTION("IFERROR(Textjoin("""",TRUE,FILTER(Data!$R:$R,Data!$D:$D=D124,Data!$B:$B=$A124)),"""")"),"")</f>
        <v/>
      </c>
      <c r="Q124" s="64" t="str">
        <f>IFERROR(__xludf.DUMMYFUNCTION("IFERROR(Textjoin("""",TRUE,FILTER(Data!$R:$R,Data!$D:$D=E124,Data!$B:$B=$A124)),"""")"),"")</f>
        <v/>
      </c>
      <c r="R124" s="64" t="str">
        <f>IFERROR(__xludf.DUMMYFUNCTION("IFERROR(Textjoin("""",TRUE,FILTER(Data!$R:$R,Data!$D:$D=F124,Data!$B:$B=$A124)),"""")"),"")</f>
        <v/>
      </c>
      <c r="S124" s="64" t="str">
        <f>IFERROR(__xludf.DUMMYFUNCTION("IFERROR(Textjoin("""",TRUE,FILTER(Data!$R:$R,Data!$D:$D=G124,Data!$B:$B=$A124)),"""")"),"")</f>
        <v/>
      </c>
      <c r="T124" s="64" t="str">
        <f>IFERROR(__xludf.DUMMYFUNCTION("IFERROR(Textjoin("""",TRUE,FILTER(Data!$R:$R,Data!$D:$D=H124,Data!$B:$B=$A124)),"""")"),"")</f>
        <v/>
      </c>
      <c r="U124" s="64" t="str">
        <f>IFERROR(__xludf.DUMMYFUNCTION("IFERROR(Textjoin("""",TRUE,FILTER(Data!$R:$R,Data!$D:$D=I124,Data!$B:$B=$A124)),"""")"),"")</f>
        <v/>
      </c>
      <c r="V124" s="64" t="str">
        <f>IFERROR(__xludf.DUMMYFUNCTION("IFERROR(Textjoin("""",TRUE,FILTER(Data!$R:$R,Data!$D:$D=J124,Data!$B:$B=$A124)),"""")"),"")</f>
        <v/>
      </c>
      <c r="W124" s="64" t="str">
        <f>IFERROR(__xludf.DUMMYFUNCTION("IFERROR(Textjoin("""",TRUE,FILTER(Data!$R:$R,Data!$D:$D=K124,Data!$B:$B=$A124)),"""")"),"")</f>
        <v/>
      </c>
      <c r="X124" s="64" t="str">
        <f>IFERROR(__xludf.DUMMYFUNCTION("IFERROR(Textjoin("""",TRUE,FILTER(Data!$R:$R,Data!$D:$D=L124,Data!$B:$B=$A124)),"""")"),"")</f>
        <v/>
      </c>
      <c r="Y124" s="64" t="str">
        <f>IFERROR(__xludf.DUMMYFUNCTION("IFERROR(Textjoin("""",TRUE,FILTER(Data!$R:$R,Data!$D:$D=M124,Data!$B:$B=$A124)),"""")"),"")</f>
        <v/>
      </c>
      <c r="Z124" s="64" t="str">
        <f>IFERROR(__xludf.DUMMYFUNCTION("IFERROR(SPLIT(N124,"",""),"""")"),"")</f>
        <v/>
      </c>
      <c r="AA124" s="65"/>
      <c r="AB124" s="65"/>
      <c r="AC124" s="69" t="str">
        <f>IFERROR(__xludf.DUMMYFUNCTION("IFERROR(SPLIT(O124,"",""),"""")"),"")</f>
        <v/>
      </c>
      <c r="AD124" s="65"/>
      <c r="AE124" s="65"/>
      <c r="AF124" s="69" t="str">
        <f>IFERROR(__xludf.DUMMYFUNCTION("IFERROR(SPLIT(P124,"",""),"""")"),"")</f>
        <v/>
      </c>
      <c r="AG124" s="65"/>
      <c r="AH124" s="65"/>
      <c r="AI124" s="69" t="str">
        <f>IFERROR(__xludf.DUMMYFUNCTION("IFERROR(SPLIT(Q124,"",""),"""")"),"")</f>
        <v/>
      </c>
      <c r="AJ124" s="65"/>
      <c r="AK124" s="65"/>
      <c r="AL124" s="69" t="str">
        <f>IFERROR(__xludf.DUMMYFUNCTION("IFERROR(SPLIT(R124,"",""),"""")"),"")</f>
        <v/>
      </c>
      <c r="AM124" s="65"/>
      <c r="AN124" s="65"/>
      <c r="AO124" s="69" t="str">
        <f>IFERROR(__xludf.DUMMYFUNCTION("IFERROR(SPLIT(S124,"",""),"""")"),"")</f>
        <v/>
      </c>
      <c r="AP124" s="65"/>
      <c r="AQ124" s="65"/>
      <c r="AR124" s="69" t="str">
        <f>IFERROR(__xludf.DUMMYFUNCTION("IFERROR(SPLIT(T124,"",""),"""")"),"")</f>
        <v/>
      </c>
      <c r="AS124" s="65"/>
      <c r="AT124" s="65"/>
      <c r="AU124" s="69" t="str">
        <f>IFERROR(__xludf.DUMMYFUNCTION("IFERROR(SPLIT(U124,"",""),"""")"),"")</f>
        <v/>
      </c>
      <c r="AV124" s="65"/>
      <c r="AW124" s="65"/>
      <c r="AX124" s="69" t="str">
        <f>IFERROR(__xludf.DUMMYFUNCTION("IFERROR(SPLIT(V124,"",""),"""")"),"")</f>
        <v/>
      </c>
      <c r="AY124" s="65"/>
      <c r="AZ124" s="65"/>
      <c r="BA124" s="69" t="str">
        <f>IFERROR(__xludf.DUMMYFUNCTION("IFERROR(SPLIT(W124,"",""),"""")"),"")</f>
        <v/>
      </c>
      <c r="BB124" s="69"/>
      <c r="BC124" s="69"/>
      <c r="BD124" s="69" t="str">
        <f>IFERROR(__xludf.DUMMYFUNCTION("IFERROR(SPLIT(X124,"",""),"""")"),"")</f>
        <v/>
      </c>
      <c r="BE124" s="69"/>
      <c r="BF124" s="69"/>
      <c r="BG124" s="69" t="str">
        <f>IFERROR(__xludf.DUMMYFUNCTION("IFERROR(SPLIT(Y124,"",""),"""")"),"")</f>
        <v/>
      </c>
      <c r="BH124" s="69"/>
      <c r="BI124" s="69"/>
      <c r="BJ124" s="68" t="str">
        <f>IFERROR(__xludf.DUMMYFUNCTION("IF($B124&lt;&gt;"""",IFERROR(FILTER(RawTotals!$AJ:$AJ,RawTotals!$A:$A=Z124)-(FILTER(Data!$K:$K,Data!$B:$B=Z124,Data!$D:$D=$B124)+FILTER(Data!$L:$L,Data!$B:$B=Z124,Data!$D:$D=$B124)),""""),"""")"),"")</f>
        <v/>
      </c>
      <c r="BK124" s="68" t="str">
        <f>IFERROR(__xludf.DUMMYFUNCTION("IF($B124&lt;&gt;"""",IFERROR(FILTER(RawTotals!$AJ:$AJ,RawTotals!$A:$A=AA124)-(FILTER(Data!$K:$K,Data!$B:$B=AA124,Data!$D:$D=$B124)+FILTER(Data!$L:$L,Data!$B:$B=AA124,Data!$D:$D=$B124)),""""),"""")"),"")</f>
        <v/>
      </c>
      <c r="BL124" s="68" t="str">
        <f>IFERROR(__xludf.DUMMYFUNCTION("IF($B124&lt;&gt;"""",IFERROR(FILTER(RawTotals!$AJ:$AJ,RawTotals!$A:$A=AB124)-(FILTER(Data!$K:$K,Data!$B:$B=AB124,Data!$D:$D=$B124)+FILTER(Data!$L:$L,Data!$B:$B=AB124,Data!$D:$D=$B124)),""""),"""")"),"")</f>
        <v/>
      </c>
      <c r="BM124" s="69" t="str">
        <f>IFERROR(__xludf.DUMMYFUNCTION("IF($C124&lt;&gt;"""",IFERROR(FILTER(RawTotals!$AJ:$AJ,RawTotals!$A:$A=AC124)-(FILTER(Data!$K:$K,Data!$B:$B=AC124,Data!$D:$D=$C124)+FILTER(Data!$L:$L,Data!$B:$B=AC124,Data!$D:$D=$C124)),""""),"""")"),"")</f>
        <v/>
      </c>
      <c r="BN124" s="69" t="str">
        <f>IFERROR(__xludf.DUMMYFUNCTION("IF($C124&lt;&gt;"""",IFERROR(FILTER(RawTotals!$AJ:$AJ,RawTotals!$A:$A=AD124)-(FILTER(Data!$K:$K,Data!$B:$B=AD124,Data!$D:$D=$C124)+FILTER(Data!$L:$L,Data!$B:$B=AD124,Data!$D:$D=$C124)),""""),"""")"),"")</f>
        <v/>
      </c>
      <c r="BO124" s="69" t="str">
        <f>IFERROR(__xludf.DUMMYFUNCTION("IF($C124&lt;&gt;"""",IFERROR(FILTER(RawTotals!$AJ:$AJ,RawTotals!$A:$A=AE124)-(FILTER(Data!$K:$K,Data!$B:$B=AE124,Data!$D:$D=$C124)+FILTER(Data!$L:$L,Data!$B:$B=AE124,Data!$D:$D=$C124)),""""),"""")"),"")</f>
        <v/>
      </c>
      <c r="BP124" s="69" t="str">
        <f>IFERROR(__xludf.DUMMYFUNCTION("IF($D124&lt;&gt;"""",IFERROR(FILTER(RawTotals!$AJ:$AJ,RawTotals!$A:$A=AF124)-(FILTER(Data!$K:$K,Data!$B:$B=AF124,Data!$D:$D=$D124)+FILTER(Data!$L:$L,Data!$B:$B=AF124,Data!$D:$D=$D124)),""""),"""")"),"")</f>
        <v/>
      </c>
      <c r="BQ124" s="69" t="str">
        <f>IFERROR(__xludf.DUMMYFUNCTION("IF($D124&lt;&gt;"""",IFERROR(FILTER(RawTotals!$AJ:$AJ,RawTotals!$A:$A=AG124)-(FILTER(Data!$K:$K,Data!$B:$B=AG124,Data!$D:$D=$D124)+FILTER(Data!$L:$L,Data!$B:$B=AG124,Data!$D:$D=$D124)),""""),"""")"),"")</f>
        <v/>
      </c>
      <c r="BR124" s="69" t="str">
        <f>IFERROR(__xludf.DUMMYFUNCTION("IF($D124&lt;&gt;"""",IFERROR(FILTER(RawTotals!$AJ:$AJ,RawTotals!$A:$A=AH124)-(FILTER(Data!$K:$K,Data!$B:$B=AH124,Data!$D:$D=$D124)+FILTER(Data!$L:$L,Data!$B:$B=AH124,Data!$D:$D=$D124)),""""),"""")"),"")</f>
        <v/>
      </c>
      <c r="BS124" s="69" t="str">
        <f>IFERROR(__xludf.DUMMYFUNCTION("IF($E124&lt;&gt;"""",IFERROR(FILTER(RawTotals!$AJ:$AJ,RawTotals!$A:$A=AI124)-(FILTER(Data!$K:$K,Data!$B:$B=AI124,Data!$D:$D=$E124)+FILTER(Data!$L:$L,Data!$B:$B=AI124,Data!$D:$D=$E124)),""""),"""")"),"")</f>
        <v/>
      </c>
      <c r="BT124" s="69" t="str">
        <f>IFERROR(__xludf.DUMMYFUNCTION("IF($E124&lt;&gt;"""",IFERROR(FILTER(RawTotals!$AJ:$AJ,RawTotals!$A:$A=AJ124)-(FILTER(Data!$K:$K,Data!$B:$B=AJ124,Data!$D:$D=$E124)+FILTER(Data!$L:$L,Data!$B:$B=AJ124,Data!$D:$D=$E124)),""""),"""")"),"")</f>
        <v/>
      </c>
      <c r="BU124" s="69" t="str">
        <f>IFERROR(__xludf.DUMMYFUNCTION("IF($E124&lt;&gt;"""",IFERROR(FILTER(RawTotals!$AJ:$AJ,RawTotals!$A:$A=AK124)-(FILTER(Data!$K:$K,Data!$B:$B=AK124,Data!$D:$D=$E124)+FILTER(Data!$L:$L,Data!$B:$B=AK124,Data!$D:$D=$E124)),""""),"""")"),"")</f>
        <v/>
      </c>
      <c r="BV124" s="69" t="str">
        <f>IFERROR(__xludf.DUMMYFUNCTION("IF($F124&lt;&gt;"""",IFERROR(FILTER(RawTotals!$AJ:$AJ,RawTotals!$A:$A=AL124)-(FILTER(Data!$K:$K,Data!$B:$B=AL124,Data!$D:$D=$F124)+FILTER(Data!$L:$L,Data!$B:$B=AL124,Data!$D:$D=$F124)),""""),"""")"),"")</f>
        <v/>
      </c>
      <c r="BW124" s="69" t="str">
        <f>IFERROR(__xludf.DUMMYFUNCTION("IF($F124&lt;&gt;"""",IFERROR(FILTER(RawTotals!$AJ:$AJ,RawTotals!$A:$A=AM124)-(FILTER(Data!$K:$K,Data!$B:$B=AM124,Data!$D:$D=$F124)+FILTER(Data!$L:$L,Data!$B:$B=AM124,Data!$D:$D=$F124)),""""),"""")"),"")</f>
        <v/>
      </c>
      <c r="BX124" s="69" t="str">
        <f>IFERROR(__xludf.DUMMYFUNCTION("IF($F124&lt;&gt;"""",IFERROR(FILTER(RawTotals!$AJ:$AJ,RawTotals!$A:$A=AN124)-(FILTER(Data!$K:$K,Data!$B:$B=AN124,Data!$D:$D=$F124)+FILTER(Data!$L:$L,Data!$B:$B=AN124,Data!$D:$D=$F124)),""""),"""")"),"")</f>
        <v/>
      </c>
      <c r="BY124" s="69" t="str">
        <f>IFERROR(__xludf.DUMMYFUNCTION("IF($G124&lt;&gt;"""",IFERROR(FILTER(RawTotals!$AJ:$AJ,RawTotals!$A:$A=AO124)-(FILTER(Data!$K:$K,Data!$B:$B=AO124,Data!$D:$D=$G124)+FILTER(Data!$L:$L,Data!$B:$B=AO124,Data!$D:$D=$G124)),""""),"""")"),"")</f>
        <v/>
      </c>
      <c r="BZ124" s="69" t="str">
        <f>IFERROR(__xludf.DUMMYFUNCTION("IF($G124&lt;&gt;"""",IFERROR(FILTER(RawTotals!$AJ:$AJ,RawTotals!$A:$A=AP124)-(FILTER(Data!$K:$K,Data!$B:$B=AP124,Data!$D:$D=$G124)+FILTER(Data!$L:$L,Data!$B:$B=AP124,Data!$D:$D=$G124)),""""),"""")"),"")</f>
        <v/>
      </c>
      <c r="CA124" s="69" t="str">
        <f>IFERROR(__xludf.DUMMYFUNCTION("IF($G124&lt;&gt;"""",IFERROR(FILTER(RawTotals!$AJ:$AJ,RawTotals!$A:$A=AQ124)-(FILTER(Data!$K:$K,Data!$B:$B=AQ124,Data!$D:$D=$G124)+FILTER(Data!$L:$L,Data!$B:$B=AQ124,Data!$D:$D=$G124)),""""),"""")"),"")</f>
        <v/>
      </c>
      <c r="CB124" s="69" t="str">
        <f>IFERROR(__xludf.DUMMYFUNCTION("IF($H124&lt;&gt;"""",IFERROR(FILTER(RawTotals!$AJ:$AJ,RawTotals!$A:$A=AR124)-(FILTER(Data!$K:$K,Data!$B:$B=AR124,Data!$D:$D=$H124)+FILTER(Data!$L:$L,Data!$B:$B=AR124,Data!$D:$D=$H124)),""""),"""")"),"")</f>
        <v/>
      </c>
      <c r="CC124" s="69" t="str">
        <f>IFERROR(__xludf.DUMMYFUNCTION("IF($H124&lt;&gt;"""",IFERROR(FILTER(RawTotals!$AJ:$AJ,RawTotals!$A:$A=AS124)-(FILTER(Data!$K:$K,Data!$B:$B=AS124,Data!$D:$D=$H124)+FILTER(Data!$L:$L,Data!$B:$B=AS124,Data!$D:$D=$H124)),""""),"""")"),"")</f>
        <v/>
      </c>
      <c r="CD124" s="69" t="str">
        <f>IFERROR(__xludf.DUMMYFUNCTION("IF($H124&lt;&gt;"""",IFERROR(FILTER(RawTotals!$AJ:$AJ,RawTotals!$A:$A=AT124)-(FILTER(Data!$K:$K,Data!$B:$B=AT124,Data!$D:$D=$H124)+FILTER(Data!$L:$L,Data!$B:$B=AT124,Data!$D:$D=$H124)),""""),"""")"),"")</f>
        <v/>
      </c>
      <c r="CE124" s="69" t="str">
        <f>IFERROR(__xludf.DUMMYFUNCTION("IF($I124&lt;&gt;"""",IFERROR(FILTER(RawTotals!$AJ:$AJ,RawTotals!$A:$A=AU124)-(FILTER(Data!$K:$K,Data!$B:$B=AU124,Data!$D:$D=$I124)+FILTER(Data!$L:$L,Data!$B:$B=AU124,Data!$D:$D=$I124)),""""),"""")"),"")</f>
        <v/>
      </c>
      <c r="CF124" s="69" t="str">
        <f>IFERROR(__xludf.DUMMYFUNCTION("IF($I124&lt;&gt;"""",IFERROR(FILTER(RawTotals!$AJ:$AJ,RawTotals!$A:$A=AV124)-(FILTER(Data!$K:$K,Data!$B:$B=AV124,Data!$D:$D=$I124)+FILTER(Data!$L:$L,Data!$B:$B=AV124,Data!$D:$D=$I124)),""""),"""")"),"")</f>
        <v/>
      </c>
      <c r="CG124" s="69" t="str">
        <f>IFERROR(__xludf.DUMMYFUNCTION("IF($I124&lt;&gt;"""",IFERROR(FILTER(RawTotals!$AJ:$AJ,RawTotals!$A:$A=AW124)-(FILTER(Data!$K:$K,Data!$B:$B=AW124,Data!$D:$D=$I124)+FILTER(Data!$L:$L,Data!$B:$B=AW124,Data!$D:$D=$I124)),""""),"""")"),"")</f>
        <v/>
      </c>
      <c r="CH124" s="69" t="str">
        <f>IFERROR(__xludf.DUMMYFUNCTION("IF($J124&lt;&gt;"""",IFERROR(FILTER(RawTotals!$AJ:$AJ,RawTotals!$A:$A=AX124)-(FILTER(Data!$K:$K,Data!$B:$B=AX124,Data!$D:$D=$J124)+FILTER(Data!$L:$L,Data!$B:$B=AX124,Data!$D:$D=$J124)),""""),"""")"),"")</f>
        <v/>
      </c>
      <c r="CI124" s="69" t="str">
        <f>IFERROR(__xludf.DUMMYFUNCTION("IF($J124&lt;&gt;"""",IFERROR(FILTER(RawTotals!$AJ:$AJ,RawTotals!$A:$A=AY124)-(FILTER(Data!$K:$K,Data!$B:$B=AY124,Data!$D:$D=$J124)+FILTER(Data!$L:$L,Data!$B:$B=AY124,Data!$D:$D=$J124)),""""),"""")"),"")</f>
        <v/>
      </c>
      <c r="CJ124" s="69" t="str">
        <f>IFERROR(__xludf.DUMMYFUNCTION("IF($J124&lt;&gt;"""",IFERROR(FILTER(RawTotals!$AJ:$AJ,RawTotals!$A:$A=AZ124)-(FILTER(Data!$K:$K,Data!$B:$B=AZ124,Data!$D:$D=$J124)+FILTER(Data!$L:$L,Data!$B:$B=AZ124,Data!$D:$D=$J124)),""""),"""")"),"")</f>
        <v/>
      </c>
      <c r="CK124" s="69" t="str">
        <f>IFERROR(__xludf.DUMMYFUNCTION("IF($K124&lt;&gt;"""",IFERROR(FILTER(RawTotals!$AJ:$AJ,RawTotals!$A:$A=BA124)-(FILTER(Data!$K:$K,Data!$B:$B=BA124,Data!$D:$D=$K124)+FILTER(Data!$L:$L,Data!$B:$B=BA124,Data!$D:$D=$K124)),""""),"""")"),"")</f>
        <v/>
      </c>
      <c r="CL124" s="69" t="str">
        <f>IFERROR(__xludf.DUMMYFUNCTION("IF($K124&lt;&gt;"""",IFERROR(FILTER(RawTotals!$AJ:$AJ,RawTotals!$A:$A=BB124)-(FILTER(Data!$K:$K,Data!$B:$B=BB124,Data!$D:$D=$K124)+FILTER(Data!$L:$L,Data!$B:$B=BB124,Data!$D:$D=$K124)),""""),"""")"),"")</f>
        <v/>
      </c>
      <c r="CM124" s="69" t="str">
        <f>IFERROR(__xludf.DUMMYFUNCTION("IF($K124&lt;&gt;"""",IFERROR(FILTER(RawTotals!$AJ:$AJ,RawTotals!$A:$A=BC124)-(FILTER(Data!$K:$K,Data!$B:$B=BC124,Data!$D:$D=$K124)+FILTER(Data!$L:$L,Data!$B:$B=BC124,Data!$D:$D=$K124)),""""),"""")"),"")</f>
        <v/>
      </c>
      <c r="CN124" s="69" t="str">
        <f>IFERROR(__xludf.DUMMYFUNCTION("IF($L124&lt;&gt;"""",IFERROR((FILTER(RawTotals!$AJ:$AJ,RawTotals!$A:$A=BD124)-(FILTER(Data!$K:$K,Data!$B:$B=BD124,Data!$D:$D=$L124)+FILTER(Data!$L:$L,Data!$B:$B=BD124,Data!$D:$D=$L124))),""""),"""")"),"")</f>
        <v/>
      </c>
      <c r="CO124" s="69" t="str">
        <f>IFERROR(__xludf.DUMMYFUNCTION("IF($L124&lt;&gt;"""",IFERROR((FILTER(RawTotals!$AJ:$AJ,RawTotals!$A:$A=BE124)-(FILTER(Data!$K:$K,Data!$B:$B=BE124,Data!$D:$D=$L124)+FILTER(Data!$L:$L,Data!$B:$B=BE124,Data!$D:$D=$L124))),""""),"""")"),"")</f>
        <v/>
      </c>
      <c r="CP124" s="69" t="str">
        <f>IFERROR(__xludf.DUMMYFUNCTION("IF($L124&lt;&gt;"""",IFERROR((FILTER(RawTotals!$AJ:$AJ,RawTotals!$A:$A=BF124)-(FILTER(Data!$K:$K,Data!$B:$B=BF124,Data!$D:$D=$L124)+FILTER(Data!$L:$L,Data!$B:$B=BF124,Data!$D:$D=$L124))),""""),"""")"),"")</f>
        <v/>
      </c>
      <c r="CQ124" s="69" t="str">
        <f>IFERROR(__xludf.DUMMYFUNCTION("IF($M124&lt;&gt;"""",IFERROR((FILTER(RawTotals!$AJ:$AJ,RawTotals!$A:$A=BG124)-(FILTER(Data!$K:$K,Data!$B:$B=BG124,Data!$D:$D=$M124)+FILTER(Data!$L:$L,Data!$B:$B=BG124,Data!$D:$D=$M124))),""""),"""")"),"")</f>
        <v/>
      </c>
      <c r="CR124" s="69" t="str">
        <f>IFERROR(__xludf.DUMMYFUNCTION("IF($M124&lt;&gt;"""",IFERROR((FILTER(RawTotals!$AJ:$AJ,RawTotals!$A:$A=BH124)-(FILTER(Data!$K:$K,Data!$B:$B=BH124,Data!$D:$D=$M124)+FILTER(Data!$L:$L,Data!$B:$B=BH124,Data!$D:$D=$M124))),""""),"""")"),"")</f>
        <v/>
      </c>
      <c r="CS124" s="70" t="str">
        <f>IFERROR(__xludf.DUMMYFUNCTION("IF($M124&lt;&gt;"""",IFERROR((FILTER(RawTotals!$AJ:$AJ,RawTotals!$A:$A=BI124)-(FILTER(Data!$K:$K,Data!$B:$B=BI124,Data!$D:$D=$M124)+FILTER(Data!$L:$L,Data!$B:$B=BI124,Data!$D:$D=$M124))),""""),"""")"),"")</f>
        <v/>
      </c>
      <c r="CT124" s="69"/>
      <c r="CU124" s="69"/>
      <c r="CV124" s="69"/>
      <c r="CW124" s="69"/>
      <c r="CX124" s="69"/>
      <c r="CY124" s="69"/>
      <c r="CZ124" s="69"/>
      <c r="DA124" s="69"/>
      <c r="DB124" s="69"/>
      <c r="DC124" s="69"/>
      <c r="DD124" s="69"/>
      <c r="DE124" s="69"/>
    </row>
    <row r="125">
      <c r="A125" s="65" t="str">
        <f>RawTotals!A125</f>
        <v/>
      </c>
      <c r="B125" s="68" t="str">
        <f>IFERROR(__xludf.DUMMYFUNCTION("IF(A125&lt;&gt;"""",IFERROR(TRANSPOSE(FILTER(Data!D:D,Data!B:B=A125,Data!R:R&lt;&gt;"""")),""No Defense""),"""")"),"")</f>
        <v/>
      </c>
      <c r="C125" s="65"/>
      <c r="D125" s="65"/>
      <c r="E125" s="65"/>
      <c r="F125" s="65"/>
      <c r="G125" s="65"/>
      <c r="H125" s="65"/>
      <c r="I125" s="65"/>
      <c r="J125" s="65"/>
      <c r="K125" s="65"/>
      <c r="L125" s="65"/>
      <c r="M125" s="65"/>
      <c r="N125" s="64" t="str">
        <f>IFERROR(__xludf.DUMMYFUNCTION("IFERROR(Textjoin("""",TRUE,FILTER(Data!$R:$R,Data!$D:$D=B125,Data!$B:$B=$A125)),"""")"),"")</f>
        <v/>
      </c>
      <c r="O125" s="64" t="str">
        <f>IFERROR(__xludf.DUMMYFUNCTION("IFERROR(Textjoin("""",TRUE,FILTER(Data!$R:$R,Data!$D:$D=C125,Data!$B:$B=$A125)),"""")"),"")</f>
        <v/>
      </c>
      <c r="P125" s="64" t="str">
        <f>IFERROR(__xludf.DUMMYFUNCTION("IFERROR(Textjoin("""",TRUE,FILTER(Data!$R:$R,Data!$D:$D=D125,Data!$B:$B=$A125)),"""")"),"")</f>
        <v/>
      </c>
      <c r="Q125" s="64" t="str">
        <f>IFERROR(__xludf.DUMMYFUNCTION("IFERROR(Textjoin("""",TRUE,FILTER(Data!$R:$R,Data!$D:$D=E125,Data!$B:$B=$A125)),"""")"),"")</f>
        <v/>
      </c>
      <c r="R125" s="64" t="str">
        <f>IFERROR(__xludf.DUMMYFUNCTION("IFERROR(Textjoin("""",TRUE,FILTER(Data!$R:$R,Data!$D:$D=F125,Data!$B:$B=$A125)),"""")"),"")</f>
        <v/>
      </c>
      <c r="S125" s="64" t="str">
        <f>IFERROR(__xludf.DUMMYFUNCTION("IFERROR(Textjoin("""",TRUE,FILTER(Data!$R:$R,Data!$D:$D=G125,Data!$B:$B=$A125)),"""")"),"")</f>
        <v/>
      </c>
      <c r="T125" s="64" t="str">
        <f>IFERROR(__xludf.DUMMYFUNCTION("IFERROR(Textjoin("""",TRUE,FILTER(Data!$R:$R,Data!$D:$D=H125,Data!$B:$B=$A125)),"""")"),"")</f>
        <v/>
      </c>
      <c r="U125" s="64" t="str">
        <f>IFERROR(__xludf.DUMMYFUNCTION("IFERROR(Textjoin("""",TRUE,FILTER(Data!$R:$R,Data!$D:$D=I125,Data!$B:$B=$A125)),"""")"),"")</f>
        <v/>
      </c>
      <c r="V125" s="64" t="str">
        <f>IFERROR(__xludf.DUMMYFUNCTION("IFERROR(Textjoin("""",TRUE,FILTER(Data!$R:$R,Data!$D:$D=J125,Data!$B:$B=$A125)),"""")"),"")</f>
        <v/>
      </c>
      <c r="W125" s="64" t="str">
        <f>IFERROR(__xludf.DUMMYFUNCTION("IFERROR(Textjoin("""",TRUE,FILTER(Data!$R:$R,Data!$D:$D=K125,Data!$B:$B=$A125)),"""")"),"")</f>
        <v/>
      </c>
      <c r="X125" s="64" t="str">
        <f>IFERROR(__xludf.DUMMYFUNCTION("IFERROR(Textjoin("""",TRUE,FILTER(Data!$R:$R,Data!$D:$D=L125,Data!$B:$B=$A125)),"""")"),"")</f>
        <v/>
      </c>
      <c r="Y125" s="64" t="str">
        <f>IFERROR(__xludf.DUMMYFUNCTION("IFERROR(Textjoin("""",TRUE,FILTER(Data!$R:$R,Data!$D:$D=M125,Data!$B:$B=$A125)),"""")"),"")</f>
        <v/>
      </c>
      <c r="Z125" s="64" t="str">
        <f>IFERROR(__xludf.DUMMYFUNCTION("IFERROR(SPLIT(N125,"",""),"""")"),"")</f>
        <v/>
      </c>
      <c r="AA125" s="65"/>
      <c r="AB125" s="65"/>
      <c r="AC125" s="69" t="str">
        <f>IFERROR(__xludf.DUMMYFUNCTION("IFERROR(SPLIT(O125,"",""),"""")"),"")</f>
        <v/>
      </c>
      <c r="AD125" s="65"/>
      <c r="AE125" s="65"/>
      <c r="AF125" s="69" t="str">
        <f>IFERROR(__xludf.DUMMYFUNCTION("IFERROR(SPLIT(P125,"",""),"""")"),"")</f>
        <v/>
      </c>
      <c r="AG125" s="65"/>
      <c r="AH125" s="65"/>
      <c r="AI125" s="69" t="str">
        <f>IFERROR(__xludf.DUMMYFUNCTION("IFERROR(SPLIT(Q125,"",""),"""")"),"")</f>
        <v/>
      </c>
      <c r="AJ125" s="65"/>
      <c r="AK125" s="65"/>
      <c r="AL125" s="69" t="str">
        <f>IFERROR(__xludf.DUMMYFUNCTION("IFERROR(SPLIT(R125,"",""),"""")"),"")</f>
        <v/>
      </c>
      <c r="AM125" s="65"/>
      <c r="AN125" s="65"/>
      <c r="AO125" s="69" t="str">
        <f>IFERROR(__xludf.DUMMYFUNCTION("IFERROR(SPLIT(S125,"",""),"""")"),"")</f>
        <v/>
      </c>
      <c r="AP125" s="65"/>
      <c r="AQ125" s="65"/>
      <c r="AR125" s="69" t="str">
        <f>IFERROR(__xludf.DUMMYFUNCTION("IFERROR(SPLIT(T125,"",""),"""")"),"")</f>
        <v/>
      </c>
      <c r="AS125" s="65"/>
      <c r="AT125" s="65"/>
      <c r="AU125" s="69" t="str">
        <f>IFERROR(__xludf.DUMMYFUNCTION("IFERROR(SPLIT(U125,"",""),"""")"),"")</f>
        <v/>
      </c>
      <c r="AV125" s="65"/>
      <c r="AW125" s="65"/>
      <c r="AX125" s="69" t="str">
        <f>IFERROR(__xludf.DUMMYFUNCTION("IFERROR(SPLIT(V125,"",""),"""")"),"")</f>
        <v/>
      </c>
      <c r="AY125" s="65"/>
      <c r="AZ125" s="65"/>
      <c r="BA125" s="69" t="str">
        <f>IFERROR(__xludf.DUMMYFUNCTION("IFERROR(SPLIT(W125,"",""),"""")"),"")</f>
        <v/>
      </c>
      <c r="BB125" s="69"/>
      <c r="BC125" s="69"/>
      <c r="BD125" s="69" t="str">
        <f>IFERROR(__xludf.DUMMYFUNCTION("IFERROR(SPLIT(X125,"",""),"""")"),"")</f>
        <v/>
      </c>
      <c r="BE125" s="69"/>
      <c r="BF125" s="69"/>
      <c r="BG125" s="69" t="str">
        <f>IFERROR(__xludf.DUMMYFUNCTION("IFERROR(SPLIT(Y125,"",""),"""")"),"")</f>
        <v/>
      </c>
      <c r="BH125" s="69"/>
      <c r="BI125" s="69"/>
      <c r="BJ125" s="68" t="str">
        <f>IFERROR(__xludf.DUMMYFUNCTION("IF($B125&lt;&gt;"""",IFERROR(FILTER(RawTotals!$AJ:$AJ,RawTotals!$A:$A=Z125)-(FILTER(Data!$K:$K,Data!$B:$B=Z125,Data!$D:$D=$B125)+FILTER(Data!$L:$L,Data!$B:$B=Z125,Data!$D:$D=$B125)),""""),"""")"),"")</f>
        <v/>
      </c>
      <c r="BK125" s="68" t="str">
        <f>IFERROR(__xludf.DUMMYFUNCTION("IF($B125&lt;&gt;"""",IFERROR(FILTER(RawTotals!$AJ:$AJ,RawTotals!$A:$A=AA125)-(FILTER(Data!$K:$K,Data!$B:$B=AA125,Data!$D:$D=$B125)+FILTER(Data!$L:$L,Data!$B:$B=AA125,Data!$D:$D=$B125)),""""),"""")"),"")</f>
        <v/>
      </c>
      <c r="BL125" s="68" t="str">
        <f>IFERROR(__xludf.DUMMYFUNCTION("IF($B125&lt;&gt;"""",IFERROR(FILTER(RawTotals!$AJ:$AJ,RawTotals!$A:$A=AB125)-(FILTER(Data!$K:$K,Data!$B:$B=AB125,Data!$D:$D=$B125)+FILTER(Data!$L:$L,Data!$B:$B=AB125,Data!$D:$D=$B125)),""""),"""")"),"")</f>
        <v/>
      </c>
      <c r="BM125" s="69" t="str">
        <f>IFERROR(__xludf.DUMMYFUNCTION("IF($C125&lt;&gt;"""",IFERROR(FILTER(RawTotals!$AJ:$AJ,RawTotals!$A:$A=AC125)-(FILTER(Data!$K:$K,Data!$B:$B=AC125,Data!$D:$D=$C125)+FILTER(Data!$L:$L,Data!$B:$B=AC125,Data!$D:$D=$C125)),""""),"""")"),"")</f>
        <v/>
      </c>
      <c r="BN125" s="69" t="str">
        <f>IFERROR(__xludf.DUMMYFUNCTION("IF($C125&lt;&gt;"""",IFERROR(FILTER(RawTotals!$AJ:$AJ,RawTotals!$A:$A=AD125)-(FILTER(Data!$K:$K,Data!$B:$B=AD125,Data!$D:$D=$C125)+FILTER(Data!$L:$L,Data!$B:$B=AD125,Data!$D:$D=$C125)),""""),"""")"),"")</f>
        <v/>
      </c>
      <c r="BO125" s="69" t="str">
        <f>IFERROR(__xludf.DUMMYFUNCTION("IF($C125&lt;&gt;"""",IFERROR(FILTER(RawTotals!$AJ:$AJ,RawTotals!$A:$A=AE125)-(FILTER(Data!$K:$K,Data!$B:$B=AE125,Data!$D:$D=$C125)+FILTER(Data!$L:$L,Data!$B:$B=AE125,Data!$D:$D=$C125)),""""),"""")"),"")</f>
        <v/>
      </c>
      <c r="BP125" s="69" t="str">
        <f>IFERROR(__xludf.DUMMYFUNCTION("IF($D125&lt;&gt;"""",IFERROR(FILTER(RawTotals!$AJ:$AJ,RawTotals!$A:$A=AF125)-(FILTER(Data!$K:$K,Data!$B:$B=AF125,Data!$D:$D=$D125)+FILTER(Data!$L:$L,Data!$B:$B=AF125,Data!$D:$D=$D125)),""""),"""")"),"")</f>
        <v/>
      </c>
      <c r="BQ125" s="69" t="str">
        <f>IFERROR(__xludf.DUMMYFUNCTION("IF($D125&lt;&gt;"""",IFERROR(FILTER(RawTotals!$AJ:$AJ,RawTotals!$A:$A=AG125)-(FILTER(Data!$K:$K,Data!$B:$B=AG125,Data!$D:$D=$D125)+FILTER(Data!$L:$L,Data!$B:$B=AG125,Data!$D:$D=$D125)),""""),"""")"),"")</f>
        <v/>
      </c>
      <c r="BR125" s="69" t="str">
        <f>IFERROR(__xludf.DUMMYFUNCTION("IF($D125&lt;&gt;"""",IFERROR(FILTER(RawTotals!$AJ:$AJ,RawTotals!$A:$A=AH125)-(FILTER(Data!$K:$K,Data!$B:$B=AH125,Data!$D:$D=$D125)+FILTER(Data!$L:$L,Data!$B:$B=AH125,Data!$D:$D=$D125)),""""),"""")"),"")</f>
        <v/>
      </c>
      <c r="BS125" s="69" t="str">
        <f>IFERROR(__xludf.DUMMYFUNCTION("IF($E125&lt;&gt;"""",IFERROR(FILTER(RawTotals!$AJ:$AJ,RawTotals!$A:$A=AI125)-(FILTER(Data!$K:$K,Data!$B:$B=AI125,Data!$D:$D=$E125)+FILTER(Data!$L:$L,Data!$B:$B=AI125,Data!$D:$D=$E125)),""""),"""")"),"")</f>
        <v/>
      </c>
      <c r="BT125" s="69" t="str">
        <f>IFERROR(__xludf.DUMMYFUNCTION("IF($E125&lt;&gt;"""",IFERROR(FILTER(RawTotals!$AJ:$AJ,RawTotals!$A:$A=AJ125)-(FILTER(Data!$K:$K,Data!$B:$B=AJ125,Data!$D:$D=$E125)+FILTER(Data!$L:$L,Data!$B:$B=AJ125,Data!$D:$D=$E125)),""""),"""")"),"")</f>
        <v/>
      </c>
      <c r="BU125" s="69" t="str">
        <f>IFERROR(__xludf.DUMMYFUNCTION("IF($E125&lt;&gt;"""",IFERROR(FILTER(RawTotals!$AJ:$AJ,RawTotals!$A:$A=AK125)-(FILTER(Data!$K:$K,Data!$B:$B=AK125,Data!$D:$D=$E125)+FILTER(Data!$L:$L,Data!$B:$B=AK125,Data!$D:$D=$E125)),""""),"""")"),"")</f>
        <v/>
      </c>
      <c r="BV125" s="69" t="str">
        <f>IFERROR(__xludf.DUMMYFUNCTION("IF($F125&lt;&gt;"""",IFERROR(FILTER(RawTotals!$AJ:$AJ,RawTotals!$A:$A=AL125)-(FILTER(Data!$K:$K,Data!$B:$B=AL125,Data!$D:$D=$F125)+FILTER(Data!$L:$L,Data!$B:$B=AL125,Data!$D:$D=$F125)),""""),"""")"),"")</f>
        <v/>
      </c>
      <c r="BW125" s="69" t="str">
        <f>IFERROR(__xludf.DUMMYFUNCTION("IF($F125&lt;&gt;"""",IFERROR(FILTER(RawTotals!$AJ:$AJ,RawTotals!$A:$A=AM125)-(FILTER(Data!$K:$K,Data!$B:$B=AM125,Data!$D:$D=$F125)+FILTER(Data!$L:$L,Data!$B:$B=AM125,Data!$D:$D=$F125)),""""),"""")"),"")</f>
        <v/>
      </c>
      <c r="BX125" s="69" t="str">
        <f>IFERROR(__xludf.DUMMYFUNCTION("IF($F125&lt;&gt;"""",IFERROR(FILTER(RawTotals!$AJ:$AJ,RawTotals!$A:$A=AN125)-(FILTER(Data!$K:$K,Data!$B:$B=AN125,Data!$D:$D=$F125)+FILTER(Data!$L:$L,Data!$B:$B=AN125,Data!$D:$D=$F125)),""""),"""")"),"")</f>
        <v/>
      </c>
      <c r="BY125" s="69" t="str">
        <f>IFERROR(__xludf.DUMMYFUNCTION("IF($G125&lt;&gt;"""",IFERROR(FILTER(RawTotals!$AJ:$AJ,RawTotals!$A:$A=AO125)-(FILTER(Data!$K:$K,Data!$B:$B=AO125,Data!$D:$D=$G125)+FILTER(Data!$L:$L,Data!$B:$B=AO125,Data!$D:$D=$G125)),""""),"""")"),"")</f>
        <v/>
      </c>
      <c r="BZ125" s="69" t="str">
        <f>IFERROR(__xludf.DUMMYFUNCTION("IF($G125&lt;&gt;"""",IFERROR(FILTER(RawTotals!$AJ:$AJ,RawTotals!$A:$A=AP125)-(FILTER(Data!$K:$K,Data!$B:$B=AP125,Data!$D:$D=$G125)+FILTER(Data!$L:$L,Data!$B:$B=AP125,Data!$D:$D=$G125)),""""),"""")"),"")</f>
        <v/>
      </c>
      <c r="CA125" s="69" t="str">
        <f>IFERROR(__xludf.DUMMYFUNCTION("IF($G125&lt;&gt;"""",IFERROR(FILTER(RawTotals!$AJ:$AJ,RawTotals!$A:$A=AQ125)-(FILTER(Data!$K:$K,Data!$B:$B=AQ125,Data!$D:$D=$G125)+FILTER(Data!$L:$L,Data!$B:$B=AQ125,Data!$D:$D=$G125)),""""),"""")"),"")</f>
        <v/>
      </c>
      <c r="CB125" s="69" t="str">
        <f>IFERROR(__xludf.DUMMYFUNCTION("IF($H125&lt;&gt;"""",IFERROR(FILTER(RawTotals!$AJ:$AJ,RawTotals!$A:$A=AR125)-(FILTER(Data!$K:$K,Data!$B:$B=AR125,Data!$D:$D=$H125)+FILTER(Data!$L:$L,Data!$B:$B=AR125,Data!$D:$D=$H125)),""""),"""")"),"")</f>
        <v/>
      </c>
      <c r="CC125" s="69" t="str">
        <f>IFERROR(__xludf.DUMMYFUNCTION("IF($H125&lt;&gt;"""",IFERROR(FILTER(RawTotals!$AJ:$AJ,RawTotals!$A:$A=AS125)-(FILTER(Data!$K:$K,Data!$B:$B=AS125,Data!$D:$D=$H125)+FILTER(Data!$L:$L,Data!$B:$B=AS125,Data!$D:$D=$H125)),""""),"""")"),"")</f>
        <v/>
      </c>
      <c r="CD125" s="69" t="str">
        <f>IFERROR(__xludf.DUMMYFUNCTION("IF($H125&lt;&gt;"""",IFERROR(FILTER(RawTotals!$AJ:$AJ,RawTotals!$A:$A=AT125)-(FILTER(Data!$K:$K,Data!$B:$B=AT125,Data!$D:$D=$H125)+FILTER(Data!$L:$L,Data!$B:$B=AT125,Data!$D:$D=$H125)),""""),"""")"),"")</f>
        <v/>
      </c>
      <c r="CE125" s="69" t="str">
        <f>IFERROR(__xludf.DUMMYFUNCTION("IF($I125&lt;&gt;"""",IFERROR(FILTER(RawTotals!$AJ:$AJ,RawTotals!$A:$A=AU125)-(FILTER(Data!$K:$K,Data!$B:$B=AU125,Data!$D:$D=$I125)+FILTER(Data!$L:$L,Data!$B:$B=AU125,Data!$D:$D=$I125)),""""),"""")"),"")</f>
        <v/>
      </c>
      <c r="CF125" s="69" t="str">
        <f>IFERROR(__xludf.DUMMYFUNCTION("IF($I125&lt;&gt;"""",IFERROR(FILTER(RawTotals!$AJ:$AJ,RawTotals!$A:$A=AV125)-(FILTER(Data!$K:$K,Data!$B:$B=AV125,Data!$D:$D=$I125)+FILTER(Data!$L:$L,Data!$B:$B=AV125,Data!$D:$D=$I125)),""""),"""")"),"")</f>
        <v/>
      </c>
      <c r="CG125" s="69" t="str">
        <f>IFERROR(__xludf.DUMMYFUNCTION("IF($I125&lt;&gt;"""",IFERROR(FILTER(RawTotals!$AJ:$AJ,RawTotals!$A:$A=AW125)-(FILTER(Data!$K:$K,Data!$B:$B=AW125,Data!$D:$D=$I125)+FILTER(Data!$L:$L,Data!$B:$B=AW125,Data!$D:$D=$I125)),""""),"""")"),"")</f>
        <v/>
      </c>
      <c r="CH125" s="69" t="str">
        <f>IFERROR(__xludf.DUMMYFUNCTION("IF($J125&lt;&gt;"""",IFERROR(FILTER(RawTotals!$AJ:$AJ,RawTotals!$A:$A=AX125)-(FILTER(Data!$K:$K,Data!$B:$B=AX125,Data!$D:$D=$J125)+FILTER(Data!$L:$L,Data!$B:$B=AX125,Data!$D:$D=$J125)),""""),"""")"),"")</f>
        <v/>
      </c>
      <c r="CI125" s="69" t="str">
        <f>IFERROR(__xludf.DUMMYFUNCTION("IF($J125&lt;&gt;"""",IFERROR(FILTER(RawTotals!$AJ:$AJ,RawTotals!$A:$A=AY125)-(FILTER(Data!$K:$K,Data!$B:$B=AY125,Data!$D:$D=$J125)+FILTER(Data!$L:$L,Data!$B:$B=AY125,Data!$D:$D=$J125)),""""),"""")"),"")</f>
        <v/>
      </c>
      <c r="CJ125" s="69" t="str">
        <f>IFERROR(__xludf.DUMMYFUNCTION("IF($J125&lt;&gt;"""",IFERROR(FILTER(RawTotals!$AJ:$AJ,RawTotals!$A:$A=AZ125)-(FILTER(Data!$K:$K,Data!$B:$B=AZ125,Data!$D:$D=$J125)+FILTER(Data!$L:$L,Data!$B:$B=AZ125,Data!$D:$D=$J125)),""""),"""")"),"")</f>
        <v/>
      </c>
      <c r="CK125" s="69" t="str">
        <f>IFERROR(__xludf.DUMMYFUNCTION("IF($K125&lt;&gt;"""",IFERROR(FILTER(RawTotals!$AJ:$AJ,RawTotals!$A:$A=BA125)-(FILTER(Data!$K:$K,Data!$B:$B=BA125,Data!$D:$D=$K125)+FILTER(Data!$L:$L,Data!$B:$B=BA125,Data!$D:$D=$K125)),""""),"""")"),"")</f>
        <v/>
      </c>
      <c r="CL125" s="69" t="str">
        <f>IFERROR(__xludf.DUMMYFUNCTION("IF($K125&lt;&gt;"""",IFERROR(FILTER(RawTotals!$AJ:$AJ,RawTotals!$A:$A=BB125)-(FILTER(Data!$K:$K,Data!$B:$B=BB125,Data!$D:$D=$K125)+FILTER(Data!$L:$L,Data!$B:$B=BB125,Data!$D:$D=$K125)),""""),"""")"),"")</f>
        <v/>
      </c>
      <c r="CM125" s="69" t="str">
        <f>IFERROR(__xludf.DUMMYFUNCTION("IF($K125&lt;&gt;"""",IFERROR(FILTER(RawTotals!$AJ:$AJ,RawTotals!$A:$A=BC125)-(FILTER(Data!$K:$K,Data!$B:$B=BC125,Data!$D:$D=$K125)+FILTER(Data!$L:$L,Data!$B:$B=BC125,Data!$D:$D=$K125)),""""),"""")"),"")</f>
        <v/>
      </c>
      <c r="CN125" s="69" t="str">
        <f>IFERROR(__xludf.DUMMYFUNCTION("IF($L125&lt;&gt;"""",IFERROR((FILTER(RawTotals!$AJ:$AJ,RawTotals!$A:$A=BD125)-(FILTER(Data!$K:$K,Data!$B:$B=BD125,Data!$D:$D=$L125)+FILTER(Data!$L:$L,Data!$B:$B=BD125,Data!$D:$D=$L125))),""""),"""")"),"")</f>
        <v/>
      </c>
      <c r="CO125" s="69" t="str">
        <f>IFERROR(__xludf.DUMMYFUNCTION("IF($L125&lt;&gt;"""",IFERROR((FILTER(RawTotals!$AJ:$AJ,RawTotals!$A:$A=BE125)-(FILTER(Data!$K:$K,Data!$B:$B=BE125,Data!$D:$D=$L125)+FILTER(Data!$L:$L,Data!$B:$B=BE125,Data!$D:$D=$L125))),""""),"""")"),"")</f>
        <v/>
      </c>
      <c r="CP125" s="69" t="str">
        <f>IFERROR(__xludf.DUMMYFUNCTION("IF($L125&lt;&gt;"""",IFERROR((FILTER(RawTotals!$AJ:$AJ,RawTotals!$A:$A=BF125)-(FILTER(Data!$K:$K,Data!$B:$B=BF125,Data!$D:$D=$L125)+FILTER(Data!$L:$L,Data!$B:$B=BF125,Data!$D:$D=$L125))),""""),"""")"),"")</f>
        <v/>
      </c>
      <c r="CQ125" s="69" t="str">
        <f>IFERROR(__xludf.DUMMYFUNCTION("IF($M125&lt;&gt;"""",IFERROR((FILTER(RawTotals!$AJ:$AJ,RawTotals!$A:$A=BG125)-(FILTER(Data!$K:$K,Data!$B:$B=BG125,Data!$D:$D=$M125)+FILTER(Data!$L:$L,Data!$B:$B=BG125,Data!$D:$D=$M125))),""""),"""")"),"")</f>
        <v/>
      </c>
      <c r="CR125" s="69" t="str">
        <f>IFERROR(__xludf.DUMMYFUNCTION("IF($M125&lt;&gt;"""",IFERROR((FILTER(RawTotals!$AJ:$AJ,RawTotals!$A:$A=BH125)-(FILTER(Data!$K:$K,Data!$B:$B=BH125,Data!$D:$D=$M125)+FILTER(Data!$L:$L,Data!$B:$B=BH125,Data!$D:$D=$M125))),""""),"""")"),"")</f>
        <v/>
      </c>
      <c r="CS125" s="70" t="str">
        <f>IFERROR(__xludf.DUMMYFUNCTION("IF($M125&lt;&gt;"""",IFERROR((FILTER(RawTotals!$AJ:$AJ,RawTotals!$A:$A=BI125)-(FILTER(Data!$K:$K,Data!$B:$B=BI125,Data!$D:$D=$M125)+FILTER(Data!$L:$L,Data!$B:$B=BI125,Data!$D:$D=$M125))),""""),"""")"),"")</f>
        <v/>
      </c>
      <c r="CT125" s="69"/>
      <c r="CU125" s="69"/>
      <c r="CV125" s="69"/>
      <c r="CW125" s="69"/>
      <c r="CX125" s="69"/>
      <c r="CY125" s="69"/>
      <c r="CZ125" s="69"/>
      <c r="DA125" s="69"/>
      <c r="DB125" s="69"/>
      <c r="DC125" s="69"/>
      <c r="DD125" s="69"/>
      <c r="DE125" s="69"/>
    </row>
    <row r="126">
      <c r="A126" s="65" t="str">
        <f>RawTotals!A126</f>
        <v/>
      </c>
      <c r="B126" s="68" t="str">
        <f>IFERROR(__xludf.DUMMYFUNCTION("IF(A126&lt;&gt;"""",IFERROR(TRANSPOSE(FILTER(Data!D:D,Data!B:B=A126,Data!R:R&lt;&gt;"""")),""No Defense""),"""")"),"")</f>
        <v/>
      </c>
      <c r="C126" s="65"/>
      <c r="D126" s="65"/>
      <c r="E126" s="65"/>
      <c r="F126" s="65"/>
      <c r="G126" s="65"/>
      <c r="H126" s="65"/>
      <c r="I126" s="65"/>
      <c r="J126" s="65"/>
      <c r="K126" s="65"/>
      <c r="L126" s="65"/>
      <c r="M126" s="65"/>
      <c r="N126" s="64" t="str">
        <f>IFERROR(__xludf.DUMMYFUNCTION("IFERROR(Textjoin("""",TRUE,FILTER(Data!$R:$R,Data!$D:$D=B126,Data!$B:$B=$A126)),"""")"),"")</f>
        <v/>
      </c>
      <c r="O126" s="64" t="str">
        <f>IFERROR(__xludf.DUMMYFUNCTION("IFERROR(Textjoin("""",TRUE,FILTER(Data!$R:$R,Data!$D:$D=C126,Data!$B:$B=$A126)),"""")"),"")</f>
        <v/>
      </c>
      <c r="P126" s="64" t="str">
        <f>IFERROR(__xludf.DUMMYFUNCTION("IFERROR(Textjoin("""",TRUE,FILTER(Data!$R:$R,Data!$D:$D=D126,Data!$B:$B=$A126)),"""")"),"")</f>
        <v/>
      </c>
      <c r="Q126" s="64" t="str">
        <f>IFERROR(__xludf.DUMMYFUNCTION("IFERROR(Textjoin("""",TRUE,FILTER(Data!$R:$R,Data!$D:$D=E126,Data!$B:$B=$A126)),"""")"),"")</f>
        <v/>
      </c>
      <c r="R126" s="64" t="str">
        <f>IFERROR(__xludf.DUMMYFUNCTION("IFERROR(Textjoin("""",TRUE,FILTER(Data!$R:$R,Data!$D:$D=F126,Data!$B:$B=$A126)),"""")"),"")</f>
        <v/>
      </c>
      <c r="S126" s="64" t="str">
        <f>IFERROR(__xludf.DUMMYFUNCTION("IFERROR(Textjoin("""",TRUE,FILTER(Data!$R:$R,Data!$D:$D=G126,Data!$B:$B=$A126)),"""")"),"")</f>
        <v/>
      </c>
      <c r="T126" s="64" t="str">
        <f>IFERROR(__xludf.DUMMYFUNCTION("IFERROR(Textjoin("""",TRUE,FILTER(Data!$R:$R,Data!$D:$D=H126,Data!$B:$B=$A126)),"""")"),"")</f>
        <v/>
      </c>
      <c r="U126" s="64" t="str">
        <f>IFERROR(__xludf.DUMMYFUNCTION("IFERROR(Textjoin("""",TRUE,FILTER(Data!$R:$R,Data!$D:$D=I126,Data!$B:$B=$A126)),"""")"),"")</f>
        <v/>
      </c>
      <c r="V126" s="64" t="str">
        <f>IFERROR(__xludf.DUMMYFUNCTION("IFERROR(Textjoin("""",TRUE,FILTER(Data!$R:$R,Data!$D:$D=J126,Data!$B:$B=$A126)),"""")"),"")</f>
        <v/>
      </c>
      <c r="W126" s="64" t="str">
        <f>IFERROR(__xludf.DUMMYFUNCTION("IFERROR(Textjoin("""",TRUE,FILTER(Data!$R:$R,Data!$D:$D=K126,Data!$B:$B=$A126)),"""")"),"")</f>
        <v/>
      </c>
      <c r="X126" s="64" t="str">
        <f>IFERROR(__xludf.DUMMYFUNCTION("IFERROR(Textjoin("""",TRUE,FILTER(Data!$R:$R,Data!$D:$D=L126,Data!$B:$B=$A126)),"""")"),"")</f>
        <v/>
      </c>
      <c r="Y126" s="64" t="str">
        <f>IFERROR(__xludf.DUMMYFUNCTION("IFERROR(Textjoin("""",TRUE,FILTER(Data!$R:$R,Data!$D:$D=M126,Data!$B:$B=$A126)),"""")"),"")</f>
        <v/>
      </c>
      <c r="Z126" s="64" t="str">
        <f>IFERROR(__xludf.DUMMYFUNCTION("IFERROR(SPLIT(N126,"",""),"""")"),"")</f>
        <v/>
      </c>
      <c r="AA126" s="65"/>
      <c r="AB126" s="65"/>
      <c r="AC126" s="69" t="str">
        <f>IFERROR(__xludf.DUMMYFUNCTION("IFERROR(SPLIT(O126,"",""),"""")"),"")</f>
        <v/>
      </c>
      <c r="AD126" s="65"/>
      <c r="AE126" s="65"/>
      <c r="AF126" s="69" t="str">
        <f>IFERROR(__xludf.DUMMYFUNCTION("IFERROR(SPLIT(P126,"",""),"""")"),"")</f>
        <v/>
      </c>
      <c r="AG126" s="65"/>
      <c r="AH126" s="65"/>
      <c r="AI126" s="69" t="str">
        <f>IFERROR(__xludf.DUMMYFUNCTION("IFERROR(SPLIT(Q126,"",""),"""")"),"")</f>
        <v/>
      </c>
      <c r="AJ126" s="65"/>
      <c r="AK126" s="65"/>
      <c r="AL126" s="69" t="str">
        <f>IFERROR(__xludf.DUMMYFUNCTION("IFERROR(SPLIT(R126,"",""),"""")"),"")</f>
        <v/>
      </c>
      <c r="AM126" s="65"/>
      <c r="AN126" s="65"/>
      <c r="AO126" s="69" t="str">
        <f>IFERROR(__xludf.DUMMYFUNCTION("IFERROR(SPLIT(S126,"",""),"""")"),"")</f>
        <v/>
      </c>
      <c r="AP126" s="65"/>
      <c r="AQ126" s="65"/>
      <c r="AR126" s="69" t="str">
        <f>IFERROR(__xludf.DUMMYFUNCTION("IFERROR(SPLIT(T126,"",""),"""")"),"")</f>
        <v/>
      </c>
      <c r="AS126" s="65"/>
      <c r="AT126" s="65"/>
      <c r="AU126" s="69" t="str">
        <f>IFERROR(__xludf.DUMMYFUNCTION("IFERROR(SPLIT(U126,"",""),"""")"),"")</f>
        <v/>
      </c>
      <c r="AV126" s="65"/>
      <c r="AW126" s="65"/>
      <c r="AX126" s="69" t="str">
        <f>IFERROR(__xludf.DUMMYFUNCTION("IFERROR(SPLIT(V126,"",""),"""")"),"")</f>
        <v/>
      </c>
      <c r="AY126" s="65"/>
      <c r="AZ126" s="65"/>
      <c r="BA126" s="69" t="str">
        <f>IFERROR(__xludf.DUMMYFUNCTION("IFERROR(SPLIT(W126,"",""),"""")"),"")</f>
        <v/>
      </c>
      <c r="BB126" s="69"/>
      <c r="BC126" s="69"/>
      <c r="BD126" s="69" t="str">
        <f>IFERROR(__xludf.DUMMYFUNCTION("IFERROR(SPLIT(X126,"",""),"""")"),"")</f>
        <v/>
      </c>
      <c r="BE126" s="69"/>
      <c r="BF126" s="69"/>
      <c r="BG126" s="69" t="str">
        <f>IFERROR(__xludf.DUMMYFUNCTION("IFERROR(SPLIT(Y126,"",""),"""")"),"")</f>
        <v/>
      </c>
      <c r="BH126" s="69"/>
      <c r="BI126" s="69"/>
      <c r="BJ126" s="68" t="str">
        <f>IFERROR(__xludf.DUMMYFUNCTION("IF($B126&lt;&gt;"""",IFERROR(FILTER(RawTotals!$AJ:$AJ,RawTotals!$A:$A=Z126)-(FILTER(Data!$K:$K,Data!$B:$B=Z126,Data!$D:$D=$B126)+FILTER(Data!$L:$L,Data!$B:$B=Z126,Data!$D:$D=$B126)),""""),"""")"),"")</f>
        <v/>
      </c>
      <c r="BK126" s="68" t="str">
        <f>IFERROR(__xludf.DUMMYFUNCTION("IF($B126&lt;&gt;"""",IFERROR(FILTER(RawTotals!$AJ:$AJ,RawTotals!$A:$A=AA126)-(FILTER(Data!$K:$K,Data!$B:$B=AA126,Data!$D:$D=$B126)+FILTER(Data!$L:$L,Data!$B:$B=AA126,Data!$D:$D=$B126)),""""),"""")"),"")</f>
        <v/>
      </c>
      <c r="BL126" s="68" t="str">
        <f>IFERROR(__xludf.DUMMYFUNCTION("IF($B126&lt;&gt;"""",IFERROR(FILTER(RawTotals!$AJ:$AJ,RawTotals!$A:$A=AB126)-(FILTER(Data!$K:$K,Data!$B:$B=AB126,Data!$D:$D=$B126)+FILTER(Data!$L:$L,Data!$B:$B=AB126,Data!$D:$D=$B126)),""""),"""")"),"")</f>
        <v/>
      </c>
      <c r="BM126" s="69" t="str">
        <f>IFERROR(__xludf.DUMMYFUNCTION("IF($C126&lt;&gt;"""",IFERROR(FILTER(RawTotals!$AJ:$AJ,RawTotals!$A:$A=AC126)-(FILTER(Data!$K:$K,Data!$B:$B=AC126,Data!$D:$D=$C126)+FILTER(Data!$L:$L,Data!$B:$B=AC126,Data!$D:$D=$C126)),""""),"""")"),"")</f>
        <v/>
      </c>
      <c r="BN126" s="69" t="str">
        <f>IFERROR(__xludf.DUMMYFUNCTION("IF($C126&lt;&gt;"""",IFERROR(FILTER(RawTotals!$AJ:$AJ,RawTotals!$A:$A=AD126)-(FILTER(Data!$K:$K,Data!$B:$B=AD126,Data!$D:$D=$C126)+FILTER(Data!$L:$L,Data!$B:$B=AD126,Data!$D:$D=$C126)),""""),"""")"),"")</f>
        <v/>
      </c>
      <c r="BO126" s="69" t="str">
        <f>IFERROR(__xludf.DUMMYFUNCTION("IF($C126&lt;&gt;"""",IFERROR(FILTER(RawTotals!$AJ:$AJ,RawTotals!$A:$A=AE126)-(FILTER(Data!$K:$K,Data!$B:$B=AE126,Data!$D:$D=$C126)+FILTER(Data!$L:$L,Data!$B:$B=AE126,Data!$D:$D=$C126)),""""),"""")"),"")</f>
        <v/>
      </c>
      <c r="BP126" s="69" t="str">
        <f>IFERROR(__xludf.DUMMYFUNCTION("IF($D126&lt;&gt;"""",IFERROR(FILTER(RawTotals!$AJ:$AJ,RawTotals!$A:$A=AF126)-(FILTER(Data!$K:$K,Data!$B:$B=AF126,Data!$D:$D=$D126)+FILTER(Data!$L:$L,Data!$B:$B=AF126,Data!$D:$D=$D126)),""""),"""")"),"")</f>
        <v/>
      </c>
      <c r="BQ126" s="69" t="str">
        <f>IFERROR(__xludf.DUMMYFUNCTION("IF($D126&lt;&gt;"""",IFERROR(FILTER(RawTotals!$AJ:$AJ,RawTotals!$A:$A=AG126)-(FILTER(Data!$K:$K,Data!$B:$B=AG126,Data!$D:$D=$D126)+FILTER(Data!$L:$L,Data!$B:$B=AG126,Data!$D:$D=$D126)),""""),"""")"),"")</f>
        <v/>
      </c>
      <c r="BR126" s="69" t="str">
        <f>IFERROR(__xludf.DUMMYFUNCTION("IF($D126&lt;&gt;"""",IFERROR(FILTER(RawTotals!$AJ:$AJ,RawTotals!$A:$A=AH126)-(FILTER(Data!$K:$K,Data!$B:$B=AH126,Data!$D:$D=$D126)+FILTER(Data!$L:$L,Data!$B:$B=AH126,Data!$D:$D=$D126)),""""),"""")"),"")</f>
        <v/>
      </c>
      <c r="BS126" s="69" t="str">
        <f>IFERROR(__xludf.DUMMYFUNCTION("IF($E126&lt;&gt;"""",IFERROR(FILTER(RawTotals!$AJ:$AJ,RawTotals!$A:$A=AI126)-(FILTER(Data!$K:$K,Data!$B:$B=AI126,Data!$D:$D=$E126)+FILTER(Data!$L:$L,Data!$B:$B=AI126,Data!$D:$D=$E126)),""""),"""")"),"")</f>
        <v/>
      </c>
      <c r="BT126" s="69" t="str">
        <f>IFERROR(__xludf.DUMMYFUNCTION("IF($E126&lt;&gt;"""",IFERROR(FILTER(RawTotals!$AJ:$AJ,RawTotals!$A:$A=AJ126)-(FILTER(Data!$K:$K,Data!$B:$B=AJ126,Data!$D:$D=$E126)+FILTER(Data!$L:$L,Data!$B:$B=AJ126,Data!$D:$D=$E126)),""""),"""")"),"")</f>
        <v/>
      </c>
      <c r="BU126" s="69" t="str">
        <f>IFERROR(__xludf.DUMMYFUNCTION("IF($E126&lt;&gt;"""",IFERROR(FILTER(RawTotals!$AJ:$AJ,RawTotals!$A:$A=AK126)-(FILTER(Data!$K:$K,Data!$B:$B=AK126,Data!$D:$D=$E126)+FILTER(Data!$L:$L,Data!$B:$B=AK126,Data!$D:$D=$E126)),""""),"""")"),"")</f>
        <v/>
      </c>
      <c r="BV126" s="69" t="str">
        <f>IFERROR(__xludf.DUMMYFUNCTION("IF($F126&lt;&gt;"""",IFERROR(FILTER(RawTotals!$AJ:$AJ,RawTotals!$A:$A=AL126)-(FILTER(Data!$K:$K,Data!$B:$B=AL126,Data!$D:$D=$F126)+FILTER(Data!$L:$L,Data!$B:$B=AL126,Data!$D:$D=$F126)),""""),"""")"),"")</f>
        <v/>
      </c>
      <c r="BW126" s="69" t="str">
        <f>IFERROR(__xludf.DUMMYFUNCTION("IF($F126&lt;&gt;"""",IFERROR(FILTER(RawTotals!$AJ:$AJ,RawTotals!$A:$A=AM126)-(FILTER(Data!$K:$K,Data!$B:$B=AM126,Data!$D:$D=$F126)+FILTER(Data!$L:$L,Data!$B:$B=AM126,Data!$D:$D=$F126)),""""),"""")"),"")</f>
        <v/>
      </c>
      <c r="BX126" s="69" t="str">
        <f>IFERROR(__xludf.DUMMYFUNCTION("IF($F126&lt;&gt;"""",IFERROR(FILTER(RawTotals!$AJ:$AJ,RawTotals!$A:$A=AN126)-(FILTER(Data!$K:$K,Data!$B:$B=AN126,Data!$D:$D=$F126)+FILTER(Data!$L:$L,Data!$B:$B=AN126,Data!$D:$D=$F126)),""""),"""")"),"")</f>
        <v/>
      </c>
      <c r="BY126" s="69" t="str">
        <f>IFERROR(__xludf.DUMMYFUNCTION("IF($G126&lt;&gt;"""",IFERROR(FILTER(RawTotals!$AJ:$AJ,RawTotals!$A:$A=AO126)-(FILTER(Data!$K:$K,Data!$B:$B=AO126,Data!$D:$D=$G126)+FILTER(Data!$L:$L,Data!$B:$B=AO126,Data!$D:$D=$G126)),""""),"""")"),"")</f>
        <v/>
      </c>
      <c r="BZ126" s="69" t="str">
        <f>IFERROR(__xludf.DUMMYFUNCTION("IF($G126&lt;&gt;"""",IFERROR(FILTER(RawTotals!$AJ:$AJ,RawTotals!$A:$A=AP126)-(FILTER(Data!$K:$K,Data!$B:$B=AP126,Data!$D:$D=$G126)+FILTER(Data!$L:$L,Data!$B:$B=AP126,Data!$D:$D=$G126)),""""),"""")"),"")</f>
        <v/>
      </c>
      <c r="CA126" s="69" t="str">
        <f>IFERROR(__xludf.DUMMYFUNCTION("IF($G126&lt;&gt;"""",IFERROR(FILTER(RawTotals!$AJ:$AJ,RawTotals!$A:$A=AQ126)-(FILTER(Data!$K:$K,Data!$B:$B=AQ126,Data!$D:$D=$G126)+FILTER(Data!$L:$L,Data!$B:$B=AQ126,Data!$D:$D=$G126)),""""),"""")"),"")</f>
        <v/>
      </c>
      <c r="CB126" s="69" t="str">
        <f>IFERROR(__xludf.DUMMYFUNCTION("IF($H126&lt;&gt;"""",IFERROR(FILTER(RawTotals!$AJ:$AJ,RawTotals!$A:$A=AR126)-(FILTER(Data!$K:$K,Data!$B:$B=AR126,Data!$D:$D=$H126)+FILTER(Data!$L:$L,Data!$B:$B=AR126,Data!$D:$D=$H126)),""""),"""")"),"")</f>
        <v/>
      </c>
      <c r="CC126" s="69" t="str">
        <f>IFERROR(__xludf.DUMMYFUNCTION("IF($H126&lt;&gt;"""",IFERROR(FILTER(RawTotals!$AJ:$AJ,RawTotals!$A:$A=AS126)-(FILTER(Data!$K:$K,Data!$B:$B=AS126,Data!$D:$D=$H126)+FILTER(Data!$L:$L,Data!$B:$B=AS126,Data!$D:$D=$H126)),""""),"""")"),"")</f>
        <v/>
      </c>
      <c r="CD126" s="69" t="str">
        <f>IFERROR(__xludf.DUMMYFUNCTION("IF($H126&lt;&gt;"""",IFERROR(FILTER(RawTotals!$AJ:$AJ,RawTotals!$A:$A=AT126)-(FILTER(Data!$K:$K,Data!$B:$B=AT126,Data!$D:$D=$H126)+FILTER(Data!$L:$L,Data!$B:$B=AT126,Data!$D:$D=$H126)),""""),"""")"),"")</f>
        <v/>
      </c>
      <c r="CE126" s="69" t="str">
        <f>IFERROR(__xludf.DUMMYFUNCTION("IF($I126&lt;&gt;"""",IFERROR(FILTER(RawTotals!$AJ:$AJ,RawTotals!$A:$A=AU126)-(FILTER(Data!$K:$K,Data!$B:$B=AU126,Data!$D:$D=$I126)+FILTER(Data!$L:$L,Data!$B:$B=AU126,Data!$D:$D=$I126)),""""),"""")"),"")</f>
        <v/>
      </c>
      <c r="CF126" s="69" t="str">
        <f>IFERROR(__xludf.DUMMYFUNCTION("IF($I126&lt;&gt;"""",IFERROR(FILTER(RawTotals!$AJ:$AJ,RawTotals!$A:$A=AV126)-(FILTER(Data!$K:$K,Data!$B:$B=AV126,Data!$D:$D=$I126)+FILTER(Data!$L:$L,Data!$B:$B=AV126,Data!$D:$D=$I126)),""""),"""")"),"")</f>
        <v/>
      </c>
      <c r="CG126" s="69" t="str">
        <f>IFERROR(__xludf.DUMMYFUNCTION("IF($I126&lt;&gt;"""",IFERROR(FILTER(RawTotals!$AJ:$AJ,RawTotals!$A:$A=AW126)-(FILTER(Data!$K:$K,Data!$B:$B=AW126,Data!$D:$D=$I126)+FILTER(Data!$L:$L,Data!$B:$B=AW126,Data!$D:$D=$I126)),""""),"""")"),"")</f>
        <v/>
      </c>
      <c r="CH126" s="69" t="str">
        <f>IFERROR(__xludf.DUMMYFUNCTION("IF($J126&lt;&gt;"""",IFERROR(FILTER(RawTotals!$AJ:$AJ,RawTotals!$A:$A=AX126)-(FILTER(Data!$K:$K,Data!$B:$B=AX126,Data!$D:$D=$J126)+FILTER(Data!$L:$L,Data!$B:$B=AX126,Data!$D:$D=$J126)),""""),"""")"),"")</f>
        <v/>
      </c>
      <c r="CI126" s="69" t="str">
        <f>IFERROR(__xludf.DUMMYFUNCTION("IF($J126&lt;&gt;"""",IFERROR(FILTER(RawTotals!$AJ:$AJ,RawTotals!$A:$A=AY126)-(FILTER(Data!$K:$K,Data!$B:$B=AY126,Data!$D:$D=$J126)+FILTER(Data!$L:$L,Data!$B:$B=AY126,Data!$D:$D=$J126)),""""),"""")"),"")</f>
        <v/>
      </c>
      <c r="CJ126" s="69" t="str">
        <f>IFERROR(__xludf.DUMMYFUNCTION("IF($J126&lt;&gt;"""",IFERROR(FILTER(RawTotals!$AJ:$AJ,RawTotals!$A:$A=AZ126)-(FILTER(Data!$K:$K,Data!$B:$B=AZ126,Data!$D:$D=$J126)+FILTER(Data!$L:$L,Data!$B:$B=AZ126,Data!$D:$D=$J126)),""""),"""")"),"")</f>
        <v/>
      </c>
      <c r="CK126" s="69" t="str">
        <f>IFERROR(__xludf.DUMMYFUNCTION("IF($K126&lt;&gt;"""",IFERROR(FILTER(RawTotals!$AJ:$AJ,RawTotals!$A:$A=BA126)-(FILTER(Data!$K:$K,Data!$B:$B=BA126,Data!$D:$D=$K126)+FILTER(Data!$L:$L,Data!$B:$B=BA126,Data!$D:$D=$K126)),""""),"""")"),"")</f>
        <v/>
      </c>
      <c r="CL126" s="69" t="str">
        <f>IFERROR(__xludf.DUMMYFUNCTION("IF($K126&lt;&gt;"""",IFERROR(FILTER(RawTotals!$AJ:$AJ,RawTotals!$A:$A=BB126)-(FILTER(Data!$K:$K,Data!$B:$B=BB126,Data!$D:$D=$K126)+FILTER(Data!$L:$L,Data!$B:$B=BB126,Data!$D:$D=$K126)),""""),"""")"),"")</f>
        <v/>
      </c>
      <c r="CM126" s="69" t="str">
        <f>IFERROR(__xludf.DUMMYFUNCTION("IF($K126&lt;&gt;"""",IFERROR(FILTER(RawTotals!$AJ:$AJ,RawTotals!$A:$A=BC126)-(FILTER(Data!$K:$K,Data!$B:$B=BC126,Data!$D:$D=$K126)+FILTER(Data!$L:$L,Data!$B:$B=BC126,Data!$D:$D=$K126)),""""),"""")"),"")</f>
        <v/>
      </c>
      <c r="CN126" s="69" t="str">
        <f>IFERROR(__xludf.DUMMYFUNCTION("IF($L126&lt;&gt;"""",IFERROR((FILTER(RawTotals!$AJ:$AJ,RawTotals!$A:$A=BD126)-(FILTER(Data!$K:$K,Data!$B:$B=BD126,Data!$D:$D=$L126)+FILTER(Data!$L:$L,Data!$B:$B=BD126,Data!$D:$D=$L126))),""""),"""")"),"")</f>
        <v/>
      </c>
      <c r="CO126" s="69" t="str">
        <f>IFERROR(__xludf.DUMMYFUNCTION("IF($L126&lt;&gt;"""",IFERROR((FILTER(RawTotals!$AJ:$AJ,RawTotals!$A:$A=BE126)-(FILTER(Data!$K:$K,Data!$B:$B=BE126,Data!$D:$D=$L126)+FILTER(Data!$L:$L,Data!$B:$B=BE126,Data!$D:$D=$L126))),""""),"""")"),"")</f>
        <v/>
      </c>
      <c r="CP126" s="69" t="str">
        <f>IFERROR(__xludf.DUMMYFUNCTION("IF($L126&lt;&gt;"""",IFERROR((FILTER(RawTotals!$AJ:$AJ,RawTotals!$A:$A=BF126)-(FILTER(Data!$K:$K,Data!$B:$B=BF126,Data!$D:$D=$L126)+FILTER(Data!$L:$L,Data!$B:$B=BF126,Data!$D:$D=$L126))),""""),"""")"),"")</f>
        <v/>
      </c>
      <c r="CQ126" s="69" t="str">
        <f>IFERROR(__xludf.DUMMYFUNCTION("IF($M126&lt;&gt;"""",IFERROR((FILTER(RawTotals!$AJ:$AJ,RawTotals!$A:$A=BG126)-(FILTER(Data!$K:$K,Data!$B:$B=BG126,Data!$D:$D=$M126)+FILTER(Data!$L:$L,Data!$B:$B=BG126,Data!$D:$D=$M126))),""""),"""")"),"")</f>
        <v/>
      </c>
      <c r="CR126" s="69" t="str">
        <f>IFERROR(__xludf.DUMMYFUNCTION("IF($M126&lt;&gt;"""",IFERROR((FILTER(RawTotals!$AJ:$AJ,RawTotals!$A:$A=BH126)-(FILTER(Data!$K:$K,Data!$B:$B=BH126,Data!$D:$D=$M126)+FILTER(Data!$L:$L,Data!$B:$B=BH126,Data!$D:$D=$M126))),""""),"""")"),"")</f>
        <v/>
      </c>
      <c r="CS126" s="70" t="str">
        <f>IFERROR(__xludf.DUMMYFUNCTION("IF($M126&lt;&gt;"""",IFERROR((FILTER(RawTotals!$AJ:$AJ,RawTotals!$A:$A=BI126)-(FILTER(Data!$K:$K,Data!$B:$B=BI126,Data!$D:$D=$M126)+FILTER(Data!$L:$L,Data!$B:$B=BI126,Data!$D:$D=$M126))),""""),"""")"),"")</f>
        <v/>
      </c>
      <c r="CT126" s="69"/>
      <c r="CU126" s="69"/>
      <c r="CV126" s="69"/>
      <c r="CW126" s="69"/>
      <c r="CX126" s="69"/>
      <c r="CY126" s="69"/>
      <c r="CZ126" s="69"/>
      <c r="DA126" s="69"/>
      <c r="DB126" s="69"/>
      <c r="DC126" s="69"/>
      <c r="DD126" s="69"/>
      <c r="DE126" s="69"/>
    </row>
    <row r="127">
      <c r="A127" s="65" t="str">
        <f>RawTotals!A127</f>
        <v/>
      </c>
      <c r="B127" s="68" t="str">
        <f>IFERROR(__xludf.DUMMYFUNCTION("IF(A127&lt;&gt;"""",IFERROR(TRANSPOSE(FILTER(Data!D:D,Data!B:B=A127,Data!R:R&lt;&gt;"""")),""No Defense""),"""")"),"")</f>
        <v/>
      </c>
      <c r="C127" s="65"/>
      <c r="D127" s="65"/>
      <c r="E127" s="65"/>
      <c r="F127" s="65"/>
      <c r="G127" s="65"/>
      <c r="H127" s="65"/>
      <c r="I127" s="65"/>
      <c r="J127" s="65"/>
      <c r="K127" s="65"/>
      <c r="L127" s="65"/>
      <c r="M127" s="65"/>
      <c r="N127" s="64" t="str">
        <f>IFERROR(__xludf.DUMMYFUNCTION("IFERROR(Textjoin("""",TRUE,FILTER(Data!$R:$R,Data!$D:$D=B127,Data!$B:$B=$A127)),"""")"),"")</f>
        <v/>
      </c>
      <c r="O127" s="64" t="str">
        <f>IFERROR(__xludf.DUMMYFUNCTION("IFERROR(Textjoin("""",TRUE,FILTER(Data!$R:$R,Data!$D:$D=C127,Data!$B:$B=$A127)),"""")"),"")</f>
        <v/>
      </c>
      <c r="P127" s="64" t="str">
        <f>IFERROR(__xludf.DUMMYFUNCTION("IFERROR(Textjoin("""",TRUE,FILTER(Data!$R:$R,Data!$D:$D=D127,Data!$B:$B=$A127)),"""")"),"")</f>
        <v/>
      </c>
      <c r="Q127" s="64" t="str">
        <f>IFERROR(__xludf.DUMMYFUNCTION("IFERROR(Textjoin("""",TRUE,FILTER(Data!$R:$R,Data!$D:$D=E127,Data!$B:$B=$A127)),"""")"),"")</f>
        <v/>
      </c>
      <c r="R127" s="64" t="str">
        <f>IFERROR(__xludf.DUMMYFUNCTION("IFERROR(Textjoin("""",TRUE,FILTER(Data!$R:$R,Data!$D:$D=F127,Data!$B:$B=$A127)),"""")"),"")</f>
        <v/>
      </c>
      <c r="S127" s="64" t="str">
        <f>IFERROR(__xludf.DUMMYFUNCTION("IFERROR(Textjoin("""",TRUE,FILTER(Data!$R:$R,Data!$D:$D=G127,Data!$B:$B=$A127)),"""")"),"")</f>
        <v/>
      </c>
      <c r="T127" s="64" t="str">
        <f>IFERROR(__xludf.DUMMYFUNCTION("IFERROR(Textjoin("""",TRUE,FILTER(Data!$R:$R,Data!$D:$D=H127,Data!$B:$B=$A127)),"""")"),"")</f>
        <v/>
      </c>
      <c r="U127" s="64" t="str">
        <f>IFERROR(__xludf.DUMMYFUNCTION("IFERROR(Textjoin("""",TRUE,FILTER(Data!$R:$R,Data!$D:$D=I127,Data!$B:$B=$A127)),"""")"),"")</f>
        <v/>
      </c>
      <c r="V127" s="64" t="str">
        <f>IFERROR(__xludf.DUMMYFUNCTION("IFERROR(Textjoin("""",TRUE,FILTER(Data!$R:$R,Data!$D:$D=J127,Data!$B:$B=$A127)),"""")"),"")</f>
        <v/>
      </c>
      <c r="W127" s="64" t="str">
        <f>IFERROR(__xludf.DUMMYFUNCTION("IFERROR(Textjoin("""",TRUE,FILTER(Data!$R:$R,Data!$D:$D=K127,Data!$B:$B=$A127)),"""")"),"")</f>
        <v/>
      </c>
      <c r="X127" s="64" t="str">
        <f>IFERROR(__xludf.DUMMYFUNCTION("IFERROR(Textjoin("""",TRUE,FILTER(Data!$R:$R,Data!$D:$D=L127,Data!$B:$B=$A127)),"""")"),"")</f>
        <v/>
      </c>
      <c r="Y127" s="64" t="str">
        <f>IFERROR(__xludf.DUMMYFUNCTION("IFERROR(Textjoin("""",TRUE,FILTER(Data!$R:$R,Data!$D:$D=M127,Data!$B:$B=$A127)),"""")"),"")</f>
        <v/>
      </c>
      <c r="Z127" s="64" t="str">
        <f>IFERROR(__xludf.DUMMYFUNCTION("IFERROR(SPLIT(N127,"",""),"""")"),"")</f>
        <v/>
      </c>
      <c r="AA127" s="65"/>
      <c r="AB127" s="65"/>
      <c r="AC127" s="69" t="str">
        <f>IFERROR(__xludf.DUMMYFUNCTION("IFERROR(SPLIT(O127,"",""),"""")"),"")</f>
        <v/>
      </c>
      <c r="AD127" s="65"/>
      <c r="AE127" s="65"/>
      <c r="AF127" s="69" t="str">
        <f>IFERROR(__xludf.DUMMYFUNCTION("IFERROR(SPLIT(P127,"",""),"""")"),"")</f>
        <v/>
      </c>
      <c r="AG127" s="65"/>
      <c r="AH127" s="65"/>
      <c r="AI127" s="69" t="str">
        <f>IFERROR(__xludf.DUMMYFUNCTION("IFERROR(SPLIT(Q127,"",""),"""")"),"")</f>
        <v/>
      </c>
      <c r="AJ127" s="65"/>
      <c r="AK127" s="65"/>
      <c r="AL127" s="69" t="str">
        <f>IFERROR(__xludf.DUMMYFUNCTION("IFERROR(SPLIT(R127,"",""),"""")"),"")</f>
        <v/>
      </c>
      <c r="AM127" s="65"/>
      <c r="AN127" s="65"/>
      <c r="AO127" s="69" t="str">
        <f>IFERROR(__xludf.DUMMYFUNCTION("IFERROR(SPLIT(S127,"",""),"""")"),"")</f>
        <v/>
      </c>
      <c r="AP127" s="65"/>
      <c r="AQ127" s="65"/>
      <c r="AR127" s="69" t="str">
        <f>IFERROR(__xludf.DUMMYFUNCTION("IFERROR(SPLIT(T127,"",""),"""")"),"")</f>
        <v/>
      </c>
      <c r="AS127" s="65"/>
      <c r="AT127" s="65"/>
      <c r="AU127" s="69" t="str">
        <f>IFERROR(__xludf.DUMMYFUNCTION("IFERROR(SPLIT(U127,"",""),"""")"),"")</f>
        <v/>
      </c>
      <c r="AV127" s="65"/>
      <c r="AW127" s="65"/>
      <c r="AX127" s="69" t="str">
        <f>IFERROR(__xludf.DUMMYFUNCTION("IFERROR(SPLIT(V127,"",""),"""")"),"")</f>
        <v/>
      </c>
      <c r="AY127" s="65"/>
      <c r="AZ127" s="65"/>
      <c r="BA127" s="69" t="str">
        <f>IFERROR(__xludf.DUMMYFUNCTION("IFERROR(SPLIT(W127,"",""),"""")"),"")</f>
        <v/>
      </c>
      <c r="BB127" s="69"/>
      <c r="BC127" s="69"/>
      <c r="BD127" s="69" t="str">
        <f>IFERROR(__xludf.DUMMYFUNCTION("IFERROR(SPLIT(X127,"",""),"""")"),"")</f>
        <v/>
      </c>
      <c r="BE127" s="69"/>
      <c r="BF127" s="69"/>
      <c r="BG127" s="69" t="str">
        <f>IFERROR(__xludf.DUMMYFUNCTION("IFERROR(SPLIT(Y127,"",""),"""")"),"")</f>
        <v/>
      </c>
      <c r="BH127" s="69"/>
      <c r="BI127" s="69"/>
      <c r="BJ127" s="68" t="str">
        <f>IFERROR(__xludf.DUMMYFUNCTION("IF($B127&lt;&gt;"""",IFERROR(FILTER(RawTotals!$AJ:$AJ,RawTotals!$A:$A=Z127)-(FILTER(Data!$K:$K,Data!$B:$B=Z127,Data!$D:$D=$B127)+FILTER(Data!$L:$L,Data!$B:$B=Z127,Data!$D:$D=$B127)),""""),"""")"),"")</f>
        <v/>
      </c>
      <c r="BK127" s="68" t="str">
        <f>IFERROR(__xludf.DUMMYFUNCTION("IF($B127&lt;&gt;"""",IFERROR(FILTER(RawTotals!$AJ:$AJ,RawTotals!$A:$A=AA127)-(FILTER(Data!$K:$K,Data!$B:$B=AA127,Data!$D:$D=$B127)+FILTER(Data!$L:$L,Data!$B:$B=AA127,Data!$D:$D=$B127)),""""),"""")"),"")</f>
        <v/>
      </c>
      <c r="BL127" s="68" t="str">
        <f>IFERROR(__xludf.DUMMYFUNCTION("IF($B127&lt;&gt;"""",IFERROR(FILTER(RawTotals!$AJ:$AJ,RawTotals!$A:$A=AB127)-(FILTER(Data!$K:$K,Data!$B:$B=AB127,Data!$D:$D=$B127)+FILTER(Data!$L:$L,Data!$B:$B=AB127,Data!$D:$D=$B127)),""""),"""")"),"")</f>
        <v/>
      </c>
      <c r="BM127" s="69" t="str">
        <f>IFERROR(__xludf.DUMMYFUNCTION("IF($C127&lt;&gt;"""",IFERROR(FILTER(RawTotals!$AJ:$AJ,RawTotals!$A:$A=AC127)-(FILTER(Data!$K:$K,Data!$B:$B=AC127,Data!$D:$D=$C127)+FILTER(Data!$L:$L,Data!$B:$B=AC127,Data!$D:$D=$C127)),""""),"""")"),"")</f>
        <v/>
      </c>
      <c r="BN127" s="69" t="str">
        <f>IFERROR(__xludf.DUMMYFUNCTION("IF($C127&lt;&gt;"""",IFERROR(FILTER(RawTotals!$AJ:$AJ,RawTotals!$A:$A=AD127)-(FILTER(Data!$K:$K,Data!$B:$B=AD127,Data!$D:$D=$C127)+FILTER(Data!$L:$L,Data!$B:$B=AD127,Data!$D:$D=$C127)),""""),"""")"),"")</f>
        <v/>
      </c>
      <c r="BO127" s="69" t="str">
        <f>IFERROR(__xludf.DUMMYFUNCTION("IF($C127&lt;&gt;"""",IFERROR(FILTER(RawTotals!$AJ:$AJ,RawTotals!$A:$A=AE127)-(FILTER(Data!$K:$K,Data!$B:$B=AE127,Data!$D:$D=$C127)+FILTER(Data!$L:$L,Data!$B:$B=AE127,Data!$D:$D=$C127)),""""),"""")"),"")</f>
        <v/>
      </c>
      <c r="BP127" s="69" t="str">
        <f>IFERROR(__xludf.DUMMYFUNCTION("IF($D127&lt;&gt;"""",IFERROR(FILTER(RawTotals!$AJ:$AJ,RawTotals!$A:$A=AF127)-(FILTER(Data!$K:$K,Data!$B:$B=AF127,Data!$D:$D=$D127)+FILTER(Data!$L:$L,Data!$B:$B=AF127,Data!$D:$D=$D127)),""""),"""")"),"")</f>
        <v/>
      </c>
      <c r="BQ127" s="69" t="str">
        <f>IFERROR(__xludf.DUMMYFUNCTION("IF($D127&lt;&gt;"""",IFERROR(FILTER(RawTotals!$AJ:$AJ,RawTotals!$A:$A=AG127)-(FILTER(Data!$K:$K,Data!$B:$B=AG127,Data!$D:$D=$D127)+FILTER(Data!$L:$L,Data!$B:$B=AG127,Data!$D:$D=$D127)),""""),"""")"),"")</f>
        <v/>
      </c>
      <c r="BR127" s="69" t="str">
        <f>IFERROR(__xludf.DUMMYFUNCTION("IF($D127&lt;&gt;"""",IFERROR(FILTER(RawTotals!$AJ:$AJ,RawTotals!$A:$A=AH127)-(FILTER(Data!$K:$K,Data!$B:$B=AH127,Data!$D:$D=$D127)+FILTER(Data!$L:$L,Data!$B:$B=AH127,Data!$D:$D=$D127)),""""),"""")"),"")</f>
        <v/>
      </c>
      <c r="BS127" s="69" t="str">
        <f>IFERROR(__xludf.DUMMYFUNCTION("IF($E127&lt;&gt;"""",IFERROR(FILTER(RawTotals!$AJ:$AJ,RawTotals!$A:$A=AI127)-(FILTER(Data!$K:$K,Data!$B:$B=AI127,Data!$D:$D=$E127)+FILTER(Data!$L:$L,Data!$B:$B=AI127,Data!$D:$D=$E127)),""""),"""")"),"")</f>
        <v/>
      </c>
      <c r="BT127" s="69" t="str">
        <f>IFERROR(__xludf.DUMMYFUNCTION("IF($E127&lt;&gt;"""",IFERROR(FILTER(RawTotals!$AJ:$AJ,RawTotals!$A:$A=AJ127)-(FILTER(Data!$K:$K,Data!$B:$B=AJ127,Data!$D:$D=$E127)+FILTER(Data!$L:$L,Data!$B:$B=AJ127,Data!$D:$D=$E127)),""""),"""")"),"")</f>
        <v/>
      </c>
      <c r="BU127" s="69" t="str">
        <f>IFERROR(__xludf.DUMMYFUNCTION("IF($E127&lt;&gt;"""",IFERROR(FILTER(RawTotals!$AJ:$AJ,RawTotals!$A:$A=AK127)-(FILTER(Data!$K:$K,Data!$B:$B=AK127,Data!$D:$D=$E127)+FILTER(Data!$L:$L,Data!$B:$B=AK127,Data!$D:$D=$E127)),""""),"""")"),"")</f>
        <v/>
      </c>
      <c r="BV127" s="69" t="str">
        <f>IFERROR(__xludf.DUMMYFUNCTION("IF($F127&lt;&gt;"""",IFERROR(FILTER(RawTotals!$AJ:$AJ,RawTotals!$A:$A=AL127)-(FILTER(Data!$K:$K,Data!$B:$B=AL127,Data!$D:$D=$F127)+FILTER(Data!$L:$L,Data!$B:$B=AL127,Data!$D:$D=$F127)),""""),"""")"),"")</f>
        <v/>
      </c>
      <c r="BW127" s="69" t="str">
        <f>IFERROR(__xludf.DUMMYFUNCTION("IF($F127&lt;&gt;"""",IFERROR(FILTER(RawTotals!$AJ:$AJ,RawTotals!$A:$A=AM127)-(FILTER(Data!$K:$K,Data!$B:$B=AM127,Data!$D:$D=$F127)+FILTER(Data!$L:$L,Data!$B:$B=AM127,Data!$D:$D=$F127)),""""),"""")"),"")</f>
        <v/>
      </c>
      <c r="BX127" s="69" t="str">
        <f>IFERROR(__xludf.DUMMYFUNCTION("IF($F127&lt;&gt;"""",IFERROR(FILTER(RawTotals!$AJ:$AJ,RawTotals!$A:$A=AN127)-(FILTER(Data!$K:$K,Data!$B:$B=AN127,Data!$D:$D=$F127)+FILTER(Data!$L:$L,Data!$B:$B=AN127,Data!$D:$D=$F127)),""""),"""")"),"")</f>
        <v/>
      </c>
      <c r="BY127" s="69" t="str">
        <f>IFERROR(__xludf.DUMMYFUNCTION("IF($G127&lt;&gt;"""",IFERROR(FILTER(RawTotals!$AJ:$AJ,RawTotals!$A:$A=AO127)-(FILTER(Data!$K:$K,Data!$B:$B=AO127,Data!$D:$D=$G127)+FILTER(Data!$L:$L,Data!$B:$B=AO127,Data!$D:$D=$G127)),""""),"""")"),"")</f>
        <v/>
      </c>
      <c r="BZ127" s="69" t="str">
        <f>IFERROR(__xludf.DUMMYFUNCTION("IF($G127&lt;&gt;"""",IFERROR(FILTER(RawTotals!$AJ:$AJ,RawTotals!$A:$A=AP127)-(FILTER(Data!$K:$K,Data!$B:$B=AP127,Data!$D:$D=$G127)+FILTER(Data!$L:$L,Data!$B:$B=AP127,Data!$D:$D=$G127)),""""),"""")"),"")</f>
        <v/>
      </c>
      <c r="CA127" s="69" t="str">
        <f>IFERROR(__xludf.DUMMYFUNCTION("IF($G127&lt;&gt;"""",IFERROR(FILTER(RawTotals!$AJ:$AJ,RawTotals!$A:$A=AQ127)-(FILTER(Data!$K:$K,Data!$B:$B=AQ127,Data!$D:$D=$G127)+FILTER(Data!$L:$L,Data!$B:$B=AQ127,Data!$D:$D=$G127)),""""),"""")"),"")</f>
        <v/>
      </c>
      <c r="CB127" s="69" t="str">
        <f>IFERROR(__xludf.DUMMYFUNCTION("IF($H127&lt;&gt;"""",IFERROR(FILTER(RawTotals!$AJ:$AJ,RawTotals!$A:$A=AR127)-(FILTER(Data!$K:$K,Data!$B:$B=AR127,Data!$D:$D=$H127)+FILTER(Data!$L:$L,Data!$B:$B=AR127,Data!$D:$D=$H127)),""""),"""")"),"")</f>
        <v/>
      </c>
      <c r="CC127" s="69" t="str">
        <f>IFERROR(__xludf.DUMMYFUNCTION("IF($H127&lt;&gt;"""",IFERROR(FILTER(RawTotals!$AJ:$AJ,RawTotals!$A:$A=AS127)-(FILTER(Data!$K:$K,Data!$B:$B=AS127,Data!$D:$D=$H127)+FILTER(Data!$L:$L,Data!$B:$B=AS127,Data!$D:$D=$H127)),""""),"""")"),"")</f>
        <v/>
      </c>
      <c r="CD127" s="69" t="str">
        <f>IFERROR(__xludf.DUMMYFUNCTION("IF($H127&lt;&gt;"""",IFERROR(FILTER(RawTotals!$AJ:$AJ,RawTotals!$A:$A=AT127)-(FILTER(Data!$K:$K,Data!$B:$B=AT127,Data!$D:$D=$H127)+FILTER(Data!$L:$L,Data!$B:$B=AT127,Data!$D:$D=$H127)),""""),"""")"),"")</f>
        <v/>
      </c>
      <c r="CE127" s="69" t="str">
        <f>IFERROR(__xludf.DUMMYFUNCTION("IF($I127&lt;&gt;"""",IFERROR(FILTER(RawTotals!$AJ:$AJ,RawTotals!$A:$A=AU127)-(FILTER(Data!$K:$K,Data!$B:$B=AU127,Data!$D:$D=$I127)+FILTER(Data!$L:$L,Data!$B:$B=AU127,Data!$D:$D=$I127)),""""),"""")"),"")</f>
        <v/>
      </c>
      <c r="CF127" s="69" t="str">
        <f>IFERROR(__xludf.DUMMYFUNCTION("IF($I127&lt;&gt;"""",IFERROR(FILTER(RawTotals!$AJ:$AJ,RawTotals!$A:$A=AV127)-(FILTER(Data!$K:$K,Data!$B:$B=AV127,Data!$D:$D=$I127)+FILTER(Data!$L:$L,Data!$B:$B=AV127,Data!$D:$D=$I127)),""""),"""")"),"")</f>
        <v/>
      </c>
      <c r="CG127" s="69" t="str">
        <f>IFERROR(__xludf.DUMMYFUNCTION("IF($I127&lt;&gt;"""",IFERROR(FILTER(RawTotals!$AJ:$AJ,RawTotals!$A:$A=AW127)-(FILTER(Data!$K:$K,Data!$B:$B=AW127,Data!$D:$D=$I127)+FILTER(Data!$L:$L,Data!$B:$B=AW127,Data!$D:$D=$I127)),""""),"""")"),"")</f>
        <v/>
      </c>
      <c r="CH127" s="69" t="str">
        <f>IFERROR(__xludf.DUMMYFUNCTION("IF($J127&lt;&gt;"""",IFERROR(FILTER(RawTotals!$AJ:$AJ,RawTotals!$A:$A=AX127)-(FILTER(Data!$K:$K,Data!$B:$B=AX127,Data!$D:$D=$J127)+FILTER(Data!$L:$L,Data!$B:$B=AX127,Data!$D:$D=$J127)),""""),"""")"),"")</f>
        <v/>
      </c>
      <c r="CI127" s="69" t="str">
        <f>IFERROR(__xludf.DUMMYFUNCTION("IF($J127&lt;&gt;"""",IFERROR(FILTER(RawTotals!$AJ:$AJ,RawTotals!$A:$A=AY127)-(FILTER(Data!$K:$K,Data!$B:$B=AY127,Data!$D:$D=$J127)+FILTER(Data!$L:$L,Data!$B:$B=AY127,Data!$D:$D=$J127)),""""),"""")"),"")</f>
        <v/>
      </c>
      <c r="CJ127" s="69" t="str">
        <f>IFERROR(__xludf.DUMMYFUNCTION("IF($J127&lt;&gt;"""",IFERROR(FILTER(RawTotals!$AJ:$AJ,RawTotals!$A:$A=AZ127)-(FILTER(Data!$K:$K,Data!$B:$B=AZ127,Data!$D:$D=$J127)+FILTER(Data!$L:$L,Data!$B:$B=AZ127,Data!$D:$D=$J127)),""""),"""")"),"")</f>
        <v/>
      </c>
      <c r="CK127" s="69" t="str">
        <f>IFERROR(__xludf.DUMMYFUNCTION("IF($K127&lt;&gt;"""",IFERROR(FILTER(RawTotals!$AJ:$AJ,RawTotals!$A:$A=BA127)-(FILTER(Data!$K:$K,Data!$B:$B=BA127,Data!$D:$D=$K127)+FILTER(Data!$L:$L,Data!$B:$B=BA127,Data!$D:$D=$K127)),""""),"""")"),"")</f>
        <v/>
      </c>
      <c r="CL127" s="69" t="str">
        <f>IFERROR(__xludf.DUMMYFUNCTION("IF($K127&lt;&gt;"""",IFERROR(FILTER(RawTotals!$AJ:$AJ,RawTotals!$A:$A=BB127)-(FILTER(Data!$K:$K,Data!$B:$B=BB127,Data!$D:$D=$K127)+FILTER(Data!$L:$L,Data!$B:$B=BB127,Data!$D:$D=$K127)),""""),"""")"),"")</f>
        <v/>
      </c>
      <c r="CM127" s="69" t="str">
        <f>IFERROR(__xludf.DUMMYFUNCTION("IF($K127&lt;&gt;"""",IFERROR(FILTER(RawTotals!$AJ:$AJ,RawTotals!$A:$A=BC127)-(FILTER(Data!$K:$K,Data!$B:$B=BC127,Data!$D:$D=$K127)+FILTER(Data!$L:$L,Data!$B:$B=BC127,Data!$D:$D=$K127)),""""),"""")"),"")</f>
        <v/>
      </c>
      <c r="CN127" s="69" t="str">
        <f>IFERROR(__xludf.DUMMYFUNCTION("IF($L127&lt;&gt;"""",IFERROR((FILTER(RawTotals!$AJ:$AJ,RawTotals!$A:$A=BD127)-(FILTER(Data!$K:$K,Data!$B:$B=BD127,Data!$D:$D=$L127)+FILTER(Data!$L:$L,Data!$B:$B=BD127,Data!$D:$D=$L127))),""""),"""")"),"")</f>
        <v/>
      </c>
      <c r="CO127" s="69" t="str">
        <f>IFERROR(__xludf.DUMMYFUNCTION("IF($L127&lt;&gt;"""",IFERROR((FILTER(RawTotals!$AJ:$AJ,RawTotals!$A:$A=BE127)-(FILTER(Data!$K:$K,Data!$B:$B=BE127,Data!$D:$D=$L127)+FILTER(Data!$L:$L,Data!$B:$B=BE127,Data!$D:$D=$L127))),""""),"""")"),"")</f>
        <v/>
      </c>
      <c r="CP127" s="69" t="str">
        <f>IFERROR(__xludf.DUMMYFUNCTION("IF($L127&lt;&gt;"""",IFERROR((FILTER(RawTotals!$AJ:$AJ,RawTotals!$A:$A=BF127)-(FILTER(Data!$K:$K,Data!$B:$B=BF127,Data!$D:$D=$L127)+FILTER(Data!$L:$L,Data!$B:$B=BF127,Data!$D:$D=$L127))),""""),"""")"),"")</f>
        <v/>
      </c>
      <c r="CQ127" s="69" t="str">
        <f>IFERROR(__xludf.DUMMYFUNCTION("IF($M127&lt;&gt;"""",IFERROR((FILTER(RawTotals!$AJ:$AJ,RawTotals!$A:$A=BG127)-(FILTER(Data!$K:$K,Data!$B:$B=BG127,Data!$D:$D=$M127)+FILTER(Data!$L:$L,Data!$B:$B=BG127,Data!$D:$D=$M127))),""""),"""")"),"")</f>
        <v/>
      </c>
      <c r="CR127" s="69" t="str">
        <f>IFERROR(__xludf.DUMMYFUNCTION("IF($M127&lt;&gt;"""",IFERROR((FILTER(RawTotals!$AJ:$AJ,RawTotals!$A:$A=BH127)-(FILTER(Data!$K:$K,Data!$B:$B=BH127,Data!$D:$D=$M127)+FILTER(Data!$L:$L,Data!$B:$B=BH127,Data!$D:$D=$M127))),""""),"""")"),"")</f>
        <v/>
      </c>
      <c r="CS127" s="70" t="str">
        <f>IFERROR(__xludf.DUMMYFUNCTION("IF($M127&lt;&gt;"""",IFERROR((FILTER(RawTotals!$AJ:$AJ,RawTotals!$A:$A=BI127)-(FILTER(Data!$K:$K,Data!$B:$B=BI127,Data!$D:$D=$M127)+FILTER(Data!$L:$L,Data!$B:$B=BI127,Data!$D:$D=$M127))),""""),"""")"),"")</f>
        <v/>
      </c>
      <c r="CT127" s="69"/>
      <c r="CU127" s="69"/>
      <c r="CV127" s="69"/>
      <c r="CW127" s="69"/>
      <c r="CX127" s="69"/>
      <c r="CY127" s="69"/>
      <c r="CZ127" s="69"/>
      <c r="DA127" s="69"/>
      <c r="DB127" s="69"/>
      <c r="DC127" s="69"/>
      <c r="DD127" s="69"/>
      <c r="DE127" s="69"/>
    </row>
    <row r="128">
      <c r="A128" s="65" t="str">
        <f>RawTotals!A128</f>
        <v/>
      </c>
      <c r="B128" s="68" t="str">
        <f>IFERROR(__xludf.DUMMYFUNCTION("IF(A128&lt;&gt;"""",IFERROR(TRANSPOSE(FILTER(Data!D:D,Data!B:B=A128,Data!R:R&lt;&gt;"""")),""No Defense""),"""")"),"")</f>
        <v/>
      </c>
      <c r="C128" s="65"/>
      <c r="D128" s="65"/>
      <c r="E128" s="65"/>
      <c r="F128" s="65"/>
      <c r="G128" s="65"/>
      <c r="H128" s="65"/>
      <c r="I128" s="65"/>
      <c r="J128" s="65"/>
      <c r="K128" s="65"/>
      <c r="L128" s="65"/>
      <c r="M128" s="65"/>
      <c r="N128" s="64" t="str">
        <f>IFERROR(__xludf.DUMMYFUNCTION("IFERROR(Textjoin("""",TRUE,FILTER(Data!$R:$R,Data!$D:$D=B128,Data!$B:$B=$A128)),"""")"),"")</f>
        <v/>
      </c>
      <c r="O128" s="64" t="str">
        <f>IFERROR(__xludf.DUMMYFUNCTION("IFERROR(Textjoin("""",TRUE,FILTER(Data!$R:$R,Data!$D:$D=C128,Data!$B:$B=$A128)),"""")"),"")</f>
        <v/>
      </c>
      <c r="P128" s="64" t="str">
        <f>IFERROR(__xludf.DUMMYFUNCTION("IFERROR(Textjoin("""",TRUE,FILTER(Data!$R:$R,Data!$D:$D=D128,Data!$B:$B=$A128)),"""")"),"")</f>
        <v/>
      </c>
      <c r="Q128" s="64" t="str">
        <f>IFERROR(__xludf.DUMMYFUNCTION("IFERROR(Textjoin("""",TRUE,FILTER(Data!$R:$R,Data!$D:$D=E128,Data!$B:$B=$A128)),"""")"),"")</f>
        <v/>
      </c>
      <c r="R128" s="64" t="str">
        <f>IFERROR(__xludf.DUMMYFUNCTION("IFERROR(Textjoin("""",TRUE,FILTER(Data!$R:$R,Data!$D:$D=F128,Data!$B:$B=$A128)),"""")"),"")</f>
        <v/>
      </c>
      <c r="S128" s="64" t="str">
        <f>IFERROR(__xludf.DUMMYFUNCTION("IFERROR(Textjoin("""",TRUE,FILTER(Data!$R:$R,Data!$D:$D=G128,Data!$B:$B=$A128)),"""")"),"")</f>
        <v/>
      </c>
      <c r="T128" s="64" t="str">
        <f>IFERROR(__xludf.DUMMYFUNCTION("IFERROR(Textjoin("""",TRUE,FILTER(Data!$R:$R,Data!$D:$D=H128,Data!$B:$B=$A128)),"""")"),"")</f>
        <v/>
      </c>
      <c r="U128" s="64" t="str">
        <f>IFERROR(__xludf.DUMMYFUNCTION("IFERROR(Textjoin("""",TRUE,FILTER(Data!$R:$R,Data!$D:$D=I128,Data!$B:$B=$A128)),"""")"),"")</f>
        <v/>
      </c>
      <c r="V128" s="64" t="str">
        <f>IFERROR(__xludf.DUMMYFUNCTION("IFERROR(Textjoin("""",TRUE,FILTER(Data!$R:$R,Data!$D:$D=J128,Data!$B:$B=$A128)),"""")"),"")</f>
        <v/>
      </c>
      <c r="W128" s="64" t="str">
        <f>IFERROR(__xludf.DUMMYFUNCTION("IFERROR(Textjoin("""",TRUE,FILTER(Data!$R:$R,Data!$D:$D=K128,Data!$B:$B=$A128)),"""")"),"")</f>
        <v/>
      </c>
      <c r="X128" s="64" t="str">
        <f>IFERROR(__xludf.DUMMYFUNCTION("IFERROR(Textjoin("""",TRUE,FILTER(Data!$R:$R,Data!$D:$D=L128,Data!$B:$B=$A128)),"""")"),"")</f>
        <v/>
      </c>
      <c r="Y128" s="64" t="str">
        <f>IFERROR(__xludf.DUMMYFUNCTION("IFERROR(Textjoin("""",TRUE,FILTER(Data!$R:$R,Data!$D:$D=M128,Data!$B:$B=$A128)),"""")"),"")</f>
        <v/>
      </c>
      <c r="Z128" s="64" t="str">
        <f>IFERROR(__xludf.DUMMYFUNCTION("IFERROR(SPLIT(N128,"",""),"""")"),"")</f>
        <v/>
      </c>
      <c r="AA128" s="65"/>
      <c r="AB128" s="65"/>
      <c r="AC128" s="69" t="str">
        <f>IFERROR(__xludf.DUMMYFUNCTION("IFERROR(SPLIT(O128,"",""),"""")"),"")</f>
        <v/>
      </c>
      <c r="AD128" s="65"/>
      <c r="AE128" s="65"/>
      <c r="AF128" s="69" t="str">
        <f>IFERROR(__xludf.DUMMYFUNCTION("IFERROR(SPLIT(P128,"",""),"""")"),"")</f>
        <v/>
      </c>
      <c r="AG128" s="65"/>
      <c r="AH128" s="65"/>
      <c r="AI128" s="69" t="str">
        <f>IFERROR(__xludf.DUMMYFUNCTION("IFERROR(SPLIT(Q128,"",""),"""")"),"")</f>
        <v/>
      </c>
      <c r="AJ128" s="65"/>
      <c r="AK128" s="65"/>
      <c r="AL128" s="69" t="str">
        <f>IFERROR(__xludf.DUMMYFUNCTION("IFERROR(SPLIT(R128,"",""),"""")"),"")</f>
        <v/>
      </c>
      <c r="AM128" s="65"/>
      <c r="AN128" s="65"/>
      <c r="AO128" s="69" t="str">
        <f>IFERROR(__xludf.DUMMYFUNCTION("IFERROR(SPLIT(S128,"",""),"""")"),"")</f>
        <v/>
      </c>
      <c r="AP128" s="65"/>
      <c r="AQ128" s="65"/>
      <c r="AR128" s="69" t="str">
        <f>IFERROR(__xludf.DUMMYFUNCTION("IFERROR(SPLIT(T128,"",""),"""")"),"")</f>
        <v/>
      </c>
      <c r="AS128" s="65"/>
      <c r="AT128" s="65"/>
      <c r="AU128" s="69" t="str">
        <f>IFERROR(__xludf.DUMMYFUNCTION("IFERROR(SPLIT(U128,"",""),"""")"),"")</f>
        <v/>
      </c>
      <c r="AV128" s="65"/>
      <c r="AW128" s="65"/>
      <c r="AX128" s="69" t="str">
        <f>IFERROR(__xludf.DUMMYFUNCTION("IFERROR(SPLIT(V128,"",""),"""")"),"")</f>
        <v/>
      </c>
      <c r="AY128" s="65"/>
      <c r="AZ128" s="65"/>
      <c r="BA128" s="69" t="str">
        <f>IFERROR(__xludf.DUMMYFUNCTION("IFERROR(SPLIT(W128,"",""),"""")"),"")</f>
        <v/>
      </c>
      <c r="BB128" s="69"/>
      <c r="BC128" s="69"/>
      <c r="BD128" s="69" t="str">
        <f>IFERROR(__xludf.DUMMYFUNCTION("IFERROR(SPLIT(X128,"",""),"""")"),"")</f>
        <v/>
      </c>
      <c r="BE128" s="69"/>
      <c r="BF128" s="69"/>
      <c r="BG128" s="69" t="str">
        <f>IFERROR(__xludf.DUMMYFUNCTION("IFERROR(SPLIT(Y128,"",""),"""")"),"")</f>
        <v/>
      </c>
      <c r="BH128" s="69"/>
      <c r="BI128" s="69"/>
      <c r="BJ128" s="68" t="str">
        <f>IFERROR(__xludf.DUMMYFUNCTION("IF($B128&lt;&gt;"""",IFERROR(FILTER(RawTotals!$AJ:$AJ,RawTotals!$A:$A=Z128)-(FILTER(Data!$K:$K,Data!$B:$B=Z128,Data!$D:$D=$B128)+FILTER(Data!$L:$L,Data!$B:$B=Z128,Data!$D:$D=$B128)),""""),"""")"),"")</f>
        <v/>
      </c>
      <c r="BK128" s="68" t="str">
        <f>IFERROR(__xludf.DUMMYFUNCTION("IF($B128&lt;&gt;"""",IFERROR(FILTER(RawTotals!$AJ:$AJ,RawTotals!$A:$A=AA128)-(FILTER(Data!$K:$K,Data!$B:$B=AA128,Data!$D:$D=$B128)+FILTER(Data!$L:$L,Data!$B:$B=AA128,Data!$D:$D=$B128)),""""),"""")"),"")</f>
        <v/>
      </c>
      <c r="BL128" s="68" t="str">
        <f>IFERROR(__xludf.DUMMYFUNCTION("IF($B128&lt;&gt;"""",IFERROR(FILTER(RawTotals!$AJ:$AJ,RawTotals!$A:$A=AB128)-(FILTER(Data!$K:$K,Data!$B:$B=AB128,Data!$D:$D=$B128)+FILTER(Data!$L:$L,Data!$B:$B=AB128,Data!$D:$D=$B128)),""""),"""")"),"")</f>
        <v/>
      </c>
      <c r="BM128" s="69" t="str">
        <f>IFERROR(__xludf.DUMMYFUNCTION("IF($C128&lt;&gt;"""",IFERROR(FILTER(RawTotals!$AJ:$AJ,RawTotals!$A:$A=AC128)-(FILTER(Data!$K:$K,Data!$B:$B=AC128,Data!$D:$D=$C128)+FILTER(Data!$L:$L,Data!$B:$B=AC128,Data!$D:$D=$C128)),""""),"""")"),"")</f>
        <v/>
      </c>
      <c r="BN128" s="69" t="str">
        <f>IFERROR(__xludf.DUMMYFUNCTION("IF($C128&lt;&gt;"""",IFERROR(FILTER(RawTotals!$AJ:$AJ,RawTotals!$A:$A=AD128)-(FILTER(Data!$K:$K,Data!$B:$B=AD128,Data!$D:$D=$C128)+FILTER(Data!$L:$L,Data!$B:$B=AD128,Data!$D:$D=$C128)),""""),"""")"),"")</f>
        <v/>
      </c>
      <c r="BO128" s="69" t="str">
        <f>IFERROR(__xludf.DUMMYFUNCTION("IF($C128&lt;&gt;"""",IFERROR(FILTER(RawTotals!$AJ:$AJ,RawTotals!$A:$A=AE128)-(FILTER(Data!$K:$K,Data!$B:$B=AE128,Data!$D:$D=$C128)+FILTER(Data!$L:$L,Data!$B:$B=AE128,Data!$D:$D=$C128)),""""),"""")"),"")</f>
        <v/>
      </c>
      <c r="BP128" s="69" t="str">
        <f>IFERROR(__xludf.DUMMYFUNCTION("IF($D128&lt;&gt;"""",IFERROR(FILTER(RawTotals!$AJ:$AJ,RawTotals!$A:$A=AF128)-(FILTER(Data!$K:$K,Data!$B:$B=AF128,Data!$D:$D=$D128)+FILTER(Data!$L:$L,Data!$B:$B=AF128,Data!$D:$D=$D128)),""""),"""")"),"")</f>
        <v/>
      </c>
      <c r="BQ128" s="69" t="str">
        <f>IFERROR(__xludf.DUMMYFUNCTION("IF($D128&lt;&gt;"""",IFERROR(FILTER(RawTotals!$AJ:$AJ,RawTotals!$A:$A=AG128)-(FILTER(Data!$K:$K,Data!$B:$B=AG128,Data!$D:$D=$D128)+FILTER(Data!$L:$L,Data!$B:$B=AG128,Data!$D:$D=$D128)),""""),"""")"),"")</f>
        <v/>
      </c>
      <c r="BR128" s="69" t="str">
        <f>IFERROR(__xludf.DUMMYFUNCTION("IF($D128&lt;&gt;"""",IFERROR(FILTER(RawTotals!$AJ:$AJ,RawTotals!$A:$A=AH128)-(FILTER(Data!$K:$K,Data!$B:$B=AH128,Data!$D:$D=$D128)+FILTER(Data!$L:$L,Data!$B:$B=AH128,Data!$D:$D=$D128)),""""),"""")"),"")</f>
        <v/>
      </c>
      <c r="BS128" s="69" t="str">
        <f>IFERROR(__xludf.DUMMYFUNCTION("IF($E128&lt;&gt;"""",IFERROR(FILTER(RawTotals!$AJ:$AJ,RawTotals!$A:$A=AI128)-(FILTER(Data!$K:$K,Data!$B:$B=AI128,Data!$D:$D=$E128)+FILTER(Data!$L:$L,Data!$B:$B=AI128,Data!$D:$D=$E128)),""""),"""")"),"")</f>
        <v/>
      </c>
      <c r="BT128" s="69" t="str">
        <f>IFERROR(__xludf.DUMMYFUNCTION("IF($E128&lt;&gt;"""",IFERROR(FILTER(RawTotals!$AJ:$AJ,RawTotals!$A:$A=AJ128)-(FILTER(Data!$K:$K,Data!$B:$B=AJ128,Data!$D:$D=$E128)+FILTER(Data!$L:$L,Data!$B:$B=AJ128,Data!$D:$D=$E128)),""""),"""")"),"")</f>
        <v/>
      </c>
      <c r="BU128" s="69" t="str">
        <f>IFERROR(__xludf.DUMMYFUNCTION("IF($E128&lt;&gt;"""",IFERROR(FILTER(RawTotals!$AJ:$AJ,RawTotals!$A:$A=AK128)-(FILTER(Data!$K:$K,Data!$B:$B=AK128,Data!$D:$D=$E128)+FILTER(Data!$L:$L,Data!$B:$B=AK128,Data!$D:$D=$E128)),""""),"""")"),"")</f>
        <v/>
      </c>
      <c r="BV128" s="69" t="str">
        <f>IFERROR(__xludf.DUMMYFUNCTION("IF($F128&lt;&gt;"""",IFERROR(FILTER(RawTotals!$AJ:$AJ,RawTotals!$A:$A=AL128)-(FILTER(Data!$K:$K,Data!$B:$B=AL128,Data!$D:$D=$F128)+FILTER(Data!$L:$L,Data!$B:$B=AL128,Data!$D:$D=$F128)),""""),"""")"),"")</f>
        <v/>
      </c>
      <c r="BW128" s="69" t="str">
        <f>IFERROR(__xludf.DUMMYFUNCTION("IF($F128&lt;&gt;"""",IFERROR(FILTER(RawTotals!$AJ:$AJ,RawTotals!$A:$A=AM128)-(FILTER(Data!$K:$K,Data!$B:$B=AM128,Data!$D:$D=$F128)+FILTER(Data!$L:$L,Data!$B:$B=AM128,Data!$D:$D=$F128)),""""),"""")"),"")</f>
        <v/>
      </c>
      <c r="BX128" s="69" t="str">
        <f>IFERROR(__xludf.DUMMYFUNCTION("IF($F128&lt;&gt;"""",IFERROR(FILTER(RawTotals!$AJ:$AJ,RawTotals!$A:$A=AN128)-(FILTER(Data!$K:$K,Data!$B:$B=AN128,Data!$D:$D=$F128)+FILTER(Data!$L:$L,Data!$B:$B=AN128,Data!$D:$D=$F128)),""""),"""")"),"")</f>
        <v/>
      </c>
      <c r="BY128" s="69" t="str">
        <f>IFERROR(__xludf.DUMMYFUNCTION("IF($G128&lt;&gt;"""",IFERROR(FILTER(RawTotals!$AJ:$AJ,RawTotals!$A:$A=AO128)-(FILTER(Data!$K:$K,Data!$B:$B=AO128,Data!$D:$D=$G128)+FILTER(Data!$L:$L,Data!$B:$B=AO128,Data!$D:$D=$G128)),""""),"""")"),"")</f>
        <v/>
      </c>
      <c r="BZ128" s="69" t="str">
        <f>IFERROR(__xludf.DUMMYFUNCTION("IF($G128&lt;&gt;"""",IFERROR(FILTER(RawTotals!$AJ:$AJ,RawTotals!$A:$A=AP128)-(FILTER(Data!$K:$K,Data!$B:$B=AP128,Data!$D:$D=$G128)+FILTER(Data!$L:$L,Data!$B:$B=AP128,Data!$D:$D=$G128)),""""),"""")"),"")</f>
        <v/>
      </c>
      <c r="CA128" s="69" t="str">
        <f>IFERROR(__xludf.DUMMYFUNCTION("IF($G128&lt;&gt;"""",IFERROR(FILTER(RawTotals!$AJ:$AJ,RawTotals!$A:$A=AQ128)-(FILTER(Data!$K:$K,Data!$B:$B=AQ128,Data!$D:$D=$G128)+FILTER(Data!$L:$L,Data!$B:$B=AQ128,Data!$D:$D=$G128)),""""),"""")"),"")</f>
        <v/>
      </c>
      <c r="CB128" s="69" t="str">
        <f>IFERROR(__xludf.DUMMYFUNCTION("IF($H128&lt;&gt;"""",IFERROR(FILTER(RawTotals!$AJ:$AJ,RawTotals!$A:$A=AR128)-(FILTER(Data!$K:$K,Data!$B:$B=AR128,Data!$D:$D=$H128)+FILTER(Data!$L:$L,Data!$B:$B=AR128,Data!$D:$D=$H128)),""""),"""")"),"")</f>
        <v/>
      </c>
      <c r="CC128" s="69" t="str">
        <f>IFERROR(__xludf.DUMMYFUNCTION("IF($H128&lt;&gt;"""",IFERROR(FILTER(RawTotals!$AJ:$AJ,RawTotals!$A:$A=AS128)-(FILTER(Data!$K:$K,Data!$B:$B=AS128,Data!$D:$D=$H128)+FILTER(Data!$L:$L,Data!$B:$B=AS128,Data!$D:$D=$H128)),""""),"""")"),"")</f>
        <v/>
      </c>
      <c r="CD128" s="69" t="str">
        <f>IFERROR(__xludf.DUMMYFUNCTION("IF($H128&lt;&gt;"""",IFERROR(FILTER(RawTotals!$AJ:$AJ,RawTotals!$A:$A=AT128)-(FILTER(Data!$K:$K,Data!$B:$B=AT128,Data!$D:$D=$H128)+FILTER(Data!$L:$L,Data!$B:$B=AT128,Data!$D:$D=$H128)),""""),"""")"),"")</f>
        <v/>
      </c>
      <c r="CE128" s="69" t="str">
        <f>IFERROR(__xludf.DUMMYFUNCTION("IF($I128&lt;&gt;"""",IFERROR(FILTER(RawTotals!$AJ:$AJ,RawTotals!$A:$A=AU128)-(FILTER(Data!$K:$K,Data!$B:$B=AU128,Data!$D:$D=$I128)+FILTER(Data!$L:$L,Data!$B:$B=AU128,Data!$D:$D=$I128)),""""),"""")"),"")</f>
        <v/>
      </c>
      <c r="CF128" s="69" t="str">
        <f>IFERROR(__xludf.DUMMYFUNCTION("IF($I128&lt;&gt;"""",IFERROR(FILTER(RawTotals!$AJ:$AJ,RawTotals!$A:$A=AV128)-(FILTER(Data!$K:$K,Data!$B:$B=AV128,Data!$D:$D=$I128)+FILTER(Data!$L:$L,Data!$B:$B=AV128,Data!$D:$D=$I128)),""""),"""")"),"")</f>
        <v/>
      </c>
      <c r="CG128" s="69" t="str">
        <f>IFERROR(__xludf.DUMMYFUNCTION("IF($I128&lt;&gt;"""",IFERROR(FILTER(RawTotals!$AJ:$AJ,RawTotals!$A:$A=AW128)-(FILTER(Data!$K:$K,Data!$B:$B=AW128,Data!$D:$D=$I128)+FILTER(Data!$L:$L,Data!$B:$B=AW128,Data!$D:$D=$I128)),""""),"""")"),"")</f>
        <v/>
      </c>
      <c r="CH128" s="69" t="str">
        <f>IFERROR(__xludf.DUMMYFUNCTION("IF($J128&lt;&gt;"""",IFERROR(FILTER(RawTotals!$AJ:$AJ,RawTotals!$A:$A=AX128)-(FILTER(Data!$K:$K,Data!$B:$B=AX128,Data!$D:$D=$J128)+FILTER(Data!$L:$L,Data!$B:$B=AX128,Data!$D:$D=$J128)),""""),"""")"),"")</f>
        <v/>
      </c>
      <c r="CI128" s="69" t="str">
        <f>IFERROR(__xludf.DUMMYFUNCTION("IF($J128&lt;&gt;"""",IFERROR(FILTER(RawTotals!$AJ:$AJ,RawTotals!$A:$A=AY128)-(FILTER(Data!$K:$K,Data!$B:$B=AY128,Data!$D:$D=$J128)+FILTER(Data!$L:$L,Data!$B:$B=AY128,Data!$D:$D=$J128)),""""),"""")"),"")</f>
        <v/>
      </c>
      <c r="CJ128" s="69" t="str">
        <f>IFERROR(__xludf.DUMMYFUNCTION("IF($J128&lt;&gt;"""",IFERROR(FILTER(RawTotals!$AJ:$AJ,RawTotals!$A:$A=AZ128)-(FILTER(Data!$K:$K,Data!$B:$B=AZ128,Data!$D:$D=$J128)+FILTER(Data!$L:$L,Data!$B:$B=AZ128,Data!$D:$D=$J128)),""""),"""")"),"")</f>
        <v/>
      </c>
      <c r="CK128" s="69" t="str">
        <f>IFERROR(__xludf.DUMMYFUNCTION("IF($K128&lt;&gt;"""",IFERROR(FILTER(RawTotals!$AJ:$AJ,RawTotals!$A:$A=BA128)-(FILTER(Data!$K:$K,Data!$B:$B=BA128,Data!$D:$D=$K128)+FILTER(Data!$L:$L,Data!$B:$B=BA128,Data!$D:$D=$K128)),""""),"""")"),"")</f>
        <v/>
      </c>
      <c r="CL128" s="69" t="str">
        <f>IFERROR(__xludf.DUMMYFUNCTION("IF($K128&lt;&gt;"""",IFERROR(FILTER(RawTotals!$AJ:$AJ,RawTotals!$A:$A=BB128)-(FILTER(Data!$K:$K,Data!$B:$B=BB128,Data!$D:$D=$K128)+FILTER(Data!$L:$L,Data!$B:$B=BB128,Data!$D:$D=$K128)),""""),"""")"),"")</f>
        <v/>
      </c>
      <c r="CM128" s="69" t="str">
        <f>IFERROR(__xludf.DUMMYFUNCTION("IF($K128&lt;&gt;"""",IFERROR(FILTER(RawTotals!$AJ:$AJ,RawTotals!$A:$A=BC128)-(FILTER(Data!$K:$K,Data!$B:$B=BC128,Data!$D:$D=$K128)+FILTER(Data!$L:$L,Data!$B:$B=BC128,Data!$D:$D=$K128)),""""),"""")"),"")</f>
        <v/>
      </c>
      <c r="CN128" s="69" t="str">
        <f>IFERROR(__xludf.DUMMYFUNCTION("IF($L128&lt;&gt;"""",IFERROR((FILTER(RawTotals!$AJ:$AJ,RawTotals!$A:$A=BD128)-(FILTER(Data!$K:$K,Data!$B:$B=BD128,Data!$D:$D=$L128)+FILTER(Data!$L:$L,Data!$B:$B=BD128,Data!$D:$D=$L128))),""""),"""")"),"")</f>
        <v/>
      </c>
      <c r="CO128" s="69" t="str">
        <f>IFERROR(__xludf.DUMMYFUNCTION("IF($L128&lt;&gt;"""",IFERROR((FILTER(RawTotals!$AJ:$AJ,RawTotals!$A:$A=BE128)-(FILTER(Data!$K:$K,Data!$B:$B=BE128,Data!$D:$D=$L128)+FILTER(Data!$L:$L,Data!$B:$B=BE128,Data!$D:$D=$L128))),""""),"""")"),"")</f>
        <v/>
      </c>
      <c r="CP128" s="69" t="str">
        <f>IFERROR(__xludf.DUMMYFUNCTION("IF($L128&lt;&gt;"""",IFERROR((FILTER(RawTotals!$AJ:$AJ,RawTotals!$A:$A=BF128)-(FILTER(Data!$K:$K,Data!$B:$B=BF128,Data!$D:$D=$L128)+FILTER(Data!$L:$L,Data!$B:$B=BF128,Data!$D:$D=$L128))),""""),"""")"),"")</f>
        <v/>
      </c>
      <c r="CQ128" s="69" t="str">
        <f>IFERROR(__xludf.DUMMYFUNCTION("IF($M128&lt;&gt;"""",IFERROR((FILTER(RawTotals!$AJ:$AJ,RawTotals!$A:$A=BG128)-(FILTER(Data!$K:$K,Data!$B:$B=BG128,Data!$D:$D=$M128)+FILTER(Data!$L:$L,Data!$B:$B=BG128,Data!$D:$D=$M128))),""""),"""")"),"")</f>
        <v/>
      </c>
      <c r="CR128" s="69" t="str">
        <f>IFERROR(__xludf.DUMMYFUNCTION("IF($M128&lt;&gt;"""",IFERROR((FILTER(RawTotals!$AJ:$AJ,RawTotals!$A:$A=BH128)-(FILTER(Data!$K:$K,Data!$B:$B=BH128,Data!$D:$D=$M128)+FILTER(Data!$L:$L,Data!$B:$B=BH128,Data!$D:$D=$M128))),""""),"""")"),"")</f>
        <v/>
      </c>
      <c r="CS128" s="70" t="str">
        <f>IFERROR(__xludf.DUMMYFUNCTION("IF($M128&lt;&gt;"""",IFERROR((FILTER(RawTotals!$AJ:$AJ,RawTotals!$A:$A=BI128)-(FILTER(Data!$K:$K,Data!$B:$B=BI128,Data!$D:$D=$M128)+FILTER(Data!$L:$L,Data!$B:$B=BI128,Data!$D:$D=$M128))),""""),"""")"),"")</f>
        <v/>
      </c>
      <c r="CT128" s="69"/>
      <c r="CU128" s="69"/>
      <c r="CV128" s="69"/>
      <c r="CW128" s="69"/>
      <c r="CX128" s="69"/>
      <c r="CY128" s="69"/>
      <c r="CZ128" s="69"/>
      <c r="DA128" s="69"/>
      <c r="DB128" s="69"/>
      <c r="DC128" s="69"/>
      <c r="DD128" s="69"/>
      <c r="DE128" s="69"/>
    </row>
    <row r="129">
      <c r="A129" s="65" t="str">
        <f>RawTotals!A129</f>
        <v/>
      </c>
      <c r="B129" s="68" t="str">
        <f>IFERROR(__xludf.DUMMYFUNCTION("IF(A129&lt;&gt;"""",IFERROR(TRANSPOSE(FILTER(Data!D:D,Data!B:B=A129,Data!R:R&lt;&gt;"""")),""No Defense""),"""")"),"")</f>
        <v/>
      </c>
      <c r="C129" s="65"/>
      <c r="D129" s="65"/>
      <c r="E129" s="65"/>
      <c r="F129" s="65"/>
      <c r="G129" s="65"/>
      <c r="H129" s="65"/>
      <c r="I129" s="65"/>
      <c r="J129" s="65"/>
      <c r="K129" s="65"/>
      <c r="L129" s="65"/>
      <c r="M129" s="65"/>
      <c r="N129" s="64" t="str">
        <f>IFERROR(__xludf.DUMMYFUNCTION("IFERROR(Textjoin("""",TRUE,FILTER(Data!$R:$R,Data!$D:$D=B129,Data!$B:$B=$A129)),"""")"),"")</f>
        <v/>
      </c>
      <c r="O129" s="64" t="str">
        <f>IFERROR(__xludf.DUMMYFUNCTION("IFERROR(Textjoin("""",TRUE,FILTER(Data!$R:$R,Data!$D:$D=C129,Data!$B:$B=$A129)),"""")"),"")</f>
        <v/>
      </c>
      <c r="P129" s="64" t="str">
        <f>IFERROR(__xludf.DUMMYFUNCTION("IFERROR(Textjoin("""",TRUE,FILTER(Data!$R:$R,Data!$D:$D=D129,Data!$B:$B=$A129)),"""")"),"")</f>
        <v/>
      </c>
      <c r="Q129" s="64" t="str">
        <f>IFERROR(__xludf.DUMMYFUNCTION("IFERROR(Textjoin("""",TRUE,FILTER(Data!$R:$R,Data!$D:$D=E129,Data!$B:$B=$A129)),"""")"),"")</f>
        <v/>
      </c>
      <c r="R129" s="64" t="str">
        <f>IFERROR(__xludf.DUMMYFUNCTION("IFERROR(Textjoin("""",TRUE,FILTER(Data!$R:$R,Data!$D:$D=F129,Data!$B:$B=$A129)),"""")"),"")</f>
        <v/>
      </c>
      <c r="S129" s="64" t="str">
        <f>IFERROR(__xludf.DUMMYFUNCTION("IFERROR(Textjoin("""",TRUE,FILTER(Data!$R:$R,Data!$D:$D=G129,Data!$B:$B=$A129)),"""")"),"")</f>
        <v/>
      </c>
      <c r="T129" s="64" t="str">
        <f>IFERROR(__xludf.DUMMYFUNCTION("IFERROR(Textjoin("""",TRUE,FILTER(Data!$R:$R,Data!$D:$D=H129,Data!$B:$B=$A129)),"""")"),"")</f>
        <v/>
      </c>
      <c r="U129" s="64" t="str">
        <f>IFERROR(__xludf.DUMMYFUNCTION("IFERROR(Textjoin("""",TRUE,FILTER(Data!$R:$R,Data!$D:$D=I129,Data!$B:$B=$A129)),"""")"),"")</f>
        <v/>
      </c>
      <c r="V129" s="64" t="str">
        <f>IFERROR(__xludf.DUMMYFUNCTION("IFERROR(Textjoin("""",TRUE,FILTER(Data!$R:$R,Data!$D:$D=J129,Data!$B:$B=$A129)),"""")"),"")</f>
        <v/>
      </c>
      <c r="W129" s="64" t="str">
        <f>IFERROR(__xludf.DUMMYFUNCTION("IFERROR(Textjoin("""",TRUE,FILTER(Data!$R:$R,Data!$D:$D=K129,Data!$B:$B=$A129)),"""")"),"")</f>
        <v/>
      </c>
      <c r="X129" s="64" t="str">
        <f>IFERROR(__xludf.DUMMYFUNCTION("IFERROR(Textjoin("""",TRUE,FILTER(Data!$R:$R,Data!$D:$D=L129,Data!$B:$B=$A129)),"""")"),"")</f>
        <v/>
      </c>
      <c r="Y129" s="64" t="str">
        <f>IFERROR(__xludf.DUMMYFUNCTION("IFERROR(Textjoin("""",TRUE,FILTER(Data!$R:$R,Data!$D:$D=M129,Data!$B:$B=$A129)),"""")"),"")</f>
        <v/>
      </c>
      <c r="Z129" s="64" t="str">
        <f>IFERROR(__xludf.DUMMYFUNCTION("IFERROR(SPLIT(N129,"",""),"""")"),"")</f>
        <v/>
      </c>
      <c r="AA129" s="65"/>
      <c r="AB129" s="65"/>
      <c r="AC129" s="69" t="str">
        <f>IFERROR(__xludf.DUMMYFUNCTION("IFERROR(SPLIT(O129,"",""),"""")"),"")</f>
        <v/>
      </c>
      <c r="AD129" s="65"/>
      <c r="AE129" s="65"/>
      <c r="AF129" s="69" t="str">
        <f>IFERROR(__xludf.DUMMYFUNCTION("IFERROR(SPLIT(P129,"",""),"""")"),"")</f>
        <v/>
      </c>
      <c r="AG129" s="65"/>
      <c r="AH129" s="65"/>
      <c r="AI129" s="69" t="str">
        <f>IFERROR(__xludf.DUMMYFUNCTION("IFERROR(SPLIT(Q129,"",""),"""")"),"")</f>
        <v/>
      </c>
      <c r="AJ129" s="65"/>
      <c r="AK129" s="65"/>
      <c r="AL129" s="69" t="str">
        <f>IFERROR(__xludf.DUMMYFUNCTION("IFERROR(SPLIT(R129,"",""),"""")"),"")</f>
        <v/>
      </c>
      <c r="AM129" s="65"/>
      <c r="AN129" s="65"/>
      <c r="AO129" s="69" t="str">
        <f>IFERROR(__xludf.DUMMYFUNCTION("IFERROR(SPLIT(S129,"",""),"""")"),"")</f>
        <v/>
      </c>
      <c r="AP129" s="65"/>
      <c r="AQ129" s="65"/>
      <c r="AR129" s="69" t="str">
        <f>IFERROR(__xludf.DUMMYFUNCTION("IFERROR(SPLIT(T129,"",""),"""")"),"")</f>
        <v/>
      </c>
      <c r="AS129" s="65"/>
      <c r="AT129" s="65"/>
      <c r="AU129" s="69" t="str">
        <f>IFERROR(__xludf.DUMMYFUNCTION("IFERROR(SPLIT(U129,"",""),"""")"),"")</f>
        <v/>
      </c>
      <c r="AV129" s="65"/>
      <c r="AW129" s="65"/>
      <c r="AX129" s="69" t="str">
        <f>IFERROR(__xludf.DUMMYFUNCTION("IFERROR(SPLIT(V129,"",""),"""")"),"")</f>
        <v/>
      </c>
      <c r="AY129" s="65"/>
      <c r="AZ129" s="65"/>
      <c r="BA129" s="69" t="str">
        <f>IFERROR(__xludf.DUMMYFUNCTION("IFERROR(SPLIT(W129,"",""),"""")"),"")</f>
        <v/>
      </c>
      <c r="BB129" s="69"/>
      <c r="BC129" s="69"/>
      <c r="BD129" s="69" t="str">
        <f>IFERROR(__xludf.DUMMYFUNCTION("IFERROR(SPLIT(X129,"",""),"""")"),"")</f>
        <v/>
      </c>
      <c r="BE129" s="69"/>
      <c r="BF129" s="69"/>
      <c r="BG129" s="69" t="str">
        <f>IFERROR(__xludf.DUMMYFUNCTION("IFERROR(SPLIT(Y129,"",""),"""")"),"")</f>
        <v/>
      </c>
      <c r="BH129" s="69"/>
      <c r="BI129" s="69"/>
      <c r="BJ129" s="68" t="str">
        <f>IFERROR(__xludf.DUMMYFUNCTION("IF($B129&lt;&gt;"""",IFERROR(FILTER(RawTotals!$AJ:$AJ,RawTotals!$A:$A=Z129)-(FILTER(Data!$K:$K,Data!$B:$B=Z129,Data!$D:$D=$B129)+FILTER(Data!$L:$L,Data!$B:$B=Z129,Data!$D:$D=$B129)),""""),"""")"),"")</f>
        <v/>
      </c>
      <c r="BK129" s="68" t="str">
        <f>IFERROR(__xludf.DUMMYFUNCTION("IF($B129&lt;&gt;"""",IFERROR(FILTER(RawTotals!$AJ:$AJ,RawTotals!$A:$A=AA129)-(FILTER(Data!$K:$K,Data!$B:$B=AA129,Data!$D:$D=$B129)+FILTER(Data!$L:$L,Data!$B:$B=AA129,Data!$D:$D=$B129)),""""),"""")"),"")</f>
        <v/>
      </c>
      <c r="BL129" s="68" t="str">
        <f>IFERROR(__xludf.DUMMYFUNCTION("IF($B129&lt;&gt;"""",IFERROR(FILTER(RawTotals!$AJ:$AJ,RawTotals!$A:$A=AB129)-(FILTER(Data!$K:$K,Data!$B:$B=AB129,Data!$D:$D=$B129)+FILTER(Data!$L:$L,Data!$B:$B=AB129,Data!$D:$D=$B129)),""""),"""")"),"")</f>
        <v/>
      </c>
      <c r="BM129" s="69" t="str">
        <f>IFERROR(__xludf.DUMMYFUNCTION("IF($C129&lt;&gt;"""",IFERROR(FILTER(RawTotals!$AJ:$AJ,RawTotals!$A:$A=AC129)-(FILTER(Data!$K:$K,Data!$B:$B=AC129,Data!$D:$D=$C129)+FILTER(Data!$L:$L,Data!$B:$B=AC129,Data!$D:$D=$C129)),""""),"""")"),"")</f>
        <v/>
      </c>
      <c r="BN129" s="69" t="str">
        <f>IFERROR(__xludf.DUMMYFUNCTION("IF($C129&lt;&gt;"""",IFERROR(FILTER(RawTotals!$AJ:$AJ,RawTotals!$A:$A=AD129)-(FILTER(Data!$K:$K,Data!$B:$B=AD129,Data!$D:$D=$C129)+FILTER(Data!$L:$L,Data!$B:$B=AD129,Data!$D:$D=$C129)),""""),"""")"),"")</f>
        <v/>
      </c>
      <c r="BO129" s="69" t="str">
        <f>IFERROR(__xludf.DUMMYFUNCTION("IF($C129&lt;&gt;"""",IFERROR(FILTER(RawTotals!$AJ:$AJ,RawTotals!$A:$A=AE129)-(FILTER(Data!$K:$K,Data!$B:$B=AE129,Data!$D:$D=$C129)+FILTER(Data!$L:$L,Data!$B:$B=AE129,Data!$D:$D=$C129)),""""),"""")"),"")</f>
        <v/>
      </c>
      <c r="BP129" s="69" t="str">
        <f>IFERROR(__xludf.DUMMYFUNCTION("IF($D129&lt;&gt;"""",IFERROR(FILTER(RawTotals!$AJ:$AJ,RawTotals!$A:$A=AF129)-(FILTER(Data!$K:$K,Data!$B:$B=AF129,Data!$D:$D=$D129)+FILTER(Data!$L:$L,Data!$B:$B=AF129,Data!$D:$D=$D129)),""""),"""")"),"")</f>
        <v/>
      </c>
      <c r="BQ129" s="69" t="str">
        <f>IFERROR(__xludf.DUMMYFUNCTION("IF($D129&lt;&gt;"""",IFERROR(FILTER(RawTotals!$AJ:$AJ,RawTotals!$A:$A=AG129)-(FILTER(Data!$K:$K,Data!$B:$B=AG129,Data!$D:$D=$D129)+FILTER(Data!$L:$L,Data!$B:$B=AG129,Data!$D:$D=$D129)),""""),"""")"),"")</f>
        <v/>
      </c>
      <c r="BR129" s="69" t="str">
        <f>IFERROR(__xludf.DUMMYFUNCTION("IF($D129&lt;&gt;"""",IFERROR(FILTER(RawTotals!$AJ:$AJ,RawTotals!$A:$A=AH129)-(FILTER(Data!$K:$K,Data!$B:$B=AH129,Data!$D:$D=$D129)+FILTER(Data!$L:$L,Data!$B:$B=AH129,Data!$D:$D=$D129)),""""),"""")"),"")</f>
        <v/>
      </c>
      <c r="BS129" s="69" t="str">
        <f>IFERROR(__xludf.DUMMYFUNCTION("IF($E129&lt;&gt;"""",IFERROR(FILTER(RawTotals!$AJ:$AJ,RawTotals!$A:$A=AI129)-(FILTER(Data!$K:$K,Data!$B:$B=AI129,Data!$D:$D=$E129)+FILTER(Data!$L:$L,Data!$B:$B=AI129,Data!$D:$D=$E129)),""""),"""")"),"")</f>
        <v/>
      </c>
      <c r="BT129" s="69" t="str">
        <f>IFERROR(__xludf.DUMMYFUNCTION("IF($E129&lt;&gt;"""",IFERROR(FILTER(RawTotals!$AJ:$AJ,RawTotals!$A:$A=AJ129)-(FILTER(Data!$K:$K,Data!$B:$B=AJ129,Data!$D:$D=$E129)+FILTER(Data!$L:$L,Data!$B:$B=AJ129,Data!$D:$D=$E129)),""""),"""")"),"")</f>
        <v/>
      </c>
      <c r="BU129" s="69" t="str">
        <f>IFERROR(__xludf.DUMMYFUNCTION("IF($E129&lt;&gt;"""",IFERROR(FILTER(RawTotals!$AJ:$AJ,RawTotals!$A:$A=AK129)-(FILTER(Data!$K:$K,Data!$B:$B=AK129,Data!$D:$D=$E129)+FILTER(Data!$L:$L,Data!$B:$B=AK129,Data!$D:$D=$E129)),""""),"""")"),"")</f>
        <v/>
      </c>
      <c r="BV129" s="69" t="str">
        <f>IFERROR(__xludf.DUMMYFUNCTION("IF($F129&lt;&gt;"""",IFERROR(FILTER(RawTotals!$AJ:$AJ,RawTotals!$A:$A=AL129)-(FILTER(Data!$K:$K,Data!$B:$B=AL129,Data!$D:$D=$F129)+FILTER(Data!$L:$L,Data!$B:$B=AL129,Data!$D:$D=$F129)),""""),"""")"),"")</f>
        <v/>
      </c>
      <c r="BW129" s="69" t="str">
        <f>IFERROR(__xludf.DUMMYFUNCTION("IF($F129&lt;&gt;"""",IFERROR(FILTER(RawTotals!$AJ:$AJ,RawTotals!$A:$A=AM129)-(FILTER(Data!$K:$K,Data!$B:$B=AM129,Data!$D:$D=$F129)+FILTER(Data!$L:$L,Data!$B:$B=AM129,Data!$D:$D=$F129)),""""),"""")"),"")</f>
        <v/>
      </c>
      <c r="BX129" s="69" t="str">
        <f>IFERROR(__xludf.DUMMYFUNCTION("IF($F129&lt;&gt;"""",IFERROR(FILTER(RawTotals!$AJ:$AJ,RawTotals!$A:$A=AN129)-(FILTER(Data!$K:$K,Data!$B:$B=AN129,Data!$D:$D=$F129)+FILTER(Data!$L:$L,Data!$B:$B=AN129,Data!$D:$D=$F129)),""""),"""")"),"")</f>
        <v/>
      </c>
      <c r="BY129" s="69" t="str">
        <f>IFERROR(__xludf.DUMMYFUNCTION("IF($G129&lt;&gt;"""",IFERROR(FILTER(RawTotals!$AJ:$AJ,RawTotals!$A:$A=AO129)-(FILTER(Data!$K:$K,Data!$B:$B=AO129,Data!$D:$D=$G129)+FILTER(Data!$L:$L,Data!$B:$B=AO129,Data!$D:$D=$G129)),""""),"""")"),"")</f>
        <v/>
      </c>
      <c r="BZ129" s="69" t="str">
        <f>IFERROR(__xludf.DUMMYFUNCTION("IF($G129&lt;&gt;"""",IFERROR(FILTER(RawTotals!$AJ:$AJ,RawTotals!$A:$A=AP129)-(FILTER(Data!$K:$K,Data!$B:$B=AP129,Data!$D:$D=$G129)+FILTER(Data!$L:$L,Data!$B:$B=AP129,Data!$D:$D=$G129)),""""),"""")"),"")</f>
        <v/>
      </c>
      <c r="CA129" s="69" t="str">
        <f>IFERROR(__xludf.DUMMYFUNCTION("IF($G129&lt;&gt;"""",IFERROR(FILTER(RawTotals!$AJ:$AJ,RawTotals!$A:$A=AQ129)-(FILTER(Data!$K:$K,Data!$B:$B=AQ129,Data!$D:$D=$G129)+FILTER(Data!$L:$L,Data!$B:$B=AQ129,Data!$D:$D=$G129)),""""),"""")"),"")</f>
        <v/>
      </c>
      <c r="CB129" s="69" t="str">
        <f>IFERROR(__xludf.DUMMYFUNCTION("IF($H129&lt;&gt;"""",IFERROR(FILTER(RawTotals!$AJ:$AJ,RawTotals!$A:$A=AR129)-(FILTER(Data!$K:$K,Data!$B:$B=AR129,Data!$D:$D=$H129)+FILTER(Data!$L:$L,Data!$B:$B=AR129,Data!$D:$D=$H129)),""""),"""")"),"")</f>
        <v/>
      </c>
      <c r="CC129" s="69" t="str">
        <f>IFERROR(__xludf.DUMMYFUNCTION("IF($H129&lt;&gt;"""",IFERROR(FILTER(RawTotals!$AJ:$AJ,RawTotals!$A:$A=AS129)-(FILTER(Data!$K:$K,Data!$B:$B=AS129,Data!$D:$D=$H129)+FILTER(Data!$L:$L,Data!$B:$B=AS129,Data!$D:$D=$H129)),""""),"""")"),"")</f>
        <v/>
      </c>
      <c r="CD129" s="69" t="str">
        <f>IFERROR(__xludf.DUMMYFUNCTION("IF($H129&lt;&gt;"""",IFERROR(FILTER(RawTotals!$AJ:$AJ,RawTotals!$A:$A=AT129)-(FILTER(Data!$K:$K,Data!$B:$B=AT129,Data!$D:$D=$H129)+FILTER(Data!$L:$L,Data!$B:$B=AT129,Data!$D:$D=$H129)),""""),"""")"),"")</f>
        <v/>
      </c>
      <c r="CE129" s="69" t="str">
        <f>IFERROR(__xludf.DUMMYFUNCTION("IF($I129&lt;&gt;"""",IFERROR(FILTER(RawTotals!$AJ:$AJ,RawTotals!$A:$A=AU129)-(FILTER(Data!$K:$K,Data!$B:$B=AU129,Data!$D:$D=$I129)+FILTER(Data!$L:$L,Data!$B:$B=AU129,Data!$D:$D=$I129)),""""),"""")"),"")</f>
        <v/>
      </c>
      <c r="CF129" s="69" t="str">
        <f>IFERROR(__xludf.DUMMYFUNCTION("IF($I129&lt;&gt;"""",IFERROR(FILTER(RawTotals!$AJ:$AJ,RawTotals!$A:$A=AV129)-(FILTER(Data!$K:$K,Data!$B:$B=AV129,Data!$D:$D=$I129)+FILTER(Data!$L:$L,Data!$B:$B=AV129,Data!$D:$D=$I129)),""""),"""")"),"")</f>
        <v/>
      </c>
      <c r="CG129" s="69" t="str">
        <f>IFERROR(__xludf.DUMMYFUNCTION("IF($I129&lt;&gt;"""",IFERROR(FILTER(RawTotals!$AJ:$AJ,RawTotals!$A:$A=AW129)-(FILTER(Data!$K:$K,Data!$B:$B=AW129,Data!$D:$D=$I129)+FILTER(Data!$L:$L,Data!$B:$B=AW129,Data!$D:$D=$I129)),""""),"""")"),"")</f>
        <v/>
      </c>
      <c r="CH129" s="69" t="str">
        <f>IFERROR(__xludf.DUMMYFUNCTION("IF($J129&lt;&gt;"""",IFERROR(FILTER(RawTotals!$AJ:$AJ,RawTotals!$A:$A=AX129)-(FILTER(Data!$K:$K,Data!$B:$B=AX129,Data!$D:$D=$J129)+FILTER(Data!$L:$L,Data!$B:$B=AX129,Data!$D:$D=$J129)),""""),"""")"),"")</f>
        <v/>
      </c>
      <c r="CI129" s="69" t="str">
        <f>IFERROR(__xludf.DUMMYFUNCTION("IF($J129&lt;&gt;"""",IFERROR(FILTER(RawTotals!$AJ:$AJ,RawTotals!$A:$A=AY129)-(FILTER(Data!$K:$K,Data!$B:$B=AY129,Data!$D:$D=$J129)+FILTER(Data!$L:$L,Data!$B:$B=AY129,Data!$D:$D=$J129)),""""),"""")"),"")</f>
        <v/>
      </c>
      <c r="CJ129" s="69" t="str">
        <f>IFERROR(__xludf.DUMMYFUNCTION("IF($J129&lt;&gt;"""",IFERROR(FILTER(RawTotals!$AJ:$AJ,RawTotals!$A:$A=AZ129)-(FILTER(Data!$K:$K,Data!$B:$B=AZ129,Data!$D:$D=$J129)+FILTER(Data!$L:$L,Data!$B:$B=AZ129,Data!$D:$D=$J129)),""""),"""")"),"")</f>
        <v/>
      </c>
      <c r="CK129" s="69" t="str">
        <f>IFERROR(__xludf.DUMMYFUNCTION("IF($K129&lt;&gt;"""",IFERROR(FILTER(RawTotals!$AJ:$AJ,RawTotals!$A:$A=BA129)-(FILTER(Data!$K:$K,Data!$B:$B=BA129,Data!$D:$D=$K129)+FILTER(Data!$L:$L,Data!$B:$B=BA129,Data!$D:$D=$K129)),""""),"""")"),"")</f>
        <v/>
      </c>
      <c r="CL129" s="69" t="str">
        <f>IFERROR(__xludf.DUMMYFUNCTION("IF($K129&lt;&gt;"""",IFERROR(FILTER(RawTotals!$AJ:$AJ,RawTotals!$A:$A=BB129)-(FILTER(Data!$K:$K,Data!$B:$B=BB129,Data!$D:$D=$K129)+FILTER(Data!$L:$L,Data!$B:$B=BB129,Data!$D:$D=$K129)),""""),"""")"),"")</f>
        <v/>
      </c>
      <c r="CM129" s="69" t="str">
        <f>IFERROR(__xludf.DUMMYFUNCTION("IF($K129&lt;&gt;"""",IFERROR(FILTER(RawTotals!$AJ:$AJ,RawTotals!$A:$A=BC129)-(FILTER(Data!$K:$K,Data!$B:$B=BC129,Data!$D:$D=$K129)+FILTER(Data!$L:$L,Data!$B:$B=BC129,Data!$D:$D=$K129)),""""),"""")"),"")</f>
        <v/>
      </c>
      <c r="CN129" s="69" t="str">
        <f>IFERROR(__xludf.DUMMYFUNCTION("IF($L129&lt;&gt;"""",IFERROR((FILTER(RawTotals!$AJ:$AJ,RawTotals!$A:$A=BD129)-(FILTER(Data!$K:$K,Data!$B:$B=BD129,Data!$D:$D=$L129)+FILTER(Data!$L:$L,Data!$B:$B=BD129,Data!$D:$D=$L129))),""""),"""")"),"")</f>
        <v/>
      </c>
      <c r="CO129" s="69" t="str">
        <f>IFERROR(__xludf.DUMMYFUNCTION("IF($L129&lt;&gt;"""",IFERROR((FILTER(RawTotals!$AJ:$AJ,RawTotals!$A:$A=BE129)-(FILTER(Data!$K:$K,Data!$B:$B=BE129,Data!$D:$D=$L129)+FILTER(Data!$L:$L,Data!$B:$B=BE129,Data!$D:$D=$L129))),""""),"""")"),"")</f>
        <v/>
      </c>
      <c r="CP129" s="69" t="str">
        <f>IFERROR(__xludf.DUMMYFUNCTION("IF($L129&lt;&gt;"""",IFERROR((FILTER(RawTotals!$AJ:$AJ,RawTotals!$A:$A=BF129)-(FILTER(Data!$K:$K,Data!$B:$B=BF129,Data!$D:$D=$L129)+FILTER(Data!$L:$L,Data!$B:$B=BF129,Data!$D:$D=$L129))),""""),"""")"),"")</f>
        <v/>
      </c>
      <c r="CQ129" s="69" t="str">
        <f>IFERROR(__xludf.DUMMYFUNCTION("IF($M129&lt;&gt;"""",IFERROR((FILTER(RawTotals!$AJ:$AJ,RawTotals!$A:$A=BG129)-(FILTER(Data!$K:$K,Data!$B:$B=BG129,Data!$D:$D=$M129)+FILTER(Data!$L:$L,Data!$B:$B=BG129,Data!$D:$D=$M129))),""""),"""")"),"")</f>
        <v/>
      </c>
      <c r="CR129" s="69" t="str">
        <f>IFERROR(__xludf.DUMMYFUNCTION("IF($M129&lt;&gt;"""",IFERROR((FILTER(RawTotals!$AJ:$AJ,RawTotals!$A:$A=BH129)-(FILTER(Data!$K:$K,Data!$B:$B=BH129,Data!$D:$D=$M129)+FILTER(Data!$L:$L,Data!$B:$B=BH129,Data!$D:$D=$M129))),""""),"""")"),"")</f>
        <v/>
      </c>
      <c r="CS129" s="70" t="str">
        <f>IFERROR(__xludf.DUMMYFUNCTION("IF($M129&lt;&gt;"""",IFERROR((FILTER(RawTotals!$AJ:$AJ,RawTotals!$A:$A=BI129)-(FILTER(Data!$K:$K,Data!$B:$B=BI129,Data!$D:$D=$M129)+FILTER(Data!$L:$L,Data!$B:$B=BI129,Data!$D:$D=$M129))),""""),"""")"),"")</f>
        <v/>
      </c>
      <c r="CT129" s="69"/>
      <c r="CU129" s="69"/>
      <c r="CV129" s="69"/>
      <c r="CW129" s="69"/>
      <c r="CX129" s="69"/>
      <c r="CY129" s="69"/>
      <c r="CZ129" s="69"/>
      <c r="DA129" s="69"/>
      <c r="DB129" s="69"/>
      <c r="DC129" s="69"/>
      <c r="DD129" s="69"/>
      <c r="DE129" s="69"/>
    </row>
    <row r="130">
      <c r="A130" s="65" t="str">
        <f>RawTotals!A130</f>
        <v/>
      </c>
      <c r="B130" s="68" t="str">
        <f>IFERROR(__xludf.DUMMYFUNCTION("IF(A130&lt;&gt;"""",IFERROR(TRANSPOSE(FILTER(Data!D:D,Data!B:B=A130,Data!R:R&lt;&gt;"""")),""No Defense""),"""")"),"")</f>
        <v/>
      </c>
      <c r="C130" s="65"/>
      <c r="D130" s="65"/>
      <c r="E130" s="65"/>
      <c r="F130" s="65"/>
      <c r="G130" s="65"/>
      <c r="H130" s="65"/>
      <c r="I130" s="65"/>
      <c r="J130" s="65"/>
      <c r="K130" s="65"/>
      <c r="L130" s="65"/>
      <c r="M130" s="65"/>
      <c r="N130" s="64" t="str">
        <f>IFERROR(__xludf.DUMMYFUNCTION("IFERROR(Textjoin("""",TRUE,FILTER(Data!$R:$R,Data!$D:$D=B130,Data!$B:$B=$A130)),"""")"),"")</f>
        <v/>
      </c>
      <c r="O130" s="64" t="str">
        <f>IFERROR(__xludf.DUMMYFUNCTION("IFERROR(Textjoin("""",TRUE,FILTER(Data!$R:$R,Data!$D:$D=C130,Data!$B:$B=$A130)),"""")"),"")</f>
        <v/>
      </c>
      <c r="P130" s="64" t="str">
        <f>IFERROR(__xludf.DUMMYFUNCTION("IFERROR(Textjoin("""",TRUE,FILTER(Data!$R:$R,Data!$D:$D=D130,Data!$B:$B=$A130)),"""")"),"")</f>
        <v/>
      </c>
      <c r="Q130" s="64" t="str">
        <f>IFERROR(__xludf.DUMMYFUNCTION("IFERROR(Textjoin("""",TRUE,FILTER(Data!$R:$R,Data!$D:$D=E130,Data!$B:$B=$A130)),"""")"),"")</f>
        <v/>
      </c>
      <c r="R130" s="64" t="str">
        <f>IFERROR(__xludf.DUMMYFUNCTION("IFERROR(Textjoin("""",TRUE,FILTER(Data!$R:$R,Data!$D:$D=F130,Data!$B:$B=$A130)),"""")"),"")</f>
        <v/>
      </c>
      <c r="S130" s="64" t="str">
        <f>IFERROR(__xludf.DUMMYFUNCTION("IFERROR(Textjoin("""",TRUE,FILTER(Data!$R:$R,Data!$D:$D=G130,Data!$B:$B=$A130)),"""")"),"")</f>
        <v/>
      </c>
      <c r="T130" s="64" t="str">
        <f>IFERROR(__xludf.DUMMYFUNCTION("IFERROR(Textjoin("""",TRUE,FILTER(Data!$R:$R,Data!$D:$D=H130,Data!$B:$B=$A130)),"""")"),"")</f>
        <v/>
      </c>
      <c r="U130" s="64" t="str">
        <f>IFERROR(__xludf.DUMMYFUNCTION("IFERROR(Textjoin("""",TRUE,FILTER(Data!$R:$R,Data!$D:$D=I130,Data!$B:$B=$A130)),"""")"),"")</f>
        <v/>
      </c>
      <c r="V130" s="64" t="str">
        <f>IFERROR(__xludf.DUMMYFUNCTION("IFERROR(Textjoin("""",TRUE,FILTER(Data!$R:$R,Data!$D:$D=J130,Data!$B:$B=$A130)),"""")"),"")</f>
        <v/>
      </c>
      <c r="W130" s="64" t="str">
        <f>IFERROR(__xludf.DUMMYFUNCTION("IFERROR(Textjoin("""",TRUE,FILTER(Data!$R:$R,Data!$D:$D=K130,Data!$B:$B=$A130)),"""")"),"")</f>
        <v/>
      </c>
      <c r="X130" s="64" t="str">
        <f>IFERROR(__xludf.DUMMYFUNCTION("IFERROR(Textjoin("""",TRUE,FILTER(Data!$R:$R,Data!$D:$D=L130,Data!$B:$B=$A130)),"""")"),"")</f>
        <v/>
      </c>
      <c r="Y130" s="64" t="str">
        <f>IFERROR(__xludf.DUMMYFUNCTION("IFERROR(Textjoin("""",TRUE,FILTER(Data!$R:$R,Data!$D:$D=M130,Data!$B:$B=$A130)),"""")"),"")</f>
        <v/>
      </c>
      <c r="Z130" s="64" t="str">
        <f>IFERROR(__xludf.DUMMYFUNCTION("IFERROR(SPLIT(N130,"",""),"""")"),"")</f>
        <v/>
      </c>
      <c r="AA130" s="65"/>
      <c r="AB130" s="65"/>
      <c r="AC130" s="69" t="str">
        <f>IFERROR(__xludf.DUMMYFUNCTION("IFERROR(SPLIT(O130,"",""),"""")"),"")</f>
        <v/>
      </c>
      <c r="AD130" s="65"/>
      <c r="AE130" s="65"/>
      <c r="AF130" s="69" t="str">
        <f>IFERROR(__xludf.DUMMYFUNCTION("IFERROR(SPLIT(P130,"",""),"""")"),"")</f>
        <v/>
      </c>
      <c r="AG130" s="65"/>
      <c r="AH130" s="65"/>
      <c r="AI130" s="69" t="str">
        <f>IFERROR(__xludf.DUMMYFUNCTION("IFERROR(SPLIT(Q130,"",""),"""")"),"")</f>
        <v/>
      </c>
      <c r="AJ130" s="65"/>
      <c r="AK130" s="65"/>
      <c r="AL130" s="69" t="str">
        <f>IFERROR(__xludf.DUMMYFUNCTION("IFERROR(SPLIT(R130,"",""),"""")"),"")</f>
        <v/>
      </c>
      <c r="AM130" s="65"/>
      <c r="AN130" s="65"/>
      <c r="AO130" s="69" t="str">
        <f>IFERROR(__xludf.DUMMYFUNCTION("IFERROR(SPLIT(S130,"",""),"""")"),"")</f>
        <v/>
      </c>
      <c r="AP130" s="65"/>
      <c r="AQ130" s="65"/>
      <c r="AR130" s="69" t="str">
        <f>IFERROR(__xludf.DUMMYFUNCTION("IFERROR(SPLIT(T130,"",""),"""")"),"")</f>
        <v/>
      </c>
      <c r="AS130" s="65"/>
      <c r="AT130" s="65"/>
      <c r="AU130" s="69" t="str">
        <f>IFERROR(__xludf.DUMMYFUNCTION("IFERROR(SPLIT(U130,"",""),"""")"),"")</f>
        <v/>
      </c>
      <c r="AV130" s="65"/>
      <c r="AW130" s="65"/>
      <c r="AX130" s="69" t="str">
        <f>IFERROR(__xludf.DUMMYFUNCTION("IFERROR(SPLIT(V130,"",""),"""")"),"")</f>
        <v/>
      </c>
      <c r="AY130" s="65"/>
      <c r="AZ130" s="65"/>
      <c r="BA130" s="69" t="str">
        <f>IFERROR(__xludf.DUMMYFUNCTION("IFERROR(SPLIT(W130,"",""),"""")"),"")</f>
        <v/>
      </c>
      <c r="BB130" s="69"/>
      <c r="BC130" s="69"/>
      <c r="BD130" s="69" t="str">
        <f>IFERROR(__xludf.DUMMYFUNCTION("IFERROR(SPLIT(X130,"",""),"""")"),"")</f>
        <v/>
      </c>
      <c r="BE130" s="69"/>
      <c r="BF130" s="69"/>
      <c r="BG130" s="69" t="str">
        <f>IFERROR(__xludf.DUMMYFUNCTION("IFERROR(SPLIT(Y130,"",""),"""")"),"")</f>
        <v/>
      </c>
      <c r="BH130" s="69"/>
      <c r="BI130" s="69"/>
      <c r="BJ130" s="68" t="str">
        <f>IFERROR(__xludf.DUMMYFUNCTION("IF($B130&lt;&gt;"""",IFERROR(FILTER(RawTotals!$AJ:$AJ,RawTotals!$A:$A=Z130)-(FILTER(Data!$K:$K,Data!$B:$B=Z130,Data!$D:$D=$B130)+FILTER(Data!$L:$L,Data!$B:$B=Z130,Data!$D:$D=$B130)),""""),"""")"),"")</f>
        <v/>
      </c>
      <c r="BK130" s="68" t="str">
        <f>IFERROR(__xludf.DUMMYFUNCTION("IF($B130&lt;&gt;"""",IFERROR(FILTER(RawTotals!$AJ:$AJ,RawTotals!$A:$A=AA130)-(FILTER(Data!$K:$K,Data!$B:$B=AA130,Data!$D:$D=$B130)+FILTER(Data!$L:$L,Data!$B:$B=AA130,Data!$D:$D=$B130)),""""),"""")"),"")</f>
        <v/>
      </c>
      <c r="BL130" s="68" t="str">
        <f>IFERROR(__xludf.DUMMYFUNCTION("IF($B130&lt;&gt;"""",IFERROR(FILTER(RawTotals!$AJ:$AJ,RawTotals!$A:$A=AB130)-(FILTER(Data!$K:$K,Data!$B:$B=AB130,Data!$D:$D=$B130)+FILTER(Data!$L:$L,Data!$B:$B=AB130,Data!$D:$D=$B130)),""""),"""")"),"")</f>
        <v/>
      </c>
      <c r="BM130" s="69" t="str">
        <f>IFERROR(__xludf.DUMMYFUNCTION("IF($C130&lt;&gt;"""",IFERROR(FILTER(RawTotals!$AJ:$AJ,RawTotals!$A:$A=AC130)-(FILTER(Data!$K:$K,Data!$B:$B=AC130,Data!$D:$D=$C130)+FILTER(Data!$L:$L,Data!$B:$B=AC130,Data!$D:$D=$C130)),""""),"""")"),"")</f>
        <v/>
      </c>
      <c r="BN130" s="69" t="str">
        <f>IFERROR(__xludf.DUMMYFUNCTION("IF($C130&lt;&gt;"""",IFERROR(FILTER(RawTotals!$AJ:$AJ,RawTotals!$A:$A=AD130)-(FILTER(Data!$K:$K,Data!$B:$B=AD130,Data!$D:$D=$C130)+FILTER(Data!$L:$L,Data!$B:$B=AD130,Data!$D:$D=$C130)),""""),"""")"),"")</f>
        <v/>
      </c>
      <c r="BO130" s="69" t="str">
        <f>IFERROR(__xludf.DUMMYFUNCTION("IF($C130&lt;&gt;"""",IFERROR(FILTER(RawTotals!$AJ:$AJ,RawTotals!$A:$A=AE130)-(FILTER(Data!$K:$K,Data!$B:$B=AE130,Data!$D:$D=$C130)+FILTER(Data!$L:$L,Data!$B:$B=AE130,Data!$D:$D=$C130)),""""),"""")"),"")</f>
        <v/>
      </c>
      <c r="BP130" s="69" t="str">
        <f>IFERROR(__xludf.DUMMYFUNCTION("IF($D130&lt;&gt;"""",IFERROR(FILTER(RawTotals!$AJ:$AJ,RawTotals!$A:$A=AF130)-(FILTER(Data!$K:$K,Data!$B:$B=AF130,Data!$D:$D=$D130)+FILTER(Data!$L:$L,Data!$B:$B=AF130,Data!$D:$D=$D130)),""""),"""")"),"")</f>
        <v/>
      </c>
      <c r="BQ130" s="69" t="str">
        <f>IFERROR(__xludf.DUMMYFUNCTION("IF($D130&lt;&gt;"""",IFERROR(FILTER(RawTotals!$AJ:$AJ,RawTotals!$A:$A=AG130)-(FILTER(Data!$K:$K,Data!$B:$B=AG130,Data!$D:$D=$D130)+FILTER(Data!$L:$L,Data!$B:$B=AG130,Data!$D:$D=$D130)),""""),"""")"),"")</f>
        <v/>
      </c>
      <c r="BR130" s="69" t="str">
        <f>IFERROR(__xludf.DUMMYFUNCTION("IF($D130&lt;&gt;"""",IFERROR(FILTER(RawTotals!$AJ:$AJ,RawTotals!$A:$A=AH130)-(FILTER(Data!$K:$K,Data!$B:$B=AH130,Data!$D:$D=$D130)+FILTER(Data!$L:$L,Data!$B:$B=AH130,Data!$D:$D=$D130)),""""),"""")"),"")</f>
        <v/>
      </c>
      <c r="BS130" s="69" t="str">
        <f>IFERROR(__xludf.DUMMYFUNCTION("IF($E130&lt;&gt;"""",IFERROR(FILTER(RawTotals!$AJ:$AJ,RawTotals!$A:$A=AI130)-(FILTER(Data!$K:$K,Data!$B:$B=AI130,Data!$D:$D=$E130)+FILTER(Data!$L:$L,Data!$B:$B=AI130,Data!$D:$D=$E130)),""""),"""")"),"")</f>
        <v/>
      </c>
      <c r="BT130" s="69" t="str">
        <f>IFERROR(__xludf.DUMMYFUNCTION("IF($E130&lt;&gt;"""",IFERROR(FILTER(RawTotals!$AJ:$AJ,RawTotals!$A:$A=AJ130)-(FILTER(Data!$K:$K,Data!$B:$B=AJ130,Data!$D:$D=$E130)+FILTER(Data!$L:$L,Data!$B:$B=AJ130,Data!$D:$D=$E130)),""""),"""")"),"")</f>
        <v/>
      </c>
      <c r="BU130" s="69" t="str">
        <f>IFERROR(__xludf.DUMMYFUNCTION("IF($E130&lt;&gt;"""",IFERROR(FILTER(RawTotals!$AJ:$AJ,RawTotals!$A:$A=AK130)-(FILTER(Data!$K:$K,Data!$B:$B=AK130,Data!$D:$D=$E130)+FILTER(Data!$L:$L,Data!$B:$B=AK130,Data!$D:$D=$E130)),""""),"""")"),"")</f>
        <v/>
      </c>
      <c r="BV130" s="69" t="str">
        <f>IFERROR(__xludf.DUMMYFUNCTION("IF($F130&lt;&gt;"""",IFERROR(FILTER(RawTotals!$AJ:$AJ,RawTotals!$A:$A=AL130)-(FILTER(Data!$K:$K,Data!$B:$B=AL130,Data!$D:$D=$F130)+FILTER(Data!$L:$L,Data!$B:$B=AL130,Data!$D:$D=$F130)),""""),"""")"),"")</f>
        <v/>
      </c>
      <c r="BW130" s="69" t="str">
        <f>IFERROR(__xludf.DUMMYFUNCTION("IF($F130&lt;&gt;"""",IFERROR(FILTER(RawTotals!$AJ:$AJ,RawTotals!$A:$A=AM130)-(FILTER(Data!$K:$K,Data!$B:$B=AM130,Data!$D:$D=$F130)+FILTER(Data!$L:$L,Data!$B:$B=AM130,Data!$D:$D=$F130)),""""),"""")"),"")</f>
        <v/>
      </c>
      <c r="BX130" s="69" t="str">
        <f>IFERROR(__xludf.DUMMYFUNCTION("IF($F130&lt;&gt;"""",IFERROR(FILTER(RawTotals!$AJ:$AJ,RawTotals!$A:$A=AN130)-(FILTER(Data!$K:$K,Data!$B:$B=AN130,Data!$D:$D=$F130)+FILTER(Data!$L:$L,Data!$B:$B=AN130,Data!$D:$D=$F130)),""""),"""")"),"")</f>
        <v/>
      </c>
      <c r="BY130" s="69" t="str">
        <f>IFERROR(__xludf.DUMMYFUNCTION("IF($G130&lt;&gt;"""",IFERROR(FILTER(RawTotals!$AJ:$AJ,RawTotals!$A:$A=AO130)-(FILTER(Data!$K:$K,Data!$B:$B=AO130,Data!$D:$D=$G130)+FILTER(Data!$L:$L,Data!$B:$B=AO130,Data!$D:$D=$G130)),""""),"""")"),"")</f>
        <v/>
      </c>
      <c r="BZ130" s="69" t="str">
        <f>IFERROR(__xludf.DUMMYFUNCTION("IF($G130&lt;&gt;"""",IFERROR(FILTER(RawTotals!$AJ:$AJ,RawTotals!$A:$A=AP130)-(FILTER(Data!$K:$K,Data!$B:$B=AP130,Data!$D:$D=$G130)+FILTER(Data!$L:$L,Data!$B:$B=AP130,Data!$D:$D=$G130)),""""),"""")"),"")</f>
        <v/>
      </c>
      <c r="CA130" s="69" t="str">
        <f>IFERROR(__xludf.DUMMYFUNCTION("IF($G130&lt;&gt;"""",IFERROR(FILTER(RawTotals!$AJ:$AJ,RawTotals!$A:$A=AQ130)-(FILTER(Data!$K:$K,Data!$B:$B=AQ130,Data!$D:$D=$G130)+FILTER(Data!$L:$L,Data!$B:$B=AQ130,Data!$D:$D=$G130)),""""),"""")"),"")</f>
        <v/>
      </c>
      <c r="CB130" s="69" t="str">
        <f>IFERROR(__xludf.DUMMYFUNCTION("IF($H130&lt;&gt;"""",IFERROR(FILTER(RawTotals!$AJ:$AJ,RawTotals!$A:$A=AR130)-(FILTER(Data!$K:$K,Data!$B:$B=AR130,Data!$D:$D=$H130)+FILTER(Data!$L:$L,Data!$B:$B=AR130,Data!$D:$D=$H130)),""""),"""")"),"")</f>
        <v/>
      </c>
      <c r="CC130" s="69" t="str">
        <f>IFERROR(__xludf.DUMMYFUNCTION("IF($H130&lt;&gt;"""",IFERROR(FILTER(RawTotals!$AJ:$AJ,RawTotals!$A:$A=AS130)-(FILTER(Data!$K:$K,Data!$B:$B=AS130,Data!$D:$D=$H130)+FILTER(Data!$L:$L,Data!$B:$B=AS130,Data!$D:$D=$H130)),""""),"""")"),"")</f>
        <v/>
      </c>
      <c r="CD130" s="69" t="str">
        <f>IFERROR(__xludf.DUMMYFUNCTION("IF($H130&lt;&gt;"""",IFERROR(FILTER(RawTotals!$AJ:$AJ,RawTotals!$A:$A=AT130)-(FILTER(Data!$K:$K,Data!$B:$B=AT130,Data!$D:$D=$H130)+FILTER(Data!$L:$L,Data!$B:$B=AT130,Data!$D:$D=$H130)),""""),"""")"),"")</f>
        <v/>
      </c>
      <c r="CE130" s="69" t="str">
        <f>IFERROR(__xludf.DUMMYFUNCTION("IF($I130&lt;&gt;"""",IFERROR(FILTER(RawTotals!$AJ:$AJ,RawTotals!$A:$A=AU130)-(FILTER(Data!$K:$K,Data!$B:$B=AU130,Data!$D:$D=$I130)+FILTER(Data!$L:$L,Data!$B:$B=AU130,Data!$D:$D=$I130)),""""),"""")"),"")</f>
        <v/>
      </c>
      <c r="CF130" s="69" t="str">
        <f>IFERROR(__xludf.DUMMYFUNCTION("IF($I130&lt;&gt;"""",IFERROR(FILTER(RawTotals!$AJ:$AJ,RawTotals!$A:$A=AV130)-(FILTER(Data!$K:$K,Data!$B:$B=AV130,Data!$D:$D=$I130)+FILTER(Data!$L:$L,Data!$B:$B=AV130,Data!$D:$D=$I130)),""""),"""")"),"")</f>
        <v/>
      </c>
      <c r="CG130" s="69" t="str">
        <f>IFERROR(__xludf.DUMMYFUNCTION("IF($I130&lt;&gt;"""",IFERROR(FILTER(RawTotals!$AJ:$AJ,RawTotals!$A:$A=AW130)-(FILTER(Data!$K:$K,Data!$B:$B=AW130,Data!$D:$D=$I130)+FILTER(Data!$L:$L,Data!$B:$B=AW130,Data!$D:$D=$I130)),""""),"""")"),"")</f>
        <v/>
      </c>
      <c r="CH130" s="69" t="str">
        <f>IFERROR(__xludf.DUMMYFUNCTION("IF($J130&lt;&gt;"""",IFERROR(FILTER(RawTotals!$AJ:$AJ,RawTotals!$A:$A=AX130)-(FILTER(Data!$K:$K,Data!$B:$B=AX130,Data!$D:$D=$J130)+FILTER(Data!$L:$L,Data!$B:$B=AX130,Data!$D:$D=$J130)),""""),"""")"),"")</f>
        <v/>
      </c>
      <c r="CI130" s="69" t="str">
        <f>IFERROR(__xludf.DUMMYFUNCTION("IF($J130&lt;&gt;"""",IFERROR(FILTER(RawTotals!$AJ:$AJ,RawTotals!$A:$A=AY130)-(FILTER(Data!$K:$K,Data!$B:$B=AY130,Data!$D:$D=$J130)+FILTER(Data!$L:$L,Data!$B:$B=AY130,Data!$D:$D=$J130)),""""),"""")"),"")</f>
        <v/>
      </c>
      <c r="CJ130" s="69" t="str">
        <f>IFERROR(__xludf.DUMMYFUNCTION("IF($J130&lt;&gt;"""",IFERROR(FILTER(RawTotals!$AJ:$AJ,RawTotals!$A:$A=AZ130)-(FILTER(Data!$K:$K,Data!$B:$B=AZ130,Data!$D:$D=$J130)+FILTER(Data!$L:$L,Data!$B:$B=AZ130,Data!$D:$D=$J130)),""""),"""")"),"")</f>
        <v/>
      </c>
      <c r="CK130" s="69" t="str">
        <f>IFERROR(__xludf.DUMMYFUNCTION("IF($K130&lt;&gt;"""",IFERROR(FILTER(RawTotals!$AJ:$AJ,RawTotals!$A:$A=BA130)-(FILTER(Data!$K:$K,Data!$B:$B=BA130,Data!$D:$D=$K130)+FILTER(Data!$L:$L,Data!$B:$B=BA130,Data!$D:$D=$K130)),""""),"""")"),"")</f>
        <v/>
      </c>
      <c r="CL130" s="69" t="str">
        <f>IFERROR(__xludf.DUMMYFUNCTION("IF($K130&lt;&gt;"""",IFERROR(FILTER(RawTotals!$AJ:$AJ,RawTotals!$A:$A=BB130)-(FILTER(Data!$K:$K,Data!$B:$B=BB130,Data!$D:$D=$K130)+FILTER(Data!$L:$L,Data!$B:$B=BB130,Data!$D:$D=$K130)),""""),"""")"),"")</f>
        <v/>
      </c>
      <c r="CM130" s="69" t="str">
        <f>IFERROR(__xludf.DUMMYFUNCTION("IF($K130&lt;&gt;"""",IFERROR(FILTER(RawTotals!$AJ:$AJ,RawTotals!$A:$A=BC130)-(FILTER(Data!$K:$K,Data!$B:$B=BC130,Data!$D:$D=$K130)+FILTER(Data!$L:$L,Data!$B:$B=BC130,Data!$D:$D=$K130)),""""),"""")"),"")</f>
        <v/>
      </c>
      <c r="CN130" s="69" t="str">
        <f>IFERROR(__xludf.DUMMYFUNCTION("IF($L130&lt;&gt;"""",IFERROR((FILTER(RawTotals!$AJ:$AJ,RawTotals!$A:$A=BD130)-(FILTER(Data!$K:$K,Data!$B:$B=BD130,Data!$D:$D=$L130)+FILTER(Data!$L:$L,Data!$B:$B=BD130,Data!$D:$D=$L130))),""""),"""")"),"")</f>
        <v/>
      </c>
      <c r="CO130" s="69" t="str">
        <f>IFERROR(__xludf.DUMMYFUNCTION("IF($L130&lt;&gt;"""",IFERROR((FILTER(RawTotals!$AJ:$AJ,RawTotals!$A:$A=BE130)-(FILTER(Data!$K:$K,Data!$B:$B=BE130,Data!$D:$D=$L130)+FILTER(Data!$L:$L,Data!$B:$B=BE130,Data!$D:$D=$L130))),""""),"""")"),"")</f>
        <v/>
      </c>
      <c r="CP130" s="69" t="str">
        <f>IFERROR(__xludf.DUMMYFUNCTION("IF($L130&lt;&gt;"""",IFERROR((FILTER(RawTotals!$AJ:$AJ,RawTotals!$A:$A=BF130)-(FILTER(Data!$K:$K,Data!$B:$B=BF130,Data!$D:$D=$L130)+FILTER(Data!$L:$L,Data!$B:$B=BF130,Data!$D:$D=$L130))),""""),"""")"),"")</f>
        <v/>
      </c>
      <c r="CQ130" s="69" t="str">
        <f>IFERROR(__xludf.DUMMYFUNCTION("IF($M130&lt;&gt;"""",IFERROR((FILTER(RawTotals!$AJ:$AJ,RawTotals!$A:$A=BG130)-(FILTER(Data!$K:$K,Data!$B:$B=BG130,Data!$D:$D=$M130)+FILTER(Data!$L:$L,Data!$B:$B=BG130,Data!$D:$D=$M130))),""""),"""")"),"")</f>
        <v/>
      </c>
      <c r="CR130" s="69" t="str">
        <f>IFERROR(__xludf.DUMMYFUNCTION("IF($M130&lt;&gt;"""",IFERROR((FILTER(RawTotals!$AJ:$AJ,RawTotals!$A:$A=BH130)-(FILTER(Data!$K:$K,Data!$B:$B=BH130,Data!$D:$D=$M130)+FILTER(Data!$L:$L,Data!$B:$B=BH130,Data!$D:$D=$M130))),""""),"""")"),"")</f>
        <v/>
      </c>
      <c r="CS130" s="70" t="str">
        <f>IFERROR(__xludf.DUMMYFUNCTION("IF($M130&lt;&gt;"""",IFERROR((FILTER(RawTotals!$AJ:$AJ,RawTotals!$A:$A=BI130)-(FILTER(Data!$K:$K,Data!$B:$B=BI130,Data!$D:$D=$M130)+FILTER(Data!$L:$L,Data!$B:$B=BI130,Data!$D:$D=$M130))),""""),"""")"),"")</f>
        <v/>
      </c>
      <c r="CT130" s="69"/>
      <c r="CU130" s="69"/>
      <c r="CV130" s="69"/>
      <c r="CW130" s="69"/>
      <c r="CX130" s="69"/>
      <c r="CY130" s="69"/>
      <c r="CZ130" s="69"/>
      <c r="DA130" s="69"/>
      <c r="DB130" s="69"/>
      <c r="DC130" s="69"/>
      <c r="DD130" s="69"/>
      <c r="DE130" s="69"/>
    </row>
    <row r="131">
      <c r="A131" s="65" t="str">
        <f>RawTotals!A131</f>
        <v/>
      </c>
      <c r="B131" s="68" t="str">
        <f>IFERROR(__xludf.DUMMYFUNCTION("IF(A131&lt;&gt;"""",IFERROR(TRANSPOSE(FILTER(Data!D:D,Data!B:B=A131,Data!R:R&lt;&gt;"""")),""No Defense""),"""")"),"")</f>
        <v/>
      </c>
      <c r="C131" s="65"/>
      <c r="D131" s="65"/>
      <c r="E131" s="65"/>
      <c r="F131" s="65"/>
      <c r="G131" s="65"/>
      <c r="H131" s="65"/>
      <c r="I131" s="65"/>
      <c r="J131" s="65"/>
      <c r="K131" s="65"/>
      <c r="L131" s="65"/>
      <c r="M131" s="65"/>
      <c r="N131" s="64" t="str">
        <f>IFERROR(__xludf.DUMMYFUNCTION("IFERROR(Textjoin("""",TRUE,FILTER(Data!$R:$R,Data!$D:$D=B131,Data!$B:$B=$A131)),"""")"),"")</f>
        <v/>
      </c>
      <c r="O131" s="64" t="str">
        <f>IFERROR(__xludf.DUMMYFUNCTION("IFERROR(Textjoin("""",TRUE,FILTER(Data!$R:$R,Data!$D:$D=C131,Data!$B:$B=$A131)),"""")"),"")</f>
        <v/>
      </c>
      <c r="P131" s="64" t="str">
        <f>IFERROR(__xludf.DUMMYFUNCTION("IFERROR(Textjoin("""",TRUE,FILTER(Data!$R:$R,Data!$D:$D=D131,Data!$B:$B=$A131)),"""")"),"")</f>
        <v/>
      </c>
      <c r="Q131" s="64" t="str">
        <f>IFERROR(__xludf.DUMMYFUNCTION("IFERROR(Textjoin("""",TRUE,FILTER(Data!$R:$R,Data!$D:$D=E131,Data!$B:$B=$A131)),"""")"),"")</f>
        <v/>
      </c>
      <c r="R131" s="64" t="str">
        <f>IFERROR(__xludf.DUMMYFUNCTION("IFERROR(Textjoin("""",TRUE,FILTER(Data!$R:$R,Data!$D:$D=F131,Data!$B:$B=$A131)),"""")"),"")</f>
        <v/>
      </c>
      <c r="S131" s="64" t="str">
        <f>IFERROR(__xludf.DUMMYFUNCTION("IFERROR(Textjoin("""",TRUE,FILTER(Data!$R:$R,Data!$D:$D=G131,Data!$B:$B=$A131)),"""")"),"")</f>
        <v/>
      </c>
      <c r="T131" s="64" t="str">
        <f>IFERROR(__xludf.DUMMYFUNCTION("IFERROR(Textjoin("""",TRUE,FILTER(Data!$R:$R,Data!$D:$D=H131,Data!$B:$B=$A131)),"""")"),"")</f>
        <v/>
      </c>
      <c r="U131" s="64" t="str">
        <f>IFERROR(__xludf.DUMMYFUNCTION("IFERROR(Textjoin("""",TRUE,FILTER(Data!$R:$R,Data!$D:$D=I131,Data!$B:$B=$A131)),"""")"),"")</f>
        <v/>
      </c>
      <c r="V131" s="64" t="str">
        <f>IFERROR(__xludf.DUMMYFUNCTION("IFERROR(Textjoin("""",TRUE,FILTER(Data!$R:$R,Data!$D:$D=J131,Data!$B:$B=$A131)),"""")"),"")</f>
        <v/>
      </c>
      <c r="W131" s="64" t="str">
        <f>IFERROR(__xludf.DUMMYFUNCTION("IFERROR(Textjoin("""",TRUE,FILTER(Data!$R:$R,Data!$D:$D=K131,Data!$B:$B=$A131)),"""")"),"")</f>
        <v/>
      </c>
      <c r="X131" s="64" t="str">
        <f>IFERROR(__xludf.DUMMYFUNCTION("IFERROR(Textjoin("""",TRUE,FILTER(Data!$R:$R,Data!$D:$D=L131,Data!$B:$B=$A131)),"""")"),"")</f>
        <v/>
      </c>
      <c r="Y131" s="64" t="str">
        <f>IFERROR(__xludf.DUMMYFUNCTION("IFERROR(Textjoin("""",TRUE,FILTER(Data!$R:$R,Data!$D:$D=M131,Data!$B:$B=$A131)),"""")"),"")</f>
        <v/>
      </c>
      <c r="Z131" s="64" t="str">
        <f>IFERROR(__xludf.DUMMYFUNCTION("IFERROR(SPLIT(N131,"",""),"""")"),"")</f>
        <v/>
      </c>
      <c r="AA131" s="65"/>
      <c r="AB131" s="65"/>
      <c r="AC131" s="69" t="str">
        <f>IFERROR(__xludf.DUMMYFUNCTION("IFERROR(SPLIT(O131,"",""),"""")"),"")</f>
        <v/>
      </c>
      <c r="AD131" s="65"/>
      <c r="AE131" s="65"/>
      <c r="AF131" s="69" t="str">
        <f>IFERROR(__xludf.DUMMYFUNCTION("IFERROR(SPLIT(P131,"",""),"""")"),"")</f>
        <v/>
      </c>
      <c r="AG131" s="65"/>
      <c r="AH131" s="65"/>
      <c r="AI131" s="69" t="str">
        <f>IFERROR(__xludf.DUMMYFUNCTION("IFERROR(SPLIT(Q131,"",""),"""")"),"")</f>
        <v/>
      </c>
      <c r="AJ131" s="65"/>
      <c r="AK131" s="65"/>
      <c r="AL131" s="69" t="str">
        <f>IFERROR(__xludf.DUMMYFUNCTION("IFERROR(SPLIT(R131,"",""),"""")"),"")</f>
        <v/>
      </c>
      <c r="AM131" s="65"/>
      <c r="AN131" s="65"/>
      <c r="AO131" s="69" t="str">
        <f>IFERROR(__xludf.DUMMYFUNCTION("IFERROR(SPLIT(S131,"",""),"""")"),"")</f>
        <v/>
      </c>
      <c r="AP131" s="65"/>
      <c r="AQ131" s="65"/>
      <c r="AR131" s="69" t="str">
        <f>IFERROR(__xludf.DUMMYFUNCTION("IFERROR(SPLIT(T131,"",""),"""")"),"")</f>
        <v/>
      </c>
      <c r="AS131" s="65"/>
      <c r="AT131" s="65"/>
      <c r="AU131" s="69" t="str">
        <f>IFERROR(__xludf.DUMMYFUNCTION("IFERROR(SPLIT(U131,"",""),"""")"),"")</f>
        <v/>
      </c>
      <c r="AV131" s="65"/>
      <c r="AW131" s="65"/>
      <c r="AX131" s="69" t="str">
        <f>IFERROR(__xludf.DUMMYFUNCTION("IFERROR(SPLIT(V131,"",""),"""")"),"")</f>
        <v/>
      </c>
      <c r="AY131" s="65"/>
      <c r="AZ131" s="65"/>
      <c r="BA131" s="69" t="str">
        <f>IFERROR(__xludf.DUMMYFUNCTION("IFERROR(SPLIT(W131,"",""),"""")"),"")</f>
        <v/>
      </c>
      <c r="BB131" s="69"/>
      <c r="BC131" s="69"/>
      <c r="BD131" s="69" t="str">
        <f>IFERROR(__xludf.DUMMYFUNCTION("IFERROR(SPLIT(X131,"",""),"""")"),"")</f>
        <v/>
      </c>
      <c r="BE131" s="69"/>
      <c r="BF131" s="69"/>
      <c r="BG131" s="69" t="str">
        <f>IFERROR(__xludf.DUMMYFUNCTION("IFERROR(SPLIT(Y131,"",""),"""")"),"")</f>
        <v/>
      </c>
      <c r="BH131" s="69"/>
      <c r="BI131" s="69"/>
      <c r="BJ131" s="68" t="str">
        <f>IFERROR(__xludf.DUMMYFUNCTION("IF($B131&lt;&gt;"""",IFERROR(FILTER(RawTotals!$AJ:$AJ,RawTotals!$A:$A=Z131)-(FILTER(Data!$K:$K,Data!$B:$B=Z131,Data!$D:$D=$B131)+FILTER(Data!$L:$L,Data!$B:$B=Z131,Data!$D:$D=$B131)),""""),"""")"),"")</f>
        <v/>
      </c>
      <c r="BK131" s="68" t="str">
        <f>IFERROR(__xludf.DUMMYFUNCTION("IF($B131&lt;&gt;"""",IFERROR(FILTER(RawTotals!$AJ:$AJ,RawTotals!$A:$A=AA131)-(FILTER(Data!$K:$K,Data!$B:$B=AA131,Data!$D:$D=$B131)+FILTER(Data!$L:$L,Data!$B:$B=AA131,Data!$D:$D=$B131)),""""),"""")"),"")</f>
        <v/>
      </c>
      <c r="BL131" s="68" t="str">
        <f>IFERROR(__xludf.DUMMYFUNCTION("IF($B131&lt;&gt;"""",IFERROR(FILTER(RawTotals!$AJ:$AJ,RawTotals!$A:$A=AB131)-(FILTER(Data!$K:$K,Data!$B:$B=AB131,Data!$D:$D=$B131)+FILTER(Data!$L:$L,Data!$B:$B=AB131,Data!$D:$D=$B131)),""""),"""")"),"")</f>
        <v/>
      </c>
      <c r="BM131" s="69" t="str">
        <f>IFERROR(__xludf.DUMMYFUNCTION("IF($C131&lt;&gt;"""",IFERROR(FILTER(RawTotals!$AJ:$AJ,RawTotals!$A:$A=AC131)-(FILTER(Data!$K:$K,Data!$B:$B=AC131,Data!$D:$D=$C131)+FILTER(Data!$L:$L,Data!$B:$B=AC131,Data!$D:$D=$C131)),""""),"""")"),"")</f>
        <v/>
      </c>
      <c r="BN131" s="69" t="str">
        <f>IFERROR(__xludf.DUMMYFUNCTION("IF($C131&lt;&gt;"""",IFERROR(FILTER(RawTotals!$AJ:$AJ,RawTotals!$A:$A=AD131)-(FILTER(Data!$K:$K,Data!$B:$B=AD131,Data!$D:$D=$C131)+FILTER(Data!$L:$L,Data!$B:$B=AD131,Data!$D:$D=$C131)),""""),"""")"),"")</f>
        <v/>
      </c>
      <c r="BO131" s="69" t="str">
        <f>IFERROR(__xludf.DUMMYFUNCTION("IF($C131&lt;&gt;"""",IFERROR(FILTER(RawTotals!$AJ:$AJ,RawTotals!$A:$A=AE131)-(FILTER(Data!$K:$K,Data!$B:$B=AE131,Data!$D:$D=$C131)+FILTER(Data!$L:$L,Data!$B:$B=AE131,Data!$D:$D=$C131)),""""),"""")"),"")</f>
        <v/>
      </c>
      <c r="BP131" s="69" t="str">
        <f>IFERROR(__xludf.DUMMYFUNCTION("IF($D131&lt;&gt;"""",IFERROR(FILTER(RawTotals!$AJ:$AJ,RawTotals!$A:$A=AF131)-(FILTER(Data!$K:$K,Data!$B:$B=AF131,Data!$D:$D=$D131)+FILTER(Data!$L:$L,Data!$B:$B=AF131,Data!$D:$D=$D131)),""""),"""")"),"")</f>
        <v/>
      </c>
      <c r="BQ131" s="69" t="str">
        <f>IFERROR(__xludf.DUMMYFUNCTION("IF($D131&lt;&gt;"""",IFERROR(FILTER(RawTotals!$AJ:$AJ,RawTotals!$A:$A=AG131)-(FILTER(Data!$K:$K,Data!$B:$B=AG131,Data!$D:$D=$D131)+FILTER(Data!$L:$L,Data!$B:$B=AG131,Data!$D:$D=$D131)),""""),"""")"),"")</f>
        <v/>
      </c>
      <c r="BR131" s="69" t="str">
        <f>IFERROR(__xludf.DUMMYFUNCTION("IF($D131&lt;&gt;"""",IFERROR(FILTER(RawTotals!$AJ:$AJ,RawTotals!$A:$A=AH131)-(FILTER(Data!$K:$K,Data!$B:$B=AH131,Data!$D:$D=$D131)+FILTER(Data!$L:$L,Data!$B:$B=AH131,Data!$D:$D=$D131)),""""),"""")"),"")</f>
        <v/>
      </c>
      <c r="BS131" s="69" t="str">
        <f>IFERROR(__xludf.DUMMYFUNCTION("IF($E131&lt;&gt;"""",IFERROR(FILTER(RawTotals!$AJ:$AJ,RawTotals!$A:$A=AI131)-(FILTER(Data!$K:$K,Data!$B:$B=AI131,Data!$D:$D=$E131)+FILTER(Data!$L:$L,Data!$B:$B=AI131,Data!$D:$D=$E131)),""""),"""")"),"")</f>
        <v/>
      </c>
      <c r="BT131" s="69" t="str">
        <f>IFERROR(__xludf.DUMMYFUNCTION("IF($E131&lt;&gt;"""",IFERROR(FILTER(RawTotals!$AJ:$AJ,RawTotals!$A:$A=AJ131)-(FILTER(Data!$K:$K,Data!$B:$B=AJ131,Data!$D:$D=$E131)+FILTER(Data!$L:$L,Data!$B:$B=AJ131,Data!$D:$D=$E131)),""""),"""")"),"")</f>
        <v/>
      </c>
      <c r="BU131" s="69" t="str">
        <f>IFERROR(__xludf.DUMMYFUNCTION("IF($E131&lt;&gt;"""",IFERROR(FILTER(RawTotals!$AJ:$AJ,RawTotals!$A:$A=AK131)-(FILTER(Data!$K:$K,Data!$B:$B=AK131,Data!$D:$D=$E131)+FILTER(Data!$L:$L,Data!$B:$B=AK131,Data!$D:$D=$E131)),""""),"""")"),"")</f>
        <v/>
      </c>
      <c r="BV131" s="69" t="str">
        <f>IFERROR(__xludf.DUMMYFUNCTION("IF($F131&lt;&gt;"""",IFERROR(FILTER(RawTotals!$AJ:$AJ,RawTotals!$A:$A=AL131)-(FILTER(Data!$K:$K,Data!$B:$B=AL131,Data!$D:$D=$F131)+FILTER(Data!$L:$L,Data!$B:$B=AL131,Data!$D:$D=$F131)),""""),"""")"),"")</f>
        <v/>
      </c>
      <c r="BW131" s="69" t="str">
        <f>IFERROR(__xludf.DUMMYFUNCTION("IF($F131&lt;&gt;"""",IFERROR(FILTER(RawTotals!$AJ:$AJ,RawTotals!$A:$A=AM131)-(FILTER(Data!$K:$K,Data!$B:$B=AM131,Data!$D:$D=$F131)+FILTER(Data!$L:$L,Data!$B:$B=AM131,Data!$D:$D=$F131)),""""),"""")"),"")</f>
        <v/>
      </c>
      <c r="BX131" s="69" t="str">
        <f>IFERROR(__xludf.DUMMYFUNCTION("IF($F131&lt;&gt;"""",IFERROR(FILTER(RawTotals!$AJ:$AJ,RawTotals!$A:$A=AN131)-(FILTER(Data!$K:$K,Data!$B:$B=AN131,Data!$D:$D=$F131)+FILTER(Data!$L:$L,Data!$B:$B=AN131,Data!$D:$D=$F131)),""""),"""")"),"")</f>
        <v/>
      </c>
      <c r="BY131" s="69" t="str">
        <f>IFERROR(__xludf.DUMMYFUNCTION("IF($G131&lt;&gt;"""",IFERROR(FILTER(RawTotals!$AJ:$AJ,RawTotals!$A:$A=AO131)-(FILTER(Data!$K:$K,Data!$B:$B=AO131,Data!$D:$D=$G131)+FILTER(Data!$L:$L,Data!$B:$B=AO131,Data!$D:$D=$G131)),""""),"""")"),"")</f>
        <v/>
      </c>
      <c r="BZ131" s="69" t="str">
        <f>IFERROR(__xludf.DUMMYFUNCTION("IF($G131&lt;&gt;"""",IFERROR(FILTER(RawTotals!$AJ:$AJ,RawTotals!$A:$A=AP131)-(FILTER(Data!$K:$K,Data!$B:$B=AP131,Data!$D:$D=$G131)+FILTER(Data!$L:$L,Data!$B:$B=AP131,Data!$D:$D=$G131)),""""),"""")"),"")</f>
        <v/>
      </c>
      <c r="CA131" s="69" t="str">
        <f>IFERROR(__xludf.DUMMYFUNCTION("IF($G131&lt;&gt;"""",IFERROR(FILTER(RawTotals!$AJ:$AJ,RawTotals!$A:$A=AQ131)-(FILTER(Data!$K:$K,Data!$B:$B=AQ131,Data!$D:$D=$G131)+FILTER(Data!$L:$L,Data!$B:$B=AQ131,Data!$D:$D=$G131)),""""),"""")"),"")</f>
        <v/>
      </c>
      <c r="CB131" s="69" t="str">
        <f>IFERROR(__xludf.DUMMYFUNCTION("IF($H131&lt;&gt;"""",IFERROR(FILTER(RawTotals!$AJ:$AJ,RawTotals!$A:$A=AR131)-(FILTER(Data!$K:$K,Data!$B:$B=AR131,Data!$D:$D=$H131)+FILTER(Data!$L:$L,Data!$B:$B=AR131,Data!$D:$D=$H131)),""""),"""")"),"")</f>
        <v/>
      </c>
      <c r="CC131" s="69" t="str">
        <f>IFERROR(__xludf.DUMMYFUNCTION("IF($H131&lt;&gt;"""",IFERROR(FILTER(RawTotals!$AJ:$AJ,RawTotals!$A:$A=AS131)-(FILTER(Data!$K:$K,Data!$B:$B=AS131,Data!$D:$D=$H131)+FILTER(Data!$L:$L,Data!$B:$B=AS131,Data!$D:$D=$H131)),""""),"""")"),"")</f>
        <v/>
      </c>
      <c r="CD131" s="69" t="str">
        <f>IFERROR(__xludf.DUMMYFUNCTION("IF($H131&lt;&gt;"""",IFERROR(FILTER(RawTotals!$AJ:$AJ,RawTotals!$A:$A=AT131)-(FILTER(Data!$K:$K,Data!$B:$B=AT131,Data!$D:$D=$H131)+FILTER(Data!$L:$L,Data!$B:$B=AT131,Data!$D:$D=$H131)),""""),"""")"),"")</f>
        <v/>
      </c>
      <c r="CE131" s="69" t="str">
        <f>IFERROR(__xludf.DUMMYFUNCTION("IF($I131&lt;&gt;"""",IFERROR(FILTER(RawTotals!$AJ:$AJ,RawTotals!$A:$A=AU131)-(FILTER(Data!$K:$K,Data!$B:$B=AU131,Data!$D:$D=$I131)+FILTER(Data!$L:$L,Data!$B:$B=AU131,Data!$D:$D=$I131)),""""),"""")"),"")</f>
        <v/>
      </c>
      <c r="CF131" s="69" t="str">
        <f>IFERROR(__xludf.DUMMYFUNCTION("IF($I131&lt;&gt;"""",IFERROR(FILTER(RawTotals!$AJ:$AJ,RawTotals!$A:$A=AV131)-(FILTER(Data!$K:$K,Data!$B:$B=AV131,Data!$D:$D=$I131)+FILTER(Data!$L:$L,Data!$B:$B=AV131,Data!$D:$D=$I131)),""""),"""")"),"")</f>
        <v/>
      </c>
      <c r="CG131" s="69" t="str">
        <f>IFERROR(__xludf.DUMMYFUNCTION("IF($I131&lt;&gt;"""",IFERROR(FILTER(RawTotals!$AJ:$AJ,RawTotals!$A:$A=AW131)-(FILTER(Data!$K:$K,Data!$B:$B=AW131,Data!$D:$D=$I131)+FILTER(Data!$L:$L,Data!$B:$B=AW131,Data!$D:$D=$I131)),""""),"""")"),"")</f>
        <v/>
      </c>
      <c r="CH131" s="69" t="str">
        <f>IFERROR(__xludf.DUMMYFUNCTION("IF($J131&lt;&gt;"""",IFERROR(FILTER(RawTotals!$AJ:$AJ,RawTotals!$A:$A=AX131)-(FILTER(Data!$K:$K,Data!$B:$B=AX131,Data!$D:$D=$J131)+FILTER(Data!$L:$L,Data!$B:$B=AX131,Data!$D:$D=$J131)),""""),"""")"),"")</f>
        <v/>
      </c>
      <c r="CI131" s="69" t="str">
        <f>IFERROR(__xludf.DUMMYFUNCTION("IF($J131&lt;&gt;"""",IFERROR(FILTER(RawTotals!$AJ:$AJ,RawTotals!$A:$A=AY131)-(FILTER(Data!$K:$K,Data!$B:$B=AY131,Data!$D:$D=$J131)+FILTER(Data!$L:$L,Data!$B:$B=AY131,Data!$D:$D=$J131)),""""),"""")"),"")</f>
        <v/>
      </c>
      <c r="CJ131" s="69" t="str">
        <f>IFERROR(__xludf.DUMMYFUNCTION("IF($J131&lt;&gt;"""",IFERROR(FILTER(RawTotals!$AJ:$AJ,RawTotals!$A:$A=AZ131)-(FILTER(Data!$K:$K,Data!$B:$B=AZ131,Data!$D:$D=$J131)+FILTER(Data!$L:$L,Data!$B:$B=AZ131,Data!$D:$D=$J131)),""""),"""")"),"")</f>
        <v/>
      </c>
      <c r="CK131" s="69" t="str">
        <f>IFERROR(__xludf.DUMMYFUNCTION("IF($K131&lt;&gt;"""",IFERROR(FILTER(RawTotals!$AJ:$AJ,RawTotals!$A:$A=BA131)-(FILTER(Data!$K:$K,Data!$B:$B=BA131,Data!$D:$D=$K131)+FILTER(Data!$L:$L,Data!$B:$B=BA131,Data!$D:$D=$K131)),""""),"""")"),"")</f>
        <v/>
      </c>
      <c r="CL131" s="69" t="str">
        <f>IFERROR(__xludf.DUMMYFUNCTION("IF($K131&lt;&gt;"""",IFERROR(FILTER(RawTotals!$AJ:$AJ,RawTotals!$A:$A=BB131)-(FILTER(Data!$K:$K,Data!$B:$B=BB131,Data!$D:$D=$K131)+FILTER(Data!$L:$L,Data!$B:$B=BB131,Data!$D:$D=$K131)),""""),"""")"),"")</f>
        <v/>
      </c>
      <c r="CM131" s="69" t="str">
        <f>IFERROR(__xludf.DUMMYFUNCTION("IF($K131&lt;&gt;"""",IFERROR(FILTER(RawTotals!$AJ:$AJ,RawTotals!$A:$A=BC131)-(FILTER(Data!$K:$K,Data!$B:$B=BC131,Data!$D:$D=$K131)+FILTER(Data!$L:$L,Data!$B:$B=BC131,Data!$D:$D=$K131)),""""),"""")"),"")</f>
        <v/>
      </c>
      <c r="CN131" s="69" t="str">
        <f>IFERROR(__xludf.DUMMYFUNCTION("IF($L131&lt;&gt;"""",IFERROR((FILTER(RawTotals!$AJ:$AJ,RawTotals!$A:$A=BD131)-(FILTER(Data!$K:$K,Data!$B:$B=BD131,Data!$D:$D=$L131)+FILTER(Data!$L:$L,Data!$B:$B=BD131,Data!$D:$D=$L131))),""""),"""")"),"")</f>
        <v/>
      </c>
      <c r="CO131" s="69" t="str">
        <f>IFERROR(__xludf.DUMMYFUNCTION("IF($L131&lt;&gt;"""",IFERROR((FILTER(RawTotals!$AJ:$AJ,RawTotals!$A:$A=BE131)-(FILTER(Data!$K:$K,Data!$B:$B=BE131,Data!$D:$D=$L131)+FILTER(Data!$L:$L,Data!$B:$B=BE131,Data!$D:$D=$L131))),""""),"""")"),"")</f>
        <v/>
      </c>
      <c r="CP131" s="69" t="str">
        <f>IFERROR(__xludf.DUMMYFUNCTION("IF($L131&lt;&gt;"""",IFERROR((FILTER(RawTotals!$AJ:$AJ,RawTotals!$A:$A=BF131)-(FILTER(Data!$K:$K,Data!$B:$B=BF131,Data!$D:$D=$L131)+FILTER(Data!$L:$L,Data!$B:$B=BF131,Data!$D:$D=$L131))),""""),"""")"),"")</f>
        <v/>
      </c>
      <c r="CQ131" s="69" t="str">
        <f>IFERROR(__xludf.DUMMYFUNCTION("IF($M131&lt;&gt;"""",IFERROR((FILTER(RawTotals!$AJ:$AJ,RawTotals!$A:$A=BG131)-(FILTER(Data!$K:$K,Data!$B:$B=BG131,Data!$D:$D=$M131)+FILTER(Data!$L:$L,Data!$B:$B=BG131,Data!$D:$D=$M131))),""""),"""")"),"")</f>
        <v/>
      </c>
      <c r="CR131" s="69" t="str">
        <f>IFERROR(__xludf.DUMMYFUNCTION("IF($M131&lt;&gt;"""",IFERROR((FILTER(RawTotals!$AJ:$AJ,RawTotals!$A:$A=BH131)-(FILTER(Data!$K:$K,Data!$B:$B=BH131,Data!$D:$D=$M131)+FILTER(Data!$L:$L,Data!$B:$B=BH131,Data!$D:$D=$M131))),""""),"""")"),"")</f>
        <v/>
      </c>
      <c r="CS131" s="70" t="str">
        <f>IFERROR(__xludf.DUMMYFUNCTION("IF($M131&lt;&gt;"""",IFERROR((FILTER(RawTotals!$AJ:$AJ,RawTotals!$A:$A=BI131)-(FILTER(Data!$K:$K,Data!$B:$B=BI131,Data!$D:$D=$M131)+FILTER(Data!$L:$L,Data!$B:$B=BI131,Data!$D:$D=$M131))),""""),"""")"),"")</f>
        <v/>
      </c>
      <c r="CT131" s="69"/>
      <c r="CU131" s="69"/>
      <c r="CV131" s="69"/>
      <c r="CW131" s="69"/>
      <c r="CX131" s="69"/>
      <c r="CY131" s="69"/>
      <c r="CZ131" s="69"/>
      <c r="DA131" s="69"/>
      <c r="DB131" s="69"/>
      <c r="DC131" s="69"/>
      <c r="DD131" s="69"/>
      <c r="DE131" s="69"/>
    </row>
    <row r="132">
      <c r="A132" s="65" t="str">
        <f>RawTotals!A132</f>
        <v/>
      </c>
      <c r="B132" s="68" t="str">
        <f>IFERROR(__xludf.DUMMYFUNCTION("IF(A132&lt;&gt;"""",IFERROR(TRANSPOSE(FILTER(Data!D:D,Data!B:B=A132,Data!R:R&lt;&gt;"""")),""No Defense""),"""")"),"")</f>
        <v/>
      </c>
      <c r="C132" s="65"/>
      <c r="D132" s="65"/>
      <c r="E132" s="65"/>
      <c r="F132" s="65"/>
      <c r="G132" s="65"/>
      <c r="H132" s="65"/>
      <c r="I132" s="65"/>
      <c r="J132" s="65"/>
      <c r="K132" s="65"/>
      <c r="L132" s="65"/>
      <c r="M132" s="65"/>
      <c r="N132" s="64" t="str">
        <f>IFERROR(__xludf.DUMMYFUNCTION("IFERROR(Textjoin("""",TRUE,FILTER(Data!$R:$R,Data!$D:$D=B132,Data!$B:$B=$A132)),"""")"),"")</f>
        <v/>
      </c>
      <c r="O132" s="64" t="str">
        <f>IFERROR(__xludf.DUMMYFUNCTION("IFERROR(Textjoin("""",TRUE,FILTER(Data!$R:$R,Data!$D:$D=C132,Data!$B:$B=$A132)),"""")"),"")</f>
        <v/>
      </c>
      <c r="P132" s="64" t="str">
        <f>IFERROR(__xludf.DUMMYFUNCTION("IFERROR(Textjoin("""",TRUE,FILTER(Data!$R:$R,Data!$D:$D=D132,Data!$B:$B=$A132)),"""")"),"")</f>
        <v/>
      </c>
      <c r="Q132" s="64" t="str">
        <f>IFERROR(__xludf.DUMMYFUNCTION("IFERROR(Textjoin("""",TRUE,FILTER(Data!$R:$R,Data!$D:$D=E132,Data!$B:$B=$A132)),"""")"),"")</f>
        <v/>
      </c>
      <c r="R132" s="64" t="str">
        <f>IFERROR(__xludf.DUMMYFUNCTION("IFERROR(Textjoin("""",TRUE,FILTER(Data!$R:$R,Data!$D:$D=F132,Data!$B:$B=$A132)),"""")"),"")</f>
        <v/>
      </c>
      <c r="S132" s="64" t="str">
        <f>IFERROR(__xludf.DUMMYFUNCTION("IFERROR(Textjoin("""",TRUE,FILTER(Data!$R:$R,Data!$D:$D=G132,Data!$B:$B=$A132)),"""")"),"")</f>
        <v/>
      </c>
      <c r="T132" s="64" t="str">
        <f>IFERROR(__xludf.DUMMYFUNCTION("IFERROR(Textjoin("""",TRUE,FILTER(Data!$R:$R,Data!$D:$D=H132,Data!$B:$B=$A132)),"""")"),"")</f>
        <v/>
      </c>
      <c r="U132" s="64" t="str">
        <f>IFERROR(__xludf.DUMMYFUNCTION("IFERROR(Textjoin("""",TRUE,FILTER(Data!$R:$R,Data!$D:$D=I132,Data!$B:$B=$A132)),"""")"),"")</f>
        <v/>
      </c>
      <c r="V132" s="64" t="str">
        <f>IFERROR(__xludf.DUMMYFUNCTION("IFERROR(Textjoin("""",TRUE,FILTER(Data!$R:$R,Data!$D:$D=J132,Data!$B:$B=$A132)),"""")"),"")</f>
        <v/>
      </c>
      <c r="W132" s="64" t="str">
        <f>IFERROR(__xludf.DUMMYFUNCTION("IFERROR(Textjoin("""",TRUE,FILTER(Data!$R:$R,Data!$D:$D=K132,Data!$B:$B=$A132)),"""")"),"")</f>
        <v/>
      </c>
      <c r="X132" s="64" t="str">
        <f>IFERROR(__xludf.DUMMYFUNCTION("IFERROR(Textjoin("""",TRUE,FILTER(Data!$R:$R,Data!$D:$D=L132,Data!$B:$B=$A132)),"""")"),"")</f>
        <v/>
      </c>
      <c r="Y132" s="64" t="str">
        <f>IFERROR(__xludf.DUMMYFUNCTION("IFERROR(Textjoin("""",TRUE,FILTER(Data!$R:$R,Data!$D:$D=M132,Data!$B:$B=$A132)),"""")"),"")</f>
        <v/>
      </c>
      <c r="Z132" s="64" t="str">
        <f>IFERROR(__xludf.DUMMYFUNCTION("IFERROR(SPLIT(N132,"",""),"""")"),"")</f>
        <v/>
      </c>
      <c r="AA132" s="65"/>
      <c r="AB132" s="65"/>
      <c r="AC132" s="69" t="str">
        <f>IFERROR(__xludf.DUMMYFUNCTION("IFERROR(SPLIT(O132,"",""),"""")"),"")</f>
        <v/>
      </c>
      <c r="AD132" s="65"/>
      <c r="AE132" s="65"/>
      <c r="AF132" s="69" t="str">
        <f>IFERROR(__xludf.DUMMYFUNCTION("IFERROR(SPLIT(P132,"",""),"""")"),"")</f>
        <v/>
      </c>
      <c r="AG132" s="65"/>
      <c r="AH132" s="65"/>
      <c r="AI132" s="69" t="str">
        <f>IFERROR(__xludf.DUMMYFUNCTION("IFERROR(SPLIT(Q132,"",""),"""")"),"")</f>
        <v/>
      </c>
      <c r="AJ132" s="65"/>
      <c r="AK132" s="65"/>
      <c r="AL132" s="69" t="str">
        <f>IFERROR(__xludf.DUMMYFUNCTION("IFERROR(SPLIT(R132,"",""),"""")"),"")</f>
        <v/>
      </c>
      <c r="AM132" s="65"/>
      <c r="AN132" s="65"/>
      <c r="AO132" s="69" t="str">
        <f>IFERROR(__xludf.DUMMYFUNCTION("IFERROR(SPLIT(S132,"",""),"""")"),"")</f>
        <v/>
      </c>
      <c r="AP132" s="65"/>
      <c r="AQ132" s="65"/>
      <c r="AR132" s="69" t="str">
        <f>IFERROR(__xludf.DUMMYFUNCTION("IFERROR(SPLIT(T132,"",""),"""")"),"")</f>
        <v/>
      </c>
      <c r="AS132" s="65"/>
      <c r="AT132" s="65"/>
      <c r="AU132" s="69" t="str">
        <f>IFERROR(__xludf.DUMMYFUNCTION("IFERROR(SPLIT(U132,"",""),"""")"),"")</f>
        <v/>
      </c>
      <c r="AV132" s="65"/>
      <c r="AW132" s="65"/>
      <c r="AX132" s="69" t="str">
        <f>IFERROR(__xludf.DUMMYFUNCTION("IFERROR(SPLIT(V132,"",""),"""")"),"")</f>
        <v/>
      </c>
      <c r="AY132" s="65"/>
      <c r="AZ132" s="65"/>
      <c r="BA132" s="69" t="str">
        <f>IFERROR(__xludf.DUMMYFUNCTION("IFERROR(SPLIT(W132,"",""),"""")"),"")</f>
        <v/>
      </c>
      <c r="BB132" s="69"/>
      <c r="BC132" s="69"/>
      <c r="BD132" s="69" t="str">
        <f>IFERROR(__xludf.DUMMYFUNCTION("IFERROR(SPLIT(X132,"",""),"""")"),"")</f>
        <v/>
      </c>
      <c r="BE132" s="69"/>
      <c r="BF132" s="69"/>
      <c r="BG132" s="69" t="str">
        <f>IFERROR(__xludf.DUMMYFUNCTION("IFERROR(SPLIT(Y132,"",""),"""")"),"")</f>
        <v/>
      </c>
      <c r="BH132" s="69"/>
      <c r="BI132" s="69"/>
      <c r="BJ132" s="68" t="str">
        <f>IFERROR(__xludf.DUMMYFUNCTION("IF($B132&lt;&gt;"""",IFERROR(FILTER(RawTotals!$AJ:$AJ,RawTotals!$A:$A=Z132)-(FILTER(Data!$K:$K,Data!$B:$B=Z132,Data!$D:$D=$B132)+FILTER(Data!$L:$L,Data!$B:$B=Z132,Data!$D:$D=$B132)),""""),"""")"),"")</f>
        <v/>
      </c>
      <c r="BK132" s="68" t="str">
        <f>IFERROR(__xludf.DUMMYFUNCTION("IF($B132&lt;&gt;"""",IFERROR(FILTER(RawTotals!$AJ:$AJ,RawTotals!$A:$A=AA132)-(FILTER(Data!$K:$K,Data!$B:$B=AA132,Data!$D:$D=$B132)+FILTER(Data!$L:$L,Data!$B:$B=AA132,Data!$D:$D=$B132)),""""),"""")"),"")</f>
        <v/>
      </c>
      <c r="BL132" s="68" t="str">
        <f>IFERROR(__xludf.DUMMYFUNCTION("IF($B132&lt;&gt;"""",IFERROR(FILTER(RawTotals!$AJ:$AJ,RawTotals!$A:$A=AB132)-(FILTER(Data!$K:$K,Data!$B:$B=AB132,Data!$D:$D=$B132)+FILTER(Data!$L:$L,Data!$B:$B=AB132,Data!$D:$D=$B132)),""""),"""")"),"")</f>
        <v/>
      </c>
      <c r="BM132" s="69" t="str">
        <f>IFERROR(__xludf.DUMMYFUNCTION("IF($C132&lt;&gt;"""",IFERROR(FILTER(RawTotals!$AJ:$AJ,RawTotals!$A:$A=AC132)-(FILTER(Data!$K:$K,Data!$B:$B=AC132,Data!$D:$D=$C132)+FILTER(Data!$L:$L,Data!$B:$B=AC132,Data!$D:$D=$C132)),""""),"""")"),"")</f>
        <v/>
      </c>
      <c r="BN132" s="69" t="str">
        <f>IFERROR(__xludf.DUMMYFUNCTION("IF($C132&lt;&gt;"""",IFERROR(FILTER(RawTotals!$AJ:$AJ,RawTotals!$A:$A=AD132)-(FILTER(Data!$K:$K,Data!$B:$B=AD132,Data!$D:$D=$C132)+FILTER(Data!$L:$L,Data!$B:$B=AD132,Data!$D:$D=$C132)),""""),"""")"),"")</f>
        <v/>
      </c>
      <c r="BO132" s="69" t="str">
        <f>IFERROR(__xludf.DUMMYFUNCTION("IF($C132&lt;&gt;"""",IFERROR(FILTER(RawTotals!$AJ:$AJ,RawTotals!$A:$A=AE132)-(FILTER(Data!$K:$K,Data!$B:$B=AE132,Data!$D:$D=$C132)+FILTER(Data!$L:$L,Data!$B:$B=AE132,Data!$D:$D=$C132)),""""),"""")"),"")</f>
        <v/>
      </c>
      <c r="BP132" s="69" t="str">
        <f>IFERROR(__xludf.DUMMYFUNCTION("IF($D132&lt;&gt;"""",IFERROR(FILTER(RawTotals!$AJ:$AJ,RawTotals!$A:$A=AF132)-(FILTER(Data!$K:$K,Data!$B:$B=AF132,Data!$D:$D=$D132)+FILTER(Data!$L:$L,Data!$B:$B=AF132,Data!$D:$D=$D132)),""""),"""")"),"")</f>
        <v/>
      </c>
      <c r="BQ132" s="69" t="str">
        <f>IFERROR(__xludf.DUMMYFUNCTION("IF($D132&lt;&gt;"""",IFERROR(FILTER(RawTotals!$AJ:$AJ,RawTotals!$A:$A=AG132)-(FILTER(Data!$K:$K,Data!$B:$B=AG132,Data!$D:$D=$D132)+FILTER(Data!$L:$L,Data!$B:$B=AG132,Data!$D:$D=$D132)),""""),"""")"),"")</f>
        <v/>
      </c>
      <c r="BR132" s="69" t="str">
        <f>IFERROR(__xludf.DUMMYFUNCTION("IF($D132&lt;&gt;"""",IFERROR(FILTER(RawTotals!$AJ:$AJ,RawTotals!$A:$A=AH132)-(FILTER(Data!$K:$K,Data!$B:$B=AH132,Data!$D:$D=$D132)+FILTER(Data!$L:$L,Data!$B:$B=AH132,Data!$D:$D=$D132)),""""),"""")"),"")</f>
        <v/>
      </c>
      <c r="BS132" s="69" t="str">
        <f>IFERROR(__xludf.DUMMYFUNCTION("IF($E132&lt;&gt;"""",IFERROR(FILTER(RawTotals!$AJ:$AJ,RawTotals!$A:$A=AI132)-(FILTER(Data!$K:$K,Data!$B:$B=AI132,Data!$D:$D=$E132)+FILTER(Data!$L:$L,Data!$B:$B=AI132,Data!$D:$D=$E132)),""""),"""")"),"")</f>
        <v/>
      </c>
      <c r="BT132" s="69" t="str">
        <f>IFERROR(__xludf.DUMMYFUNCTION("IF($E132&lt;&gt;"""",IFERROR(FILTER(RawTotals!$AJ:$AJ,RawTotals!$A:$A=AJ132)-(FILTER(Data!$K:$K,Data!$B:$B=AJ132,Data!$D:$D=$E132)+FILTER(Data!$L:$L,Data!$B:$B=AJ132,Data!$D:$D=$E132)),""""),"""")"),"")</f>
        <v/>
      </c>
      <c r="BU132" s="69" t="str">
        <f>IFERROR(__xludf.DUMMYFUNCTION("IF($E132&lt;&gt;"""",IFERROR(FILTER(RawTotals!$AJ:$AJ,RawTotals!$A:$A=AK132)-(FILTER(Data!$K:$K,Data!$B:$B=AK132,Data!$D:$D=$E132)+FILTER(Data!$L:$L,Data!$B:$B=AK132,Data!$D:$D=$E132)),""""),"""")"),"")</f>
        <v/>
      </c>
      <c r="BV132" s="69" t="str">
        <f>IFERROR(__xludf.DUMMYFUNCTION("IF($F132&lt;&gt;"""",IFERROR(FILTER(RawTotals!$AJ:$AJ,RawTotals!$A:$A=AL132)-(FILTER(Data!$K:$K,Data!$B:$B=AL132,Data!$D:$D=$F132)+FILTER(Data!$L:$L,Data!$B:$B=AL132,Data!$D:$D=$F132)),""""),"""")"),"")</f>
        <v/>
      </c>
      <c r="BW132" s="69" t="str">
        <f>IFERROR(__xludf.DUMMYFUNCTION("IF($F132&lt;&gt;"""",IFERROR(FILTER(RawTotals!$AJ:$AJ,RawTotals!$A:$A=AM132)-(FILTER(Data!$K:$K,Data!$B:$B=AM132,Data!$D:$D=$F132)+FILTER(Data!$L:$L,Data!$B:$B=AM132,Data!$D:$D=$F132)),""""),"""")"),"")</f>
        <v/>
      </c>
      <c r="BX132" s="69" t="str">
        <f>IFERROR(__xludf.DUMMYFUNCTION("IF($F132&lt;&gt;"""",IFERROR(FILTER(RawTotals!$AJ:$AJ,RawTotals!$A:$A=AN132)-(FILTER(Data!$K:$K,Data!$B:$B=AN132,Data!$D:$D=$F132)+FILTER(Data!$L:$L,Data!$B:$B=AN132,Data!$D:$D=$F132)),""""),"""")"),"")</f>
        <v/>
      </c>
      <c r="BY132" s="69" t="str">
        <f>IFERROR(__xludf.DUMMYFUNCTION("IF($G132&lt;&gt;"""",IFERROR(FILTER(RawTotals!$AJ:$AJ,RawTotals!$A:$A=AO132)-(FILTER(Data!$K:$K,Data!$B:$B=AO132,Data!$D:$D=$G132)+FILTER(Data!$L:$L,Data!$B:$B=AO132,Data!$D:$D=$G132)),""""),"""")"),"")</f>
        <v/>
      </c>
      <c r="BZ132" s="69" t="str">
        <f>IFERROR(__xludf.DUMMYFUNCTION("IF($G132&lt;&gt;"""",IFERROR(FILTER(RawTotals!$AJ:$AJ,RawTotals!$A:$A=AP132)-(FILTER(Data!$K:$K,Data!$B:$B=AP132,Data!$D:$D=$G132)+FILTER(Data!$L:$L,Data!$B:$B=AP132,Data!$D:$D=$G132)),""""),"""")"),"")</f>
        <v/>
      </c>
      <c r="CA132" s="69" t="str">
        <f>IFERROR(__xludf.DUMMYFUNCTION("IF($G132&lt;&gt;"""",IFERROR(FILTER(RawTotals!$AJ:$AJ,RawTotals!$A:$A=AQ132)-(FILTER(Data!$K:$K,Data!$B:$B=AQ132,Data!$D:$D=$G132)+FILTER(Data!$L:$L,Data!$B:$B=AQ132,Data!$D:$D=$G132)),""""),"""")"),"")</f>
        <v/>
      </c>
      <c r="CB132" s="69" t="str">
        <f>IFERROR(__xludf.DUMMYFUNCTION("IF($H132&lt;&gt;"""",IFERROR(FILTER(RawTotals!$AJ:$AJ,RawTotals!$A:$A=AR132)-(FILTER(Data!$K:$K,Data!$B:$B=AR132,Data!$D:$D=$H132)+FILTER(Data!$L:$L,Data!$B:$B=AR132,Data!$D:$D=$H132)),""""),"""")"),"")</f>
        <v/>
      </c>
      <c r="CC132" s="69" t="str">
        <f>IFERROR(__xludf.DUMMYFUNCTION("IF($H132&lt;&gt;"""",IFERROR(FILTER(RawTotals!$AJ:$AJ,RawTotals!$A:$A=AS132)-(FILTER(Data!$K:$K,Data!$B:$B=AS132,Data!$D:$D=$H132)+FILTER(Data!$L:$L,Data!$B:$B=AS132,Data!$D:$D=$H132)),""""),"""")"),"")</f>
        <v/>
      </c>
      <c r="CD132" s="69" t="str">
        <f>IFERROR(__xludf.DUMMYFUNCTION("IF($H132&lt;&gt;"""",IFERROR(FILTER(RawTotals!$AJ:$AJ,RawTotals!$A:$A=AT132)-(FILTER(Data!$K:$K,Data!$B:$B=AT132,Data!$D:$D=$H132)+FILTER(Data!$L:$L,Data!$B:$B=AT132,Data!$D:$D=$H132)),""""),"""")"),"")</f>
        <v/>
      </c>
      <c r="CE132" s="69" t="str">
        <f>IFERROR(__xludf.DUMMYFUNCTION("IF($I132&lt;&gt;"""",IFERROR(FILTER(RawTotals!$AJ:$AJ,RawTotals!$A:$A=AU132)-(FILTER(Data!$K:$K,Data!$B:$B=AU132,Data!$D:$D=$I132)+FILTER(Data!$L:$L,Data!$B:$B=AU132,Data!$D:$D=$I132)),""""),"""")"),"")</f>
        <v/>
      </c>
      <c r="CF132" s="69" t="str">
        <f>IFERROR(__xludf.DUMMYFUNCTION("IF($I132&lt;&gt;"""",IFERROR(FILTER(RawTotals!$AJ:$AJ,RawTotals!$A:$A=AV132)-(FILTER(Data!$K:$K,Data!$B:$B=AV132,Data!$D:$D=$I132)+FILTER(Data!$L:$L,Data!$B:$B=AV132,Data!$D:$D=$I132)),""""),"""")"),"")</f>
        <v/>
      </c>
      <c r="CG132" s="69" t="str">
        <f>IFERROR(__xludf.DUMMYFUNCTION("IF($I132&lt;&gt;"""",IFERROR(FILTER(RawTotals!$AJ:$AJ,RawTotals!$A:$A=AW132)-(FILTER(Data!$K:$K,Data!$B:$B=AW132,Data!$D:$D=$I132)+FILTER(Data!$L:$L,Data!$B:$B=AW132,Data!$D:$D=$I132)),""""),"""")"),"")</f>
        <v/>
      </c>
      <c r="CH132" s="69" t="str">
        <f>IFERROR(__xludf.DUMMYFUNCTION("IF($J132&lt;&gt;"""",IFERROR(FILTER(RawTotals!$AJ:$AJ,RawTotals!$A:$A=AX132)-(FILTER(Data!$K:$K,Data!$B:$B=AX132,Data!$D:$D=$J132)+FILTER(Data!$L:$L,Data!$B:$B=AX132,Data!$D:$D=$J132)),""""),"""")"),"")</f>
        <v/>
      </c>
      <c r="CI132" s="69" t="str">
        <f>IFERROR(__xludf.DUMMYFUNCTION("IF($J132&lt;&gt;"""",IFERROR(FILTER(RawTotals!$AJ:$AJ,RawTotals!$A:$A=AY132)-(FILTER(Data!$K:$K,Data!$B:$B=AY132,Data!$D:$D=$J132)+FILTER(Data!$L:$L,Data!$B:$B=AY132,Data!$D:$D=$J132)),""""),"""")"),"")</f>
        <v/>
      </c>
      <c r="CJ132" s="69" t="str">
        <f>IFERROR(__xludf.DUMMYFUNCTION("IF($J132&lt;&gt;"""",IFERROR(FILTER(RawTotals!$AJ:$AJ,RawTotals!$A:$A=AZ132)-(FILTER(Data!$K:$K,Data!$B:$B=AZ132,Data!$D:$D=$J132)+FILTER(Data!$L:$L,Data!$B:$B=AZ132,Data!$D:$D=$J132)),""""),"""")"),"")</f>
        <v/>
      </c>
      <c r="CK132" s="69" t="str">
        <f>IFERROR(__xludf.DUMMYFUNCTION("IF($K132&lt;&gt;"""",IFERROR(FILTER(RawTotals!$AJ:$AJ,RawTotals!$A:$A=BA132)-(FILTER(Data!$K:$K,Data!$B:$B=BA132,Data!$D:$D=$K132)+FILTER(Data!$L:$L,Data!$B:$B=BA132,Data!$D:$D=$K132)),""""),"""")"),"")</f>
        <v/>
      </c>
      <c r="CL132" s="69" t="str">
        <f>IFERROR(__xludf.DUMMYFUNCTION("IF($K132&lt;&gt;"""",IFERROR(FILTER(RawTotals!$AJ:$AJ,RawTotals!$A:$A=BB132)-(FILTER(Data!$K:$K,Data!$B:$B=BB132,Data!$D:$D=$K132)+FILTER(Data!$L:$L,Data!$B:$B=BB132,Data!$D:$D=$K132)),""""),"""")"),"")</f>
        <v/>
      </c>
      <c r="CM132" s="69" t="str">
        <f>IFERROR(__xludf.DUMMYFUNCTION("IF($K132&lt;&gt;"""",IFERROR(FILTER(RawTotals!$AJ:$AJ,RawTotals!$A:$A=BC132)-(FILTER(Data!$K:$K,Data!$B:$B=BC132,Data!$D:$D=$K132)+FILTER(Data!$L:$L,Data!$B:$B=BC132,Data!$D:$D=$K132)),""""),"""")"),"")</f>
        <v/>
      </c>
      <c r="CN132" s="69" t="str">
        <f>IFERROR(__xludf.DUMMYFUNCTION("IF($L132&lt;&gt;"""",IFERROR((FILTER(RawTotals!$AJ:$AJ,RawTotals!$A:$A=BD132)-(FILTER(Data!$K:$K,Data!$B:$B=BD132,Data!$D:$D=$L132)+FILTER(Data!$L:$L,Data!$B:$B=BD132,Data!$D:$D=$L132))),""""),"""")"),"")</f>
        <v/>
      </c>
      <c r="CO132" s="69" t="str">
        <f>IFERROR(__xludf.DUMMYFUNCTION("IF($L132&lt;&gt;"""",IFERROR((FILTER(RawTotals!$AJ:$AJ,RawTotals!$A:$A=BE132)-(FILTER(Data!$K:$K,Data!$B:$B=BE132,Data!$D:$D=$L132)+FILTER(Data!$L:$L,Data!$B:$B=BE132,Data!$D:$D=$L132))),""""),"""")"),"")</f>
        <v/>
      </c>
      <c r="CP132" s="69" t="str">
        <f>IFERROR(__xludf.DUMMYFUNCTION("IF($L132&lt;&gt;"""",IFERROR((FILTER(RawTotals!$AJ:$AJ,RawTotals!$A:$A=BF132)-(FILTER(Data!$K:$K,Data!$B:$B=BF132,Data!$D:$D=$L132)+FILTER(Data!$L:$L,Data!$B:$B=BF132,Data!$D:$D=$L132))),""""),"""")"),"")</f>
        <v/>
      </c>
      <c r="CQ132" s="69" t="str">
        <f>IFERROR(__xludf.DUMMYFUNCTION("IF($M132&lt;&gt;"""",IFERROR((FILTER(RawTotals!$AJ:$AJ,RawTotals!$A:$A=BG132)-(FILTER(Data!$K:$K,Data!$B:$B=BG132,Data!$D:$D=$M132)+FILTER(Data!$L:$L,Data!$B:$B=BG132,Data!$D:$D=$M132))),""""),"""")"),"")</f>
        <v/>
      </c>
      <c r="CR132" s="69" t="str">
        <f>IFERROR(__xludf.DUMMYFUNCTION("IF($M132&lt;&gt;"""",IFERROR((FILTER(RawTotals!$AJ:$AJ,RawTotals!$A:$A=BH132)-(FILTER(Data!$K:$K,Data!$B:$B=BH132,Data!$D:$D=$M132)+FILTER(Data!$L:$L,Data!$B:$B=BH132,Data!$D:$D=$M132))),""""),"""")"),"")</f>
        <v/>
      </c>
      <c r="CS132" s="70" t="str">
        <f>IFERROR(__xludf.DUMMYFUNCTION("IF($M132&lt;&gt;"""",IFERROR((FILTER(RawTotals!$AJ:$AJ,RawTotals!$A:$A=BI132)-(FILTER(Data!$K:$K,Data!$B:$B=BI132,Data!$D:$D=$M132)+FILTER(Data!$L:$L,Data!$B:$B=BI132,Data!$D:$D=$M132))),""""),"""")"),"")</f>
        <v/>
      </c>
      <c r="CT132" s="69"/>
      <c r="CU132" s="69"/>
      <c r="CV132" s="69"/>
      <c r="CW132" s="69"/>
      <c r="CX132" s="69"/>
      <c r="CY132" s="69"/>
      <c r="CZ132" s="69"/>
      <c r="DA132" s="69"/>
      <c r="DB132" s="69"/>
      <c r="DC132" s="69"/>
      <c r="DD132" s="69"/>
      <c r="DE132" s="69"/>
    </row>
    <row r="133">
      <c r="A133" s="65" t="str">
        <f>RawTotals!A133</f>
        <v/>
      </c>
      <c r="B133" s="68" t="str">
        <f>IFERROR(__xludf.DUMMYFUNCTION("IF(A133&lt;&gt;"""",IFERROR(TRANSPOSE(FILTER(Data!D:D,Data!B:B=A133,Data!R:R&lt;&gt;"""")),""No Defense""),"""")"),"")</f>
        <v/>
      </c>
      <c r="C133" s="65"/>
      <c r="D133" s="65"/>
      <c r="E133" s="65"/>
      <c r="F133" s="65"/>
      <c r="G133" s="65"/>
      <c r="H133" s="65"/>
      <c r="I133" s="65"/>
      <c r="J133" s="65"/>
      <c r="K133" s="65"/>
      <c r="L133" s="65"/>
      <c r="M133" s="65"/>
      <c r="N133" s="64" t="str">
        <f>IFERROR(__xludf.DUMMYFUNCTION("IFERROR(Textjoin("""",TRUE,FILTER(Data!$R:$R,Data!$D:$D=B133,Data!$B:$B=$A133)),"""")"),"")</f>
        <v/>
      </c>
      <c r="O133" s="64" t="str">
        <f>IFERROR(__xludf.DUMMYFUNCTION("IFERROR(Textjoin("""",TRUE,FILTER(Data!$R:$R,Data!$D:$D=C133,Data!$B:$B=$A133)),"""")"),"")</f>
        <v/>
      </c>
      <c r="P133" s="64" t="str">
        <f>IFERROR(__xludf.DUMMYFUNCTION("IFERROR(Textjoin("""",TRUE,FILTER(Data!$R:$R,Data!$D:$D=D133,Data!$B:$B=$A133)),"""")"),"")</f>
        <v/>
      </c>
      <c r="Q133" s="64" t="str">
        <f>IFERROR(__xludf.DUMMYFUNCTION("IFERROR(Textjoin("""",TRUE,FILTER(Data!$R:$R,Data!$D:$D=E133,Data!$B:$B=$A133)),"""")"),"")</f>
        <v/>
      </c>
      <c r="R133" s="64" t="str">
        <f>IFERROR(__xludf.DUMMYFUNCTION("IFERROR(Textjoin("""",TRUE,FILTER(Data!$R:$R,Data!$D:$D=F133,Data!$B:$B=$A133)),"""")"),"")</f>
        <v/>
      </c>
      <c r="S133" s="64" t="str">
        <f>IFERROR(__xludf.DUMMYFUNCTION("IFERROR(Textjoin("""",TRUE,FILTER(Data!$R:$R,Data!$D:$D=G133,Data!$B:$B=$A133)),"""")"),"")</f>
        <v/>
      </c>
      <c r="T133" s="64" t="str">
        <f>IFERROR(__xludf.DUMMYFUNCTION("IFERROR(Textjoin("""",TRUE,FILTER(Data!$R:$R,Data!$D:$D=H133,Data!$B:$B=$A133)),"""")"),"")</f>
        <v/>
      </c>
      <c r="U133" s="64" t="str">
        <f>IFERROR(__xludf.DUMMYFUNCTION("IFERROR(Textjoin("""",TRUE,FILTER(Data!$R:$R,Data!$D:$D=I133,Data!$B:$B=$A133)),"""")"),"")</f>
        <v/>
      </c>
      <c r="V133" s="64" t="str">
        <f>IFERROR(__xludf.DUMMYFUNCTION("IFERROR(Textjoin("""",TRUE,FILTER(Data!$R:$R,Data!$D:$D=J133,Data!$B:$B=$A133)),"""")"),"")</f>
        <v/>
      </c>
      <c r="W133" s="64" t="str">
        <f>IFERROR(__xludf.DUMMYFUNCTION("IFERROR(Textjoin("""",TRUE,FILTER(Data!$R:$R,Data!$D:$D=K133,Data!$B:$B=$A133)),"""")"),"")</f>
        <v/>
      </c>
      <c r="X133" s="64" t="str">
        <f>IFERROR(__xludf.DUMMYFUNCTION("IFERROR(Textjoin("""",TRUE,FILTER(Data!$R:$R,Data!$D:$D=L133,Data!$B:$B=$A133)),"""")"),"")</f>
        <v/>
      </c>
      <c r="Y133" s="64" t="str">
        <f>IFERROR(__xludf.DUMMYFUNCTION("IFERROR(Textjoin("""",TRUE,FILTER(Data!$R:$R,Data!$D:$D=M133,Data!$B:$B=$A133)),"""")"),"")</f>
        <v/>
      </c>
      <c r="Z133" s="64" t="str">
        <f>IFERROR(__xludf.DUMMYFUNCTION("IFERROR(SPLIT(N133,"",""),"""")"),"")</f>
        <v/>
      </c>
      <c r="AA133" s="65"/>
      <c r="AB133" s="65"/>
      <c r="AC133" s="69" t="str">
        <f>IFERROR(__xludf.DUMMYFUNCTION("IFERROR(SPLIT(O133,"",""),"""")"),"")</f>
        <v/>
      </c>
      <c r="AD133" s="65"/>
      <c r="AE133" s="65"/>
      <c r="AF133" s="69" t="str">
        <f>IFERROR(__xludf.DUMMYFUNCTION("IFERROR(SPLIT(P133,"",""),"""")"),"")</f>
        <v/>
      </c>
      <c r="AG133" s="65"/>
      <c r="AH133" s="65"/>
      <c r="AI133" s="69" t="str">
        <f>IFERROR(__xludf.DUMMYFUNCTION("IFERROR(SPLIT(Q133,"",""),"""")"),"")</f>
        <v/>
      </c>
      <c r="AJ133" s="65"/>
      <c r="AK133" s="65"/>
      <c r="AL133" s="69" t="str">
        <f>IFERROR(__xludf.DUMMYFUNCTION("IFERROR(SPLIT(R133,"",""),"""")"),"")</f>
        <v/>
      </c>
      <c r="AM133" s="65"/>
      <c r="AN133" s="65"/>
      <c r="AO133" s="69" t="str">
        <f>IFERROR(__xludf.DUMMYFUNCTION("IFERROR(SPLIT(S133,"",""),"""")"),"")</f>
        <v/>
      </c>
      <c r="AP133" s="65"/>
      <c r="AQ133" s="65"/>
      <c r="AR133" s="69" t="str">
        <f>IFERROR(__xludf.DUMMYFUNCTION("IFERROR(SPLIT(T133,"",""),"""")"),"")</f>
        <v/>
      </c>
      <c r="AS133" s="65"/>
      <c r="AT133" s="65"/>
      <c r="AU133" s="69" t="str">
        <f>IFERROR(__xludf.DUMMYFUNCTION("IFERROR(SPLIT(U133,"",""),"""")"),"")</f>
        <v/>
      </c>
      <c r="AV133" s="65"/>
      <c r="AW133" s="65"/>
      <c r="AX133" s="69" t="str">
        <f>IFERROR(__xludf.DUMMYFUNCTION("IFERROR(SPLIT(V133,"",""),"""")"),"")</f>
        <v/>
      </c>
      <c r="AY133" s="65"/>
      <c r="AZ133" s="65"/>
      <c r="BA133" s="69" t="str">
        <f>IFERROR(__xludf.DUMMYFUNCTION("IFERROR(SPLIT(W133,"",""),"""")"),"")</f>
        <v/>
      </c>
      <c r="BB133" s="69"/>
      <c r="BC133" s="69"/>
      <c r="BD133" s="69" t="str">
        <f>IFERROR(__xludf.DUMMYFUNCTION("IFERROR(SPLIT(X133,"",""),"""")"),"")</f>
        <v/>
      </c>
      <c r="BE133" s="69"/>
      <c r="BF133" s="69"/>
      <c r="BG133" s="69" t="str">
        <f>IFERROR(__xludf.DUMMYFUNCTION("IFERROR(SPLIT(Y133,"",""),"""")"),"")</f>
        <v/>
      </c>
      <c r="BH133" s="69"/>
      <c r="BI133" s="69"/>
      <c r="BJ133" s="68" t="str">
        <f>IFERROR(__xludf.DUMMYFUNCTION("IF($B133&lt;&gt;"""",IFERROR(FILTER(RawTotals!$AJ:$AJ,RawTotals!$A:$A=Z133)-(FILTER(Data!$K:$K,Data!$B:$B=Z133,Data!$D:$D=$B133)+FILTER(Data!$L:$L,Data!$B:$B=Z133,Data!$D:$D=$B133)),""""),"""")"),"")</f>
        <v/>
      </c>
      <c r="BK133" s="68" t="str">
        <f>IFERROR(__xludf.DUMMYFUNCTION("IF($B133&lt;&gt;"""",IFERROR(FILTER(RawTotals!$AJ:$AJ,RawTotals!$A:$A=AA133)-(FILTER(Data!$K:$K,Data!$B:$B=AA133,Data!$D:$D=$B133)+FILTER(Data!$L:$L,Data!$B:$B=AA133,Data!$D:$D=$B133)),""""),"""")"),"")</f>
        <v/>
      </c>
      <c r="BL133" s="68" t="str">
        <f>IFERROR(__xludf.DUMMYFUNCTION("IF($B133&lt;&gt;"""",IFERROR(FILTER(RawTotals!$AJ:$AJ,RawTotals!$A:$A=AB133)-(FILTER(Data!$K:$K,Data!$B:$B=AB133,Data!$D:$D=$B133)+FILTER(Data!$L:$L,Data!$B:$B=AB133,Data!$D:$D=$B133)),""""),"""")"),"")</f>
        <v/>
      </c>
      <c r="BM133" s="69" t="str">
        <f>IFERROR(__xludf.DUMMYFUNCTION("IF($C133&lt;&gt;"""",IFERROR(FILTER(RawTotals!$AJ:$AJ,RawTotals!$A:$A=AC133)-(FILTER(Data!$K:$K,Data!$B:$B=AC133,Data!$D:$D=$C133)+FILTER(Data!$L:$L,Data!$B:$B=AC133,Data!$D:$D=$C133)),""""),"""")"),"")</f>
        <v/>
      </c>
      <c r="BN133" s="69" t="str">
        <f>IFERROR(__xludf.DUMMYFUNCTION("IF($C133&lt;&gt;"""",IFERROR(FILTER(RawTotals!$AJ:$AJ,RawTotals!$A:$A=AD133)-(FILTER(Data!$K:$K,Data!$B:$B=AD133,Data!$D:$D=$C133)+FILTER(Data!$L:$L,Data!$B:$B=AD133,Data!$D:$D=$C133)),""""),"""")"),"")</f>
        <v/>
      </c>
      <c r="BO133" s="69" t="str">
        <f>IFERROR(__xludf.DUMMYFUNCTION("IF($C133&lt;&gt;"""",IFERROR(FILTER(RawTotals!$AJ:$AJ,RawTotals!$A:$A=AE133)-(FILTER(Data!$K:$K,Data!$B:$B=AE133,Data!$D:$D=$C133)+FILTER(Data!$L:$L,Data!$B:$B=AE133,Data!$D:$D=$C133)),""""),"""")"),"")</f>
        <v/>
      </c>
      <c r="BP133" s="69" t="str">
        <f>IFERROR(__xludf.DUMMYFUNCTION("IF($D133&lt;&gt;"""",IFERROR(FILTER(RawTotals!$AJ:$AJ,RawTotals!$A:$A=AF133)-(FILTER(Data!$K:$K,Data!$B:$B=AF133,Data!$D:$D=$D133)+FILTER(Data!$L:$L,Data!$B:$B=AF133,Data!$D:$D=$D133)),""""),"""")"),"")</f>
        <v/>
      </c>
      <c r="BQ133" s="69" t="str">
        <f>IFERROR(__xludf.DUMMYFUNCTION("IF($D133&lt;&gt;"""",IFERROR(FILTER(RawTotals!$AJ:$AJ,RawTotals!$A:$A=AG133)-(FILTER(Data!$K:$K,Data!$B:$B=AG133,Data!$D:$D=$D133)+FILTER(Data!$L:$L,Data!$B:$B=AG133,Data!$D:$D=$D133)),""""),"""")"),"")</f>
        <v/>
      </c>
      <c r="BR133" s="69" t="str">
        <f>IFERROR(__xludf.DUMMYFUNCTION("IF($D133&lt;&gt;"""",IFERROR(FILTER(RawTotals!$AJ:$AJ,RawTotals!$A:$A=AH133)-(FILTER(Data!$K:$K,Data!$B:$B=AH133,Data!$D:$D=$D133)+FILTER(Data!$L:$L,Data!$B:$B=AH133,Data!$D:$D=$D133)),""""),"""")"),"")</f>
        <v/>
      </c>
      <c r="BS133" s="69" t="str">
        <f>IFERROR(__xludf.DUMMYFUNCTION("IF($E133&lt;&gt;"""",IFERROR(FILTER(RawTotals!$AJ:$AJ,RawTotals!$A:$A=AI133)-(FILTER(Data!$K:$K,Data!$B:$B=AI133,Data!$D:$D=$E133)+FILTER(Data!$L:$L,Data!$B:$B=AI133,Data!$D:$D=$E133)),""""),"""")"),"")</f>
        <v/>
      </c>
      <c r="BT133" s="69" t="str">
        <f>IFERROR(__xludf.DUMMYFUNCTION("IF($E133&lt;&gt;"""",IFERROR(FILTER(RawTotals!$AJ:$AJ,RawTotals!$A:$A=AJ133)-(FILTER(Data!$K:$K,Data!$B:$B=AJ133,Data!$D:$D=$E133)+FILTER(Data!$L:$L,Data!$B:$B=AJ133,Data!$D:$D=$E133)),""""),"""")"),"")</f>
        <v/>
      </c>
      <c r="BU133" s="69" t="str">
        <f>IFERROR(__xludf.DUMMYFUNCTION("IF($E133&lt;&gt;"""",IFERROR(FILTER(RawTotals!$AJ:$AJ,RawTotals!$A:$A=AK133)-(FILTER(Data!$K:$K,Data!$B:$B=AK133,Data!$D:$D=$E133)+FILTER(Data!$L:$L,Data!$B:$B=AK133,Data!$D:$D=$E133)),""""),"""")"),"")</f>
        <v/>
      </c>
      <c r="BV133" s="69" t="str">
        <f>IFERROR(__xludf.DUMMYFUNCTION("IF($F133&lt;&gt;"""",IFERROR(FILTER(RawTotals!$AJ:$AJ,RawTotals!$A:$A=AL133)-(FILTER(Data!$K:$K,Data!$B:$B=AL133,Data!$D:$D=$F133)+FILTER(Data!$L:$L,Data!$B:$B=AL133,Data!$D:$D=$F133)),""""),"""")"),"")</f>
        <v/>
      </c>
      <c r="BW133" s="69" t="str">
        <f>IFERROR(__xludf.DUMMYFUNCTION("IF($F133&lt;&gt;"""",IFERROR(FILTER(RawTotals!$AJ:$AJ,RawTotals!$A:$A=AM133)-(FILTER(Data!$K:$K,Data!$B:$B=AM133,Data!$D:$D=$F133)+FILTER(Data!$L:$L,Data!$B:$B=AM133,Data!$D:$D=$F133)),""""),"""")"),"")</f>
        <v/>
      </c>
      <c r="BX133" s="69" t="str">
        <f>IFERROR(__xludf.DUMMYFUNCTION("IF($F133&lt;&gt;"""",IFERROR(FILTER(RawTotals!$AJ:$AJ,RawTotals!$A:$A=AN133)-(FILTER(Data!$K:$K,Data!$B:$B=AN133,Data!$D:$D=$F133)+FILTER(Data!$L:$L,Data!$B:$B=AN133,Data!$D:$D=$F133)),""""),"""")"),"")</f>
        <v/>
      </c>
      <c r="BY133" s="69" t="str">
        <f>IFERROR(__xludf.DUMMYFUNCTION("IF($G133&lt;&gt;"""",IFERROR(FILTER(RawTotals!$AJ:$AJ,RawTotals!$A:$A=AO133)-(FILTER(Data!$K:$K,Data!$B:$B=AO133,Data!$D:$D=$G133)+FILTER(Data!$L:$L,Data!$B:$B=AO133,Data!$D:$D=$G133)),""""),"""")"),"")</f>
        <v/>
      </c>
      <c r="BZ133" s="69" t="str">
        <f>IFERROR(__xludf.DUMMYFUNCTION("IF($G133&lt;&gt;"""",IFERROR(FILTER(RawTotals!$AJ:$AJ,RawTotals!$A:$A=AP133)-(FILTER(Data!$K:$K,Data!$B:$B=AP133,Data!$D:$D=$G133)+FILTER(Data!$L:$L,Data!$B:$B=AP133,Data!$D:$D=$G133)),""""),"""")"),"")</f>
        <v/>
      </c>
      <c r="CA133" s="69" t="str">
        <f>IFERROR(__xludf.DUMMYFUNCTION("IF($G133&lt;&gt;"""",IFERROR(FILTER(RawTotals!$AJ:$AJ,RawTotals!$A:$A=AQ133)-(FILTER(Data!$K:$K,Data!$B:$B=AQ133,Data!$D:$D=$G133)+FILTER(Data!$L:$L,Data!$B:$B=AQ133,Data!$D:$D=$G133)),""""),"""")"),"")</f>
        <v/>
      </c>
      <c r="CB133" s="69" t="str">
        <f>IFERROR(__xludf.DUMMYFUNCTION("IF($H133&lt;&gt;"""",IFERROR(FILTER(RawTotals!$AJ:$AJ,RawTotals!$A:$A=AR133)-(FILTER(Data!$K:$K,Data!$B:$B=AR133,Data!$D:$D=$H133)+FILTER(Data!$L:$L,Data!$B:$B=AR133,Data!$D:$D=$H133)),""""),"""")"),"")</f>
        <v/>
      </c>
      <c r="CC133" s="69" t="str">
        <f>IFERROR(__xludf.DUMMYFUNCTION("IF($H133&lt;&gt;"""",IFERROR(FILTER(RawTotals!$AJ:$AJ,RawTotals!$A:$A=AS133)-(FILTER(Data!$K:$K,Data!$B:$B=AS133,Data!$D:$D=$H133)+FILTER(Data!$L:$L,Data!$B:$B=AS133,Data!$D:$D=$H133)),""""),"""")"),"")</f>
        <v/>
      </c>
      <c r="CD133" s="69" t="str">
        <f>IFERROR(__xludf.DUMMYFUNCTION("IF($H133&lt;&gt;"""",IFERROR(FILTER(RawTotals!$AJ:$AJ,RawTotals!$A:$A=AT133)-(FILTER(Data!$K:$K,Data!$B:$B=AT133,Data!$D:$D=$H133)+FILTER(Data!$L:$L,Data!$B:$B=AT133,Data!$D:$D=$H133)),""""),"""")"),"")</f>
        <v/>
      </c>
      <c r="CE133" s="69" t="str">
        <f>IFERROR(__xludf.DUMMYFUNCTION("IF($I133&lt;&gt;"""",IFERROR(FILTER(RawTotals!$AJ:$AJ,RawTotals!$A:$A=AU133)-(FILTER(Data!$K:$K,Data!$B:$B=AU133,Data!$D:$D=$I133)+FILTER(Data!$L:$L,Data!$B:$B=AU133,Data!$D:$D=$I133)),""""),"""")"),"")</f>
        <v/>
      </c>
      <c r="CF133" s="69" t="str">
        <f>IFERROR(__xludf.DUMMYFUNCTION("IF($I133&lt;&gt;"""",IFERROR(FILTER(RawTotals!$AJ:$AJ,RawTotals!$A:$A=AV133)-(FILTER(Data!$K:$K,Data!$B:$B=AV133,Data!$D:$D=$I133)+FILTER(Data!$L:$L,Data!$B:$B=AV133,Data!$D:$D=$I133)),""""),"""")"),"")</f>
        <v/>
      </c>
      <c r="CG133" s="69" t="str">
        <f>IFERROR(__xludf.DUMMYFUNCTION("IF($I133&lt;&gt;"""",IFERROR(FILTER(RawTotals!$AJ:$AJ,RawTotals!$A:$A=AW133)-(FILTER(Data!$K:$K,Data!$B:$B=AW133,Data!$D:$D=$I133)+FILTER(Data!$L:$L,Data!$B:$B=AW133,Data!$D:$D=$I133)),""""),"""")"),"")</f>
        <v/>
      </c>
      <c r="CH133" s="69" t="str">
        <f>IFERROR(__xludf.DUMMYFUNCTION("IF($J133&lt;&gt;"""",IFERROR(FILTER(RawTotals!$AJ:$AJ,RawTotals!$A:$A=AX133)-(FILTER(Data!$K:$K,Data!$B:$B=AX133,Data!$D:$D=$J133)+FILTER(Data!$L:$L,Data!$B:$B=AX133,Data!$D:$D=$J133)),""""),"""")"),"")</f>
        <v/>
      </c>
      <c r="CI133" s="69" t="str">
        <f>IFERROR(__xludf.DUMMYFUNCTION("IF($J133&lt;&gt;"""",IFERROR(FILTER(RawTotals!$AJ:$AJ,RawTotals!$A:$A=AY133)-(FILTER(Data!$K:$K,Data!$B:$B=AY133,Data!$D:$D=$J133)+FILTER(Data!$L:$L,Data!$B:$B=AY133,Data!$D:$D=$J133)),""""),"""")"),"")</f>
        <v/>
      </c>
      <c r="CJ133" s="69" t="str">
        <f>IFERROR(__xludf.DUMMYFUNCTION("IF($J133&lt;&gt;"""",IFERROR(FILTER(RawTotals!$AJ:$AJ,RawTotals!$A:$A=AZ133)-(FILTER(Data!$K:$K,Data!$B:$B=AZ133,Data!$D:$D=$J133)+FILTER(Data!$L:$L,Data!$B:$B=AZ133,Data!$D:$D=$J133)),""""),"""")"),"")</f>
        <v/>
      </c>
      <c r="CK133" s="69" t="str">
        <f>IFERROR(__xludf.DUMMYFUNCTION("IF($K133&lt;&gt;"""",IFERROR(FILTER(RawTotals!$AJ:$AJ,RawTotals!$A:$A=BA133)-(FILTER(Data!$K:$K,Data!$B:$B=BA133,Data!$D:$D=$K133)+FILTER(Data!$L:$L,Data!$B:$B=BA133,Data!$D:$D=$K133)),""""),"""")"),"")</f>
        <v/>
      </c>
      <c r="CL133" s="69" t="str">
        <f>IFERROR(__xludf.DUMMYFUNCTION("IF($K133&lt;&gt;"""",IFERROR(FILTER(RawTotals!$AJ:$AJ,RawTotals!$A:$A=BB133)-(FILTER(Data!$K:$K,Data!$B:$B=BB133,Data!$D:$D=$K133)+FILTER(Data!$L:$L,Data!$B:$B=BB133,Data!$D:$D=$K133)),""""),"""")"),"")</f>
        <v/>
      </c>
      <c r="CM133" s="69" t="str">
        <f>IFERROR(__xludf.DUMMYFUNCTION("IF($K133&lt;&gt;"""",IFERROR(FILTER(RawTotals!$AJ:$AJ,RawTotals!$A:$A=BC133)-(FILTER(Data!$K:$K,Data!$B:$B=BC133,Data!$D:$D=$K133)+FILTER(Data!$L:$L,Data!$B:$B=BC133,Data!$D:$D=$K133)),""""),"""")"),"")</f>
        <v/>
      </c>
      <c r="CN133" s="69" t="str">
        <f>IFERROR(__xludf.DUMMYFUNCTION("IF($L133&lt;&gt;"""",IFERROR((FILTER(RawTotals!$AJ:$AJ,RawTotals!$A:$A=BD133)-(FILTER(Data!$K:$K,Data!$B:$B=BD133,Data!$D:$D=$L133)+FILTER(Data!$L:$L,Data!$B:$B=BD133,Data!$D:$D=$L133))),""""),"""")"),"")</f>
        <v/>
      </c>
      <c r="CO133" s="69" t="str">
        <f>IFERROR(__xludf.DUMMYFUNCTION("IF($L133&lt;&gt;"""",IFERROR((FILTER(RawTotals!$AJ:$AJ,RawTotals!$A:$A=BE133)-(FILTER(Data!$K:$K,Data!$B:$B=BE133,Data!$D:$D=$L133)+FILTER(Data!$L:$L,Data!$B:$B=BE133,Data!$D:$D=$L133))),""""),"""")"),"")</f>
        <v/>
      </c>
      <c r="CP133" s="69" t="str">
        <f>IFERROR(__xludf.DUMMYFUNCTION("IF($L133&lt;&gt;"""",IFERROR((FILTER(RawTotals!$AJ:$AJ,RawTotals!$A:$A=BF133)-(FILTER(Data!$K:$K,Data!$B:$B=BF133,Data!$D:$D=$L133)+FILTER(Data!$L:$L,Data!$B:$B=BF133,Data!$D:$D=$L133))),""""),"""")"),"")</f>
        <v/>
      </c>
      <c r="CQ133" s="69" t="str">
        <f>IFERROR(__xludf.DUMMYFUNCTION("IF($M133&lt;&gt;"""",IFERROR((FILTER(RawTotals!$AJ:$AJ,RawTotals!$A:$A=BG133)-(FILTER(Data!$K:$K,Data!$B:$B=BG133,Data!$D:$D=$M133)+FILTER(Data!$L:$L,Data!$B:$B=BG133,Data!$D:$D=$M133))),""""),"""")"),"")</f>
        <v/>
      </c>
      <c r="CR133" s="69" t="str">
        <f>IFERROR(__xludf.DUMMYFUNCTION("IF($M133&lt;&gt;"""",IFERROR((FILTER(RawTotals!$AJ:$AJ,RawTotals!$A:$A=BH133)-(FILTER(Data!$K:$K,Data!$B:$B=BH133,Data!$D:$D=$M133)+FILTER(Data!$L:$L,Data!$B:$B=BH133,Data!$D:$D=$M133))),""""),"""")"),"")</f>
        <v/>
      </c>
      <c r="CS133" s="70" t="str">
        <f>IFERROR(__xludf.DUMMYFUNCTION("IF($M133&lt;&gt;"""",IFERROR((FILTER(RawTotals!$AJ:$AJ,RawTotals!$A:$A=BI133)-(FILTER(Data!$K:$K,Data!$B:$B=BI133,Data!$D:$D=$M133)+FILTER(Data!$L:$L,Data!$B:$B=BI133,Data!$D:$D=$M133))),""""),"""")"),"")</f>
        <v/>
      </c>
      <c r="CT133" s="69"/>
      <c r="CU133" s="69"/>
      <c r="CV133" s="69"/>
      <c r="CW133" s="69"/>
      <c r="CX133" s="69"/>
      <c r="CY133" s="69"/>
      <c r="CZ133" s="69"/>
      <c r="DA133" s="69"/>
      <c r="DB133" s="69"/>
      <c r="DC133" s="69"/>
      <c r="DD133" s="69"/>
      <c r="DE133" s="69"/>
    </row>
    <row r="134">
      <c r="A134" s="65" t="str">
        <f>RawTotals!A134</f>
        <v/>
      </c>
      <c r="B134" s="68" t="str">
        <f>IFERROR(__xludf.DUMMYFUNCTION("IF(A134&lt;&gt;"""",IFERROR(TRANSPOSE(FILTER(Data!D:D,Data!B:B=A134,Data!R:R&lt;&gt;"""")),""No Defense""),"""")"),"")</f>
        <v/>
      </c>
      <c r="C134" s="65"/>
      <c r="D134" s="65"/>
      <c r="E134" s="65"/>
      <c r="F134" s="65"/>
      <c r="G134" s="65"/>
      <c r="H134" s="65"/>
      <c r="I134" s="65"/>
      <c r="J134" s="65"/>
      <c r="K134" s="65"/>
      <c r="L134" s="65"/>
      <c r="M134" s="65"/>
      <c r="N134" s="64" t="str">
        <f>IFERROR(__xludf.DUMMYFUNCTION("IFERROR(Textjoin("""",TRUE,FILTER(Data!$R:$R,Data!$D:$D=B134,Data!$B:$B=$A134)),"""")"),"")</f>
        <v/>
      </c>
      <c r="O134" s="64" t="str">
        <f>IFERROR(__xludf.DUMMYFUNCTION("IFERROR(Textjoin("""",TRUE,FILTER(Data!$R:$R,Data!$D:$D=C134,Data!$B:$B=$A134)),"""")"),"")</f>
        <v/>
      </c>
      <c r="P134" s="64" t="str">
        <f>IFERROR(__xludf.DUMMYFUNCTION("IFERROR(Textjoin("""",TRUE,FILTER(Data!$R:$R,Data!$D:$D=D134,Data!$B:$B=$A134)),"""")"),"")</f>
        <v/>
      </c>
      <c r="Q134" s="64" t="str">
        <f>IFERROR(__xludf.DUMMYFUNCTION("IFERROR(Textjoin("""",TRUE,FILTER(Data!$R:$R,Data!$D:$D=E134,Data!$B:$B=$A134)),"""")"),"")</f>
        <v/>
      </c>
      <c r="R134" s="64" t="str">
        <f>IFERROR(__xludf.DUMMYFUNCTION("IFERROR(Textjoin("""",TRUE,FILTER(Data!$R:$R,Data!$D:$D=F134,Data!$B:$B=$A134)),"""")"),"")</f>
        <v/>
      </c>
      <c r="S134" s="64" t="str">
        <f>IFERROR(__xludf.DUMMYFUNCTION("IFERROR(Textjoin("""",TRUE,FILTER(Data!$R:$R,Data!$D:$D=G134,Data!$B:$B=$A134)),"""")"),"")</f>
        <v/>
      </c>
      <c r="T134" s="64" t="str">
        <f>IFERROR(__xludf.DUMMYFUNCTION("IFERROR(Textjoin("""",TRUE,FILTER(Data!$R:$R,Data!$D:$D=H134,Data!$B:$B=$A134)),"""")"),"")</f>
        <v/>
      </c>
      <c r="U134" s="64" t="str">
        <f>IFERROR(__xludf.DUMMYFUNCTION("IFERROR(Textjoin("""",TRUE,FILTER(Data!$R:$R,Data!$D:$D=I134,Data!$B:$B=$A134)),"""")"),"")</f>
        <v/>
      </c>
      <c r="V134" s="64" t="str">
        <f>IFERROR(__xludf.DUMMYFUNCTION("IFERROR(Textjoin("""",TRUE,FILTER(Data!$R:$R,Data!$D:$D=J134,Data!$B:$B=$A134)),"""")"),"")</f>
        <v/>
      </c>
      <c r="W134" s="64" t="str">
        <f>IFERROR(__xludf.DUMMYFUNCTION("IFERROR(Textjoin("""",TRUE,FILTER(Data!$R:$R,Data!$D:$D=K134,Data!$B:$B=$A134)),"""")"),"")</f>
        <v/>
      </c>
      <c r="X134" s="64" t="str">
        <f>IFERROR(__xludf.DUMMYFUNCTION("IFERROR(Textjoin("""",TRUE,FILTER(Data!$R:$R,Data!$D:$D=L134,Data!$B:$B=$A134)),"""")"),"")</f>
        <v/>
      </c>
      <c r="Y134" s="64" t="str">
        <f>IFERROR(__xludf.DUMMYFUNCTION("IFERROR(Textjoin("""",TRUE,FILTER(Data!$R:$R,Data!$D:$D=M134,Data!$B:$B=$A134)),"""")"),"")</f>
        <v/>
      </c>
      <c r="Z134" s="64" t="str">
        <f>IFERROR(__xludf.DUMMYFUNCTION("IFERROR(SPLIT(N134,"",""),"""")"),"")</f>
        <v/>
      </c>
      <c r="AA134" s="65"/>
      <c r="AB134" s="65"/>
      <c r="AC134" s="69" t="str">
        <f>IFERROR(__xludf.DUMMYFUNCTION("IFERROR(SPLIT(O134,"",""),"""")"),"")</f>
        <v/>
      </c>
      <c r="AD134" s="65"/>
      <c r="AE134" s="65"/>
      <c r="AF134" s="69" t="str">
        <f>IFERROR(__xludf.DUMMYFUNCTION("IFERROR(SPLIT(P134,"",""),"""")"),"")</f>
        <v/>
      </c>
      <c r="AG134" s="65"/>
      <c r="AH134" s="65"/>
      <c r="AI134" s="69" t="str">
        <f>IFERROR(__xludf.DUMMYFUNCTION("IFERROR(SPLIT(Q134,"",""),"""")"),"")</f>
        <v/>
      </c>
      <c r="AJ134" s="65"/>
      <c r="AK134" s="65"/>
      <c r="AL134" s="69" t="str">
        <f>IFERROR(__xludf.DUMMYFUNCTION("IFERROR(SPLIT(R134,"",""),"""")"),"")</f>
        <v/>
      </c>
      <c r="AM134" s="65"/>
      <c r="AN134" s="65"/>
      <c r="AO134" s="69" t="str">
        <f>IFERROR(__xludf.DUMMYFUNCTION("IFERROR(SPLIT(S134,"",""),"""")"),"")</f>
        <v/>
      </c>
      <c r="AP134" s="65"/>
      <c r="AQ134" s="65"/>
      <c r="AR134" s="69" t="str">
        <f>IFERROR(__xludf.DUMMYFUNCTION("IFERROR(SPLIT(T134,"",""),"""")"),"")</f>
        <v/>
      </c>
      <c r="AS134" s="65"/>
      <c r="AT134" s="65"/>
      <c r="AU134" s="69" t="str">
        <f>IFERROR(__xludf.DUMMYFUNCTION("IFERROR(SPLIT(U134,"",""),"""")"),"")</f>
        <v/>
      </c>
      <c r="AV134" s="65"/>
      <c r="AW134" s="65"/>
      <c r="AX134" s="69" t="str">
        <f>IFERROR(__xludf.DUMMYFUNCTION("IFERROR(SPLIT(V134,"",""),"""")"),"")</f>
        <v/>
      </c>
      <c r="AY134" s="65"/>
      <c r="AZ134" s="65"/>
      <c r="BA134" s="69" t="str">
        <f>IFERROR(__xludf.DUMMYFUNCTION("IFERROR(SPLIT(W134,"",""),"""")"),"")</f>
        <v/>
      </c>
      <c r="BB134" s="69"/>
      <c r="BC134" s="69"/>
      <c r="BD134" s="69" t="str">
        <f>IFERROR(__xludf.DUMMYFUNCTION("IFERROR(SPLIT(X134,"",""),"""")"),"")</f>
        <v/>
      </c>
      <c r="BE134" s="69"/>
      <c r="BF134" s="69"/>
      <c r="BG134" s="69" t="str">
        <f>IFERROR(__xludf.DUMMYFUNCTION("IFERROR(SPLIT(Y134,"",""),"""")"),"")</f>
        <v/>
      </c>
      <c r="BH134" s="69"/>
      <c r="BI134" s="69"/>
      <c r="BJ134" s="68" t="str">
        <f>IFERROR(__xludf.DUMMYFUNCTION("IF($B134&lt;&gt;"""",IFERROR(FILTER(RawTotals!$AJ:$AJ,RawTotals!$A:$A=Z134)-(FILTER(Data!$K:$K,Data!$B:$B=Z134,Data!$D:$D=$B134)+FILTER(Data!$L:$L,Data!$B:$B=Z134,Data!$D:$D=$B134)),""""),"""")"),"")</f>
        <v/>
      </c>
      <c r="BK134" s="68" t="str">
        <f>IFERROR(__xludf.DUMMYFUNCTION("IF($B134&lt;&gt;"""",IFERROR(FILTER(RawTotals!$AJ:$AJ,RawTotals!$A:$A=AA134)-(FILTER(Data!$K:$K,Data!$B:$B=AA134,Data!$D:$D=$B134)+FILTER(Data!$L:$L,Data!$B:$B=AA134,Data!$D:$D=$B134)),""""),"""")"),"")</f>
        <v/>
      </c>
      <c r="BL134" s="68" t="str">
        <f>IFERROR(__xludf.DUMMYFUNCTION("IF($B134&lt;&gt;"""",IFERROR(FILTER(RawTotals!$AJ:$AJ,RawTotals!$A:$A=AB134)-(FILTER(Data!$K:$K,Data!$B:$B=AB134,Data!$D:$D=$B134)+FILTER(Data!$L:$L,Data!$B:$B=AB134,Data!$D:$D=$B134)),""""),"""")"),"")</f>
        <v/>
      </c>
      <c r="BM134" s="69" t="str">
        <f>IFERROR(__xludf.DUMMYFUNCTION("IF($C134&lt;&gt;"""",IFERROR(FILTER(RawTotals!$AJ:$AJ,RawTotals!$A:$A=AC134)-(FILTER(Data!$K:$K,Data!$B:$B=AC134,Data!$D:$D=$C134)+FILTER(Data!$L:$L,Data!$B:$B=AC134,Data!$D:$D=$C134)),""""),"""")"),"")</f>
        <v/>
      </c>
      <c r="BN134" s="69" t="str">
        <f>IFERROR(__xludf.DUMMYFUNCTION("IF($C134&lt;&gt;"""",IFERROR(FILTER(RawTotals!$AJ:$AJ,RawTotals!$A:$A=AD134)-(FILTER(Data!$K:$K,Data!$B:$B=AD134,Data!$D:$D=$C134)+FILTER(Data!$L:$L,Data!$B:$B=AD134,Data!$D:$D=$C134)),""""),"""")"),"")</f>
        <v/>
      </c>
      <c r="BO134" s="69" t="str">
        <f>IFERROR(__xludf.DUMMYFUNCTION("IF($C134&lt;&gt;"""",IFERROR(FILTER(RawTotals!$AJ:$AJ,RawTotals!$A:$A=AE134)-(FILTER(Data!$K:$K,Data!$B:$B=AE134,Data!$D:$D=$C134)+FILTER(Data!$L:$L,Data!$B:$B=AE134,Data!$D:$D=$C134)),""""),"""")"),"")</f>
        <v/>
      </c>
      <c r="BP134" s="69" t="str">
        <f>IFERROR(__xludf.DUMMYFUNCTION("IF($D134&lt;&gt;"""",IFERROR(FILTER(RawTotals!$AJ:$AJ,RawTotals!$A:$A=AF134)-(FILTER(Data!$K:$K,Data!$B:$B=AF134,Data!$D:$D=$D134)+FILTER(Data!$L:$L,Data!$B:$B=AF134,Data!$D:$D=$D134)),""""),"""")"),"")</f>
        <v/>
      </c>
      <c r="BQ134" s="69" t="str">
        <f>IFERROR(__xludf.DUMMYFUNCTION("IF($D134&lt;&gt;"""",IFERROR(FILTER(RawTotals!$AJ:$AJ,RawTotals!$A:$A=AG134)-(FILTER(Data!$K:$K,Data!$B:$B=AG134,Data!$D:$D=$D134)+FILTER(Data!$L:$L,Data!$B:$B=AG134,Data!$D:$D=$D134)),""""),"""")"),"")</f>
        <v/>
      </c>
      <c r="BR134" s="69" t="str">
        <f>IFERROR(__xludf.DUMMYFUNCTION("IF($D134&lt;&gt;"""",IFERROR(FILTER(RawTotals!$AJ:$AJ,RawTotals!$A:$A=AH134)-(FILTER(Data!$K:$K,Data!$B:$B=AH134,Data!$D:$D=$D134)+FILTER(Data!$L:$L,Data!$B:$B=AH134,Data!$D:$D=$D134)),""""),"""")"),"")</f>
        <v/>
      </c>
      <c r="BS134" s="69" t="str">
        <f>IFERROR(__xludf.DUMMYFUNCTION("IF($E134&lt;&gt;"""",IFERROR(FILTER(RawTotals!$AJ:$AJ,RawTotals!$A:$A=AI134)-(FILTER(Data!$K:$K,Data!$B:$B=AI134,Data!$D:$D=$E134)+FILTER(Data!$L:$L,Data!$B:$B=AI134,Data!$D:$D=$E134)),""""),"""")"),"")</f>
        <v/>
      </c>
      <c r="BT134" s="69" t="str">
        <f>IFERROR(__xludf.DUMMYFUNCTION("IF($E134&lt;&gt;"""",IFERROR(FILTER(RawTotals!$AJ:$AJ,RawTotals!$A:$A=AJ134)-(FILTER(Data!$K:$K,Data!$B:$B=AJ134,Data!$D:$D=$E134)+FILTER(Data!$L:$L,Data!$B:$B=AJ134,Data!$D:$D=$E134)),""""),"""")"),"")</f>
        <v/>
      </c>
      <c r="BU134" s="69" t="str">
        <f>IFERROR(__xludf.DUMMYFUNCTION("IF($E134&lt;&gt;"""",IFERROR(FILTER(RawTotals!$AJ:$AJ,RawTotals!$A:$A=AK134)-(FILTER(Data!$K:$K,Data!$B:$B=AK134,Data!$D:$D=$E134)+FILTER(Data!$L:$L,Data!$B:$B=AK134,Data!$D:$D=$E134)),""""),"""")"),"")</f>
        <v/>
      </c>
      <c r="BV134" s="69" t="str">
        <f>IFERROR(__xludf.DUMMYFUNCTION("IF($F134&lt;&gt;"""",IFERROR(FILTER(RawTotals!$AJ:$AJ,RawTotals!$A:$A=AL134)-(FILTER(Data!$K:$K,Data!$B:$B=AL134,Data!$D:$D=$F134)+FILTER(Data!$L:$L,Data!$B:$B=AL134,Data!$D:$D=$F134)),""""),"""")"),"")</f>
        <v/>
      </c>
      <c r="BW134" s="69" t="str">
        <f>IFERROR(__xludf.DUMMYFUNCTION("IF($F134&lt;&gt;"""",IFERROR(FILTER(RawTotals!$AJ:$AJ,RawTotals!$A:$A=AM134)-(FILTER(Data!$K:$K,Data!$B:$B=AM134,Data!$D:$D=$F134)+FILTER(Data!$L:$L,Data!$B:$B=AM134,Data!$D:$D=$F134)),""""),"""")"),"")</f>
        <v/>
      </c>
      <c r="BX134" s="69" t="str">
        <f>IFERROR(__xludf.DUMMYFUNCTION("IF($F134&lt;&gt;"""",IFERROR(FILTER(RawTotals!$AJ:$AJ,RawTotals!$A:$A=AN134)-(FILTER(Data!$K:$K,Data!$B:$B=AN134,Data!$D:$D=$F134)+FILTER(Data!$L:$L,Data!$B:$B=AN134,Data!$D:$D=$F134)),""""),"""")"),"")</f>
        <v/>
      </c>
      <c r="BY134" s="69" t="str">
        <f>IFERROR(__xludf.DUMMYFUNCTION("IF($G134&lt;&gt;"""",IFERROR(FILTER(RawTotals!$AJ:$AJ,RawTotals!$A:$A=AO134)-(FILTER(Data!$K:$K,Data!$B:$B=AO134,Data!$D:$D=$G134)+FILTER(Data!$L:$L,Data!$B:$B=AO134,Data!$D:$D=$G134)),""""),"""")"),"")</f>
        <v/>
      </c>
      <c r="BZ134" s="69" t="str">
        <f>IFERROR(__xludf.DUMMYFUNCTION("IF($G134&lt;&gt;"""",IFERROR(FILTER(RawTotals!$AJ:$AJ,RawTotals!$A:$A=AP134)-(FILTER(Data!$K:$K,Data!$B:$B=AP134,Data!$D:$D=$G134)+FILTER(Data!$L:$L,Data!$B:$B=AP134,Data!$D:$D=$G134)),""""),"""")"),"")</f>
        <v/>
      </c>
      <c r="CA134" s="69" t="str">
        <f>IFERROR(__xludf.DUMMYFUNCTION("IF($G134&lt;&gt;"""",IFERROR(FILTER(RawTotals!$AJ:$AJ,RawTotals!$A:$A=AQ134)-(FILTER(Data!$K:$K,Data!$B:$B=AQ134,Data!$D:$D=$G134)+FILTER(Data!$L:$L,Data!$B:$B=AQ134,Data!$D:$D=$G134)),""""),"""")"),"")</f>
        <v/>
      </c>
      <c r="CB134" s="69" t="str">
        <f>IFERROR(__xludf.DUMMYFUNCTION("IF($H134&lt;&gt;"""",IFERROR(FILTER(RawTotals!$AJ:$AJ,RawTotals!$A:$A=AR134)-(FILTER(Data!$K:$K,Data!$B:$B=AR134,Data!$D:$D=$H134)+FILTER(Data!$L:$L,Data!$B:$B=AR134,Data!$D:$D=$H134)),""""),"""")"),"")</f>
        <v/>
      </c>
      <c r="CC134" s="69" t="str">
        <f>IFERROR(__xludf.DUMMYFUNCTION("IF($H134&lt;&gt;"""",IFERROR(FILTER(RawTotals!$AJ:$AJ,RawTotals!$A:$A=AS134)-(FILTER(Data!$K:$K,Data!$B:$B=AS134,Data!$D:$D=$H134)+FILTER(Data!$L:$L,Data!$B:$B=AS134,Data!$D:$D=$H134)),""""),"""")"),"")</f>
        <v/>
      </c>
      <c r="CD134" s="69" t="str">
        <f>IFERROR(__xludf.DUMMYFUNCTION("IF($H134&lt;&gt;"""",IFERROR(FILTER(RawTotals!$AJ:$AJ,RawTotals!$A:$A=AT134)-(FILTER(Data!$K:$K,Data!$B:$B=AT134,Data!$D:$D=$H134)+FILTER(Data!$L:$L,Data!$B:$B=AT134,Data!$D:$D=$H134)),""""),"""")"),"")</f>
        <v/>
      </c>
      <c r="CE134" s="69" t="str">
        <f>IFERROR(__xludf.DUMMYFUNCTION("IF($I134&lt;&gt;"""",IFERROR(FILTER(RawTotals!$AJ:$AJ,RawTotals!$A:$A=AU134)-(FILTER(Data!$K:$K,Data!$B:$B=AU134,Data!$D:$D=$I134)+FILTER(Data!$L:$L,Data!$B:$B=AU134,Data!$D:$D=$I134)),""""),"""")"),"")</f>
        <v/>
      </c>
      <c r="CF134" s="69" t="str">
        <f>IFERROR(__xludf.DUMMYFUNCTION("IF($I134&lt;&gt;"""",IFERROR(FILTER(RawTotals!$AJ:$AJ,RawTotals!$A:$A=AV134)-(FILTER(Data!$K:$K,Data!$B:$B=AV134,Data!$D:$D=$I134)+FILTER(Data!$L:$L,Data!$B:$B=AV134,Data!$D:$D=$I134)),""""),"""")"),"")</f>
        <v/>
      </c>
      <c r="CG134" s="69" t="str">
        <f>IFERROR(__xludf.DUMMYFUNCTION("IF($I134&lt;&gt;"""",IFERROR(FILTER(RawTotals!$AJ:$AJ,RawTotals!$A:$A=AW134)-(FILTER(Data!$K:$K,Data!$B:$B=AW134,Data!$D:$D=$I134)+FILTER(Data!$L:$L,Data!$B:$B=AW134,Data!$D:$D=$I134)),""""),"""")"),"")</f>
        <v/>
      </c>
      <c r="CH134" s="69" t="str">
        <f>IFERROR(__xludf.DUMMYFUNCTION("IF($J134&lt;&gt;"""",IFERROR(FILTER(RawTotals!$AJ:$AJ,RawTotals!$A:$A=AX134)-(FILTER(Data!$K:$K,Data!$B:$B=AX134,Data!$D:$D=$J134)+FILTER(Data!$L:$L,Data!$B:$B=AX134,Data!$D:$D=$J134)),""""),"""")"),"")</f>
        <v/>
      </c>
      <c r="CI134" s="69" t="str">
        <f>IFERROR(__xludf.DUMMYFUNCTION("IF($J134&lt;&gt;"""",IFERROR(FILTER(RawTotals!$AJ:$AJ,RawTotals!$A:$A=AY134)-(FILTER(Data!$K:$K,Data!$B:$B=AY134,Data!$D:$D=$J134)+FILTER(Data!$L:$L,Data!$B:$B=AY134,Data!$D:$D=$J134)),""""),"""")"),"")</f>
        <v/>
      </c>
      <c r="CJ134" s="69" t="str">
        <f>IFERROR(__xludf.DUMMYFUNCTION("IF($J134&lt;&gt;"""",IFERROR(FILTER(RawTotals!$AJ:$AJ,RawTotals!$A:$A=AZ134)-(FILTER(Data!$K:$K,Data!$B:$B=AZ134,Data!$D:$D=$J134)+FILTER(Data!$L:$L,Data!$B:$B=AZ134,Data!$D:$D=$J134)),""""),"""")"),"")</f>
        <v/>
      </c>
      <c r="CK134" s="69" t="str">
        <f>IFERROR(__xludf.DUMMYFUNCTION("IF($K134&lt;&gt;"""",IFERROR(FILTER(RawTotals!$AJ:$AJ,RawTotals!$A:$A=BA134)-(FILTER(Data!$K:$K,Data!$B:$B=BA134,Data!$D:$D=$K134)+FILTER(Data!$L:$L,Data!$B:$B=BA134,Data!$D:$D=$K134)),""""),"""")"),"")</f>
        <v/>
      </c>
      <c r="CL134" s="69" t="str">
        <f>IFERROR(__xludf.DUMMYFUNCTION("IF($K134&lt;&gt;"""",IFERROR(FILTER(RawTotals!$AJ:$AJ,RawTotals!$A:$A=BB134)-(FILTER(Data!$K:$K,Data!$B:$B=BB134,Data!$D:$D=$K134)+FILTER(Data!$L:$L,Data!$B:$B=BB134,Data!$D:$D=$K134)),""""),"""")"),"")</f>
        <v/>
      </c>
      <c r="CM134" s="69" t="str">
        <f>IFERROR(__xludf.DUMMYFUNCTION("IF($K134&lt;&gt;"""",IFERROR(FILTER(RawTotals!$AJ:$AJ,RawTotals!$A:$A=BC134)-(FILTER(Data!$K:$K,Data!$B:$B=BC134,Data!$D:$D=$K134)+FILTER(Data!$L:$L,Data!$B:$B=BC134,Data!$D:$D=$K134)),""""),"""")"),"")</f>
        <v/>
      </c>
      <c r="CN134" s="69" t="str">
        <f>IFERROR(__xludf.DUMMYFUNCTION("IF($L134&lt;&gt;"""",IFERROR((FILTER(RawTotals!$AJ:$AJ,RawTotals!$A:$A=BD134)-(FILTER(Data!$K:$K,Data!$B:$B=BD134,Data!$D:$D=$L134)+FILTER(Data!$L:$L,Data!$B:$B=BD134,Data!$D:$D=$L134))),""""),"""")"),"")</f>
        <v/>
      </c>
      <c r="CO134" s="69" t="str">
        <f>IFERROR(__xludf.DUMMYFUNCTION("IF($L134&lt;&gt;"""",IFERROR((FILTER(RawTotals!$AJ:$AJ,RawTotals!$A:$A=BE134)-(FILTER(Data!$K:$K,Data!$B:$B=BE134,Data!$D:$D=$L134)+FILTER(Data!$L:$L,Data!$B:$B=BE134,Data!$D:$D=$L134))),""""),"""")"),"")</f>
        <v/>
      </c>
      <c r="CP134" s="69" t="str">
        <f>IFERROR(__xludf.DUMMYFUNCTION("IF($L134&lt;&gt;"""",IFERROR((FILTER(RawTotals!$AJ:$AJ,RawTotals!$A:$A=BF134)-(FILTER(Data!$K:$K,Data!$B:$B=BF134,Data!$D:$D=$L134)+FILTER(Data!$L:$L,Data!$B:$B=BF134,Data!$D:$D=$L134))),""""),"""")"),"")</f>
        <v/>
      </c>
      <c r="CQ134" s="69" t="str">
        <f>IFERROR(__xludf.DUMMYFUNCTION("IF($M134&lt;&gt;"""",IFERROR((FILTER(RawTotals!$AJ:$AJ,RawTotals!$A:$A=BG134)-(FILTER(Data!$K:$K,Data!$B:$B=BG134,Data!$D:$D=$M134)+FILTER(Data!$L:$L,Data!$B:$B=BG134,Data!$D:$D=$M134))),""""),"""")"),"")</f>
        <v/>
      </c>
      <c r="CR134" s="69" t="str">
        <f>IFERROR(__xludf.DUMMYFUNCTION("IF($M134&lt;&gt;"""",IFERROR((FILTER(RawTotals!$AJ:$AJ,RawTotals!$A:$A=BH134)-(FILTER(Data!$K:$K,Data!$B:$B=BH134,Data!$D:$D=$M134)+FILTER(Data!$L:$L,Data!$B:$B=BH134,Data!$D:$D=$M134))),""""),"""")"),"")</f>
        <v/>
      </c>
      <c r="CS134" s="70" t="str">
        <f>IFERROR(__xludf.DUMMYFUNCTION("IF($M134&lt;&gt;"""",IFERROR((FILTER(RawTotals!$AJ:$AJ,RawTotals!$A:$A=BI134)-(FILTER(Data!$K:$K,Data!$B:$B=BI134,Data!$D:$D=$M134)+FILTER(Data!$L:$L,Data!$B:$B=BI134,Data!$D:$D=$M134))),""""),"""")"),"")</f>
        <v/>
      </c>
      <c r="CT134" s="69"/>
      <c r="CU134" s="69"/>
      <c r="CV134" s="69"/>
      <c r="CW134" s="69"/>
      <c r="CX134" s="69"/>
      <c r="CY134" s="69"/>
      <c r="CZ134" s="69"/>
      <c r="DA134" s="69"/>
      <c r="DB134" s="69"/>
      <c r="DC134" s="69"/>
      <c r="DD134" s="69"/>
      <c r="DE134" s="69"/>
    </row>
    <row r="135">
      <c r="A135" s="65" t="str">
        <f>RawTotals!A135</f>
        <v/>
      </c>
      <c r="B135" s="68" t="str">
        <f>IFERROR(__xludf.DUMMYFUNCTION("IF(A135&lt;&gt;"""",IFERROR(TRANSPOSE(FILTER(Data!D:D,Data!B:B=A135,Data!R:R&lt;&gt;"""")),""No Defense""),"""")"),"")</f>
        <v/>
      </c>
      <c r="C135" s="65"/>
      <c r="D135" s="65"/>
      <c r="E135" s="65"/>
      <c r="F135" s="65"/>
      <c r="G135" s="65"/>
      <c r="H135" s="65"/>
      <c r="I135" s="65"/>
      <c r="J135" s="65"/>
      <c r="K135" s="65"/>
      <c r="L135" s="65"/>
      <c r="M135" s="65"/>
      <c r="N135" s="64" t="str">
        <f>IFERROR(__xludf.DUMMYFUNCTION("IFERROR(Textjoin("""",TRUE,FILTER(Data!$R:$R,Data!$D:$D=B135,Data!$B:$B=$A135)),"""")"),"")</f>
        <v/>
      </c>
      <c r="O135" s="64" t="str">
        <f>IFERROR(__xludf.DUMMYFUNCTION("IFERROR(Textjoin("""",TRUE,FILTER(Data!$R:$R,Data!$D:$D=C135,Data!$B:$B=$A135)),"""")"),"")</f>
        <v/>
      </c>
      <c r="P135" s="64" t="str">
        <f>IFERROR(__xludf.DUMMYFUNCTION("IFERROR(Textjoin("""",TRUE,FILTER(Data!$R:$R,Data!$D:$D=D135,Data!$B:$B=$A135)),"""")"),"")</f>
        <v/>
      </c>
      <c r="Q135" s="64" t="str">
        <f>IFERROR(__xludf.DUMMYFUNCTION("IFERROR(Textjoin("""",TRUE,FILTER(Data!$R:$R,Data!$D:$D=E135,Data!$B:$B=$A135)),"""")"),"")</f>
        <v/>
      </c>
      <c r="R135" s="64" t="str">
        <f>IFERROR(__xludf.DUMMYFUNCTION("IFERROR(Textjoin("""",TRUE,FILTER(Data!$R:$R,Data!$D:$D=F135,Data!$B:$B=$A135)),"""")"),"")</f>
        <v/>
      </c>
      <c r="S135" s="64" t="str">
        <f>IFERROR(__xludf.DUMMYFUNCTION("IFERROR(Textjoin("""",TRUE,FILTER(Data!$R:$R,Data!$D:$D=G135,Data!$B:$B=$A135)),"""")"),"")</f>
        <v/>
      </c>
      <c r="T135" s="64" t="str">
        <f>IFERROR(__xludf.DUMMYFUNCTION("IFERROR(Textjoin("""",TRUE,FILTER(Data!$R:$R,Data!$D:$D=H135,Data!$B:$B=$A135)),"""")"),"")</f>
        <v/>
      </c>
      <c r="U135" s="64" t="str">
        <f>IFERROR(__xludf.DUMMYFUNCTION("IFERROR(Textjoin("""",TRUE,FILTER(Data!$R:$R,Data!$D:$D=I135,Data!$B:$B=$A135)),"""")"),"")</f>
        <v/>
      </c>
      <c r="V135" s="64" t="str">
        <f>IFERROR(__xludf.DUMMYFUNCTION("IFERROR(Textjoin("""",TRUE,FILTER(Data!$R:$R,Data!$D:$D=J135,Data!$B:$B=$A135)),"""")"),"")</f>
        <v/>
      </c>
      <c r="W135" s="64" t="str">
        <f>IFERROR(__xludf.DUMMYFUNCTION("IFERROR(Textjoin("""",TRUE,FILTER(Data!$R:$R,Data!$D:$D=K135,Data!$B:$B=$A135)),"""")"),"")</f>
        <v/>
      </c>
      <c r="X135" s="64" t="str">
        <f>IFERROR(__xludf.DUMMYFUNCTION("IFERROR(Textjoin("""",TRUE,FILTER(Data!$R:$R,Data!$D:$D=L135,Data!$B:$B=$A135)),"""")"),"")</f>
        <v/>
      </c>
      <c r="Y135" s="64" t="str">
        <f>IFERROR(__xludf.DUMMYFUNCTION("IFERROR(Textjoin("""",TRUE,FILTER(Data!$R:$R,Data!$D:$D=M135,Data!$B:$B=$A135)),"""")"),"")</f>
        <v/>
      </c>
      <c r="Z135" s="64" t="str">
        <f>IFERROR(__xludf.DUMMYFUNCTION("IFERROR(SPLIT(N135,"",""),"""")"),"")</f>
        <v/>
      </c>
      <c r="AA135" s="65"/>
      <c r="AB135" s="65"/>
      <c r="AC135" s="69" t="str">
        <f>IFERROR(__xludf.DUMMYFUNCTION("IFERROR(SPLIT(O135,"",""),"""")"),"")</f>
        <v/>
      </c>
      <c r="AD135" s="65"/>
      <c r="AE135" s="65"/>
      <c r="AF135" s="69" t="str">
        <f>IFERROR(__xludf.DUMMYFUNCTION("IFERROR(SPLIT(P135,"",""),"""")"),"")</f>
        <v/>
      </c>
      <c r="AG135" s="65"/>
      <c r="AH135" s="65"/>
      <c r="AI135" s="69" t="str">
        <f>IFERROR(__xludf.DUMMYFUNCTION("IFERROR(SPLIT(Q135,"",""),"""")"),"")</f>
        <v/>
      </c>
      <c r="AJ135" s="65"/>
      <c r="AK135" s="65"/>
      <c r="AL135" s="69" t="str">
        <f>IFERROR(__xludf.DUMMYFUNCTION("IFERROR(SPLIT(R135,"",""),"""")"),"")</f>
        <v/>
      </c>
      <c r="AM135" s="65"/>
      <c r="AN135" s="65"/>
      <c r="AO135" s="69" t="str">
        <f>IFERROR(__xludf.DUMMYFUNCTION("IFERROR(SPLIT(S135,"",""),"""")"),"")</f>
        <v/>
      </c>
      <c r="AP135" s="65"/>
      <c r="AQ135" s="65"/>
      <c r="AR135" s="69" t="str">
        <f>IFERROR(__xludf.DUMMYFUNCTION("IFERROR(SPLIT(T135,"",""),"""")"),"")</f>
        <v/>
      </c>
      <c r="AS135" s="65"/>
      <c r="AT135" s="65"/>
      <c r="AU135" s="69" t="str">
        <f>IFERROR(__xludf.DUMMYFUNCTION("IFERROR(SPLIT(U135,"",""),"""")"),"")</f>
        <v/>
      </c>
      <c r="AV135" s="65"/>
      <c r="AW135" s="65"/>
      <c r="AX135" s="69" t="str">
        <f>IFERROR(__xludf.DUMMYFUNCTION("IFERROR(SPLIT(V135,"",""),"""")"),"")</f>
        <v/>
      </c>
      <c r="AY135" s="65"/>
      <c r="AZ135" s="65"/>
      <c r="BA135" s="69" t="str">
        <f>IFERROR(__xludf.DUMMYFUNCTION("IFERROR(SPLIT(W135,"",""),"""")"),"")</f>
        <v/>
      </c>
      <c r="BB135" s="69"/>
      <c r="BC135" s="69"/>
      <c r="BD135" s="69" t="str">
        <f>IFERROR(__xludf.DUMMYFUNCTION("IFERROR(SPLIT(X135,"",""),"""")"),"")</f>
        <v/>
      </c>
      <c r="BE135" s="69"/>
      <c r="BF135" s="69"/>
      <c r="BG135" s="69" t="str">
        <f>IFERROR(__xludf.DUMMYFUNCTION("IFERROR(SPLIT(Y135,"",""),"""")"),"")</f>
        <v/>
      </c>
      <c r="BH135" s="69"/>
      <c r="BI135" s="69"/>
      <c r="BJ135" s="68" t="str">
        <f>IFERROR(__xludf.DUMMYFUNCTION("IF($B135&lt;&gt;"""",IFERROR(FILTER(RawTotals!$AJ:$AJ,RawTotals!$A:$A=Z135)-(FILTER(Data!$K:$K,Data!$B:$B=Z135,Data!$D:$D=$B135)+FILTER(Data!$L:$L,Data!$B:$B=Z135,Data!$D:$D=$B135)),""""),"""")"),"")</f>
        <v/>
      </c>
      <c r="BK135" s="68" t="str">
        <f>IFERROR(__xludf.DUMMYFUNCTION("IF($B135&lt;&gt;"""",IFERROR(FILTER(RawTotals!$AJ:$AJ,RawTotals!$A:$A=AA135)-(FILTER(Data!$K:$K,Data!$B:$B=AA135,Data!$D:$D=$B135)+FILTER(Data!$L:$L,Data!$B:$B=AA135,Data!$D:$D=$B135)),""""),"""")"),"")</f>
        <v/>
      </c>
      <c r="BL135" s="68" t="str">
        <f>IFERROR(__xludf.DUMMYFUNCTION("IF($B135&lt;&gt;"""",IFERROR(FILTER(RawTotals!$AJ:$AJ,RawTotals!$A:$A=AB135)-(FILTER(Data!$K:$K,Data!$B:$B=AB135,Data!$D:$D=$B135)+FILTER(Data!$L:$L,Data!$B:$B=AB135,Data!$D:$D=$B135)),""""),"""")"),"")</f>
        <v/>
      </c>
      <c r="BM135" s="69" t="str">
        <f>IFERROR(__xludf.DUMMYFUNCTION("IF($C135&lt;&gt;"""",IFERROR(FILTER(RawTotals!$AJ:$AJ,RawTotals!$A:$A=AC135)-(FILTER(Data!$K:$K,Data!$B:$B=AC135,Data!$D:$D=$C135)+FILTER(Data!$L:$L,Data!$B:$B=AC135,Data!$D:$D=$C135)),""""),"""")"),"")</f>
        <v/>
      </c>
      <c r="BN135" s="69" t="str">
        <f>IFERROR(__xludf.DUMMYFUNCTION("IF($C135&lt;&gt;"""",IFERROR(FILTER(RawTotals!$AJ:$AJ,RawTotals!$A:$A=AD135)-(FILTER(Data!$K:$K,Data!$B:$B=AD135,Data!$D:$D=$C135)+FILTER(Data!$L:$L,Data!$B:$B=AD135,Data!$D:$D=$C135)),""""),"""")"),"")</f>
        <v/>
      </c>
      <c r="BO135" s="69" t="str">
        <f>IFERROR(__xludf.DUMMYFUNCTION("IF($C135&lt;&gt;"""",IFERROR(FILTER(RawTotals!$AJ:$AJ,RawTotals!$A:$A=AE135)-(FILTER(Data!$K:$K,Data!$B:$B=AE135,Data!$D:$D=$C135)+FILTER(Data!$L:$L,Data!$B:$B=AE135,Data!$D:$D=$C135)),""""),"""")"),"")</f>
        <v/>
      </c>
      <c r="BP135" s="69" t="str">
        <f>IFERROR(__xludf.DUMMYFUNCTION("IF($D135&lt;&gt;"""",IFERROR(FILTER(RawTotals!$AJ:$AJ,RawTotals!$A:$A=AF135)-(FILTER(Data!$K:$K,Data!$B:$B=AF135,Data!$D:$D=$D135)+FILTER(Data!$L:$L,Data!$B:$B=AF135,Data!$D:$D=$D135)),""""),"""")"),"")</f>
        <v/>
      </c>
      <c r="BQ135" s="69" t="str">
        <f>IFERROR(__xludf.DUMMYFUNCTION("IF($D135&lt;&gt;"""",IFERROR(FILTER(RawTotals!$AJ:$AJ,RawTotals!$A:$A=AG135)-(FILTER(Data!$K:$K,Data!$B:$B=AG135,Data!$D:$D=$D135)+FILTER(Data!$L:$L,Data!$B:$B=AG135,Data!$D:$D=$D135)),""""),"""")"),"")</f>
        <v/>
      </c>
      <c r="BR135" s="69" t="str">
        <f>IFERROR(__xludf.DUMMYFUNCTION("IF($D135&lt;&gt;"""",IFERROR(FILTER(RawTotals!$AJ:$AJ,RawTotals!$A:$A=AH135)-(FILTER(Data!$K:$K,Data!$B:$B=AH135,Data!$D:$D=$D135)+FILTER(Data!$L:$L,Data!$B:$B=AH135,Data!$D:$D=$D135)),""""),"""")"),"")</f>
        <v/>
      </c>
      <c r="BS135" s="69" t="str">
        <f>IFERROR(__xludf.DUMMYFUNCTION("IF($E135&lt;&gt;"""",IFERROR(FILTER(RawTotals!$AJ:$AJ,RawTotals!$A:$A=AI135)-(FILTER(Data!$K:$K,Data!$B:$B=AI135,Data!$D:$D=$E135)+FILTER(Data!$L:$L,Data!$B:$B=AI135,Data!$D:$D=$E135)),""""),"""")"),"")</f>
        <v/>
      </c>
      <c r="BT135" s="69" t="str">
        <f>IFERROR(__xludf.DUMMYFUNCTION("IF($E135&lt;&gt;"""",IFERROR(FILTER(RawTotals!$AJ:$AJ,RawTotals!$A:$A=AJ135)-(FILTER(Data!$K:$K,Data!$B:$B=AJ135,Data!$D:$D=$E135)+FILTER(Data!$L:$L,Data!$B:$B=AJ135,Data!$D:$D=$E135)),""""),"""")"),"")</f>
        <v/>
      </c>
      <c r="BU135" s="69" t="str">
        <f>IFERROR(__xludf.DUMMYFUNCTION("IF($E135&lt;&gt;"""",IFERROR(FILTER(RawTotals!$AJ:$AJ,RawTotals!$A:$A=AK135)-(FILTER(Data!$K:$K,Data!$B:$B=AK135,Data!$D:$D=$E135)+FILTER(Data!$L:$L,Data!$B:$B=AK135,Data!$D:$D=$E135)),""""),"""")"),"")</f>
        <v/>
      </c>
      <c r="BV135" s="69" t="str">
        <f>IFERROR(__xludf.DUMMYFUNCTION("IF($F135&lt;&gt;"""",IFERROR(FILTER(RawTotals!$AJ:$AJ,RawTotals!$A:$A=AL135)-(FILTER(Data!$K:$K,Data!$B:$B=AL135,Data!$D:$D=$F135)+FILTER(Data!$L:$L,Data!$B:$B=AL135,Data!$D:$D=$F135)),""""),"""")"),"")</f>
        <v/>
      </c>
      <c r="BW135" s="69" t="str">
        <f>IFERROR(__xludf.DUMMYFUNCTION("IF($F135&lt;&gt;"""",IFERROR(FILTER(RawTotals!$AJ:$AJ,RawTotals!$A:$A=AM135)-(FILTER(Data!$K:$K,Data!$B:$B=AM135,Data!$D:$D=$F135)+FILTER(Data!$L:$L,Data!$B:$B=AM135,Data!$D:$D=$F135)),""""),"""")"),"")</f>
        <v/>
      </c>
      <c r="BX135" s="69" t="str">
        <f>IFERROR(__xludf.DUMMYFUNCTION("IF($F135&lt;&gt;"""",IFERROR(FILTER(RawTotals!$AJ:$AJ,RawTotals!$A:$A=AN135)-(FILTER(Data!$K:$K,Data!$B:$B=AN135,Data!$D:$D=$F135)+FILTER(Data!$L:$L,Data!$B:$B=AN135,Data!$D:$D=$F135)),""""),"""")"),"")</f>
        <v/>
      </c>
      <c r="BY135" s="69" t="str">
        <f>IFERROR(__xludf.DUMMYFUNCTION("IF($G135&lt;&gt;"""",IFERROR(FILTER(RawTotals!$AJ:$AJ,RawTotals!$A:$A=AO135)-(FILTER(Data!$K:$K,Data!$B:$B=AO135,Data!$D:$D=$G135)+FILTER(Data!$L:$L,Data!$B:$B=AO135,Data!$D:$D=$G135)),""""),"""")"),"")</f>
        <v/>
      </c>
      <c r="BZ135" s="69" t="str">
        <f>IFERROR(__xludf.DUMMYFUNCTION("IF($G135&lt;&gt;"""",IFERROR(FILTER(RawTotals!$AJ:$AJ,RawTotals!$A:$A=AP135)-(FILTER(Data!$K:$K,Data!$B:$B=AP135,Data!$D:$D=$G135)+FILTER(Data!$L:$L,Data!$B:$B=AP135,Data!$D:$D=$G135)),""""),"""")"),"")</f>
        <v/>
      </c>
      <c r="CA135" s="69" t="str">
        <f>IFERROR(__xludf.DUMMYFUNCTION("IF($G135&lt;&gt;"""",IFERROR(FILTER(RawTotals!$AJ:$AJ,RawTotals!$A:$A=AQ135)-(FILTER(Data!$K:$K,Data!$B:$B=AQ135,Data!$D:$D=$G135)+FILTER(Data!$L:$L,Data!$B:$B=AQ135,Data!$D:$D=$G135)),""""),"""")"),"")</f>
        <v/>
      </c>
      <c r="CB135" s="69" t="str">
        <f>IFERROR(__xludf.DUMMYFUNCTION("IF($H135&lt;&gt;"""",IFERROR(FILTER(RawTotals!$AJ:$AJ,RawTotals!$A:$A=AR135)-(FILTER(Data!$K:$K,Data!$B:$B=AR135,Data!$D:$D=$H135)+FILTER(Data!$L:$L,Data!$B:$B=AR135,Data!$D:$D=$H135)),""""),"""")"),"")</f>
        <v/>
      </c>
      <c r="CC135" s="69" t="str">
        <f>IFERROR(__xludf.DUMMYFUNCTION("IF($H135&lt;&gt;"""",IFERROR(FILTER(RawTotals!$AJ:$AJ,RawTotals!$A:$A=AS135)-(FILTER(Data!$K:$K,Data!$B:$B=AS135,Data!$D:$D=$H135)+FILTER(Data!$L:$L,Data!$B:$B=AS135,Data!$D:$D=$H135)),""""),"""")"),"")</f>
        <v/>
      </c>
      <c r="CD135" s="69" t="str">
        <f>IFERROR(__xludf.DUMMYFUNCTION("IF($H135&lt;&gt;"""",IFERROR(FILTER(RawTotals!$AJ:$AJ,RawTotals!$A:$A=AT135)-(FILTER(Data!$K:$K,Data!$B:$B=AT135,Data!$D:$D=$H135)+FILTER(Data!$L:$L,Data!$B:$B=AT135,Data!$D:$D=$H135)),""""),"""")"),"")</f>
        <v/>
      </c>
      <c r="CE135" s="69" t="str">
        <f>IFERROR(__xludf.DUMMYFUNCTION("IF($I135&lt;&gt;"""",IFERROR(FILTER(RawTotals!$AJ:$AJ,RawTotals!$A:$A=AU135)-(FILTER(Data!$K:$K,Data!$B:$B=AU135,Data!$D:$D=$I135)+FILTER(Data!$L:$L,Data!$B:$B=AU135,Data!$D:$D=$I135)),""""),"""")"),"")</f>
        <v/>
      </c>
      <c r="CF135" s="69" t="str">
        <f>IFERROR(__xludf.DUMMYFUNCTION("IF($I135&lt;&gt;"""",IFERROR(FILTER(RawTotals!$AJ:$AJ,RawTotals!$A:$A=AV135)-(FILTER(Data!$K:$K,Data!$B:$B=AV135,Data!$D:$D=$I135)+FILTER(Data!$L:$L,Data!$B:$B=AV135,Data!$D:$D=$I135)),""""),"""")"),"")</f>
        <v/>
      </c>
      <c r="CG135" s="69" t="str">
        <f>IFERROR(__xludf.DUMMYFUNCTION("IF($I135&lt;&gt;"""",IFERROR(FILTER(RawTotals!$AJ:$AJ,RawTotals!$A:$A=AW135)-(FILTER(Data!$K:$K,Data!$B:$B=AW135,Data!$D:$D=$I135)+FILTER(Data!$L:$L,Data!$B:$B=AW135,Data!$D:$D=$I135)),""""),"""")"),"")</f>
        <v/>
      </c>
      <c r="CH135" s="69" t="str">
        <f>IFERROR(__xludf.DUMMYFUNCTION("IF($J135&lt;&gt;"""",IFERROR(FILTER(RawTotals!$AJ:$AJ,RawTotals!$A:$A=AX135)-(FILTER(Data!$K:$K,Data!$B:$B=AX135,Data!$D:$D=$J135)+FILTER(Data!$L:$L,Data!$B:$B=AX135,Data!$D:$D=$J135)),""""),"""")"),"")</f>
        <v/>
      </c>
      <c r="CI135" s="69" t="str">
        <f>IFERROR(__xludf.DUMMYFUNCTION("IF($J135&lt;&gt;"""",IFERROR(FILTER(RawTotals!$AJ:$AJ,RawTotals!$A:$A=AY135)-(FILTER(Data!$K:$K,Data!$B:$B=AY135,Data!$D:$D=$J135)+FILTER(Data!$L:$L,Data!$B:$B=AY135,Data!$D:$D=$J135)),""""),"""")"),"")</f>
        <v/>
      </c>
      <c r="CJ135" s="69" t="str">
        <f>IFERROR(__xludf.DUMMYFUNCTION("IF($J135&lt;&gt;"""",IFERROR(FILTER(RawTotals!$AJ:$AJ,RawTotals!$A:$A=AZ135)-(FILTER(Data!$K:$K,Data!$B:$B=AZ135,Data!$D:$D=$J135)+FILTER(Data!$L:$L,Data!$B:$B=AZ135,Data!$D:$D=$J135)),""""),"""")"),"")</f>
        <v/>
      </c>
      <c r="CK135" s="69" t="str">
        <f>IFERROR(__xludf.DUMMYFUNCTION("IF($K135&lt;&gt;"""",IFERROR(FILTER(RawTotals!$AJ:$AJ,RawTotals!$A:$A=BA135)-(FILTER(Data!$K:$K,Data!$B:$B=BA135,Data!$D:$D=$K135)+FILTER(Data!$L:$L,Data!$B:$B=BA135,Data!$D:$D=$K135)),""""),"""")"),"")</f>
        <v/>
      </c>
      <c r="CL135" s="69" t="str">
        <f>IFERROR(__xludf.DUMMYFUNCTION("IF($K135&lt;&gt;"""",IFERROR(FILTER(RawTotals!$AJ:$AJ,RawTotals!$A:$A=BB135)-(FILTER(Data!$K:$K,Data!$B:$B=BB135,Data!$D:$D=$K135)+FILTER(Data!$L:$L,Data!$B:$B=BB135,Data!$D:$D=$K135)),""""),"""")"),"")</f>
        <v/>
      </c>
      <c r="CM135" s="69" t="str">
        <f>IFERROR(__xludf.DUMMYFUNCTION("IF($K135&lt;&gt;"""",IFERROR(FILTER(RawTotals!$AJ:$AJ,RawTotals!$A:$A=BC135)-(FILTER(Data!$K:$K,Data!$B:$B=BC135,Data!$D:$D=$K135)+FILTER(Data!$L:$L,Data!$B:$B=BC135,Data!$D:$D=$K135)),""""),"""")"),"")</f>
        <v/>
      </c>
      <c r="CN135" s="69" t="str">
        <f>IFERROR(__xludf.DUMMYFUNCTION("IF($L135&lt;&gt;"""",IFERROR((FILTER(RawTotals!$AJ:$AJ,RawTotals!$A:$A=BD135)-(FILTER(Data!$K:$K,Data!$B:$B=BD135,Data!$D:$D=$L135)+FILTER(Data!$L:$L,Data!$B:$B=BD135,Data!$D:$D=$L135))),""""),"""")"),"")</f>
        <v/>
      </c>
      <c r="CO135" s="69" t="str">
        <f>IFERROR(__xludf.DUMMYFUNCTION("IF($L135&lt;&gt;"""",IFERROR((FILTER(RawTotals!$AJ:$AJ,RawTotals!$A:$A=BE135)-(FILTER(Data!$K:$K,Data!$B:$B=BE135,Data!$D:$D=$L135)+FILTER(Data!$L:$L,Data!$B:$B=BE135,Data!$D:$D=$L135))),""""),"""")"),"")</f>
        <v/>
      </c>
      <c r="CP135" s="69" t="str">
        <f>IFERROR(__xludf.DUMMYFUNCTION("IF($L135&lt;&gt;"""",IFERROR((FILTER(RawTotals!$AJ:$AJ,RawTotals!$A:$A=BF135)-(FILTER(Data!$K:$K,Data!$B:$B=BF135,Data!$D:$D=$L135)+FILTER(Data!$L:$L,Data!$B:$B=BF135,Data!$D:$D=$L135))),""""),"""")"),"")</f>
        <v/>
      </c>
      <c r="CQ135" s="69" t="str">
        <f>IFERROR(__xludf.DUMMYFUNCTION("IF($M135&lt;&gt;"""",IFERROR((FILTER(RawTotals!$AJ:$AJ,RawTotals!$A:$A=BG135)-(FILTER(Data!$K:$K,Data!$B:$B=BG135,Data!$D:$D=$M135)+FILTER(Data!$L:$L,Data!$B:$B=BG135,Data!$D:$D=$M135))),""""),"""")"),"")</f>
        <v/>
      </c>
      <c r="CR135" s="69" t="str">
        <f>IFERROR(__xludf.DUMMYFUNCTION("IF($M135&lt;&gt;"""",IFERROR((FILTER(RawTotals!$AJ:$AJ,RawTotals!$A:$A=BH135)-(FILTER(Data!$K:$K,Data!$B:$B=BH135,Data!$D:$D=$M135)+FILTER(Data!$L:$L,Data!$B:$B=BH135,Data!$D:$D=$M135))),""""),"""")"),"")</f>
        <v/>
      </c>
      <c r="CS135" s="70" t="str">
        <f>IFERROR(__xludf.DUMMYFUNCTION("IF($M135&lt;&gt;"""",IFERROR((FILTER(RawTotals!$AJ:$AJ,RawTotals!$A:$A=BI135)-(FILTER(Data!$K:$K,Data!$B:$B=BI135,Data!$D:$D=$M135)+FILTER(Data!$L:$L,Data!$B:$B=BI135,Data!$D:$D=$M135))),""""),"""")"),"")</f>
        <v/>
      </c>
      <c r="CT135" s="69"/>
      <c r="CU135" s="69"/>
      <c r="CV135" s="69"/>
      <c r="CW135" s="69"/>
      <c r="CX135" s="69"/>
      <c r="CY135" s="69"/>
      <c r="CZ135" s="69"/>
      <c r="DA135" s="69"/>
      <c r="DB135" s="69"/>
      <c r="DC135" s="69"/>
      <c r="DD135" s="69"/>
      <c r="DE135" s="69"/>
    </row>
    <row r="136">
      <c r="A136" s="65" t="str">
        <f>RawTotals!A136</f>
        <v/>
      </c>
      <c r="B136" s="68" t="str">
        <f>IFERROR(__xludf.DUMMYFUNCTION("IF(A136&lt;&gt;"""",IFERROR(TRANSPOSE(FILTER(Data!D:D,Data!B:B=A136,Data!R:R&lt;&gt;"""")),""No Defense""),"""")"),"")</f>
        <v/>
      </c>
      <c r="C136" s="65"/>
      <c r="D136" s="65"/>
      <c r="E136" s="65"/>
      <c r="F136" s="65"/>
      <c r="G136" s="65"/>
      <c r="H136" s="65"/>
      <c r="I136" s="65"/>
      <c r="J136" s="65"/>
      <c r="K136" s="65"/>
      <c r="L136" s="65"/>
      <c r="M136" s="65"/>
      <c r="N136" s="64" t="str">
        <f>IFERROR(__xludf.DUMMYFUNCTION("IFERROR(Textjoin("""",TRUE,FILTER(Data!$R:$R,Data!$D:$D=B136,Data!$B:$B=$A136)),"""")"),"")</f>
        <v/>
      </c>
      <c r="O136" s="64" t="str">
        <f>IFERROR(__xludf.DUMMYFUNCTION("IFERROR(Textjoin("""",TRUE,FILTER(Data!$R:$R,Data!$D:$D=C136,Data!$B:$B=$A136)),"""")"),"")</f>
        <v/>
      </c>
      <c r="P136" s="64" t="str">
        <f>IFERROR(__xludf.DUMMYFUNCTION("IFERROR(Textjoin("""",TRUE,FILTER(Data!$R:$R,Data!$D:$D=D136,Data!$B:$B=$A136)),"""")"),"")</f>
        <v/>
      </c>
      <c r="Q136" s="64" t="str">
        <f>IFERROR(__xludf.DUMMYFUNCTION("IFERROR(Textjoin("""",TRUE,FILTER(Data!$R:$R,Data!$D:$D=E136,Data!$B:$B=$A136)),"""")"),"")</f>
        <v/>
      </c>
      <c r="R136" s="64" t="str">
        <f>IFERROR(__xludf.DUMMYFUNCTION("IFERROR(Textjoin("""",TRUE,FILTER(Data!$R:$R,Data!$D:$D=F136,Data!$B:$B=$A136)),"""")"),"")</f>
        <v/>
      </c>
      <c r="S136" s="64" t="str">
        <f>IFERROR(__xludf.DUMMYFUNCTION("IFERROR(Textjoin("""",TRUE,FILTER(Data!$R:$R,Data!$D:$D=G136,Data!$B:$B=$A136)),"""")"),"")</f>
        <v/>
      </c>
      <c r="T136" s="64" t="str">
        <f>IFERROR(__xludf.DUMMYFUNCTION("IFERROR(Textjoin("""",TRUE,FILTER(Data!$R:$R,Data!$D:$D=H136,Data!$B:$B=$A136)),"""")"),"")</f>
        <v/>
      </c>
      <c r="U136" s="64" t="str">
        <f>IFERROR(__xludf.DUMMYFUNCTION("IFERROR(Textjoin("""",TRUE,FILTER(Data!$R:$R,Data!$D:$D=I136,Data!$B:$B=$A136)),"""")"),"")</f>
        <v/>
      </c>
      <c r="V136" s="64" t="str">
        <f>IFERROR(__xludf.DUMMYFUNCTION("IFERROR(Textjoin("""",TRUE,FILTER(Data!$R:$R,Data!$D:$D=J136,Data!$B:$B=$A136)),"""")"),"")</f>
        <v/>
      </c>
      <c r="W136" s="64" t="str">
        <f>IFERROR(__xludf.DUMMYFUNCTION("IFERROR(Textjoin("""",TRUE,FILTER(Data!$R:$R,Data!$D:$D=K136,Data!$B:$B=$A136)),"""")"),"")</f>
        <v/>
      </c>
      <c r="X136" s="64" t="str">
        <f>IFERROR(__xludf.DUMMYFUNCTION("IFERROR(Textjoin("""",TRUE,FILTER(Data!$R:$R,Data!$D:$D=L136,Data!$B:$B=$A136)),"""")"),"")</f>
        <v/>
      </c>
      <c r="Y136" s="64" t="str">
        <f>IFERROR(__xludf.DUMMYFUNCTION("IFERROR(Textjoin("""",TRUE,FILTER(Data!$R:$R,Data!$D:$D=M136,Data!$B:$B=$A136)),"""")"),"")</f>
        <v/>
      </c>
      <c r="Z136" s="64" t="str">
        <f>IFERROR(__xludf.DUMMYFUNCTION("IFERROR(SPLIT(N136,"",""),"""")"),"")</f>
        <v/>
      </c>
      <c r="AA136" s="65"/>
      <c r="AB136" s="65"/>
      <c r="AC136" s="69" t="str">
        <f>IFERROR(__xludf.DUMMYFUNCTION("IFERROR(SPLIT(O136,"",""),"""")"),"")</f>
        <v/>
      </c>
      <c r="AD136" s="65"/>
      <c r="AE136" s="65"/>
      <c r="AF136" s="69" t="str">
        <f>IFERROR(__xludf.DUMMYFUNCTION("IFERROR(SPLIT(P136,"",""),"""")"),"")</f>
        <v/>
      </c>
      <c r="AG136" s="65"/>
      <c r="AH136" s="65"/>
      <c r="AI136" s="69" t="str">
        <f>IFERROR(__xludf.DUMMYFUNCTION("IFERROR(SPLIT(Q136,"",""),"""")"),"")</f>
        <v/>
      </c>
      <c r="AJ136" s="65"/>
      <c r="AK136" s="65"/>
      <c r="AL136" s="69" t="str">
        <f>IFERROR(__xludf.DUMMYFUNCTION("IFERROR(SPLIT(R136,"",""),"""")"),"")</f>
        <v/>
      </c>
      <c r="AM136" s="65"/>
      <c r="AN136" s="65"/>
      <c r="AO136" s="69" t="str">
        <f>IFERROR(__xludf.DUMMYFUNCTION("IFERROR(SPLIT(S136,"",""),"""")"),"")</f>
        <v/>
      </c>
      <c r="AP136" s="65"/>
      <c r="AQ136" s="65"/>
      <c r="AR136" s="69" t="str">
        <f>IFERROR(__xludf.DUMMYFUNCTION("IFERROR(SPLIT(T136,"",""),"""")"),"")</f>
        <v/>
      </c>
      <c r="AS136" s="65"/>
      <c r="AT136" s="65"/>
      <c r="AU136" s="69" t="str">
        <f>IFERROR(__xludf.DUMMYFUNCTION("IFERROR(SPLIT(U136,"",""),"""")"),"")</f>
        <v/>
      </c>
      <c r="AV136" s="65"/>
      <c r="AW136" s="65"/>
      <c r="AX136" s="69" t="str">
        <f>IFERROR(__xludf.DUMMYFUNCTION("IFERROR(SPLIT(V136,"",""),"""")"),"")</f>
        <v/>
      </c>
      <c r="AY136" s="65"/>
      <c r="AZ136" s="65"/>
      <c r="BA136" s="69" t="str">
        <f>IFERROR(__xludf.DUMMYFUNCTION("IFERROR(SPLIT(W136,"",""),"""")"),"")</f>
        <v/>
      </c>
      <c r="BB136" s="69"/>
      <c r="BC136" s="69"/>
      <c r="BD136" s="69" t="str">
        <f>IFERROR(__xludf.DUMMYFUNCTION("IFERROR(SPLIT(X136,"",""),"""")"),"")</f>
        <v/>
      </c>
      <c r="BE136" s="69"/>
      <c r="BF136" s="69"/>
      <c r="BG136" s="69" t="str">
        <f>IFERROR(__xludf.DUMMYFUNCTION("IFERROR(SPLIT(Y136,"",""),"""")"),"")</f>
        <v/>
      </c>
      <c r="BH136" s="69"/>
      <c r="BI136" s="69"/>
      <c r="BJ136" s="68" t="str">
        <f>IFERROR(__xludf.DUMMYFUNCTION("IF($B136&lt;&gt;"""",IFERROR(FILTER(RawTotals!$AJ:$AJ,RawTotals!$A:$A=Z136)-(FILTER(Data!$K:$K,Data!$B:$B=Z136,Data!$D:$D=$B136)+FILTER(Data!$L:$L,Data!$B:$B=Z136,Data!$D:$D=$B136)),""""),"""")"),"")</f>
        <v/>
      </c>
      <c r="BK136" s="68" t="str">
        <f>IFERROR(__xludf.DUMMYFUNCTION("IF($B136&lt;&gt;"""",IFERROR(FILTER(RawTotals!$AJ:$AJ,RawTotals!$A:$A=AA136)-(FILTER(Data!$K:$K,Data!$B:$B=AA136,Data!$D:$D=$B136)+FILTER(Data!$L:$L,Data!$B:$B=AA136,Data!$D:$D=$B136)),""""),"""")"),"")</f>
        <v/>
      </c>
      <c r="BL136" s="68" t="str">
        <f>IFERROR(__xludf.DUMMYFUNCTION("IF($B136&lt;&gt;"""",IFERROR(FILTER(RawTotals!$AJ:$AJ,RawTotals!$A:$A=AB136)-(FILTER(Data!$K:$K,Data!$B:$B=AB136,Data!$D:$D=$B136)+FILTER(Data!$L:$L,Data!$B:$B=AB136,Data!$D:$D=$B136)),""""),"""")"),"")</f>
        <v/>
      </c>
      <c r="BM136" s="69" t="str">
        <f>IFERROR(__xludf.DUMMYFUNCTION("IF($C136&lt;&gt;"""",IFERROR(FILTER(RawTotals!$AJ:$AJ,RawTotals!$A:$A=AC136)-(FILTER(Data!$K:$K,Data!$B:$B=AC136,Data!$D:$D=$C136)+FILTER(Data!$L:$L,Data!$B:$B=AC136,Data!$D:$D=$C136)),""""),"""")"),"")</f>
        <v/>
      </c>
      <c r="BN136" s="69" t="str">
        <f>IFERROR(__xludf.DUMMYFUNCTION("IF($C136&lt;&gt;"""",IFERROR(FILTER(RawTotals!$AJ:$AJ,RawTotals!$A:$A=AD136)-(FILTER(Data!$K:$K,Data!$B:$B=AD136,Data!$D:$D=$C136)+FILTER(Data!$L:$L,Data!$B:$B=AD136,Data!$D:$D=$C136)),""""),"""")"),"")</f>
        <v/>
      </c>
      <c r="BO136" s="69" t="str">
        <f>IFERROR(__xludf.DUMMYFUNCTION("IF($C136&lt;&gt;"""",IFERROR(FILTER(RawTotals!$AJ:$AJ,RawTotals!$A:$A=AE136)-(FILTER(Data!$K:$K,Data!$B:$B=AE136,Data!$D:$D=$C136)+FILTER(Data!$L:$L,Data!$B:$B=AE136,Data!$D:$D=$C136)),""""),"""")"),"")</f>
        <v/>
      </c>
      <c r="BP136" s="69" t="str">
        <f>IFERROR(__xludf.DUMMYFUNCTION("IF($D136&lt;&gt;"""",IFERROR(FILTER(RawTotals!$AJ:$AJ,RawTotals!$A:$A=AF136)-(FILTER(Data!$K:$K,Data!$B:$B=AF136,Data!$D:$D=$D136)+FILTER(Data!$L:$L,Data!$B:$B=AF136,Data!$D:$D=$D136)),""""),"""")"),"")</f>
        <v/>
      </c>
      <c r="BQ136" s="69" t="str">
        <f>IFERROR(__xludf.DUMMYFUNCTION("IF($D136&lt;&gt;"""",IFERROR(FILTER(RawTotals!$AJ:$AJ,RawTotals!$A:$A=AG136)-(FILTER(Data!$K:$K,Data!$B:$B=AG136,Data!$D:$D=$D136)+FILTER(Data!$L:$L,Data!$B:$B=AG136,Data!$D:$D=$D136)),""""),"""")"),"")</f>
        <v/>
      </c>
      <c r="BR136" s="69" t="str">
        <f>IFERROR(__xludf.DUMMYFUNCTION("IF($D136&lt;&gt;"""",IFERROR(FILTER(RawTotals!$AJ:$AJ,RawTotals!$A:$A=AH136)-(FILTER(Data!$K:$K,Data!$B:$B=AH136,Data!$D:$D=$D136)+FILTER(Data!$L:$L,Data!$B:$B=AH136,Data!$D:$D=$D136)),""""),"""")"),"")</f>
        <v/>
      </c>
      <c r="BS136" s="69" t="str">
        <f>IFERROR(__xludf.DUMMYFUNCTION("IF($E136&lt;&gt;"""",IFERROR(FILTER(RawTotals!$AJ:$AJ,RawTotals!$A:$A=AI136)-(FILTER(Data!$K:$K,Data!$B:$B=AI136,Data!$D:$D=$E136)+FILTER(Data!$L:$L,Data!$B:$B=AI136,Data!$D:$D=$E136)),""""),"""")"),"")</f>
        <v/>
      </c>
      <c r="BT136" s="69" t="str">
        <f>IFERROR(__xludf.DUMMYFUNCTION("IF($E136&lt;&gt;"""",IFERROR(FILTER(RawTotals!$AJ:$AJ,RawTotals!$A:$A=AJ136)-(FILTER(Data!$K:$K,Data!$B:$B=AJ136,Data!$D:$D=$E136)+FILTER(Data!$L:$L,Data!$B:$B=AJ136,Data!$D:$D=$E136)),""""),"""")"),"")</f>
        <v/>
      </c>
      <c r="BU136" s="69" t="str">
        <f>IFERROR(__xludf.DUMMYFUNCTION("IF($E136&lt;&gt;"""",IFERROR(FILTER(RawTotals!$AJ:$AJ,RawTotals!$A:$A=AK136)-(FILTER(Data!$K:$K,Data!$B:$B=AK136,Data!$D:$D=$E136)+FILTER(Data!$L:$L,Data!$B:$B=AK136,Data!$D:$D=$E136)),""""),"""")"),"")</f>
        <v/>
      </c>
      <c r="BV136" s="69" t="str">
        <f>IFERROR(__xludf.DUMMYFUNCTION("IF($F136&lt;&gt;"""",IFERROR(FILTER(RawTotals!$AJ:$AJ,RawTotals!$A:$A=AL136)-(FILTER(Data!$K:$K,Data!$B:$B=AL136,Data!$D:$D=$F136)+FILTER(Data!$L:$L,Data!$B:$B=AL136,Data!$D:$D=$F136)),""""),"""")"),"")</f>
        <v/>
      </c>
      <c r="BW136" s="69" t="str">
        <f>IFERROR(__xludf.DUMMYFUNCTION("IF($F136&lt;&gt;"""",IFERROR(FILTER(RawTotals!$AJ:$AJ,RawTotals!$A:$A=AM136)-(FILTER(Data!$K:$K,Data!$B:$B=AM136,Data!$D:$D=$F136)+FILTER(Data!$L:$L,Data!$B:$B=AM136,Data!$D:$D=$F136)),""""),"""")"),"")</f>
        <v/>
      </c>
      <c r="BX136" s="69" t="str">
        <f>IFERROR(__xludf.DUMMYFUNCTION("IF($F136&lt;&gt;"""",IFERROR(FILTER(RawTotals!$AJ:$AJ,RawTotals!$A:$A=AN136)-(FILTER(Data!$K:$K,Data!$B:$B=AN136,Data!$D:$D=$F136)+FILTER(Data!$L:$L,Data!$B:$B=AN136,Data!$D:$D=$F136)),""""),"""")"),"")</f>
        <v/>
      </c>
      <c r="BY136" s="69" t="str">
        <f>IFERROR(__xludf.DUMMYFUNCTION("IF($G136&lt;&gt;"""",IFERROR(FILTER(RawTotals!$AJ:$AJ,RawTotals!$A:$A=AO136)-(FILTER(Data!$K:$K,Data!$B:$B=AO136,Data!$D:$D=$G136)+FILTER(Data!$L:$L,Data!$B:$B=AO136,Data!$D:$D=$G136)),""""),"""")"),"")</f>
        <v/>
      </c>
      <c r="BZ136" s="69" t="str">
        <f>IFERROR(__xludf.DUMMYFUNCTION("IF($G136&lt;&gt;"""",IFERROR(FILTER(RawTotals!$AJ:$AJ,RawTotals!$A:$A=AP136)-(FILTER(Data!$K:$K,Data!$B:$B=AP136,Data!$D:$D=$G136)+FILTER(Data!$L:$L,Data!$B:$B=AP136,Data!$D:$D=$G136)),""""),"""")"),"")</f>
        <v/>
      </c>
      <c r="CA136" s="69" t="str">
        <f>IFERROR(__xludf.DUMMYFUNCTION("IF($G136&lt;&gt;"""",IFERROR(FILTER(RawTotals!$AJ:$AJ,RawTotals!$A:$A=AQ136)-(FILTER(Data!$K:$K,Data!$B:$B=AQ136,Data!$D:$D=$G136)+FILTER(Data!$L:$L,Data!$B:$B=AQ136,Data!$D:$D=$G136)),""""),"""")"),"")</f>
        <v/>
      </c>
      <c r="CB136" s="69" t="str">
        <f>IFERROR(__xludf.DUMMYFUNCTION("IF($H136&lt;&gt;"""",IFERROR(FILTER(RawTotals!$AJ:$AJ,RawTotals!$A:$A=AR136)-(FILTER(Data!$K:$K,Data!$B:$B=AR136,Data!$D:$D=$H136)+FILTER(Data!$L:$L,Data!$B:$B=AR136,Data!$D:$D=$H136)),""""),"""")"),"")</f>
        <v/>
      </c>
      <c r="CC136" s="69" t="str">
        <f>IFERROR(__xludf.DUMMYFUNCTION("IF($H136&lt;&gt;"""",IFERROR(FILTER(RawTotals!$AJ:$AJ,RawTotals!$A:$A=AS136)-(FILTER(Data!$K:$K,Data!$B:$B=AS136,Data!$D:$D=$H136)+FILTER(Data!$L:$L,Data!$B:$B=AS136,Data!$D:$D=$H136)),""""),"""")"),"")</f>
        <v/>
      </c>
      <c r="CD136" s="69" t="str">
        <f>IFERROR(__xludf.DUMMYFUNCTION("IF($H136&lt;&gt;"""",IFERROR(FILTER(RawTotals!$AJ:$AJ,RawTotals!$A:$A=AT136)-(FILTER(Data!$K:$K,Data!$B:$B=AT136,Data!$D:$D=$H136)+FILTER(Data!$L:$L,Data!$B:$B=AT136,Data!$D:$D=$H136)),""""),"""")"),"")</f>
        <v/>
      </c>
      <c r="CE136" s="69" t="str">
        <f>IFERROR(__xludf.DUMMYFUNCTION("IF($I136&lt;&gt;"""",IFERROR(FILTER(RawTotals!$AJ:$AJ,RawTotals!$A:$A=AU136)-(FILTER(Data!$K:$K,Data!$B:$B=AU136,Data!$D:$D=$I136)+FILTER(Data!$L:$L,Data!$B:$B=AU136,Data!$D:$D=$I136)),""""),"""")"),"")</f>
        <v/>
      </c>
      <c r="CF136" s="69" t="str">
        <f>IFERROR(__xludf.DUMMYFUNCTION("IF($I136&lt;&gt;"""",IFERROR(FILTER(RawTotals!$AJ:$AJ,RawTotals!$A:$A=AV136)-(FILTER(Data!$K:$K,Data!$B:$B=AV136,Data!$D:$D=$I136)+FILTER(Data!$L:$L,Data!$B:$B=AV136,Data!$D:$D=$I136)),""""),"""")"),"")</f>
        <v/>
      </c>
      <c r="CG136" s="69" t="str">
        <f>IFERROR(__xludf.DUMMYFUNCTION("IF($I136&lt;&gt;"""",IFERROR(FILTER(RawTotals!$AJ:$AJ,RawTotals!$A:$A=AW136)-(FILTER(Data!$K:$K,Data!$B:$B=AW136,Data!$D:$D=$I136)+FILTER(Data!$L:$L,Data!$B:$B=AW136,Data!$D:$D=$I136)),""""),"""")"),"")</f>
        <v/>
      </c>
      <c r="CH136" s="69" t="str">
        <f>IFERROR(__xludf.DUMMYFUNCTION("IF($J136&lt;&gt;"""",IFERROR(FILTER(RawTotals!$AJ:$AJ,RawTotals!$A:$A=AX136)-(FILTER(Data!$K:$K,Data!$B:$B=AX136,Data!$D:$D=$J136)+FILTER(Data!$L:$L,Data!$B:$B=AX136,Data!$D:$D=$J136)),""""),"""")"),"")</f>
        <v/>
      </c>
      <c r="CI136" s="69" t="str">
        <f>IFERROR(__xludf.DUMMYFUNCTION("IF($J136&lt;&gt;"""",IFERROR(FILTER(RawTotals!$AJ:$AJ,RawTotals!$A:$A=AY136)-(FILTER(Data!$K:$K,Data!$B:$B=AY136,Data!$D:$D=$J136)+FILTER(Data!$L:$L,Data!$B:$B=AY136,Data!$D:$D=$J136)),""""),"""")"),"")</f>
        <v/>
      </c>
      <c r="CJ136" s="69" t="str">
        <f>IFERROR(__xludf.DUMMYFUNCTION("IF($J136&lt;&gt;"""",IFERROR(FILTER(RawTotals!$AJ:$AJ,RawTotals!$A:$A=AZ136)-(FILTER(Data!$K:$K,Data!$B:$B=AZ136,Data!$D:$D=$J136)+FILTER(Data!$L:$L,Data!$B:$B=AZ136,Data!$D:$D=$J136)),""""),"""")"),"")</f>
        <v/>
      </c>
      <c r="CK136" s="69" t="str">
        <f>IFERROR(__xludf.DUMMYFUNCTION("IF($K136&lt;&gt;"""",IFERROR(FILTER(RawTotals!$AJ:$AJ,RawTotals!$A:$A=BA136)-(FILTER(Data!$K:$K,Data!$B:$B=BA136,Data!$D:$D=$K136)+FILTER(Data!$L:$L,Data!$B:$B=BA136,Data!$D:$D=$K136)),""""),"""")"),"")</f>
        <v/>
      </c>
      <c r="CL136" s="69" t="str">
        <f>IFERROR(__xludf.DUMMYFUNCTION("IF($K136&lt;&gt;"""",IFERROR(FILTER(RawTotals!$AJ:$AJ,RawTotals!$A:$A=BB136)-(FILTER(Data!$K:$K,Data!$B:$B=BB136,Data!$D:$D=$K136)+FILTER(Data!$L:$L,Data!$B:$B=BB136,Data!$D:$D=$K136)),""""),"""")"),"")</f>
        <v/>
      </c>
      <c r="CM136" s="69" t="str">
        <f>IFERROR(__xludf.DUMMYFUNCTION("IF($K136&lt;&gt;"""",IFERROR(FILTER(RawTotals!$AJ:$AJ,RawTotals!$A:$A=BC136)-(FILTER(Data!$K:$K,Data!$B:$B=BC136,Data!$D:$D=$K136)+FILTER(Data!$L:$L,Data!$B:$B=BC136,Data!$D:$D=$K136)),""""),"""")"),"")</f>
        <v/>
      </c>
      <c r="CN136" s="69" t="str">
        <f>IFERROR(__xludf.DUMMYFUNCTION("IF($L136&lt;&gt;"""",IFERROR((FILTER(RawTotals!$AJ:$AJ,RawTotals!$A:$A=BD136)-(FILTER(Data!$K:$K,Data!$B:$B=BD136,Data!$D:$D=$L136)+FILTER(Data!$L:$L,Data!$B:$B=BD136,Data!$D:$D=$L136))),""""),"""")"),"")</f>
        <v/>
      </c>
      <c r="CO136" s="69" t="str">
        <f>IFERROR(__xludf.DUMMYFUNCTION("IF($L136&lt;&gt;"""",IFERROR((FILTER(RawTotals!$AJ:$AJ,RawTotals!$A:$A=BE136)-(FILTER(Data!$K:$K,Data!$B:$B=BE136,Data!$D:$D=$L136)+FILTER(Data!$L:$L,Data!$B:$B=BE136,Data!$D:$D=$L136))),""""),"""")"),"")</f>
        <v/>
      </c>
      <c r="CP136" s="69" t="str">
        <f>IFERROR(__xludf.DUMMYFUNCTION("IF($L136&lt;&gt;"""",IFERROR((FILTER(RawTotals!$AJ:$AJ,RawTotals!$A:$A=BF136)-(FILTER(Data!$K:$K,Data!$B:$B=BF136,Data!$D:$D=$L136)+FILTER(Data!$L:$L,Data!$B:$B=BF136,Data!$D:$D=$L136))),""""),"""")"),"")</f>
        <v/>
      </c>
      <c r="CQ136" s="69" t="str">
        <f>IFERROR(__xludf.DUMMYFUNCTION("IF($M136&lt;&gt;"""",IFERROR((FILTER(RawTotals!$AJ:$AJ,RawTotals!$A:$A=BG136)-(FILTER(Data!$K:$K,Data!$B:$B=BG136,Data!$D:$D=$M136)+FILTER(Data!$L:$L,Data!$B:$B=BG136,Data!$D:$D=$M136))),""""),"""")"),"")</f>
        <v/>
      </c>
      <c r="CR136" s="69" t="str">
        <f>IFERROR(__xludf.DUMMYFUNCTION("IF($M136&lt;&gt;"""",IFERROR((FILTER(RawTotals!$AJ:$AJ,RawTotals!$A:$A=BH136)-(FILTER(Data!$K:$K,Data!$B:$B=BH136,Data!$D:$D=$M136)+FILTER(Data!$L:$L,Data!$B:$B=BH136,Data!$D:$D=$M136))),""""),"""")"),"")</f>
        <v/>
      </c>
      <c r="CS136" s="70" t="str">
        <f>IFERROR(__xludf.DUMMYFUNCTION("IF($M136&lt;&gt;"""",IFERROR((FILTER(RawTotals!$AJ:$AJ,RawTotals!$A:$A=BI136)-(FILTER(Data!$K:$K,Data!$B:$B=BI136,Data!$D:$D=$M136)+FILTER(Data!$L:$L,Data!$B:$B=BI136,Data!$D:$D=$M136))),""""),"""")"),"")</f>
        <v/>
      </c>
      <c r="CT136" s="69"/>
      <c r="CU136" s="69"/>
      <c r="CV136" s="69"/>
      <c r="CW136" s="69"/>
      <c r="CX136" s="69"/>
      <c r="CY136" s="69"/>
      <c r="CZ136" s="69"/>
      <c r="DA136" s="69"/>
      <c r="DB136" s="69"/>
      <c r="DC136" s="69"/>
      <c r="DD136" s="69"/>
      <c r="DE136" s="69"/>
    </row>
    <row r="137">
      <c r="A137" s="65" t="str">
        <f>RawTotals!A137</f>
        <v/>
      </c>
      <c r="B137" s="68" t="str">
        <f>IFERROR(__xludf.DUMMYFUNCTION("IF(A137&lt;&gt;"""",IFERROR(TRANSPOSE(FILTER(Data!D:D,Data!B:B=A137,Data!R:R&lt;&gt;"""")),""No Defense""),"""")"),"")</f>
        <v/>
      </c>
      <c r="C137" s="65"/>
      <c r="D137" s="65"/>
      <c r="E137" s="65"/>
      <c r="F137" s="65"/>
      <c r="G137" s="65"/>
      <c r="H137" s="65"/>
      <c r="I137" s="65"/>
      <c r="J137" s="65"/>
      <c r="K137" s="65"/>
      <c r="L137" s="65"/>
      <c r="M137" s="65"/>
      <c r="N137" s="64" t="str">
        <f>IFERROR(__xludf.DUMMYFUNCTION("IFERROR(Textjoin("""",TRUE,FILTER(Data!$R:$R,Data!$D:$D=B137,Data!$B:$B=$A137)),"""")"),"")</f>
        <v/>
      </c>
      <c r="O137" s="64" t="str">
        <f>IFERROR(__xludf.DUMMYFUNCTION("IFERROR(Textjoin("""",TRUE,FILTER(Data!$R:$R,Data!$D:$D=C137,Data!$B:$B=$A137)),"""")"),"")</f>
        <v/>
      </c>
      <c r="P137" s="64" t="str">
        <f>IFERROR(__xludf.DUMMYFUNCTION("IFERROR(Textjoin("""",TRUE,FILTER(Data!$R:$R,Data!$D:$D=D137,Data!$B:$B=$A137)),"""")"),"")</f>
        <v/>
      </c>
      <c r="Q137" s="64" t="str">
        <f>IFERROR(__xludf.DUMMYFUNCTION("IFERROR(Textjoin("""",TRUE,FILTER(Data!$R:$R,Data!$D:$D=E137,Data!$B:$B=$A137)),"""")"),"")</f>
        <v/>
      </c>
      <c r="R137" s="64" t="str">
        <f>IFERROR(__xludf.DUMMYFUNCTION("IFERROR(Textjoin("""",TRUE,FILTER(Data!$R:$R,Data!$D:$D=F137,Data!$B:$B=$A137)),"""")"),"")</f>
        <v/>
      </c>
      <c r="S137" s="64" t="str">
        <f>IFERROR(__xludf.DUMMYFUNCTION("IFERROR(Textjoin("""",TRUE,FILTER(Data!$R:$R,Data!$D:$D=G137,Data!$B:$B=$A137)),"""")"),"")</f>
        <v/>
      </c>
      <c r="T137" s="64" t="str">
        <f>IFERROR(__xludf.DUMMYFUNCTION("IFERROR(Textjoin("""",TRUE,FILTER(Data!$R:$R,Data!$D:$D=H137,Data!$B:$B=$A137)),"""")"),"")</f>
        <v/>
      </c>
      <c r="U137" s="64" t="str">
        <f>IFERROR(__xludf.DUMMYFUNCTION("IFERROR(Textjoin("""",TRUE,FILTER(Data!$R:$R,Data!$D:$D=I137,Data!$B:$B=$A137)),"""")"),"")</f>
        <v/>
      </c>
      <c r="V137" s="64" t="str">
        <f>IFERROR(__xludf.DUMMYFUNCTION("IFERROR(Textjoin("""",TRUE,FILTER(Data!$R:$R,Data!$D:$D=J137,Data!$B:$B=$A137)),"""")"),"")</f>
        <v/>
      </c>
      <c r="W137" s="64" t="str">
        <f>IFERROR(__xludf.DUMMYFUNCTION("IFERROR(Textjoin("""",TRUE,FILTER(Data!$R:$R,Data!$D:$D=K137,Data!$B:$B=$A137)),"""")"),"")</f>
        <v/>
      </c>
      <c r="X137" s="64" t="str">
        <f>IFERROR(__xludf.DUMMYFUNCTION("IFERROR(Textjoin("""",TRUE,FILTER(Data!$R:$R,Data!$D:$D=L137,Data!$B:$B=$A137)),"""")"),"")</f>
        <v/>
      </c>
      <c r="Y137" s="64" t="str">
        <f>IFERROR(__xludf.DUMMYFUNCTION("IFERROR(Textjoin("""",TRUE,FILTER(Data!$R:$R,Data!$D:$D=M137,Data!$B:$B=$A137)),"""")"),"")</f>
        <v/>
      </c>
      <c r="Z137" s="64" t="str">
        <f>IFERROR(__xludf.DUMMYFUNCTION("IFERROR(SPLIT(N137,"",""),"""")"),"")</f>
        <v/>
      </c>
      <c r="AA137" s="65"/>
      <c r="AB137" s="65"/>
      <c r="AC137" s="69" t="str">
        <f>IFERROR(__xludf.DUMMYFUNCTION("IFERROR(SPLIT(O137,"",""),"""")"),"")</f>
        <v/>
      </c>
      <c r="AD137" s="65"/>
      <c r="AE137" s="65"/>
      <c r="AF137" s="69" t="str">
        <f>IFERROR(__xludf.DUMMYFUNCTION("IFERROR(SPLIT(P137,"",""),"""")"),"")</f>
        <v/>
      </c>
      <c r="AG137" s="65"/>
      <c r="AH137" s="65"/>
      <c r="AI137" s="69" t="str">
        <f>IFERROR(__xludf.DUMMYFUNCTION("IFERROR(SPLIT(Q137,"",""),"""")"),"")</f>
        <v/>
      </c>
      <c r="AJ137" s="65"/>
      <c r="AK137" s="65"/>
      <c r="AL137" s="69" t="str">
        <f>IFERROR(__xludf.DUMMYFUNCTION("IFERROR(SPLIT(R137,"",""),"""")"),"")</f>
        <v/>
      </c>
      <c r="AM137" s="65"/>
      <c r="AN137" s="65"/>
      <c r="AO137" s="69" t="str">
        <f>IFERROR(__xludf.DUMMYFUNCTION("IFERROR(SPLIT(S137,"",""),"""")"),"")</f>
        <v/>
      </c>
      <c r="AP137" s="65"/>
      <c r="AQ137" s="65"/>
      <c r="AR137" s="69" t="str">
        <f>IFERROR(__xludf.DUMMYFUNCTION("IFERROR(SPLIT(T137,"",""),"""")"),"")</f>
        <v/>
      </c>
      <c r="AS137" s="65"/>
      <c r="AT137" s="65"/>
      <c r="AU137" s="69" t="str">
        <f>IFERROR(__xludf.DUMMYFUNCTION("IFERROR(SPLIT(U137,"",""),"""")"),"")</f>
        <v/>
      </c>
      <c r="AV137" s="65"/>
      <c r="AW137" s="65"/>
      <c r="AX137" s="69" t="str">
        <f>IFERROR(__xludf.DUMMYFUNCTION("IFERROR(SPLIT(V137,"",""),"""")"),"")</f>
        <v/>
      </c>
      <c r="AY137" s="65"/>
      <c r="AZ137" s="65"/>
      <c r="BA137" s="69" t="str">
        <f>IFERROR(__xludf.DUMMYFUNCTION("IFERROR(SPLIT(W137,"",""),"""")"),"")</f>
        <v/>
      </c>
      <c r="BB137" s="69"/>
      <c r="BC137" s="69"/>
      <c r="BD137" s="69" t="str">
        <f>IFERROR(__xludf.DUMMYFUNCTION("IFERROR(SPLIT(X137,"",""),"""")"),"")</f>
        <v/>
      </c>
      <c r="BE137" s="69"/>
      <c r="BF137" s="69"/>
      <c r="BG137" s="69" t="str">
        <f>IFERROR(__xludf.DUMMYFUNCTION("IFERROR(SPLIT(Y137,"",""),"""")"),"")</f>
        <v/>
      </c>
      <c r="BH137" s="69"/>
      <c r="BI137" s="69"/>
      <c r="BJ137" s="68" t="str">
        <f>IFERROR(__xludf.DUMMYFUNCTION("IF($B137&lt;&gt;"""",IFERROR(FILTER(RawTotals!$AJ:$AJ,RawTotals!$A:$A=Z137)-(FILTER(Data!$K:$K,Data!$B:$B=Z137,Data!$D:$D=$B137)+FILTER(Data!$L:$L,Data!$B:$B=Z137,Data!$D:$D=$B137)),""""),"""")"),"")</f>
        <v/>
      </c>
      <c r="BK137" s="68" t="str">
        <f>IFERROR(__xludf.DUMMYFUNCTION("IF($B137&lt;&gt;"""",IFERROR(FILTER(RawTotals!$AJ:$AJ,RawTotals!$A:$A=AA137)-(FILTER(Data!$K:$K,Data!$B:$B=AA137,Data!$D:$D=$B137)+FILTER(Data!$L:$L,Data!$B:$B=AA137,Data!$D:$D=$B137)),""""),"""")"),"")</f>
        <v/>
      </c>
      <c r="BL137" s="68" t="str">
        <f>IFERROR(__xludf.DUMMYFUNCTION("IF($B137&lt;&gt;"""",IFERROR(FILTER(RawTotals!$AJ:$AJ,RawTotals!$A:$A=AB137)-(FILTER(Data!$K:$K,Data!$B:$B=AB137,Data!$D:$D=$B137)+FILTER(Data!$L:$L,Data!$B:$B=AB137,Data!$D:$D=$B137)),""""),"""")"),"")</f>
        <v/>
      </c>
      <c r="BM137" s="69" t="str">
        <f>IFERROR(__xludf.DUMMYFUNCTION("IF($C137&lt;&gt;"""",IFERROR(FILTER(RawTotals!$AJ:$AJ,RawTotals!$A:$A=AC137)-(FILTER(Data!$K:$K,Data!$B:$B=AC137,Data!$D:$D=$C137)+FILTER(Data!$L:$L,Data!$B:$B=AC137,Data!$D:$D=$C137)),""""),"""")"),"")</f>
        <v/>
      </c>
      <c r="BN137" s="69" t="str">
        <f>IFERROR(__xludf.DUMMYFUNCTION("IF($C137&lt;&gt;"""",IFERROR(FILTER(RawTotals!$AJ:$AJ,RawTotals!$A:$A=AD137)-(FILTER(Data!$K:$K,Data!$B:$B=AD137,Data!$D:$D=$C137)+FILTER(Data!$L:$L,Data!$B:$B=AD137,Data!$D:$D=$C137)),""""),"""")"),"")</f>
        <v/>
      </c>
      <c r="BO137" s="69" t="str">
        <f>IFERROR(__xludf.DUMMYFUNCTION("IF($C137&lt;&gt;"""",IFERROR(FILTER(RawTotals!$AJ:$AJ,RawTotals!$A:$A=AE137)-(FILTER(Data!$K:$K,Data!$B:$B=AE137,Data!$D:$D=$C137)+FILTER(Data!$L:$L,Data!$B:$B=AE137,Data!$D:$D=$C137)),""""),"""")"),"")</f>
        <v/>
      </c>
      <c r="BP137" s="69" t="str">
        <f>IFERROR(__xludf.DUMMYFUNCTION("IF($D137&lt;&gt;"""",IFERROR(FILTER(RawTotals!$AJ:$AJ,RawTotals!$A:$A=AF137)-(FILTER(Data!$K:$K,Data!$B:$B=AF137,Data!$D:$D=$D137)+FILTER(Data!$L:$L,Data!$B:$B=AF137,Data!$D:$D=$D137)),""""),"""")"),"")</f>
        <v/>
      </c>
      <c r="BQ137" s="69" t="str">
        <f>IFERROR(__xludf.DUMMYFUNCTION("IF($D137&lt;&gt;"""",IFERROR(FILTER(RawTotals!$AJ:$AJ,RawTotals!$A:$A=AG137)-(FILTER(Data!$K:$K,Data!$B:$B=AG137,Data!$D:$D=$D137)+FILTER(Data!$L:$L,Data!$B:$B=AG137,Data!$D:$D=$D137)),""""),"""")"),"")</f>
        <v/>
      </c>
      <c r="BR137" s="69" t="str">
        <f>IFERROR(__xludf.DUMMYFUNCTION("IF($D137&lt;&gt;"""",IFERROR(FILTER(RawTotals!$AJ:$AJ,RawTotals!$A:$A=AH137)-(FILTER(Data!$K:$K,Data!$B:$B=AH137,Data!$D:$D=$D137)+FILTER(Data!$L:$L,Data!$B:$B=AH137,Data!$D:$D=$D137)),""""),"""")"),"")</f>
        <v/>
      </c>
      <c r="BS137" s="69" t="str">
        <f>IFERROR(__xludf.DUMMYFUNCTION("IF($E137&lt;&gt;"""",IFERROR(FILTER(RawTotals!$AJ:$AJ,RawTotals!$A:$A=AI137)-(FILTER(Data!$K:$K,Data!$B:$B=AI137,Data!$D:$D=$E137)+FILTER(Data!$L:$L,Data!$B:$B=AI137,Data!$D:$D=$E137)),""""),"""")"),"")</f>
        <v/>
      </c>
      <c r="BT137" s="69" t="str">
        <f>IFERROR(__xludf.DUMMYFUNCTION("IF($E137&lt;&gt;"""",IFERROR(FILTER(RawTotals!$AJ:$AJ,RawTotals!$A:$A=AJ137)-(FILTER(Data!$K:$K,Data!$B:$B=AJ137,Data!$D:$D=$E137)+FILTER(Data!$L:$L,Data!$B:$B=AJ137,Data!$D:$D=$E137)),""""),"""")"),"")</f>
        <v/>
      </c>
      <c r="BU137" s="69" t="str">
        <f>IFERROR(__xludf.DUMMYFUNCTION("IF($E137&lt;&gt;"""",IFERROR(FILTER(RawTotals!$AJ:$AJ,RawTotals!$A:$A=AK137)-(FILTER(Data!$K:$K,Data!$B:$B=AK137,Data!$D:$D=$E137)+FILTER(Data!$L:$L,Data!$B:$B=AK137,Data!$D:$D=$E137)),""""),"""")"),"")</f>
        <v/>
      </c>
      <c r="BV137" s="69" t="str">
        <f>IFERROR(__xludf.DUMMYFUNCTION("IF($F137&lt;&gt;"""",IFERROR(FILTER(RawTotals!$AJ:$AJ,RawTotals!$A:$A=AL137)-(FILTER(Data!$K:$K,Data!$B:$B=AL137,Data!$D:$D=$F137)+FILTER(Data!$L:$L,Data!$B:$B=AL137,Data!$D:$D=$F137)),""""),"""")"),"")</f>
        <v/>
      </c>
      <c r="BW137" s="69" t="str">
        <f>IFERROR(__xludf.DUMMYFUNCTION("IF($F137&lt;&gt;"""",IFERROR(FILTER(RawTotals!$AJ:$AJ,RawTotals!$A:$A=AM137)-(FILTER(Data!$K:$K,Data!$B:$B=AM137,Data!$D:$D=$F137)+FILTER(Data!$L:$L,Data!$B:$B=AM137,Data!$D:$D=$F137)),""""),"""")"),"")</f>
        <v/>
      </c>
      <c r="BX137" s="69" t="str">
        <f>IFERROR(__xludf.DUMMYFUNCTION("IF($F137&lt;&gt;"""",IFERROR(FILTER(RawTotals!$AJ:$AJ,RawTotals!$A:$A=AN137)-(FILTER(Data!$K:$K,Data!$B:$B=AN137,Data!$D:$D=$F137)+FILTER(Data!$L:$L,Data!$B:$B=AN137,Data!$D:$D=$F137)),""""),"""")"),"")</f>
        <v/>
      </c>
      <c r="BY137" s="69" t="str">
        <f>IFERROR(__xludf.DUMMYFUNCTION("IF($G137&lt;&gt;"""",IFERROR(FILTER(RawTotals!$AJ:$AJ,RawTotals!$A:$A=AO137)-(FILTER(Data!$K:$K,Data!$B:$B=AO137,Data!$D:$D=$G137)+FILTER(Data!$L:$L,Data!$B:$B=AO137,Data!$D:$D=$G137)),""""),"""")"),"")</f>
        <v/>
      </c>
      <c r="BZ137" s="69" t="str">
        <f>IFERROR(__xludf.DUMMYFUNCTION("IF($G137&lt;&gt;"""",IFERROR(FILTER(RawTotals!$AJ:$AJ,RawTotals!$A:$A=AP137)-(FILTER(Data!$K:$K,Data!$B:$B=AP137,Data!$D:$D=$G137)+FILTER(Data!$L:$L,Data!$B:$B=AP137,Data!$D:$D=$G137)),""""),"""")"),"")</f>
        <v/>
      </c>
      <c r="CA137" s="69" t="str">
        <f>IFERROR(__xludf.DUMMYFUNCTION("IF($G137&lt;&gt;"""",IFERROR(FILTER(RawTotals!$AJ:$AJ,RawTotals!$A:$A=AQ137)-(FILTER(Data!$K:$K,Data!$B:$B=AQ137,Data!$D:$D=$G137)+FILTER(Data!$L:$L,Data!$B:$B=AQ137,Data!$D:$D=$G137)),""""),"""")"),"")</f>
        <v/>
      </c>
      <c r="CB137" s="69" t="str">
        <f>IFERROR(__xludf.DUMMYFUNCTION("IF($H137&lt;&gt;"""",IFERROR(FILTER(RawTotals!$AJ:$AJ,RawTotals!$A:$A=AR137)-(FILTER(Data!$K:$K,Data!$B:$B=AR137,Data!$D:$D=$H137)+FILTER(Data!$L:$L,Data!$B:$B=AR137,Data!$D:$D=$H137)),""""),"""")"),"")</f>
        <v/>
      </c>
      <c r="CC137" s="69" t="str">
        <f>IFERROR(__xludf.DUMMYFUNCTION("IF($H137&lt;&gt;"""",IFERROR(FILTER(RawTotals!$AJ:$AJ,RawTotals!$A:$A=AS137)-(FILTER(Data!$K:$K,Data!$B:$B=AS137,Data!$D:$D=$H137)+FILTER(Data!$L:$L,Data!$B:$B=AS137,Data!$D:$D=$H137)),""""),"""")"),"")</f>
        <v/>
      </c>
      <c r="CD137" s="69" t="str">
        <f>IFERROR(__xludf.DUMMYFUNCTION("IF($H137&lt;&gt;"""",IFERROR(FILTER(RawTotals!$AJ:$AJ,RawTotals!$A:$A=AT137)-(FILTER(Data!$K:$K,Data!$B:$B=AT137,Data!$D:$D=$H137)+FILTER(Data!$L:$L,Data!$B:$B=AT137,Data!$D:$D=$H137)),""""),"""")"),"")</f>
        <v/>
      </c>
      <c r="CE137" s="69" t="str">
        <f>IFERROR(__xludf.DUMMYFUNCTION("IF($I137&lt;&gt;"""",IFERROR(FILTER(RawTotals!$AJ:$AJ,RawTotals!$A:$A=AU137)-(FILTER(Data!$K:$K,Data!$B:$B=AU137,Data!$D:$D=$I137)+FILTER(Data!$L:$L,Data!$B:$B=AU137,Data!$D:$D=$I137)),""""),"""")"),"")</f>
        <v/>
      </c>
      <c r="CF137" s="69" t="str">
        <f>IFERROR(__xludf.DUMMYFUNCTION("IF($I137&lt;&gt;"""",IFERROR(FILTER(RawTotals!$AJ:$AJ,RawTotals!$A:$A=AV137)-(FILTER(Data!$K:$K,Data!$B:$B=AV137,Data!$D:$D=$I137)+FILTER(Data!$L:$L,Data!$B:$B=AV137,Data!$D:$D=$I137)),""""),"""")"),"")</f>
        <v/>
      </c>
      <c r="CG137" s="69" t="str">
        <f>IFERROR(__xludf.DUMMYFUNCTION("IF($I137&lt;&gt;"""",IFERROR(FILTER(RawTotals!$AJ:$AJ,RawTotals!$A:$A=AW137)-(FILTER(Data!$K:$K,Data!$B:$B=AW137,Data!$D:$D=$I137)+FILTER(Data!$L:$L,Data!$B:$B=AW137,Data!$D:$D=$I137)),""""),"""")"),"")</f>
        <v/>
      </c>
      <c r="CH137" s="69" t="str">
        <f>IFERROR(__xludf.DUMMYFUNCTION("IF($J137&lt;&gt;"""",IFERROR(FILTER(RawTotals!$AJ:$AJ,RawTotals!$A:$A=AX137)-(FILTER(Data!$K:$K,Data!$B:$B=AX137,Data!$D:$D=$J137)+FILTER(Data!$L:$L,Data!$B:$B=AX137,Data!$D:$D=$J137)),""""),"""")"),"")</f>
        <v/>
      </c>
      <c r="CI137" s="69" t="str">
        <f>IFERROR(__xludf.DUMMYFUNCTION("IF($J137&lt;&gt;"""",IFERROR(FILTER(RawTotals!$AJ:$AJ,RawTotals!$A:$A=AY137)-(FILTER(Data!$K:$K,Data!$B:$B=AY137,Data!$D:$D=$J137)+FILTER(Data!$L:$L,Data!$B:$B=AY137,Data!$D:$D=$J137)),""""),"""")"),"")</f>
        <v/>
      </c>
      <c r="CJ137" s="69" t="str">
        <f>IFERROR(__xludf.DUMMYFUNCTION("IF($J137&lt;&gt;"""",IFERROR(FILTER(RawTotals!$AJ:$AJ,RawTotals!$A:$A=AZ137)-(FILTER(Data!$K:$K,Data!$B:$B=AZ137,Data!$D:$D=$J137)+FILTER(Data!$L:$L,Data!$B:$B=AZ137,Data!$D:$D=$J137)),""""),"""")"),"")</f>
        <v/>
      </c>
      <c r="CK137" s="69" t="str">
        <f>IFERROR(__xludf.DUMMYFUNCTION("IF($K137&lt;&gt;"""",IFERROR(FILTER(RawTotals!$AJ:$AJ,RawTotals!$A:$A=BA137)-(FILTER(Data!$K:$K,Data!$B:$B=BA137,Data!$D:$D=$K137)+FILTER(Data!$L:$L,Data!$B:$B=BA137,Data!$D:$D=$K137)),""""),"""")"),"")</f>
        <v/>
      </c>
      <c r="CL137" s="69" t="str">
        <f>IFERROR(__xludf.DUMMYFUNCTION("IF($K137&lt;&gt;"""",IFERROR(FILTER(RawTotals!$AJ:$AJ,RawTotals!$A:$A=BB137)-(FILTER(Data!$K:$K,Data!$B:$B=BB137,Data!$D:$D=$K137)+FILTER(Data!$L:$L,Data!$B:$B=BB137,Data!$D:$D=$K137)),""""),"""")"),"")</f>
        <v/>
      </c>
      <c r="CM137" s="69" t="str">
        <f>IFERROR(__xludf.DUMMYFUNCTION("IF($K137&lt;&gt;"""",IFERROR(FILTER(RawTotals!$AJ:$AJ,RawTotals!$A:$A=BC137)-(FILTER(Data!$K:$K,Data!$B:$B=BC137,Data!$D:$D=$K137)+FILTER(Data!$L:$L,Data!$B:$B=BC137,Data!$D:$D=$K137)),""""),"""")"),"")</f>
        <v/>
      </c>
      <c r="CN137" s="69" t="str">
        <f>IFERROR(__xludf.DUMMYFUNCTION("IF($L137&lt;&gt;"""",IFERROR((FILTER(RawTotals!$AJ:$AJ,RawTotals!$A:$A=BD137)-(FILTER(Data!$K:$K,Data!$B:$B=BD137,Data!$D:$D=$L137)+FILTER(Data!$L:$L,Data!$B:$B=BD137,Data!$D:$D=$L137))),""""),"""")"),"")</f>
        <v/>
      </c>
      <c r="CO137" s="69" t="str">
        <f>IFERROR(__xludf.DUMMYFUNCTION("IF($L137&lt;&gt;"""",IFERROR((FILTER(RawTotals!$AJ:$AJ,RawTotals!$A:$A=BE137)-(FILTER(Data!$K:$K,Data!$B:$B=BE137,Data!$D:$D=$L137)+FILTER(Data!$L:$L,Data!$B:$B=BE137,Data!$D:$D=$L137))),""""),"""")"),"")</f>
        <v/>
      </c>
      <c r="CP137" s="69" t="str">
        <f>IFERROR(__xludf.DUMMYFUNCTION("IF($L137&lt;&gt;"""",IFERROR((FILTER(RawTotals!$AJ:$AJ,RawTotals!$A:$A=BF137)-(FILTER(Data!$K:$K,Data!$B:$B=BF137,Data!$D:$D=$L137)+FILTER(Data!$L:$L,Data!$B:$B=BF137,Data!$D:$D=$L137))),""""),"""")"),"")</f>
        <v/>
      </c>
      <c r="CQ137" s="69" t="str">
        <f>IFERROR(__xludf.DUMMYFUNCTION("IF($M137&lt;&gt;"""",IFERROR((FILTER(RawTotals!$AJ:$AJ,RawTotals!$A:$A=BG137)-(FILTER(Data!$K:$K,Data!$B:$B=BG137,Data!$D:$D=$M137)+FILTER(Data!$L:$L,Data!$B:$B=BG137,Data!$D:$D=$M137))),""""),"""")"),"")</f>
        <v/>
      </c>
      <c r="CR137" s="69" t="str">
        <f>IFERROR(__xludf.DUMMYFUNCTION("IF($M137&lt;&gt;"""",IFERROR((FILTER(RawTotals!$AJ:$AJ,RawTotals!$A:$A=BH137)-(FILTER(Data!$K:$K,Data!$B:$B=BH137,Data!$D:$D=$M137)+FILTER(Data!$L:$L,Data!$B:$B=BH137,Data!$D:$D=$M137))),""""),"""")"),"")</f>
        <v/>
      </c>
      <c r="CS137" s="70" t="str">
        <f>IFERROR(__xludf.DUMMYFUNCTION("IF($M137&lt;&gt;"""",IFERROR((FILTER(RawTotals!$AJ:$AJ,RawTotals!$A:$A=BI137)-(FILTER(Data!$K:$K,Data!$B:$B=BI137,Data!$D:$D=$M137)+FILTER(Data!$L:$L,Data!$B:$B=BI137,Data!$D:$D=$M137))),""""),"""")"),"")</f>
        <v/>
      </c>
      <c r="CT137" s="69"/>
      <c r="CU137" s="69"/>
      <c r="CV137" s="69"/>
      <c r="CW137" s="69"/>
      <c r="CX137" s="69"/>
      <c r="CY137" s="69"/>
      <c r="CZ137" s="69"/>
      <c r="DA137" s="69"/>
      <c r="DB137" s="69"/>
      <c r="DC137" s="69"/>
      <c r="DD137" s="69"/>
      <c r="DE137" s="69"/>
    </row>
    <row r="138">
      <c r="A138" s="65" t="str">
        <f>RawTotals!A138</f>
        <v/>
      </c>
      <c r="B138" s="68" t="str">
        <f>IFERROR(__xludf.DUMMYFUNCTION("IF(A138&lt;&gt;"""",IFERROR(TRANSPOSE(FILTER(Data!D:D,Data!B:B=A138,Data!R:R&lt;&gt;"""")),""No Defense""),"""")"),"")</f>
        <v/>
      </c>
      <c r="C138" s="65"/>
      <c r="D138" s="65"/>
      <c r="E138" s="65"/>
      <c r="F138" s="65"/>
      <c r="G138" s="65"/>
      <c r="H138" s="65"/>
      <c r="I138" s="65"/>
      <c r="J138" s="65"/>
      <c r="K138" s="65"/>
      <c r="L138" s="65"/>
      <c r="M138" s="65"/>
      <c r="N138" s="64" t="str">
        <f>IFERROR(__xludf.DUMMYFUNCTION("IFERROR(Textjoin("""",TRUE,FILTER(Data!$R:$R,Data!$D:$D=B138,Data!$B:$B=$A138)),"""")"),"")</f>
        <v/>
      </c>
      <c r="O138" s="64" t="str">
        <f>IFERROR(__xludf.DUMMYFUNCTION("IFERROR(Textjoin("""",TRUE,FILTER(Data!$R:$R,Data!$D:$D=C138,Data!$B:$B=$A138)),"""")"),"")</f>
        <v/>
      </c>
      <c r="P138" s="64" t="str">
        <f>IFERROR(__xludf.DUMMYFUNCTION("IFERROR(Textjoin("""",TRUE,FILTER(Data!$R:$R,Data!$D:$D=D138,Data!$B:$B=$A138)),"""")"),"")</f>
        <v/>
      </c>
      <c r="Q138" s="64" t="str">
        <f>IFERROR(__xludf.DUMMYFUNCTION("IFERROR(Textjoin("""",TRUE,FILTER(Data!$R:$R,Data!$D:$D=E138,Data!$B:$B=$A138)),"""")"),"")</f>
        <v/>
      </c>
      <c r="R138" s="64" t="str">
        <f>IFERROR(__xludf.DUMMYFUNCTION("IFERROR(Textjoin("""",TRUE,FILTER(Data!$R:$R,Data!$D:$D=F138,Data!$B:$B=$A138)),"""")"),"")</f>
        <v/>
      </c>
      <c r="S138" s="64" t="str">
        <f>IFERROR(__xludf.DUMMYFUNCTION("IFERROR(Textjoin("""",TRUE,FILTER(Data!$R:$R,Data!$D:$D=G138,Data!$B:$B=$A138)),"""")"),"")</f>
        <v/>
      </c>
      <c r="T138" s="64" t="str">
        <f>IFERROR(__xludf.DUMMYFUNCTION("IFERROR(Textjoin("""",TRUE,FILTER(Data!$R:$R,Data!$D:$D=H138,Data!$B:$B=$A138)),"""")"),"")</f>
        <v/>
      </c>
      <c r="U138" s="64" t="str">
        <f>IFERROR(__xludf.DUMMYFUNCTION("IFERROR(Textjoin("""",TRUE,FILTER(Data!$R:$R,Data!$D:$D=I138,Data!$B:$B=$A138)),"""")"),"")</f>
        <v/>
      </c>
      <c r="V138" s="64" t="str">
        <f>IFERROR(__xludf.DUMMYFUNCTION("IFERROR(Textjoin("""",TRUE,FILTER(Data!$R:$R,Data!$D:$D=J138,Data!$B:$B=$A138)),"""")"),"")</f>
        <v/>
      </c>
      <c r="W138" s="64" t="str">
        <f>IFERROR(__xludf.DUMMYFUNCTION("IFERROR(Textjoin("""",TRUE,FILTER(Data!$R:$R,Data!$D:$D=K138,Data!$B:$B=$A138)),"""")"),"")</f>
        <v/>
      </c>
      <c r="X138" s="64" t="str">
        <f>IFERROR(__xludf.DUMMYFUNCTION("IFERROR(Textjoin("""",TRUE,FILTER(Data!$R:$R,Data!$D:$D=L138,Data!$B:$B=$A138)),"""")"),"")</f>
        <v/>
      </c>
      <c r="Y138" s="64" t="str">
        <f>IFERROR(__xludf.DUMMYFUNCTION("IFERROR(Textjoin("""",TRUE,FILTER(Data!$R:$R,Data!$D:$D=M138,Data!$B:$B=$A138)),"""")"),"")</f>
        <v/>
      </c>
      <c r="Z138" s="64" t="str">
        <f>IFERROR(__xludf.DUMMYFUNCTION("IFERROR(SPLIT(N138,"",""),"""")"),"")</f>
        <v/>
      </c>
      <c r="AA138" s="65"/>
      <c r="AB138" s="65"/>
      <c r="AC138" s="69" t="str">
        <f>IFERROR(__xludf.DUMMYFUNCTION("IFERROR(SPLIT(O138,"",""),"""")"),"")</f>
        <v/>
      </c>
      <c r="AD138" s="65"/>
      <c r="AE138" s="65"/>
      <c r="AF138" s="69" t="str">
        <f>IFERROR(__xludf.DUMMYFUNCTION("IFERROR(SPLIT(P138,"",""),"""")"),"")</f>
        <v/>
      </c>
      <c r="AG138" s="65"/>
      <c r="AH138" s="65"/>
      <c r="AI138" s="69" t="str">
        <f>IFERROR(__xludf.DUMMYFUNCTION("IFERROR(SPLIT(Q138,"",""),"""")"),"")</f>
        <v/>
      </c>
      <c r="AJ138" s="65"/>
      <c r="AK138" s="65"/>
      <c r="AL138" s="69" t="str">
        <f>IFERROR(__xludf.DUMMYFUNCTION("IFERROR(SPLIT(R138,"",""),"""")"),"")</f>
        <v/>
      </c>
      <c r="AM138" s="65"/>
      <c r="AN138" s="65"/>
      <c r="AO138" s="69" t="str">
        <f>IFERROR(__xludf.DUMMYFUNCTION("IFERROR(SPLIT(S138,"",""),"""")"),"")</f>
        <v/>
      </c>
      <c r="AP138" s="65"/>
      <c r="AQ138" s="65"/>
      <c r="AR138" s="69" t="str">
        <f>IFERROR(__xludf.DUMMYFUNCTION("IFERROR(SPLIT(T138,"",""),"""")"),"")</f>
        <v/>
      </c>
      <c r="AS138" s="65"/>
      <c r="AT138" s="65"/>
      <c r="AU138" s="69" t="str">
        <f>IFERROR(__xludf.DUMMYFUNCTION("IFERROR(SPLIT(U138,"",""),"""")"),"")</f>
        <v/>
      </c>
      <c r="AV138" s="65"/>
      <c r="AW138" s="65"/>
      <c r="AX138" s="69" t="str">
        <f>IFERROR(__xludf.DUMMYFUNCTION("IFERROR(SPLIT(V138,"",""),"""")"),"")</f>
        <v/>
      </c>
      <c r="AY138" s="65"/>
      <c r="AZ138" s="65"/>
      <c r="BA138" s="69" t="str">
        <f>IFERROR(__xludf.DUMMYFUNCTION("IFERROR(SPLIT(W138,"",""),"""")"),"")</f>
        <v/>
      </c>
      <c r="BB138" s="69"/>
      <c r="BC138" s="69"/>
      <c r="BD138" s="69" t="str">
        <f>IFERROR(__xludf.DUMMYFUNCTION("IFERROR(SPLIT(X138,"",""),"""")"),"")</f>
        <v/>
      </c>
      <c r="BE138" s="69"/>
      <c r="BF138" s="69"/>
      <c r="BG138" s="69" t="str">
        <f>IFERROR(__xludf.DUMMYFUNCTION("IFERROR(SPLIT(Y138,"",""),"""")"),"")</f>
        <v/>
      </c>
      <c r="BH138" s="69"/>
      <c r="BI138" s="69"/>
      <c r="BJ138" s="68" t="str">
        <f>IFERROR(__xludf.DUMMYFUNCTION("IF($B138&lt;&gt;"""",IFERROR(FILTER(RawTotals!$AJ:$AJ,RawTotals!$A:$A=Z138)-(FILTER(Data!$K:$K,Data!$B:$B=Z138,Data!$D:$D=$B138)+FILTER(Data!$L:$L,Data!$B:$B=Z138,Data!$D:$D=$B138)),""""),"""")"),"")</f>
        <v/>
      </c>
      <c r="BK138" s="68" t="str">
        <f>IFERROR(__xludf.DUMMYFUNCTION("IF($B138&lt;&gt;"""",IFERROR(FILTER(RawTotals!$AJ:$AJ,RawTotals!$A:$A=AA138)-(FILTER(Data!$K:$K,Data!$B:$B=AA138,Data!$D:$D=$B138)+FILTER(Data!$L:$L,Data!$B:$B=AA138,Data!$D:$D=$B138)),""""),"""")"),"")</f>
        <v/>
      </c>
      <c r="BL138" s="68" t="str">
        <f>IFERROR(__xludf.DUMMYFUNCTION("IF($B138&lt;&gt;"""",IFERROR(FILTER(RawTotals!$AJ:$AJ,RawTotals!$A:$A=AB138)-(FILTER(Data!$K:$K,Data!$B:$B=AB138,Data!$D:$D=$B138)+FILTER(Data!$L:$L,Data!$B:$B=AB138,Data!$D:$D=$B138)),""""),"""")"),"")</f>
        <v/>
      </c>
      <c r="BM138" s="69" t="str">
        <f>IFERROR(__xludf.DUMMYFUNCTION("IF($C138&lt;&gt;"""",IFERROR(FILTER(RawTotals!$AJ:$AJ,RawTotals!$A:$A=AC138)-(FILTER(Data!$K:$K,Data!$B:$B=AC138,Data!$D:$D=$C138)+FILTER(Data!$L:$L,Data!$B:$B=AC138,Data!$D:$D=$C138)),""""),"""")"),"")</f>
        <v/>
      </c>
      <c r="BN138" s="69" t="str">
        <f>IFERROR(__xludf.DUMMYFUNCTION("IF($C138&lt;&gt;"""",IFERROR(FILTER(RawTotals!$AJ:$AJ,RawTotals!$A:$A=AD138)-(FILTER(Data!$K:$K,Data!$B:$B=AD138,Data!$D:$D=$C138)+FILTER(Data!$L:$L,Data!$B:$B=AD138,Data!$D:$D=$C138)),""""),"""")"),"")</f>
        <v/>
      </c>
      <c r="BO138" s="69" t="str">
        <f>IFERROR(__xludf.DUMMYFUNCTION("IF($C138&lt;&gt;"""",IFERROR(FILTER(RawTotals!$AJ:$AJ,RawTotals!$A:$A=AE138)-(FILTER(Data!$K:$K,Data!$B:$B=AE138,Data!$D:$D=$C138)+FILTER(Data!$L:$L,Data!$B:$B=AE138,Data!$D:$D=$C138)),""""),"""")"),"")</f>
        <v/>
      </c>
      <c r="BP138" s="69" t="str">
        <f>IFERROR(__xludf.DUMMYFUNCTION("IF($D138&lt;&gt;"""",IFERROR(FILTER(RawTotals!$AJ:$AJ,RawTotals!$A:$A=AF138)-(FILTER(Data!$K:$K,Data!$B:$B=AF138,Data!$D:$D=$D138)+FILTER(Data!$L:$L,Data!$B:$B=AF138,Data!$D:$D=$D138)),""""),"""")"),"")</f>
        <v/>
      </c>
      <c r="BQ138" s="69" t="str">
        <f>IFERROR(__xludf.DUMMYFUNCTION("IF($D138&lt;&gt;"""",IFERROR(FILTER(RawTotals!$AJ:$AJ,RawTotals!$A:$A=AG138)-(FILTER(Data!$K:$K,Data!$B:$B=AG138,Data!$D:$D=$D138)+FILTER(Data!$L:$L,Data!$B:$B=AG138,Data!$D:$D=$D138)),""""),"""")"),"")</f>
        <v/>
      </c>
      <c r="BR138" s="69" t="str">
        <f>IFERROR(__xludf.DUMMYFUNCTION("IF($D138&lt;&gt;"""",IFERROR(FILTER(RawTotals!$AJ:$AJ,RawTotals!$A:$A=AH138)-(FILTER(Data!$K:$K,Data!$B:$B=AH138,Data!$D:$D=$D138)+FILTER(Data!$L:$L,Data!$B:$B=AH138,Data!$D:$D=$D138)),""""),"""")"),"")</f>
        <v/>
      </c>
      <c r="BS138" s="69" t="str">
        <f>IFERROR(__xludf.DUMMYFUNCTION("IF($E138&lt;&gt;"""",IFERROR(FILTER(RawTotals!$AJ:$AJ,RawTotals!$A:$A=AI138)-(FILTER(Data!$K:$K,Data!$B:$B=AI138,Data!$D:$D=$E138)+FILTER(Data!$L:$L,Data!$B:$B=AI138,Data!$D:$D=$E138)),""""),"""")"),"")</f>
        <v/>
      </c>
      <c r="BT138" s="69" t="str">
        <f>IFERROR(__xludf.DUMMYFUNCTION("IF($E138&lt;&gt;"""",IFERROR(FILTER(RawTotals!$AJ:$AJ,RawTotals!$A:$A=AJ138)-(FILTER(Data!$K:$K,Data!$B:$B=AJ138,Data!$D:$D=$E138)+FILTER(Data!$L:$L,Data!$B:$B=AJ138,Data!$D:$D=$E138)),""""),"""")"),"")</f>
        <v/>
      </c>
      <c r="BU138" s="69" t="str">
        <f>IFERROR(__xludf.DUMMYFUNCTION("IF($E138&lt;&gt;"""",IFERROR(FILTER(RawTotals!$AJ:$AJ,RawTotals!$A:$A=AK138)-(FILTER(Data!$K:$K,Data!$B:$B=AK138,Data!$D:$D=$E138)+FILTER(Data!$L:$L,Data!$B:$B=AK138,Data!$D:$D=$E138)),""""),"""")"),"")</f>
        <v/>
      </c>
      <c r="BV138" s="69" t="str">
        <f>IFERROR(__xludf.DUMMYFUNCTION("IF($F138&lt;&gt;"""",IFERROR(FILTER(RawTotals!$AJ:$AJ,RawTotals!$A:$A=AL138)-(FILTER(Data!$K:$K,Data!$B:$B=AL138,Data!$D:$D=$F138)+FILTER(Data!$L:$L,Data!$B:$B=AL138,Data!$D:$D=$F138)),""""),"""")"),"")</f>
        <v/>
      </c>
      <c r="BW138" s="69" t="str">
        <f>IFERROR(__xludf.DUMMYFUNCTION("IF($F138&lt;&gt;"""",IFERROR(FILTER(RawTotals!$AJ:$AJ,RawTotals!$A:$A=AM138)-(FILTER(Data!$K:$K,Data!$B:$B=AM138,Data!$D:$D=$F138)+FILTER(Data!$L:$L,Data!$B:$B=AM138,Data!$D:$D=$F138)),""""),"""")"),"")</f>
        <v/>
      </c>
      <c r="BX138" s="69" t="str">
        <f>IFERROR(__xludf.DUMMYFUNCTION("IF($F138&lt;&gt;"""",IFERROR(FILTER(RawTotals!$AJ:$AJ,RawTotals!$A:$A=AN138)-(FILTER(Data!$K:$K,Data!$B:$B=AN138,Data!$D:$D=$F138)+FILTER(Data!$L:$L,Data!$B:$B=AN138,Data!$D:$D=$F138)),""""),"""")"),"")</f>
        <v/>
      </c>
      <c r="BY138" s="69" t="str">
        <f>IFERROR(__xludf.DUMMYFUNCTION("IF($G138&lt;&gt;"""",IFERROR(FILTER(RawTotals!$AJ:$AJ,RawTotals!$A:$A=AO138)-(FILTER(Data!$K:$K,Data!$B:$B=AO138,Data!$D:$D=$G138)+FILTER(Data!$L:$L,Data!$B:$B=AO138,Data!$D:$D=$G138)),""""),"""")"),"")</f>
        <v/>
      </c>
      <c r="BZ138" s="69" t="str">
        <f>IFERROR(__xludf.DUMMYFUNCTION("IF($G138&lt;&gt;"""",IFERROR(FILTER(RawTotals!$AJ:$AJ,RawTotals!$A:$A=AP138)-(FILTER(Data!$K:$K,Data!$B:$B=AP138,Data!$D:$D=$G138)+FILTER(Data!$L:$L,Data!$B:$B=AP138,Data!$D:$D=$G138)),""""),"""")"),"")</f>
        <v/>
      </c>
      <c r="CA138" s="69" t="str">
        <f>IFERROR(__xludf.DUMMYFUNCTION("IF($G138&lt;&gt;"""",IFERROR(FILTER(RawTotals!$AJ:$AJ,RawTotals!$A:$A=AQ138)-(FILTER(Data!$K:$K,Data!$B:$B=AQ138,Data!$D:$D=$G138)+FILTER(Data!$L:$L,Data!$B:$B=AQ138,Data!$D:$D=$G138)),""""),"""")"),"")</f>
        <v/>
      </c>
      <c r="CB138" s="69" t="str">
        <f>IFERROR(__xludf.DUMMYFUNCTION("IF($H138&lt;&gt;"""",IFERROR(FILTER(RawTotals!$AJ:$AJ,RawTotals!$A:$A=AR138)-(FILTER(Data!$K:$K,Data!$B:$B=AR138,Data!$D:$D=$H138)+FILTER(Data!$L:$L,Data!$B:$B=AR138,Data!$D:$D=$H138)),""""),"""")"),"")</f>
        <v/>
      </c>
      <c r="CC138" s="69" t="str">
        <f>IFERROR(__xludf.DUMMYFUNCTION("IF($H138&lt;&gt;"""",IFERROR(FILTER(RawTotals!$AJ:$AJ,RawTotals!$A:$A=AS138)-(FILTER(Data!$K:$K,Data!$B:$B=AS138,Data!$D:$D=$H138)+FILTER(Data!$L:$L,Data!$B:$B=AS138,Data!$D:$D=$H138)),""""),"""")"),"")</f>
        <v/>
      </c>
      <c r="CD138" s="69" t="str">
        <f>IFERROR(__xludf.DUMMYFUNCTION("IF($H138&lt;&gt;"""",IFERROR(FILTER(RawTotals!$AJ:$AJ,RawTotals!$A:$A=AT138)-(FILTER(Data!$K:$K,Data!$B:$B=AT138,Data!$D:$D=$H138)+FILTER(Data!$L:$L,Data!$B:$B=AT138,Data!$D:$D=$H138)),""""),"""")"),"")</f>
        <v/>
      </c>
      <c r="CE138" s="69" t="str">
        <f>IFERROR(__xludf.DUMMYFUNCTION("IF($I138&lt;&gt;"""",IFERROR(FILTER(RawTotals!$AJ:$AJ,RawTotals!$A:$A=AU138)-(FILTER(Data!$K:$K,Data!$B:$B=AU138,Data!$D:$D=$I138)+FILTER(Data!$L:$L,Data!$B:$B=AU138,Data!$D:$D=$I138)),""""),"""")"),"")</f>
        <v/>
      </c>
      <c r="CF138" s="69" t="str">
        <f>IFERROR(__xludf.DUMMYFUNCTION("IF($I138&lt;&gt;"""",IFERROR(FILTER(RawTotals!$AJ:$AJ,RawTotals!$A:$A=AV138)-(FILTER(Data!$K:$K,Data!$B:$B=AV138,Data!$D:$D=$I138)+FILTER(Data!$L:$L,Data!$B:$B=AV138,Data!$D:$D=$I138)),""""),"""")"),"")</f>
        <v/>
      </c>
      <c r="CG138" s="69" t="str">
        <f>IFERROR(__xludf.DUMMYFUNCTION("IF($I138&lt;&gt;"""",IFERROR(FILTER(RawTotals!$AJ:$AJ,RawTotals!$A:$A=AW138)-(FILTER(Data!$K:$K,Data!$B:$B=AW138,Data!$D:$D=$I138)+FILTER(Data!$L:$L,Data!$B:$B=AW138,Data!$D:$D=$I138)),""""),"""")"),"")</f>
        <v/>
      </c>
      <c r="CH138" s="69" t="str">
        <f>IFERROR(__xludf.DUMMYFUNCTION("IF($J138&lt;&gt;"""",IFERROR(FILTER(RawTotals!$AJ:$AJ,RawTotals!$A:$A=AX138)-(FILTER(Data!$K:$K,Data!$B:$B=AX138,Data!$D:$D=$J138)+FILTER(Data!$L:$L,Data!$B:$B=AX138,Data!$D:$D=$J138)),""""),"""")"),"")</f>
        <v/>
      </c>
      <c r="CI138" s="69" t="str">
        <f>IFERROR(__xludf.DUMMYFUNCTION("IF($J138&lt;&gt;"""",IFERROR(FILTER(RawTotals!$AJ:$AJ,RawTotals!$A:$A=AY138)-(FILTER(Data!$K:$K,Data!$B:$B=AY138,Data!$D:$D=$J138)+FILTER(Data!$L:$L,Data!$B:$B=AY138,Data!$D:$D=$J138)),""""),"""")"),"")</f>
        <v/>
      </c>
      <c r="CJ138" s="69" t="str">
        <f>IFERROR(__xludf.DUMMYFUNCTION("IF($J138&lt;&gt;"""",IFERROR(FILTER(RawTotals!$AJ:$AJ,RawTotals!$A:$A=AZ138)-(FILTER(Data!$K:$K,Data!$B:$B=AZ138,Data!$D:$D=$J138)+FILTER(Data!$L:$L,Data!$B:$B=AZ138,Data!$D:$D=$J138)),""""),"""")"),"")</f>
        <v/>
      </c>
      <c r="CK138" s="69" t="str">
        <f>IFERROR(__xludf.DUMMYFUNCTION("IF($K138&lt;&gt;"""",IFERROR(FILTER(RawTotals!$AJ:$AJ,RawTotals!$A:$A=BA138)-(FILTER(Data!$K:$K,Data!$B:$B=BA138,Data!$D:$D=$K138)+FILTER(Data!$L:$L,Data!$B:$B=BA138,Data!$D:$D=$K138)),""""),"""")"),"")</f>
        <v/>
      </c>
      <c r="CL138" s="69" t="str">
        <f>IFERROR(__xludf.DUMMYFUNCTION("IF($K138&lt;&gt;"""",IFERROR(FILTER(RawTotals!$AJ:$AJ,RawTotals!$A:$A=BB138)-(FILTER(Data!$K:$K,Data!$B:$B=BB138,Data!$D:$D=$K138)+FILTER(Data!$L:$L,Data!$B:$B=BB138,Data!$D:$D=$K138)),""""),"""")"),"")</f>
        <v/>
      </c>
      <c r="CM138" s="69" t="str">
        <f>IFERROR(__xludf.DUMMYFUNCTION("IF($K138&lt;&gt;"""",IFERROR(FILTER(RawTotals!$AJ:$AJ,RawTotals!$A:$A=BC138)-(FILTER(Data!$K:$K,Data!$B:$B=BC138,Data!$D:$D=$K138)+FILTER(Data!$L:$L,Data!$B:$B=BC138,Data!$D:$D=$K138)),""""),"""")"),"")</f>
        <v/>
      </c>
      <c r="CN138" s="69" t="str">
        <f>IFERROR(__xludf.DUMMYFUNCTION("IF($L138&lt;&gt;"""",IFERROR((FILTER(RawTotals!$AJ:$AJ,RawTotals!$A:$A=BD138)-(FILTER(Data!$K:$K,Data!$B:$B=BD138,Data!$D:$D=$L138)+FILTER(Data!$L:$L,Data!$B:$B=BD138,Data!$D:$D=$L138))),""""),"""")"),"")</f>
        <v/>
      </c>
      <c r="CO138" s="69" t="str">
        <f>IFERROR(__xludf.DUMMYFUNCTION("IF($L138&lt;&gt;"""",IFERROR((FILTER(RawTotals!$AJ:$AJ,RawTotals!$A:$A=BE138)-(FILTER(Data!$K:$K,Data!$B:$B=BE138,Data!$D:$D=$L138)+FILTER(Data!$L:$L,Data!$B:$B=BE138,Data!$D:$D=$L138))),""""),"""")"),"")</f>
        <v/>
      </c>
      <c r="CP138" s="69" t="str">
        <f>IFERROR(__xludf.DUMMYFUNCTION("IF($L138&lt;&gt;"""",IFERROR((FILTER(RawTotals!$AJ:$AJ,RawTotals!$A:$A=BF138)-(FILTER(Data!$K:$K,Data!$B:$B=BF138,Data!$D:$D=$L138)+FILTER(Data!$L:$L,Data!$B:$B=BF138,Data!$D:$D=$L138))),""""),"""")"),"")</f>
        <v/>
      </c>
      <c r="CQ138" s="69" t="str">
        <f>IFERROR(__xludf.DUMMYFUNCTION("IF($M138&lt;&gt;"""",IFERROR((FILTER(RawTotals!$AJ:$AJ,RawTotals!$A:$A=BG138)-(FILTER(Data!$K:$K,Data!$B:$B=BG138,Data!$D:$D=$M138)+FILTER(Data!$L:$L,Data!$B:$B=BG138,Data!$D:$D=$M138))),""""),"""")"),"")</f>
        <v/>
      </c>
      <c r="CR138" s="69" t="str">
        <f>IFERROR(__xludf.DUMMYFUNCTION("IF($M138&lt;&gt;"""",IFERROR((FILTER(RawTotals!$AJ:$AJ,RawTotals!$A:$A=BH138)-(FILTER(Data!$K:$K,Data!$B:$B=BH138,Data!$D:$D=$M138)+FILTER(Data!$L:$L,Data!$B:$B=BH138,Data!$D:$D=$M138))),""""),"""")"),"")</f>
        <v/>
      </c>
      <c r="CS138" s="70" t="str">
        <f>IFERROR(__xludf.DUMMYFUNCTION("IF($M138&lt;&gt;"""",IFERROR((FILTER(RawTotals!$AJ:$AJ,RawTotals!$A:$A=BI138)-(FILTER(Data!$K:$K,Data!$B:$B=BI138,Data!$D:$D=$M138)+FILTER(Data!$L:$L,Data!$B:$B=BI138,Data!$D:$D=$M138))),""""),"""")"),"")</f>
        <v/>
      </c>
      <c r="CT138" s="69"/>
      <c r="CU138" s="69"/>
      <c r="CV138" s="69"/>
      <c r="CW138" s="69"/>
      <c r="CX138" s="69"/>
      <c r="CY138" s="69"/>
      <c r="CZ138" s="69"/>
      <c r="DA138" s="69"/>
      <c r="DB138" s="69"/>
      <c r="DC138" s="69"/>
      <c r="DD138" s="69"/>
      <c r="DE138" s="69"/>
    </row>
    <row r="139">
      <c r="A139" s="65" t="str">
        <f>RawTotals!A139</f>
        <v/>
      </c>
      <c r="B139" s="68" t="str">
        <f>IFERROR(__xludf.DUMMYFUNCTION("IF(A139&lt;&gt;"""",IFERROR(TRANSPOSE(FILTER(Data!D:D,Data!B:B=A139,Data!R:R&lt;&gt;"""")),""No Defense""),"""")"),"")</f>
        <v/>
      </c>
      <c r="C139" s="65"/>
      <c r="D139" s="65"/>
      <c r="E139" s="65"/>
      <c r="F139" s="65"/>
      <c r="G139" s="65"/>
      <c r="H139" s="65"/>
      <c r="I139" s="65"/>
      <c r="J139" s="65"/>
      <c r="K139" s="65"/>
      <c r="L139" s="65"/>
      <c r="M139" s="65"/>
      <c r="N139" s="64" t="str">
        <f>IFERROR(__xludf.DUMMYFUNCTION("IFERROR(Textjoin("""",TRUE,FILTER(Data!$R:$R,Data!$D:$D=B139,Data!$B:$B=$A139)),"""")"),"")</f>
        <v/>
      </c>
      <c r="O139" s="64" t="str">
        <f>IFERROR(__xludf.DUMMYFUNCTION("IFERROR(Textjoin("""",TRUE,FILTER(Data!$R:$R,Data!$D:$D=C139,Data!$B:$B=$A139)),"""")"),"")</f>
        <v/>
      </c>
      <c r="P139" s="64" t="str">
        <f>IFERROR(__xludf.DUMMYFUNCTION("IFERROR(Textjoin("""",TRUE,FILTER(Data!$R:$R,Data!$D:$D=D139,Data!$B:$B=$A139)),"""")"),"")</f>
        <v/>
      </c>
      <c r="Q139" s="64" t="str">
        <f>IFERROR(__xludf.DUMMYFUNCTION("IFERROR(Textjoin("""",TRUE,FILTER(Data!$R:$R,Data!$D:$D=E139,Data!$B:$B=$A139)),"""")"),"")</f>
        <v/>
      </c>
      <c r="R139" s="64" t="str">
        <f>IFERROR(__xludf.DUMMYFUNCTION("IFERROR(Textjoin("""",TRUE,FILTER(Data!$R:$R,Data!$D:$D=F139,Data!$B:$B=$A139)),"""")"),"")</f>
        <v/>
      </c>
      <c r="S139" s="64" t="str">
        <f>IFERROR(__xludf.DUMMYFUNCTION("IFERROR(Textjoin("""",TRUE,FILTER(Data!$R:$R,Data!$D:$D=G139,Data!$B:$B=$A139)),"""")"),"")</f>
        <v/>
      </c>
      <c r="T139" s="64" t="str">
        <f>IFERROR(__xludf.DUMMYFUNCTION("IFERROR(Textjoin("""",TRUE,FILTER(Data!$R:$R,Data!$D:$D=H139,Data!$B:$B=$A139)),"""")"),"")</f>
        <v/>
      </c>
      <c r="U139" s="64" t="str">
        <f>IFERROR(__xludf.DUMMYFUNCTION("IFERROR(Textjoin("""",TRUE,FILTER(Data!$R:$R,Data!$D:$D=I139,Data!$B:$B=$A139)),"""")"),"")</f>
        <v/>
      </c>
      <c r="V139" s="64" t="str">
        <f>IFERROR(__xludf.DUMMYFUNCTION("IFERROR(Textjoin("""",TRUE,FILTER(Data!$R:$R,Data!$D:$D=J139,Data!$B:$B=$A139)),"""")"),"")</f>
        <v/>
      </c>
      <c r="W139" s="64" t="str">
        <f>IFERROR(__xludf.DUMMYFUNCTION("IFERROR(Textjoin("""",TRUE,FILTER(Data!$R:$R,Data!$D:$D=K139,Data!$B:$B=$A139)),"""")"),"")</f>
        <v/>
      </c>
      <c r="X139" s="64" t="str">
        <f>IFERROR(__xludf.DUMMYFUNCTION("IFERROR(Textjoin("""",TRUE,FILTER(Data!$R:$R,Data!$D:$D=L139,Data!$B:$B=$A139)),"""")"),"")</f>
        <v/>
      </c>
      <c r="Y139" s="64" t="str">
        <f>IFERROR(__xludf.DUMMYFUNCTION("IFERROR(Textjoin("""",TRUE,FILTER(Data!$R:$R,Data!$D:$D=M139,Data!$B:$B=$A139)),"""")"),"")</f>
        <v/>
      </c>
      <c r="Z139" s="64" t="str">
        <f>IFERROR(__xludf.DUMMYFUNCTION("IFERROR(SPLIT(N139,"",""),"""")"),"")</f>
        <v/>
      </c>
      <c r="AA139" s="65"/>
      <c r="AB139" s="65"/>
      <c r="AC139" s="69" t="str">
        <f>IFERROR(__xludf.DUMMYFUNCTION("IFERROR(SPLIT(O139,"",""),"""")"),"")</f>
        <v/>
      </c>
      <c r="AD139" s="65"/>
      <c r="AE139" s="65"/>
      <c r="AF139" s="69" t="str">
        <f>IFERROR(__xludf.DUMMYFUNCTION("IFERROR(SPLIT(P139,"",""),"""")"),"")</f>
        <v/>
      </c>
      <c r="AG139" s="65"/>
      <c r="AH139" s="65"/>
      <c r="AI139" s="69" t="str">
        <f>IFERROR(__xludf.DUMMYFUNCTION("IFERROR(SPLIT(Q139,"",""),"""")"),"")</f>
        <v/>
      </c>
      <c r="AJ139" s="65"/>
      <c r="AK139" s="65"/>
      <c r="AL139" s="69" t="str">
        <f>IFERROR(__xludf.DUMMYFUNCTION("IFERROR(SPLIT(R139,"",""),"""")"),"")</f>
        <v/>
      </c>
      <c r="AM139" s="65"/>
      <c r="AN139" s="65"/>
      <c r="AO139" s="69" t="str">
        <f>IFERROR(__xludf.DUMMYFUNCTION("IFERROR(SPLIT(S139,"",""),"""")"),"")</f>
        <v/>
      </c>
      <c r="AP139" s="65"/>
      <c r="AQ139" s="65"/>
      <c r="AR139" s="69" t="str">
        <f>IFERROR(__xludf.DUMMYFUNCTION("IFERROR(SPLIT(T139,"",""),"""")"),"")</f>
        <v/>
      </c>
      <c r="AS139" s="65"/>
      <c r="AT139" s="65"/>
      <c r="AU139" s="69" t="str">
        <f>IFERROR(__xludf.DUMMYFUNCTION("IFERROR(SPLIT(U139,"",""),"""")"),"")</f>
        <v/>
      </c>
      <c r="AV139" s="65"/>
      <c r="AW139" s="65"/>
      <c r="AX139" s="69" t="str">
        <f>IFERROR(__xludf.DUMMYFUNCTION("IFERROR(SPLIT(V139,"",""),"""")"),"")</f>
        <v/>
      </c>
      <c r="AY139" s="65"/>
      <c r="AZ139" s="65"/>
      <c r="BA139" s="69" t="str">
        <f>IFERROR(__xludf.DUMMYFUNCTION("IFERROR(SPLIT(W139,"",""),"""")"),"")</f>
        <v/>
      </c>
      <c r="BB139" s="69"/>
      <c r="BC139" s="69"/>
      <c r="BD139" s="69" t="str">
        <f>IFERROR(__xludf.DUMMYFUNCTION("IFERROR(SPLIT(X139,"",""),"""")"),"")</f>
        <v/>
      </c>
      <c r="BE139" s="69"/>
      <c r="BF139" s="69"/>
      <c r="BG139" s="69" t="str">
        <f>IFERROR(__xludf.DUMMYFUNCTION("IFERROR(SPLIT(Y139,"",""),"""")"),"")</f>
        <v/>
      </c>
      <c r="BH139" s="69"/>
      <c r="BI139" s="69"/>
      <c r="BJ139" s="68" t="str">
        <f>IFERROR(__xludf.DUMMYFUNCTION("IF($B139&lt;&gt;"""",IFERROR(FILTER(RawTotals!$AJ:$AJ,RawTotals!$A:$A=Z139)-(FILTER(Data!$K:$K,Data!$B:$B=Z139,Data!$D:$D=$B139)+FILTER(Data!$L:$L,Data!$B:$B=Z139,Data!$D:$D=$B139)),""""),"""")"),"")</f>
        <v/>
      </c>
      <c r="BK139" s="68" t="str">
        <f>IFERROR(__xludf.DUMMYFUNCTION("IF($B139&lt;&gt;"""",IFERROR(FILTER(RawTotals!$AJ:$AJ,RawTotals!$A:$A=AA139)-(FILTER(Data!$K:$K,Data!$B:$B=AA139,Data!$D:$D=$B139)+FILTER(Data!$L:$L,Data!$B:$B=AA139,Data!$D:$D=$B139)),""""),"""")"),"")</f>
        <v/>
      </c>
      <c r="BL139" s="68" t="str">
        <f>IFERROR(__xludf.DUMMYFUNCTION("IF($B139&lt;&gt;"""",IFERROR(FILTER(RawTotals!$AJ:$AJ,RawTotals!$A:$A=AB139)-(FILTER(Data!$K:$K,Data!$B:$B=AB139,Data!$D:$D=$B139)+FILTER(Data!$L:$L,Data!$B:$B=AB139,Data!$D:$D=$B139)),""""),"""")"),"")</f>
        <v/>
      </c>
      <c r="BM139" s="69" t="str">
        <f>IFERROR(__xludf.DUMMYFUNCTION("IF($C139&lt;&gt;"""",IFERROR(FILTER(RawTotals!$AJ:$AJ,RawTotals!$A:$A=AC139)-(FILTER(Data!$K:$K,Data!$B:$B=AC139,Data!$D:$D=$C139)+FILTER(Data!$L:$L,Data!$B:$B=AC139,Data!$D:$D=$C139)),""""),"""")"),"")</f>
        <v/>
      </c>
      <c r="BN139" s="69" t="str">
        <f>IFERROR(__xludf.DUMMYFUNCTION("IF($C139&lt;&gt;"""",IFERROR(FILTER(RawTotals!$AJ:$AJ,RawTotals!$A:$A=AD139)-(FILTER(Data!$K:$K,Data!$B:$B=AD139,Data!$D:$D=$C139)+FILTER(Data!$L:$L,Data!$B:$B=AD139,Data!$D:$D=$C139)),""""),"""")"),"")</f>
        <v/>
      </c>
      <c r="BO139" s="69" t="str">
        <f>IFERROR(__xludf.DUMMYFUNCTION("IF($C139&lt;&gt;"""",IFERROR(FILTER(RawTotals!$AJ:$AJ,RawTotals!$A:$A=AE139)-(FILTER(Data!$K:$K,Data!$B:$B=AE139,Data!$D:$D=$C139)+FILTER(Data!$L:$L,Data!$B:$B=AE139,Data!$D:$D=$C139)),""""),"""")"),"")</f>
        <v/>
      </c>
      <c r="BP139" s="69" t="str">
        <f>IFERROR(__xludf.DUMMYFUNCTION("IF($D139&lt;&gt;"""",IFERROR(FILTER(RawTotals!$AJ:$AJ,RawTotals!$A:$A=AF139)-(FILTER(Data!$K:$K,Data!$B:$B=AF139,Data!$D:$D=$D139)+FILTER(Data!$L:$L,Data!$B:$B=AF139,Data!$D:$D=$D139)),""""),"""")"),"")</f>
        <v/>
      </c>
      <c r="BQ139" s="69" t="str">
        <f>IFERROR(__xludf.DUMMYFUNCTION("IF($D139&lt;&gt;"""",IFERROR(FILTER(RawTotals!$AJ:$AJ,RawTotals!$A:$A=AG139)-(FILTER(Data!$K:$K,Data!$B:$B=AG139,Data!$D:$D=$D139)+FILTER(Data!$L:$L,Data!$B:$B=AG139,Data!$D:$D=$D139)),""""),"""")"),"")</f>
        <v/>
      </c>
      <c r="BR139" s="69" t="str">
        <f>IFERROR(__xludf.DUMMYFUNCTION("IF($D139&lt;&gt;"""",IFERROR(FILTER(RawTotals!$AJ:$AJ,RawTotals!$A:$A=AH139)-(FILTER(Data!$K:$K,Data!$B:$B=AH139,Data!$D:$D=$D139)+FILTER(Data!$L:$L,Data!$B:$B=AH139,Data!$D:$D=$D139)),""""),"""")"),"")</f>
        <v/>
      </c>
      <c r="BS139" s="69" t="str">
        <f>IFERROR(__xludf.DUMMYFUNCTION("IF($E139&lt;&gt;"""",IFERROR(FILTER(RawTotals!$AJ:$AJ,RawTotals!$A:$A=AI139)-(FILTER(Data!$K:$K,Data!$B:$B=AI139,Data!$D:$D=$E139)+FILTER(Data!$L:$L,Data!$B:$B=AI139,Data!$D:$D=$E139)),""""),"""")"),"")</f>
        <v/>
      </c>
      <c r="BT139" s="69" t="str">
        <f>IFERROR(__xludf.DUMMYFUNCTION("IF($E139&lt;&gt;"""",IFERROR(FILTER(RawTotals!$AJ:$AJ,RawTotals!$A:$A=AJ139)-(FILTER(Data!$K:$K,Data!$B:$B=AJ139,Data!$D:$D=$E139)+FILTER(Data!$L:$L,Data!$B:$B=AJ139,Data!$D:$D=$E139)),""""),"""")"),"")</f>
        <v/>
      </c>
      <c r="BU139" s="69" t="str">
        <f>IFERROR(__xludf.DUMMYFUNCTION("IF($E139&lt;&gt;"""",IFERROR(FILTER(RawTotals!$AJ:$AJ,RawTotals!$A:$A=AK139)-(FILTER(Data!$K:$K,Data!$B:$B=AK139,Data!$D:$D=$E139)+FILTER(Data!$L:$L,Data!$B:$B=AK139,Data!$D:$D=$E139)),""""),"""")"),"")</f>
        <v/>
      </c>
      <c r="BV139" s="69" t="str">
        <f>IFERROR(__xludf.DUMMYFUNCTION("IF($F139&lt;&gt;"""",IFERROR(FILTER(RawTotals!$AJ:$AJ,RawTotals!$A:$A=AL139)-(FILTER(Data!$K:$K,Data!$B:$B=AL139,Data!$D:$D=$F139)+FILTER(Data!$L:$L,Data!$B:$B=AL139,Data!$D:$D=$F139)),""""),"""")"),"")</f>
        <v/>
      </c>
      <c r="BW139" s="69" t="str">
        <f>IFERROR(__xludf.DUMMYFUNCTION("IF($F139&lt;&gt;"""",IFERROR(FILTER(RawTotals!$AJ:$AJ,RawTotals!$A:$A=AM139)-(FILTER(Data!$K:$K,Data!$B:$B=AM139,Data!$D:$D=$F139)+FILTER(Data!$L:$L,Data!$B:$B=AM139,Data!$D:$D=$F139)),""""),"""")"),"")</f>
        <v/>
      </c>
      <c r="BX139" s="69" t="str">
        <f>IFERROR(__xludf.DUMMYFUNCTION("IF($F139&lt;&gt;"""",IFERROR(FILTER(RawTotals!$AJ:$AJ,RawTotals!$A:$A=AN139)-(FILTER(Data!$K:$K,Data!$B:$B=AN139,Data!$D:$D=$F139)+FILTER(Data!$L:$L,Data!$B:$B=AN139,Data!$D:$D=$F139)),""""),"""")"),"")</f>
        <v/>
      </c>
      <c r="BY139" s="69" t="str">
        <f>IFERROR(__xludf.DUMMYFUNCTION("IF($G139&lt;&gt;"""",IFERROR(FILTER(RawTotals!$AJ:$AJ,RawTotals!$A:$A=AO139)-(FILTER(Data!$K:$K,Data!$B:$B=AO139,Data!$D:$D=$G139)+FILTER(Data!$L:$L,Data!$B:$B=AO139,Data!$D:$D=$G139)),""""),"""")"),"")</f>
        <v/>
      </c>
      <c r="BZ139" s="69" t="str">
        <f>IFERROR(__xludf.DUMMYFUNCTION("IF($G139&lt;&gt;"""",IFERROR(FILTER(RawTotals!$AJ:$AJ,RawTotals!$A:$A=AP139)-(FILTER(Data!$K:$K,Data!$B:$B=AP139,Data!$D:$D=$G139)+FILTER(Data!$L:$L,Data!$B:$B=AP139,Data!$D:$D=$G139)),""""),"""")"),"")</f>
        <v/>
      </c>
      <c r="CA139" s="69" t="str">
        <f>IFERROR(__xludf.DUMMYFUNCTION("IF($G139&lt;&gt;"""",IFERROR(FILTER(RawTotals!$AJ:$AJ,RawTotals!$A:$A=AQ139)-(FILTER(Data!$K:$K,Data!$B:$B=AQ139,Data!$D:$D=$G139)+FILTER(Data!$L:$L,Data!$B:$B=AQ139,Data!$D:$D=$G139)),""""),"""")"),"")</f>
        <v/>
      </c>
      <c r="CB139" s="69" t="str">
        <f>IFERROR(__xludf.DUMMYFUNCTION("IF($H139&lt;&gt;"""",IFERROR(FILTER(RawTotals!$AJ:$AJ,RawTotals!$A:$A=AR139)-(FILTER(Data!$K:$K,Data!$B:$B=AR139,Data!$D:$D=$H139)+FILTER(Data!$L:$L,Data!$B:$B=AR139,Data!$D:$D=$H139)),""""),"""")"),"")</f>
        <v/>
      </c>
      <c r="CC139" s="69" t="str">
        <f>IFERROR(__xludf.DUMMYFUNCTION("IF($H139&lt;&gt;"""",IFERROR(FILTER(RawTotals!$AJ:$AJ,RawTotals!$A:$A=AS139)-(FILTER(Data!$K:$K,Data!$B:$B=AS139,Data!$D:$D=$H139)+FILTER(Data!$L:$L,Data!$B:$B=AS139,Data!$D:$D=$H139)),""""),"""")"),"")</f>
        <v/>
      </c>
      <c r="CD139" s="69" t="str">
        <f>IFERROR(__xludf.DUMMYFUNCTION("IF($H139&lt;&gt;"""",IFERROR(FILTER(RawTotals!$AJ:$AJ,RawTotals!$A:$A=AT139)-(FILTER(Data!$K:$K,Data!$B:$B=AT139,Data!$D:$D=$H139)+FILTER(Data!$L:$L,Data!$B:$B=AT139,Data!$D:$D=$H139)),""""),"""")"),"")</f>
        <v/>
      </c>
      <c r="CE139" s="69" t="str">
        <f>IFERROR(__xludf.DUMMYFUNCTION("IF($I139&lt;&gt;"""",IFERROR(FILTER(RawTotals!$AJ:$AJ,RawTotals!$A:$A=AU139)-(FILTER(Data!$K:$K,Data!$B:$B=AU139,Data!$D:$D=$I139)+FILTER(Data!$L:$L,Data!$B:$B=AU139,Data!$D:$D=$I139)),""""),"""")"),"")</f>
        <v/>
      </c>
      <c r="CF139" s="69" t="str">
        <f>IFERROR(__xludf.DUMMYFUNCTION("IF($I139&lt;&gt;"""",IFERROR(FILTER(RawTotals!$AJ:$AJ,RawTotals!$A:$A=AV139)-(FILTER(Data!$K:$K,Data!$B:$B=AV139,Data!$D:$D=$I139)+FILTER(Data!$L:$L,Data!$B:$B=AV139,Data!$D:$D=$I139)),""""),"""")"),"")</f>
        <v/>
      </c>
      <c r="CG139" s="69" t="str">
        <f>IFERROR(__xludf.DUMMYFUNCTION("IF($I139&lt;&gt;"""",IFERROR(FILTER(RawTotals!$AJ:$AJ,RawTotals!$A:$A=AW139)-(FILTER(Data!$K:$K,Data!$B:$B=AW139,Data!$D:$D=$I139)+FILTER(Data!$L:$L,Data!$B:$B=AW139,Data!$D:$D=$I139)),""""),"""")"),"")</f>
        <v/>
      </c>
      <c r="CH139" s="69" t="str">
        <f>IFERROR(__xludf.DUMMYFUNCTION("IF($J139&lt;&gt;"""",IFERROR(FILTER(RawTotals!$AJ:$AJ,RawTotals!$A:$A=AX139)-(FILTER(Data!$K:$K,Data!$B:$B=AX139,Data!$D:$D=$J139)+FILTER(Data!$L:$L,Data!$B:$B=AX139,Data!$D:$D=$J139)),""""),"""")"),"")</f>
        <v/>
      </c>
      <c r="CI139" s="69" t="str">
        <f>IFERROR(__xludf.DUMMYFUNCTION("IF($J139&lt;&gt;"""",IFERROR(FILTER(RawTotals!$AJ:$AJ,RawTotals!$A:$A=AY139)-(FILTER(Data!$K:$K,Data!$B:$B=AY139,Data!$D:$D=$J139)+FILTER(Data!$L:$L,Data!$B:$B=AY139,Data!$D:$D=$J139)),""""),"""")"),"")</f>
        <v/>
      </c>
      <c r="CJ139" s="69" t="str">
        <f>IFERROR(__xludf.DUMMYFUNCTION("IF($J139&lt;&gt;"""",IFERROR(FILTER(RawTotals!$AJ:$AJ,RawTotals!$A:$A=AZ139)-(FILTER(Data!$K:$K,Data!$B:$B=AZ139,Data!$D:$D=$J139)+FILTER(Data!$L:$L,Data!$B:$B=AZ139,Data!$D:$D=$J139)),""""),"""")"),"")</f>
        <v/>
      </c>
      <c r="CK139" s="69" t="str">
        <f>IFERROR(__xludf.DUMMYFUNCTION("IF($K139&lt;&gt;"""",IFERROR(FILTER(RawTotals!$AJ:$AJ,RawTotals!$A:$A=BA139)-(FILTER(Data!$K:$K,Data!$B:$B=BA139,Data!$D:$D=$K139)+FILTER(Data!$L:$L,Data!$B:$B=BA139,Data!$D:$D=$K139)),""""),"""")"),"")</f>
        <v/>
      </c>
      <c r="CL139" s="69" t="str">
        <f>IFERROR(__xludf.DUMMYFUNCTION("IF($K139&lt;&gt;"""",IFERROR(FILTER(RawTotals!$AJ:$AJ,RawTotals!$A:$A=BB139)-(FILTER(Data!$K:$K,Data!$B:$B=BB139,Data!$D:$D=$K139)+FILTER(Data!$L:$L,Data!$B:$B=BB139,Data!$D:$D=$K139)),""""),"""")"),"")</f>
        <v/>
      </c>
      <c r="CM139" s="69" t="str">
        <f>IFERROR(__xludf.DUMMYFUNCTION("IF($K139&lt;&gt;"""",IFERROR(FILTER(RawTotals!$AJ:$AJ,RawTotals!$A:$A=BC139)-(FILTER(Data!$K:$K,Data!$B:$B=BC139,Data!$D:$D=$K139)+FILTER(Data!$L:$L,Data!$B:$B=BC139,Data!$D:$D=$K139)),""""),"""")"),"")</f>
        <v/>
      </c>
      <c r="CN139" s="69" t="str">
        <f>IFERROR(__xludf.DUMMYFUNCTION("IF($L139&lt;&gt;"""",IFERROR((FILTER(RawTotals!$AJ:$AJ,RawTotals!$A:$A=BD139)-(FILTER(Data!$K:$K,Data!$B:$B=BD139,Data!$D:$D=$L139)+FILTER(Data!$L:$L,Data!$B:$B=BD139,Data!$D:$D=$L139))),""""),"""")"),"")</f>
        <v/>
      </c>
      <c r="CO139" s="69" t="str">
        <f>IFERROR(__xludf.DUMMYFUNCTION("IF($L139&lt;&gt;"""",IFERROR((FILTER(RawTotals!$AJ:$AJ,RawTotals!$A:$A=BE139)-(FILTER(Data!$K:$K,Data!$B:$B=BE139,Data!$D:$D=$L139)+FILTER(Data!$L:$L,Data!$B:$B=BE139,Data!$D:$D=$L139))),""""),"""")"),"")</f>
        <v/>
      </c>
      <c r="CP139" s="69" t="str">
        <f>IFERROR(__xludf.DUMMYFUNCTION("IF($L139&lt;&gt;"""",IFERROR((FILTER(RawTotals!$AJ:$AJ,RawTotals!$A:$A=BF139)-(FILTER(Data!$K:$K,Data!$B:$B=BF139,Data!$D:$D=$L139)+FILTER(Data!$L:$L,Data!$B:$B=BF139,Data!$D:$D=$L139))),""""),"""")"),"")</f>
        <v/>
      </c>
      <c r="CQ139" s="69" t="str">
        <f>IFERROR(__xludf.DUMMYFUNCTION("IF($M139&lt;&gt;"""",IFERROR((FILTER(RawTotals!$AJ:$AJ,RawTotals!$A:$A=BG139)-(FILTER(Data!$K:$K,Data!$B:$B=BG139,Data!$D:$D=$M139)+FILTER(Data!$L:$L,Data!$B:$B=BG139,Data!$D:$D=$M139))),""""),"""")"),"")</f>
        <v/>
      </c>
      <c r="CR139" s="69" t="str">
        <f>IFERROR(__xludf.DUMMYFUNCTION("IF($M139&lt;&gt;"""",IFERROR((FILTER(RawTotals!$AJ:$AJ,RawTotals!$A:$A=BH139)-(FILTER(Data!$K:$K,Data!$B:$B=BH139,Data!$D:$D=$M139)+FILTER(Data!$L:$L,Data!$B:$B=BH139,Data!$D:$D=$M139))),""""),"""")"),"")</f>
        <v/>
      </c>
      <c r="CS139" s="70" t="str">
        <f>IFERROR(__xludf.DUMMYFUNCTION("IF($M139&lt;&gt;"""",IFERROR((FILTER(RawTotals!$AJ:$AJ,RawTotals!$A:$A=BI139)-(FILTER(Data!$K:$K,Data!$B:$B=BI139,Data!$D:$D=$M139)+FILTER(Data!$L:$L,Data!$B:$B=BI139,Data!$D:$D=$M139))),""""),"""")"),"")</f>
        <v/>
      </c>
      <c r="CT139" s="69"/>
      <c r="CU139" s="69"/>
      <c r="CV139" s="69"/>
      <c r="CW139" s="69"/>
      <c r="CX139" s="69"/>
      <c r="CY139" s="69"/>
      <c r="CZ139" s="69"/>
      <c r="DA139" s="69"/>
      <c r="DB139" s="69"/>
      <c r="DC139" s="69"/>
      <c r="DD139" s="69"/>
      <c r="DE139" s="69"/>
    </row>
    <row r="140">
      <c r="A140" s="65" t="str">
        <f>RawTotals!A140</f>
        <v/>
      </c>
      <c r="B140" s="68" t="str">
        <f>IFERROR(__xludf.DUMMYFUNCTION("IF(A140&lt;&gt;"""",IFERROR(TRANSPOSE(FILTER(Data!D:D,Data!B:B=A140,Data!R:R&lt;&gt;"""")),""No Defense""),"""")"),"")</f>
        <v/>
      </c>
      <c r="C140" s="65"/>
      <c r="D140" s="65"/>
      <c r="E140" s="65"/>
      <c r="F140" s="65"/>
      <c r="G140" s="65"/>
      <c r="H140" s="65"/>
      <c r="I140" s="65"/>
      <c r="J140" s="65"/>
      <c r="K140" s="65"/>
      <c r="L140" s="65"/>
      <c r="M140" s="65"/>
      <c r="N140" s="64" t="str">
        <f>IFERROR(__xludf.DUMMYFUNCTION("IFERROR(Textjoin("""",TRUE,FILTER(Data!$R:$R,Data!$D:$D=B140,Data!$B:$B=$A140)),"""")"),"")</f>
        <v/>
      </c>
      <c r="O140" s="64" t="str">
        <f>IFERROR(__xludf.DUMMYFUNCTION("IFERROR(Textjoin("""",TRUE,FILTER(Data!$R:$R,Data!$D:$D=C140,Data!$B:$B=$A140)),"""")"),"")</f>
        <v/>
      </c>
      <c r="P140" s="64" t="str">
        <f>IFERROR(__xludf.DUMMYFUNCTION("IFERROR(Textjoin("""",TRUE,FILTER(Data!$R:$R,Data!$D:$D=D140,Data!$B:$B=$A140)),"""")"),"")</f>
        <v/>
      </c>
      <c r="Q140" s="64" t="str">
        <f>IFERROR(__xludf.DUMMYFUNCTION("IFERROR(Textjoin("""",TRUE,FILTER(Data!$R:$R,Data!$D:$D=E140,Data!$B:$B=$A140)),"""")"),"")</f>
        <v/>
      </c>
      <c r="R140" s="64" t="str">
        <f>IFERROR(__xludf.DUMMYFUNCTION("IFERROR(Textjoin("""",TRUE,FILTER(Data!$R:$R,Data!$D:$D=F140,Data!$B:$B=$A140)),"""")"),"")</f>
        <v/>
      </c>
      <c r="S140" s="64" t="str">
        <f>IFERROR(__xludf.DUMMYFUNCTION("IFERROR(Textjoin("""",TRUE,FILTER(Data!$R:$R,Data!$D:$D=G140,Data!$B:$B=$A140)),"""")"),"")</f>
        <v/>
      </c>
      <c r="T140" s="64" t="str">
        <f>IFERROR(__xludf.DUMMYFUNCTION("IFERROR(Textjoin("""",TRUE,FILTER(Data!$R:$R,Data!$D:$D=H140,Data!$B:$B=$A140)),"""")"),"")</f>
        <v/>
      </c>
      <c r="U140" s="64" t="str">
        <f>IFERROR(__xludf.DUMMYFUNCTION("IFERROR(Textjoin("""",TRUE,FILTER(Data!$R:$R,Data!$D:$D=I140,Data!$B:$B=$A140)),"""")"),"")</f>
        <v/>
      </c>
      <c r="V140" s="64" t="str">
        <f>IFERROR(__xludf.DUMMYFUNCTION("IFERROR(Textjoin("""",TRUE,FILTER(Data!$R:$R,Data!$D:$D=J140,Data!$B:$B=$A140)),"""")"),"")</f>
        <v/>
      </c>
      <c r="W140" s="64" t="str">
        <f>IFERROR(__xludf.DUMMYFUNCTION("IFERROR(Textjoin("""",TRUE,FILTER(Data!$R:$R,Data!$D:$D=K140,Data!$B:$B=$A140)),"""")"),"")</f>
        <v/>
      </c>
      <c r="X140" s="64" t="str">
        <f>IFERROR(__xludf.DUMMYFUNCTION("IFERROR(Textjoin("""",TRUE,FILTER(Data!$R:$R,Data!$D:$D=L140,Data!$B:$B=$A140)),"""")"),"")</f>
        <v/>
      </c>
      <c r="Y140" s="64" t="str">
        <f>IFERROR(__xludf.DUMMYFUNCTION("IFERROR(Textjoin("""",TRUE,FILTER(Data!$R:$R,Data!$D:$D=M140,Data!$B:$B=$A140)),"""")"),"")</f>
        <v/>
      </c>
      <c r="Z140" s="64" t="str">
        <f>IFERROR(__xludf.DUMMYFUNCTION("IFERROR(SPLIT(N140,"",""),"""")"),"")</f>
        <v/>
      </c>
      <c r="AA140" s="65"/>
      <c r="AB140" s="65"/>
      <c r="AC140" s="69" t="str">
        <f>IFERROR(__xludf.DUMMYFUNCTION("IFERROR(SPLIT(O140,"",""),"""")"),"")</f>
        <v/>
      </c>
      <c r="AD140" s="65"/>
      <c r="AE140" s="65"/>
      <c r="AF140" s="69" t="str">
        <f>IFERROR(__xludf.DUMMYFUNCTION("IFERROR(SPLIT(P140,"",""),"""")"),"")</f>
        <v/>
      </c>
      <c r="AG140" s="65"/>
      <c r="AH140" s="65"/>
      <c r="AI140" s="69" t="str">
        <f>IFERROR(__xludf.DUMMYFUNCTION("IFERROR(SPLIT(Q140,"",""),"""")"),"")</f>
        <v/>
      </c>
      <c r="AJ140" s="65"/>
      <c r="AK140" s="65"/>
      <c r="AL140" s="69" t="str">
        <f>IFERROR(__xludf.DUMMYFUNCTION("IFERROR(SPLIT(R140,"",""),"""")"),"")</f>
        <v/>
      </c>
      <c r="AM140" s="65"/>
      <c r="AN140" s="65"/>
      <c r="AO140" s="69" t="str">
        <f>IFERROR(__xludf.DUMMYFUNCTION("IFERROR(SPLIT(S140,"",""),"""")"),"")</f>
        <v/>
      </c>
      <c r="AP140" s="65"/>
      <c r="AQ140" s="65"/>
      <c r="AR140" s="69" t="str">
        <f>IFERROR(__xludf.DUMMYFUNCTION("IFERROR(SPLIT(T140,"",""),"""")"),"")</f>
        <v/>
      </c>
      <c r="AS140" s="65"/>
      <c r="AT140" s="65"/>
      <c r="AU140" s="69" t="str">
        <f>IFERROR(__xludf.DUMMYFUNCTION("IFERROR(SPLIT(U140,"",""),"""")"),"")</f>
        <v/>
      </c>
      <c r="AV140" s="65"/>
      <c r="AW140" s="65"/>
      <c r="AX140" s="69" t="str">
        <f>IFERROR(__xludf.DUMMYFUNCTION("IFERROR(SPLIT(V140,"",""),"""")"),"")</f>
        <v/>
      </c>
      <c r="AY140" s="65"/>
      <c r="AZ140" s="65"/>
      <c r="BA140" s="69" t="str">
        <f>IFERROR(__xludf.DUMMYFUNCTION("IFERROR(SPLIT(W140,"",""),"""")"),"")</f>
        <v/>
      </c>
      <c r="BB140" s="69"/>
      <c r="BC140" s="69"/>
      <c r="BD140" s="69" t="str">
        <f>IFERROR(__xludf.DUMMYFUNCTION("IFERROR(SPLIT(X140,"",""),"""")"),"")</f>
        <v/>
      </c>
      <c r="BE140" s="69"/>
      <c r="BF140" s="69"/>
      <c r="BG140" s="69" t="str">
        <f>IFERROR(__xludf.DUMMYFUNCTION("IFERROR(SPLIT(Y140,"",""),"""")"),"")</f>
        <v/>
      </c>
      <c r="BH140" s="69"/>
      <c r="BI140" s="69"/>
      <c r="BJ140" s="68" t="str">
        <f>IFERROR(__xludf.DUMMYFUNCTION("IF($B140&lt;&gt;"""",IFERROR(FILTER(RawTotals!$AJ:$AJ,RawTotals!$A:$A=Z140)-(FILTER(Data!$K:$K,Data!$B:$B=Z140,Data!$D:$D=$B140)+FILTER(Data!$L:$L,Data!$B:$B=Z140,Data!$D:$D=$B140)),""""),"""")"),"")</f>
        <v/>
      </c>
      <c r="BK140" s="68" t="str">
        <f>IFERROR(__xludf.DUMMYFUNCTION("IF($B140&lt;&gt;"""",IFERROR(FILTER(RawTotals!$AJ:$AJ,RawTotals!$A:$A=AA140)-(FILTER(Data!$K:$K,Data!$B:$B=AA140,Data!$D:$D=$B140)+FILTER(Data!$L:$L,Data!$B:$B=AA140,Data!$D:$D=$B140)),""""),"""")"),"")</f>
        <v/>
      </c>
      <c r="BL140" s="68" t="str">
        <f>IFERROR(__xludf.DUMMYFUNCTION("IF($B140&lt;&gt;"""",IFERROR(FILTER(RawTotals!$AJ:$AJ,RawTotals!$A:$A=AB140)-(FILTER(Data!$K:$K,Data!$B:$B=AB140,Data!$D:$D=$B140)+FILTER(Data!$L:$L,Data!$B:$B=AB140,Data!$D:$D=$B140)),""""),"""")"),"")</f>
        <v/>
      </c>
      <c r="BM140" s="69" t="str">
        <f>IFERROR(__xludf.DUMMYFUNCTION("IF($C140&lt;&gt;"""",IFERROR(FILTER(RawTotals!$AJ:$AJ,RawTotals!$A:$A=AC140)-(FILTER(Data!$K:$K,Data!$B:$B=AC140,Data!$D:$D=$C140)+FILTER(Data!$L:$L,Data!$B:$B=AC140,Data!$D:$D=$C140)),""""),"""")"),"")</f>
        <v/>
      </c>
      <c r="BN140" s="69" t="str">
        <f>IFERROR(__xludf.DUMMYFUNCTION("IF($C140&lt;&gt;"""",IFERROR(FILTER(RawTotals!$AJ:$AJ,RawTotals!$A:$A=AD140)-(FILTER(Data!$K:$K,Data!$B:$B=AD140,Data!$D:$D=$C140)+FILTER(Data!$L:$L,Data!$B:$B=AD140,Data!$D:$D=$C140)),""""),"""")"),"")</f>
        <v/>
      </c>
      <c r="BO140" s="69" t="str">
        <f>IFERROR(__xludf.DUMMYFUNCTION("IF($C140&lt;&gt;"""",IFERROR(FILTER(RawTotals!$AJ:$AJ,RawTotals!$A:$A=AE140)-(FILTER(Data!$K:$K,Data!$B:$B=AE140,Data!$D:$D=$C140)+FILTER(Data!$L:$L,Data!$B:$B=AE140,Data!$D:$D=$C140)),""""),"""")"),"")</f>
        <v/>
      </c>
      <c r="BP140" s="69" t="str">
        <f>IFERROR(__xludf.DUMMYFUNCTION("IF($D140&lt;&gt;"""",IFERROR(FILTER(RawTotals!$AJ:$AJ,RawTotals!$A:$A=AF140)-(FILTER(Data!$K:$K,Data!$B:$B=AF140,Data!$D:$D=$D140)+FILTER(Data!$L:$L,Data!$B:$B=AF140,Data!$D:$D=$D140)),""""),"""")"),"")</f>
        <v/>
      </c>
      <c r="BQ140" s="69" t="str">
        <f>IFERROR(__xludf.DUMMYFUNCTION("IF($D140&lt;&gt;"""",IFERROR(FILTER(RawTotals!$AJ:$AJ,RawTotals!$A:$A=AG140)-(FILTER(Data!$K:$K,Data!$B:$B=AG140,Data!$D:$D=$D140)+FILTER(Data!$L:$L,Data!$B:$B=AG140,Data!$D:$D=$D140)),""""),"""")"),"")</f>
        <v/>
      </c>
      <c r="BR140" s="69" t="str">
        <f>IFERROR(__xludf.DUMMYFUNCTION("IF($D140&lt;&gt;"""",IFERROR(FILTER(RawTotals!$AJ:$AJ,RawTotals!$A:$A=AH140)-(FILTER(Data!$K:$K,Data!$B:$B=AH140,Data!$D:$D=$D140)+FILTER(Data!$L:$L,Data!$B:$B=AH140,Data!$D:$D=$D140)),""""),"""")"),"")</f>
        <v/>
      </c>
      <c r="BS140" s="69" t="str">
        <f>IFERROR(__xludf.DUMMYFUNCTION("IF($E140&lt;&gt;"""",IFERROR(FILTER(RawTotals!$AJ:$AJ,RawTotals!$A:$A=AI140)-(FILTER(Data!$K:$K,Data!$B:$B=AI140,Data!$D:$D=$E140)+FILTER(Data!$L:$L,Data!$B:$B=AI140,Data!$D:$D=$E140)),""""),"""")"),"")</f>
        <v/>
      </c>
      <c r="BT140" s="69" t="str">
        <f>IFERROR(__xludf.DUMMYFUNCTION("IF($E140&lt;&gt;"""",IFERROR(FILTER(RawTotals!$AJ:$AJ,RawTotals!$A:$A=AJ140)-(FILTER(Data!$K:$K,Data!$B:$B=AJ140,Data!$D:$D=$E140)+FILTER(Data!$L:$L,Data!$B:$B=AJ140,Data!$D:$D=$E140)),""""),"""")"),"")</f>
        <v/>
      </c>
      <c r="BU140" s="69" t="str">
        <f>IFERROR(__xludf.DUMMYFUNCTION("IF($E140&lt;&gt;"""",IFERROR(FILTER(RawTotals!$AJ:$AJ,RawTotals!$A:$A=AK140)-(FILTER(Data!$K:$K,Data!$B:$B=AK140,Data!$D:$D=$E140)+FILTER(Data!$L:$L,Data!$B:$B=AK140,Data!$D:$D=$E140)),""""),"""")"),"")</f>
        <v/>
      </c>
      <c r="BV140" s="69" t="str">
        <f>IFERROR(__xludf.DUMMYFUNCTION("IF($F140&lt;&gt;"""",IFERROR(FILTER(RawTotals!$AJ:$AJ,RawTotals!$A:$A=AL140)-(FILTER(Data!$K:$K,Data!$B:$B=AL140,Data!$D:$D=$F140)+FILTER(Data!$L:$L,Data!$B:$B=AL140,Data!$D:$D=$F140)),""""),"""")"),"")</f>
        <v/>
      </c>
      <c r="BW140" s="69" t="str">
        <f>IFERROR(__xludf.DUMMYFUNCTION("IF($F140&lt;&gt;"""",IFERROR(FILTER(RawTotals!$AJ:$AJ,RawTotals!$A:$A=AM140)-(FILTER(Data!$K:$K,Data!$B:$B=AM140,Data!$D:$D=$F140)+FILTER(Data!$L:$L,Data!$B:$B=AM140,Data!$D:$D=$F140)),""""),"""")"),"")</f>
        <v/>
      </c>
      <c r="BX140" s="69" t="str">
        <f>IFERROR(__xludf.DUMMYFUNCTION("IF($F140&lt;&gt;"""",IFERROR(FILTER(RawTotals!$AJ:$AJ,RawTotals!$A:$A=AN140)-(FILTER(Data!$K:$K,Data!$B:$B=AN140,Data!$D:$D=$F140)+FILTER(Data!$L:$L,Data!$B:$B=AN140,Data!$D:$D=$F140)),""""),"""")"),"")</f>
        <v/>
      </c>
      <c r="BY140" s="69" t="str">
        <f>IFERROR(__xludf.DUMMYFUNCTION("IF($G140&lt;&gt;"""",IFERROR(FILTER(RawTotals!$AJ:$AJ,RawTotals!$A:$A=AO140)-(FILTER(Data!$K:$K,Data!$B:$B=AO140,Data!$D:$D=$G140)+FILTER(Data!$L:$L,Data!$B:$B=AO140,Data!$D:$D=$G140)),""""),"""")"),"")</f>
        <v/>
      </c>
      <c r="BZ140" s="69" t="str">
        <f>IFERROR(__xludf.DUMMYFUNCTION("IF($G140&lt;&gt;"""",IFERROR(FILTER(RawTotals!$AJ:$AJ,RawTotals!$A:$A=AP140)-(FILTER(Data!$K:$K,Data!$B:$B=AP140,Data!$D:$D=$G140)+FILTER(Data!$L:$L,Data!$B:$B=AP140,Data!$D:$D=$G140)),""""),"""")"),"")</f>
        <v/>
      </c>
      <c r="CA140" s="69" t="str">
        <f>IFERROR(__xludf.DUMMYFUNCTION("IF($G140&lt;&gt;"""",IFERROR(FILTER(RawTotals!$AJ:$AJ,RawTotals!$A:$A=AQ140)-(FILTER(Data!$K:$K,Data!$B:$B=AQ140,Data!$D:$D=$G140)+FILTER(Data!$L:$L,Data!$B:$B=AQ140,Data!$D:$D=$G140)),""""),"""")"),"")</f>
        <v/>
      </c>
      <c r="CB140" s="69" t="str">
        <f>IFERROR(__xludf.DUMMYFUNCTION("IF($H140&lt;&gt;"""",IFERROR(FILTER(RawTotals!$AJ:$AJ,RawTotals!$A:$A=AR140)-(FILTER(Data!$K:$K,Data!$B:$B=AR140,Data!$D:$D=$H140)+FILTER(Data!$L:$L,Data!$B:$B=AR140,Data!$D:$D=$H140)),""""),"""")"),"")</f>
        <v/>
      </c>
      <c r="CC140" s="69" t="str">
        <f>IFERROR(__xludf.DUMMYFUNCTION("IF($H140&lt;&gt;"""",IFERROR(FILTER(RawTotals!$AJ:$AJ,RawTotals!$A:$A=AS140)-(FILTER(Data!$K:$K,Data!$B:$B=AS140,Data!$D:$D=$H140)+FILTER(Data!$L:$L,Data!$B:$B=AS140,Data!$D:$D=$H140)),""""),"""")"),"")</f>
        <v/>
      </c>
      <c r="CD140" s="69" t="str">
        <f>IFERROR(__xludf.DUMMYFUNCTION("IF($H140&lt;&gt;"""",IFERROR(FILTER(RawTotals!$AJ:$AJ,RawTotals!$A:$A=AT140)-(FILTER(Data!$K:$K,Data!$B:$B=AT140,Data!$D:$D=$H140)+FILTER(Data!$L:$L,Data!$B:$B=AT140,Data!$D:$D=$H140)),""""),"""")"),"")</f>
        <v/>
      </c>
      <c r="CE140" s="69" t="str">
        <f>IFERROR(__xludf.DUMMYFUNCTION("IF($I140&lt;&gt;"""",IFERROR(FILTER(RawTotals!$AJ:$AJ,RawTotals!$A:$A=AU140)-(FILTER(Data!$K:$K,Data!$B:$B=AU140,Data!$D:$D=$I140)+FILTER(Data!$L:$L,Data!$B:$B=AU140,Data!$D:$D=$I140)),""""),"""")"),"")</f>
        <v/>
      </c>
      <c r="CF140" s="69" t="str">
        <f>IFERROR(__xludf.DUMMYFUNCTION("IF($I140&lt;&gt;"""",IFERROR(FILTER(RawTotals!$AJ:$AJ,RawTotals!$A:$A=AV140)-(FILTER(Data!$K:$K,Data!$B:$B=AV140,Data!$D:$D=$I140)+FILTER(Data!$L:$L,Data!$B:$B=AV140,Data!$D:$D=$I140)),""""),"""")"),"")</f>
        <v/>
      </c>
      <c r="CG140" s="69" t="str">
        <f>IFERROR(__xludf.DUMMYFUNCTION("IF($I140&lt;&gt;"""",IFERROR(FILTER(RawTotals!$AJ:$AJ,RawTotals!$A:$A=AW140)-(FILTER(Data!$K:$K,Data!$B:$B=AW140,Data!$D:$D=$I140)+FILTER(Data!$L:$L,Data!$B:$B=AW140,Data!$D:$D=$I140)),""""),"""")"),"")</f>
        <v/>
      </c>
      <c r="CH140" s="69" t="str">
        <f>IFERROR(__xludf.DUMMYFUNCTION("IF($J140&lt;&gt;"""",IFERROR(FILTER(RawTotals!$AJ:$AJ,RawTotals!$A:$A=AX140)-(FILTER(Data!$K:$K,Data!$B:$B=AX140,Data!$D:$D=$J140)+FILTER(Data!$L:$L,Data!$B:$B=AX140,Data!$D:$D=$J140)),""""),"""")"),"")</f>
        <v/>
      </c>
      <c r="CI140" s="69" t="str">
        <f>IFERROR(__xludf.DUMMYFUNCTION("IF($J140&lt;&gt;"""",IFERROR(FILTER(RawTotals!$AJ:$AJ,RawTotals!$A:$A=AY140)-(FILTER(Data!$K:$K,Data!$B:$B=AY140,Data!$D:$D=$J140)+FILTER(Data!$L:$L,Data!$B:$B=AY140,Data!$D:$D=$J140)),""""),"""")"),"")</f>
        <v/>
      </c>
      <c r="CJ140" s="69" t="str">
        <f>IFERROR(__xludf.DUMMYFUNCTION("IF($J140&lt;&gt;"""",IFERROR(FILTER(RawTotals!$AJ:$AJ,RawTotals!$A:$A=AZ140)-(FILTER(Data!$K:$K,Data!$B:$B=AZ140,Data!$D:$D=$J140)+FILTER(Data!$L:$L,Data!$B:$B=AZ140,Data!$D:$D=$J140)),""""),"""")"),"")</f>
        <v/>
      </c>
      <c r="CK140" s="69" t="str">
        <f>IFERROR(__xludf.DUMMYFUNCTION("IF($K140&lt;&gt;"""",IFERROR(FILTER(RawTotals!$AJ:$AJ,RawTotals!$A:$A=BA140)-(FILTER(Data!$K:$K,Data!$B:$B=BA140,Data!$D:$D=$K140)+FILTER(Data!$L:$L,Data!$B:$B=BA140,Data!$D:$D=$K140)),""""),"""")"),"")</f>
        <v/>
      </c>
      <c r="CL140" s="69" t="str">
        <f>IFERROR(__xludf.DUMMYFUNCTION("IF($K140&lt;&gt;"""",IFERROR(FILTER(RawTotals!$AJ:$AJ,RawTotals!$A:$A=BB140)-(FILTER(Data!$K:$K,Data!$B:$B=BB140,Data!$D:$D=$K140)+FILTER(Data!$L:$L,Data!$B:$B=BB140,Data!$D:$D=$K140)),""""),"""")"),"")</f>
        <v/>
      </c>
      <c r="CM140" s="69" t="str">
        <f>IFERROR(__xludf.DUMMYFUNCTION("IF($K140&lt;&gt;"""",IFERROR(FILTER(RawTotals!$AJ:$AJ,RawTotals!$A:$A=BC140)-(FILTER(Data!$K:$K,Data!$B:$B=BC140,Data!$D:$D=$K140)+FILTER(Data!$L:$L,Data!$B:$B=BC140,Data!$D:$D=$K140)),""""),"""")"),"")</f>
        <v/>
      </c>
      <c r="CN140" s="69" t="str">
        <f>IFERROR(__xludf.DUMMYFUNCTION("IF($L140&lt;&gt;"""",IFERROR((FILTER(RawTotals!$AJ:$AJ,RawTotals!$A:$A=BD140)-(FILTER(Data!$K:$K,Data!$B:$B=BD140,Data!$D:$D=$L140)+FILTER(Data!$L:$L,Data!$B:$B=BD140,Data!$D:$D=$L140))),""""),"""")"),"")</f>
        <v/>
      </c>
      <c r="CO140" s="69" t="str">
        <f>IFERROR(__xludf.DUMMYFUNCTION("IF($L140&lt;&gt;"""",IFERROR((FILTER(RawTotals!$AJ:$AJ,RawTotals!$A:$A=BE140)-(FILTER(Data!$K:$K,Data!$B:$B=BE140,Data!$D:$D=$L140)+FILTER(Data!$L:$L,Data!$B:$B=BE140,Data!$D:$D=$L140))),""""),"""")"),"")</f>
        <v/>
      </c>
      <c r="CP140" s="69" t="str">
        <f>IFERROR(__xludf.DUMMYFUNCTION("IF($L140&lt;&gt;"""",IFERROR((FILTER(RawTotals!$AJ:$AJ,RawTotals!$A:$A=BF140)-(FILTER(Data!$K:$K,Data!$B:$B=BF140,Data!$D:$D=$L140)+FILTER(Data!$L:$L,Data!$B:$B=BF140,Data!$D:$D=$L140))),""""),"""")"),"")</f>
        <v/>
      </c>
      <c r="CQ140" s="69" t="str">
        <f>IFERROR(__xludf.DUMMYFUNCTION("IF($M140&lt;&gt;"""",IFERROR((FILTER(RawTotals!$AJ:$AJ,RawTotals!$A:$A=BG140)-(FILTER(Data!$K:$K,Data!$B:$B=BG140,Data!$D:$D=$M140)+FILTER(Data!$L:$L,Data!$B:$B=BG140,Data!$D:$D=$M140))),""""),"""")"),"")</f>
        <v/>
      </c>
      <c r="CR140" s="69" t="str">
        <f>IFERROR(__xludf.DUMMYFUNCTION("IF($M140&lt;&gt;"""",IFERROR((FILTER(RawTotals!$AJ:$AJ,RawTotals!$A:$A=BH140)-(FILTER(Data!$K:$K,Data!$B:$B=BH140,Data!$D:$D=$M140)+FILTER(Data!$L:$L,Data!$B:$B=BH140,Data!$D:$D=$M140))),""""),"""")"),"")</f>
        <v/>
      </c>
      <c r="CS140" s="70" t="str">
        <f>IFERROR(__xludf.DUMMYFUNCTION("IF($M140&lt;&gt;"""",IFERROR((FILTER(RawTotals!$AJ:$AJ,RawTotals!$A:$A=BI140)-(FILTER(Data!$K:$K,Data!$B:$B=BI140,Data!$D:$D=$M140)+FILTER(Data!$L:$L,Data!$B:$B=BI140,Data!$D:$D=$M140))),""""),"""")"),"")</f>
        <v/>
      </c>
      <c r="CT140" s="69"/>
      <c r="CU140" s="69"/>
      <c r="CV140" s="69"/>
      <c r="CW140" s="69"/>
      <c r="CX140" s="69"/>
      <c r="CY140" s="69"/>
      <c r="CZ140" s="69"/>
      <c r="DA140" s="69"/>
      <c r="DB140" s="69"/>
      <c r="DC140" s="69"/>
      <c r="DD140" s="69"/>
      <c r="DE140" s="69"/>
    </row>
    <row r="141">
      <c r="A141" s="65" t="str">
        <f>RawTotals!A141</f>
        <v/>
      </c>
      <c r="B141" s="68" t="str">
        <f>IFERROR(__xludf.DUMMYFUNCTION("IF(A141&lt;&gt;"""",IFERROR(TRANSPOSE(FILTER(Data!D:D,Data!B:B=A141,Data!R:R&lt;&gt;"""")),""No Defense""),"""")"),"")</f>
        <v/>
      </c>
      <c r="C141" s="65"/>
      <c r="D141" s="65"/>
      <c r="E141" s="65"/>
      <c r="F141" s="65"/>
      <c r="G141" s="65"/>
      <c r="H141" s="65"/>
      <c r="I141" s="65"/>
      <c r="J141" s="65"/>
      <c r="K141" s="65"/>
      <c r="L141" s="65"/>
      <c r="M141" s="65"/>
      <c r="N141" s="64" t="str">
        <f>IFERROR(__xludf.DUMMYFUNCTION("IFERROR(Textjoin("""",TRUE,FILTER(Data!$R:$R,Data!$D:$D=B141,Data!$B:$B=$A141)),"""")"),"")</f>
        <v/>
      </c>
      <c r="O141" s="64" t="str">
        <f>IFERROR(__xludf.DUMMYFUNCTION("IFERROR(Textjoin("""",TRUE,FILTER(Data!$R:$R,Data!$D:$D=C141,Data!$B:$B=$A141)),"""")"),"")</f>
        <v/>
      </c>
      <c r="P141" s="64" t="str">
        <f>IFERROR(__xludf.DUMMYFUNCTION("IFERROR(Textjoin("""",TRUE,FILTER(Data!$R:$R,Data!$D:$D=D141,Data!$B:$B=$A141)),"""")"),"")</f>
        <v/>
      </c>
      <c r="Q141" s="64" t="str">
        <f>IFERROR(__xludf.DUMMYFUNCTION("IFERROR(Textjoin("""",TRUE,FILTER(Data!$R:$R,Data!$D:$D=E141,Data!$B:$B=$A141)),"""")"),"")</f>
        <v/>
      </c>
      <c r="R141" s="64" t="str">
        <f>IFERROR(__xludf.DUMMYFUNCTION("IFERROR(Textjoin("""",TRUE,FILTER(Data!$R:$R,Data!$D:$D=F141,Data!$B:$B=$A141)),"""")"),"")</f>
        <v/>
      </c>
      <c r="S141" s="64" t="str">
        <f>IFERROR(__xludf.DUMMYFUNCTION("IFERROR(Textjoin("""",TRUE,FILTER(Data!$R:$R,Data!$D:$D=G141,Data!$B:$B=$A141)),"""")"),"")</f>
        <v/>
      </c>
      <c r="T141" s="64" t="str">
        <f>IFERROR(__xludf.DUMMYFUNCTION("IFERROR(Textjoin("""",TRUE,FILTER(Data!$R:$R,Data!$D:$D=H141,Data!$B:$B=$A141)),"""")"),"")</f>
        <v/>
      </c>
      <c r="U141" s="64" t="str">
        <f>IFERROR(__xludf.DUMMYFUNCTION("IFERROR(Textjoin("""",TRUE,FILTER(Data!$R:$R,Data!$D:$D=I141,Data!$B:$B=$A141)),"""")"),"")</f>
        <v/>
      </c>
      <c r="V141" s="64" t="str">
        <f>IFERROR(__xludf.DUMMYFUNCTION("IFERROR(Textjoin("""",TRUE,FILTER(Data!$R:$R,Data!$D:$D=J141,Data!$B:$B=$A141)),"""")"),"")</f>
        <v/>
      </c>
      <c r="W141" s="64" t="str">
        <f>IFERROR(__xludf.DUMMYFUNCTION("IFERROR(Textjoin("""",TRUE,FILTER(Data!$R:$R,Data!$D:$D=K141,Data!$B:$B=$A141)),"""")"),"")</f>
        <v/>
      </c>
      <c r="X141" s="64" t="str">
        <f>IFERROR(__xludf.DUMMYFUNCTION("IFERROR(Textjoin("""",TRUE,FILTER(Data!$R:$R,Data!$D:$D=L141,Data!$B:$B=$A141)),"""")"),"")</f>
        <v/>
      </c>
      <c r="Y141" s="64" t="str">
        <f>IFERROR(__xludf.DUMMYFUNCTION("IFERROR(Textjoin("""",TRUE,FILTER(Data!$R:$R,Data!$D:$D=M141,Data!$B:$B=$A141)),"""")"),"")</f>
        <v/>
      </c>
      <c r="Z141" s="64" t="str">
        <f>IFERROR(__xludf.DUMMYFUNCTION("IFERROR(SPLIT(N141,"",""),"""")"),"")</f>
        <v/>
      </c>
      <c r="AA141" s="65"/>
      <c r="AB141" s="65"/>
      <c r="AC141" s="69" t="str">
        <f>IFERROR(__xludf.DUMMYFUNCTION("IFERROR(SPLIT(O141,"",""),"""")"),"")</f>
        <v/>
      </c>
      <c r="AD141" s="65"/>
      <c r="AE141" s="65"/>
      <c r="AF141" s="69" t="str">
        <f>IFERROR(__xludf.DUMMYFUNCTION("IFERROR(SPLIT(P141,"",""),"""")"),"")</f>
        <v/>
      </c>
      <c r="AG141" s="65"/>
      <c r="AH141" s="65"/>
      <c r="AI141" s="69" t="str">
        <f>IFERROR(__xludf.DUMMYFUNCTION("IFERROR(SPLIT(Q141,"",""),"""")"),"")</f>
        <v/>
      </c>
      <c r="AJ141" s="65"/>
      <c r="AK141" s="65"/>
      <c r="AL141" s="69" t="str">
        <f>IFERROR(__xludf.DUMMYFUNCTION("IFERROR(SPLIT(R141,"",""),"""")"),"")</f>
        <v/>
      </c>
      <c r="AM141" s="65"/>
      <c r="AN141" s="65"/>
      <c r="AO141" s="69" t="str">
        <f>IFERROR(__xludf.DUMMYFUNCTION("IFERROR(SPLIT(S141,"",""),"""")"),"")</f>
        <v/>
      </c>
      <c r="AP141" s="65"/>
      <c r="AQ141" s="65"/>
      <c r="AR141" s="69" t="str">
        <f>IFERROR(__xludf.DUMMYFUNCTION("IFERROR(SPLIT(T141,"",""),"""")"),"")</f>
        <v/>
      </c>
      <c r="AS141" s="65"/>
      <c r="AT141" s="65"/>
      <c r="AU141" s="69" t="str">
        <f>IFERROR(__xludf.DUMMYFUNCTION("IFERROR(SPLIT(U141,"",""),"""")"),"")</f>
        <v/>
      </c>
      <c r="AV141" s="65"/>
      <c r="AW141" s="65"/>
      <c r="AX141" s="69" t="str">
        <f>IFERROR(__xludf.DUMMYFUNCTION("IFERROR(SPLIT(V141,"",""),"""")"),"")</f>
        <v/>
      </c>
      <c r="AY141" s="65"/>
      <c r="AZ141" s="65"/>
      <c r="BA141" s="69" t="str">
        <f>IFERROR(__xludf.DUMMYFUNCTION("IFERROR(SPLIT(W141,"",""),"""")"),"")</f>
        <v/>
      </c>
      <c r="BB141" s="69"/>
      <c r="BC141" s="69"/>
      <c r="BD141" s="69" t="str">
        <f>IFERROR(__xludf.DUMMYFUNCTION("IFERROR(SPLIT(X141,"",""),"""")"),"")</f>
        <v/>
      </c>
      <c r="BE141" s="69"/>
      <c r="BF141" s="69"/>
      <c r="BG141" s="69" t="str">
        <f>IFERROR(__xludf.DUMMYFUNCTION("IFERROR(SPLIT(Y141,"",""),"""")"),"")</f>
        <v/>
      </c>
      <c r="BH141" s="69"/>
      <c r="BI141" s="69"/>
      <c r="BJ141" s="68" t="str">
        <f>IFERROR(__xludf.DUMMYFUNCTION("IF($B141&lt;&gt;"""",IFERROR(FILTER(RawTotals!$AJ:$AJ,RawTotals!$A:$A=Z141)-(FILTER(Data!$K:$K,Data!$B:$B=Z141,Data!$D:$D=$B141)+FILTER(Data!$L:$L,Data!$B:$B=Z141,Data!$D:$D=$B141)),""""),"""")"),"")</f>
        <v/>
      </c>
      <c r="BK141" s="68" t="str">
        <f>IFERROR(__xludf.DUMMYFUNCTION("IF($B141&lt;&gt;"""",IFERROR(FILTER(RawTotals!$AJ:$AJ,RawTotals!$A:$A=AA141)-(FILTER(Data!$K:$K,Data!$B:$B=AA141,Data!$D:$D=$B141)+FILTER(Data!$L:$L,Data!$B:$B=AA141,Data!$D:$D=$B141)),""""),"""")"),"")</f>
        <v/>
      </c>
      <c r="BL141" s="68" t="str">
        <f>IFERROR(__xludf.DUMMYFUNCTION("IF($B141&lt;&gt;"""",IFERROR(FILTER(RawTotals!$AJ:$AJ,RawTotals!$A:$A=AB141)-(FILTER(Data!$K:$K,Data!$B:$B=AB141,Data!$D:$D=$B141)+FILTER(Data!$L:$L,Data!$B:$B=AB141,Data!$D:$D=$B141)),""""),"""")"),"")</f>
        <v/>
      </c>
      <c r="BM141" s="69" t="str">
        <f>IFERROR(__xludf.DUMMYFUNCTION("IF($C141&lt;&gt;"""",IFERROR(FILTER(RawTotals!$AJ:$AJ,RawTotals!$A:$A=AC141)-(FILTER(Data!$K:$K,Data!$B:$B=AC141,Data!$D:$D=$C141)+FILTER(Data!$L:$L,Data!$B:$B=AC141,Data!$D:$D=$C141)),""""),"""")"),"")</f>
        <v/>
      </c>
      <c r="BN141" s="69" t="str">
        <f>IFERROR(__xludf.DUMMYFUNCTION("IF($C141&lt;&gt;"""",IFERROR(FILTER(RawTotals!$AJ:$AJ,RawTotals!$A:$A=AD141)-(FILTER(Data!$K:$K,Data!$B:$B=AD141,Data!$D:$D=$C141)+FILTER(Data!$L:$L,Data!$B:$B=AD141,Data!$D:$D=$C141)),""""),"""")"),"")</f>
        <v/>
      </c>
      <c r="BO141" s="69" t="str">
        <f>IFERROR(__xludf.DUMMYFUNCTION("IF($C141&lt;&gt;"""",IFERROR(FILTER(RawTotals!$AJ:$AJ,RawTotals!$A:$A=AE141)-(FILTER(Data!$K:$K,Data!$B:$B=AE141,Data!$D:$D=$C141)+FILTER(Data!$L:$L,Data!$B:$B=AE141,Data!$D:$D=$C141)),""""),"""")"),"")</f>
        <v/>
      </c>
      <c r="BP141" s="69" t="str">
        <f>IFERROR(__xludf.DUMMYFUNCTION("IF($D141&lt;&gt;"""",IFERROR(FILTER(RawTotals!$AJ:$AJ,RawTotals!$A:$A=AF141)-(FILTER(Data!$K:$K,Data!$B:$B=AF141,Data!$D:$D=$D141)+FILTER(Data!$L:$L,Data!$B:$B=AF141,Data!$D:$D=$D141)),""""),"""")"),"")</f>
        <v/>
      </c>
      <c r="BQ141" s="69" t="str">
        <f>IFERROR(__xludf.DUMMYFUNCTION("IF($D141&lt;&gt;"""",IFERROR(FILTER(RawTotals!$AJ:$AJ,RawTotals!$A:$A=AG141)-(FILTER(Data!$K:$K,Data!$B:$B=AG141,Data!$D:$D=$D141)+FILTER(Data!$L:$L,Data!$B:$B=AG141,Data!$D:$D=$D141)),""""),"""")"),"")</f>
        <v/>
      </c>
      <c r="BR141" s="69" t="str">
        <f>IFERROR(__xludf.DUMMYFUNCTION("IF($D141&lt;&gt;"""",IFERROR(FILTER(RawTotals!$AJ:$AJ,RawTotals!$A:$A=AH141)-(FILTER(Data!$K:$K,Data!$B:$B=AH141,Data!$D:$D=$D141)+FILTER(Data!$L:$L,Data!$B:$B=AH141,Data!$D:$D=$D141)),""""),"""")"),"")</f>
        <v/>
      </c>
      <c r="BS141" s="69" t="str">
        <f>IFERROR(__xludf.DUMMYFUNCTION("IF($E141&lt;&gt;"""",IFERROR(FILTER(RawTotals!$AJ:$AJ,RawTotals!$A:$A=AI141)-(FILTER(Data!$K:$K,Data!$B:$B=AI141,Data!$D:$D=$E141)+FILTER(Data!$L:$L,Data!$B:$B=AI141,Data!$D:$D=$E141)),""""),"""")"),"")</f>
        <v/>
      </c>
      <c r="BT141" s="69" t="str">
        <f>IFERROR(__xludf.DUMMYFUNCTION("IF($E141&lt;&gt;"""",IFERROR(FILTER(RawTotals!$AJ:$AJ,RawTotals!$A:$A=AJ141)-(FILTER(Data!$K:$K,Data!$B:$B=AJ141,Data!$D:$D=$E141)+FILTER(Data!$L:$L,Data!$B:$B=AJ141,Data!$D:$D=$E141)),""""),"""")"),"")</f>
        <v/>
      </c>
      <c r="BU141" s="69" t="str">
        <f>IFERROR(__xludf.DUMMYFUNCTION("IF($E141&lt;&gt;"""",IFERROR(FILTER(RawTotals!$AJ:$AJ,RawTotals!$A:$A=AK141)-(FILTER(Data!$K:$K,Data!$B:$B=AK141,Data!$D:$D=$E141)+FILTER(Data!$L:$L,Data!$B:$B=AK141,Data!$D:$D=$E141)),""""),"""")"),"")</f>
        <v/>
      </c>
      <c r="BV141" s="69" t="str">
        <f>IFERROR(__xludf.DUMMYFUNCTION("IF($F141&lt;&gt;"""",IFERROR(FILTER(RawTotals!$AJ:$AJ,RawTotals!$A:$A=AL141)-(FILTER(Data!$K:$K,Data!$B:$B=AL141,Data!$D:$D=$F141)+FILTER(Data!$L:$L,Data!$B:$B=AL141,Data!$D:$D=$F141)),""""),"""")"),"")</f>
        <v/>
      </c>
      <c r="BW141" s="69" t="str">
        <f>IFERROR(__xludf.DUMMYFUNCTION("IF($F141&lt;&gt;"""",IFERROR(FILTER(RawTotals!$AJ:$AJ,RawTotals!$A:$A=AM141)-(FILTER(Data!$K:$K,Data!$B:$B=AM141,Data!$D:$D=$F141)+FILTER(Data!$L:$L,Data!$B:$B=AM141,Data!$D:$D=$F141)),""""),"""")"),"")</f>
        <v/>
      </c>
      <c r="BX141" s="69" t="str">
        <f>IFERROR(__xludf.DUMMYFUNCTION("IF($F141&lt;&gt;"""",IFERROR(FILTER(RawTotals!$AJ:$AJ,RawTotals!$A:$A=AN141)-(FILTER(Data!$K:$K,Data!$B:$B=AN141,Data!$D:$D=$F141)+FILTER(Data!$L:$L,Data!$B:$B=AN141,Data!$D:$D=$F141)),""""),"""")"),"")</f>
        <v/>
      </c>
      <c r="BY141" s="69" t="str">
        <f>IFERROR(__xludf.DUMMYFUNCTION("IF($G141&lt;&gt;"""",IFERROR(FILTER(RawTotals!$AJ:$AJ,RawTotals!$A:$A=AO141)-(FILTER(Data!$K:$K,Data!$B:$B=AO141,Data!$D:$D=$G141)+FILTER(Data!$L:$L,Data!$B:$B=AO141,Data!$D:$D=$G141)),""""),"""")"),"")</f>
        <v/>
      </c>
      <c r="BZ141" s="69" t="str">
        <f>IFERROR(__xludf.DUMMYFUNCTION("IF($G141&lt;&gt;"""",IFERROR(FILTER(RawTotals!$AJ:$AJ,RawTotals!$A:$A=AP141)-(FILTER(Data!$K:$K,Data!$B:$B=AP141,Data!$D:$D=$G141)+FILTER(Data!$L:$L,Data!$B:$B=AP141,Data!$D:$D=$G141)),""""),"""")"),"")</f>
        <v/>
      </c>
      <c r="CA141" s="69" t="str">
        <f>IFERROR(__xludf.DUMMYFUNCTION("IF($G141&lt;&gt;"""",IFERROR(FILTER(RawTotals!$AJ:$AJ,RawTotals!$A:$A=AQ141)-(FILTER(Data!$K:$K,Data!$B:$B=AQ141,Data!$D:$D=$G141)+FILTER(Data!$L:$L,Data!$B:$B=AQ141,Data!$D:$D=$G141)),""""),"""")"),"")</f>
        <v/>
      </c>
      <c r="CB141" s="69" t="str">
        <f>IFERROR(__xludf.DUMMYFUNCTION("IF($H141&lt;&gt;"""",IFERROR(FILTER(RawTotals!$AJ:$AJ,RawTotals!$A:$A=AR141)-(FILTER(Data!$K:$K,Data!$B:$B=AR141,Data!$D:$D=$H141)+FILTER(Data!$L:$L,Data!$B:$B=AR141,Data!$D:$D=$H141)),""""),"""")"),"")</f>
        <v/>
      </c>
      <c r="CC141" s="69" t="str">
        <f>IFERROR(__xludf.DUMMYFUNCTION("IF($H141&lt;&gt;"""",IFERROR(FILTER(RawTotals!$AJ:$AJ,RawTotals!$A:$A=AS141)-(FILTER(Data!$K:$K,Data!$B:$B=AS141,Data!$D:$D=$H141)+FILTER(Data!$L:$L,Data!$B:$B=AS141,Data!$D:$D=$H141)),""""),"""")"),"")</f>
        <v/>
      </c>
      <c r="CD141" s="69" t="str">
        <f>IFERROR(__xludf.DUMMYFUNCTION("IF($H141&lt;&gt;"""",IFERROR(FILTER(RawTotals!$AJ:$AJ,RawTotals!$A:$A=AT141)-(FILTER(Data!$K:$K,Data!$B:$B=AT141,Data!$D:$D=$H141)+FILTER(Data!$L:$L,Data!$B:$B=AT141,Data!$D:$D=$H141)),""""),"""")"),"")</f>
        <v/>
      </c>
      <c r="CE141" s="69" t="str">
        <f>IFERROR(__xludf.DUMMYFUNCTION("IF($I141&lt;&gt;"""",IFERROR(FILTER(RawTotals!$AJ:$AJ,RawTotals!$A:$A=AU141)-(FILTER(Data!$K:$K,Data!$B:$B=AU141,Data!$D:$D=$I141)+FILTER(Data!$L:$L,Data!$B:$B=AU141,Data!$D:$D=$I141)),""""),"""")"),"")</f>
        <v/>
      </c>
      <c r="CF141" s="69" t="str">
        <f>IFERROR(__xludf.DUMMYFUNCTION("IF($I141&lt;&gt;"""",IFERROR(FILTER(RawTotals!$AJ:$AJ,RawTotals!$A:$A=AV141)-(FILTER(Data!$K:$K,Data!$B:$B=AV141,Data!$D:$D=$I141)+FILTER(Data!$L:$L,Data!$B:$B=AV141,Data!$D:$D=$I141)),""""),"""")"),"")</f>
        <v/>
      </c>
      <c r="CG141" s="69" t="str">
        <f>IFERROR(__xludf.DUMMYFUNCTION("IF($I141&lt;&gt;"""",IFERROR(FILTER(RawTotals!$AJ:$AJ,RawTotals!$A:$A=AW141)-(FILTER(Data!$K:$K,Data!$B:$B=AW141,Data!$D:$D=$I141)+FILTER(Data!$L:$L,Data!$B:$B=AW141,Data!$D:$D=$I141)),""""),"""")"),"")</f>
        <v/>
      </c>
      <c r="CH141" s="69" t="str">
        <f>IFERROR(__xludf.DUMMYFUNCTION("IF($J141&lt;&gt;"""",IFERROR(FILTER(RawTotals!$AJ:$AJ,RawTotals!$A:$A=AX141)-(FILTER(Data!$K:$K,Data!$B:$B=AX141,Data!$D:$D=$J141)+FILTER(Data!$L:$L,Data!$B:$B=AX141,Data!$D:$D=$J141)),""""),"""")"),"")</f>
        <v/>
      </c>
      <c r="CI141" s="69" t="str">
        <f>IFERROR(__xludf.DUMMYFUNCTION("IF($J141&lt;&gt;"""",IFERROR(FILTER(RawTotals!$AJ:$AJ,RawTotals!$A:$A=AY141)-(FILTER(Data!$K:$K,Data!$B:$B=AY141,Data!$D:$D=$J141)+FILTER(Data!$L:$L,Data!$B:$B=AY141,Data!$D:$D=$J141)),""""),"""")"),"")</f>
        <v/>
      </c>
      <c r="CJ141" s="69" t="str">
        <f>IFERROR(__xludf.DUMMYFUNCTION("IF($J141&lt;&gt;"""",IFERROR(FILTER(RawTotals!$AJ:$AJ,RawTotals!$A:$A=AZ141)-(FILTER(Data!$K:$K,Data!$B:$B=AZ141,Data!$D:$D=$J141)+FILTER(Data!$L:$L,Data!$B:$B=AZ141,Data!$D:$D=$J141)),""""),"""")"),"")</f>
        <v/>
      </c>
      <c r="CK141" s="69" t="str">
        <f>IFERROR(__xludf.DUMMYFUNCTION("IF($K141&lt;&gt;"""",IFERROR(FILTER(RawTotals!$AJ:$AJ,RawTotals!$A:$A=BA141)-(FILTER(Data!$K:$K,Data!$B:$B=BA141,Data!$D:$D=$K141)+FILTER(Data!$L:$L,Data!$B:$B=BA141,Data!$D:$D=$K141)),""""),"""")"),"")</f>
        <v/>
      </c>
      <c r="CL141" s="69" t="str">
        <f>IFERROR(__xludf.DUMMYFUNCTION("IF($K141&lt;&gt;"""",IFERROR(FILTER(RawTotals!$AJ:$AJ,RawTotals!$A:$A=BB141)-(FILTER(Data!$K:$K,Data!$B:$B=BB141,Data!$D:$D=$K141)+FILTER(Data!$L:$L,Data!$B:$B=BB141,Data!$D:$D=$K141)),""""),"""")"),"")</f>
        <v/>
      </c>
      <c r="CM141" s="69" t="str">
        <f>IFERROR(__xludf.DUMMYFUNCTION("IF($K141&lt;&gt;"""",IFERROR(FILTER(RawTotals!$AJ:$AJ,RawTotals!$A:$A=BC141)-(FILTER(Data!$K:$K,Data!$B:$B=BC141,Data!$D:$D=$K141)+FILTER(Data!$L:$L,Data!$B:$B=BC141,Data!$D:$D=$K141)),""""),"""")"),"")</f>
        <v/>
      </c>
      <c r="CN141" s="69" t="str">
        <f>IFERROR(__xludf.DUMMYFUNCTION("IF($L141&lt;&gt;"""",IFERROR((FILTER(RawTotals!$AJ:$AJ,RawTotals!$A:$A=BD141)-(FILTER(Data!$K:$K,Data!$B:$B=BD141,Data!$D:$D=$L141)+FILTER(Data!$L:$L,Data!$B:$B=BD141,Data!$D:$D=$L141))),""""),"""")"),"")</f>
        <v/>
      </c>
      <c r="CO141" s="69" t="str">
        <f>IFERROR(__xludf.DUMMYFUNCTION("IF($L141&lt;&gt;"""",IFERROR((FILTER(RawTotals!$AJ:$AJ,RawTotals!$A:$A=BE141)-(FILTER(Data!$K:$K,Data!$B:$B=BE141,Data!$D:$D=$L141)+FILTER(Data!$L:$L,Data!$B:$B=BE141,Data!$D:$D=$L141))),""""),"""")"),"")</f>
        <v/>
      </c>
      <c r="CP141" s="69" t="str">
        <f>IFERROR(__xludf.DUMMYFUNCTION("IF($L141&lt;&gt;"""",IFERROR((FILTER(RawTotals!$AJ:$AJ,RawTotals!$A:$A=BF141)-(FILTER(Data!$K:$K,Data!$B:$B=BF141,Data!$D:$D=$L141)+FILTER(Data!$L:$L,Data!$B:$B=BF141,Data!$D:$D=$L141))),""""),"""")"),"")</f>
        <v/>
      </c>
      <c r="CQ141" s="69" t="str">
        <f>IFERROR(__xludf.DUMMYFUNCTION("IF($M141&lt;&gt;"""",IFERROR((FILTER(RawTotals!$AJ:$AJ,RawTotals!$A:$A=BG141)-(FILTER(Data!$K:$K,Data!$B:$B=BG141,Data!$D:$D=$M141)+FILTER(Data!$L:$L,Data!$B:$B=BG141,Data!$D:$D=$M141))),""""),"""")"),"")</f>
        <v/>
      </c>
      <c r="CR141" s="69" t="str">
        <f>IFERROR(__xludf.DUMMYFUNCTION("IF($M141&lt;&gt;"""",IFERROR((FILTER(RawTotals!$AJ:$AJ,RawTotals!$A:$A=BH141)-(FILTER(Data!$K:$K,Data!$B:$B=BH141,Data!$D:$D=$M141)+FILTER(Data!$L:$L,Data!$B:$B=BH141,Data!$D:$D=$M141))),""""),"""")"),"")</f>
        <v/>
      </c>
      <c r="CS141" s="70" t="str">
        <f>IFERROR(__xludf.DUMMYFUNCTION("IF($M141&lt;&gt;"""",IFERROR((FILTER(RawTotals!$AJ:$AJ,RawTotals!$A:$A=BI141)-(FILTER(Data!$K:$K,Data!$B:$B=BI141,Data!$D:$D=$M141)+FILTER(Data!$L:$L,Data!$B:$B=BI141,Data!$D:$D=$M141))),""""),"""")"),"")</f>
        <v/>
      </c>
      <c r="CT141" s="69"/>
      <c r="CU141" s="69"/>
      <c r="CV141" s="69"/>
      <c r="CW141" s="69"/>
      <c r="CX141" s="69"/>
      <c r="CY141" s="69"/>
      <c r="CZ141" s="69"/>
      <c r="DA141" s="69"/>
      <c r="DB141" s="69"/>
      <c r="DC141" s="69"/>
      <c r="DD141" s="69"/>
      <c r="DE141" s="69"/>
    </row>
    <row r="142">
      <c r="A142" s="65" t="str">
        <f>RawTotals!A142</f>
        <v/>
      </c>
      <c r="B142" s="68" t="str">
        <f>IFERROR(__xludf.DUMMYFUNCTION("IF(A142&lt;&gt;"""",IFERROR(TRANSPOSE(FILTER(Data!D:D,Data!B:B=A142,Data!R:R&lt;&gt;"""")),""No Defense""),"""")"),"")</f>
        <v/>
      </c>
      <c r="C142" s="65"/>
      <c r="D142" s="65"/>
      <c r="E142" s="65"/>
      <c r="F142" s="65"/>
      <c r="G142" s="65"/>
      <c r="H142" s="65"/>
      <c r="I142" s="65"/>
      <c r="J142" s="65"/>
      <c r="K142" s="65"/>
      <c r="L142" s="65"/>
      <c r="M142" s="65"/>
      <c r="N142" s="64" t="str">
        <f>IFERROR(__xludf.DUMMYFUNCTION("IFERROR(Textjoin("""",TRUE,FILTER(Data!$R:$R,Data!$D:$D=B142,Data!$B:$B=$A142)),"""")"),"")</f>
        <v/>
      </c>
      <c r="O142" s="64" t="str">
        <f>IFERROR(__xludf.DUMMYFUNCTION("IFERROR(Textjoin("""",TRUE,FILTER(Data!$R:$R,Data!$D:$D=C142,Data!$B:$B=$A142)),"""")"),"")</f>
        <v/>
      </c>
      <c r="P142" s="64" t="str">
        <f>IFERROR(__xludf.DUMMYFUNCTION("IFERROR(Textjoin("""",TRUE,FILTER(Data!$R:$R,Data!$D:$D=D142,Data!$B:$B=$A142)),"""")"),"")</f>
        <v/>
      </c>
      <c r="Q142" s="64" t="str">
        <f>IFERROR(__xludf.DUMMYFUNCTION("IFERROR(Textjoin("""",TRUE,FILTER(Data!$R:$R,Data!$D:$D=E142,Data!$B:$B=$A142)),"""")"),"")</f>
        <v/>
      </c>
      <c r="R142" s="64" t="str">
        <f>IFERROR(__xludf.DUMMYFUNCTION("IFERROR(Textjoin("""",TRUE,FILTER(Data!$R:$R,Data!$D:$D=F142,Data!$B:$B=$A142)),"""")"),"")</f>
        <v/>
      </c>
      <c r="S142" s="64" t="str">
        <f>IFERROR(__xludf.DUMMYFUNCTION("IFERROR(Textjoin("""",TRUE,FILTER(Data!$R:$R,Data!$D:$D=G142,Data!$B:$B=$A142)),"""")"),"")</f>
        <v/>
      </c>
      <c r="T142" s="64" t="str">
        <f>IFERROR(__xludf.DUMMYFUNCTION("IFERROR(Textjoin("""",TRUE,FILTER(Data!$R:$R,Data!$D:$D=H142,Data!$B:$B=$A142)),"""")"),"")</f>
        <v/>
      </c>
      <c r="U142" s="64" t="str">
        <f>IFERROR(__xludf.DUMMYFUNCTION("IFERROR(Textjoin("""",TRUE,FILTER(Data!$R:$R,Data!$D:$D=I142,Data!$B:$B=$A142)),"""")"),"")</f>
        <v/>
      </c>
      <c r="V142" s="64" t="str">
        <f>IFERROR(__xludf.DUMMYFUNCTION("IFERROR(Textjoin("""",TRUE,FILTER(Data!$R:$R,Data!$D:$D=J142,Data!$B:$B=$A142)),"""")"),"")</f>
        <v/>
      </c>
      <c r="W142" s="64" t="str">
        <f>IFERROR(__xludf.DUMMYFUNCTION("IFERROR(Textjoin("""",TRUE,FILTER(Data!$R:$R,Data!$D:$D=K142,Data!$B:$B=$A142)),"""")"),"")</f>
        <v/>
      </c>
      <c r="X142" s="64" t="str">
        <f>IFERROR(__xludf.DUMMYFUNCTION("IFERROR(Textjoin("""",TRUE,FILTER(Data!$R:$R,Data!$D:$D=L142,Data!$B:$B=$A142)),"""")"),"")</f>
        <v/>
      </c>
      <c r="Y142" s="64" t="str">
        <f>IFERROR(__xludf.DUMMYFUNCTION("IFERROR(Textjoin("""",TRUE,FILTER(Data!$R:$R,Data!$D:$D=M142,Data!$B:$B=$A142)),"""")"),"")</f>
        <v/>
      </c>
      <c r="Z142" s="64" t="str">
        <f>IFERROR(__xludf.DUMMYFUNCTION("IFERROR(SPLIT(N142,"",""),"""")"),"")</f>
        <v/>
      </c>
      <c r="AA142" s="65"/>
      <c r="AB142" s="65"/>
      <c r="AC142" s="69" t="str">
        <f>IFERROR(__xludf.DUMMYFUNCTION("IFERROR(SPLIT(O142,"",""),"""")"),"")</f>
        <v/>
      </c>
      <c r="AD142" s="65"/>
      <c r="AE142" s="65"/>
      <c r="AF142" s="69" t="str">
        <f>IFERROR(__xludf.DUMMYFUNCTION("IFERROR(SPLIT(P142,"",""),"""")"),"")</f>
        <v/>
      </c>
      <c r="AG142" s="65"/>
      <c r="AH142" s="65"/>
      <c r="AI142" s="69" t="str">
        <f>IFERROR(__xludf.DUMMYFUNCTION("IFERROR(SPLIT(Q142,"",""),"""")"),"")</f>
        <v/>
      </c>
      <c r="AJ142" s="65"/>
      <c r="AK142" s="65"/>
      <c r="AL142" s="69" t="str">
        <f>IFERROR(__xludf.DUMMYFUNCTION("IFERROR(SPLIT(R142,"",""),"""")"),"")</f>
        <v/>
      </c>
      <c r="AM142" s="65"/>
      <c r="AN142" s="65"/>
      <c r="AO142" s="69" t="str">
        <f>IFERROR(__xludf.DUMMYFUNCTION("IFERROR(SPLIT(S142,"",""),"""")"),"")</f>
        <v/>
      </c>
      <c r="AP142" s="65"/>
      <c r="AQ142" s="65"/>
      <c r="AR142" s="69" t="str">
        <f>IFERROR(__xludf.DUMMYFUNCTION("IFERROR(SPLIT(T142,"",""),"""")"),"")</f>
        <v/>
      </c>
      <c r="AS142" s="65"/>
      <c r="AT142" s="65"/>
      <c r="AU142" s="69" t="str">
        <f>IFERROR(__xludf.DUMMYFUNCTION("IFERROR(SPLIT(U142,"",""),"""")"),"")</f>
        <v/>
      </c>
      <c r="AV142" s="65"/>
      <c r="AW142" s="65"/>
      <c r="AX142" s="69" t="str">
        <f>IFERROR(__xludf.DUMMYFUNCTION("IFERROR(SPLIT(V142,"",""),"""")"),"")</f>
        <v/>
      </c>
      <c r="AY142" s="65"/>
      <c r="AZ142" s="65"/>
      <c r="BA142" s="69" t="str">
        <f>IFERROR(__xludf.DUMMYFUNCTION("IFERROR(SPLIT(W142,"",""),"""")"),"")</f>
        <v/>
      </c>
      <c r="BB142" s="69"/>
      <c r="BC142" s="69"/>
      <c r="BD142" s="69" t="str">
        <f>IFERROR(__xludf.DUMMYFUNCTION("IFERROR(SPLIT(X142,"",""),"""")"),"")</f>
        <v/>
      </c>
      <c r="BE142" s="69"/>
      <c r="BF142" s="69"/>
      <c r="BG142" s="69" t="str">
        <f>IFERROR(__xludf.DUMMYFUNCTION("IFERROR(SPLIT(Y142,"",""),"""")"),"")</f>
        <v/>
      </c>
      <c r="BH142" s="69"/>
      <c r="BI142" s="69"/>
      <c r="BJ142" s="68" t="str">
        <f>IFERROR(__xludf.DUMMYFUNCTION("IF($B142&lt;&gt;"""",IFERROR(FILTER(RawTotals!$AJ:$AJ,RawTotals!$A:$A=Z142)-(FILTER(Data!$K:$K,Data!$B:$B=Z142,Data!$D:$D=$B142)+FILTER(Data!$L:$L,Data!$B:$B=Z142,Data!$D:$D=$B142)),""""),"""")"),"")</f>
        <v/>
      </c>
      <c r="BK142" s="68" t="str">
        <f>IFERROR(__xludf.DUMMYFUNCTION("IF($B142&lt;&gt;"""",IFERROR(FILTER(RawTotals!$AJ:$AJ,RawTotals!$A:$A=AA142)-(FILTER(Data!$K:$K,Data!$B:$B=AA142,Data!$D:$D=$B142)+FILTER(Data!$L:$L,Data!$B:$B=AA142,Data!$D:$D=$B142)),""""),"""")"),"")</f>
        <v/>
      </c>
      <c r="BL142" s="68" t="str">
        <f>IFERROR(__xludf.DUMMYFUNCTION("IF($B142&lt;&gt;"""",IFERROR(FILTER(RawTotals!$AJ:$AJ,RawTotals!$A:$A=AB142)-(FILTER(Data!$K:$K,Data!$B:$B=AB142,Data!$D:$D=$B142)+FILTER(Data!$L:$L,Data!$B:$B=AB142,Data!$D:$D=$B142)),""""),"""")"),"")</f>
        <v/>
      </c>
      <c r="BM142" s="69" t="str">
        <f>IFERROR(__xludf.DUMMYFUNCTION("IF($C142&lt;&gt;"""",IFERROR(FILTER(RawTotals!$AJ:$AJ,RawTotals!$A:$A=AC142)-(FILTER(Data!$K:$K,Data!$B:$B=AC142,Data!$D:$D=$C142)+FILTER(Data!$L:$L,Data!$B:$B=AC142,Data!$D:$D=$C142)),""""),"""")"),"")</f>
        <v/>
      </c>
      <c r="BN142" s="69" t="str">
        <f>IFERROR(__xludf.DUMMYFUNCTION("IF($C142&lt;&gt;"""",IFERROR(FILTER(RawTotals!$AJ:$AJ,RawTotals!$A:$A=AD142)-(FILTER(Data!$K:$K,Data!$B:$B=AD142,Data!$D:$D=$C142)+FILTER(Data!$L:$L,Data!$B:$B=AD142,Data!$D:$D=$C142)),""""),"""")"),"")</f>
        <v/>
      </c>
      <c r="BO142" s="69" t="str">
        <f>IFERROR(__xludf.DUMMYFUNCTION("IF($C142&lt;&gt;"""",IFERROR(FILTER(RawTotals!$AJ:$AJ,RawTotals!$A:$A=AE142)-(FILTER(Data!$K:$K,Data!$B:$B=AE142,Data!$D:$D=$C142)+FILTER(Data!$L:$L,Data!$B:$B=AE142,Data!$D:$D=$C142)),""""),"""")"),"")</f>
        <v/>
      </c>
      <c r="BP142" s="69" t="str">
        <f>IFERROR(__xludf.DUMMYFUNCTION("IF($D142&lt;&gt;"""",IFERROR(FILTER(RawTotals!$AJ:$AJ,RawTotals!$A:$A=AF142)-(FILTER(Data!$K:$K,Data!$B:$B=AF142,Data!$D:$D=$D142)+FILTER(Data!$L:$L,Data!$B:$B=AF142,Data!$D:$D=$D142)),""""),"""")"),"")</f>
        <v/>
      </c>
      <c r="BQ142" s="69" t="str">
        <f>IFERROR(__xludf.DUMMYFUNCTION("IF($D142&lt;&gt;"""",IFERROR(FILTER(RawTotals!$AJ:$AJ,RawTotals!$A:$A=AG142)-(FILTER(Data!$K:$K,Data!$B:$B=AG142,Data!$D:$D=$D142)+FILTER(Data!$L:$L,Data!$B:$B=AG142,Data!$D:$D=$D142)),""""),"""")"),"")</f>
        <v/>
      </c>
      <c r="BR142" s="69" t="str">
        <f>IFERROR(__xludf.DUMMYFUNCTION("IF($D142&lt;&gt;"""",IFERROR(FILTER(RawTotals!$AJ:$AJ,RawTotals!$A:$A=AH142)-(FILTER(Data!$K:$K,Data!$B:$B=AH142,Data!$D:$D=$D142)+FILTER(Data!$L:$L,Data!$B:$B=AH142,Data!$D:$D=$D142)),""""),"""")"),"")</f>
        <v/>
      </c>
      <c r="BS142" s="69" t="str">
        <f>IFERROR(__xludf.DUMMYFUNCTION("IF($E142&lt;&gt;"""",IFERROR(FILTER(RawTotals!$AJ:$AJ,RawTotals!$A:$A=AI142)-(FILTER(Data!$K:$K,Data!$B:$B=AI142,Data!$D:$D=$E142)+FILTER(Data!$L:$L,Data!$B:$B=AI142,Data!$D:$D=$E142)),""""),"""")"),"")</f>
        <v/>
      </c>
      <c r="BT142" s="69" t="str">
        <f>IFERROR(__xludf.DUMMYFUNCTION("IF($E142&lt;&gt;"""",IFERROR(FILTER(RawTotals!$AJ:$AJ,RawTotals!$A:$A=AJ142)-(FILTER(Data!$K:$K,Data!$B:$B=AJ142,Data!$D:$D=$E142)+FILTER(Data!$L:$L,Data!$B:$B=AJ142,Data!$D:$D=$E142)),""""),"""")"),"")</f>
        <v/>
      </c>
      <c r="BU142" s="69" t="str">
        <f>IFERROR(__xludf.DUMMYFUNCTION("IF($E142&lt;&gt;"""",IFERROR(FILTER(RawTotals!$AJ:$AJ,RawTotals!$A:$A=AK142)-(FILTER(Data!$K:$K,Data!$B:$B=AK142,Data!$D:$D=$E142)+FILTER(Data!$L:$L,Data!$B:$B=AK142,Data!$D:$D=$E142)),""""),"""")"),"")</f>
        <v/>
      </c>
      <c r="BV142" s="69" t="str">
        <f>IFERROR(__xludf.DUMMYFUNCTION("IF($F142&lt;&gt;"""",IFERROR(FILTER(RawTotals!$AJ:$AJ,RawTotals!$A:$A=AL142)-(FILTER(Data!$K:$K,Data!$B:$B=AL142,Data!$D:$D=$F142)+FILTER(Data!$L:$L,Data!$B:$B=AL142,Data!$D:$D=$F142)),""""),"""")"),"")</f>
        <v/>
      </c>
      <c r="BW142" s="69" t="str">
        <f>IFERROR(__xludf.DUMMYFUNCTION("IF($F142&lt;&gt;"""",IFERROR(FILTER(RawTotals!$AJ:$AJ,RawTotals!$A:$A=AM142)-(FILTER(Data!$K:$K,Data!$B:$B=AM142,Data!$D:$D=$F142)+FILTER(Data!$L:$L,Data!$B:$B=AM142,Data!$D:$D=$F142)),""""),"""")"),"")</f>
        <v/>
      </c>
      <c r="BX142" s="69" t="str">
        <f>IFERROR(__xludf.DUMMYFUNCTION("IF($F142&lt;&gt;"""",IFERROR(FILTER(RawTotals!$AJ:$AJ,RawTotals!$A:$A=AN142)-(FILTER(Data!$K:$K,Data!$B:$B=AN142,Data!$D:$D=$F142)+FILTER(Data!$L:$L,Data!$B:$B=AN142,Data!$D:$D=$F142)),""""),"""")"),"")</f>
        <v/>
      </c>
      <c r="BY142" s="69" t="str">
        <f>IFERROR(__xludf.DUMMYFUNCTION("IF($G142&lt;&gt;"""",IFERROR(FILTER(RawTotals!$AJ:$AJ,RawTotals!$A:$A=AO142)-(FILTER(Data!$K:$K,Data!$B:$B=AO142,Data!$D:$D=$G142)+FILTER(Data!$L:$L,Data!$B:$B=AO142,Data!$D:$D=$G142)),""""),"""")"),"")</f>
        <v/>
      </c>
      <c r="BZ142" s="69" t="str">
        <f>IFERROR(__xludf.DUMMYFUNCTION("IF($G142&lt;&gt;"""",IFERROR(FILTER(RawTotals!$AJ:$AJ,RawTotals!$A:$A=AP142)-(FILTER(Data!$K:$K,Data!$B:$B=AP142,Data!$D:$D=$G142)+FILTER(Data!$L:$L,Data!$B:$B=AP142,Data!$D:$D=$G142)),""""),"""")"),"")</f>
        <v/>
      </c>
      <c r="CA142" s="69" t="str">
        <f>IFERROR(__xludf.DUMMYFUNCTION("IF($G142&lt;&gt;"""",IFERROR(FILTER(RawTotals!$AJ:$AJ,RawTotals!$A:$A=AQ142)-(FILTER(Data!$K:$K,Data!$B:$B=AQ142,Data!$D:$D=$G142)+FILTER(Data!$L:$L,Data!$B:$B=AQ142,Data!$D:$D=$G142)),""""),"""")"),"")</f>
        <v/>
      </c>
      <c r="CB142" s="69" t="str">
        <f>IFERROR(__xludf.DUMMYFUNCTION("IF($H142&lt;&gt;"""",IFERROR(FILTER(RawTotals!$AJ:$AJ,RawTotals!$A:$A=AR142)-(FILTER(Data!$K:$K,Data!$B:$B=AR142,Data!$D:$D=$H142)+FILTER(Data!$L:$L,Data!$B:$B=AR142,Data!$D:$D=$H142)),""""),"""")"),"")</f>
        <v/>
      </c>
      <c r="CC142" s="69" t="str">
        <f>IFERROR(__xludf.DUMMYFUNCTION("IF($H142&lt;&gt;"""",IFERROR(FILTER(RawTotals!$AJ:$AJ,RawTotals!$A:$A=AS142)-(FILTER(Data!$K:$K,Data!$B:$B=AS142,Data!$D:$D=$H142)+FILTER(Data!$L:$L,Data!$B:$B=AS142,Data!$D:$D=$H142)),""""),"""")"),"")</f>
        <v/>
      </c>
      <c r="CD142" s="69" t="str">
        <f>IFERROR(__xludf.DUMMYFUNCTION("IF($H142&lt;&gt;"""",IFERROR(FILTER(RawTotals!$AJ:$AJ,RawTotals!$A:$A=AT142)-(FILTER(Data!$K:$K,Data!$B:$B=AT142,Data!$D:$D=$H142)+FILTER(Data!$L:$L,Data!$B:$B=AT142,Data!$D:$D=$H142)),""""),"""")"),"")</f>
        <v/>
      </c>
      <c r="CE142" s="69" t="str">
        <f>IFERROR(__xludf.DUMMYFUNCTION("IF($I142&lt;&gt;"""",IFERROR(FILTER(RawTotals!$AJ:$AJ,RawTotals!$A:$A=AU142)-(FILTER(Data!$K:$K,Data!$B:$B=AU142,Data!$D:$D=$I142)+FILTER(Data!$L:$L,Data!$B:$B=AU142,Data!$D:$D=$I142)),""""),"""")"),"")</f>
        <v/>
      </c>
      <c r="CF142" s="69" t="str">
        <f>IFERROR(__xludf.DUMMYFUNCTION("IF($I142&lt;&gt;"""",IFERROR(FILTER(RawTotals!$AJ:$AJ,RawTotals!$A:$A=AV142)-(FILTER(Data!$K:$K,Data!$B:$B=AV142,Data!$D:$D=$I142)+FILTER(Data!$L:$L,Data!$B:$B=AV142,Data!$D:$D=$I142)),""""),"""")"),"")</f>
        <v/>
      </c>
      <c r="CG142" s="69" t="str">
        <f>IFERROR(__xludf.DUMMYFUNCTION("IF($I142&lt;&gt;"""",IFERROR(FILTER(RawTotals!$AJ:$AJ,RawTotals!$A:$A=AW142)-(FILTER(Data!$K:$K,Data!$B:$B=AW142,Data!$D:$D=$I142)+FILTER(Data!$L:$L,Data!$B:$B=AW142,Data!$D:$D=$I142)),""""),"""")"),"")</f>
        <v/>
      </c>
      <c r="CH142" s="69" t="str">
        <f>IFERROR(__xludf.DUMMYFUNCTION("IF($J142&lt;&gt;"""",IFERROR(FILTER(RawTotals!$AJ:$AJ,RawTotals!$A:$A=AX142)-(FILTER(Data!$K:$K,Data!$B:$B=AX142,Data!$D:$D=$J142)+FILTER(Data!$L:$L,Data!$B:$B=AX142,Data!$D:$D=$J142)),""""),"""")"),"")</f>
        <v/>
      </c>
      <c r="CI142" s="69" t="str">
        <f>IFERROR(__xludf.DUMMYFUNCTION("IF($J142&lt;&gt;"""",IFERROR(FILTER(RawTotals!$AJ:$AJ,RawTotals!$A:$A=AY142)-(FILTER(Data!$K:$K,Data!$B:$B=AY142,Data!$D:$D=$J142)+FILTER(Data!$L:$L,Data!$B:$B=AY142,Data!$D:$D=$J142)),""""),"""")"),"")</f>
        <v/>
      </c>
      <c r="CJ142" s="69" t="str">
        <f>IFERROR(__xludf.DUMMYFUNCTION("IF($J142&lt;&gt;"""",IFERROR(FILTER(RawTotals!$AJ:$AJ,RawTotals!$A:$A=AZ142)-(FILTER(Data!$K:$K,Data!$B:$B=AZ142,Data!$D:$D=$J142)+FILTER(Data!$L:$L,Data!$B:$B=AZ142,Data!$D:$D=$J142)),""""),"""")"),"")</f>
        <v/>
      </c>
      <c r="CK142" s="69" t="str">
        <f>IFERROR(__xludf.DUMMYFUNCTION("IF($K142&lt;&gt;"""",IFERROR(FILTER(RawTotals!$AJ:$AJ,RawTotals!$A:$A=BA142)-(FILTER(Data!$K:$K,Data!$B:$B=BA142,Data!$D:$D=$K142)+FILTER(Data!$L:$L,Data!$B:$B=BA142,Data!$D:$D=$K142)),""""),"""")"),"")</f>
        <v/>
      </c>
      <c r="CL142" s="69" t="str">
        <f>IFERROR(__xludf.DUMMYFUNCTION("IF($K142&lt;&gt;"""",IFERROR(FILTER(RawTotals!$AJ:$AJ,RawTotals!$A:$A=BB142)-(FILTER(Data!$K:$K,Data!$B:$B=BB142,Data!$D:$D=$K142)+FILTER(Data!$L:$L,Data!$B:$B=BB142,Data!$D:$D=$K142)),""""),"""")"),"")</f>
        <v/>
      </c>
      <c r="CM142" s="69" t="str">
        <f>IFERROR(__xludf.DUMMYFUNCTION("IF($K142&lt;&gt;"""",IFERROR(FILTER(RawTotals!$AJ:$AJ,RawTotals!$A:$A=BC142)-(FILTER(Data!$K:$K,Data!$B:$B=BC142,Data!$D:$D=$K142)+FILTER(Data!$L:$L,Data!$B:$B=BC142,Data!$D:$D=$K142)),""""),"""")"),"")</f>
        <v/>
      </c>
      <c r="CN142" s="69" t="str">
        <f>IFERROR(__xludf.DUMMYFUNCTION("IF($L142&lt;&gt;"""",IFERROR((FILTER(RawTotals!$AJ:$AJ,RawTotals!$A:$A=BD142)-(FILTER(Data!$K:$K,Data!$B:$B=BD142,Data!$D:$D=$L142)+FILTER(Data!$L:$L,Data!$B:$B=BD142,Data!$D:$D=$L142))),""""),"""")"),"")</f>
        <v/>
      </c>
      <c r="CO142" s="69" t="str">
        <f>IFERROR(__xludf.DUMMYFUNCTION("IF($L142&lt;&gt;"""",IFERROR((FILTER(RawTotals!$AJ:$AJ,RawTotals!$A:$A=BE142)-(FILTER(Data!$K:$K,Data!$B:$B=BE142,Data!$D:$D=$L142)+FILTER(Data!$L:$L,Data!$B:$B=BE142,Data!$D:$D=$L142))),""""),"""")"),"")</f>
        <v/>
      </c>
      <c r="CP142" s="69" t="str">
        <f>IFERROR(__xludf.DUMMYFUNCTION("IF($L142&lt;&gt;"""",IFERROR((FILTER(RawTotals!$AJ:$AJ,RawTotals!$A:$A=BF142)-(FILTER(Data!$K:$K,Data!$B:$B=BF142,Data!$D:$D=$L142)+FILTER(Data!$L:$L,Data!$B:$B=BF142,Data!$D:$D=$L142))),""""),"""")"),"")</f>
        <v/>
      </c>
      <c r="CQ142" s="69" t="str">
        <f>IFERROR(__xludf.DUMMYFUNCTION("IF($M142&lt;&gt;"""",IFERROR((FILTER(RawTotals!$AJ:$AJ,RawTotals!$A:$A=BG142)-(FILTER(Data!$K:$K,Data!$B:$B=BG142,Data!$D:$D=$M142)+FILTER(Data!$L:$L,Data!$B:$B=BG142,Data!$D:$D=$M142))),""""),"""")"),"")</f>
        <v/>
      </c>
      <c r="CR142" s="69" t="str">
        <f>IFERROR(__xludf.DUMMYFUNCTION("IF($M142&lt;&gt;"""",IFERROR((FILTER(RawTotals!$AJ:$AJ,RawTotals!$A:$A=BH142)-(FILTER(Data!$K:$K,Data!$B:$B=BH142,Data!$D:$D=$M142)+FILTER(Data!$L:$L,Data!$B:$B=BH142,Data!$D:$D=$M142))),""""),"""")"),"")</f>
        <v/>
      </c>
      <c r="CS142" s="70" t="str">
        <f>IFERROR(__xludf.DUMMYFUNCTION("IF($M142&lt;&gt;"""",IFERROR((FILTER(RawTotals!$AJ:$AJ,RawTotals!$A:$A=BI142)-(FILTER(Data!$K:$K,Data!$B:$B=BI142,Data!$D:$D=$M142)+FILTER(Data!$L:$L,Data!$B:$B=BI142,Data!$D:$D=$M142))),""""),"""")"),"")</f>
        <v/>
      </c>
      <c r="CT142" s="69"/>
      <c r="CU142" s="69"/>
      <c r="CV142" s="69"/>
      <c r="CW142" s="69"/>
      <c r="CX142" s="69"/>
      <c r="CY142" s="69"/>
      <c r="CZ142" s="69"/>
      <c r="DA142" s="69"/>
      <c r="DB142" s="69"/>
      <c r="DC142" s="69"/>
      <c r="DD142" s="69"/>
      <c r="DE142" s="69"/>
    </row>
    <row r="143">
      <c r="A143" s="65" t="str">
        <f>RawTotals!A143</f>
        <v/>
      </c>
      <c r="B143" s="68" t="str">
        <f>IFERROR(__xludf.DUMMYFUNCTION("IF(A143&lt;&gt;"""",IFERROR(TRANSPOSE(FILTER(Data!D:D,Data!B:B=A143,Data!R:R&lt;&gt;"""")),""No Defense""),"""")"),"")</f>
        <v/>
      </c>
      <c r="C143" s="65"/>
      <c r="D143" s="65"/>
      <c r="E143" s="65"/>
      <c r="F143" s="65"/>
      <c r="G143" s="65"/>
      <c r="H143" s="65"/>
      <c r="I143" s="65"/>
      <c r="J143" s="65"/>
      <c r="K143" s="65"/>
      <c r="L143" s="65"/>
      <c r="M143" s="65"/>
      <c r="N143" s="64" t="str">
        <f>IFERROR(__xludf.DUMMYFUNCTION("IFERROR(Textjoin("""",TRUE,FILTER(Data!$R:$R,Data!$D:$D=B143,Data!$B:$B=$A143)),"""")"),"")</f>
        <v/>
      </c>
      <c r="O143" s="64" t="str">
        <f>IFERROR(__xludf.DUMMYFUNCTION("IFERROR(Textjoin("""",TRUE,FILTER(Data!$R:$R,Data!$D:$D=C143,Data!$B:$B=$A143)),"""")"),"")</f>
        <v/>
      </c>
      <c r="P143" s="64" t="str">
        <f>IFERROR(__xludf.DUMMYFUNCTION("IFERROR(Textjoin("""",TRUE,FILTER(Data!$R:$R,Data!$D:$D=D143,Data!$B:$B=$A143)),"""")"),"")</f>
        <v/>
      </c>
      <c r="Q143" s="64" t="str">
        <f>IFERROR(__xludf.DUMMYFUNCTION("IFERROR(Textjoin("""",TRUE,FILTER(Data!$R:$R,Data!$D:$D=E143,Data!$B:$B=$A143)),"""")"),"")</f>
        <v/>
      </c>
      <c r="R143" s="64" t="str">
        <f>IFERROR(__xludf.DUMMYFUNCTION("IFERROR(Textjoin("""",TRUE,FILTER(Data!$R:$R,Data!$D:$D=F143,Data!$B:$B=$A143)),"""")"),"")</f>
        <v/>
      </c>
      <c r="S143" s="64" t="str">
        <f>IFERROR(__xludf.DUMMYFUNCTION("IFERROR(Textjoin("""",TRUE,FILTER(Data!$R:$R,Data!$D:$D=G143,Data!$B:$B=$A143)),"""")"),"")</f>
        <v/>
      </c>
      <c r="T143" s="64" t="str">
        <f>IFERROR(__xludf.DUMMYFUNCTION("IFERROR(Textjoin("""",TRUE,FILTER(Data!$R:$R,Data!$D:$D=H143,Data!$B:$B=$A143)),"""")"),"")</f>
        <v/>
      </c>
      <c r="U143" s="64" t="str">
        <f>IFERROR(__xludf.DUMMYFUNCTION("IFERROR(Textjoin("""",TRUE,FILTER(Data!$R:$R,Data!$D:$D=I143,Data!$B:$B=$A143)),"""")"),"")</f>
        <v/>
      </c>
      <c r="V143" s="64" t="str">
        <f>IFERROR(__xludf.DUMMYFUNCTION("IFERROR(Textjoin("""",TRUE,FILTER(Data!$R:$R,Data!$D:$D=J143,Data!$B:$B=$A143)),"""")"),"")</f>
        <v/>
      </c>
      <c r="W143" s="64" t="str">
        <f>IFERROR(__xludf.DUMMYFUNCTION("IFERROR(Textjoin("""",TRUE,FILTER(Data!$R:$R,Data!$D:$D=K143,Data!$B:$B=$A143)),"""")"),"")</f>
        <v/>
      </c>
      <c r="X143" s="64" t="str">
        <f>IFERROR(__xludf.DUMMYFUNCTION("IFERROR(Textjoin("""",TRUE,FILTER(Data!$R:$R,Data!$D:$D=L143,Data!$B:$B=$A143)),"""")"),"")</f>
        <v/>
      </c>
      <c r="Y143" s="64" t="str">
        <f>IFERROR(__xludf.DUMMYFUNCTION("IFERROR(Textjoin("""",TRUE,FILTER(Data!$R:$R,Data!$D:$D=M143,Data!$B:$B=$A143)),"""")"),"")</f>
        <v/>
      </c>
      <c r="Z143" s="64" t="str">
        <f>IFERROR(__xludf.DUMMYFUNCTION("IFERROR(SPLIT(N143,"",""),"""")"),"")</f>
        <v/>
      </c>
      <c r="AA143" s="65"/>
      <c r="AB143" s="65"/>
      <c r="AC143" s="69" t="str">
        <f>IFERROR(__xludf.DUMMYFUNCTION("IFERROR(SPLIT(O143,"",""),"""")"),"")</f>
        <v/>
      </c>
      <c r="AD143" s="65"/>
      <c r="AE143" s="65"/>
      <c r="AF143" s="69" t="str">
        <f>IFERROR(__xludf.DUMMYFUNCTION("IFERROR(SPLIT(P143,"",""),"""")"),"")</f>
        <v/>
      </c>
      <c r="AG143" s="65"/>
      <c r="AH143" s="65"/>
      <c r="AI143" s="69" t="str">
        <f>IFERROR(__xludf.DUMMYFUNCTION("IFERROR(SPLIT(Q143,"",""),"""")"),"")</f>
        <v/>
      </c>
      <c r="AJ143" s="65"/>
      <c r="AK143" s="65"/>
      <c r="AL143" s="69" t="str">
        <f>IFERROR(__xludf.DUMMYFUNCTION("IFERROR(SPLIT(R143,"",""),"""")"),"")</f>
        <v/>
      </c>
      <c r="AM143" s="65"/>
      <c r="AN143" s="65"/>
      <c r="AO143" s="69" t="str">
        <f>IFERROR(__xludf.DUMMYFUNCTION("IFERROR(SPLIT(S143,"",""),"""")"),"")</f>
        <v/>
      </c>
      <c r="AP143" s="65"/>
      <c r="AQ143" s="65"/>
      <c r="AR143" s="69" t="str">
        <f>IFERROR(__xludf.DUMMYFUNCTION("IFERROR(SPLIT(T143,"",""),"""")"),"")</f>
        <v/>
      </c>
      <c r="AS143" s="65"/>
      <c r="AT143" s="65"/>
      <c r="AU143" s="69" t="str">
        <f>IFERROR(__xludf.DUMMYFUNCTION("IFERROR(SPLIT(U143,"",""),"""")"),"")</f>
        <v/>
      </c>
      <c r="AV143" s="65"/>
      <c r="AW143" s="65"/>
      <c r="AX143" s="69" t="str">
        <f>IFERROR(__xludf.DUMMYFUNCTION("IFERROR(SPLIT(V143,"",""),"""")"),"")</f>
        <v/>
      </c>
      <c r="AY143" s="65"/>
      <c r="AZ143" s="65"/>
      <c r="BA143" s="69" t="str">
        <f>IFERROR(__xludf.DUMMYFUNCTION("IFERROR(SPLIT(W143,"",""),"""")"),"")</f>
        <v/>
      </c>
      <c r="BB143" s="69"/>
      <c r="BC143" s="69"/>
      <c r="BD143" s="69" t="str">
        <f>IFERROR(__xludf.DUMMYFUNCTION("IFERROR(SPLIT(X143,"",""),"""")"),"")</f>
        <v/>
      </c>
      <c r="BE143" s="69"/>
      <c r="BF143" s="69"/>
      <c r="BG143" s="69" t="str">
        <f>IFERROR(__xludf.DUMMYFUNCTION("IFERROR(SPLIT(Y143,"",""),"""")"),"")</f>
        <v/>
      </c>
      <c r="BH143" s="69"/>
      <c r="BI143" s="69"/>
      <c r="BJ143" s="68" t="str">
        <f>IFERROR(__xludf.DUMMYFUNCTION("IF($B143&lt;&gt;"""",IFERROR(FILTER(RawTotals!$AJ:$AJ,RawTotals!$A:$A=Z143)-(FILTER(Data!$K:$K,Data!$B:$B=Z143,Data!$D:$D=$B143)+FILTER(Data!$L:$L,Data!$B:$B=Z143,Data!$D:$D=$B143)),""""),"""")"),"")</f>
        <v/>
      </c>
      <c r="BK143" s="68" t="str">
        <f>IFERROR(__xludf.DUMMYFUNCTION("IF($B143&lt;&gt;"""",IFERROR(FILTER(RawTotals!$AJ:$AJ,RawTotals!$A:$A=AA143)-(FILTER(Data!$K:$K,Data!$B:$B=AA143,Data!$D:$D=$B143)+FILTER(Data!$L:$L,Data!$B:$B=AA143,Data!$D:$D=$B143)),""""),"""")"),"")</f>
        <v/>
      </c>
      <c r="BL143" s="68" t="str">
        <f>IFERROR(__xludf.DUMMYFUNCTION("IF($B143&lt;&gt;"""",IFERROR(FILTER(RawTotals!$AJ:$AJ,RawTotals!$A:$A=AB143)-(FILTER(Data!$K:$K,Data!$B:$B=AB143,Data!$D:$D=$B143)+FILTER(Data!$L:$L,Data!$B:$B=AB143,Data!$D:$D=$B143)),""""),"""")"),"")</f>
        <v/>
      </c>
      <c r="BM143" s="69" t="str">
        <f>IFERROR(__xludf.DUMMYFUNCTION("IF($C143&lt;&gt;"""",IFERROR(FILTER(RawTotals!$AJ:$AJ,RawTotals!$A:$A=AC143)-(FILTER(Data!$K:$K,Data!$B:$B=AC143,Data!$D:$D=$C143)+FILTER(Data!$L:$L,Data!$B:$B=AC143,Data!$D:$D=$C143)),""""),"""")"),"")</f>
        <v/>
      </c>
      <c r="BN143" s="69" t="str">
        <f>IFERROR(__xludf.DUMMYFUNCTION("IF($C143&lt;&gt;"""",IFERROR(FILTER(RawTotals!$AJ:$AJ,RawTotals!$A:$A=AD143)-(FILTER(Data!$K:$K,Data!$B:$B=AD143,Data!$D:$D=$C143)+FILTER(Data!$L:$L,Data!$B:$B=AD143,Data!$D:$D=$C143)),""""),"""")"),"")</f>
        <v/>
      </c>
      <c r="BO143" s="69" t="str">
        <f>IFERROR(__xludf.DUMMYFUNCTION("IF($C143&lt;&gt;"""",IFERROR(FILTER(RawTotals!$AJ:$AJ,RawTotals!$A:$A=AE143)-(FILTER(Data!$K:$K,Data!$B:$B=AE143,Data!$D:$D=$C143)+FILTER(Data!$L:$L,Data!$B:$B=AE143,Data!$D:$D=$C143)),""""),"""")"),"")</f>
        <v/>
      </c>
      <c r="BP143" s="69" t="str">
        <f>IFERROR(__xludf.DUMMYFUNCTION("IF($D143&lt;&gt;"""",IFERROR(FILTER(RawTotals!$AJ:$AJ,RawTotals!$A:$A=AF143)-(FILTER(Data!$K:$K,Data!$B:$B=AF143,Data!$D:$D=$D143)+FILTER(Data!$L:$L,Data!$B:$B=AF143,Data!$D:$D=$D143)),""""),"""")"),"")</f>
        <v/>
      </c>
      <c r="BQ143" s="69" t="str">
        <f>IFERROR(__xludf.DUMMYFUNCTION("IF($D143&lt;&gt;"""",IFERROR(FILTER(RawTotals!$AJ:$AJ,RawTotals!$A:$A=AG143)-(FILTER(Data!$K:$K,Data!$B:$B=AG143,Data!$D:$D=$D143)+FILTER(Data!$L:$L,Data!$B:$B=AG143,Data!$D:$D=$D143)),""""),"""")"),"")</f>
        <v/>
      </c>
      <c r="BR143" s="69" t="str">
        <f>IFERROR(__xludf.DUMMYFUNCTION("IF($D143&lt;&gt;"""",IFERROR(FILTER(RawTotals!$AJ:$AJ,RawTotals!$A:$A=AH143)-(FILTER(Data!$K:$K,Data!$B:$B=AH143,Data!$D:$D=$D143)+FILTER(Data!$L:$L,Data!$B:$B=AH143,Data!$D:$D=$D143)),""""),"""")"),"")</f>
        <v/>
      </c>
      <c r="BS143" s="69" t="str">
        <f>IFERROR(__xludf.DUMMYFUNCTION("IF($E143&lt;&gt;"""",IFERROR(FILTER(RawTotals!$AJ:$AJ,RawTotals!$A:$A=AI143)-(FILTER(Data!$K:$K,Data!$B:$B=AI143,Data!$D:$D=$E143)+FILTER(Data!$L:$L,Data!$B:$B=AI143,Data!$D:$D=$E143)),""""),"""")"),"")</f>
        <v/>
      </c>
      <c r="BT143" s="69" t="str">
        <f>IFERROR(__xludf.DUMMYFUNCTION("IF($E143&lt;&gt;"""",IFERROR(FILTER(RawTotals!$AJ:$AJ,RawTotals!$A:$A=AJ143)-(FILTER(Data!$K:$K,Data!$B:$B=AJ143,Data!$D:$D=$E143)+FILTER(Data!$L:$L,Data!$B:$B=AJ143,Data!$D:$D=$E143)),""""),"""")"),"")</f>
        <v/>
      </c>
      <c r="BU143" s="69" t="str">
        <f>IFERROR(__xludf.DUMMYFUNCTION("IF($E143&lt;&gt;"""",IFERROR(FILTER(RawTotals!$AJ:$AJ,RawTotals!$A:$A=AK143)-(FILTER(Data!$K:$K,Data!$B:$B=AK143,Data!$D:$D=$E143)+FILTER(Data!$L:$L,Data!$B:$B=AK143,Data!$D:$D=$E143)),""""),"""")"),"")</f>
        <v/>
      </c>
      <c r="BV143" s="69" t="str">
        <f>IFERROR(__xludf.DUMMYFUNCTION("IF($F143&lt;&gt;"""",IFERROR(FILTER(RawTotals!$AJ:$AJ,RawTotals!$A:$A=AL143)-(FILTER(Data!$K:$K,Data!$B:$B=AL143,Data!$D:$D=$F143)+FILTER(Data!$L:$L,Data!$B:$B=AL143,Data!$D:$D=$F143)),""""),"""")"),"")</f>
        <v/>
      </c>
      <c r="BW143" s="69" t="str">
        <f>IFERROR(__xludf.DUMMYFUNCTION("IF($F143&lt;&gt;"""",IFERROR(FILTER(RawTotals!$AJ:$AJ,RawTotals!$A:$A=AM143)-(FILTER(Data!$K:$K,Data!$B:$B=AM143,Data!$D:$D=$F143)+FILTER(Data!$L:$L,Data!$B:$B=AM143,Data!$D:$D=$F143)),""""),"""")"),"")</f>
        <v/>
      </c>
      <c r="BX143" s="69" t="str">
        <f>IFERROR(__xludf.DUMMYFUNCTION("IF($F143&lt;&gt;"""",IFERROR(FILTER(RawTotals!$AJ:$AJ,RawTotals!$A:$A=AN143)-(FILTER(Data!$K:$K,Data!$B:$B=AN143,Data!$D:$D=$F143)+FILTER(Data!$L:$L,Data!$B:$B=AN143,Data!$D:$D=$F143)),""""),"""")"),"")</f>
        <v/>
      </c>
      <c r="BY143" s="69" t="str">
        <f>IFERROR(__xludf.DUMMYFUNCTION("IF($G143&lt;&gt;"""",IFERROR(FILTER(RawTotals!$AJ:$AJ,RawTotals!$A:$A=AO143)-(FILTER(Data!$K:$K,Data!$B:$B=AO143,Data!$D:$D=$G143)+FILTER(Data!$L:$L,Data!$B:$B=AO143,Data!$D:$D=$G143)),""""),"""")"),"")</f>
        <v/>
      </c>
      <c r="BZ143" s="69" t="str">
        <f>IFERROR(__xludf.DUMMYFUNCTION("IF($G143&lt;&gt;"""",IFERROR(FILTER(RawTotals!$AJ:$AJ,RawTotals!$A:$A=AP143)-(FILTER(Data!$K:$K,Data!$B:$B=AP143,Data!$D:$D=$G143)+FILTER(Data!$L:$L,Data!$B:$B=AP143,Data!$D:$D=$G143)),""""),"""")"),"")</f>
        <v/>
      </c>
      <c r="CA143" s="69" t="str">
        <f>IFERROR(__xludf.DUMMYFUNCTION("IF($G143&lt;&gt;"""",IFERROR(FILTER(RawTotals!$AJ:$AJ,RawTotals!$A:$A=AQ143)-(FILTER(Data!$K:$K,Data!$B:$B=AQ143,Data!$D:$D=$G143)+FILTER(Data!$L:$L,Data!$B:$B=AQ143,Data!$D:$D=$G143)),""""),"""")"),"")</f>
        <v/>
      </c>
      <c r="CB143" s="69" t="str">
        <f>IFERROR(__xludf.DUMMYFUNCTION("IF($H143&lt;&gt;"""",IFERROR(FILTER(RawTotals!$AJ:$AJ,RawTotals!$A:$A=AR143)-(FILTER(Data!$K:$K,Data!$B:$B=AR143,Data!$D:$D=$H143)+FILTER(Data!$L:$L,Data!$B:$B=AR143,Data!$D:$D=$H143)),""""),"""")"),"")</f>
        <v/>
      </c>
      <c r="CC143" s="69" t="str">
        <f>IFERROR(__xludf.DUMMYFUNCTION("IF($H143&lt;&gt;"""",IFERROR(FILTER(RawTotals!$AJ:$AJ,RawTotals!$A:$A=AS143)-(FILTER(Data!$K:$K,Data!$B:$B=AS143,Data!$D:$D=$H143)+FILTER(Data!$L:$L,Data!$B:$B=AS143,Data!$D:$D=$H143)),""""),"""")"),"")</f>
        <v/>
      </c>
      <c r="CD143" s="69" t="str">
        <f>IFERROR(__xludf.DUMMYFUNCTION("IF($H143&lt;&gt;"""",IFERROR(FILTER(RawTotals!$AJ:$AJ,RawTotals!$A:$A=AT143)-(FILTER(Data!$K:$K,Data!$B:$B=AT143,Data!$D:$D=$H143)+FILTER(Data!$L:$L,Data!$B:$B=AT143,Data!$D:$D=$H143)),""""),"""")"),"")</f>
        <v/>
      </c>
      <c r="CE143" s="69" t="str">
        <f>IFERROR(__xludf.DUMMYFUNCTION("IF($I143&lt;&gt;"""",IFERROR(FILTER(RawTotals!$AJ:$AJ,RawTotals!$A:$A=AU143)-(FILTER(Data!$K:$K,Data!$B:$B=AU143,Data!$D:$D=$I143)+FILTER(Data!$L:$L,Data!$B:$B=AU143,Data!$D:$D=$I143)),""""),"""")"),"")</f>
        <v/>
      </c>
      <c r="CF143" s="69" t="str">
        <f>IFERROR(__xludf.DUMMYFUNCTION("IF($I143&lt;&gt;"""",IFERROR(FILTER(RawTotals!$AJ:$AJ,RawTotals!$A:$A=AV143)-(FILTER(Data!$K:$K,Data!$B:$B=AV143,Data!$D:$D=$I143)+FILTER(Data!$L:$L,Data!$B:$B=AV143,Data!$D:$D=$I143)),""""),"""")"),"")</f>
        <v/>
      </c>
      <c r="CG143" s="69" t="str">
        <f>IFERROR(__xludf.DUMMYFUNCTION("IF($I143&lt;&gt;"""",IFERROR(FILTER(RawTotals!$AJ:$AJ,RawTotals!$A:$A=AW143)-(FILTER(Data!$K:$K,Data!$B:$B=AW143,Data!$D:$D=$I143)+FILTER(Data!$L:$L,Data!$B:$B=AW143,Data!$D:$D=$I143)),""""),"""")"),"")</f>
        <v/>
      </c>
      <c r="CH143" s="69" t="str">
        <f>IFERROR(__xludf.DUMMYFUNCTION("IF($J143&lt;&gt;"""",IFERROR(FILTER(RawTotals!$AJ:$AJ,RawTotals!$A:$A=AX143)-(FILTER(Data!$K:$K,Data!$B:$B=AX143,Data!$D:$D=$J143)+FILTER(Data!$L:$L,Data!$B:$B=AX143,Data!$D:$D=$J143)),""""),"""")"),"")</f>
        <v/>
      </c>
      <c r="CI143" s="69" t="str">
        <f>IFERROR(__xludf.DUMMYFUNCTION("IF($J143&lt;&gt;"""",IFERROR(FILTER(RawTotals!$AJ:$AJ,RawTotals!$A:$A=AY143)-(FILTER(Data!$K:$K,Data!$B:$B=AY143,Data!$D:$D=$J143)+FILTER(Data!$L:$L,Data!$B:$B=AY143,Data!$D:$D=$J143)),""""),"""")"),"")</f>
        <v/>
      </c>
      <c r="CJ143" s="69" t="str">
        <f>IFERROR(__xludf.DUMMYFUNCTION("IF($J143&lt;&gt;"""",IFERROR(FILTER(RawTotals!$AJ:$AJ,RawTotals!$A:$A=AZ143)-(FILTER(Data!$K:$K,Data!$B:$B=AZ143,Data!$D:$D=$J143)+FILTER(Data!$L:$L,Data!$B:$B=AZ143,Data!$D:$D=$J143)),""""),"""")"),"")</f>
        <v/>
      </c>
      <c r="CK143" s="69" t="str">
        <f>IFERROR(__xludf.DUMMYFUNCTION("IF($K143&lt;&gt;"""",IFERROR(FILTER(RawTotals!$AJ:$AJ,RawTotals!$A:$A=BA143)-(FILTER(Data!$K:$K,Data!$B:$B=BA143,Data!$D:$D=$K143)+FILTER(Data!$L:$L,Data!$B:$B=BA143,Data!$D:$D=$K143)),""""),"""")"),"")</f>
        <v/>
      </c>
      <c r="CL143" s="69" t="str">
        <f>IFERROR(__xludf.DUMMYFUNCTION("IF($K143&lt;&gt;"""",IFERROR(FILTER(RawTotals!$AJ:$AJ,RawTotals!$A:$A=BB143)-(FILTER(Data!$K:$K,Data!$B:$B=BB143,Data!$D:$D=$K143)+FILTER(Data!$L:$L,Data!$B:$B=BB143,Data!$D:$D=$K143)),""""),"""")"),"")</f>
        <v/>
      </c>
      <c r="CM143" s="69" t="str">
        <f>IFERROR(__xludf.DUMMYFUNCTION("IF($K143&lt;&gt;"""",IFERROR(FILTER(RawTotals!$AJ:$AJ,RawTotals!$A:$A=BC143)-(FILTER(Data!$K:$K,Data!$B:$B=BC143,Data!$D:$D=$K143)+FILTER(Data!$L:$L,Data!$B:$B=BC143,Data!$D:$D=$K143)),""""),"""")"),"")</f>
        <v/>
      </c>
      <c r="CN143" s="69" t="str">
        <f>IFERROR(__xludf.DUMMYFUNCTION("IF($L143&lt;&gt;"""",IFERROR((FILTER(RawTotals!$AJ:$AJ,RawTotals!$A:$A=BD143)-(FILTER(Data!$K:$K,Data!$B:$B=BD143,Data!$D:$D=$L143)+FILTER(Data!$L:$L,Data!$B:$B=BD143,Data!$D:$D=$L143))),""""),"""")"),"")</f>
        <v/>
      </c>
      <c r="CO143" s="69" t="str">
        <f>IFERROR(__xludf.DUMMYFUNCTION("IF($L143&lt;&gt;"""",IFERROR((FILTER(RawTotals!$AJ:$AJ,RawTotals!$A:$A=BE143)-(FILTER(Data!$K:$K,Data!$B:$B=BE143,Data!$D:$D=$L143)+FILTER(Data!$L:$L,Data!$B:$B=BE143,Data!$D:$D=$L143))),""""),"""")"),"")</f>
        <v/>
      </c>
      <c r="CP143" s="69" t="str">
        <f>IFERROR(__xludf.DUMMYFUNCTION("IF($L143&lt;&gt;"""",IFERROR((FILTER(RawTotals!$AJ:$AJ,RawTotals!$A:$A=BF143)-(FILTER(Data!$K:$K,Data!$B:$B=BF143,Data!$D:$D=$L143)+FILTER(Data!$L:$L,Data!$B:$B=BF143,Data!$D:$D=$L143))),""""),"""")"),"")</f>
        <v/>
      </c>
      <c r="CQ143" s="69" t="str">
        <f>IFERROR(__xludf.DUMMYFUNCTION("IF($M143&lt;&gt;"""",IFERROR((FILTER(RawTotals!$AJ:$AJ,RawTotals!$A:$A=BG143)-(FILTER(Data!$K:$K,Data!$B:$B=BG143,Data!$D:$D=$M143)+FILTER(Data!$L:$L,Data!$B:$B=BG143,Data!$D:$D=$M143))),""""),"""")"),"")</f>
        <v/>
      </c>
      <c r="CR143" s="69" t="str">
        <f>IFERROR(__xludf.DUMMYFUNCTION("IF($M143&lt;&gt;"""",IFERROR((FILTER(RawTotals!$AJ:$AJ,RawTotals!$A:$A=BH143)-(FILTER(Data!$K:$K,Data!$B:$B=BH143,Data!$D:$D=$M143)+FILTER(Data!$L:$L,Data!$B:$B=BH143,Data!$D:$D=$M143))),""""),"""")"),"")</f>
        <v/>
      </c>
      <c r="CS143" s="70" t="str">
        <f>IFERROR(__xludf.DUMMYFUNCTION("IF($M143&lt;&gt;"""",IFERROR((FILTER(RawTotals!$AJ:$AJ,RawTotals!$A:$A=BI143)-(FILTER(Data!$K:$K,Data!$B:$B=BI143,Data!$D:$D=$M143)+FILTER(Data!$L:$L,Data!$B:$B=BI143,Data!$D:$D=$M143))),""""),"""")"),"")</f>
        <v/>
      </c>
      <c r="CT143" s="69"/>
      <c r="CU143" s="69"/>
      <c r="CV143" s="69"/>
      <c r="CW143" s="69"/>
      <c r="CX143" s="69"/>
      <c r="CY143" s="69"/>
      <c r="CZ143" s="69"/>
      <c r="DA143" s="69"/>
      <c r="DB143" s="69"/>
      <c r="DC143" s="69"/>
      <c r="DD143" s="69"/>
      <c r="DE143" s="69"/>
    </row>
    <row r="144">
      <c r="A144" s="65" t="str">
        <f>RawTotals!A144</f>
        <v/>
      </c>
      <c r="B144" s="68" t="str">
        <f>IFERROR(__xludf.DUMMYFUNCTION("IF(A144&lt;&gt;"""",IFERROR(TRANSPOSE(FILTER(Data!D:D,Data!B:B=A144,Data!R:R&lt;&gt;"""")),""No Defense""),"""")"),"")</f>
        <v/>
      </c>
      <c r="C144" s="65"/>
      <c r="D144" s="65"/>
      <c r="E144" s="65"/>
      <c r="F144" s="65"/>
      <c r="G144" s="65"/>
      <c r="H144" s="65"/>
      <c r="I144" s="65"/>
      <c r="J144" s="65"/>
      <c r="K144" s="65"/>
      <c r="L144" s="65"/>
      <c r="M144" s="65"/>
      <c r="N144" s="64" t="str">
        <f>IFERROR(__xludf.DUMMYFUNCTION("IFERROR(Textjoin("""",TRUE,FILTER(Data!$R:$R,Data!$D:$D=B144,Data!$B:$B=$A144)),"""")"),"")</f>
        <v/>
      </c>
      <c r="O144" s="64" t="str">
        <f>IFERROR(__xludf.DUMMYFUNCTION("IFERROR(Textjoin("""",TRUE,FILTER(Data!$R:$R,Data!$D:$D=C144,Data!$B:$B=$A144)),"""")"),"")</f>
        <v/>
      </c>
      <c r="P144" s="64" t="str">
        <f>IFERROR(__xludf.DUMMYFUNCTION("IFERROR(Textjoin("""",TRUE,FILTER(Data!$R:$R,Data!$D:$D=D144,Data!$B:$B=$A144)),"""")"),"")</f>
        <v/>
      </c>
      <c r="Q144" s="64" t="str">
        <f>IFERROR(__xludf.DUMMYFUNCTION("IFERROR(Textjoin("""",TRUE,FILTER(Data!$R:$R,Data!$D:$D=E144,Data!$B:$B=$A144)),"""")"),"")</f>
        <v/>
      </c>
      <c r="R144" s="64" t="str">
        <f>IFERROR(__xludf.DUMMYFUNCTION("IFERROR(Textjoin("""",TRUE,FILTER(Data!$R:$R,Data!$D:$D=F144,Data!$B:$B=$A144)),"""")"),"")</f>
        <v/>
      </c>
      <c r="S144" s="64" t="str">
        <f>IFERROR(__xludf.DUMMYFUNCTION("IFERROR(Textjoin("""",TRUE,FILTER(Data!$R:$R,Data!$D:$D=G144,Data!$B:$B=$A144)),"""")"),"")</f>
        <v/>
      </c>
      <c r="T144" s="64" t="str">
        <f>IFERROR(__xludf.DUMMYFUNCTION("IFERROR(Textjoin("""",TRUE,FILTER(Data!$R:$R,Data!$D:$D=H144,Data!$B:$B=$A144)),"""")"),"")</f>
        <v/>
      </c>
      <c r="U144" s="64" t="str">
        <f>IFERROR(__xludf.DUMMYFUNCTION("IFERROR(Textjoin("""",TRUE,FILTER(Data!$R:$R,Data!$D:$D=I144,Data!$B:$B=$A144)),"""")"),"")</f>
        <v/>
      </c>
      <c r="V144" s="64" t="str">
        <f>IFERROR(__xludf.DUMMYFUNCTION("IFERROR(Textjoin("""",TRUE,FILTER(Data!$R:$R,Data!$D:$D=J144,Data!$B:$B=$A144)),"""")"),"")</f>
        <v/>
      </c>
      <c r="W144" s="64" t="str">
        <f>IFERROR(__xludf.DUMMYFUNCTION("IFERROR(Textjoin("""",TRUE,FILTER(Data!$R:$R,Data!$D:$D=K144,Data!$B:$B=$A144)),"""")"),"")</f>
        <v/>
      </c>
      <c r="X144" s="64" t="str">
        <f>IFERROR(__xludf.DUMMYFUNCTION("IFERROR(Textjoin("""",TRUE,FILTER(Data!$R:$R,Data!$D:$D=L144,Data!$B:$B=$A144)),"""")"),"")</f>
        <v/>
      </c>
      <c r="Y144" s="64" t="str">
        <f>IFERROR(__xludf.DUMMYFUNCTION("IFERROR(Textjoin("""",TRUE,FILTER(Data!$R:$R,Data!$D:$D=M144,Data!$B:$B=$A144)),"""")"),"")</f>
        <v/>
      </c>
      <c r="Z144" s="64" t="str">
        <f>IFERROR(__xludf.DUMMYFUNCTION("IFERROR(SPLIT(N144,"",""),"""")"),"")</f>
        <v/>
      </c>
      <c r="AA144" s="65"/>
      <c r="AB144" s="65"/>
      <c r="AC144" s="69" t="str">
        <f>IFERROR(__xludf.DUMMYFUNCTION("IFERROR(SPLIT(O144,"",""),"""")"),"")</f>
        <v/>
      </c>
      <c r="AD144" s="65"/>
      <c r="AE144" s="65"/>
      <c r="AF144" s="69" t="str">
        <f>IFERROR(__xludf.DUMMYFUNCTION("IFERROR(SPLIT(P144,"",""),"""")"),"")</f>
        <v/>
      </c>
      <c r="AG144" s="65"/>
      <c r="AH144" s="65"/>
      <c r="AI144" s="69" t="str">
        <f>IFERROR(__xludf.DUMMYFUNCTION("IFERROR(SPLIT(Q144,"",""),"""")"),"")</f>
        <v/>
      </c>
      <c r="AJ144" s="65"/>
      <c r="AK144" s="65"/>
      <c r="AL144" s="69" t="str">
        <f>IFERROR(__xludf.DUMMYFUNCTION("IFERROR(SPLIT(R144,"",""),"""")"),"")</f>
        <v/>
      </c>
      <c r="AM144" s="65"/>
      <c r="AN144" s="65"/>
      <c r="AO144" s="69" t="str">
        <f>IFERROR(__xludf.DUMMYFUNCTION("IFERROR(SPLIT(S144,"",""),"""")"),"")</f>
        <v/>
      </c>
      <c r="AP144" s="65"/>
      <c r="AQ144" s="65"/>
      <c r="AR144" s="69" t="str">
        <f>IFERROR(__xludf.DUMMYFUNCTION("IFERROR(SPLIT(T144,"",""),"""")"),"")</f>
        <v/>
      </c>
      <c r="AS144" s="65"/>
      <c r="AT144" s="65"/>
      <c r="AU144" s="69" t="str">
        <f>IFERROR(__xludf.DUMMYFUNCTION("IFERROR(SPLIT(U144,"",""),"""")"),"")</f>
        <v/>
      </c>
      <c r="AV144" s="65"/>
      <c r="AW144" s="65"/>
      <c r="AX144" s="69" t="str">
        <f>IFERROR(__xludf.DUMMYFUNCTION("IFERROR(SPLIT(V144,"",""),"""")"),"")</f>
        <v/>
      </c>
      <c r="AY144" s="65"/>
      <c r="AZ144" s="65"/>
      <c r="BA144" s="69" t="str">
        <f>IFERROR(__xludf.DUMMYFUNCTION("IFERROR(SPLIT(W144,"",""),"""")"),"")</f>
        <v/>
      </c>
      <c r="BB144" s="69"/>
      <c r="BC144" s="69"/>
      <c r="BD144" s="69" t="str">
        <f>IFERROR(__xludf.DUMMYFUNCTION("IFERROR(SPLIT(X144,"",""),"""")"),"")</f>
        <v/>
      </c>
      <c r="BE144" s="69"/>
      <c r="BF144" s="69"/>
      <c r="BG144" s="69" t="str">
        <f>IFERROR(__xludf.DUMMYFUNCTION("IFERROR(SPLIT(Y144,"",""),"""")"),"")</f>
        <v/>
      </c>
      <c r="BH144" s="69"/>
      <c r="BI144" s="69"/>
      <c r="BJ144" s="68" t="str">
        <f>IFERROR(__xludf.DUMMYFUNCTION("IF($B144&lt;&gt;"""",IFERROR(FILTER(RawTotals!$AJ:$AJ,RawTotals!$A:$A=Z144)-(FILTER(Data!$K:$K,Data!$B:$B=Z144,Data!$D:$D=$B144)+FILTER(Data!$L:$L,Data!$B:$B=Z144,Data!$D:$D=$B144)),""""),"""")"),"")</f>
        <v/>
      </c>
      <c r="BK144" s="68" t="str">
        <f>IFERROR(__xludf.DUMMYFUNCTION("IF($B144&lt;&gt;"""",IFERROR(FILTER(RawTotals!$AJ:$AJ,RawTotals!$A:$A=AA144)-(FILTER(Data!$K:$K,Data!$B:$B=AA144,Data!$D:$D=$B144)+FILTER(Data!$L:$L,Data!$B:$B=AA144,Data!$D:$D=$B144)),""""),"""")"),"")</f>
        <v/>
      </c>
      <c r="BL144" s="68" t="str">
        <f>IFERROR(__xludf.DUMMYFUNCTION("IF($B144&lt;&gt;"""",IFERROR(FILTER(RawTotals!$AJ:$AJ,RawTotals!$A:$A=AB144)-(FILTER(Data!$K:$K,Data!$B:$B=AB144,Data!$D:$D=$B144)+FILTER(Data!$L:$L,Data!$B:$B=AB144,Data!$D:$D=$B144)),""""),"""")"),"")</f>
        <v/>
      </c>
      <c r="BM144" s="69" t="str">
        <f>IFERROR(__xludf.DUMMYFUNCTION("IF($C144&lt;&gt;"""",IFERROR(FILTER(RawTotals!$AJ:$AJ,RawTotals!$A:$A=AC144)-(FILTER(Data!$K:$K,Data!$B:$B=AC144,Data!$D:$D=$C144)+FILTER(Data!$L:$L,Data!$B:$B=AC144,Data!$D:$D=$C144)),""""),"""")"),"")</f>
        <v/>
      </c>
      <c r="BN144" s="69" t="str">
        <f>IFERROR(__xludf.DUMMYFUNCTION("IF($C144&lt;&gt;"""",IFERROR(FILTER(RawTotals!$AJ:$AJ,RawTotals!$A:$A=AD144)-(FILTER(Data!$K:$K,Data!$B:$B=AD144,Data!$D:$D=$C144)+FILTER(Data!$L:$L,Data!$B:$B=AD144,Data!$D:$D=$C144)),""""),"""")"),"")</f>
        <v/>
      </c>
      <c r="BO144" s="69" t="str">
        <f>IFERROR(__xludf.DUMMYFUNCTION("IF($C144&lt;&gt;"""",IFERROR(FILTER(RawTotals!$AJ:$AJ,RawTotals!$A:$A=AE144)-(FILTER(Data!$K:$K,Data!$B:$B=AE144,Data!$D:$D=$C144)+FILTER(Data!$L:$L,Data!$B:$B=AE144,Data!$D:$D=$C144)),""""),"""")"),"")</f>
        <v/>
      </c>
      <c r="BP144" s="69" t="str">
        <f>IFERROR(__xludf.DUMMYFUNCTION("IF($D144&lt;&gt;"""",IFERROR(FILTER(RawTotals!$AJ:$AJ,RawTotals!$A:$A=AF144)-(FILTER(Data!$K:$K,Data!$B:$B=AF144,Data!$D:$D=$D144)+FILTER(Data!$L:$L,Data!$B:$B=AF144,Data!$D:$D=$D144)),""""),"""")"),"")</f>
        <v/>
      </c>
      <c r="BQ144" s="69" t="str">
        <f>IFERROR(__xludf.DUMMYFUNCTION("IF($D144&lt;&gt;"""",IFERROR(FILTER(RawTotals!$AJ:$AJ,RawTotals!$A:$A=AG144)-(FILTER(Data!$K:$K,Data!$B:$B=AG144,Data!$D:$D=$D144)+FILTER(Data!$L:$L,Data!$B:$B=AG144,Data!$D:$D=$D144)),""""),"""")"),"")</f>
        <v/>
      </c>
      <c r="BR144" s="69" t="str">
        <f>IFERROR(__xludf.DUMMYFUNCTION("IF($D144&lt;&gt;"""",IFERROR(FILTER(RawTotals!$AJ:$AJ,RawTotals!$A:$A=AH144)-(FILTER(Data!$K:$K,Data!$B:$B=AH144,Data!$D:$D=$D144)+FILTER(Data!$L:$L,Data!$B:$B=AH144,Data!$D:$D=$D144)),""""),"""")"),"")</f>
        <v/>
      </c>
      <c r="BS144" s="69" t="str">
        <f>IFERROR(__xludf.DUMMYFUNCTION("IF($E144&lt;&gt;"""",IFERROR(FILTER(RawTotals!$AJ:$AJ,RawTotals!$A:$A=AI144)-(FILTER(Data!$K:$K,Data!$B:$B=AI144,Data!$D:$D=$E144)+FILTER(Data!$L:$L,Data!$B:$B=AI144,Data!$D:$D=$E144)),""""),"""")"),"")</f>
        <v/>
      </c>
      <c r="BT144" s="69" t="str">
        <f>IFERROR(__xludf.DUMMYFUNCTION("IF($E144&lt;&gt;"""",IFERROR(FILTER(RawTotals!$AJ:$AJ,RawTotals!$A:$A=AJ144)-(FILTER(Data!$K:$K,Data!$B:$B=AJ144,Data!$D:$D=$E144)+FILTER(Data!$L:$L,Data!$B:$B=AJ144,Data!$D:$D=$E144)),""""),"""")"),"")</f>
        <v/>
      </c>
      <c r="BU144" s="69" t="str">
        <f>IFERROR(__xludf.DUMMYFUNCTION("IF($E144&lt;&gt;"""",IFERROR(FILTER(RawTotals!$AJ:$AJ,RawTotals!$A:$A=AK144)-(FILTER(Data!$K:$K,Data!$B:$B=AK144,Data!$D:$D=$E144)+FILTER(Data!$L:$L,Data!$B:$B=AK144,Data!$D:$D=$E144)),""""),"""")"),"")</f>
        <v/>
      </c>
      <c r="BV144" s="69" t="str">
        <f>IFERROR(__xludf.DUMMYFUNCTION("IF($F144&lt;&gt;"""",IFERROR(FILTER(RawTotals!$AJ:$AJ,RawTotals!$A:$A=AL144)-(FILTER(Data!$K:$K,Data!$B:$B=AL144,Data!$D:$D=$F144)+FILTER(Data!$L:$L,Data!$B:$B=AL144,Data!$D:$D=$F144)),""""),"""")"),"")</f>
        <v/>
      </c>
      <c r="BW144" s="69" t="str">
        <f>IFERROR(__xludf.DUMMYFUNCTION("IF($F144&lt;&gt;"""",IFERROR(FILTER(RawTotals!$AJ:$AJ,RawTotals!$A:$A=AM144)-(FILTER(Data!$K:$K,Data!$B:$B=AM144,Data!$D:$D=$F144)+FILTER(Data!$L:$L,Data!$B:$B=AM144,Data!$D:$D=$F144)),""""),"""")"),"")</f>
        <v/>
      </c>
      <c r="BX144" s="69" t="str">
        <f>IFERROR(__xludf.DUMMYFUNCTION("IF($F144&lt;&gt;"""",IFERROR(FILTER(RawTotals!$AJ:$AJ,RawTotals!$A:$A=AN144)-(FILTER(Data!$K:$K,Data!$B:$B=AN144,Data!$D:$D=$F144)+FILTER(Data!$L:$L,Data!$B:$B=AN144,Data!$D:$D=$F144)),""""),"""")"),"")</f>
        <v/>
      </c>
      <c r="BY144" s="69" t="str">
        <f>IFERROR(__xludf.DUMMYFUNCTION("IF($G144&lt;&gt;"""",IFERROR(FILTER(RawTotals!$AJ:$AJ,RawTotals!$A:$A=AO144)-(FILTER(Data!$K:$K,Data!$B:$B=AO144,Data!$D:$D=$G144)+FILTER(Data!$L:$L,Data!$B:$B=AO144,Data!$D:$D=$G144)),""""),"""")"),"")</f>
        <v/>
      </c>
      <c r="BZ144" s="69" t="str">
        <f>IFERROR(__xludf.DUMMYFUNCTION("IF($G144&lt;&gt;"""",IFERROR(FILTER(RawTotals!$AJ:$AJ,RawTotals!$A:$A=AP144)-(FILTER(Data!$K:$K,Data!$B:$B=AP144,Data!$D:$D=$G144)+FILTER(Data!$L:$L,Data!$B:$B=AP144,Data!$D:$D=$G144)),""""),"""")"),"")</f>
        <v/>
      </c>
      <c r="CA144" s="69" t="str">
        <f>IFERROR(__xludf.DUMMYFUNCTION("IF($G144&lt;&gt;"""",IFERROR(FILTER(RawTotals!$AJ:$AJ,RawTotals!$A:$A=AQ144)-(FILTER(Data!$K:$K,Data!$B:$B=AQ144,Data!$D:$D=$G144)+FILTER(Data!$L:$L,Data!$B:$B=AQ144,Data!$D:$D=$G144)),""""),"""")"),"")</f>
        <v/>
      </c>
      <c r="CB144" s="69" t="str">
        <f>IFERROR(__xludf.DUMMYFUNCTION("IF($H144&lt;&gt;"""",IFERROR(FILTER(RawTotals!$AJ:$AJ,RawTotals!$A:$A=AR144)-(FILTER(Data!$K:$K,Data!$B:$B=AR144,Data!$D:$D=$H144)+FILTER(Data!$L:$L,Data!$B:$B=AR144,Data!$D:$D=$H144)),""""),"""")"),"")</f>
        <v/>
      </c>
      <c r="CC144" s="69" t="str">
        <f>IFERROR(__xludf.DUMMYFUNCTION("IF($H144&lt;&gt;"""",IFERROR(FILTER(RawTotals!$AJ:$AJ,RawTotals!$A:$A=AS144)-(FILTER(Data!$K:$K,Data!$B:$B=AS144,Data!$D:$D=$H144)+FILTER(Data!$L:$L,Data!$B:$B=AS144,Data!$D:$D=$H144)),""""),"""")"),"")</f>
        <v/>
      </c>
      <c r="CD144" s="69" t="str">
        <f>IFERROR(__xludf.DUMMYFUNCTION("IF($H144&lt;&gt;"""",IFERROR(FILTER(RawTotals!$AJ:$AJ,RawTotals!$A:$A=AT144)-(FILTER(Data!$K:$K,Data!$B:$B=AT144,Data!$D:$D=$H144)+FILTER(Data!$L:$L,Data!$B:$B=AT144,Data!$D:$D=$H144)),""""),"""")"),"")</f>
        <v/>
      </c>
      <c r="CE144" s="69" t="str">
        <f>IFERROR(__xludf.DUMMYFUNCTION("IF($I144&lt;&gt;"""",IFERROR(FILTER(RawTotals!$AJ:$AJ,RawTotals!$A:$A=AU144)-(FILTER(Data!$K:$K,Data!$B:$B=AU144,Data!$D:$D=$I144)+FILTER(Data!$L:$L,Data!$B:$B=AU144,Data!$D:$D=$I144)),""""),"""")"),"")</f>
        <v/>
      </c>
      <c r="CF144" s="69" t="str">
        <f>IFERROR(__xludf.DUMMYFUNCTION("IF($I144&lt;&gt;"""",IFERROR(FILTER(RawTotals!$AJ:$AJ,RawTotals!$A:$A=AV144)-(FILTER(Data!$K:$K,Data!$B:$B=AV144,Data!$D:$D=$I144)+FILTER(Data!$L:$L,Data!$B:$B=AV144,Data!$D:$D=$I144)),""""),"""")"),"")</f>
        <v/>
      </c>
      <c r="CG144" s="69" t="str">
        <f>IFERROR(__xludf.DUMMYFUNCTION("IF($I144&lt;&gt;"""",IFERROR(FILTER(RawTotals!$AJ:$AJ,RawTotals!$A:$A=AW144)-(FILTER(Data!$K:$K,Data!$B:$B=AW144,Data!$D:$D=$I144)+FILTER(Data!$L:$L,Data!$B:$B=AW144,Data!$D:$D=$I144)),""""),"""")"),"")</f>
        <v/>
      </c>
      <c r="CH144" s="69" t="str">
        <f>IFERROR(__xludf.DUMMYFUNCTION("IF($J144&lt;&gt;"""",IFERROR(FILTER(RawTotals!$AJ:$AJ,RawTotals!$A:$A=AX144)-(FILTER(Data!$K:$K,Data!$B:$B=AX144,Data!$D:$D=$J144)+FILTER(Data!$L:$L,Data!$B:$B=AX144,Data!$D:$D=$J144)),""""),"""")"),"")</f>
        <v/>
      </c>
      <c r="CI144" s="69" t="str">
        <f>IFERROR(__xludf.DUMMYFUNCTION("IF($J144&lt;&gt;"""",IFERROR(FILTER(RawTotals!$AJ:$AJ,RawTotals!$A:$A=AY144)-(FILTER(Data!$K:$K,Data!$B:$B=AY144,Data!$D:$D=$J144)+FILTER(Data!$L:$L,Data!$B:$B=AY144,Data!$D:$D=$J144)),""""),"""")"),"")</f>
        <v/>
      </c>
      <c r="CJ144" s="69" t="str">
        <f>IFERROR(__xludf.DUMMYFUNCTION("IF($J144&lt;&gt;"""",IFERROR(FILTER(RawTotals!$AJ:$AJ,RawTotals!$A:$A=AZ144)-(FILTER(Data!$K:$K,Data!$B:$B=AZ144,Data!$D:$D=$J144)+FILTER(Data!$L:$L,Data!$B:$B=AZ144,Data!$D:$D=$J144)),""""),"""")"),"")</f>
        <v/>
      </c>
      <c r="CK144" s="69" t="str">
        <f>IFERROR(__xludf.DUMMYFUNCTION("IF($K144&lt;&gt;"""",IFERROR(FILTER(RawTotals!$AJ:$AJ,RawTotals!$A:$A=BA144)-(FILTER(Data!$K:$K,Data!$B:$B=BA144,Data!$D:$D=$K144)+FILTER(Data!$L:$L,Data!$B:$B=BA144,Data!$D:$D=$K144)),""""),"""")"),"")</f>
        <v/>
      </c>
      <c r="CL144" s="69" t="str">
        <f>IFERROR(__xludf.DUMMYFUNCTION("IF($K144&lt;&gt;"""",IFERROR(FILTER(RawTotals!$AJ:$AJ,RawTotals!$A:$A=BB144)-(FILTER(Data!$K:$K,Data!$B:$B=BB144,Data!$D:$D=$K144)+FILTER(Data!$L:$L,Data!$B:$B=BB144,Data!$D:$D=$K144)),""""),"""")"),"")</f>
        <v/>
      </c>
      <c r="CM144" s="69" t="str">
        <f>IFERROR(__xludf.DUMMYFUNCTION("IF($K144&lt;&gt;"""",IFERROR(FILTER(RawTotals!$AJ:$AJ,RawTotals!$A:$A=BC144)-(FILTER(Data!$K:$K,Data!$B:$B=BC144,Data!$D:$D=$K144)+FILTER(Data!$L:$L,Data!$B:$B=BC144,Data!$D:$D=$K144)),""""),"""")"),"")</f>
        <v/>
      </c>
      <c r="CN144" s="69" t="str">
        <f>IFERROR(__xludf.DUMMYFUNCTION("IF($L144&lt;&gt;"""",IFERROR((FILTER(RawTotals!$AJ:$AJ,RawTotals!$A:$A=BD144)-(FILTER(Data!$K:$K,Data!$B:$B=BD144,Data!$D:$D=$L144)+FILTER(Data!$L:$L,Data!$B:$B=BD144,Data!$D:$D=$L144))),""""),"""")"),"")</f>
        <v/>
      </c>
      <c r="CO144" s="69" t="str">
        <f>IFERROR(__xludf.DUMMYFUNCTION("IF($L144&lt;&gt;"""",IFERROR((FILTER(RawTotals!$AJ:$AJ,RawTotals!$A:$A=BE144)-(FILTER(Data!$K:$K,Data!$B:$B=BE144,Data!$D:$D=$L144)+FILTER(Data!$L:$L,Data!$B:$B=BE144,Data!$D:$D=$L144))),""""),"""")"),"")</f>
        <v/>
      </c>
      <c r="CP144" s="69" t="str">
        <f>IFERROR(__xludf.DUMMYFUNCTION("IF($L144&lt;&gt;"""",IFERROR((FILTER(RawTotals!$AJ:$AJ,RawTotals!$A:$A=BF144)-(FILTER(Data!$K:$K,Data!$B:$B=BF144,Data!$D:$D=$L144)+FILTER(Data!$L:$L,Data!$B:$B=BF144,Data!$D:$D=$L144))),""""),"""")"),"")</f>
        <v/>
      </c>
      <c r="CQ144" s="69" t="str">
        <f>IFERROR(__xludf.DUMMYFUNCTION("IF($M144&lt;&gt;"""",IFERROR((FILTER(RawTotals!$AJ:$AJ,RawTotals!$A:$A=BG144)-(FILTER(Data!$K:$K,Data!$B:$B=BG144,Data!$D:$D=$M144)+FILTER(Data!$L:$L,Data!$B:$B=BG144,Data!$D:$D=$M144))),""""),"""")"),"")</f>
        <v/>
      </c>
      <c r="CR144" s="69" t="str">
        <f>IFERROR(__xludf.DUMMYFUNCTION("IF($M144&lt;&gt;"""",IFERROR((FILTER(RawTotals!$AJ:$AJ,RawTotals!$A:$A=BH144)-(FILTER(Data!$K:$K,Data!$B:$B=BH144,Data!$D:$D=$M144)+FILTER(Data!$L:$L,Data!$B:$B=BH144,Data!$D:$D=$M144))),""""),"""")"),"")</f>
        <v/>
      </c>
      <c r="CS144" s="70" t="str">
        <f>IFERROR(__xludf.DUMMYFUNCTION("IF($M144&lt;&gt;"""",IFERROR((FILTER(RawTotals!$AJ:$AJ,RawTotals!$A:$A=BI144)-(FILTER(Data!$K:$K,Data!$B:$B=BI144,Data!$D:$D=$M144)+FILTER(Data!$L:$L,Data!$B:$B=BI144,Data!$D:$D=$M144))),""""),"""")"),"")</f>
        <v/>
      </c>
      <c r="CT144" s="69"/>
      <c r="CU144" s="69"/>
      <c r="CV144" s="69"/>
      <c r="CW144" s="69"/>
      <c r="CX144" s="69"/>
      <c r="CY144" s="69"/>
      <c r="CZ144" s="69"/>
      <c r="DA144" s="69"/>
      <c r="DB144" s="69"/>
      <c r="DC144" s="69"/>
      <c r="DD144" s="69"/>
      <c r="DE144" s="69"/>
    </row>
    <row r="145">
      <c r="A145" s="65" t="str">
        <f>RawTotals!A145</f>
        <v/>
      </c>
      <c r="B145" s="68" t="str">
        <f>IFERROR(__xludf.DUMMYFUNCTION("IF(A145&lt;&gt;"""",IFERROR(TRANSPOSE(FILTER(Data!D:D,Data!B:B=A145,Data!R:R&lt;&gt;"""")),""No Defense""),"""")"),"")</f>
        <v/>
      </c>
      <c r="C145" s="65"/>
      <c r="D145" s="65"/>
      <c r="E145" s="65"/>
      <c r="F145" s="65"/>
      <c r="G145" s="65"/>
      <c r="H145" s="65"/>
      <c r="I145" s="65"/>
      <c r="J145" s="65"/>
      <c r="K145" s="65"/>
      <c r="L145" s="65"/>
      <c r="M145" s="65"/>
      <c r="N145" s="64" t="str">
        <f>IFERROR(__xludf.DUMMYFUNCTION("IFERROR(Textjoin("""",TRUE,FILTER(Data!$R:$R,Data!$D:$D=B145,Data!$B:$B=$A145)),"""")"),"")</f>
        <v/>
      </c>
      <c r="O145" s="64" t="str">
        <f>IFERROR(__xludf.DUMMYFUNCTION("IFERROR(Textjoin("""",TRUE,FILTER(Data!$R:$R,Data!$D:$D=C145,Data!$B:$B=$A145)),"""")"),"")</f>
        <v/>
      </c>
      <c r="P145" s="64" t="str">
        <f>IFERROR(__xludf.DUMMYFUNCTION("IFERROR(Textjoin("""",TRUE,FILTER(Data!$R:$R,Data!$D:$D=D145,Data!$B:$B=$A145)),"""")"),"")</f>
        <v/>
      </c>
      <c r="Q145" s="64" t="str">
        <f>IFERROR(__xludf.DUMMYFUNCTION("IFERROR(Textjoin("""",TRUE,FILTER(Data!$R:$R,Data!$D:$D=E145,Data!$B:$B=$A145)),"""")"),"")</f>
        <v/>
      </c>
      <c r="R145" s="64" t="str">
        <f>IFERROR(__xludf.DUMMYFUNCTION("IFERROR(Textjoin("""",TRUE,FILTER(Data!$R:$R,Data!$D:$D=F145,Data!$B:$B=$A145)),"""")"),"")</f>
        <v/>
      </c>
      <c r="S145" s="64" t="str">
        <f>IFERROR(__xludf.DUMMYFUNCTION("IFERROR(Textjoin("""",TRUE,FILTER(Data!$R:$R,Data!$D:$D=G145,Data!$B:$B=$A145)),"""")"),"")</f>
        <v/>
      </c>
      <c r="T145" s="64" t="str">
        <f>IFERROR(__xludf.DUMMYFUNCTION("IFERROR(Textjoin("""",TRUE,FILTER(Data!$R:$R,Data!$D:$D=H145,Data!$B:$B=$A145)),"""")"),"")</f>
        <v/>
      </c>
      <c r="U145" s="64" t="str">
        <f>IFERROR(__xludf.DUMMYFUNCTION("IFERROR(Textjoin("""",TRUE,FILTER(Data!$R:$R,Data!$D:$D=I145,Data!$B:$B=$A145)),"""")"),"")</f>
        <v/>
      </c>
      <c r="V145" s="64" t="str">
        <f>IFERROR(__xludf.DUMMYFUNCTION("IFERROR(Textjoin("""",TRUE,FILTER(Data!$R:$R,Data!$D:$D=J145,Data!$B:$B=$A145)),"""")"),"")</f>
        <v/>
      </c>
      <c r="W145" s="64" t="str">
        <f>IFERROR(__xludf.DUMMYFUNCTION("IFERROR(Textjoin("""",TRUE,FILTER(Data!$R:$R,Data!$D:$D=K145,Data!$B:$B=$A145)),"""")"),"")</f>
        <v/>
      </c>
      <c r="X145" s="64" t="str">
        <f>IFERROR(__xludf.DUMMYFUNCTION("IFERROR(Textjoin("""",TRUE,FILTER(Data!$R:$R,Data!$D:$D=L145,Data!$B:$B=$A145)),"""")"),"")</f>
        <v/>
      </c>
      <c r="Y145" s="64" t="str">
        <f>IFERROR(__xludf.DUMMYFUNCTION("IFERROR(Textjoin("""",TRUE,FILTER(Data!$R:$R,Data!$D:$D=M145,Data!$B:$B=$A145)),"""")"),"")</f>
        <v/>
      </c>
      <c r="Z145" s="64" t="str">
        <f>IFERROR(__xludf.DUMMYFUNCTION("IFERROR(SPLIT(N145,"",""),"""")"),"")</f>
        <v/>
      </c>
      <c r="AA145" s="65"/>
      <c r="AB145" s="65"/>
      <c r="AC145" s="69" t="str">
        <f>IFERROR(__xludf.DUMMYFUNCTION("IFERROR(SPLIT(O145,"",""),"""")"),"")</f>
        <v/>
      </c>
      <c r="AD145" s="65"/>
      <c r="AE145" s="65"/>
      <c r="AF145" s="69" t="str">
        <f>IFERROR(__xludf.DUMMYFUNCTION("IFERROR(SPLIT(P145,"",""),"""")"),"")</f>
        <v/>
      </c>
      <c r="AG145" s="65"/>
      <c r="AH145" s="65"/>
      <c r="AI145" s="69" t="str">
        <f>IFERROR(__xludf.DUMMYFUNCTION("IFERROR(SPLIT(Q145,"",""),"""")"),"")</f>
        <v/>
      </c>
      <c r="AJ145" s="65"/>
      <c r="AK145" s="65"/>
      <c r="AL145" s="69" t="str">
        <f>IFERROR(__xludf.DUMMYFUNCTION("IFERROR(SPLIT(R145,"",""),"""")"),"")</f>
        <v/>
      </c>
      <c r="AM145" s="65"/>
      <c r="AN145" s="65"/>
      <c r="AO145" s="69" t="str">
        <f>IFERROR(__xludf.DUMMYFUNCTION("IFERROR(SPLIT(S145,"",""),"""")"),"")</f>
        <v/>
      </c>
      <c r="AP145" s="65"/>
      <c r="AQ145" s="65"/>
      <c r="AR145" s="69" t="str">
        <f>IFERROR(__xludf.DUMMYFUNCTION("IFERROR(SPLIT(T145,"",""),"""")"),"")</f>
        <v/>
      </c>
      <c r="AS145" s="65"/>
      <c r="AT145" s="65"/>
      <c r="AU145" s="69" t="str">
        <f>IFERROR(__xludf.DUMMYFUNCTION("IFERROR(SPLIT(U145,"",""),"""")"),"")</f>
        <v/>
      </c>
      <c r="AV145" s="65"/>
      <c r="AW145" s="65"/>
      <c r="AX145" s="69" t="str">
        <f>IFERROR(__xludf.DUMMYFUNCTION("IFERROR(SPLIT(V145,"",""),"""")"),"")</f>
        <v/>
      </c>
      <c r="AY145" s="65"/>
      <c r="AZ145" s="65"/>
      <c r="BA145" s="69" t="str">
        <f>IFERROR(__xludf.DUMMYFUNCTION("IFERROR(SPLIT(W145,"",""),"""")"),"")</f>
        <v/>
      </c>
      <c r="BB145" s="69"/>
      <c r="BC145" s="69"/>
      <c r="BD145" s="69" t="str">
        <f>IFERROR(__xludf.DUMMYFUNCTION("IFERROR(SPLIT(X145,"",""),"""")"),"")</f>
        <v/>
      </c>
      <c r="BE145" s="69"/>
      <c r="BF145" s="69"/>
      <c r="BG145" s="69" t="str">
        <f>IFERROR(__xludf.DUMMYFUNCTION("IFERROR(SPLIT(Y145,"",""),"""")"),"")</f>
        <v/>
      </c>
      <c r="BH145" s="69"/>
      <c r="BI145" s="69"/>
      <c r="BJ145" s="68" t="str">
        <f>IFERROR(__xludf.DUMMYFUNCTION("IF($B145&lt;&gt;"""",IFERROR(FILTER(RawTotals!$AJ:$AJ,RawTotals!$A:$A=Z145)-(FILTER(Data!$K:$K,Data!$B:$B=Z145,Data!$D:$D=$B145)+FILTER(Data!$L:$L,Data!$B:$B=Z145,Data!$D:$D=$B145)),""""),"""")"),"")</f>
        <v/>
      </c>
      <c r="BK145" s="68" t="str">
        <f>IFERROR(__xludf.DUMMYFUNCTION("IF($B145&lt;&gt;"""",IFERROR(FILTER(RawTotals!$AJ:$AJ,RawTotals!$A:$A=AA145)-(FILTER(Data!$K:$K,Data!$B:$B=AA145,Data!$D:$D=$B145)+FILTER(Data!$L:$L,Data!$B:$B=AA145,Data!$D:$D=$B145)),""""),"""")"),"")</f>
        <v/>
      </c>
      <c r="BL145" s="68" t="str">
        <f>IFERROR(__xludf.DUMMYFUNCTION("IF($B145&lt;&gt;"""",IFERROR(FILTER(RawTotals!$AJ:$AJ,RawTotals!$A:$A=AB145)-(FILTER(Data!$K:$K,Data!$B:$B=AB145,Data!$D:$D=$B145)+FILTER(Data!$L:$L,Data!$B:$B=AB145,Data!$D:$D=$B145)),""""),"""")"),"")</f>
        <v/>
      </c>
      <c r="BM145" s="69" t="str">
        <f>IFERROR(__xludf.DUMMYFUNCTION("IF($C145&lt;&gt;"""",IFERROR(FILTER(RawTotals!$AJ:$AJ,RawTotals!$A:$A=AC145)-(FILTER(Data!$K:$K,Data!$B:$B=AC145,Data!$D:$D=$C145)+FILTER(Data!$L:$L,Data!$B:$B=AC145,Data!$D:$D=$C145)),""""),"""")"),"")</f>
        <v/>
      </c>
      <c r="BN145" s="69" t="str">
        <f>IFERROR(__xludf.DUMMYFUNCTION("IF($C145&lt;&gt;"""",IFERROR(FILTER(RawTotals!$AJ:$AJ,RawTotals!$A:$A=AD145)-(FILTER(Data!$K:$K,Data!$B:$B=AD145,Data!$D:$D=$C145)+FILTER(Data!$L:$L,Data!$B:$B=AD145,Data!$D:$D=$C145)),""""),"""")"),"")</f>
        <v/>
      </c>
      <c r="BO145" s="69" t="str">
        <f>IFERROR(__xludf.DUMMYFUNCTION("IF($C145&lt;&gt;"""",IFERROR(FILTER(RawTotals!$AJ:$AJ,RawTotals!$A:$A=AE145)-(FILTER(Data!$K:$K,Data!$B:$B=AE145,Data!$D:$D=$C145)+FILTER(Data!$L:$L,Data!$B:$B=AE145,Data!$D:$D=$C145)),""""),"""")"),"")</f>
        <v/>
      </c>
      <c r="BP145" s="69" t="str">
        <f>IFERROR(__xludf.DUMMYFUNCTION("IF($D145&lt;&gt;"""",IFERROR(FILTER(RawTotals!$AJ:$AJ,RawTotals!$A:$A=AF145)-(FILTER(Data!$K:$K,Data!$B:$B=AF145,Data!$D:$D=$D145)+FILTER(Data!$L:$L,Data!$B:$B=AF145,Data!$D:$D=$D145)),""""),"""")"),"")</f>
        <v/>
      </c>
      <c r="BQ145" s="69" t="str">
        <f>IFERROR(__xludf.DUMMYFUNCTION("IF($D145&lt;&gt;"""",IFERROR(FILTER(RawTotals!$AJ:$AJ,RawTotals!$A:$A=AG145)-(FILTER(Data!$K:$K,Data!$B:$B=AG145,Data!$D:$D=$D145)+FILTER(Data!$L:$L,Data!$B:$B=AG145,Data!$D:$D=$D145)),""""),"""")"),"")</f>
        <v/>
      </c>
      <c r="BR145" s="69" t="str">
        <f>IFERROR(__xludf.DUMMYFUNCTION("IF($D145&lt;&gt;"""",IFERROR(FILTER(RawTotals!$AJ:$AJ,RawTotals!$A:$A=AH145)-(FILTER(Data!$K:$K,Data!$B:$B=AH145,Data!$D:$D=$D145)+FILTER(Data!$L:$L,Data!$B:$B=AH145,Data!$D:$D=$D145)),""""),"""")"),"")</f>
        <v/>
      </c>
      <c r="BS145" s="69" t="str">
        <f>IFERROR(__xludf.DUMMYFUNCTION("IF($E145&lt;&gt;"""",IFERROR(FILTER(RawTotals!$AJ:$AJ,RawTotals!$A:$A=AI145)-(FILTER(Data!$K:$K,Data!$B:$B=AI145,Data!$D:$D=$E145)+FILTER(Data!$L:$L,Data!$B:$B=AI145,Data!$D:$D=$E145)),""""),"""")"),"")</f>
        <v/>
      </c>
      <c r="BT145" s="69" t="str">
        <f>IFERROR(__xludf.DUMMYFUNCTION("IF($E145&lt;&gt;"""",IFERROR(FILTER(RawTotals!$AJ:$AJ,RawTotals!$A:$A=AJ145)-(FILTER(Data!$K:$K,Data!$B:$B=AJ145,Data!$D:$D=$E145)+FILTER(Data!$L:$L,Data!$B:$B=AJ145,Data!$D:$D=$E145)),""""),"""")"),"")</f>
        <v/>
      </c>
      <c r="BU145" s="69" t="str">
        <f>IFERROR(__xludf.DUMMYFUNCTION("IF($E145&lt;&gt;"""",IFERROR(FILTER(RawTotals!$AJ:$AJ,RawTotals!$A:$A=AK145)-(FILTER(Data!$K:$K,Data!$B:$B=AK145,Data!$D:$D=$E145)+FILTER(Data!$L:$L,Data!$B:$B=AK145,Data!$D:$D=$E145)),""""),"""")"),"")</f>
        <v/>
      </c>
      <c r="BV145" s="69" t="str">
        <f>IFERROR(__xludf.DUMMYFUNCTION("IF($F145&lt;&gt;"""",IFERROR(FILTER(RawTotals!$AJ:$AJ,RawTotals!$A:$A=AL145)-(FILTER(Data!$K:$K,Data!$B:$B=AL145,Data!$D:$D=$F145)+FILTER(Data!$L:$L,Data!$B:$B=AL145,Data!$D:$D=$F145)),""""),"""")"),"")</f>
        <v/>
      </c>
      <c r="BW145" s="69" t="str">
        <f>IFERROR(__xludf.DUMMYFUNCTION("IF($F145&lt;&gt;"""",IFERROR(FILTER(RawTotals!$AJ:$AJ,RawTotals!$A:$A=AM145)-(FILTER(Data!$K:$K,Data!$B:$B=AM145,Data!$D:$D=$F145)+FILTER(Data!$L:$L,Data!$B:$B=AM145,Data!$D:$D=$F145)),""""),"""")"),"")</f>
        <v/>
      </c>
      <c r="BX145" s="69" t="str">
        <f>IFERROR(__xludf.DUMMYFUNCTION("IF($F145&lt;&gt;"""",IFERROR(FILTER(RawTotals!$AJ:$AJ,RawTotals!$A:$A=AN145)-(FILTER(Data!$K:$K,Data!$B:$B=AN145,Data!$D:$D=$F145)+FILTER(Data!$L:$L,Data!$B:$B=AN145,Data!$D:$D=$F145)),""""),"""")"),"")</f>
        <v/>
      </c>
      <c r="BY145" s="69" t="str">
        <f>IFERROR(__xludf.DUMMYFUNCTION("IF($G145&lt;&gt;"""",IFERROR(FILTER(RawTotals!$AJ:$AJ,RawTotals!$A:$A=AO145)-(FILTER(Data!$K:$K,Data!$B:$B=AO145,Data!$D:$D=$G145)+FILTER(Data!$L:$L,Data!$B:$B=AO145,Data!$D:$D=$G145)),""""),"""")"),"")</f>
        <v/>
      </c>
      <c r="BZ145" s="69" t="str">
        <f>IFERROR(__xludf.DUMMYFUNCTION("IF($G145&lt;&gt;"""",IFERROR(FILTER(RawTotals!$AJ:$AJ,RawTotals!$A:$A=AP145)-(FILTER(Data!$K:$K,Data!$B:$B=AP145,Data!$D:$D=$G145)+FILTER(Data!$L:$L,Data!$B:$B=AP145,Data!$D:$D=$G145)),""""),"""")"),"")</f>
        <v/>
      </c>
      <c r="CA145" s="69" t="str">
        <f>IFERROR(__xludf.DUMMYFUNCTION("IF($G145&lt;&gt;"""",IFERROR(FILTER(RawTotals!$AJ:$AJ,RawTotals!$A:$A=AQ145)-(FILTER(Data!$K:$K,Data!$B:$B=AQ145,Data!$D:$D=$G145)+FILTER(Data!$L:$L,Data!$B:$B=AQ145,Data!$D:$D=$G145)),""""),"""")"),"")</f>
        <v/>
      </c>
      <c r="CB145" s="69" t="str">
        <f>IFERROR(__xludf.DUMMYFUNCTION("IF($H145&lt;&gt;"""",IFERROR(FILTER(RawTotals!$AJ:$AJ,RawTotals!$A:$A=AR145)-(FILTER(Data!$K:$K,Data!$B:$B=AR145,Data!$D:$D=$H145)+FILTER(Data!$L:$L,Data!$B:$B=AR145,Data!$D:$D=$H145)),""""),"""")"),"")</f>
        <v/>
      </c>
      <c r="CC145" s="69" t="str">
        <f>IFERROR(__xludf.DUMMYFUNCTION("IF($H145&lt;&gt;"""",IFERROR(FILTER(RawTotals!$AJ:$AJ,RawTotals!$A:$A=AS145)-(FILTER(Data!$K:$K,Data!$B:$B=AS145,Data!$D:$D=$H145)+FILTER(Data!$L:$L,Data!$B:$B=AS145,Data!$D:$D=$H145)),""""),"""")"),"")</f>
        <v/>
      </c>
      <c r="CD145" s="69" t="str">
        <f>IFERROR(__xludf.DUMMYFUNCTION("IF($H145&lt;&gt;"""",IFERROR(FILTER(RawTotals!$AJ:$AJ,RawTotals!$A:$A=AT145)-(FILTER(Data!$K:$K,Data!$B:$B=AT145,Data!$D:$D=$H145)+FILTER(Data!$L:$L,Data!$B:$B=AT145,Data!$D:$D=$H145)),""""),"""")"),"")</f>
        <v/>
      </c>
      <c r="CE145" s="69" t="str">
        <f>IFERROR(__xludf.DUMMYFUNCTION("IF($I145&lt;&gt;"""",IFERROR(FILTER(RawTotals!$AJ:$AJ,RawTotals!$A:$A=AU145)-(FILTER(Data!$K:$K,Data!$B:$B=AU145,Data!$D:$D=$I145)+FILTER(Data!$L:$L,Data!$B:$B=AU145,Data!$D:$D=$I145)),""""),"""")"),"")</f>
        <v/>
      </c>
      <c r="CF145" s="69" t="str">
        <f>IFERROR(__xludf.DUMMYFUNCTION("IF($I145&lt;&gt;"""",IFERROR(FILTER(RawTotals!$AJ:$AJ,RawTotals!$A:$A=AV145)-(FILTER(Data!$K:$K,Data!$B:$B=AV145,Data!$D:$D=$I145)+FILTER(Data!$L:$L,Data!$B:$B=AV145,Data!$D:$D=$I145)),""""),"""")"),"")</f>
        <v/>
      </c>
      <c r="CG145" s="69" t="str">
        <f>IFERROR(__xludf.DUMMYFUNCTION("IF($I145&lt;&gt;"""",IFERROR(FILTER(RawTotals!$AJ:$AJ,RawTotals!$A:$A=AW145)-(FILTER(Data!$K:$K,Data!$B:$B=AW145,Data!$D:$D=$I145)+FILTER(Data!$L:$L,Data!$B:$B=AW145,Data!$D:$D=$I145)),""""),"""")"),"")</f>
        <v/>
      </c>
      <c r="CH145" s="69" t="str">
        <f>IFERROR(__xludf.DUMMYFUNCTION("IF($J145&lt;&gt;"""",IFERROR(FILTER(RawTotals!$AJ:$AJ,RawTotals!$A:$A=AX145)-(FILTER(Data!$K:$K,Data!$B:$B=AX145,Data!$D:$D=$J145)+FILTER(Data!$L:$L,Data!$B:$B=AX145,Data!$D:$D=$J145)),""""),"""")"),"")</f>
        <v/>
      </c>
      <c r="CI145" s="69" t="str">
        <f>IFERROR(__xludf.DUMMYFUNCTION("IF($J145&lt;&gt;"""",IFERROR(FILTER(RawTotals!$AJ:$AJ,RawTotals!$A:$A=AY145)-(FILTER(Data!$K:$K,Data!$B:$B=AY145,Data!$D:$D=$J145)+FILTER(Data!$L:$L,Data!$B:$B=AY145,Data!$D:$D=$J145)),""""),"""")"),"")</f>
        <v/>
      </c>
      <c r="CJ145" s="69" t="str">
        <f>IFERROR(__xludf.DUMMYFUNCTION("IF($J145&lt;&gt;"""",IFERROR(FILTER(RawTotals!$AJ:$AJ,RawTotals!$A:$A=AZ145)-(FILTER(Data!$K:$K,Data!$B:$B=AZ145,Data!$D:$D=$J145)+FILTER(Data!$L:$L,Data!$B:$B=AZ145,Data!$D:$D=$J145)),""""),"""")"),"")</f>
        <v/>
      </c>
      <c r="CK145" s="69" t="str">
        <f>IFERROR(__xludf.DUMMYFUNCTION("IF($K145&lt;&gt;"""",IFERROR(FILTER(RawTotals!$AJ:$AJ,RawTotals!$A:$A=BA145)-(FILTER(Data!$K:$K,Data!$B:$B=BA145,Data!$D:$D=$K145)+FILTER(Data!$L:$L,Data!$B:$B=BA145,Data!$D:$D=$K145)),""""),"""")"),"")</f>
        <v/>
      </c>
      <c r="CL145" s="69" t="str">
        <f>IFERROR(__xludf.DUMMYFUNCTION("IF($K145&lt;&gt;"""",IFERROR(FILTER(RawTotals!$AJ:$AJ,RawTotals!$A:$A=BB145)-(FILTER(Data!$K:$K,Data!$B:$B=BB145,Data!$D:$D=$K145)+FILTER(Data!$L:$L,Data!$B:$B=BB145,Data!$D:$D=$K145)),""""),"""")"),"")</f>
        <v/>
      </c>
      <c r="CM145" s="69" t="str">
        <f>IFERROR(__xludf.DUMMYFUNCTION("IF($K145&lt;&gt;"""",IFERROR(FILTER(RawTotals!$AJ:$AJ,RawTotals!$A:$A=BC145)-(FILTER(Data!$K:$K,Data!$B:$B=BC145,Data!$D:$D=$K145)+FILTER(Data!$L:$L,Data!$B:$B=BC145,Data!$D:$D=$K145)),""""),"""")"),"")</f>
        <v/>
      </c>
      <c r="CN145" s="69" t="str">
        <f>IFERROR(__xludf.DUMMYFUNCTION("IF($L145&lt;&gt;"""",IFERROR((FILTER(RawTotals!$AJ:$AJ,RawTotals!$A:$A=BD145)-(FILTER(Data!$K:$K,Data!$B:$B=BD145,Data!$D:$D=$L145)+FILTER(Data!$L:$L,Data!$B:$B=BD145,Data!$D:$D=$L145))),""""),"""")"),"")</f>
        <v/>
      </c>
      <c r="CO145" s="69" t="str">
        <f>IFERROR(__xludf.DUMMYFUNCTION("IF($L145&lt;&gt;"""",IFERROR((FILTER(RawTotals!$AJ:$AJ,RawTotals!$A:$A=BE145)-(FILTER(Data!$K:$K,Data!$B:$B=BE145,Data!$D:$D=$L145)+FILTER(Data!$L:$L,Data!$B:$B=BE145,Data!$D:$D=$L145))),""""),"""")"),"")</f>
        <v/>
      </c>
      <c r="CP145" s="69" t="str">
        <f>IFERROR(__xludf.DUMMYFUNCTION("IF($L145&lt;&gt;"""",IFERROR((FILTER(RawTotals!$AJ:$AJ,RawTotals!$A:$A=BF145)-(FILTER(Data!$K:$K,Data!$B:$B=BF145,Data!$D:$D=$L145)+FILTER(Data!$L:$L,Data!$B:$B=BF145,Data!$D:$D=$L145))),""""),"""")"),"")</f>
        <v/>
      </c>
      <c r="CQ145" s="69" t="str">
        <f>IFERROR(__xludf.DUMMYFUNCTION("IF($M145&lt;&gt;"""",IFERROR((FILTER(RawTotals!$AJ:$AJ,RawTotals!$A:$A=BG145)-(FILTER(Data!$K:$K,Data!$B:$B=BG145,Data!$D:$D=$M145)+FILTER(Data!$L:$L,Data!$B:$B=BG145,Data!$D:$D=$M145))),""""),"""")"),"")</f>
        <v/>
      </c>
      <c r="CR145" s="69" t="str">
        <f>IFERROR(__xludf.DUMMYFUNCTION("IF($M145&lt;&gt;"""",IFERROR((FILTER(RawTotals!$AJ:$AJ,RawTotals!$A:$A=BH145)-(FILTER(Data!$K:$K,Data!$B:$B=BH145,Data!$D:$D=$M145)+FILTER(Data!$L:$L,Data!$B:$B=BH145,Data!$D:$D=$M145))),""""),"""")"),"")</f>
        <v/>
      </c>
      <c r="CS145" s="70" t="str">
        <f>IFERROR(__xludf.DUMMYFUNCTION("IF($M145&lt;&gt;"""",IFERROR((FILTER(RawTotals!$AJ:$AJ,RawTotals!$A:$A=BI145)-(FILTER(Data!$K:$K,Data!$B:$B=BI145,Data!$D:$D=$M145)+FILTER(Data!$L:$L,Data!$B:$B=BI145,Data!$D:$D=$M145))),""""),"""")"),"")</f>
        <v/>
      </c>
      <c r="CT145" s="69"/>
      <c r="CU145" s="69"/>
      <c r="CV145" s="69"/>
      <c r="CW145" s="69"/>
      <c r="CX145" s="69"/>
      <c r="CY145" s="69"/>
      <c r="CZ145" s="69"/>
      <c r="DA145" s="69"/>
      <c r="DB145" s="69"/>
      <c r="DC145" s="69"/>
      <c r="DD145" s="69"/>
      <c r="DE145" s="69"/>
    </row>
    <row r="146">
      <c r="A146" s="65" t="str">
        <f>RawTotals!A146</f>
        <v/>
      </c>
      <c r="B146" s="68" t="str">
        <f>IFERROR(__xludf.DUMMYFUNCTION("IF(A146&lt;&gt;"""",IFERROR(TRANSPOSE(FILTER(Data!D:D,Data!B:B=A146,Data!R:R&lt;&gt;"""")),""No Defense""),"""")"),"")</f>
        <v/>
      </c>
      <c r="C146" s="65"/>
      <c r="D146" s="65"/>
      <c r="E146" s="65"/>
      <c r="F146" s="65"/>
      <c r="G146" s="65"/>
      <c r="H146" s="65"/>
      <c r="I146" s="65"/>
      <c r="J146" s="65"/>
      <c r="K146" s="65"/>
      <c r="L146" s="65"/>
      <c r="M146" s="65"/>
      <c r="N146" s="64" t="str">
        <f>IFERROR(__xludf.DUMMYFUNCTION("IFERROR(Textjoin("""",TRUE,FILTER(Data!$R:$R,Data!$D:$D=B146,Data!$B:$B=$A146)),"""")"),"")</f>
        <v/>
      </c>
      <c r="O146" s="64" t="str">
        <f>IFERROR(__xludf.DUMMYFUNCTION("IFERROR(Textjoin("""",TRUE,FILTER(Data!$R:$R,Data!$D:$D=C146,Data!$B:$B=$A146)),"""")"),"")</f>
        <v/>
      </c>
      <c r="P146" s="64" t="str">
        <f>IFERROR(__xludf.DUMMYFUNCTION("IFERROR(Textjoin("""",TRUE,FILTER(Data!$R:$R,Data!$D:$D=D146,Data!$B:$B=$A146)),"""")"),"")</f>
        <v/>
      </c>
      <c r="Q146" s="64" t="str">
        <f>IFERROR(__xludf.DUMMYFUNCTION("IFERROR(Textjoin("""",TRUE,FILTER(Data!$R:$R,Data!$D:$D=E146,Data!$B:$B=$A146)),"""")"),"")</f>
        <v/>
      </c>
      <c r="R146" s="64" t="str">
        <f>IFERROR(__xludf.DUMMYFUNCTION("IFERROR(Textjoin("""",TRUE,FILTER(Data!$R:$R,Data!$D:$D=F146,Data!$B:$B=$A146)),"""")"),"")</f>
        <v/>
      </c>
      <c r="S146" s="64" t="str">
        <f>IFERROR(__xludf.DUMMYFUNCTION("IFERROR(Textjoin("""",TRUE,FILTER(Data!$R:$R,Data!$D:$D=G146,Data!$B:$B=$A146)),"""")"),"")</f>
        <v/>
      </c>
      <c r="T146" s="64" t="str">
        <f>IFERROR(__xludf.DUMMYFUNCTION("IFERROR(Textjoin("""",TRUE,FILTER(Data!$R:$R,Data!$D:$D=H146,Data!$B:$B=$A146)),"""")"),"")</f>
        <v/>
      </c>
      <c r="U146" s="64" t="str">
        <f>IFERROR(__xludf.DUMMYFUNCTION("IFERROR(Textjoin("""",TRUE,FILTER(Data!$R:$R,Data!$D:$D=I146,Data!$B:$B=$A146)),"""")"),"")</f>
        <v/>
      </c>
      <c r="V146" s="64" t="str">
        <f>IFERROR(__xludf.DUMMYFUNCTION("IFERROR(Textjoin("""",TRUE,FILTER(Data!$R:$R,Data!$D:$D=J146,Data!$B:$B=$A146)),"""")"),"")</f>
        <v/>
      </c>
      <c r="W146" s="64" t="str">
        <f>IFERROR(__xludf.DUMMYFUNCTION("IFERROR(Textjoin("""",TRUE,FILTER(Data!$R:$R,Data!$D:$D=K146,Data!$B:$B=$A146)),"""")"),"")</f>
        <v/>
      </c>
      <c r="X146" s="64" t="str">
        <f>IFERROR(__xludf.DUMMYFUNCTION("IFERROR(Textjoin("""",TRUE,FILTER(Data!$R:$R,Data!$D:$D=L146,Data!$B:$B=$A146)),"""")"),"")</f>
        <v/>
      </c>
      <c r="Y146" s="64" t="str">
        <f>IFERROR(__xludf.DUMMYFUNCTION("IFERROR(Textjoin("""",TRUE,FILTER(Data!$R:$R,Data!$D:$D=M146,Data!$B:$B=$A146)),"""")"),"")</f>
        <v/>
      </c>
      <c r="Z146" s="64" t="str">
        <f>IFERROR(__xludf.DUMMYFUNCTION("IFERROR(SPLIT(N146,"",""),"""")"),"")</f>
        <v/>
      </c>
      <c r="AA146" s="65"/>
      <c r="AB146" s="65"/>
      <c r="AC146" s="69" t="str">
        <f>IFERROR(__xludf.DUMMYFUNCTION("IFERROR(SPLIT(O146,"",""),"""")"),"")</f>
        <v/>
      </c>
      <c r="AD146" s="65"/>
      <c r="AE146" s="65"/>
      <c r="AF146" s="69" t="str">
        <f>IFERROR(__xludf.DUMMYFUNCTION("IFERROR(SPLIT(P146,"",""),"""")"),"")</f>
        <v/>
      </c>
      <c r="AG146" s="65"/>
      <c r="AH146" s="65"/>
      <c r="AI146" s="69" t="str">
        <f>IFERROR(__xludf.DUMMYFUNCTION("IFERROR(SPLIT(Q146,"",""),"""")"),"")</f>
        <v/>
      </c>
      <c r="AJ146" s="65"/>
      <c r="AK146" s="65"/>
      <c r="AL146" s="69" t="str">
        <f>IFERROR(__xludf.DUMMYFUNCTION("IFERROR(SPLIT(R146,"",""),"""")"),"")</f>
        <v/>
      </c>
      <c r="AM146" s="65"/>
      <c r="AN146" s="65"/>
      <c r="AO146" s="69" t="str">
        <f>IFERROR(__xludf.DUMMYFUNCTION("IFERROR(SPLIT(S146,"",""),"""")"),"")</f>
        <v/>
      </c>
      <c r="AP146" s="65"/>
      <c r="AQ146" s="65"/>
      <c r="AR146" s="69" t="str">
        <f>IFERROR(__xludf.DUMMYFUNCTION("IFERROR(SPLIT(T146,"",""),"""")"),"")</f>
        <v/>
      </c>
      <c r="AS146" s="65"/>
      <c r="AT146" s="65"/>
      <c r="AU146" s="69" t="str">
        <f>IFERROR(__xludf.DUMMYFUNCTION("IFERROR(SPLIT(U146,"",""),"""")"),"")</f>
        <v/>
      </c>
      <c r="AV146" s="65"/>
      <c r="AW146" s="65"/>
      <c r="AX146" s="69" t="str">
        <f>IFERROR(__xludf.DUMMYFUNCTION("IFERROR(SPLIT(V146,"",""),"""")"),"")</f>
        <v/>
      </c>
      <c r="AY146" s="65"/>
      <c r="AZ146" s="65"/>
      <c r="BA146" s="69" t="str">
        <f>IFERROR(__xludf.DUMMYFUNCTION("IFERROR(SPLIT(W146,"",""),"""")"),"")</f>
        <v/>
      </c>
      <c r="BB146" s="69"/>
      <c r="BC146" s="69"/>
      <c r="BD146" s="69" t="str">
        <f>IFERROR(__xludf.DUMMYFUNCTION("IFERROR(SPLIT(X146,"",""),"""")"),"")</f>
        <v/>
      </c>
      <c r="BE146" s="69"/>
      <c r="BF146" s="69"/>
      <c r="BG146" s="69" t="str">
        <f>IFERROR(__xludf.DUMMYFUNCTION("IFERROR(SPLIT(Y146,"",""),"""")"),"")</f>
        <v/>
      </c>
      <c r="BH146" s="69"/>
      <c r="BI146" s="69"/>
      <c r="BJ146" s="68" t="str">
        <f>IFERROR(__xludf.DUMMYFUNCTION("IF($B146&lt;&gt;"""",IFERROR(FILTER(RawTotals!$AJ:$AJ,RawTotals!$A:$A=Z146)-(FILTER(Data!$K:$K,Data!$B:$B=Z146,Data!$D:$D=$B146)+FILTER(Data!$L:$L,Data!$B:$B=Z146,Data!$D:$D=$B146)),""""),"""")"),"")</f>
        <v/>
      </c>
      <c r="BK146" s="68" t="str">
        <f>IFERROR(__xludf.DUMMYFUNCTION("IF($B146&lt;&gt;"""",IFERROR(FILTER(RawTotals!$AJ:$AJ,RawTotals!$A:$A=AA146)-(FILTER(Data!$K:$K,Data!$B:$B=AA146,Data!$D:$D=$B146)+FILTER(Data!$L:$L,Data!$B:$B=AA146,Data!$D:$D=$B146)),""""),"""")"),"")</f>
        <v/>
      </c>
      <c r="BL146" s="68" t="str">
        <f>IFERROR(__xludf.DUMMYFUNCTION("IF($B146&lt;&gt;"""",IFERROR(FILTER(RawTotals!$AJ:$AJ,RawTotals!$A:$A=AB146)-(FILTER(Data!$K:$K,Data!$B:$B=AB146,Data!$D:$D=$B146)+FILTER(Data!$L:$L,Data!$B:$B=AB146,Data!$D:$D=$B146)),""""),"""")"),"")</f>
        <v/>
      </c>
      <c r="BM146" s="69" t="str">
        <f>IFERROR(__xludf.DUMMYFUNCTION("IF($C146&lt;&gt;"""",IFERROR(FILTER(RawTotals!$AJ:$AJ,RawTotals!$A:$A=AC146)-(FILTER(Data!$K:$K,Data!$B:$B=AC146,Data!$D:$D=$C146)+FILTER(Data!$L:$L,Data!$B:$B=AC146,Data!$D:$D=$C146)),""""),"""")"),"")</f>
        <v/>
      </c>
      <c r="BN146" s="69" t="str">
        <f>IFERROR(__xludf.DUMMYFUNCTION("IF($C146&lt;&gt;"""",IFERROR(FILTER(RawTotals!$AJ:$AJ,RawTotals!$A:$A=AD146)-(FILTER(Data!$K:$K,Data!$B:$B=AD146,Data!$D:$D=$C146)+FILTER(Data!$L:$L,Data!$B:$B=AD146,Data!$D:$D=$C146)),""""),"""")"),"")</f>
        <v/>
      </c>
      <c r="BO146" s="69" t="str">
        <f>IFERROR(__xludf.DUMMYFUNCTION("IF($C146&lt;&gt;"""",IFERROR(FILTER(RawTotals!$AJ:$AJ,RawTotals!$A:$A=AE146)-(FILTER(Data!$K:$K,Data!$B:$B=AE146,Data!$D:$D=$C146)+FILTER(Data!$L:$L,Data!$B:$B=AE146,Data!$D:$D=$C146)),""""),"""")"),"")</f>
        <v/>
      </c>
      <c r="BP146" s="69" t="str">
        <f>IFERROR(__xludf.DUMMYFUNCTION("IF($D146&lt;&gt;"""",IFERROR(FILTER(RawTotals!$AJ:$AJ,RawTotals!$A:$A=AF146)-(FILTER(Data!$K:$K,Data!$B:$B=AF146,Data!$D:$D=$D146)+FILTER(Data!$L:$L,Data!$B:$B=AF146,Data!$D:$D=$D146)),""""),"""")"),"")</f>
        <v/>
      </c>
      <c r="BQ146" s="69" t="str">
        <f>IFERROR(__xludf.DUMMYFUNCTION("IF($D146&lt;&gt;"""",IFERROR(FILTER(RawTotals!$AJ:$AJ,RawTotals!$A:$A=AG146)-(FILTER(Data!$K:$K,Data!$B:$B=AG146,Data!$D:$D=$D146)+FILTER(Data!$L:$L,Data!$B:$B=AG146,Data!$D:$D=$D146)),""""),"""")"),"")</f>
        <v/>
      </c>
      <c r="BR146" s="69" t="str">
        <f>IFERROR(__xludf.DUMMYFUNCTION("IF($D146&lt;&gt;"""",IFERROR(FILTER(RawTotals!$AJ:$AJ,RawTotals!$A:$A=AH146)-(FILTER(Data!$K:$K,Data!$B:$B=AH146,Data!$D:$D=$D146)+FILTER(Data!$L:$L,Data!$B:$B=AH146,Data!$D:$D=$D146)),""""),"""")"),"")</f>
        <v/>
      </c>
      <c r="BS146" s="69" t="str">
        <f>IFERROR(__xludf.DUMMYFUNCTION("IF($E146&lt;&gt;"""",IFERROR(FILTER(RawTotals!$AJ:$AJ,RawTotals!$A:$A=AI146)-(FILTER(Data!$K:$K,Data!$B:$B=AI146,Data!$D:$D=$E146)+FILTER(Data!$L:$L,Data!$B:$B=AI146,Data!$D:$D=$E146)),""""),"""")"),"")</f>
        <v/>
      </c>
      <c r="BT146" s="69" t="str">
        <f>IFERROR(__xludf.DUMMYFUNCTION("IF($E146&lt;&gt;"""",IFERROR(FILTER(RawTotals!$AJ:$AJ,RawTotals!$A:$A=AJ146)-(FILTER(Data!$K:$K,Data!$B:$B=AJ146,Data!$D:$D=$E146)+FILTER(Data!$L:$L,Data!$B:$B=AJ146,Data!$D:$D=$E146)),""""),"""")"),"")</f>
        <v/>
      </c>
      <c r="BU146" s="69" t="str">
        <f>IFERROR(__xludf.DUMMYFUNCTION("IF($E146&lt;&gt;"""",IFERROR(FILTER(RawTotals!$AJ:$AJ,RawTotals!$A:$A=AK146)-(FILTER(Data!$K:$K,Data!$B:$B=AK146,Data!$D:$D=$E146)+FILTER(Data!$L:$L,Data!$B:$B=AK146,Data!$D:$D=$E146)),""""),"""")"),"")</f>
        <v/>
      </c>
      <c r="BV146" s="69" t="str">
        <f>IFERROR(__xludf.DUMMYFUNCTION("IF($F146&lt;&gt;"""",IFERROR(FILTER(RawTotals!$AJ:$AJ,RawTotals!$A:$A=AL146)-(FILTER(Data!$K:$K,Data!$B:$B=AL146,Data!$D:$D=$F146)+FILTER(Data!$L:$L,Data!$B:$B=AL146,Data!$D:$D=$F146)),""""),"""")"),"")</f>
        <v/>
      </c>
      <c r="BW146" s="69" t="str">
        <f>IFERROR(__xludf.DUMMYFUNCTION("IF($F146&lt;&gt;"""",IFERROR(FILTER(RawTotals!$AJ:$AJ,RawTotals!$A:$A=AM146)-(FILTER(Data!$K:$K,Data!$B:$B=AM146,Data!$D:$D=$F146)+FILTER(Data!$L:$L,Data!$B:$B=AM146,Data!$D:$D=$F146)),""""),"""")"),"")</f>
        <v/>
      </c>
      <c r="BX146" s="69" t="str">
        <f>IFERROR(__xludf.DUMMYFUNCTION("IF($F146&lt;&gt;"""",IFERROR(FILTER(RawTotals!$AJ:$AJ,RawTotals!$A:$A=AN146)-(FILTER(Data!$K:$K,Data!$B:$B=AN146,Data!$D:$D=$F146)+FILTER(Data!$L:$L,Data!$B:$B=AN146,Data!$D:$D=$F146)),""""),"""")"),"")</f>
        <v/>
      </c>
      <c r="BY146" s="69" t="str">
        <f>IFERROR(__xludf.DUMMYFUNCTION("IF($G146&lt;&gt;"""",IFERROR(FILTER(RawTotals!$AJ:$AJ,RawTotals!$A:$A=AO146)-(FILTER(Data!$K:$K,Data!$B:$B=AO146,Data!$D:$D=$G146)+FILTER(Data!$L:$L,Data!$B:$B=AO146,Data!$D:$D=$G146)),""""),"""")"),"")</f>
        <v/>
      </c>
      <c r="BZ146" s="69" t="str">
        <f>IFERROR(__xludf.DUMMYFUNCTION("IF($G146&lt;&gt;"""",IFERROR(FILTER(RawTotals!$AJ:$AJ,RawTotals!$A:$A=AP146)-(FILTER(Data!$K:$K,Data!$B:$B=AP146,Data!$D:$D=$G146)+FILTER(Data!$L:$L,Data!$B:$B=AP146,Data!$D:$D=$G146)),""""),"""")"),"")</f>
        <v/>
      </c>
      <c r="CA146" s="69" t="str">
        <f>IFERROR(__xludf.DUMMYFUNCTION("IF($G146&lt;&gt;"""",IFERROR(FILTER(RawTotals!$AJ:$AJ,RawTotals!$A:$A=AQ146)-(FILTER(Data!$K:$K,Data!$B:$B=AQ146,Data!$D:$D=$G146)+FILTER(Data!$L:$L,Data!$B:$B=AQ146,Data!$D:$D=$G146)),""""),"""")"),"")</f>
        <v/>
      </c>
      <c r="CB146" s="69" t="str">
        <f>IFERROR(__xludf.DUMMYFUNCTION("IF($H146&lt;&gt;"""",IFERROR(FILTER(RawTotals!$AJ:$AJ,RawTotals!$A:$A=AR146)-(FILTER(Data!$K:$K,Data!$B:$B=AR146,Data!$D:$D=$H146)+FILTER(Data!$L:$L,Data!$B:$B=AR146,Data!$D:$D=$H146)),""""),"""")"),"")</f>
        <v/>
      </c>
      <c r="CC146" s="69" t="str">
        <f>IFERROR(__xludf.DUMMYFUNCTION("IF($H146&lt;&gt;"""",IFERROR(FILTER(RawTotals!$AJ:$AJ,RawTotals!$A:$A=AS146)-(FILTER(Data!$K:$K,Data!$B:$B=AS146,Data!$D:$D=$H146)+FILTER(Data!$L:$L,Data!$B:$B=AS146,Data!$D:$D=$H146)),""""),"""")"),"")</f>
        <v/>
      </c>
      <c r="CD146" s="69" t="str">
        <f>IFERROR(__xludf.DUMMYFUNCTION("IF($H146&lt;&gt;"""",IFERROR(FILTER(RawTotals!$AJ:$AJ,RawTotals!$A:$A=AT146)-(FILTER(Data!$K:$K,Data!$B:$B=AT146,Data!$D:$D=$H146)+FILTER(Data!$L:$L,Data!$B:$B=AT146,Data!$D:$D=$H146)),""""),"""")"),"")</f>
        <v/>
      </c>
      <c r="CE146" s="69" t="str">
        <f>IFERROR(__xludf.DUMMYFUNCTION("IF($I146&lt;&gt;"""",IFERROR(FILTER(RawTotals!$AJ:$AJ,RawTotals!$A:$A=AU146)-(FILTER(Data!$K:$K,Data!$B:$B=AU146,Data!$D:$D=$I146)+FILTER(Data!$L:$L,Data!$B:$B=AU146,Data!$D:$D=$I146)),""""),"""")"),"")</f>
        <v/>
      </c>
      <c r="CF146" s="69" t="str">
        <f>IFERROR(__xludf.DUMMYFUNCTION("IF($I146&lt;&gt;"""",IFERROR(FILTER(RawTotals!$AJ:$AJ,RawTotals!$A:$A=AV146)-(FILTER(Data!$K:$K,Data!$B:$B=AV146,Data!$D:$D=$I146)+FILTER(Data!$L:$L,Data!$B:$B=AV146,Data!$D:$D=$I146)),""""),"""")"),"")</f>
        <v/>
      </c>
      <c r="CG146" s="69" t="str">
        <f>IFERROR(__xludf.DUMMYFUNCTION("IF($I146&lt;&gt;"""",IFERROR(FILTER(RawTotals!$AJ:$AJ,RawTotals!$A:$A=AW146)-(FILTER(Data!$K:$K,Data!$B:$B=AW146,Data!$D:$D=$I146)+FILTER(Data!$L:$L,Data!$B:$B=AW146,Data!$D:$D=$I146)),""""),"""")"),"")</f>
        <v/>
      </c>
      <c r="CH146" s="69" t="str">
        <f>IFERROR(__xludf.DUMMYFUNCTION("IF($J146&lt;&gt;"""",IFERROR(FILTER(RawTotals!$AJ:$AJ,RawTotals!$A:$A=AX146)-(FILTER(Data!$K:$K,Data!$B:$B=AX146,Data!$D:$D=$J146)+FILTER(Data!$L:$L,Data!$B:$B=AX146,Data!$D:$D=$J146)),""""),"""")"),"")</f>
        <v/>
      </c>
      <c r="CI146" s="69" t="str">
        <f>IFERROR(__xludf.DUMMYFUNCTION("IF($J146&lt;&gt;"""",IFERROR(FILTER(RawTotals!$AJ:$AJ,RawTotals!$A:$A=AY146)-(FILTER(Data!$K:$K,Data!$B:$B=AY146,Data!$D:$D=$J146)+FILTER(Data!$L:$L,Data!$B:$B=AY146,Data!$D:$D=$J146)),""""),"""")"),"")</f>
        <v/>
      </c>
      <c r="CJ146" s="69" t="str">
        <f>IFERROR(__xludf.DUMMYFUNCTION("IF($J146&lt;&gt;"""",IFERROR(FILTER(RawTotals!$AJ:$AJ,RawTotals!$A:$A=AZ146)-(FILTER(Data!$K:$K,Data!$B:$B=AZ146,Data!$D:$D=$J146)+FILTER(Data!$L:$L,Data!$B:$B=AZ146,Data!$D:$D=$J146)),""""),"""")"),"")</f>
        <v/>
      </c>
      <c r="CK146" s="69" t="str">
        <f>IFERROR(__xludf.DUMMYFUNCTION("IF($K146&lt;&gt;"""",IFERROR(FILTER(RawTotals!$AJ:$AJ,RawTotals!$A:$A=BA146)-(FILTER(Data!$K:$K,Data!$B:$B=BA146,Data!$D:$D=$K146)+FILTER(Data!$L:$L,Data!$B:$B=BA146,Data!$D:$D=$K146)),""""),"""")"),"")</f>
        <v/>
      </c>
      <c r="CL146" s="69" t="str">
        <f>IFERROR(__xludf.DUMMYFUNCTION("IF($K146&lt;&gt;"""",IFERROR(FILTER(RawTotals!$AJ:$AJ,RawTotals!$A:$A=BB146)-(FILTER(Data!$K:$K,Data!$B:$B=BB146,Data!$D:$D=$K146)+FILTER(Data!$L:$L,Data!$B:$B=BB146,Data!$D:$D=$K146)),""""),"""")"),"")</f>
        <v/>
      </c>
      <c r="CM146" s="69" t="str">
        <f>IFERROR(__xludf.DUMMYFUNCTION("IF($K146&lt;&gt;"""",IFERROR(FILTER(RawTotals!$AJ:$AJ,RawTotals!$A:$A=BC146)-(FILTER(Data!$K:$K,Data!$B:$B=BC146,Data!$D:$D=$K146)+FILTER(Data!$L:$L,Data!$B:$B=BC146,Data!$D:$D=$K146)),""""),"""")"),"")</f>
        <v/>
      </c>
      <c r="CN146" s="69" t="str">
        <f>IFERROR(__xludf.DUMMYFUNCTION("IF($L146&lt;&gt;"""",IFERROR((FILTER(RawTotals!$AJ:$AJ,RawTotals!$A:$A=BD146)-(FILTER(Data!$K:$K,Data!$B:$B=BD146,Data!$D:$D=$L146)+FILTER(Data!$L:$L,Data!$B:$B=BD146,Data!$D:$D=$L146))),""""),"""")"),"")</f>
        <v/>
      </c>
      <c r="CO146" s="69" t="str">
        <f>IFERROR(__xludf.DUMMYFUNCTION("IF($L146&lt;&gt;"""",IFERROR((FILTER(RawTotals!$AJ:$AJ,RawTotals!$A:$A=BE146)-(FILTER(Data!$K:$K,Data!$B:$B=BE146,Data!$D:$D=$L146)+FILTER(Data!$L:$L,Data!$B:$B=BE146,Data!$D:$D=$L146))),""""),"""")"),"")</f>
        <v/>
      </c>
      <c r="CP146" s="69" t="str">
        <f>IFERROR(__xludf.DUMMYFUNCTION("IF($L146&lt;&gt;"""",IFERROR((FILTER(RawTotals!$AJ:$AJ,RawTotals!$A:$A=BF146)-(FILTER(Data!$K:$K,Data!$B:$B=BF146,Data!$D:$D=$L146)+FILTER(Data!$L:$L,Data!$B:$B=BF146,Data!$D:$D=$L146))),""""),"""")"),"")</f>
        <v/>
      </c>
      <c r="CQ146" s="69" t="str">
        <f>IFERROR(__xludf.DUMMYFUNCTION("IF($M146&lt;&gt;"""",IFERROR((FILTER(RawTotals!$AJ:$AJ,RawTotals!$A:$A=BG146)-(FILTER(Data!$K:$K,Data!$B:$B=BG146,Data!$D:$D=$M146)+FILTER(Data!$L:$L,Data!$B:$B=BG146,Data!$D:$D=$M146))),""""),"""")"),"")</f>
        <v/>
      </c>
      <c r="CR146" s="69" t="str">
        <f>IFERROR(__xludf.DUMMYFUNCTION("IF($M146&lt;&gt;"""",IFERROR((FILTER(RawTotals!$AJ:$AJ,RawTotals!$A:$A=BH146)-(FILTER(Data!$K:$K,Data!$B:$B=BH146,Data!$D:$D=$M146)+FILTER(Data!$L:$L,Data!$B:$B=BH146,Data!$D:$D=$M146))),""""),"""")"),"")</f>
        <v/>
      </c>
      <c r="CS146" s="70" t="str">
        <f>IFERROR(__xludf.DUMMYFUNCTION("IF($M146&lt;&gt;"""",IFERROR((FILTER(RawTotals!$AJ:$AJ,RawTotals!$A:$A=BI146)-(FILTER(Data!$K:$K,Data!$B:$B=BI146,Data!$D:$D=$M146)+FILTER(Data!$L:$L,Data!$B:$B=BI146,Data!$D:$D=$M146))),""""),"""")"),"")</f>
        <v/>
      </c>
      <c r="CT146" s="69"/>
      <c r="CU146" s="69"/>
      <c r="CV146" s="69"/>
      <c r="CW146" s="69"/>
      <c r="CX146" s="69"/>
      <c r="CY146" s="69"/>
      <c r="CZ146" s="69"/>
      <c r="DA146" s="69"/>
      <c r="DB146" s="69"/>
      <c r="DC146" s="69"/>
      <c r="DD146" s="69"/>
      <c r="DE146" s="69"/>
    </row>
    <row r="147">
      <c r="A147" s="65" t="str">
        <f>RawTotals!A147</f>
        <v/>
      </c>
      <c r="B147" s="68" t="str">
        <f>IFERROR(__xludf.DUMMYFUNCTION("IF(A147&lt;&gt;"""",IFERROR(TRANSPOSE(FILTER(Data!D:D,Data!B:B=A147,Data!R:R&lt;&gt;"""")),""No Defense""),"""")"),"")</f>
        <v/>
      </c>
      <c r="C147" s="65"/>
      <c r="D147" s="65"/>
      <c r="E147" s="65"/>
      <c r="F147" s="65"/>
      <c r="G147" s="65"/>
      <c r="H147" s="65"/>
      <c r="I147" s="65"/>
      <c r="J147" s="65"/>
      <c r="K147" s="65"/>
      <c r="L147" s="65"/>
      <c r="M147" s="65"/>
      <c r="N147" s="64" t="str">
        <f>IFERROR(__xludf.DUMMYFUNCTION("IFERROR(Textjoin("""",TRUE,FILTER(Data!$R:$R,Data!$D:$D=B147,Data!$B:$B=$A147)),"""")"),"")</f>
        <v/>
      </c>
      <c r="O147" s="64" t="str">
        <f>IFERROR(__xludf.DUMMYFUNCTION("IFERROR(Textjoin("""",TRUE,FILTER(Data!$R:$R,Data!$D:$D=C147,Data!$B:$B=$A147)),"""")"),"")</f>
        <v/>
      </c>
      <c r="P147" s="64" t="str">
        <f>IFERROR(__xludf.DUMMYFUNCTION("IFERROR(Textjoin("""",TRUE,FILTER(Data!$R:$R,Data!$D:$D=D147,Data!$B:$B=$A147)),"""")"),"")</f>
        <v/>
      </c>
      <c r="Q147" s="64" t="str">
        <f>IFERROR(__xludf.DUMMYFUNCTION("IFERROR(Textjoin("""",TRUE,FILTER(Data!$R:$R,Data!$D:$D=E147,Data!$B:$B=$A147)),"""")"),"")</f>
        <v/>
      </c>
      <c r="R147" s="64" t="str">
        <f>IFERROR(__xludf.DUMMYFUNCTION("IFERROR(Textjoin("""",TRUE,FILTER(Data!$R:$R,Data!$D:$D=F147,Data!$B:$B=$A147)),"""")"),"")</f>
        <v/>
      </c>
      <c r="S147" s="64" t="str">
        <f>IFERROR(__xludf.DUMMYFUNCTION("IFERROR(Textjoin("""",TRUE,FILTER(Data!$R:$R,Data!$D:$D=G147,Data!$B:$B=$A147)),"""")"),"")</f>
        <v/>
      </c>
      <c r="T147" s="64" t="str">
        <f>IFERROR(__xludf.DUMMYFUNCTION("IFERROR(Textjoin("""",TRUE,FILTER(Data!$R:$R,Data!$D:$D=H147,Data!$B:$B=$A147)),"""")"),"")</f>
        <v/>
      </c>
      <c r="U147" s="64" t="str">
        <f>IFERROR(__xludf.DUMMYFUNCTION("IFERROR(Textjoin("""",TRUE,FILTER(Data!$R:$R,Data!$D:$D=I147,Data!$B:$B=$A147)),"""")"),"")</f>
        <v/>
      </c>
      <c r="V147" s="64" t="str">
        <f>IFERROR(__xludf.DUMMYFUNCTION("IFERROR(Textjoin("""",TRUE,FILTER(Data!$R:$R,Data!$D:$D=J147,Data!$B:$B=$A147)),"""")"),"")</f>
        <v/>
      </c>
      <c r="W147" s="64" t="str">
        <f>IFERROR(__xludf.DUMMYFUNCTION("IFERROR(Textjoin("""",TRUE,FILTER(Data!$R:$R,Data!$D:$D=K147,Data!$B:$B=$A147)),"""")"),"")</f>
        <v/>
      </c>
      <c r="X147" s="64" t="str">
        <f>IFERROR(__xludf.DUMMYFUNCTION("IFERROR(Textjoin("""",TRUE,FILTER(Data!$R:$R,Data!$D:$D=L147,Data!$B:$B=$A147)),"""")"),"")</f>
        <v/>
      </c>
      <c r="Y147" s="64" t="str">
        <f>IFERROR(__xludf.DUMMYFUNCTION("IFERROR(Textjoin("""",TRUE,FILTER(Data!$R:$R,Data!$D:$D=M147,Data!$B:$B=$A147)),"""")"),"")</f>
        <v/>
      </c>
      <c r="Z147" s="64" t="str">
        <f>IFERROR(__xludf.DUMMYFUNCTION("IFERROR(SPLIT(N147,"",""),"""")"),"")</f>
        <v/>
      </c>
      <c r="AA147" s="65"/>
      <c r="AB147" s="65"/>
      <c r="AC147" s="69" t="str">
        <f>IFERROR(__xludf.DUMMYFUNCTION("IFERROR(SPLIT(O147,"",""),"""")"),"")</f>
        <v/>
      </c>
      <c r="AD147" s="65"/>
      <c r="AE147" s="65"/>
      <c r="AF147" s="69" t="str">
        <f>IFERROR(__xludf.DUMMYFUNCTION("IFERROR(SPLIT(P147,"",""),"""")"),"")</f>
        <v/>
      </c>
      <c r="AG147" s="65"/>
      <c r="AH147" s="65"/>
      <c r="AI147" s="69" t="str">
        <f>IFERROR(__xludf.DUMMYFUNCTION("IFERROR(SPLIT(Q147,"",""),"""")"),"")</f>
        <v/>
      </c>
      <c r="AJ147" s="65"/>
      <c r="AK147" s="65"/>
      <c r="AL147" s="69" t="str">
        <f>IFERROR(__xludf.DUMMYFUNCTION("IFERROR(SPLIT(R147,"",""),"""")"),"")</f>
        <v/>
      </c>
      <c r="AM147" s="65"/>
      <c r="AN147" s="65"/>
      <c r="AO147" s="69" t="str">
        <f>IFERROR(__xludf.DUMMYFUNCTION("IFERROR(SPLIT(S147,"",""),"""")"),"")</f>
        <v/>
      </c>
      <c r="AP147" s="65"/>
      <c r="AQ147" s="65"/>
      <c r="AR147" s="69" t="str">
        <f>IFERROR(__xludf.DUMMYFUNCTION("IFERROR(SPLIT(T147,"",""),"""")"),"")</f>
        <v/>
      </c>
      <c r="AS147" s="65"/>
      <c r="AT147" s="65"/>
      <c r="AU147" s="69" t="str">
        <f>IFERROR(__xludf.DUMMYFUNCTION("IFERROR(SPLIT(U147,"",""),"""")"),"")</f>
        <v/>
      </c>
      <c r="AV147" s="65"/>
      <c r="AW147" s="65"/>
      <c r="AX147" s="69" t="str">
        <f>IFERROR(__xludf.DUMMYFUNCTION("IFERROR(SPLIT(V147,"",""),"""")"),"")</f>
        <v/>
      </c>
      <c r="AY147" s="65"/>
      <c r="AZ147" s="65"/>
      <c r="BA147" s="69" t="str">
        <f>IFERROR(__xludf.DUMMYFUNCTION("IFERROR(SPLIT(W147,"",""),"""")"),"")</f>
        <v/>
      </c>
      <c r="BB147" s="69"/>
      <c r="BC147" s="69"/>
      <c r="BD147" s="69" t="str">
        <f>IFERROR(__xludf.DUMMYFUNCTION("IFERROR(SPLIT(X147,"",""),"""")"),"")</f>
        <v/>
      </c>
      <c r="BE147" s="69"/>
      <c r="BF147" s="69"/>
      <c r="BG147" s="69" t="str">
        <f>IFERROR(__xludf.DUMMYFUNCTION("IFERROR(SPLIT(Y147,"",""),"""")"),"")</f>
        <v/>
      </c>
      <c r="BH147" s="69"/>
      <c r="BI147" s="69"/>
      <c r="BJ147" s="68" t="str">
        <f>IFERROR(__xludf.DUMMYFUNCTION("IF($B147&lt;&gt;"""",IFERROR(FILTER(RawTotals!$AJ:$AJ,RawTotals!$A:$A=Z147)-(FILTER(Data!$K:$K,Data!$B:$B=Z147,Data!$D:$D=$B147)+FILTER(Data!$L:$L,Data!$B:$B=Z147,Data!$D:$D=$B147)),""""),"""")"),"")</f>
        <v/>
      </c>
      <c r="BK147" s="68" t="str">
        <f>IFERROR(__xludf.DUMMYFUNCTION("IF($B147&lt;&gt;"""",IFERROR(FILTER(RawTotals!$AJ:$AJ,RawTotals!$A:$A=AA147)-(FILTER(Data!$K:$K,Data!$B:$B=AA147,Data!$D:$D=$B147)+FILTER(Data!$L:$L,Data!$B:$B=AA147,Data!$D:$D=$B147)),""""),"""")"),"")</f>
        <v/>
      </c>
      <c r="BL147" s="68" t="str">
        <f>IFERROR(__xludf.DUMMYFUNCTION("IF($B147&lt;&gt;"""",IFERROR(FILTER(RawTotals!$AJ:$AJ,RawTotals!$A:$A=AB147)-(FILTER(Data!$K:$K,Data!$B:$B=AB147,Data!$D:$D=$B147)+FILTER(Data!$L:$L,Data!$B:$B=AB147,Data!$D:$D=$B147)),""""),"""")"),"")</f>
        <v/>
      </c>
      <c r="BM147" s="69" t="str">
        <f>IFERROR(__xludf.DUMMYFUNCTION("IF($C147&lt;&gt;"""",IFERROR(FILTER(RawTotals!$AJ:$AJ,RawTotals!$A:$A=AC147)-(FILTER(Data!$K:$K,Data!$B:$B=AC147,Data!$D:$D=$C147)+FILTER(Data!$L:$L,Data!$B:$B=AC147,Data!$D:$D=$C147)),""""),"""")"),"")</f>
        <v/>
      </c>
      <c r="BN147" s="69" t="str">
        <f>IFERROR(__xludf.DUMMYFUNCTION("IF($C147&lt;&gt;"""",IFERROR(FILTER(RawTotals!$AJ:$AJ,RawTotals!$A:$A=AD147)-(FILTER(Data!$K:$K,Data!$B:$B=AD147,Data!$D:$D=$C147)+FILTER(Data!$L:$L,Data!$B:$B=AD147,Data!$D:$D=$C147)),""""),"""")"),"")</f>
        <v/>
      </c>
      <c r="BO147" s="69" t="str">
        <f>IFERROR(__xludf.DUMMYFUNCTION("IF($C147&lt;&gt;"""",IFERROR(FILTER(RawTotals!$AJ:$AJ,RawTotals!$A:$A=AE147)-(FILTER(Data!$K:$K,Data!$B:$B=AE147,Data!$D:$D=$C147)+FILTER(Data!$L:$L,Data!$B:$B=AE147,Data!$D:$D=$C147)),""""),"""")"),"")</f>
        <v/>
      </c>
      <c r="BP147" s="69" t="str">
        <f>IFERROR(__xludf.DUMMYFUNCTION("IF($D147&lt;&gt;"""",IFERROR(FILTER(RawTotals!$AJ:$AJ,RawTotals!$A:$A=AF147)-(FILTER(Data!$K:$K,Data!$B:$B=AF147,Data!$D:$D=$D147)+FILTER(Data!$L:$L,Data!$B:$B=AF147,Data!$D:$D=$D147)),""""),"""")"),"")</f>
        <v/>
      </c>
      <c r="BQ147" s="69" t="str">
        <f>IFERROR(__xludf.DUMMYFUNCTION("IF($D147&lt;&gt;"""",IFERROR(FILTER(RawTotals!$AJ:$AJ,RawTotals!$A:$A=AG147)-(FILTER(Data!$K:$K,Data!$B:$B=AG147,Data!$D:$D=$D147)+FILTER(Data!$L:$L,Data!$B:$B=AG147,Data!$D:$D=$D147)),""""),"""")"),"")</f>
        <v/>
      </c>
      <c r="BR147" s="69" t="str">
        <f>IFERROR(__xludf.DUMMYFUNCTION("IF($D147&lt;&gt;"""",IFERROR(FILTER(RawTotals!$AJ:$AJ,RawTotals!$A:$A=AH147)-(FILTER(Data!$K:$K,Data!$B:$B=AH147,Data!$D:$D=$D147)+FILTER(Data!$L:$L,Data!$B:$B=AH147,Data!$D:$D=$D147)),""""),"""")"),"")</f>
        <v/>
      </c>
      <c r="BS147" s="69" t="str">
        <f>IFERROR(__xludf.DUMMYFUNCTION("IF($E147&lt;&gt;"""",IFERROR(FILTER(RawTotals!$AJ:$AJ,RawTotals!$A:$A=AI147)-(FILTER(Data!$K:$K,Data!$B:$B=AI147,Data!$D:$D=$E147)+FILTER(Data!$L:$L,Data!$B:$B=AI147,Data!$D:$D=$E147)),""""),"""")"),"")</f>
        <v/>
      </c>
      <c r="BT147" s="69" t="str">
        <f>IFERROR(__xludf.DUMMYFUNCTION("IF($E147&lt;&gt;"""",IFERROR(FILTER(RawTotals!$AJ:$AJ,RawTotals!$A:$A=AJ147)-(FILTER(Data!$K:$K,Data!$B:$B=AJ147,Data!$D:$D=$E147)+FILTER(Data!$L:$L,Data!$B:$B=AJ147,Data!$D:$D=$E147)),""""),"""")"),"")</f>
        <v/>
      </c>
      <c r="BU147" s="69" t="str">
        <f>IFERROR(__xludf.DUMMYFUNCTION("IF($E147&lt;&gt;"""",IFERROR(FILTER(RawTotals!$AJ:$AJ,RawTotals!$A:$A=AK147)-(FILTER(Data!$K:$K,Data!$B:$B=AK147,Data!$D:$D=$E147)+FILTER(Data!$L:$L,Data!$B:$B=AK147,Data!$D:$D=$E147)),""""),"""")"),"")</f>
        <v/>
      </c>
      <c r="BV147" s="69" t="str">
        <f>IFERROR(__xludf.DUMMYFUNCTION("IF($F147&lt;&gt;"""",IFERROR(FILTER(RawTotals!$AJ:$AJ,RawTotals!$A:$A=AL147)-(FILTER(Data!$K:$K,Data!$B:$B=AL147,Data!$D:$D=$F147)+FILTER(Data!$L:$L,Data!$B:$B=AL147,Data!$D:$D=$F147)),""""),"""")"),"")</f>
        <v/>
      </c>
      <c r="BW147" s="69" t="str">
        <f>IFERROR(__xludf.DUMMYFUNCTION("IF($F147&lt;&gt;"""",IFERROR(FILTER(RawTotals!$AJ:$AJ,RawTotals!$A:$A=AM147)-(FILTER(Data!$K:$K,Data!$B:$B=AM147,Data!$D:$D=$F147)+FILTER(Data!$L:$L,Data!$B:$B=AM147,Data!$D:$D=$F147)),""""),"""")"),"")</f>
        <v/>
      </c>
      <c r="BX147" s="69" t="str">
        <f>IFERROR(__xludf.DUMMYFUNCTION("IF($F147&lt;&gt;"""",IFERROR(FILTER(RawTotals!$AJ:$AJ,RawTotals!$A:$A=AN147)-(FILTER(Data!$K:$K,Data!$B:$B=AN147,Data!$D:$D=$F147)+FILTER(Data!$L:$L,Data!$B:$B=AN147,Data!$D:$D=$F147)),""""),"""")"),"")</f>
        <v/>
      </c>
      <c r="BY147" s="69" t="str">
        <f>IFERROR(__xludf.DUMMYFUNCTION("IF($G147&lt;&gt;"""",IFERROR(FILTER(RawTotals!$AJ:$AJ,RawTotals!$A:$A=AO147)-(FILTER(Data!$K:$K,Data!$B:$B=AO147,Data!$D:$D=$G147)+FILTER(Data!$L:$L,Data!$B:$B=AO147,Data!$D:$D=$G147)),""""),"""")"),"")</f>
        <v/>
      </c>
      <c r="BZ147" s="69" t="str">
        <f>IFERROR(__xludf.DUMMYFUNCTION("IF($G147&lt;&gt;"""",IFERROR(FILTER(RawTotals!$AJ:$AJ,RawTotals!$A:$A=AP147)-(FILTER(Data!$K:$K,Data!$B:$B=AP147,Data!$D:$D=$G147)+FILTER(Data!$L:$L,Data!$B:$B=AP147,Data!$D:$D=$G147)),""""),"""")"),"")</f>
        <v/>
      </c>
      <c r="CA147" s="69" t="str">
        <f>IFERROR(__xludf.DUMMYFUNCTION("IF($G147&lt;&gt;"""",IFERROR(FILTER(RawTotals!$AJ:$AJ,RawTotals!$A:$A=AQ147)-(FILTER(Data!$K:$K,Data!$B:$B=AQ147,Data!$D:$D=$G147)+FILTER(Data!$L:$L,Data!$B:$B=AQ147,Data!$D:$D=$G147)),""""),"""")"),"")</f>
        <v/>
      </c>
      <c r="CB147" s="69" t="str">
        <f>IFERROR(__xludf.DUMMYFUNCTION("IF($H147&lt;&gt;"""",IFERROR(FILTER(RawTotals!$AJ:$AJ,RawTotals!$A:$A=AR147)-(FILTER(Data!$K:$K,Data!$B:$B=AR147,Data!$D:$D=$H147)+FILTER(Data!$L:$L,Data!$B:$B=AR147,Data!$D:$D=$H147)),""""),"""")"),"")</f>
        <v/>
      </c>
      <c r="CC147" s="69" t="str">
        <f>IFERROR(__xludf.DUMMYFUNCTION("IF($H147&lt;&gt;"""",IFERROR(FILTER(RawTotals!$AJ:$AJ,RawTotals!$A:$A=AS147)-(FILTER(Data!$K:$K,Data!$B:$B=AS147,Data!$D:$D=$H147)+FILTER(Data!$L:$L,Data!$B:$B=AS147,Data!$D:$D=$H147)),""""),"""")"),"")</f>
        <v/>
      </c>
      <c r="CD147" s="69" t="str">
        <f>IFERROR(__xludf.DUMMYFUNCTION("IF($H147&lt;&gt;"""",IFERROR(FILTER(RawTotals!$AJ:$AJ,RawTotals!$A:$A=AT147)-(FILTER(Data!$K:$K,Data!$B:$B=AT147,Data!$D:$D=$H147)+FILTER(Data!$L:$L,Data!$B:$B=AT147,Data!$D:$D=$H147)),""""),"""")"),"")</f>
        <v/>
      </c>
      <c r="CE147" s="69" t="str">
        <f>IFERROR(__xludf.DUMMYFUNCTION("IF($I147&lt;&gt;"""",IFERROR(FILTER(RawTotals!$AJ:$AJ,RawTotals!$A:$A=AU147)-(FILTER(Data!$K:$K,Data!$B:$B=AU147,Data!$D:$D=$I147)+FILTER(Data!$L:$L,Data!$B:$B=AU147,Data!$D:$D=$I147)),""""),"""")"),"")</f>
        <v/>
      </c>
      <c r="CF147" s="69" t="str">
        <f>IFERROR(__xludf.DUMMYFUNCTION("IF($I147&lt;&gt;"""",IFERROR(FILTER(RawTotals!$AJ:$AJ,RawTotals!$A:$A=AV147)-(FILTER(Data!$K:$K,Data!$B:$B=AV147,Data!$D:$D=$I147)+FILTER(Data!$L:$L,Data!$B:$B=AV147,Data!$D:$D=$I147)),""""),"""")"),"")</f>
        <v/>
      </c>
      <c r="CG147" s="69" t="str">
        <f>IFERROR(__xludf.DUMMYFUNCTION("IF($I147&lt;&gt;"""",IFERROR(FILTER(RawTotals!$AJ:$AJ,RawTotals!$A:$A=AW147)-(FILTER(Data!$K:$K,Data!$B:$B=AW147,Data!$D:$D=$I147)+FILTER(Data!$L:$L,Data!$B:$B=AW147,Data!$D:$D=$I147)),""""),"""")"),"")</f>
        <v/>
      </c>
      <c r="CH147" s="69" t="str">
        <f>IFERROR(__xludf.DUMMYFUNCTION("IF($J147&lt;&gt;"""",IFERROR(FILTER(RawTotals!$AJ:$AJ,RawTotals!$A:$A=AX147)-(FILTER(Data!$K:$K,Data!$B:$B=AX147,Data!$D:$D=$J147)+FILTER(Data!$L:$L,Data!$B:$B=AX147,Data!$D:$D=$J147)),""""),"""")"),"")</f>
        <v/>
      </c>
      <c r="CI147" s="69" t="str">
        <f>IFERROR(__xludf.DUMMYFUNCTION("IF($J147&lt;&gt;"""",IFERROR(FILTER(RawTotals!$AJ:$AJ,RawTotals!$A:$A=AY147)-(FILTER(Data!$K:$K,Data!$B:$B=AY147,Data!$D:$D=$J147)+FILTER(Data!$L:$L,Data!$B:$B=AY147,Data!$D:$D=$J147)),""""),"""")"),"")</f>
        <v/>
      </c>
      <c r="CJ147" s="69" t="str">
        <f>IFERROR(__xludf.DUMMYFUNCTION("IF($J147&lt;&gt;"""",IFERROR(FILTER(RawTotals!$AJ:$AJ,RawTotals!$A:$A=AZ147)-(FILTER(Data!$K:$K,Data!$B:$B=AZ147,Data!$D:$D=$J147)+FILTER(Data!$L:$L,Data!$B:$B=AZ147,Data!$D:$D=$J147)),""""),"""")"),"")</f>
        <v/>
      </c>
      <c r="CK147" s="69" t="str">
        <f>IFERROR(__xludf.DUMMYFUNCTION("IF($K147&lt;&gt;"""",IFERROR(FILTER(RawTotals!$AJ:$AJ,RawTotals!$A:$A=BA147)-(FILTER(Data!$K:$K,Data!$B:$B=BA147,Data!$D:$D=$K147)+FILTER(Data!$L:$L,Data!$B:$B=BA147,Data!$D:$D=$K147)),""""),"""")"),"")</f>
        <v/>
      </c>
      <c r="CL147" s="69" t="str">
        <f>IFERROR(__xludf.DUMMYFUNCTION("IF($K147&lt;&gt;"""",IFERROR(FILTER(RawTotals!$AJ:$AJ,RawTotals!$A:$A=BB147)-(FILTER(Data!$K:$K,Data!$B:$B=BB147,Data!$D:$D=$K147)+FILTER(Data!$L:$L,Data!$B:$B=BB147,Data!$D:$D=$K147)),""""),"""")"),"")</f>
        <v/>
      </c>
      <c r="CM147" s="69" t="str">
        <f>IFERROR(__xludf.DUMMYFUNCTION("IF($K147&lt;&gt;"""",IFERROR(FILTER(RawTotals!$AJ:$AJ,RawTotals!$A:$A=BC147)-(FILTER(Data!$K:$K,Data!$B:$B=BC147,Data!$D:$D=$K147)+FILTER(Data!$L:$L,Data!$B:$B=BC147,Data!$D:$D=$K147)),""""),"""")"),"")</f>
        <v/>
      </c>
      <c r="CN147" s="69" t="str">
        <f>IFERROR(__xludf.DUMMYFUNCTION("IF($L147&lt;&gt;"""",IFERROR((FILTER(RawTotals!$AJ:$AJ,RawTotals!$A:$A=BD147)-(FILTER(Data!$K:$K,Data!$B:$B=BD147,Data!$D:$D=$L147)+FILTER(Data!$L:$L,Data!$B:$B=BD147,Data!$D:$D=$L147))),""""),"""")"),"")</f>
        <v/>
      </c>
      <c r="CO147" s="69" t="str">
        <f>IFERROR(__xludf.DUMMYFUNCTION("IF($L147&lt;&gt;"""",IFERROR((FILTER(RawTotals!$AJ:$AJ,RawTotals!$A:$A=BE147)-(FILTER(Data!$K:$K,Data!$B:$B=BE147,Data!$D:$D=$L147)+FILTER(Data!$L:$L,Data!$B:$B=BE147,Data!$D:$D=$L147))),""""),"""")"),"")</f>
        <v/>
      </c>
      <c r="CP147" s="69" t="str">
        <f>IFERROR(__xludf.DUMMYFUNCTION("IF($L147&lt;&gt;"""",IFERROR((FILTER(RawTotals!$AJ:$AJ,RawTotals!$A:$A=BF147)-(FILTER(Data!$K:$K,Data!$B:$B=BF147,Data!$D:$D=$L147)+FILTER(Data!$L:$L,Data!$B:$B=BF147,Data!$D:$D=$L147))),""""),"""")"),"")</f>
        <v/>
      </c>
      <c r="CQ147" s="69" t="str">
        <f>IFERROR(__xludf.DUMMYFUNCTION("IF($M147&lt;&gt;"""",IFERROR((FILTER(RawTotals!$AJ:$AJ,RawTotals!$A:$A=BG147)-(FILTER(Data!$K:$K,Data!$B:$B=BG147,Data!$D:$D=$M147)+FILTER(Data!$L:$L,Data!$B:$B=BG147,Data!$D:$D=$M147))),""""),"""")"),"")</f>
        <v/>
      </c>
      <c r="CR147" s="69" t="str">
        <f>IFERROR(__xludf.DUMMYFUNCTION("IF($M147&lt;&gt;"""",IFERROR((FILTER(RawTotals!$AJ:$AJ,RawTotals!$A:$A=BH147)-(FILTER(Data!$K:$K,Data!$B:$B=BH147,Data!$D:$D=$M147)+FILTER(Data!$L:$L,Data!$B:$B=BH147,Data!$D:$D=$M147))),""""),"""")"),"")</f>
        <v/>
      </c>
      <c r="CS147" s="70" t="str">
        <f>IFERROR(__xludf.DUMMYFUNCTION("IF($M147&lt;&gt;"""",IFERROR((FILTER(RawTotals!$AJ:$AJ,RawTotals!$A:$A=BI147)-(FILTER(Data!$K:$K,Data!$B:$B=BI147,Data!$D:$D=$M147)+FILTER(Data!$L:$L,Data!$B:$B=BI147,Data!$D:$D=$M147))),""""),"""")"),"")</f>
        <v/>
      </c>
      <c r="CT147" s="69"/>
      <c r="CU147" s="69"/>
      <c r="CV147" s="69"/>
      <c r="CW147" s="69"/>
      <c r="CX147" s="69"/>
      <c r="CY147" s="69"/>
      <c r="CZ147" s="69"/>
      <c r="DA147" s="69"/>
      <c r="DB147" s="69"/>
      <c r="DC147" s="69"/>
      <c r="DD147" s="69"/>
      <c r="DE147" s="69"/>
    </row>
    <row r="148">
      <c r="A148" s="65" t="str">
        <f>RawTotals!A148</f>
        <v/>
      </c>
      <c r="B148" s="68" t="str">
        <f>IFERROR(__xludf.DUMMYFUNCTION("IF(A148&lt;&gt;"""",IFERROR(TRANSPOSE(FILTER(Data!D:D,Data!B:B=A148,Data!R:R&lt;&gt;"""")),""No Defense""),"""")"),"")</f>
        <v/>
      </c>
      <c r="C148" s="65"/>
      <c r="D148" s="65"/>
      <c r="E148" s="65"/>
      <c r="F148" s="65"/>
      <c r="G148" s="65"/>
      <c r="H148" s="65"/>
      <c r="I148" s="65"/>
      <c r="J148" s="65"/>
      <c r="K148" s="65"/>
      <c r="L148" s="65"/>
      <c r="M148" s="65"/>
      <c r="N148" s="64" t="str">
        <f>IFERROR(__xludf.DUMMYFUNCTION("IFERROR(Textjoin("""",TRUE,FILTER(Data!$R:$R,Data!$D:$D=B148,Data!$B:$B=$A148)),"""")"),"")</f>
        <v/>
      </c>
      <c r="O148" s="64" t="str">
        <f>IFERROR(__xludf.DUMMYFUNCTION("IFERROR(Textjoin("""",TRUE,FILTER(Data!$R:$R,Data!$D:$D=C148,Data!$B:$B=$A148)),"""")"),"")</f>
        <v/>
      </c>
      <c r="P148" s="64" t="str">
        <f>IFERROR(__xludf.DUMMYFUNCTION("IFERROR(Textjoin("""",TRUE,FILTER(Data!$R:$R,Data!$D:$D=D148,Data!$B:$B=$A148)),"""")"),"")</f>
        <v/>
      </c>
      <c r="Q148" s="64" t="str">
        <f>IFERROR(__xludf.DUMMYFUNCTION("IFERROR(Textjoin("""",TRUE,FILTER(Data!$R:$R,Data!$D:$D=E148,Data!$B:$B=$A148)),"""")"),"")</f>
        <v/>
      </c>
      <c r="R148" s="64" t="str">
        <f>IFERROR(__xludf.DUMMYFUNCTION("IFERROR(Textjoin("""",TRUE,FILTER(Data!$R:$R,Data!$D:$D=F148,Data!$B:$B=$A148)),"""")"),"")</f>
        <v/>
      </c>
      <c r="S148" s="64" t="str">
        <f>IFERROR(__xludf.DUMMYFUNCTION("IFERROR(Textjoin("""",TRUE,FILTER(Data!$R:$R,Data!$D:$D=G148,Data!$B:$B=$A148)),"""")"),"")</f>
        <v/>
      </c>
      <c r="T148" s="64" t="str">
        <f>IFERROR(__xludf.DUMMYFUNCTION("IFERROR(Textjoin("""",TRUE,FILTER(Data!$R:$R,Data!$D:$D=H148,Data!$B:$B=$A148)),"""")"),"")</f>
        <v/>
      </c>
      <c r="U148" s="64" t="str">
        <f>IFERROR(__xludf.DUMMYFUNCTION("IFERROR(Textjoin("""",TRUE,FILTER(Data!$R:$R,Data!$D:$D=I148,Data!$B:$B=$A148)),"""")"),"")</f>
        <v/>
      </c>
      <c r="V148" s="64" t="str">
        <f>IFERROR(__xludf.DUMMYFUNCTION("IFERROR(Textjoin("""",TRUE,FILTER(Data!$R:$R,Data!$D:$D=J148,Data!$B:$B=$A148)),"""")"),"")</f>
        <v/>
      </c>
      <c r="W148" s="64" t="str">
        <f>IFERROR(__xludf.DUMMYFUNCTION("IFERROR(Textjoin("""",TRUE,FILTER(Data!$R:$R,Data!$D:$D=K148,Data!$B:$B=$A148)),"""")"),"")</f>
        <v/>
      </c>
      <c r="X148" s="64" t="str">
        <f>IFERROR(__xludf.DUMMYFUNCTION("IFERROR(Textjoin("""",TRUE,FILTER(Data!$R:$R,Data!$D:$D=L148,Data!$B:$B=$A148)),"""")"),"")</f>
        <v/>
      </c>
      <c r="Y148" s="64" t="str">
        <f>IFERROR(__xludf.DUMMYFUNCTION("IFERROR(Textjoin("""",TRUE,FILTER(Data!$R:$R,Data!$D:$D=M148,Data!$B:$B=$A148)),"""")"),"")</f>
        <v/>
      </c>
      <c r="Z148" s="64" t="str">
        <f>IFERROR(__xludf.DUMMYFUNCTION("IFERROR(SPLIT(N148,"",""),"""")"),"")</f>
        <v/>
      </c>
      <c r="AA148" s="65"/>
      <c r="AB148" s="65"/>
      <c r="AC148" s="69" t="str">
        <f>IFERROR(__xludf.DUMMYFUNCTION("IFERROR(SPLIT(O148,"",""),"""")"),"")</f>
        <v/>
      </c>
      <c r="AD148" s="65"/>
      <c r="AE148" s="65"/>
      <c r="AF148" s="69" t="str">
        <f>IFERROR(__xludf.DUMMYFUNCTION("IFERROR(SPLIT(P148,"",""),"""")"),"")</f>
        <v/>
      </c>
      <c r="AG148" s="65"/>
      <c r="AH148" s="65"/>
      <c r="AI148" s="69" t="str">
        <f>IFERROR(__xludf.DUMMYFUNCTION("IFERROR(SPLIT(Q148,"",""),"""")"),"")</f>
        <v/>
      </c>
      <c r="AJ148" s="65"/>
      <c r="AK148" s="65"/>
      <c r="AL148" s="69" t="str">
        <f>IFERROR(__xludf.DUMMYFUNCTION("IFERROR(SPLIT(R148,"",""),"""")"),"")</f>
        <v/>
      </c>
      <c r="AM148" s="65"/>
      <c r="AN148" s="65"/>
      <c r="AO148" s="69" t="str">
        <f>IFERROR(__xludf.DUMMYFUNCTION("IFERROR(SPLIT(S148,"",""),"""")"),"")</f>
        <v/>
      </c>
      <c r="AP148" s="65"/>
      <c r="AQ148" s="65"/>
      <c r="AR148" s="69" t="str">
        <f>IFERROR(__xludf.DUMMYFUNCTION("IFERROR(SPLIT(T148,"",""),"""")"),"")</f>
        <v/>
      </c>
      <c r="AS148" s="65"/>
      <c r="AT148" s="65"/>
      <c r="AU148" s="69" t="str">
        <f>IFERROR(__xludf.DUMMYFUNCTION("IFERROR(SPLIT(U148,"",""),"""")"),"")</f>
        <v/>
      </c>
      <c r="AV148" s="65"/>
      <c r="AW148" s="65"/>
      <c r="AX148" s="69" t="str">
        <f>IFERROR(__xludf.DUMMYFUNCTION("IFERROR(SPLIT(V148,"",""),"""")"),"")</f>
        <v/>
      </c>
      <c r="AY148" s="65"/>
      <c r="AZ148" s="65"/>
      <c r="BA148" s="69" t="str">
        <f>IFERROR(__xludf.DUMMYFUNCTION("IFERROR(SPLIT(W148,"",""),"""")"),"")</f>
        <v/>
      </c>
      <c r="BB148" s="69"/>
      <c r="BC148" s="69"/>
      <c r="BD148" s="69" t="str">
        <f>IFERROR(__xludf.DUMMYFUNCTION("IFERROR(SPLIT(X148,"",""),"""")"),"")</f>
        <v/>
      </c>
      <c r="BE148" s="69"/>
      <c r="BF148" s="69"/>
      <c r="BG148" s="69" t="str">
        <f>IFERROR(__xludf.DUMMYFUNCTION("IFERROR(SPLIT(Y148,"",""),"""")"),"")</f>
        <v/>
      </c>
      <c r="BH148" s="69"/>
      <c r="BI148" s="69"/>
      <c r="BJ148" s="68" t="str">
        <f>IFERROR(__xludf.DUMMYFUNCTION("IF($B148&lt;&gt;"""",IFERROR(FILTER(RawTotals!$AJ:$AJ,RawTotals!$A:$A=Z148)-(FILTER(Data!$K:$K,Data!$B:$B=Z148,Data!$D:$D=$B148)+FILTER(Data!$L:$L,Data!$B:$B=Z148,Data!$D:$D=$B148)),""""),"""")"),"")</f>
        <v/>
      </c>
      <c r="BK148" s="68" t="str">
        <f>IFERROR(__xludf.DUMMYFUNCTION("IF($B148&lt;&gt;"""",IFERROR(FILTER(RawTotals!$AJ:$AJ,RawTotals!$A:$A=AA148)-(FILTER(Data!$K:$K,Data!$B:$B=AA148,Data!$D:$D=$B148)+FILTER(Data!$L:$L,Data!$B:$B=AA148,Data!$D:$D=$B148)),""""),"""")"),"")</f>
        <v/>
      </c>
      <c r="BL148" s="68" t="str">
        <f>IFERROR(__xludf.DUMMYFUNCTION("IF($B148&lt;&gt;"""",IFERROR(FILTER(RawTotals!$AJ:$AJ,RawTotals!$A:$A=AB148)-(FILTER(Data!$K:$K,Data!$B:$B=AB148,Data!$D:$D=$B148)+FILTER(Data!$L:$L,Data!$B:$B=AB148,Data!$D:$D=$B148)),""""),"""")"),"")</f>
        <v/>
      </c>
      <c r="BM148" s="69" t="str">
        <f>IFERROR(__xludf.DUMMYFUNCTION("IF($C148&lt;&gt;"""",IFERROR(FILTER(RawTotals!$AJ:$AJ,RawTotals!$A:$A=AC148)-(FILTER(Data!$K:$K,Data!$B:$B=AC148,Data!$D:$D=$C148)+FILTER(Data!$L:$L,Data!$B:$B=AC148,Data!$D:$D=$C148)),""""),"""")"),"")</f>
        <v/>
      </c>
      <c r="BN148" s="69" t="str">
        <f>IFERROR(__xludf.DUMMYFUNCTION("IF($C148&lt;&gt;"""",IFERROR(FILTER(RawTotals!$AJ:$AJ,RawTotals!$A:$A=AD148)-(FILTER(Data!$K:$K,Data!$B:$B=AD148,Data!$D:$D=$C148)+FILTER(Data!$L:$L,Data!$B:$B=AD148,Data!$D:$D=$C148)),""""),"""")"),"")</f>
        <v/>
      </c>
      <c r="BO148" s="69" t="str">
        <f>IFERROR(__xludf.DUMMYFUNCTION("IF($C148&lt;&gt;"""",IFERROR(FILTER(RawTotals!$AJ:$AJ,RawTotals!$A:$A=AE148)-(FILTER(Data!$K:$K,Data!$B:$B=AE148,Data!$D:$D=$C148)+FILTER(Data!$L:$L,Data!$B:$B=AE148,Data!$D:$D=$C148)),""""),"""")"),"")</f>
        <v/>
      </c>
      <c r="BP148" s="69" t="str">
        <f>IFERROR(__xludf.DUMMYFUNCTION("IF($D148&lt;&gt;"""",IFERROR(FILTER(RawTotals!$AJ:$AJ,RawTotals!$A:$A=AF148)-(FILTER(Data!$K:$K,Data!$B:$B=AF148,Data!$D:$D=$D148)+FILTER(Data!$L:$L,Data!$B:$B=AF148,Data!$D:$D=$D148)),""""),"""")"),"")</f>
        <v/>
      </c>
      <c r="BQ148" s="69" t="str">
        <f>IFERROR(__xludf.DUMMYFUNCTION("IF($D148&lt;&gt;"""",IFERROR(FILTER(RawTotals!$AJ:$AJ,RawTotals!$A:$A=AG148)-(FILTER(Data!$K:$K,Data!$B:$B=AG148,Data!$D:$D=$D148)+FILTER(Data!$L:$L,Data!$B:$B=AG148,Data!$D:$D=$D148)),""""),"""")"),"")</f>
        <v/>
      </c>
      <c r="BR148" s="69" t="str">
        <f>IFERROR(__xludf.DUMMYFUNCTION("IF($D148&lt;&gt;"""",IFERROR(FILTER(RawTotals!$AJ:$AJ,RawTotals!$A:$A=AH148)-(FILTER(Data!$K:$K,Data!$B:$B=AH148,Data!$D:$D=$D148)+FILTER(Data!$L:$L,Data!$B:$B=AH148,Data!$D:$D=$D148)),""""),"""")"),"")</f>
        <v/>
      </c>
      <c r="BS148" s="69" t="str">
        <f>IFERROR(__xludf.DUMMYFUNCTION("IF($E148&lt;&gt;"""",IFERROR(FILTER(RawTotals!$AJ:$AJ,RawTotals!$A:$A=AI148)-(FILTER(Data!$K:$K,Data!$B:$B=AI148,Data!$D:$D=$E148)+FILTER(Data!$L:$L,Data!$B:$B=AI148,Data!$D:$D=$E148)),""""),"""")"),"")</f>
        <v/>
      </c>
      <c r="BT148" s="69" t="str">
        <f>IFERROR(__xludf.DUMMYFUNCTION("IF($E148&lt;&gt;"""",IFERROR(FILTER(RawTotals!$AJ:$AJ,RawTotals!$A:$A=AJ148)-(FILTER(Data!$K:$K,Data!$B:$B=AJ148,Data!$D:$D=$E148)+FILTER(Data!$L:$L,Data!$B:$B=AJ148,Data!$D:$D=$E148)),""""),"""")"),"")</f>
        <v/>
      </c>
      <c r="BU148" s="69" t="str">
        <f>IFERROR(__xludf.DUMMYFUNCTION("IF($E148&lt;&gt;"""",IFERROR(FILTER(RawTotals!$AJ:$AJ,RawTotals!$A:$A=AK148)-(FILTER(Data!$K:$K,Data!$B:$B=AK148,Data!$D:$D=$E148)+FILTER(Data!$L:$L,Data!$B:$B=AK148,Data!$D:$D=$E148)),""""),"""")"),"")</f>
        <v/>
      </c>
      <c r="BV148" s="69" t="str">
        <f>IFERROR(__xludf.DUMMYFUNCTION("IF($F148&lt;&gt;"""",IFERROR(FILTER(RawTotals!$AJ:$AJ,RawTotals!$A:$A=AL148)-(FILTER(Data!$K:$K,Data!$B:$B=AL148,Data!$D:$D=$F148)+FILTER(Data!$L:$L,Data!$B:$B=AL148,Data!$D:$D=$F148)),""""),"""")"),"")</f>
        <v/>
      </c>
      <c r="BW148" s="69" t="str">
        <f>IFERROR(__xludf.DUMMYFUNCTION("IF($F148&lt;&gt;"""",IFERROR(FILTER(RawTotals!$AJ:$AJ,RawTotals!$A:$A=AM148)-(FILTER(Data!$K:$K,Data!$B:$B=AM148,Data!$D:$D=$F148)+FILTER(Data!$L:$L,Data!$B:$B=AM148,Data!$D:$D=$F148)),""""),"""")"),"")</f>
        <v/>
      </c>
      <c r="BX148" s="69" t="str">
        <f>IFERROR(__xludf.DUMMYFUNCTION("IF($F148&lt;&gt;"""",IFERROR(FILTER(RawTotals!$AJ:$AJ,RawTotals!$A:$A=AN148)-(FILTER(Data!$K:$K,Data!$B:$B=AN148,Data!$D:$D=$F148)+FILTER(Data!$L:$L,Data!$B:$B=AN148,Data!$D:$D=$F148)),""""),"""")"),"")</f>
        <v/>
      </c>
      <c r="BY148" s="69" t="str">
        <f>IFERROR(__xludf.DUMMYFUNCTION("IF($G148&lt;&gt;"""",IFERROR(FILTER(RawTotals!$AJ:$AJ,RawTotals!$A:$A=AO148)-(FILTER(Data!$K:$K,Data!$B:$B=AO148,Data!$D:$D=$G148)+FILTER(Data!$L:$L,Data!$B:$B=AO148,Data!$D:$D=$G148)),""""),"""")"),"")</f>
        <v/>
      </c>
      <c r="BZ148" s="69" t="str">
        <f>IFERROR(__xludf.DUMMYFUNCTION("IF($G148&lt;&gt;"""",IFERROR(FILTER(RawTotals!$AJ:$AJ,RawTotals!$A:$A=AP148)-(FILTER(Data!$K:$K,Data!$B:$B=AP148,Data!$D:$D=$G148)+FILTER(Data!$L:$L,Data!$B:$B=AP148,Data!$D:$D=$G148)),""""),"""")"),"")</f>
        <v/>
      </c>
      <c r="CA148" s="69" t="str">
        <f>IFERROR(__xludf.DUMMYFUNCTION("IF($G148&lt;&gt;"""",IFERROR(FILTER(RawTotals!$AJ:$AJ,RawTotals!$A:$A=AQ148)-(FILTER(Data!$K:$K,Data!$B:$B=AQ148,Data!$D:$D=$G148)+FILTER(Data!$L:$L,Data!$B:$B=AQ148,Data!$D:$D=$G148)),""""),"""")"),"")</f>
        <v/>
      </c>
      <c r="CB148" s="69" t="str">
        <f>IFERROR(__xludf.DUMMYFUNCTION("IF($H148&lt;&gt;"""",IFERROR(FILTER(RawTotals!$AJ:$AJ,RawTotals!$A:$A=AR148)-(FILTER(Data!$K:$K,Data!$B:$B=AR148,Data!$D:$D=$H148)+FILTER(Data!$L:$L,Data!$B:$B=AR148,Data!$D:$D=$H148)),""""),"""")"),"")</f>
        <v/>
      </c>
      <c r="CC148" s="69" t="str">
        <f>IFERROR(__xludf.DUMMYFUNCTION("IF($H148&lt;&gt;"""",IFERROR(FILTER(RawTotals!$AJ:$AJ,RawTotals!$A:$A=AS148)-(FILTER(Data!$K:$K,Data!$B:$B=AS148,Data!$D:$D=$H148)+FILTER(Data!$L:$L,Data!$B:$B=AS148,Data!$D:$D=$H148)),""""),"""")"),"")</f>
        <v/>
      </c>
      <c r="CD148" s="69" t="str">
        <f>IFERROR(__xludf.DUMMYFUNCTION("IF($H148&lt;&gt;"""",IFERROR(FILTER(RawTotals!$AJ:$AJ,RawTotals!$A:$A=AT148)-(FILTER(Data!$K:$K,Data!$B:$B=AT148,Data!$D:$D=$H148)+FILTER(Data!$L:$L,Data!$B:$B=AT148,Data!$D:$D=$H148)),""""),"""")"),"")</f>
        <v/>
      </c>
      <c r="CE148" s="69" t="str">
        <f>IFERROR(__xludf.DUMMYFUNCTION("IF($I148&lt;&gt;"""",IFERROR(FILTER(RawTotals!$AJ:$AJ,RawTotals!$A:$A=AU148)-(FILTER(Data!$K:$K,Data!$B:$B=AU148,Data!$D:$D=$I148)+FILTER(Data!$L:$L,Data!$B:$B=AU148,Data!$D:$D=$I148)),""""),"""")"),"")</f>
        <v/>
      </c>
      <c r="CF148" s="69" t="str">
        <f>IFERROR(__xludf.DUMMYFUNCTION("IF($I148&lt;&gt;"""",IFERROR(FILTER(RawTotals!$AJ:$AJ,RawTotals!$A:$A=AV148)-(FILTER(Data!$K:$K,Data!$B:$B=AV148,Data!$D:$D=$I148)+FILTER(Data!$L:$L,Data!$B:$B=AV148,Data!$D:$D=$I148)),""""),"""")"),"")</f>
        <v/>
      </c>
      <c r="CG148" s="69" t="str">
        <f>IFERROR(__xludf.DUMMYFUNCTION("IF($I148&lt;&gt;"""",IFERROR(FILTER(RawTotals!$AJ:$AJ,RawTotals!$A:$A=AW148)-(FILTER(Data!$K:$K,Data!$B:$B=AW148,Data!$D:$D=$I148)+FILTER(Data!$L:$L,Data!$B:$B=AW148,Data!$D:$D=$I148)),""""),"""")"),"")</f>
        <v/>
      </c>
      <c r="CH148" s="69" t="str">
        <f>IFERROR(__xludf.DUMMYFUNCTION("IF($J148&lt;&gt;"""",IFERROR(FILTER(RawTotals!$AJ:$AJ,RawTotals!$A:$A=AX148)-(FILTER(Data!$K:$K,Data!$B:$B=AX148,Data!$D:$D=$J148)+FILTER(Data!$L:$L,Data!$B:$B=AX148,Data!$D:$D=$J148)),""""),"""")"),"")</f>
        <v/>
      </c>
      <c r="CI148" s="69" t="str">
        <f>IFERROR(__xludf.DUMMYFUNCTION("IF($J148&lt;&gt;"""",IFERROR(FILTER(RawTotals!$AJ:$AJ,RawTotals!$A:$A=AY148)-(FILTER(Data!$K:$K,Data!$B:$B=AY148,Data!$D:$D=$J148)+FILTER(Data!$L:$L,Data!$B:$B=AY148,Data!$D:$D=$J148)),""""),"""")"),"")</f>
        <v/>
      </c>
      <c r="CJ148" s="69" t="str">
        <f>IFERROR(__xludf.DUMMYFUNCTION("IF($J148&lt;&gt;"""",IFERROR(FILTER(RawTotals!$AJ:$AJ,RawTotals!$A:$A=AZ148)-(FILTER(Data!$K:$K,Data!$B:$B=AZ148,Data!$D:$D=$J148)+FILTER(Data!$L:$L,Data!$B:$B=AZ148,Data!$D:$D=$J148)),""""),"""")"),"")</f>
        <v/>
      </c>
      <c r="CK148" s="69" t="str">
        <f>IFERROR(__xludf.DUMMYFUNCTION("IF($K148&lt;&gt;"""",IFERROR(FILTER(RawTotals!$AJ:$AJ,RawTotals!$A:$A=BA148)-(FILTER(Data!$K:$K,Data!$B:$B=BA148,Data!$D:$D=$K148)+FILTER(Data!$L:$L,Data!$B:$B=BA148,Data!$D:$D=$K148)),""""),"""")"),"")</f>
        <v/>
      </c>
      <c r="CL148" s="69" t="str">
        <f>IFERROR(__xludf.DUMMYFUNCTION("IF($K148&lt;&gt;"""",IFERROR(FILTER(RawTotals!$AJ:$AJ,RawTotals!$A:$A=BB148)-(FILTER(Data!$K:$K,Data!$B:$B=BB148,Data!$D:$D=$K148)+FILTER(Data!$L:$L,Data!$B:$B=BB148,Data!$D:$D=$K148)),""""),"""")"),"")</f>
        <v/>
      </c>
      <c r="CM148" s="69" t="str">
        <f>IFERROR(__xludf.DUMMYFUNCTION("IF($K148&lt;&gt;"""",IFERROR(FILTER(RawTotals!$AJ:$AJ,RawTotals!$A:$A=BC148)-(FILTER(Data!$K:$K,Data!$B:$B=BC148,Data!$D:$D=$K148)+FILTER(Data!$L:$L,Data!$B:$B=BC148,Data!$D:$D=$K148)),""""),"""")"),"")</f>
        <v/>
      </c>
      <c r="CN148" s="69" t="str">
        <f>IFERROR(__xludf.DUMMYFUNCTION("IF($L148&lt;&gt;"""",IFERROR((FILTER(RawTotals!$AJ:$AJ,RawTotals!$A:$A=BD148)-(FILTER(Data!$K:$K,Data!$B:$B=BD148,Data!$D:$D=$L148)+FILTER(Data!$L:$L,Data!$B:$B=BD148,Data!$D:$D=$L148))),""""),"""")"),"")</f>
        <v/>
      </c>
      <c r="CO148" s="69" t="str">
        <f>IFERROR(__xludf.DUMMYFUNCTION("IF($L148&lt;&gt;"""",IFERROR((FILTER(RawTotals!$AJ:$AJ,RawTotals!$A:$A=BE148)-(FILTER(Data!$K:$K,Data!$B:$B=BE148,Data!$D:$D=$L148)+FILTER(Data!$L:$L,Data!$B:$B=BE148,Data!$D:$D=$L148))),""""),"""")"),"")</f>
        <v/>
      </c>
      <c r="CP148" s="69" t="str">
        <f>IFERROR(__xludf.DUMMYFUNCTION("IF($L148&lt;&gt;"""",IFERROR((FILTER(RawTotals!$AJ:$AJ,RawTotals!$A:$A=BF148)-(FILTER(Data!$K:$K,Data!$B:$B=BF148,Data!$D:$D=$L148)+FILTER(Data!$L:$L,Data!$B:$B=BF148,Data!$D:$D=$L148))),""""),"""")"),"")</f>
        <v/>
      </c>
      <c r="CQ148" s="69" t="str">
        <f>IFERROR(__xludf.DUMMYFUNCTION("IF($M148&lt;&gt;"""",IFERROR((FILTER(RawTotals!$AJ:$AJ,RawTotals!$A:$A=BG148)-(FILTER(Data!$K:$K,Data!$B:$B=BG148,Data!$D:$D=$M148)+FILTER(Data!$L:$L,Data!$B:$B=BG148,Data!$D:$D=$M148))),""""),"""")"),"")</f>
        <v/>
      </c>
      <c r="CR148" s="69" t="str">
        <f>IFERROR(__xludf.DUMMYFUNCTION("IF($M148&lt;&gt;"""",IFERROR((FILTER(RawTotals!$AJ:$AJ,RawTotals!$A:$A=BH148)-(FILTER(Data!$K:$K,Data!$B:$B=BH148,Data!$D:$D=$M148)+FILTER(Data!$L:$L,Data!$B:$B=BH148,Data!$D:$D=$M148))),""""),"""")"),"")</f>
        <v/>
      </c>
      <c r="CS148" s="70" t="str">
        <f>IFERROR(__xludf.DUMMYFUNCTION("IF($M148&lt;&gt;"""",IFERROR((FILTER(RawTotals!$AJ:$AJ,RawTotals!$A:$A=BI148)-(FILTER(Data!$K:$K,Data!$B:$B=BI148,Data!$D:$D=$M148)+FILTER(Data!$L:$L,Data!$B:$B=BI148,Data!$D:$D=$M148))),""""),"""")"),"")</f>
        <v/>
      </c>
      <c r="CT148" s="69"/>
      <c r="CU148" s="69"/>
      <c r="CV148" s="69"/>
      <c r="CW148" s="69"/>
      <c r="CX148" s="69"/>
      <c r="CY148" s="69"/>
      <c r="CZ148" s="69"/>
      <c r="DA148" s="69"/>
      <c r="DB148" s="69"/>
      <c r="DC148" s="69"/>
      <c r="DD148" s="69"/>
      <c r="DE148" s="69"/>
    </row>
    <row r="149">
      <c r="A149" s="65" t="str">
        <f>RawTotals!A149</f>
        <v/>
      </c>
      <c r="B149" s="68" t="str">
        <f>IFERROR(__xludf.DUMMYFUNCTION("IF(A149&lt;&gt;"""",IFERROR(TRANSPOSE(FILTER(Data!D:D,Data!B:B=A149,Data!R:R&lt;&gt;"""")),""No Defense""),"""")"),"")</f>
        <v/>
      </c>
      <c r="C149" s="65"/>
      <c r="D149" s="65"/>
      <c r="E149" s="65"/>
      <c r="F149" s="65"/>
      <c r="G149" s="65"/>
      <c r="H149" s="65"/>
      <c r="I149" s="65"/>
      <c r="J149" s="65"/>
      <c r="K149" s="65"/>
      <c r="L149" s="65"/>
      <c r="M149" s="65"/>
      <c r="N149" s="64" t="str">
        <f>IFERROR(__xludf.DUMMYFUNCTION("IFERROR(Textjoin("""",TRUE,FILTER(Data!$R:$R,Data!$D:$D=B149,Data!$B:$B=$A149)),"""")"),"")</f>
        <v/>
      </c>
      <c r="O149" s="64" t="str">
        <f>IFERROR(__xludf.DUMMYFUNCTION("IFERROR(Textjoin("""",TRUE,FILTER(Data!$R:$R,Data!$D:$D=C149,Data!$B:$B=$A149)),"""")"),"")</f>
        <v/>
      </c>
      <c r="P149" s="64" t="str">
        <f>IFERROR(__xludf.DUMMYFUNCTION("IFERROR(Textjoin("""",TRUE,FILTER(Data!$R:$R,Data!$D:$D=D149,Data!$B:$B=$A149)),"""")"),"")</f>
        <v/>
      </c>
      <c r="Q149" s="64" t="str">
        <f>IFERROR(__xludf.DUMMYFUNCTION("IFERROR(Textjoin("""",TRUE,FILTER(Data!$R:$R,Data!$D:$D=E149,Data!$B:$B=$A149)),"""")"),"")</f>
        <v/>
      </c>
      <c r="R149" s="64" t="str">
        <f>IFERROR(__xludf.DUMMYFUNCTION("IFERROR(Textjoin("""",TRUE,FILTER(Data!$R:$R,Data!$D:$D=F149,Data!$B:$B=$A149)),"""")"),"")</f>
        <v/>
      </c>
      <c r="S149" s="64" t="str">
        <f>IFERROR(__xludf.DUMMYFUNCTION("IFERROR(Textjoin("""",TRUE,FILTER(Data!$R:$R,Data!$D:$D=G149,Data!$B:$B=$A149)),"""")"),"")</f>
        <v/>
      </c>
      <c r="T149" s="64" t="str">
        <f>IFERROR(__xludf.DUMMYFUNCTION("IFERROR(Textjoin("""",TRUE,FILTER(Data!$R:$R,Data!$D:$D=H149,Data!$B:$B=$A149)),"""")"),"")</f>
        <v/>
      </c>
      <c r="U149" s="64" t="str">
        <f>IFERROR(__xludf.DUMMYFUNCTION("IFERROR(Textjoin("""",TRUE,FILTER(Data!$R:$R,Data!$D:$D=I149,Data!$B:$B=$A149)),"""")"),"")</f>
        <v/>
      </c>
      <c r="V149" s="64" t="str">
        <f>IFERROR(__xludf.DUMMYFUNCTION("IFERROR(Textjoin("""",TRUE,FILTER(Data!$R:$R,Data!$D:$D=J149,Data!$B:$B=$A149)),"""")"),"")</f>
        <v/>
      </c>
      <c r="W149" s="64" t="str">
        <f>IFERROR(__xludf.DUMMYFUNCTION("IFERROR(Textjoin("""",TRUE,FILTER(Data!$R:$R,Data!$D:$D=K149,Data!$B:$B=$A149)),"""")"),"")</f>
        <v/>
      </c>
      <c r="X149" s="64" t="str">
        <f>IFERROR(__xludf.DUMMYFUNCTION("IFERROR(Textjoin("""",TRUE,FILTER(Data!$R:$R,Data!$D:$D=L149,Data!$B:$B=$A149)),"""")"),"")</f>
        <v/>
      </c>
      <c r="Y149" s="64" t="str">
        <f>IFERROR(__xludf.DUMMYFUNCTION("IFERROR(Textjoin("""",TRUE,FILTER(Data!$R:$R,Data!$D:$D=M149,Data!$B:$B=$A149)),"""")"),"")</f>
        <v/>
      </c>
      <c r="Z149" s="64" t="str">
        <f>IFERROR(__xludf.DUMMYFUNCTION("IFERROR(SPLIT(N149,"",""),"""")"),"")</f>
        <v/>
      </c>
      <c r="AA149" s="65"/>
      <c r="AB149" s="65"/>
      <c r="AC149" s="69" t="str">
        <f>IFERROR(__xludf.DUMMYFUNCTION("IFERROR(SPLIT(O149,"",""),"""")"),"")</f>
        <v/>
      </c>
      <c r="AD149" s="65"/>
      <c r="AE149" s="65"/>
      <c r="AF149" s="69" t="str">
        <f>IFERROR(__xludf.DUMMYFUNCTION("IFERROR(SPLIT(P149,"",""),"""")"),"")</f>
        <v/>
      </c>
      <c r="AG149" s="65"/>
      <c r="AH149" s="65"/>
      <c r="AI149" s="69" t="str">
        <f>IFERROR(__xludf.DUMMYFUNCTION("IFERROR(SPLIT(Q149,"",""),"""")"),"")</f>
        <v/>
      </c>
      <c r="AJ149" s="65"/>
      <c r="AK149" s="65"/>
      <c r="AL149" s="69" t="str">
        <f>IFERROR(__xludf.DUMMYFUNCTION("IFERROR(SPLIT(R149,"",""),"""")"),"")</f>
        <v/>
      </c>
      <c r="AM149" s="65"/>
      <c r="AN149" s="65"/>
      <c r="AO149" s="69" t="str">
        <f>IFERROR(__xludf.DUMMYFUNCTION("IFERROR(SPLIT(S149,"",""),"""")"),"")</f>
        <v/>
      </c>
      <c r="AP149" s="65"/>
      <c r="AQ149" s="65"/>
      <c r="AR149" s="69" t="str">
        <f>IFERROR(__xludf.DUMMYFUNCTION("IFERROR(SPLIT(T149,"",""),"""")"),"")</f>
        <v/>
      </c>
      <c r="AS149" s="65"/>
      <c r="AT149" s="65"/>
      <c r="AU149" s="69" t="str">
        <f>IFERROR(__xludf.DUMMYFUNCTION("IFERROR(SPLIT(U149,"",""),"""")"),"")</f>
        <v/>
      </c>
      <c r="AV149" s="65"/>
      <c r="AW149" s="65"/>
      <c r="AX149" s="69" t="str">
        <f>IFERROR(__xludf.DUMMYFUNCTION("IFERROR(SPLIT(V149,"",""),"""")"),"")</f>
        <v/>
      </c>
      <c r="AY149" s="65"/>
      <c r="AZ149" s="65"/>
      <c r="BA149" s="69" t="str">
        <f>IFERROR(__xludf.DUMMYFUNCTION("IFERROR(SPLIT(W149,"",""),"""")"),"")</f>
        <v/>
      </c>
      <c r="BB149" s="69"/>
      <c r="BC149" s="69"/>
      <c r="BD149" s="69" t="str">
        <f>IFERROR(__xludf.DUMMYFUNCTION("IFERROR(SPLIT(X149,"",""),"""")"),"")</f>
        <v/>
      </c>
      <c r="BE149" s="69"/>
      <c r="BF149" s="69"/>
      <c r="BG149" s="69" t="str">
        <f>IFERROR(__xludf.DUMMYFUNCTION("IFERROR(SPLIT(Y149,"",""),"""")"),"")</f>
        <v/>
      </c>
      <c r="BH149" s="69"/>
      <c r="BI149" s="69"/>
      <c r="BJ149" s="68" t="str">
        <f>IFERROR(__xludf.DUMMYFUNCTION("IF($B149&lt;&gt;"""",IFERROR(FILTER(RawTotals!$AJ:$AJ,RawTotals!$A:$A=Z149)-(FILTER(Data!$K:$K,Data!$B:$B=Z149,Data!$D:$D=$B149)+FILTER(Data!$L:$L,Data!$B:$B=Z149,Data!$D:$D=$B149)),""""),"""")"),"")</f>
        <v/>
      </c>
      <c r="BK149" s="68" t="str">
        <f>IFERROR(__xludf.DUMMYFUNCTION("IF($B149&lt;&gt;"""",IFERROR(FILTER(RawTotals!$AJ:$AJ,RawTotals!$A:$A=AA149)-(FILTER(Data!$K:$K,Data!$B:$B=AA149,Data!$D:$D=$B149)+FILTER(Data!$L:$L,Data!$B:$B=AA149,Data!$D:$D=$B149)),""""),"""")"),"")</f>
        <v/>
      </c>
      <c r="BL149" s="68" t="str">
        <f>IFERROR(__xludf.DUMMYFUNCTION("IF($B149&lt;&gt;"""",IFERROR(FILTER(RawTotals!$AJ:$AJ,RawTotals!$A:$A=AB149)-(FILTER(Data!$K:$K,Data!$B:$B=AB149,Data!$D:$D=$B149)+FILTER(Data!$L:$L,Data!$B:$B=AB149,Data!$D:$D=$B149)),""""),"""")"),"")</f>
        <v/>
      </c>
      <c r="BM149" s="69" t="str">
        <f>IFERROR(__xludf.DUMMYFUNCTION("IF($C149&lt;&gt;"""",IFERROR(FILTER(RawTotals!$AJ:$AJ,RawTotals!$A:$A=AC149)-(FILTER(Data!$K:$K,Data!$B:$B=AC149,Data!$D:$D=$C149)+FILTER(Data!$L:$L,Data!$B:$B=AC149,Data!$D:$D=$C149)),""""),"""")"),"")</f>
        <v/>
      </c>
      <c r="BN149" s="69" t="str">
        <f>IFERROR(__xludf.DUMMYFUNCTION("IF($C149&lt;&gt;"""",IFERROR(FILTER(RawTotals!$AJ:$AJ,RawTotals!$A:$A=AD149)-(FILTER(Data!$K:$K,Data!$B:$B=AD149,Data!$D:$D=$C149)+FILTER(Data!$L:$L,Data!$B:$B=AD149,Data!$D:$D=$C149)),""""),"""")"),"")</f>
        <v/>
      </c>
      <c r="BO149" s="69" t="str">
        <f>IFERROR(__xludf.DUMMYFUNCTION("IF($C149&lt;&gt;"""",IFERROR(FILTER(RawTotals!$AJ:$AJ,RawTotals!$A:$A=AE149)-(FILTER(Data!$K:$K,Data!$B:$B=AE149,Data!$D:$D=$C149)+FILTER(Data!$L:$L,Data!$B:$B=AE149,Data!$D:$D=$C149)),""""),"""")"),"")</f>
        <v/>
      </c>
      <c r="BP149" s="69" t="str">
        <f>IFERROR(__xludf.DUMMYFUNCTION("IF($D149&lt;&gt;"""",IFERROR(FILTER(RawTotals!$AJ:$AJ,RawTotals!$A:$A=AF149)-(FILTER(Data!$K:$K,Data!$B:$B=AF149,Data!$D:$D=$D149)+FILTER(Data!$L:$L,Data!$B:$B=AF149,Data!$D:$D=$D149)),""""),"""")"),"")</f>
        <v/>
      </c>
      <c r="BQ149" s="69" t="str">
        <f>IFERROR(__xludf.DUMMYFUNCTION("IF($D149&lt;&gt;"""",IFERROR(FILTER(RawTotals!$AJ:$AJ,RawTotals!$A:$A=AG149)-(FILTER(Data!$K:$K,Data!$B:$B=AG149,Data!$D:$D=$D149)+FILTER(Data!$L:$L,Data!$B:$B=AG149,Data!$D:$D=$D149)),""""),"""")"),"")</f>
        <v/>
      </c>
      <c r="BR149" s="69" t="str">
        <f>IFERROR(__xludf.DUMMYFUNCTION("IF($D149&lt;&gt;"""",IFERROR(FILTER(RawTotals!$AJ:$AJ,RawTotals!$A:$A=AH149)-(FILTER(Data!$K:$K,Data!$B:$B=AH149,Data!$D:$D=$D149)+FILTER(Data!$L:$L,Data!$B:$B=AH149,Data!$D:$D=$D149)),""""),"""")"),"")</f>
        <v/>
      </c>
      <c r="BS149" s="69" t="str">
        <f>IFERROR(__xludf.DUMMYFUNCTION("IF($E149&lt;&gt;"""",IFERROR(FILTER(RawTotals!$AJ:$AJ,RawTotals!$A:$A=AI149)-(FILTER(Data!$K:$K,Data!$B:$B=AI149,Data!$D:$D=$E149)+FILTER(Data!$L:$L,Data!$B:$B=AI149,Data!$D:$D=$E149)),""""),"""")"),"")</f>
        <v/>
      </c>
      <c r="BT149" s="69" t="str">
        <f>IFERROR(__xludf.DUMMYFUNCTION("IF($E149&lt;&gt;"""",IFERROR(FILTER(RawTotals!$AJ:$AJ,RawTotals!$A:$A=AJ149)-(FILTER(Data!$K:$K,Data!$B:$B=AJ149,Data!$D:$D=$E149)+FILTER(Data!$L:$L,Data!$B:$B=AJ149,Data!$D:$D=$E149)),""""),"""")"),"")</f>
        <v/>
      </c>
      <c r="BU149" s="69" t="str">
        <f>IFERROR(__xludf.DUMMYFUNCTION("IF($E149&lt;&gt;"""",IFERROR(FILTER(RawTotals!$AJ:$AJ,RawTotals!$A:$A=AK149)-(FILTER(Data!$K:$K,Data!$B:$B=AK149,Data!$D:$D=$E149)+FILTER(Data!$L:$L,Data!$B:$B=AK149,Data!$D:$D=$E149)),""""),"""")"),"")</f>
        <v/>
      </c>
      <c r="BV149" s="69" t="str">
        <f>IFERROR(__xludf.DUMMYFUNCTION("IF($F149&lt;&gt;"""",IFERROR(FILTER(RawTotals!$AJ:$AJ,RawTotals!$A:$A=AL149)-(FILTER(Data!$K:$K,Data!$B:$B=AL149,Data!$D:$D=$F149)+FILTER(Data!$L:$L,Data!$B:$B=AL149,Data!$D:$D=$F149)),""""),"""")"),"")</f>
        <v/>
      </c>
      <c r="BW149" s="69" t="str">
        <f>IFERROR(__xludf.DUMMYFUNCTION("IF($F149&lt;&gt;"""",IFERROR(FILTER(RawTotals!$AJ:$AJ,RawTotals!$A:$A=AM149)-(FILTER(Data!$K:$K,Data!$B:$B=AM149,Data!$D:$D=$F149)+FILTER(Data!$L:$L,Data!$B:$B=AM149,Data!$D:$D=$F149)),""""),"""")"),"")</f>
        <v/>
      </c>
      <c r="BX149" s="69" t="str">
        <f>IFERROR(__xludf.DUMMYFUNCTION("IF($F149&lt;&gt;"""",IFERROR(FILTER(RawTotals!$AJ:$AJ,RawTotals!$A:$A=AN149)-(FILTER(Data!$K:$K,Data!$B:$B=AN149,Data!$D:$D=$F149)+FILTER(Data!$L:$L,Data!$B:$B=AN149,Data!$D:$D=$F149)),""""),"""")"),"")</f>
        <v/>
      </c>
      <c r="BY149" s="69" t="str">
        <f>IFERROR(__xludf.DUMMYFUNCTION("IF($G149&lt;&gt;"""",IFERROR(FILTER(RawTotals!$AJ:$AJ,RawTotals!$A:$A=AO149)-(FILTER(Data!$K:$K,Data!$B:$B=AO149,Data!$D:$D=$G149)+FILTER(Data!$L:$L,Data!$B:$B=AO149,Data!$D:$D=$G149)),""""),"""")"),"")</f>
        <v/>
      </c>
      <c r="BZ149" s="69" t="str">
        <f>IFERROR(__xludf.DUMMYFUNCTION("IF($G149&lt;&gt;"""",IFERROR(FILTER(RawTotals!$AJ:$AJ,RawTotals!$A:$A=AP149)-(FILTER(Data!$K:$K,Data!$B:$B=AP149,Data!$D:$D=$G149)+FILTER(Data!$L:$L,Data!$B:$B=AP149,Data!$D:$D=$G149)),""""),"""")"),"")</f>
        <v/>
      </c>
      <c r="CA149" s="69" t="str">
        <f>IFERROR(__xludf.DUMMYFUNCTION("IF($G149&lt;&gt;"""",IFERROR(FILTER(RawTotals!$AJ:$AJ,RawTotals!$A:$A=AQ149)-(FILTER(Data!$K:$K,Data!$B:$B=AQ149,Data!$D:$D=$G149)+FILTER(Data!$L:$L,Data!$B:$B=AQ149,Data!$D:$D=$G149)),""""),"""")"),"")</f>
        <v/>
      </c>
      <c r="CB149" s="69" t="str">
        <f>IFERROR(__xludf.DUMMYFUNCTION("IF($H149&lt;&gt;"""",IFERROR(FILTER(RawTotals!$AJ:$AJ,RawTotals!$A:$A=AR149)-(FILTER(Data!$K:$K,Data!$B:$B=AR149,Data!$D:$D=$H149)+FILTER(Data!$L:$L,Data!$B:$B=AR149,Data!$D:$D=$H149)),""""),"""")"),"")</f>
        <v/>
      </c>
      <c r="CC149" s="69" t="str">
        <f>IFERROR(__xludf.DUMMYFUNCTION("IF($H149&lt;&gt;"""",IFERROR(FILTER(RawTotals!$AJ:$AJ,RawTotals!$A:$A=AS149)-(FILTER(Data!$K:$K,Data!$B:$B=AS149,Data!$D:$D=$H149)+FILTER(Data!$L:$L,Data!$B:$B=AS149,Data!$D:$D=$H149)),""""),"""")"),"")</f>
        <v/>
      </c>
      <c r="CD149" s="69" t="str">
        <f>IFERROR(__xludf.DUMMYFUNCTION("IF($H149&lt;&gt;"""",IFERROR(FILTER(RawTotals!$AJ:$AJ,RawTotals!$A:$A=AT149)-(FILTER(Data!$K:$K,Data!$B:$B=AT149,Data!$D:$D=$H149)+FILTER(Data!$L:$L,Data!$B:$B=AT149,Data!$D:$D=$H149)),""""),"""")"),"")</f>
        <v/>
      </c>
      <c r="CE149" s="69" t="str">
        <f>IFERROR(__xludf.DUMMYFUNCTION("IF($I149&lt;&gt;"""",IFERROR(FILTER(RawTotals!$AJ:$AJ,RawTotals!$A:$A=AU149)-(FILTER(Data!$K:$K,Data!$B:$B=AU149,Data!$D:$D=$I149)+FILTER(Data!$L:$L,Data!$B:$B=AU149,Data!$D:$D=$I149)),""""),"""")"),"")</f>
        <v/>
      </c>
      <c r="CF149" s="69" t="str">
        <f>IFERROR(__xludf.DUMMYFUNCTION("IF($I149&lt;&gt;"""",IFERROR(FILTER(RawTotals!$AJ:$AJ,RawTotals!$A:$A=AV149)-(FILTER(Data!$K:$K,Data!$B:$B=AV149,Data!$D:$D=$I149)+FILTER(Data!$L:$L,Data!$B:$B=AV149,Data!$D:$D=$I149)),""""),"""")"),"")</f>
        <v/>
      </c>
      <c r="CG149" s="69" t="str">
        <f>IFERROR(__xludf.DUMMYFUNCTION("IF($I149&lt;&gt;"""",IFERROR(FILTER(RawTotals!$AJ:$AJ,RawTotals!$A:$A=AW149)-(FILTER(Data!$K:$K,Data!$B:$B=AW149,Data!$D:$D=$I149)+FILTER(Data!$L:$L,Data!$B:$B=AW149,Data!$D:$D=$I149)),""""),"""")"),"")</f>
        <v/>
      </c>
      <c r="CH149" s="69" t="str">
        <f>IFERROR(__xludf.DUMMYFUNCTION("IF($J149&lt;&gt;"""",IFERROR(FILTER(RawTotals!$AJ:$AJ,RawTotals!$A:$A=AX149)-(FILTER(Data!$K:$K,Data!$B:$B=AX149,Data!$D:$D=$J149)+FILTER(Data!$L:$L,Data!$B:$B=AX149,Data!$D:$D=$J149)),""""),"""")"),"")</f>
        <v/>
      </c>
      <c r="CI149" s="69" t="str">
        <f>IFERROR(__xludf.DUMMYFUNCTION("IF($J149&lt;&gt;"""",IFERROR(FILTER(RawTotals!$AJ:$AJ,RawTotals!$A:$A=AY149)-(FILTER(Data!$K:$K,Data!$B:$B=AY149,Data!$D:$D=$J149)+FILTER(Data!$L:$L,Data!$B:$B=AY149,Data!$D:$D=$J149)),""""),"""")"),"")</f>
        <v/>
      </c>
      <c r="CJ149" s="69" t="str">
        <f>IFERROR(__xludf.DUMMYFUNCTION("IF($J149&lt;&gt;"""",IFERROR(FILTER(RawTotals!$AJ:$AJ,RawTotals!$A:$A=AZ149)-(FILTER(Data!$K:$K,Data!$B:$B=AZ149,Data!$D:$D=$J149)+FILTER(Data!$L:$L,Data!$B:$B=AZ149,Data!$D:$D=$J149)),""""),"""")"),"")</f>
        <v/>
      </c>
      <c r="CK149" s="69" t="str">
        <f>IFERROR(__xludf.DUMMYFUNCTION("IF($K149&lt;&gt;"""",IFERROR(FILTER(RawTotals!$AJ:$AJ,RawTotals!$A:$A=BA149)-(FILTER(Data!$K:$K,Data!$B:$B=BA149,Data!$D:$D=$K149)+FILTER(Data!$L:$L,Data!$B:$B=BA149,Data!$D:$D=$K149)),""""),"""")"),"")</f>
        <v/>
      </c>
      <c r="CL149" s="69" t="str">
        <f>IFERROR(__xludf.DUMMYFUNCTION("IF($K149&lt;&gt;"""",IFERROR(FILTER(RawTotals!$AJ:$AJ,RawTotals!$A:$A=BB149)-(FILTER(Data!$K:$K,Data!$B:$B=BB149,Data!$D:$D=$K149)+FILTER(Data!$L:$L,Data!$B:$B=BB149,Data!$D:$D=$K149)),""""),"""")"),"")</f>
        <v/>
      </c>
      <c r="CM149" s="69" t="str">
        <f>IFERROR(__xludf.DUMMYFUNCTION("IF($K149&lt;&gt;"""",IFERROR(FILTER(RawTotals!$AJ:$AJ,RawTotals!$A:$A=BC149)-(FILTER(Data!$K:$K,Data!$B:$B=BC149,Data!$D:$D=$K149)+FILTER(Data!$L:$L,Data!$B:$B=BC149,Data!$D:$D=$K149)),""""),"""")"),"")</f>
        <v/>
      </c>
      <c r="CN149" s="69" t="str">
        <f>IFERROR(__xludf.DUMMYFUNCTION("IF($L149&lt;&gt;"""",IFERROR((FILTER(RawTotals!$AJ:$AJ,RawTotals!$A:$A=BD149)-(FILTER(Data!$K:$K,Data!$B:$B=BD149,Data!$D:$D=$L149)+FILTER(Data!$L:$L,Data!$B:$B=BD149,Data!$D:$D=$L149))),""""),"""")"),"")</f>
        <v/>
      </c>
      <c r="CO149" s="69" t="str">
        <f>IFERROR(__xludf.DUMMYFUNCTION("IF($L149&lt;&gt;"""",IFERROR((FILTER(RawTotals!$AJ:$AJ,RawTotals!$A:$A=BE149)-(FILTER(Data!$K:$K,Data!$B:$B=BE149,Data!$D:$D=$L149)+FILTER(Data!$L:$L,Data!$B:$B=BE149,Data!$D:$D=$L149))),""""),"""")"),"")</f>
        <v/>
      </c>
      <c r="CP149" s="69" t="str">
        <f>IFERROR(__xludf.DUMMYFUNCTION("IF($L149&lt;&gt;"""",IFERROR((FILTER(RawTotals!$AJ:$AJ,RawTotals!$A:$A=BF149)-(FILTER(Data!$K:$K,Data!$B:$B=BF149,Data!$D:$D=$L149)+FILTER(Data!$L:$L,Data!$B:$B=BF149,Data!$D:$D=$L149))),""""),"""")"),"")</f>
        <v/>
      </c>
      <c r="CQ149" s="69" t="str">
        <f>IFERROR(__xludf.DUMMYFUNCTION("IF($M149&lt;&gt;"""",IFERROR((FILTER(RawTotals!$AJ:$AJ,RawTotals!$A:$A=BG149)-(FILTER(Data!$K:$K,Data!$B:$B=BG149,Data!$D:$D=$M149)+FILTER(Data!$L:$L,Data!$B:$B=BG149,Data!$D:$D=$M149))),""""),"""")"),"")</f>
        <v/>
      </c>
      <c r="CR149" s="69" t="str">
        <f>IFERROR(__xludf.DUMMYFUNCTION("IF($M149&lt;&gt;"""",IFERROR((FILTER(RawTotals!$AJ:$AJ,RawTotals!$A:$A=BH149)-(FILTER(Data!$K:$K,Data!$B:$B=BH149,Data!$D:$D=$M149)+FILTER(Data!$L:$L,Data!$B:$B=BH149,Data!$D:$D=$M149))),""""),"""")"),"")</f>
        <v/>
      </c>
      <c r="CS149" s="70" t="str">
        <f>IFERROR(__xludf.DUMMYFUNCTION("IF($M149&lt;&gt;"""",IFERROR((FILTER(RawTotals!$AJ:$AJ,RawTotals!$A:$A=BI149)-(FILTER(Data!$K:$K,Data!$B:$B=BI149,Data!$D:$D=$M149)+FILTER(Data!$L:$L,Data!$B:$B=BI149,Data!$D:$D=$M149))),""""),"""")"),"")</f>
        <v/>
      </c>
      <c r="CT149" s="69"/>
      <c r="CU149" s="69"/>
      <c r="CV149" s="69"/>
      <c r="CW149" s="69"/>
      <c r="CX149" s="69"/>
      <c r="CY149" s="69"/>
      <c r="CZ149" s="69"/>
      <c r="DA149" s="69"/>
      <c r="DB149" s="69"/>
      <c r="DC149" s="69"/>
      <c r="DD149" s="69"/>
      <c r="DE149" s="69"/>
    </row>
    <row r="150">
      <c r="A150" s="65" t="str">
        <f>RawTotals!A150</f>
        <v/>
      </c>
      <c r="B150" s="68" t="str">
        <f>IFERROR(__xludf.DUMMYFUNCTION("IF(A150&lt;&gt;"""",IFERROR(TRANSPOSE(FILTER(Data!D:D,Data!B:B=A150,Data!R:R&lt;&gt;"""")),""No Defense""),"""")"),"")</f>
        <v/>
      </c>
      <c r="C150" s="65"/>
      <c r="D150" s="65"/>
      <c r="E150" s="65"/>
      <c r="F150" s="65"/>
      <c r="G150" s="65"/>
      <c r="H150" s="65"/>
      <c r="I150" s="65"/>
      <c r="J150" s="65"/>
      <c r="K150" s="65"/>
      <c r="L150" s="65"/>
      <c r="M150" s="65"/>
      <c r="N150" s="64" t="str">
        <f>IFERROR(__xludf.DUMMYFUNCTION("IFERROR(Textjoin("""",TRUE,FILTER(Data!$R:$R,Data!$D:$D=B150,Data!$B:$B=$A150)),"""")"),"")</f>
        <v/>
      </c>
      <c r="O150" s="64" t="str">
        <f>IFERROR(__xludf.DUMMYFUNCTION("IFERROR(Textjoin("""",TRUE,FILTER(Data!$R:$R,Data!$D:$D=C150,Data!$B:$B=$A150)),"""")"),"")</f>
        <v/>
      </c>
      <c r="P150" s="64" t="str">
        <f>IFERROR(__xludf.DUMMYFUNCTION("IFERROR(Textjoin("""",TRUE,FILTER(Data!$R:$R,Data!$D:$D=D150,Data!$B:$B=$A150)),"""")"),"")</f>
        <v/>
      </c>
      <c r="Q150" s="64" t="str">
        <f>IFERROR(__xludf.DUMMYFUNCTION("IFERROR(Textjoin("""",TRUE,FILTER(Data!$R:$R,Data!$D:$D=E150,Data!$B:$B=$A150)),"""")"),"")</f>
        <v/>
      </c>
      <c r="R150" s="64" t="str">
        <f>IFERROR(__xludf.DUMMYFUNCTION("IFERROR(Textjoin("""",TRUE,FILTER(Data!$R:$R,Data!$D:$D=F150,Data!$B:$B=$A150)),"""")"),"")</f>
        <v/>
      </c>
      <c r="S150" s="64" t="str">
        <f>IFERROR(__xludf.DUMMYFUNCTION("IFERROR(Textjoin("""",TRUE,FILTER(Data!$R:$R,Data!$D:$D=G150,Data!$B:$B=$A150)),"""")"),"")</f>
        <v/>
      </c>
      <c r="T150" s="64" t="str">
        <f>IFERROR(__xludf.DUMMYFUNCTION("IFERROR(Textjoin("""",TRUE,FILTER(Data!$R:$R,Data!$D:$D=H150,Data!$B:$B=$A150)),"""")"),"")</f>
        <v/>
      </c>
      <c r="U150" s="64" t="str">
        <f>IFERROR(__xludf.DUMMYFUNCTION("IFERROR(Textjoin("""",TRUE,FILTER(Data!$R:$R,Data!$D:$D=I150,Data!$B:$B=$A150)),"""")"),"")</f>
        <v/>
      </c>
      <c r="V150" s="64" t="str">
        <f>IFERROR(__xludf.DUMMYFUNCTION("IFERROR(Textjoin("""",TRUE,FILTER(Data!$R:$R,Data!$D:$D=J150,Data!$B:$B=$A150)),"""")"),"")</f>
        <v/>
      </c>
      <c r="W150" s="64" t="str">
        <f>IFERROR(__xludf.DUMMYFUNCTION("IFERROR(Textjoin("""",TRUE,FILTER(Data!$R:$R,Data!$D:$D=K150,Data!$B:$B=$A150)),"""")"),"")</f>
        <v/>
      </c>
      <c r="X150" s="64" t="str">
        <f>IFERROR(__xludf.DUMMYFUNCTION("IFERROR(Textjoin("""",TRUE,FILTER(Data!$R:$R,Data!$D:$D=L150,Data!$B:$B=$A150)),"""")"),"")</f>
        <v/>
      </c>
      <c r="Y150" s="64" t="str">
        <f>IFERROR(__xludf.DUMMYFUNCTION("IFERROR(Textjoin("""",TRUE,FILTER(Data!$R:$R,Data!$D:$D=M150,Data!$B:$B=$A150)),"""")"),"")</f>
        <v/>
      </c>
      <c r="Z150" s="64" t="str">
        <f>IFERROR(__xludf.DUMMYFUNCTION("IFERROR(SPLIT(N150,"",""),"""")"),"")</f>
        <v/>
      </c>
      <c r="AA150" s="65"/>
      <c r="AB150" s="65"/>
      <c r="AC150" s="69" t="str">
        <f>IFERROR(__xludf.DUMMYFUNCTION("IFERROR(SPLIT(O150,"",""),"""")"),"")</f>
        <v/>
      </c>
      <c r="AD150" s="65"/>
      <c r="AE150" s="65"/>
      <c r="AF150" s="69" t="str">
        <f>IFERROR(__xludf.DUMMYFUNCTION("IFERROR(SPLIT(P150,"",""),"""")"),"")</f>
        <v/>
      </c>
      <c r="AG150" s="65"/>
      <c r="AH150" s="65"/>
      <c r="AI150" s="69" t="str">
        <f>IFERROR(__xludf.DUMMYFUNCTION("IFERROR(SPLIT(Q150,"",""),"""")"),"")</f>
        <v/>
      </c>
      <c r="AJ150" s="65"/>
      <c r="AK150" s="65"/>
      <c r="AL150" s="69" t="str">
        <f>IFERROR(__xludf.DUMMYFUNCTION("IFERROR(SPLIT(R150,"",""),"""")"),"")</f>
        <v/>
      </c>
      <c r="AM150" s="65"/>
      <c r="AN150" s="65"/>
      <c r="AO150" s="69" t="str">
        <f>IFERROR(__xludf.DUMMYFUNCTION("IFERROR(SPLIT(S150,"",""),"""")"),"")</f>
        <v/>
      </c>
      <c r="AP150" s="65"/>
      <c r="AQ150" s="65"/>
      <c r="AR150" s="69" t="str">
        <f>IFERROR(__xludf.DUMMYFUNCTION("IFERROR(SPLIT(T150,"",""),"""")"),"")</f>
        <v/>
      </c>
      <c r="AS150" s="65"/>
      <c r="AT150" s="65"/>
      <c r="AU150" s="69" t="str">
        <f>IFERROR(__xludf.DUMMYFUNCTION("IFERROR(SPLIT(U150,"",""),"""")"),"")</f>
        <v/>
      </c>
      <c r="AV150" s="65"/>
      <c r="AW150" s="65"/>
      <c r="AX150" s="69" t="str">
        <f>IFERROR(__xludf.DUMMYFUNCTION("IFERROR(SPLIT(V150,"",""),"""")"),"")</f>
        <v/>
      </c>
      <c r="AY150" s="65"/>
      <c r="AZ150" s="65"/>
      <c r="BA150" s="69" t="str">
        <f>IFERROR(__xludf.DUMMYFUNCTION("IFERROR(SPLIT(W150,"",""),"""")"),"")</f>
        <v/>
      </c>
      <c r="BB150" s="69"/>
      <c r="BC150" s="69"/>
      <c r="BD150" s="69" t="str">
        <f>IFERROR(__xludf.DUMMYFUNCTION("IFERROR(SPLIT(X150,"",""),"""")"),"")</f>
        <v/>
      </c>
      <c r="BE150" s="69"/>
      <c r="BF150" s="69"/>
      <c r="BG150" s="69" t="str">
        <f>IFERROR(__xludf.DUMMYFUNCTION("IFERROR(SPLIT(Y150,"",""),"""")"),"")</f>
        <v/>
      </c>
      <c r="BH150" s="69"/>
      <c r="BI150" s="69"/>
      <c r="BJ150" s="68" t="str">
        <f>IFERROR(__xludf.DUMMYFUNCTION("IF($B150&lt;&gt;"""",IFERROR(FILTER(RawTotals!$AJ:$AJ,RawTotals!$A:$A=Z150)-(FILTER(Data!$K:$K,Data!$B:$B=Z150,Data!$D:$D=$B150)+FILTER(Data!$L:$L,Data!$B:$B=Z150,Data!$D:$D=$B150)),""""),"""")"),"")</f>
        <v/>
      </c>
      <c r="BK150" s="68" t="str">
        <f>IFERROR(__xludf.DUMMYFUNCTION("IF($B150&lt;&gt;"""",IFERROR(FILTER(RawTotals!$AJ:$AJ,RawTotals!$A:$A=AA150)-(FILTER(Data!$K:$K,Data!$B:$B=AA150,Data!$D:$D=$B150)+FILTER(Data!$L:$L,Data!$B:$B=AA150,Data!$D:$D=$B150)),""""),"""")"),"")</f>
        <v/>
      </c>
      <c r="BL150" s="68" t="str">
        <f>IFERROR(__xludf.DUMMYFUNCTION("IF($B150&lt;&gt;"""",IFERROR(FILTER(RawTotals!$AJ:$AJ,RawTotals!$A:$A=AB150)-(FILTER(Data!$K:$K,Data!$B:$B=AB150,Data!$D:$D=$B150)+FILTER(Data!$L:$L,Data!$B:$B=AB150,Data!$D:$D=$B150)),""""),"""")"),"")</f>
        <v/>
      </c>
      <c r="BM150" s="69" t="str">
        <f>IFERROR(__xludf.DUMMYFUNCTION("IF($C150&lt;&gt;"""",IFERROR(FILTER(RawTotals!$AJ:$AJ,RawTotals!$A:$A=AC150)-(FILTER(Data!$K:$K,Data!$B:$B=AC150,Data!$D:$D=$C150)+FILTER(Data!$L:$L,Data!$B:$B=AC150,Data!$D:$D=$C150)),""""),"""")"),"")</f>
        <v/>
      </c>
      <c r="BN150" s="69" t="str">
        <f>IFERROR(__xludf.DUMMYFUNCTION("IF($C150&lt;&gt;"""",IFERROR(FILTER(RawTotals!$AJ:$AJ,RawTotals!$A:$A=AD150)-(FILTER(Data!$K:$K,Data!$B:$B=AD150,Data!$D:$D=$C150)+FILTER(Data!$L:$L,Data!$B:$B=AD150,Data!$D:$D=$C150)),""""),"""")"),"")</f>
        <v/>
      </c>
      <c r="BO150" s="69" t="str">
        <f>IFERROR(__xludf.DUMMYFUNCTION("IF($C150&lt;&gt;"""",IFERROR(FILTER(RawTotals!$AJ:$AJ,RawTotals!$A:$A=AE150)-(FILTER(Data!$K:$K,Data!$B:$B=AE150,Data!$D:$D=$C150)+FILTER(Data!$L:$L,Data!$B:$B=AE150,Data!$D:$D=$C150)),""""),"""")"),"")</f>
        <v/>
      </c>
      <c r="BP150" s="69" t="str">
        <f>IFERROR(__xludf.DUMMYFUNCTION("IF($D150&lt;&gt;"""",IFERROR(FILTER(RawTotals!$AJ:$AJ,RawTotals!$A:$A=AF150)-(FILTER(Data!$K:$K,Data!$B:$B=AF150,Data!$D:$D=$D150)+FILTER(Data!$L:$L,Data!$B:$B=AF150,Data!$D:$D=$D150)),""""),"""")"),"")</f>
        <v/>
      </c>
      <c r="BQ150" s="69" t="str">
        <f>IFERROR(__xludf.DUMMYFUNCTION("IF($D150&lt;&gt;"""",IFERROR(FILTER(RawTotals!$AJ:$AJ,RawTotals!$A:$A=AG150)-(FILTER(Data!$K:$K,Data!$B:$B=AG150,Data!$D:$D=$D150)+FILTER(Data!$L:$L,Data!$B:$B=AG150,Data!$D:$D=$D150)),""""),"""")"),"")</f>
        <v/>
      </c>
      <c r="BR150" s="69" t="str">
        <f>IFERROR(__xludf.DUMMYFUNCTION("IF($D150&lt;&gt;"""",IFERROR(FILTER(RawTotals!$AJ:$AJ,RawTotals!$A:$A=AH150)-(FILTER(Data!$K:$K,Data!$B:$B=AH150,Data!$D:$D=$D150)+FILTER(Data!$L:$L,Data!$B:$B=AH150,Data!$D:$D=$D150)),""""),"""")"),"")</f>
        <v/>
      </c>
      <c r="BS150" s="69" t="str">
        <f>IFERROR(__xludf.DUMMYFUNCTION("IF($E150&lt;&gt;"""",IFERROR(FILTER(RawTotals!$AJ:$AJ,RawTotals!$A:$A=AI150)-(FILTER(Data!$K:$K,Data!$B:$B=AI150,Data!$D:$D=$E150)+FILTER(Data!$L:$L,Data!$B:$B=AI150,Data!$D:$D=$E150)),""""),"""")"),"")</f>
        <v/>
      </c>
      <c r="BT150" s="69" t="str">
        <f>IFERROR(__xludf.DUMMYFUNCTION("IF($E150&lt;&gt;"""",IFERROR(FILTER(RawTotals!$AJ:$AJ,RawTotals!$A:$A=AJ150)-(FILTER(Data!$K:$K,Data!$B:$B=AJ150,Data!$D:$D=$E150)+FILTER(Data!$L:$L,Data!$B:$B=AJ150,Data!$D:$D=$E150)),""""),"""")"),"")</f>
        <v/>
      </c>
      <c r="BU150" s="69" t="str">
        <f>IFERROR(__xludf.DUMMYFUNCTION("IF($E150&lt;&gt;"""",IFERROR(FILTER(RawTotals!$AJ:$AJ,RawTotals!$A:$A=AK150)-(FILTER(Data!$K:$K,Data!$B:$B=AK150,Data!$D:$D=$E150)+FILTER(Data!$L:$L,Data!$B:$B=AK150,Data!$D:$D=$E150)),""""),"""")"),"")</f>
        <v/>
      </c>
      <c r="BV150" s="69" t="str">
        <f>IFERROR(__xludf.DUMMYFUNCTION("IF($F150&lt;&gt;"""",IFERROR(FILTER(RawTotals!$AJ:$AJ,RawTotals!$A:$A=AL150)-(FILTER(Data!$K:$K,Data!$B:$B=AL150,Data!$D:$D=$F150)+FILTER(Data!$L:$L,Data!$B:$B=AL150,Data!$D:$D=$F150)),""""),"""")"),"")</f>
        <v/>
      </c>
      <c r="BW150" s="69" t="str">
        <f>IFERROR(__xludf.DUMMYFUNCTION("IF($F150&lt;&gt;"""",IFERROR(FILTER(RawTotals!$AJ:$AJ,RawTotals!$A:$A=AM150)-(FILTER(Data!$K:$K,Data!$B:$B=AM150,Data!$D:$D=$F150)+FILTER(Data!$L:$L,Data!$B:$B=AM150,Data!$D:$D=$F150)),""""),"""")"),"")</f>
        <v/>
      </c>
      <c r="BX150" s="69" t="str">
        <f>IFERROR(__xludf.DUMMYFUNCTION("IF($F150&lt;&gt;"""",IFERROR(FILTER(RawTotals!$AJ:$AJ,RawTotals!$A:$A=AN150)-(FILTER(Data!$K:$K,Data!$B:$B=AN150,Data!$D:$D=$F150)+FILTER(Data!$L:$L,Data!$B:$B=AN150,Data!$D:$D=$F150)),""""),"""")"),"")</f>
        <v/>
      </c>
      <c r="BY150" s="69" t="str">
        <f>IFERROR(__xludf.DUMMYFUNCTION("IF($G150&lt;&gt;"""",IFERROR(FILTER(RawTotals!$AJ:$AJ,RawTotals!$A:$A=AO150)-(FILTER(Data!$K:$K,Data!$B:$B=AO150,Data!$D:$D=$G150)+FILTER(Data!$L:$L,Data!$B:$B=AO150,Data!$D:$D=$G150)),""""),"""")"),"")</f>
        <v/>
      </c>
      <c r="BZ150" s="69" t="str">
        <f>IFERROR(__xludf.DUMMYFUNCTION("IF($G150&lt;&gt;"""",IFERROR(FILTER(RawTotals!$AJ:$AJ,RawTotals!$A:$A=AP150)-(FILTER(Data!$K:$K,Data!$B:$B=AP150,Data!$D:$D=$G150)+FILTER(Data!$L:$L,Data!$B:$B=AP150,Data!$D:$D=$G150)),""""),"""")"),"")</f>
        <v/>
      </c>
      <c r="CA150" s="69" t="str">
        <f>IFERROR(__xludf.DUMMYFUNCTION("IF($G150&lt;&gt;"""",IFERROR(FILTER(RawTotals!$AJ:$AJ,RawTotals!$A:$A=AQ150)-(FILTER(Data!$K:$K,Data!$B:$B=AQ150,Data!$D:$D=$G150)+FILTER(Data!$L:$L,Data!$B:$B=AQ150,Data!$D:$D=$G150)),""""),"""")"),"")</f>
        <v/>
      </c>
      <c r="CB150" s="69" t="str">
        <f>IFERROR(__xludf.DUMMYFUNCTION("IF($H150&lt;&gt;"""",IFERROR(FILTER(RawTotals!$AJ:$AJ,RawTotals!$A:$A=AR150)-(FILTER(Data!$K:$K,Data!$B:$B=AR150,Data!$D:$D=$H150)+FILTER(Data!$L:$L,Data!$B:$B=AR150,Data!$D:$D=$H150)),""""),"""")"),"")</f>
        <v/>
      </c>
      <c r="CC150" s="69" t="str">
        <f>IFERROR(__xludf.DUMMYFUNCTION("IF($H150&lt;&gt;"""",IFERROR(FILTER(RawTotals!$AJ:$AJ,RawTotals!$A:$A=AS150)-(FILTER(Data!$K:$K,Data!$B:$B=AS150,Data!$D:$D=$H150)+FILTER(Data!$L:$L,Data!$B:$B=AS150,Data!$D:$D=$H150)),""""),"""")"),"")</f>
        <v/>
      </c>
      <c r="CD150" s="69" t="str">
        <f>IFERROR(__xludf.DUMMYFUNCTION("IF($H150&lt;&gt;"""",IFERROR(FILTER(RawTotals!$AJ:$AJ,RawTotals!$A:$A=AT150)-(FILTER(Data!$K:$K,Data!$B:$B=AT150,Data!$D:$D=$H150)+FILTER(Data!$L:$L,Data!$B:$B=AT150,Data!$D:$D=$H150)),""""),"""")"),"")</f>
        <v/>
      </c>
      <c r="CE150" s="69" t="str">
        <f>IFERROR(__xludf.DUMMYFUNCTION("IF($I150&lt;&gt;"""",IFERROR(FILTER(RawTotals!$AJ:$AJ,RawTotals!$A:$A=AU150)-(FILTER(Data!$K:$K,Data!$B:$B=AU150,Data!$D:$D=$I150)+FILTER(Data!$L:$L,Data!$B:$B=AU150,Data!$D:$D=$I150)),""""),"""")"),"")</f>
        <v/>
      </c>
      <c r="CF150" s="69" t="str">
        <f>IFERROR(__xludf.DUMMYFUNCTION("IF($I150&lt;&gt;"""",IFERROR(FILTER(RawTotals!$AJ:$AJ,RawTotals!$A:$A=AV150)-(FILTER(Data!$K:$K,Data!$B:$B=AV150,Data!$D:$D=$I150)+FILTER(Data!$L:$L,Data!$B:$B=AV150,Data!$D:$D=$I150)),""""),"""")"),"")</f>
        <v/>
      </c>
      <c r="CG150" s="69" t="str">
        <f>IFERROR(__xludf.DUMMYFUNCTION("IF($I150&lt;&gt;"""",IFERROR(FILTER(RawTotals!$AJ:$AJ,RawTotals!$A:$A=AW150)-(FILTER(Data!$K:$K,Data!$B:$B=AW150,Data!$D:$D=$I150)+FILTER(Data!$L:$L,Data!$B:$B=AW150,Data!$D:$D=$I150)),""""),"""")"),"")</f>
        <v/>
      </c>
      <c r="CH150" s="69" t="str">
        <f>IFERROR(__xludf.DUMMYFUNCTION("IF($J150&lt;&gt;"""",IFERROR(FILTER(RawTotals!$AJ:$AJ,RawTotals!$A:$A=AX150)-(FILTER(Data!$K:$K,Data!$B:$B=AX150,Data!$D:$D=$J150)+FILTER(Data!$L:$L,Data!$B:$B=AX150,Data!$D:$D=$J150)),""""),"""")"),"")</f>
        <v/>
      </c>
      <c r="CI150" s="69" t="str">
        <f>IFERROR(__xludf.DUMMYFUNCTION("IF($J150&lt;&gt;"""",IFERROR(FILTER(RawTotals!$AJ:$AJ,RawTotals!$A:$A=AY150)-(FILTER(Data!$K:$K,Data!$B:$B=AY150,Data!$D:$D=$J150)+FILTER(Data!$L:$L,Data!$B:$B=AY150,Data!$D:$D=$J150)),""""),"""")"),"")</f>
        <v/>
      </c>
      <c r="CJ150" s="69" t="str">
        <f>IFERROR(__xludf.DUMMYFUNCTION("IF($J150&lt;&gt;"""",IFERROR(FILTER(RawTotals!$AJ:$AJ,RawTotals!$A:$A=AZ150)-(FILTER(Data!$K:$K,Data!$B:$B=AZ150,Data!$D:$D=$J150)+FILTER(Data!$L:$L,Data!$B:$B=AZ150,Data!$D:$D=$J150)),""""),"""")"),"")</f>
        <v/>
      </c>
      <c r="CK150" s="69" t="str">
        <f>IFERROR(__xludf.DUMMYFUNCTION("IF($K150&lt;&gt;"""",IFERROR(FILTER(RawTotals!$AJ:$AJ,RawTotals!$A:$A=BA150)-(FILTER(Data!$K:$K,Data!$B:$B=BA150,Data!$D:$D=$K150)+FILTER(Data!$L:$L,Data!$B:$B=BA150,Data!$D:$D=$K150)),""""),"""")"),"")</f>
        <v/>
      </c>
      <c r="CL150" s="69" t="str">
        <f>IFERROR(__xludf.DUMMYFUNCTION("IF($K150&lt;&gt;"""",IFERROR(FILTER(RawTotals!$AJ:$AJ,RawTotals!$A:$A=BB150)-(FILTER(Data!$K:$K,Data!$B:$B=BB150,Data!$D:$D=$K150)+FILTER(Data!$L:$L,Data!$B:$B=BB150,Data!$D:$D=$K150)),""""),"""")"),"")</f>
        <v/>
      </c>
      <c r="CM150" s="69" t="str">
        <f>IFERROR(__xludf.DUMMYFUNCTION("IF($K150&lt;&gt;"""",IFERROR(FILTER(RawTotals!$AJ:$AJ,RawTotals!$A:$A=BC150)-(FILTER(Data!$K:$K,Data!$B:$B=BC150,Data!$D:$D=$K150)+FILTER(Data!$L:$L,Data!$B:$B=BC150,Data!$D:$D=$K150)),""""),"""")"),"")</f>
        <v/>
      </c>
      <c r="CN150" s="69" t="str">
        <f>IFERROR(__xludf.DUMMYFUNCTION("IF($L150&lt;&gt;"""",IFERROR((FILTER(RawTotals!$AJ:$AJ,RawTotals!$A:$A=BD150)-(FILTER(Data!$K:$K,Data!$B:$B=BD150,Data!$D:$D=$L150)+FILTER(Data!$L:$L,Data!$B:$B=BD150,Data!$D:$D=$L150))),""""),"""")"),"")</f>
        <v/>
      </c>
      <c r="CO150" s="69" t="str">
        <f>IFERROR(__xludf.DUMMYFUNCTION("IF($L150&lt;&gt;"""",IFERROR((FILTER(RawTotals!$AJ:$AJ,RawTotals!$A:$A=BE150)-(FILTER(Data!$K:$K,Data!$B:$B=BE150,Data!$D:$D=$L150)+FILTER(Data!$L:$L,Data!$B:$B=BE150,Data!$D:$D=$L150))),""""),"""")"),"")</f>
        <v/>
      </c>
      <c r="CP150" s="69" t="str">
        <f>IFERROR(__xludf.DUMMYFUNCTION("IF($L150&lt;&gt;"""",IFERROR((FILTER(RawTotals!$AJ:$AJ,RawTotals!$A:$A=BF150)-(FILTER(Data!$K:$K,Data!$B:$B=BF150,Data!$D:$D=$L150)+FILTER(Data!$L:$L,Data!$B:$B=BF150,Data!$D:$D=$L150))),""""),"""")"),"")</f>
        <v/>
      </c>
      <c r="CQ150" s="69" t="str">
        <f>IFERROR(__xludf.DUMMYFUNCTION("IF($M150&lt;&gt;"""",IFERROR((FILTER(RawTotals!$AJ:$AJ,RawTotals!$A:$A=BG150)-(FILTER(Data!$K:$K,Data!$B:$B=BG150,Data!$D:$D=$M150)+FILTER(Data!$L:$L,Data!$B:$B=BG150,Data!$D:$D=$M150))),""""),"""")"),"")</f>
        <v/>
      </c>
      <c r="CR150" s="69" t="str">
        <f>IFERROR(__xludf.DUMMYFUNCTION("IF($M150&lt;&gt;"""",IFERROR((FILTER(RawTotals!$AJ:$AJ,RawTotals!$A:$A=BH150)-(FILTER(Data!$K:$K,Data!$B:$B=BH150,Data!$D:$D=$M150)+FILTER(Data!$L:$L,Data!$B:$B=BH150,Data!$D:$D=$M150))),""""),"""")"),"")</f>
        <v/>
      </c>
      <c r="CS150" s="70" t="str">
        <f>IFERROR(__xludf.DUMMYFUNCTION("IF($M150&lt;&gt;"""",IFERROR((FILTER(RawTotals!$AJ:$AJ,RawTotals!$A:$A=BI150)-(FILTER(Data!$K:$K,Data!$B:$B=BI150,Data!$D:$D=$M150)+FILTER(Data!$L:$L,Data!$B:$B=BI150,Data!$D:$D=$M150))),""""),"""")"),"")</f>
        <v/>
      </c>
      <c r="CT150" s="69"/>
      <c r="CU150" s="69"/>
      <c r="CV150" s="69"/>
      <c r="CW150" s="69"/>
      <c r="CX150" s="69"/>
      <c r="CY150" s="69"/>
      <c r="CZ150" s="69"/>
      <c r="DA150" s="69"/>
      <c r="DB150" s="69"/>
      <c r="DC150" s="69"/>
      <c r="DD150" s="69"/>
      <c r="DE150" s="69"/>
    </row>
    <row r="151">
      <c r="A151" s="15"/>
      <c r="B151" s="16"/>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6"/>
      <c r="AD151" s="15"/>
      <c r="AE151" s="15"/>
      <c r="AF151" s="16"/>
      <c r="AG151" s="15"/>
      <c r="AH151" s="15"/>
      <c r="AI151" s="16"/>
      <c r="AJ151" s="15"/>
      <c r="AK151" s="15"/>
      <c r="AL151" s="16"/>
      <c r="AM151" s="15"/>
      <c r="AN151" s="15"/>
      <c r="AO151" s="16"/>
      <c r="AP151" s="15"/>
      <c r="AQ151" s="15"/>
      <c r="AR151" s="16"/>
      <c r="AS151" s="15"/>
      <c r="AT151" s="15"/>
      <c r="AU151" s="16"/>
      <c r="AV151" s="15"/>
      <c r="AW151" s="15"/>
      <c r="AX151" s="16"/>
      <c r="AY151" s="15"/>
      <c r="AZ151" s="15"/>
      <c r="BA151" s="16"/>
      <c r="BB151" s="16"/>
      <c r="BC151" s="16"/>
      <c r="BD151" s="16"/>
      <c r="BE151" s="16"/>
      <c r="BF151" s="16"/>
      <c r="BG151" s="16"/>
      <c r="BH151" s="16"/>
      <c r="BI151" s="16"/>
      <c r="BJ151" s="68" t="str">
        <f>IFERROR(__xludf.DUMMYFUNCTION("IF($B151&lt;&gt;"""",IFERROR(FILTER(RawTotals!$AJ:$AJ,RawTotals!$A:$A=Z151)-(FILTER(Data!$K:$K,Data!$B:$B=Z151,Data!$D:$D=$B151)+FILTER(Data!$L:$L,Data!$B:$B=Z151,Data!$D:$D=$B151)),""""),"""")"),"")</f>
        <v/>
      </c>
      <c r="BK151" s="68" t="str">
        <f>IFERROR(__xludf.DUMMYFUNCTION("IF($B151&lt;&gt;"""",IFERROR(FILTER(RawTotals!$AJ:$AJ,RawTotals!$A:$A=AA151)-(FILTER(Data!$K:$K,Data!$B:$B=AA151,Data!$D:$D=$B151)+FILTER(Data!$L:$L,Data!$B:$B=AA151,Data!$D:$D=$B151)),""""),"""")"),"")</f>
        <v/>
      </c>
      <c r="BL151" s="68" t="str">
        <f>IFERROR(__xludf.DUMMYFUNCTION("IF($B151&lt;&gt;"""",IFERROR(FILTER(RawTotals!$AJ:$AJ,RawTotals!$A:$A=AB151)-(FILTER(Data!$K:$K,Data!$B:$B=AB151,Data!$D:$D=$B151)+FILTER(Data!$L:$L,Data!$B:$B=AB151,Data!$D:$D=$B151)),""""),"""")"),"")</f>
        <v/>
      </c>
      <c r="BM151" s="69" t="str">
        <f>IFERROR(__xludf.DUMMYFUNCTION("IF($C151&lt;&gt;"""",IFERROR(FILTER(RawTotals!$AJ:$AJ,RawTotals!$A:$A=AC151)-(FILTER(Data!$K:$K,Data!$B:$B=AC151,Data!$D:$D=$C151)+FILTER(Data!$L:$L,Data!$B:$B=AC151,Data!$D:$D=$C151)),""""),"""")"),"")</f>
        <v/>
      </c>
      <c r="BN151" s="69" t="str">
        <f>IFERROR(__xludf.DUMMYFUNCTION("IF($C151&lt;&gt;"""",IFERROR(FILTER(RawTotals!$AJ:$AJ,RawTotals!$A:$A=AD151)-(FILTER(Data!$K:$K,Data!$B:$B=AD151,Data!$D:$D=$C151)+FILTER(Data!$L:$L,Data!$B:$B=AD151,Data!$D:$D=$C151)),""""),"""")"),"")</f>
        <v/>
      </c>
      <c r="BO151" s="69" t="str">
        <f>IFERROR(__xludf.DUMMYFUNCTION("IF($C151&lt;&gt;"""",IFERROR(FILTER(RawTotals!$AJ:$AJ,RawTotals!$A:$A=AE151)-(FILTER(Data!$K:$K,Data!$B:$B=AE151,Data!$D:$D=$C151)+FILTER(Data!$L:$L,Data!$B:$B=AE151,Data!$D:$D=$C151)),""""),"""")"),"")</f>
        <v/>
      </c>
      <c r="BP151" s="69" t="str">
        <f>IFERROR(__xludf.DUMMYFUNCTION("IF($D151&lt;&gt;"""",IFERROR(FILTER(RawTotals!$AJ:$AJ,RawTotals!$A:$A=AF151)-(FILTER(Data!$K:$K,Data!$B:$B=AF151,Data!$D:$D=$D151)+FILTER(Data!$L:$L,Data!$B:$B=AF151,Data!$D:$D=$D151)),""""),"""")"),"")</f>
        <v/>
      </c>
      <c r="BQ151" s="69" t="str">
        <f>IFERROR(__xludf.DUMMYFUNCTION("IF($D151&lt;&gt;"""",IFERROR(FILTER(RawTotals!$AJ:$AJ,RawTotals!$A:$A=AG151)-(FILTER(Data!$K:$K,Data!$B:$B=AG151,Data!$D:$D=$D151)+FILTER(Data!$L:$L,Data!$B:$B=AG151,Data!$D:$D=$D151)),""""),"""")"),"")</f>
        <v/>
      </c>
      <c r="BR151" s="69" t="str">
        <f>IFERROR(__xludf.DUMMYFUNCTION("IF($D151&lt;&gt;"""",IFERROR(FILTER(RawTotals!$AJ:$AJ,RawTotals!$A:$A=AH151)-(FILTER(Data!$K:$K,Data!$B:$B=AH151,Data!$D:$D=$D151)+FILTER(Data!$L:$L,Data!$B:$B=AH151,Data!$D:$D=$D151)),""""),"""")"),"")</f>
        <v/>
      </c>
      <c r="BS151" s="69" t="str">
        <f>IFERROR(__xludf.DUMMYFUNCTION("IF($E151&lt;&gt;"""",IFERROR(FILTER(RawTotals!$AJ:$AJ,RawTotals!$A:$A=AI151)-(FILTER(Data!$K:$K,Data!$B:$B=AI151,Data!$D:$D=$E151)+FILTER(Data!$L:$L,Data!$B:$B=AI151,Data!$D:$D=$E151)),""""),"""")"),"")</f>
        <v/>
      </c>
      <c r="BT151" s="69" t="str">
        <f>IFERROR(__xludf.DUMMYFUNCTION("IF($E151&lt;&gt;"""",IFERROR(FILTER(RawTotals!$AJ:$AJ,RawTotals!$A:$A=AJ151)-(FILTER(Data!$K:$K,Data!$B:$B=AJ151,Data!$D:$D=$E151)+FILTER(Data!$L:$L,Data!$B:$B=AJ151,Data!$D:$D=$E151)),""""),"""")"),"")</f>
        <v/>
      </c>
      <c r="BU151" s="69" t="str">
        <f>IFERROR(__xludf.DUMMYFUNCTION("IF($E151&lt;&gt;"""",IFERROR(FILTER(RawTotals!$AJ:$AJ,RawTotals!$A:$A=AK151)-(FILTER(Data!$K:$K,Data!$B:$B=AK151,Data!$D:$D=$E151)+FILTER(Data!$L:$L,Data!$B:$B=AK151,Data!$D:$D=$E151)),""""),"""")"),"")</f>
        <v/>
      </c>
      <c r="BV151" s="69" t="str">
        <f>IFERROR(__xludf.DUMMYFUNCTION("IF($F151&lt;&gt;"""",IFERROR(FILTER(RawTotals!$AJ:$AJ,RawTotals!$A:$A=AL151)-(FILTER(Data!$K:$K,Data!$B:$B=AL151,Data!$D:$D=$F151)+FILTER(Data!$L:$L,Data!$B:$B=AL151,Data!$D:$D=$F151)),""""),"""")"),"")</f>
        <v/>
      </c>
      <c r="BW151" s="69" t="str">
        <f>IFERROR(__xludf.DUMMYFUNCTION("IF($F151&lt;&gt;"""",IFERROR(FILTER(RawTotals!$AJ:$AJ,RawTotals!$A:$A=AM151)-(FILTER(Data!$K:$K,Data!$B:$B=AM151,Data!$D:$D=$F151)+FILTER(Data!$L:$L,Data!$B:$B=AM151,Data!$D:$D=$F151)),""""),"""")"),"")</f>
        <v/>
      </c>
      <c r="BX151" s="69" t="str">
        <f>IFERROR(__xludf.DUMMYFUNCTION("IF($F151&lt;&gt;"""",IFERROR(FILTER(RawTotals!$AJ:$AJ,RawTotals!$A:$A=AN151)-(FILTER(Data!$K:$K,Data!$B:$B=AN151,Data!$D:$D=$F151)+FILTER(Data!$L:$L,Data!$B:$B=AN151,Data!$D:$D=$F151)),""""),"""")"),"")</f>
        <v/>
      </c>
      <c r="BY151" s="69" t="str">
        <f>IFERROR(__xludf.DUMMYFUNCTION("IF($G151&lt;&gt;"""",IFERROR(FILTER(RawTotals!$AJ:$AJ,RawTotals!$A:$A=AO151)-(FILTER(Data!$K:$K,Data!$B:$B=AO151,Data!$D:$D=$G151)+FILTER(Data!$L:$L,Data!$B:$B=AO151,Data!$D:$D=$G151)),""""),"""")"),"")</f>
        <v/>
      </c>
      <c r="BZ151" s="69" t="str">
        <f>IFERROR(__xludf.DUMMYFUNCTION("IF($G151&lt;&gt;"""",IFERROR(FILTER(RawTotals!$AJ:$AJ,RawTotals!$A:$A=AP151)-(FILTER(Data!$K:$K,Data!$B:$B=AP151,Data!$D:$D=$G151)+FILTER(Data!$L:$L,Data!$B:$B=AP151,Data!$D:$D=$G151)),""""),"""")"),"")</f>
        <v/>
      </c>
      <c r="CA151" s="69" t="str">
        <f>IFERROR(__xludf.DUMMYFUNCTION("IF($G151&lt;&gt;"""",IFERROR(FILTER(RawTotals!$AJ:$AJ,RawTotals!$A:$A=AQ151)-(FILTER(Data!$K:$K,Data!$B:$B=AQ151,Data!$D:$D=$G151)+FILTER(Data!$L:$L,Data!$B:$B=AQ151,Data!$D:$D=$G151)),""""),"""")"),"")</f>
        <v/>
      </c>
      <c r="CB151" s="69" t="str">
        <f>IFERROR(__xludf.DUMMYFUNCTION("IF($H151&lt;&gt;"""",IFERROR(FILTER(RawTotals!$AJ:$AJ,RawTotals!$A:$A=AR151)-(FILTER(Data!$K:$K,Data!$B:$B=AR151,Data!$D:$D=$H151)+FILTER(Data!$L:$L,Data!$B:$B=AR151,Data!$D:$D=$H151)),""""),"""")"),"")</f>
        <v/>
      </c>
      <c r="CC151" s="69" t="str">
        <f>IFERROR(__xludf.DUMMYFUNCTION("IF($H151&lt;&gt;"""",IFERROR(FILTER(RawTotals!$AJ:$AJ,RawTotals!$A:$A=AS151)-(FILTER(Data!$K:$K,Data!$B:$B=AS151,Data!$D:$D=$H151)+FILTER(Data!$L:$L,Data!$B:$B=AS151,Data!$D:$D=$H151)),""""),"""")"),"")</f>
        <v/>
      </c>
      <c r="CD151" s="69" t="str">
        <f>IFERROR(__xludf.DUMMYFUNCTION("IF($H151&lt;&gt;"""",IFERROR(FILTER(RawTotals!$AJ:$AJ,RawTotals!$A:$A=AT151)-(FILTER(Data!$K:$K,Data!$B:$B=AT151,Data!$D:$D=$H151)+FILTER(Data!$L:$L,Data!$B:$B=AT151,Data!$D:$D=$H151)),""""),"""")"),"")</f>
        <v/>
      </c>
      <c r="CE151" s="69" t="str">
        <f>IFERROR(__xludf.DUMMYFUNCTION("IF($I151&lt;&gt;"""",IFERROR(FILTER(RawTotals!$AJ:$AJ,RawTotals!$A:$A=AU151)-(FILTER(Data!$K:$K,Data!$B:$B=AU151,Data!$D:$D=$I151)+FILTER(Data!$L:$L,Data!$B:$B=AU151,Data!$D:$D=$I151)),""""),"""")"),"")</f>
        <v/>
      </c>
      <c r="CF151" s="69" t="str">
        <f>IFERROR(__xludf.DUMMYFUNCTION("IF($I151&lt;&gt;"""",IFERROR(FILTER(RawTotals!$AJ:$AJ,RawTotals!$A:$A=AV151)-(FILTER(Data!$K:$K,Data!$B:$B=AV151,Data!$D:$D=$I151)+FILTER(Data!$L:$L,Data!$B:$B=AV151,Data!$D:$D=$I151)),""""),"""")"),"")</f>
        <v/>
      </c>
      <c r="CG151" s="69" t="str">
        <f>IFERROR(__xludf.DUMMYFUNCTION("IF($I151&lt;&gt;"""",IFERROR(FILTER(RawTotals!$AJ:$AJ,RawTotals!$A:$A=AW151)-(FILTER(Data!$K:$K,Data!$B:$B=AW151,Data!$D:$D=$I151)+FILTER(Data!$L:$L,Data!$B:$B=AW151,Data!$D:$D=$I151)),""""),"""")"),"")</f>
        <v/>
      </c>
      <c r="CH151" s="69" t="str">
        <f>IFERROR(__xludf.DUMMYFUNCTION("IF($J151&lt;&gt;"""",IFERROR(FILTER(RawTotals!$AJ:$AJ,RawTotals!$A:$A=AX151)-(FILTER(Data!$K:$K,Data!$B:$B=AX151,Data!$D:$D=$J151)+FILTER(Data!$L:$L,Data!$B:$B=AX151,Data!$D:$D=$J151)),""""),"""")"),"")</f>
        <v/>
      </c>
      <c r="CI151" s="69" t="str">
        <f>IFERROR(__xludf.DUMMYFUNCTION("IF($J151&lt;&gt;"""",IFERROR(FILTER(RawTotals!$AJ:$AJ,RawTotals!$A:$A=AY151)-(FILTER(Data!$K:$K,Data!$B:$B=AY151,Data!$D:$D=$J151)+FILTER(Data!$L:$L,Data!$B:$B=AY151,Data!$D:$D=$J151)),""""),"""")"),"")</f>
        <v/>
      </c>
      <c r="CJ151" s="69" t="str">
        <f>IFERROR(__xludf.DUMMYFUNCTION("IF($J151&lt;&gt;"""",IFERROR(FILTER(RawTotals!$AJ:$AJ,RawTotals!$A:$A=AZ151)-(FILTER(Data!$K:$K,Data!$B:$B=AZ151,Data!$D:$D=$J151)+FILTER(Data!$L:$L,Data!$B:$B=AZ151,Data!$D:$D=$J151)),""""),"""")"),"")</f>
        <v/>
      </c>
      <c r="CK151" s="69" t="str">
        <f>IFERROR(__xludf.DUMMYFUNCTION("IF($K151&lt;&gt;"""",IFERROR(FILTER(RawTotals!$AJ:$AJ,RawTotals!$A:$A=BA151)-(FILTER(Data!$K:$K,Data!$B:$B=BA151,Data!$D:$D=$K151)+FILTER(Data!$L:$L,Data!$B:$B=BA151,Data!$D:$D=$K151)),""""),"""")"),"")</f>
        <v/>
      </c>
      <c r="CL151" s="69" t="str">
        <f>IFERROR(__xludf.DUMMYFUNCTION("IF($K151&lt;&gt;"""",IFERROR(FILTER(RawTotals!$AJ:$AJ,RawTotals!$A:$A=BB151)-(FILTER(Data!$K:$K,Data!$B:$B=BB151,Data!$D:$D=$K151)+FILTER(Data!$L:$L,Data!$B:$B=BB151,Data!$D:$D=$K151)),""""),"""")"),"")</f>
        <v/>
      </c>
      <c r="CM151" s="69" t="str">
        <f>IFERROR(__xludf.DUMMYFUNCTION("IF($K151&lt;&gt;"""",IFERROR(FILTER(RawTotals!$AJ:$AJ,RawTotals!$A:$A=BC151)-(FILTER(Data!$K:$K,Data!$B:$B=BC151,Data!$D:$D=$K151)+FILTER(Data!$L:$L,Data!$B:$B=BC151,Data!$D:$D=$K151)),""""),"""")"),"")</f>
        <v/>
      </c>
      <c r="CN151" s="69" t="str">
        <f>IFERROR(__xludf.DUMMYFUNCTION("IF($L151&lt;&gt;"""",IFERROR((FILTER(RawTotals!$AJ:$AJ,RawTotals!$A:$A=BD151)-(FILTER(Data!$K:$K,Data!$B:$B=BD151,Data!$D:$D=$L151)+FILTER(Data!$L:$L,Data!$B:$B=BD151,Data!$D:$D=$L151))),""""),"""")"),"")</f>
        <v/>
      </c>
      <c r="CO151" s="69" t="str">
        <f>IFERROR(__xludf.DUMMYFUNCTION("IF($L151&lt;&gt;"""",IFERROR((FILTER(RawTotals!$AJ:$AJ,RawTotals!$A:$A=BE151)-(FILTER(Data!$K:$K,Data!$B:$B=BE151,Data!$D:$D=$L151)+FILTER(Data!$L:$L,Data!$B:$B=BE151,Data!$D:$D=$L151))),""""),"""")"),"")</f>
        <v/>
      </c>
      <c r="CP151" s="69" t="str">
        <f>IFERROR(__xludf.DUMMYFUNCTION("IF($L151&lt;&gt;"""",IFERROR((FILTER(RawTotals!$AJ:$AJ,RawTotals!$A:$A=BF151)-(FILTER(Data!$K:$K,Data!$B:$B=BF151,Data!$D:$D=$L151)+FILTER(Data!$L:$L,Data!$B:$B=BF151,Data!$D:$D=$L151))),""""),"""")"),"")</f>
        <v/>
      </c>
      <c r="CQ151" s="69" t="str">
        <f>IFERROR(__xludf.DUMMYFUNCTION("IF($M151&lt;&gt;"""",IFERROR((FILTER(RawTotals!$AJ:$AJ,RawTotals!$A:$A=BG151)-(FILTER(Data!$K:$K,Data!$B:$B=BG151,Data!$D:$D=$M151)+FILTER(Data!$L:$L,Data!$B:$B=BG151,Data!$D:$D=$M151))),""""),"""")"),"")</f>
        <v/>
      </c>
      <c r="CR151" s="69" t="str">
        <f>IFERROR(__xludf.DUMMYFUNCTION("IF($M151&lt;&gt;"""",IFERROR((FILTER(RawTotals!$AJ:$AJ,RawTotals!$A:$A=BH151)-(FILTER(Data!$K:$K,Data!$B:$B=BH151,Data!$D:$D=$M151)+FILTER(Data!$L:$L,Data!$B:$B=BH151,Data!$D:$D=$M151))),""""),"""")"),"")</f>
        <v/>
      </c>
      <c r="CS151" s="70" t="str">
        <f>IFERROR(__xludf.DUMMYFUNCTION("IF($M151&lt;&gt;"""",IFERROR((FILTER(RawTotals!$AJ:$AJ,RawTotals!$A:$A=BI151)-(FILTER(Data!$K:$K,Data!$B:$B=BI151,Data!$D:$D=$M151)+FILTER(Data!$L:$L,Data!$B:$B=BI151,Data!$D:$D=$M151))),""""),"""")"),"")</f>
        <v/>
      </c>
      <c r="CT151" s="16"/>
      <c r="CU151" s="16"/>
      <c r="CV151" s="16"/>
      <c r="CW151" s="16"/>
      <c r="CX151" s="16"/>
      <c r="CY151" s="16"/>
      <c r="CZ151" s="16"/>
      <c r="DA151" s="16"/>
      <c r="DB151" s="16"/>
      <c r="DC151" s="16"/>
      <c r="DD151" s="16"/>
      <c r="DE151" s="16"/>
    </row>
    <row r="152">
      <c r="A152" s="15"/>
      <c r="B152" s="16"/>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6"/>
      <c r="AD152" s="15"/>
      <c r="AE152" s="15"/>
      <c r="AF152" s="16"/>
      <c r="AG152" s="15"/>
      <c r="AH152" s="15"/>
      <c r="AI152" s="16"/>
      <c r="AJ152" s="15"/>
      <c r="AK152" s="15"/>
      <c r="AL152" s="16"/>
      <c r="AM152" s="15"/>
      <c r="AN152" s="15"/>
      <c r="AO152" s="16"/>
      <c r="AP152" s="15"/>
      <c r="AQ152" s="15"/>
      <c r="AR152" s="16"/>
      <c r="AS152" s="15"/>
      <c r="AT152" s="15"/>
      <c r="AU152" s="16"/>
      <c r="AV152" s="15"/>
      <c r="AW152" s="15"/>
      <c r="AX152" s="16"/>
      <c r="AY152" s="15"/>
      <c r="AZ152" s="15"/>
      <c r="BA152" s="16"/>
      <c r="BB152" s="16"/>
      <c r="BC152" s="16"/>
      <c r="BD152" s="16"/>
      <c r="BE152" s="16"/>
      <c r="BF152" s="16"/>
      <c r="BG152" s="16"/>
      <c r="BH152" s="16"/>
      <c r="BI152" s="16"/>
      <c r="BJ152" s="68" t="str">
        <f>IFERROR(__xludf.DUMMYFUNCTION("IF($B152&lt;&gt;"""",IFERROR(FILTER(RawTotals!$AJ:$AJ,RawTotals!$A:$A=Z152)-(FILTER(Data!$K:$K,Data!$B:$B=Z152,Data!$D:$D=$B152)+FILTER(Data!$L:$L,Data!$B:$B=Z152,Data!$D:$D=$B152)),""""),"""")"),"")</f>
        <v/>
      </c>
      <c r="BK152" s="68" t="str">
        <f>IFERROR(__xludf.DUMMYFUNCTION("IF($B152&lt;&gt;"""",IFERROR(FILTER(RawTotals!$AJ:$AJ,RawTotals!$A:$A=AA152)-(FILTER(Data!$K:$K,Data!$B:$B=AA152,Data!$D:$D=$B152)+FILTER(Data!$L:$L,Data!$B:$B=AA152,Data!$D:$D=$B152)),""""),"""")"),"")</f>
        <v/>
      </c>
      <c r="BL152" s="68" t="str">
        <f>IFERROR(__xludf.DUMMYFUNCTION("IF($B152&lt;&gt;"""",IFERROR(FILTER(RawTotals!$AJ:$AJ,RawTotals!$A:$A=AB152)-(FILTER(Data!$K:$K,Data!$B:$B=AB152,Data!$D:$D=$B152)+FILTER(Data!$L:$L,Data!$B:$B=AB152,Data!$D:$D=$B152)),""""),"""")"),"")</f>
        <v/>
      </c>
      <c r="BM152" s="69" t="str">
        <f>IFERROR(__xludf.DUMMYFUNCTION("IF($C152&lt;&gt;"""",IFERROR(FILTER(RawTotals!$AJ:$AJ,RawTotals!$A:$A=AC152)-(FILTER(Data!$K:$K,Data!$B:$B=AC152,Data!$D:$D=$C152)+FILTER(Data!$L:$L,Data!$B:$B=AC152,Data!$D:$D=$C152)),""""),"""")"),"")</f>
        <v/>
      </c>
      <c r="BN152" s="69" t="str">
        <f>IFERROR(__xludf.DUMMYFUNCTION("IF($C152&lt;&gt;"""",IFERROR(FILTER(RawTotals!$AJ:$AJ,RawTotals!$A:$A=AD152)-(FILTER(Data!$K:$K,Data!$B:$B=AD152,Data!$D:$D=$C152)+FILTER(Data!$L:$L,Data!$B:$B=AD152,Data!$D:$D=$C152)),""""),"""")"),"")</f>
        <v/>
      </c>
      <c r="BO152" s="69" t="str">
        <f>IFERROR(__xludf.DUMMYFUNCTION("IF($C152&lt;&gt;"""",IFERROR(FILTER(RawTotals!$AJ:$AJ,RawTotals!$A:$A=AE152)-(FILTER(Data!$K:$K,Data!$B:$B=AE152,Data!$D:$D=$C152)+FILTER(Data!$L:$L,Data!$B:$B=AE152,Data!$D:$D=$C152)),""""),"""")"),"")</f>
        <v/>
      </c>
      <c r="BP152" s="69" t="str">
        <f>IFERROR(__xludf.DUMMYFUNCTION("IF($D152&lt;&gt;"""",IFERROR(FILTER(RawTotals!$AJ:$AJ,RawTotals!$A:$A=AF152)-(FILTER(Data!$K:$K,Data!$B:$B=AF152,Data!$D:$D=$D152)+FILTER(Data!$L:$L,Data!$B:$B=AF152,Data!$D:$D=$D152)),""""),"""")"),"")</f>
        <v/>
      </c>
      <c r="BQ152" s="69" t="str">
        <f>IFERROR(__xludf.DUMMYFUNCTION("IF($D152&lt;&gt;"""",IFERROR(FILTER(RawTotals!$AJ:$AJ,RawTotals!$A:$A=AG152)-(FILTER(Data!$K:$K,Data!$B:$B=AG152,Data!$D:$D=$D152)+FILTER(Data!$L:$L,Data!$B:$B=AG152,Data!$D:$D=$D152)),""""),"""")"),"")</f>
        <v/>
      </c>
      <c r="BR152" s="69" t="str">
        <f>IFERROR(__xludf.DUMMYFUNCTION("IF($D152&lt;&gt;"""",IFERROR(FILTER(RawTotals!$AJ:$AJ,RawTotals!$A:$A=AH152)-(FILTER(Data!$K:$K,Data!$B:$B=AH152,Data!$D:$D=$D152)+FILTER(Data!$L:$L,Data!$B:$B=AH152,Data!$D:$D=$D152)),""""),"""")"),"")</f>
        <v/>
      </c>
      <c r="BS152" s="69" t="str">
        <f>IFERROR(__xludf.DUMMYFUNCTION("IF($E152&lt;&gt;"""",IFERROR(FILTER(RawTotals!$AJ:$AJ,RawTotals!$A:$A=AI152)-(FILTER(Data!$K:$K,Data!$B:$B=AI152,Data!$D:$D=$E152)+FILTER(Data!$L:$L,Data!$B:$B=AI152,Data!$D:$D=$E152)),""""),"""")"),"")</f>
        <v/>
      </c>
      <c r="BT152" s="69" t="str">
        <f>IFERROR(__xludf.DUMMYFUNCTION("IF($E152&lt;&gt;"""",IFERROR(FILTER(RawTotals!$AJ:$AJ,RawTotals!$A:$A=AJ152)-(FILTER(Data!$K:$K,Data!$B:$B=AJ152,Data!$D:$D=$E152)+FILTER(Data!$L:$L,Data!$B:$B=AJ152,Data!$D:$D=$E152)),""""),"""")"),"")</f>
        <v/>
      </c>
      <c r="BU152" s="69" t="str">
        <f>IFERROR(__xludf.DUMMYFUNCTION("IF($E152&lt;&gt;"""",IFERROR(FILTER(RawTotals!$AJ:$AJ,RawTotals!$A:$A=AK152)-(FILTER(Data!$K:$K,Data!$B:$B=AK152,Data!$D:$D=$E152)+FILTER(Data!$L:$L,Data!$B:$B=AK152,Data!$D:$D=$E152)),""""),"""")"),"")</f>
        <v/>
      </c>
      <c r="BV152" s="69" t="str">
        <f>IFERROR(__xludf.DUMMYFUNCTION("IF($F152&lt;&gt;"""",IFERROR(FILTER(RawTotals!$AJ:$AJ,RawTotals!$A:$A=AL152)-(FILTER(Data!$K:$K,Data!$B:$B=AL152,Data!$D:$D=$F152)+FILTER(Data!$L:$L,Data!$B:$B=AL152,Data!$D:$D=$F152)),""""),"""")"),"")</f>
        <v/>
      </c>
      <c r="BW152" s="69" t="str">
        <f>IFERROR(__xludf.DUMMYFUNCTION("IF($F152&lt;&gt;"""",IFERROR(FILTER(RawTotals!$AJ:$AJ,RawTotals!$A:$A=AM152)-(FILTER(Data!$K:$K,Data!$B:$B=AM152,Data!$D:$D=$F152)+FILTER(Data!$L:$L,Data!$B:$B=AM152,Data!$D:$D=$F152)),""""),"""")"),"")</f>
        <v/>
      </c>
      <c r="BX152" s="69" t="str">
        <f>IFERROR(__xludf.DUMMYFUNCTION("IF($F152&lt;&gt;"""",IFERROR(FILTER(RawTotals!$AJ:$AJ,RawTotals!$A:$A=AN152)-(FILTER(Data!$K:$K,Data!$B:$B=AN152,Data!$D:$D=$F152)+FILTER(Data!$L:$L,Data!$B:$B=AN152,Data!$D:$D=$F152)),""""),"""")"),"")</f>
        <v/>
      </c>
      <c r="BY152" s="69" t="str">
        <f>IFERROR(__xludf.DUMMYFUNCTION("IF($G152&lt;&gt;"""",IFERROR(FILTER(RawTotals!$AJ:$AJ,RawTotals!$A:$A=AO152)-(FILTER(Data!$K:$K,Data!$B:$B=AO152,Data!$D:$D=$G152)+FILTER(Data!$L:$L,Data!$B:$B=AO152,Data!$D:$D=$G152)),""""),"""")"),"")</f>
        <v/>
      </c>
      <c r="BZ152" s="69" t="str">
        <f>IFERROR(__xludf.DUMMYFUNCTION("IF($G152&lt;&gt;"""",IFERROR(FILTER(RawTotals!$AJ:$AJ,RawTotals!$A:$A=AP152)-(FILTER(Data!$K:$K,Data!$B:$B=AP152,Data!$D:$D=$G152)+FILTER(Data!$L:$L,Data!$B:$B=AP152,Data!$D:$D=$G152)),""""),"""")"),"")</f>
        <v/>
      </c>
      <c r="CA152" s="69" t="str">
        <f>IFERROR(__xludf.DUMMYFUNCTION("IF($G152&lt;&gt;"""",IFERROR(FILTER(RawTotals!$AJ:$AJ,RawTotals!$A:$A=AQ152)-(FILTER(Data!$K:$K,Data!$B:$B=AQ152,Data!$D:$D=$G152)+FILTER(Data!$L:$L,Data!$B:$B=AQ152,Data!$D:$D=$G152)),""""),"""")"),"")</f>
        <v/>
      </c>
      <c r="CB152" s="69" t="str">
        <f>IFERROR(__xludf.DUMMYFUNCTION("IF($H152&lt;&gt;"""",IFERROR(FILTER(RawTotals!$AJ:$AJ,RawTotals!$A:$A=AR152)-(FILTER(Data!$K:$K,Data!$B:$B=AR152,Data!$D:$D=$H152)+FILTER(Data!$L:$L,Data!$B:$B=AR152,Data!$D:$D=$H152)),""""),"""")"),"")</f>
        <v/>
      </c>
      <c r="CC152" s="69" t="str">
        <f>IFERROR(__xludf.DUMMYFUNCTION("IF($H152&lt;&gt;"""",IFERROR(FILTER(RawTotals!$AJ:$AJ,RawTotals!$A:$A=AS152)-(FILTER(Data!$K:$K,Data!$B:$B=AS152,Data!$D:$D=$H152)+FILTER(Data!$L:$L,Data!$B:$B=AS152,Data!$D:$D=$H152)),""""),"""")"),"")</f>
        <v/>
      </c>
      <c r="CD152" s="69" t="str">
        <f>IFERROR(__xludf.DUMMYFUNCTION("IF($H152&lt;&gt;"""",IFERROR(FILTER(RawTotals!$AJ:$AJ,RawTotals!$A:$A=AT152)-(FILTER(Data!$K:$K,Data!$B:$B=AT152,Data!$D:$D=$H152)+FILTER(Data!$L:$L,Data!$B:$B=AT152,Data!$D:$D=$H152)),""""),"""")"),"")</f>
        <v/>
      </c>
      <c r="CE152" s="69" t="str">
        <f>IFERROR(__xludf.DUMMYFUNCTION("IF($I152&lt;&gt;"""",IFERROR(FILTER(RawTotals!$AJ:$AJ,RawTotals!$A:$A=AU152)-(FILTER(Data!$K:$K,Data!$B:$B=AU152,Data!$D:$D=$I152)+FILTER(Data!$L:$L,Data!$B:$B=AU152,Data!$D:$D=$I152)),""""),"""")"),"")</f>
        <v/>
      </c>
      <c r="CF152" s="69" t="str">
        <f>IFERROR(__xludf.DUMMYFUNCTION("IF($I152&lt;&gt;"""",IFERROR(FILTER(RawTotals!$AJ:$AJ,RawTotals!$A:$A=AV152)-(FILTER(Data!$K:$K,Data!$B:$B=AV152,Data!$D:$D=$I152)+FILTER(Data!$L:$L,Data!$B:$B=AV152,Data!$D:$D=$I152)),""""),"""")"),"")</f>
        <v/>
      </c>
      <c r="CG152" s="69" t="str">
        <f>IFERROR(__xludf.DUMMYFUNCTION("IF($I152&lt;&gt;"""",IFERROR(FILTER(RawTotals!$AJ:$AJ,RawTotals!$A:$A=AW152)-(FILTER(Data!$K:$K,Data!$B:$B=AW152,Data!$D:$D=$I152)+FILTER(Data!$L:$L,Data!$B:$B=AW152,Data!$D:$D=$I152)),""""),"""")"),"")</f>
        <v/>
      </c>
      <c r="CH152" s="69" t="str">
        <f>IFERROR(__xludf.DUMMYFUNCTION("IF($J152&lt;&gt;"""",IFERROR(FILTER(RawTotals!$AJ:$AJ,RawTotals!$A:$A=AX152)-(FILTER(Data!$K:$K,Data!$B:$B=AX152,Data!$D:$D=$J152)+FILTER(Data!$L:$L,Data!$B:$B=AX152,Data!$D:$D=$J152)),""""),"""")"),"")</f>
        <v/>
      </c>
      <c r="CI152" s="69" t="str">
        <f>IFERROR(__xludf.DUMMYFUNCTION("IF($J152&lt;&gt;"""",IFERROR(FILTER(RawTotals!$AJ:$AJ,RawTotals!$A:$A=AY152)-(FILTER(Data!$K:$K,Data!$B:$B=AY152,Data!$D:$D=$J152)+FILTER(Data!$L:$L,Data!$B:$B=AY152,Data!$D:$D=$J152)),""""),"""")"),"")</f>
        <v/>
      </c>
      <c r="CJ152" s="69" t="str">
        <f>IFERROR(__xludf.DUMMYFUNCTION("IF($J152&lt;&gt;"""",IFERROR(FILTER(RawTotals!$AJ:$AJ,RawTotals!$A:$A=AZ152)-(FILTER(Data!$K:$K,Data!$B:$B=AZ152,Data!$D:$D=$J152)+FILTER(Data!$L:$L,Data!$B:$B=AZ152,Data!$D:$D=$J152)),""""),"""")"),"")</f>
        <v/>
      </c>
      <c r="CK152" s="69" t="str">
        <f>IFERROR(__xludf.DUMMYFUNCTION("IF($K152&lt;&gt;"""",IFERROR(FILTER(RawTotals!$AJ:$AJ,RawTotals!$A:$A=BA152)-(FILTER(Data!$K:$K,Data!$B:$B=BA152,Data!$D:$D=$K152)+FILTER(Data!$L:$L,Data!$B:$B=BA152,Data!$D:$D=$K152)),""""),"""")"),"")</f>
        <v/>
      </c>
      <c r="CL152" s="69" t="str">
        <f>IFERROR(__xludf.DUMMYFUNCTION("IF($K152&lt;&gt;"""",IFERROR(FILTER(RawTotals!$AJ:$AJ,RawTotals!$A:$A=BB152)-(FILTER(Data!$K:$K,Data!$B:$B=BB152,Data!$D:$D=$K152)+FILTER(Data!$L:$L,Data!$B:$B=BB152,Data!$D:$D=$K152)),""""),"""")"),"")</f>
        <v/>
      </c>
      <c r="CM152" s="69" t="str">
        <f>IFERROR(__xludf.DUMMYFUNCTION("IF($K152&lt;&gt;"""",IFERROR(FILTER(RawTotals!$AJ:$AJ,RawTotals!$A:$A=BC152)-(FILTER(Data!$K:$K,Data!$B:$B=BC152,Data!$D:$D=$K152)+FILTER(Data!$L:$L,Data!$B:$B=BC152,Data!$D:$D=$K152)),""""),"""")"),"")</f>
        <v/>
      </c>
      <c r="CN152" s="69" t="str">
        <f>IFERROR(__xludf.DUMMYFUNCTION("IF($L152&lt;&gt;"""",IFERROR((FILTER(RawTotals!$AJ:$AJ,RawTotals!$A:$A=BD152)-(FILTER(Data!$K:$K,Data!$B:$B=BD152,Data!$D:$D=$L152)+FILTER(Data!$L:$L,Data!$B:$B=BD152,Data!$D:$D=$L152))),""""),"""")"),"")</f>
        <v/>
      </c>
      <c r="CO152" s="69" t="str">
        <f>IFERROR(__xludf.DUMMYFUNCTION("IF($L152&lt;&gt;"""",IFERROR((FILTER(RawTotals!$AJ:$AJ,RawTotals!$A:$A=BE152)-(FILTER(Data!$K:$K,Data!$B:$B=BE152,Data!$D:$D=$L152)+FILTER(Data!$L:$L,Data!$B:$B=BE152,Data!$D:$D=$L152))),""""),"""")"),"")</f>
        <v/>
      </c>
      <c r="CP152" s="69" t="str">
        <f>IFERROR(__xludf.DUMMYFUNCTION("IF($L152&lt;&gt;"""",IFERROR((FILTER(RawTotals!$AJ:$AJ,RawTotals!$A:$A=BF152)-(FILTER(Data!$K:$K,Data!$B:$B=BF152,Data!$D:$D=$L152)+FILTER(Data!$L:$L,Data!$B:$B=BF152,Data!$D:$D=$L152))),""""),"""")"),"")</f>
        <v/>
      </c>
      <c r="CQ152" s="69" t="str">
        <f>IFERROR(__xludf.DUMMYFUNCTION("IF($M152&lt;&gt;"""",IFERROR((FILTER(RawTotals!$AJ:$AJ,RawTotals!$A:$A=BG152)-(FILTER(Data!$K:$K,Data!$B:$B=BG152,Data!$D:$D=$M152)+FILTER(Data!$L:$L,Data!$B:$B=BG152,Data!$D:$D=$M152))),""""),"""")"),"")</f>
        <v/>
      </c>
      <c r="CR152" s="69" t="str">
        <f>IFERROR(__xludf.DUMMYFUNCTION("IF($M152&lt;&gt;"""",IFERROR((FILTER(RawTotals!$AJ:$AJ,RawTotals!$A:$A=BH152)-(FILTER(Data!$K:$K,Data!$B:$B=BH152,Data!$D:$D=$M152)+FILTER(Data!$L:$L,Data!$B:$B=BH152,Data!$D:$D=$M152))),""""),"""")"),"")</f>
        <v/>
      </c>
      <c r="CS152" s="70" t="str">
        <f>IFERROR(__xludf.DUMMYFUNCTION("IF($M152&lt;&gt;"""",IFERROR((FILTER(RawTotals!$AJ:$AJ,RawTotals!$A:$A=BI152)-(FILTER(Data!$K:$K,Data!$B:$B=BI152,Data!$D:$D=$M152)+FILTER(Data!$L:$L,Data!$B:$B=BI152,Data!$D:$D=$M152))),""""),"""")"),"")</f>
        <v/>
      </c>
      <c r="CT152" s="16"/>
      <c r="CU152" s="16"/>
      <c r="CV152" s="16"/>
      <c r="CW152" s="16"/>
      <c r="CX152" s="16"/>
      <c r="CY152" s="16"/>
      <c r="CZ152" s="16"/>
      <c r="DA152" s="16"/>
      <c r="DB152" s="16"/>
      <c r="DC152" s="16"/>
      <c r="DD152" s="16"/>
      <c r="DE152" s="16"/>
    </row>
    <row r="153">
      <c r="A153" s="15"/>
      <c r="B153" s="16"/>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6"/>
      <c r="AD153" s="15"/>
      <c r="AE153" s="15"/>
      <c r="AF153" s="16"/>
      <c r="AG153" s="15"/>
      <c r="AH153" s="15"/>
      <c r="AI153" s="16"/>
      <c r="AJ153" s="15"/>
      <c r="AK153" s="15"/>
      <c r="AL153" s="16"/>
      <c r="AM153" s="15"/>
      <c r="AN153" s="15"/>
      <c r="AO153" s="16"/>
      <c r="AP153" s="15"/>
      <c r="AQ153" s="15"/>
      <c r="AR153" s="16"/>
      <c r="AS153" s="15"/>
      <c r="AT153" s="15"/>
      <c r="AU153" s="16"/>
      <c r="AV153" s="15"/>
      <c r="AW153" s="15"/>
      <c r="AX153" s="16"/>
      <c r="AY153" s="15"/>
      <c r="AZ153" s="15"/>
      <c r="BA153" s="16"/>
      <c r="BB153" s="16"/>
      <c r="BC153" s="16"/>
      <c r="BD153" s="16"/>
      <c r="BE153" s="16"/>
      <c r="BF153" s="16"/>
      <c r="BG153" s="16"/>
      <c r="BH153" s="16"/>
      <c r="BI153" s="16"/>
      <c r="BJ153" s="68" t="str">
        <f>IFERROR(__xludf.DUMMYFUNCTION("IF($B153&lt;&gt;"""",IFERROR(FILTER(RawTotals!$AJ:$AJ,RawTotals!$A:$A=Z153)-(FILTER(Data!$K:$K,Data!$B:$B=Z153,Data!$D:$D=$B153)+FILTER(Data!$L:$L,Data!$B:$B=Z153,Data!$D:$D=$B153)),""""),"""")"),"")</f>
        <v/>
      </c>
      <c r="BK153" s="68" t="str">
        <f>IFERROR(__xludf.DUMMYFUNCTION("IF($B153&lt;&gt;"""",IFERROR(FILTER(RawTotals!$AJ:$AJ,RawTotals!$A:$A=AA153)-(FILTER(Data!$K:$K,Data!$B:$B=AA153,Data!$D:$D=$B153)+FILTER(Data!$L:$L,Data!$B:$B=AA153,Data!$D:$D=$B153)),""""),"""")"),"")</f>
        <v/>
      </c>
      <c r="BL153" s="68" t="str">
        <f>IFERROR(__xludf.DUMMYFUNCTION("IF($B153&lt;&gt;"""",IFERROR(FILTER(RawTotals!$AJ:$AJ,RawTotals!$A:$A=AB153)-(FILTER(Data!$K:$K,Data!$B:$B=AB153,Data!$D:$D=$B153)+FILTER(Data!$L:$L,Data!$B:$B=AB153,Data!$D:$D=$B153)),""""),"""")"),"")</f>
        <v/>
      </c>
      <c r="BM153" s="69" t="str">
        <f>IFERROR(__xludf.DUMMYFUNCTION("IF($C153&lt;&gt;"""",IFERROR(FILTER(RawTotals!$AJ:$AJ,RawTotals!$A:$A=AC153)-(FILTER(Data!$K:$K,Data!$B:$B=AC153,Data!$D:$D=$C153)+FILTER(Data!$L:$L,Data!$B:$B=AC153,Data!$D:$D=$C153)),""""),"""")"),"")</f>
        <v/>
      </c>
      <c r="BN153" s="69" t="str">
        <f>IFERROR(__xludf.DUMMYFUNCTION("IF($C153&lt;&gt;"""",IFERROR(FILTER(RawTotals!$AJ:$AJ,RawTotals!$A:$A=AD153)-(FILTER(Data!$K:$K,Data!$B:$B=AD153,Data!$D:$D=$C153)+FILTER(Data!$L:$L,Data!$B:$B=AD153,Data!$D:$D=$C153)),""""),"""")"),"")</f>
        <v/>
      </c>
      <c r="BO153" s="69" t="str">
        <f>IFERROR(__xludf.DUMMYFUNCTION("IF($C153&lt;&gt;"""",IFERROR(FILTER(RawTotals!$AJ:$AJ,RawTotals!$A:$A=AE153)-(FILTER(Data!$K:$K,Data!$B:$B=AE153,Data!$D:$D=$C153)+FILTER(Data!$L:$L,Data!$B:$B=AE153,Data!$D:$D=$C153)),""""),"""")"),"")</f>
        <v/>
      </c>
      <c r="BP153" s="69" t="str">
        <f>IFERROR(__xludf.DUMMYFUNCTION("IF($D153&lt;&gt;"""",IFERROR(FILTER(RawTotals!$AJ:$AJ,RawTotals!$A:$A=AF153)-(FILTER(Data!$K:$K,Data!$B:$B=AF153,Data!$D:$D=$D153)+FILTER(Data!$L:$L,Data!$B:$B=AF153,Data!$D:$D=$D153)),""""),"""")"),"")</f>
        <v/>
      </c>
      <c r="BQ153" s="69" t="str">
        <f>IFERROR(__xludf.DUMMYFUNCTION("IF($D153&lt;&gt;"""",IFERROR(FILTER(RawTotals!$AJ:$AJ,RawTotals!$A:$A=AG153)-(FILTER(Data!$K:$K,Data!$B:$B=AG153,Data!$D:$D=$D153)+FILTER(Data!$L:$L,Data!$B:$B=AG153,Data!$D:$D=$D153)),""""),"""")"),"")</f>
        <v/>
      </c>
      <c r="BR153" s="69" t="str">
        <f>IFERROR(__xludf.DUMMYFUNCTION("IF($D153&lt;&gt;"""",IFERROR(FILTER(RawTotals!$AJ:$AJ,RawTotals!$A:$A=AH153)-(FILTER(Data!$K:$K,Data!$B:$B=AH153,Data!$D:$D=$D153)+FILTER(Data!$L:$L,Data!$B:$B=AH153,Data!$D:$D=$D153)),""""),"""")"),"")</f>
        <v/>
      </c>
      <c r="BS153" s="69" t="str">
        <f>IFERROR(__xludf.DUMMYFUNCTION("IF($E153&lt;&gt;"""",IFERROR(FILTER(RawTotals!$AJ:$AJ,RawTotals!$A:$A=AI153)-(FILTER(Data!$K:$K,Data!$B:$B=AI153,Data!$D:$D=$E153)+FILTER(Data!$L:$L,Data!$B:$B=AI153,Data!$D:$D=$E153)),""""),"""")"),"")</f>
        <v/>
      </c>
      <c r="BT153" s="69" t="str">
        <f>IFERROR(__xludf.DUMMYFUNCTION("IF($E153&lt;&gt;"""",IFERROR(FILTER(RawTotals!$AJ:$AJ,RawTotals!$A:$A=AJ153)-(FILTER(Data!$K:$K,Data!$B:$B=AJ153,Data!$D:$D=$E153)+FILTER(Data!$L:$L,Data!$B:$B=AJ153,Data!$D:$D=$E153)),""""),"""")"),"")</f>
        <v/>
      </c>
      <c r="BU153" s="69" t="str">
        <f>IFERROR(__xludf.DUMMYFUNCTION("IF($E153&lt;&gt;"""",IFERROR(FILTER(RawTotals!$AJ:$AJ,RawTotals!$A:$A=AK153)-(FILTER(Data!$K:$K,Data!$B:$B=AK153,Data!$D:$D=$E153)+FILTER(Data!$L:$L,Data!$B:$B=AK153,Data!$D:$D=$E153)),""""),"""")"),"")</f>
        <v/>
      </c>
      <c r="BV153" s="69" t="str">
        <f>IFERROR(__xludf.DUMMYFUNCTION("IF($F153&lt;&gt;"""",IFERROR(FILTER(RawTotals!$AJ:$AJ,RawTotals!$A:$A=AL153)-(FILTER(Data!$K:$K,Data!$B:$B=AL153,Data!$D:$D=$F153)+FILTER(Data!$L:$L,Data!$B:$B=AL153,Data!$D:$D=$F153)),""""),"""")"),"")</f>
        <v/>
      </c>
      <c r="BW153" s="69" t="str">
        <f>IFERROR(__xludf.DUMMYFUNCTION("IF($F153&lt;&gt;"""",IFERROR(FILTER(RawTotals!$AJ:$AJ,RawTotals!$A:$A=AM153)-(FILTER(Data!$K:$K,Data!$B:$B=AM153,Data!$D:$D=$F153)+FILTER(Data!$L:$L,Data!$B:$B=AM153,Data!$D:$D=$F153)),""""),"""")"),"")</f>
        <v/>
      </c>
      <c r="BX153" s="69" t="str">
        <f>IFERROR(__xludf.DUMMYFUNCTION("IF($F153&lt;&gt;"""",IFERROR(FILTER(RawTotals!$AJ:$AJ,RawTotals!$A:$A=AN153)-(FILTER(Data!$K:$K,Data!$B:$B=AN153,Data!$D:$D=$F153)+FILTER(Data!$L:$L,Data!$B:$B=AN153,Data!$D:$D=$F153)),""""),"""")"),"")</f>
        <v/>
      </c>
      <c r="BY153" s="69" t="str">
        <f>IFERROR(__xludf.DUMMYFUNCTION("IF($G153&lt;&gt;"""",IFERROR(FILTER(RawTotals!$AJ:$AJ,RawTotals!$A:$A=AO153)-(FILTER(Data!$K:$K,Data!$B:$B=AO153,Data!$D:$D=$G153)+FILTER(Data!$L:$L,Data!$B:$B=AO153,Data!$D:$D=$G153)),""""),"""")"),"")</f>
        <v/>
      </c>
      <c r="BZ153" s="69" t="str">
        <f>IFERROR(__xludf.DUMMYFUNCTION("IF($G153&lt;&gt;"""",IFERROR(FILTER(RawTotals!$AJ:$AJ,RawTotals!$A:$A=AP153)-(FILTER(Data!$K:$K,Data!$B:$B=AP153,Data!$D:$D=$G153)+FILTER(Data!$L:$L,Data!$B:$B=AP153,Data!$D:$D=$G153)),""""),"""")"),"")</f>
        <v/>
      </c>
      <c r="CA153" s="69" t="str">
        <f>IFERROR(__xludf.DUMMYFUNCTION("IF($G153&lt;&gt;"""",IFERROR(FILTER(RawTotals!$AJ:$AJ,RawTotals!$A:$A=AQ153)-(FILTER(Data!$K:$K,Data!$B:$B=AQ153,Data!$D:$D=$G153)+FILTER(Data!$L:$L,Data!$B:$B=AQ153,Data!$D:$D=$G153)),""""),"""")"),"")</f>
        <v/>
      </c>
      <c r="CB153" s="69" t="str">
        <f>IFERROR(__xludf.DUMMYFUNCTION("IF($H153&lt;&gt;"""",IFERROR(FILTER(RawTotals!$AJ:$AJ,RawTotals!$A:$A=AR153)-(FILTER(Data!$K:$K,Data!$B:$B=AR153,Data!$D:$D=$H153)+FILTER(Data!$L:$L,Data!$B:$B=AR153,Data!$D:$D=$H153)),""""),"""")"),"")</f>
        <v/>
      </c>
      <c r="CC153" s="69" t="str">
        <f>IFERROR(__xludf.DUMMYFUNCTION("IF($H153&lt;&gt;"""",IFERROR(FILTER(RawTotals!$AJ:$AJ,RawTotals!$A:$A=AS153)-(FILTER(Data!$K:$K,Data!$B:$B=AS153,Data!$D:$D=$H153)+FILTER(Data!$L:$L,Data!$B:$B=AS153,Data!$D:$D=$H153)),""""),"""")"),"")</f>
        <v/>
      </c>
      <c r="CD153" s="69" t="str">
        <f>IFERROR(__xludf.DUMMYFUNCTION("IF($H153&lt;&gt;"""",IFERROR(FILTER(RawTotals!$AJ:$AJ,RawTotals!$A:$A=AT153)-(FILTER(Data!$K:$K,Data!$B:$B=AT153,Data!$D:$D=$H153)+FILTER(Data!$L:$L,Data!$B:$B=AT153,Data!$D:$D=$H153)),""""),"""")"),"")</f>
        <v/>
      </c>
      <c r="CE153" s="69" t="str">
        <f>IFERROR(__xludf.DUMMYFUNCTION("IF($I153&lt;&gt;"""",IFERROR(FILTER(RawTotals!$AJ:$AJ,RawTotals!$A:$A=AU153)-(FILTER(Data!$K:$K,Data!$B:$B=AU153,Data!$D:$D=$I153)+FILTER(Data!$L:$L,Data!$B:$B=AU153,Data!$D:$D=$I153)),""""),"""")"),"")</f>
        <v/>
      </c>
      <c r="CF153" s="69" t="str">
        <f>IFERROR(__xludf.DUMMYFUNCTION("IF($I153&lt;&gt;"""",IFERROR(FILTER(RawTotals!$AJ:$AJ,RawTotals!$A:$A=AV153)-(FILTER(Data!$K:$K,Data!$B:$B=AV153,Data!$D:$D=$I153)+FILTER(Data!$L:$L,Data!$B:$B=AV153,Data!$D:$D=$I153)),""""),"""")"),"")</f>
        <v/>
      </c>
      <c r="CG153" s="69" t="str">
        <f>IFERROR(__xludf.DUMMYFUNCTION("IF($I153&lt;&gt;"""",IFERROR(FILTER(RawTotals!$AJ:$AJ,RawTotals!$A:$A=AW153)-(FILTER(Data!$K:$K,Data!$B:$B=AW153,Data!$D:$D=$I153)+FILTER(Data!$L:$L,Data!$B:$B=AW153,Data!$D:$D=$I153)),""""),"""")"),"")</f>
        <v/>
      </c>
      <c r="CH153" s="69" t="str">
        <f>IFERROR(__xludf.DUMMYFUNCTION("IF($J153&lt;&gt;"""",IFERROR(FILTER(RawTotals!$AJ:$AJ,RawTotals!$A:$A=AX153)-(FILTER(Data!$K:$K,Data!$B:$B=AX153,Data!$D:$D=$J153)+FILTER(Data!$L:$L,Data!$B:$B=AX153,Data!$D:$D=$J153)),""""),"""")"),"")</f>
        <v/>
      </c>
      <c r="CI153" s="69" t="str">
        <f>IFERROR(__xludf.DUMMYFUNCTION("IF($J153&lt;&gt;"""",IFERROR(FILTER(RawTotals!$AJ:$AJ,RawTotals!$A:$A=AY153)-(FILTER(Data!$K:$K,Data!$B:$B=AY153,Data!$D:$D=$J153)+FILTER(Data!$L:$L,Data!$B:$B=AY153,Data!$D:$D=$J153)),""""),"""")"),"")</f>
        <v/>
      </c>
      <c r="CJ153" s="69" t="str">
        <f>IFERROR(__xludf.DUMMYFUNCTION("IF($J153&lt;&gt;"""",IFERROR(FILTER(RawTotals!$AJ:$AJ,RawTotals!$A:$A=AZ153)-(FILTER(Data!$K:$K,Data!$B:$B=AZ153,Data!$D:$D=$J153)+FILTER(Data!$L:$L,Data!$B:$B=AZ153,Data!$D:$D=$J153)),""""),"""")"),"")</f>
        <v/>
      </c>
      <c r="CK153" s="69" t="str">
        <f>IFERROR(__xludf.DUMMYFUNCTION("IF($K153&lt;&gt;"""",IFERROR(FILTER(RawTotals!$AJ:$AJ,RawTotals!$A:$A=BA153)-(FILTER(Data!$K:$K,Data!$B:$B=BA153,Data!$D:$D=$K153)+FILTER(Data!$L:$L,Data!$B:$B=BA153,Data!$D:$D=$K153)),""""),"""")"),"")</f>
        <v/>
      </c>
      <c r="CL153" s="69" t="str">
        <f>IFERROR(__xludf.DUMMYFUNCTION("IF($K153&lt;&gt;"""",IFERROR(FILTER(RawTotals!$AJ:$AJ,RawTotals!$A:$A=BB153)-(FILTER(Data!$K:$K,Data!$B:$B=BB153,Data!$D:$D=$K153)+FILTER(Data!$L:$L,Data!$B:$B=BB153,Data!$D:$D=$K153)),""""),"""")"),"")</f>
        <v/>
      </c>
      <c r="CM153" s="69" t="str">
        <f>IFERROR(__xludf.DUMMYFUNCTION("IF($K153&lt;&gt;"""",IFERROR(FILTER(RawTotals!$AJ:$AJ,RawTotals!$A:$A=BC153)-(FILTER(Data!$K:$K,Data!$B:$B=BC153,Data!$D:$D=$K153)+FILTER(Data!$L:$L,Data!$B:$B=BC153,Data!$D:$D=$K153)),""""),"""")"),"")</f>
        <v/>
      </c>
      <c r="CN153" s="69" t="str">
        <f>IFERROR(__xludf.DUMMYFUNCTION("IF($L153&lt;&gt;"""",IFERROR((FILTER(RawTotals!$AJ:$AJ,RawTotals!$A:$A=BD153)-(FILTER(Data!$K:$K,Data!$B:$B=BD153,Data!$D:$D=$L153)+FILTER(Data!$L:$L,Data!$B:$B=BD153,Data!$D:$D=$L153))),""""),"""")"),"")</f>
        <v/>
      </c>
      <c r="CO153" s="69" t="str">
        <f>IFERROR(__xludf.DUMMYFUNCTION("IF($L153&lt;&gt;"""",IFERROR((FILTER(RawTotals!$AJ:$AJ,RawTotals!$A:$A=BE153)-(FILTER(Data!$K:$K,Data!$B:$B=BE153,Data!$D:$D=$L153)+FILTER(Data!$L:$L,Data!$B:$B=BE153,Data!$D:$D=$L153))),""""),"""")"),"")</f>
        <v/>
      </c>
      <c r="CP153" s="69" t="str">
        <f>IFERROR(__xludf.DUMMYFUNCTION("IF($L153&lt;&gt;"""",IFERROR((FILTER(RawTotals!$AJ:$AJ,RawTotals!$A:$A=BF153)-(FILTER(Data!$K:$K,Data!$B:$B=BF153,Data!$D:$D=$L153)+FILTER(Data!$L:$L,Data!$B:$B=BF153,Data!$D:$D=$L153))),""""),"""")"),"")</f>
        <v/>
      </c>
      <c r="CQ153" s="69" t="str">
        <f>IFERROR(__xludf.DUMMYFUNCTION("IF($M153&lt;&gt;"""",IFERROR((FILTER(RawTotals!$AJ:$AJ,RawTotals!$A:$A=BG153)-(FILTER(Data!$K:$K,Data!$B:$B=BG153,Data!$D:$D=$M153)+FILTER(Data!$L:$L,Data!$B:$B=BG153,Data!$D:$D=$M153))),""""),"""")"),"")</f>
        <v/>
      </c>
      <c r="CR153" s="69" t="str">
        <f>IFERROR(__xludf.DUMMYFUNCTION("IF($M153&lt;&gt;"""",IFERROR((FILTER(RawTotals!$AJ:$AJ,RawTotals!$A:$A=BH153)-(FILTER(Data!$K:$K,Data!$B:$B=BH153,Data!$D:$D=$M153)+FILTER(Data!$L:$L,Data!$B:$B=BH153,Data!$D:$D=$M153))),""""),"""")"),"")</f>
        <v/>
      </c>
      <c r="CS153" s="70" t="str">
        <f>IFERROR(__xludf.DUMMYFUNCTION("IF($M153&lt;&gt;"""",IFERROR((FILTER(RawTotals!$AJ:$AJ,RawTotals!$A:$A=BI153)-(FILTER(Data!$K:$K,Data!$B:$B=BI153,Data!$D:$D=$M153)+FILTER(Data!$L:$L,Data!$B:$B=BI153,Data!$D:$D=$M153))),""""),"""")"),"")</f>
        <v/>
      </c>
      <c r="CT153" s="16"/>
      <c r="CU153" s="16"/>
      <c r="CV153" s="16"/>
      <c r="CW153" s="16"/>
      <c r="CX153" s="16"/>
      <c r="CY153" s="16"/>
      <c r="CZ153" s="16"/>
      <c r="DA153" s="16"/>
      <c r="DB153" s="16"/>
      <c r="DC153" s="16"/>
      <c r="DD153" s="16"/>
      <c r="DE153" s="16"/>
    </row>
    <row r="154">
      <c r="A154" s="15"/>
      <c r="B154" s="16"/>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6"/>
      <c r="AD154" s="15"/>
      <c r="AE154" s="15"/>
      <c r="AF154" s="16"/>
      <c r="AG154" s="15"/>
      <c r="AH154" s="15"/>
      <c r="AI154" s="16"/>
      <c r="AJ154" s="15"/>
      <c r="AK154" s="15"/>
      <c r="AL154" s="16"/>
      <c r="AM154" s="15"/>
      <c r="AN154" s="15"/>
      <c r="AO154" s="16"/>
      <c r="AP154" s="15"/>
      <c r="AQ154" s="15"/>
      <c r="AR154" s="16"/>
      <c r="AS154" s="15"/>
      <c r="AT154" s="15"/>
      <c r="AU154" s="16"/>
      <c r="AV154" s="15"/>
      <c r="AW154" s="15"/>
      <c r="AX154" s="16"/>
      <c r="AY154" s="15"/>
      <c r="AZ154" s="15"/>
      <c r="BA154" s="16"/>
      <c r="BB154" s="16"/>
      <c r="BC154" s="16"/>
      <c r="BD154" s="16"/>
      <c r="BE154" s="16"/>
      <c r="BF154" s="16"/>
      <c r="BG154" s="16"/>
      <c r="BH154" s="16"/>
      <c r="BI154" s="16"/>
      <c r="BJ154" s="68" t="str">
        <f>IFERROR(__xludf.DUMMYFUNCTION("IF($B154&lt;&gt;"""",IFERROR(FILTER(RawTotals!$AJ:$AJ,RawTotals!$A:$A=Z154)-(FILTER(Data!$K:$K,Data!$B:$B=Z154,Data!$D:$D=$B154)+FILTER(Data!$L:$L,Data!$B:$B=Z154,Data!$D:$D=$B154)),""""),"""")"),"")</f>
        <v/>
      </c>
      <c r="BK154" s="68" t="str">
        <f>IFERROR(__xludf.DUMMYFUNCTION("IF($B154&lt;&gt;"""",IFERROR(FILTER(RawTotals!$AJ:$AJ,RawTotals!$A:$A=AA154)-(FILTER(Data!$K:$K,Data!$B:$B=AA154,Data!$D:$D=$B154)+FILTER(Data!$L:$L,Data!$B:$B=AA154,Data!$D:$D=$B154)),""""),"""")"),"")</f>
        <v/>
      </c>
      <c r="BL154" s="68" t="str">
        <f>IFERROR(__xludf.DUMMYFUNCTION("IF($B154&lt;&gt;"""",IFERROR(FILTER(RawTotals!$AJ:$AJ,RawTotals!$A:$A=AB154)-(FILTER(Data!$K:$K,Data!$B:$B=AB154,Data!$D:$D=$B154)+FILTER(Data!$L:$L,Data!$B:$B=AB154,Data!$D:$D=$B154)),""""),"""")"),"")</f>
        <v/>
      </c>
      <c r="BM154" s="69" t="str">
        <f>IFERROR(__xludf.DUMMYFUNCTION("IF($C154&lt;&gt;"""",IFERROR(FILTER(RawTotals!$AJ:$AJ,RawTotals!$A:$A=AC154)-(FILTER(Data!$K:$K,Data!$B:$B=AC154,Data!$D:$D=$C154)+FILTER(Data!$L:$L,Data!$B:$B=AC154,Data!$D:$D=$C154)),""""),"""")"),"")</f>
        <v/>
      </c>
      <c r="BN154" s="69" t="str">
        <f>IFERROR(__xludf.DUMMYFUNCTION("IF($C154&lt;&gt;"""",IFERROR(FILTER(RawTotals!$AJ:$AJ,RawTotals!$A:$A=AD154)-(FILTER(Data!$K:$K,Data!$B:$B=AD154,Data!$D:$D=$C154)+FILTER(Data!$L:$L,Data!$B:$B=AD154,Data!$D:$D=$C154)),""""),"""")"),"")</f>
        <v/>
      </c>
      <c r="BO154" s="69" t="str">
        <f>IFERROR(__xludf.DUMMYFUNCTION("IF($C154&lt;&gt;"""",IFERROR(FILTER(RawTotals!$AJ:$AJ,RawTotals!$A:$A=AE154)-(FILTER(Data!$K:$K,Data!$B:$B=AE154,Data!$D:$D=$C154)+FILTER(Data!$L:$L,Data!$B:$B=AE154,Data!$D:$D=$C154)),""""),"""")"),"")</f>
        <v/>
      </c>
      <c r="BP154" s="69" t="str">
        <f>IFERROR(__xludf.DUMMYFUNCTION("IF($D154&lt;&gt;"""",IFERROR(FILTER(RawTotals!$AJ:$AJ,RawTotals!$A:$A=AF154)-(FILTER(Data!$K:$K,Data!$B:$B=AF154,Data!$D:$D=$D154)+FILTER(Data!$L:$L,Data!$B:$B=AF154,Data!$D:$D=$D154)),""""),"""")"),"")</f>
        <v/>
      </c>
      <c r="BQ154" s="69" t="str">
        <f>IFERROR(__xludf.DUMMYFUNCTION("IF($D154&lt;&gt;"""",IFERROR(FILTER(RawTotals!$AJ:$AJ,RawTotals!$A:$A=AG154)-(FILTER(Data!$K:$K,Data!$B:$B=AG154,Data!$D:$D=$D154)+FILTER(Data!$L:$L,Data!$B:$B=AG154,Data!$D:$D=$D154)),""""),"""")"),"")</f>
        <v/>
      </c>
      <c r="BR154" s="69" t="str">
        <f>IFERROR(__xludf.DUMMYFUNCTION("IF($D154&lt;&gt;"""",IFERROR(FILTER(RawTotals!$AJ:$AJ,RawTotals!$A:$A=AH154)-(FILTER(Data!$K:$K,Data!$B:$B=AH154,Data!$D:$D=$D154)+FILTER(Data!$L:$L,Data!$B:$B=AH154,Data!$D:$D=$D154)),""""),"""")"),"")</f>
        <v/>
      </c>
      <c r="BS154" s="69" t="str">
        <f>IFERROR(__xludf.DUMMYFUNCTION("IF($E154&lt;&gt;"""",IFERROR(FILTER(RawTotals!$AJ:$AJ,RawTotals!$A:$A=AI154)-(FILTER(Data!$K:$K,Data!$B:$B=AI154,Data!$D:$D=$E154)+FILTER(Data!$L:$L,Data!$B:$B=AI154,Data!$D:$D=$E154)),""""),"""")"),"")</f>
        <v/>
      </c>
      <c r="BT154" s="69" t="str">
        <f>IFERROR(__xludf.DUMMYFUNCTION("IF($E154&lt;&gt;"""",IFERROR(FILTER(RawTotals!$AJ:$AJ,RawTotals!$A:$A=AJ154)-(FILTER(Data!$K:$K,Data!$B:$B=AJ154,Data!$D:$D=$E154)+FILTER(Data!$L:$L,Data!$B:$B=AJ154,Data!$D:$D=$E154)),""""),"""")"),"")</f>
        <v/>
      </c>
      <c r="BU154" s="69" t="str">
        <f>IFERROR(__xludf.DUMMYFUNCTION("IF($E154&lt;&gt;"""",IFERROR(FILTER(RawTotals!$AJ:$AJ,RawTotals!$A:$A=AK154)-(FILTER(Data!$K:$K,Data!$B:$B=AK154,Data!$D:$D=$E154)+FILTER(Data!$L:$L,Data!$B:$B=AK154,Data!$D:$D=$E154)),""""),"""")"),"")</f>
        <v/>
      </c>
      <c r="BV154" s="69" t="str">
        <f>IFERROR(__xludf.DUMMYFUNCTION("IF($F154&lt;&gt;"""",IFERROR(FILTER(RawTotals!$AJ:$AJ,RawTotals!$A:$A=AL154)-(FILTER(Data!$K:$K,Data!$B:$B=AL154,Data!$D:$D=$F154)+FILTER(Data!$L:$L,Data!$B:$B=AL154,Data!$D:$D=$F154)),""""),"""")"),"")</f>
        <v/>
      </c>
      <c r="BW154" s="69" t="str">
        <f>IFERROR(__xludf.DUMMYFUNCTION("IF($F154&lt;&gt;"""",IFERROR(FILTER(RawTotals!$AJ:$AJ,RawTotals!$A:$A=AM154)-(FILTER(Data!$K:$K,Data!$B:$B=AM154,Data!$D:$D=$F154)+FILTER(Data!$L:$L,Data!$B:$B=AM154,Data!$D:$D=$F154)),""""),"""")"),"")</f>
        <v/>
      </c>
      <c r="BX154" s="69" t="str">
        <f>IFERROR(__xludf.DUMMYFUNCTION("IF($F154&lt;&gt;"""",IFERROR(FILTER(RawTotals!$AJ:$AJ,RawTotals!$A:$A=AN154)-(FILTER(Data!$K:$K,Data!$B:$B=AN154,Data!$D:$D=$F154)+FILTER(Data!$L:$L,Data!$B:$B=AN154,Data!$D:$D=$F154)),""""),"""")"),"")</f>
        <v/>
      </c>
      <c r="BY154" s="69" t="str">
        <f>IFERROR(__xludf.DUMMYFUNCTION("IF($G154&lt;&gt;"""",IFERROR(FILTER(RawTotals!$AJ:$AJ,RawTotals!$A:$A=AO154)-(FILTER(Data!$K:$K,Data!$B:$B=AO154,Data!$D:$D=$G154)+FILTER(Data!$L:$L,Data!$B:$B=AO154,Data!$D:$D=$G154)),""""),"""")"),"")</f>
        <v/>
      </c>
      <c r="BZ154" s="69" t="str">
        <f>IFERROR(__xludf.DUMMYFUNCTION("IF($G154&lt;&gt;"""",IFERROR(FILTER(RawTotals!$AJ:$AJ,RawTotals!$A:$A=AP154)-(FILTER(Data!$K:$K,Data!$B:$B=AP154,Data!$D:$D=$G154)+FILTER(Data!$L:$L,Data!$B:$B=AP154,Data!$D:$D=$G154)),""""),"""")"),"")</f>
        <v/>
      </c>
      <c r="CA154" s="69" t="str">
        <f>IFERROR(__xludf.DUMMYFUNCTION("IF($G154&lt;&gt;"""",IFERROR(FILTER(RawTotals!$AJ:$AJ,RawTotals!$A:$A=AQ154)-(FILTER(Data!$K:$K,Data!$B:$B=AQ154,Data!$D:$D=$G154)+FILTER(Data!$L:$L,Data!$B:$B=AQ154,Data!$D:$D=$G154)),""""),"""")"),"")</f>
        <v/>
      </c>
      <c r="CB154" s="69" t="str">
        <f>IFERROR(__xludf.DUMMYFUNCTION("IF($H154&lt;&gt;"""",IFERROR(FILTER(RawTotals!$AJ:$AJ,RawTotals!$A:$A=AR154)-(FILTER(Data!$K:$K,Data!$B:$B=AR154,Data!$D:$D=$H154)+FILTER(Data!$L:$L,Data!$B:$B=AR154,Data!$D:$D=$H154)),""""),"""")"),"")</f>
        <v/>
      </c>
      <c r="CC154" s="69" t="str">
        <f>IFERROR(__xludf.DUMMYFUNCTION("IF($H154&lt;&gt;"""",IFERROR(FILTER(RawTotals!$AJ:$AJ,RawTotals!$A:$A=AS154)-(FILTER(Data!$K:$K,Data!$B:$B=AS154,Data!$D:$D=$H154)+FILTER(Data!$L:$L,Data!$B:$B=AS154,Data!$D:$D=$H154)),""""),"""")"),"")</f>
        <v/>
      </c>
      <c r="CD154" s="69" t="str">
        <f>IFERROR(__xludf.DUMMYFUNCTION("IF($H154&lt;&gt;"""",IFERROR(FILTER(RawTotals!$AJ:$AJ,RawTotals!$A:$A=AT154)-(FILTER(Data!$K:$K,Data!$B:$B=AT154,Data!$D:$D=$H154)+FILTER(Data!$L:$L,Data!$B:$B=AT154,Data!$D:$D=$H154)),""""),"""")"),"")</f>
        <v/>
      </c>
      <c r="CE154" s="69" t="str">
        <f>IFERROR(__xludf.DUMMYFUNCTION("IF($I154&lt;&gt;"""",IFERROR(FILTER(RawTotals!$AJ:$AJ,RawTotals!$A:$A=AU154)-(FILTER(Data!$K:$K,Data!$B:$B=AU154,Data!$D:$D=$I154)+FILTER(Data!$L:$L,Data!$B:$B=AU154,Data!$D:$D=$I154)),""""),"""")"),"")</f>
        <v/>
      </c>
      <c r="CF154" s="69" t="str">
        <f>IFERROR(__xludf.DUMMYFUNCTION("IF($I154&lt;&gt;"""",IFERROR(FILTER(RawTotals!$AJ:$AJ,RawTotals!$A:$A=AV154)-(FILTER(Data!$K:$K,Data!$B:$B=AV154,Data!$D:$D=$I154)+FILTER(Data!$L:$L,Data!$B:$B=AV154,Data!$D:$D=$I154)),""""),"""")"),"")</f>
        <v/>
      </c>
      <c r="CG154" s="69" t="str">
        <f>IFERROR(__xludf.DUMMYFUNCTION("IF($I154&lt;&gt;"""",IFERROR(FILTER(RawTotals!$AJ:$AJ,RawTotals!$A:$A=AW154)-(FILTER(Data!$K:$K,Data!$B:$B=AW154,Data!$D:$D=$I154)+FILTER(Data!$L:$L,Data!$B:$B=AW154,Data!$D:$D=$I154)),""""),"""")"),"")</f>
        <v/>
      </c>
      <c r="CH154" s="69" t="str">
        <f>IFERROR(__xludf.DUMMYFUNCTION("IF($J154&lt;&gt;"""",IFERROR(FILTER(RawTotals!$AJ:$AJ,RawTotals!$A:$A=AX154)-(FILTER(Data!$K:$K,Data!$B:$B=AX154,Data!$D:$D=$J154)+FILTER(Data!$L:$L,Data!$B:$B=AX154,Data!$D:$D=$J154)),""""),"""")"),"")</f>
        <v/>
      </c>
      <c r="CI154" s="69" t="str">
        <f>IFERROR(__xludf.DUMMYFUNCTION("IF($J154&lt;&gt;"""",IFERROR(FILTER(RawTotals!$AJ:$AJ,RawTotals!$A:$A=AY154)-(FILTER(Data!$K:$K,Data!$B:$B=AY154,Data!$D:$D=$J154)+FILTER(Data!$L:$L,Data!$B:$B=AY154,Data!$D:$D=$J154)),""""),"""")"),"")</f>
        <v/>
      </c>
      <c r="CJ154" s="69" t="str">
        <f>IFERROR(__xludf.DUMMYFUNCTION("IF($J154&lt;&gt;"""",IFERROR(FILTER(RawTotals!$AJ:$AJ,RawTotals!$A:$A=AZ154)-(FILTER(Data!$K:$K,Data!$B:$B=AZ154,Data!$D:$D=$J154)+FILTER(Data!$L:$L,Data!$B:$B=AZ154,Data!$D:$D=$J154)),""""),"""")"),"")</f>
        <v/>
      </c>
      <c r="CK154" s="69" t="str">
        <f>IFERROR(__xludf.DUMMYFUNCTION("IF($K154&lt;&gt;"""",IFERROR(FILTER(RawTotals!$AJ:$AJ,RawTotals!$A:$A=BA154)-(FILTER(Data!$K:$K,Data!$B:$B=BA154,Data!$D:$D=$K154)+FILTER(Data!$L:$L,Data!$B:$B=BA154,Data!$D:$D=$K154)),""""),"""")"),"")</f>
        <v/>
      </c>
      <c r="CL154" s="69" t="str">
        <f>IFERROR(__xludf.DUMMYFUNCTION("IF($K154&lt;&gt;"""",IFERROR(FILTER(RawTotals!$AJ:$AJ,RawTotals!$A:$A=BB154)-(FILTER(Data!$K:$K,Data!$B:$B=BB154,Data!$D:$D=$K154)+FILTER(Data!$L:$L,Data!$B:$B=BB154,Data!$D:$D=$K154)),""""),"""")"),"")</f>
        <v/>
      </c>
      <c r="CM154" s="69" t="str">
        <f>IFERROR(__xludf.DUMMYFUNCTION("IF($K154&lt;&gt;"""",IFERROR(FILTER(RawTotals!$AJ:$AJ,RawTotals!$A:$A=BC154)-(FILTER(Data!$K:$K,Data!$B:$B=BC154,Data!$D:$D=$K154)+FILTER(Data!$L:$L,Data!$B:$B=BC154,Data!$D:$D=$K154)),""""),"""")"),"")</f>
        <v/>
      </c>
      <c r="CN154" s="69" t="str">
        <f>IFERROR(__xludf.DUMMYFUNCTION("IF($L154&lt;&gt;"""",IFERROR((FILTER(RawTotals!$AJ:$AJ,RawTotals!$A:$A=BD154)-(FILTER(Data!$K:$K,Data!$B:$B=BD154,Data!$D:$D=$L154)+FILTER(Data!$L:$L,Data!$B:$B=BD154,Data!$D:$D=$L154))),""""),"""")"),"")</f>
        <v/>
      </c>
      <c r="CO154" s="69" t="str">
        <f>IFERROR(__xludf.DUMMYFUNCTION("IF($L154&lt;&gt;"""",IFERROR((FILTER(RawTotals!$AJ:$AJ,RawTotals!$A:$A=BE154)-(FILTER(Data!$K:$K,Data!$B:$B=BE154,Data!$D:$D=$L154)+FILTER(Data!$L:$L,Data!$B:$B=BE154,Data!$D:$D=$L154))),""""),"""")"),"")</f>
        <v/>
      </c>
      <c r="CP154" s="69" t="str">
        <f>IFERROR(__xludf.DUMMYFUNCTION("IF($L154&lt;&gt;"""",IFERROR((FILTER(RawTotals!$AJ:$AJ,RawTotals!$A:$A=BF154)-(FILTER(Data!$K:$K,Data!$B:$B=BF154,Data!$D:$D=$L154)+FILTER(Data!$L:$L,Data!$B:$B=BF154,Data!$D:$D=$L154))),""""),"""")"),"")</f>
        <v/>
      </c>
      <c r="CQ154" s="69" t="str">
        <f>IFERROR(__xludf.DUMMYFUNCTION("IF($M154&lt;&gt;"""",IFERROR((FILTER(RawTotals!$AJ:$AJ,RawTotals!$A:$A=BG154)-(FILTER(Data!$K:$K,Data!$B:$B=BG154,Data!$D:$D=$M154)+FILTER(Data!$L:$L,Data!$B:$B=BG154,Data!$D:$D=$M154))),""""),"""")"),"")</f>
        <v/>
      </c>
      <c r="CR154" s="69" t="str">
        <f>IFERROR(__xludf.DUMMYFUNCTION("IF($M154&lt;&gt;"""",IFERROR((FILTER(RawTotals!$AJ:$AJ,RawTotals!$A:$A=BH154)-(FILTER(Data!$K:$K,Data!$B:$B=BH154,Data!$D:$D=$M154)+FILTER(Data!$L:$L,Data!$B:$B=BH154,Data!$D:$D=$M154))),""""),"""")"),"")</f>
        <v/>
      </c>
      <c r="CS154" s="70" t="str">
        <f>IFERROR(__xludf.DUMMYFUNCTION("IF($M154&lt;&gt;"""",IFERROR((FILTER(RawTotals!$AJ:$AJ,RawTotals!$A:$A=BI154)-(FILTER(Data!$K:$K,Data!$B:$B=BI154,Data!$D:$D=$M154)+FILTER(Data!$L:$L,Data!$B:$B=BI154,Data!$D:$D=$M154))),""""),"""")"),"")</f>
        <v/>
      </c>
      <c r="CT154" s="16"/>
      <c r="CU154" s="16"/>
      <c r="CV154" s="16"/>
      <c r="CW154" s="16"/>
      <c r="CX154" s="16"/>
      <c r="CY154" s="16"/>
      <c r="CZ154" s="16"/>
      <c r="DA154" s="16"/>
      <c r="DB154" s="16"/>
      <c r="DC154" s="16"/>
      <c r="DD154" s="16"/>
      <c r="DE154" s="16"/>
    </row>
    <row r="155">
      <c r="A155" s="15"/>
      <c r="B155" s="16"/>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6"/>
      <c r="AD155" s="15"/>
      <c r="AE155" s="15"/>
      <c r="AF155" s="16"/>
      <c r="AG155" s="15"/>
      <c r="AH155" s="15"/>
      <c r="AI155" s="16"/>
      <c r="AJ155" s="15"/>
      <c r="AK155" s="15"/>
      <c r="AL155" s="16"/>
      <c r="AM155" s="15"/>
      <c r="AN155" s="15"/>
      <c r="AO155" s="16"/>
      <c r="AP155" s="15"/>
      <c r="AQ155" s="15"/>
      <c r="AR155" s="16"/>
      <c r="AS155" s="15"/>
      <c r="AT155" s="15"/>
      <c r="AU155" s="16"/>
      <c r="AV155" s="15"/>
      <c r="AW155" s="15"/>
      <c r="AX155" s="16"/>
      <c r="AY155" s="15"/>
      <c r="AZ155" s="15"/>
      <c r="BA155" s="16"/>
      <c r="BB155" s="16"/>
      <c r="BC155" s="16"/>
      <c r="BD155" s="16"/>
      <c r="BE155" s="16"/>
      <c r="BF155" s="16"/>
      <c r="BG155" s="16"/>
      <c r="BH155" s="16"/>
      <c r="BI155" s="16"/>
      <c r="BJ155" s="68" t="str">
        <f>IFERROR(__xludf.DUMMYFUNCTION("IF($B155&lt;&gt;"""",IFERROR(FILTER(RawTotals!$AJ:$AJ,RawTotals!$A:$A=Z155)-(FILTER(Data!$K:$K,Data!$B:$B=Z155,Data!$D:$D=$B155)+FILTER(Data!$L:$L,Data!$B:$B=Z155,Data!$D:$D=$B155)),""""),"""")"),"")</f>
        <v/>
      </c>
      <c r="BK155" s="68" t="str">
        <f>IFERROR(__xludf.DUMMYFUNCTION("IF($B155&lt;&gt;"""",IFERROR(FILTER(RawTotals!$AJ:$AJ,RawTotals!$A:$A=AA155)-(FILTER(Data!$K:$K,Data!$B:$B=AA155,Data!$D:$D=$B155)+FILTER(Data!$L:$L,Data!$B:$B=AA155,Data!$D:$D=$B155)),""""),"""")"),"")</f>
        <v/>
      </c>
      <c r="BL155" s="68" t="str">
        <f>IFERROR(__xludf.DUMMYFUNCTION("IF($B155&lt;&gt;"""",IFERROR(FILTER(RawTotals!$AJ:$AJ,RawTotals!$A:$A=AB155)-(FILTER(Data!$K:$K,Data!$B:$B=AB155,Data!$D:$D=$B155)+FILTER(Data!$L:$L,Data!$B:$B=AB155,Data!$D:$D=$B155)),""""),"""")"),"")</f>
        <v/>
      </c>
      <c r="BM155" s="69" t="str">
        <f>IFERROR(__xludf.DUMMYFUNCTION("IF($C155&lt;&gt;"""",IFERROR(FILTER(RawTotals!$AJ:$AJ,RawTotals!$A:$A=AC155)-(FILTER(Data!$K:$K,Data!$B:$B=AC155,Data!$D:$D=$C155)+FILTER(Data!$L:$L,Data!$B:$B=AC155,Data!$D:$D=$C155)),""""),"""")"),"")</f>
        <v/>
      </c>
      <c r="BN155" s="69" t="str">
        <f>IFERROR(__xludf.DUMMYFUNCTION("IF($C155&lt;&gt;"""",IFERROR(FILTER(RawTotals!$AJ:$AJ,RawTotals!$A:$A=AD155)-(FILTER(Data!$K:$K,Data!$B:$B=AD155,Data!$D:$D=$C155)+FILTER(Data!$L:$L,Data!$B:$B=AD155,Data!$D:$D=$C155)),""""),"""")"),"")</f>
        <v/>
      </c>
      <c r="BO155" s="69" t="str">
        <f>IFERROR(__xludf.DUMMYFUNCTION("IF($C155&lt;&gt;"""",IFERROR(FILTER(RawTotals!$AJ:$AJ,RawTotals!$A:$A=AE155)-(FILTER(Data!$K:$K,Data!$B:$B=AE155,Data!$D:$D=$C155)+FILTER(Data!$L:$L,Data!$B:$B=AE155,Data!$D:$D=$C155)),""""),"""")"),"")</f>
        <v/>
      </c>
      <c r="BP155" s="69" t="str">
        <f>IFERROR(__xludf.DUMMYFUNCTION("IF($D155&lt;&gt;"""",IFERROR(FILTER(RawTotals!$AJ:$AJ,RawTotals!$A:$A=AF155)-(FILTER(Data!$K:$K,Data!$B:$B=AF155,Data!$D:$D=$D155)+FILTER(Data!$L:$L,Data!$B:$B=AF155,Data!$D:$D=$D155)),""""),"""")"),"")</f>
        <v/>
      </c>
      <c r="BQ155" s="69" t="str">
        <f>IFERROR(__xludf.DUMMYFUNCTION("IF($D155&lt;&gt;"""",IFERROR(FILTER(RawTotals!$AJ:$AJ,RawTotals!$A:$A=AG155)-(FILTER(Data!$K:$K,Data!$B:$B=AG155,Data!$D:$D=$D155)+FILTER(Data!$L:$L,Data!$B:$B=AG155,Data!$D:$D=$D155)),""""),"""")"),"")</f>
        <v/>
      </c>
      <c r="BR155" s="69" t="str">
        <f>IFERROR(__xludf.DUMMYFUNCTION("IF($D155&lt;&gt;"""",IFERROR(FILTER(RawTotals!$AJ:$AJ,RawTotals!$A:$A=AH155)-(FILTER(Data!$K:$K,Data!$B:$B=AH155,Data!$D:$D=$D155)+FILTER(Data!$L:$L,Data!$B:$B=AH155,Data!$D:$D=$D155)),""""),"""")"),"")</f>
        <v/>
      </c>
      <c r="BS155" s="69" t="str">
        <f>IFERROR(__xludf.DUMMYFUNCTION("IF($E155&lt;&gt;"""",IFERROR(FILTER(RawTotals!$AJ:$AJ,RawTotals!$A:$A=AI155)-(FILTER(Data!$K:$K,Data!$B:$B=AI155,Data!$D:$D=$E155)+FILTER(Data!$L:$L,Data!$B:$B=AI155,Data!$D:$D=$E155)),""""),"""")"),"")</f>
        <v/>
      </c>
      <c r="BT155" s="69" t="str">
        <f>IFERROR(__xludf.DUMMYFUNCTION("IF($E155&lt;&gt;"""",IFERROR(FILTER(RawTotals!$AJ:$AJ,RawTotals!$A:$A=AJ155)-(FILTER(Data!$K:$K,Data!$B:$B=AJ155,Data!$D:$D=$E155)+FILTER(Data!$L:$L,Data!$B:$B=AJ155,Data!$D:$D=$E155)),""""),"""")"),"")</f>
        <v/>
      </c>
      <c r="BU155" s="69" t="str">
        <f>IFERROR(__xludf.DUMMYFUNCTION("IF($E155&lt;&gt;"""",IFERROR(FILTER(RawTotals!$AJ:$AJ,RawTotals!$A:$A=AK155)-(FILTER(Data!$K:$K,Data!$B:$B=AK155,Data!$D:$D=$E155)+FILTER(Data!$L:$L,Data!$B:$B=AK155,Data!$D:$D=$E155)),""""),"""")"),"")</f>
        <v/>
      </c>
      <c r="BV155" s="69" t="str">
        <f>IFERROR(__xludf.DUMMYFUNCTION("IF($F155&lt;&gt;"""",IFERROR(FILTER(RawTotals!$AJ:$AJ,RawTotals!$A:$A=AL155)-(FILTER(Data!$K:$K,Data!$B:$B=AL155,Data!$D:$D=$F155)+FILTER(Data!$L:$L,Data!$B:$B=AL155,Data!$D:$D=$F155)),""""),"""")"),"")</f>
        <v/>
      </c>
      <c r="BW155" s="69" t="str">
        <f>IFERROR(__xludf.DUMMYFUNCTION("IF($F155&lt;&gt;"""",IFERROR(FILTER(RawTotals!$AJ:$AJ,RawTotals!$A:$A=AM155)-(FILTER(Data!$K:$K,Data!$B:$B=AM155,Data!$D:$D=$F155)+FILTER(Data!$L:$L,Data!$B:$B=AM155,Data!$D:$D=$F155)),""""),"""")"),"")</f>
        <v/>
      </c>
      <c r="BX155" s="69" t="str">
        <f>IFERROR(__xludf.DUMMYFUNCTION("IF($F155&lt;&gt;"""",IFERROR(FILTER(RawTotals!$AJ:$AJ,RawTotals!$A:$A=AN155)-(FILTER(Data!$K:$K,Data!$B:$B=AN155,Data!$D:$D=$F155)+FILTER(Data!$L:$L,Data!$B:$B=AN155,Data!$D:$D=$F155)),""""),"""")"),"")</f>
        <v/>
      </c>
      <c r="BY155" s="69" t="str">
        <f>IFERROR(__xludf.DUMMYFUNCTION("IF($G155&lt;&gt;"""",IFERROR(FILTER(RawTotals!$AJ:$AJ,RawTotals!$A:$A=AO155)-(FILTER(Data!$K:$K,Data!$B:$B=AO155,Data!$D:$D=$G155)+FILTER(Data!$L:$L,Data!$B:$B=AO155,Data!$D:$D=$G155)),""""),"""")"),"")</f>
        <v/>
      </c>
      <c r="BZ155" s="69" t="str">
        <f>IFERROR(__xludf.DUMMYFUNCTION("IF($G155&lt;&gt;"""",IFERROR(FILTER(RawTotals!$AJ:$AJ,RawTotals!$A:$A=AP155)-(FILTER(Data!$K:$K,Data!$B:$B=AP155,Data!$D:$D=$G155)+FILTER(Data!$L:$L,Data!$B:$B=AP155,Data!$D:$D=$G155)),""""),"""")"),"")</f>
        <v/>
      </c>
      <c r="CA155" s="69" t="str">
        <f>IFERROR(__xludf.DUMMYFUNCTION("IF($G155&lt;&gt;"""",IFERROR(FILTER(RawTotals!$AJ:$AJ,RawTotals!$A:$A=AQ155)-(FILTER(Data!$K:$K,Data!$B:$B=AQ155,Data!$D:$D=$G155)+FILTER(Data!$L:$L,Data!$B:$B=AQ155,Data!$D:$D=$G155)),""""),"""")"),"")</f>
        <v/>
      </c>
      <c r="CB155" s="69" t="str">
        <f>IFERROR(__xludf.DUMMYFUNCTION("IF($H155&lt;&gt;"""",IFERROR(FILTER(RawTotals!$AJ:$AJ,RawTotals!$A:$A=AR155)-(FILTER(Data!$K:$K,Data!$B:$B=AR155,Data!$D:$D=$H155)+FILTER(Data!$L:$L,Data!$B:$B=AR155,Data!$D:$D=$H155)),""""),"""")"),"")</f>
        <v/>
      </c>
      <c r="CC155" s="69" t="str">
        <f>IFERROR(__xludf.DUMMYFUNCTION("IF($H155&lt;&gt;"""",IFERROR(FILTER(RawTotals!$AJ:$AJ,RawTotals!$A:$A=AS155)-(FILTER(Data!$K:$K,Data!$B:$B=AS155,Data!$D:$D=$H155)+FILTER(Data!$L:$L,Data!$B:$B=AS155,Data!$D:$D=$H155)),""""),"""")"),"")</f>
        <v/>
      </c>
      <c r="CD155" s="69" t="str">
        <f>IFERROR(__xludf.DUMMYFUNCTION("IF($H155&lt;&gt;"""",IFERROR(FILTER(RawTotals!$AJ:$AJ,RawTotals!$A:$A=AT155)-(FILTER(Data!$K:$K,Data!$B:$B=AT155,Data!$D:$D=$H155)+FILTER(Data!$L:$L,Data!$B:$B=AT155,Data!$D:$D=$H155)),""""),"""")"),"")</f>
        <v/>
      </c>
      <c r="CE155" s="69" t="str">
        <f>IFERROR(__xludf.DUMMYFUNCTION("IF($I155&lt;&gt;"""",IFERROR(FILTER(RawTotals!$AJ:$AJ,RawTotals!$A:$A=AU155)-(FILTER(Data!$K:$K,Data!$B:$B=AU155,Data!$D:$D=$I155)+FILTER(Data!$L:$L,Data!$B:$B=AU155,Data!$D:$D=$I155)),""""),"""")"),"")</f>
        <v/>
      </c>
      <c r="CF155" s="69" t="str">
        <f>IFERROR(__xludf.DUMMYFUNCTION("IF($I155&lt;&gt;"""",IFERROR(FILTER(RawTotals!$AJ:$AJ,RawTotals!$A:$A=AV155)-(FILTER(Data!$K:$K,Data!$B:$B=AV155,Data!$D:$D=$I155)+FILTER(Data!$L:$L,Data!$B:$B=AV155,Data!$D:$D=$I155)),""""),"""")"),"")</f>
        <v/>
      </c>
      <c r="CG155" s="69" t="str">
        <f>IFERROR(__xludf.DUMMYFUNCTION("IF($I155&lt;&gt;"""",IFERROR(FILTER(RawTotals!$AJ:$AJ,RawTotals!$A:$A=AW155)-(FILTER(Data!$K:$K,Data!$B:$B=AW155,Data!$D:$D=$I155)+FILTER(Data!$L:$L,Data!$B:$B=AW155,Data!$D:$D=$I155)),""""),"""")"),"")</f>
        <v/>
      </c>
      <c r="CH155" s="69" t="str">
        <f>IFERROR(__xludf.DUMMYFUNCTION("IF($J155&lt;&gt;"""",IFERROR(FILTER(RawTotals!$AJ:$AJ,RawTotals!$A:$A=AX155)-(FILTER(Data!$K:$K,Data!$B:$B=AX155,Data!$D:$D=$J155)+FILTER(Data!$L:$L,Data!$B:$B=AX155,Data!$D:$D=$J155)),""""),"""")"),"")</f>
        <v/>
      </c>
      <c r="CI155" s="69" t="str">
        <f>IFERROR(__xludf.DUMMYFUNCTION("IF($J155&lt;&gt;"""",IFERROR(FILTER(RawTotals!$AJ:$AJ,RawTotals!$A:$A=AY155)-(FILTER(Data!$K:$K,Data!$B:$B=AY155,Data!$D:$D=$J155)+FILTER(Data!$L:$L,Data!$B:$B=AY155,Data!$D:$D=$J155)),""""),"""")"),"")</f>
        <v/>
      </c>
      <c r="CJ155" s="69" t="str">
        <f>IFERROR(__xludf.DUMMYFUNCTION("IF($J155&lt;&gt;"""",IFERROR(FILTER(RawTotals!$AJ:$AJ,RawTotals!$A:$A=AZ155)-(FILTER(Data!$K:$K,Data!$B:$B=AZ155,Data!$D:$D=$J155)+FILTER(Data!$L:$L,Data!$B:$B=AZ155,Data!$D:$D=$J155)),""""),"""")"),"")</f>
        <v/>
      </c>
      <c r="CK155" s="69" t="str">
        <f>IFERROR(__xludf.DUMMYFUNCTION("IF($K155&lt;&gt;"""",IFERROR(FILTER(RawTotals!$AJ:$AJ,RawTotals!$A:$A=BA155)-(FILTER(Data!$K:$K,Data!$B:$B=BA155,Data!$D:$D=$K155)+FILTER(Data!$L:$L,Data!$B:$B=BA155,Data!$D:$D=$K155)),""""),"""")"),"")</f>
        <v/>
      </c>
      <c r="CL155" s="69" t="str">
        <f>IFERROR(__xludf.DUMMYFUNCTION("IF($K155&lt;&gt;"""",IFERROR(FILTER(RawTotals!$AJ:$AJ,RawTotals!$A:$A=BB155)-(FILTER(Data!$K:$K,Data!$B:$B=BB155,Data!$D:$D=$K155)+FILTER(Data!$L:$L,Data!$B:$B=BB155,Data!$D:$D=$K155)),""""),"""")"),"")</f>
        <v/>
      </c>
      <c r="CM155" s="69" t="str">
        <f>IFERROR(__xludf.DUMMYFUNCTION("IF($K155&lt;&gt;"""",IFERROR(FILTER(RawTotals!$AJ:$AJ,RawTotals!$A:$A=BC155)-(FILTER(Data!$K:$K,Data!$B:$B=BC155,Data!$D:$D=$K155)+FILTER(Data!$L:$L,Data!$B:$B=BC155,Data!$D:$D=$K155)),""""),"""")"),"")</f>
        <v/>
      </c>
      <c r="CN155" s="69" t="str">
        <f>IFERROR(__xludf.DUMMYFUNCTION("IF($L155&lt;&gt;"""",IFERROR((FILTER(RawTotals!$AJ:$AJ,RawTotals!$A:$A=BD155)-(FILTER(Data!$K:$K,Data!$B:$B=BD155,Data!$D:$D=$L155)+FILTER(Data!$L:$L,Data!$B:$B=BD155,Data!$D:$D=$L155))),""""),"""")"),"")</f>
        <v/>
      </c>
      <c r="CO155" s="69" t="str">
        <f>IFERROR(__xludf.DUMMYFUNCTION("IF($L155&lt;&gt;"""",IFERROR((FILTER(RawTotals!$AJ:$AJ,RawTotals!$A:$A=BE155)-(FILTER(Data!$K:$K,Data!$B:$B=BE155,Data!$D:$D=$L155)+FILTER(Data!$L:$L,Data!$B:$B=BE155,Data!$D:$D=$L155))),""""),"""")"),"")</f>
        <v/>
      </c>
      <c r="CP155" s="69" t="str">
        <f>IFERROR(__xludf.DUMMYFUNCTION("IF($L155&lt;&gt;"""",IFERROR((FILTER(RawTotals!$AJ:$AJ,RawTotals!$A:$A=BF155)-(FILTER(Data!$K:$K,Data!$B:$B=BF155,Data!$D:$D=$L155)+FILTER(Data!$L:$L,Data!$B:$B=BF155,Data!$D:$D=$L155))),""""),"""")"),"")</f>
        <v/>
      </c>
      <c r="CQ155" s="69" t="str">
        <f>IFERROR(__xludf.DUMMYFUNCTION("IF($M155&lt;&gt;"""",IFERROR((FILTER(RawTotals!$AJ:$AJ,RawTotals!$A:$A=BG155)-(FILTER(Data!$K:$K,Data!$B:$B=BG155,Data!$D:$D=$M155)+FILTER(Data!$L:$L,Data!$B:$B=BG155,Data!$D:$D=$M155))),""""),"""")"),"")</f>
        <v/>
      </c>
      <c r="CR155" s="69" t="str">
        <f>IFERROR(__xludf.DUMMYFUNCTION("IF($M155&lt;&gt;"""",IFERROR((FILTER(RawTotals!$AJ:$AJ,RawTotals!$A:$A=BH155)-(FILTER(Data!$K:$K,Data!$B:$B=BH155,Data!$D:$D=$M155)+FILTER(Data!$L:$L,Data!$B:$B=BH155,Data!$D:$D=$M155))),""""),"""")"),"")</f>
        <v/>
      </c>
      <c r="CS155" s="70" t="str">
        <f>IFERROR(__xludf.DUMMYFUNCTION("IF($M155&lt;&gt;"""",IFERROR((FILTER(RawTotals!$AJ:$AJ,RawTotals!$A:$A=BI155)-(FILTER(Data!$K:$K,Data!$B:$B=BI155,Data!$D:$D=$M155)+FILTER(Data!$L:$L,Data!$B:$B=BI155,Data!$D:$D=$M155))),""""),"""")"),"")</f>
        <v/>
      </c>
      <c r="CT155" s="16"/>
      <c r="CU155" s="16"/>
      <c r="CV155" s="16"/>
      <c r="CW155" s="16"/>
      <c r="CX155" s="16"/>
      <c r="CY155" s="16"/>
      <c r="CZ155" s="16"/>
      <c r="DA155" s="16"/>
      <c r="DB155" s="16"/>
      <c r="DC155" s="16"/>
      <c r="DD155" s="16"/>
      <c r="DE155" s="16"/>
    </row>
    <row r="156">
      <c r="A156" s="15"/>
      <c r="B156" s="16"/>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6"/>
      <c r="AD156" s="15"/>
      <c r="AE156" s="15"/>
      <c r="AF156" s="16"/>
      <c r="AG156" s="15"/>
      <c r="AH156" s="15"/>
      <c r="AI156" s="16"/>
      <c r="AJ156" s="15"/>
      <c r="AK156" s="15"/>
      <c r="AL156" s="16"/>
      <c r="AM156" s="15"/>
      <c r="AN156" s="15"/>
      <c r="AO156" s="16"/>
      <c r="AP156" s="15"/>
      <c r="AQ156" s="15"/>
      <c r="AR156" s="16"/>
      <c r="AS156" s="15"/>
      <c r="AT156" s="15"/>
      <c r="AU156" s="16"/>
      <c r="AV156" s="15"/>
      <c r="AW156" s="15"/>
      <c r="AX156" s="16"/>
      <c r="AY156" s="15"/>
      <c r="AZ156" s="15"/>
      <c r="BA156" s="16"/>
      <c r="BB156" s="16"/>
      <c r="BC156" s="16"/>
      <c r="BD156" s="16"/>
      <c r="BE156" s="16"/>
      <c r="BF156" s="16"/>
      <c r="BG156" s="16"/>
      <c r="BH156" s="16"/>
      <c r="BI156" s="16"/>
      <c r="BJ156" s="68" t="str">
        <f>IFERROR(__xludf.DUMMYFUNCTION("IF($B156&lt;&gt;"""",IFERROR(FILTER(RawTotals!$AJ:$AJ,RawTotals!$A:$A=Z156)-(FILTER(Data!$K:$K,Data!$B:$B=Z156,Data!$D:$D=$B156)+FILTER(Data!$L:$L,Data!$B:$B=Z156,Data!$D:$D=$B156)),""""),"""")"),"")</f>
        <v/>
      </c>
      <c r="BK156" s="68" t="str">
        <f>IFERROR(__xludf.DUMMYFUNCTION("IF($B156&lt;&gt;"""",IFERROR(FILTER(RawTotals!$AJ:$AJ,RawTotals!$A:$A=AA156)-(FILTER(Data!$K:$K,Data!$B:$B=AA156,Data!$D:$D=$B156)+FILTER(Data!$L:$L,Data!$B:$B=AA156,Data!$D:$D=$B156)),""""),"""")"),"")</f>
        <v/>
      </c>
      <c r="BL156" s="68" t="str">
        <f>IFERROR(__xludf.DUMMYFUNCTION("IF($B156&lt;&gt;"""",IFERROR(FILTER(RawTotals!$AJ:$AJ,RawTotals!$A:$A=AB156)-(FILTER(Data!$K:$K,Data!$B:$B=AB156,Data!$D:$D=$B156)+FILTER(Data!$L:$L,Data!$B:$B=AB156,Data!$D:$D=$B156)),""""),"""")"),"")</f>
        <v/>
      </c>
      <c r="BM156" s="69" t="str">
        <f>IFERROR(__xludf.DUMMYFUNCTION("IF($C156&lt;&gt;"""",IFERROR(FILTER(RawTotals!$AJ:$AJ,RawTotals!$A:$A=AC156)-(FILTER(Data!$K:$K,Data!$B:$B=AC156,Data!$D:$D=$C156)+FILTER(Data!$L:$L,Data!$B:$B=AC156,Data!$D:$D=$C156)),""""),"""")"),"")</f>
        <v/>
      </c>
      <c r="BN156" s="69" t="str">
        <f>IFERROR(__xludf.DUMMYFUNCTION("IF($C156&lt;&gt;"""",IFERROR(FILTER(RawTotals!$AJ:$AJ,RawTotals!$A:$A=AD156)-(FILTER(Data!$K:$K,Data!$B:$B=AD156,Data!$D:$D=$C156)+FILTER(Data!$L:$L,Data!$B:$B=AD156,Data!$D:$D=$C156)),""""),"""")"),"")</f>
        <v/>
      </c>
      <c r="BO156" s="69" t="str">
        <f>IFERROR(__xludf.DUMMYFUNCTION("IF($C156&lt;&gt;"""",IFERROR(FILTER(RawTotals!$AJ:$AJ,RawTotals!$A:$A=AE156)-(FILTER(Data!$K:$K,Data!$B:$B=AE156,Data!$D:$D=$C156)+FILTER(Data!$L:$L,Data!$B:$B=AE156,Data!$D:$D=$C156)),""""),"""")"),"")</f>
        <v/>
      </c>
      <c r="BP156" s="69" t="str">
        <f>IFERROR(__xludf.DUMMYFUNCTION("IF($D156&lt;&gt;"""",IFERROR(FILTER(RawTotals!$AJ:$AJ,RawTotals!$A:$A=AF156)-(FILTER(Data!$K:$K,Data!$B:$B=AF156,Data!$D:$D=$D156)+FILTER(Data!$L:$L,Data!$B:$B=AF156,Data!$D:$D=$D156)),""""),"""")"),"")</f>
        <v/>
      </c>
      <c r="BQ156" s="69" t="str">
        <f>IFERROR(__xludf.DUMMYFUNCTION("IF($D156&lt;&gt;"""",IFERROR(FILTER(RawTotals!$AJ:$AJ,RawTotals!$A:$A=AG156)-(FILTER(Data!$K:$K,Data!$B:$B=AG156,Data!$D:$D=$D156)+FILTER(Data!$L:$L,Data!$B:$B=AG156,Data!$D:$D=$D156)),""""),"""")"),"")</f>
        <v/>
      </c>
      <c r="BR156" s="69" t="str">
        <f>IFERROR(__xludf.DUMMYFUNCTION("IF($D156&lt;&gt;"""",IFERROR(FILTER(RawTotals!$AJ:$AJ,RawTotals!$A:$A=AH156)-(FILTER(Data!$K:$K,Data!$B:$B=AH156,Data!$D:$D=$D156)+FILTER(Data!$L:$L,Data!$B:$B=AH156,Data!$D:$D=$D156)),""""),"""")"),"")</f>
        <v/>
      </c>
      <c r="BS156" s="69" t="str">
        <f>IFERROR(__xludf.DUMMYFUNCTION("IF($E156&lt;&gt;"""",IFERROR(FILTER(RawTotals!$AJ:$AJ,RawTotals!$A:$A=AI156)-(FILTER(Data!$K:$K,Data!$B:$B=AI156,Data!$D:$D=$E156)+FILTER(Data!$L:$L,Data!$B:$B=AI156,Data!$D:$D=$E156)),""""),"""")"),"")</f>
        <v/>
      </c>
      <c r="BT156" s="69" t="str">
        <f>IFERROR(__xludf.DUMMYFUNCTION("IF($E156&lt;&gt;"""",IFERROR(FILTER(RawTotals!$AJ:$AJ,RawTotals!$A:$A=AJ156)-(FILTER(Data!$K:$K,Data!$B:$B=AJ156,Data!$D:$D=$E156)+FILTER(Data!$L:$L,Data!$B:$B=AJ156,Data!$D:$D=$E156)),""""),"""")"),"")</f>
        <v/>
      </c>
      <c r="BU156" s="69" t="str">
        <f>IFERROR(__xludf.DUMMYFUNCTION("IF($E156&lt;&gt;"""",IFERROR(FILTER(RawTotals!$AJ:$AJ,RawTotals!$A:$A=AK156)-(FILTER(Data!$K:$K,Data!$B:$B=AK156,Data!$D:$D=$E156)+FILTER(Data!$L:$L,Data!$B:$B=AK156,Data!$D:$D=$E156)),""""),"""")"),"")</f>
        <v/>
      </c>
      <c r="BV156" s="69" t="str">
        <f>IFERROR(__xludf.DUMMYFUNCTION("IF($F156&lt;&gt;"""",IFERROR(FILTER(RawTotals!$AJ:$AJ,RawTotals!$A:$A=AL156)-(FILTER(Data!$K:$K,Data!$B:$B=AL156,Data!$D:$D=$F156)+FILTER(Data!$L:$L,Data!$B:$B=AL156,Data!$D:$D=$F156)),""""),"""")"),"")</f>
        <v/>
      </c>
      <c r="BW156" s="69" t="str">
        <f>IFERROR(__xludf.DUMMYFUNCTION("IF($F156&lt;&gt;"""",IFERROR(FILTER(RawTotals!$AJ:$AJ,RawTotals!$A:$A=AM156)-(FILTER(Data!$K:$K,Data!$B:$B=AM156,Data!$D:$D=$F156)+FILTER(Data!$L:$L,Data!$B:$B=AM156,Data!$D:$D=$F156)),""""),"""")"),"")</f>
        <v/>
      </c>
      <c r="BX156" s="69" t="str">
        <f>IFERROR(__xludf.DUMMYFUNCTION("IF($F156&lt;&gt;"""",IFERROR(FILTER(RawTotals!$AJ:$AJ,RawTotals!$A:$A=AN156)-(FILTER(Data!$K:$K,Data!$B:$B=AN156,Data!$D:$D=$F156)+FILTER(Data!$L:$L,Data!$B:$B=AN156,Data!$D:$D=$F156)),""""),"""")"),"")</f>
        <v/>
      </c>
      <c r="BY156" s="69" t="str">
        <f>IFERROR(__xludf.DUMMYFUNCTION("IF($G156&lt;&gt;"""",IFERROR(FILTER(RawTotals!$AJ:$AJ,RawTotals!$A:$A=AO156)-(FILTER(Data!$K:$K,Data!$B:$B=AO156,Data!$D:$D=$G156)+FILTER(Data!$L:$L,Data!$B:$B=AO156,Data!$D:$D=$G156)),""""),"""")"),"")</f>
        <v/>
      </c>
      <c r="BZ156" s="69" t="str">
        <f>IFERROR(__xludf.DUMMYFUNCTION("IF($G156&lt;&gt;"""",IFERROR(FILTER(RawTotals!$AJ:$AJ,RawTotals!$A:$A=AP156)-(FILTER(Data!$K:$K,Data!$B:$B=AP156,Data!$D:$D=$G156)+FILTER(Data!$L:$L,Data!$B:$B=AP156,Data!$D:$D=$G156)),""""),"""")"),"")</f>
        <v/>
      </c>
      <c r="CA156" s="69" t="str">
        <f>IFERROR(__xludf.DUMMYFUNCTION("IF($G156&lt;&gt;"""",IFERROR(FILTER(RawTotals!$AJ:$AJ,RawTotals!$A:$A=AQ156)-(FILTER(Data!$K:$K,Data!$B:$B=AQ156,Data!$D:$D=$G156)+FILTER(Data!$L:$L,Data!$B:$B=AQ156,Data!$D:$D=$G156)),""""),"""")"),"")</f>
        <v/>
      </c>
      <c r="CB156" s="69" t="str">
        <f>IFERROR(__xludf.DUMMYFUNCTION("IF($H156&lt;&gt;"""",IFERROR(FILTER(RawTotals!$AJ:$AJ,RawTotals!$A:$A=AR156)-(FILTER(Data!$K:$K,Data!$B:$B=AR156,Data!$D:$D=$H156)+FILTER(Data!$L:$L,Data!$B:$B=AR156,Data!$D:$D=$H156)),""""),"""")"),"")</f>
        <v/>
      </c>
      <c r="CC156" s="69" t="str">
        <f>IFERROR(__xludf.DUMMYFUNCTION("IF($H156&lt;&gt;"""",IFERROR(FILTER(RawTotals!$AJ:$AJ,RawTotals!$A:$A=AS156)-(FILTER(Data!$K:$K,Data!$B:$B=AS156,Data!$D:$D=$H156)+FILTER(Data!$L:$L,Data!$B:$B=AS156,Data!$D:$D=$H156)),""""),"""")"),"")</f>
        <v/>
      </c>
      <c r="CD156" s="69" t="str">
        <f>IFERROR(__xludf.DUMMYFUNCTION("IF($H156&lt;&gt;"""",IFERROR(FILTER(RawTotals!$AJ:$AJ,RawTotals!$A:$A=AT156)-(FILTER(Data!$K:$K,Data!$B:$B=AT156,Data!$D:$D=$H156)+FILTER(Data!$L:$L,Data!$B:$B=AT156,Data!$D:$D=$H156)),""""),"""")"),"")</f>
        <v/>
      </c>
      <c r="CE156" s="69" t="str">
        <f>IFERROR(__xludf.DUMMYFUNCTION("IF($I156&lt;&gt;"""",IFERROR(FILTER(RawTotals!$AJ:$AJ,RawTotals!$A:$A=AU156)-(FILTER(Data!$K:$K,Data!$B:$B=AU156,Data!$D:$D=$I156)+FILTER(Data!$L:$L,Data!$B:$B=AU156,Data!$D:$D=$I156)),""""),"""")"),"")</f>
        <v/>
      </c>
      <c r="CF156" s="69" t="str">
        <f>IFERROR(__xludf.DUMMYFUNCTION("IF($I156&lt;&gt;"""",IFERROR(FILTER(RawTotals!$AJ:$AJ,RawTotals!$A:$A=AV156)-(FILTER(Data!$K:$K,Data!$B:$B=AV156,Data!$D:$D=$I156)+FILTER(Data!$L:$L,Data!$B:$B=AV156,Data!$D:$D=$I156)),""""),"""")"),"")</f>
        <v/>
      </c>
      <c r="CG156" s="69" t="str">
        <f>IFERROR(__xludf.DUMMYFUNCTION("IF($I156&lt;&gt;"""",IFERROR(FILTER(RawTotals!$AJ:$AJ,RawTotals!$A:$A=AW156)-(FILTER(Data!$K:$K,Data!$B:$B=AW156,Data!$D:$D=$I156)+FILTER(Data!$L:$L,Data!$B:$B=AW156,Data!$D:$D=$I156)),""""),"""")"),"")</f>
        <v/>
      </c>
      <c r="CH156" s="69" t="str">
        <f>IFERROR(__xludf.DUMMYFUNCTION("IF($J156&lt;&gt;"""",IFERROR(FILTER(RawTotals!$AJ:$AJ,RawTotals!$A:$A=AX156)-(FILTER(Data!$K:$K,Data!$B:$B=AX156,Data!$D:$D=$J156)+FILTER(Data!$L:$L,Data!$B:$B=AX156,Data!$D:$D=$J156)),""""),"""")"),"")</f>
        <v/>
      </c>
      <c r="CI156" s="69" t="str">
        <f>IFERROR(__xludf.DUMMYFUNCTION("IF($J156&lt;&gt;"""",IFERROR(FILTER(RawTotals!$AJ:$AJ,RawTotals!$A:$A=AY156)-(FILTER(Data!$K:$K,Data!$B:$B=AY156,Data!$D:$D=$J156)+FILTER(Data!$L:$L,Data!$B:$B=AY156,Data!$D:$D=$J156)),""""),"""")"),"")</f>
        <v/>
      </c>
      <c r="CJ156" s="69" t="str">
        <f>IFERROR(__xludf.DUMMYFUNCTION("IF($J156&lt;&gt;"""",IFERROR(FILTER(RawTotals!$AJ:$AJ,RawTotals!$A:$A=AZ156)-(FILTER(Data!$K:$K,Data!$B:$B=AZ156,Data!$D:$D=$J156)+FILTER(Data!$L:$L,Data!$B:$B=AZ156,Data!$D:$D=$J156)),""""),"""")"),"")</f>
        <v/>
      </c>
      <c r="CK156" s="69" t="str">
        <f>IFERROR(__xludf.DUMMYFUNCTION("IF($K156&lt;&gt;"""",IFERROR(FILTER(RawTotals!$AJ:$AJ,RawTotals!$A:$A=BA156)-(FILTER(Data!$K:$K,Data!$B:$B=BA156,Data!$D:$D=$K156)+FILTER(Data!$L:$L,Data!$B:$B=BA156,Data!$D:$D=$K156)),""""),"""")"),"")</f>
        <v/>
      </c>
      <c r="CL156" s="69" t="str">
        <f>IFERROR(__xludf.DUMMYFUNCTION("IF($K156&lt;&gt;"""",IFERROR(FILTER(RawTotals!$AJ:$AJ,RawTotals!$A:$A=BB156)-(FILTER(Data!$K:$K,Data!$B:$B=BB156,Data!$D:$D=$K156)+FILTER(Data!$L:$L,Data!$B:$B=BB156,Data!$D:$D=$K156)),""""),"""")"),"")</f>
        <v/>
      </c>
      <c r="CM156" s="69" t="str">
        <f>IFERROR(__xludf.DUMMYFUNCTION("IF($K156&lt;&gt;"""",IFERROR(FILTER(RawTotals!$AJ:$AJ,RawTotals!$A:$A=BC156)-(FILTER(Data!$K:$K,Data!$B:$B=BC156,Data!$D:$D=$K156)+FILTER(Data!$L:$L,Data!$B:$B=BC156,Data!$D:$D=$K156)),""""),"""")"),"")</f>
        <v/>
      </c>
      <c r="CN156" s="69" t="str">
        <f>IFERROR(__xludf.DUMMYFUNCTION("IF($L156&lt;&gt;"""",IFERROR((FILTER(RawTotals!$AJ:$AJ,RawTotals!$A:$A=BD156)-(FILTER(Data!$K:$K,Data!$B:$B=BD156,Data!$D:$D=$L156)+FILTER(Data!$L:$L,Data!$B:$B=BD156,Data!$D:$D=$L156))),""""),"""")"),"")</f>
        <v/>
      </c>
      <c r="CO156" s="69" t="str">
        <f>IFERROR(__xludf.DUMMYFUNCTION("IF($L156&lt;&gt;"""",IFERROR((FILTER(RawTotals!$AJ:$AJ,RawTotals!$A:$A=BE156)-(FILTER(Data!$K:$K,Data!$B:$B=BE156,Data!$D:$D=$L156)+FILTER(Data!$L:$L,Data!$B:$B=BE156,Data!$D:$D=$L156))),""""),"""")"),"")</f>
        <v/>
      </c>
      <c r="CP156" s="69" t="str">
        <f>IFERROR(__xludf.DUMMYFUNCTION("IF($L156&lt;&gt;"""",IFERROR((FILTER(RawTotals!$AJ:$AJ,RawTotals!$A:$A=BF156)-(FILTER(Data!$K:$K,Data!$B:$B=BF156,Data!$D:$D=$L156)+FILTER(Data!$L:$L,Data!$B:$B=BF156,Data!$D:$D=$L156))),""""),"""")"),"")</f>
        <v/>
      </c>
      <c r="CQ156" s="69" t="str">
        <f>IFERROR(__xludf.DUMMYFUNCTION("IF($M156&lt;&gt;"""",IFERROR((FILTER(RawTotals!$AJ:$AJ,RawTotals!$A:$A=BG156)-(FILTER(Data!$K:$K,Data!$B:$B=BG156,Data!$D:$D=$M156)+FILTER(Data!$L:$L,Data!$B:$B=BG156,Data!$D:$D=$M156))),""""),"""")"),"")</f>
        <v/>
      </c>
      <c r="CR156" s="69" t="str">
        <f>IFERROR(__xludf.DUMMYFUNCTION("IF($M156&lt;&gt;"""",IFERROR((FILTER(RawTotals!$AJ:$AJ,RawTotals!$A:$A=BH156)-(FILTER(Data!$K:$K,Data!$B:$B=BH156,Data!$D:$D=$M156)+FILTER(Data!$L:$L,Data!$B:$B=BH156,Data!$D:$D=$M156))),""""),"""")"),"")</f>
        <v/>
      </c>
      <c r="CS156" s="70" t="str">
        <f>IFERROR(__xludf.DUMMYFUNCTION("IF($M156&lt;&gt;"""",IFERROR((FILTER(RawTotals!$AJ:$AJ,RawTotals!$A:$A=BI156)-(FILTER(Data!$K:$K,Data!$B:$B=BI156,Data!$D:$D=$M156)+FILTER(Data!$L:$L,Data!$B:$B=BI156,Data!$D:$D=$M156))),""""),"""")"),"")</f>
        <v/>
      </c>
      <c r="CT156" s="16"/>
      <c r="CU156" s="16"/>
      <c r="CV156" s="16"/>
      <c r="CW156" s="16"/>
      <c r="CX156" s="16"/>
      <c r="CY156" s="16"/>
      <c r="CZ156" s="16"/>
      <c r="DA156" s="16"/>
      <c r="DB156" s="16"/>
      <c r="DC156" s="16"/>
      <c r="DD156" s="16"/>
      <c r="DE156" s="16"/>
    </row>
    <row r="157">
      <c r="A157" s="15"/>
      <c r="B157" s="16"/>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6"/>
      <c r="AD157" s="15"/>
      <c r="AE157" s="15"/>
      <c r="AF157" s="16"/>
      <c r="AG157" s="15"/>
      <c r="AH157" s="15"/>
      <c r="AI157" s="16"/>
      <c r="AJ157" s="15"/>
      <c r="AK157" s="15"/>
      <c r="AL157" s="16"/>
      <c r="AM157" s="15"/>
      <c r="AN157" s="15"/>
      <c r="AO157" s="16"/>
      <c r="AP157" s="15"/>
      <c r="AQ157" s="15"/>
      <c r="AR157" s="16"/>
      <c r="AS157" s="15"/>
      <c r="AT157" s="15"/>
      <c r="AU157" s="16"/>
      <c r="AV157" s="15"/>
      <c r="AW157" s="15"/>
      <c r="AX157" s="16"/>
      <c r="AY157" s="15"/>
      <c r="AZ157" s="15"/>
      <c r="BA157" s="16"/>
      <c r="BB157" s="16"/>
      <c r="BC157" s="16"/>
      <c r="BD157" s="16"/>
      <c r="BE157" s="16"/>
      <c r="BF157" s="16"/>
      <c r="BG157" s="16"/>
      <c r="BH157" s="16"/>
      <c r="BI157" s="16"/>
      <c r="BJ157" s="68" t="str">
        <f>IFERROR(__xludf.DUMMYFUNCTION("IF($B157&lt;&gt;"""",IFERROR(FILTER(RawTotals!$AJ:$AJ,RawTotals!$A:$A=Z157)-(FILTER(Data!$K:$K,Data!$B:$B=Z157,Data!$D:$D=$B157)+FILTER(Data!$L:$L,Data!$B:$B=Z157,Data!$D:$D=$B157)),""""),"""")"),"")</f>
        <v/>
      </c>
      <c r="BK157" s="68" t="str">
        <f>IFERROR(__xludf.DUMMYFUNCTION("IF($B157&lt;&gt;"""",IFERROR(FILTER(RawTotals!$AJ:$AJ,RawTotals!$A:$A=AA157)-(FILTER(Data!$K:$K,Data!$B:$B=AA157,Data!$D:$D=$B157)+FILTER(Data!$L:$L,Data!$B:$B=AA157,Data!$D:$D=$B157)),""""),"""")"),"")</f>
        <v/>
      </c>
      <c r="BL157" s="68" t="str">
        <f>IFERROR(__xludf.DUMMYFUNCTION("IF($B157&lt;&gt;"""",IFERROR(FILTER(RawTotals!$AJ:$AJ,RawTotals!$A:$A=AB157)-(FILTER(Data!$K:$K,Data!$B:$B=AB157,Data!$D:$D=$B157)+FILTER(Data!$L:$L,Data!$B:$B=AB157,Data!$D:$D=$B157)),""""),"""")"),"")</f>
        <v/>
      </c>
      <c r="BM157" s="69" t="str">
        <f>IFERROR(__xludf.DUMMYFUNCTION("IF($C157&lt;&gt;"""",IFERROR(FILTER(RawTotals!$AJ:$AJ,RawTotals!$A:$A=AC157)-(FILTER(Data!$K:$K,Data!$B:$B=AC157,Data!$D:$D=$C157)+FILTER(Data!$L:$L,Data!$B:$B=AC157,Data!$D:$D=$C157)),""""),"""")"),"")</f>
        <v/>
      </c>
      <c r="BN157" s="69" t="str">
        <f>IFERROR(__xludf.DUMMYFUNCTION("IF($C157&lt;&gt;"""",IFERROR(FILTER(RawTotals!$AJ:$AJ,RawTotals!$A:$A=AD157)-(FILTER(Data!$K:$K,Data!$B:$B=AD157,Data!$D:$D=$C157)+FILTER(Data!$L:$L,Data!$B:$B=AD157,Data!$D:$D=$C157)),""""),"""")"),"")</f>
        <v/>
      </c>
      <c r="BO157" s="69" t="str">
        <f>IFERROR(__xludf.DUMMYFUNCTION("IF($C157&lt;&gt;"""",IFERROR(FILTER(RawTotals!$AJ:$AJ,RawTotals!$A:$A=AE157)-(FILTER(Data!$K:$K,Data!$B:$B=AE157,Data!$D:$D=$C157)+FILTER(Data!$L:$L,Data!$B:$B=AE157,Data!$D:$D=$C157)),""""),"""")"),"")</f>
        <v/>
      </c>
      <c r="BP157" s="69" t="str">
        <f>IFERROR(__xludf.DUMMYFUNCTION("IF($D157&lt;&gt;"""",IFERROR(FILTER(RawTotals!$AJ:$AJ,RawTotals!$A:$A=AF157)-(FILTER(Data!$K:$K,Data!$B:$B=AF157,Data!$D:$D=$D157)+FILTER(Data!$L:$L,Data!$B:$B=AF157,Data!$D:$D=$D157)),""""),"""")"),"")</f>
        <v/>
      </c>
      <c r="BQ157" s="69" t="str">
        <f>IFERROR(__xludf.DUMMYFUNCTION("IF($D157&lt;&gt;"""",IFERROR(FILTER(RawTotals!$AJ:$AJ,RawTotals!$A:$A=AG157)-(FILTER(Data!$K:$K,Data!$B:$B=AG157,Data!$D:$D=$D157)+FILTER(Data!$L:$L,Data!$B:$B=AG157,Data!$D:$D=$D157)),""""),"""")"),"")</f>
        <v/>
      </c>
      <c r="BR157" s="69" t="str">
        <f>IFERROR(__xludf.DUMMYFUNCTION("IF($D157&lt;&gt;"""",IFERROR(FILTER(RawTotals!$AJ:$AJ,RawTotals!$A:$A=AH157)-(FILTER(Data!$K:$K,Data!$B:$B=AH157,Data!$D:$D=$D157)+FILTER(Data!$L:$L,Data!$B:$B=AH157,Data!$D:$D=$D157)),""""),"""")"),"")</f>
        <v/>
      </c>
      <c r="BS157" s="69" t="str">
        <f>IFERROR(__xludf.DUMMYFUNCTION("IF($E157&lt;&gt;"""",IFERROR(FILTER(RawTotals!$AJ:$AJ,RawTotals!$A:$A=AI157)-(FILTER(Data!$K:$K,Data!$B:$B=AI157,Data!$D:$D=$E157)+FILTER(Data!$L:$L,Data!$B:$B=AI157,Data!$D:$D=$E157)),""""),"""")"),"")</f>
        <v/>
      </c>
      <c r="BT157" s="69" t="str">
        <f>IFERROR(__xludf.DUMMYFUNCTION("IF($E157&lt;&gt;"""",IFERROR(FILTER(RawTotals!$AJ:$AJ,RawTotals!$A:$A=AJ157)-(FILTER(Data!$K:$K,Data!$B:$B=AJ157,Data!$D:$D=$E157)+FILTER(Data!$L:$L,Data!$B:$B=AJ157,Data!$D:$D=$E157)),""""),"""")"),"")</f>
        <v/>
      </c>
      <c r="BU157" s="69" t="str">
        <f>IFERROR(__xludf.DUMMYFUNCTION("IF($E157&lt;&gt;"""",IFERROR(FILTER(RawTotals!$AJ:$AJ,RawTotals!$A:$A=AK157)-(FILTER(Data!$K:$K,Data!$B:$B=AK157,Data!$D:$D=$E157)+FILTER(Data!$L:$L,Data!$B:$B=AK157,Data!$D:$D=$E157)),""""),"""")"),"")</f>
        <v/>
      </c>
      <c r="BV157" s="69" t="str">
        <f>IFERROR(__xludf.DUMMYFUNCTION("IF($F157&lt;&gt;"""",IFERROR(FILTER(RawTotals!$AJ:$AJ,RawTotals!$A:$A=AL157)-(FILTER(Data!$K:$K,Data!$B:$B=AL157,Data!$D:$D=$F157)+FILTER(Data!$L:$L,Data!$B:$B=AL157,Data!$D:$D=$F157)),""""),"""")"),"")</f>
        <v/>
      </c>
      <c r="BW157" s="69" t="str">
        <f>IFERROR(__xludf.DUMMYFUNCTION("IF($F157&lt;&gt;"""",IFERROR(FILTER(RawTotals!$AJ:$AJ,RawTotals!$A:$A=AM157)-(FILTER(Data!$K:$K,Data!$B:$B=AM157,Data!$D:$D=$F157)+FILTER(Data!$L:$L,Data!$B:$B=AM157,Data!$D:$D=$F157)),""""),"""")"),"")</f>
        <v/>
      </c>
      <c r="BX157" s="69" t="str">
        <f>IFERROR(__xludf.DUMMYFUNCTION("IF($F157&lt;&gt;"""",IFERROR(FILTER(RawTotals!$AJ:$AJ,RawTotals!$A:$A=AN157)-(FILTER(Data!$K:$K,Data!$B:$B=AN157,Data!$D:$D=$F157)+FILTER(Data!$L:$L,Data!$B:$B=AN157,Data!$D:$D=$F157)),""""),"""")"),"")</f>
        <v/>
      </c>
      <c r="BY157" s="69" t="str">
        <f>IFERROR(__xludf.DUMMYFUNCTION("IF($G157&lt;&gt;"""",IFERROR(FILTER(RawTotals!$AJ:$AJ,RawTotals!$A:$A=AO157)-(FILTER(Data!$K:$K,Data!$B:$B=AO157,Data!$D:$D=$G157)+FILTER(Data!$L:$L,Data!$B:$B=AO157,Data!$D:$D=$G157)),""""),"""")"),"")</f>
        <v/>
      </c>
      <c r="BZ157" s="69" t="str">
        <f>IFERROR(__xludf.DUMMYFUNCTION("IF($G157&lt;&gt;"""",IFERROR(FILTER(RawTotals!$AJ:$AJ,RawTotals!$A:$A=AP157)-(FILTER(Data!$K:$K,Data!$B:$B=AP157,Data!$D:$D=$G157)+FILTER(Data!$L:$L,Data!$B:$B=AP157,Data!$D:$D=$G157)),""""),"""")"),"")</f>
        <v/>
      </c>
      <c r="CA157" s="69" t="str">
        <f>IFERROR(__xludf.DUMMYFUNCTION("IF($G157&lt;&gt;"""",IFERROR(FILTER(RawTotals!$AJ:$AJ,RawTotals!$A:$A=AQ157)-(FILTER(Data!$K:$K,Data!$B:$B=AQ157,Data!$D:$D=$G157)+FILTER(Data!$L:$L,Data!$B:$B=AQ157,Data!$D:$D=$G157)),""""),"""")"),"")</f>
        <v/>
      </c>
      <c r="CB157" s="69" t="str">
        <f>IFERROR(__xludf.DUMMYFUNCTION("IF($H157&lt;&gt;"""",IFERROR(FILTER(RawTotals!$AJ:$AJ,RawTotals!$A:$A=AR157)-(FILTER(Data!$K:$K,Data!$B:$B=AR157,Data!$D:$D=$H157)+FILTER(Data!$L:$L,Data!$B:$B=AR157,Data!$D:$D=$H157)),""""),"""")"),"")</f>
        <v/>
      </c>
      <c r="CC157" s="69" t="str">
        <f>IFERROR(__xludf.DUMMYFUNCTION("IF($H157&lt;&gt;"""",IFERROR(FILTER(RawTotals!$AJ:$AJ,RawTotals!$A:$A=AS157)-(FILTER(Data!$K:$K,Data!$B:$B=AS157,Data!$D:$D=$H157)+FILTER(Data!$L:$L,Data!$B:$B=AS157,Data!$D:$D=$H157)),""""),"""")"),"")</f>
        <v/>
      </c>
      <c r="CD157" s="69" t="str">
        <f>IFERROR(__xludf.DUMMYFUNCTION("IF($H157&lt;&gt;"""",IFERROR(FILTER(RawTotals!$AJ:$AJ,RawTotals!$A:$A=AT157)-(FILTER(Data!$K:$K,Data!$B:$B=AT157,Data!$D:$D=$H157)+FILTER(Data!$L:$L,Data!$B:$B=AT157,Data!$D:$D=$H157)),""""),"""")"),"")</f>
        <v/>
      </c>
      <c r="CE157" s="69" t="str">
        <f>IFERROR(__xludf.DUMMYFUNCTION("IF($I157&lt;&gt;"""",IFERROR(FILTER(RawTotals!$AJ:$AJ,RawTotals!$A:$A=AU157)-(FILTER(Data!$K:$K,Data!$B:$B=AU157,Data!$D:$D=$I157)+FILTER(Data!$L:$L,Data!$B:$B=AU157,Data!$D:$D=$I157)),""""),"""")"),"")</f>
        <v/>
      </c>
      <c r="CF157" s="69" t="str">
        <f>IFERROR(__xludf.DUMMYFUNCTION("IF($I157&lt;&gt;"""",IFERROR(FILTER(RawTotals!$AJ:$AJ,RawTotals!$A:$A=AV157)-(FILTER(Data!$K:$K,Data!$B:$B=AV157,Data!$D:$D=$I157)+FILTER(Data!$L:$L,Data!$B:$B=AV157,Data!$D:$D=$I157)),""""),"""")"),"")</f>
        <v/>
      </c>
      <c r="CG157" s="69" t="str">
        <f>IFERROR(__xludf.DUMMYFUNCTION("IF($I157&lt;&gt;"""",IFERROR(FILTER(RawTotals!$AJ:$AJ,RawTotals!$A:$A=AW157)-(FILTER(Data!$K:$K,Data!$B:$B=AW157,Data!$D:$D=$I157)+FILTER(Data!$L:$L,Data!$B:$B=AW157,Data!$D:$D=$I157)),""""),"""")"),"")</f>
        <v/>
      </c>
      <c r="CH157" s="69" t="str">
        <f>IFERROR(__xludf.DUMMYFUNCTION("IF($J157&lt;&gt;"""",IFERROR(FILTER(RawTotals!$AJ:$AJ,RawTotals!$A:$A=AX157)-(FILTER(Data!$K:$K,Data!$B:$B=AX157,Data!$D:$D=$J157)+FILTER(Data!$L:$L,Data!$B:$B=AX157,Data!$D:$D=$J157)),""""),"""")"),"")</f>
        <v/>
      </c>
      <c r="CI157" s="69" t="str">
        <f>IFERROR(__xludf.DUMMYFUNCTION("IF($J157&lt;&gt;"""",IFERROR(FILTER(RawTotals!$AJ:$AJ,RawTotals!$A:$A=AY157)-(FILTER(Data!$K:$K,Data!$B:$B=AY157,Data!$D:$D=$J157)+FILTER(Data!$L:$L,Data!$B:$B=AY157,Data!$D:$D=$J157)),""""),"""")"),"")</f>
        <v/>
      </c>
      <c r="CJ157" s="69" t="str">
        <f>IFERROR(__xludf.DUMMYFUNCTION("IF($J157&lt;&gt;"""",IFERROR(FILTER(RawTotals!$AJ:$AJ,RawTotals!$A:$A=AZ157)-(FILTER(Data!$K:$K,Data!$B:$B=AZ157,Data!$D:$D=$J157)+FILTER(Data!$L:$L,Data!$B:$B=AZ157,Data!$D:$D=$J157)),""""),"""")"),"")</f>
        <v/>
      </c>
      <c r="CK157" s="69" t="str">
        <f>IFERROR(__xludf.DUMMYFUNCTION("IF($K157&lt;&gt;"""",IFERROR(FILTER(RawTotals!$AJ:$AJ,RawTotals!$A:$A=BA157)-(FILTER(Data!$K:$K,Data!$B:$B=BA157,Data!$D:$D=$K157)+FILTER(Data!$L:$L,Data!$B:$B=BA157,Data!$D:$D=$K157)),""""),"""")"),"")</f>
        <v/>
      </c>
      <c r="CL157" s="69" t="str">
        <f>IFERROR(__xludf.DUMMYFUNCTION("IF($K157&lt;&gt;"""",IFERROR(FILTER(RawTotals!$AJ:$AJ,RawTotals!$A:$A=BB157)-(FILTER(Data!$K:$K,Data!$B:$B=BB157,Data!$D:$D=$K157)+FILTER(Data!$L:$L,Data!$B:$B=BB157,Data!$D:$D=$K157)),""""),"""")"),"")</f>
        <v/>
      </c>
      <c r="CM157" s="69" t="str">
        <f>IFERROR(__xludf.DUMMYFUNCTION("IF($K157&lt;&gt;"""",IFERROR(FILTER(RawTotals!$AJ:$AJ,RawTotals!$A:$A=BC157)-(FILTER(Data!$K:$K,Data!$B:$B=BC157,Data!$D:$D=$K157)+FILTER(Data!$L:$L,Data!$B:$B=BC157,Data!$D:$D=$K157)),""""),"""")"),"")</f>
        <v/>
      </c>
      <c r="CN157" s="69" t="str">
        <f>IFERROR(__xludf.DUMMYFUNCTION("IF($L157&lt;&gt;"""",IFERROR((FILTER(RawTotals!$AJ:$AJ,RawTotals!$A:$A=BD157)-(FILTER(Data!$K:$K,Data!$B:$B=BD157,Data!$D:$D=$L157)+FILTER(Data!$L:$L,Data!$B:$B=BD157,Data!$D:$D=$L157))),""""),"""")"),"")</f>
        <v/>
      </c>
      <c r="CO157" s="69" t="str">
        <f>IFERROR(__xludf.DUMMYFUNCTION("IF($L157&lt;&gt;"""",IFERROR((FILTER(RawTotals!$AJ:$AJ,RawTotals!$A:$A=BE157)-(FILTER(Data!$K:$K,Data!$B:$B=BE157,Data!$D:$D=$L157)+FILTER(Data!$L:$L,Data!$B:$B=BE157,Data!$D:$D=$L157))),""""),"""")"),"")</f>
        <v/>
      </c>
      <c r="CP157" s="69" t="str">
        <f>IFERROR(__xludf.DUMMYFUNCTION("IF($L157&lt;&gt;"""",IFERROR((FILTER(RawTotals!$AJ:$AJ,RawTotals!$A:$A=BF157)-(FILTER(Data!$K:$K,Data!$B:$B=BF157,Data!$D:$D=$L157)+FILTER(Data!$L:$L,Data!$B:$B=BF157,Data!$D:$D=$L157))),""""),"""")"),"")</f>
        <v/>
      </c>
      <c r="CQ157" s="69" t="str">
        <f>IFERROR(__xludf.DUMMYFUNCTION("IF($M157&lt;&gt;"""",IFERROR((FILTER(RawTotals!$AJ:$AJ,RawTotals!$A:$A=BG157)-(FILTER(Data!$K:$K,Data!$B:$B=BG157,Data!$D:$D=$M157)+FILTER(Data!$L:$L,Data!$B:$B=BG157,Data!$D:$D=$M157))),""""),"""")"),"")</f>
        <v/>
      </c>
      <c r="CR157" s="69" t="str">
        <f>IFERROR(__xludf.DUMMYFUNCTION("IF($M157&lt;&gt;"""",IFERROR((FILTER(RawTotals!$AJ:$AJ,RawTotals!$A:$A=BH157)-(FILTER(Data!$K:$K,Data!$B:$B=BH157,Data!$D:$D=$M157)+FILTER(Data!$L:$L,Data!$B:$B=BH157,Data!$D:$D=$M157))),""""),"""")"),"")</f>
        <v/>
      </c>
      <c r="CS157" s="70" t="str">
        <f>IFERROR(__xludf.DUMMYFUNCTION("IF($M157&lt;&gt;"""",IFERROR((FILTER(RawTotals!$AJ:$AJ,RawTotals!$A:$A=BI157)-(FILTER(Data!$K:$K,Data!$B:$B=BI157,Data!$D:$D=$M157)+FILTER(Data!$L:$L,Data!$B:$B=BI157,Data!$D:$D=$M157))),""""),"""")"),"")</f>
        <v/>
      </c>
      <c r="CT157" s="16"/>
      <c r="CU157" s="16"/>
      <c r="CV157" s="16"/>
      <c r="CW157" s="16"/>
      <c r="CX157" s="16"/>
      <c r="CY157" s="16"/>
      <c r="CZ157" s="16"/>
      <c r="DA157" s="16"/>
      <c r="DB157" s="16"/>
      <c r="DC157" s="16"/>
      <c r="DD157" s="16"/>
      <c r="DE157" s="16"/>
    </row>
    <row r="158">
      <c r="A158" s="15"/>
      <c r="B158" s="16"/>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6"/>
      <c r="AD158" s="15"/>
      <c r="AE158" s="15"/>
      <c r="AF158" s="16"/>
      <c r="AG158" s="15"/>
      <c r="AH158" s="15"/>
      <c r="AI158" s="16"/>
      <c r="AJ158" s="15"/>
      <c r="AK158" s="15"/>
      <c r="AL158" s="16"/>
      <c r="AM158" s="15"/>
      <c r="AN158" s="15"/>
      <c r="AO158" s="16"/>
      <c r="AP158" s="15"/>
      <c r="AQ158" s="15"/>
      <c r="AR158" s="16"/>
      <c r="AS158" s="15"/>
      <c r="AT158" s="15"/>
      <c r="AU158" s="16"/>
      <c r="AV158" s="15"/>
      <c r="AW158" s="15"/>
      <c r="AX158" s="16"/>
      <c r="AY158" s="15"/>
      <c r="AZ158" s="15"/>
      <c r="BA158" s="16"/>
      <c r="BB158" s="16"/>
      <c r="BC158" s="16"/>
      <c r="BD158" s="16"/>
      <c r="BE158" s="16"/>
      <c r="BF158" s="16"/>
      <c r="BG158" s="16"/>
      <c r="BH158" s="16"/>
      <c r="BI158" s="16"/>
      <c r="BJ158" s="68" t="str">
        <f>IFERROR(__xludf.DUMMYFUNCTION("IF($B158&lt;&gt;"""",IFERROR(FILTER(RawTotals!$AJ:$AJ,RawTotals!$A:$A=Z158)-(FILTER(Data!$K:$K,Data!$B:$B=Z158,Data!$D:$D=$B158)+FILTER(Data!$L:$L,Data!$B:$B=Z158,Data!$D:$D=$B158)),""""),"""")"),"")</f>
        <v/>
      </c>
      <c r="BK158" s="68" t="str">
        <f>IFERROR(__xludf.DUMMYFUNCTION("IF($B158&lt;&gt;"""",IFERROR(FILTER(RawTotals!$AJ:$AJ,RawTotals!$A:$A=AA158)-(FILTER(Data!$K:$K,Data!$B:$B=AA158,Data!$D:$D=$B158)+FILTER(Data!$L:$L,Data!$B:$B=AA158,Data!$D:$D=$B158)),""""),"""")"),"")</f>
        <v/>
      </c>
      <c r="BL158" s="68" t="str">
        <f>IFERROR(__xludf.DUMMYFUNCTION("IF($B158&lt;&gt;"""",IFERROR(FILTER(RawTotals!$AJ:$AJ,RawTotals!$A:$A=AB158)-(FILTER(Data!$K:$K,Data!$B:$B=AB158,Data!$D:$D=$B158)+FILTER(Data!$L:$L,Data!$B:$B=AB158,Data!$D:$D=$B158)),""""),"""")"),"")</f>
        <v/>
      </c>
      <c r="BM158" s="69" t="str">
        <f>IFERROR(__xludf.DUMMYFUNCTION("IF($C158&lt;&gt;"""",IFERROR(FILTER(RawTotals!$AJ:$AJ,RawTotals!$A:$A=AC158)-(FILTER(Data!$K:$K,Data!$B:$B=AC158,Data!$D:$D=$C158)+FILTER(Data!$L:$L,Data!$B:$B=AC158,Data!$D:$D=$C158)),""""),"""")"),"")</f>
        <v/>
      </c>
      <c r="BN158" s="69" t="str">
        <f>IFERROR(__xludf.DUMMYFUNCTION("IF($C158&lt;&gt;"""",IFERROR(FILTER(RawTotals!$AJ:$AJ,RawTotals!$A:$A=AD158)-(FILTER(Data!$K:$K,Data!$B:$B=AD158,Data!$D:$D=$C158)+FILTER(Data!$L:$L,Data!$B:$B=AD158,Data!$D:$D=$C158)),""""),"""")"),"")</f>
        <v/>
      </c>
      <c r="BO158" s="69" t="str">
        <f>IFERROR(__xludf.DUMMYFUNCTION("IF($C158&lt;&gt;"""",IFERROR(FILTER(RawTotals!$AJ:$AJ,RawTotals!$A:$A=AE158)-(FILTER(Data!$K:$K,Data!$B:$B=AE158,Data!$D:$D=$C158)+FILTER(Data!$L:$L,Data!$B:$B=AE158,Data!$D:$D=$C158)),""""),"""")"),"")</f>
        <v/>
      </c>
      <c r="BP158" s="69" t="str">
        <f>IFERROR(__xludf.DUMMYFUNCTION("IF($D158&lt;&gt;"""",IFERROR(FILTER(RawTotals!$AJ:$AJ,RawTotals!$A:$A=AF158)-(FILTER(Data!$K:$K,Data!$B:$B=AF158,Data!$D:$D=$D158)+FILTER(Data!$L:$L,Data!$B:$B=AF158,Data!$D:$D=$D158)),""""),"""")"),"")</f>
        <v/>
      </c>
      <c r="BQ158" s="69" t="str">
        <f>IFERROR(__xludf.DUMMYFUNCTION("IF($D158&lt;&gt;"""",IFERROR(FILTER(RawTotals!$AJ:$AJ,RawTotals!$A:$A=AG158)-(FILTER(Data!$K:$K,Data!$B:$B=AG158,Data!$D:$D=$D158)+FILTER(Data!$L:$L,Data!$B:$B=AG158,Data!$D:$D=$D158)),""""),"""")"),"")</f>
        <v/>
      </c>
      <c r="BR158" s="69" t="str">
        <f>IFERROR(__xludf.DUMMYFUNCTION("IF($D158&lt;&gt;"""",IFERROR(FILTER(RawTotals!$AJ:$AJ,RawTotals!$A:$A=AH158)-(FILTER(Data!$K:$K,Data!$B:$B=AH158,Data!$D:$D=$D158)+FILTER(Data!$L:$L,Data!$B:$B=AH158,Data!$D:$D=$D158)),""""),"""")"),"")</f>
        <v/>
      </c>
      <c r="BS158" s="69" t="str">
        <f>IFERROR(__xludf.DUMMYFUNCTION("IF($E158&lt;&gt;"""",IFERROR(FILTER(RawTotals!$AJ:$AJ,RawTotals!$A:$A=AI158)-(FILTER(Data!$K:$K,Data!$B:$B=AI158,Data!$D:$D=$E158)+FILTER(Data!$L:$L,Data!$B:$B=AI158,Data!$D:$D=$E158)),""""),"""")"),"")</f>
        <v/>
      </c>
      <c r="BT158" s="69" t="str">
        <f>IFERROR(__xludf.DUMMYFUNCTION("IF($E158&lt;&gt;"""",IFERROR(FILTER(RawTotals!$AJ:$AJ,RawTotals!$A:$A=AJ158)-(FILTER(Data!$K:$K,Data!$B:$B=AJ158,Data!$D:$D=$E158)+FILTER(Data!$L:$L,Data!$B:$B=AJ158,Data!$D:$D=$E158)),""""),"""")"),"")</f>
        <v/>
      </c>
      <c r="BU158" s="69" t="str">
        <f>IFERROR(__xludf.DUMMYFUNCTION("IF($E158&lt;&gt;"""",IFERROR(FILTER(RawTotals!$AJ:$AJ,RawTotals!$A:$A=AK158)-(FILTER(Data!$K:$K,Data!$B:$B=AK158,Data!$D:$D=$E158)+FILTER(Data!$L:$L,Data!$B:$B=AK158,Data!$D:$D=$E158)),""""),"""")"),"")</f>
        <v/>
      </c>
      <c r="BV158" s="69" t="str">
        <f>IFERROR(__xludf.DUMMYFUNCTION("IF($F158&lt;&gt;"""",IFERROR(FILTER(RawTotals!$AJ:$AJ,RawTotals!$A:$A=AL158)-(FILTER(Data!$K:$K,Data!$B:$B=AL158,Data!$D:$D=$F158)+FILTER(Data!$L:$L,Data!$B:$B=AL158,Data!$D:$D=$F158)),""""),"""")"),"")</f>
        <v/>
      </c>
      <c r="BW158" s="69" t="str">
        <f>IFERROR(__xludf.DUMMYFUNCTION("IF($F158&lt;&gt;"""",IFERROR(FILTER(RawTotals!$AJ:$AJ,RawTotals!$A:$A=AM158)-(FILTER(Data!$K:$K,Data!$B:$B=AM158,Data!$D:$D=$F158)+FILTER(Data!$L:$L,Data!$B:$B=AM158,Data!$D:$D=$F158)),""""),"""")"),"")</f>
        <v/>
      </c>
      <c r="BX158" s="69" t="str">
        <f>IFERROR(__xludf.DUMMYFUNCTION("IF($F158&lt;&gt;"""",IFERROR(FILTER(RawTotals!$AJ:$AJ,RawTotals!$A:$A=AN158)-(FILTER(Data!$K:$K,Data!$B:$B=AN158,Data!$D:$D=$F158)+FILTER(Data!$L:$L,Data!$B:$B=AN158,Data!$D:$D=$F158)),""""),"""")"),"")</f>
        <v/>
      </c>
      <c r="BY158" s="69" t="str">
        <f>IFERROR(__xludf.DUMMYFUNCTION("IF($G158&lt;&gt;"""",IFERROR(FILTER(RawTotals!$AJ:$AJ,RawTotals!$A:$A=AO158)-(FILTER(Data!$K:$K,Data!$B:$B=AO158,Data!$D:$D=$G158)+FILTER(Data!$L:$L,Data!$B:$B=AO158,Data!$D:$D=$G158)),""""),"""")"),"")</f>
        <v/>
      </c>
      <c r="BZ158" s="69" t="str">
        <f>IFERROR(__xludf.DUMMYFUNCTION("IF($G158&lt;&gt;"""",IFERROR(FILTER(RawTotals!$AJ:$AJ,RawTotals!$A:$A=AP158)-(FILTER(Data!$K:$K,Data!$B:$B=AP158,Data!$D:$D=$G158)+FILTER(Data!$L:$L,Data!$B:$B=AP158,Data!$D:$D=$G158)),""""),"""")"),"")</f>
        <v/>
      </c>
      <c r="CA158" s="69" t="str">
        <f>IFERROR(__xludf.DUMMYFUNCTION("IF($G158&lt;&gt;"""",IFERROR(FILTER(RawTotals!$AJ:$AJ,RawTotals!$A:$A=AQ158)-(FILTER(Data!$K:$K,Data!$B:$B=AQ158,Data!$D:$D=$G158)+FILTER(Data!$L:$L,Data!$B:$B=AQ158,Data!$D:$D=$G158)),""""),"""")"),"")</f>
        <v/>
      </c>
      <c r="CB158" s="69" t="str">
        <f>IFERROR(__xludf.DUMMYFUNCTION("IF($H158&lt;&gt;"""",IFERROR(FILTER(RawTotals!$AJ:$AJ,RawTotals!$A:$A=AR158)-(FILTER(Data!$K:$K,Data!$B:$B=AR158,Data!$D:$D=$H158)+FILTER(Data!$L:$L,Data!$B:$B=AR158,Data!$D:$D=$H158)),""""),"""")"),"")</f>
        <v/>
      </c>
      <c r="CC158" s="69" t="str">
        <f>IFERROR(__xludf.DUMMYFUNCTION("IF($H158&lt;&gt;"""",IFERROR(FILTER(RawTotals!$AJ:$AJ,RawTotals!$A:$A=AS158)-(FILTER(Data!$K:$K,Data!$B:$B=AS158,Data!$D:$D=$H158)+FILTER(Data!$L:$L,Data!$B:$B=AS158,Data!$D:$D=$H158)),""""),"""")"),"")</f>
        <v/>
      </c>
      <c r="CD158" s="69" t="str">
        <f>IFERROR(__xludf.DUMMYFUNCTION("IF($H158&lt;&gt;"""",IFERROR(FILTER(RawTotals!$AJ:$AJ,RawTotals!$A:$A=AT158)-(FILTER(Data!$K:$K,Data!$B:$B=AT158,Data!$D:$D=$H158)+FILTER(Data!$L:$L,Data!$B:$B=AT158,Data!$D:$D=$H158)),""""),"""")"),"")</f>
        <v/>
      </c>
      <c r="CE158" s="69" t="str">
        <f>IFERROR(__xludf.DUMMYFUNCTION("IF($I158&lt;&gt;"""",IFERROR(FILTER(RawTotals!$AJ:$AJ,RawTotals!$A:$A=AU158)-(FILTER(Data!$K:$K,Data!$B:$B=AU158,Data!$D:$D=$I158)+FILTER(Data!$L:$L,Data!$B:$B=AU158,Data!$D:$D=$I158)),""""),"""")"),"")</f>
        <v/>
      </c>
      <c r="CF158" s="69" t="str">
        <f>IFERROR(__xludf.DUMMYFUNCTION("IF($I158&lt;&gt;"""",IFERROR(FILTER(RawTotals!$AJ:$AJ,RawTotals!$A:$A=AV158)-(FILTER(Data!$K:$K,Data!$B:$B=AV158,Data!$D:$D=$I158)+FILTER(Data!$L:$L,Data!$B:$B=AV158,Data!$D:$D=$I158)),""""),"""")"),"")</f>
        <v/>
      </c>
      <c r="CG158" s="69" t="str">
        <f>IFERROR(__xludf.DUMMYFUNCTION("IF($I158&lt;&gt;"""",IFERROR(FILTER(RawTotals!$AJ:$AJ,RawTotals!$A:$A=AW158)-(FILTER(Data!$K:$K,Data!$B:$B=AW158,Data!$D:$D=$I158)+FILTER(Data!$L:$L,Data!$B:$B=AW158,Data!$D:$D=$I158)),""""),"""")"),"")</f>
        <v/>
      </c>
      <c r="CH158" s="69" t="str">
        <f>IFERROR(__xludf.DUMMYFUNCTION("IF($J158&lt;&gt;"""",IFERROR(FILTER(RawTotals!$AJ:$AJ,RawTotals!$A:$A=AX158)-(FILTER(Data!$K:$K,Data!$B:$B=AX158,Data!$D:$D=$J158)+FILTER(Data!$L:$L,Data!$B:$B=AX158,Data!$D:$D=$J158)),""""),"""")"),"")</f>
        <v/>
      </c>
      <c r="CI158" s="69" t="str">
        <f>IFERROR(__xludf.DUMMYFUNCTION("IF($J158&lt;&gt;"""",IFERROR(FILTER(RawTotals!$AJ:$AJ,RawTotals!$A:$A=AY158)-(FILTER(Data!$K:$K,Data!$B:$B=AY158,Data!$D:$D=$J158)+FILTER(Data!$L:$L,Data!$B:$B=AY158,Data!$D:$D=$J158)),""""),"""")"),"")</f>
        <v/>
      </c>
      <c r="CJ158" s="69" t="str">
        <f>IFERROR(__xludf.DUMMYFUNCTION("IF($J158&lt;&gt;"""",IFERROR(FILTER(RawTotals!$AJ:$AJ,RawTotals!$A:$A=AZ158)-(FILTER(Data!$K:$K,Data!$B:$B=AZ158,Data!$D:$D=$J158)+FILTER(Data!$L:$L,Data!$B:$B=AZ158,Data!$D:$D=$J158)),""""),"""")"),"")</f>
        <v/>
      </c>
      <c r="CK158" s="69" t="str">
        <f>IFERROR(__xludf.DUMMYFUNCTION("IF($K158&lt;&gt;"""",IFERROR(FILTER(RawTotals!$AJ:$AJ,RawTotals!$A:$A=BA158)-(FILTER(Data!$K:$K,Data!$B:$B=BA158,Data!$D:$D=$K158)+FILTER(Data!$L:$L,Data!$B:$B=BA158,Data!$D:$D=$K158)),""""),"""")"),"")</f>
        <v/>
      </c>
      <c r="CL158" s="69" t="str">
        <f>IFERROR(__xludf.DUMMYFUNCTION("IF($K158&lt;&gt;"""",IFERROR(FILTER(RawTotals!$AJ:$AJ,RawTotals!$A:$A=BB158)-(FILTER(Data!$K:$K,Data!$B:$B=BB158,Data!$D:$D=$K158)+FILTER(Data!$L:$L,Data!$B:$B=BB158,Data!$D:$D=$K158)),""""),"""")"),"")</f>
        <v/>
      </c>
      <c r="CM158" s="69" t="str">
        <f>IFERROR(__xludf.DUMMYFUNCTION("IF($K158&lt;&gt;"""",IFERROR(FILTER(RawTotals!$AJ:$AJ,RawTotals!$A:$A=BC158)-(FILTER(Data!$K:$K,Data!$B:$B=BC158,Data!$D:$D=$K158)+FILTER(Data!$L:$L,Data!$B:$B=BC158,Data!$D:$D=$K158)),""""),"""")"),"")</f>
        <v/>
      </c>
      <c r="CN158" s="69" t="str">
        <f>IFERROR(__xludf.DUMMYFUNCTION("IF($L158&lt;&gt;"""",IFERROR((FILTER(RawTotals!$AJ:$AJ,RawTotals!$A:$A=BD158)-(FILTER(Data!$K:$K,Data!$B:$B=BD158,Data!$D:$D=$L158)+FILTER(Data!$L:$L,Data!$B:$B=BD158,Data!$D:$D=$L158))),""""),"""")"),"")</f>
        <v/>
      </c>
      <c r="CO158" s="69" t="str">
        <f>IFERROR(__xludf.DUMMYFUNCTION("IF($L158&lt;&gt;"""",IFERROR((FILTER(RawTotals!$AJ:$AJ,RawTotals!$A:$A=BE158)-(FILTER(Data!$K:$K,Data!$B:$B=BE158,Data!$D:$D=$L158)+FILTER(Data!$L:$L,Data!$B:$B=BE158,Data!$D:$D=$L158))),""""),"""")"),"")</f>
        <v/>
      </c>
      <c r="CP158" s="69" t="str">
        <f>IFERROR(__xludf.DUMMYFUNCTION("IF($L158&lt;&gt;"""",IFERROR((FILTER(RawTotals!$AJ:$AJ,RawTotals!$A:$A=BF158)-(FILTER(Data!$K:$K,Data!$B:$B=BF158,Data!$D:$D=$L158)+FILTER(Data!$L:$L,Data!$B:$B=BF158,Data!$D:$D=$L158))),""""),"""")"),"")</f>
        <v/>
      </c>
      <c r="CQ158" s="69" t="str">
        <f>IFERROR(__xludf.DUMMYFUNCTION("IF($M158&lt;&gt;"""",IFERROR((FILTER(RawTotals!$AJ:$AJ,RawTotals!$A:$A=BG158)-(FILTER(Data!$K:$K,Data!$B:$B=BG158,Data!$D:$D=$M158)+FILTER(Data!$L:$L,Data!$B:$B=BG158,Data!$D:$D=$M158))),""""),"""")"),"")</f>
        <v/>
      </c>
      <c r="CR158" s="69" t="str">
        <f>IFERROR(__xludf.DUMMYFUNCTION("IF($M158&lt;&gt;"""",IFERROR((FILTER(RawTotals!$AJ:$AJ,RawTotals!$A:$A=BH158)-(FILTER(Data!$K:$K,Data!$B:$B=BH158,Data!$D:$D=$M158)+FILTER(Data!$L:$L,Data!$B:$B=BH158,Data!$D:$D=$M158))),""""),"""")"),"")</f>
        <v/>
      </c>
      <c r="CS158" s="70" t="str">
        <f>IFERROR(__xludf.DUMMYFUNCTION("IF($M158&lt;&gt;"""",IFERROR((FILTER(RawTotals!$AJ:$AJ,RawTotals!$A:$A=BI158)-(FILTER(Data!$K:$K,Data!$B:$B=BI158,Data!$D:$D=$M158)+FILTER(Data!$L:$L,Data!$B:$B=BI158,Data!$D:$D=$M158))),""""),"""")"),"")</f>
        <v/>
      </c>
      <c r="CT158" s="16"/>
      <c r="CU158" s="16"/>
      <c r="CV158" s="16"/>
      <c r="CW158" s="16"/>
      <c r="CX158" s="16"/>
      <c r="CY158" s="16"/>
      <c r="CZ158" s="16"/>
      <c r="DA158" s="16"/>
      <c r="DB158" s="16"/>
      <c r="DC158" s="16"/>
      <c r="DD158" s="16"/>
      <c r="DE158" s="16"/>
    </row>
    <row r="159">
      <c r="A159" s="15"/>
      <c r="B159" s="16"/>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6"/>
      <c r="AD159" s="15"/>
      <c r="AE159" s="15"/>
      <c r="AF159" s="16"/>
      <c r="AG159" s="15"/>
      <c r="AH159" s="15"/>
      <c r="AI159" s="16"/>
      <c r="AJ159" s="15"/>
      <c r="AK159" s="15"/>
      <c r="AL159" s="16"/>
      <c r="AM159" s="15"/>
      <c r="AN159" s="15"/>
      <c r="AO159" s="16"/>
      <c r="AP159" s="15"/>
      <c r="AQ159" s="15"/>
      <c r="AR159" s="16"/>
      <c r="AS159" s="15"/>
      <c r="AT159" s="15"/>
      <c r="AU159" s="16"/>
      <c r="AV159" s="15"/>
      <c r="AW159" s="15"/>
      <c r="AX159" s="16"/>
      <c r="AY159" s="15"/>
      <c r="AZ159" s="15"/>
      <c r="BA159" s="16"/>
      <c r="BB159" s="16"/>
      <c r="BC159" s="16"/>
      <c r="BD159" s="16"/>
      <c r="BE159" s="16"/>
      <c r="BF159" s="16"/>
      <c r="BG159" s="16"/>
      <c r="BH159" s="16"/>
      <c r="BI159" s="16"/>
      <c r="BJ159" s="68" t="str">
        <f>IFERROR(__xludf.DUMMYFUNCTION("IF($B159&lt;&gt;"""",IFERROR(FILTER(RawTotals!$AJ:$AJ,RawTotals!$A:$A=Z159)-(FILTER(Data!$K:$K,Data!$B:$B=Z159,Data!$D:$D=$B159)+FILTER(Data!$L:$L,Data!$B:$B=Z159,Data!$D:$D=$B159)),""""),"""")"),"")</f>
        <v/>
      </c>
      <c r="BK159" s="68" t="str">
        <f>IFERROR(__xludf.DUMMYFUNCTION("IF($B159&lt;&gt;"""",IFERROR(FILTER(RawTotals!$AJ:$AJ,RawTotals!$A:$A=AA159)-(FILTER(Data!$K:$K,Data!$B:$B=AA159,Data!$D:$D=$B159)+FILTER(Data!$L:$L,Data!$B:$B=AA159,Data!$D:$D=$B159)),""""),"""")"),"")</f>
        <v/>
      </c>
      <c r="BL159" s="68" t="str">
        <f>IFERROR(__xludf.DUMMYFUNCTION("IF($B159&lt;&gt;"""",IFERROR(FILTER(RawTotals!$AJ:$AJ,RawTotals!$A:$A=AB159)-(FILTER(Data!$K:$K,Data!$B:$B=AB159,Data!$D:$D=$B159)+FILTER(Data!$L:$L,Data!$B:$B=AB159,Data!$D:$D=$B159)),""""),"""")"),"")</f>
        <v/>
      </c>
      <c r="BM159" s="69" t="str">
        <f>IFERROR(__xludf.DUMMYFUNCTION("IF($C159&lt;&gt;"""",IFERROR(FILTER(RawTotals!$AJ:$AJ,RawTotals!$A:$A=AC159)-(FILTER(Data!$K:$K,Data!$B:$B=AC159,Data!$D:$D=$C159)+FILTER(Data!$L:$L,Data!$B:$B=AC159,Data!$D:$D=$C159)),""""),"""")"),"")</f>
        <v/>
      </c>
      <c r="BN159" s="69" t="str">
        <f>IFERROR(__xludf.DUMMYFUNCTION("IF($C159&lt;&gt;"""",IFERROR(FILTER(RawTotals!$AJ:$AJ,RawTotals!$A:$A=AD159)-(FILTER(Data!$K:$K,Data!$B:$B=AD159,Data!$D:$D=$C159)+FILTER(Data!$L:$L,Data!$B:$B=AD159,Data!$D:$D=$C159)),""""),"""")"),"")</f>
        <v/>
      </c>
      <c r="BO159" s="69" t="str">
        <f>IFERROR(__xludf.DUMMYFUNCTION("IF($C159&lt;&gt;"""",IFERROR(FILTER(RawTotals!$AJ:$AJ,RawTotals!$A:$A=AE159)-(FILTER(Data!$K:$K,Data!$B:$B=AE159,Data!$D:$D=$C159)+FILTER(Data!$L:$L,Data!$B:$B=AE159,Data!$D:$D=$C159)),""""),"""")"),"")</f>
        <v/>
      </c>
      <c r="BP159" s="69" t="str">
        <f>IFERROR(__xludf.DUMMYFUNCTION("IF($D159&lt;&gt;"""",IFERROR(FILTER(RawTotals!$AJ:$AJ,RawTotals!$A:$A=AF159)-(FILTER(Data!$K:$K,Data!$B:$B=AF159,Data!$D:$D=$D159)+FILTER(Data!$L:$L,Data!$B:$B=AF159,Data!$D:$D=$D159)),""""),"""")"),"")</f>
        <v/>
      </c>
      <c r="BQ159" s="69" t="str">
        <f>IFERROR(__xludf.DUMMYFUNCTION("IF($D159&lt;&gt;"""",IFERROR(FILTER(RawTotals!$AJ:$AJ,RawTotals!$A:$A=AG159)-(FILTER(Data!$K:$K,Data!$B:$B=AG159,Data!$D:$D=$D159)+FILTER(Data!$L:$L,Data!$B:$B=AG159,Data!$D:$D=$D159)),""""),"""")"),"")</f>
        <v/>
      </c>
      <c r="BR159" s="69" t="str">
        <f>IFERROR(__xludf.DUMMYFUNCTION("IF($D159&lt;&gt;"""",IFERROR(FILTER(RawTotals!$AJ:$AJ,RawTotals!$A:$A=AH159)-(FILTER(Data!$K:$K,Data!$B:$B=AH159,Data!$D:$D=$D159)+FILTER(Data!$L:$L,Data!$B:$B=AH159,Data!$D:$D=$D159)),""""),"""")"),"")</f>
        <v/>
      </c>
      <c r="BS159" s="69" t="str">
        <f>IFERROR(__xludf.DUMMYFUNCTION("IF($E159&lt;&gt;"""",IFERROR(FILTER(RawTotals!$AJ:$AJ,RawTotals!$A:$A=AI159)-(FILTER(Data!$K:$K,Data!$B:$B=AI159,Data!$D:$D=$E159)+FILTER(Data!$L:$L,Data!$B:$B=AI159,Data!$D:$D=$E159)),""""),"""")"),"")</f>
        <v/>
      </c>
      <c r="BT159" s="69" t="str">
        <f>IFERROR(__xludf.DUMMYFUNCTION("IF($E159&lt;&gt;"""",IFERROR(FILTER(RawTotals!$AJ:$AJ,RawTotals!$A:$A=AJ159)-(FILTER(Data!$K:$K,Data!$B:$B=AJ159,Data!$D:$D=$E159)+FILTER(Data!$L:$L,Data!$B:$B=AJ159,Data!$D:$D=$E159)),""""),"""")"),"")</f>
        <v/>
      </c>
      <c r="BU159" s="69" t="str">
        <f>IFERROR(__xludf.DUMMYFUNCTION("IF($E159&lt;&gt;"""",IFERROR(FILTER(RawTotals!$AJ:$AJ,RawTotals!$A:$A=AK159)-(FILTER(Data!$K:$K,Data!$B:$B=AK159,Data!$D:$D=$E159)+FILTER(Data!$L:$L,Data!$B:$B=AK159,Data!$D:$D=$E159)),""""),"""")"),"")</f>
        <v/>
      </c>
      <c r="BV159" s="69" t="str">
        <f>IFERROR(__xludf.DUMMYFUNCTION("IF($F159&lt;&gt;"""",IFERROR(FILTER(RawTotals!$AJ:$AJ,RawTotals!$A:$A=AL159)-(FILTER(Data!$K:$K,Data!$B:$B=AL159,Data!$D:$D=$F159)+FILTER(Data!$L:$L,Data!$B:$B=AL159,Data!$D:$D=$F159)),""""),"""")"),"")</f>
        <v/>
      </c>
      <c r="BW159" s="69" t="str">
        <f>IFERROR(__xludf.DUMMYFUNCTION("IF($F159&lt;&gt;"""",IFERROR(FILTER(RawTotals!$AJ:$AJ,RawTotals!$A:$A=AM159)-(FILTER(Data!$K:$K,Data!$B:$B=AM159,Data!$D:$D=$F159)+FILTER(Data!$L:$L,Data!$B:$B=AM159,Data!$D:$D=$F159)),""""),"""")"),"")</f>
        <v/>
      </c>
      <c r="BX159" s="69" t="str">
        <f>IFERROR(__xludf.DUMMYFUNCTION("IF($F159&lt;&gt;"""",IFERROR(FILTER(RawTotals!$AJ:$AJ,RawTotals!$A:$A=AN159)-(FILTER(Data!$K:$K,Data!$B:$B=AN159,Data!$D:$D=$F159)+FILTER(Data!$L:$L,Data!$B:$B=AN159,Data!$D:$D=$F159)),""""),"""")"),"")</f>
        <v/>
      </c>
      <c r="BY159" s="69" t="str">
        <f>IFERROR(__xludf.DUMMYFUNCTION("IF($G159&lt;&gt;"""",IFERROR(FILTER(RawTotals!$AJ:$AJ,RawTotals!$A:$A=AO159)-(FILTER(Data!$K:$K,Data!$B:$B=AO159,Data!$D:$D=$G159)+FILTER(Data!$L:$L,Data!$B:$B=AO159,Data!$D:$D=$G159)),""""),"""")"),"")</f>
        <v/>
      </c>
      <c r="BZ159" s="69" t="str">
        <f>IFERROR(__xludf.DUMMYFUNCTION("IF($G159&lt;&gt;"""",IFERROR(FILTER(RawTotals!$AJ:$AJ,RawTotals!$A:$A=AP159)-(FILTER(Data!$K:$K,Data!$B:$B=AP159,Data!$D:$D=$G159)+FILTER(Data!$L:$L,Data!$B:$B=AP159,Data!$D:$D=$G159)),""""),"""")"),"")</f>
        <v/>
      </c>
      <c r="CA159" s="69" t="str">
        <f>IFERROR(__xludf.DUMMYFUNCTION("IF($G159&lt;&gt;"""",IFERROR(FILTER(RawTotals!$AJ:$AJ,RawTotals!$A:$A=AQ159)-(FILTER(Data!$K:$K,Data!$B:$B=AQ159,Data!$D:$D=$G159)+FILTER(Data!$L:$L,Data!$B:$B=AQ159,Data!$D:$D=$G159)),""""),"""")"),"")</f>
        <v/>
      </c>
      <c r="CB159" s="69" t="str">
        <f>IFERROR(__xludf.DUMMYFUNCTION("IF($H159&lt;&gt;"""",IFERROR(FILTER(RawTotals!$AJ:$AJ,RawTotals!$A:$A=AR159)-(FILTER(Data!$K:$K,Data!$B:$B=AR159,Data!$D:$D=$H159)+FILTER(Data!$L:$L,Data!$B:$B=AR159,Data!$D:$D=$H159)),""""),"""")"),"")</f>
        <v/>
      </c>
      <c r="CC159" s="69" t="str">
        <f>IFERROR(__xludf.DUMMYFUNCTION("IF($H159&lt;&gt;"""",IFERROR(FILTER(RawTotals!$AJ:$AJ,RawTotals!$A:$A=AS159)-(FILTER(Data!$K:$K,Data!$B:$B=AS159,Data!$D:$D=$H159)+FILTER(Data!$L:$L,Data!$B:$B=AS159,Data!$D:$D=$H159)),""""),"""")"),"")</f>
        <v/>
      </c>
      <c r="CD159" s="69" t="str">
        <f>IFERROR(__xludf.DUMMYFUNCTION("IF($H159&lt;&gt;"""",IFERROR(FILTER(RawTotals!$AJ:$AJ,RawTotals!$A:$A=AT159)-(FILTER(Data!$K:$K,Data!$B:$B=AT159,Data!$D:$D=$H159)+FILTER(Data!$L:$L,Data!$B:$B=AT159,Data!$D:$D=$H159)),""""),"""")"),"")</f>
        <v/>
      </c>
      <c r="CE159" s="69" t="str">
        <f>IFERROR(__xludf.DUMMYFUNCTION("IF($I159&lt;&gt;"""",IFERROR(FILTER(RawTotals!$AJ:$AJ,RawTotals!$A:$A=AU159)-(FILTER(Data!$K:$K,Data!$B:$B=AU159,Data!$D:$D=$I159)+FILTER(Data!$L:$L,Data!$B:$B=AU159,Data!$D:$D=$I159)),""""),"""")"),"")</f>
        <v/>
      </c>
      <c r="CF159" s="69" t="str">
        <f>IFERROR(__xludf.DUMMYFUNCTION("IF($I159&lt;&gt;"""",IFERROR(FILTER(RawTotals!$AJ:$AJ,RawTotals!$A:$A=AV159)-(FILTER(Data!$K:$K,Data!$B:$B=AV159,Data!$D:$D=$I159)+FILTER(Data!$L:$L,Data!$B:$B=AV159,Data!$D:$D=$I159)),""""),"""")"),"")</f>
        <v/>
      </c>
      <c r="CG159" s="69" t="str">
        <f>IFERROR(__xludf.DUMMYFUNCTION("IF($I159&lt;&gt;"""",IFERROR(FILTER(RawTotals!$AJ:$AJ,RawTotals!$A:$A=AW159)-(FILTER(Data!$K:$K,Data!$B:$B=AW159,Data!$D:$D=$I159)+FILTER(Data!$L:$L,Data!$B:$B=AW159,Data!$D:$D=$I159)),""""),"""")"),"")</f>
        <v/>
      </c>
      <c r="CH159" s="69" t="str">
        <f>IFERROR(__xludf.DUMMYFUNCTION("IF($J159&lt;&gt;"""",IFERROR(FILTER(RawTotals!$AJ:$AJ,RawTotals!$A:$A=AX159)-(FILTER(Data!$K:$K,Data!$B:$B=AX159,Data!$D:$D=$J159)+FILTER(Data!$L:$L,Data!$B:$B=AX159,Data!$D:$D=$J159)),""""),"""")"),"")</f>
        <v/>
      </c>
      <c r="CI159" s="69" t="str">
        <f>IFERROR(__xludf.DUMMYFUNCTION("IF($J159&lt;&gt;"""",IFERROR(FILTER(RawTotals!$AJ:$AJ,RawTotals!$A:$A=AY159)-(FILTER(Data!$K:$K,Data!$B:$B=AY159,Data!$D:$D=$J159)+FILTER(Data!$L:$L,Data!$B:$B=AY159,Data!$D:$D=$J159)),""""),"""")"),"")</f>
        <v/>
      </c>
      <c r="CJ159" s="69" t="str">
        <f>IFERROR(__xludf.DUMMYFUNCTION("IF($J159&lt;&gt;"""",IFERROR(FILTER(RawTotals!$AJ:$AJ,RawTotals!$A:$A=AZ159)-(FILTER(Data!$K:$K,Data!$B:$B=AZ159,Data!$D:$D=$J159)+FILTER(Data!$L:$L,Data!$B:$B=AZ159,Data!$D:$D=$J159)),""""),"""")"),"")</f>
        <v/>
      </c>
      <c r="CK159" s="69" t="str">
        <f>IFERROR(__xludf.DUMMYFUNCTION("IF($K159&lt;&gt;"""",IFERROR(FILTER(RawTotals!$AJ:$AJ,RawTotals!$A:$A=BA159)-(FILTER(Data!$K:$K,Data!$B:$B=BA159,Data!$D:$D=$K159)+FILTER(Data!$L:$L,Data!$B:$B=BA159,Data!$D:$D=$K159)),""""),"""")"),"")</f>
        <v/>
      </c>
      <c r="CL159" s="69" t="str">
        <f>IFERROR(__xludf.DUMMYFUNCTION("IF($K159&lt;&gt;"""",IFERROR(FILTER(RawTotals!$AJ:$AJ,RawTotals!$A:$A=BB159)-(FILTER(Data!$K:$K,Data!$B:$B=BB159,Data!$D:$D=$K159)+FILTER(Data!$L:$L,Data!$B:$B=BB159,Data!$D:$D=$K159)),""""),"""")"),"")</f>
        <v/>
      </c>
      <c r="CM159" s="69" t="str">
        <f>IFERROR(__xludf.DUMMYFUNCTION("IF($K159&lt;&gt;"""",IFERROR(FILTER(RawTotals!$AJ:$AJ,RawTotals!$A:$A=BC159)-(FILTER(Data!$K:$K,Data!$B:$B=BC159,Data!$D:$D=$K159)+FILTER(Data!$L:$L,Data!$B:$B=BC159,Data!$D:$D=$K159)),""""),"""")"),"")</f>
        <v/>
      </c>
      <c r="CN159" s="69" t="str">
        <f>IFERROR(__xludf.DUMMYFUNCTION("IF($L159&lt;&gt;"""",IFERROR((FILTER(RawTotals!$AJ:$AJ,RawTotals!$A:$A=BD159)-(FILTER(Data!$K:$K,Data!$B:$B=BD159,Data!$D:$D=$L159)+FILTER(Data!$L:$L,Data!$B:$B=BD159,Data!$D:$D=$L159))),""""),"""")"),"")</f>
        <v/>
      </c>
      <c r="CO159" s="69" t="str">
        <f>IFERROR(__xludf.DUMMYFUNCTION("IF($L159&lt;&gt;"""",IFERROR((FILTER(RawTotals!$AJ:$AJ,RawTotals!$A:$A=BE159)-(FILTER(Data!$K:$K,Data!$B:$B=BE159,Data!$D:$D=$L159)+FILTER(Data!$L:$L,Data!$B:$B=BE159,Data!$D:$D=$L159))),""""),"""")"),"")</f>
        <v/>
      </c>
      <c r="CP159" s="69" t="str">
        <f>IFERROR(__xludf.DUMMYFUNCTION("IF($L159&lt;&gt;"""",IFERROR((FILTER(RawTotals!$AJ:$AJ,RawTotals!$A:$A=BF159)-(FILTER(Data!$K:$K,Data!$B:$B=BF159,Data!$D:$D=$L159)+FILTER(Data!$L:$L,Data!$B:$B=BF159,Data!$D:$D=$L159))),""""),"""")"),"")</f>
        <v/>
      </c>
      <c r="CQ159" s="69" t="str">
        <f>IFERROR(__xludf.DUMMYFUNCTION("IF($M159&lt;&gt;"""",IFERROR((FILTER(RawTotals!$AJ:$AJ,RawTotals!$A:$A=BG159)-(FILTER(Data!$K:$K,Data!$B:$B=BG159,Data!$D:$D=$M159)+FILTER(Data!$L:$L,Data!$B:$B=BG159,Data!$D:$D=$M159))),""""),"""")"),"")</f>
        <v/>
      </c>
      <c r="CR159" s="69" t="str">
        <f>IFERROR(__xludf.DUMMYFUNCTION("IF($M159&lt;&gt;"""",IFERROR((FILTER(RawTotals!$AJ:$AJ,RawTotals!$A:$A=BH159)-(FILTER(Data!$K:$K,Data!$B:$B=BH159,Data!$D:$D=$M159)+FILTER(Data!$L:$L,Data!$B:$B=BH159,Data!$D:$D=$M159))),""""),"""")"),"")</f>
        <v/>
      </c>
      <c r="CS159" s="70" t="str">
        <f>IFERROR(__xludf.DUMMYFUNCTION("IF($M159&lt;&gt;"""",IFERROR((FILTER(RawTotals!$AJ:$AJ,RawTotals!$A:$A=BI159)-(FILTER(Data!$K:$K,Data!$B:$B=BI159,Data!$D:$D=$M159)+FILTER(Data!$L:$L,Data!$B:$B=BI159,Data!$D:$D=$M159))),""""),"""")"),"")</f>
        <v/>
      </c>
      <c r="CT159" s="16"/>
      <c r="CU159" s="16"/>
      <c r="CV159" s="16"/>
      <c r="CW159" s="16"/>
      <c r="CX159" s="16"/>
      <c r="CY159" s="16"/>
      <c r="CZ159" s="16"/>
      <c r="DA159" s="16"/>
      <c r="DB159" s="16"/>
      <c r="DC159" s="16"/>
      <c r="DD159" s="16"/>
      <c r="DE159" s="16"/>
    </row>
    <row r="160">
      <c r="A160" s="15"/>
      <c r="B160" s="16"/>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6"/>
      <c r="AD160" s="15"/>
      <c r="AE160" s="15"/>
      <c r="AF160" s="16"/>
      <c r="AG160" s="15"/>
      <c r="AH160" s="15"/>
      <c r="AI160" s="16"/>
      <c r="AJ160" s="15"/>
      <c r="AK160" s="15"/>
      <c r="AL160" s="16"/>
      <c r="AM160" s="15"/>
      <c r="AN160" s="15"/>
      <c r="AO160" s="16"/>
      <c r="AP160" s="15"/>
      <c r="AQ160" s="15"/>
      <c r="AR160" s="16"/>
      <c r="AS160" s="15"/>
      <c r="AT160" s="15"/>
      <c r="AU160" s="16"/>
      <c r="AV160" s="15"/>
      <c r="AW160" s="15"/>
      <c r="AX160" s="16"/>
      <c r="AY160" s="15"/>
      <c r="AZ160" s="15"/>
      <c r="BA160" s="16"/>
      <c r="BB160" s="16"/>
      <c r="BC160" s="16"/>
      <c r="BD160" s="16"/>
      <c r="BE160" s="16"/>
      <c r="BF160" s="16"/>
      <c r="BG160" s="16"/>
      <c r="BH160" s="16"/>
      <c r="BI160" s="16"/>
      <c r="BJ160" s="68" t="str">
        <f>IFERROR(__xludf.DUMMYFUNCTION("IF($B160&lt;&gt;"""",IFERROR(FILTER(RawTotals!$AJ:$AJ,RawTotals!$A:$A=Z160)-(FILTER(Data!$K:$K,Data!$B:$B=Z160,Data!$D:$D=$B160)+FILTER(Data!$L:$L,Data!$B:$B=Z160,Data!$D:$D=$B160)),""""),"""")"),"")</f>
        <v/>
      </c>
      <c r="BK160" s="68" t="str">
        <f>IFERROR(__xludf.DUMMYFUNCTION("IF($B160&lt;&gt;"""",IFERROR(FILTER(RawTotals!$AJ:$AJ,RawTotals!$A:$A=AA160)-(FILTER(Data!$K:$K,Data!$B:$B=AA160,Data!$D:$D=$B160)+FILTER(Data!$L:$L,Data!$B:$B=AA160,Data!$D:$D=$B160)),""""),"""")"),"")</f>
        <v/>
      </c>
      <c r="BL160" s="68" t="str">
        <f>IFERROR(__xludf.DUMMYFUNCTION("IF($B160&lt;&gt;"""",IFERROR(FILTER(RawTotals!$AJ:$AJ,RawTotals!$A:$A=AB160)-(FILTER(Data!$K:$K,Data!$B:$B=AB160,Data!$D:$D=$B160)+FILTER(Data!$L:$L,Data!$B:$B=AB160,Data!$D:$D=$B160)),""""),"""")"),"")</f>
        <v/>
      </c>
      <c r="BM160" s="69" t="str">
        <f>IFERROR(__xludf.DUMMYFUNCTION("IF($C160&lt;&gt;"""",IFERROR(FILTER(RawTotals!$AJ:$AJ,RawTotals!$A:$A=AC160)-(FILTER(Data!$K:$K,Data!$B:$B=AC160,Data!$D:$D=$C160)+FILTER(Data!$L:$L,Data!$B:$B=AC160,Data!$D:$D=$C160)),""""),"""")"),"")</f>
        <v/>
      </c>
      <c r="BN160" s="69" t="str">
        <f>IFERROR(__xludf.DUMMYFUNCTION("IF($C160&lt;&gt;"""",IFERROR(FILTER(RawTotals!$AJ:$AJ,RawTotals!$A:$A=AD160)-(FILTER(Data!$K:$K,Data!$B:$B=AD160,Data!$D:$D=$C160)+FILTER(Data!$L:$L,Data!$B:$B=AD160,Data!$D:$D=$C160)),""""),"""")"),"")</f>
        <v/>
      </c>
      <c r="BO160" s="69" t="str">
        <f>IFERROR(__xludf.DUMMYFUNCTION("IF($C160&lt;&gt;"""",IFERROR(FILTER(RawTotals!$AJ:$AJ,RawTotals!$A:$A=AE160)-(FILTER(Data!$K:$K,Data!$B:$B=AE160,Data!$D:$D=$C160)+FILTER(Data!$L:$L,Data!$B:$B=AE160,Data!$D:$D=$C160)),""""),"""")"),"")</f>
        <v/>
      </c>
      <c r="BP160" s="69" t="str">
        <f>IFERROR(__xludf.DUMMYFUNCTION("IF($D160&lt;&gt;"""",IFERROR(FILTER(RawTotals!$AJ:$AJ,RawTotals!$A:$A=AF160)-(FILTER(Data!$K:$K,Data!$B:$B=AF160,Data!$D:$D=$D160)+FILTER(Data!$L:$L,Data!$B:$B=AF160,Data!$D:$D=$D160)),""""),"""")"),"")</f>
        <v/>
      </c>
      <c r="BQ160" s="69" t="str">
        <f>IFERROR(__xludf.DUMMYFUNCTION("IF($D160&lt;&gt;"""",IFERROR(FILTER(RawTotals!$AJ:$AJ,RawTotals!$A:$A=AG160)-(FILTER(Data!$K:$K,Data!$B:$B=AG160,Data!$D:$D=$D160)+FILTER(Data!$L:$L,Data!$B:$B=AG160,Data!$D:$D=$D160)),""""),"""")"),"")</f>
        <v/>
      </c>
      <c r="BR160" s="69" t="str">
        <f>IFERROR(__xludf.DUMMYFUNCTION("IF($D160&lt;&gt;"""",IFERROR(FILTER(RawTotals!$AJ:$AJ,RawTotals!$A:$A=AH160)-(FILTER(Data!$K:$K,Data!$B:$B=AH160,Data!$D:$D=$D160)+FILTER(Data!$L:$L,Data!$B:$B=AH160,Data!$D:$D=$D160)),""""),"""")"),"")</f>
        <v/>
      </c>
      <c r="BS160" s="69" t="str">
        <f>IFERROR(__xludf.DUMMYFUNCTION("IF($E160&lt;&gt;"""",IFERROR(FILTER(RawTotals!$AJ:$AJ,RawTotals!$A:$A=AI160)-(FILTER(Data!$K:$K,Data!$B:$B=AI160,Data!$D:$D=$E160)+FILTER(Data!$L:$L,Data!$B:$B=AI160,Data!$D:$D=$E160)),""""),"""")"),"")</f>
        <v/>
      </c>
      <c r="BT160" s="69" t="str">
        <f>IFERROR(__xludf.DUMMYFUNCTION("IF($E160&lt;&gt;"""",IFERROR(FILTER(RawTotals!$AJ:$AJ,RawTotals!$A:$A=AJ160)-(FILTER(Data!$K:$K,Data!$B:$B=AJ160,Data!$D:$D=$E160)+FILTER(Data!$L:$L,Data!$B:$B=AJ160,Data!$D:$D=$E160)),""""),"""")"),"")</f>
        <v/>
      </c>
      <c r="BU160" s="69" t="str">
        <f>IFERROR(__xludf.DUMMYFUNCTION("IF($E160&lt;&gt;"""",IFERROR(FILTER(RawTotals!$AJ:$AJ,RawTotals!$A:$A=AK160)-(FILTER(Data!$K:$K,Data!$B:$B=AK160,Data!$D:$D=$E160)+FILTER(Data!$L:$L,Data!$B:$B=AK160,Data!$D:$D=$E160)),""""),"""")"),"")</f>
        <v/>
      </c>
      <c r="BV160" s="69" t="str">
        <f>IFERROR(__xludf.DUMMYFUNCTION("IF($F160&lt;&gt;"""",IFERROR(FILTER(RawTotals!$AJ:$AJ,RawTotals!$A:$A=AL160)-(FILTER(Data!$K:$K,Data!$B:$B=AL160,Data!$D:$D=$F160)+FILTER(Data!$L:$L,Data!$B:$B=AL160,Data!$D:$D=$F160)),""""),"""")"),"")</f>
        <v/>
      </c>
      <c r="BW160" s="69" t="str">
        <f>IFERROR(__xludf.DUMMYFUNCTION("IF($F160&lt;&gt;"""",IFERROR(FILTER(RawTotals!$AJ:$AJ,RawTotals!$A:$A=AM160)-(FILTER(Data!$K:$K,Data!$B:$B=AM160,Data!$D:$D=$F160)+FILTER(Data!$L:$L,Data!$B:$B=AM160,Data!$D:$D=$F160)),""""),"""")"),"")</f>
        <v/>
      </c>
      <c r="BX160" s="69" t="str">
        <f>IFERROR(__xludf.DUMMYFUNCTION("IF($F160&lt;&gt;"""",IFERROR(FILTER(RawTotals!$AJ:$AJ,RawTotals!$A:$A=AN160)-(FILTER(Data!$K:$K,Data!$B:$B=AN160,Data!$D:$D=$F160)+FILTER(Data!$L:$L,Data!$B:$B=AN160,Data!$D:$D=$F160)),""""),"""")"),"")</f>
        <v/>
      </c>
      <c r="BY160" s="69" t="str">
        <f>IFERROR(__xludf.DUMMYFUNCTION("IF($G160&lt;&gt;"""",IFERROR(FILTER(RawTotals!$AJ:$AJ,RawTotals!$A:$A=AO160)-(FILTER(Data!$K:$K,Data!$B:$B=AO160,Data!$D:$D=$G160)+FILTER(Data!$L:$L,Data!$B:$B=AO160,Data!$D:$D=$G160)),""""),"""")"),"")</f>
        <v/>
      </c>
      <c r="BZ160" s="69" t="str">
        <f>IFERROR(__xludf.DUMMYFUNCTION("IF($G160&lt;&gt;"""",IFERROR(FILTER(RawTotals!$AJ:$AJ,RawTotals!$A:$A=AP160)-(FILTER(Data!$K:$K,Data!$B:$B=AP160,Data!$D:$D=$G160)+FILTER(Data!$L:$L,Data!$B:$B=AP160,Data!$D:$D=$G160)),""""),"""")"),"")</f>
        <v/>
      </c>
      <c r="CA160" s="69" t="str">
        <f>IFERROR(__xludf.DUMMYFUNCTION("IF($G160&lt;&gt;"""",IFERROR(FILTER(RawTotals!$AJ:$AJ,RawTotals!$A:$A=AQ160)-(FILTER(Data!$K:$K,Data!$B:$B=AQ160,Data!$D:$D=$G160)+FILTER(Data!$L:$L,Data!$B:$B=AQ160,Data!$D:$D=$G160)),""""),"""")"),"")</f>
        <v/>
      </c>
      <c r="CB160" s="69" t="str">
        <f>IFERROR(__xludf.DUMMYFUNCTION("IF($H160&lt;&gt;"""",IFERROR(FILTER(RawTotals!$AJ:$AJ,RawTotals!$A:$A=AR160)-(FILTER(Data!$K:$K,Data!$B:$B=AR160,Data!$D:$D=$H160)+FILTER(Data!$L:$L,Data!$B:$B=AR160,Data!$D:$D=$H160)),""""),"""")"),"")</f>
        <v/>
      </c>
      <c r="CC160" s="69" t="str">
        <f>IFERROR(__xludf.DUMMYFUNCTION("IF($H160&lt;&gt;"""",IFERROR(FILTER(RawTotals!$AJ:$AJ,RawTotals!$A:$A=AS160)-(FILTER(Data!$K:$K,Data!$B:$B=AS160,Data!$D:$D=$H160)+FILTER(Data!$L:$L,Data!$B:$B=AS160,Data!$D:$D=$H160)),""""),"""")"),"")</f>
        <v/>
      </c>
      <c r="CD160" s="69" t="str">
        <f>IFERROR(__xludf.DUMMYFUNCTION("IF($H160&lt;&gt;"""",IFERROR(FILTER(RawTotals!$AJ:$AJ,RawTotals!$A:$A=AT160)-(FILTER(Data!$K:$K,Data!$B:$B=AT160,Data!$D:$D=$H160)+FILTER(Data!$L:$L,Data!$B:$B=AT160,Data!$D:$D=$H160)),""""),"""")"),"")</f>
        <v/>
      </c>
      <c r="CE160" s="69" t="str">
        <f>IFERROR(__xludf.DUMMYFUNCTION("IF($I160&lt;&gt;"""",IFERROR(FILTER(RawTotals!$AJ:$AJ,RawTotals!$A:$A=AU160)-(FILTER(Data!$K:$K,Data!$B:$B=AU160,Data!$D:$D=$I160)+FILTER(Data!$L:$L,Data!$B:$B=AU160,Data!$D:$D=$I160)),""""),"""")"),"")</f>
        <v/>
      </c>
      <c r="CF160" s="69" t="str">
        <f>IFERROR(__xludf.DUMMYFUNCTION("IF($I160&lt;&gt;"""",IFERROR(FILTER(RawTotals!$AJ:$AJ,RawTotals!$A:$A=AV160)-(FILTER(Data!$K:$K,Data!$B:$B=AV160,Data!$D:$D=$I160)+FILTER(Data!$L:$L,Data!$B:$B=AV160,Data!$D:$D=$I160)),""""),"""")"),"")</f>
        <v/>
      </c>
      <c r="CG160" s="69" t="str">
        <f>IFERROR(__xludf.DUMMYFUNCTION("IF($I160&lt;&gt;"""",IFERROR(FILTER(RawTotals!$AJ:$AJ,RawTotals!$A:$A=AW160)-(FILTER(Data!$K:$K,Data!$B:$B=AW160,Data!$D:$D=$I160)+FILTER(Data!$L:$L,Data!$B:$B=AW160,Data!$D:$D=$I160)),""""),"""")"),"")</f>
        <v/>
      </c>
      <c r="CH160" s="69" t="str">
        <f>IFERROR(__xludf.DUMMYFUNCTION("IF($J160&lt;&gt;"""",IFERROR(FILTER(RawTotals!$AJ:$AJ,RawTotals!$A:$A=AX160)-(FILTER(Data!$K:$K,Data!$B:$B=AX160,Data!$D:$D=$J160)+FILTER(Data!$L:$L,Data!$B:$B=AX160,Data!$D:$D=$J160)),""""),"""")"),"")</f>
        <v/>
      </c>
      <c r="CI160" s="69" t="str">
        <f>IFERROR(__xludf.DUMMYFUNCTION("IF($J160&lt;&gt;"""",IFERROR(FILTER(RawTotals!$AJ:$AJ,RawTotals!$A:$A=AY160)-(FILTER(Data!$K:$K,Data!$B:$B=AY160,Data!$D:$D=$J160)+FILTER(Data!$L:$L,Data!$B:$B=AY160,Data!$D:$D=$J160)),""""),"""")"),"")</f>
        <v/>
      </c>
      <c r="CJ160" s="69" t="str">
        <f>IFERROR(__xludf.DUMMYFUNCTION("IF($J160&lt;&gt;"""",IFERROR(FILTER(RawTotals!$AJ:$AJ,RawTotals!$A:$A=AZ160)-(FILTER(Data!$K:$K,Data!$B:$B=AZ160,Data!$D:$D=$J160)+FILTER(Data!$L:$L,Data!$B:$B=AZ160,Data!$D:$D=$J160)),""""),"""")"),"")</f>
        <v/>
      </c>
      <c r="CK160" s="69" t="str">
        <f>IFERROR(__xludf.DUMMYFUNCTION("IF($K160&lt;&gt;"""",IFERROR(FILTER(RawTotals!$AJ:$AJ,RawTotals!$A:$A=BA160)-(FILTER(Data!$K:$K,Data!$B:$B=BA160,Data!$D:$D=$K160)+FILTER(Data!$L:$L,Data!$B:$B=BA160,Data!$D:$D=$K160)),""""),"""")"),"")</f>
        <v/>
      </c>
      <c r="CL160" s="69" t="str">
        <f>IFERROR(__xludf.DUMMYFUNCTION("IF($K160&lt;&gt;"""",IFERROR(FILTER(RawTotals!$AJ:$AJ,RawTotals!$A:$A=BB160)-(FILTER(Data!$K:$K,Data!$B:$B=BB160,Data!$D:$D=$K160)+FILTER(Data!$L:$L,Data!$B:$B=BB160,Data!$D:$D=$K160)),""""),"""")"),"")</f>
        <v/>
      </c>
      <c r="CM160" s="69" t="str">
        <f>IFERROR(__xludf.DUMMYFUNCTION("IF($K160&lt;&gt;"""",IFERROR(FILTER(RawTotals!$AJ:$AJ,RawTotals!$A:$A=BC160)-(FILTER(Data!$K:$K,Data!$B:$B=BC160,Data!$D:$D=$K160)+FILTER(Data!$L:$L,Data!$B:$B=BC160,Data!$D:$D=$K160)),""""),"""")"),"")</f>
        <v/>
      </c>
      <c r="CN160" s="69" t="str">
        <f>IFERROR(__xludf.DUMMYFUNCTION("IF($L160&lt;&gt;"""",IFERROR((FILTER(RawTotals!$AJ:$AJ,RawTotals!$A:$A=BD160)-(FILTER(Data!$K:$K,Data!$B:$B=BD160,Data!$D:$D=$L160)+FILTER(Data!$L:$L,Data!$B:$B=BD160,Data!$D:$D=$L160))),""""),"""")"),"")</f>
        <v/>
      </c>
      <c r="CO160" s="69" t="str">
        <f>IFERROR(__xludf.DUMMYFUNCTION("IF($L160&lt;&gt;"""",IFERROR((FILTER(RawTotals!$AJ:$AJ,RawTotals!$A:$A=BE160)-(FILTER(Data!$K:$K,Data!$B:$B=BE160,Data!$D:$D=$L160)+FILTER(Data!$L:$L,Data!$B:$B=BE160,Data!$D:$D=$L160))),""""),"""")"),"")</f>
        <v/>
      </c>
      <c r="CP160" s="69" t="str">
        <f>IFERROR(__xludf.DUMMYFUNCTION("IF($L160&lt;&gt;"""",IFERROR((FILTER(RawTotals!$AJ:$AJ,RawTotals!$A:$A=BF160)-(FILTER(Data!$K:$K,Data!$B:$B=BF160,Data!$D:$D=$L160)+FILTER(Data!$L:$L,Data!$B:$B=BF160,Data!$D:$D=$L160))),""""),"""")"),"")</f>
        <v/>
      </c>
      <c r="CQ160" s="69" t="str">
        <f>IFERROR(__xludf.DUMMYFUNCTION("IF($M160&lt;&gt;"""",IFERROR((FILTER(RawTotals!$AJ:$AJ,RawTotals!$A:$A=BG160)-(FILTER(Data!$K:$K,Data!$B:$B=BG160,Data!$D:$D=$M160)+FILTER(Data!$L:$L,Data!$B:$B=BG160,Data!$D:$D=$M160))),""""),"""")"),"")</f>
        <v/>
      </c>
      <c r="CR160" s="69" t="str">
        <f>IFERROR(__xludf.DUMMYFUNCTION("IF($M160&lt;&gt;"""",IFERROR((FILTER(RawTotals!$AJ:$AJ,RawTotals!$A:$A=BH160)-(FILTER(Data!$K:$K,Data!$B:$B=BH160,Data!$D:$D=$M160)+FILTER(Data!$L:$L,Data!$B:$B=BH160,Data!$D:$D=$M160))),""""),"""")"),"")</f>
        <v/>
      </c>
      <c r="CS160" s="70" t="str">
        <f>IFERROR(__xludf.DUMMYFUNCTION("IF($M160&lt;&gt;"""",IFERROR((FILTER(RawTotals!$AJ:$AJ,RawTotals!$A:$A=BI160)-(FILTER(Data!$K:$K,Data!$B:$B=BI160,Data!$D:$D=$M160)+FILTER(Data!$L:$L,Data!$B:$B=BI160,Data!$D:$D=$M160))),""""),"""")"),"")</f>
        <v/>
      </c>
      <c r="CT160" s="16"/>
      <c r="CU160" s="16"/>
      <c r="CV160" s="16"/>
      <c r="CW160" s="16"/>
      <c r="CX160" s="16"/>
      <c r="CY160" s="16"/>
      <c r="CZ160" s="16"/>
      <c r="DA160" s="16"/>
      <c r="DB160" s="16"/>
      <c r="DC160" s="16"/>
      <c r="DD160" s="16"/>
      <c r="DE160" s="16"/>
    </row>
    <row r="161">
      <c r="A161" s="15"/>
      <c r="B161" s="16"/>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6"/>
      <c r="AD161" s="15"/>
      <c r="AE161" s="15"/>
      <c r="AF161" s="16"/>
      <c r="AG161" s="15"/>
      <c r="AH161" s="15"/>
      <c r="AI161" s="16"/>
      <c r="AJ161" s="15"/>
      <c r="AK161" s="15"/>
      <c r="AL161" s="16"/>
      <c r="AM161" s="15"/>
      <c r="AN161" s="15"/>
      <c r="AO161" s="16"/>
      <c r="AP161" s="15"/>
      <c r="AQ161" s="15"/>
      <c r="AR161" s="16"/>
      <c r="AS161" s="15"/>
      <c r="AT161" s="15"/>
      <c r="AU161" s="16"/>
      <c r="AV161" s="15"/>
      <c r="AW161" s="15"/>
      <c r="AX161" s="16"/>
      <c r="AY161" s="15"/>
      <c r="AZ161" s="15"/>
      <c r="BA161" s="16"/>
      <c r="BB161" s="16"/>
      <c r="BC161" s="16"/>
      <c r="BD161" s="16"/>
      <c r="BE161" s="16"/>
      <c r="BF161" s="16"/>
      <c r="BG161" s="16"/>
      <c r="BH161" s="16"/>
      <c r="BI161" s="16"/>
      <c r="BJ161" s="68" t="str">
        <f>IFERROR(__xludf.DUMMYFUNCTION("IF($B161&lt;&gt;"""",IFERROR(FILTER(RawTotals!$AJ:$AJ,RawTotals!$A:$A=Z161)-(FILTER(Data!$K:$K,Data!$B:$B=Z161,Data!$D:$D=$B161)+FILTER(Data!$L:$L,Data!$B:$B=Z161,Data!$D:$D=$B161)),""""),"""")"),"")</f>
        <v/>
      </c>
      <c r="BK161" s="68" t="str">
        <f>IFERROR(__xludf.DUMMYFUNCTION("IF($B161&lt;&gt;"""",IFERROR(FILTER(RawTotals!$AJ:$AJ,RawTotals!$A:$A=AA161)-(FILTER(Data!$K:$K,Data!$B:$B=AA161,Data!$D:$D=$B161)+FILTER(Data!$L:$L,Data!$B:$B=AA161,Data!$D:$D=$B161)),""""),"""")"),"")</f>
        <v/>
      </c>
      <c r="BL161" s="68" t="str">
        <f>IFERROR(__xludf.DUMMYFUNCTION("IF($B161&lt;&gt;"""",IFERROR(FILTER(RawTotals!$AJ:$AJ,RawTotals!$A:$A=AB161)-(FILTER(Data!$K:$K,Data!$B:$B=AB161,Data!$D:$D=$B161)+FILTER(Data!$L:$L,Data!$B:$B=AB161,Data!$D:$D=$B161)),""""),"""")"),"")</f>
        <v/>
      </c>
      <c r="BM161" s="69" t="str">
        <f>IFERROR(__xludf.DUMMYFUNCTION("IF($C161&lt;&gt;"""",IFERROR(FILTER(RawTotals!$AJ:$AJ,RawTotals!$A:$A=AC161)-(FILTER(Data!$K:$K,Data!$B:$B=AC161,Data!$D:$D=$C161)+FILTER(Data!$L:$L,Data!$B:$B=AC161,Data!$D:$D=$C161)),""""),"""")"),"")</f>
        <v/>
      </c>
      <c r="BN161" s="69" t="str">
        <f>IFERROR(__xludf.DUMMYFUNCTION("IF($C161&lt;&gt;"""",IFERROR(FILTER(RawTotals!$AJ:$AJ,RawTotals!$A:$A=AD161)-(FILTER(Data!$K:$K,Data!$B:$B=AD161,Data!$D:$D=$C161)+FILTER(Data!$L:$L,Data!$B:$B=AD161,Data!$D:$D=$C161)),""""),"""")"),"")</f>
        <v/>
      </c>
      <c r="BO161" s="69" t="str">
        <f>IFERROR(__xludf.DUMMYFUNCTION("IF($C161&lt;&gt;"""",IFERROR(FILTER(RawTotals!$AJ:$AJ,RawTotals!$A:$A=AE161)-(FILTER(Data!$K:$K,Data!$B:$B=AE161,Data!$D:$D=$C161)+FILTER(Data!$L:$L,Data!$B:$B=AE161,Data!$D:$D=$C161)),""""),"""")"),"")</f>
        <v/>
      </c>
      <c r="BP161" s="69" t="str">
        <f>IFERROR(__xludf.DUMMYFUNCTION("IF($D161&lt;&gt;"""",IFERROR(FILTER(RawTotals!$AJ:$AJ,RawTotals!$A:$A=AF161)-(FILTER(Data!$K:$K,Data!$B:$B=AF161,Data!$D:$D=$D161)+FILTER(Data!$L:$L,Data!$B:$B=AF161,Data!$D:$D=$D161)),""""),"""")"),"")</f>
        <v/>
      </c>
      <c r="BQ161" s="69" t="str">
        <f>IFERROR(__xludf.DUMMYFUNCTION("IF($D161&lt;&gt;"""",IFERROR(FILTER(RawTotals!$AJ:$AJ,RawTotals!$A:$A=AG161)-(FILTER(Data!$K:$K,Data!$B:$B=AG161,Data!$D:$D=$D161)+FILTER(Data!$L:$L,Data!$B:$B=AG161,Data!$D:$D=$D161)),""""),"""")"),"")</f>
        <v/>
      </c>
      <c r="BR161" s="69" t="str">
        <f>IFERROR(__xludf.DUMMYFUNCTION("IF($D161&lt;&gt;"""",IFERROR(FILTER(RawTotals!$AJ:$AJ,RawTotals!$A:$A=AH161)-(FILTER(Data!$K:$K,Data!$B:$B=AH161,Data!$D:$D=$D161)+FILTER(Data!$L:$L,Data!$B:$B=AH161,Data!$D:$D=$D161)),""""),"""")"),"")</f>
        <v/>
      </c>
      <c r="BS161" s="69" t="str">
        <f>IFERROR(__xludf.DUMMYFUNCTION("IF($E161&lt;&gt;"""",IFERROR(FILTER(RawTotals!$AJ:$AJ,RawTotals!$A:$A=AI161)-(FILTER(Data!$K:$K,Data!$B:$B=AI161,Data!$D:$D=$E161)+FILTER(Data!$L:$L,Data!$B:$B=AI161,Data!$D:$D=$E161)),""""),"""")"),"")</f>
        <v/>
      </c>
      <c r="BT161" s="69" t="str">
        <f>IFERROR(__xludf.DUMMYFUNCTION("IF($E161&lt;&gt;"""",IFERROR(FILTER(RawTotals!$AJ:$AJ,RawTotals!$A:$A=AJ161)-(FILTER(Data!$K:$K,Data!$B:$B=AJ161,Data!$D:$D=$E161)+FILTER(Data!$L:$L,Data!$B:$B=AJ161,Data!$D:$D=$E161)),""""),"""")"),"")</f>
        <v/>
      </c>
      <c r="BU161" s="69" t="str">
        <f>IFERROR(__xludf.DUMMYFUNCTION("IF($E161&lt;&gt;"""",IFERROR(FILTER(RawTotals!$AJ:$AJ,RawTotals!$A:$A=AK161)-(FILTER(Data!$K:$K,Data!$B:$B=AK161,Data!$D:$D=$E161)+FILTER(Data!$L:$L,Data!$B:$B=AK161,Data!$D:$D=$E161)),""""),"""")"),"")</f>
        <v/>
      </c>
      <c r="BV161" s="69" t="str">
        <f>IFERROR(__xludf.DUMMYFUNCTION("IF($F161&lt;&gt;"""",IFERROR(FILTER(RawTotals!$AJ:$AJ,RawTotals!$A:$A=AL161)-(FILTER(Data!$K:$K,Data!$B:$B=AL161,Data!$D:$D=$F161)+FILTER(Data!$L:$L,Data!$B:$B=AL161,Data!$D:$D=$F161)),""""),"""")"),"")</f>
        <v/>
      </c>
      <c r="BW161" s="69" t="str">
        <f>IFERROR(__xludf.DUMMYFUNCTION("IF($F161&lt;&gt;"""",IFERROR(FILTER(RawTotals!$AJ:$AJ,RawTotals!$A:$A=AM161)-(FILTER(Data!$K:$K,Data!$B:$B=AM161,Data!$D:$D=$F161)+FILTER(Data!$L:$L,Data!$B:$B=AM161,Data!$D:$D=$F161)),""""),"""")"),"")</f>
        <v/>
      </c>
      <c r="BX161" s="69" t="str">
        <f>IFERROR(__xludf.DUMMYFUNCTION("IF($F161&lt;&gt;"""",IFERROR(FILTER(RawTotals!$AJ:$AJ,RawTotals!$A:$A=AN161)-(FILTER(Data!$K:$K,Data!$B:$B=AN161,Data!$D:$D=$F161)+FILTER(Data!$L:$L,Data!$B:$B=AN161,Data!$D:$D=$F161)),""""),"""")"),"")</f>
        <v/>
      </c>
      <c r="BY161" s="69" t="str">
        <f>IFERROR(__xludf.DUMMYFUNCTION("IF($G161&lt;&gt;"""",IFERROR(FILTER(RawTotals!$AJ:$AJ,RawTotals!$A:$A=AO161)-(FILTER(Data!$K:$K,Data!$B:$B=AO161,Data!$D:$D=$G161)+FILTER(Data!$L:$L,Data!$B:$B=AO161,Data!$D:$D=$G161)),""""),"""")"),"")</f>
        <v/>
      </c>
      <c r="BZ161" s="69" t="str">
        <f>IFERROR(__xludf.DUMMYFUNCTION("IF($G161&lt;&gt;"""",IFERROR(FILTER(RawTotals!$AJ:$AJ,RawTotals!$A:$A=AP161)-(FILTER(Data!$K:$K,Data!$B:$B=AP161,Data!$D:$D=$G161)+FILTER(Data!$L:$L,Data!$B:$B=AP161,Data!$D:$D=$G161)),""""),"""")"),"")</f>
        <v/>
      </c>
      <c r="CA161" s="69" t="str">
        <f>IFERROR(__xludf.DUMMYFUNCTION("IF($G161&lt;&gt;"""",IFERROR(FILTER(RawTotals!$AJ:$AJ,RawTotals!$A:$A=AQ161)-(FILTER(Data!$K:$K,Data!$B:$B=AQ161,Data!$D:$D=$G161)+FILTER(Data!$L:$L,Data!$B:$B=AQ161,Data!$D:$D=$G161)),""""),"""")"),"")</f>
        <v/>
      </c>
      <c r="CB161" s="69" t="str">
        <f>IFERROR(__xludf.DUMMYFUNCTION("IF($H161&lt;&gt;"""",IFERROR(FILTER(RawTotals!$AJ:$AJ,RawTotals!$A:$A=AR161)-(FILTER(Data!$K:$K,Data!$B:$B=AR161,Data!$D:$D=$H161)+FILTER(Data!$L:$L,Data!$B:$B=AR161,Data!$D:$D=$H161)),""""),"""")"),"")</f>
        <v/>
      </c>
      <c r="CC161" s="69" t="str">
        <f>IFERROR(__xludf.DUMMYFUNCTION("IF($H161&lt;&gt;"""",IFERROR(FILTER(RawTotals!$AJ:$AJ,RawTotals!$A:$A=AS161)-(FILTER(Data!$K:$K,Data!$B:$B=AS161,Data!$D:$D=$H161)+FILTER(Data!$L:$L,Data!$B:$B=AS161,Data!$D:$D=$H161)),""""),"""")"),"")</f>
        <v/>
      </c>
      <c r="CD161" s="69" t="str">
        <f>IFERROR(__xludf.DUMMYFUNCTION("IF($H161&lt;&gt;"""",IFERROR(FILTER(RawTotals!$AJ:$AJ,RawTotals!$A:$A=AT161)-(FILTER(Data!$K:$K,Data!$B:$B=AT161,Data!$D:$D=$H161)+FILTER(Data!$L:$L,Data!$B:$B=AT161,Data!$D:$D=$H161)),""""),"""")"),"")</f>
        <v/>
      </c>
      <c r="CE161" s="69" t="str">
        <f>IFERROR(__xludf.DUMMYFUNCTION("IF($I161&lt;&gt;"""",IFERROR(FILTER(RawTotals!$AJ:$AJ,RawTotals!$A:$A=AU161)-(FILTER(Data!$K:$K,Data!$B:$B=AU161,Data!$D:$D=$I161)+FILTER(Data!$L:$L,Data!$B:$B=AU161,Data!$D:$D=$I161)),""""),"""")"),"")</f>
        <v/>
      </c>
      <c r="CF161" s="69" t="str">
        <f>IFERROR(__xludf.DUMMYFUNCTION("IF($I161&lt;&gt;"""",IFERROR(FILTER(RawTotals!$AJ:$AJ,RawTotals!$A:$A=AV161)-(FILTER(Data!$K:$K,Data!$B:$B=AV161,Data!$D:$D=$I161)+FILTER(Data!$L:$L,Data!$B:$B=AV161,Data!$D:$D=$I161)),""""),"""")"),"")</f>
        <v/>
      </c>
      <c r="CG161" s="69" t="str">
        <f>IFERROR(__xludf.DUMMYFUNCTION("IF($I161&lt;&gt;"""",IFERROR(FILTER(RawTotals!$AJ:$AJ,RawTotals!$A:$A=AW161)-(FILTER(Data!$K:$K,Data!$B:$B=AW161,Data!$D:$D=$I161)+FILTER(Data!$L:$L,Data!$B:$B=AW161,Data!$D:$D=$I161)),""""),"""")"),"")</f>
        <v/>
      </c>
      <c r="CH161" s="69" t="str">
        <f>IFERROR(__xludf.DUMMYFUNCTION("IF($J161&lt;&gt;"""",IFERROR(FILTER(RawTotals!$AJ:$AJ,RawTotals!$A:$A=AX161)-(FILTER(Data!$K:$K,Data!$B:$B=AX161,Data!$D:$D=$J161)+FILTER(Data!$L:$L,Data!$B:$B=AX161,Data!$D:$D=$J161)),""""),"""")"),"")</f>
        <v/>
      </c>
      <c r="CI161" s="69" t="str">
        <f>IFERROR(__xludf.DUMMYFUNCTION("IF($J161&lt;&gt;"""",IFERROR(FILTER(RawTotals!$AJ:$AJ,RawTotals!$A:$A=AY161)-(FILTER(Data!$K:$K,Data!$B:$B=AY161,Data!$D:$D=$J161)+FILTER(Data!$L:$L,Data!$B:$B=AY161,Data!$D:$D=$J161)),""""),"""")"),"")</f>
        <v/>
      </c>
      <c r="CJ161" s="69" t="str">
        <f>IFERROR(__xludf.DUMMYFUNCTION("IF($J161&lt;&gt;"""",IFERROR(FILTER(RawTotals!$AJ:$AJ,RawTotals!$A:$A=AZ161)-(FILTER(Data!$K:$K,Data!$B:$B=AZ161,Data!$D:$D=$J161)+FILTER(Data!$L:$L,Data!$B:$B=AZ161,Data!$D:$D=$J161)),""""),"""")"),"")</f>
        <v/>
      </c>
      <c r="CK161" s="69" t="str">
        <f>IFERROR(__xludf.DUMMYFUNCTION("IF($K161&lt;&gt;"""",IFERROR(FILTER(RawTotals!$AJ:$AJ,RawTotals!$A:$A=BA161)-(FILTER(Data!$K:$K,Data!$B:$B=BA161,Data!$D:$D=$K161)+FILTER(Data!$L:$L,Data!$B:$B=BA161,Data!$D:$D=$K161)),""""),"""")"),"")</f>
        <v/>
      </c>
      <c r="CL161" s="69" t="str">
        <f>IFERROR(__xludf.DUMMYFUNCTION("IF($K161&lt;&gt;"""",IFERROR(FILTER(RawTotals!$AJ:$AJ,RawTotals!$A:$A=BB161)-(FILTER(Data!$K:$K,Data!$B:$B=BB161,Data!$D:$D=$K161)+FILTER(Data!$L:$L,Data!$B:$B=BB161,Data!$D:$D=$K161)),""""),"""")"),"")</f>
        <v/>
      </c>
      <c r="CM161" s="69" t="str">
        <f>IFERROR(__xludf.DUMMYFUNCTION("IF($K161&lt;&gt;"""",IFERROR(FILTER(RawTotals!$AJ:$AJ,RawTotals!$A:$A=BC161)-(FILTER(Data!$K:$K,Data!$B:$B=BC161,Data!$D:$D=$K161)+FILTER(Data!$L:$L,Data!$B:$B=BC161,Data!$D:$D=$K161)),""""),"""")"),"")</f>
        <v/>
      </c>
      <c r="CN161" s="69" t="str">
        <f>IFERROR(__xludf.DUMMYFUNCTION("IF($L161&lt;&gt;"""",IFERROR((FILTER(RawTotals!$AJ:$AJ,RawTotals!$A:$A=BD161)-(FILTER(Data!$K:$K,Data!$B:$B=BD161,Data!$D:$D=$L161)+FILTER(Data!$L:$L,Data!$B:$B=BD161,Data!$D:$D=$L161))),""""),"""")"),"")</f>
        <v/>
      </c>
      <c r="CO161" s="69" t="str">
        <f>IFERROR(__xludf.DUMMYFUNCTION("IF($L161&lt;&gt;"""",IFERROR((FILTER(RawTotals!$AJ:$AJ,RawTotals!$A:$A=BE161)-(FILTER(Data!$K:$K,Data!$B:$B=BE161,Data!$D:$D=$L161)+FILTER(Data!$L:$L,Data!$B:$B=BE161,Data!$D:$D=$L161))),""""),"""")"),"")</f>
        <v/>
      </c>
      <c r="CP161" s="69" t="str">
        <f>IFERROR(__xludf.DUMMYFUNCTION("IF($L161&lt;&gt;"""",IFERROR((FILTER(RawTotals!$AJ:$AJ,RawTotals!$A:$A=BF161)-(FILTER(Data!$K:$K,Data!$B:$B=BF161,Data!$D:$D=$L161)+FILTER(Data!$L:$L,Data!$B:$B=BF161,Data!$D:$D=$L161))),""""),"""")"),"")</f>
        <v/>
      </c>
      <c r="CQ161" s="69" t="str">
        <f>IFERROR(__xludf.DUMMYFUNCTION("IF($M161&lt;&gt;"""",IFERROR((FILTER(RawTotals!$AJ:$AJ,RawTotals!$A:$A=BG161)-(FILTER(Data!$K:$K,Data!$B:$B=BG161,Data!$D:$D=$M161)+FILTER(Data!$L:$L,Data!$B:$B=BG161,Data!$D:$D=$M161))),""""),"""")"),"")</f>
        <v/>
      </c>
      <c r="CR161" s="69" t="str">
        <f>IFERROR(__xludf.DUMMYFUNCTION("IF($M161&lt;&gt;"""",IFERROR((FILTER(RawTotals!$AJ:$AJ,RawTotals!$A:$A=BH161)-(FILTER(Data!$K:$K,Data!$B:$B=BH161,Data!$D:$D=$M161)+FILTER(Data!$L:$L,Data!$B:$B=BH161,Data!$D:$D=$M161))),""""),"""")"),"")</f>
        <v/>
      </c>
      <c r="CS161" s="70" t="str">
        <f>IFERROR(__xludf.DUMMYFUNCTION("IF($M161&lt;&gt;"""",IFERROR((FILTER(RawTotals!$AJ:$AJ,RawTotals!$A:$A=BI161)-(FILTER(Data!$K:$K,Data!$B:$B=BI161,Data!$D:$D=$M161)+FILTER(Data!$L:$L,Data!$B:$B=BI161,Data!$D:$D=$M161))),""""),"""")"),"")</f>
        <v/>
      </c>
      <c r="CT161" s="16"/>
      <c r="CU161" s="16"/>
      <c r="CV161" s="16"/>
      <c r="CW161" s="16"/>
      <c r="CX161" s="16"/>
      <c r="CY161" s="16"/>
      <c r="CZ161" s="16"/>
      <c r="DA161" s="16"/>
      <c r="DB161" s="16"/>
      <c r="DC161" s="16"/>
      <c r="DD161" s="16"/>
      <c r="DE161" s="16"/>
    </row>
    <row r="162">
      <c r="A162" s="15"/>
      <c r="B162" s="16"/>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6"/>
      <c r="AD162" s="15"/>
      <c r="AE162" s="15"/>
      <c r="AF162" s="16"/>
      <c r="AG162" s="15"/>
      <c r="AH162" s="15"/>
      <c r="AI162" s="16"/>
      <c r="AJ162" s="15"/>
      <c r="AK162" s="15"/>
      <c r="AL162" s="16"/>
      <c r="AM162" s="15"/>
      <c r="AN162" s="15"/>
      <c r="AO162" s="16"/>
      <c r="AP162" s="15"/>
      <c r="AQ162" s="15"/>
      <c r="AR162" s="16"/>
      <c r="AS162" s="15"/>
      <c r="AT162" s="15"/>
      <c r="AU162" s="16"/>
      <c r="AV162" s="15"/>
      <c r="AW162" s="15"/>
      <c r="AX162" s="16"/>
      <c r="AY162" s="15"/>
      <c r="AZ162" s="15"/>
      <c r="BA162" s="16"/>
      <c r="BB162" s="16"/>
      <c r="BC162" s="16"/>
      <c r="BD162" s="16"/>
      <c r="BE162" s="16"/>
      <c r="BF162" s="16"/>
      <c r="BG162" s="16"/>
      <c r="BH162" s="16"/>
      <c r="BI162" s="16"/>
      <c r="BJ162" s="68" t="str">
        <f>IFERROR(__xludf.DUMMYFUNCTION("IF($B162&lt;&gt;"""",IFERROR(FILTER(RawTotals!$AJ:$AJ,RawTotals!$A:$A=Z162)-(FILTER(Data!$K:$K,Data!$B:$B=Z162,Data!$D:$D=$B162)+FILTER(Data!$L:$L,Data!$B:$B=Z162,Data!$D:$D=$B162)),""""),"""")"),"")</f>
        <v/>
      </c>
      <c r="BK162" s="68" t="str">
        <f>IFERROR(__xludf.DUMMYFUNCTION("IF($B162&lt;&gt;"""",IFERROR(FILTER(RawTotals!$AJ:$AJ,RawTotals!$A:$A=AA162)-(FILTER(Data!$K:$K,Data!$B:$B=AA162,Data!$D:$D=$B162)+FILTER(Data!$L:$L,Data!$B:$B=AA162,Data!$D:$D=$B162)),""""),"""")"),"")</f>
        <v/>
      </c>
      <c r="BL162" s="68" t="str">
        <f>IFERROR(__xludf.DUMMYFUNCTION("IF($B162&lt;&gt;"""",IFERROR(FILTER(RawTotals!$AJ:$AJ,RawTotals!$A:$A=AB162)-(FILTER(Data!$K:$K,Data!$B:$B=AB162,Data!$D:$D=$B162)+FILTER(Data!$L:$L,Data!$B:$B=AB162,Data!$D:$D=$B162)),""""),"""")"),"")</f>
        <v/>
      </c>
      <c r="BM162" s="69" t="str">
        <f>IFERROR(__xludf.DUMMYFUNCTION("IF($C162&lt;&gt;"""",IFERROR(FILTER(RawTotals!$AJ:$AJ,RawTotals!$A:$A=AC162)-(FILTER(Data!$K:$K,Data!$B:$B=AC162,Data!$D:$D=$C162)+FILTER(Data!$L:$L,Data!$B:$B=AC162,Data!$D:$D=$C162)),""""),"""")"),"")</f>
        <v/>
      </c>
      <c r="BN162" s="69" t="str">
        <f>IFERROR(__xludf.DUMMYFUNCTION("IF($C162&lt;&gt;"""",IFERROR(FILTER(RawTotals!$AJ:$AJ,RawTotals!$A:$A=AD162)-(FILTER(Data!$K:$K,Data!$B:$B=AD162,Data!$D:$D=$C162)+FILTER(Data!$L:$L,Data!$B:$B=AD162,Data!$D:$D=$C162)),""""),"""")"),"")</f>
        <v/>
      </c>
      <c r="BO162" s="69" t="str">
        <f>IFERROR(__xludf.DUMMYFUNCTION("IF($C162&lt;&gt;"""",IFERROR(FILTER(RawTotals!$AJ:$AJ,RawTotals!$A:$A=AE162)-(FILTER(Data!$K:$K,Data!$B:$B=AE162,Data!$D:$D=$C162)+FILTER(Data!$L:$L,Data!$B:$B=AE162,Data!$D:$D=$C162)),""""),"""")"),"")</f>
        <v/>
      </c>
      <c r="BP162" s="69" t="str">
        <f>IFERROR(__xludf.DUMMYFUNCTION("IF($D162&lt;&gt;"""",IFERROR(FILTER(RawTotals!$AJ:$AJ,RawTotals!$A:$A=AF162)-(FILTER(Data!$K:$K,Data!$B:$B=AF162,Data!$D:$D=$D162)+FILTER(Data!$L:$L,Data!$B:$B=AF162,Data!$D:$D=$D162)),""""),"""")"),"")</f>
        <v/>
      </c>
      <c r="BQ162" s="69" t="str">
        <f>IFERROR(__xludf.DUMMYFUNCTION("IF($D162&lt;&gt;"""",IFERROR(FILTER(RawTotals!$AJ:$AJ,RawTotals!$A:$A=AG162)-(FILTER(Data!$K:$K,Data!$B:$B=AG162,Data!$D:$D=$D162)+FILTER(Data!$L:$L,Data!$B:$B=AG162,Data!$D:$D=$D162)),""""),"""")"),"")</f>
        <v/>
      </c>
      <c r="BR162" s="69" t="str">
        <f>IFERROR(__xludf.DUMMYFUNCTION("IF($D162&lt;&gt;"""",IFERROR(FILTER(RawTotals!$AJ:$AJ,RawTotals!$A:$A=AH162)-(FILTER(Data!$K:$K,Data!$B:$B=AH162,Data!$D:$D=$D162)+FILTER(Data!$L:$L,Data!$B:$B=AH162,Data!$D:$D=$D162)),""""),"""")"),"")</f>
        <v/>
      </c>
      <c r="BS162" s="69" t="str">
        <f>IFERROR(__xludf.DUMMYFUNCTION("IF($E162&lt;&gt;"""",IFERROR(FILTER(RawTotals!$AJ:$AJ,RawTotals!$A:$A=AI162)-(FILTER(Data!$K:$K,Data!$B:$B=AI162,Data!$D:$D=$E162)+FILTER(Data!$L:$L,Data!$B:$B=AI162,Data!$D:$D=$E162)),""""),"""")"),"")</f>
        <v/>
      </c>
      <c r="BT162" s="69" t="str">
        <f>IFERROR(__xludf.DUMMYFUNCTION("IF($E162&lt;&gt;"""",IFERROR(FILTER(RawTotals!$AJ:$AJ,RawTotals!$A:$A=AJ162)-(FILTER(Data!$K:$K,Data!$B:$B=AJ162,Data!$D:$D=$E162)+FILTER(Data!$L:$L,Data!$B:$B=AJ162,Data!$D:$D=$E162)),""""),"""")"),"")</f>
        <v/>
      </c>
      <c r="BU162" s="69" t="str">
        <f>IFERROR(__xludf.DUMMYFUNCTION("IF($E162&lt;&gt;"""",IFERROR(FILTER(RawTotals!$AJ:$AJ,RawTotals!$A:$A=AK162)-(FILTER(Data!$K:$K,Data!$B:$B=AK162,Data!$D:$D=$E162)+FILTER(Data!$L:$L,Data!$B:$B=AK162,Data!$D:$D=$E162)),""""),"""")"),"")</f>
        <v/>
      </c>
      <c r="BV162" s="69" t="str">
        <f>IFERROR(__xludf.DUMMYFUNCTION("IF($F162&lt;&gt;"""",IFERROR(FILTER(RawTotals!$AJ:$AJ,RawTotals!$A:$A=AL162)-(FILTER(Data!$K:$K,Data!$B:$B=AL162,Data!$D:$D=$F162)+FILTER(Data!$L:$L,Data!$B:$B=AL162,Data!$D:$D=$F162)),""""),"""")"),"")</f>
        <v/>
      </c>
      <c r="BW162" s="69" t="str">
        <f>IFERROR(__xludf.DUMMYFUNCTION("IF($F162&lt;&gt;"""",IFERROR(FILTER(RawTotals!$AJ:$AJ,RawTotals!$A:$A=AM162)-(FILTER(Data!$K:$K,Data!$B:$B=AM162,Data!$D:$D=$F162)+FILTER(Data!$L:$L,Data!$B:$B=AM162,Data!$D:$D=$F162)),""""),"""")"),"")</f>
        <v/>
      </c>
      <c r="BX162" s="69" t="str">
        <f>IFERROR(__xludf.DUMMYFUNCTION("IF($F162&lt;&gt;"""",IFERROR(FILTER(RawTotals!$AJ:$AJ,RawTotals!$A:$A=AN162)-(FILTER(Data!$K:$K,Data!$B:$B=AN162,Data!$D:$D=$F162)+FILTER(Data!$L:$L,Data!$B:$B=AN162,Data!$D:$D=$F162)),""""),"""")"),"")</f>
        <v/>
      </c>
      <c r="BY162" s="69" t="str">
        <f>IFERROR(__xludf.DUMMYFUNCTION("IF($G162&lt;&gt;"""",IFERROR(FILTER(RawTotals!$AJ:$AJ,RawTotals!$A:$A=AO162)-(FILTER(Data!$K:$K,Data!$B:$B=AO162,Data!$D:$D=$G162)+FILTER(Data!$L:$L,Data!$B:$B=AO162,Data!$D:$D=$G162)),""""),"""")"),"")</f>
        <v/>
      </c>
      <c r="BZ162" s="69" t="str">
        <f>IFERROR(__xludf.DUMMYFUNCTION("IF($G162&lt;&gt;"""",IFERROR(FILTER(RawTotals!$AJ:$AJ,RawTotals!$A:$A=AP162)-(FILTER(Data!$K:$K,Data!$B:$B=AP162,Data!$D:$D=$G162)+FILTER(Data!$L:$L,Data!$B:$B=AP162,Data!$D:$D=$G162)),""""),"""")"),"")</f>
        <v/>
      </c>
      <c r="CA162" s="69" t="str">
        <f>IFERROR(__xludf.DUMMYFUNCTION("IF($G162&lt;&gt;"""",IFERROR(FILTER(RawTotals!$AJ:$AJ,RawTotals!$A:$A=AQ162)-(FILTER(Data!$K:$K,Data!$B:$B=AQ162,Data!$D:$D=$G162)+FILTER(Data!$L:$L,Data!$B:$B=AQ162,Data!$D:$D=$G162)),""""),"""")"),"")</f>
        <v/>
      </c>
      <c r="CB162" s="69" t="str">
        <f>IFERROR(__xludf.DUMMYFUNCTION("IF($H162&lt;&gt;"""",IFERROR(FILTER(RawTotals!$AJ:$AJ,RawTotals!$A:$A=AR162)-(FILTER(Data!$K:$K,Data!$B:$B=AR162,Data!$D:$D=$H162)+FILTER(Data!$L:$L,Data!$B:$B=AR162,Data!$D:$D=$H162)),""""),"""")"),"")</f>
        <v/>
      </c>
      <c r="CC162" s="69" t="str">
        <f>IFERROR(__xludf.DUMMYFUNCTION("IF($H162&lt;&gt;"""",IFERROR(FILTER(RawTotals!$AJ:$AJ,RawTotals!$A:$A=AS162)-(FILTER(Data!$K:$K,Data!$B:$B=AS162,Data!$D:$D=$H162)+FILTER(Data!$L:$L,Data!$B:$B=AS162,Data!$D:$D=$H162)),""""),"""")"),"")</f>
        <v/>
      </c>
      <c r="CD162" s="69" t="str">
        <f>IFERROR(__xludf.DUMMYFUNCTION("IF($H162&lt;&gt;"""",IFERROR(FILTER(RawTotals!$AJ:$AJ,RawTotals!$A:$A=AT162)-(FILTER(Data!$K:$K,Data!$B:$B=AT162,Data!$D:$D=$H162)+FILTER(Data!$L:$L,Data!$B:$B=AT162,Data!$D:$D=$H162)),""""),"""")"),"")</f>
        <v/>
      </c>
      <c r="CE162" s="69" t="str">
        <f>IFERROR(__xludf.DUMMYFUNCTION("IF($I162&lt;&gt;"""",IFERROR(FILTER(RawTotals!$AJ:$AJ,RawTotals!$A:$A=AU162)-(FILTER(Data!$K:$K,Data!$B:$B=AU162,Data!$D:$D=$I162)+FILTER(Data!$L:$L,Data!$B:$B=AU162,Data!$D:$D=$I162)),""""),"""")"),"")</f>
        <v/>
      </c>
      <c r="CF162" s="69" t="str">
        <f>IFERROR(__xludf.DUMMYFUNCTION("IF($I162&lt;&gt;"""",IFERROR(FILTER(RawTotals!$AJ:$AJ,RawTotals!$A:$A=AV162)-(FILTER(Data!$K:$K,Data!$B:$B=AV162,Data!$D:$D=$I162)+FILTER(Data!$L:$L,Data!$B:$B=AV162,Data!$D:$D=$I162)),""""),"""")"),"")</f>
        <v/>
      </c>
      <c r="CG162" s="69" t="str">
        <f>IFERROR(__xludf.DUMMYFUNCTION("IF($I162&lt;&gt;"""",IFERROR(FILTER(RawTotals!$AJ:$AJ,RawTotals!$A:$A=AW162)-(FILTER(Data!$K:$K,Data!$B:$B=AW162,Data!$D:$D=$I162)+FILTER(Data!$L:$L,Data!$B:$B=AW162,Data!$D:$D=$I162)),""""),"""")"),"")</f>
        <v/>
      </c>
      <c r="CH162" s="69" t="str">
        <f>IFERROR(__xludf.DUMMYFUNCTION("IF($J162&lt;&gt;"""",IFERROR(FILTER(RawTotals!$AJ:$AJ,RawTotals!$A:$A=AX162)-(FILTER(Data!$K:$K,Data!$B:$B=AX162,Data!$D:$D=$J162)+FILTER(Data!$L:$L,Data!$B:$B=AX162,Data!$D:$D=$J162)),""""),"""")"),"")</f>
        <v/>
      </c>
      <c r="CI162" s="69" t="str">
        <f>IFERROR(__xludf.DUMMYFUNCTION("IF($J162&lt;&gt;"""",IFERROR(FILTER(RawTotals!$AJ:$AJ,RawTotals!$A:$A=AY162)-(FILTER(Data!$K:$K,Data!$B:$B=AY162,Data!$D:$D=$J162)+FILTER(Data!$L:$L,Data!$B:$B=AY162,Data!$D:$D=$J162)),""""),"""")"),"")</f>
        <v/>
      </c>
      <c r="CJ162" s="69" t="str">
        <f>IFERROR(__xludf.DUMMYFUNCTION("IF($J162&lt;&gt;"""",IFERROR(FILTER(RawTotals!$AJ:$AJ,RawTotals!$A:$A=AZ162)-(FILTER(Data!$K:$K,Data!$B:$B=AZ162,Data!$D:$D=$J162)+FILTER(Data!$L:$L,Data!$B:$B=AZ162,Data!$D:$D=$J162)),""""),"""")"),"")</f>
        <v/>
      </c>
      <c r="CK162" s="69" t="str">
        <f>IFERROR(__xludf.DUMMYFUNCTION("IF($K162&lt;&gt;"""",IFERROR(FILTER(RawTotals!$AJ:$AJ,RawTotals!$A:$A=BA162)-(FILTER(Data!$K:$K,Data!$B:$B=BA162,Data!$D:$D=$K162)+FILTER(Data!$L:$L,Data!$B:$B=BA162,Data!$D:$D=$K162)),""""),"""")"),"")</f>
        <v/>
      </c>
      <c r="CL162" s="69" t="str">
        <f>IFERROR(__xludf.DUMMYFUNCTION("IF($K162&lt;&gt;"""",IFERROR(FILTER(RawTotals!$AJ:$AJ,RawTotals!$A:$A=BB162)-(FILTER(Data!$K:$K,Data!$B:$B=BB162,Data!$D:$D=$K162)+FILTER(Data!$L:$L,Data!$B:$B=BB162,Data!$D:$D=$K162)),""""),"""")"),"")</f>
        <v/>
      </c>
      <c r="CM162" s="69" t="str">
        <f>IFERROR(__xludf.DUMMYFUNCTION("IF($K162&lt;&gt;"""",IFERROR(FILTER(RawTotals!$AJ:$AJ,RawTotals!$A:$A=BC162)-(FILTER(Data!$K:$K,Data!$B:$B=BC162,Data!$D:$D=$K162)+FILTER(Data!$L:$L,Data!$B:$B=BC162,Data!$D:$D=$K162)),""""),"""")"),"")</f>
        <v/>
      </c>
      <c r="CN162" s="69" t="str">
        <f>IFERROR(__xludf.DUMMYFUNCTION("IF($L162&lt;&gt;"""",IFERROR((FILTER(RawTotals!$AJ:$AJ,RawTotals!$A:$A=BD162)-(FILTER(Data!$K:$K,Data!$B:$B=BD162,Data!$D:$D=$L162)+FILTER(Data!$L:$L,Data!$B:$B=BD162,Data!$D:$D=$L162))),""""),"""")"),"")</f>
        <v/>
      </c>
      <c r="CO162" s="69" t="str">
        <f>IFERROR(__xludf.DUMMYFUNCTION("IF($L162&lt;&gt;"""",IFERROR((FILTER(RawTotals!$AJ:$AJ,RawTotals!$A:$A=BE162)-(FILTER(Data!$K:$K,Data!$B:$B=BE162,Data!$D:$D=$L162)+FILTER(Data!$L:$L,Data!$B:$B=BE162,Data!$D:$D=$L162))),""""),"""")"),"")</f>
        <v/>
      </c>
      <c r="CP162" s="69" t="str">
        <f>IFERROR(__xludf.DUMMYFUNCTION("IF($L162&lt;&gt;"""",IFERROR((FILTER(RawTotals!$AJ:$AJ,RawTotals!$A:$A=BF162)-(FILTER(Data!$K:$K,Data!$B:$B=BF162,Data!$D:$D=$L162)+FILTER(Data!$L:$L,Data!$B:$B=BF162,Data!$D:$D=$L162))),""""),"""")"),"")</f>
        <v/>
      </c>
      <c r="CQ162" s="69" t="str">
        <f>IFERROR(__xludf.DUMMYFUNCTION("IF($M162&lt;&gt;"""",IFERROR((FILTER(RawTotals!$AJ:$AJ,RawTotals!$A:$A=BG162)-(FILTER(Data!$K:$K,Data!$B:$B=BG162,Data!$D:$D=$M162)+FILTER(Data!$L:$L,Data!$B:$B=BG162,Data!$D:$D=$M162))),""""),"""")"),"")</f>
        <v/>
      </c>
      <c r="CR162" s="69" t="str">
        <f>IFERROR(__xludf.DUMMYFUNCTION("IF($M162&lt;&gt;"""",IFERROR((FILTER(RawTotals!$AJ:$AJ,RawTotals!$A:$A=BH162)-(FILTER(Data!$K:$K,Data!$B:$B=BH162,Data!$D:$D=$M162)+FILTER(Data!$L:$L,Data!$B:$B=BH162,Data!$D:$D=$M162))),""""),"""")"),"")</f>
        <v/>
      </c>
      <c r="CS162" s="70" t="str">
        <f>IFERROR(__xludf.DUMMYFUNCTION("IF($M162&lt;&gt;"""",IFERROR((FILTER(RawTotals!$AJ:$AJ,RawTotals!$A:$A=BI162)-(FILTER(Data!$K:$K,Data!$B:$B=BI162,Data!$D:$D=$M162)+FILTER(Data!$L:$L,Data!$B:$B=BI162,Data!$D:$D=$M162))),""""),"""")"),"")</f>
        <v/>
      </c>
      <c r="CT162" s="16"/>
      <c r="CU162" s="16"/>
      <c r="CV162" s="16"/>
      <c r="CW162" s="16"/>
      <c r="CX162" s="16"/>
      <c r="CY162" s="16"/>
      <c r="CZ162" s="16"/>
      <c r="DA162" s="16"/>
      <c r="DB162" s="16"/>
      <c r="DC162" s="16"/>
      <c r="DD162" s="16"/>
      <c r="DE162" s="16"/>
    </row>
    <row r="163">
      <c r="A163" s="15"/>
      <c r="B163" s="16"/>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6"/>
      <c r="AD163" s="15"/>
      <c r="AE163" s="15"/>
      <c r="AF163" s="16"/>
      <c r="AG163" s="15"/>
      <c r="AH163" s="15"/>
      <c r="AI163" s="16"/>
      <c r="AJ163" s="15"/>
      <c r="AK163" s="15"/>
      <c r="AL163" s="16"/>
      <c r="AM163" s="15"/>
      <c r="AN163" s="15"/>
      <c r="AO163" s="16"/>
      <c r="AP163" s="15"/>
      <c r="AQ163" s="15"/>
      <c r="AR163" s="16"/>
      <c r="AS163" s="15"/>
      <c r="AT163" s="15"/>
      <c r="AU163" s="16"/>
      <c r="AV163" s="15"/>
      <c r="AW163" s="15"/>
      <c r="AX163" s="16"/>
      <c r="AY163" s="15"/>
      <c r="AZ163" s="15"/>
      <c r="BA163" s="16"/>
      <c r="BB163" s="16"/>
      <c r="BC163" s="16"/>
      <c r="BD163" s="16"/>
      <c r="BE163" s="16"/>
      <c r="BF163" s="16"/>
      <c r="BG163" s="16"/>
      <c r="BH163" s="16"/>
      <c r="BI163" s="16"/>
      <c r="BJ163" s="68" t="str">
        <f>IFERROR(__xludf.DUMMYFUNCTION("IF($B163&lt;&gt;"""",IFERROR(FILTER(RawTotals!$AJ:$AJ,RawTotals!$A:$A=Z163)-(FILTER(Data!$K:$K,Data!$B:$B=Z163,Data!$D:$D=$B163)+FILTER(Data!$L:$L,Data!$B:$B=Z163,Data!$D:$D=$B163)),""""),"""")"),"")</f>
        <v/>
      </c>
      <c r="BK163" s="68" t="str">
        <f>IFERROR(__xludf.DUMMYFUNCTION("IF($B163&lt;&gt;"""",IFERROR(FILTER(RawTotals!$AJ:$AJ,RawTotals!$A:$A=AA163)-(FILTER(Data!$K:$K,Data!$B:$B=AA163,Data!$D:$D=$B163)+FILTER(Data!$L:$L,Data!$B:$B=AA163,Data!$D:$D=$B163)),""""),"""")"),"")</f>
        <v/>
      </c>
      <c r="BL163" s="68" t="str">
        <f>IFERROR(__xludf.DUMMYFUNCTION("IF($B163&lt;&gt;"""",IFERROR(FILTER(RawTotals!$AJ:$AJ,RawTotals!$A:$A=AB163)-(FILTER(Data!$K:$K,Data!$B:$B=AB163,Data!$D:$D=$B163)+FILTER(Data!$L:$L,Data!$B:$B=AB163,Data!$D:$D=$B163)),""""),"""")"),"")</f>
        <v/>
      </c>
      <c r="BM163" s="69" t="str">
        <f>IFERROR(__xludf.DUMMYFUNCTION("IF($C163&lt;&gt;"""",IFERROR(FILTER(RawTotals!$AJ:$AJ,RawTotals!$A:$A=AC163)-(FILTER(Data!$K:$K,Data!$B:$B=AC163,Data!$D:$D=$C163)+FILTER(Data!$L:$L,Data!$B:$B=AC163,Data!$D:$D=$C163)),""""),"""")"),"")</f>
        <v/>
      </c>
      <c r="BN163" s="69" t="str">
        <f>IFERROR(__xludf.DUMMYFUNCTION("IF($C163&lt;&gt;"""",IFERROR(FILTER(RawTotals!$AJ:$AJ,RawTotals!$A:$A=AD163)-(FILTER(Data!$K:$K,Data!$B:$B=AD163,Data!$D:$D=$C163)+FILTER(Data!$L:$L,Data!$B:$B=AD163,Data!$D:$D=$C163)),""""),"""")"),"")</f>
        <v/>
      </c>
      <c r="BO163" s="69" t="str">
        <f>IFERROR(__xludf.DUMMYFUNCTION("IF($C163&lt;&gt;"""",IFERROR(FILTER(RawTotals!$AJ:$AJ,RawTotals!$A:$A=AE163)-(FILTER(Data!$K:$K,Data!$B:$B=AE163,Data!$D:$D=$C163)+FILTER(Data!$L:$L,Data!$B:$B=AE163,Data!$D:$D=$C163)),""""),"""")"),"")</f>
        <v/>
      </c>
      <c r="BP163" s="69" t="str">
        <f>IFERROR(__xludf.DUMMYFUNCTION("IF($D163&lt;&gt;"""",IFERROR(FILTER(RawTotals!$AJ:$AJ,RawTotals!$A:$A=AF163)-(FILTER(Data!$K:$K,Data!$B:$B=AF163,Data!$D:$D=$D163)+FILTER(Data!$L:$L,Data!$B:$B=AF163,Data!$D:$D=$D163)),""""),"""")"),"")</f>
        <v/>
      </c>
      <c r="BQ163" s="69" t="str">
        <f>IFERROR(__xludf.DUMMYFUNCTION("IF($D163&lt;&gt;"""",IFERROR(FILTER(RawTotals!$AJ:$AJ,RawTotals!$A:$A=AG163)-(FILTER(Data!$K:$K,Data!$B:$B=AG163,Data!$D:$D=$D163)+FILTER(Data!$L:$L,Data!$B:$B=AG163,Data!$D:$D=$D163)),""""),"""")"),"")</f>
        <v/>
      </c>
      <c r="BR163" s="69" t="str">
        <f>IFERROR(__xludf.DUMMYFUNCTION("IF($D163&lt;&gt;"""",IFERROR(FILTER(RawTotals!$AJ:$AJ,RawTotals!$A:$A=AH163)-(FILTER(Data!$K:$K,Data!$B:$B=AH163,Data!$D:$D=$D163)+FILTER(Data!$L:$L,Data!$B:$B=AH163,Data!$D:$D=$D163)),""""),"""")"),"")</f>
        <v/>
      </c>
      <c r="BS163" s="69" t="str">
        <f>IFERROR(__xludf.DUMMYFUNCTION("IF($E163&lt;&gt;"""",IFERROR(FILTER(RawTotals!$AJ:$AJ,RawTotals!$A:$A=AI163)-(FILTER(Data!$K:$K,Data!$B:$B=AI163,Data!$D:$D=$E163)+FILTER(Data!$L:$L,Data!$B:$B=AI163,Data!$D:$D=$E163)),""""),"""")"),"")</f>
        <v/>
      </c>
      <c r="BT163" s="69" t="str">
        <f>IFERROR(__xludf.DUMMYFUNCTION("IF($E163&lt;&gt;"""",IFERROR(FILTER(RawTotals!$AJ:$AJ,RawTotals!$A:$A=AJ163)-(FILTER(Data!$K:$K,Data!$B:$B=AJ163,Data!$D:$D=$E163)+FILTER(Data!$L:$L,Data!$B:$B=AJ163,Data!$D:$D=$E163)),""""),"""")"),"")</f>
        <v/>
      </c>
      <c r="BU163" s="69" t="str">
        <f>IFERROR(__xludf.DUMMYFUNCTION("IF($E163&lt;&gt;"""",IFERROR(FILTER(RawTotals!$AJ:$AJ,RawTotals!$A:$A=AK163)-(FILTER(Data!$K:$K,Data!$B:$B=AK163,Data!$D:$D=$E163)+FILTER(Data!$L:$L,Data!$B:$B=AK163,Data!$D:$D=$E163)),""""),"""")"),"")</f>
        <v/>
      </c>
      <c r="BV163" s="69" t="str">
        <f>IFERROR(__xludf.DUMMYFUNCTION("IF($F163&lt;&gt;"""",IFERROR(FILTER(RawTotals!$AJ:$AJ,RawTotals!$A:$A=AL163)-(FILTER(Data!$K:$K,Data!$B:$B=AL163,Data!$D:$D=$F163)+FILTER(Data!$L:$L,Data!$B:$B=AL163,Data!$D:$D=$F163)),""""),"""")"),"")</f>
        <v/>
      </c>
      <c r="BW163" s="69" t="str">
        <f>IFERROR(__xludf.DUMMYFUNCTION("IF($F163&lt;&gt;"""",IFERROR(FILTER(RawTotals!$AJ:$AJ,RawTotals!$A:$A=AM163)-(FILTER(Data!$K:$K,Data!$B:$B=AM163,Data!$D:$D=$F163)+FILTER(Data!$L:$L,Data!$B:$B=AM163,Data!$D:$D=$F163)),""""),"""")"),"")</f>
        <v/>
      </c>
      <c r="BX163" s="69" t="str">
        <f>IFERROR(__xludf.DUMMYFUNCTION("IF($F163&lt;&gt;"""",IFERROR(FILTER(RawTotals!$AJ:$AJ,RawTotals!$A:$A=AN163)-(FILTER(Data!$K:$K,Data!$B:$B=AN163,Data!$D:$D=$F163)+FILTER(Data!$L:$L,Data!$B:$B=AN163,Data!$D:$D=$F163)),""""),"""")"),"")</f>
        <v/>
      </c>
      <c r="BY163" s="69" t="str">
        <f>IFERROR(__xludf.DUMMYFUNCTION("IF($G163&lt;&gt;"""",IFERROR(FILTER(RawTotals!$AJ:$AJ,RawTotals!$A:$A=AO163)-(FILTER(Data!$K:$K,Data!$B:$B=AO163,Data!$D:$D=$G163)+FILTER(Data!$L:$L,Data!$B:$B=AO163,Data!$D:$D=$G163)),""""),"""")"),"")</f>
        <v/>
      </c>
      <c r="BZ163" s="69" t="str">
        <f>IFERROR(__xludf.DUMMYFUNCTION("IF($G163&lt;&gt;"""",IFERROR(FILTER(RawTotals!$AJ:$AJ,RawTotals!$A:$A=AP163)-(FILTER(Data!$K:$K,Data!$B:$B=AP163,Data!$D:$D=$G163)+FILTER(Data!$L:$L,Data!$B:$B=AP163,Data!$D:$D=$G163)),""""),"""")"),"")</f>
        <v/>
      </c>
      <c r="CA163" s="69" t="str">
        <f>IFERROR(__xludf.DUMMYFUNCTION("IF($G163&lt;&gt;"""",IFERROR(FILTER(RawTotals!$AJ:$AJ,RawTotals!$A:$A=AQ163)-(FILTER(Data!$K:$K,Data!$B:$B=AQ163,Data!$D:$D=$G163)+FILTER(Data!$L:$L,Data!$B:$B=AQ163,Data!$D:$D=$G163)),""""),"""")"),"")</f>
        <v/>
      </c>
      <c r="CB163" s="69" t="str">
        <f>IFERROR(__xludf.DUMMYFUNCTION("IF($H163&lt;&gt;"""",IFERROR(FILTER(RawTotals!$AJ:$AJ,RawTotals!$A:$A=AR163)-(FILTER(Data!$K:$K,Data!$B:$B=AR163,Data!$D:$D=$H163)+FILTER(Data!$L:$L,Data!$B:$B=AR163,Data!$D:$D=$H163)),""""),"""")"),"")</f>
        <v/>
      </c>
      <c r="CC163" s="69" t="str">
        <f>IFERROR(__xludf.DUMMYFUNCTION("IF($H163&lt;&gt;"""",IFERROR(FILTER(RawTotals!$AJ:$AJ,RawTotals!$A:$A=AS163)-(FILTER(Data!$K:$K,Data!$B:$B=AS163,Data!$D:$D=$H163)+FILTER(Data!$L:$L,Data!$B:$B=AS163,Data!$D:$D=$H163)),""""),"""")"),"")</f>
        <v/>
      </c>
      <c r="CD163" s="69" t="str">
        <f>IFERROR(__xludf.DUMMYFUNCTION("IF($H163&lt;&gt;"""",IFERROR(FILTER(RawTotals!$AJ:$AJ,RawTotals!$A:$A=AT163)-(FILTER(Data!$K:$K,Data!$B:$B=AT163,Data!$D:$D=$H163)+FILTER(Data!$L:$L,Data!$B:$B=AT163,Data!$D:$D=$H163)),""""),"""")"),"")</f>
        <v/>
      </c>
      <c r="CE163" s="69" t="str">
        <f>IFERROR(__xludf.DUMMYFUNCTION("IF($I163&lt;&gt;"""",IFERROR(FILTER(RawTotals!$AJ:$AJ,RawTotals!$A:$A=AU163)-(FILTER(Data!$K:$K,Data!$B:$B=AU163,Data!$D:$D=$I163)+FILTER(Data!$L:$L,Data!$B:$B=AU163,Data!$D:$D=$I163)),""""),"""")"),"")</f>
        <v/>
      </c>
      <c r="CF163" s="69" t="str">
        <f>IFERROR(__xludf.DUMMYFUNCTION("IF($I163&lt;&gt;"""",IFERROR(FILTER(RawTotals!$AJ:$AJ,RawTotals!$A:$A=AV163)-(FILTER(Data!$K:$K,Data!$B:$B=AV163,Data!$D:$D=$I163)+FILTER(Data!$L:$L,Data!$B:$B=AV163,Data!$D:$D=$I163)),""""),"""")"),"")</f>
        <v/>
      </c>
      <c r="CG163" s="69" t="str">
        <f>IFERROR(__xludf.DUMMYFUNCTION("IF($I163&lt;&gt;"""",IFERROR(FILTER(RawTotals!$AJ:$AJ,RawTotals!$A:$A=AW163)-(FILTER(Data!$K:$K,Data!$B:$B=AW163,Data!$D:$D=$I163)+FILTER(Data!$L:$L,Data!$B:$B=AW163,Data!$D:$D=$I163)),""""),"""")"),"")</f>
        <v/>
      </c>
      <c r="CH163" s="69" t="str">
        <f>IFERROR(__xludf.DUMMYFUNCTION("IF($J163&lt;&gt;"""",IFERROR(FILTER(RawTotals!$AJ:$AJ,RawTotals!$A:$A=AX163)-(FILTER(Data!$K:$K,Data!$B:$B=AX163,Data!$D:$D=$J163)+FILTER(Data!$L:$L,Data!$B:$B=AX163,Data!$D:$D=$J163)),""""),"""")"),"")</f>
        <v/>
      </c>
      <c r="CI163" s="69" t="str">
        <f>IFERROR(__xludf.DUMMYFUNCTION("IF($J163&lt;&gt;"""",IFERROR(FILTER(RawTotals!$AJ:$AJ,RawTotals!$A:$A=AY163)-(FILTER(Data!$K:$K,Data!$B:$B=AY163,Data!$D:$D=$J163)+FILTER(Data!$L:$L,Data!$B:$B=AY163,Data!$D:$D=$J163)),""""),"""")"),"")</f>
        <v/>
      </c>
      <c r="CJ163" s="69" t="str">
        <f>IFERROR(__xludf.DUMMYFUNCTION("IF($J163&lt;&gt;"""",IFERROR(FILTER(RawTotals!$AJ:$AJ,RawTotals!$A:$A=AZ163)-(FILTER(Data!$K:$K,Data!$B:$B=AZ163,Data!$D:$D=$J163)+FILTER(Data!$L:$L,Data!$B:$B=AZ163,Data!$D:$D=$J163)),""""),"""")"),"")</f>
        <v/>
      </c>
      <c r="CK163" s="69" t="str">
        <f>IFERROR(__xludf.DUMMYFUNCTION("IF($K163&lt;&gt;"""",IFERROR(FILTER(RawTotals!$AJ:$AJ,RawTotals!$A:$A=BA163)-(FILTER(Data!$K:$K,Data!$B:$B=BA163,Data!$D:$D=$K163)+FILTER(Data!$L:$L,Data!$B:$B=BA163,Data!$D:$D=$K163)),""""),"""")"),"")</f>
        <v/>
      </c>
      <c r="CL163" s="69" t="str">
        <f>IFERROR(__xludf.DUMMYFUNCTION("IF($K163&lt;&gt;"""",IFERROR(FILTER(RawTotals!$AJ:$AJ,RawTotals!$A:$A=BB163)-(FILTER(Data!$K:$K,Data!$B:$B=BB163,Data!$D:$D=$K163)+FILTER(Data!$L:$L,Data!$B:$B=BB163,Data!$D:$D=$K163)),""""),"""")"),"")</f>
        <v/>
      </c>
      <c r="CM163" s="69" t="str">
        <f>IFERROR(__xludf.DUMMYFUNCTION("IF($K163&lt;&gt;"""",IFERROR(FILTER(RawTotals!$AJ:$AJ,RawTotals!$A:$A=BC163)-(FILTER(Data!$K:$K,Data!$B:$B=BC163,Data!$D:$D=$K163)+FILTER(Data!$L:$L,Data!$B:$B=BC163,Data!$D:$D=$K163)),""""),"""")"),"")</f>
        <v/>
      </c>
      <c r="CN163" s="69" t="str">
        <f>IFERROR(__xludf.DUMMYFUNCTION("IF($L163&lt;&gt;"""",IFERROR((FILTER(RawTotals!$AJ:$AJ,RawTotals!$A:$A=BD163)-(FILTER(Data!$K:$K,Data!$B:$B=BD163,Data!$D:$D=$L163)+FILTER(Data!$L:$L,Data!$B:$B=BD163,Data!$D:$D=$L163))),""""),"""")"),"")</f>
        <v/>
      </c>
      <c r="CO163" s="69" t="str">
        <f>IFERROR(__xludf.DUMMYFUNCTION("IF($L163&lt;&gt;"""",IFERROR((FILTER(RawTotals!$AJ:$AJ,RawTotals!$A:$A=BE163)-(FILTER(Data!$K:$K,Data!$B:$B=BE163,Data!$D:$D=$L163)+FILTER(Data!$L:$L,Data!$B:$B=BE163,Data!$D:$D=$L163))),""""),"""")"),"")</f>
        <v/>
      </c>
      <c r="CP163" s="69" t="str">
        <f>IFERROR(__xludf.DUMMYFUNCTION("IF($L163&lt;&gt;"""",IFERROR((FILTER(RawTotals!$AJ:$AJ,RawTotals!$A:$A=BF163)-(FILTER(Data!$K:$K,Data!$B:$B=BF163,Data!$D:$D=$L163)+FILTER(Data!$L:$L,Data!$B:$B=BF163,Data!$D:$D=$L163))),""""),"""")"),"")</f>
        <v/>
      </c>
      <c r="CQ163" s="69" t="str">
        <f>IFERROR(__xludf.DUMMYFUNCTION("IF($M163&lt;&gt;"""",IFERROR((FILTER(RawTotals!$AJ:$AJ,RawTotals!$A:$A=BG163)-(FILTER(Data!$K:$K,Data!$B:$B=BG163,Data!$D:$D=$M163)+FILTER(Data!$L:$L,Data!$B:$B=BG163,Data!$D:$D=$M163))),""""),"""")"),"")</f>
        <v/>
      </c>
      <c r="CR163" s="69" t="str">
        <f>IFERROR(__xludf.DUMMYFUNCTION("IF($M163&lt;&gt;"""",IFERROR((FILTER(RawTotals!$AJ:$AJ,RawTotals!$A:$A=BH163)-(FILTER(Data!$K:$K,Data!$B:$B=BH163,Data!$D:$D=$M163)+FILTER(Data!$L:$L,Data!$B:$B=BH163,Data!$D:$D=$M163))),""""),"""")"),"")</f>
        <v/>
      </c>
      <c r="CS163" s="70" t="str">
        <f>IFERROR(__xludf.DUMMYFUNCTION("IF($M163&lt;&gt;"""",IFERROR((FILTER(RawTotals!$AJ:$AJ,RawTotals!$A:$A=BI163)-(FILTER(Data!$K:$K,Data!$B:$B=BI163,Data!$D:$D=$M163)+FILTER(Data!$L:$L,Data!$B:$B=BI163,Data!$D:$D=$M163))),""""),"""")"),"")</f>
        <v/>
      </c>
      <c r="CT163" s="16"/>
      <c r="CU163" s="16"/>
      <c r="CV163" s="16"/>
      <c r="CW163" s="16"/>
      <c r="CX163" s="16"/>
      <c r="CY163" s="16"/>
      <c r="CZ163" s="16"/>
      <c r="DA163" s="16"/>
      <c r="DB163" s="16"/>
      <c r="DC163" s="16"/>
      <c r="DD163" s="16"/>
      <c r="DE163" s="16"/>
    </row>
    <row r="164">
      <c r="A164" s="15"/>
      <c r="B164" s="16"/>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6"/>
      <c r="AD164" s="15"/>
      <c r="AE164" s="15"/>
      <c r="AF164" s="16"/>
      <c r="AG164" s="15"/>
      <c r="AH164" s="15"/>
      <c r="AI164" s="16"/>
      <c r="AJ164" s="15"/>
      <c r="AK164" s="15"/>
      <c r="AL164" s="16"/>
      <c r="AM164" s="15"/>
      <c r="AN164" s="15"/>
      <c r="AO164" s="16"/>
      <c r="AP164" s="15"/>
      <c r="AQ164" s="15"/>
      <c r="AR164" s="16"/>
      <c r="AS164" s="15"/>
      <c r="AT164" s="15"/>
      <c r="AU164" s="16"/>
      <c r="AV164" s="15"/>
      <c r="AW164" s="15"/>
      <c r="AX164" s="16"/>
      <c r="AY164" s="15"/>
      <c r="AZ164" s="15"/>
      <c r="BA164" s="16"/>
      <c r="BB164" s="16"/>
      <c r="BC164" s="16"/>
      <c r="BD164" s="16"/>
      <c r="BE164" s="16"/>
      <c r="BF164" s="16"/>
      <c r="BG164" s="16"/>
      <c r="BH164" s="16"/>
      <c r="BI164" s="16"/>
      <c r="BJ164" s="68" t="str">
        <f>IFERROR(__xludf.DUMMYFUNCTION("IF($B164&lt;&gt;"""",IFERROR(FILTER(RawTotals!$AJ:$AJ,RawTotals!$A:$A=Z164)-(FILTER(Data!$K:$K,Data!$B:$B=Z164,Data!$D:$D=$B164)+FILTER(Data!$L:$L,Data!$B:$B=Z164,Data!$D:$D=$B164)),""""),"""")"),"")</f>
        <v/>
      </c>
      <c r="BK164" s="68" t="str">
        <f>IFERROR(__xludf.DUMMYFUNCTION("IF($B164&lt;&gt;"""",IFERROR(FILTER(RawTotals!$AJ:$AJ,RawTotals!$A:$A=AA164)-(FILTER(Data!$K:$K,Data!$B:$B=AA164,Data!$D:$D=$B164)+FILTER(Data!$L:$L,Data!$B:$B=AA164,Data!$D:$D=$B164)),""""),"""")"),"")</f>
        <v/>
      </c>
      <c r="BL164" s="68" t="str">
        <f>IFERROR(__xludf.DUMMYFUNCTION("IF($B164&lt;&gt;"""",IFERROR(FILTER(RawTotals!$AJ:$AJ,RawTotals!$A:$A=AB164)-(FILTER(Data!$K:$K,Data!$B:$B=AB164,Data!$D:$D=$B164)+FILTER(Data!$L:$L,Data!$B:$B=AB164,Data!$D:$D=$B164)),""""),"""")"),"")</f>
        <v/>
      </c>
      <c r="BM164" s="69" t="str">
        <f>IFERROR(__xludf.DUMMYFUNCTION("IF($C164&lt;&gt;"""",IFERROR(FILTER(RawTotals!$AJ:$AJ,RawTotals!$A:$A=AC164)-(FILTER(Data!$K:$K,Data!$B:$B=AC164,Data!$D:$D=$C164)+FILTER(Data!$L:$L,Data!$B:$B=AC164,Data!$D:$D=$C164)),""""),"""")"),"")</f>
        <v/>
      </c>
      <c r="BN164" s="69" t="str">
        <f>IFERROR(__xludf.DUMMYFUNCTION("IF($C164&lt;&gt;"""",IFERROR(FILTER(RawTotals!$AJ:$AJ,RawTotals!$A:$A=AD164)-(FILTER(Data!$K:$K,Data!$B:$B=AD164,Data!$D:$D=$C164)+FILTER(Data!$L:$L,Data!$B:$B=AD164,Data!$D:$D=$C164)),""""),"""")"),"")</f>
        <v/>
      </c>
      <c r="BO164" s="69" t="str">
        <f>IFERROR(__xludf.DUMMYFUNCTION("IF($C164&lt;&gt;"""",IFERROR(FILTER(RawTotals!$AJ:$AJ,RawTotals!$A:$A=AE164)-(FILTER(Data!$K:$K,Data!$B:$B=AE164,Data!$D:$D=$C164)+FILTER(Data!$L:$L,Data!$B:$B=AE164,Data!$D:$D=$C164)),""""),"""")"),"")</f>
        <v/>
      </c>
      <c r="BP164" s="69" t="str">
        <f>IFERROR(__xludf.DUMMYFUNCTION("IF($D164&lt;&gt;"""",IFERROR(FILTER(RawTotals!$AJ:$AJ,RawTotals!$A:$A=AF164)-(FILTER(Data!$K:$K,Data!$B:$B=AF164,Data!$D:$D=$D164)+FILTER(Data!$L:$L,Data!$B:$B=AF164,Data!$D:$D=$D164)),""""),"""")"),"")</f>
        <v/>
      </c>
      <c r="BQ164" s="69" t="str">
        <f>IFERROR(__xludf.DUMMYFUNCTION("IF($D164&lt;&gt;"""",IFERROR(FILTER(RawTotals!$AJ:$AJ,RawTotals!$A:$A=AG164)-(FILTER(Data!$K:$K,Data!$B:$B=AG164,Data!$D:$D=$D164)+FILTER(Data!$L:$L,Data!$B:$B=AG164,Data!$D:$D=$D164)),""""),"""")"),"")</f>
        <v/>
      </c>
      <c r="BR164" s="69" t="str">
        <f>IFERROR(__xludf.DUMMYFUNCTION("IF($D164&lt;&gt;"""",IFERROR(FILTER(RawTotals!$AJ:$AJ,RawTotals!$A:$A=AH164)-(FILTER(Data!$K:$K,Data!$B:$B=AH164,Data!$D:$D=$D164)+FILTER(Data!$L:$L,Data!$B:$B=AH164,Data!$D:$D=$D164)),""""),"""")"),"")</f>
        <v/>
      </c>
      <c r="BS164" s="69" t="str">
        <f>IFERROR(__xludf.DUMMYFUNCTION("IF($E164&lt;&gt;"""",IFERROR(FILTER(RawTotals!$AJ:$AJ,RawTotals!$A:$A=AI164)-(FILTER(Data!$K:$K,Data!$B:$B=AI164,Data!$D:$D=$E164)+FILTER(Data!$L:$L,Data!$B:$B=AI164,Data!$D:$D=$E164)),""""),"""")"),"")</f>
        <v/>
      </c>
      <c r="BT164" s="69" t="str">
        <f>IFERROR(__xludf.DUMMYFUNCTION("IF($E164&lt;&gt;"""",IFERROR(FILTER(RawTotals!$AJ:$AJ,RawTotals!$A:$A=AJ164)-(FILTER(Data!$K:$K,Data!$B:$B=AJ164,Data!$D:$D=$E164)+FILTER(Data!$L:$L,Data!$B:$B=AJ164,Data!$D:$D=$E164)),""""),"""")"),"")</f>
        <v/>
      </c>
      <c r="BU164" s="69" t="str">
        <f>IFERROR(__xludf.DUMMYFUNCTION("IF($E164&lt;&gt;"""",IFERROR(FILTER(RawTotals!$AJ:$AJ,RawTotals!$A:$A=AK164)-(FILTER(Data!$K:$K,Data!$B:$B=AK164,Data!$D:$D=$E164)+FILTER(Data!$L:$L,Data!$B:$B=AK164,Data!$D:$D=$E164)),""""),"""")"),"")</f>
        <v/>
      </c>
      <c r="BV164" s="69" t="str">
        <f>IFERROR(__xludf.DUMMYFUNCTION("IF($F164&lt;&gt;"""",IFERROR(FILTER(RawTotals!$AJ:$AJ,RawTotals!$A:$A=AL164)-(FILTER(Data!$K:$K,Data!$B:$B=AL164,Data!$D:$D=$F164)+FILTER(Data!$L:$L,Data!$B:$B=AL164,Data!$D:$D=$F164)),""""),"""")"),"")</f>
        <v/>
      </c>
      <c r="BW164" s="69" t="str">
        <f>IFERROR(__xludf.DUMMYFUNCTION("IF($F164&lt;&gt;"""",IFERROR(FILTER(RawTotals!$AJ:$AJ,RawTotals!$A:$A=AM164)-(FILTER(Data!$K:$K,Data!$B:$B=AM164,Data!$D:$D=$F164)+FILTER(Data!$L:$L,Data!$B:$B=AM164,Data!$D:$D=$F164)),""""),"""")"),"")</f>
        <v/>
      </c>
      <c r="BX164" s="69" t="str">
        <f>IFERROR(__xludf.DUMMYFUNCTION("IF($F164&lt;&gt;"""",IFERROR(FILTER(RawTotals!$AJ:$AJ,RawTotals!$A:$A=AN164)-(FILTER(Data!$K:$K,Data!$B:$B=AN164,Data!$D:$D=$F164)+FILTER(Data!$L:$L,Data!$B:$B=AN164,Data!$D:$D=$F164)),""""),"""")"),"")</f>
        <v/>
      </c>
      <c r="BY164" s="69" t="str">
        <f>IFERROR(__xludf.DUMMYFUNCTION("IF($G164&lt;&gt;"""",IFERROR(FILTER(RawTotals!$AJ:$AJ,RawTotals!$A:$A=AO164)-(FILTER(Data!$K:$K,Data!$B:$B=AO164,Data!$D:$D=$G164)+FILTER(Data!$L:$L,Data!$B:$B=AO164,Data!$D:$D=$G164)),""""),"""")"),"")</f>
        <v/>
      </c>
      <c r="BZ164" s="69" t="str">
        <f>IFERROR(__xludf.DUMMYFUNCTION("IF($G164&lt;&gt;"""",IFERROR(FILTER(RawTotals!$AJ:$AJ,RawTotals!$A:$A=AP164)-(FILTER(Data!$K:$K,Data!$B:$B=AP164,Data!$D:$D=$G164)+FILTER(Data!$L:$L,Data!$B:$B=AP164,Data!$D:$D=$G164)),""""),"""")"),"")</f>
        <v/>
      </c>
      <c r="CA164" s="69" t="str">
        <f>IFERROR(__xludf.DUMMYFUNCTION("IF($G164&lt;&gt;"""",IFERROR(FILTER(RawTotals!$AJ:$AJ,RawTotals!$A:$A=AQ164)-(FILTER(Data!$K:$K,Data!$B:$B=AQ164,Data!$D:$D=$G164)+FILTER(Data!$L:$L,Data!$B:$B=AQ164,Data!$D:$D=$G164)),""""),"""")"),"")</f>
        <v/>
      </c>
      <c r="CB164" s="69" t="str">
        <f>IFERROR(__xludf.DUMMYFUNCTION("IF($H164&lt;&gt;"""",IFERROR(FILTER(RawTotals!$AJ:$AJ,RawTotals!$A:$A=AR164)-(FILTER(Data!$K:$K,Data!$B:$B=AR164,Data!$D:$D=$H164)+FILTER(Data!$L:$L,Data!$B:$B=AR164,Data!$D:$D=$H164)),""""),"""")"),"")</f>
        <v/>
      </c>
      <c r="CC164" s="69" t="str">
        <f>IFERROR(__xludf.DUMMYFUNCTION("IF($H164&lt;&gt;"""",IFERROR(FILTER(RawTotals!$AJ:$AJ,RawTotals!$A:$A=AS164)-(FILTER(Data!$K:$K,Data!$B:$B=AS164,Data!$D:$D=$H164)+FILTER(Data!$L:$L,Data!$B:$B=AS164,Data!$D:$D=$H164)),""""),"""")"),"")</f>
        <v/>
      </c>
      <c r="CD164" s="69" t="str">
        <f>IFERROR(__xludf.DUMMYFUNCTION("IF($H164&lt;&gt;"""",IFERROR(FILTER(RawTotals!$AJ:$AJ,RawTotals!$A:$A=AT164)-(FILTER(Data!$K:$K,Data!$B:$B=AT164,Data!$D:$D=$H164)+FILTER(Data!$L:$L,Data!$B:$B=AT164,Data!$D:$D=$H164)),""""),"""")"),"")</f>
        <v/>
      </c>
      <c r="CE164" s="69" t="str">
        <f>IFERROR(__xludf.DUMMYFUNCTION("IF($I164&lt;&gt;"""",IFERROR(FILTER(RawTotals!$AJ:$AJ,RawTotals!$A:$A=AU164)-(FILTER(Data!$K:$K,Data!$B:$B=AU164,Data!$D:$D=$I164)+FILTER(Data!$L:$L,Data!$B:$B=AU164,Data!$D:$D=$I164)),""""),"""")"),"")</f>
        <v/>
      </c>
      <c r="CF164" s="69" t="str">
        <f>IFERROR(__xludf.DUMMYFUNCTION("IF($I164&lt;&gt;"""",IFERROR(FILTER(RawTotals!$AJ:$AJ,RawTotals!$A:$A=AV164)-(FILTER(Data!$K:$K,Data!$B:$B=AV164,Data!$D:$D=$I164)+FILTER(Data!$L:$L,Data!$B:$B=AV164,Data!$D:$D=$I164)),""""),"""")"),"")</f>
        <v/>
      </c>
      <c r="CG164" s="69" t="str">
        <f>IFERROR(__xludf.DUMMYFUNCTION("IF($I164&lt;&gt;"""",IFERROR(FILTER(RawTotals!$AJ:$AJ,RawTotals!$A:$A=AW164)-(FILTER(Data!$K:$K,Data!$B:$B=AW164,Data!$D:$D=$I164)+FILTER(Data!$L:$L,Data!$B:$B=AW164,Data!$D:$D=$I164)),""""),"""")"),"")</f>
        <v/>
      </c>
      <c r="CH164" s="69" t="str">
        <f>IFERROR(__xludf.DUMMYFUNCTION("IF($J164&lt;&gt;"""",IFERROR(FILTER(RawTotals!$AJ:$AJ,RawTotals!$A:$A=AX164)-(FILTER(Data!$K:$K,Data!$B:$B=AX164,Data!$D:$D=$J164)+FILTER(Data!$L:$L,Data!$B:$B=AX164,Data!$D:$D=$J164)),""""),"""")"),"")</f>
        <v/>
      </c>
      <c r="CI164" s="69" t="str">
        <f>IFERROR(__xludf.DUMMYFUNCTION("IF($J164&lt;&gt;"""",IFERROR(FILTER(RawTotals!$AJ:$AJ,RawTotals!$A:$A=AY164)-(FILTER(Data!$K:$K,Data!$B:$B=AY164,Data!$D:$D=$J164)+FILTER(Data!$L:$L,Data!$B:$B=AY164,Data!$D:$D=$J164)),""""),"""")"),"")</f>
        <v/>
      </c>
      <c r="CJ164" s="69" t="str">
        <f>IFERROR(__xludf.DUMMYFUNCTION("IF($J164&lt;&gt;"""",IFERROR(FILTER(RawTotals!$AJ:$AJ,RawTotals!$A:$A=AZ164)-(FILTER(Data!$K:$K,Data!$B:$B=AZ164,Data!$D:$D=$J164)+FILTER(Data!$L:$L,Data!$B:$B=AZ164,Data!$D:$D=$J164)),""""),"""")"),"")</f>
        <v/>
      </c>
      <c r="CK164" s="69" t="str">
        <f>IFERROR(__xludf.DUMMYFUNCTION("IF($K164&lt;&gt;"""",IFERROR(FILTER(RawTotals!$AJ:$AJ,RawTotals!$A:$A=BA164)-(FILTER(Data!$K:$K,Data!$B:$B=BA164,Data!$D:$D=$K164)+FILTER(Data!$L:$L,Data!$B:$B=BA164,Data!$D:$D=$K164)),""""),"""")"),"")</f>
        <v/>
      </c>
      <c r="CL164" s="69" t="str">
        <f>IFERROR(__xludf.DUMMYFUNCTION("IF($K164&lt;&gt;"""",IFERROR(FILTER(RawTotals!$AJ:$AJ,RawTotals!$A:$A=BB164)-(FILTER(Data!$K:$K,Data!$B:$B=BB164,Data!$D:$D=$K164)+FILTER(Data!$L:$L,Data!$B:$B=BB164,Data!$D:$D=$K164)),""""),"""")"),"")</f>
        <v/>
      </c>
      <c r="CM164" s="69" t="str">
        <f>IFERROR(__xludf.DUMMYFUNCTION("IF($K164&lt;&gt;"""",IFERROR(FILTER(RawTotals!$AJ:$AJ,RawTotals!$A:$A=BC164)-(FILTER(Data!$K:$K,Data!$B:$B=BC164,Data!$D:$D=$K164)+FILTER(Data!$L:$L,Data!$B:$B=BC164,Data!$D:$D=$K164)),""""),"""")"),"")</f>
        <v/>
      </c>
      <c r="CN164" s="69" t="str">
        <f>IFERROR(__xludf.DUMMYFUNCTION("IF($L164&lt;&gt;"""",IFERROR((FILTER(RawTotals!$AJ:$AJ,RawTotals!$A:$A=BD164)-(FILTER(Data!$K:$K,Data!$B:$B=BD164,Data!$D:$D=$L164)+FILTER(Data!$L:$L,Data!$B:$B=BD164,Data!$D:$D=$L164))),""""),"""")"),"")</f>
        <v/>
      </c>
      <c r="CO164" s="69" t="str">
        <f>IFERROR(__xludf.DUMMYFUNCTION("IF($L164&lt;&gt;"""",IFERROR((FILTER(RawTotals!$AJ:$AJ,RawTotals!$A:$A=BE164)-(FILTER(Data!$K:$K,Data!$B:$B=BE164,Data!$D:$D=$L164)+FILTER(Data!$L:$L,Data!$B:$B=BE164,Data!$D:$D=$L164))),""""),"""")"),"")</f>
        <v/>
      </c>
      <c r="CP164" s="69" t="str">
        <f>IFERROR(__xludf.DUMMYFUNCTION("IF($L164&lt;&gt;"""",IFERROR((FILTER(RawTotals!$AJ:$AJ,RawTotals!$A:$A=BF164)-(FILTER(Data!$K:$K,Data!$B:$B=BF164,Data!$D:$D=$L164)+FILTER(Data!$L:$L,Data!$B:$B=BF164,Data!$D:$D=$L164))),""""),"""")"),"")</f>
        <v/>
      </c>
      <c r="CQ164" s="69" t="str">
        <f>IFERROR(__xludf.DUMMYFUNCTION("IF($M164&lt;&gt;"""",IFERROR((FILTER(RawTotals!$AJ:$AJ,RawTotals!$A:$A=BG164)-(FILTER(Data!$K:$K,Data!$B:$B=BG164,Data!$D:$D=$M164)+FILTER(Data!$L:$L,Data!$B:$B=BG164,Data!$D:$D=$M164))),""""),"""")"),"")</f>
        <v/>
      </c>
      <c r="CR164" s="69" t="str">
        <f>IFERROR(__xludf.DUMMYFUNCTION("IF($M164&lt;&gt;"""",IFERROR((FILTER(RawTotals!$AJ:$AJ,RawTotals!$A:$A=BH164)-(FILTER(Data!$K:$K,Data!$B:$B=BH164,Data!$D:$D=$M164)+FILTER(Data!$L:$L,Data!$B:$B=BH164,Data!$D:$D=$M164))),""""),"""")"),"")</f>
        <v/>
      </c>
      <c r="CS164" s="70" t="str">
        <f>IFERROR(__xludf.DUMMYFUNCTION("IF($M164&lt;&gt;"""",IFERROR((FILTER(RawTotals!$AJ:$AJ,RawTotals!$A:$A=BI164)-(FILTER(Data!$K:$K,Data!$B:$B=BI164,Data!$D:$D=$M164)+FILTER(Data!$L:$L,Data!$B:$B=BI164,Data!$D:$D=$M164))),""""),"""")"),"")</f>
        <v/>
      </c>
      <c r="CT164" s="16"/>
      <c r="CU164" s="16"/>
      <c r="CV164" s="16"/>
      <c r="CW164" s="16"/>
      <c r="CX164" s="16"/>
      <c r="CY164" s="16"/>
      <c r="CZ164" s="16"/>
      <c r="DA164" s="16"/>
      <c r="DB164" s="16"/>
      <c r="DC164" s="16"/>
      <c r="DD164" s="16"/>
      <c r="DE164" s="16"/>
    </row>
    <row r="165">
      <c r="A165" s="15"/>
      <c r="B165" s="16"/>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6"/>
      <c r="AD165" s="15"/>
      <c r="AE165" s="15"/>
      <c r="AF165" s="16"/>
      <c r="AG165" s="15"/>
      <c r="AH165" s="15"/>
      <c r="AI165" s="16"/>
      <c r="AJ165" s="15"/>
      <c r="AK165" s="15"/>
      <c r="AL165" s="16"/>
      <c r="AM165" s="15"/>
      <c r="AN165" s="15"/>
      <c r="AO165" s="16"/>
      <c r="AP165" s="15"/>
      <c r="AQ165" s="15"/>
      <c r="AR165" s="16"/>
      <c r="AS165" s="15"/>
      <c r="AT165" s="15"/>
      <c r="AU165" s="16"/>
      <c r="AV165" s="15"/>
      <c r="AW165" s="15"/>
      <c r="AX165" s="16"/>
      <c r="AY165" s="15"/>
      <c r="AZ165" s="15"/>
      <c r="BA165" s="16"/>
      <c r="BB165" s="16"/>
      <c r="BC165" s="16"/>
      <c r="BD165" s="16"/>
      <c r="BE165" s="16"/>
      <c r="BF165" s="16"/>
      <c r="BG165" s="16"/>
      <c r="BH165" s="16"/>
      <c r="BI165" s="16"/>
      <c r="BJ165" s="68" t="str">
        <f>IFERROR(__xludf.DUMMYFUNCTION("IF($B165&lt;&gt;"""",IFERROR(FILTER(RawTotals!$AJ:$AJ,RawTotals!$A:$A=Z165)-(FILTER(Data!$K:$K,Data!$B:$B=Z165,Data!$D:$D=$B165)+FILTER(Data!$L:$L,Data!$B:$B=Z165,Data!$D:$D=$B165)),""""),"""")"),"")</f>
        <v/>
      </c>
      <c r="BK165" s="68" t="str">
        <f>IFERROR(__xludf.DUMMYFUNCTION("IF($B165&lt;&gt;"""",IFERROR(FILTER(RawTotals!$AJ:$AJ,RawTotals!$A:$A=AA165)-(FILTER(Data!$K:$K,Data!$B:$B=AA165,Data!$D:$D=$B165)+FILTER(Data!$L:$L,Data!$B:$B=AA165,Data!$D:$D=$B165)),""""),"""")"),"")</f>
        <v/>
      </c>
      <c r="BL165" s="68" t="str">
        <f>IFERROR(__xludf.DUMMYFUNCTION("IF($B165&lt;&gt;"""",IFERROR(FILTER(RawTotals!$AJ:$AJ,RawTotals!$A:$A=AB165)-(FILTER(Data!$K:$K,Data!$B:$B=AB165,Data!$D:$D=$B165)+FILTER(Data!$L:$L,Data!$B:$B=AB165,Data!$D:$D=$B165)),""""),"""")"),"")</f>
        <v/>
      </c>
      <c r="BM165" s="69" t="str">
        <f>IFERROR(__xludf.DUMMYFUNCTION("IF($C165&lt;&gt;"""",IFERROR(FILTER(RawTotals!$AJ:$AJ,RawTotals!$A:$A=AC165)-(FILTER(Data!$K:$K,Data!$B:$B=AC165,Data!$D:$D=$C165)+FILTER(Data!$L:$L,Data!$B:$B=AC165,Data!$D:$D=$C165)),""""),"""")"),"")</f>
        <v/>
      </c>
      <c r="BN165" s="69" t="str">
        <f>IFERROR(__xludf.DUMMYFUNCTION("IF($C165&lt;&gt;"""",IFERROR(FILTER(RawTotals!$AJ:$AJ,RawTotals!$A:$A=AD165)-(FILTER(Data!$K:$K,Data!$B:$B=AD165,Data!$D:$D=$C165)+FILTER(Data!$L:$L,Data!$B:$B=AD165,Data!$D:$D=$C165)),""""),"""")"),"")</f>
        <v/>
      </c>
      <c r="BO165" s="69" t="str">
        <f>IFERROR(__xludf.DUMMYFUNCTION("IF($C165&lt;&gt;"""",IFERROR(FILTER(RawTotals!$AJ:$AJ,RawTotals!$A:$A=AE165)-(FILTER(Data!$K:$K,Data!$B:$B=AE165,Data!$D:$D=$C165)+FILTER(Data!$L:$L,Data!$B:$B=AE165,Data!$D:$D=$C165)),""""),"""")"),"")</f>
        <v/>
      </c>
      <c r="BP165" s="69" t="str">
        <f>IFERROR(__xludf.DUMMYFUNCTION("IF($D165&lt;&gt;"""",IFERROR(FILTER(RawTotals!$AJ:$AJ,RawTotals!$A:$A=AF165)-(FILTER(Data!$K:$K,Data!$B:$B=AF165,Data!$D:$D=$D165)+FILTER(Data!$L:$L,Data!$B:$B=AF165,Data!$D:$D=$D165)),""""),"""")"),"")</f>
        <v/>
      </c>
      <c r="BQ165" s="69" t="str">
        <f>IFERROR(__xludf.DUMMYFUNCTION("IF($D165&lt;&gt;"""",IFERROR(FILTER(RawTotals!$AJ:$AJ,RawTotals!$A:$A=AG165)-(FILTER(Data!$K:$K,Data!$B:$B=AG165,Data!$D:$D=$D165)+FILTER(Data!$L:$L,Data!$B:$B=AG165,Data!$D:$D=$D165)),""""),"""")"),"")</f>
        <v/>
      </c>
      <c r="BR165" s="69" t="str">
        <f>IFERROR(__xludf.DUMMYFUNCTION("IF($D165&lt;&gt;"""",IFERROR(FILTER(RawTotals!$AJ:$AJ,RawTotals!$A:$A=AH165)-(FILTER(Data!$K:$K,Data!$B:$B=AH165,Data!$D:$D=$D165)+FILTER(Data!$L:$L,Data!$B:$B=AH165,Data!$D:$D=$D165)),""""),"""")"),"")</f>
        <v/>
      </c>
      <c r="BS165" s="69" t="str">
        <f>IFERROR(__xludf.DUMMYFUNCTION("IF($E165&lt;&gt;"""",IFERROR(FILTER(RawTotals!$AJ:$AJ,RawTotals!$A:$A=AI165)-(FILTER(Data!$K:$K,Data!$B:$B=AI165,Data!$D:$D=$E165)+FILTER(Data!$L:$L,Data!$B:$B=AI165,Data!$D:$D=$E165)),""""),"""")"),"")</f>
        <v/>
      </c>
      <c r="BT165" s="69" t="str">
        <f>IFERROR(__xludf.DUMMYFUNCTION("IF($E165&lt;&gt;"""",IFERROR(FILTER(RawTotals!$AJ:$AJ,RawTotals!$A:$A=AJ165)-(FILTER(Data!$K:$K,Data!$B:$B=AJ165,Data!$D:$D=$E165)+FILTER(Data!$L:$L,Data!$B:$B=AJ165,Data!$D:$D=$E165)),""""),"""")"),"")</f>
        <v/>
      </c>
      <c r="BU165" s="69" t="str">
        <f>IFERROR(__xludf.DUMMYFUNCTION("IF($E165&lt;&gt;"""",IFERROR(FILTER(RawTotals!$AJ:$AJ,RawTotals!$A:$A=AK165)-(FILTER(Data!$K:$K,Data!$B:$B=AK165,Data!$D:$D=$E165)+FILTER(Data!$L:$L,Data!$B:$B=AK165,Data!$D:$D=$E165)),""""),"""")"),"")</f>
        <v/>
      </c>
      <c r="BV165" s="69" t="str">
        <f>IFERROR(__xludf.DUMMYFUNCTION("IF($F165&lt;&gt;"""",IFERROR(FILTER(RawTotals!$AJ:$AJ,RawTotals!$A:$A=AL165)-(FILTER(Data!$K:$K,Data!$B:$B=AL165,Data!$D:$D=$F165)+FILTER(Data!$L:$L,Data!$B:$B=AL165,Data!$D:$D=$F165)),""""),"""")"),"")</f>
        <v/>
      </c>
      <c r="BW165" s="69" t="str">
        <f>IFERROR(__xludf.DUMMYFUNCTION("IF($F165&lt;&gt;"""",IFERROR(FILTER(RawTotals!$AJ:$AJ,RawTotals!$A:$A=AM165)-(FILTER(Data!$K:$K,Data!$B:$B=AM165,Data!$D:$D=$F165)+FILTER(Data!$L:$L,Data!$B:$B=AM165,Data!$D:$D=$F165)),""""),"""")"),"")</f>
        <v/>
      </c>
      <c r="BX165" s="69" t="str">
        <f>IFERROR(__xludf.DUMMYFUNCTION("IF($F165&lt;&gt;"""",IFERROR(FILTER(RawTotals!$AJ:$AJ,RawTotals!$A:$A=AN165)-(FILTER(Data!$K:$K,Data!$B:$B=AN165,Data!$D:$D=$F165)+FILTER(Data!$L:$L,Data!$B:$B=AN165,Data!$D:$D=$F165)),""""),"""")"),"")</f>
        <v/>
      </c>
      <c r="BY165" s="69" t="str">
        <f>IFERROR(__xludf.DUMMYFUNCTION("IF($G165&lt;&gt;"""",IFERROR(FILTER(RawTotals!$AJ:$AJ,RawTotals!$A:$A=AO165)-(FILTER(Data!$K:$K,Data!$B:$B=AO165,Data!$D:$D=$G165)+FILTER(Data!$L:$L,Data!$B:$B=AO165,Data!$D:$D=$G165)),""""),"""")"),"")</f>
        <v/>
      </c>
      <c r="BZ165" s="69" t="str">
        <f>IFERROR(__xludf.DUMMYFUNCTION("IF($G165&lt;&gt;"""",IFERROR(FILTER(RawTotals!$AJ:$AJ,RawTotals!$A:$A=AP165)-(FILTER(Data!$K:$K,Data!$B:$B=AP165,Data!$D:$D=$G165)+FILTER(Data!$L:$L,Data!$B:$B=AP165,Data!$D:$D=$G165)),""""),"""")"),"")</f>
        <v/>
      </c>
      <c r="CA165" s="69" t="str">
        <f>IFERROR(__xludf.DUMMYFUNCTION("IF($G165&lt;&gt;"""",IFERROR(FILTER(RawTotals!$AJ:$AJ,RawTotals!$A:$A=AQ165)-(FILTER(Data!$K:$K,Data!$B:$B=AQ165,Data!$D:$D=$G165)+FILTER(Data!$L:$L,Data!$B:$B=AQ165,Data!$D:$D=$G165)),""""),"""")"),"")</f>
        <v/>
      </c>
      <c r="CB165" s="69" t="str">
        <f>IFERROR(__xludf.DUMMYFUNCTION("IF($H165&lt;&gt;"""",IFERROR(FILTER(RawTotals!$AJ:$AJ,RawTotals!$A:$A=AR165)-(FILTER(Data!$K:$K,Data!$B:$B=AR165,Data!$D:$D=$H165)+FILTER(Data!$L:$L,Data!$B:$B=AR165,Data!$D:$D=$H165)),""""),"""")"),"")</f>
        <v/>
      </c>
      <c r="CC165" s="69" t="str">
        <f>IFERROR(__xludf.DUMMYFUNCTION("IF($H165&lt;&gt;"""",IFERROR(FILTER(RawTotals!$AJ:$AJ,RawTotals!$A:$A=AS165)-(FILTER(Data!$K:$K,Data!$B:$B=AS165,Data!$D:$D=$H165)+FILTER(Data!$L:$L,Data!$B:$B=AS165,Data!$D:$D=$H165)),""""),"""")"),"")</f>
        <v/>
      </c>
      <c r="CD165" s="69" t="str">
        <f>IFERROR(__xludf.DUMMYFUNCTION("IF($H165&lt;&gt;"""",IFERROR(FILTER(RawTotals!$AJ:$AJ,RawTotals!$A:$A=AT165)-(FILTER(Data!$K:$K,Data!$B:$B=AT165,Data!$D:$D=$H165)+FILTER(Data!$L:$L,Data!$B:$B=AT165,Data!$D:$D=$H165)),""""),"""")"),"")</f>
        <v/>
      </c>
      <c r="CE165" s="69" t="str">
        <f>IFERROR(__xludf.DUMMYFUNCTION("IF($I165&lt;&gt;"""",IFERROR(FILTER(RawTotals!$AJ:$AJ,RawTotals!$A:$A=AU165)-(FILTER(Data!$K:$K,Data!$B:$B=AU165,Data!$D:$D=$I165)+FILTER(Data!$L:$L,Data!$B:$B=AU165,Data!$D:$D=$I165)),""""),"""")"),"")</f>
        <v/>
      </c>
      <c r="CF165" s="69" t="str">
        <f>IFERROR(__xludf.DUMMYFUNCTION("IF($I165&lt;&gt;"""",IFERROR(FILTER(RawTotals!$AJ:$AJ,RawTotals!$A:$A=AV165)-(FILTER(Data!$K:$K,Data!$B:$B=AV165,Data!$D:$D=$I165)+FILTER(Data!$L:$L,Data!$B:$B=AV165,Data!$D:$D=$I165)),""""),"""")"),"")</f>
        <v/>
      </c>
      <c r="CG165" s="69" t="str">
        <f>IFERROR(__xludf.DUMMYFUNCTION("IF($I165&lt;&gt;"""",IFERROR(FILTER(RawTotals!$AJ:$AJ,RawTotals!$A:$A=AW165)-(FILTER(Data!$K:$K,Data!$B:$B=AW165,Data!$D:$D=$I165)+FILTER(Data!$L:$L,Data!$B:$B=AW165,Data!$D:$D=$I165)),""""),"""")"),"")</f>
        <v/>
      </c>
      <c r="CH165" s="69" t="str">
        <f>IFERROR(__xludf.DUMMYFUNCTION("IF($J165&lt;&gt;"""",IFERROR(FILTER(RawTotals!$AJ:$AJ,RawTotals!$A:$A=AX165)-(FILTER(Data!$K:$K,Data!$B:$B=AX165,Data!$D:$D=$J165)+FILTER(Data!$L:$L,Data!$B:$B=AX165,Data!$D:$D=$J165)),""""),"""")"),"")</f>
        <v/>
      </c>
      <c r="CI165" s="69" t="str">
        <f>IFERROR(__xludf.DUMMYFUNCTION("IF($J165&lt;&gt;"""",IFERROR(FILTER(RawTotals!$AJ:$AJ,RawTotals!$A:$A=AY165)-(FILTER(Data!$K:$K,Data!$B:$B=AY165,Data!$D:$D=$J165)+FILTER(Data!$L:$L,Data!$B:$B=AY165,Data!$D:$D=$J165)),""""),"""")"),"")</f>
        <v/>
      </c>
      <c r="CJ165" s="69" t="str">
        <f>IFERROR(__xludf.DUMMYFUNCTION("IF($J165&lt;&gt;"""",IFERROR(FILTER(RawTotals!$AJ:$AJ,RawTotals!$A:$A=AZ165)-(FILTER(Data!$K:$K,Data!$B:$B=AZ165,Data!$D:$D=$J165)+FILTER(Data!$L:$L,Data!$B:$B=AZ165,Data!$D:$D=$J165)),""""),"""")"),"")</f>
        <v/>
      </c>
      <c r="CK165" s="69" t="str">
        <f>IFERROR(__xludf.DUMMYFUNCTION("IF($K165&lt;&gt;"""",IFERROR(FILTER(RawTotals!$AJ:$AJ,RawTotals!$A:$A=BA165)-(FILTER(Data!$K:$K,Data!$B:$B=BA165,Data!$D:$D=$K165)+FILTER(Data!$L:$L,Data!$B:$B=BA165,Data!$D:$D=$K165)),""""),"""")"),"")</f>
        <v/>
      </c>
      <c r="CL165" s="69" t="str">
        <f>IFERROR(__xludf.DUMMYFUNCTION("IF($K165&lt;&gt;"""",IFERROR(FILTER(RawTotals!$AJ:$AJ,RawTotals!$A:$A=BB165)-(FILTER(Data!$K:$K,Data!$B:$B=BB165,Data!$D:$D=$K165)+FILTER(Data!$L:$L,Data!$B:$B=BB165,Data!$D:$D=$K165)),""""),"""")"),"")</f>
        <v/>
      </c>
      <c r="CM165" s="69" t="str">
        <f>IFERROR(__xludf.DUMMYFUNCTION("IF($K165&lt;&gt;"""",IFERROR(FILTER(RawTotals!$AJ:$AJ,RawTotals!$A:$A=BC165)-(FILTER(Data!$K:$K,Data!$B:$B=BC165,Data!$D:$D=$K165)+FILTER(Data!$L:$L,Data!$B:$B=BC165,Data!$D:$D=$K165)),""""),"""")"),"")</f>
        <v/>
      </c>
      <c r="CN165" s="69" t="str">
        <f>IFERROR(__xludf.DUMMYFUNCTION("IF($L165&lt;&gt;"""",IFERROR((FILTER(RawTotals!$AJ:$AJ,RawTotals!$A:$A=BD165)-(FILTER(Data!$K:$K,Data!$B:$B=BD165,Data!$D:$D=$L165)+FILTER(Data!$L:$L,Data!$B:$B=BD165,Data!$D:$D=$L165))),""""),"""")"),"")</f>
        <v/>
      </c>
      <c r="CO165" s="69" t="str">
        <f>IFERROR(__xludf.DUMMYFUNCTION("IF($L165&lt;&gt;"""",IFERROR((FILTER(RawTotals!$AJ:$AJ,RawTotals!$A:$A=BE165)-(FILTER(Data!$K:$K,Data!$B:$B=BE165,Data!$D:$D=$L165)+FILTER(Data!$L:$L,Data!$B:$B=BE165,Data!$D:$D=$L165))),""""),"""")"),"")</f>
        <v/>
      </c>
      <c r="CP165" s="69" t="str">
        <f>IFERROR(__xludf.DUMMYFUNCTION("IF($L165&lt;&gt;"""",IFERROR((FILTER(RawTotals!$AJ:$AJ,RawTotals!$A:$A=BF165)-(FILTER(Data!$K:$K,Data!$B:$B=BF165,Data!$D:$D=$L165)+FILTER(Data!$L:$L,Data!$B:$B=BF165,Data!$D:$D=$L165))),""""),"""")"),"")</f>
        <v/>
      </c>
      <c r="CQ165" s="69" t="str">
        <f>IFERROR(__xludf.DUMMYFUNCTION("IF($M165&lt;&gt;"""",IFERROR((FILTER(RawTotals!$AJ:$AJ,RawTotals!$A:$A=BG165)-(FILTER(Data!$K:$K,Data!$B:$B=BG165,Data!$D:$D=$M165)+FILTER(Data!$L:$L,Data!$B:$B=BG165,Data!$D:$D=$M165))),""""),"""")"),"")</f>
        <v/>
      </c>
      <c r="CR165" s="69" t="str">
        <f>IFERROR(__xludf.DUMMYFUNCTION("IF($M165&lt;&gt;"""",IFERROR((FILTER(RawTotals!$AJ:$AJ,RawTotals!$A:$A=BH165)-(FILTER(Data!$K:$K,Data!$B:$B=BH165,Data!$D:$D=$M165)+FILTER(Data!$L:$L,Data!$B:$B=BH165,Data!$D:$D=$M165))),""""),"""")"),"")</f>
        <v/>
      </c>
      <c r="CS165" s="70" t="str">
        <f>IFERROR(__xludf.DUMMYFUNCTION("IF($M165&lt;&gt;"""",IFERROR((FILTER(RawTotals!$AJ:$AJ,RawTotals!$A:$A=BI165)-(FILTER(Data!$K:$K,Data!$B:$B=BI165,Data!$D:$D=$M165)+FILTER(Data!$L:$L,Data!$B:$B=BI165,Data!$D:$D=$M165))),""""),"""")"),"")</f>
        <v/>
      </c>
      <c r="CT165" s="16"/>
      <c r="CU165" s="16"/>
      <c r="CV165" s="16"/>
      <c r="CW165" s="16"/>
      <c r="CX165" s="16"/>
      <c r="CY165" s="16"/>
      <c r="CZ165" s="16"/>
      <c r="DA165" s="16"/>
      <c r="DB165" s="16"/>
      <c r="DC165" s="16"/>
      <c r="DD165" s="16"/>
      <c r="DE165" s="16"/>
    </row>
    <row r="166">
      <c r="A166" s="15"/>
      <c r="B166" s="16"/>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6"/>
      <c r="AD166" s="15"/>
      <c r="AE166" s="15"/>
      <c r="AF166" s="16"/>
      <c r="AG166" s="15"/>
      <c r="AH166" s="15"/>
      <c r="AI166" s="16"/>
      <c r="AJ166" s="15"/>
      <c r="AK166" s="15"/>
      <c r="AL166" s="16"/>
      <c r="AM166" s="15"/>
      <c r="AN166" s="15"/>
      <c r="AO166" s="16"/>
      <c r="AP166" s="15"/>
      <c r="AQ166" s="15"/>
      <c r="AR166" s="16"/>
      <c r="AS166" s="15"/>
      <c r="AT166" s="15"/>
      <c r="AU166" s="16"/>
      <c r="AV166" s="15"/>
      <c r="AW166" s="15"/>
      <c r="AX166" s="16"/>
      <c r="AY166" s="15"/>
      <c r="AZ166" s="15"/>
      <c r="BA166" s="16"/>
      <c r="BB166" s="16"/>
      <c r="BC166" s="16"/>
      <c r="BD166" s="16"/>
      <c r="BE166" s="16"/>
      <c r="BF166" s="16"/>
      <c r="BG166" s="16"/>
      <c r="BH166" s="16"/>
      <c r="BI166" s="16"/>
      <c r="BJ166" s="68" t="str">
        <f>IFERROR(__xludf.DUMMYFUNCTION("IF($B166&lt;&gt;"""",IFERROR(FILTER(RawTotals!$AJ:$AJ,RawTotals!$A:$A=Z166)-(FILTER(Data!$K:$K,Data!$B:$B=Z166,Data!$D:$D=$B166)+FILTER(Data!$L:$L,Data!$B:$B=Z166,Data!$D:$D=$B166)),""""),"""")"),"")</f>
        <v/>
      </c>
      <c r="BK166" s="68" t="str">
        <f>IFERROR(__xludf.DUMMYFUNCTION("IF($B166&lt;&gt;"""",IFERROR(FILTER(RawTotals!$AJ:$AJ,RawTotals!$A:$A=AA166)-(FILTER(Data!$K:$K,Data!$B:$B=AA166,Data!$D:$D=$B166)+FILTER(Data!$L:$L,Data!$B:$B=AA166,Data!$D:$D=$B166)),""""),"""")"),"")</f>
        <v/>
      </c>
      <c r="BL166" s="68" t="str">
        <f>IFERROR(__xludf.DUMMYFUNCTION("IF($B166&lt;&gt;"""",IFERROR(FILTER(RawTotals!$AJ:$AJ,RawTotals!$A:$A=AB166)-(FILTER(Data!$K:$K,Data!$B:$B=AB166,Data!$D:$D=$B166)+FILTER(Data!$L:$L,Data!$B:$B=AB166,Data!$D:$D=$B166)),""""),"""")"),"")</f>
        <v/>
      </c>
      <c r="BM166" s="69" t="str">
        <f>IFERROR(__xludf.DUMMYFUNCTION("IF($C166&lt;&gt;"""",IFERROR(FILTER(RawTotals!$AJ:$AJ,RawTotals!$A:$A=AC166)-(FILTER(Data!$K:$K,Data!$B:$B=AC166,Data!$D:$D=$C166)+FILTER(Data!$L:$L,Data!$B:$B=AC166,Data!$D:$D=$C166)),""""),"""")"),"")</f>
        <v/>
      </c>
      <c r="BN166" s="69" t="str">
        <f>IFERROR(__xludf.DUMMYFUNCTION("IF($C166&lt;&gt;"""",IFERROR(FILTER(RawTotals!$AJ:$AJ,RawTotals!$A:$A=AD166)-(FILTER(Data!$K:$K,Data!$B:$B=AD166,Data!$D:$D=$C166)+FILTER(Data!$L:$L,Data!$B:$B=AD166,Data!$D:$D=$C166)),""""),"""")"),"")</f>
        <v/>
      </c>
      <c r="BO166" s="69" t="str">
        <f>IFERROR(__xludf.DUMMYFUNCTION("IF($C166&lt;&gt;"""",IFERROR(FILTER(RawTotals!$AJ:$AJ,RawTotals!$A:$A=AE166)-(FILTER(Data!$K:$K,Data!$B:$B=AE166,Data!$D:$D=$C166)+FILTER(Data!$L:$L,Data!$B:$B=AE166,Data!$D:$D=$C166)),""""),"""")"),"")</f>
        <v/>
      </c>
      <c r="BP166" s="69" t="str">
        <f>IFERROR(__xludf.DUMMYFUNCTION("IF($D166&lt;&gt;"""",IFERROR(FILTER(RawTotals!$AJ:$AJ,RawTotals!$A:$A=AF166)-(FILTER(Data!$K:$K,Data!$B:$B=AF166,Data!$D:$D=$D166)+FILTER(Data!$L:$L,Data!$B:$B=AF166,Data!$D:$D=$D166)),""""),"""")"),"")</f>
        <v/>
      </c>
      <c r="BQ166" s="69" t="str">
        <f>IFERROR(__xludf.DUMMYFUNCTION("IF($D166&lt;&gt;"""",IFERROR(FILTER(RawTotals!$AJ:$AJ,RawTotals!$A:$A=AG166)-(FILTER(Data!$K:$K,Data!$B:$B=AG166,Data!$D:$D=$D166)+FILTER(Data!$L:$L,Data!$B:$B=AG166,Data!$D:$D=$D166)),""""),"""")"),"")</f>
        <v/>
      </c>
      <c r="BR166" s="69" t="str">
        <f>IFERROR(__xludf.DUMMYFUNCTION("IF($D166&lt;&gt;"""",IFERROR(FILTER(RawTotals!$AJ:$AJ,RawTotals!$A:$A=AH166)-(FILTER(Data!$K:$K,Data!$B:$B=AH166,Data!$D:$D=$D166)+FILTER(Data!$L:$L,Data!$B:$B=AH166,Data!$D:$D=$D166)),""""),"""")"),"")</f>
        <v/>
      </c>
      <c r="BS166" s="69" t="str">
        <f>IFERROR(__xludf.DUMMYFUNCTION("IF($E166&lt;&gt;"""",IFERROR(FILTER(RawTotals!$AJ:$AJ,RawTotals!$A:$A=AI166)-(FILTER(Data!$K:$K,Data!$B:$B=AI166,Data!$D:$D=$E166)+FILTER(Data!$L:$L,Data!$B:$B=AI166,Data!$D:$D=$E166)),""""),"""")"),"")</f>
        <v/>
      </c>
      <c r="BT166" s="69" t="str">
        <f>IFERROR(__xludf.DUMMYFUNCTION("IF($E166&lt;&gt;"""",IFERROR(FILTER(RawTotals!$AJ:$AJ,RawTotals!$A:$A=AJ166)-(FILTER(Data!$K:$K,Data!$B:$B=AJ166,Data!$D:$D=$E166)+FILTER(Data!$L:$L,Data!$B:$B=AJ166,Data!$D:$D=$E166)),""""),"""")"),"")</f>
        <v/>
      </c>
      <c r="BU166" s="69" t="str">
        <f>IFERROR(__xludf.DUMMYFUNCTION("IF($E166&lt;&gt;"""",IFERROR(FILTER(RawTotals!$AJ:$AJ,RawTotals!$A:$A=AK166)-(FILTER(Data!$K:$K,Data!$B:$B=AK166,Data!$D:$D=$E166)+FILTER(Data!$L:$L,Data!$B:$B=AK166,Data!$D:$D=$E166)),""""),"""")"),"")</f>
        <v/>
      </c>
      <c r="BV166" s="69" t="str">
        <f>IFERROR(__xludf.DUMMYFUNCTION("IF($F166&lt;&gt;"""",IFERROR(FILTER(RawTotals!$AJ:$AJ,RawTotals!$A:$A=AL166)-(FILTER(Data!$K:$K,Data!$B:$B=AL166,Data!$D:$D=$F166)+FILTER(Data!$L:$L,Data!$B:$B=AL166,Data!$D:$D=$F166)),""""),"""")"),"")</f>
        <v/>
      </c>
      <c r="BW166" s="69" t="str">
        <f>IFERROR(__xludf.DUMMYFUNCTION("IF($F166&lt;&gt;"""",IFERROR(FILTER(RawTotals!$AJ:$AJ,RawTotals!$A:$A=AM166)-(FILTER(Data!$K:$K,Data!$B:$B=AM166,Data!$D:$D=$F166)+FILTER(Data!$L:$L,Data!$B:$B=AM166,Data!$D:$D=$F166)),""""),"""")"),"")</f>
        <v/>
      </c>
      <c r="BX166" s="69" t="str">
        <f>IFERROR(__xludf.DUMMYFUNCTION("IF($F166&lt;&gt;"""",IFERROR(FILTER(RawTotals!$AJ:$AJ,RawTotals!$A:$A=AN166)-(FILTER(Data!$K:$K,Data!$B:$B=AN166,Data!$D:$D=$F166)+FILTER(Data!$L:$L,Data!$B:$B=AN166,Data!$D:$D=$F166)),""""),"""")"),"")</f>
        <v/>
      </c>
      <c r="BY166" s="69" t="str">
        <f>IFERROR(__xludf.DUMMYFUNCTION("IF($G166&lt;&gt;"""",IFERROR(FILTER(RawTotals!$AJ:$AJ,RawTotals!$A:$A=AO166)-(FILTER(Data!$K:$K,Data!$B:$B=AO166,Data!$D:$D=$G166)+FILTER(Data!$L:$L,Data!$B:$B=AO166,Data!$D:$D=$G166)),""""),"""")"),"")</f>
        <v/>
      </c>
      <c r="BZ166" s="69" t="str">
        <f>IFERROR(__xludf.DUMMYFUNCTION("IF($G166&lt;&gt;"""",IFERROR(FILTER(RawTotals!$AJ:$AJ,RawTotals!$A:$A=AP166)-(FILTER(Data!$K:$K,Data!$B:$B=AP166,Data!$D:$D=$G166)+FILTER(Data!$L:$L,Data!$B:$B=AP166,Data!$D:$D=$G166)),""""),"""")"),"")</f>
        <v/>
      </c>
      <c r="CA166" s="69" t="str">
        <f>IFERROR(__xludf.DUMMYFUNCTION("IF($G166&lt;&gt;"""",IFERROR(FILTER(RawTotals!$AJ:$AJ,RawTotals!$A:$A=AQ166)-(FILTER(Data!$K:$K,Data!$B:$B=AQ166,Data!$D:$D=$G166)+FILTER(Data!$L:$L,Data!$B:$B=AQ166,Data!$D:$D=$G166)),""""),"""")"),"")</f>
        <v/>
      </c>
      <c r="CB166" s="69" t="str">
        <f>IFERROR(__xludf.DUMMYFUNCTION("IF($H166&lt;&gt;"""",IFERROR(FILTER(RawTotals!$AJ:$AJ,RawTotals!$A:$A=AR166)-(FILTER(Data!$K:$K,Data!$B:$B=AR166,Data!$D:$D=$H166)+FILTER(Data!$L:$L,Data!$B:$B=AR166,Data!$D:$D=$H166)),""""),"""")"),"")</f>
        <v/>
      </c>
      <c r="CC166" s="69" t="str">
        <f>IFERROR(__xludf.DUMMYFUNCTION("IF($H166&lt;&gt;"""",IFERROR(FILTER(RawTotals!$AJ:$AJ,RawTotals!$A:$A=AS166)-(FILTER(Data!$K:$K,Data!$B:$B=AS166,Data!$D:$D=$H166)+FILTER(Data!$L:$L,Data!$B:$B=AS166,Data!$D:$D=$H166)),""""),"""")"),"")</f>
        <v/>
      </c>
      <c r="CD166" s="69" t="str">
        <f>IFERROR(__xludf.DUMMYFUNCTION("IF($H166&lt;&gt;"""",IFERROR(FILTER(RawTotals!$AJ:$AJ,RawTotals!$A:$A=AT166)-(FILTER(Data!$K:$K,Data!$B:$B=AT166,Data!$D:$D=$H166)+FILTER(Data!$L:$L,Data!$B:$B=AT166,Data!$D:$D=$H166)),""""),"""")"),"")</f>
        <v/>
      </c>
      <c r="CE166" s="69" t="str">
        <f>IFERROR(__xludf.DUMMYFUNCTION("IF($I166&lt;&gt;"""",IFERROR(FILTER(RawTotals!$AJ:$AJ,RawTotals!$A:$A=AU166)-(FILTER(Data!$K:$K,Data!$B:$B=AU166,Data!$D:$D=$I166)+FILTER(Data!$L:$L,Data!$B:$B=AU166,Data!$D:$D=$I166)),""""),"""")"),"")</f>
        <v/>
      </c>
      <c r="CF166" s="69" t="str">
        <f>IFERROR(__xludf.DUMMYFUNCTION("IF($I166&lt;&gt;"""",IFERROR(FILTER(RawTotals!$AJ:$AJ,RawTotals!$A:$A=AV166)-(FILTER(Data!$K:$K,Data!$B:$B=AV166,Data!$D:$D=$I166)+FILTER(Data!$L:$L,Data!$B:$B=AV166,Data!$D:$D=$I166)),""""),"""")"),"")</f>
        <v/>
      </c>
      <c r="CG166" s="69" t="str">
        <f>IFERROR(__xludf.DUMMYFUNCTION("IF($I166&lt;&gt;"""",IFERROR(FILTER(RawTotals!$AJ:$AJ,RawTotals!$A:$A=AW166)-(FILTER(Data!$K:$K,Data!$B:$B=AW166,Data!$D:$D=$I166)+FILTER(Data!$L:$L,Data!$B:$B=AW166,Data!$D:$D=$I166)),""""),"""")"),"")</f>
        <v/>
      </c>
      <c r="CH166" s="69" t="str">
        <f>IFERROR(__xludf.DUMMYFUNCTION("IF($J166&lt;&gt;"""",IFERROR(FILTER(RawTotals!$AJ:$AJ,RawTotals!$A:$A=AX166)-(FILTER(Data!$K:$K,Data!$B:$B=AX166,Data!$D:$D=$J166)+FILTER(Data!$L:$L,Data!$B:$B=AX166,Data!$D:$D=$J166)),""""),"""")"),"")</f>
        <v/>
      </c>
      <c r="CI166" s="69" t="str">
        <f>IFERROR(__xludf.DUMMYFUNCTION("IF($J166&lt;&gt;"""",IFERROR(FILTER(RawTotals!$AJ:$AJ,RawTotals!$A:$A=AY166)-(FILTER(Data!$K:$K,Data!$B:$B=AY166,Data!$D:$D=$J166)+FILTER(Data!$L:$L,Data!$B:$B=AY166,Data!$D:$D=$J166)),""""),"""")"),"")</f>
        <v/>
      </c>
      <c r="CJ166" s="69" t="str">
        <f>IFERROR(__xludf.DUMMYFUNCTION("IF($J166&lt;&gt;"""",IFERROR(FILTER(RawTotals!$AJ:$AJ,RawTotals!$A:$A=AZ166)-(FILTER(Data!$K:$K,Data!$B:$B=AZ166,Data!$D:$D=$J166)+FILTER(Data!$L:$L,Data!$B:$B=AZ166,Data!$D:$D=$J166)),""""),"""")"),"")</f>
        <v/>
      </c>
      <c r="CK166" s="69" t="str">
        <f>IFERROR(__xludf.DUMMYFUNCTION("IF($K166&lt;&gt;"""",IFERROR(FILTER(RawTotals!$AJ:$AJ,RawTotals!$A:$A=BA166)-(FILTER(Data!$K:$K,Data!$B:$B=BA166,Data!$D:$D=$K166)+FILTER(Data!$L:$L,Data!$B:$B=BA166,Data!$D:$D=$K166)),""""),"""")"),"")</f>
        <v/>
      </c>
      <c r="CL166" s="69" t="str">
        <f>IFERROR(__xludf.DUMMYFUNCTION("IF($K166&lt;&gt;"""",IFERROR(FILTER(RawTotals!$AJ:$AJ,RawTotals!$A:$A=BB166)-(FILTER(Data!$K:$K,Data!$B:$B=BB166,Data!$D:$D=$K166)+FILTER(Data!$L:$L,Data!$B:$B=BB166,Data!$D:$D=$K166)),""""),"""")"),"")</f>
        <v/>
      </c>
      <c r="CM166" s="69" t="str">
        <f>IFERROR(__xludf.DUMMYFUNCTION("IF($K166&lt;&gt;"""",IFERROR(FILTER(RawTotals!$AJ:$AJ,RawTotals!$A:$A=BC166)-(FILTER(Data!$K:$K,Data!$B:$B=BC166,Data!$D:$D=$K166)+FILTER(Data!$L:$L,Data!$B:$B=BC166,Data!$D:$D=$K166)),""""),"""")"),"")</f>
        <v/>
      </c>
      <c r="CN166" s="69" t="str">
        <f>IFERROR(__xludf.DUMMYFUNCTION("IF($L166&lt;&gt;"""",IFERROR((FILTER(RawTotals!$AJ:$AJ,RawTotals!$A:$A=BD166)-(FILTER(Data!$K:$K,Data!$B:$B=BD166,Data!$D:$D=$L166)+FILTER(Data!$L:$L,Data!$B:$B=BD166,Data!$D:$D=$L166))),""""),"""")"),"")</f>
        <v/>
      </c>
      <c r="CO166" s="69" t="str">
        <f>IFERROR(__xludf.DUMMYFUNCTION("IF($L166&lt;&gt;"""",IFERROR((FILTER(RawTotals!$AJ:$AJ,RawTotals!$A:$A=BE166)-(FILTER(Data!$K:$K,Data!$B:$B=BE166,Data!$D:$D=$L166)+FILTER(Data!$L:$L,Data!$B:$B=BE166,Data!$D:$D=$L166))),""""),"""")"),"")</f>
        <v/>
      </c>
      <c r="CP166" s="69" t="str">
        <f>IFERROR(__xludf.DUMMYFUNCTION("IF($L166&lt;&gt;"""",IFERROR((FILTER(RawTotals!$AJ:$AJ,RawTotals!$A:$A=BF166)-(FILTER(Data!$K:$K,Data!$B:$B=BF166,Data!$D:$D=$L166)+FILTER(Data!$L:$L,Data!$B:$B=BF166,Data!$D:$D=$L166))),""""),"""")"),"")</f>
        <v/>
      </c>
      <c r="CQ166" s="69" t="str">
        <f>IFERROR(__xludf.DUMMYFUNCTION("IF($M166&lt;&gt;"""",IFERROR((FILTER(RawTotals!$AJ:$AJ,RawTotals!$A:$A=BG166)-(FILTER(Data!$K:$K,Data!$B:$B=BG166,Data!$D:$D=$M166)+FILTER(Data!$L:$L,Data!$B:$B=BG166,Data!$D:$D=$M166))),""""),"""")"),"")</f>
        <v/>
      </c>
      <c r="CR166" s="69" t="str">
        <f>IFERROR(__xludf.DUMMYFUNCTION("IF($M166&lt;&gt;"""",IFERROR((FILTER(RawTotals!$AJ:$AJ,RawTotals!$A:$A=BH166)-(FILTER(Data!$K:$K,Data!$B:$B=BH166,Data!$D:$D=$M166)+FILTER(Data!$L:$L,Data!$B:$B=BH166,Data!$D:$D=$M166))),""""),"""")"),"")</f>
        <v/>
      </c>
      <c r="CS166" s="70" t="str">
        <f>IFERROR(__xludf.DUMMYFUNCTION("IF($M166&lt;&gt;"""",IFERROR((FILTER(RawTotals!$AJ:$AJ,RawTotals!$A:$A=BI166)-(FILTER(Data!$K:$K,Data!$B:$B=BI166,Data!$D:$D=$M166)+FILTER(Data!$L:$L,Data!$B:$B=BI166,Data!$D:$D=$M166))),""""),"""")"),"")</f>
        <v/>
      </c>
      <c r="CT166" s="16"/>
      <c r="CU166" s="16"/>
      <c r="CV166" s="16"/>
      <c r="CW166" s="16"/>
      <c r="CX166" s="16"/>
      <c r="CY166" s="16"/>
      <c r="CZ166" s="16"/>
      <c r="DA166" s="16"/>
      <c r="DB166" s="16"/>
      <c r="DC166" s="16"/>
      <c r="DD166" s="16"/>
      <c r="DE166" s="16"/>
    </row>
    <row r="167">
      <c r="A167" s="15"/>
      <c r="B167" s="16"/>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6"/>
      <c r="AD167" s="15"/>
      <c r="AE167" s="15"/>
      <c r="AF167" s="16"/>
      <c r="AG167" s="15"/>
      <c r="AH167" s="15"/>
      <c r="AI167" s="16"/>
      <c r="AJ167" s="15"/>
      <c r="AK167" s="15"/>
      <c r="AL167" s="16"/>
      <c r="AM167" s="15"/>
      <c r="AN167" s="15"/>
      <c r="AO167" s="16"/>
      <c r="AP167" s="15"/>
      <c r="AQ167" s="15"/>
      <c r="AR167" s="16"/>
      <c r="AS167" s="15"/>
      <c r="AT167" s="15"/>
      <c r="AU167" s="16"/>
      <c r="AV167" s="15"/>
      <c r="AW167" s="15"/>
      <c r="AX167" s="16"/>
      <c r="AY167" s="15"/>
      <c r="AZ167" s="15"/>
      <c r="BA167" s="16"/>
      <c r="BB167" s="16"/>
      <c r="BC167" s="16"/>
      <c r="BD167" s="16"/>
      <c r="BE167" s="16"/>
      <c r="BF167" s="16"/>
      <c r="BG167" s="16"/>
      <c r="BH167" s="16"/>
      <c r="BI167" s="16"/>
      <c r="BJ167" s="68" t="str">
        <f>IFERROR(__xludf.DUMMYFUNCTION("IF($B167&lt;&gt;"""",IFERROR(FILTER(RawTotals!$AJ:$AJ,RawTotals!$A:$A=Z167)-(FILTER(Data!$K:$K,Data!$B:$B=Z167,Data!$D:$D=$B167)+FILTER(Data!$L:$L,Data!$B:$B=Z167,Data!$D:$D=$B167)),""""),"""")"),"")</f>
        <v/>
      </c>
      <c r="BK167" s="68" t="str">
        <f>IFERROR(__xludf.DUMMYFUNCTION("IF($B167&lt;&gt;"""",IFERROR(FILTER(RawTotals!$AJ:$AJ,RawTotals!$A:$A=AA167)-(FILTER(Data!$K:$K,Data!$B:$B=AA167,Data!$D:$D=$B167)+FILTER(Data!$L:$L,Data!$B:$B=AA167,Data!$D:$D=$B167)),""""),"""")"),"")</f>
        <v/>
      </c>
      <c r="BL167" s="68" t="str">
        <f>IFERROR(__xludf.DUMMYFUNCTION("IF($B167&lt;&gt;"""",IFERROR(FILTER(RawTotals!$AJ:$AJ,RawTotals!$A:$A=AB167)-(FILTER(Data!$K:$K,Data!$B:$B=AB167,Data!$D:$D=$B167)+FILTER(Data!$L:$L,Data!$B:$B=AB167,Data!$D:$D=$B167)),""""),"""")"),"")</f>
        <v/>
      </c>
      <c r="BM167" s="69" t="str">
        <f>IFERROR(__xludf.DUMMYFUNCTION("IF($C167&lt;&gt;"""",IFERROR(FILTER(RawTotals!$AJ:$AJ,RawTotals!$A:$A=AC167)-(FILTER(Data!$K:$K,Data!$B:$B=AC167,Data!$D:$D=$C167)+FILTER(Data!$L:$L,Data!$B:$B=AC167,Data!$D:$D=$C167)),""""),"""")"),"")</f>
        <v/>
      </c>
      <c r="BN167" s="69" t="str">
        <f>IFERROR(__xludf.DUMMYFUNCTION("IF($C167&lt;&gt;"""",IFERROR(FILTER(RawTotals!$AJ:$AJ,RawTotals!$A:$A=AD167)-(FILTER(Data!$K:$K,Data!$B:$B=AD167,Data!$D:$D=$C167)+FILTER(Data!$L:$L,Data!$B:$B=AD167,Data!$D:$D=$C167)),""""),"""")"),"")</f>
        <v/>
      </c>
      <c r="BO167" s="69" t="str">
        <f>IFERROR(__xludf.DUMMYFUNCTION("IF($C167&lt;&gt;"""",IFERROR(FILTER(RawTotals!$AJ:$AJ,RawTotals!$A:$A=AE167)-(FILTER(Data!$K:$K,Data!$B:$B=AE167,Data!$D:$D=$C167)+FILTER(Data!$L:$L,Data!$B:$B=AE167,Data!$D:$D=$C167)),""""),"""")"),"")</f>
        <v/>
      </c>
      <c r="BP167" s="69" t="str">
        <f>IFERROR(__xludf.DUMMYFUNCTION("IF($D167&lt;&gt;"""",IFERROR(FILTER(RawTotals!$AJ:$AJ,RawTotals!$A:$A=AF167)-(FILTER(Data!$K:$K,Data!$B:$B=AF167,Data!$D:$D=$D167)+FILTER(Data!$L:$L,Data!$B:$B=AF167,Data!$D:$D=$D167)),""""),"""")"),"")</f>
        <v/>
      </c>
      <c r="BQ167" s="69" t="str">
        <f>IFERROR(__xludf.DUMMYFUNCTION("IF($D167&lt;&gt;"""",IFERROR(FILTER(RawTotals!$AJ:$AJ,RawTotals!$A:$A=AG167)-(FILTER(Data!$K:$K,Data!$B:$B=AG167,Data!$D:$D=$D167)+FILTER(Data!$L:$L,Data!$B:$B=AG167,Data!$D:$D=$D167)),""""),"""")"),"")</f>
        <v/>
      </c>
      <c r="BR167" s="69" t="str">
        <f>IFERROR(__xludf.DUMMYFUNCTION("IF($D167&lt;&gt;"""",IFERROR(FILTER(RawTotals!$AJ:$AJ,RawTotals!$A:$A=AH167)-(FILTER(Data!$K:$K,Data!$B:$B=AH167,Data!$D:$D=$D167)+FILTER(Data!$L:$L,Data!$B:$B=AH167,Data!$D:$D=$D167)),""""),"""")"),"")</f>
        <v/>
      </c>
      <c r="BS167" s="69" t="str">
        <f>IFERROR(__xludf.DUMMYFUNCTION("IF($E167&lt;&gt;"""",IFERROR(FILTER(RawTotals!$AJ:$AJ,RawTotals!$A:$A=AI167)-(FILTER(Data!$K:$K,Data!$B:$B=AI167,Data!$D:$D=$E167)+FILTER(Data!$L:$L,Data!$B:$B=AI167,Data!$D:$D=$E167)),""""),"""")"),"")</f>
        <v/>
      </c>
      <c r="BT167" s="69" t="str">
        <f>IFERROR(__xludf.DUMMYFUNCTION("IF($E167&lt;&gt;"""",IFERROR(FILTER(RawTotals!$AJ:$AJ,RawTotals!$A:$A=AJ167)-(FILTER(Data!$K:$K,Data!$B:$B=AJ167,Data!$D:$D=$E167)+FILTER(Data!$L:$L,Data!$B:$B=AJ167,Data!$D:$D=$E167)),""""),"""")"),"")</f>
        <v/>
      </c>
      <c r="BU167" s="69" t="str">
        <f>IFERROR(__xludf.DUMMYFUNCTION("IF($E167&lt;&gt;"""",IFERROR(FILTER(RawTotals!$AJ:$AJ,RawTotals!$A:$A=AK167)-(FILTER(Data!$K:$K,Data!$B:$B=AK167,Data!$D:$D=$E167)+FILTER(Data!$L:$L,Data!$B:$B=AK167,Data!$D:$D=$E167)),""""),"""")"),"")</f>
        <v/>
      </c>
      <c r="BV167" s="69" t="str">
        <f>IFERROR(__xludf.DUMMYFUNCTION("IF($F167&lt;&gt;"""",IFERROR(FILTER(RawTotals!$AJ:$AJ,RawTotals!$A:$A=AL167)-(FILTER(Data!$K:$K,Data!$B:$B=AL167,Data!$D:$D=$F167)+FILTER(Data!$L:$L,Data!$B:$B=AL167,Data!$D:$D=$F167)),""""),"""")"),"")</f>
        <v/>
      </c>
      <c r="BW167" s="69" t="str">
        <f>IFERROR(__xludf.DUMMYFUNCTION("IF($F167&lt;&gt;"""",IFERROR(FILTER(RawTotals!$AJ:$AJ,RawTotals!$A:$A=AM167)-(FILTER(Data!$K:$K,Data!$B:$B=AM167,Data!$D:$D=$F167)+FILTER(Data!$L:$L,Data!$B:$B=AM167,Data!$D:$D=$F167)),""""),"""")"),"")</f>
        <v/>
      </c>
      <c r="BX167" s="69" t="str">
        <f>IFERROR(__xludf.DUMMYFUNCTION("IF($F167&lt;&gt;"""",IFERROR(FILTER(RawTotals!$AJ:$AJ,RawTotals!$A:$A=AN167)-(FILTER(Data!$K:$K,Data!$B:$B=AN167,Data!$D:$D=$F167)+FILTER(Data!$L:$L,Data!$B:$B=AN167,Data!$D:$D=$F167)),""""),"""")"),"")</f>
        <v/>
      </c>
      <c r="BY167" s="69" t="str">
        <f>IFERROR(__xludf.DUMMYFUNCTION("IF($G167&lt;&gt;"""",IFERROR(FILTER(RawTotals!$AJ:$AJ,RawTotals!$A:$A=AO167)-(FILTER(Data!$K:$K,Data!$B:$B=AO167,Data!$D:$D=$G167)+FILTER(Data!$L:$L,Data!$B:$B=AO167,Data!$D:$D=$G167)),""""),"""")"),"")</f>
        <v/>
      </c>
      <c r="BZ167" s="69" t="str">
        <f>IFERROR(__xludf.DUMMYFUNCTION("IF($G167&lt;&gt;"""",IFERROR(FILTER(RawTotals!$AJ:$AJ,RawTotals!$A:$A=AP167)-(FILTER(Data!$K:$K,Data!$B:$B=AP167,Data!$D:$D=$G167)+FILTER(Data!$L:$L,Data!$B:$B=AP167,Data!$D:$D=$G167)),""""),"""")"),"")</f>
        <v/>
      </c>
      <c r="CA167" s="69" t="str">
        <f>IFERROR(__xludf.DUMMYFUNCTION("IF($G167&lt;&gt;"""",IFERROR(FILTER(RawTotals!$AJ:$AJ,RawTotals!$A:$A=AQ167)-(FILTER(Data!$K:$K,Data!$B:$B=AQ167,Data!$D:$D=$G167)+FILTER(Data!$L:$L,Data!$B:$B=AQ167,Data!$D:$D=$G167)),""""),"""")"),"")</f>
        <v/>
      </c>
      <c r="CB167" s="69" t="str">
        <f>IFERROR(__xludf.DUMMYFUNCTION("IF($H167&lt;&gt;"""",IFERROR(FILTER(RawTotals!$AJ:$AJ,RawTotals!$A:$A=AR167)-(FILTER(Data!$K:$K,Data!$B:$B=AR167,Data!$D:$D=$H167)+FILTER(Data!$L:$L,Data!$B:$B=AR167,Data!$D:$D=$H167)),""""),"""")"),"")</f>
        <v/>
      </c>
      <c r="CC167" s="69" t="str">
        <f>IFERROR(__xludf.DUMMYFUNCTION("IF($H167&lt;&gt;"""",IFERROR(FILTER(RawTotals!$AJ:$AJ,RawTotals!$A:$A=AS167)-(FILTER(Data!$K:$K,Data!$B:$B=AS167,Data!$D:$D=$H167)+FILTER(Data!$L:$L,Data!$B:$B=AS167,Data!$D:$D=$H167)),""""),"""")"),"")</f>
        <v/>
      </c>
      <c r="CD167" s="69" t="str">
        <f>IFERROR(__xludf.DUMMYFUNCTION("IF($H167&lt;&gt;"""",IFERROR(FILTER(RawTotals!$AJ:$AJ,RawTotals!$A:$A=AT167)-(FILTER(Data!$K:$K,Data!$B:$B=AT167,Data!$D:$D=$H167)+FILTER(Data!$L:$L,Data!$B:$B=AT167,Data!$D:$D=$H167)),""""),"""")"),"")</f>
        <v/>
      </c>
      <c r="CE167" s="69" t="str">
        <f>IFERROR(__xludf.DUMMYFUNCTION("IF($I167&lt;&gt;"""",IFERROR(FILTER(RawTotals!$AJ:$AJ,RawTotals!$A:$A=AU167)-(FILTER(Data!$K:$K,Data!$B:$B=AU167,Data!$D:$D=$I167)+FILTER(Data!$L:$L,Data!$B:$B=AU167,Data!$D:$D=$I167)),""""),"""")"),"")</f>
        <v/>
      </c>
      <c r="CF167" s="69" t="str">
        <f>IFERROR(__xludf.DUMMYFUNCTION("IF($I167&lt;&gt;"""",IFERROR(FILTER(RawTotals!$AJ:$AJ,RawTotals!$A:$A=AV167)-(FILTER(Data!$K:$K,Data!$B:$B=AV167,Data!$D:$D=$I167)+FILTER(Data!$L:$L,Data!$B:$B=AV167,Data!$D:$D=$I167)),""""),"""")"),"")</f>
        <v/>
      </c>
      <c r="CG167" s="69" t="str">
        <f>IFERROR(__xludf.DUMMYFUNCTION("IF($I167&lt;&gt;"""",IFERROR(FILTER(RawTotals!$AJ:$AJ,RawTotals!$A:$A=AW167)-(FILTER(Data!$K:$K,Data!$B:$B=AW167,Data!$D:$D=$I167)+FILTER(Data!$L:$L,Data!$B:$B=AW167,Data!$D:$D=$I167)),""""),"""")"),"")</f>
        <v/>
      </c>
      <c r="CH167" s="69" t="str">
        <f>IFERROR(__xludf.DUMMYFUNCTION("IF($J167&lt;&gt;"""",IFERROR(FILTER(RawTotals!$AJ:$AJ,RawTotals!$A:$A=AX167)-(FILTER(Data!$K:$K,Data!$B:$B=AX167,Data!$D:$D=$J167)+FILTER(Data!$L:$L,Data!$B:$B=AX167,Data!$D:$D=$J167)),""""),"""")"),"")</f>
        <v/>
      </c>
      <c r="CI167" s="69" t="str">
        <f>IFERROR(__xludf.DUMMYFUNCTION("IF($J167&lt;&gt;"""",IFERROR(FILTER(RawTotals!$AJ:$AJ,RawTotals!$A:$A=AY167)-(FILTER(Data!$K:$K,Data!$B:$B=AY167,Data!$D:$D=$J167)+FILTER(Data!$L:$L,Data!$B:$B=AY167,Data!$D:$D=$J167)),""""),"""")"),"")</f>
        <v/>
      </c>
      <c r="CJ167" s="69" t="str">
        <f>IFERROR(__xludf.DUMMYFUNCTION("IF($J167&lt;&gt;"""",IFERROR(FILTER(RawTotals!$AJ:$AJ,RawTotals!$A:$A=AZ167)-(FILTER(Data!$K:$K,Data!$B:$B=AZ167,Data!$D:$D=$J167)+FILTER(Data!$L:$L,Data!$B:$B=AZ167,Data!$D:$D=$J167)),""""),"""")"),"")</f>
        <v/>
      </c>
      <c r="CK167" s="69" t="str">
        <f>IFERROR(__xludf.DUMMYFUNCTION("IF($K167&lt;&gt;"""",IFERROR(FILTER(RawTotals!$AJ:$AJ,RawTotals!$A:$A=BA167)-(FILTER(Data!$K:$K,Data!$B:$B=BA167,Data!$D:$D=$K167)+FILTER(Data!$L:$L,Data!$B:$B=BA167,Data!$D:$D=$K167)),""""),"""")"),"")</f>
        <v/>
      </c>
      <c r="CL167" s="69" t="str">
        <f>IFERROR(__xludf.DUMMYFUNCTION("IF($K167&lt;&gt;"""",IFERROR(FILTER(RawTotals!$AJ:$AJ,RawTotals!$A:$A=BB167)-(FILTER(Data!$K:$K,Data!$B:$B=BB167,Data!$D:$D=$K167)+FILTER(Data!$L:$L,Data!$B:$B=BB167,Data!$D:$D=$K167)),""""),"""")"),"")</f>
        <v/>
      </c>
      <c r="CM167" s="69" t="str">
        <f>IFERROR(__xludf.DUMMYFUNCTION("IF($K167&lt;&gt;"""",IFERROR(FILTER(RawTotals!$AJ:$AJ,RawTotals!$A:$A=BC167)-(FILTER(Data!$K:$K,Data!$B:$B=BC167,Data!$D:$D=$K167)+FILTER(Data!$L:$L,Data!$B:$B=BC167,Data!$D:$D=$K167)),""""),"""")"),"")</f>
        <v/>
      </c>
      <c r="CN167" s="69" t="str">
        <f>IFERROR(__xludf.DUMMYFUNCTION("IF($L167&lt;&gt;"""",IFERROR((FILTER(RawTotals!$AJ:$AJ,RawTotals!$A:$A=BD167)-(FILTER(Data!$K:$K,Data!$B:$B=BD167,Data!$D:$D=$L167)+FILTER(Data!$L:$L,Data!$B:$B=BD167,Data!$D:$D=$L167))),""""),"""")"),"")</f>
        <v/>
      </c>
      <c r="CO167" s="69" t="str">
        <f>IFERROR(__xludf.DUMMYFUNCTION("IF($L167&lt;&gt;"""",IFERROR((FILTER(RawTotals!$AJ:$AJ,RawTotals!$A:$A=BE167)-(FILTER(Data!$K:$K,Data!$B:$B=BE167,Data!$D:$D=$L167)+FILTER(Data!$L:$L,Data!$B:$B=BE167,Data!$D:$D=$L167))),""""),"""")"),"")</f>
        <v/>
      </c>
      <c r="CP167" s="69" t="str">
        <f>IFERROR(__xludf.DUMMYFUNCTION("IF($L167&lt;&gt;"""",IFERROR((FILTER(RawTotals!$AJ:$AJ,RawTotals!$A:$A=BF167)-(FILTER(Data!$K:$K,Data!$B:$B=BF167,Data!$D:$D=$L167)+FILTER(Data!$L:$L,Data!$B:$B=BF167,Data!$D:$D=$L167))),""""),"""")"),"")</f>
        <v/>
      </c>
      <c r="CQ167" s="69" t="str">
        <f>IFERROR(__xludf.DUMMYFUNCTION("IF($M167&lt;&gt;"""",IFERROR((FILTER(RawTotals!$AJ:$AJ,RawTotals!$A:$A=BG167)-(FILTER(Data!$K:$K,Data!$B:$B=BG167,Data!$D:$D=$M167)+FILTER(Data!$L:$L,Data!$B:$B=BG167,Data!$D:$D=$M167))),""""),"""")"),"")</f>
        <v/>
      </c>
      <c r="CR167" s="69" t="str">
        <f>IFERROR(__xludf.DUMMYFUNCTION("IF($M167&lt;&gt;"""",IFERROR((FILTER(RawTotals!$AJ:$AJ,RawTotals!$A:$A=BH167)-(FILTER(Data!$K:$K,Data!$B:$B=BH167,Data!$D:$D=$M167)+FILTER(Data!$L:$L,Data!$B:$B=BH167,Data!$D:$D=$M167))),""""),"""")"),"")</f>
        <v/>
      </c>
      <c r="CS167" s="70" t="str">
        <f>IFERROR(__xludf.DUMMYFUNCTION("IF($M167&lt;&gt;"""",IFERROR((FILTER(RawTotals!$AJ:$AJ,RawTotals!$A:$A=BI167)-(FILTER(Data!$K:$K,Data!$B:$B=BI167,Data!$D:$D=$M167)+FILTER(Data!$L:$L,Data!$B:$B=BI167,Data!$D:$D=$M167))),""""),"""")"),"")</f>
        <v/>
      </c>
      <c r="CT167" s="16"/>
      <c r="CU167" s="16"/>
      <c r="CV167" s="16"/>
      <c r="CW167" s="16"/>
      <c r="CX167" s="16"/>
      <c r="CY167" s="16"/>
      <c r="CZ167" s="16"/>
      <c r="DA167" s="16"/>
      <c r="DB167" s="16"/>
      <c r="DC167" s="16"/>
      <c r="DD167" s="16"/>
      <c r="DE167" s="16"/>
    </row>
    <row r="168">
      <c r="A168" s="15"/>
      <c r="B168" s="16"/>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6"/>
      <c r="AD168" s="15"/>
      <c r="AE168" s="15"/>
      <c r="AF168" s="16"/>
      <c r="AG168" s="15"/>
      <c r="AH168" s="15"/>
      <c r="AI168" s="16"/>
      <c r="AJ168" s="15"/>
      <c r="AK168" s="15"/>
      <c r="AL168" s="16"/>
      <c r="AM168" s="15"/>
      <c r="AN168" s="15"/>
      <c r="AO168" s="16"/>
      <c r="AP168" s="15"/>
      <c r="AQ168" s="15"/>
      <c r="AR168" s="16"/>
      <c r="AS168" s="15"/>
      <c r="AT168" s="15"/>
      <c r="AU168" s="16"/>
      <c r="AV168" s="15"/>
      <c r="AW168" s="15"/>
      <c r="AX168" s="16"/>
      <c r="AY168" s="15"/>
      <c r="AZ168" s="15"/>
      <c r="BA168" s="16"/>
      <c r="BB168" s="16"/>
      <c r="BC168" s="16"/>
      <c r="BD168" s="16"/>
      <c r="BE168" s="16"/>
      <c r="BF168" s="16"/>
      <c r="BG168" s="16"/>
      <c r="BH168" s="16"/>
      <c r="BI168" s="16"/>
      <c r="BJ168" s="68" t="str">
        <f>IFERROR(__xludf.DUMMYFUNCTION("IF($B168&lt;&gt;"""",IFERROR(FILTER(RawTotals!$AJ:$AJ,RawTotals!$A:$A=Z168)-(FILTER(Data!$K:$K,Data!$B:$B=Z168,Data!$D:$D=$B168)+FILTER(Data!$L:$L,Data!$B:$B=Z168,Data!$D:$D=$B168)),""""),"""")"),"")</f>
        <v/>
      </c>
      <c r="BK168" s="68" t="str">
        <f>IFERROR(__xludf.DUMMYFUNCTION("IF($B168&lt;&gt;"""",IFERROR(FILTER(RawTotals!$AJ:$AJ,RawTotals!$A:$A=AA168)-(FILTER(Data!$K:$K,Data!$B:$B=AA168,Data!$D:$D=$B168)+FILTER(Data!$L:$L,Data!$B:$B=AA168,Data!$D:$D=$B168)),""""),"""")"),"")</f>
        <v/>
      </c>
      <c r="BL168" s="68" t="str">
        <f>IFERROR(__xludf.DUMMYFUNCTION("IF($B168&lt;&gt;"""",IFERROR(FILTER(RawTotals!$AJ:$AJ,RawTotals!$A:$A=AB168)-(FILTER(Data!$K:$K,Data!$B:$B=AB168,Data!$D:$D=$B168)+FILTER(Data!$L:$L,Data!$B:$B=AB168,Data!$D:$D=$B168)),""""),"""")"),"")</f>
        <v/>
      </c>
      <c r="BM168" s="69" t="str">
        <f>IFERROR(__xludf.DUMMYFUNCTION("IF($C168&lt;&gt;"""",IFERROR(FILTER(RawTotals!$AJ:$AJ,RawTotals!$A:$A=AC168)-(FILTER(Data!$K:$K,Data!$B:$B=AC168,Data!$D:$D=$C168)+FILTER(Data!$L:$L,Data!$B:$B=AC168,Data!$D:$D=$C168)),""""),"""")"),"")</f>
        <v/>
      </c>
      <c r="BN168" s="69" t="str">
        <f>IFERROR(__xludf.DUMMYFUNCTION("IF($C168&lt;&gt;"""",IFERROR(FILTER(RawTotals!$AJ:$AJ,RawTotals!$A:$A=AD168)-(FILTER(Data!$K:$K,Data!$B:$B=AD168,Data!$D:$D=$C168)+FILTER(Data!$L:$L,Data!$B:$B=AD168,Data!$D:$D=$C168)),""""),"""")"),"")</f>
        <v/>
      </c>
      <c r="BO168" s="69" t="str">
        <f>IFERROR(__xludf.DUMMYFUNCTION("IF($C168&lt;&gt;"""",IFERROR(FILTER(RawTotals!$AJ:$AJ,RawTotals!$A:$A=AE168)-(FILTER(Data!$K:$K,Data!$B:$B=AE168,Data!$D:$D=$C168)+FILTER(Data!$L:$L,Data!$B:$B=AE168,Data!$D:$D=$C168)),""""),"""")"),"")</f>
        <v/>
      </c>
      <c r="BP168" s="69" t="str">
        <f>IFERROR(__xludf.DUMMYFUNCTION("IF($D168&lt;&gt;"""",IFERROR(FILTER(RawTotals!$AJ:$AJ,RawTotals!$A:$A=AF168)-(FILTER(Data!$K:$K,Data!$B:$B=AF168,Data!$D:$D=$D168)+FILTER(Data!$L:$L,Data!$B:$B=AF168,Data!$D:$D=$D168)),""""),"""")"),"")</f>
        <v/>
      </c>
      <c r="BQ168" s="69" t="str">
        <f>IFERROR(__xludf.DUMMYFUNCTION("IF($D168&lt;&gt;"""",IFERROR(FILTER(RawTotals!$AJ:$AJ,RawTotals!$A:$A=AG168)-(FILTER(Data!$K:$K,Data!$B:$B=AG168,Data!$D:$D=$D168)+FILTER(Data!$L:$L,Data!$B:$B=AG168,Data!$D:$D=$D168)),""""),"""")"),"")</f>
        <v/>
      </c>
      <c r="BR168" s="69" t="str">
        <f>IFERROR(__xludf.DUMMYFUNCTION("IF($D168&lt;&gt;"""",IFERROR(FILTER(RawTotals!$AJ:$AJ,RawTotals!$A:$A=AH168)-(FILTER(Data!$K:$K,Data!$B:$B=AH168,Data!$D:$D=$D168)+FILTER(Data!$L:$L,Data!$B:$B=AH168,Data!$D:$D=$D168)),""""),"""")"),"")</f>
        <v/>
      </c>
      <c r="BS168" s="69" t="str">
        <f>IFERROR(__xludf.DUMMYFUNCTION("IF($E168&lt;&gt;"""",IFERROR(FILTER(RawTotals!$AJ:$AJ,RawTotals!$A:$A=AI168)-(FILTER(Data!$K:$K,Data!$B:$B=AI168,Data!$D:$D=$E168)+FILTER(Data!$L:$L,Data!$B:$B=AI168,Data!$D:$D=$E168)),""""),"""")"),"")</f>
        <v/>
      </c>
      <c r="BT168" s="69" t="str">
        <f>IFERROR(__xludf.DUMMYFUNCTION("IF($E168&lt;&gt;"""",IFERROR(FILTER(RawTotals!$AJ:$AJ,RawTotals!$A:$A=AJ168)-(FILTER(Data!$K:$K,Data!$B:$B=AJ168,Data!$D:$D=$E168)+FILTER(Data!$L:$L,Data!$B:$B=AJ168,Data!$D:$D=$E168)),""""),"""")"),"")</f>
        <v/>
      </c>
      <c r="BU168" s="69" t="str">
        <f>IFERROR(__xludf.DUMMYFUNCTION("IF($E168&lt;&gt;"""",IFERROR(FILTER(RawTotals!$AJ:$AJ,RawTotals!$A:$A=AK168)-(FILTER(Data!$K:$K,Data!$B:$B=AK168,Data!$D:$D=$E168)+FILTER(Data!$L:$L,Data!$B:$B=AK168,Data!$D:$D=$E168)),""""),"""")"),"")</f>
        <v/>
      </c>
      <c r="BV168" s="69" t="str">
        <f>IFERROR(__xludf.DUMMYFUNCTION("IF($F168&lt;&gt;"""",IFERROR(FILTER(RawTotals!$AJ:$AJ,RawTotals!$A:$A=AL168)-(FILTER(Data!$K:$K,Data!$B:$B=AL168,Data!$D:$D=$F168)+FILTER(Data!$L:$L,Data!$B:$B=AL168,Data!$D:$D=$F168)),""""),"""")"),"")</f>
        <v/>
      </c>
      <c r="BW168" s="69" t="str">
        <f>IFERROR(__xludf.DUMMYFUNCTION("IF($F168&lt;&gt;"""",IFERROR(FILTER(RawTotals!$AJ:$AJ,RawTotals!$A:$A=AM168)-(FILTER(Data!$K:$K,Data!$B:$B=AM168,Data!$D:$D=$F168)+FILTER(Data!$L:$L,Data!$B:$B=AM168,Data!$D:$D=$F168)),""""),"""")"),"")</f>
        <v/>
      </c>
      <c r="BX168" s="69" t="str">
        <f>IFERROR(__xludf.DUMMYFUNCTION("IF($F168&lt;&gt;"""",IFERROR(FILTER(RawTotals!$AJ:$AJ,RawTotals!$A:$A=AN168)-(FILTER(Data!$K:$K,Data!$B:$B=AN168,Data!$D:$D=$F168)+FILTER(Data!$L:$L,Data!$B:$B=AN168,Data!$D:$D=$F168)),""""),"""")"),"")</f>
        <v/>
      </c>
      <c r="BY168" s="69" t="str">
        <f>IFERROR(__xludf.DUMMYFUNCTION("IF($G168&lt;&gt;"""",IFERROR(FILTER(RawTotals!$AJ:$AJ,RawTotals!$A:$A=AO168)-(FILTER(Data!$K:$K,Data!$B:$B=AO168,Data!$D:$D=$G168)+FILTER(Data!$L:$L,Data!$B:$B=AO168,Data!$D:$D=$G168)),""""),"""")"),"")</f>
        <v/>
      </c>
      <c r="BZ168" s="69" t="str">
        <f>IFERROR(__xludf.DUMMYFUNCTION("IF($G168&lt;&gt;"""",IFERROR(FILTER(RawTotals!$AJ:$AJ,RawTotals!$A:$A=AP168)-(FILTER(Data!$K:$K,Data!$B:$B=AP168,Data!$D:$D=$G168)+FILTER(Data!$L:$L,Data!$B:$B=AP168,Data!$D:$D=$G168)),""""),"""")"),"")</f>
        <v/>
      </c>
      <c r="CA168" s="69" t="str">
        <f>IFERROR(__xludf.DUMMYFUNCTION("IF($G168&lt;&gt;"""",IFERROR(FILTER(RawTotals!$AJ:$AJ,RawTotals!$A:$A=AQ168)-(FILTER(Data!$K:$K,Data!$B:$B=AQ168,Data!$D:$D=$G168)+FILTER(Data!$L:$L,Data!$B:$B=AQ168,Data!$D:$D=$G168)),""""),"""")"),"")</f>
        <v/>
      </c>
      <c r="CB168" s="69" t="str">
        <f>IFERROR(__xludf.DUMMYFUNCTION("IF($H168&lt;&gt;"""",IFERROR(FILTER(RawTotals!$AJ:$AJ,RawTotals!$A:$A=AR168)-(FILTER(Data!$K:$K,Data!$B:$B=AR168,Data!$D:$D=$H168)+FILTER(Data!$L:$L,Data!$B:$B=AR168,Data!$D:$D=$H168)),""""),"""")"),"")</f>
        <v/>
      </c>
      <c r="CC168" s="69" t="str">
        <f>IFERROR(__xludf.DUMMYFUNCTION("IF($H168&lt;&gt;"""",IFERROR(FILTER(RawTotals!$AJ:$AJ,RawTotals!$A:$A=AS168)-(FILTER(Data!$K:$K,Data!$B:$B=AS168,Data!$D:$D=$H168)+FILTER(Data!$L:$L,Data!$B:$B=AS168,Data!$D:$D=$H168)),""""),"""")"),"")</f>
        <v/>
      </c>
      <c r="CD168" s="69" t="str">
        <f>IFERROR(__xludf.DUMMYFUNCTION("IF($H168&lt;&gt;"""",IFERROR(FILTER(RawTotals!$AJ:$AJ,RawTotals!$A:$A=AT168)-(FILTER(Data!$K:$K,Data!$B:$B=AT168,Data!$D:$D=$H168)+FILTER(Data!$L:$L,Data!$B:$B=AT168,Data!$D:$D=$H168)),""""),"""")"),"")</f>
        <v/>
      </c>
      <c r="CE168" s="69" t="str">
        <f>IFERROR(__xludf.DUMMYFUNCTION("IF($I168&lt;&gt;"""",IFERROR(FILTER(RawTotals!$AJ:$AJ,RawTotals!$A:$A=AU168)-(FILTER(Data!$K:$K,Data!$B:$B=AU168,Data!$D:$D=$I168)+FILTER(Data!$L:$L,Data!$B:$B=AU168,Data!$D:$D=$I168)),""""),"""")"),"")</f>
        <v/>
      </c>
      <c r="CF168" s="69" t="str">
        <f>IFERROR(__xludf.DUMMYFUNCTION("IF($I168&lt;&gt;"""",IFERROR(FILTER(RawTotals!$AJ:$AJ,RawTotals!$A:$A=AV168)-(FILTER(Data!$K:$K,Data!$B:$B=AV168,Data!$D:$D=$I168)+FILTER(Data!$L:$L,Data!$B:$B=AV168,Data!$D:$D=$I168)),""""),"""")"),"")</f>
        <v/>
      </c>
      <c r="CG168" s="69" t="str">
        <f>IFERROR(__xludf.DUMMYFUNCTION("IF($I168&lt;&gt;"""",IFERROR(FILTER(RawTotals!$AJ:$AJ,RawTotals!$A:$A=AW168)-(FILTER(Data!$K:$K,Data!$B:$B=AW168,Data!$D:$D=$I168)+FILTER(Data!$L:$L,Data!$B:$B=AW168,Data!$D:$D=$I168)),""""),"""")"),"")</f>
        <v/>
      </c>
      <c r="CH168" s="69" t="str">
        <f>IFERROR(__xludf.DUMMYFUNCTION("IF($J168&lt;&gt;"""",IFERROR(FILTER(RawTotals!$AJ:$AJ,RawTotals!$A:$A=AX168)-(FILTER(Data!$K:$K,Data!$B:$B=AX168,Data!$D:$D=$J168)+FILTER(Data!$L:$L,Data!$B:$B=AX168,Data!$D:$D=$J168)),""""),"""")"),"")</f>
        <v/>
      </c>
      <c r="CI168" s="69" t="str">
        <f>IFERROR(__xludf.DUMMYFUNCTION("IF($J168&lt;&gt;"""",IFERROR(FILTER(RawTotals!$AJ:$AJ,RawTotals!$A:$A=AY168)-(FILTER(Data!$K:$K,Data!$B:$B=AY168,Data!$D:$D=$J168)+FILTER(Data!$L:$L,Data!$B:$B=AY168,Data!$D:$D=$J168)),""""),"""")"),"")</f>
        <v/>
      </c>
      <c r="CJ168" s="69" t="str">
        <f>IFERROR(__xludf.DUMMYFUNCTION("IF($J168&lt;&gt;"""",IFERROR(FILTER(RawTotals!$AJ:$AJ,RawTotals!$A:$A=AZ168)-(FILTER(Data!$K:$K,Data!$B:$B=AZ168,Data!$D:$D=$J168)+FILTER(Data!$L:$L,Data!$B:$B=AZ168,Data!$D:$D=$J168)),""""),"""")"),"")</f>
        <v/>
      </c>
      <c r="CK168" s="69" t="str">
        <f>IFERROR(__xludf.DUMMYFUNCTION("IF($K168&lt;&gt;"""",IFERROR(FILTER(RawTotals!$AJ:$AJ,RawTotals!$A:$A=BA168)-(FILTER(Data!$K:$K,Data!$B:$B=BA168,Data!$D:$D=$K168)+FILTER(Data!$L:$L,Data!$B:$B=BA168,Data!$D:$D=$K168)),""""),"""")"),"")</f>
        <v/>
      </c>
      <c r="CL168" s="69" t="str">
        <f>IFERROR(__xludf.DUMMYFUNCTION("IF($K168&lt;&gt;"""",IFERROR(FILTER(RawTotals!$AJ:$AJ,RawTotals!$A:$A=BB168)-(FILTER(Data!$K:$K,Data!$B:$B=BB168,Data!$D:$D=$K168)+FILTER(Data!$L:$L,Data!$B:$B=BB168,Data!$D:$D=$K168)),""""),"""")"),"")</f>
        <v/>
      </c>
      <c r="CM168" s="69" t="str">
        <f>IFERROR(__xludf.DUMMYFUNCTION("IF($K168&lt;&gt;"""",IFERROR(FILTER(RawTotals!$AJ:$AJ,RawTotals!$A:$A=BC168)-(FILTER(Data!$K:$K,Data!$B:$B=BC168,Data!$D:$D=$K168)+FILTER(Data!$L:$L,Data!$B:$B=BC168,Data!$D:$D=$K168)),""""),"""")"),"")</f>
        <v/>
      </c>
      <c r="CN168" s="69" t="str">
        <f>IFERROR(__xludf.DUMMYFUNCTION("IF($L168&lt;&gt;"""",IFERROR((FILTER(RawTotals!$AJ:$AJ,RawTotals!$A:$A=BD168)-(FILTER(Data!$K:$K,Data!$B:$B=BD168,Data!$D:$D=$L168)+FILTER(Data!$L:$L,Data!$B:$B=BD168,Data!$D:$D=$L168))),""""),"""")"),"")</f>
        <v/>
      </c>
      <c r="CO168" s="69" t="str">
        <f>IFERROR(__xludf.DUMMYFUNCTION("IF($L168&lt;&gt;"""",IFERROR((FILTER(RawTotals!$AJ:$AJ,RawTotals!$A:$A=BE168)-(FILTER(Data!$K:$K,Data!$B:$B=BE168,Data!$D:$D=$L168)+FILTER(Data!$L:$L,Data!$B:$B=BE168,Data!$D:$D=$L168))),""""),"""")"),"")</f>
        <v/>
      </c>
      <c r="CP168" s="69" t="str">
        <f>IFERROR(__xludf.DUMMYFUNCTION("IF($L168&lt;&gt;"""",IFERROR((FILTER(RawTotals!$AJ:$AJ,RawTotals!$A:$A=BF168)-(FILTER(Data!$K:$K,Data!$B:$B=BF168,Data!$D:$D=$L168)+FILTER(Data!$L:$L,Data!$B:$B=BF168,Data!$D:$D=$L168))),""""),"""")"),"")</f>
        <v/>
      </c>
      <c r="CQ168" s="69" t="str">
        <f>IFERROR(__xludf.DUMMYFUNCTION("IF($M168&lt;&gt;"""",IFERROR((FILTER(RawTotals!$AJ:$AJ,RawTotals!$A:$A=BG168)-(FILTER(Data!$K:$K,Data!$B:$B=BG168,Data!$D:$D=$M168)+FILTER(Data!$L:$L,Data!$B:$B=BG168,Data!$D:$D=$M168))),""""),"""")"),"")</f>
        <v/>
      </c>
      <c r="CR168" s="69" t="str">
        <f>IFERROR(__xludf.DUMMYFUNCTION("IF($M168&lt;&gt;"""",IFERROR((FILTER(RawTotals!$AJ:$AJ,RawTotals!$A:$A=BH168)-(FILTER(Data!$K:$K,Data!$B:$B=BH168,Data!$D:$D=$M168)+FILTER(Data!$L:$L,Data!$B:$B=BH168,Data!$D:$D=$M168))),""""),"""")"),"")</f>
        <v/>
      </c>
      <c r="CS168" s="70" t="str">
        <f>IFERROR(__xludf.DUMMYFUNCTION("IF($M168&lt;&gt;"""",IFERROR((FILTER(RawTotals!$AJ:$AJ,RawTotals!$A:$A=BI168)-(FILTER(Data!$K:$K,Data!$B:$B=BI168,Data!$D:$D=$M168)+FILTER(Data!$L:$L,Data!$B:$B=BI168,Data!$D:$D=$M168))),""""),"""")"),"")</f>
        <v/>
      </c>
      <c r="CT168" s="16"/>
      <c r="CU168" s="16"/>
      <c r="CV168" s="16"/>
      <c r="CW168" s="16"/>
      <c r="CX168" s="16"/>
      <c r="CY168" s="16"/>
      <c r="CZ168" s="16"/>
      <c r="DA168" s="16"/>
      <c r="DB168" s="16"/>
      <c r="DC168" s="16"/>
      <c r="DD168" s="16"/>
      <c r="DE168" s="16"/>
    </row>
    <row r="169">
      <c r="A169" s="15"/>
      <c r="B169" s="16"/>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6"/>
      <c r="AD169" s="15"/>
      <c r="AE169" s="15"/>
      <c r="AF169" s="16"/>
      <c r="AG169" s="15"/>
      <c r="AH169" s="15"/>
      <c r="AI169" s="16"/>
      <c r="AJ169" s="15"/>
      <c r="AK169" s="15"/>
      <c r="AL169" s="16"/>
      <c r="AM169" s="15"/>
      <c r="AN169" s="15"/>
      <c r="AO169" s="16"/>
      <c r="AP169" s="15"/>
      <c r="AQ169" s="15"/>
      <c r="AR169" s="16"/>
      <c r="AS169" s="15"/>
      <c r="AT169" s="15"/>
      <c r="AU169" s="16"/>
      <c r="AV169" s="15"/>
      <c r="AW169" s="15"/>
      <c r="AX169" s="16"/>
      <c r="AY169" s="15"/>
      <c r="AZ169" s="15"/>
      <c r="BA169" s="16"/>
      <c r="BB169" s="16"/>
      <c r="BC169" s="16"/>
      <c r="BD169" s="16"/>
      <c r="BE169" s="16"/>
      <c r="BF169" s="16"/>
      <c r="BG169" s="16"/>
      <c r="BH169" s="16"/>
      <c r="BI169" s="16"/>
      <c r="BJ169" s="68" t="str">
        <f>IFERROR(__xludf.DUMMYFUNCTION("IF($B169&lt;&gt;"""",IFERROR(FILTER(RawTotals!$AJ:$AJ,RawTotals!$A:$A=Z169)-(FILTER(Data!$K:$K,Data!$B:$B=Z169,Data!$D:$D=$B169)+FILTER(Data!$L:$L,Data!$B:$B=Z169,Data!$D:$D=$B169)),""""),"""")"),"")</f>
        <v/>
      </c>
      <c r="BK169" s="68" t="str">
        <f>IFERROR(__xludf.DUMMYFUNCTION("IF($B169&lt;&gt;"""",IFERROR(FILTER(RawTotals!$AJ:$AJ,RawTotals!$A:$A=AA169)-(FILTER(Data!$K:$K,Data!$B:$B=AA169,Data!$D:$D=$B169)+FILTER(Data!$L:$L,Data!$B:$B=AA169,Data!$D:$D=$B169)),""""),"""")"),"")</f>
        <v/>
      </c>
      <c r="BL169" s="68" t="str">
        <f>IFERROR(__xludf.DUMMYFUNCTION("IF($B169&lt;&gt;"""",IFERROR(FILTER(RawTotals!$AJ:$AJ,RawTotals!$A:$A=AB169)-(FILTER(Data!$K:$K,Data!$B:$B=AB169,Data!$D:$D=$B169)+FILTER(Data!$L:$L,Data!$B:$B=AB169,Data!$D:$D=$B169)),""""),"""")"),"")</f>
        <v/>
      </c>
      <c r="BM169" s="69" t="str">
        <f>IFERROR(__xludf.DUMMYFUNCTION("IF($C169&lt;&gt;"""",IFERROR(FILTER(RawTotals!$AJ:$AJ,RawTotals!$A:$A=AC169)-(FILTER(Data!$K:$K,Data!$B:$B=AC169,Data!$D:$D=$C169)+FILTER(Data!$L:$L,Data!$B:$B=AC169,Data!$D:$D=$C169)),""""),"""")"),"")</f>
        <v/>
      </c>
      <c r="BN169" s="69" t="str">
        <f>IFERROR(__xludf.DUMMYFUNCTION("IF($C169&lt;&gt;"""",IFERROR(FILTER(RawTotals!$AJ:$AJ,RawTotals!$A:$A=AD169)-(FILTER(Data!$K:$K,Data!$B:$B=AD169,Data!$D:$D=$C169)+FILTER(Data!$L:$L,Data!$B:$B=AD169,Data!$D:$D=$C169)),""""),"""")"),"")</f>
        <v/>
      </c>
      <c r="BO169" s="69" t="str">
        <f>IFERROR(__xludf.DUMMYFUNCTION("IF($C169&lt;&gt;"""",IFERROR(FILTER(RawTotals!$AJ:$AJ,RawTotals!$A:$A=AE169)-(FILTER(Data!$K:$K,Data!$B:$B=AE169,Data!$D:$D=$C169)+FILTER(Data!$L:$L,Data!$B:$B=AE169,Data!$D:$D=$C169)),""""),"""")"),"")</f>
        <v/>
      </c>
      <c r="BP169" s="69" t="str">
        <f>IFERROR(__xludf.DUMMYFUNCTION("IF($D169&lt;&gt;"""",IFERROR(FILTER(RawTotals!$AJ:$AJ,RawTotals!$A:$A=AF169)-(FILTER(Data!$K:$K,Data!$B:$B=AF169,Data!$D:$D=$D169)+FILTER(Data!$L:$L,Data!$B:$B=AF169,Data!$D:$D=$D169)),""""),"""")"),"")</f>
        <v/>
      </c>
      <c r="BQ169" s="69" t="str">
        <f>IFERROR(__xludf.DUMMYFUNCTION("IF($D169&lt;&gt;"""",IFERROR(FILTER(RawTotals!$AJ:$AJ,RawTotals!$A:$A=AG169)-(FILTER(Data!$K:$K,Data!$B:$B=AG169,Data!$D:$D=$D169)+FILTER(Data!$L:$L,Data!$B:$B=AG169,Data!$D:$D=$D169)),""""),"""")"),"")</f>
        <v/>
      </c>
      <c r="BR169" s="69" t="str">
        <f>IFERROR(__xludf.DUMMYFUNCTION("IF($D169&lt;&gt;"""",IFERROR(FILTER(RawTotals!$AJ:$AJ,RawTotals!$A:$A=AH169)-(FILTER(Data!$K:$K,Data!$B:$B=AH169,Data!$D:$D=$D169)+FILTER(Data!$L:$L,Data!$B:$B=AH169,Data!$D:$D=$D169)),""""),"""")"),"")</f>
        <v/>
      </c>
      <c r="BS169" s="69" t="str">
        <f>IFERROR(__xludf.DUMMYFUNCTION("IF($E169&lt;&gt;"""",IFERROR(FILTER(RawTotals!$AJ:$AJ,RawTotals!$A:$A=AI169)-(FILTER(Data!$K:$K,Data!$B:$B=AI169,Data!$D:$D=$E169)+FILTER(Data!$L:$L,Data!$B:$B=AI169,Data!$D:$D=$E169)),""""),"""")"),"")</f>
        <v/>
      </c>
      <c r="BT169" s="69" t="str">
        <f>IFERROR(__xludf.DUMMYFUNCTION("IF($E169&lt;&gt;"""",IFERROR(FILTER(RawTotals!$AJ:$AJ,RawTotals!$A:$A=AJ169)-(FILTER(Data!$K:$K,Data!$B:$B=AJ169,Data!$D:$D=$E169)+FILTER(Data!$L:$L,Data!$B:$B=AJ169,Data!$D:$D=$E169)),""""),"""")"),"")</f>
        <v/>
      </c>
      <c r="BU169" s="69" t="str">
        <f>IFERROR(__xludf.DUMMYFUNCTION("IF($E169&lt;&gt;"""",IFERROR(FILTER(RawTotals!$AJ:$AJ,RawTotals!$A:$A=AK169)-(FILTER(Data!$K:$K,Data!$B:$B=AK169,Data!$D:$D=$E169)+FILTER(Data!$L:$L,Data!$B:$B=AK169,Data!$D:$D=$E169)),""""),"""")"),"")</f>
        <v/>
      </c>
      <c r="BV169" s="69" t="str">
        <f>IFERROR(__xludf.DUMMYFUNCTION("IF($F169&lt;&gt;"""",IFERROR(FILTER(RawTotals!$AJ:$AJ,RawTotals!$A:$A=AL169)-(FILTER(Data!$K:$K,Data!$B:$B=AL169,Data!$D:$D=$F169)+FILTER(Data!$L:$L,Data!$B:$B=AL169,Data!$D:$D=$F169)),""""),"""")"),"")</f>
        <v/>
      </c>
      <c r="BW169" s="69" t="str">
        <f>IFERROR(__xludf.DUMMYFUNCTION("IF($F169&lt;&gt;"""",IFERROR(FILTER(RawTotals!$AJ:$AJ,RawTotals!$A:$A=AM169)-(FILTER(Data!$K:$K,Data!$B:$B=AM169,Data!$D:$D=$F169)+FILTER(Data!$L:$L,Data!$B:$B=AM169,Data!$D:$D=$F169)),""""),"""")"),"")</f>
        <v/>
      </c>
      <c r="BX169" s="69" t="str">
        <f>IFERROR(__xludf.DUMMYFUNCTION("IF($F169&lt;&gt;"""",IFERROR(FILTER(RawTotals!$AJ:$AJ,RawTotals!$A:$A=AN169)-(FILTER(Data!$K:$K,Data!$B:$B=AN169,Data!$D:$D=$F169)+FILTER(Data!$L:$L,Data!$B:$B=AN169,Data!$D:$D=$F169)),""""),"""")"),"")</f>
        <v/>
      </c>
      <c r="BY169" s="69" t="str">
        <f>IFERROR(__xludf.DUMMYFUNCTION("IF($G169&lt;&gt;"""",IFERROR(FILTER(RawTotals!$AJ:$AJ,RawTotals!$A:$A=AO169)-(FILTER(Data!$K:$K,Data!$B:$B=AO169,Data!$D:$D=$G169)+FILTER(Data!$L:$L,Data!$B:$B=AO169,Data!$D:$D=$G169)),""""),"""")"),"")</f>
        <v/>
      </c>
      <c r="BZ169" s="69" t="str">
        <f>IFERROR(__xludf.DUMMYFUNCTION("IF($G169&lt;&gt;"""",IFERROR(FILTER(RawTotals!$AJ:$AJ,RawTotals!$A:$A=AP169)-(FILTER(Data!$K:$K,Data!$B:$B=AP169,Data!$D:$D=$G169)+FILTER(Data!$L:$L,Data!$B:$B=AP169,Data!$D:$D=$G169)),""""),"""")"),"")</f>
        <v/>
      </c>
      <c r="CA169" s="69" t="str">
        <f>IFERROR(__xludf.DUMMYFUNCTION("IF($G169&lt;&gt;"""",IFERROR(FILTER(RawTotals!$AJ:$AJ,RawTotals!$A:$A=AQ169)-(FILTER(Data!$K:$K,Data!$B:$B=AQ169,Data!$D:$D=$G169)+FILTER(Data!$L:$L,Data!$B:$B=AQ169,Data!$D:$D=$G169)),""""),"""")"),"")</f>
        <v/>
      </c>
      <c r="CB169" s="69" t="str">
        <f>IFERROR(__xludf.DUMMYFUNCTION("IF($H169&lt;&gt;"""",IFERROR(FILTER(RawTotals!$AJ:$AJ,RawTotals!$A:$A=AR169)-(FILTER(Data!$K:$K,Data!$B:$B=AR169,Data!$D:$D=$H169)+FILTER(Data!$L:$L,Data!$B:$B=AR169,Data!$D:$D=$H169)),""""),"""")"),"")</f>
        <v/>
      </c>
      <c r="CC169" s="69" t="str">
        <f>IFERROR(__xludf.DUMMYFUNCTION("IF($H169&lt;&gt;"""",IFERROR(FILTER(RawTotals!$AJ:$AJ,RawTotals!$A:$A=AS169)-(FILTER(Data!$K:$K,Data!$B:$B=AS169,Data!$D:$D=$H169)+FILTER(Data!$L:$L,Data!$B:$B=AS169,Data!$D:$D=$H169)),""""),"""")"),"")</f>
        <v/>
      </c>
      <c r="CD169" s="69" t="str">
        <f>IFERROR(__xludf.DUMMYFUNCTION("IF($H169&lt;&gt;"""",IFERROR(FILTER(RawTotals!$AJ:$AJ,RawTotals!$A:$A=AT169)-(FILTER(Data!$K:$K,Data!$B:$B=AT169,Data!$D:$D=$H169)+FILTER(Data!$L:$L,Data!$B:$B=AT169,Data!$D:$D=$H169)),""""),"""")"),"")</f>
        <v/>
      </c>
      <c r="CE169" s="69" t="str">
        <f>IFERROR(__xludf.DUMMYFUNCTION("IF($I169&lt;&gt;"""",IFERROR(FILTER(RawTotals!$AJ:$AJ,RawTotals!$A:$A=AU169)-(FILTER(Data!$K:$K,Data!$B:$B=AU169,Data!$D:$D=$I169)+FILTER(Data!$L:$L,Data!$B:$B=AU169,Data!$D:$D=$I169)),""""),"""")"),"")</f>
        <v/>
      </c>
      <c r="CF169" s="69" t="str">
        <f>IFERROR(__xludf.DUMMYFUNCTION("IF($I169&lt;&gt;"""",IFERROR(FILTER(RawTotals!$AJ:$AJ,RawTotals!$A:$A=AV169)-(FILTER(Data!$K:$K,Data!$B:$B=AV169,Data!$D:$D=$I169)+FILTER(Data!$L:$L,Data!$B:$B=AV169,Data!$D:$D=$I169)),""""),"""")"),"")</f>
        <v/>
      </c>
      <c r="CG169" s="69" t="str">
        <f>IFERROR(__xludf.DUMMYFUNCTION("IF($I169&lt;&gt;"""",IFERROR(FILTER(RawTotals!$AJ:$AJ,RawTotals!$A:$A=AW169)-(FILTER(Data!$K:$K,Data!$B:$B=AW169,Data!$D:$D=$I169)+FILTER(Data!$L:$L,Data!$B:$B=AW169,Data!$D:$D=$I169)),""""),"""")"),"")</f>
        <v/>
      </c>
      <c r="CH169" s="69" t="str">
        <f>IFERROR(__xludf.DUMMYFUNCTION("IF($J169&lt;&gt;"""",IFERROR(FILTER(RawTotals!$AJ:$AJ,RawTotals!$A:$A=AX169)-(FILTER(Data!$K:$K,Data!$B:$B=AX169,Data!$D:$D=$J169)+FILTER(Data!$L:$L,Data!$B:$B=AX169,Data!$D:$D=$J169)),""""),"""")"),"")</f>
        <v/>
      </c>
      <c r="CI169" s="69" t="str">
        <f>IFERROR(__xludf.DUMMYFUNCTION("IF($J169&lt;&gt;"""",IFERROR(FILTER(RawTotals!$AJ:$AJ,RawTotals!$A:$A=AY169)-(FILTER(Data!$K:$K,Data!$B:$B=AY169,Data!$D:$D=$J169)+FILTER(Data!$L:$L,Data!$B:$B=AY169,Data!$D:$D=$J169)),""""),"""")"),"")</f>
        <v/>
      </c>
      <c r="CJ169" s="69" t="str">
        <f>IFERROR(__xludf.DUMMYFUNCTION("IF($J169&lt;&gt;"""",IFERROR(FILTER(RawTotals!$AJ:$AJ,RawTotals!$A:$A=AZ169)-(FILTER(Data!$K:$K,Data!$B:$B=AZ169,Data!$D:$D=$J169)+FILTER(Data!$L:$L,Data!$B:$B=AZ169,Data!$D:$D=$J169)),""""),"""")"),"")</f>
        <v/>
      </c>
      <c r="CK169" s="69" t="str">
        <f>IFERROR(__xludf.DUMMYFUNCTION("IF($K169&lt;&gt;"""",IFERROR(FILTER(RawTotals!$AJ:$AJ,RawTotals!$A:$A=BA169)-(FILTER(Data!$K:$K,Data!$B:$B=BA169,Data!$D:$D=$K169)+FILTER(Data!$L:$L,Data!$B:$B=BA169,Data!$D:$D=$K169)),""""),"""")"),"")</f>
        <v/>
      </c>
      <c r="CL169" s="69" t="str">
        <f>IFERROR(__xludf.DUMMYFUNCTION("IF($K169&lt;&gt;"""",IFERROR(FILTER(RawTotals!$AJ:$AJ,RawTotals!$A:$A=BB169)-(FILTER(Data!$K:$K,Data!$B:$B=BB169,Data!$D:$D=$K169)+FILTER(Data!$L:$L,Data!$B:$B=BB169,Data!$D:$D=$K169)),""""),"""")"),"")</f>
        <v/>
      </c>
      <c r="CM169" s="69" t="str">
        <f>IFERROR(__xludf.DUMMYFUNCTION("IF($K169&lt;&gt;"""",IFERROR(FILTER(RawTotals!$AJ:$AJ,RawTotals!$A:$A=BC169)-(FILTER(Data!$K:$K,Data!$B:$B=BC169,Data!$D:$D=$K169)+FILTER(Data!$L:$L,Data!$B:$B=BC169,Data!$D:$D=$K169)),""""),"""")"),"")</f>
        <v/>
      </c>
      <c r="CN169" s="69" t="str">
        <f>IFERROR(__xludf.DUMMYFUNCTION("IF($L169&lt;&gt;"""",IFERROR((FILTER(RawTotals!$AJ:$AJ,RawTotals!$A:$A=BD169)-(FILTER(Data!$K:$K,Data!$B:$B=BD169,Data!$D:$D=$L169)+FILTER(Data!$L:$L,Data!$B:$B=BD169,Data!$D:$D=$L169))),""""),"""")"),"")</f>
        <v/>
      </c>
      <c r="CO169" s="69" t="str">
        <f>IFERROR(__xludf.DUMMYFUNCTION("IF($L169&lt;&gt;"""",IFERROR((FILTER(RawTotals!$AJ:$AJ,RawTotals!$A:$A=BE169)-(FILTER(Data!$K:$K,Data!$B:$B=BE169,Data!$D:$D=$L169)+FILTER(Data!$L:$L,Data!$B:$B=BE169,Data!$D:$D=$L169))),""""),"""")"),"")</f>
        <v/>
      </c>
      <c r="CP169" s="69" t="str">
        <f>IFERROR(__xludf.DUMMYFUNCTION("IF($L169&lt;&gt;"""",IFERROR((FILTER(RawTotals!$AJ:$AJ,RawTotals!$A:$A=BF169)-(FILTER(Data!$K:$K,Data!$B:$B=BF169,Data!$D:$D=$L169)+FILTER(Data!$L:$L,Data!$B:$B=BF169,Data!$D:$D=$L169))),""""),"""")"),"")</f>
        <v/>
      </c>
      <c r="CQ169" s="69" t="str">
        <f>IFERROR(__xludf.DUMMYFUNCTION("IF($M169&lt;&gt;"""",IFERROR((FILTER(RawTotals!$AJ:$AJ,RawTotals!$A:$A=BG169)-(FILTER(Data!$K:$K,Data!$B:$B=BG169,Data!$D:$D=$M169)+FILTER(Data!$L:$L,Data!$B:$B=BG169,Data!$D:$D=$M169))),""""),"""")"),"")</f>
        <v/>
      </c>
      <c r="CR169" s="69" t="str">
        <f>IFERROR(__xludf.DUMMYFUNCTION("IF($M169&lt;&gt;"""",IFERROR((FILTER(RawTotals!$AJ:$AJ,RawTotals!$A:$A=BH169)-(FILTER(Data!$K:$K,Data!$B:$B=BH169,Data!$D:$D=$M169)+FILTER(Data!$L:$L,Data!$B:$B=BH169,Data!$D:$D=$M169))),""""),"""")"),"")</f>
        <v/>
      </c>
      <c r="CS169" s="70" t="str">
        <f>IFERROR(__xludf.DUMMYFUNCTION("IF($M169&lt;&gt;"""",IFERROR((FILTER(RawTotals!$AJ:$AJ,RawTotals!$A:$A=BI169)-(FILTER(Data!$K:$K,Data!$B:$B=BI169,Data!$D:$D=$M169)+FILTER(Data!$L:$L,Data!$B:$B=BI169,Data!$D:$D=$M169))),""""),"""")"),"")</f>
        <v/>
      </c>
      <c r="CT169" s="16"/>
      <c r="CU169" s="16"/>
      <c r="CV169" s="16"/>
      <c r="CW169" s="16"/>
      <c r="CX169" s="16"/>
      <c r="CY169" s="16"/>
      <c r="CZ169" s="16"/>
      <c r="DA169" s="16"/>
      <c r="DB169" s="16"/>
      <c r="DC169" s="16"/>
      <c r="DD169" s="16"/>
      <c r="DE169" s="16"/>
    </row>
    <row r="170">
      <c r="A170" s="15"/>
      <c r="B170" s="16"/>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6"/>
      <c r="AD170" s="15"/>
      <c r="AE170" s="15"/>
      <c r="AF170" s="16"/>
      <c r="AG170" s="15"/>
      <c r="AH170" s="15"/>
      <c r="AI170" s="16"/>
      <c r="AJ170" s="15"/>
      <c r="AK170" s="15"/>
      <c r="AL170" s="16"/>
      <c r="AM170" s="15"/>
      <c r="AN170" s="15"/>
      <c r="AO170" s="16"/>
      <c r="AP170" s="15"/>
      <c r="AQ170" s="15"/>
      <c r="AR170" s="16"/>
      <c r="AS170" s="15"/>
      <c r="AT170" s="15"/>
      <c r="AU170" s="16"/>
      <c r="AV170" s="15"/>
      <c r="AW170" s="15"/>
      <c r="AX170" s="16"/>
      <c r="AY170" s="15"/>
      <c r="AZ170" s="15"/>
      <c r="BA170" s="16"/>
      <c r="BB170" s="16"/>
      <c r="BC170" s="16"/>
      <c r="BD170" s="16"/>
      <c r="BE170" s="16"/>
      <c r="BF170" s="16"/>
      <c r="BG170" s="16"/>
      <c r="BH170" s="16"/>
      <c r="BI170" s="16"/>
      <c r="BJ170" s="68" t="str">
        <f>IFERROR(__xludf.DUMMYFUNCTION("IF($B170&lt;&gt;"""",IFERROR(FILTER(RawTotals!$AJ:$AJ,RawTotals!$A:$A=Z170)-(FILTER(Data!$K:$K,Data!$B:$B=Z170,Data!$D:$D=$B170)+FILTER(Data!$L:$L,Data!$B:$B=Z170,Data!$D:$D=$B170)),""""),"""")"),"")</f>
        <v/>
      </c>
      <c r="BK170" s="68" t="str">
        <f>IFERROR(__xludf.DUMMYFUNCTION("IF($B170&lt;&gt;"""",IFERROR(FILTER(RawTotals!$AJ:$AJ,RawTotals!$A:$A=AA170)-(FILTER(Data!$K:$K,Data!$B:$B=AA170,Data!$D:$D=$B170)+FILTER(Data!$L:$L,Data!$B:$B=AA170,Data!$D:$D=$B170)),""""),"""")"),"")</f>
        <v/>
      </c>
      <c r="BL170" s="68" t="str">
        <f>IFERROR(__xludf.DUMMYFUNCTION("IF($B170&lt;&gt;"""",IFERROR(FILTER(RawTotals!$AJ:$AJ,RawTotals!$A:$A=AB170)-(FILTER(Data!$K:$K,Data!$B:$B=AB170,Data!$D:$D=$B170)+FILTER(Data!$L:$L,Data!$B:$B=AB170,Data!$D:$D=$B170)),""""),"""")"),"")</f>
        <v/>
      </c>
      <c r="BM170" s="69" t="str">
        <f>IFERROR(__xludf.DUMMYFUNCTION("IF($C170&lt;&gt;"""",IFERROR(FILTER(RawTotals!$AJ:$AJ,RawTotals!$A:$A=AC170)-(FILTER(Data!$K:$K,Data!$B:$B=AC170,Data!$D:$D=$C170)+FILTER(Data!$L:$L,Data!$B:$B=AC170,Data!$D:$D=$C170)),""""),"""")"),"")</f>
        <v/>
      </c>
      <c r="BN170" s="69" t="str">
        <f>IFERROR(__xludf.DUMMYFUNCTION("IF($C170&lt;&gt;"""",IFERROR(FILTER(RawTotals!$AJ:$AJ,RawTotals!$A:$A=AD170)-(FILTER(Data!$K:$K,Data!$B:$B=AD170,Data!$D:$D=$C170)+FILTER(Data!$L:$L,Data!$B:$B=AD170,Data!$D:$D=$C170)),""""),"""")"),"")</f>
        <v/>
      </c>
      <c r="BO170" s="69" t="str">
        <f>IFERROR(__xludf.DUMMYFUNCTION("IF($C170&lt;&gt;"""",IFERROR(FILTER(RawTotals!$AJ:$AJ,RawTotals!$A:$A=AE170)-(FILTER(Data!$K:$K,Data!$B:$B=AE170,Data!$D:$D=$C170)+FILTER(Data!$L:$L,Data!$B:$B=AE170,Data!$D:$D=$C170)),""""),"""")"),"")</f>
        <v/>
      </c>
      <c r="BP170" s="69" t="str">
        <f>IFERROR(__xludf.DUMMYFUNCTION("IF($D170&lt;&gt;"""",IFERROR(FILTER(RawTotals!$AJ:$AJ,RawTotals!$A:$A=AF170)-(FILTER(Data!$K:$K,Data!$B:$B=AF170,Data!$D:$D=$D170)+FILTER(Data!$L:$L,Data!$B:$B=AF170,Data!$D:$D=$D170)),""""),"""")"),"")</f>
        <v/>
      </c>
      <c r="BQ170" s="69" t="str">
        <f>IFERROR(__xludf.DUMMYFUNCTION("IF($D170&lt;&gt;"""",IFERROR(FILTER(RawTotals!$AJ:$AJ,RawTotals!$A:$A=AG170)-(FILTER(Data!$K:$K,Data!$B:$B=AG170,Data!$D:$D=$D170)+FILTER(Data!$L:$L,Data!$B:$B=AG170,Data!$D:$D=$D170)),""""),"""")"),"")</f>
        <v/>
      </c>
      <c r="BR170" s="69" t="str">
        <f>IFERROR(__xludf.DUMMYFUNCTION("IF($D170&lt;&gt;"""",IFERROR(FILTER(RawTotals!$AJ:$AJ,RawTotals!$A:$A=AH170)-(FILTER(Data!$K:$K,Data!$B:$B=AH170,Data!$D:$D=$D170)+FILTER(Data!$L:$L,Data!$B:$B=AH170,Data!$D:$D=$D170)),""""),"""")"),"")</f>
        <v/>
      </c>
      <c r="BS170" s="69" t="str">
        <f>IFERROR(__xludf.DUMMYFUNCTION("IF($E170&lt;&gt;"""",IFERROR(FILTER(RawTotals!$AJ:$AJ,RawTotals!$A:$A=AI170)-(FILTER(Data!$K:$K,Data!$B:$B=AI170,Data!$D:$D=$E170)+FILTER(Data!$L:$L,Data!$B:$B=AI170,Data!$D:$D=$E170)),""""),"""")"),"")</f>
        <v/>
      </c>
      <c r="BT170" s="69" t="str">
        <f>IFERROR(__xludf.DUMMYFUNCTION("IF($E170&lt;&gt;"""",IFERROR(FILTER(RawTotals!$AJ:$AJ,RawTotals!$A:$A=AJ170)-(FILTER(Data!$K:$K,Data!$B:$B=AJ170,Data!$D:$D=$E170)+FILTER(Data!$L:$L,Data!$B:$B=AJ170,Data!$D:$D=$E170)),""""),"""")"),"")</f>
        <v/>
      </c>
      <c r="BU170" s="69" t="str">
        <f>IFERROR(__xludf.DUMMYFUNCTION("IF($E170&lt;&gt;"""",IFERROR(FILTER(RawTotals!$AJ:$AJ,RawTotals!$A:$A=AK170)-(FILTER(Data!$K:$K,Data!$B:$B=AK170,Data!$D:$D=$E170)+FILTER(Data!$L:$L,Data!$B:$B=AK170,Data!$D:$D=$E170)),""""),"""")"),"")</f>
        <v/>
      </c>
      <c r="BV170" s="69" t="str">
        <f>IFERROR(__xludf.DUMMYFUNCTION("IF($F170&lt;&gt;"""",IFERROR(FILTER(RawTotals!$AJ:$AJ,RawTotals!$A:$A=AL170)-(FILTER(Data!$K:$K,Data!$B:$B=AL170,Data!$D:$D=$F170)+FILTER(Data!$L:$L,Data!$B:$B=AL170,Data!$D:$D=$F170)),""""),"""")"),"")</f>
        <v/>
      </c>
      <c r="BW170" s="69" t="str">
        <f>IFERROR(__xludf.DUMMYFUNCTION("IF($F170&lt;&gt;"""",IFERROR(FILTER(RawTotals!$AJ:$AJ,RawTotals!$A:$A=AM170)-(FILTER(Data!$K:$K,Data!$B:$B=AM170,Data!$D:$D=$F170)+FILTER(Data!$L:$L,Data!$B:$B=AM170,Data!$D:$D=$F170)),""""),"""")"),"")</f>
        <v/>
      </c>
      <c r="BX170" s="69" t="str">
        <f>IFERROR(__xludf.DUMMYFUNCTION("IF($F170&lt;&gt;"""",IFERROR(FILTER(RawTotals!$AJ:$AJ,RawTotals!$A:$A=AN170)-(FILTER(Data!$K:$K,Data!$B:$B=AN170,Data!$D:$D=$F170)+FILTER(Data!$L:$L,Data!$B:$B=AN170,Data!$D:$D=$F170)),""""),"""")"),"")</f>
        <v/>
      </c>
      <c r="BY170" s="69" t="str">
        <f>IFERROR(__xludf.DUMMYFUNCTION("IF($G170&lt;&gt;"""",IFERROR(FILTER(RawTotals!$AJ:$AJ,RawTotals!$A:$A=AO170)-(FILTER(Data!$K:$K,Data!$B:$B=AO170,Data!$D:$D=$G170)+FILTER(Data!$L:$L,Data!$B:$B=AO170,Data!$D:$D=$G170)),""""),"""")"),"")</f>
        <v/>
      </c>
      <c r="BZ170" s="69" t="str">
        <f>IFERROR(__xludf.DUMMYFUNCTION("IF($G170&lt;&gt;"""",IFERROR(FILTER(RawTotals!$AJ:$AJ,RawTotals!$A:$A=AP170)-(FILTER(Data!$K:$K,Data!$B:$B=AP170,Data!$D:$D=$G170)+FILTER(Data!$L:$L,Data!$B:$B=AP170,Data!$D:$D=$G170)),""""),"""")"),"")</f>
        <v/>
      </c>
      <c r="CA170" s="69" t="str">
        <f>IFERROR(__xludf.DUMMYFUNCTION("IF($G170&lt;&gt;"""",IFERROR(FILTER(RawTotals!$AJ:$AJ,RawTotals!$A:$A=AQ170)-(FILTER(Data!$K:$K,Data!$B:$B=AQ170,Data!$D:$D=$G170)+FILTER(Data!$L:$L,Data!$B:$B=AQ170,Data!$D:$D=$G170)),""""),"""")"),"")</f>
        <v/>
      </c>
      <c r="CB170" s="69" t="str">
        <f>IFERROR(__xludf.DUMMYFUNCTION("IF($H170&lt;&gt;"""",IFERROR(FILTER(RawTotals!$AJ:$AJ,RawTotals!$A:$A=AR170)-(FILTER(Data!$K:$K,Data!$B:$B=AR170,Data!$D:$D=$H170)+FILTER(Data!$L:$L,Data!$B:$B=AR170,Data!$D:$D=$H170)),""""),"""")"),"")</f>
        <v/>
      </c>
      <c r="CC170" s="69" t="str">
        <f>IFERROR(__xludf.DUMMYFUNCTION("IF($H170&lt;&gt;"""",IFERROR(FILTER(RawTotals!$AJ:$AJ,RawTotals!$A:$A=AS170)-(FILTER(Data!$K:$K,Data!$B:$B=AS170,Data!$D:$D=$H170)+FILTER(Data!$L:$L,Data!$B:$B=AS170,Data!$D:$D=$H170)),""""),"""")"),"")</f>
        <v/>
      </c>
      <c r="CD170" s="69" t="str">
        <f>IFERROR(__xludf.DUMMYFUNCTION("IF($H170&lt;&gt;"""",IFERROR(FILTER(RawTotals!$AJ:$AJ,RawTotals!$A:$A=AT170)-(FILTER(Data!$K:$K,Data!$B:$B=AT170,Data!$D:$D=$H170)+FILTER(Data!$L:$L,Data!$B:$B=AT170,Data!$D:$D=$H170)),""""),"""")"),"")</f>
        <v/>
      </c>
      <c r="CE170" s="69" t="str">
        <f>IFERROR(__xludf.DUMMYFUNCTION("IF($I170&lt;&gt;"""",IFERROR(FILTER(RawTotals!$AJ:$AJ,RawTotals!$A:$A=AU170)-(FILTER(Data!$K:$K,Data!$B:$B=AU170,Data!$D:$D=$I170)+FILTER(Data!$L:$L,Data!$B:$B=AU170,Data!$D:$D=$I170)),""""),"""")"),"")</f>
        <v/>
      </c>
      <c r="CF170" s="69" t="str">
        <f>IFERROR(__xludf.DUMMYFUNCTION("IF($I170&lt;&gt;"""",IFERROR(FILTER(RawTotals!$AJ:$AJ,RawTotals!$A:$A=AV170)-(FILTER(Data!$K:$K,Data!$B:$B=AV170,Data!$D:$D=$I170)+FILTER(Data!$L:$L,Data!$B:$B=AV170,Data!$D:$D=$I170)),""""),"""")"),"")</f>
        <v/>
      </c>
      <c r="CG170" s="69" t="str">
        <f>IFERROR(__xludf.DUMMYFUNCTION("IF($I170&lt;&gt;"""",IFERROR(FILTER(RawTotals!$AJ:$AJ,RawTotals!$A:$A=AW170)-(FILTER(Data!$K:$K,Data!$B:$B=AW170,Data!$D:$D=$I170)+FILTER(Data!$L:$L,Data!$B:$B=AW170,Data!$D:$D=$I170)),""""),"""")"),"")</f>
        <v/>
      </c>
      <c r="CH170" s="69" t="str">
        <f>IFERROR(__xludf.DUMMYFUNCTION("IF($J170&lt;&gt;"""",IFERROR(FILTER(RawTotals!$AJ:$AJ,RawTotals!$A:$A=AX170)-(FILTER(Data!$K:$K,Data!$B:$B=AX170,Data!$D:$D=$J170)+FILTER(Data!$L:$L,Data!$B:$B=AX170,Data!$D:$D=$J170)),""""),"""")"),"")</f>
        <v/>
      </c>
      <c r="CI170" s="69" t="str">
        <f>IFERROR(__xludf.DUMMYFUNCTION("IF($J170&lt;&gt;"""",IFERROR(FILTER(RawTotals!$AJ:$AJ,RawTotals!$A:$A=AY170)-(FILTER(Data!$K:$K,Data!$B:$B=AY170,Data!$D:$D=$J170)+FILTER(Data!$L:$L,Data!$B:$B=AY170,Data!$D:$D=$J170)),""""),"""")"),"")</f>
        <v/>
      </c>
      <c r="CJ170" s="69" t="str">
        <f>IFERROR(__xludf.DUMMYFUNCTION("IF($J170&lt;&gt;"""",IFERROR(FILTER(RawTotals!$AJ:$AJ,RawTotals!$A:$A=AZ170)-(FILTER(Data!$K:$K,Data!$B:$B=AZ170,Data!$D:$D=$J170)+FILTER(Data!$L:$L,Data!$B:$B=AZ170,Data!$D:$D=$J170)),""""),"""")"),"")</f>
        <v/>
      </c>
      <c r="CK170" s="69" t="str">
        <f>IFERROR(__xludf.DUMMYFUNCTION("IF($K170&lt;&gt;"""",IFERROR(FILTER(RawTotals!$AJ:$AJ,RawTotals!$A:$A=BA170)-(FILTER(Data!$K:$K,Data!$B:$B=BA170,Data!$D:$D=$K170)+FILTER(Data!$L:$L,Data!$B:$B=BA170,Data!$D:$D=$K170)),""""),"""")"),"")</f>
        <v/>
      </c>
      <c r="CL170" s="69" t="str">
        <f>IFERROR(__xludf.DUMMYFUNCTION("IF($K170&lt;&gt;"""",IFERROR(FILTER(RawTotals!$AJ:$AJ,RawTotals!$A:$A=BB170)-(FILTER(Data!$K:$K,Data!$B:$B=BB170,Data!$D:$D=$K170)+FILTER(Data!$L:$L,Data!$B:$B=BB170,Data!$D:$D=$K170)),""""),"""")"),"")</f>
        <v/>
      </c>
      <c r="CM170" s="69" t="str">
        <f>IFERROR(__xludf.DUMMYFUNCTION("IF($K170&lt;&gt;"""",IFERROR(FILTER(RawTotals!$AJ:$AJ,RawTotals!$A:$A=BC170)-(FILTER(Data!$K:$K,Data!$B:$B=BC170,Data!$D:$D=$K170)+FILTER(Data!$L:$L,Data!$B:$B=BC170,Data!$D:$D=$K170)),""""),"""")"),"")</f>
        <v/>
      </c>
      <c r="CN170" s="69" t="str">
        <f>IFERROR(__xludf.DUMMYFUNCTION("IF($L170&lt;&gt;"""",IFERROR((FILTER(RawTotals!$AJ:$AJ,RawTotals!$A:$A=BD170)-(FILTER(Data!$K:$K,Data!$B:$B=BD170,Data!$D:$D=$L170)+FILTER(Data!$L:$L,Data!$B:$B=BD170,Data!$D:$D=$L170))),""""),"""")"),"")</f>
        <v/>
      </c>
      <c r="CO170" s="69" t="str">
        <f>IFERROR(__xludf.DUMMYFUNCTION("IF($L170&lt;&gt;"""",IFERROR((FILTER(RawTotals!$AJ:$AJ,RawTotals!$A:$A=BE170)-(FILTER(Data!$K:$K,Data!$B:$B=BE170,Data!$D:$D=$L170)+FILTER(Data!$L:$L,Data!$B:$B=BE170,Data!$D:$D=$L170))),""""),"""")"),"")</f>
        <v/>
      </c>
      <c r="CP170" s="69" t="str">
        <f>IFERROR(__xludf.DUMMYFUNCTION("IF($L170&lt;&gt;"""",IFERROR((FILTER(RawTotals!$AJ:$AJ,RawTotals!$A:$A=BF170)-(FILTER(Data!$K:$K,Data!$B:$B=BF170,Data!$D:$D=$L170)+FILTER(Data!$L:$L,Data!$B:$B=BF170,Data!$D:$D=$L170))),""""),"""")"),"")</f>
        <v/>
      </c>
      <c r="CQ170" s="69" t="str">
        <f>IFERROR(__xludf.DUMMYFUNCTION("IF($M170&lt;&gt;"""",IFERROR((FILTER(RawTotals!$AJ:$AJ,RawTotals!$A:$A=BG170)-(FILTER(Data!$K:$K,Data!$B:$B=BG170,Data!$D:$D=$M170)+FILTER(Data!$L:$L,Data!$B:$B=BG170,Data!$D:$D=$M170))),""""),"""")"),"")</f>
        <v/>
      </c>
      <c r="CR170" s="69" t="str">
        <f>IFERROR(__xludf.DUMMYFUNCTION("IF($M170&lt;&gt;"""",IFERROR((FILTER(RawTotals!$AJ:$AJ,RawTotals!$A:$A=BH170)-(FILTER(Data!$K:$K,Data!$B:$B=BH170,Data!$D:$D=$M170)+FILTER(Data!$L:$L,Data!$B:$B=BH170,Data!$D:$D=$M170))),""""),"""")"),"")</f>
        <v/>
      </c>
      <c r="CS170" s="70" t="str">
        <f>IFERROR(__xludf.DUMMYFUNCTION("IF($M170&lt;&gt;"""",IFERROR((FILTER(RawTotals!$AJ:$AJ,RawTotals!$A:$A=BI170)-(FILTER(Data!$K:$K,Data!$B:$B=BI170,Data!$D:$D=$M170)+FILTER(Data!$L:$L,Data!$B:$B=BI170,Data!$D:$D=$M170))),""""),"""")"),"")</f>
        <v/>
      </c>
      <c r="CT170" s="16"/>
      <c r="CU170" s="16"/>
      <c r="CV170" s="16"/>
      <c r="CW170" s="16"/>
      <c r="CX170" s="16"/>
      <c r="CY170" s="16"/>
      <c r="CZ170" s="16"/>
      <c r="DA170" s="16"/>
      <c r="DB170" s="16"/>
      <c r="DC170" s="16"/>
      <c r="DD170" s="16"/>
      <c r="DE170" s="16"/>
    </row>
    <row r="171">
      <c r="A171" s="15"/>
      <c r="B171" s="16"/>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6"/>
      <c r="AD171" s="15"/>
      <c r="AE171" s="15"/>
      <c r="AF171" s="16"/>
      <c r="AG171" s="15"/>
      <c r="AH171" s="15"/>
      <c r="AI171" s="16"/>
      <c r="AJ171" s="15"/>
      <c r="AK171" s="15"/>
      <c r="AL171" s="16"/>
      <c r="AM171" s="15"/>
      <c r="AN171" s="15"/>
      <c r="AO171" s="16"/>
      <c r="AP171" s="15"/>
      <c r="AQ171" s="15"/>
      <c r="AR171" s="16"/>
      <c r="AS171" s="15"/>
      <c r="AT171" s="15"/>
      <c r="AU171" s="16"/>
      <c r="AV171" s="15"/>
      <c r="AW171" s="15"/>
      <c r="AX171" s="16"/>
      <c r="AY171" s="15"/>
      <c r="AZ171" s="15"/>
      <c r="BA171" s="16"/>
      <c r="BB171" s="16"/>
      <c r="BC171" s="16"/>
      <c r="BD171" s="16"/>
      <c r="BE171" s="16"/>
      <c r="BF171" s="16"/>
      <c r="BG171" s="16"/>
      <c r="BH171" s="16"/>
      <c r="BI171" s="16"/>
      <c r="BJ171" s="68" t="str">
        <f>IFERROR(__xludf.DUMMYFUNCTION("IF($B171&lt;&gt;"""",IFERROR(FILTER(RawTotals!$AJ:$AJ,RawTotals!$A:$A=Z171)-(FILTER(Data!$K:$K,Data!$B:$B=Z171,Data!$D:$D=$B171)+FILTER(Data!$L:$L,Data!$B:$B=Z171,Data!$D:$D=$B171)),""""),"""")"),"")</f>
        <v/>
      </c>
      <c r="BK171" s="68" t="str">
        <f>IFERROR(__xludf.DUMMYFUNCTION("IF($B171&lt;&gt;"""",IFERROR(FILTER(RawTotals!$AJ:$AJ,RawTotals!$A:$A=AA171)-(FILTER(Data!$K:$K,Data!$B:$B=AA171,Data!$D:$D=$B171)+FILTER(Data!$L:$L,Data!$B:$B=AA171,Data!$D:$D=$B171)),""""),"""")"),"")</f>
        <v/>
      </c>
      <c r="BL171" s="68" t="str">
        <f>IFERROR(__xludf.DUMMYFUNCTION("IF($B171&lt;&gt;"""",IFERROR(FILTER(RawTotals!$AJ:$AJ,RawTotals!$A:$A=AB171)-(FILTER(Data!$K:$K,Data!$B:$B=AB171,Data!$D:$D=$B171)+FILTER(Data!$L:$L,Data!$B:$B=AB171,Data!$D:$D=$B171)),""""),"""")"),"")</f>
        <v/>
      </c>
      <c r="BM171" s="69" t="str">
        <f>IFERROR(__xludf.DUMMYFUNCTION("IF($C171&lt;&gt;"""",IFERROR(FILTER(RawTotals!$AJ:$AJ,RawTotals!$A:$A=AC171)-(FILTER(Data!$K:$K,Data!$B:$B=AC171,Data!$D:$D=$C171)+FILTER(Data!$L:$L,Data!$B:$B=AC171,Data!$D:$D=$C171)),""""),"""")"),"")</f>
        <v/>
      </c>
      <c r="BN171" s="69" t="str">
        <f>IFERROR(__xludf.DUMMYFUNCTION("IF($C171&lt;&gt;"""",IFERROR(FILTER(RawTotals!$AJ:$AJ,RawTotals!$A:$A=AD171)-(FILTER(Data!$K:$K,Data!$B:$B=AD171,Data!$D:$D=$C171)+FILTER(Data!$L:$L,Data!$B:$B=AD171,Data!$D:$D=$C171)),""""),"""")"),"")</f>
        <v/>
      </c>
      <c r="BO171" s="69" t="str">
        <f>IFERROR(__xludf.DUMMYFUNCTION("IF($C171&lt;&gt;"""",IFERROR(FILTER(RawTotals!$AJ:$AJ,RawTotals!$A:$A=AE171)-(FILTER(Data!$K:$K,Data!$B:$B=AE171,Data!$D:$D=$C171)+FILTER(Data!$L:$L,Data!$B:$B=AE171,Data!$D:$D=$C171)),""""),"""")"),"")</f>
        <v/>
      </c>
      <c r="BP171" s="69" t="str">
        <f>IFERROR(__xludf.DUMMYFUNCTION("IF($D171&lt;&gt;"""",IFERROR(FILTER(RawTotals!$AJ:$AJ,RawTotals!$A:$A=AF171)-(FILTER(Data!$K:$K,Data!$B:$B=AF171,Data!$D:$D=$D171)+FILTER(Data!$L:$L,Data!$B:$B=AF171,Data!$D:$D=$D171)),""""),"""")"),"")</f>
        <v/>
      </c>
      <c r="BQ171" s="69" t="str">
        <f>IFERROR(__xludf.DUMMYFUNCTION("IF($D171&lt;&gt;"""",IFERROR(FILTER(RawTotals!$AJ:$AJ,RawTotals!$A:$A=AG171)-(FILTER(Data!$K:$K,Data!$B:$B=AG171,Data!$D:$D=$D171)+FILTER(Data!$L:$L,Data!$B:$B=AG171,Data!$D:$D=$D171)),""""),"""")"),"")</f>
        <v/>
      </c>
      <c r="BR171" s="69" t="str">
        <f>IFERROR(__xludf.DUMMYFUNCTION("IF($D171&lt;&gt;"""",IFERROR(FILTER(RawTotals!$AJ:$AJ,RawTotals!$A:$A=AH171)-(FILTER(Data!$K:$K,Data!$B:$B=AH171,Data!$D:$D=$D171)+FILTER(Data!$L:$L,Data!$B:$B=AH171,Data!$D:$D=$D171)),""""),"""")"),"")</f>
        <v/>
      </c>
      <c r="BS171" s="69" t="str">
        <f>IFERROR(__xludf.DUMMYFUNCTION("IF($E171&lt;&gt;"""",IFERROR(FILTER(RawTotals!$AJ:$AJ,RawTotals!$A:$A=AI171)-(FILTER(Data!$K:$K,Data!$B:$B=AI171,Data!$D:$D=$E171)+FILTER(Data!$L:$L,Data!$B:$B=AI171,Data!$D:$D=$E171)),""""),"""")"),"")</f>
        <v/>
      </c>
      <c r="BT171" s="69" t="str">
        <f>IFERROR(__xludf.DUMMYFUNCTION("IF($E171&lt;&gt;"""",IFERROR(FILTER(RawTotals!$AJ:$AJ,RawTotals!$A:$A=AJ171)-(FILTER(Data!$K:$K,Data!$B:$B=AJ171,Data!$D:$D=$E171)+FILTER(Data!$L:$L,Data!$B:$B=AJ171,Data!$D:$D=$E171)),""""),"""")"),"")</f>
        <v/>
      </c>
      <c r="BU171" s="69" t="str">
        <f>IFERROR(__xludf.DUMMYFUNCTION("IF($E171&lt;&gt;"""",IFERROR(FILTER(RawTotals!$AJ:$AJ,RawTotals!$A:$A=AK171)-(FILTER(Data!$K:$K,Data!$B:$B=AK171,Data!$D:$D=$E171)+FILTER(Data!$L:$L,Data!$B:$B=AK171,Data!$D:$D=$E171)),""""),"""")"),"")</f>
        <v/>
      </c>
      <c r="BV171" s="69" t="str">
        <f>IFERROR(__xludf.DUMMYFUNCTION("IF($F171&lt;&gt;"""",IFERROR(FILTER(RawTotals!$AJ:$AJ,RawTotals!$A:$A=AL171)-(FILTER(Data!$K:$K,Data!$B:$B=AL171,Data!$D:$D=$F171)+FILTER(Data!$L:$L,Data!$B:$B=AL171,Data!$D:$D=$F171)),""""),"""")"),"")</f>
        <v/>
      </c>
      <c r="BW171" s="69" t="str">
        <f>IFERROR(__xludf.DUMMYFUNCTION("IF($F171&lt;&gt;"""",IFERROR(FILTER(RawTotals!$AJ:$AJ,RawTotals!$A:$A=AM171)-(FILTER(Data!$K:$K,Data!$B:$B=AM171,Data!$D:$D=$F171)+FILTER(Data!$L:$L,Data!$B:$B=AM171,Data!$D:$D=$F171)),""""),"""")"),"")</f>
        <v/>
      </c>
      <c r="BX171" s="69" t="str">
        <f>IFERROR(__xludf.DUMMYFUNCTION("IF($F171&lt;&gt;"""",IFERROR(FILTER(RawTotals!$AJ:$AJ,RawTotals!$A:$A=AN171)-(FILTER(Data!$K:$K,Data!$B:$B=AN171,Data!$D:$D=$F171)+FILTER(Data!$L:$L,Data!$B:$B=AN171,Data!$D:$D=$F171)),""""),"""")"),"")</f>
        <v/>
      </c>
      <c r="BY171" s="69" t="str">
        <f>IFERROR(__xludf.DUMMYFUNCTION("IF($G171&lt;&gt;"""",IFERROR(FILTER(RawTotals!$AJ:$AJ,RawTotals!$A:$A=AO171)-(FILTER(Data!$K:$K,Data!$B:$B=AO171,Data!$D:$D=$G171)+FILTER(Data!$L:$L,Data!$B:$B=AO171,Data!$D:$D=$G171)),""""),"""")"),"")</f>
        <v/>
      </c>
      <c r="BZ171" s="69" t="str">
        <f>IFERROR(__xludf.DUMMYFUNCTION("IF($G171&lt;&gt;"""",IFERROR(FILTER(RawTotals!$AJ:$AJ,RawTotals!$A:$A=AP171)-(FILTER(Data!$K:$K,Data!$B:$B=AP171,Data!$D:$D=$G171)+FILTER(Data!$L:$L,Data!$B:$B=AP171,Data!$D:$D=$G171)),""""),"""")"),"")</f>
        <v/>
      </c>
      <c r="CA171" s="69" t="str">
        <f>IFERROR(__xludf.DUMMYFUNCTION("IF($G171&lt;&gt;"""",IFERROR(FILTER(RawTotals!$AJ:$AJ,RawTotals!$A:$A=AQ171)-(FILTER(Data!$K:$K,Data!$B:$B=AQ171,Data!$D:$D=$G171)+FILTER(Data!$L:$L,Data!$B:$B=AQ171,Data!$D:$D=$G171)),""""),"""")"),"")</f>
        <v/>
      </c>
      <c r="CB171" s="69" t="str">
        <f>IFERROR(__xludf.DUMMYFUNCTION("IF($H171&lt;&gt;"""",IFERROR(FILTER(RawTotals!$AJ:$AJ,RawTotals!$A:$A=AR171)-(FILTER(Data!$K:$K,Data!$B:$B=AR171,Data!$D:$D=$H171)+FILTER(Data!$L:$L,Data!$B:$B=AR171,Data!$D:$D=$H171)),""""),"""")"),"")</f>
        <v/>
      </c>
      <c r="CC171" s="69" t="str">
        <f>IFERROR(__xludf.DUMMYFUNCTION("IF($H171&lt;&gt;"""",IFERROR(FILTER(RawTotals!$AJ:$AJ,RawTotals!$A:$A=AS171)-(FILTER(Data!$K:$K,Data!$B:$B=AS171,Data!$D:$D=$H171)+FILTER(Data!$L:$L,Data!$B:$B=AS171,Data!$D:$D=$H171)),""""),"""")"),"")</f>
        <v/>
      </c>
      <c r="CD171" s="69" t="str">
        <f>IFERROR(__xludf.DUMMYFUNCTION("IF($H171&lt;&gt;"""",IFERROR(FILTER(RawTotals!$AJ:$AJ,RawTotals!$A:$A=AT171)-(FILTER(Data!$K:$K,Data!$B:$B=AT171,Data!$D:$D=$H171)+FILTER(Data!$L:$L,Data!$B:$B=AT171,Data!$D:$D=$H171)),""""),"""")"),"")</f>
        <v/>
      </c>
      <c r="CE171" s="69" t="str">
        <f>IFERROR(__xludf.DUMMYFUNCTION("IF($I171&lt;&gt;"""",IFERROR(FILTER(RawTotals!$AJ:$AJ,RawTotals!$A:$A=AU171)-(FILTER(Data!$K:$K,Data!$B:$B=AU171,Data!$D:$D=$I171)+FILTER(Data!$L:$L,Data!$B:$B=AU171,Data!$D:$D=$I171)),""""),"""")"),"")</f>
        <v/>
      </c>
      <c r="CF171" s="69" t="str">
        <f>IFERROR(__xludf.DUMMYFUNCTION("IF($I171&lt;&gt;"""",IFERROR(FILTER(RawTotals!$AJ:$AJ,RawTotals!$A:$A=AV171)-(FILTER(Data!$K:$K,Data!$B:$B=AV171,Data!$D:$D=$I171)+FILTER(Data!$L:$L,Data!$B:$B=AV171,Data!$D:$D=$I171)),""""),"""")"),"")</f>
        <v/>
      </c>
      <c r="CG171" s="69" t="str">
        <f>IFERROR(__xludf.DUMMYFUNCTION("IF($I171&lt;&gt;"""",IFERROR(FILTER(RawTotals!$AJ:$AJ,RawTotals!$A:$A=AW171)-(FILTER(Data!$K:$K,Data!$B:$B=AW171,Data!$D:$D=$I171)+FILTER(Data!$L:$L,Data!$B:$B=AW171,Data!$D:$D=$I171)),""""),"""")"),"")</f>
        <v/>
      </c>
      <c r="CH171" s="69" t="str">
        <f>IFERROR(__xludf.DUMMYFUNCTION("IF($J171&lt;&gt;"""",IFERROR(FILTER(RawTotals!$AJ:$AJ,RawTotals!$A:$A=AX171)-(FILTER(Data!$K:$K,Data!$B:$B=AX171,Data!$D:$D=$J171)+FILTER(Data!$L:$L,Data!$B:$B=AX171,Data!$D:$D=$J171)),""""),"""")"),"")</f>
        <v/>
      </c>
      <c r="CI171" s="69" t="str">
        <f>IFERROR(__xludf.DUMMYFUNCTION("IF($J171&lt;&gt;"""",IFERROR(FILTER(RawTotals!$AJ:$AJ,RawTotals!$A:$A=AY171)-(FILTER(Data!$K:$K,Data!$B:$B=AY171,Data!$D:$D=$J171)+FILTER(Data!$L:$L,Data!$B:$B=AY171,Data!$D:$D=$J171)),""""),"""")"),"")</f>
        <v/>
      </c>
      <c r="CJ171" s="69" t="str">
        <f>IFERROR(__xludf.DUMMYFUNCTION("IF($J171&lt;&gt;"""",IFERROR(FILTER(RawTotals!$AJ:$AJ,RawTotals!$A:$A=AZ171)-(FILTER(Data!$K:$K,Data!$B:$B=AZ171,Data!$D:$D=$J171)+FILTER(Data!$L:$L,Data!$B:$B=AZ171,Data!$D:$D=$J171)),""""),"""")"),"")</f>
        <v/>
      </c>
      <c r="CK171" s="69" t="str">
        <f>IFERROR(__xludf.DUMMYFUNCTION("IF($K171&lt;&gt;"""",IFERROR(FILTER(RawTotals!$AJ:$AJ,RawTotals!$A:$A=BA171)-(FILTER(Data!$K:$K,Data!$B:$B=BA171,Data!$D:$D=$K171)+FILTER(Data!$L:$L,Data!$B:$B=BA171,Data!$D:$D=$K171)),""""),"""")"),"")</f>
        <v/>
      </c>
      <c r="CL171" s="69" t="str">
        <f>IFERROR(__xludf.DUMMYFUNCTION("IF($K171&lt;&gt;"""",IFERROR(FILTER(RawTotals!$AJ:$AJ,RawTotals!$A:$A=BB171)-(FILTER(Data!$K:$K,Data!$B:$B=BB171,Data!$D:$D=$K171)+FILTER(Data!$L:$L,Data!$B:$B=BB171,Data!$D:$D=$K171)),""""),"""")"),"")</f>
        <v/>
      </c>
      <c r="CM171" s="69" t="str">
        <f>IFERROR(__xludf.DUMMYFUNCTION("IF($K171&lt;&gt;"""",IFERROR(FILTER(RawTotals!$AJ:$AJ,RawTotals!$A:$A=BC171)-(FILTER(Data!$K:$K,Data!$B:$B=BC171,Data!$D:$D=$K171)+FILTER(Data!$L:$L,Data!$B:$B=BC171,Data!$D:$D=$K171)),""""),"""")"),"")</f>
        <v/>
      </c>
      <c r="CN171" s="69" t="str">
        <f>IFERROR(__xludf.DUMMYFUNCTION("IF($L171&lt;&gt;"""",IFERROR((FILTER(RawTotals!$AJ:$AJ,RawTotals!$A:$A=BD171)-(FILTER(Data!$K:$K,Data!$B:$B=BD171,Data!$D:$D=$L171)+FILTER(Data!$L:$L,Data!$B:$B=BD171,Data!$D:$D=$L171))),""""),"""")"),"")</f>
        <v/>
      </c>
      <c r="CO171" s="69" t="str">
        <f>IFERROR(__xludf.DUMMYFUNCTION("IF($L171&lt;&gt;"""",IFERROR((FILTER(RawTotals!$AJ:$AJ,RawTotals!$A:$A=BE171)-(FILTER(Data!$K:$K,Data!$B:$B=BE171,Data!$D:$D=$L171)+FILTER(Data!$L:$L,Data!$B:$B=BE171,Data!$D:$D=$L171))),""""),"""")"),"")</f>
        <v/>
      </c>
      <c r="CP171" s="69" t="str">
        <f>IFERROR(__xludf.DUMMYFUNCTION("IF($L171&lt;&gt;"""",IFERROR((FILTER(RawTotals!$AJ:$AJ,RawTotals!$A:$A=BF171)-(FILTER(Data!$K:$K,Data!$B:$B=BF171,Data!$D:$D=$L171)+FILTER(Data!$L:$L,Data!$B:$B=BF171,Data!$D:$D=$L171))),""""),"""")"),"")</f>
        <v/>
      </c>
      <c r="CQ171" s="69" t="str">
        <f>IFERROR(__xludf.DUMMYFUNCTION("IF($M171&lt;&gt;"""",IFERROR((FILTER(RawTotals!$AJ:$AJ,RawTotals!$A:$A=BG171)-(FILTER(Data!$K:$K,Data!$B:$B=BG171,Data!$D:$D=$M171)+FILTER(Data!$L:$L,Data!$B:$B=BG171,Data!$D:$D=$M171))),""""),"""")"),"")</f>
        <v/>
      </c>
      <c r="CR171" s="69" t="str">
        <f>IFERROR(__xludf.DUMMYFUNCTION("IF($M171&lt;&gt;"""",IFERROR((FILTER(RawTotals!$AJ:$AJ,RawTotals!$A:$A=BH171)-(FILTER(Data!$K:$K,Data!$B:$B=BH171,Data!$D:$D=$M171)+FILTER(Data!$L:$L,Data!$B:$B=BH171,Data!$D:$D=$M171))),""""),"""")"),"")</f>
        <v/>
      </c>
      <c r="CS171" s="70" t="str">
        <f>IFERROR(__xludf.DUMMYFUNCTION("IF($M171&lt;&gt;"""",IFERROR((FILTER(RawTotals!$AJ:$AJ,RawTotals!$A:$A=BI171)-(FILTER(Data!$K:$K,Data!$B:$B=BI171,Data!$D:$D=$M171)+FILTER(Data!$L:$L,Data!$B:$B=BI171,Data!$D:$D=$M171))),""""),"""")"),"")</f>
        <v/>
      </c>
      <c r="CT171" s="16"/>
      <c r="CU171" s="16"/>
      <c r="CV171" s="16"/>
      <c r="CW171" s="16"/>
      <c r="CX171" s="16"/>
      <c r="CY171" s="16"/>
      <c r="CZ171" s="16"/>
      <c r="DA171" s="16"/>
      <c r="DB171" s="16"/>
      <c r="DC171" s="16"/>
      <c r="DD171" s="16"/>
      <c r="DE171" s="16"/>
    </row>
    <row r="172">
      <c r="A172" s="15"/>
      <c r="B172" s="16"/>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6"/>
      <c r="AD172" s="15"/>
      <c r="AE172" s="15"/>
      <c r="AF172" s="16"/>
      <c r="AG172" s="15"/>
      <c r="AH172" s="15"/>
      <c r="AI172" s="16"/>
      <c r="AJ172" s="15"/>
      <c r="AK172" s="15"/>
      <c r="AL172" s="16"/>
      <c r="AM172" s="15"/>
      <c r="AN172" s="15"/>
      <c r="AO172" s="16"/>
      <c r="AP172" s="15"/>
      <c r="AQ172" s="15"/>
      <c r="AR172" s="16"/>
      <c r="AS172" s="15"/>
      <c r="AT172" s="15"/>
      <c r="AU172" s="16"/>
      <c r="AV172" s="15"/>
      <c r="AW172" s="15"/>
      <c r="AX172" s="16"/>
      <c r="AY172" s="15"/>
      <c r="AZ172" s="15"/>
      <c r="BA172" s="16"/>
      <c r="BB172" s="16"/>
      <c r="BC172" s="16"/>
      <c r="BD172" s="16"/>
      <c r="BE172" s="16"/>
      <c r="BF172" s="16"/>
      <c r="BG172" s="16"/>
      <c r="BH172" s="16"/>
      <c r="BI172" s="16"/>
      <c r="BJ172" s="68" t="str">
        <f>IFERROR(__xludf.DUMMYFUNCTION("IF($B172&lt;&gt;"""",IFERROR(FILTER(RawTotals!$AJ:$AJ,RawTotals!$A:$A=Z172)-(FILTER(Data!$K:$K,Data!$B:$B=Z172,Data!$D:$D=$B172)+FILTER(Data!$L:$L,Data!$B:$B=Z172,Data!$D:$D=$B172)),""""),"""")"),"")</f>
        <v/>
      </c>
      <c r="BK172" s="68" t="str">
        <f>IFERROR(__xludf.DUMMYFUNCTION("IF($B172&lt;&gt;"""",IFERROR(FILTER(RawTotals!$AJ:$AJ,RawTotals!$A:$A=AA172)-(FILTER(Data!$K:$K,Data!$B:$B=AA172,Data!$D:$D=$B172)+FILTER(Data!$L:$L,Data!$B:$B=AA172,Data!$D:$D=$B172)),""""),"""")"),"")</f>
        <v/>
      </c>
      <c r="BL172" s="68" t="str">
        <f>IFERROR(__xludf.DUMMYFUNCTION("IF($B172&lt;&gt;"""",IFERROR(FILTER(RawTotals!$AJ:$AJ,RawTotals!$A:$A=AB172)-(FILTER(Data!$K:$K,Data!$B:$B=AB172,Data!$D:$D=$B172)+FILTER(Data!$L:$L,Data!$B:$B=AB172,Data!$D:$D=$B172)),""""),"""")"),"")</f>
        <v/>
      </c>
      <c r="BM172" s="69" t="str">
        <f>IFERROR(__xludf.DUMMYFUNCTION("IF($C172&lt;&gt;"""",IFERROR(FILTER(RawTotals!$AJ:$AJ,RawTotals!$A:$A=AC172)-(FILTER(Data!$K:$K,Data!$B:$B=AC172,Data!$D:$D=$C172)+FILTER(Data!$L:$L,Data!$B:$B=AC172,Data!$D:$D=$C172)),""""),"""")"),"")</f>
        <v/>
      </c>
      <c r="BN172" s="69" t="str">
        <f>IFERROR(__xludf.DUMMYFUNCTION("IF($C172&lt;&gt;"""",IFERROR(FILTER(RawTotals!$AJ:$AJ,RawTotals!$A:$A=AD172)-(FILTER(Data!$K:$K,Data!$B:$B=AD172,Data!$D:$D=$C172)+FILTER(Data!$L:$L,Data!$B:$B=AD172,Data!$D:$D=$C172)),""""),"""")"),"")</f>
        <v/>
      </c>
      <c r="BO172" s="69" t="str">
        <f>IFERROR(__xludf.DUMMYFUNCTION("IF($C172&lt;&gt;"""",IFERROR(FILTER(RawTotals!$AJ:$AJ,RawTotals!$A:$A=AE172)-(FILTER(Data!$K:$K,Data!$B:$B=AE172,Data!$D:$D=$C172)+FILTER(Data!$L:$L,Data!$B:$B=AE172,Data!$D:$D=$C172)),""""),"""")"),"")</f>
        <v/>
      </c>
      <c r="BP172" s="69" t="str">
        <f>IFERROR(__xludf.DUMMYFUNCTION("IF($D172&lt;&gt;"""",IFERROR(FILTER(RawTotals!$AJ:$AJ,RawTotals!$A:$A=AF172)-(FILTER(Data!$K:$K,Data!$B:$B=AF172,Data!$D:$D=$D172)+FILTER(Data!$L:$L,Data!$B:$B=AF172,Data!$D:$D=$D172)),""""),"""")"),"")</f>
        <v/>
      </c>
      <c r="BQ172" s="69" t="str">
        <f>IFERROR(__xludf.DUMMYFUNCTION("IF($D172&lt;&gt;"""",IFERROR(FILTER(RawTotals!$AJ:$AJ,RawTotals!$A:$A=AG172)-(FILTER(Data!$K:$K,Data!$B:$B=AG172,Data!$D:$D=$D172)+FILTER(Data!$L:$L,Data!$B:$B=AG172,Data!$D:$D=$D172)),""""),"""")"),"")</f>
        <v/>
      </c>
      <c r="BR172" s="69" t="str">
        <f>IFERROR(__xludf.DUMMYFUNCTION("IF($D172&lt;&gt;"""",IFERROR(FILTER(RawTotals!$AJ:$AJ,RawTotals!$A:$A=AH172)-(FILTER(Data!$K:$K,Data!$B:$B=AH172,Data!$D:$D=$D172)+FILTER(Data!$L:$L,Data!$B:$B=AH172,Data!$D:$D=$D172)),""""),"""")"),"")</f>
        <v/>
      </c>
      <c r="BS172" s="69" t="str">
        <f>IFERROR(__xludf.DUMMYFUNCTION("IF($E172&lt;&gt;"""",IFERROR(FILTER(RawTotals!$AJ:$AJ,RawTotals!$A:$A=AI172)-(FILTER(Data!$K:$K,Data!$B:$B=AI172,Data!$D:$D=$E172)+FILTER(Data!$L:$L,Data!$B:$B=AI172,Data!$D:$D=$E172)),""""),"""")"),"")</f>
        <v/>
      </c>
      <c r="BT172" s="69" t="str">
        <f>IFERROR(__xludf.DUMMYFUNCTION("IF($E172&lt;&gt;"""",IFERROR(FILTER(RawTotals!$AJ:$AJ,RawTotals!$A:$A=AJ172)-(FILTER(Data!$K:$K,Data!$B:$B=AJ172,Data!$D:$D=$E172)+FILTER(Data!$L:$L,Data!$B:$B=AJ172,Data!$D:$D=$E172)),""""),"""")"),"")</f>
        <v/>
      </c>
      <c r="BU172" s="69" t="str">
        <f>IFERROR(__xludf.DUMMYFUNCTION("IF($E172&lt;&gt;"""",IFERROR(FILTER(RawTotals!$AJ:$AJ,RawTotals!$A:$A=AK172)-(FILTER(Data!$K:$K,Data!$B:$B=AK172,Data!$D:$D=$E172)+FILTER(Data!$L:$L,Data!$B:$B=AK172,Data!$D:$D=$E172)),""""),"""")"),"")</f>
        <v/>
      </c>
      <c r="BV172" s="69" t="str">
        <f>IFERROR(__xludf.DUMMYFUNCTION("IF($F172&lt;&gt;"""",IFERROR(FILTER(RawTotals!$AJ:$AJ,RawTotals!$A:$A=AL172)-(FILTER(Data!$K:$K,Data!$B:$B=AL172,Data!$D:$D=$F172)+FILTER(Data!$L:$L,Data!$B:$B=AL172,Data!$D:$D=$F172)),""""),"""")"),"")</f>
        <v/>
      </c>
      <c r="BW172" s="69" t="str">
        <f>IFERROR(__xludf.DUMMYFUNCTION("IF($F172&lt;&gt;"""",IFERROR(FILTER(RawTotals!$AJ:$AJ,RawTotals!$A:$A=AM172)-(FILTER(Data!$K:$K,Data!$B:$B=AM172,Data!$D:$D=$F172)+FILTER(Data!$L:$L,Data!$B:$B=AM172,Data!$D:$D=$F172)),""""),"""")"),"")</f>
        <v/>
      </c>
      <c r="BX172" s="69" t="str">
        <f>IFERROR(__xludf.DUMMYFUNCTION("IF($F172&lt;&gt;"""",IFERROR(FILTER(RawTotals!$AJ:$AJ,RawTotals!$A:$A=AN172)-(FILTER(Data!$K:$K,Data!$B:$B=AN172,Data!$D:$D=$F172)+FILTER(Data!$L:$L,Data!$B:$B=AN172,Data!$D:$D=$F172)),""""),"""")"),"")</f>
        <v/>
      </c>
      <c r="BY172" s="69" t="str">
        <f>IFERROR(__xludf.DUMMYFUNCTION("IF($G172&lt;&gt;"""",IFERROR(FILTER(RawTotals!$AJ:$AJ,RawTotals!$A:$A=AO172)-(FILTER(Data!$K:$K,Data!$B:$B=AO172,Data!$D:$D=$G172)+FILTER(Data!$L:$L,Data!$B:$B=AO172,Data!$D:$D=$G172)),""""),"""")"),"")</f>
        <v/>
      </c>
      <c r="BZ172" s="69" t="str">
        <f>IFERROR(__xludf.DUMMYFUNCTION("IF($G172&lt;&gt;"""",IFERROR(FILTER(RawTotals!$AJ:$AJ,RawTotals!$A:$A=AP172)-(FILTER(Data!$K:$K,Data!$B:$B=AP172,Data!$D:$D=$G172)+FILTER(Data!$L:$L,Data!$B:$B=AP172,Data!$D:$D=$G172)),""""),"""")"),"")</f>
        <v/>
      </c>
      <c r="CA172" s="69" t="str">
        <f>IFERROR(__xludf.DUMMYFUNCTION("IF($G172&lt;&gt;"""",IFERROR(FILTER(RawTotals!$AJ:$AJ,RawTotals!$A:$A=AQ172)-(FILTER(Data!$K:$K,Data!$B:$B=AQ172,Data!$D:$D=$G172)+FILTER(Data!$L:$L,Data!$B:$B=AQ172,Data!$D:$D=$G172)),""""),"""")"),"")</f>
        <v/>
      </c>
      <c r="CB172" s="69" t="str">
        <f>IFERROR(__xludf.DUMMYFUNCTION("IF($H172&lt;&gt;"""",IFERROR(FILTER(RawTotals!$AJ:$AJ,RawTotals!$A:$A=AR172)-(FILTER(Data!$K:$K,Data!$B:$B=AR172,Data!$D:$D=$H172)+FILTER(Data!$L:$L,Data!$B:$B=AR172,Data!$D:$D=$H172)),""""),"""")"),"")</f>
        <v/>
      </c>
      <c r="CC172" s="69" t="str">
        <f>IFERROR(__xludf.DUMMYFUNCTION("IF($H172&lt;&gt;"""",IFERROR(FILTER(RawTotals!$AJ:$AJ,RawTotals!$A:$A=AS172)-(FILTER(Data!$K:$K,Data!$B:$B=AS172,Data!$D:$D=$H172)+FILTER(Data!$L:$L,Data!$B:$B=AS172,Data!$D:$D=$H172)),""""),"""")"),"")</f>
        <v/>
      </c>
      <c r="CD172" s="69" t="str">
        <f>IFERROR(__xludf.DUMMYFUNCTION("IF($H172&lt;&gt;"""",IFERROR(FILTER(RawTotals!$AJ:$AJ,RawTotals!$A:$A=AT172)-(FILTER(Data!$K:$K,Data!$B:$B=AT172,Data!$D:$D=$H172)+FILTER(Data!$L:$L,Data!$B:$B=AT172,Data!$D:$D=$H172)),""""),"""")"),"")</f>
        <v/>
      </c>
      <c r="CE172" s="69" t="str">
        <f>IFERROR(__xludf.DUMMYFUNCTION("IF($I172&lt;&gt;"""",IFERROR(FILTER(RawTotals!$AJ:$AJ,RawTotals!$A:$A=AU172)-(FILTER(Data!$K:$K,Data!$B:$B=AU172,Data!$D:$D=$I172)+FILTER(Data!$L:$L,Data!$B:$B=AU172,Data!$D:$D=$I172)),""""),"""")"),"")</f>
        <v/>
      </c>
      <c r="CF172" s="69" t="str">
        <f>IFERROR(__xludf.DUMMYFUNCTION("IF($I172&lt;&gt;"""",IFERROR(FILTER(RawTotals!$AJ:$AJ,RawTotals!$A:$A=AV172)-(FILTER(Data!$K:$K,Data!$B:$B=AV172,Data!$D:$D=$I172)+FILTER(Data!$L:$L,Data!$B:$B=AV172,Data!$D:$D=$I172)),""""),"""")"),"")</f>
        <v/>
      </c>
      <c r="CG172" s="69" t="str">
        <f>IFERROR(__xludf.DUMMYFUNCTION("IF($I172&lt;&gt;"""",IFERROR(FILTER(RawTotals!$AJ:$AJ,RawTotals!$A:$A=AW172)-(FILTER(Data!$K:$K,Data!$B:$B=AW172,Data!$D:$D=$I172)+FILTER(Data!$L:$L,Data!$B:$B=AW172,Data!$D:$D=$I172)),""""),"""")"),"")</f>
        <v/>
      </c>
      <c r="CH172" s="69" t="str">
        <f>IFERROR(__xludf.DUMMYFUNCTION("IF($J172&lt;&gt;"""",IFERROR(FILTER(RawTotals!$AJ:$AJ,RawTotals!$A:$A=AX172)-(FILTER(Data!$K:$K,Data!$B:$B=AX172,Data!$D:$D=$J172)+FILTER(Data!$L:$L,Data!$B:$B=AX172,Data!$D:$D=$J172)),""""),"""")"),"")</f>
        <v/>
      </c>
      <c r="CI172" s="69" t="str">
        <f>IFERROR(__xludf.DUMMYFUNCTION("IF($J172&lt;&gt;"""",IFERROR(FILTER(RawTotals!$AJ:$AJ,RawTotals!$A:$A=AY172)-(FILTER(Data!$K:$K,Data!$B:$B=AY172,Data!$D:$D=$J172)+FILTER(Data!$L:$L,Data!$B:$B=AY172,Data!$D:$D=$J172)),""""),"""")"),"")</f>
        <v/>
      </c>
      <c r="CJ172" s="69" t="str">
        <f>IFERROR(__xludf.DUMMYFUNCTION("IF($J172&lt;&gt;"""",IFERROR(FILTER(RawTotals!$AJ:$AJ,RawTotals!$A:$A=AZ172)-(FILTER(Data!$K:$K,Data!$B:$B=AZ172,Data!$D:$D=$J172)+FILTER(Data!$L:$L,Data!$B:$B=AZ172,Data!$D:$D=$J172)),""""),"""")"),"")</f>
        <v/>
      </c>
      <c r="CK172" s="69" t="str">
        <f>IFERROR(__xludf.DUMMYFUNCTION("IF($K172&lt;&gt;"""",IFERROR(FILTER(RawTotals!$AJ:$AJ,RawTotals!$A:$A=BA172)-(FILTER(Data!$K:$K,Data!$B:$B=BA172,Data!$D:$D=$K172)+FILTER(Data!$L:$L,Data!$B:$B=BA172,Data!$D:$D=$K172)),""""),"""")"),"")</f>
        <v/>
      </c>
      <c r="CL172" s="69" t="str">
        <f>IFERROR(__xludf.DUMMYFUNCTION("IF($K172&lt;&gt;"""",IFERROR(FILTER(RawTotals!$AJ:$AJ,RawTotals!$A:$A=BB172)-(FILTER(Data!$K:$K,Data!$B:$B=BB172,Data!$D:$D=$K172)+FILTER(Data!$L:$L,Data!$B:$B=BB172,Data!$D:$D=$K172)),""""),"""")"),"")</f>
        <v/>
      </c>
      <c r="CM172" s="69" t="str">
        <f>IFERROR(__xludf.DUMMYFUNCTION("IF($K172&lt;&gt;"""",IFERROR(FILTER(RawTotals!$AJ:$AJ,RawTotals!$A:$A=BC172)-(FILTER(Data!$K:$K,Data!$B:$B=BC172,Data!$D:$D=$K172)+FILTER(Data!$L:$L,Data!$B:$B=BC172,Data!$D:$D=$K172)),""""),"""")"),"")</f>
        <v/>
      </c>
      <c r="CN172" s="69" t="str">
        <f>IFERROR(__xludf.DUMMYFUNCTION("IF($L172&lt;&gt;"""",IFERROR((FILTER(RawTotals!$AJ:$AJ,RawTotals!$A:$A=BD172)-(FILTER(Data!$K:$K,Data!$B:$B=BD172,Data!$D:$D=$L172)+FILTER(Data!$L:$L,Data!$B:$B=BD172,Data!$D:$D=$L172))),""""),"""")"),"")</f>
        <v/>
      </c>
      <c r="CO172" s="69" t="str">
        <f>IFERROR(__xludf.DUMMYFUNCTION("IF($L172&lt;&gt;"""",IFERROR((FILTER(RawTotals!$AJ:$AJ,RawTotals!$A:$A=BE172)-(FILTER(Data!$K:$K,Data!$B:$B=BE172,Data!$D:$D=$L172)+FILTER(Data!$L:$L,Data!$B:$B=BE172,Data!$D:$D=$L172))),""""),"""")"),"")</f>
        <v/>
      </c>
      <c r="CP172" s="69" t="str">
        <f>IFERROR(__xludf.DUMMYFUNCTION("IF($L172&lt;&gt;"""",IFERROR((FILTER(RawTotals!$AJ:$AJ,RawTotals!$A:$A=BF172)-(FILTER(Data!$K:$K,Data!$B:$B=BF172,Data!$D:$D=$L172)+FILTER(Data!$L:$L,Data!$B:$B=BF172,Data!$D:$D=$L172))),""""),"""")"),"")</f>
        <v/>
      </c>
      <c r="CQ172" s="69" t="str">
        <f>IFERROR(__xludf.DUMMYFUNCTION("IF($M172&lt;&gt;"""",IFERROR((FILTER(RawTotals!$AJ:$AJ,RawTotals!$A:$A=BG172)-(FILTER(Data!$K:$K,Data!$B:$B=BG172,Data!$D:$D=$M172)+FILTER(Data!$L:$L,Data!$B:$B=BG172,Data!$D:$D=$M172))),""""),"""")"),"")</f>
        <v/>
      </c>
      <c r="CR172" s="69" t="str">
        <f>IFERROR(__xludf.DUMMYFUNCTION("IF($M172&lt;&gt;"""",IFERROR((FILTER(RawTotals!$AJ:$AJ,RawTotals!$A:$A=BH172)-(FILTER(Data!$K:$K,Data!$B:$B=BH172,Data!$D:$D=$M172)+FILTER(Data!$L:$L,Data!$B:$B=BH172,Data!$D:$D=$M172))),""""),"""")"),"")</f>
        <v/>
      </c>
      <c r="CS172" s="70" t="str">
        <f>IFERROR(__xludf.DUMMYFUNCTION("IF($M172&lt;&gt;"""",IFERROR((FILTER(RawTotals!$AJ:$AJ,RawTotals!$A:$A=BI172)-(FILTER(Data!$K:$K,Data!$B:$B=BI172,Data!$D:$D=$M172)+FILTER(Data!$L:$L,Data!$B:$B=BI172,Data!$D:$D=$M172))),""""),"""")"),"")</f>
        <v/>
      </c>
      <c r="CT172" s="16"/>
      <c r="CU172" s="16"/>
      <c r="CV172" s="16"/>
      <c r="CW172" s="16"/>
      <c r="CX172" s="16"/>
      <c r="CY172" s="16"/>
      <c r="CZ172" s="16"/>
      <c r="DA172" s="16"/>
      <c r="DB172" s="16"/>
      <c r="DC172" s="16"/>
      <c r="DD172" s="16"/>
      <c r="DE172" s="16"/>
    </row>
    <row r="173">
      <c r="A173" s="15"/>
      <c r="B173" s="16"/>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6"/>
      <c r="AD173" s="15"/>
      <c r="AE173" s="15"/>
      <c r="AF173" s="16"/>
      <c r="AG173" s="15"/>
      <c r="AH173" s="15"/>
      <c r="AI173" s="16"/>
      <c r="AJ173" s="15"/>
      <c r="AK173" s="15"/>
      <c r="AL173" s="16"/>
      <c r="AM173" s="15"/>
      <c r="AN173" s="15"/>
      <c r="AO173" s="16"/>
      <c r="AP173" s="15"/>
      <c r="AQ173" s="15"/>
      <c r="AR173" s="16"/>
      <c r="AS173" s="15"/>
      <c r="AT173" s="15"/>
      <c r="AU173" s="16"/>
      <c r="AV173" s="15"/>
      <c r="AW173" s="15"/>
      <c r="AX173" s="16"/>
      <c r="AY173" s="15"/>
      <c r="AZ173" s="15"/>
      <c r="BA173" s="16"/>
      <c r="BB173" s="16"/>
      <c r="BC173" s="16"/>
      <c r="BD173" s="16"/>
      <c r="BE173" s="16"/>
      <c r="BF173" s="16"/>
      <c r="BG173" s="16"/>
      <c r="BH173" s="16"/>
      <c r="BI173" s="16"/>
      <c r="BJ173" s="68" t="str">
        <f>IFERROR(__xludf.DUMMYFUNCTION("IF($B173&lt;&gt;"""",IFERROR(FILTER(RawTotals!$AJ:$AJ,RawTotals!$A:$A=Z173)-(FILTER(Data!$K:$K,Data!$B:$B=Z173,Data!$D:$D=$B173)+FILTER(Data!$L:$L,Data!$B:$B=Z173,Data!$D:$D=$B173)),""""),"""")"),"")</f>
        <v/>
      </c>
      <c r="BK173" s="68" t="str">
        <f>IFERROR(__xludf.DUMMYFUNCTION("IF($B173&lt;&gt;"""",IFERROR(FILTER(RawTotals!$AJ:$AJ,RawTotals!$A:$A=AA173)-(FILTER(Data!$K:$K,Data!$B:$B=AA173,Data!$D:$D=$B173)+FILTER(Data!$L:$L,Data!$B:$B=AA173,Data!$D:$D=$B173)),""""),"""")"),"")</f>
        <v/>
      </c>
      <c r="BL173" s="68" t="str">
        <f>IFERROR(__xludf.DUMMYFUNCTION("IF($B173&lt;&gt;"""",IFERROR(FILTER(RawTotals!$AJ:$AJ,RawTotals!$A:$A=AB173)-(FILTER(Data!$K:$K,Data!$B:$B=AB173,Data!$D:$D=$B173)+FILTER(Data!$L:$L,Data!$B:$B=AB173,Data!$D:$D=$B173)),""""),"""")"),"")</f>
        <v/>
      </c>
      <c r="BM173" s="69" t="str">
        <f>IFERROR(__xludf.DUMMYFUNCTION("IF($C173&lt;&gt;"""",IFERROR(FILTER(RawTotals!$AJ:$AJ,RawTotals!$A:$A=AC173)-(FILTER(Data!$K:$K,Data!$B:$B=AC173,Data!$D:$D=$C173)+FILTER(Data!$L:$L,Data!$B:$B=AC173,Data!$D:$D=$C173)),""""),"""")"),"")</f>
        <v/>
      </c>
      <c r="BN173" s="69" t="str">
        <f>IFERROR(__xludf.DUMMYFUNCTION("IF($C173&lt;&gt;"""",IFERROR(FILTER(RawTotals!$AJ:$AJ,RawTotals!$A:$A=AD173)-(FILTER(Data!$K:$K,Data!$B:$B=AD173,Data!$D:$D=$C173)+FILTER(Data!$L:$L,Data!$B:$B=AD173,Data!$D:$D=$C173)),""""),"""")"),"")</f>
        <v/>
      </c>
      <c r="BO173" s="69" t="str">
        <f>IFERROR(__xludf.DUMMYFUNCTION("IF($C173&lt;&gt;"""",IFERROR(FILTER(RawTotals!$AJ:$AJ,RawTotals!$A:$A=AE173)-(FILTER(Data!$K:$K,Data!$B:$B=AE173,Data!$D:$D=$C173)+FILTER(Data!$L:$L,Data!$B:$B=AE173,Data!$D:$D=$C173)),""""),"""")"),"")</f>
        <v/>
      </c>
      <c r="BP173" s="69" t="str">
        <f>IFERROR(__xludf.DUMMYFUNCTION("IF($D173&lt;&gt;"""",IFERROR(FILTER(RawTotals!$AJ:$AJ,RawTotals!$A:$A=AF173)-(FILTER(Data!$K:$K,Data!$B:$B=AF173,Data!$D:$D=$D173)+FILTER(Data!$L:$L,Data!$B:$B=AF173,Data!$D:$D=$D173)),""""),"""")"),"")</f>
        <v/>
      </c>
      <c r="BQ173" s="69" t="str">
        <f>IFERROR(__xludf.DUMMYFUNCTION("IF($D173&lt;&gt;"""",IFERROR(FILTER(RawTotals!$AJ:$AJ,RawTotals!$A:$A=AG173)-(FILTER(Data!$K:$K,Data!$B:$B=AG173,Data!$D:$D=$D173)+FILTER(Data!$L:$L,Data!$B:$B=AG173,Data!$D:$D=$D173)),""""),"""")"),"")</f>
        <v/>
      </c>
      <c r="BR173" s="69" t="str">
        <f>IFERROR(__xludf.DUMMYFUNCTION("IF($D173&lt;&gt;"""",IFERROR(FILTER(RawTotals!$AJ:$AJ,RawTotals!$A:$A=AH173)-(FILTER(Data!$K:$K,Data!$B:$B=AH173,Data!$D:$D=$D173)+FILTER(Data!$L:$L,Data!$B:$B=AH173,Data!$D:$D=$D173)),""""),"""")"),"")</f>
        <v/>
      </c>
      <c r="BS173" s="69" t="str">
        <f>IFERROR(__xludf.DUMMYFUNCTION("IF($E173&lt;&gt;"""",IFERROR(FILTER(RawTotals!$AJ:$AJ,RawTotals!$A:$A=AI173)-(FILTER(Data!$K:$K,Data!$B:$B=AI173,Data!$D:$D=$E173)+FILTER(Data!$L:$L,Data!$B:$B=AI173,Data!$D:$D=$E173)),""""),"""")"),"")</f>
        <v/>
      </c>
      <c r="BT173" s="69" t="str">
        <f>IFERROR(__xludf.DUMMYFUNCTION("IF($E173&lt;&gt;"""",IFERROR(FILTER(RawTotals!$AJ:$AJ,RawTotals!$A:$A=AJ173)-(FILTER(Data!$K:$K,Data!$B:$B=AJ173,Data!$D:$D=$E173)+FILTER(Data!$L:$L,Data!$B:$B=AJ173,Data!$D:$D=$E173)),""""),"""")"),"")</f>
        <v/>
      </c>
      <c r="BU173" s="69" t="str">
        <f>IFERROR(__xludf.DUMMYFUNCTION("IF($E173&lt;&gt;"""",IFERROR(FILTER(RawTotals!$AJ:$AJ,RawTotals!$A:$A=AK173)-(FILTER(Data!$K:$K,Data!$B:$B=AK173,Data!$D:$D=$E173)+FILTER(Data!$L:$L,Data!$B:$B=AK173,Data!$D:$D=$E173)),""""),"""")"),"")</f>
        <v/>
      </c>
      <c r="BV173" s="69" t="str">
        <f>IFERROR(__xludf.DUMMYFUNCTION("IF($F173&lt;&gt;"""",IFERROR(FILTER(RawTotals!$AJ:$AJ,RawTotals!$A:$A=AL173)-(FILTER(Data!$K:$K,Data!$B:$B=AL173,Data!$D:$D=$F173)+FILTER(Data!$L:$L,Data!$B:$B=AL173,Data!$D:$D=$F173)),""""),"""")"),"")</f>
        <v/>
      </c>
      <c r="BW173" s="69" t="str">
        <f>IFERROR(__xludf.DUMMYFUNCTION("IF($F173&lt;&gt;"""",IFERROR(FILTER(RawTotals!$AJ:$AJ,RawTotals!$A:$A=AM173)-(FILTER(Data!$K:$K,Data!$B:$B=AM173,Data!$D:$D=$F173)+FILTER(Data!$L:$L,Data!$B:$B=AM173,Data!$D:$D=$F173)),""""),"""")"),"")</f>
        <v/>
      </c>
      <c r="BX173" s="69" t="str">
        <f>IFERROR(__xludf.DUMMYFUNCTION("IF($F173&lt;&gt;"""",IFERROR(FILTER(RawTotals!$AJ:$AJ,RawTotals!$A:$A=AN173)-(FILTER(Data!$K:$K,Data!$B:$B=AN173,Data!$D:$D=$F173)+FILTER(Data!$L:$L,Data!$B:$B=AN173,Data!$D:$D=$F173)),""""),"""")"),"")</f>
        <v/>
      </c>
      <c r="BY173" s="69" t="str">
        <f>IFERROR(__xludf.DUMMYFUNCTION("IF($G173&lt;&gt;"""",IFERROR(FILTER(RawTotals!$AJ:$AJ,RawTotals!$A:$A=AO173)-(FILTER(Data!$K:$K,Data!$B:$B=AO173,Data!$D:$D=$G173)+FILTER(Data!$L:$L,Data!$B:$B=AO173,Data!$D:$D=$G173)),""""),"""")"),"")</f>
        <v/>
      </c>
      <c r="BZ173" s="69" t="str">
        <f>IFERROR(__xludf.DUMMYFUNCTION("IF($G173&lt;&gt;"""",IFERROR(FILTER(RawTotals!$AJ:$AJ,RawTotals!$A:$A=AP173)-(FILTER(Data!$K:$K,Data!$B:$B=AP173,Data!$D:$D=$G173)+FILTER(Data!$L:$L,Data!$B:$B=AP173,Data!$D:$D=$G173)),""""),"""")"),"")</f>
        <v/>
      </c>
      <c r="CA173" s="69" t="str">
        <f>IFERROR(__xludf.DUMMYFUNCTION("IF($G173&lt;&gt;"""",IFERROR(FILTER(RawTotals!$AJ:$AJ,RawTotals!$A:$A=AQ173)-(FILTER(Data!$K:$K,Data!$B:$B=AQ173,Data!$D:$D=$G173)+FILTER(Data!$L:$L,Data!$B:$B=AQ173,Data!$D:$D=$G173)),""""),"""")"),"")</f>
        <v/>
      </c>
      <c r="CB173" s="69" t="str">
        <f>IFERROR(__xludf.DUMMYFUNCTION("IF($H173&lt;&gt;"""",IFERROR(FILTER(RawTotals!$AJ:$AJ,RawTotals!$A:$A=AR173)-(FILTER(Data!$K:$K,Data!$B:$B=AR173,Data!$D:$D=$H173)+FILTER(Data!$L:$L,Data!$B:$B=AR173,Data!$D:$D=$H173)),""""),"""")"),"")</f>
        <v/>
      </c>
      <c r="CC173" s="69" t="str">
        <f>IFERROR(__xludf.DUMMYFUNCTION("IF($H173&lt;&gt;"""",IFERROR(FILTER(RawTotals!$AJ:$AJ,RawTotals!$A:$A=AS173)-(FILTER(Data!$K:$K,Data!$B:$B=AS173,Data!$D:$D=$H173)+FILTER(Data!$L:$L,Data!$B:$B=AS173,Data!$D:$D=$H173)),""""),"""")"),"")</f>
        <v/>
      </c>
      <c r="CD173" s="69" t="str">
        <f>IFERROR(__xludf.DUMMYFUNCTION("IF($H173&lt;&gt;"""",IFERROR(FILTER(RawTotals!$AJ:$AJ,RawTotals!$A:$A=AT173)-(FILTER(Data!$K:$K,Data!$B:$B=AT173,Data!$D:$D=$H173)+FILTER(Data!$L:$L,Data!$B:$B=AT173,Data!$D:$D=$H173)),""""),"""")"),"")</f>
        <v/>
      </c>
      <c r="CE173" s="69" t="str">
        <f>IFERROR(__xludf.DUMMYFUNCTION("IF($I173&lt;&gt;"""",IFERROR(FILTER(RawTotals!$AJ:$AJ,RawTotals!$A:$A=AU173)-(FILTER(Data!$K:$K,Data!$B:$B=AU173,Data!$D:$D=$I173)+FILTER(Data!$L:$L,Data!$B:$B=AU173,Data!$D:$D=$I173)),""""),"""")"),"")</f>
        <v/>
      </c>
      <c r="CF173" s="69" t="str">
        <f>IFERROR(__xludf.DUMMYFUNCTION("IF($I173&lt;&gt;"""",IFERROR(FILTER(RawTotals!$AJ:$AJ,RawTotals!$A:$A=AV173)-(FILTER(Data!$K:$K,Data!$B:$B=AV173,Data!$D:$D=$I173)+FILTER(Data!$L:$L,Data!$B:$B=AV173,Data!$D:$D=$I173)),""""),"""")"),"")</f>
        <v/>
      </c>
      <c r="CG173" s="69" t="str">
        <f>IFERROR(__xludf.DUMMYFUNCTION("IF($I173&lt;&gt;"""",IFERROR(FILTER(RawTotals!$AJ:$AJ,RawTotals!$A:$A=AW173)-(FILTER(Data!$K:$K,Data!$B:$B=AW173,Data!$D:$D=$I173)+FILTER(Data!$L:$L,Data!$B:$B=AW173,Data!$D:$D=$I173)),""""),"""")"),"")</f>
        <v/>
      </c>
      <c r="CH173" s="69" t="str">
        <f>IFERROR(__xludf.DUMMYFUNCTION("IF($J173&lt;&gt;"""",IFERROR(FILTER(RawTotals!$AJ:$AJ,RawTotals!$A:$A=AX173)-(FILTER(Data!$K:$K,Data!$B:$B=AX173,Data!$D:$D=$J173)+FILTER(Data!$L:$L,Data!$B:$B=AX173,Data!$D:$D=$J173)),""""),"""")"),"")</f>
        <v/>
      </c>
      <c r="CI173" s="69" t="str">
        <f>IFERROR(__xludf.DUMMYFUNCTION("IF($J173&lt;&gt;"""",IFERROR(FILTER(RawTotals!$AJ:$AJ,RawTotals!$A:$A=AY173)-(FILTER(Data!$K:$K,Data!$B:$B=AY173,Data!$D:$D=$J173)+FILTER(Data!$L:$L,Data!$B:$B=AY173,Data!$D:$D=$J173)),""""),"""")"),"")</f>
        <v/>
      </c>
      <c r="CJ173" s="69" t="str">
        <f>IFERROR(__xludf.DUMMYFUNCTION("IF($J173&lt;&gt;"""",IFERROR(FILTER(RawTotals!$AJ:$AJ,RawTotals!$A:$A=AZ173)-(FILTER(Data!$K:$K,Data!$B:$B=AZ173,Data!$D:$D=$J173)+FILTER(Data!$L:$L,Data!$B:$B=AZ173,Data!$D:$D=$J173)),""""),"""")"),"")</f>
        <v/>
      </c>
      <c r="CK173" s="69" t="str">
        <f>IFERROR(__xludf.DUMMYFUNCTION("IF($K173&lt;&gt;"""",IFERROR(FILTER(RawTotals!$AJ:$AJ,RawTotals!$A:$A=BA173)-(FILTER(Data!$K:$K,Data!$B:$B=BA173,Data!$D:$D=$K173)+FILTER(Data!$L:$L,Data!$B:$B=BA173,Data!$D:$D=$K173)),""""),"""")"),"")</f>
        <v/>
      </c>
      <c r="CL173" s="69" t="str">
        <f>IFERROR(__xludf.DUMMYFUNCTION("IF($K173&lt;&gt;"""",IFERROR(FILTER(RawTotals!$AJ:$AJ,RawTotals!$A:$A=BB173)-(FILTER(Data!$K:$K,Data!$B:$B=BB173,Data!$D:$D=$K173)+FILTER(Data!$L:$L,Data!$B:$B=BB173,Data!$D:$D=$K173)),""""),"""")"),"")</f>
        <v/>
      </c>
      <c r="CM173" s="69" t="str">
        <f>IFERROR(__xludf.DUMMYFUNCTION("IF($K173&lt;&gt;"""",IFERROR(FILTER(RawTotals!$AJ:$AJ,RawTotals!$A:$A=BC173)-(FILTER(Data!$K:$K,Data!$B:$B=BC173,Data!$D:$D=$K173)+FILTER(Data!$L:$L,Data!$B:$B=BC173,Data!$D:$D=$K173)),""""),"""")"),"")</f>
        <v/>
      </c>
      <c r="CN173" s="69" t="str">
        <f>IFERROR(__xludf.DUMMYFUNCTION("IF($L173&lt;&gt;"""",IFERROR((FILTER(RawTotals!$AJ:$AJ,RawTotals!$A:$A=BD173)-(FILTER(Data!$K:$K,Data!$B:$B=BD173,Data!$D:$D=$L173)+FILTER(Data!$L:$L,Data!$B:$B=BD173,Data!$D:$D=$L173))),""""),"""")"),"")</f>
        <v/>
      </c>
      <c r="CO173" s="69" t="str">
        <f>IFERROR(__xludf.DUMMYFUNCTION("IF($L173&lt;&gt;"""",IFERROR((FILTER(RawTotals!$AJ:$AJ,RawTotals!$A:$A=BE173)-(FILTER(Data!$K:$K,Data!$B:$B=BE173,Data!$D:$D=$L173)+FILTER(Data!$L:$L,Data!$B:$B=BE173,Data!$D:$D=$L173))),""""),"""")"),"")</f>
        <v/>
      </c>
      <c r="CP173" s="69" t="str">
        <f>IFERROR(__xludf.DUMMYFUNCTION("IF($L173&lt;&gt;"""",IFERROR((FILTER(RawTotals!$AJ:$AJ,RawTotals!$A:$A=BF173)-(FILTER(Data!$K:$K,Data!$B:$B=BF173,Data!$D:$D=$L173)+FILTER(Data!$L:$L,Data!$B:$B=BF173,Data!$D:$D=$L173))),""""),"""")"),"")</f>
        <v/>
      </c>
      <c r="CQ173" s="69" t="str">
        <f>IFERROR(__xludf.DUMMYFUNCTION("IF($M173&lt;&gt;"""",IFERROR((FILTER(RawTotals!$AJ:$AJ,RawTotals!$A:$A=BG173)-(FILTER(Data!$K:$K,Data!$B:$B=BG173,Data!$D:$D=$M173)+FILTER(Data!$L:$L,Data!$B:$B=BG173,Data!$D:$D=$M173))),""""),"""")"),"")</f>
        <v/>
      </c>
      <c r="CR173" s="69" t="str">
        <f>IFERROR(__xludf.DUMMYFUNCTION("IF($M173&lt;&gt;"""",IFERROR((FILTER(RawTotals!$AJ:$AJ,RawTotals!$A:$A=BH173)-(FILTER(Data!$K:$K,Data!$B:$B=BH173,Data!$D:$D=$M173)+FILTER(Data!$L:$L,Data!$B:$B=BH173,Data!$D:$D=$M173))),""""),"""")"),"")</f>
        <v/>
      </c>
      <c r="CS173" s="70" t="str">
        <f>IFERROR(__xludf.DUMMYFUNCTION("IF($M173&lt;&gt;"""",IFERROR((FILTER(RawTotals!$AJ:$AJ,RawTotals!$A:$A=BI173)-(FILTER(Data!$K:$K,Data!$B:$B=BI173,Data!$D:$D=$M173)+FILTER(Data!$L:$L,Data!$B:$B=BI173,Data!$D:$D=$M173))),""""),"""")"),"")</f>
        <v/>
      </c>
      <c r="CT173" s="16"/>
      <c r="CU173" s="16"/>
      <c r="CV173" s="16"/>
      <c r="CW173" s="16"/>
      <c r="CX173" s="16"/>
      <c r="CY173" s="16"/>
      <c r="CZ173" s="16"/>
      <c r="DA173" s="16"/>
      <c r="DB173" s="16"/>
      <c r="DC173" s="16"/>
      <c r="DD173" s="16"/>
      <c r="DE173" s="16"/>
    </row>
    <row r="174">
      <c r="A174" s="15"/>
      <c r="B174" s="16"/>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6"/>
      <c r="AD174" s="15"/>
      <c r="AE174" s="15"/>
      <c r="AF174" s="16"/>
      <c r="AG174" s="15"/>
      <c r="AH174" s="15"/>
      <c r="AI174" s="16"/>
      <c r="AJ174" s="15"/>
      <c r="AK174" s="15"/>
      <c r="AL174" s="16"/>
      <c r="AM174" s="15"/>
      <c r="AN174" s="15"/>
      <c r="AO174" s="16"/>
      <c r="AP174" s="15"/>
      <c r="AQ174" s="15"/>
      <c r="AR174" s="16"/>
      <c r="AS174" s="15"/>
      <c r="AT174" s="15"/>
      <c r="AU174" s="16"/>
      <c r="AV174" s="15"/>
      <c r="AW174" s="15"/>
      <c r="AX174" s="16"/>
      <c r="AY174" s="15"/>
      <c r="AZ174" s="15"/>
      <c r="BA174" s="16"/>
      <c r="BB174" s="16"/>
      <c r="BC174" s="16"/>
      <c r="BD174" s="16"/>
      <c r="BE174" s="16"/>
      <c r="BF174" s="16"/>
      <c r="BG174" s="16"/>
      <c r="BH174" s="16"/>
      <c r="BI174" s="16"/>
      <c r="BJ174" s="68" t="str">
        <f>IFERROR(__xludf.DUMMYFUNCTION("IF($B174&lt;&gt;"""",IFERROR(FILTER(RawTotals!$AJ:$AJ,RawTotals!$A:$A=Z174)-(FILTER(Data!$K:$K,Data!$B:$B=Z174,Data!$D:$D=$B174)+FILTER(Data!$L:$L,Data!$B:$B=Z174,Data!$D:$D=$B174)),""""),"""")"),"")</f>
        <v/>
      </c>
      <c r="BK174" s="68" t="str">
        <f>IFERROR(__xludf.DUMMYFUNCTION("IF($B174&lt;&gt;"""",IFERROR(FILTER(RawTotals!$AJ:$AJ,RawTotals!$A:$A=AA174)-(FILTER(Data!$K:$K,Data!$B:$B=AA174,Data!$D:$D=$B174)+FILTER(Data!$L:$L,Data!$B:$B=AA174,Data!$D:$D=$B174)),""""),"""")"),"")</f>
        <v/>
      </c>
      <c r="BL174" s="68" t="str">
        <f>IFERROR(__xludf.DUMMYFUNCTION("IF($B174&lt;&gt;"""",IFERROR(FILTER(RawTotals!$AJ:$AJ,RawTotals!$A:$A=AB174)-(FILTER(Data!$K:$K,Data!$B:$B=AB174,Data!$D:$D=$B174)+FILTER(Data!$L:$L,Data!$B:$B=AB174,Data!$D:$D=$B174)),""""),"""")"),"")</f>
        <v/>
      </c>
      <c r="BM174" s="69" t="str">
        <f>IFERROR(__xludf.DUMMYFUNCTION("IF($C174&lt;&gt;"""",IFERROR(FILTER(RawTotals!$AJ:$AJ,RawTotals!$A:$A=AC174)-(FILTER(Data!$K:$K,Data!$B:$B=AC174,Data!$D:$D=$C174)+FILTER(Data!$L:$L,Data!$B:$B=AC174,Data!$D:$D=$C174)),""""),"""")"),"")</f>
        <v/>
      </c>
      <c r="BN174" s="69" t="str">
        <f>IFERROR(__xludf.DUMMYFUNCTION("IF($C174&lt;&gt;"""",IFERROR(FILTER(RawTotals!$AJ:$AJ,RawTotals!$A:$A=AD174)-(FILTER(Data!$K:$K,Data!$B:$B=AD174,Data!$D:$D=$C174)+FILTER(Data!$L:$L,Data!$B:$B=AD174,Data!$D:$D=$C174)),""""),"""")"),"")</f>
        <v/>
      </c>
      <c r="BO174" s="69" t="str">
        <f>IFERROR(__xludf.DUMMYFUNCTION("IF($C174&lt;&gt;"""",IFERROR(FILTER(RawTotals!$AJ:$AJ,RawTotals!$A:$A=AE174)-(FILTER(Data!$K:$K,Data!$B:$B=AE174,Data!$D:$D=$C174)+FILTER(Data!$L:$L,Data!$B:$B=AE174,Data!$D:$D=$C174)),""""),"""")"),"")</f>
        <v/>
      </c>
      <c r="BP174" s="69" t="str">
        <f>IFERROR(__xludf.DUMMYFUNCTION("IF($D174&lt;&gt;"""",IFERROR(FILTER(RawTotals!$AJ:$AJ,RawTotals!$A:$A=AF174)-(FILTER(Data!$K:$K,Data!$B:$B=AF174,Data!$D:$D=$D174)+FILTER(Data!$L:$L,Data!$B:$B=AF174,Data!$D:$D=$D174)),""""),"""")"),"")</f>
        <v/>
      </c>
      <c r="BQ174" s="69" t="str">
        <f>IFERROR(__xludf.DUMMYFUNCTION("IF($D174&lt;&gt;"""",IFERROR(FILTER(RawTotals!$AJ:$AJ,RawTotals!$A:$A=AG174)-(FILTER(Data!$K:$K,Data!$B:$B=AG174,Data!$D:$D=$D174)+FILTER(Data!$L:$L,Data!$B:$B=AG174,Data!$D:$D=$D174)),""""),"""")"),"")</f>
        <v/>
      </c>
      <c r="BR174" s="69" t="str">
        <f>IFERROR(__xludf.DUMMYFUNCTION("IF($D174&lt;&gt;"""",IFERROR(FILTER(RawTotals!$AJ:$AJ,RawTotals!$A:$A=AH174)-(FILTER(Data!$K:$K,Data!$B:$B=AH174,Data!$D:$D=$D174)+FILTER(Data!$L:$L,Data!$B:$B=AH174,Data!$D:$D=$D174)),""""),"""")"),"")</f>
        <v/>
      </c>
      <c r="BS174" s="69" t="str">
        <f>IFERROR(__xludf.DUMMYFUNCTION("IF($E174&lt;&gt;"""",IFERROR(FILTER(RawTotals!$AJ:$AJ,RawTotals!$A:$A=AI174)-(FILTER(Data!$K:$K,Data!$B:$B=AI174,Data!$D:$D=$E174)+FILTER(Data!$L:$L,Data!$B:$B=AI174,Data!$D:$D=$E174)),""""),"""")"),"")</f>
        <v/>
      </c>
      <c r="BT174" s="69" t="str">
        <f>IFERROR(__xludf.DUMMYFUNCTION("IF($E174&lt;&gt;"""",IFERROR(FILTER(RawTotals!$AJ:$AJ,RawTotals!$A:$A=AJ174)-(FILTER(Data!$K:$K,Data!$B:$B=AJ174,Data!$D:$D=$E174)+FILTER(Data!$L:$L,Data!$B:$B=AJ174,Data!$D:$D=$E174)),""""),"""")"),"")</f>
        <v/>
      </c>
      <c r="BU174" s="69" t="str">
        <f>IFERROR(__xludf.DUMMYFUNCTION("IF($E174&lt;&gt;"""",IFERROR(FILTER(RawTotals!$AJ:$AJ,RawTotals!$A:$A=AK174)-(FILTER(Data!$K:$K,Data!$B:$B=AK174,Data!$D:$D=$E174)+FILTER(Data!$L:$L,Data!$B:$B=AK174,Data!$D:$D=$E174)),""""),"""")"),"")</f>
        <v/>
      </c>
      <c r="BV174" s="69" t="str">
        <f>IFERROR(__xludf.DUMMYFUNCTION("IF($F174&lt;&gt;"""",IFERROR(FILTER(RawTotals!$AJ:$AJ,RawTotals!$A:$A=AL174)-(FILTER(Data!$K:$K,Data!$B:$B=AL174,Data!$D:$D=$F174)+FILTER(Data!$L:$L,Data!$B:$B=AL174,Data!$D:$D=$F174)),""""),"""")"),"")</f>
        <v/>
      </c>
      <c r="BW174" s="69" t="str">
        <f>IFERROR(__xludf.DUMMYFUNCTION("IF($F174&lt;&gt;"""",IFERROR(FILTER(RawTotals!$AJ:$AJ,RawTotals!$A:$A=AM174)-(FILTER(Data!$K:$K,Data!$B:$B=AM174,Data!$D:$D=$F174)+FILTER(Data!$L:$L,Data!$B:$B=AM174,Data!$D:$D=$F174)),""""),"""")"),"")</f>
        <v/>
      </c>
      <c r="BX174" s="69" t="str">
        <f>IFERROR(__xludf.DUMMYFUNCTION("IF($F174&lt;&gt;"""",IFERROR(FILTER(RawTotals!$AJ:$AJ,RawTotals!$A:$A=AN174)-(FILTER(Data!$K:$K,Data!$B:$B=AN174,Data!$D:$D=$F174)+FILTER(Data!$L:$L,Data!$B:$B=AN174,Data!$D:$D=$F174)),""""),"""")"),"")</f>
        <v/>
      </c>
      <c r="BY174" s="69" t="str">
        <f>IFERROR(__xludf.DUMMYFUNCTION("IF($G174&lt;&gt;"""",IFERROR(FILTER(RawTotals!$AJ:$AJ,RawTotals!$A:$A=AO174)-(FILTER(Data!$K:$K,Data!$B:$B=AO174,Data!$D:$D=$G174)+FILTER(Data!$L:$L,Data!$B:$B=AO174,Data!$D:$D=$G174)),""""),"""")"),"")</f>
        <v/>
      </c>
      <c r="BZ174" s="69" t="str">
        <f>IFERROR(__xludf.DUMMYFUNCTION("IF($G174&lt;&gt;"""",IFERROR(FILTER(RawTotals!$AJ:$AJ,RawTotals!$A:$A=AP174)-(FILTER(Data!$K:$K,Data!$B:$B=AP174,Data!$D:$D=$G174)+FILTER(Data!$L:$L,Data!$B:$B=AP174,Data!$D:$D=$G174)),""""),"""")"),"")</f>
        <v/>
      </c>
      <c r="CA174" s="69" t="str">
        <f>IFERROR(__xludf.DUMMYFUNCTION("IF($G174&lt;&gt;"""",IFERROR(FILTER(RawTotals!$AJ:$AJ,RawTotals!$A:$A=AQ174)-(FILTER(Data!$K:$K,Data!$B:$B=AQ174,Data!$D:$D=$G174)+FILTER(Data!$L:$L,Data!$B:$B=AQ174,Data!$D:$D=$G174)),""""),"""")"),"")</f>
        <v/>
      </c>
      <c r="CB174" s="69" t="str">
        <f>IFERROR(__xludf.DUMMYFUNCTION("IF($H174&lt;&gt;"""",IFERROR(FILTER(RawTotals!$AJ:$AJ,RawTotals!$A:$A=AR174)-(FILTER(Data!$K:$K,Data!$B:$B=AR174,Data!$D:$D=$H174)+FILTER(Data!$L:$L,Data!$B:$B=AR174,Data!$D:$D=$H174)),""""),"""")"),"")</f>
        <v/>
      </c>
      <c r="CC174" s="69" t="str">
        <f>IFERROR(__xludf.DUMMYFUNCTION("IF($H174&lt;&gt;"""",IFERROR(FILTER(RawTotals!$AJ:$AJ,RawTotals!$A:$A=AS174)-(FILTER(Data!$K:$K,Data!$B:$B=AS174,Data!$D:$D=$H174)+FILTER(Data!$L:$L,Data!$B:$B=AS174,Data!$D:$D=$H174)),""""),"""")"),"")</f>
        <v/>
      </c>
      <c r="CD174" s="69" t="str">
        <f>IFERROR(__xludf.DUMMYFUNCTION("IF($H174&lt;&gt;"""",IFERROR(FILTER(RawTotals!$AJ:$AJ,RawTotals!$A:$A=AT174)-(FILTER(Data!$K:$K,Data!$B:$B=AT174,Data!$D:$D=$H174)+FILTER(Data!$L:$L,Data!$B:$B=AT174,Data!$D:$D=$H174)),""""),"""")"),"")</f>
        <v/>
      </c>
      <c r="CE174" s="69" t="str">
        <f>IFERROR(__xludf.DUMMYFUNCTION("IF($I174&lt;&gt;"""",IFERROR(FILTER(RawTotals!$AJ:$AJ,RawTotals!$A:$A=AU174)-(FILTER(Data!$K:$K,Data!$B:$B=AU174,Data!$D:$D=$I174)+FILTER(Data!$L:$L,Data!$B:$B=AU174,Data!$D:$D=$I174)),""""),"""")"),"")</f>
        <v/>
      </c>
      <c r="CF174" s="69" t="str">
        <f>IFERROR(__xludf.DUMMYFUNCTION("IF($I174&lt;&gt;"""",IFERROR(FILTER(RawTotals!$AJ:$AJ,RawTotals!$A:$A=AV174)-(FILTER(Data!$K:$K,Data!$B:$B=AV174,Data!$D:$D=$I174)+FILTER(Data!$L:$L,Data!$B:$B=AV174,Data!$D:$D=$I174)),""""),"""")"),"")</f>
        <v/>
      </c>
      <c r="CG174" s="69" t="str">
        <f>IFERROR(__xludf.DUMMYFUNCTION("IF($I174&lt;&gt;"""",IFERROR(FILTER(RawTotals!$AJ:$AJ,RawTotals!$A:$A=AW174)-(FILTER(Data!$K:$K,Data!$B:$B=AW174,Data!$D:$D=$I174)+FILTER(Data!$L:$L,Data!$B:$B=AW174,Data!$D:$D=$I174)),""""),"""")"),"")</f>
        <v/>
      </c>
      <c r="CH174" s="69" t="str">
        <f>IFERROR(__xludf.DUMMYFUNCTION("IF($J174&lt;&gt;"""",IFERROR(FILTER(RawTotals!$AJ:$AJ,RawTotals!$A:$A=AX174)-(FILTER(Data!$K:$K,Data!$B:$B=AX174,Data!$D:$D=$J174)+FILTER(Data!$L:$L,Data!$B:$B=AX174,Data!$D:$D=$J174)),""""),"""")"),"")</f>
        <v/>
      </c>
      <c r="CI174" s="69" t="str">
        <f>IFERROR(__xludf.DUMMYFUNCTION("IF($J174&lt;&gt;"""",IFERROR(FILTER(RawTotals!$AJ:$AJ,RawTotals!$A:$A=AY174)-(FILTER(Data!$K:$K,Data!$B:$B=AY174,Data!$D:$D=$J174)+FILTER(Data!$L:$L,Data!$B:$B=AY174,Data!$D:$D=$J174)),""""),"""")"),"")</f>
        <v/>
      </c>
      <c r="CJ174" s="69" t="str">
        <f>IFERROR(__xludf.DUMMYFUNCTION("IF($J174&lt;&gt;"""",IFERROR(FILTER(RawTotals!$AJ:$AJ,RawTotals!$A:$A=AZ174)-(FILTER(Data!$K:$K,Data!$B:$B=AZ174,Data!$D:$D=$J174)+FILTER(Data!$L:$L,Data!$B:$B=AZ174,Data!$D:$D=$J174)),""""),"""")"),"")</f>
        <v/>
      </c>
      <c r="CK174" s="69" t="str">
        <f>IFERROR(__xludf.DUMMYFUNCTION("IF($K174&lt;&gt;"""",IFERROR(FILTER(RawTotals!$AJ:$AJ,RawTotals!$A:$A=BA174)-(FILTER(Data!$K:$K,Data!$B:$B=BA174,Data!$D:$D=$K174)+FILTER(Data!$L:$L,Data!$B:$B=BA174,Data!$D:$D=$K174)),""""),"""")"),"")</f>
        <v/>
      </c>
      <c r="CL174" s="69" t="str">
        <f>IFERROR(__xludf.DUMMYFUNCTION("IF($K174&lt;&gt;"""",IFERROR(FILTER(RawTotals!$AJ:$AJ,RawTotals!$A:$A=BB174)-(FILTER(Data!$K:$K,Data!$B:$B=BB174,Data!$D:$D=$K174)+FILTER(Data!$L:$L,Data!$B:$B=BB174,Data!$D:$D=$K174)),""""),"""")"),"")</f>
        <v/>
      </c>
      <c r="CM174" s="69" t="str">
        <f>IFERROR(__xludf.DUMMYFUNCTION("IF($K174&lt;&gt;"""",IFERROR(FILTER(RawTotals!$AJ:$AJ,RawTotals!$A:$A=BC174)-(FILTER(Data!$K:$K,Data!$B:$B=BC174,Data!$D:$D=$K174)+FILTER(Data!$L:$L,Data!$B:$B=BC174,Data!$D:$D=$K174)),""""),"""")"),"")</f>
        <v/>
      </c>
      <c r="CN174" s="69" t="str">
        <f>IFERROR(__xludf.DUMMYFUNCTION("IF($L174&lt;&gt;"""",IFERROR((FILTER(RawTotals!$AJ:$AJ,RawTotals!$A:$A=BD174)-(FILTER(Data!$K:$K,Data!$B:$B=BD174,Data!$D:$D=$L174)+FILTER(Data!$L:$L,Data!$B:$B=BD174,Data!$D:$D=$L174))),""""),"""")"),"")</f>
        <v/>
      </c>
      <c r="CO174" s="69" t="str">
        <f>IFERROR(__xludf.DUMMYFUNCTION("IF($L174&lt;&gt;"""",IFERROR((FILTER(RawTotals!$AJ:$AJ,RawTotals!$A:$A=BE174)-(FILTER(Data!$K:$K,Data!$B:$B=BE174,Data!$D:$D=$L174)+FILTER(Data!$L:$L,Data!$B:$B=BE174,Data!$D:$D=$L174))),""""),"""")"),"")</f>
        <v/>
      </c>
      <c r="CP174" s="69" t="str">
        <f>IFERROR(__xludf.DUMMYFUNCTION("IF($L174&lt;&gt;"""",IFERROR((FILTER(RawTotals!$AJ:$AJ,RawTotals!$A:$A=BF174)-(FILTER(Data!$K:$K,Data!$B:$B=BF174,Data!$D:$D=$L174)+FILTER(Data!$L:$L,Data!$B:$B=BF174,Data!$D:$D=$L174))),""""),"""")"),"")</f>
        <v/>
      </c>
      <c r="CQ174" s="69" t="str">
        <f>IFERROR(__xludf.DUMMYFUNCTION("IF($M174&lt;&gt;"""",IFERROR((FILTER(RawTotals!$AJ:$AJ,RawTotals!$A:$A=BG174)-(FILTER(Data!$K:$K,Data!$B:$B=BG174,Data!$D:$D=$M174)+FILTER(Data!$L:$L,Data!$B:$B=BG174,Data!$D:$D=$M174))),""""),"""")"),"")</f>
        <v/>
      </c>
      <c r="CR174" s="69" t="str">
        <f>IFERROR(__xludf.DUMMYFUNCTION("IF($M174&lt;&gt;"""",IFERROR((FILTER(RawTotals!$AJ:$AJ,RawTotals!$A:$A=BH174)-(FILTER(Data!$K:$K,Data!$B:$B=BH174,Data!$D:$D=$M174)+FILTER(Data!$L:$L,Data!$B:$B=BH174,Data!$D:$D=$M174))),""""),"""")"),"")</f>
        <v/>
      </c>
      <c r="CS174" s="70" t="str">
        <f>IFERROR(__xludf.DUMMYFUNCTION("IF($M174&lt;&gt;"""",IFERROR((FILTER(RawTotals!$AJ:$AJ,RawTotals!$A:$A=BI174)-(FILTER(Data!$K:$K,Data!$B:$B=BI174,Data!$D:$D=$M174)+FILTER(Data!$L:$L,Data!$B:$B=BI174,Data!$D:$D=$M174))),""""),"""")"),"")</f>
        <v/>
      </c>
      <c r="CT174" s="16"/>
      <c r="CU174" s="16"/>
      <c r="CV174" s="16"/>
      <c r="CW174" s="16"/>
      <c r="CX174" s="16"/>
      <c r="CY174" s="16"/>
      <c r="CZ174" s="16"/>
      <c r="DA174" s="16"/>
      <c r="DB174" s="16"/>
      <c r="DC174" s="16"/>
      <c r="DD174" s="16"/>
      <c r="DE174" s="16"/>
    </row>
    <row r="175">
      <c r="A175" s="15"/>
      <c r="B175" s="16"/>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6"/>
      <c r="AD175" s="15"/>
      <c r="AE175" s="15"/>
      <c r="AF175" s="16"/>
      <c r="AG175" s="15"/>
      <c r="AH175" s="15"/>
      <c r="AI175" s="16"/>
      <c r="AJ175" s="15"/>
      <c r="AK175" s="15"/>
      <c r="AL175" s="16"/>
      <c r="AM175" s="15"/>
      <c r="AN175" s="15"/>
      <c r="AO175" s="16"/>
      <c r="AP175" s="15"/>
      <c r="AQ175" s="15"/>
      <c r="AR175" s="16"/>
      <c r="AS175" s="15"/>
      <c r="AT175" s="15"/>
      <c r="AU175" s="16"/>
      <c r="AV175" s="15"/>
      <c r="AW175" s="15"/>
      <c r="AX175" s="16"/>
      <c r="AY175" s="15"/>
      <c r="AZ175" s="15"/>
      <c r="BA175" s="16"/>
      <c r="BB175" s="16"/>
      <c r="BC175" s="16"/>
      <c r="BD175" s="16"/>
      <c r="BE175" s="16"/>
      <c r="BF175" s="16"/>
      <c r="BG175" s="16"/>
      <c r="BH175" s="16"/>
      <c r="BI175" s="16"/>
      <c r="BJ175" s="68" t="str">
        <f>IFERROR(__xludf.DUMMYFUNCTION("IF($B175&lt;&gt;"""",IFERROR(FILTER(RawTotals!$AJ:$AJ,RawTotals!$A:$A=Z175)-(FILTER(Data!$K:$K,Data!$B:$B=Z175,Data!$D:$D=$B175)+FILTER(Data!$L:$L,Data!$B:$B=Z175,Data!$D:$D=$B175)),""""),"""")"),"")</f>
        <v/>
      </c>
      <c r="BK175" s="68" t="str">
        <f>IFERROR(__xludf.DUMMYFUNCTION("IF($B175&lt;&gt;"""",IFERROR(FILTER(RawTotals!$AJ:$AJ,RawTotals!$A:$A=AA175)-(FILTER(Data!$K:$K,Data!$B:$B=AA175,Data!$D:$D=$B175)+FILTER(Data!$L:$L,Data!$B:$B=AA175,Data!$D:$D=$B175)),""""),"""")"),"")</f>
        <v/>
      </c>
      <c r="BL175" s="68" t="str">
        <f>IFERROR(__xludf.DUMMYFUNCTION("IF($B175&lt;&gt;"""",IFERROR(FILTER(RawTotals!$AJ:$AJ,RawTotals!$A:$A=AB175)-(FILTER(Data!$K:$K,Data!$B:$B=AB175,Data!$D:$D=$B175)+FILTER(Data!$L:$L,Data!$B:$B=AB175,Data!$D:$D=$B175)),""""),"""")"),"")</f>
        <v/>
      </c>
      <c r="BM175" s="69" t="str">
        <f>IFERROR(__xludf.DUMMYFUNCTION("IF($C175&lt;&gt;"""",IFERROR(FILTER(RawTotals!$AJ:$AJ,RawTotals!$A:$A=AC175)-(FILTER(Data!$K:$K,Data!$B:$B=AC175,Data!$D:$D=$C175)+FILTER(Data!$L:$L,Data!$B:$B=AC175,Data!$D:$D=$C175)),""""),"""")"),"")</f>
        <v/>
      </c>
      <c r="BN175" s="69" t="str">
        <f>IFERROR(__xludf.DUMMYFUNCTION("IF($C175&lt;&gt;"""",IFERROR(FILTER(RawTotals!$AJ:$AJ,RawTotals!$A:$A=AD175)-(FILTER(Data!$K:$K,Data!$B:$B=AD175,Data!$D:$D=$C175)+FILTER(Data!$L:$L,Data!$B:$B=AD175,Data!$D:$D=$C175)),""""),"""")"),"")</f>
        <v/>
      </c>
      <c r="BO175" s="69" t="str">
        <f>IFERROR(__xludf.DUMMYFUNCTION("IF($C175&lt;&gt;"""",IFERROR(FILTER(RawTotals!$AJ:$AJ,RawTotals!$A:$A=AE175)-(FILTER(Data!$K:$K,Data!$B:$B=AE175,Data!$D:$D=$C175)+FILTER(Data!$L:$L,Data!$B:$B=AE175,Data!$D:$D=$C175)),""""),"""")"),"")</f>
        <v/>
      </c>
      <c r="BP175" s="69" t="str">
        <f>IFERROR(__xludf.DUMMYFUNCTION("IF($D175&lt;&gt;"""",IFERROR(FILTER(RawTotals!$AJ:$AJ,RawTotals!$A:$A=AF175)-(FILTER(Data!$K:$K,Data!$B:$B=AF175,Data!$D:$D=$D175)+FILTER(Data!$L:$L,Data!$B:$B=AF175,Data!$D:$D=$D175)),""""),"""")"),"")</f>
        <v/>
      </c>
      <c r="BQ175" s="69" t="str">
        <f>IFERROR(__xludf.DUMMYFUNCTION("IF($D175&lt;&gt;"""",IFERROR(FILTER(RawTotals!$AJ:$AJ,RawTotals!$A:$A=AG175)-(FILTER(Data!$K:$K,Data!$B:$B=AG175,Data!$D:$D=$D175)+FILTER(Data!$L:$L,Data!$B:$B=AG175,Data!$D:$D=$D175)),""""),"""")"),"")</f>
        <v/>
      </c>
      <c r="BR175" s="69" t="str">
        <f>IFERROR(__xludf.DUMMYFUNCTION("IF($D175&lt;&gt;"""",IFERROR(FILTER(RawTotals!$AJ:$AJ,RawTotals!$A:$A=AH175)-(FILTER(Data!$K:$K,Data!$B:$B=AH175,Data!$D:$D=$D175)+FILTER(Data!$L:$L,Data!$B:$B=AH175,Data!$D:$D=$D175)),""""),"""")"),"")</f>
        <v/>
      </c>
      <c r="BS175" s="69" t="str">
        <f>IFERROR(__xludf.DUMMYFUNCTION("IF($E175&lt;&gt;"""",IFERROR(FILTER(RawTotals!$AJ:$AJ,RawTotals!$A:$A=AI175)-(FILTER(Data!$K:$K,Data!$B:$B=AI175,Data!$D:$D=$E175)+FILTER(Data!$L:$L,Data!$B:$B=AI175,Data!$D:$D=$E175)),""""),"""")"),"")</f>
        <v/>
      </c>
      <c r="BT175" s="69" t="str">
        <f>IFERROR(__xludf.DUMMYFUNCTION("IF($E175&lt;&gt;"""",IFERROR(FILTER(RawTotals!$AJ:$AJ,RawTotals!$A:$A=AJ175)-(FILTER(Data!$K:$K,Data!$B:$B=AJ175,Data!$D:$D=$E175)+FILTER(Data!$L:$L,Data!$B:$B=AJ175,Data!$D:$D=$E175)),""""),"""")"),"")</f>
        <v/>
      </c>
      <c r="BU175" s="69" t="str">
        <f>IFERROR(__xludf.DUMMYFUNCTION("IF($E175&lt;&gt;"""",IFERROR(FILTER(RawTotals!$AJ:$AJ,RawTotals!$A:$A=AK175)-(FILTER(Data!$K:$K,Data!$B:$B=AK175,Data!$D:$D=$E175)+FILTER(Data!$L:$L,Data!$B:$B=AK175,Data!$D:$D=$E175)),""""),"""")"),"")</f>
        <v/>
      </c>
      <c r="BV175" s="69" t="str">
        <f>IFERROR(__xludf.DUMMYFUNCTION("IF($F175&lt;&gt;"""",IFERROR(FILTER(RawTotals!$AJ:$AJ,RawTotals!$A:$A=AL175)-(FILTER(Data!$K:$K,Data!$B:$B=AL175,Data!$D:$D=$F175)+FILTER(Data!$L:$L,Data!$B:$B=AL175,Data!$D:$D=$F175)),""""),"""")"),"")</f>
        <v/>
      </c>
      <c r="BW175" s="69" t="str">
        <f>IFERROR(__xludf.DUMMYFUNCTION("IF($F175&lt;&gt;"""",IFERROR(FILTER(RawTotals!$AJ:$AJ,RawTotals!$A:$A=AM175)-(FILTER(Data!$K:$K,Data!$B:$B=AM175,Data!$D:$D=$F175)+FILTER(Data!$L:$L,Data!$B:$B=AM175,Data!$D:$D=$F175)),""""),"""")"),"")</f>
        <v/>
      </c>
      <c r="BX175" s="69" t="str">
        <f>IFERROR(__xludf.DUMMYFUNCTION("IF($F175&lt;&gt;"""",IFERROR(FILTER(RawTotals!$AJ:$AJ,RawTotals!$A:$A=AN175)-(FILTER(Data!$K:$K,Data!$B:$B=AN175,Data!$D:$D=$F175)+FILTER(Data!$L:$L,Data!$B:$B=AN175,Data!$D:$D=$F175)),""""),"""")"),"")</f>
        <v/>
      </c>
      <c r="BY175" s="69" t="str">
        <f>IFERROR(__xludf.DUMMYFUNCTION("IF($G175&lt;&gt;"""",IFERROR(FILTER(RawTotals!$AJ:$AJ,RawTotals!$A:$A=AO175)-(FILTER(Data!$K:$K,Data!$B:$B=AO175,Data!$D:$D=$G175)+FILTER(Data!$L:$L,Data!$B:$B=AO175,Data!$D:$D=$G175)),""""),"""")"),"")</f>
        <v/>
      </c>
      <c r="BZ175" s="69" t="str">
        <f>IFERROR(__xludf.DUMMYFUNCTION("IF($G175&lt;&gt;"""",IFERROR(FILTER(RawTotals!$AJ:$AJ,RawTotals!$A:$A=AP175)-(FILTER(Data!$K:$K,Data!$B:$B=AP175,Data!$D:$D=$G175)+FILTER(Data!$L:$L,Data!$B:$B=AP175,Data!$D:$D=$G175)),""""),"""")"),"")</f>
        <v/>
      </c>
      <c r="CA175" s="69" t="str">
        <f>IFERROR(__xludf.DUMMYFUNCTION("IF($G175&lt;&gt;"""",IFERROR(FILTER(RawTotals!$AJ:$AJ,RawTotals!$A:$A=AQ175)-(FILTER(Data!$K:$K,Data!$B:$B=AQ175,Data!$D:$D=$G175)+FILTER(Data!$L:$L,Data!$B:$B=AQ175,Data!$D:$D=$G175)),""""),"""")"),"")</f>
        <v/>
      </c>
      <c r="CB175" s="69" t="str">
        <f>IFERROR(__xludf.DUMMYFUNCTION("IF($H175&lt;&gt;"""",IFERROR(FILTER(RawTotals!$AJ:$AJ,RawTotals!$A:$A=AR175)-(FILTER(Data!$K:$K,Data!$B:$B=AR175,Data!$D:$D=$H175)+FILTER(Data!$L:$L,Data!$B:$B=AR175,Data!$D:$D=$H175)),""""),"""")"),"")</f>
        <v/>
      </c>
      <c r="CC175" s="69" t="str">
        <f>IFERROR(__xludf.DUMMYFUNCTION("IF($H175&lt;&gt;"""",IFERROR(FILTER(RawTotals!$AJ:$AJ,RawTotals!$A:$A=AS175)-(FILTER(Data!$K:$K,Data!$B:$B=AS175,Data!$D:$D=$H175)+FILTER(Data!$L:$L,Data!$B:$B=AS175,Data!$D:$D=$H175)),""""),"""")"),"")</f>
        <v/>
      </c>
      <c r="CD175" s="69" t="str">
        <f>IFERROR(__xludf.DUMMYFUNCTION("IF($H175&lt;&gt;"""",IFERROR(FILTER(RawTotals!$AJ:$AJ,RawTotals!$A:$A=AT175)-(FILTER(Data!$K:$K,Data!$B:$B=AT175,Data!$D:$D=$H175)+FILTER(Data!$L:$L,Data!$B:$B=AT175,Data!$D:$D=$H175)),""""),"""")"),"")</f>
        <v/>
      </c>
      <c r="CE175" s="69" t="str">
        <f>IFERROR(__xludf.DUMMYFUNCTION("IF($I175&lt;&gt;"""",IFERROR(FILTER(RawTotals!$AJ:$AJ,RawTotals!$A:$A=AU175)-(FILTER(Data!$K:$K,Data!$B:$B=AU175,Data!$D:$D=$I175)+FILTER(Data!$L:$L,Data!$B:$B=AU175,Data!$D:$D=$I175)),""""),"""")"),"")</f>
        <v/>
      </c>
      <c r="CF175" s="69" t="str">
        <f>IFERROR(__xludf.DUMMYFUNCTION("IF($I175&lt;&gt;"""",IFERROR(FILTER(RawTotals!$AJ:$AJ,RawTotals!$A:$A=AV175)-(FILTER(Data!$K:$K,Data!$B:$B=AV175,Data!$D:$D=$I175)+FILTER(Data!$L:$L,Data!$B:$B=AV175,Data!$D:$D=$I175)),""""),"""")"),"")</f>
        <v/>
      </c>
      <c r="CG175" s="69" t="str">
        <f>IFERROR(__xludf.DUMMYFUNCTION("IF($I175&lt;&gt;"""",IFERROR(FILTER(RawTotals!$AJ:$AJ,RawTotals!$A:$A=AW175)-(FILTER(Data!$K:$K,Data!$B:$B=AW175,Data!$D:$D=$I175)+FILTER(Data!$L:$L,Data!$B:$B=AW175,Data!$D:$D=$I175)),""""),"""")"),"")</f>
        <v/>
      </c>
      <c r="CH175" s="69" t="str">
        <f>IFERROR(__xludf.DUMMYFUNCTION("IF($J175&lt;&gt;"""",IFERROR(FILTER(RawTotals!$AJ:$AJ,RawTotals!$A:$A=AX175)-(FILTER(Data!$K:$K,Data!$B:$B=AX175,Data!$D:$D=$J175)+FILTER(Data!$L:$L,Data!$B:$B=AX175,Data!$D:$D=$J175)),""""),"""")"),"")</f>
        <v/>
      </c>
      <c r="CI175" s="69" t="str">
        <f>IFERROR(__xludf.DUMMYFUNCTION("IF($J175&lt;&gt;"""",IFERROR(FILTER(RawTotals!$AJ:$AJ,RawTotals!$A:$A=AY175)-(FILTER(Data!$K:$K,Data!$B:$B=AY175,Data!$D:$D=$J175)+FILTER(Data!$L:$L,Data!$B:$B=AY175,Data!$D:$D=$J175)),""""),"""")"),"")</f>
        <v/>
      </c>
      <c r="CJ175" s="69" t="str">
        <f>IFERROR(__xludf.DUMMYFUNCTION("IF($J175&lt;&gt;"""",IFERROR(FILTER(RawTotals!$AJ:$AJ,RawTotals!$A:$A=AZ175)-(FILTER(Data!$K:$K,Data!$B:$B=AZ175,Data!$D:$D=$J175)+FILTER(Data!$L:$L,Data!$B:$B=AZ175,Data!$D:$D=$J175)),""""),"""")"),"")</f>
        <v/>
      </c>
      <c r="CK175" s="69" t="str">
        <f>IFERROR(__xludf.DUMMYFUNCTION("IF($K175&lt;&gt;"""",IFERROR(FILTER(RawTotals!$AJ:$AJ,RawTotals!$A:$A=BA175)-(FILTER(Data!$K:$K,Data!$B:$B=BA175,Data!$D:$D=$K175)+FILTER(Data!$L:$L,Data!$B:$B=BA175,Data!$D:$D=$K175)),""""),"""")"),"")</f>
        <v/>
      </c>
      <c r="CL175" s="69" t="str">
        <f>IFERROR(__xludf.DUMMYFUNCTION("IF($K175&lt;&gt;"""",IFERROR(FILTER(RawTotals!$AJ:$AJ,RawTotals!$A:$A=BB175)-(FILTER(Data!$K:$K,Data!$B:$B=BB175,Data!$D:$D=$K175)+FILTER(Data!$L:$L,Data!$B:$B=BB175,Data!$D:$D=$K175)),""""),"""")"),"")</f>
        <v/>
      </c>
      <c r="CM175" s="69" t="str">
        <f>IFERROR(__xludf.DUMMYFUNCTION("IF($K175&lt;&gt;"""",IFERROR(FILTER(RawTotals!$AJ:$AJ,RawTotals!$A:$A=BC175)-(FILTER(Data!$K:$K,Data!$B:$B=BC175,Data!$D:$D=$K175)+FILTER(Data!$L:$L,Data!$B:$B=BC175,Data!$D:$D=$K175)),""""),"""")"),"")</f>
        <v/>
      </c>
      <c r="CN175" s="69" t="str">
        <f>IFERROR(__xludf.DUMMYFUNCTION("IF($L175&lt;&gt;"""",IFERROR((FILTER(RawTotals!$AJ:$AJ,RawTotals!$A:$A=BD175)-(FILTER(Data!$K:$K,Data!$B:$B=BD175,Data!$D:$D=$L175)+FILTER(Data!$L:$L,Data!$B:$B=BD175,Data!$D:$D=$L175))),""""),"""")"),"")</f>
        <v/>
      </c>
      <c r="CO175" s="69" t="str">
        <f>IFERROR(__xludf.DUMMYFUNCTION("IF($L175&lt;&gt;"""",IFERROR((FILTER(RawTotals!$AJ:$AJ,RawTotals!$A:$A=BE175)-(FILTER(Data!$K:$K,Data!$B:$B=BE175,Data!$D:$D=$L175)+FILTER(Data!$L:$L,Data!$B:$B=BE175,Data!$D:$D=$L175))),""""),"""")"),"")</f>
        <v/>
      </c>
      <c r="CP175" s="69" t="str">
        <f>IFERROR(__xludf.DUMMYFUNCTION("IF($L175&lt;&gt;"""",IFERROR((FILTER(RawTotals!$AJ:$AJ,RawTotals!$A:$A=BF175)-(FILTER(Data!$K:$K,Data!$B:$B=BF175,Data!$D:$D=$L175)+FILTER(Data!$L:$L,Data!$B:$B=BF175,Data!$D:$D=$L175))),""""),"""")"),"")</f>
        <v/>
      </c>
      <c r="CQ175" s="69" t="str">
        <f>IFERROR(__xludf.DUMMYFUNCTION("IF($M175&lt;&gt;"""",IFERROR((FILTER(RawTotals!$AJ:$AJ,RawTotals!$A:$A=BG175)-(FILTER(Data!$K:$K,Data!$B:$B=BG175,Data!$D:$D=$M175)+FILTER(Data!$L:$L,Data!$B:$B=BG175,Data!$D:$D=$M175))),""""),"""")"),"")</f>
        <v/>
      </c>
      <c r="CR175" s="69" t="str">
        <f>IFERROR(__xludf.DUMMYFUNCTION("IF($M175&lt;&gt;"""",IFERROR((FILTER(RawTotals!$AJ:$AJ,RawTotals!$A:$A=BH175)-(FILTER(Data!$K:$K,Data!$B:$B=BH175,Data!$D:$D=$M175)+FILTER(Data!$L:$L,Data!$B:$B=BH175,Data!$D:$D=$M175))),""""),"""")"),"")</f>
        <v/>
      </c>
      <c r="CS175" s="70" t="str">
        <f>IFERROR(__xludf.DUMMYFUNCTION("IF($M175&lt;&gt;"""",IFERROR((FILTER(RawTotals!$AJ:$AJ,RawTotals!$A:$A=BI175)-(FILTER(Data!$K:$K,Data!$B:$B=BI175,Data!$D:$D=$M175)+FILTER(Data!$L:$L,Data!$B:$B=BI175,Data!$D:$D=$M175))),""""),"""")"),"")</f>
        <v/>
      </c>
      <c r="CT175" s="16"/>
      <c r="CU175" s="16"/>
      <c r="CV175" s="16"/>
      <c r="CW175" s="16"/>
      <c r="CX175" s="16"/>
      <c r="CY175" s="16"/>
      <c r="CZ175" s="16"/>
      <c r="DA175" s="16"/>
      <c r="DB175" s="16"/>
      <c r="DC175" s="16"/>
      <c r="DD175" s="16"/>
      <c r="DE175" s="16"/>
    </row>
    <row r="176">
      <c r="A176" s="15"/>
      <c r="B176" s="16"/>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6"/>
      <c r="AD176" s="15"/>
      <c r="AE176" s="15"/>
      <c r="AF176" s="16"/>
      <c r="AG176" s="15"/>
      <c r="AH176" s="15"/>
      <c r="AI176" s="16"/>
      <c r="AJ176" s="15"/>
      <c r="AK176" s="15"/>
      <c r="AL176" s="16"/>
      <c r="AM176" s="15"/>
      <c r="AN176" s="15"/>
      <c r="AO176" s="16"/>
      <c r="AP176" s="15"/>
      <c r="AQ176" s="15"/>
      <c r="AR176" s="16"/>
      <c r="AS176" s="15"/>
      <c r="AT176" s="15"/>
      <c r="AU176" s="16"/>
      <c r="AV176" s="15"/>
      <c r="AW176" s="15"/>
      <c r="AX176" s="16"/>
      <c r="AY176" s="15"/>
      <c r="AZ176" s="15"/>
      <c r="BA176" s="16"/>
      <c r="BB176" s="16"/>
      <c r="BC176" s="16"/>
      <c r="BD176" s="16"/>
      <c r="BE176" s="16"/>
      <c r="BF176" s="16"/>
      <c r="BG176" s="16"/>
      <c r="BH176" s="16"/>
      <c r="BI176" s="16"/>
      <c r="BJ176" s="68" t="str">
        <f>IFERROR(__xludf.DUMMYFUNCTION("IF($B176&lt;&gt;"""",IFERROR(FILTER(RawTotals!$AJ:$AJ,RawTotals!$A:$A=Z176)-(FILTER(Data!$K:$K,Data!$B:$B=Z176,Data!$D:$D=$B176)+FILTER(Data!$L:$L,Data!$B:$B=Z176,Data!$D:$D=$B176)),""""),"""")"),"")</f>
        <v/>
      </c>
      <c r="BK176" s="68" t="str">
        <f>IFERROR(__xludf.DUMMYFUNCTION("IF($B176&lt;&gt;"""",IFERROR(FILTER(RawTotals!$AJ:$AJ,RawTotals!$A:$A=AA176)-(FILTER(Data!$K:$K,Data!$B:$B=AA176,Data!$D:$D=$B176)+FILTER(Data!$L:$L,Data!$B:$B=AA176,Data!$D:$D=$B176)),""""),"""")"),"")</f>
        <v/>
      </c>
      <c r="BL176" s="68" t="str">
        <f>IFERROR(__xludf.DUMMYFUNCTION("IF($B176&lt;&gt;"""",IFERROR(FILTER(RawTotals!$AJ:$AJ,RawTotals!$A:$A=AB176)-(FILTER(Data!$K:$K,Data!$B:$B=AB176,Data!$D:$D=$B176)+FILTER(Data!$L:$L,Data!$B:$B=AB176,Data!$D:$D=$B176)),""""),"""")"),"")</f>
        <v/>
      </c>
      <c r="BM176" s="69" t="str">
        <f>IFERROR(__xludf.DUMMYFUNCTION("IF($C176&lt;&gt;"""",IFERROR(FILTER(RawTotals!$AJ:$AJ,RawTotals!$A:$A=AC176)-(FILTER(Data!$K:$K,Data!$B:$B=AC176,Data!$D:$D=$C176)+FILTER(Data!$L:$L,Data!$B:$B=AC176,Data!$D:$D=$C176)),""""),"""")"),"")</f>
        <v/>
      </c>
      <c r="BN176" s="69" t="str">
        <f>IFERROR(__xludf.DUMMYFUNCTION("IF($C176&lt;&gt;"""",IFERROR(FILTER(RawTotals!$AJ:$AJ,RawTotals!$A:$A=AD176)-(FILTER(Data!$K:$K,Data!$B:$B=AD176,Data!$D:$D=$C176)+FILTER(Data!$L:$L,Data!$B:$B=AD176,Data!$D:$D=$C176)),""""),"""")"),"")</f>
        <v/>
      </c>
      <c r="BO176" s="69" t="str">
        <f>IFERROR(__xludf.DUMMYFUNCTION("IF($C176&lt;&gt;"""",IFERROR(FILTER(RawTotals!$AJ:$AJ,RawTotals!$A:$A=AE176)-(FILTER(Data!$K:$K,Data!$B:$B=AE176,Data!$D:$D=$C176)+FILTER(Data!$L:$L,Data!$B:$B=AE176,Data!$D:$D=$C176)),""""),"""")"),"")</f>
        <v/>
      </c>
      <c r="BP176" s="69" t="str">
        <f>IFERROR(__xludf.DUMMYFUNCTION("IF($D176&lt;&gt;"""",IFERROR(FILTER(RawTotals!$AJ:$AJ,RawTotals!$A:$A=AF176)-(FILTER(Data!$K:$K,Data!$B:$B=AF176,Data!$D:$D=$D176)+FILTER(Data!$L:$L,Data!$B:$B=AF176,Data!$D:$D=$D176)),""""),"""")"),"")</f>
        <v/>
      </c>
      <c r="BQ176" s="69" t="str">
        <f>IFERROR(__xludf.DUMMYFUNCTION("IF($D176&lt;&gt;"""",IFERROR(FILTER(RawTotals!$AJ:$AJ,RawTotals!$A:$A=AG176)-(FILTER(Data!$K:$K,Data!$B:$B=AG176,Data!$D:$D=$D176)+FILTER(Data!$L:$L,Data!$B:$B=AG176,Data!$D:$D=$D176)),""""),"""")"),"")</f>
        <v/>
      </c>
      <c r="BR176" s="69" t="str">
        <f>IFERROR(__xludf.DUMMYFUNCTION("IF($D176&lt;&gt;"""",IFERROR(FILTER(RawTotals!$AJ:$AJ,RawTotals!$A:$A=AH176)-(FILTER(Data!$K:$K,Data!$B:$B=AH176,Data!$D:$D=$D176)+FILTER(Data!$L:$L,Data!$B:$B=AH176,Data!$D:$D=$D176)),""""),"""")"),"")</f>
        <v/>
      </c>
      <c r="BS176" s="69" t="str">
        <f>IFERROR(__xludf.DUMMYFUNCTION("IF($E176&lt;&gt;"""",IFERROR(FILTER(RawTotals!$AJ:$AJ,RawTotals!$A:$A=AI176)-(FILTER(Data!$K:$K,Data!$B:$B=AI176,Data!$D:$D=$E176)+FILTER(Data!$L:$L,Data!$B:$B=AI176,Data!$D:$D=$E176)),""""),"""")"),"")</f>
        <v/>
      </c>
      <c r="BT176" s="69" t="str">
        <f>IFERROR(__xludf.DUMMYFUNCTION("IF($E176&lt;&gt;"""",IFERROR(FILTER(RawTotals!$AJ:$AJ,RawTotals!$A:$A=AJ176)-(FILTER(Data!$K:$K,Data!$B:$B=AJ176,Data!$D:$D=$E176)+FILTER(Data!$L:$L,Data!$B:$B=AJ176,Data!$D:$D=$E176)),""""),"""")"),"")</f>
        <v/>
      </c>
      <c r="BU176" s="69" t="str">
        <f>IFERROR(__xludf.DUMMYFUNCTION("IF($E176&lt;&gt;"""",IFERROR(FILTER(RawTotals!$AJ:$AJ,RawTotals!$A:$A=AK176)-(FILTER(Data!$K:$K,Data!$B:$B=AK176,Data!$D:$D=$E176)+FILTER(Data!$L:$L,Data!$B:$B=AK176,Data!$D:$D=$E176)),""""),"""")"),"")</f>
        <v/>
      </c>
      <c r="BV176" s="69" t="str">
        <f>IFERROR(__xludf.DUMMYFUNCTION("IF($F176&lt;&gt;"""",IFERROR(FILTER(RawTotals!$AJ:$AJ,RawTotals!$A:$A=AL176)-(FILTER(Data!$K:$K,Data!$B:$B=AL176,Data!$D:$D=$F176)+FILTER(Data!$L:$L,Data!$B:$B=AL176,Data!$D:$D=$F176)),""""),"""")"),"")</f>
        <v/>
      </c>
      <c r="BW176" s="69" t="str">
        <f>IFERROR(__xludf.DUMMYFUNCTION("IF($F176&lt;&gt;"""",IFERROR(FILTER(RawTotals!$AJ:$AJ,RawTotals!$A:$A=AM176)-(FILTER(Data!$K:$K,Data!$B:$B=AM176,Data!$D:$D=$F176)+FILTER(Data!$L:$L,Data!$B:$B=AM176,Data!$D:$D=$F176)),""""),"""")"),"")</f>
        <v/>
      </c>
      <c r="BX176" s="69" t="str">
        <f>IFERROR(__xludf.DUMMYFUNCTION("IF($F176&lt;&gt;"""",IFERROR(FILTER(RawTotals!$AJ:$AJ,RawTotals!$A:$A=AN176)-(FILTER(Data!$K:$K,Data!$B:$B=AN176,Data!$D:$D=$F176)+FILTER(Data!$L:$L,Data!$B:$B=AN176,Data!$D:$D=$F176)),""""),"""")"),"")</f>
        <v/>
      </c>
      <c r="BY176" s="69" t="str">
        <f>IFERROR(__xludf.DUMMYFUNCTION("IF($G176&lt;&gt;"""",IFERROR(FILTER(RawTotals!$AJ:$AJ,RawTotals!$A:$A=AO176)-(FILTER(Data!$K:$K,Data!$B:$B=AO176,Data!$D:$D=$G176)+FILTER(Data!$L:$L,Data!$B:$B=AO176,Data!$D:$D=$G176)),""""),"""")"),"")</f>
        <v/>
      </c>
      <c r="BZ176" s="69" t="str">
        <f>IFERROR(__xludf.DUMMYFUNCTION("IF($G176&lt;&gt;"""",IFERROR(FILTER(RawTotals!$AJ:$AJ,RawTotals!$A:$A=AP176)-(FILTER(Data!$K:$K,Data!$B:$B=AP176,Data!$D:$D=$G176)+FILTER(Data!$L:$L,Data!$B:$B=AP176,Data!$D:$D=$G176)),""""),"""")"),"")</f>
        <v/>
      </c>
      <c r="CA176" s="69" t="str">
        <f>IFERROR(__xludf.DUMMYFUNCTION("IF($G176&lt;&gt;"""",IFERROR(FILTER(RawTotals!$AJ:$AJ,RawTotals!$A:$A=AQ176)-(FILTER(Data!$K:$K,Data!$B:$B=AQ176,Data!$D:$D=$G176)+FILTER(Data!$L:$L,Data!$B:$B=AQ176,Data!$D:$D=$G176)),""""),"""")"),"")</f>
        <v/>
      </c>
      <c r="CB176" s="69" t="str">
        <f>IFERROR(__xludf.DUMMYFUNCTION("IF($H176&lt;&gt;"""",IFERROR(FILTER(RawTotals!$AJ:$AJ,RawTotals!$A:$A=AR176)-(FILTER(Data!$K:$K,Data!$B:$B=AR176,Data!$D:$D=$H176)+FILTER(Data!$L:$L,Data!$B:$B=AR176,Data!$D:$D=$H176)),""""),"""")"),"")</f>
        <v/>
      </c>
      <c r="CC176" s="69" t="str">
        <f>IFERROR(__xludf.DUMMYFUNCTION("IF($H176&lt;&gt;"""",IFERROR(FILTER(RawTotals!$AJ:$AJ,RawTotals!$A:$A=AS176)-(FILTER(Data!$K:$K,Data!$B:$B=AS176,Data!$D:$D=$H176)+FILTER(Data!$L:$L,Data!$B:$B=AS176,Data!$D:$D=$H176)),""""),"""")"),"")</f>
        <v/>
      </c>
      <c r="CD176" s="69" t="str">
        <f>IFERROR(__xludf.DUMMYFUNCTION("IF($H176&lt;&gt;"""",IFERROR(FILTER(RawTotals!$AJ:$AJ,RawTotals!$A:$A=AT176)-(FILTER(Data!$K:$K,Data!$B:$B=AT176,Data!$D:$D=$H176)+FILTER(Data!$L:$L,Data!$B:$B=AT176,Data!$D:$D=$H176)),""""),"""")"),"")</f>
        <v/>
      </c>
      <c r="CE176" s="69" t="str">
        <f>IFERROR(__xludf.DUMMYFUNCTION("IF($I176&lt;&gt;"""",IFERROR(FILTER(RawTotals!$AJ:$AJ,RawTotals!$A:$A=AU176)-(FILTER(Data!$K:$K,Data!$B:$B=AU176,Data!$D:$D=$I176)+FILTER(Data!$L:$L,Data!$B:$B=AU176,Data!$D:$D=$I176)),""""),"""")"),"")</f>
        <v/>
      </c>
      <c r="CF176" s="69" t="str">
        <f>IFERROR(__xludf.DUMMYFUNCTION("IF($I176&lt;&gt;"""",IFERROR(FILTER(RawTotals!$AJ:$AJ,RawTotals!$A:$A=AV176)-(FILTER(Data!$K:$K,Data!$B:$B=AV176,Data!$D:$D=$I176)+FILTER(Data!$L:$L,Data!$B:$B=AV176,Data!$D:$D=$I176)),""""),"""")"),"")</f>
        <v/>
      </c>
      <c r="CG176" s="69" t="str">
        <f>IFERROR(__xludf.DUMMYFUNCTION("IF($I176&lt;&gt;"""",IFERROR(FILTER(RawTotals!$AJ:$AJ,RawTotals!$A:$A=AW176)-(FILTER(Data!$K:$K,Data!$B:$B=AW176,Data!$D:$D=$I176)+FILTER(Data!$L:$L,Data!$B:$B=AW176,Data!$D:$D=$I176)),""""),"""")"),"")</f>
        <v/>
      </c>
      <c r="CH176" s="69" t="str">
        <f>IFERROR(__xludf.DUMMYFUNCTION("IF($J176&lt;&gt;"""",IFERROR(FILTER(RawTotals!$AJ:$AJ,RawTotals!$A:$A=AX176)-(FILTER(Data!$K:$K,Data!$B:$B=AX176,Data!$D:$D=$J176)+FILTER(Data!$L:$L,Data!$B:$B=AX176,Data!$D:$D=$J176)),""""),"""")"),"")</f>
        <v/>
      </c>
      <c r="CI176" s="69" t="str">
        <f>IFERROR(__xludf.DUMMYFUNCTION("IF($J176&lt;&gt;"""",IFERROR(FILTER(RawTotals!$AJ:$AJ,RawTotals!$A:$A=AY176)-(FILTER(Data!$K:$K,Data!$B:$B=AY176,Data!$D:$D=$J176)+FILTER(Data!$L:$L,Data!$B:$B=AY176,Data!$D:$D=$J176)),""""),"""")"),"")</f>
        <v/>
      </c>
      <c r="CJ176" s="69" t="str">
        <f>IFERROR(__xludf.DUMMYFUNCTION("IF($J176&lt;&gt;"""",IFERROR(FILTER(RawTotals!$AJ:$AJ,RawTotals!$A:$A=AZ176)-(FILTER(Data!$K:$K,Data!$B:$B=AZ176,Data!$D:$D=$J176)+FILTER(Data!$L:$L,Data!$B:$B=AZ176,Data!$D:$D=$J176)),""""),"""")"),"")</f>
        <v/>
      </c>
      <c r="CK176" s="69" t="str">
        <f>IFERROR(__xludf.DUMMYFUNCTION("IF($K176&lt;&gt;"""",IFERROR(FILTER(RawTotals!$AJ:$AJ,RawTotals!$A:$A=BA176)-(FILTER(Data!$K:$K,Data!$B:$B=BA176,Data!$D:$D=$K176)+FILTER(Data!$L:$L,Data!$B:$B=BA176,Data!$D:$D=$K176)),""""),"""")"),"")</f>
        <v/>
      </c>
      <c r="CL176" s="69" t="str">
        <f>IFERROR(__xludf.DUMMYFUNCTION("IF($K176&lt;&gt;"""",IFERROR(FILTER(RawTotals!$AJ:$AJ,RawTotals!$A:$A=BB176)-(FILTER(Data!$K:$K,Data!$B:$B=BB176,Data!$D:$D=$K176)+FILTER(Data!$L:$L,Data!$B:$B=BB176,Data!$D:$D=$K176)),""""),"""")"),"")</f>
        <v/>
      </c>
      <c r="CM176" s="69" t="str">
        <f>IFERROR(__xludf.DUMMYFUNCTION("IF($K176&lt;&gt;"""",IFERROR(FILTER(RawTotals!$AJ:$AJ,RawTotals!$A:$A=BC176)-(FILTER(Data!$K:$K,Data!$B:$B=BC176,Data!$D:$D=$K176)+FILTER(Data!$L:$L,Data!$B:$B=BC176,Data!$D:$D=$K176)),""""),"""")"),"")</f>
        <v/>
      </c>
      <c r="CN176" s="69" t="str">
        <f>IFERROR(__xludf.DUMMYFUNCTION("IF($L176&lt;&gt;"""",IFERROR((FILTER(RawTotals!$AJ:$AJ,RawTotals!$A:$A=BD176)-(FILTER(Data!$K:$K,Data!$B:$B=BD176,Data!$D:$D=$L176)+FILTER(Data!$L:$L,Data!$B:$B=BD176,Data!$D:$D=$L176))),""""),"""")"),"")</f>
        <v/>
      </c>
      <c r="CO176" s="69" t="str">
        <f>IFERROR(__xludf.DUMMYFUNCTION("IF($L176&lt;&gt;"""",IFERROR((FILTER(RawTotals!$AJ:$AJ,RawTotals!$A:$A=BE176)-(FILTER(Data!$K:$K,Data!$B:$B=BE176,Data!$D:$D=$L176)+FILTER(Data!$L:$L,Data!$B:$B=BE176,Data!$D:$D=$L176))),""""),"""")"),"")</f>
        <v/>
      </c>
      <c r="CP176" s="69" t="str">
        <f>IFERROR(__xludf.DUMMYFUNCTION("IF($L176&lt;&gt;"""",IFERROR((FILTER(RawTotals!$AJ:$AJ,RawTotals!$A:$A=BF176)-(FILTER(Data!$K:$K,Data!$B:$B=BF176,Data!$D:$D=$L176)+FILTER(Data!$L:$L,Data!$B:$B=BF176,Data!$D:$D=$L176))),""""),"""")"),"")</f>
        <v/>
      </c>
      <c r="CQ176" s="69" t="str">
        <f>IFERROR(__xludf.DUMMYFUNCTION("IF($M176&lt;&gt;"""",IFERROR((FILTER(RawTotals!$AJ:$AJ,RawTotals!$A:$A=BG176)-(FILTER(Data!$K:$K,Data!$B:$B=BG176,Data!$D:$D=$M176)+FILTER(Data!$L:$L,Data!$B:$B=BG176,Data!$D:$D=$M176))),""""),"""")"),"")</f>
        <v/>
      </c>
      <c r="CR176" s="69" t="str">
        <f>IFERROR(__xludf.DUMMYFUNCTION("IF($M176&lt;&gt;"""",IFERROR((FILTER(RawTotals!$AJ:$AJ,RawTotals!$A:$A=BH176)-(FILTER(Data!$K:$K,Data!$B:$B=BH176,Data!$D:$D=$M176)+FILTER(Data!$L:$L,Data!$B:$B=BH176,Data!$D:$D=$M176))),""""),"""")"),"")</f>
        <v/>
      </c>
      <c r="CS176" s="70" t="str">
        <f>IFERROR(__xludf.DUMMYFUNCTION("IF($M176&lt;&gt;"""",IFERROR((FILTER(RawTotals!$AJ:$AJ,RawTotals!$A:$A=BI176)-(FILTER(Data!$K:$K,Data!$B:$B=BI176,Data!$D:$D=$M176)+FILTER(Data!$L:$L,Data!$B:$B=BI176,Data!$D:$D=$M176))),""""),"""")"),"")</f>
        <v/>
      </c>
      <c r="CT176" s="16"/>
      <c r="CU176" s="16"/>
      <c r="CV176" s="16"/>
      <c r="CW176" s="16"/>
      <c r="CX176" s="16"/>
      <c r="CY176" s="16"/>
      <c r="CZ176" s="16"/>
      <c r="DA176" s="16"/>
      <c r="DB176" s="16"/>
      <c r="DC176" s="16"/>
      <c r="DD176" s="16"/>
      <c r="DE176" s="16"/>
    </row>
    <row r="177">
      <c r="A177" s="15"/>
      <c r="B177" s="16"/>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6"/>
      <c r="AD177" s="15"/>
      <c r="AE177" s="15"/>
      <c r="AF177" s="16"/>
      <c r="AG177" s="15"/>
      <c r="AH177" s="15"/>
      <c r="AI177" s="16"/>
      <c r="AJ177" s="15"/>
      <c r="AK177" s="15"/>
      <c r="AL177" s="16"/>
      <c r="AM177" s="15"/>
      <c r="AN177" s="15"/>
      <c r="AO177" s="16"/>
      <c r="AP177" s="15"/>
      <c r="AQ177" s="15"/>
      <c r="AR177" s="16"/>
      <c r="AS177" s="15"/>
      <c r="AT177" s="15"/>
      <c r="AU177" s="16"/>
      <c r="AV177" s="15"/>
      <c r="AW177" s="15"/>
      <c r="AX177" s="16"/>
      <c r="AY177" s="15"/>
      <c r="AZ177" s="15"/>
      <c r="BA177" s="16"/>
      <c r="BB177" s="16"/>
      <c r="BC177" s="16"/>
      <c r="BD177" s="16"/>
      <c r="BE177" s="16"/>
      <c r="BF177" s="16"/>
      <c r="BG177" s="16"/>
      <c r="BH177" s="16"/>
      <c r="BI177" s="16"/>
      <c r="BJ177" s="68" t="str">
        <f>IFERROR(__xludf.DUMMYFUNCTION("IF($B177&lt;&gt;"""",IFERROR(FILTER(RawTotals!$AJ:$AJ,RawTotals!$A:$A=Z177)-(FILTER(Data!$K:$K,Data!$B:$B=Z177,Data!$D:$D=$B177)+FILTER(Data!$L:$L,Data!$B:$B=Z177,Data!$D:$D=$B177)),""""),"""")"),"")</f>
        <v/>
      </c>
      <c r="BK177" s="68" t="str">
        <f>IFERROR(__xludf.DUMMYFUNCTION("IF($B177&lt;&gt;"""",IFERROR(FILTER(RawTotals!$AJ:$AJ,RawTotals!$A:$A=AA177)-(FILTER(Data!$K:$K,Data!$B:$B=AA177,Data!$D:$D=$B177)+FILTER(Data!$L:$L,Data!$B:$B=AA177,Data!$D:$D=$B177)),""""),"""")"),"")</f>
        <v/>
      </c>
      <c r="BL177" s="68" t="str">
        <f>IFERROR(__xludf.DUMMYFUNCTION("IF($B177&lt;&gt;"""",IFERROR(FILTER(RawTotals!$AJ:$AJ,RawTotals!$A:$A=AB177)-(FILTER(Data!$K:$K,Data!$B:$B=AB177,Data!$D:$D=$B177)+FILTER(Data!$L:$L,Data!$B:$B=AB177,Data!$D:$D=$B177)),""""),"""")"),"")</f>
        <v/>
      </c>
      <c r="BM177" s="69" t="str">
        <f>IFERROR(__xludf.DUMMYFUNCTION("IF($C177&lt;&gt;"""",IFERROR(FILTER(RawTotals!$AJ:$AJ,RawTotals!$A:$A=AC177)-(FILTER(Data!$K:$K,Data!$B:$B=AC177,Data!$D:$D=$C177)+FILTER(Data!$L:$L,Data!$B:$B=AC177,Data!$D:$D=$C177)),""""),"""")"),"")</f>
        <v/>
      </c>
      <c r="BN177" s="69" t="str">
        <f>IFERROR(__xludf.DUMMYFUNCTION("IF($C177&lt;&gt;"""",IFERROR(FILTER(RawTotals!$AJ:$AJ,RawTotals!$A:$A=AD177)-(FILTER(Data!$K:$K,Data!$B:$B=AD177,Data!$D:$D=$C177)+FILTER(Data!$L:$L,Data!$B:$B=AD177,Data!$D:$D=$C177)),""""),"""")"),"")</f>
        <v/>
      </c>
      <c r="BO177" s="69" t="str">
        <f>IFERROR(__xludf.DUMMYFUNCTION("IF($C177&lt;&gt;"""",IFERROR(FILTER(RawTotals!$AJ:$AJ,RawTotals!$A:$A=AE177)-(FILTER(Data!$K:$K,Data!$B:$B=AE177,Data!$D:$D=$C177)+FILTER(Data!$L:$L,Data!$B:$B=AE177,Data!$D:$D=$C177)),""""),"""")"),"")</f>
        <v/>
      </c>
      <c r="BP177" s="69" t="str">
        <f>IFERROR(__xludf.DUMMYFUNCTION("IF($D177&lt;&gt;"""",IFERROR(FILTER(RawTotals!$AJ:$AJ,RawTotals!$A:$A=AF177)-(FILTER(Data!$K:$K,Data!$B:$B=AF177,Data!$D:$D=$D177)+FILTER(Data!$L:$L,Data!$B:$B=AF177,Data!$D:$D=$D177)),""""),"""")"),"")</f>
        <v/>
      </c>
      <c r="BQ177" s="69" t="str">
        <f>IFERROR(__xludf.DUMMYFUNCTION("IF($D177&lt;&gt;"""",IFERROR(FILTER(RawTotals!$AJ:$AJ,RawTotals!$A:$A=AG177)-(FILTER(Data!$K:$K,Data!$B:$B=AG177,Data!$D:$D=$D177)+FILTER(Data!$L:$L,Data!$B:$B=AG177,Data!$D:$D=$D177)),""""),"""")"),"")</f>
        <v/>
      </c>
      <c r="BR177" s="69" t="str">
        <f>IFERROR(__xludf.DUMMYFUNCTION("IF($D177&lt;&gt;"""",IFERROR(FILTER(RawTotals!$AJ:$AJ,RawTotals!$A:$A=AH177)-(FILTER(Data!$K:$K,Data!$B:$B=AH177,Data!$D:$D=$D177)+FILTER(Data!$L:$L,Data!$B:$B=AH177,Data!$D:$D=$D177)),""""),"""")"),"")</f>
        <v/>
      </c>
      <c r="BS177" s="69" t="str">
        <f>IFERROR(__xludf.DUMMYFUNCTION("IF($E177&lt;&gt;"""",IFERROR(FILTER(RawTotals!$AJ:$AJ,RawTotals!$A:$A=AI177)-(FILTER(Data!$K:$K,Data!$B:$B=AI177,Data!$D:$D=$E177)+FILTER(Data!$L:$L,Data!$B:$B=AI177,Data!$D:$D=$E177)),""""),"""")"),"")</f>
        <v/>
      </c>
      <c r="BT177" s="69" t="str">
        <f>IFERROR(__xludf.DUMMYFUNCTION("IF($E177&lt;&gt;"""",IFERROR(FILTER(RawTotals!$AJ:$AJ,RawTotals!$A:$A=AJ177)-(FILTER(Data!$K:$K,Data!$B:$B=AJ177,Data!$D:$D=$E177)+FILTER(Data!$L:$L,Data!$B:$B=AJ177,Data!$D:$D=$E177)),""""),"""")"),"")</f>
        <v/>
      </c>
      <c r="BU177" s="69" t="str">
        <f>IFERROR(__xludf.DUMMYFUNCTION("IF($E177&lt;&gt;"""",IFERROR(FILTER(RawTotals!$AJ:$AJ,RawTotals!$A:$A=AK177)-(FILTER(Data!$K:$K,Data!$B:$B=AK177,Data!$D:$D=$E177)+FILTER(Data!$L:$L,Data!$B:$B=AK177,Data!$D:$D=$E177)),""""),"""")"),"")</f>
        <v/>
      </c>
      <c r="BV177" s="69" t="str">
        <f>IFERROR(__xludf.DUMMYFUNCTION("IF($F177&lt;&gt;"""",IFERROR(FILTER(RawTotals!$AJ:$AJ,RawTotals!$A:$A=AL177)-(FILTER(Data!$K:$K,Data!$B:$B=AL177,Data!$D:$D=$F177)+FILTER(Data!$L:$L,Data!$B:$B=AL177,Data!$D:$D=$F177)),""""),"""")"),"")</f>
        <v/>
      </c>
      <c r="BW177" s="69" t="str">
        <f>IFERROR(__xludf.DUMMYFUNCTION("IF($F177&lt;&gt;"""",IFERROR(FILTER(RawTotals!$AJ:$AJ,RawTotals!$A:$A=AM177)-(FILTER(Data!$K:$K,Data!$B:$B=AM177,Data!$D:$D=$F177)+FILTER(Data!$L:$L,Data!$B:$B=AM177,Data!$D:$D=$F177)),""""),"""")"),"")</f>
        <v/>
      </c>
      <c r="BX177" s="69" t="str">
        <f>IFERROR(__xludf.DUMMYFUNCTION("IF($F177&lt;&gt;"""",IFERROR(FILTER(RawTotals!$AJ:$AJ,RawTotals!$A:$A=AN177)-(FILTER(Data!$K:$K,Data!$B:$B=AN177,Data!$D:$D=$F177)+FILTER(Data!$L:$L,Data!$B:$B=AN177,Data!$D:$D=$F177)),""""),"""")"),"")</f>
        <v/>
      </c>
      <c r="BY177" s="69" t="str">
        <f>IFERROR(__xludf.DUMMYFUNCTION("IF($G177&lt;&gt;"""",IFERROR(FILTER(RawTotals!$AJ:$AJ,RawTotals!$A:$A=AO177)-(FILTER(Data!$K:$K,Data!$B:$B=AO177,Data!$D:$D=$G177)+FILTER(Data!$L:$L,Data!$B:$B=AO177,Data!$D:$D=$G177)),""""),"""")"),"")</f>
        <v/>
      </c>
      <c r="BZ177" s="69" t="str">
        <f>IFERROR(__xludf.DUMMYFUNCTION("IF($G177&lt;&gt;"""",IFERROR(FILTER(RawTotals!$AJ:$AJ,RawTotals!$A:$A=AP177)-(FILTER(Data!$K:$K,Data!$B:$B=AP177,Data!$D:$D=$G177)+FILTER(Data!$L:$L,Data!$B:$B=AP177,Data!$D:$D=$G177)),""""),"""")"),"")</f>
        <v/>
      </c>
      <c r="CA177" s="69" t="str">
        <f>IFERROR(__xludf.DUMMYFUNCTION("IF($G177&lt;&gt;"""",IFERROR(FILTER(RawTotals!$AJ:$AJ,RawTotals!$A:$A=AQ177)-(FILTER(Data!$K:$K,Data!$B:$B=AQ177,Data!$D:$D=$G177)+FILTER(Data!$L:$L,Data!$B:$B=AQ177,Data!$D:$D=$G177)),""""),"""")"),"")</f>
        <v/>
      </c>
      <c r="CB177" s="69" t="str">
        <f>IFERROR(__xludf.DUMMYFUNCTION("IF($H177&lt;&gt;"""",IFERROR(FILTER(RawTotals!$AJ:$AJ,RawTotals!$A:$A=AR177)-(FILTER(Data!$K:$K,Data!$B:$B=AR177,Data!$D:$D=$H177)+FILTER(Data!$L:$L,Data!$B:$B=AR177,Data!$D:$D=$H177)),""""),"""")"),"")</f>
        <v/>
      </c>
      <c r="CC177" s="69" t="str">
        <f>IFERROR(__xludf.DUMMYFUNCTION("IF($H177&lt;&gt;"""",IFERROR(FILTER(RawTotals!$AJ:$AJ,RawTotals!$A:$A=AS177)-(FILTER(Data!$K:$K,Data!$B:$B=AS177,Data!$D:$D=$H177)+FILTER(Data!$L:$L,Data!$B:$B=AS177,Data!$D:$D=$H177)),""""),"""")"),"")</f>
        <v/>
      </c>
      <c r="CD177" s="69" t="str">
        <f>IFERROR(__xludf.DUMMYFUNCTION("IF($H177&lt;&gt;"""",IFERROR(FILTER(RawTotals!$AJ:$AJ,RawTotals!$A:$A=AT177)-(FILTER(Data!$K:$K,Data!$B:$B=AT177,Data!$D:$D=$H177)+FILTER(Data!$L:$L,Data!$B:$B=AT177,Data!$D:$D=$H177)),""""),"""")"),"")</f>
        <v/>
      </c>
      <c r="CE177" s="69" t="str">
        <f>IFERROR(__xludf.DUMMYFUNCTION("IF($I177&lt;&gt;"""",IFERROR(FILTER(RawTotals!$AJ:$AJ,RawTotals!$A:$A=AU177)-(FILTER(Data!$K:$K,Data!$B:$B=AU177,Data!$D:$D=$I177)+FILTER(Data!$L:$L,Data!$B:$B=AU177,Data!$D:$D=$I177)),""""),"""")"),"")</f>
        <v/>
      </c>
      <c r="CF177" s="69" t="str">
        <f>IFERROR(__xludf.DUMMYFUNCTION("IF($I177&lt;&gt;"""",IFERROR(FILTER(RawTotals!$AJ:$AJ,RawTotals!$A:$A=AV177)-(FILTER(Data!$K:$K,Data!$B:$B=AV177,Data!$D:$D=$I177)+FILTER(Data!$L:$L,Data!$B:$B=AV177,Data!$D:$D=$I177)),""""),"""")"),"")</f>
        <v/>
      </c>
      <c r="CG177" s="69" t="str">
        <f>IFERROR(__xludf.DUMMYFUNCTION("IF($I177&lt;&gt;"""",IFERROR(FILTER(RawTotals!$AJ:$AJ,RawTotals!$A:$A=AW177)-(FILTER(Data!$K:$K,Data!$B:$B=AW177,Data!$D:$D=$I177)+FILTER(Data!$L:$L,Data!$B:$B=AW177,Data!$D:$D=$I177)),""""),"""")"),"")</f>
        <v/>
      </c>
      <c r="CH177" s="69" t="str">
        <f>IFERROR(__xludf.DUMMYFUNCTION("IF($J177&lt;&gt;"""",IFERROR(FILTER(RawTotals!$AJ:$AJ,RawTotals!$A:$A=AX177)-(FILTER(Data!$K:$K,Data!$B:$B=AX177,Data!$D:$D=$J177)+FILTER(Data!$L:$L,Data!$B:$B=AX177,Data!$D:$D=$J177)),""""),"""")"),"")</f>
        <v/>
      </c>
      <c r="CI177" s="69" t="str">
        <f>IFERROR(__xludf.DUMMYFUNCTION("IF($J177&lt;&gt;"""",IFERROR(FILTER(RawTotals!$AJ:$AJ,RawTotals!$A:$A=AY177)-(FILTER(Data!$K:$K,Data!$B:$B=AY177,Data!$D:$D=$J177)+FILTER(Data!$L:$L,Data!$B:$B=AY177,Data!$D:$D=$J177)),""""),"""")"),"")</f>
        <v/>
      </c>
      <c r="CJ177" s="69" t="str">
        <f>IFERROR(__xludf.DUMMYFUNCTION("IF($J177&lt;&gt;"""",IFERROR(FILTER(RawTotals!$AJ:$AJ,RawTotals!$A:$A=AZ177)-(FILTER(Data!$K:$K,Data!$B:$B=AZ177,Data!$D:$D=$J177)+FILTER(Data!$L:$L,Data!$B:$B=AZ177,Data!$D:$D=$J177)),""""),"""")"),"")</f>
        <v/>
      </c>
      <c r="CK177" s="69" t="str">
        <f>IFERROR(__xludf.DUMMYFUNCTION("IF($K177&lt;&gt;"""",IFERROR(FILTER(RawTotals!$AJ:$AJ,RawTotals!$A:$A=BA177)-(FILTER(Data!$K:$K,Data!$B:$B=BA177,Data!$D:$D=$K177)+FILTER(Data!$L:$L,Data!$B:$B=BA177,Data!$D:$D=$K177)),""""),"""")"),"")</f>
        <v/>
      </c>
      <c r="CL177" s="69" t="str">
        <f>IFERROR(__xludf.DUMMYFUNCTION("IF($K177&lt;&gt;"""",IFERROR(FILTER(RawTotals!$AJ:$AJ,RawTotals!$A:$A=BB177)-(FILTER(Data!$K:$K,Data!$B:$B=BB177,Data!$D:$D=$K177)+FILTER(Data!$L:$L,Data!$B:$B=BB177,Data!$D:$D=$K177)),""""),"""")"),"")</f>
        <v/>
      </c>
      <c r="CM177" s="69" t="str">
        <f>IFERROR(__xludf.DUMMYFUNCTION("IF($K177&lt;&gt;"""",IFERROR(FILTER(RawTotals!$AJ:$AJ,RawTotals!$A:$A=BC177)-(FILTER(Data!$K:$K,Data!$B:$B=BC177,Data!$D:$D=$K177)+FILTER(Data!$L:$L,Data!$B:$B=BC177,Data!$D:$D=$K177)),""""),"""")"),"")</f>
        <v/>
      </c>
      <c r="CN177" s="69" t="str">
        <f>IFERROR(__xludf.DUMMYFUNCTION("IF($L177&lt;&gt;"""",IFERROR((FILTER(RawTotals!$AJ:$AJ,RawTotals!$A:$A=BD177)-(FILTER(Data!$K:$K,Data!$B:$B=BD177,Data!$D:$D=$L177)+FILTER(Data!$L:$L,Data!$B:$B=BD177,Data!$D:$D=$L177))),""""),"""")"),"")</f>
        <v/>
      </c>
      <c r="CO177" s="69" t="str">
        <f>IFERROR(__xludf.DUMMYFUNCTION("IF($L177&lt;&gt;"""",IFERROR((FILTER(RawTotals!$AJ:$AJ,RawTotals!$A:$A=BE177)-(FILTER(Data!$K:$K,Data!$B:$B=BE177,Data!$D:$D=$L177)+FILTER(Data!$L:$L,Data!$B:$B=BE177,Data!$D:$D=$L177))),""""),"""")"),"")</f>
        <v/>
      </c>
      <c r="CP177" s="69" t="str">
        <f>IFERROR(__xludf.DUMMYFUNCTION("IF($L177&lt;&gt;"""",IFERROR((FILTER(RawTotals!$AJ:$AJ,RawTotals!$A:$A=BF177)-(FILTER(Data!$K:$K,Data!$B:$B=BF177,Data!$D:$D=$L177)+FILTER(Data!$L:$L,Data!$B:$B=BF177,Data!$D:$D=$L177))),""""),"""")"),"")</f>
        <v/>
      </c>
      <c r="CQ177" s="69" t="str">
        <f>IFERROR(__xludf.DUMMYFUNCTION("IF($M177&lt;&gt;"""",IFERROR((FILTER(RawTotals!$AJ:$AJ,RawTotals!$A:$A=BG177)-(FILTER(Data!$K:$K,Data!$B:$B=BG177,Data!$D:$D=$M177)+FILTER(Data!$L:$L,Data!$B:$B=BG177,Data!$D:$D=$M177))),""""),"""")"),"")</f>
        <v/>
      </c>
      <c r="CR177" s="69" t="str">
        <f>IFERROR(__xludf.DUMMYFUNCTION("IF($M177&lt;&gt;"""",IFERROR((FILTER(RawTotals!$AJ:$AJ,RawTotals!$A:$A=BH177)-(FILTER(Data!$K:$K,Data!$B:$B=BH177,Data!$D:$D=$M177)+FILTER(Data!$L:$L,Data!$B:$B=BH177,Data!$D:$D=$M177))),""""),"""")"),"")</f>
        <v/>
      </c>
      <c r="CS177" s="70" t="str">
        <f>IFERROR(__xludf.DUMMYFUNCTION("IF($M177&lt;&gt;"""",IFERROR((FILTER(RawTotals!$AJ:$AJ,RawTotals!$A:$A=BI177)-(FILTER(Data!$K:$K,Data!$B:$B=BI177,Data!$D:$D=$M177)+FILTER(Data!$L:$L,Data!$B:$B=BI177,Data!$D:$D=$M177))),""""),"""")"),"")</f>
        <v/>
      </c>
      <c r="CT177" s="16"/>
      <c r="CU177" s="16"/>
      <c r="CV177" s="16"/>
      <c r="CW177" s="16"/>
      <c r="CX177" s="16"/>
      <c r="CY177" s="16"/>
      <c r="CZ177" s="16"/>
      <c r="DA177" s="16"/>
      <c r="DB177" s="16"/>
      <c r="DC177" s="16"/>
      <c r="DD177" s="16"/>
      <c r="DE177" s="16"/>
    </row>
    <row r="178">
      <c r="A178" s="15"/>
      <c r="B178" s="16"/>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6"/>
      <c r="AD178" s="15"/>
      <c r="AE178" s="15"/>
      <c r="AF178" s="16"/>
      <c r="AG178" s="15"/>
      <c r="AH178" s="15"/>
      <c r="AI178" s="16"/>
      <c r="AJ178" s="15"/>
      <c r="AK178" s="15"/>
      <c r="AL178" s="16"/>
      <c r="AM178" s="15"/>
      <c r="AN178" s="15"/>
      <c r="AO178" s="16"/>
      <c r="AP178" s="15"/>
      <c r="AQ178" s="15"/>
      <c r="AR178" s="16"/>
      <c r="AS178" s="15"/>
      <c r="AT178" s="15"/>
      <c r="AU178" s="16"/>
      <c r="AV178" s="15"/>
      <c r="AW178" s="15"/>
      <c r="AX178" s="16"/>
      <c r="AY178" s="15"/>
      <c r="AZ178" s="15"/>
      <c r="BA178" s="16"/>
      <c r="BB178" s="16"/>
      <c r="BC178" s="16"/>
      <c r="BD178" s="16"/>
      <c r="BE178" s="16"/>
      <c r="BF178" s="16"/>
      <c r="BG178" s="16"/>
      <c r="BH178" s="16"/>
      <c r="BI178" s="16"/>
      <c r="BJ178" s="68" t="str">
        <f>IFERROR(__xludf.DUMMYFUNCTION("IF($B178&lt;&gt;"""",IFERROR(FILTER(RawTotals!$AJ:$AJ,RawTotals!$A:$A=Z178)-(FILTER(Data!$K:$K,Data!$B:$B=Z178,Data!$D:$D=$B178)+FILTER(Data!$L:$L,Data!$B:$B=Z178,Data!$D:$D=$B178)),""""),"""")"),"")</f>
        <v/>
      </c>
      <c r="BK178" s="68" t="str">
        <f>IFERROR(__xludf.DUMMYFUNCTION("IF($B178&lt;&gt;"""",IFERROR(FILTER(RawTotals!$AJ:$AJ,RawTotals!$A:$A=AA178)-(FILTER(Data!$K:$K,Data!$B:$B=AA178,Data!$D:$D=$B178)+FILTER(Data!$L:$L,Data!$B:$B=AA178,Data!$D:$D=$B178)),""""),"""")"),"")</f>
        <v/>
      </c>
      <c r="BL178" s="68" t="str">
        <f>IFERROR(__xludf.DUMMYFUNCTION("IF($B178&lt;&gt;"""",IFERROR(FILTER(RawTotals!$AJ:$AJ,RawTotals!$A:$A=AB178)-(FILTER(Data!$K:$K,Data!$B:$B=AB178,Data!$D:$D=$B178)+FILTER(Data!$L:$L,Data!$B:$B=AB178,Data!$D:$D=$B178)),""""),"""")"),"")</f>
        <v/>
      </c>
      <c r="BM178" s="69" t="str">
        <f>IFERROR(__xludf.DUMMYFUNCTION("IF($C178&lt;&gt;"""",IFERROR(FILTER(RawTotals!$AJ:$AJ,RawTotals!$A:$A=AC178)-(FILTER(Data!$K:$K,Data!$B:$B=AC178,Data!$D:$D=$C178)+FILTER(Data!$L:$L,Data!$B:$B=AC178,Data!$D:$D=$C178)),""""),"""")"),"")</f>
        <v/>
      </c>
      <c r="BN178" s="69" t="str">
        <f>IFERROR(__xludf.DUMMYFUNCTION("IF($C178&lt;&gt;"""",IFERROR(FILTER(RawTotals!$AJ:$AJ,RawTotals!$A:$A=AD178)-(FILTER(Data!$K:$K,Data!$B:$B=AD178,Data!$D:$D=$C178)+FILTER(Data!$L:$L,Data!$B:$B=AD178,Data!$D:$D=$C178)),""""),"""")"),"")</f>
        <v/>
      </c>
      <c r="BO178" s="69" t="str">
        <f>IFERROR(__xludf.DUMMYFUNCTION("IF($C178&lt;&gt;"""",IFERROR(FILTER(RawTotals!$AJ:$AJ,RawTotals!$A:$A=AE178)-(FILTER(Data!$K:$K,Data!$B:$B=AE178,Data!$D:$D=$C178)+FILTER(Data!$L:$L,Data!$B:$B=AE178,Data!$D:$D=$C178)),""""),"""")"),"")</f>
        <v/>
      </c>
      <c r="BP178" s="69" t="str">
        <f>IFERROR(__xludf.DUMMYFUNCTION("IF($D178&lt;&gt;"""",IFERROR(FILTER(RawTotals!$AJ:$AJ,RawTotals!$A:$A=AF178)-(FILTER(Data!$K:$K,Data!$B:$B=AF178,Data!$D:$D=$D178)+FILTER(Data!$L:$L,Data!$B:$B=AF178,Data!$D:$D=$D178)),""""),"""")"),"")</f>
        <v/>
      </c>
      <c r="BQ178" s="69" t="str">
        <f>IFERROR(__xludf.DUMMYFUNCTION("IF($D178&lt;&gt;"""",IFERROR(FILTER(RawTotals!$AJ:$AJ,RawTotals!$A:$A=AG178)-(FILTER(Data!$K:$K,Data!$B:$B=AG178,Data!$D:$D=$D178)+FILTER(Data!$L:$L,Data!$B:$B=AG178,Data!$D:$D=$D178)),""""),"""")"),"")</f>
        <v/>
      </c>
      <c r="BR178" s="69" t="str">
        <f>IFERROR(__xludf.DUMMYFUNCTION("IF($D178&lt;&gt;"""",IFERROR(FILTER(RawTotals!$AJ:$AJ,RawTotals!$A:$A=AH178)-(FILTER(Data!$K:$K,Data!$B:$B=AH178,Data!$D:$D=$D178)+FILTER(Data!$L:$L,Data!$B:$B=AH178,Data!$D:$D=$D178)),""""),"""")"),"")</f>
        <v/>
      </c>
      <c r="BS178" s="69" t="str">
        <f>IFERROR(__xludf.DUMMYFUNCTION("IF($E178&lt;&gt;"""",IFERROR(FILTER(RawTotals!$AJ:$AJ,RawTotals!$A:$A=AI178)-(FILTER(Data!$K:$K,Data!$B:$B=AI178,Data!$D:$D=$E178)+FILTER(Data!$L:$L,Data!$B:$B=AI178,Data!$D:$D=$E178)),""""),"""")"),"")</f>
        <v/>
      </c>
      <c r="BT178" s="69" t="str">
        <f>IFERROR(__xludf.DUMMYFUNCTION("IF($E178&lt;&gt;"""",IFERROR(FILTER(RawTotals!$AJ:$AJ,RawTotals!$A:$A=AJ178)-(FILTER(Data!$K:$K,Data!$B:$B=AJ178,Data!$D:$D=$E178)+FILTER(Data!$L:$L,Data!$B:$B=AJ178,Data!$D:$D=$E178)),""""),"""")"),"")</f>
        <v/>
      </c>
      <c r="BU178" s="69" t="str">
        <f>IFERROR(__xludf.DUMMYFUNCTION("IF($E178&lt;&gt;"""",IFERROR(FILTER(RawTotals!$AJ:$AJ,RawTotals!$A:$A=AK178)-(FILTER(Data!$K:$K,Data!$B:$B=AK178,Data!$D:$D=$E178)+FILTER(Data!$L:$L,Data!$B:$B=AK178,Data!$D:$D=$E178)),""""),"""")"),"")</f>
        <v/>
      </c>
      <c r="BV178" s="69" t="str">
        <f>IFERROR(__xludf.DUMMYFUNCTION("IF($F178&lt;&gt;"""",IFERROR(FILTER(RawTotals!$AJ:$AJ,RawTotals!$A:$A=AL178)-(FILTER(Data!$K:$K,Data!$B:$B=AL178,Data!$D:$D=$F178)+FILTER(Data!$L:$L,Data!$B:$B=AL178,Data!$D:$D=$F178)),""""),"""")"),"")</f>
        <v/>
      </c>
      <c r="BW178" s="69" t="str">
        <f>IFERROR(__xludf.DUMMYFUNCTION("IF($F178&lt;&gt;"""",IFERROR(FILTER(RawTotals!$AJ:$AJ,RawTotals!$A:$A=AM178)-(FILTER(Data!$K:$K,Data!$B:$B=AM178,Data!$D:$D=$F178)+FILTER(Data!$L:$L,Data!$B:$B=AM178,Data!$D:$D=$F178)),""""),"""")"),"")</f>
        <v/>
      </c>
      <c r="BX178" s="69" t="str">
        <f>IFERROR(__xludf.DUMMYFUNCTION("IF($F178&lt;&gt;"""",IFERROR(FILTER(RawTotals!$AJ:$AJ,RawTotals!$A:$A=AN178)-(FILTER(Data!$K:$K,Data!$B:$B=AN178,Data!$D:$D=$F178)+FILTER(Data!$L:$L,Data!$B:$B=AN178,Data!$D:$D=$F178)),""""),"""")"),"")</f>
        <v/>
      </c>
      <c r="BY178" s="69" t="str">
        <f>IFERROR(__xludf.DUMMYFUNCTION("IF($G178&lt;&gt;"""",IFERROR(FILTER(RawTotals!$AJ:$AJ,RawTotals!$A:$A=AO178)-(FILTER(Data!$K:$K,Data!$B:$B=AO178,Data!$D:$D=$G178)+FILTER(Data!$L:$L,Data!$B:$B=AO178,Data!$D:$D=$G178)),""""),"""")"),"")</f>
        <v/>
      </c>
      <c r="BZ178" s="69" t="str">
        <f>IFERROR(__xludf.DUMMYFUNCTION("IF($G178&lt;&gt;"""",IFERROR(FILTER(RawTotals!$AJ:$AJ,RawTotals!$A:$A=AP178)-(FILTER(Data!$K:$K,Data!$B:$B=AP178,Data!$D:$D=$G178)+FILTER(Data!$L:$L,Data!$B:$B=AP178,Data!$D:$D=$G178)),""""),"""")"),"")</f>
        <v/>
      </c>
      <c r="CA178" s="69" t="str">
        <f>IFERROR(__xludf.DUMMYFUNCTION("IF($G178&lt;&gt;"""",IFERROR(FILTER(RawTotals!$AJ:$AJ,RawTotals!$A:$A=AQ178)-(FILTER(Data!$K:$K,Data!$B:$B=AQ178,Data!$D:$D=$G178)+FILTER(Data!$L:$L,Data!$B:$B=AQ178,Data!$D:$D=$G178)),""""),"""")"),"")</f>
        <v/>
      </c>
      <c r="CB178" s="69" t="str">
        <f>IFERROR(__xludf.DUMMYFUNCTION("IF($H178&lt;&gt;"""",IFERROR(FILTER(RawTotals!$AJ:$AJ,RawTotals!$A:$A=AR178)-(FILTER(Data!$K:$K,Data!$B:$B=AR178,Data!$D:$D=$H178)+FILTER(Data!$L:$L,Data!$B:$B=AR178,Data!$D:$D=$H178)),""""),"""")"),"")</f>
        <v/>
      </c>
      <c r="CC178" s="69" t="str">
        <f>IFERROR(__xludf.DUMMYFUNCTION("IF($H178&lt;&gt;"""",IFERROR(FILTER(RawTotals!$AJ:$AJ,RawTotals!$A:$A=AS178)-(FILTER(Data!$K:$K,Data!$B:$B=AS178,Data!$D:$D=$H178)+FILTER(Data!$L:$L,Data!$B:$B=AS178,Data!$D:$D=$H178)),""""),"""")"),"")</f>
        <v/>
      </c>
      <c r="CD178" s="69" t="str">
        <f>IFERROR(__xludf.DUMMYFUNCTION("IF($H178&lt;&gt;"""",IFERROR(FILTER(RawTotals!$AJ:$AJ,RawTotals!$A:$A=AT178)-(FILTER(Data!$K:$K,Data!$B:$B=AT178,Data!$D:$D=$H178)+FILTER(Data!$L:$L,Data!$B:$B=AT178,Data!$D:$D=$H178)),""""),"""")"),"")</f>
        <v/>
      </c>
      <c r="CE178" s="69" t="str">
        <f>IFERROR(__xludf.DUMMYFUNCTION("IF($I178&lt;&gt;"""",IFERROR(FILTER(RawTotals!$AJ:$AJ,RawTotals!$A:$A=AU178)-(FILTER(Data!$K:$K,Data!$B:$B=AU178,Data!$D:$D=$I178)+FILTER(Data!$L:$L,Data!$B:$B=AU178,Data!$D:$D=$I178)),""""),"""")"),"")</f>
        <v/>
      </c>
      <c r="CF178" s="69" t="str">
        <f>IFERROR(__xludf.DUMMYFUNCTION("IF($I178&lt;&gt;"""",IFERROR(FILTER(RawTotals!$AJ:$AJ,RawTotals!$A:$A=AV178)-(FILTER(Data!$K:$K,Data!$B:$B=AV178,Data!$D:$D=$I178)+FILTER(Data!$L:$L,Data!$B:$B=AV178,Data!$D:$D=$I178)),""""),"""")"),"")</f>
        <v/>
      </c>
      <c r="CG178" s="69" t="str">
        <f>IFERROR(__xludf.DUMMYFUNCTION("IF($I178&lt;&gt;"""",IFERROR(FILTER(RawTotals!$AJ:$AJ,RawTotals!$A:$A=AW178)-(FILTER(Data!$K:$K,Data!$B:$B=AW178,Data!$D:$D=$I178)+FILTER(Data!$L:$L,Data!$B:$B=AW178,Data!$D:$D=$I178)),""""),"""")"),"")</f>
        <v/>
      </c>
      <c r="CH178" s="69" t="str">
        <f>IFERROR(__xludf.DUMMYFUNCTION("IF($J178&lt;&gt;"""",IFERROR(FILTER(RawTotals!$AJ:$AJ,RawTotals!$A:$A=AX178)-(FILTER(Data!$K:$K,Data!$B:$B=AX178,Data!$D:$D=$J178)+FILTER(Data!$L:$L,Data!$B:$B=AX178,Data!$D:$D=$J178)),""""),"""")"),"")</f>
        <v/>
      </c>
      <c r="CI178" s="69" t="str">
        <f>IFERROR(__xludf.DUMMYFUNCTION("IF($J178&lt;&gt;"""",IFERROR(FILTER(RawTotals!$AJ:$AJ,RawTotals!$A:$A=AY178)-(FILTER(Data!$K:$K,Data!$B:$B=AY178,Data!$D:$D=$J178)+FILTER(Data!$L:$L,Data!$B:$B=AY178,Data!$D:$D=$J178)),""""),"""")"),"")</f>
        <v/>
      </c>
      <c r="CJ178" s="69" t="str">
        <f>IFERROR(__xludf.DUMMYFUNCTION("IF($J178&lt;&gt;"""",IFERROR(FILTER(RawTotals!$AJ:$AJ,RawTotals!$A:$A=AZ178)-(FILTER(Data!$K:$K,Data!$B:$B=AZ178,Data!$D:$D=$J178)+FILTER(Data!$L:$L,Data!$B:$B=AZ178,Data!$D:$D=$J178)),""""),"""")"),"")</f>
        <v/>
      </c>
      <c r="CK178" s="69" t="str">
        <f>IFERROR(__xludf.DUMMYFUNCTION("IF($K178&lt;&gt;"""",IFERROR(FILTER(RawTotals!$AJ:$AJ,RawTotals!$A:$A=BA178)-(FILTER(Data!$K:$K,Data!$B:$B=BA178,Data!$D:$D=$K178)+FILTER(Data!$L:$L,Data!$B:$B=BA178,Data!$D:$D=$K178)),""""),"""")"),"")</f>
        <v/>
      </c>
      <c r="CL178" s="69" t="str">
        <f>IFERROR(__xludf.DUMMYFUNCTION("IF($K178&lt;&gt;"""",IFERROR(FILTER(RawTotals!$AJ:$AJ,RawTotals!$A:$A=BB178)-(FILTER(Data!$K:$K,Data!$B:$B=BB178,Data!$D:$D=$K178)+FILTER(Data!$L:$L,Data!$B:$B=BB178,Data!$D:$D=$K178)),""""),"""")"),"")</f>
        <v/>
      </c>
      <c r="CM178" s="69" t="str">
        <f>IFERROR(__xludf.DUMMYFUNCTION("IF($K178&lt;&gt;"""",IFERROR(FILTER(RawTotals!$AJ:$AJ,RawTotals!$A:$A=BC178)-(FILTER(Data!$K:$K,Data!$B:$B=BC178,Data!$D:$D=$K178)+FILTER(Data!$L:$L,Data!$B:$B=BC178,Data!$D:$D=$K178)),""""),"""")"),"")</f>
        <v/>
      </c>
      <c r="CN178" s="69" t="str">
        <f>IFERROR(__xludf.DUMMYFUNCTION("IF($L178&lt;&gt;"""",IFERROR((FILTER(RawTotals!$AJ:$AJ,RawTotals!$A:$A=BD178)-(FILTER(Data!$K:$K,Data!$B:$B=BD178,Data!$D:$D=$L178)+FILTER(Data!$L:$L,Data!$B:$B=BD178,Data!$D:$D=$L178))),""""),"""")"),"")</f>
        <v/>
      </c>
      <c r="CO178" s="69" t="str">
        <f>IFERROR(__xludf.DUMMYFUNCTION("IF($L178&lt;&gt;"""",IFERROR((FILTER(RawTotals!$AJ:$AJ,RawTotals!$A:$A=BE178)-(FILTER(Data!$K:$K,Data!$B:$B=BE178,Data!$D:$D=$L178)+FILTER(Data!$L:$L,Data!$B:$B=BE178,Data!$D:$D=$L178))),""""),"""")"),"")</f>
        <v/>
      </c>
      <c r="CP178" s="69" t="str">
        <f>IFERROR(__xludf.DUMMYFUNCTION("IF($L178&lt;&gt;"""",IFERROR((FILTER(RawTotals!$AJ:$AJ,RawTotals!$A:$A=BF178)-(FILTER(Data!$K:$K,Data!$B:$B=BF178,Data!$D:$D=$L178)+FILTER(Data!$L:$L,Data!$B:$B=BF178,Data!$D:$D=$L178))),""""),"""")"),"")</f>
        <v/>
      </c>
      <c r="CQ178" s="69" t="str">
        <f>IFERROR(__xludf.DUMMYFUNCTION("IF($M178&lt;&gt;"""",IFERROR((FILTER(RawTotals!$AJ:$AJ,RawTotals!$A:$A=BG178)-(FILTER(Data!$K:$K,Data!$B:$B=BG178,Data!$D:$D=$M178)+FILTER(Data!$L:$L,Data!$B:$B=BG178,Data!$D:$D=$M178))),""""),"""")"),"")</f>
        <v/>
      </c>
      <c r="CR178" s="69" t="str">
        <f>IFERROR(__xludf.DUMMYFUNCTION("IF($M178&lt;&gt;"""",IFERROR((FILTER(RawTotals!$AJ:$AJ,RawTotals!$A:$A=BH178)-(FILTER(Data!$K:$K,Data!$B:$B=BH178,Data!$D:$D=$M178)+FILTER(Data!$L:$L,Data!$B:$B=BH178,Data!$D:$D=$M178))),""""),"""")"),"")</f>
        <v/>
      </c>
      <c r="CS178" s="70" t="str">
        <f>IFERROR(__xludf.DUMMYFUNCTION("IF($M178&lt;&gt;"""",IFERROR((FILTER(RawTotals!$AJ:$AJ,RawTotals!$A:$A=BI178)-(FILTER(Data!$K:$K,Data!$B:$B=BI178,Data!$D:$D=$M178)+FILTER(Data!$L:$L,Data!$B:$B=BI178,Data!$D:$D=$M178))),""""),"""")"),"")</f>
        <v/>
      </c>
      <c r="CT178" s="16"/>
      <c r="CU178" s="16"/>
      <c r="CV178" s="16"/>
      <c r="CW178" s="16"/>
      <c r="CX178" s="16"/>
      <c r="CY178" s="16"/>
      <c r="CZ178" s="16"/>
      <c r="DA178" s="16"/>
      <c r="DB178" s="16"/>
      <c r="DC178" s="16"/>
      <c r="DD178" s="16"/>
      <c r="DE178" s="16"/>
    </row>
    <row r="179">
      <c r="A179" s="15"/>
      <c r="B179" s="16"/>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6"/>
      <c r="AD179" s="15"/>
      <c r="AE179" s="15"/>
      <c r="AF179" s="16"/>
      <c r="AG179" s="15"/>
      <c r="AH179" s="15"/>
      <c r="AI179" s="16"/>
      <c r="AJ179" s="15"/>
      <c r="AK179" s="15"/>
      <c r="AL179" s="16"/>
      <c r="AM179" s="15"/>
      <c r="AN179" s="15"/>
      <c r="AO179" s="16"/>
      <c r="AP179" s="15"/>
      <c r="AQ179" s="15"/>
      <c r="AR179" s="16"/>
      <c r="AS179" s="15"/>
      <c r="AT179" s="15"/>
      <c r="AU179" s="16"/>
      <c r="AV179" s="15"/>
      <c r="AW179" s="15"/>
      <c r="AX179" s="16"/>
      <c r="AY179" s="15"/>
      <c r="AZ179" s="15"/>
      <c r="BA179" s="16"/>
      <c r="BB179" s="16"/>
      <c r="BC179" s="16"/>
      <c r="BD179" s="16"/>
      <c r="BE179" s="16"/>
      <c r="BF179" s="16"/>
      <c r="BG179" s="16"/>
      <c r="BH179" s="16"/>
      <c r="BI179" s="16"/>
      <c r="BJ179" s="68" t="str">
        <f>IFERROR(__xludf.DUMMYFUNCTION("IF($B179&lt;&gt;"""",IFERROR(FILTER(RawTotals!$AJ:$AJ,RawTotals!$A:$A=Z179)-(FILTER(Data!$K:$K,Data!$B:$B=Z179,Data!$D:$D=$B179)+FILTER(Data!$L:$L,Data!$B:$B=Z179,Data!$D:$D=$B179)),""""),"""")"),"")</f>
        <v/>
      </c>
      <c r="BK179" s="68" t="str">
        <f>IFERROR(__xludf.DUMMYFUNCTION("IF($B179&lt;&gt;"""",IFERROR(FILTER(RawTotals!$AJ:$AJ,RawTotals!$A:$A=AA179)-(FILTER(Data!$K:$K,Data!$B:$B=AA179,Data!$D:$D=$B179)+FILTER(Data!$L:$L,Data!$B:$B=AA179,Data!$D:$D=$B179)),""""),"""")"),"")</f>
        <v/>
      </c>
      <c r="BL179" s="68" t="str">
        <f>IFERROR(__xludf.DUMMYFUNCTION("IF($B179&lt;&gt;"""",IFERROR(FILTER(RawTotals!$AJ:$AJ,RawTotals!$A:$A=AB179)-(FILTER(Data!$K:$K,Data!$B:$B=AB179,Data!$D:$D=$B179)+FILTER(Data!$L:$L,Data!$B:$B=AB179,Data!$D:$D=$B179)),""""),"""")"),"")</f>
        <v/>
      </c>
      <c r="BM179" s="69" t="str">
        <f>IFERROR(__xludf.DUMMYFUNCTION("IF($C179&lt;&gt;"""",IFERROR(FILTER(RawTotals!$AJ:$AJ,RawTotals!$A:$A=AC179)-(FILTER(Data!$K:$K,Data!$B:$B=AC179,Data!$D:$D=$C179)+FILTER(Data!$L:$L,Data!$B:$B=AC179,Data!$D:$D=$C179)),""""),"""")"),"")</f>
        <v/>
      </c>
      <c r="BN179" s="69" t="str">
        <f>IFERROR(__xludf.DUMMYFUNCTION("IF($C179&lt;&gt;"""",IFERROR(FILTER(RawTotals!$AJ:$AJ,RawTotals!$A:$A=AD179)-(FILTER(Data!$K:$K,Data!$B:$B=AD179,Data!$D:$D=$C179)+FILTER(Data!$L:$L,Data!$B:$B=AD179,Data!$D:$D=$C179)),""""),"""")"),"")</f>
        <v/>
      </c>
      <c r="BO179" s="69" t="str">
        <f>IFERROR(__xludf.DUMMYFUNCTION("IF($C179&lt;&gt;"""",IFERROR(FILTER(RawTotals!$AJ:$AJ,RawTotals!$A:$A=AE179)-(FILTER(Data!$K:$K,Data!$B:$B=AE179,Data!$D:$D=$C179)+FILTER(Data!$L:$L,Data!$B:$B=AE179,Data!$D:$D=$C179)),""""),"""")"),"")</f>
        <v/>
      </c>
      <c r="BP179" s="69" t="str">
        <f>IFERROR(__xludf.DUMMYFUNCTION("IF($D179&lt;&gt;"""",IFERROR(FILTER(RawTotals!$AJ:$AJ,RawTotals!$A:$A=AF179)-(FILTER(Data!$K:$K,Data!$B:$B=AF179,Data!$D:$D=$D179)+FILTER(Data!$L:$L,Data!$B:$B=AF179,Data!$D:$D=$D179)),""""),"""")"),"")</f>
        <v/>
      </c>
      <c r="BQ179" s="69" t="str">
        <f>IFERROR(__xludf.DUMMYFUNCTION("IF($D179&lt;&gt;"""",IFERROR(FILTER(RawTotals!$AJ:$AJ,RawTotals!$A:$A=AG179)-(FILTER(Data!$K:$K,Data!$B:$B=AG179,Data!$D:$D=$D179)+FILTER(Data!$L:$L,Data!$B:$B=AG179,Data!$D:$D=$D179)),""""),"""")"),"")</f>
        <v/>
      </c>
      <c r="BR179" s="69" t="str">
        <f>IFERROR(__xludf.DUMMYFUNCTION("IF($D179&lt;&gt;"""",IFERROR(FILTER(RawTotals!$AJ:$AJ,RawTotals!$A:$A=AH179)-(FILTER(Data!$K:$K,Data!$B:$B=AH179,Data!$D:$D=$D179)+FILTER(Data!$L:$L,Data!$B:$B=AH179,Data!$D:$D=$D179)),""""),"""")"),"")</f>
        <v/>
      </c>
      <c r="BS179" s="69" t="str">
        <f>IFERROR(__xludf.DUMMYFUNCTION("IF($E179&lt;&gt;"""",IFERROR(FILTER(RawTotals!$AJ:$AJ,RawTotals!$A:$A=AI179)-(FILTER(Data!$K:$K,Data!$B:$B=AI179,Data!$D:$D=$E179)+FILTER(Data!$L:$L,Data!$B:$B=AI179,Data!$D:$D=$E179)),""""),"""")"),"")</f>
        <v/>
      </c>
      <c r="BT179" s="69" t="str">
        <f>IFERROR(__xludf.DUMMYFUNCTION("IF($E179&lt;&gt;"""",IFERROR(FILTER(RawTotals!$AJ:$AJ,RawTotals!$A:$A=AJ179)-(FILTER(Data!$K:$K,Data!$B:$B=AJ179,Data!$D:$D=$E179)+FILTER(Data!$L:$L,Data!$B:$B=AJ179,Data!$D:$D=$E179)),""""),"""")"),"")</f>
        <v/>
      </c>
      <c r="BU179" s="69" t="str">
        <f>IFERROR(__xludf.DUMMYFUNCTION("IF($E179&lt;&gt;"""",IFERROR(FILTER(RawTotals!$AJ:$AJ,RawTotals!$A:$A=AK179)-(FILTER(Data!$K:$K,Data!$B:$B=AK179,Data!$D:$D=$E179)+FILTER(Data!$L:$L,Data!$B:$B=AK179,Data!$D:$D=$E179)),""""),"""")"),"")</f>
        <v/>
      </c>
      <c r="BV179" s="69" t="str">
        <f>IFERROR(__xludf.DUMMYFUNCTION("IF($F179&lt;&gt;"""",IFERROR(FILTER(RawTotals!$AJ:$AJ,RawTotals!$A:$A=AL179)-(FILTER(Data!$K:$K,Data!$B:$B=AL179,Data!$D:$D=$F179)+FILTER(Data!$L:$L,Data!$B:$B=AL179,Data!$D:$D=$F179)),""""),"""")"),"")</f>
        <v/>
      </c>
      <c r="BW179" s="69" t="str">
        <f>IFERROR(__xludf.DUMMYFUNCTION("IF($F179&lt;&gt;"""",IFERROR(FILTER(RawTotals!$AJ:$AJ,RawTotals!$A:$A=AM179)-(FILTER(Data!$K:$K,Data!$B:$B=AM179,Data!$D:$D=$F179)+FILTER(Data!$L:$L,Data!$B:$B=AM179,Data!$D:$D=$F179)),""""),"""")"),"")</f>
        <v/>
      </c>
      <c r="BX179" s="69" t="str">
        <f>IFERROR(__xludf.DUMMYFUNCTION("IF($F179&lt;&gt;"""",IFERROR(FILTER(RawTotals!$AJ:$AJ,RawTotals!$A:$A=AN179)-(FILTER(Data!$K:$K,Data!$B:$B=AN179,Data!$D:$D=$F179)+FILTER(Data!$L:$L,Data!$B:$B=AN179,Data!$D:$D=$F179)),""""),"""")"),"")</f>
        <v/>
      </c>
      <c r="BY179" s="69" t="str">
        <f>IFERROR(__xludf.DUMMYFUNCTION("IF($G179&lt;&gt;"""",IFERROR(FILTER(RawTotals!$AJ:$AJ,RawTotals!$A:$A=AO179)-(FILTER(Data!$K:$K,Data!$B:$B=AO179,Data!$D:$D=$G179)+FILTER(Data!$L:$L,Data!$B:$B=AO179,Data!$D:$D=$G179)),""""),"""")"),"")</f>
        <v/>
      </c>
      <c r="BZ179" s="69" t="str">
        <f>IFERROR(__xludf.DUMMYFUNCTION("IF($G179&lt;&gt;"""",IFERROR(FILTER(RawTotals!$AJ:$AJ,RawTotals!$A:$A=AP179)-(FILTER(Data!$K:$K,Data!$B:$B=AP179,Data!$D:$D=$G179)+FILTER(Data!$L:$L,Data!$B:$B=AP179,Data!$D:$D=$G179)),""""),"""")"),"")</f>
        <v/>
      </c>
      <c r="CA179" s="69" t="str">
        <f>IFERROR(__xludf.DUMMYFUNCTION("IF($G179&lt;&gt;"""",IFERROR(FILTER(RawTotals!$AJ:$AJ,RawTotals!$A:$A=AQ179)-(FILTER(Data!$K:$K,Data!$B:$B=AQ179,Data!$D:$D=$G179)+FILTER(Data!$L:$L,Data!$B:$B=AQ179,Data!$D:$D=$G179)),""""),"""")"),"")</f>
        <v/>
      </c>
      <c r="CB179" s="69" t="str">
        <f>IFERROR(__xludf.DUMMYFUNCTION("IF($H179&lt;&gt;"""",IFERROR(FILTER(RawTotals!$AJ:$AJ,RawTotals!$A:$A=AR179)-(FILTER(Data!$K:$K,Data!$B:$B=AR179,Data!$D:$D=$H179)+FILTER(Data!$L:$L,Data!$B:$B=AR179,Data!$D:$D=$H179)),""""),"""")"),"")</f>
        <v/>
      </c>
      <c r="CC179" s="69" t="str">
        <f>IFERROR(__xludf.DUMMYFUNCTION("IF($H179&lt;&gt;"""",IFERROR(FILTER(RawTotals!$AJ:$AJ,RawTotals!$A:$A=AS179)-(FILTER(Data!$K:$K,Data!$B:$B=AS179,Data!$D:$D=$H179)+FILTER(Data!$L:$L,Data!$B:$B=AS179,Data!$D:$D=$H179)),""""),"""")"),"")</f>
        <v/>
      </c>
      <c r="CD179" s="69" t="str">
        <f>IFERROR(__xludf.DUMMYFUNCTION("IF($H179&lt;&gt;"""",IFERROR(FILTER(RawTotals!$AJ:$AJ,RawTotals!$A:$A=AT179)-(FILTER(Data!$K:$K,Data!$B:$B=AT179,Data!$D:$D=$H179)+FILTER(Data!$L:$L,Data!$B:$B=AT179,Data!$D:$D=$H179)),""""),"""")"),"")</f>
        <v/>
      </c>
      <c r="CE179" s="69" t="str">
        <f>IFERROR(__xludf.DUMMYFUNCTION("IF($I179&lt;&gt;"""",IFERROR(FILTER(RawTotals!$AJ:$AJ,RawTotals!$A:$A=AU179)-(FILTER(Data!$K:$K,Data!$B:$B=AU179,Data!$D:$D=$I179)+FILTER(Data!$L:$L,Data!$B:$B=AU179,Data!$D:$D=$I179)),""""),"""")"),"")</f>
        <v/>
      </c>
      <c r="CF179" s="69" t="str">
        <f>IFERROR(__xludf.DUMMYFUNCTION("IF($I179&lt;&gt;"""",IFERROR(FILTER(RawTotals!$AJ:$AJ,RawTotals!$A:$A=AV179)-(FILTER(Data!$K:$K,Data!$B:$B=AV179,Data!$D:$D=$I179)+FILTER(Data!$L:$L,Data!$B:$B=AV179,Data!$D:$D=$I179)),""""),"""")"),"")</f>
        <v/>
      </c>
      <c r="CG179" s="69" t="str">
        <f>IFERROR(__xludf.DUMMYFUNCTION("IF($I179&lt;&gt;"""",IFERROR(FILTER(RawTotals!$AJ:$AJ,RawTotals!$A:$A=AW179)-(FILTER(Data!$K:$K,Data!$B:$B=AW179,Data!$D:$D=$I179)+FILTER(Data!$L:$L,Data!$B:$B=AW179,Data!$D:$D=$I179)),""""),"""")"),"")</f>
        <v/>
      </c>
      <c r="CH179" s="69" t="str">
        <f>IFERROR(__xludf.DUMMYFUNCTION("IF($J179&lt;&gt;"""",IFERROR(FILTER(RawTotals!$AJ:$AJ,RawTotals!$A:$A=AX179)-(FILTER(Data!$K:$K,Data!$B:$B=AX179,Data!$D:$D=$J179)+FILTER(Data!$L:$L,Data!$B:$B=AX179,Data!$D:$D=$J179)),""""),"""")"),"")</f>
        <v/>
      </c>
      <c r="CI179" s="69" t="str">
        <f>IFERROR(__xludf.DUMMYFUNCTION("IF($J179&lt;&gt;"""",IFERROR(FILTER(RawTotals!$AJ:$AJ,RawTotals!$A:$A=AY179)-(FILTER(Data!$K:$K,Data!$B:$B=AY179,Data!$D:$D=$J179)+FILTER(Data!$L:$L,Data!$B:$B=AY179,Data!$D:$D=$J179)),""""),"""")"),"")</f>
        <v/>
      </c>
      <c r="CJ179" s="69" t="str">
        <f>IFERROR(__xludf.DUMMYFUNCTION("IF($J179&lt;&gt;"""",IFERROR(FILTER(RawTotals!$AJ:$AJ,RawTotals!$A:$A=AZ179)-(FILTER(Data!$K:$K,Data!$B:$B=AZ179,Data!$D:$D=$J179)+FILTER(Data!$L:$L,Data!$B:$B=AZ179,Data!$D:$D=$J179)),""""),"""")"),"")</f>
        <v/>
      </c>
      <c r="CK179" s="69" t="str">
        <f>IFERROR(__xludf.DUMMYFUNCTION("IF($K179&lt;&gt;"""",IFERROR(FILTER(RawTotals!$AJ:$AJ,RawTotals!$A:$A=BA179)-(FILTER(Data!$K:$K,Data!$B:$B=BA179,Data!$D:$D=$K179)+FILTER(Data!$L:$L,Data!$B:$B=BA179,Data!$D:$D=$K179)),""""),"""")"),"")</f>
        <v/>
      </c>
      <c r="CL179" s="69" t="str">
        <f>IFERROR(__xludf.DUMMYFUNCTION("IF($K179&lt;&gt;"""",IFERROR(FILTER(RawTotals!$AJ:$AJ,RawTotals!$A:$A=BB179)-(FILTER(Data!$K:$K,Data!$B:$B=BB179,Data!$D:$D=$K179)+FILTER(Data!$L:$L,Data!$B:$B=BB179,Data!$D:$D=$K179)),""""),"""")"),"")</f>
        <v/>
      </c>
      <c r="CM179" s="69" t="str">
        <f>IFERROR(__xludf.DUMMYFUNCTION("IF($K179&lt;&gt;"""",IFERROR(FILTER(RawTotals!$AJ:$AJ,RawTotals!$A:$A=BC179)-(FILTER(Data!$K:$K,Data!$B:$B=BC179,Data!$D:$D=$K179)+FILTER(Data!$L:$L,Data!$B:$B=BC179,Data!$D:$D=$K179)),""""),"""")"),"")</f>
        <v/>
      </c>
      <c r="CN179" s="69" t="str">
        <f>IFERROR(__xludf.DUMMYFUNCTION("IF($L179&lt;&gt;"""",IFERROR((FILTER(RawTotals!$AJ:$AJ,RawTotals!$A:$A=BD179)-(FILTER(Data!$K:$K,Data!$B:$B=BD179,Data!$D:$D=$L179)+FILTER(Data!$L:$L,Data!$B:$B=BD179,Data!$D:$D=$L179))),""""),"""")"),"")</f>
        <v/>
      </c>
      <c r="CO179" s="69" t="str">
        <f>IFERROR(__xludf.DUMMYFUNCTION("IF($L179&lt;&gt;"""",IFERROR((FILTER(RawTotals!$AJ:$AJ,RawTotals!$A:$A=BE179)-(FILTER(Data!$K:$K,Data!$B:$B=BE179,Data!$D:$D=$L179)+FILTER(Data!$L:$L,Data!$B:$B=BE179,Data!$D:$D=$L179))),""""),"""")"),"")</f>
        <v/>
      </c>
      <c r="CP179" s="69" t="str">
        <f>IFERROR(__xludf.DUMMYFUNCTION("IF($L179&lt;&gt;"""",IFERROR((FILTER(RawTotals!$AJ:$AJ,RawTotals!$A:$A=BF179)-(FILTER(Data!$K:$K,Data!$B:$B=BF179,Data!$D:$D=$L179)+FILTER(Data!$L:$L,Data!$B:$B=BF179,Data!$D:$D=$L179))),""""),"""")"),"")</f>
        <v/>
      </c>
      <c r="CQ179" s="69" t="str">
        <f>IFERROR(__xludf.DUMMYFUNCTION("IF($M179&lt;&gt;"""",IFERROR((FILTER(RawTotals!$AJ:$AJ,RawTotals!$A:$A=BG179)-(FILTER(Data!$K:$K,Data!$B:$B=BG179,Data!$D:$D=$M179)+FILTER(Data!$L:$L,Data!$B:$B=BG179,Data!$D:$D=$M179))),""""),"""")"),"")</f>
        <v/>
      </c>
      <c r="CR179" s="69" t="str">
        <f>IFERROR(__xludf.DUMMYFUNCTION("IF($M179&lt;&gt;"""",IFERROR((FILTER(RawTotals!$AJ:$AJ,RawTotals!$A:$A=BH179)-(FILTER(Data!$K:$K,Data!$B:$B=BH179,Data!$D:$D=$M179)+FILTER(Data!$L:$L,Data!$B:$B=BH179,Data!$D:$D=$M179))),""""),"""")"),"")</f>
        <v/>
      </c>
      <c r="CS179" s="70" t="str">
        <f>IFERROR(__xludf.DUMMYFUNCTION("IF($M179&lt;&gt;"""",IFERROR((FILTER(RawTotals!$AJ:$AJ,RawTotals!$A:$A=BI179)-(FILTER(Data!$K:$K,Data!$B:$B=BI179,Data!$D:$D=$M179)+FILTER(Data!$L:$L,Data!$B:$B=BI179,Data!$D:$D=$M179))),""""),"""")"),"")</f>
        <v/>
      </c>
      <c r="CT179" s="16"/>
      <c r="CU179" s="16"/>
      <c r="CV179" s="16"/>
      <c r="CW179" s="16"/>
      <c r="CX179" s="16"/>
      <c r="CY179" s="16"/>
      <c r="CZ179" s="16"/>
      <c r="DA179" s="16"/>
      <c r="DB179" s="16"/>
      <c r="DC179" s="16"/>
      <c r="DD179" s="16"/>
      <c r="DE179" s="16"/>
    </row>
    <row r="180">
      <c r="A180" s="15"/>
      <c r="B180" s="16"/>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6"/>
      <c r="AD180" s="15"/>
      <c r="AE180" s="15"/>
      <c r="AF180" s="16"/>
      <c r="AG180" s="15"/>
      <c r="AH180" s="15"/>
      <c r="AI180" s="16"/>
      <c r="AJ180" s="15"/>
      <c r="AK180" s="15"/>
      <c r="AL180" s="16"/>
      <c r="AM180" s="15"/>
      <c r="AN180" s="15"/>
      <c r="AO180" s="16"/>
      <c r="AP180" s="15"/>
      <c r="AQ180" s="15"/>
      <c r="AR180" s="16"/>
      <c r="AS180" s="15"/>
      <c r="AT180" s="15"/>
      <c r="AU180" s="16"/>
      <c r="AV180" s="15"/>
      <c r="AW180" s="15"/>
      <c r="AX180" s="16"/>
      <c r="AY180" s="15"/>
      <c r="AZ180" s="15"/>
      <c r="BA180" s="16"/>
      <c r="BB180" s="16"/>
      <c r="BC180" s="16"/>
      <c r="BD180" s="16"/>
      <c r="BE180" s="16"/>
      <c r="BF180" s="16"/>
      <c r="BG180" s="16"/>
      <c r="BH180" s="16"/>
      <c r="BI180" s="16"/>
      <c r="BJ180" s="69"/>
      <c r="BK180" s="69"/>
      <c r="BL180" s="69"/>
      <c r="BM180" s="69"/>
      <c r="BN180" s="69"/>
      <c r="BO180" s="69"/>
      <c r="BP180" s="69"/>
      <c r="BQ180" s="69"/>
      <c r="BR180" s="69"/>
      <c r="BS180" s="69"/>
      <c r="BT180" s="69"/>
      <c r="BU180" s="69"/>
      <c r="BV180" s="69"/>
      <c r="BW180" s="69"/>
      <c r="BX180" s="69"/>
      <c r="BY180" s="69"/>
      <c r="BZ180" s="69"/>
      <c r="CA180" s="69"/>
      <c r="CB180" s="69"/>
      <c r="CC180" s="69"/>
      <c r="CD180" s="69"/>
      <c r="CE180" s="69"/>
      <c r="CF180" s="69"/>
      <c r="CG180" s="69"/>
      <c r="CH180" s="69"/>
      <c r="CI180" s="69"/>
      <c r="CJ180" s="69"/>
      <c r="CK180" s="69"/>
      <c r="CL180" s="69"/>
      <c r="CM180" s="69"/>
      <c r="CN180" s="69"/>
      <c r="CO180" s="69"/>
      <c r="CP180" s="69"/>
      <c r="CQ180" s="69"/>
      <c r="CR180" s="69"/>
      <c r="CS180" s="70"/>
      <c r="CT180" s="16"/>
      <c r="CU180" s="16"/>
      <c r="CV180" s="16"/>
      <c r="CW180" s="16"/>
      <c r="CX180" s="16"/>
      <c r="CY180" s="16"/>
      <c r="CZ180" s="16"/>
      <c r="DA180" s="16"/>
      <c r="DB180" s="16"/>
      <c r="DC180" s="16"/>
      <c r="DD180" s="16"/>
      <c r="DE180" s="16"/>
    </row>
    <row r="181">
      <c r="A181" s="15"/>
      <c r="B181" s="16"/>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6"/>
      <c r="AD181" s="15"/>
      <c r="AE181" s="15"/>
      <c r="AF181" s="16"/>
      <c r="AG181" s="15"/>
      <c r="AH181" s="15"/>
      <c r="AI181" s="16"/>
      <c r="AJ181" s="15"/>
      <c r="AK181" s="15"/>
      <c r="AL181" s="16"/>
      <c r="AM181" s="15"/>
      <c r="AN181" s="15"/>
      <c r="AO181" s="16"/>
      <c r="AP181" s="15"/>
      <c r="AQ181" s="15"/>
      <c r="AR181" s="16"/>
      <c r="AS181" s="15"/>
      <c r="AT181" s="15"/>
      <c r="AU181" s="16"/>
      <c r="AV181" s="15"/>
      <c r="AW181" s="15"/>
      <c r="AX181" s="16"/>
      <c r="AY181" s="15"/>
      <c r="AZ181" s="15"/>
      <c r="BA181" s="16"/>
      <c r="BB181" s="16"/>
      <c r="BC181" s="16"/>
      <c r="BD181" s="16"/>
      <c r="BE181" s="16"/>
      <c r="BF181" s="16"/>
      <c r="BG181" s="16"/>
      <c r="BH181" s="16"/>
      <c r="BI181" s="16"/>
      <c r="BJ181" s="69"/>
      <c r="BK181" s="69"/>
      <c r="BL181" s="69"/>
      <c r="BM181" s="69"/>
      <c r="BN181" s="69"/>
      <c r="BO181" s="69"/>
      <c r="BP181" s="69"/>
      <c r="BQ181" s="69"/>
      <c r="BR181" s="69"/>
      <c r="BS181" s="69"/>
      <c r="BT181" s="69"/>
      <c r="BU181" s="69"/>
      <c r="BV181" s="69"/>
      <c r="BW181" s="69"/>
      <c r="BX181" s="69"/>
      <c r="BY181" s="69"/>
      <c r="BZ181" s="69"/>
      <c r="CA181" s="69"/>
      <c r="CB181" s="69"/>
      <c r="CC181" s="69"/>
      <c r="CD181" s="69"/>
      <c r="CE181" s="69"/>
      <c r="CF181" s="69"/>
      <c r="CG181" s="69"/>
      <c r="CH181" s="69"/>
      <c r="CI181" s="69"/>
      <c r="CJ181" s="69"/>
      <c r="CK181" s="69"/>
      <c r="CL181" s="69"/>
      <c r="CM181" s="69"/>
      <c r="CN181" s="69"/>
      <c r="CO181" s="69"/>
      <c r="CP181" s="69"/>
      <c r="CQ181" s="69"/>
      <c r="CR181" s="69"/>
      <c r="CS181" s="70"/>
      <c r="CT181" s="16"/>
      <c r="CU181" s="16"/>
      <c r="CV181" s="16"/>
      <c r="CW181" s="16"/>
      <c r="CX181" s="16"/>
      <c r="CY181" s="16"/>
      <c r="CZ181" s="16"/>
      <c r="DA181" s="16"/>
      <c r="DB181" s="16"/>
      <c r="DC181" s="16"/>
      <c r="DD181" s="16"/>
      <c r="DE181" s="16"/>
    </row>
    <row r="182">
      <c r="A182" s="15"/>
      <c r="B182" s="16"/>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6"/>
      <c r="AD182" s="15"/>
      <c r="AE182" s="15"/>
      <c r="AF182" s="16"/>
      <c r="AG182" s="15"/>
      <c r="AH182" s="15"/>
      <c r="AI182" s="16"/>
      <c r="AJ182" s="15"/>
      <c r="AK182" s="15"/>
      <c r="AL182" s="16"/>
      <c r="AM182" s="15"/>
      <c r="AN182" s="15"/>
      <c r="AO182" s="16"/>
      <c r="AP182" s="15"/>
      <c r="AQ182" s="15"/>
      <c r="AR182" s="16"/>
      <c r="AS182" s="15"/>
      <c r="AT182" s="15"/>
      <c r="AU182" s="16"/>
      <c r="AV182" s="15"/>
      <c r="AW182" s="15"/>
      <c r="AX182" s="16"/>
      <c r="AY182" s="15"/>
      <c r="AZ182" s="15"/>
      <c r="BA182" s="16"/>
      <c r="BB182" s="16"/>
      <c r="BC182" s="16"/>
      <c r="BD182" s="16"/>
      <c r="BE182" s="16"/>
      <c r="BF182" s="16"/>
      <c r="BG182" s="16"/>
      <c r="BH182" s="16"/>
      <c r="BI182" s="16"/>
      <c r="BJ182" s="69"/>
      <c r="BK182" s="69"/>
      <c r="BL182" s="69"/>
      <c r="BM182" s="69"/>
      <c r="BN182" s="69"/>
      <c r="BO182" s="69"/>
      <c r="BP182" s="69"/>
      <c r="BQ182" s="69"/>
      <c r="BR182" s="69"/>
      <c r="BS182" s="69"/>
      <c r="BT182" s="69"/>
      <c r="BU182" s="69"/>
      <c r="BV182" s="69"/>
      <c r="BW182" s="69"/>
      <c r="BX182" s="69"/>
      <c r="BY182" s="69"/>
      <c r="BZ182" s="69"/>
      <c r="CA182" s="69"/>
      <c r="CB182" s="69"/>
      <c r="CC182" s="69"/>
      <c r="CD182" s="69"/>
      <c r="CE182" s="69"/>
      <c r="CF182" s="69"/>
      <c r="CG182" s="69"/>
      <c r="CH182" s="69"/>
      <c r="CI182" s="69"/>
      <c r="CJ182" s="69"/>
      <c r="CK182" s="69"/>
      <c r="CL182" s="69"/>
      <c r="CM182" s="69"/>
      <c r="CN182" s="69"/>
      <c r="CO182" s="69"/>
      <c r="CP182" s="69"/>
      <c r="CQ182" s="69"/>
      <c r="CR182" s="69"/>
      <c r="CS182" s="70"/>
      <c r="CT182" s="16"/>
      <c r="CU182" s="16"/>
      <c r="CV182" s="16"/>
      <c r="CW182" s="16"/>
      <c r="CX182" s="16"/>
      <c r="CY182" s="16"/>
      <c r="CZ182" s="16"/>
      <c r="DA182" s="16"/>
      <c r="DB182" s="16"/>
      <c r="DC182" s="16"/>
      <c r="DD182" s="16"/>
      <c r="DE182" s="16"/>
    </row>
    <row r="183">
      <c r="A183" s="15"/>
      <c r="B183" s="16"/>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6"/>
      <c r="AD183" s="15"/>
      <c r="AE183" s="15"/>
      <c r="AF183" s="16"/>
      <c r="AG183" s="15"/>
      <c r="AH183" s="15"/>
      <c r="AI183" s="16"/>
      <c r="AJ183" s="15"/>
      <c r="AK183" s="15"/>
      <c r="AL183" s="16"/>
      <c r="AM183" s="15"/>
      <c r="AN183" s="15"/>
      <c r="AO183" s="16"/>
      <c r="AP183" s="15"/>
      <c r="AQ183" s="15"/>
      <c r="AR183" s="16"/>
      <c r="AS183" s="15"/>
      <c r="AT183" s="15"/>
      <c r="AU183" s="16"/>
      <c r="AV183" s="15"/>
      <c r="AW183" s="15"/>
      <c r="AX183" s="16"/>
      <c r="AY183" s="15"/>
      <c r="AZ183" s="15"/>
      <c r="BA183" s="16"/>
      <c r="BB183" s="16"/>
      <c r="BC183" s="16"/>
      <c r="BD183" s="16"/>
      <c r="BE183" s="16"/>
      <c r="BF183" s="16"/>
      <c r="BG183" s="16"/>
      <c r="BH183" s="16"/>
      <c r="BI183" s="16"/>
      <c r="BJ183" s="69"/>
      <c r="BK183" s="69"/>
      <c r="BL183" s="69"/>
      <c r="BM183" s="69"/>
      <c r="BN183" s="69"/>
      <c r="BO183" s="69"/>
      <c r="BP183" s="69"/>
      <c r="BQ183" s="69"/>
      <c r="BR183" s="69"/>
      <c r="BS183" s="69"/>
      <c r="BT183" s="69"/>
      <c r="BU183" s="69"/>
      <c r="BV183" s="69"/>
      <c r="BW183" s="69"/>
      <c r="BX183" s="69"/>
      <c r="BY183" s="69"/>
      <c r="BZ183" s="69"/>
      <c r="CA183" s="69"/>
      <c r="CB183" s="69"/>
      <c r="CC183" s="69"/>
      <c r="CD183" s="69"/>
      <c r="CE183" s="69"/>
      <c r="CF183" s="69"/>
      <c r="CG183" s="69"/>
      <c r="CH183" s="69"/>
      <c r="CI183" s="69"/>
      <c r="CJ183" s="69"/>
      <c r="CK183" s="69"/>
      <c r="CL183" s="69"/>
      <c r="CM183" s="69"/>
      <c r="CN183" s="69"/>
      <c r="CO183" s="69"/>
      <c r="CP183" s="69"/>
      <c r="CQ183" s="69"/>
      <c r="CR183" s="69"/>
      <c r="CS183" s="70"/>
      <c r="CT183" s="16"/>
      <c r="CU183" s="16"/>
      <c r="CV183" s="16"/>
      <c r="CW183" s="16"/>
      <c r="CX183" s="16"/>
      <c r="CY183" s="16"/>
      <c r="CZ183" s="16"/>
      <c r="DA183" s="16"/>
      <c r="DB183" s="16"/>
      <c r="DC183" s="16"/>
      <c r="DD183" s="16"/>
      <c r="DE183" s="16"/>
    </row>
    <row r="184">
      <c r="A184" s="15"/>
      <c r="B184" s="16"/>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6"/>
      <c r="AD184" s="15"/>
      <c r="AE184" s="15"/>
      <c r="AF184" s="16"/>
      <c r="AG184" s="15"/>
      <c r="AH184" s="15"/>
      <c r="AI184" s="16"/>
      <c r="AJ184" s="15"/>
      <c r="AK184" s="15"/>
      <c r="AL184" s="16"/>
      <c r="AM184" s="15"/>
      <c r="AN184" s="15"/>
      <c r="AO184" s="16"/>
      <c r="AP184" s="15"/>
      <c r="AQ184" s="15"/>
      <c r="AR184" s="16"/>
      <c r="AS184" s="15"/>
      <c r="AT184" s="15"/>
      <c r="AU184" s="16"/>
      <c r="AV184" s="15"/>
      <c r="AW184" s="15"/>
      <c r="AX184" s="16"/>
      <c r="AY184" s="15"/>
      <c r="AZ184" s="15"/>
      <c r="BA184" s="16"/>
      <c r="BB184" s="16"/>
      <c r="BC184" s="16"/>
      <c r="BD184" s="16"/>
      <c r="BE184" s="16"/>
      <c r="BF184" s="16"/>
      <c r="BG184" s="16"/>
      <c r="BH184" s="16"/>
      <c r="BI184" s="16"/>
      <c r="BJ184" s="69"/>
      <c r="BK184" s="69"/>
      <c r="BL184" s="69"/>
      <c r="BM184" s="69"/>
      <c r="BN184" s="69"/>
      <c r="BO184" s="69"/>
      <c r="BP184" s="69"/>
      <c r="BQ184" s="69"/>
      <c r="BR184" s="69"/>
      <c r="BS184" s="69"/>
      <c r="BT184" s="69"/>
      <c r="BU184" s="69"/>
      <c r="BV184" s="69"/>
      <c r="BW184" s="69"/>
      <c r="BX184" s="69"/>
      <c r="BY184" s="69"/>
      <c r="BZ184" s="69"/>
      <c r="CA184" s="69"/>
      <c r="CB184" s="69"/>
      <c r="CC184" s="69"/>
      <c r="CD184" s="69"/>
      <c r="CE184" s="69"/>
      <c r="CF184" s="69"/>
      <c r="CG184" s="69"/>
      <c r="CH184" s="69"/>
      <c r="CI184" s="69"/>
      <c r="CJ184" s="69"/>
      <c r="CK184" s="69"/>
      <c r="CL184" s="69"/>
      <c r="CM184" s="69"/>
      <c r="CN184" s="69"/>
      <c r="CO184" s="69"/>
      <c r="CP184" s="69"/>
      <c r="CQ184" s="69"/>
      <c r="CR184" s="69"/>
      <c r="CS184" s="70"/>
      <c r="CT184" s="16"/>
      <c r="CU184" s="16"/>
      <c r="CV184" s="16"/>
      <c r="CW184" s="16"/>
      <c r="CX184" s="16"/>
      <c r="CY184" s="16"/>
      <c r="CZ184" s="16"/>
      <c r="DA184" s="16"/>
      <c r="DB184" s="16"/>
      <c r="DC184" s="16"/>
      <c r="DD184" s="16"/>
      <c r="DE184" s="16"/>
    </row>
    <row r="185">
      <c r="A185" s="15"/>
      <c r="B185" s="16"/>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6"/>
      <c r="AD185" s="15"/>
      <c r="AE185" s="15"/>
      <c r="AF185" s="16"/>
      <c r="AG185" s="15"/>
      <c r="AH185" s="15"/>
      <c r="AI185" s="16"/>
      <c r="AJ185" s="15"/>
      <c r="AK185" s="15"/>
      <c r="AL185" s="16"/>
      <c r="AM185" s="15"/>
      <c r="AN185" s="15"/>
      <c r="AO185" s="16"/>
      <c r="AP185" s="15"/>
      <c r="AQ185" s="15"/>
      <c r="AR185" s="16"/>
      <c r="AS185" s="15"/>
      <c r="AT185" s="15"/>
      <c r="AU185" s="16"/>
      <c r="AV185" s="15"/>
      <c r="AW185" s="15"/>
      <c r="AX185" s="16"/>
      <c r="AY185" s="15"/>
      <c r="AZ185" s="15"/>
      <c r="BA185" s="16"/>
      <c r="BB185" s="16"/>
      <c r="BC185" s="16"/>
      <c r="BD185" s="16"/>
      <c r="BE185" s="16"/>
      <c r="BF185" s="16"/>
      <c r="BG185" s="16"/>
      <c r="BH185" s="16"/>
      <c r="BI185" s="16"/>
      <c r="BJ185" s="69"/>
      <c r="BK185" s="69"/>
      <c r="BL185" s="69"/>
      <c r="BM185" s="69"/>
      <c r="BN185" s="69"/>
      <c r="BO185" s="69"/>
      <c r="BP185" s="69"/>
      <c r="BQ185" s="69"/>
      <c r="BR185" s="69"/>
      <c r="BS185" s="69"/>
      <c r="BT185" s="69"/>
      <c r="BU185" s="69"/>
      <c r="BV185" s="69"/>
      <c r="BW185" s="69"/>
      <c r="BX185" s="69"/>
      <c r="BY185" s="69"/>
      <c r="BZ185" s="69"/>
      <c r="CA185" s="69"/>
      <c r="CB185" s="69"/>
      <c r="CC185" s="69"/>
      <c r="CD185" s="69"/>
      <c r="CE185" s="69"/>
      <c r="CF185" s="69"/>
      <c r="CG185" s="69"/>
      <c r="CH185" s="69"/>
      <c r="CI185" s="69"/>
      <c r="CJ185" s="69"/>
      <c r="CK185" s="69"/>
      <c r="CL185" s="69"/>
      <c r="CM185" s="69"/>
      <c r="CN185" s="69"/>
      <c r="CO185" s="69"/>
      <c r="CP185" s="69"/>
      <c r="CQ185" s="69"/>
      <c r="CR185" s="69"/>
      <c r="CS185" s="70"/>
      <c r="CT185" s="16"/>
      <c r="CU185" s="16"/>
      <c r="CV185" s="16"/>
      <c r="CW185" s="16"/>
      <c r="CX185" s="16"/>
      <c r="CY185" s="16"/>
      <c r="CZ185" s="16"/>
      <c r="DA185" s="16"/>
      <c r="DB185" s="16"/>
      <c r="DC185" s="16"/>
      <c r="DD185" s="16"/>
      <c r="DE185" s="16"/>
    </row>
    <row r="186">
      <c r="A186" s="15"/>
      <c r="B186" s="16"/>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6"/>
      <c r="AD186" s="15"/>
      <c r="AE186" s="15"/>
      <c r="AF186" s="16"/>
      <c r="AG186" s="15"/>
      <c r="AH186" s="15"/>
      <c r="AI186" s="16"/>
      <c r="AJ186" s="15"/>
      <c r="AK186" s="15"/>
      <c r="AL186" s="16"/>
      <c r="AM186" s="15"/>
      <c r="AN186" s="15"/>
      <c r="AO186" s="16"/>
      <c r="AP186" s="15"/>
      <c r="AQ186" s="15"/>
      <c r="AR186" s="16"/>
      <c r="AS186" s="15"/>
      <c r="AT186" s="15"/>
      <c r="AU186" s="16"/>
      <c r="AV186" s="15"/>
      <c r="AW186" s="15"/>
      <c r="AX186" s="16"/>
      <c r="AY186" s="15"/>
      <c r="AZ186" s="15"/>
      <c r="BA186" s="16"/>
      <c r="BB186" s="16"/>
      <c r="BC186" s="16"/>
      <c r="BD186" s="16"/>
      <c r="BE186" s="16"/>
      <c r="BF186" s="16"/>
      <c r="BG186" s="16"/>
      <c r="BH186" s="16"/>
      <c r="BI186" s="16"/>
      <c r="BJ186" s="69"/>
      <c r="BK186" s="69"/>
      <c r="BL186" s="69"/>
      <c r="BM186" s="69"/>
      <c r="BN186" s="69"/>
      <c r="BO186" s="69"/>
      <c r="BP186" s="69"/>
      <c r="BQ186" s="69"/>
      <c r="BR186" s="69"/>
      <c r="BS186" s="69"/>
      <c r="BT186" s="69"/>
      <c r="BU186" s="69"/>
      <c r="BV186" s="69"/>
      <c r="BW186" s="69"/>
      <c r="BX186" s="69"/>
      <c r="BY186" s="69"/>
      <c r="BZ186" s="69"/>
      <c r="CA186" s="69"/>
      <c r="CB186" s="69"/>
      <c r="CC186" s="69"/>
      <c r="CD186" s="69"/>
      <c r="CE186" s="69"/>
      <c r="CF186" s="69"/>
      <c r="CG186" s="69"/>
      <c r="CH186" s="69"/>
      <c r="CI186" s="69"/>
      <c r="CJ186" s="69"/>
      <c r="CK186" s="69"/>
      <c r="CL186" s="69"/>
      <c r="CM186" s="69"/>
      <c r="CN186" s="69"/>
      <c r="CO186" s="69"/>
      <c r="CP186" s="69"/>
      <c r="CQ186" s="69"/>
      <c r="CR186" s="69"/>
      <c r="CS186" s="70"/>
      <c r="CT186" s="16"/>
      <c r="CU186" s="16"/>
      <c r="CV186" s="16"/>
      <c r="CW186" s="16"/>
      <c r="CX186" s="16"/>
      <c r="CY186" s="16"/>
      <c r="CZ186" s="16"/>
      <c r="DA186" s="16"/>
      <c r="DB186" s="16"/>
      <c r="DC186" s="16"/>
      <c r="DD186" s="16"/>
      <c r="DE186" s="16"/>
    </row>
    <row r="187">
      <c r="A187" s="15"/>
      <c r="B187" s="16"/>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6"/>
      <c r="AD187" s="15"/>
      <c r="AE187" s="15"/>
      <c r="AF187" s="16"/>
      <c r="AG187" s="15"/>
      <c r="AH187" s="15"/>
      <c r="AI187" s="16"/>
      <c r="AJ187" s="15"/>
      <c r="AK187" s="15"/>
      <c r="AL187" s="16"/>
      <c r="AM187" s="15"/>
      <c r="AN187" s="15"/>
      <c r="AO187" s="16"/>
      <c r="AP187" s="15"/>
      <c r="AQ187" s="15"/>
      <c r="AR187" s="16"/>
      <c r="AS187" s="15"/>
      <c r="AT187" s="15"/>
      <c r="AU187" s="16"/>
      <c r="AV187" s="15"/>
      <c r="AW187" s="15"/>
      <c r="AX187" s="16"/>
      <c r="AY187" s="15"/>
      <c r="AZ187" s="15"/>
      <c r="BA187" s="16"/>
      <c r="BB187" s="16"/>
      <c r="BC187" s="16"/>
      <c r="BD187" s="16"/>
      <c r="BE187" s="16"/>
      <c r="BF187" s="16"/>
      <c r="BG187" s="16"/>
      <c r="BH187" s="16"/>
      <c r="BI187" s="16"/>
      <c r="BJ187" s="69"/>
      <c r="BK187" s="69"/>
      <c r="BL187" s="69"/>
      <c r="BM187" s="69"/>
      <c r="BN187" s="69"/>
      <c r="BO187" s="69"/>
      <c r="BP187" s="69"/>
      <c r="BQ187" s="69"/>
      <c r="BR187" s="69"/>
      <c r="BS187" s="69"/>
      <c r="BT187" s="69"/>
      <c r="BU187" s="69"/>
      <c r="BV187" s="69"/>
      <c r="BW187" s="69"/>
      <c r="BX187" s="69"/>
      <c r="BY187" s="69"/>
      <c r="BZ187" s="69"/>
      <c r="CA187" s="69"/>
      <c r="CB187" s="69"/>
      <c r="CC187" s="69"/>
      <c r="CD187" s="69"/>
      <c r="CE187" s="69"/>
      <c r="CF187" s="69"/>
      <c r="CG187" s="69"/>
      <c r="CH187" s="69"/>
      <c r="CI187" s="69"/>
      <c r="CJ187" s="69"/>
      <c r="CK187" s="69"/>
      <c r="CL187" s="69"/>
      <c r="CM187" s="69"/>
      <c r="CN187" s="69"/>
      <c r="CO187" s="69"/>
      <c r="CP187" s="69"/>
      <c r="CQ187" s="69"/>
      <c r="CR187" s="69"/>
      <c r="CS187" s="70"/>
      <c r="CT187" s="16"/>
      <c r="CU187" s="16"/>
      <c r="CV187" s="16"/>
      <c r="CW187" s="16"/>
      <c r="CX187" s="16"/>
      <c r="CY187" s="16"/>
      <c r="CZ187" s="16"/>
      <c r="DA187" s="16"/>
      <c r="DB187" s="16"/>
      <c r="DC187" s="16"/>
      <c r="DD187" s="16"/>
      <c r="DE187" s="16"/>
    </row>
    <row r="188">
      <c r="A188" s="15"/>
      <c r="B188" s="16"/>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6"/>
      <c r="AD188" s="15"/>
      <c r="AE188" s="15"/>
      <c r="AF188" s="16"/>
      <c r="AG188" s="15"/>
      <c r="AH188" s="15"/>
      <c r="AI188" s="16"/>
      <c r="AJ188" s="15"/>
      <c r="AK188" s="15"/>
      <c r="AL188" s="16"/>
      <c r="AM188" s="15"/>
      <c r="AN188" s="15"/>
      <c r="AO188" s="16"/>
      <c r="AP188" s="15"/>
      <c r="AQ188" s="15"/>
      <c r="AR188" s="16"/>
      <c r="AS188" s="15"/>
      <c r="AT188" s="15"/>
      <c r="AU188" s="16"/>
      <c r="AV188" s="15"/>
      <c r="AW188" s="15"/>
      <c r="AX188" s="16"/>
      <c r="AY188" s="15"/>
      <c r="AZ188" s="15"/>
      <c r="BA188" s="16"/>
      <c r="BB188" s="16"/>
      <c r="BC188" s="16"/>
      <c r="BD188" s="16"/>
      <c r="BE188" s="16"/>
      <c r="BF188" s="16"/>
      <c r="BG188" s="16"/>
      <c r="BH188" s="16"/>
      <c r="BI188" s="16"/>
      <c r="BJ188" s="69"/>
      <c r="BK188" s="69"/>
      <c r="BL188" s="69"/>
      <c r="BM188" s="69"/>
      <c r="BN188" s="69"/>
      <c r="BO188" s="69"/>
      <c r="BP188" s="69"/>
      <c r="BQ188" s="69"/>
      <c r="BR188" s="69"/>
      <c r="BS188" s="69"/>
      <c r="BT188" s="69"/>
      <c r="BU188" s="69"/>
      <c r="BV188" s="69"/>
      <c r="BW188" s="69"/>
      <c r="BX188" s="69"/>
      <c r="BY188" s="69"/>
      <c r="BZ188" s="69"/>
      <c r="CA188" s="69"/>
      <c r="CB188" s="69"/>
      <c r="CC188" s="69"/>
      <c r="CD188" s="69"/>
      <c r="CE188" s="69"/>
      <c r="CF188" s="69"/>
      <c r="CG188" s="69"/>
      <c r="CH188" s="69"/>
      <c r="CI188" s="69"/>
      <c r="CJ188" s="69"/>
      <c r="CK188" s="69"/>
      <c r="CL188" s="69"/>
      <c r="CM188" s="69"/>
      <c r="CN188" s="69"/>
      <c r="CO188" s="69"/>
      <c r="CP188" s="69"/>
      <c r="CQ188" s="69"/>
      <c r="CR188" s="69"/>
      <c r="CS188" s="70"/>
      <c r="CT188" s="16"/>
      <c r="CU188" s="16"/>
      <c r="CV188" s="16"/>
      <c r="CW188" s="16"/>
      <c r="CX188" s="16"/>
      <c r="CY188" s="16"/>
      <c r="CZ188" s="16"/>
      <c r="DA188" s="16"/>
      <c r="DB188" s="16"/>
      <c r="DC188" s="16"/>
      <c r="DD188" s="16"/>
      <c r="DE188" s="16"/>
    </row>
    <row r="189">
      <c r="A189" s="15"/>
      <c r="B189" s="16"/>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6"/>
      <c r="AD189" s="15"/>
      <c r="AE189" s="15"/>
      <c r="AF189" s="16"/>
      <c r="AG189" s="15"/>
      <c r="AH189" s="15"/>
      <c r="AI189" s="16"/>
      <c r="AJ189" s="15"/>
      <c r="AK189" s="15"/>
      <c r="AL189" s="16"/>
      <c r="AM189" s="15"/>
      <c r="AN189" s="15"/>
      <c r="AO189" s="16"/>
      <c r="AP189" s="15"/>
      <c r="AQ189" s="15"/>
      <c r="AR189" s="16"/>
      <c r="AS189" s="15"/>
      <c r="AT189" s="15"/>
      <c r="AU189" s="16"/>
      <c r="AV189" s="15"/>
      <c r="AW189" s="15"/>
      <c r="AX189" s="16"/>
      <c r="AY189" s="15"/>
      <c r="AZ189" s="15"/>
      <c r="BA189" s="16"/>
      <c r="BB189" s="16"/>
      <c r="BC189" s="16"/>
      <c r="BD189" s="16"/>
      <c r="BE189" s="16"/>
      <c r="BF189" s="16"/>
      <c r="BG189" s="16"/>
      <c r="BH189" s="16"/>
      <c r="BI189" s="16"/>
      <c r="BJ189" s="69"/>
      <c r="BK189" s="69"/>
      <c r="BL189" s="69"/>
      <c r="BM189" s="69"/>
      <c r="BN189" s="69"/>
      <c r="BO189" s="69"/>
      <c r="BP189" s="69"/>
      <c r="BQ189" s="69"/>
      <c r="BR189" s="69"/>
      <c r="BS189" s="69"/>
      <c r="BT189" s="69"/>
      <c r="BU189" s="69"/>
      <c r="BV189" s="69"/>
      <c r="BW189" s="69"/>
      <c r="BX189" s="69"/>
      <c r="BY189" s="69"/>
      <c r="BZ189" s="69"/>
      <c r="CA189" s="69"/>
      <c r="CB189" s="69"/>
      <c r="CC189" s="69"/>
      <c r="CD189" s="69"/>
      <c r="CE189" s="69"/>
      <c r="CF189" s="69"/>
      <c r="CG189" s="69"/>
      <c r="CH189" s="69"/>
      <c r="CI189" s="69"/>
      <c r="CJ189" s="69"/>
      <c r="CK189" s="69"/>
      <c r="CL189" s="69"/>
      <c r="CM189" s="69"/>
      <c r="CN189" s="69"/>
      <c r="CO189" s="69"/>
      <c r="CP189" s="69"/>
      <c r="CQ189" s="69"/>
      <c r="CR189" s="69"/>
      <c r="CS189" s="70"/>
      <c r="CT189" s="16"/>
      <c r="CU189" s="16"/>
      <c r="CV189" s="16"/>
      <c r="CW189" s="16"/>
      <c r="CX189" s="16"/>
      <c r="CY189" s="16"/>
      <c r="CZ189" s="16"/>
      <c r="DA189" s="16"/>
      <c r="DB189" s="16"/>
      <c r="DC189" s="16"/>
      <c r="DD189" s="16"/>
      <c r="DE189" s="16"/>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6"/>
      <c r="AD190" s="15"/>
      <c r="AE190" s="15"/>
      <c r="AF190" s="16"/>
      <c r="AG190" s="15"/>
      <c r="AH190" s="15"/>
      <c r="AI190" s="16"/>
      <c r="AJ190" s="15"/>
      <c r="AK190" s="15"/>
      <c r="AL190" s="16"/>
      <c r="AM190" s="15"/>
      <c r="AN190" s="15"/>
      <c r="AO190" s="16"/>
      <c r="AP190" s="15"/>
      <c r="AQ190" s="15"/>
      <c r="AR190" s="16"/>
      <c r="AS190" s="15"/>
      <c r="AT190" s="15"/>
      <c r="AU190" s="16"/>
      <c r="AV190" s="15"/>
      <c r="AW190" s="15"/>
      <c r="AX190" s="16"/>
      <c r="AY190" s="15"/>
      <c r="AZ190" s="15"/>
      <c r="BA190" s="16"/>
      <c r="BB190" s="16"/>
      <c r="BC190" s="16"/>
      <c r="BD190" s="16"/>
      <c r="BE190" s="16"/>
      <c r="BF190" s="16"/>
      <c r="BG190" s="16"/>
      <c r="BH190" s="16"/>
      <c r="BI190" s="16"/>
      <c r="BJ190" s="69"/>
      <c r="BK190" s="69"/>
      <c r="BL190" s="69"/>
      <c r="BM190" s="69"/>
      <c r="BN190" s="69"/>
      <c r="BO190" s="69"/>
      <c r="BP190" s="69"/>
      <c r="BQ190" s="69"/>
      <c r="BR190" s="69"/>
      <c r="BS190" s="69"/>
      <c r="BT190" s="69"/>
      <c r="BU190" s="69"/>
      <c r="BV190" s="69"/>
      <c r="BW190" s="69"/>
      <c r="BX190" s="69"/>
      <c r="BY190" s="69"/>
      <c r="BZ190" s="69"/>
      <c r="CA190" s="69"/>
      <c r="CB190" s="69"/>
      <c r="CC190" s="69"/>
      <c r="CD190" s="69"/>
      <c r="CE190" s="69"/>
      <c r="CF190" s="69"/>
      <c r="CG190" s="69"/>
      <c r="CH190" s="69"/>
      <c r="CI190" s="69"/>
      <c r="CJ190" s="69"/>
      <c r="CK190" s="69"/>
      <c r="CL190" s="69"/>
      <c r="CM190" s="69"/>
      <c r="CN190" s="69"/>
      <c r="CO190" s="69"/>
      <c r="CP190" s="69"/>
      <c r="CQ190" s="69"/>
      <c r="CR190" s="69"/>
      <c r="CS190" s="70"/>
      <c r="CT190" s="16"/>
      <c r="CU190" s="16"/>
      <c r="CV190" s="16"/>
      <c r="CW190" s="16"/>
      <c r="CX190" s="16"/>
      <c r="CY190" s="16"/>
      <c r="CZ190" s="16"/>
      <c r="DA190" s="16"/>
      <c r="DB190" s="16"/>
      <c r="DC190" s="16"/>
      <c r="DD190" s="16"/>
      <c r="DE190" s="16"/>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6"/>
      <c r="AD191" s="15"/>
      <c r="AE191" s="15"/>
      <c r="AF191" s="16"/>
      <c r="AG191" s="15"/>
      <c r="AH191" s="15"/>
      <c r="AI191" s="16"/>
      <c r="AJ191" s="15"/>
      <c r="AK191" s="15"/>
      <c r="AL191" s="16"/>
      <c r="AM191" s="15"/>
      <c r="AN191" s="15"/>
      <c r="AO191" s="16"/>
      <c r="AP191" s="15"/>
      <c r="AQ191" s="15"/>
      <c r="AR191" s="16"/>
      <c r="AS191" s="15"/>
      <c r="AT191" s="15"/>
      <c r="AU191" s="16"/>
      <c r="AV191" s="15"/>
      <c r="AW191" s="15"/>
      <c r="AX191" s="16"/>
      <c r="AY191" s="15"/>
      <c r="AZ191" s="15"/>
      <c r="BA191" s="16"/>
      <c r="BB191" s="16"/>
      <c r="BC191" s="16"/>
      <c r="BD191" s="16"/>
      <c r="BE191" s="16"/>
      <c r="BF191" s="16"/>
      <c r="BG191" s="16"/>
      <c r="BH191" s="16"/>
      <c r="BI191" s="16"/>
      <c r="BJ191" s="69"/>
      <c r="BK191" s="69"/>
      <c r="BL191" s="69"/>
      <c r="BM191" s="69"/>
      <c r="BN191" s="69"/>
      <c r="BO191" s="69"/>
      <c r="BP191" s="69"/>
      <c r="BQ191" s="69"/>
      <c r="BR191" s="69"/>
      <c r="BS191" s="69"/>
      <c r="BT191" s="69"/>
      <c r="BU191" s="69"/>
      <c r="BV191" s="69"/>
      <c r="BW191" s="69"/>
      <c r="BX191" s="69"/>
      <c r="BY191" s="69"/>
      <c r="BZ191" s="69"/>
      <c r="CA191" s="69"/>
      <c r="CB191" s="69"/>
      <c r="CC191" s="69"/>
      <c r="CD191" s="69"/>
      <c r="CE191" s="69"/>
      <c r="CF191" s="69"/>
      <c r="CG191" s="69"/>
      <c r="CH191" s="69"/>
      <c r="CI191" s="69"/>
      <c r="CJ191" s="69"/>
      <c r="CK191" s="69"/>
      <c r="CL191" s="69"/>
      <c r="CM191" s="69"/>
      <c r="CN191" s="69"/>
      <c r="CO191" s="69"/>
      <c r="CP191" s="69"/>
      <c r="CQ191" s="69"/>
      <c r="CR191" s="69"/>
      <c r="CS191" s="70"/>
      <c r="CT191" s="16"/>
      <c r="CU191" s="16"/>
      <c r="CV191" s="16"/>
      <c r="CW191" s="16"/>
      <c r="CX191" s="16"/>
      <c r="CY191" s="16"/>
      <c r="CZ191" s="16"/>
      <c r="DA191" s="16"/>
      <c r="DB191" s="16"/>
      <c r="DC191" s="16"/>
      <c r="DD191" s="16"/>
      <c r="DE191" s="16"/>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6"/>
      <c r="AD192" s="15"/>
      <c r="AE192" s="15"/>
      <c r="AF192" s="16"/>
      <c r="AG192" s="15"/>
      <c r="AH192" s="15"/>
      <c r="AI192" s="16"/>
      <c r="AJ192" s="15"/>
      <c r="AK192" s="15"/>
      <c r="AL192" s="16"/>
      <c r="AM192" s="15"/>
      <c r="AN192" s="15"/>
      <c r="AO192" s="16"/>
      <c r="AP192" s="15"/>
      <c r="AQ192" s="15"/>
      <c r="AR192" s="16"/>
      <c r="AS192" s="15"/>
      <c r="AT192" s="15"/>
      <c r="AU192" s="16"/>
      <c r="AV192" s="15"/>
      <c r="AW192" s="15"/>
      <c r="AX192" s="16"/>
      <c r="AY192" s="15"/>
      <c r="AZ192" s="15"/>
      <c r="BA192" s="16"/>
      <c r="BB192" s="16"/>
      <c r="BC192" s="16"/>
      <c r="BD192" s="16"/>
      <c r="BE192" s="16"/>
      <c r="BF192" s="16"/>
      <c r="BG192" s="16"/>
      <c r="BH192" s="16"/>
      <c r="BI192" s="16"/>
      <c r="BJ192" s="69"/>
      <c r="BK192" s="69"/>
      <c r="BL192" s="69"/>
      <c r="BM192" s="69"/>
      <c r="BN192" s="69"/>
      <c r="BO192" s="69"/>
      <c r="BP192" s="69"/>
      <c r="BQ192" s="69"/>
      <c r="BR192" s="69"/>
      <c r="BS192" s="69"/>
      <c r="BT192" s="69"/>
      <c r="BU192" s="69"/>
      <c r="BV192" s="69"/>
      <c r="BW192" s="69"/>
      <c r="BX192" s="69"/>
      <c r="BY192" s="69"/>
      <c r="BZ192" s="69"/>
      <c r="CA192" s="69"/>
      <c r="CB192" s="69"/>
      <c r="CC192" s="69"/>
      <c r="CD192" s="69"/>
      <c r="CE192" s="69"/>
      <c r="CF192" s="69"/>
      <c r="CG192" s="69"/>
      <c r="CH192" s="69"/>
      <c r="CI192" s="69"/>
      <c r="CJ192" s="69"/>
      <c r="CK192" s="69"/>
      <c r="CL192" s="69"/>
      <c r="CM192" s="69"/>
      <c r="CN192" s="69"/>
      <c r="CO192" s="69"/>
      <c r="CP192" s="69"/>
      <c r="CQ192" s="69"/>
      <c r="CR192" s="69"/>
      <c r="CS192" s="70"/>
      <c r="CT192" s="16"/>
      <c r="CU192" s="16"/>
      <c r="CV192" s="16"/>
      <c r="CW192" s="16"/>
      <c r="CX192" s="16"/>
      <c r="CY192" s="16"/>
      <c r="CZ192" s="16"/>
      <c r="DA192" s="16"/>
      <c r="DB192" s="16"/>
      <c r="DC192" s="16"/>
      <c r="DD192" s="16"/>
      <c r="DE192" s="16"/>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6"/>
      <c r="AD193" s="15"/>
      <c r="AE193" s="15"/>
      <c r="AF193" s="16"/>
      <c r="AG193" s="15"/>
      <c r="AH193" s="15"/>
      <c r="AI193" s="16"/>
      <c r="AJ193" s="15"/>
      <c r="AK193" s="15"/>
      <c r="AL193" s="16"/>
      <c r="AM193" s="15"/>
      <c r="AN193" s="15"/>
      <c r="AO193" s="16"/>
      <c r="AP193" s="15"/>
      <c r="AQ193" s="15"/>
      <c r="AR193" s="16"/>
      <c r="AS193" s="15"/>
      <c r="AT193" s="15"/>
      <c r="AU193" s="16"/>
      <c r="AV193" s="15"/>
      <c r="AW193" s="15"/>
      <c r="AX193" s="16"/>
      <c r="AY193" s="15"/>
      <c r="AZ193" s="15"/>
      <c r="BA193" s="16"/>
      <c r="BB193" s="16"/>
      <c r="BC193" s="16"/>
      <c r="BD193" s="16"/>
      <c r="BE193" s="16"/>
      <c r="BF193" s="16"/>
      <c r="BG193" s="16"/>
      <c r="BH193" s="16"/>
      <c r="BI193" s="16"/>
      <c r="BJ193" s="69"/>
      <c r="BK193" s="69"/>
      <c r="BL193" s="69"/>
      <c r="BM193" s="69"/>
      <c r="BN193" s="69"/>
      <c r="BO193" s="69"/>
      <c r="BP193" s="69"/>
      <c r="BQ193" s="69"/>
      <c r="BR193" s="69"/>
      <c r="BS193" s="69"/>
      <c r="BT193" s="69"/>
      <c r="BU193" s="69"/>
      <c r="BV193" s="69"/>
      <c r="BW193" s="69"/>
      <c r="BX193" s="69"/>
      <c r="BY193" s="69"/>
      <c r="BZ193" s="69"/>
      <c r="CA193" s="69"/>
      <c r="CB193" s="69"/>
      <c r="CC193" s="69"/>
      <c r="CD193" s="69"/>
      <c r="CE193" s="69"/>
      <c r="CF193" s="69"/>
      <c r="CG193" s="69"/>
      <c r="CH193" s="69"/>
      <c r="CI193" s="69"/>
      <c r="CJ193" s="69"/>
      <c r="CK193" s="69"/>
      <c r="CL193" s="69"/>
      <c r="CM193" s="69"/>
      <c r="CN193" s="69"/>
      <c r="CO193" s="69"/>
      <c r="CP193" s="69"/>
      <c r="CQ193" s="69"/>
      <c r="CR193" s="69"/>
      <c r="CS193" s="70"/>
      <c r="CT193" s="16"/>
      <c r="CU193" s="16"/>
      <c r="CV193" s="16"/>
      <c r="CW193" s="16"/>
      <c r="CX193" s="16"/>
      <c r="CY193" s="16"/>
      <c r="CZ193" s="16"/>
      <c r="DA193" s="16"/>
      <c r="DB193" s="16"/>
      <c r="DC193" s="16"/>
      <c r="DD193" s="16"/>
      <c r="DE193" s="16"/>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6"/>
      <c r="AD194" s="15"/>
      <c r="AE194" s="15"/>
      <c r="AF194" s="16"/>
      <c r="AG194" s="15"/>
      <c r="AH194" s="15"/>
      <c r="AI194" s="16"/>
      <c r="AJ194" s="15"/>
      <c r="AK194" s="15"/>
      <c r="AL194" s="16"/>
      <c r="AM194" s="15"/>
      <c r="AN194" s="15"/>
      <c r="AO194" s="16"/>
      <c r="AP194" s="15"/>
      <c r="AQ194" s="15"/>
      <c r="AR194" s="16"/>
      <c r="AS194" s="15"/>
      <c r="AT194" s="15"/>
      <c r="AU194" s="16"/>
      <c r="AV194" s="15"/>
      <c r="AW194" s="15"/>
      <c r="AX194" s="16"/>
      <c r="AY194" s="15"/>
      <c r="AZ194" s="15"/>
      <c r="BA194" s="16"/>
      <c r="BB194" s="16"/>
      <c r="BC194" s="16"/>
      <c r="BD194" s="16"/>
      <c r="BE194" s="16"/>
      <c r="BF194" s="16"/>
      <c r="BG194" s="16"/>
      <c r="BH194" s="16"/>
      <c r="BI194" s="16"/>
      <c r="BJ194" s="69"/>
      <c r="BK194" s="69"/>
      <c r="BL194" s="69"/>
      <c r="BM194" s="69"/>
      <c r="BN194" s="69"/>
      <c r="BO194" s="69"/>
      <c r="BP194" s="69"/>
      <c r="BQ194" s="69"/>
      <c r="BR194" s="69"/>
      <c r="BS194" s="69"/>
      <c r="BT194" s="69"/>
      <c r="BU194" s="69"/>
      <c r="BV194" s="69"/>
      <c r="BW194" s="69"/>
      <c r="BX194" s="69"/>
      <c r="BY194" s="69"/>
      <c r="BZ194" s="69"/>
      <c r="CA194" s="69"/>
      <c r="CB194" s="69"/>
      <c r="CC194" s="69"/>
      <c r="CD194" s="69"/>
      <c r="CE194" s="69"/>
      <c r="CF194" s="69"/>
      <c r="CG194" s="69"/>
      <c r="CH194" s="69"/>
      <c r="CI194" s="69"/>
      <c r="CJ194" s="69"/>
      <c r="CK194" s="69"/>
      <c r="CL194" s="69"/>
      <c r="CM194" s="69"/>
      <c r="CN194" s="69"/>
      <c r="CO194" s="69"/>
      <c r="CP194" s="69"/>
      <c r="CQ194" s="69"/>
      <c r="CR194" s="69"/>
      <c r="CS194" s="70"/>
      <c r="CT194" s="16"/>
      <c r="CU194" s="16"/>
      <c r="CV194" s="16"/>
      <c r="CW194" s="16"/>
      <c r="CX194" s="16"/>
      <c r="CY194" s="16"/>
      <c r="CZ194" s="16"/>
      <c r="DA194" s="16"/>
      <c r="DB194" s="16"/>
      <c r="DC194" s="16"/>
      <c r="DD194" s="16"/>
      <c r="DE194" s="16"/>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6"/>
      <c r="AD195" s="15"/>
      <c r="AE195" s="15"/>
      <c r="AF195" s="16"/>
      <c r="AG195" s="15"/>
      <c r="AH195" s="15"/>
      <c r="AI195" s="16"/>
      <c r="AJ195" s="15"/>
      <c r="AK195" s="15"/>
      <c r="AL195" s="16"/>
      <c r="AM195" s="15"/>
      <c r="AN195" s="15"/>
      <c r="AO195" s="16"/>
      <c r="AP195" s="15"/>
      <c r="AQ195" s="15"/>
      <c r="AR195" s="16"/>
      <c r="AS195" s="15"/>
      <c r="AT195" s="15"/>
      <c r="AU195" s="16"/>
      <c r="AV195" s="15"/>
      <c r="AW195" s="15"/>
      <c r="AX195" s="16"/>
      <c r="AY195" s="15"/>
      <c r="AZ195" s="15"/>
      <c r="BA195" s="16"/>
      <c r="BB195" s="16"/>
      <c r="BC195" s="16"/>
      <c r="BD195" s="16"/>
      <c r="BE195" s="16"/>
      <c r="BF195" s="16"/>
      <c r="BG195" s="16"/>
      <c r="BH195" s="16"/>
      <c r="BI195" s="16"/>
      <c r="BJ195" s="69"/>
      <c r="BK195" s="69"/>
      <c r="BL195" s="69"/>
      <c r="BM195" s="69"/>
      <c r="BN195" s="69"/>
      <c r="BO195" s="69"/>
      <c r="BP195" s="69"/>
      <c r="BQ195" s="69"/>
      <c r="BR195" s="69"/>
      <c r="BS195" s="69"/>
      <c r="BT195" s="69"/>
      <c r="BU195" s="69"/>
      <c r="BV195" s="69"/>
      <c r="BW195" s="69"/>
      <c r="BX195" s="69"/>
      <c r="BY195" s="69"/>
      <c r="BZ195" s="69"/>
      <c r="CA195" s="69"/>
      <c r="CB195" s="69"/>
      <c r="CC195" s="69"/>
      <c r="CD195" s="69"/>
      <c r="CE195" s="69"/>
      <c r="CF195" s="69"/>
      <c r="CG195" s="69"/>
      <c r="CH195" s="69"/>
      <c r="CI195" s="69"/>
      <c r="CJ195" s="69"/>
      <c r="CK195" s="69"/>
      <c r="CL195" s="69"/>
      <c r="CM195" s="69"/>
      <c r="CN195" s="69"/>
      <c r="CO195" s="69"/>
      <c r="CP195" s="69"/>
      <c r="CQ195" s="69"/>
      <c r="CR195" s="69"/>
      <c r="CS195" s="70"/>
      <c r="CT195" s="16"/>
      <c r="CU195" s="16"/>
      <c r="CV195" s="16"/>
      <c r="CW195" s="16"/>
      <c r="CX195" s="16"/>
      <c r="CY195" s="16"/>
      <c r="CZ195" s="16"/>
      <c r="DA195" s="16"/>
      <c r="DB195" s="16"/>
      <c r="DC195" s="16"/>
      <c r="DD195" s="16"/>
      <c r="DE195" s="16"/>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6"/>
      <c r="AD196" s="15"/>
      <c r="AE196" s="15"/>
      <c r="AF196" s="16"/>
      <c r="AG196" s="15"/>
      <c r="AH196" s="15"/>
      <c r="AI196" s="16"/>
      <c r="AJ196" s="15"/>
      <c r="AK196" s="15"/>
      <c r="AL196" s="16"/>
      <c r="AM196" s="15"/>
      <c r="AN196" s="15"/>
      <c r="AO196" s="16"/>
      <c r="AP196" s="15"/>
      <c r="AQ196" s="15"/>
      <c r="AR196" s="16"/>
      <c r="AS196" s="15"/>
      <c r="AT196" s="15"/>
      <c r="AU196" s="16"/>
      <c r="AV196" s="15"/>
      <c r="AW196" s="15"/>
      <c r="AX196" s="16"/>
      <c r="AY196" s="15"/>
      <c r="AZ196" s="15"/>
      <c r="BA196" s="16"/>
      <c r="BB196" s="16"/>
      <c r="BC196" s="16"/>
      <c r="BD196" s="16"/>
      <c r="BE196" s="16"/>
      <c r="BF196" s="16"/>
      <c r="BG196" s="16"/>
      <c r="BH196" s="16"/>
      <c r="BI196" s="16"/>
      <c r="BJ196" s="69"/>
      <c r="BK196" s="69"/>
      <c r="BL196" s="69"/>
      <c r="BM196" s="69"/>
      <c r="BN196" s="69"/>
      <c r="BO196" s="69"/>
      <c r="BP196" s="69"/>
      <c r="BQ196" s="69"/>
      <c r="BR196" s="69"/>
      <c r="BS196" s="69"/>
      <c r="BT196" s="69"/>
      <c r="BU196" s="69"/>
      <c r="BV196" s="69"/>
      <c r="BW196" s="69"/>
      <c r="BX196" s="69"/>
      <c r="BY196" s="69"/>
      <c r="BZ196" s="69"/>
      <c r="CA196" s="69"/>
      <c r="CB196" s="69"/>
      <c r="CC196" s="69"/>
      <c r="CD196" s="69"/>
      <c r="CE196" s="69"/>
      <c r="CF196" s="69"/>
      <c r="CG196" s="69"/>
      <c r="CH196" s="69"/>
      <c r="CI196" s="69"/>
      <c r="CJ196" s="69"/>
      <c r="CK196" s="69"/>
      <c r="CL196" s="69"/>
      <c r="CM196" s="69"/>
      <c r="CN196" s="69"/>
      <c r="CO196" s="69"/>
      <c r="CP196" s="69"/>
      <c r="CQ196" s="69"/>
      <c r="CR196" s="69"/>
      <c r="CS196" s="70"/>
      <c r="CT196" s="16"/>
      <c r="CU196" s="16"/>
      <c r="CV196" s="16"/>
      <c r="CW196" s="16"/>
      <c r="CX196" s="16"/>
      <c r="CY196" s="16"/>
      <c r="CZ196" s="16"/>
      <c r="DA196" s="16"/>
      <c r="DB196" s="16"/>
      <c r="DC196" s="16"/>
      <c r="DD196" s="16"/>
      <c r="DE196" s="16"/>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6"/>
      <c r="AD197" s="15"/>
      <c r="AE197" s="15"/>
      <c r="AF197" s="16"/>
      <c r="AG197" s="15"/>
      <c r="AH197" s="15"/>
      <c r="AI197" s="16"/>
      <c r="AJ197" s="15"/>
      <c r="AK197" s="15"/>
      <c r="AL197" s="16"/>
      <c r="AM197" s="15"/>
      <c r="AN197" s="15"/>
      <c r="AO197" s="16"/>
      <c r="AP197" s="15"/>
      <c r="AQ197" s="15"/>
      <c r="AR197" s="16"/>
      <c r="AS197" s="15"/>
      <c r="AT197" s="15"/>
      <c r="AU197" s="16"/>
      <c r="AV197" s="15"/>
      <c r="AW197" s="15"/>
      <c r="AX197" s="16"/>
      <c r="AY197" s="15"/>
      <c r="AZ197" s="15"/>
      <c r="BA197" s="16"/>
      <c r="BB197" s="16"/>
      <c r="BC197" s="16"/>
      <c r="BD197" s="16"/>
      <c r="BE197" s="16"/>
      <c r="BF197" s="16"/>
      <c r="BG197" s="16"/>
      <c r="BH197" s="16"/>
      <c r="BI197" s="16"/>
      <c r="BJ197" s="69"/>
      <c r="BK197" s="69"/>
      <c r="BL197" s="69"/>
      <c r="BM197" s="69"/>
      <c r="BN197" s="69"/>
      <c r="BO197" s="69"/>
      <c r="BP197" s="69"/>
      <c r="BQ197" s="69"/>
      <c r="BR197" s="69"/>
      <c r="BS197" s="69"/>
      <c r="BT197" s="69"/>
      <c r="BU197" s="69"/>
      <c r="BV197" s="69"/>
      <c r="BW197" s="69"/>
      <c r="BX197" s="69"/>
      <c r="BY197" s="69"/>
      <c r="BZ197" s="69"/>
      <c r="CA197" s="69"/>
      <c r="CB197" s="69"/>
      <c r="CC197" s="69"/>
      <c r="CD197" s="69"/>
      <c r="CE197" s="69"/>
      <c r="CF197" s="69"/>
      <c r="CG197" s="69"/>
      <c r="CH197" s="69"/>
      <c r="CI197" s="69"/>
      <c r="CJ197" s="69"/>
      <c r="CK197" s="69"/>
      <c r="CL197" s="69"/>
      <c r="CM197" s="69"/>
      <c r="CN197" s="69"/>
      <c r="CO197" s="69"/>
      <c r="CP197" s="69"/>
      <c r="CQ197" s="69"/>
      <c r="CR197" s="69"/>
      <c r="CS197" s="70"/>
      <c r="CT197" s="16"/>
      <c r="CU197" s="16"/>
      <c r="CV197" s="16"/>
      <c r="CW197" s="16"/>
      <c r="CX197" s="16"/>
      <c r="CY197" s="16"/>
      <c r="CZ197" s="16"/>
      <c r="DA197" s="16"/>
      <c r="DB197" s="16"/>
      <c r="DC197" s="16"/>
      <c r="DD197" s="16"/>
      <c r="DE197" s="16"/>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6"/>
      <c r="AD198" s="15"/>
      <c r="AE198" s="15"/>
      <c r="AF198" s="16"/>
      <c r="AG198" s="15"/>
      <c r="AH198" s="15"/>
      <c r="AI198" s="16"/>
      <c r="AJ198" s="15"/>
      <c r="AK198" s="15"/>
      <c r="AL198" s="16"/>
      <c r="AM198" s="15"/>
      <c r="AN198" s="15"/>
      <c r="AO198" s="16"/>
      <c r="AP198" s="15"/>
      <c r="AQ198" s="15"/>
      <c r="AR198" s="16"/>
      <c r="AS198" s="15"/>
      <c r="AT198" s="15"/>
      <c r="AU198" s="16"/>
      <c r="AV198" s="15"/>
      <c r="AW198" s="15"/>
      <c r="AX198" s="16"/>
      <c r="AY198" s="15"/>
      <c r="AZ198" s="15"/>
      <c r="BA198" s="16"/>
      <c r="BB198" s="16"/>
      <c r="BC198" s="16"/>
      <c r="BD198" s="16"/>
      <c r="BE198" s="16"/>
      <c r="BF198" s="16"/>
      <c r="BG198" s="16"/>
      <c r="BH198" s="16"/>
      <c r="BI198" s="16"/>
      <c r="BJ198" s="69"/>
      <c r="BK198" s="69"/>
      <c r="BL198" s="69"/>
      <c r="BM198" s="69"/>
      <c r="BN198" s="69"/>
      <c r="BO198" s="69"/>
      <c r="BP198" s="69"/>
      <c r="BQ198" s="69"/>
      <c r="BR198" s="69"/>
      <c r="BS198" s="69"/>
      <c r="BT198" s="69"/>
      <c r="BU198" s="69"/>
      <c r="BV198" s="69"/>
      <c r="BW198" s="69"/>
      <c r="BX198" s="69"/>
      <c r="BY198" s="69"/>
      <c r="BZ198" s="69"/>
      <c r="CA198" s="69"/>
      <c r="CB198" s="69"/>
      <c r="CC198" s="69"/>
      <c r="CD198" s="69"/>
      <c r="CE198" s="69"/>
      <c r="CF198" s="69"/>
      <c r="CG198" s="69"/>
      <c r="CH198" s="69"/>
      <c r="CI198" s="69"/>
      <c r="CJ198" s="69"/>
      <c r="CK198" s="69"/>
      <c r="CL198" s="69"/>
      <c r="CM198" s="69"/>
      <c r="CN198" s="69"/>
      <c r="CO198" s="69"/>
      <c r="CP198" s="69"/>
      <c r="CQ198" s="69"/>
      <c r="CR198" s="69"/>
      <c r="CS198" s="70"/>
      <c r="CT198" s="16"/>
      <c r="CU198" s="16"/>
      <c r="CV198" s="16"/>
      <c r="CW198" s="16"/>
      <c r="CX198" s="16"/>
      <c r="CY198" s="16"/>
      <c r="CZ198" s="16"/>
      <c r="DA198" s="16"/>
      <c r="DB198" s="16"/>
      <c r="DC198" s="16"/>
      <c r="DD198" s="16"/>
      <c r="DE198" s="16"/>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6"/>
      <c r="AD199" s="15"/>
      <c r="AE199" s="15"/>
      <c r="AF199" s="16"/>
      <c r="AG199" s="15"/>
      <c r="AH199" s="15"/>
      <c r="AI199" s="16"/>
      <c r="AJ199" s="15"/>
      <c r="AK199" s="15"/>
      <c r="AL199" s="16"/>
      <c r="AM199" s="15"/>
      <c r="AN199" s="15"/>
      <c r="AO199" s="16"/>
      <c r="AP199" s="15"/>
      <c r="AQ199" s="15"/>
      <c r="AR199" s="16"/>
      <c r="AS199" s="15"/>
      <c r="AT199" s="15"/>
      <c r="AU199" s="16"/>
      <c r="AV199" s="15"/>
      <c r="AW199" s="15"/>
      <c r="AX199" s="16"/>
      <c r="AY199" s="15"/>
      <c r="AZ199" s="15"/>
      <c r="BA199" s="16"/>
      <c r="BB199" s="16"/>
      <c r="BC199" s="16"/>
      <c r="BD199" s="16"/>
      <c r="BE199" s="16"/>
      <c r="BF199" s="16"/>
      <c r="BG199" s="16"/>
      <c r="BH199" s="16"/>
      <c r="BI199" s="16"/>
      <c r="BJ199" s="69"/>
      <c r="BK199" s="69"/>
      <c r="BL199" s="69"/>
      <c r="BM199" s="69"/>
      <c r="BN199" s="69"/>
      <c r="BO199" s="69"/>
      <c r="BP199" s="69"/>
      <c r="BQ199" s="69"/>
      <c r="BR199" s="69"/>
      <c r="BS199" s="69"/>
      <c r="BT199" s="69"/>
      <c r="BU199" s="69"/>
      <c r="BV199" s="69"/>
      <c r="BW199" s="69"/>
      <c r="BX199" s="69"/>
      <c r="BY199" s="69"/>
      <c r="BZ199" s="69"/>
      <c r="CA199" s="69"/>
      <c r="CB199" s="69"/>
      <c r="CC199" s="69"/>
      <c r="CD199" s="69"/>
      <c r="CE199" s="69"/>
      <c r="CF199" s="69"/>
      <c r="CG199" s="69"/>
      <c r="CH199" s="69"/>
      <c r="CI199" s="69"/>
      <c r="CJ199" s="69"/>
      <c r="CK199" s="69"/>
      <c r="CL199" s="69"/>
      <c r="CM199" s="69"/>
      <c r="CN199" s="69"/>
      <c r="CO199" s="69"/>
      <c r="CP199" s="69"/>
      <c r="CQ199" s="69"/>
      <c r="CR199" s="69"/>
      <c r="CS199" s="70"/>
      <c r="CT199" s="16"/>
      <c r="CU199" s="16"/>
      <c r="CV199" s="16"/>
      <c r="CW199" s="16"/>
      <c r="CX199" s="16"/>
      <c r="CY199" s="16"/>
      <c r="CZ199" s="16"/>
      <c r="DA199" s="16"/>
      <c r="DB199" s="16"/>
      <c r="DC199" s="16"/>
      <c r="DD199" s="16"/>
      <c r="DE199" s="16"/>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6"/>
      <c r="AD200" s="15"/>
      <c r="AE200" s="15"/>
      <c r="AF200" s="16"/>
      <c r="AG200" s="15"/>
      <c r="AH200" s="15"/>
      <c r="AI200" s="16"/>
      <c r="AJ200" s="15"/>
      <c r="AK200" s="15"/>
      <c r="AL200" s="16"/>
      <c r="AM200" s="15"/>
      <c r="AN200" s="15"/>
      <c r="AO200" s="16"/>
      <c r="AP200" s="15"/>
      <c r="AQ200" s="15"/>
      <c r="AR200" s="16"/>
      <c r="AS200" s="15"/>
      <c r="AT200" s="15"/>
      <c r="AU200" s="16"/>
      <c r="AV200" s="15"/>
      <c r="AW200" s="15"/>
      <c r="AX200" s="16"/>
      <c r="AY200" s="15"/>
      <c r="AZ200" s="15"/>
      <c r="BA200" s="16"/>
      <c r="BB200" s="16"/>
      <c r="BC200" s="16"/>
      <c r="BD200" s="16"/>
      <c r="BE200" s="16"/>
      <c r="BF200" s="16"/>
      <c r="BG200" s="16"/>
      <c r="BH200" s="16"/>
      <c r="BI200" s="16"/>
      <c r="BJ200" s="69"/>
      <c r="BK200" s="69"/>
      <c r="BL200" s="69"/>
      <c r="BM200" s="69"/>
      <c r="BN200" s="69"/>
      <c r="BO200" s="69"/>
      <c r="BP200" s="69"/>
      <c r="BQ200" s="69"/>
      <c r="BR200" s="69"/>
      <c r="BS200" s="69"/>
      <c r="BT200" s="69"/>
      <c r="BU200" s="69"/>
      <c r="BV200" s="69"/>
      <c r="BW200" s="69"/>
      <c r="BX200" s="69"/>
      <c r="BY200" s="69"/>
      <c r="BZ200" s="69"/>
      <c r="CA200" s="69"/>
      <c r="CB200" s="69"/>
      <c r="CC200" s="69"/>
      <c r="CD200" s="69"/>
      <c r="CE200" s="69"/>
      <c r="CF200" s="69"/>
      <c r="CG200" s="69"/>
      <c r="CH200" s="69"/>
      <c r="CI200" s="69"/>
      <c r="CJ200" s="69"/>
      <c r="CK200" s="69"/>
      <c r="CL200" s="69"/>
      <c r="CM200" s="69"/>
      <c r="CN200" s="69"/>
      <c r="CO200" s="69"/>
      <c r="CP200" s="69"/>
      <c r="CQ200" s="69"/>
      <c r="CR200" s="69"/>
      <c r="CS200" s="70"/>
      <c r="CT200" s="16"/>
      <c r="CU200" s="16"/>
      <c r="CV200" s="16"/>
      <c r="CW200" s="16"/>
      <c r="CX200" s="16"/>
      <c r="CY200" s="16"/>
      <c r="CZ200" s="16"/>
      <c r="DA200" s="16"/>
      <c r="DB200" s="16"/>
      <c r="DC200" s="16"/>
      <c r="DD200" s="16"/>
      <c r="DE200" s="16"/>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6"/>
      <c r="AD201" s="15"/>
      <c r="AE201" s="15"/>
      <c r="AF201" s="16"/>
      <c r="AG201" s="15"/>
      <c r="AH201" s="15"/>
      <c r="AI201" s="16"/>
      <c r="AJ201" s="15"/>
      <c r="AK201" s="15"/>
      <c r="AL201" s="16"/>
      <c r="AM201" s="15"/>
      <c r="AN201" s="15"/>
      <c r="AO201" s="16"/>
      <c r="AP201" s="15"/>
      <c r="AQ201" s="15"/>
      <c r="AR201" s="16"/>
      <c r="AS201" s="15"/>
      <c r="AT201" s="15"/>
      <c r="AU201" s="16"/>
      <c r="AV201" s="15"/>
      <c r="AW201" s="15"/>
      <c r="AX201" s="16"/>
      <c r="AY201" s="15"/>
      <c r="AZ201" s="15"/>
      <c r="BA201" s="16"/>
      <c r="BB201" s="16"/>
      <c r="BC201" s="16"/>
      <c r="BD201" s="16"/>
      <c r="BE201" s="16"/>
      <c r="BF201" s="16"/>
      <c r="BG201" s="16"/>
      <c r="BH201" s="16"/>
      <c r="BI201" s="16"/>
      <c r="BJ201" s="69"/>
      <c r="BK201" s="69"/>
      <c r="BL201" s="69"/>
      <c r="BM201" s="69"/>
      <c r="BN201" s="69"/>
      <c r="BO201" s="69"/>
      <c r="BP201" s="69"/>
      <c r="BQ201" s="69"/>
      <c r="BR201" s="69"/>
      <c r="BS201" s="69"/>
      <c r="BT201" s="69"/>
      <c r="BU201" s="69"/>
      <c r="BV201" s="69"/>
      <c r="BW201" s="69"/>
      <c r="BX201" s="69"/>
      <c r="BY201" s="69"/>
      <c r="BZ201" s="69"/>
      <c r="CA201" s="69"/>
      <c r="CB201" s="69"/>
      <c r="CC201" s="69"/>
      <c r="CD201" s="69"/>
      <c r="CE201" s="69"/>
      <c r="CF201" s="69"/>
      <c r="CG201" s="69"/>
      <c r="CH201" s="69"/>
      <c r="CI201" s="69"/>
      <c r="CJ201" s="69"/>
      <c r="CK201" s="69"/>
      <c r="CL201" s="69"/>
      <c r="CM201" s="69"/>
      <c r="CN201" s="69"/>
      <c r="CO201" s="69"/>
      <c r="CP201" s="69"/>
      <c r="CQ201" s="69"/>
      <c r="CR201" s="69"/>
      <c r="CS201" s="70"/>
      <c r="CT201" s="16"/>
      <c r="CU201" s="16"/>
      <c r="CV201" s="16"/>
      <c r="CW201" s="16"/>
      <c r="CX201" s="16"/>
      <c r="CY201" s="16"/>
      <c r="CZ201" s="16"/>
      <c r="DA201" s="16"/>
      <c r="DB201" s="16"/>
      <c r="DC201" s="16"/>
      <c r="DD201" s="16"/>
      <c r="DE201" s="16"/>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6"/>
      <c r="AD202" s="15"/>
      <c r="AE202" s="15"/>
      <c r="AF202" s="16"/>
      <c r="AG202" s="15"/>
      <c r="AH202" s="15"/>
      <c r="AI202" s="16"/>
      <c r="AJ202" s="15"/>
      <c r="AK202" s="15"/>
      <c r="AL202" s="16"/>
      <c r="AM202" s="15"/>
      <c r="AN202" s="15"/>
      <c r="AO202" s="16"/>
      <c r="AP202" s="15"/>
      <c r="AQ202" s="15"/>
      <c r="AR202" s="16"/>
      <c r="AS202" s="15"/>
      <c r="AT202" s="15"/>
      <c r="AU202" s="16"/>
      <c r="AV202" s="15"/>
      <c r="AW202" s="15"/>
      <c r="AX202" s="16"/>
      <c r="AY202" s="15"/>
      <c r="AZ202" s="15"/>
      <c r="BA202" s="16"/>
      <c r="BB202" s="16"/>
      <c r="BC202" s="16"/>
      <c r="BD202" s="16"/>
      <c r="BE202" s="16"/>
      <c r="BF202" s="16"/>
      <c r="BG202" s="16"/>
      <c r="BH202" s="16"/>
      <c r="BI202" s="16"/>
      <c r="BJ202" s="69"/>
      <c r="BK202" s="69"/>
      <c r="BL202" s="69"/>
      <c r="BM202" s="69"/>
      <c r="BN202" s="69"/>
      <c r="BO202" s="69"/>
      <c r="BP202" s="69"/>
      <c r="BQ202" s="69"/>
      <c r="BR202" s="69"/>
      <c r="BS202" s="69"/>
      <c r="BT202" s="69"/>
      <c r="BU202" s="69"/>
      <c r="BV202" s="69"/>
      <c r="BW202" s="69"/>
      <c r="BX202" s="69"/>
      <c r="BY202" s="69"/>
      <c r="BZ202" s="69"/>
      <c r="CA202" s="69"/>
      <c r="CB202" s="69"/>
      <c r="CC202" s="69"/>
      <c r="CD202" s="69"/>
      <c r="CE202" s="69"/>
      <c r="CF202" s="69"/>
      <c r="CG202" s="69"/>
      <c r="CH202" s="69"/>
      <c r="CI202" s="69"/>
      <c r="CJ202" s="69"/>
      <c r="CK202" s="69"/>
      <c r="CL202" s="69"/>
      <c r="CM202" s="69"/>
      <c r="CN202" s="69"/>
      <c r="CO202" s="69"/>
      <c r="CP202" s="69"/>
      <c r="CQ202" s="69"/>
      <c r="CR202" s="69"/>
      <c r="CS202" s="70"/>
      <c r="CT202" s="16"/>
      <c r="CU202" s="16"/>
      <c r="CV202" s="16"/>
      <c r="CW202" s="16"/>
      <c r="CX202" s="16"/>
      <c r="CY202" s="16"/>
      <c r="CZ202" s="16"/>
      <c r="DA202" s="16"/>
      <c r="DB202" s="16"/>
      <c r="DC202" s="16"/>
      <c r="DD202" s="16"/>
      <c r="DE202" s="16"/>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6"/>
      <c r="AD203" s="15"/>
      <c r="AE203" s="15"/>
      <c r="AF203" s="16"/>
      <c r="AG203" s="15"/>
      <c r="AH203" s="15"/>
      <c r="AI203" s="16"/>
      <c r="AJ203" s="15"/>
      <c r="AK203" s="15"/>
      <c r="AL203" s="16"/>
      <c r="AM203" s="15"/>
      <c r="AN203" s="15"/>
      <c r="AO203" s="16"/>
      <c r="AP203" s="15"/>
      <c r="AQ203" s="15"/>
      <c r="AR203" s="16"/>
      <c r="AS203" s="15"/>
      <c r="AT203" s="15"/>
      <c r="AU203" s="16"/>
      <c r="AV203" s="15"/>
      <c r="AW203" s="15"/>
      <c r="AX203" s="16"/>
      <c r="AY203" s="15"/>
      <c r="AZ203" s="15"/>
      <c r="BA203" s="16"/>
      <c r="BB203" s="16"/>
      <c r="BC203" s="16"/>
      <c r="BD203" s="16"/>
      <c r="BE203" s="16"/>
      <c r="BF203" s="16"/>
      <c r="BG203" s="16"/>
      <c r="BH203" s="16"/>
      <c r="BI203" s="16"/>
      <c r="BJ203" s="69"/>
      <c r="BK203" s="69"/>
      <c r="BL203" s="69"/>
      <c r="BM203" s="69"/>
      <c r="BN203" s="69"/>
      <c r="BO203" s="69"/>
      <c r="BP203" s="69"/>
      <c r="BQ203" s="69"/>
      <c r="BR203" s="69"/>
      <c r="BS203" s="69"/>
      <c r="BT203" s="69"/>
      <c r="BU203" s="69"/>
      <c r="BV203" s="69"/>
      <c r="BW203" s="69"/>
      <c r="BX203" s="69"/>
      <c r="BY203" s="69"/>
      <c r="BZ203" s="69"/>
      <c r="CA203" s="69"/>
      <c r="CB203" s="69"/>
      <c r="CC203" s="69"/>
      <c r="CD203" s="69"/>
      <c r="CE203" s="69"/>
      <c r="CF203" s="69"/>
      <c r="CG203" s="69"/>
      <c r="CH203" s="69"/>
      <c r="CI203" s="69"/>
      <c r="CJ203" s="69"/>
      <c r="CK203" s="69"/>
      <c r="CL203" s="69"/>
      <c r="CM203" s="69"/>
      <c r="CN203" s="69"/>
      <c r="CO203" s="69"/>
      <c r="CP203" s="69"/>
      <c r="CQ203" s="69"/>
      <c r="CR203" s="69"/>
      <c r="CS203" s="70"/>
      <c r="CT203" s="16"/>
      <c r="CU203" s="16"/>
      <c r="CV203" s="16"/>
      <c r="CW203" s="16"/>
      <c r="CX203" s="16"/>
      <c r="CY203" s="16"/>
      <c r="CZ203" s="16"/>
      <c r="DA203" s="16"/>
      <c r="DB203" s="16"/>
      <c r="DC203" s="16"/>
      <c r="DD203" s="16"/>
      <c r="DE203" s="16"/>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6"/>
      <c r="AD204" s="15"/>
      <c r="AE204" s="15"/>
      <c r="AF204" s="16"/>
      <c r="AG204" s="15"/>
      <c r="AH204" s="15"/>
      <c r="AI204" s="16"/>
      <c r="AJ204" s="15"/>
      <c r="AK204" s="15"/>
      <c r="AL204" s="16"/>
      <c r="AM204" s="15"/>
      <c r="AN204" s="15"/>
      <c r="AO204" s="16"/>
      <c r="AP204" s="15"/>
      <c r="AQ204" s="15"/>
      <c r="AR204" s="16"/>
      <c r="AS204" s="15"/>
      <c r="AT204" s="15"/>
      <c r="AU204" s="16"/>
      <c r="AV204" s="15"/>
      <c r="AW204" s="15"/>
      <c r="AX204" s="16"/>
      <c r="AY204" s="15"/>
      <c r="AZ204" s="15"/>
      <c r="BA204" s="16"/>
      <c r="BB204" s="16"/>
      <c r="BC204" s="16"/>
      <c r="BD204" s="16"/>
      <c r="BE204" s="16"/>
      <c r="BF204" s="16"/>
      <c r="BG204" s="16"/>
      <c r="BH204" s="16"/>
      <c r="BI204" s="16"/>
      <c r="BJ204" s="69"/>
      <c r="BK204" s="69"/>
      <c r="BL204" s="69"/>
      <c r="BM204" s="69"/>
      <c r="BN204" s="69"/>
      <c r="BO204" s="69"/>
      <c r="BP204" s="69"/>
      <c r="BQ204" s="69"/>
      <c r="BR204" s="69"/>
      <c r="BS204" s="69"/>
      <c r="BT204" s="69"/>
      <c r="BU204" s="69"/>
      <c r="BV204" s="69"/>
      <c r="BW204" s="69"/>
      <c r="BX204" s="69"/>
      <c r="BY204" s="69"/>
      <c r="BZ204" s="69"/>
      <c r="CA204" s="69"/>
      <c r="CB204" s="69"/>
      <c r="CC204" s="69"/>
      <c r="CD204" s="69"/>
      <c r="CE204" s="69"/>
      <c r="CF204" s="69"/>
      <c r="CG204" s="69"/>
      <c r="CH204" s="69"/>
      <c r="CI204" s="69"/>
      <c r="CJ204" s="69"/>
      <c r="CK204" s="69"/>
      <c r="CL204" s="69"/>
      <c r="CM204" s="69"/>
      <c r="CN204" s="69"/>
      <c r="CO204" s="69"/>
      <c r="CP204" s="69"/>
      <c r="CQ204" s="69"/>
      <c r="CR204" s="69"/>
      <c r="CS204" s="70"/>
      <c r="CT204" s="16"/>
      <c r="CU204" s="16"/>
      <c r="CV204" s="16"/>
      <c r="CW204" s="16"/>
      <c r="CX204" s="16"/>
      <c r="CY204" s="16"/>
      <c r="CZ204" s="16"/>
      <c r="DA204" s="16"/>
      <c r="DB204" s="16"/>
      <c r="DC204" s="16"/>
      <c r="DD204" s="16"/>
      <c r="DE204" s="16"/>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6"/>
      <c r="AD205" s="15"/>
      <c r="AE205" s="15"/>
      <c r="AF205" s="16"/>
      <c r="AG205" s="15"/>
      <c r="AH205" s="15"/>
      <c r="AI205" s="16"/>
      <c r="AJ205" s="15"/>
      <c r="AK205" s="15"/>
      <c r="AL205" s="16"/>
      <c r="AM205" s="15"/>
      <c r="AN205" s="15"/>
      <c r="AO205" s="16"/>
      <c r="AP205" s="15"/>
      <c r="AQ205" s="15"/>
      <c r="AR205" s="16"/>
      <c r="AS205" s="15"/>
      <c r="AT205" s="15"/>
      <c r="AU205" s="16"/>
      <c r="AV205" s="15"/>
      <c r="AW205" s="15"/>
      <c r="AX205" s="16"/>
      <c r="AY205" s="15"/>
      <c r="AZ205" s="15"/>
      <c r="BA205" s="16"/>
      <c r="BB205" s="16"/>
      <c r="BC205" s="16"/>
      <c r="BD205" s="16"/>
      <c r="BE205" s="16"/>
      <c r="BF205" s="16"/>
      <c r="BG205" s="16"/>
      <c r="BH205" s="16"/>
      <c r="BI205" s="16"/>
      <c r="BJ205" s="69"/>
      <c r="BK205" s="69"/>
      <c r="BL205" s="69"/>
      <c r="BM205" s="69"/>
      <c r="BN205" s="69"/>
      <c r="BO205" s="69"/>
      <c r="BP205" s="69"/>
      <c r="BQ205" s="69"/>
      <c r="BR205" s="69"/>
      <c r="BS205" s="69"/>
      <c r="BT205" s="69"/>
      <c r="BU205" s="69"/>
      <c r="BV205" s="69"/>
      <c r="BW205" s="69"/>
      <c r="BX205" s="69"/>
      <c r="BY205" s="69"/>
      <c r="BZ205" s="69"/>
      <c r="CA205" s="69"/>
      <c r="CB205" s="69"/>
      <c r="CC205" s="69"/>
      <c r="CD205" s="69"/>
      <c r="CE205" s="69"/>
      <c r="CF205" s="69"/>
      <c r="CG205" s="69"/>
      <c r="CH205" s="69"/>
      <c r="CI205" s="69"/>
      <c r="CJ205" s="69"/>
      <c r="CK205" s="69"/>
      <c r="CL205" s="69"/>
      <c r="CM205" s="69"/>
      <c r="CN205" s="69"/>
      <c r="CO205" s="69"/>
      <c r="CP205" s="69"/>
      <c r="CQ205" s="69"/>
      <c r="CR205" s="69"/>
      <c r="CS205" s="70"/>
      <c r="CT205" s="16"/>
      <c r="CU205" s="16"/>
      <c r="CV205" s="16"/>
      <c r="CW205" s="16"/>
      <c r="CX205" s="16"/>
      <c r="CY205" s="16"/>
      <c r="CZ205" s="16"/>
      <c r="DA205" s="16"/>
      <c r="DB205" s="16"/>
      <c r="DC205" s="16"/>
      <c r="DD205" s="16"/>
      <c r="DE205" s="16"/>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6"/>
      <c r="AD206" s="15"/>
      <c r="AE206" s="15"/>
      <c r="AF206" s="16"/>
      <c r="AG206" s="15"/>
      <c r="AH206" s="15"/>
      <c r="AI206" s="16"/>
      <c r="AJ206" s="15"/>
      <c r="AK206" s="15"/>
      <c r="AL206" s="16"/>
      <c r="AM206" s="15"/>
      <c r="AN206" s="15"/>
      <c r="AO206" s="16"/>
      <c r="AP206" s="15"/>
      <c r="AQ206" s="15"/>
      <c r="AR206" s="16"/>
      <c r="AS206" s="15"/>
      <c r="AT206" s="15"/>
      <c r="AU206" s="16"/>
      <c r="AV206" s="15"/>
      <c r="AW206" s="15"/>
      <c r="AX206" s="16"/>
      <c r="AY206" s="15"/>
      <c r="AZ206" s="15"/>
      <c r="BA206" s="16"/>
      <c r="BB206" s="16"/>
      <c r="BC206" s="16"/>
      <c r="BD206" s="16"/>
      <c r="BE206" s="16"/>
      <c r="BF206" s="16"/>
      <c r="BG206" s="16"/>
      <c r="BH206" s="16"/>
      <c r="BI206" s="16"/>
      <c r="BJ206" s="69"/>
      <c r="BK206" s="69"/>
      <c r="BL206" s="69"/>
      <c r="BM206" s="69"/>
      <c r="BN206" s="69"/>
      <c r="BO206" s="69"/>
      <c r="BP206" s="69"/>
      <c r="BQ206" s="69"/>
      <c r="BR206" s="69"/>
      <c r="BS206" s="69"/>
      <c r="BT206" s="69"/>
      <c r="BU206" s="69"/>
      <c r="BV206" s="69"/>
      <c r="BW206" s="69"/>
      <c r="BX206" s="69"/>
      <c r="BY206" s="69"/>
      <c r="BZ206" s="69"/>
      <c r="CA206" s="69"/>
      <c r="CB206" s="69"/>
      <c r="CC206" s="69"/>
      <c r="CD206" s="69"/>
      <c r="CE206" s="69"/>
      <c r="CF206" s="69"/>
      <c r="CG206" s="69"/>
      <c r="CH206" s="69"/>
      <c r="CI206" s="69"/>
      <c r="CJ206" s="69"/>
      <c r="CK206" s="69"/>
      <c r="CL206" s="69"/>
      <c r="CM206" s="69"/>
      <c r="CN206" s="69"/>
      <c r="CO206" s="69"/>
      <c r="CP206" s="69"/>
      <c r="CQ206" s="69"/>
      <c r="CR206" s="69"/>
      <c r="CS206" s="70"/>
      <c r="CT206" s="16"/>
      <c r="CU206" s="16"/>
      <c r="CV206" s="16"/>
      <c r="CW206" s="16"/>
      <c r="CX206" s="16"/>
      <c r="CY206" s="16"/>
      <c r="CZ206" s="16"/>
      <c r="DA206" s="16"/>
      <c r="DB206" s="16"/>
      <c r="DC206" s="16"/>
      <c r="DD206" s="16"/>
      <c r="DE206" s="16"/>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6"/>
      <c r="AD207" s="15"/>
      <c r="AE207" s="15"/>
      <c r="AF207" s="16"/>
      <c r="AG207" s="15"/>
      <c r="AH207" s="15"/>
      <c r="AI207" s="16"/>
      <c r="AJ207" s="15"/>
      <c r="AK207" s="15"/>
      <c r="AL207" s="16"/>
      <c r="AM207" s="15"/>
      <c r="AN207" s="15"/>
      <c r="AO207" s="16"/>
      <c r="AP207" s="15"/>
      <c r="AQ207" s="15"/>
      <c r="AR207" s="16"/>
      <c r="AS207" s="15"/>
      <c r="AT207" s="15"/>
      <c r="AU207" s="16"/>
      <c r="AV207" s="15"/>
      <c r="AW207" s="15"/>
      <c r="AX207" s="16"/>
      <c r="AY207" s="15"/>
      <c r="AZ207" s="15"/>
      <c r="BA207" s="16"/>
      <c r="BB207" s="16"/>
      <c r="BC207" s="16"/>
      <c r="BD207" s="16"/>
      <c r="BE207" s="16"/>
      <c r="BF207" s="16"/>
      <c r="BG207" s="16"/>
      <c r="BH207" s="16"/>
      <c r="BI207" s="16"/>
      <c r="BJ207" s="69"/>
      <c r="BK207" s="69"/>
      <c r="BL207" s="69"/>
      <c r="BM207" s="69"/>
      <c r="BN207" s="69"/>
      <c r="BO207" s="69"/>
      <c r="BP207" s="69"/>
      <c r="BQ207" s="69"/>
      <c r="BR207" s="69"/>
      <c r="BS207" s="69"/>
      <c r="BT207" s="69"/>
      <c r="BU207" s="69"/>
      <c r="BV207" s="69"/>
      <c r="BW207" s="69"/>
      <c r="BX207" s="69"/>
      <c r="BY207" s="69"/>
      <c r="BZ207" s="69"/>
      <c r="CA207" s="69"/>
      <c r="CB207" s="69"/>
      <c r="CC207" s="69"/>
      <c r="CD207" s="69"/>
      <c r="CE207" s="69"/>
      <c r="CF207" s="69"/>
      <c r="CG207" s="69"/>
      <c r="CH207" s="69"/>
      <c r="CI207" s="69"/>
      <c r="CJ207" s="69"/>
      <c r="CK207" s="69"/>
      <c r="CL207" s="69"/>
      <c r="CM207" s="69"/>
      <c r="CN207" s="69"/>
      <c r="CO207" s="69"/>
      <c r="CP207" s="69"/>
      <c r="CQ207" s="69"/>
      <c r="CR207" s="69"/>
      <c r="CS207" s="70"/>
      <c r="CT207" s="16"/>
      <c r="CU207" s="16"/>
      <c r="CV207" s="16"/>
      <c r="CW207" s="16"/>
      <c r="CX207" s="16"/>
      <c r="CY207" s="16"/>
      <c r="CZ207" s="16"/>
      <c r="DA207" s="16"/>
      <c r="DB207" s="16"/>
      <c r="DC207" s="16"/>
      <c r="DD207" s="16"/>
      <c r="DE207" s="16"/>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6"/>
      <c r="AD208" s="15"/>
      <c r="AE208" s="15"/>
      <c r="AF208" s="16"/>
      <c r="AG208" s="15"/>
      <c r="AH208" s="15"/>
      <c r="AI208" s="16"/>
      <c r="AJ208" s="15"/>
      <c r="AK208" s="15"/>
      <c r="AL208" s="16"/>
      <c r="AM208" s="15"/>
      <c r="AN208" s="15"/>
      <c r="AO208" s="16"/>
      <c r="AP208" s="15"/>
      <c r="AQ208" s="15"/>
      <c r="AR208" s="16"/>
      <c r="AS208" s="15"/>
      <c r="AT208" s="15"/>
      <c r="AU208" s="16"/>
      <c r="AV208" s="15"/>
      <c r="AW208" s="15"/>
      <c r="AX208" s="16"/>
      <c r="AY208" s="15"/>
      <c r="AZ208" s="15"/>
      <c r="BA208" s="16"/>
      <c r="BB208" s="16"/>
      <c r="BC208" s="16"/>
      <c r="BD208" s="16"/>
      <c r="BE208" s="16"/>
      <c r="BF208" s="16"/>
      <c r="BG208" s="16"/>
      <c r="BH208" s="16"/>
      <c r="BI208" s="16"/>
      <c r="BJ208" s="69"/>
      <c r="BK208" s="69"/>
      <c r="BL208" s="69"/>
      <c r="BM208" s="69"/>
      <c r="BN208" s="69"/>
      <c r="BO208" s="69"/>
      <c r="BP208" s="69"/>
      <c r="BQ208" s="69"/>
      <c r="BR208" s="69"/>
      <c r="BS208" s="69"/>
      <c r="BT208" s="69"/>
      <c r="BU208" s="69"/>
      <c r="BV208" s="69"/>
      <c r="BW208" s="69"/>
      <c r="BX208" s="69"/>
      <c r="BY208" s="69"/>
      <c r="BZ208" s="69"/>
      <c r="CA208" s="69"/>
      <c r="CB208" s="69"/>
      <c r="CC208" s="69"/>
      <c r="CD208" s="69"/>
      <c r="CE208" s="69"/>
      <c r="CF208" s="69"/>
      <c r="CG208" s="69"/>
      <c r="CH208" s="69"/>
      <c r="CI208" s="69"/>
      <c r="CJ208" s="69"/>
      <c r="CK208" s="69"/>
      <c r="CL208" s="69"/>
      <c r="CM208" s="69"/>
      <c r="CN208" s="69"/>
      <c r="CO208" s="69"/>
      <c r="CP208" s="69"/>
      <c r="CQ208" s="69"/>
      <c r="CR208" s="69"/>
      <c r="CS208" s="70"/>
      <c r="CT208" s="16"/>
      <c r="CU208" s="16"/>
      <c r="CV208" s="16"/>
      <c r="CW208" s="16"/>
      <c r="CX208" s="16"/>
      <c r="CY208" s="16"/>
      <c r="CZ208" s="16"/>
      <c r="DA208" s="16"/>
      <c r="DB208" s="16"/>
      <c r="DC208" s="16"/>
      <c r="DD208" s="16"/>
      <c r="DE208" s="16"/>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6"/>
      <c r="AD209" s="15"/>
      <c r="AE209" s="15"/>
      <c r="AF209" s="16"/>
      <c r="AG209" s="15"/>
      <c r="AH209" s="15"/>
      <c r="AI209" s="16"/>
      <c r="AJ209" s="15"/>
      <c r="AK209" s="15"/>
      <c r="AL209" s="16"/>
      <c r="AM209" s="15"/>
      <c r="AN209" s="15"/>
      <c r="AO209" s="16"/>
      <c r="AP209" s="15"/>
      <c r="AQ209" s="15"/>
      <c r="AR209" s="16"/>
      <c r="AS209" s="15"/>
      <c r="AT209" s="15"/>
      <c r="AU209" s="16"/>
      <c r="AV209" s="15"/>
      <c r="AW209" s="15"/>
      <c r="AX209" s="16"/>
      <c r="AY209" s="15"/>
      <c r="AZ209" s="15"/>
      <c r="BA209" s="16"/>
      <c r="BB209" s="16"/>
      <c r="BC209" s="16"/>
      <c r="BD209" s="16"/>
      <c r="BE209" s="16"/>
      <c r="BF209" s="16"/>
      <c r="BG209" s="16"/>
      <c r="BH209" s="16"/>
      <c r="BI209" s="16"/>
      <c r="BJ209" s="69"/>
      <c r="BK209" s="69"/>
      <c r="BL209" s="69"/>
      <c r="BM209" s="69"/>
      <c r="BN209" s="69"/>
      <c r="BO209" s="69"/>
      <c r="BP209" s="69"/>
      <c r="BQ209" s="69"/>
      <c r="BR209" s="69"/>
      <c r="BS209" s="69"/>
      <c r="BT209" s="69"/>
      <c r="BU209" s="69"/>
      <c r="BV209" s="69"/>
      <c r="BW209" s="69"/>
      <c r="BX209" s="69"/>
      <c r="BY209" s="69"/>
      <c r="BZ209" s="69"/>
      <c r="CA209" s="69"/>
      <c r="CB209" s="69"/>
      <c r="CC209" s="69"/>
      <c r="CD209" s="69"/>
      <c r="CE209" s="69"/>
      <c r="CF209" s="69"/>
      <c r="CG209" s="69"/>
      <c r="CH209" s="69"/>
      <c r="CI209" s="69"/>
      <c r="CJ209" s="69"/>
      <c r="CK209" s="69"/>
      <c r="CL209" s="69"/>
      <c r="CM209" s="69"/>
      <c r="CN209" s="69"/>
      <c r="CO209" s="69"/>
      <c r="CP209" s="69"/>
      <c r="CQ209" s="69"/>
      <c r="CR209" s="69"/>
      <c r="CS209" s="70"/>
      <c r="CT209" s="16"/>
      <c r="CU209" s="16"/>
      <c r="CV209" s="16"/>
      <c r="CW209" s="16"/>
      <c r="CX209" s="16"/>
      <c r="CY209" s="16"/>
      <c r="CZ209" s="16"/>
      <c r="DA209" s="16"/>
      <c r="DB209" s="16"/>
      <c r="DC209" s="16"/>
      <c r="DD209" s="16"/>
      <c r="DE209" s="16"/>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6"/>
      <c r="AD210" s="15"/>
      <c r="AE210" s="15"/>
      <c r="AF210" s="16"/>
      <c r="AG210" s="15"/>
      <c r="AH210" s="15"/>
      <c r="AI210" s="16"/>
      <c r="AJ210" s="15"/>
      <c r="AK210" s="15"/>
      <c r="AL210" s="16"/>
      <c r="AM210" s="15"/>
      <c r="AN210" s="15"/>
      <c r="AO210" s="16"/>
      <c r="AP210" s="15"/>
      <c r="AQ210" s="15"/>
      <c r="AR210" s="16"/>
      <c r="AS210" s="15"/>
      <c r="AT210" s="15"/>
      <c r="AU210" s="16"/>
      <c r="AV210" s="15"/>
      <c r="AW210" s="15"/>
      <c r="AX210" s="16"/>
      <c r="AY210" s="15"/>
      <c r="AZ210" s="15"/>
      <c r="BA210" s="16"/>
      <c r="BB210" s="16"/>
      <c r="BC210" s="16"/>
      <c r="BD210" s="16"/>
      <c r="BE210" s="16"/>
      <c r="BF210" s="16"/>
      <c r="BG210" s="16"/>
      <c r="BH210" s="16"/>
      <c r="BI210" s="16"/>
      <c r="BJ210" s="69"/>
      <c r="BK210" s="69"/>
      <c r="BL210" s="69"/>
      <c r="BM210" s="69"/>
      <c r="BN210" s="69"/>
      <c r="BO210" s="69"/>
      <c r="BP210" s="69"/>
      <c r="BQ210" s="69"/>
      <c r="BR210" s="69"/>
      <c r="BS210" s="69"/>
      <c r="BT210" s="69"/>
      <c r="BU210" s="69"/>
      <c r="BV210" s="69"/>
      <c r="BW210" s="69"/>
      <c r="BX210" s="69"/>
      <c r="BY210" s="69"/>
      <c r="BZ210" s="69"/>
      <c r="CA210" s="69"/>
      <c r="CB210" s="69"/>
      <c r="CC210" s="69"/>
      <c r="CD210" s="69"/>
      <c r="CE210" s="69"/>
      <c r="CF210" s="69"/>
      <c r="CG210" s="69"/>
      <c r="CH210" s="69"/>
      <c r="CI210" s="69"/>
      <c r="CJ210" s="69"/>
      <c r="CK210" s="69"/>
      <c r="CL210" s="69"/>
      <c r="CM210" s="69"/>
      <c r="CN210" s="69"/>
      <c r="CO210" s="69"/>
      <c r="CP210" s="69"/>
      <c r="CQ210" s="69"/>
      <c r="CR210" s="69"/>
      <c r="CS210" s="70"/>
      <c r="CT210" s="16"/>
      <c r="CU210" s="16"/>
      <c r="CV210" s="16"/>
      <c r="CW210" s="16"/>
      <c r="CX210" s="16"/>
      <c r="CY210" s="16"/>
      <c r="CZ210" s="16"/>
      <c r="DA210" s="16"/>
      <c r="DB210" s="16"/>
      <c r="DC210" s="16"/>
      <c r="DD210" s="16"/>
      <c r="DE210" s="16"/>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6"/>
      <c r="AD211" s="15"/>
      <c r="AE211" s="15"/>
      <c r="AF211" s="16"/>
      <c r="AG211" s="15"/>
      <c r="AH211" s="15"/>
      <c r="AI211" s="16"/>
      <c r="AJ211" s="15"/>
      <c r="AK211" s="15"/>
      <c r="AL211" s="16"/>
      <c r="AM211" s="15"/>
      <c r="AN211" s="15"/>
      <c r="AO211" s="16"/>
      <c r="AP211" s="15"/>
      <c r="AQ211" s="15"/>
      <c r="AR211" s="16"/>
      <c r="AS211" s="15"/>
      <c r="AT211" s="15"/>
      <c r="AU211" s="16"/>
      <c r="AV211" s="15"/>
      <c r="AW211" s="15"/>
      <c r="AX211" s="16"/>
      <c r="AY211" s="15"/>
      <c r="AZ211" s="15"/>
      <c r="BA211" s="16"/>
      <c r="BB211" s="16"/>
      <c r="BC211" s="16"/>
      <c r="BD211" s="16"/>
      <c r="BE211" s="16"/>
      <c r="BF211" s="16"/>
      <c r="BG211" s="16"/>
      <c r="BH211" s="16"/>
      <c r="BI211" s="16"/>
      <c r="BJ211" s="69"/>
      <c r="BK211" s="69"/>
      <c r="BL211" s="69"/>
      <c r="BM211" s="69"/>
      <c r="BN211" s="69"/>
      <c r="BO211" s="69"/>
      <c r="BP211" s="69"/>
      <c r="BQ211" s="69"/>
      <c r="BR211" s="69"/>
      <c r="BS211" s="69"/>
      <c r="BT211" s="69"/>
      <c r="BU211" s="69"/>
      <c r="BV211" s="69"/>
      <c r="BW211" s="69"/>
      <c r="BX211" s="69"/>
      <c r="BY211" s="69"/>
      <c r="BZ211" s="69"/>
      <c r="CA211" s="69"/>
      <c r="CB211" s="69"/>
      <c r="CC211" s="69"/>
      <c r="CD211" s="69"/>
      <c r="CE211" s="69"/>
      <c r="CF211" s="69"/>
      <c r="CG211" s="69"/>
      <c r="CH211" s="69"/>
      <c r="CI211" s="69"/>
      <c r="CJ211" s="69"/>
      <c r="CK211" s="69"/>
      <c r="CL211" s="69"/>
      <c r="CM211" s="69"/>
      <c r="CN211" s="69"/>
      <c r="CO211" s="69"/>
      <c r="CP211" s="69"/>
      <c r="CQ211" s="69"/>
      <c r="CR211" s="69"/>
      <c r="CS211" s="70"/>
      <c r="CT211" s="16"/>
      <c r="CU211" s="16"/>
      <c r="CV211" s="16"/>
      <c r="CW211" s="16"/>
      <c r="CX211" s="16"/>
      <c r="CY211" s="16"/>
      <c r="CZ211" s="16"/>
      <c r="DA211" s="16"/>
      <c r="DB211" s="16"/>
      <c r="DC211" s="16"/>
      <c r="DD211" s="16"/>
      <c r="DE211" s="16"/>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6"/>
      <c r="AD212" s="15"/>
      <c r="AE212" s="15"/>
      <c r="AF212" s="16"/>
      <c r="AG212" s="15"/>
      <c r="AH212" s="15"/>
      <c r="AI212" s="16"/>
      <c r="AJ212" s="15"/>
      <c r="AK212" s="15"/>
      <c r="AL212" s="16"/>
      <c r="AM212" s="15"/>
      <c r="AN212" s="15"/>
      <c r="AO212" s="16"/>
      <c r="AP212" s="15"/>
      <c r="AQ212" s="15"/>
      <c r="AR212" s="16"/>
      <c r="AS212" s="15"/>
      <c r="AT212" s="15"/>
      <c r="AU212" s="16"/>
      <c r="AV212" s="15"/>
      <c r="AW212" s="15"/>
      <c r="AX212" s="16"/>
      <c r="AY212" s="15"/>
      <c r="AZ212" s="15"/>
      <c r="BA212" s="16"/>
      <c r="BB212" s="16"/>
      <c r="BC212" s="16"/>
      <c r="BD212" s="16"/>
      <c r="BE212" s="16"/>
      <c r="BF212" s="16"/>
      <c r="BG212" s="16"/>
      <c r="BH212" s="16"/>
      <c r="BI212" s="16"/>
      <c r="BJ212" s="69"/>
      <c r="BK212" s="69"/>
      <c r="BL212" s="69"/>
      <c r="BM212" s="69"/>
      <c r="BN212" s="69"/>
      <c r="BO212" s="69"/>
      <c r="BP212" s="69"/>
      <c r="BQ212" s="69"/>
      <c r="BR212" s="69"/>
      <c r="BS212" s="69"/>
      <c r="BT212" s="69"/>
      <c r="BU212" s="69"/>
      <c r="BV212" s="69"/>
      <c r="BW212" s="69"/>
      <c r="BX212" s="69"/>
      <c r="BY212" s="69"/>
      <c r="BZ212" s="69"/>
      <c r="CA212" s="69"/>
      <c r="CB212" s="69"/>
      <c r="CC212" s="69"/>
      <c r="CD212" s="69"/>
      <c r="CE212" s="69"/>
      <c r="CF212" s="69"/>
      <c r="CG212" s="69"/>
      <c r="CH212" s="69"/>
      <c r="CI212" s="69"/>
      <c r="CJ212" s="69"/>
      <c r="CK212" s="69"/>
      <c r="CL212" s="69"/>
      <c r="CM212" s="69"/>
      <c r="CN212" s="69"/>
      <c r="CO212" s="69"/>
      <c r="CP212" s="69"/>
      <c r="CQ212" s="69"/>
      <c r="CR212" s="69"/>
      <c r="CS212" s="70"/>
      <c r="CT212" s="16"/>
      <c r="CU212" s="16"/>
      <c r="CV212" s="16"/>
      <c r="CW212" s="16"/>
      <c r="CX212" s="16"/>
      <c r="CY212" s="16"/>
      <c r="CZ212" s="16"/>
      <c r="DA212" s="16"/>
      <c r="DB212" s="16"/>
      <c r="DC212" s="16"/>
      <c r="DD212" s="16"/>
      <c r="DE212" s="16"/>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6"/>
      <c r="AD213" s="15"/>
      <c r="AE213" s="15"/>
      <c r="AF213" s="16"/>
      <c r="AG213" s="15"/>
      <c r="AH213" s="15"/>
      <c r="AI213" s="16"/>
      <c r="AJ213" s="15"/>
      <c r="AK213" s="15"/>
      <c r="AL213" s="16"/>
      <c r="AM213" s="15"/>
      <c r="AN213" s="15"/>
      <c r="AO213" s="16"/>
      <c r="AP213" s="15"/>
      <c r="AQ213" s="15"/>
      <c r="AR213" s="16"/>
      <c r="AS213" s="15"/>
      <c r="AT213" s="15"/>
      <c r="AU213" s="16"/>
      <c r="AV213" s="15"/>
      <c r="AW213" s="15"/>
      <c r="AX213" s="16"/>
      <c r="AY213" s="15"/>
      <c r="AZ213" s="15"/>
      <c r="BA213" s="16"/>
      <c r="BB213" s="16"/>
      <c r="BC213" s="16"/>
      <c r="BD213" s="16"/>
      <c r="BE213" s="16"/>
      <c r="BF213" s="16"/>
      <c r="BG213" s="16"/>
      <c r="BH213" s="16"/>
      <c r="BI213" s="16"/>
      <c r="BJ213" s="69"/>
      <c r="BK213" s="69"/>
      <c r="BL213" s="69"/>
      <c r="BM213" s="69"/>
      <c r="BN213" s="69"/>
      <c r="BO213" s="69"/>
      <c r="BP213" s="69"/>
      <c r="BQ213" s="69"/>
      <c r="BR213" s="69"/>
      <c r="BS213" s="69"/>
      <c r="BT213" s="69"/>
      <c r="BU213" s="69"/>
      <c r="BV213" s="69"/>
      <c r="BW213" s="69"/>
      <c r="BX213" s="69"/>
      <c r="BY213" s="69"/>
      <c r="BZ213" s="69"/>
      <c r="CA213" s="69"/>
      <c r="CB213" s="69"/>
      <c r="CC213" s="69"/>
      <c r="CD213" s="69"/>
      <c r="CE213" s="69"/>
      <c r="CF213" s="69"/>
      <c r="CG213" s="69"/>
      <c r="CH213" s="69"/>
      <c r="CI213" s="69"/>
      <c r="CJ213" s="69"/>
      <c r="CK213" s="69"/>
      <c r="CL213" s="69"/>
      <c r="CM213" s="69"/>
      <c r="CN213" s="69"/>
      <c r="CO213" s="69"/>
      <c r="CP213" s="69"/>
      <c r="CQ213" s="69"/>
      <c r="CR213" s="69"/>
      <c r="CS213" s="70"/>
      <c r="CT213" s="16"/>
      <c r="CU213" s="16"/>
      <c r="CV213" s="16"/>
      <c r="CW213" s="16"/>
      <c r="CX213" s="16"/>
      <c r="CY213" s="16"/>
      <c r="CZ213" s="16"/>
      <c r="DA213" s="16"/>
      <c r="DB213" s="16"/>
      <c r="DC213" s="16"/>
      <c r="DD213" s="16"/>
      <c r="DE213" s="16"/>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6"/>
      <c r="AD214" s="15"/>
      <c r="AE214" s="15"/>
      <c r="AF214" s="16"/>
      <c r="AG214" s="15"/>
      <c r="AH214" s="15"/>
      <c r="AI214" s="16"/>
      <c r="AJ214" s="15"/>
      <c r="AK214" s="15"/>
      <c r="AL214" s="16"/>
      <c r="AM214" s="15"/>
      <c r="AN214" s="15"/>
      <c r="AO214" s="16"/>
      <c r="AP214" s="15"/>
      <c r="AQ214" s="15"/>
      <c r="AR214" s="16"/>
      <c r="AS214" s="15"/>
      <c r="AT214" s="15"/>
      <c r="AU214" s="16"/>
      <c r="AV214" s="15"/>
      <c r="AW214" s="15"/>
      <c r="AX214" s="16"/>
      <c r="AY214" s="15"/>
      <c r="AZ214" s="15"/>
      <c r="BA214" s="16"/>
      <c r="BB214" s="16"/>
      <c r="BC214" s="16"/>
      <c r="BD214" s="16"/>
      <c r="BE214" s="16"/>
      <c r="BF214" s="16"/>
      <c r="BG214" s="16"/>
      <c r="BH214" s="16"/>
      <c r="BI214" s="16"/>
      <c r="BJ214" s="69"/>
      <c r="BK214" s="69"/>
      <c r="BL214" s="69"/>
      <c r="BM214" s="69"/>
      <c r="BN214" s="69"/>
      <c r="BO214" s="69"/>
      <c r="BP214" s="69"/>
      <c r="BQ214" s="69"/>
      <c r="BR214" s="69"/>
      <c r="BS214" s="69"/>
      <c r="BT214" s="69"/>
      <c r="BU214" s="69"/>
      <c r="BV214" s="69"/>
      <c r="BW214" s="69"/>
      <c r="BX214" s="69"/>
      <c r="BY214" s="69"/>
      <c r="BZ214" s="69"/>
      <c r="CA214" s="69"/>
      <c r="CB214" s="69"/>
      <c r="CC214" s="69"/>
      <c r="CD214" s="69"/>
      <c r="CE214" s="69"/>
      <c r="CF214" s="69"/>
      <c r="CG214" s="69"/>
      <c r="CH214" s="69"/>
      <c r="CI214" s="69"/>
      <c r="CJ214" s="69"/>
      <c r="CK214" s="69"/>
      <c r="CL214" s="69"/>
      <c r="CM214" s="69"/>
      <c r="CN214" s="69"/>
      <c r="CO214" s="69"/>
      <c r="CP214" s="69"/>
      <c r="CQ214" s="69"/>
      <c r="CR214" s="69"/>
      <c r="CS214" s="70"/>
      <c r="CT214" s="16"/>
      <c r="CU214" s="16"/>
      <c r="CV214" s="16"/>
      <c r="CW214" s="16"/>
      <c r="CX214" s="16"/>
      <c r="CY214" s="16"/>
      <c r="CZ214" s="16"/>
      <c r="DA214" s="16"/>
      <c r="DB214" s="16"/>
      <c r="DC214" s="16"/>
      <c r="DD214" s="16"/>
      <c r="DE214" s="16"/>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6"/>
      <c r="AD215" s="15"/>
      <c r="AE215" s="15"/>
      <c r="AF215" s="16"/>
      <c r="AG215" s="15"/>
      <c r="AH215" s="15"/>
      <c r="AI215" s="16"/>
      <c r="AJ215" s="15"/>
      <c r="AK215" s="15"/>
      <c r="AL215" s="16"/>
      <c r="AM215" s="15"/>
      <c r="AN215" s="15"/>
      <c r="AO215" s="16"/>
      <c r="AP215" s="15"/>
      <c r="AQ215" s="15"/>
      <c r="AR215" s="16"/>
      <c r="AS215" s="15"/>
      <c r="AT215" s="15"/>
      <c r="AU215" s="16"/>
      <c r="AV215" s="15"/>
      <c r="AW215" s="15"/>
      <c r="AX215" s="16"/>
      <c r="AY215" s="15"/>
      <c r="AZ215" s="15"/>
      <c r="BA215" s="16"/>
      <c r="BB215" s="16"/>
      <c r="BC215" s="16"/>
      <c r="BD215" s="16"/>
      <c r="BE215" s="16"/>
      <c r="BF215" s="16"/>
      <c r="BG215" s="16"/>
      <c r="BH215" s="16"/>
      <c r="BI215" s="16"/>
      <c r="BJ215" s="69"/>
      <c r="BK215" s="69"/>
      <c r="BL215" s="69"/>
      <c r="BM215" s="69"/>
      <c r="BN215" s="69"/>
      <c r="BO215" s="69"/>
      <c r="BP215" s="69"/>
      <c r="BQ215" s="69"/>
      <c r="BR215" s="69"/>
      <c r="BS215" s="69"/>
      <c r="BT215" s="69"/>
      <c r="BU215" s="69"/>
      <c r="BV215" s="69"/>
      <c r="BW215" s="69"/>
      <c r="BX215" s="69"/>
      <c r="BY215" s="69"/>
      <c r="BZ215" s="69"/>
      <c r="CA215" s="69"/>
      <c r="CB215" s="69"/>
      <c r="CC215" s="69"/>
      <c r="CD215" s="69"/>
      <c r="CE215" s="69"/>
      <c r="CF215" s="69"/>
      <c r="CG215" s="69"/>
      <c r="CH215" s="69"/>
      <c r="CI215" s="69"/>
      <c r="CJ215" s="69"/>
      <c r="CK215" s="69"/>
      <c r="CL215" s="69"/>
      <c r="CM215" s="69"/>
      <c r="CN215" s="69"/>
      <c r="CO215" s="69"/>
      <c r="CP215" s="69"/>
      <c r="CQ215" s="69"/>
      <c r="CR215" s="69"/>
      <c r="CS215" s="70"/>
      <c r="CT215" s="16"/>
      <c r="CU215" s="16"/>
      <c r="CV215" s="16"/>
      <c r="CW215" s="16"/>
      <c r="CX215" s="16"/>
      <c r="CY215" s="16"/>
      <c r="CZ215" s="16"/>
      <c r="DA215" s="16"/>
      <c r="DB215" s="16"/>
      <c r="DC215" s="16"/>
      <c r="DD215" s="16"/>
      <c r="DE215" s="16"/>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6"/>
      <c r="AD216" s="15"/>
      <c r="AE216" s="15"/>
      <c r="AF216" s="16"/>
      <c r="AG216" s="15"/>
      <c r="AH216" s="15"/>
      <c r="AI216" s="16"/>
      <c r="AJ216" s="15"/>
      <c r="AK216" s="15"/>
      <c r="AL216" s="16"/>
      <c r="AM216" s="15"/>
      <c r="AN216" s="15"/>
      <c r="AO216" s="16"/>
      <c r="AP216" s="15"/>
      <c r="AQ216" s="15"/>
      <c r="AR216" s="16"/>
      <c r="AS216" s="15"/>
      <c r="AT216" s="15"/>
      <c r="AU216" s="16"/>
      <c r="AV216" s="15"/>
      <c r="AW216" s="15"/>
      <c r="AX216" s="16"/>
      <c r="AY216" s="15"/>
      <c r="AZ216" s="15"/>
      <c r="BA216" s="16"/>
      <c r="BB216" s="16"/>
      <c r="BC216" s="16"/>
      <c r="BD216" s="16"/>
      <c r="BE216" s="16"/>
      <c r="BF216" s="16"/>
      <c r="BG216" s="16"/>
      <c r="BH216" s="16"/>
      <c r="BI216" s="16"/>
      <c r="BJ216" s="69"/>
      <c r="BK216" s="69"/>
      <c r="BL216" s="69"/>
      <c r="BM216" s="69"/>
      <c r="BN216" s="69"/>
      <c r="BO216" s="69"/>
      <c r="BP216" s="69"/>
      <c r="BQ216" s="69"/>
      <c r="BR216" s="69"/>
      <c r="BS216" s="69"/>
      <c r="BT216" s="69"/>
      <c r="BU216" s="69"/>
      <c r="BV216" s="69"/>
      <c r="BW216" s="69"/>
      <c r="BX216" s="69"/>
      <c r="BY216" s="69"/>
      <c r="BZ216" s="69"/>
      <c r="CA216" s="69"/>
      <c r="CB216" s="69"/>
      <c r="CC216" s="69"/>
      <c r="CD216" s="69"/>
      <c r="CE216" s="69"/>
      <c r="CF216" s="69"/>
      <c r="CG216" s="69"/>
      <c r="CH216" s="69"/>
      <c r="CI216" s="69"/>
      <c r="CJ216" s="69"/>
      <c r="CK216" s="69"/>
      <c r="CL216" s="69"/>
      <c r="CM216" s="69"/>
      <c r="CN216" s="69"/>
      <c r="CO216" s="69"/>
      <c r="CP216" s="69"/>
      <c r="CQ216" s="69"/>
      <c r="CR216" s="69"/>
      <c r="CS216" s="70"/>
      <c r="CT216" s="16"/>
      <c r="CU216" s="16"/>
      <c r="CV216" s="16"/>
      <c r="CW216" s="16"/>
      <c r="CX216" s="16"/>
      <c r="CY216" s="16"/>
      <c r="CZ216" s="16"/>
      <c r="DA216" s="16"/>
      <c r="DB216" s="16"/>
      <c r="DC216" s="16"/>
      <c r="DD216" s="16"/>
      <c r="DE216" s="16"/>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6"/>
      <c r="AD217" s="15"/>
      <c r="AE217" s="15"/>
      <c r="AF217" s="16"/>
      <c r="AG217" s="15"/>
      <c r="AH217" s="15"/>
      <c r="AI217" s="16"/>
      <c r="AJ217" s="15"/>
      <c r="AK217" s="15"/>
      <c r="AL217" s="16"/>
      <c r="AM217" s="15"/>
      <c r="AN217" s="15"/>
      <c r="AO217" s="16"/>
      <c r="AP217" s="15"/>
      <c r="AQ217" s="15"/>
      <c r="AR217" s="16"/>
      <c r="AS217" s="15"/>
      <c r="AT217" s="15"/>
      <c r="AU217" s="16"/>
      <c r="AV217" s="15"/>
      <c r="AW217" s="15"/>
      <c r="AX217" s="16"/>
      <c r="AY217" s="15"/>
      <c r="AZ217" s="15"/>
      <c r="BA217" s="16"/>
      <c r="BB217" s="16"/>
      <c r="BC217" s="16"/>
      <c r="BD217" s="16"/>
      <c r="BE217" s="16"/>
      <c r="BF217" s="16"/>
      <c r="BG217" s="16"/>
      <c r="BH217" s="16"/>
      <c r="BI217" s="16"/>
      <c r="BJ217" s="69"/>
      <c r="BK217" s="69"/>
      <c r="BL217" s="69"/>
      <c r="BM217" s="69"/>
      <c r="BN217" s="69"/>
      <c r="BO217" s="69"/>
      <c r="BP217" s="69"/>
      <c r="BQ217" s="69"/>
      <c r="BR217" s="69"/>
      <c r="BS217" s="69"/>
      <c r="BT217" s="69"/>
      <c r="BU217" s="69"/>
      <c r="BV217" s="69"/>
      <c r="BW217" s="69"/>
      <c r="BX217" s="69"/>
      <c r="BY217" s="69"/>
      <c r="BZ217" s="69"/>
      <c r="CA217" s="69"/>
      <c r="CB217" s="69"/>
      <c r="CC217" s="69"/>
      <c r="CD217" s="69"/>
      <c r="CE217" s="69"/>
      <c r="CF217" s="69"/>
      <c r="CG217" s="69"/>
      <c r="CH217" s="69"/>
      <c r="CI217" s="69"/>
      <c r="CJ217" s="69"/>
      <c r="CK217" s="69"/>
      <c r="CL217" s="69"/>
      <c r="CM217" s="69"/>
      <c r="CN217" s="69"/>
      <c r="CO217" s="69"/>
      <c r="CP217" s="69"/>
      <c r="CQ217" s="69"/>
      <c r="CR217" s="69"/>
      <c r="CS217" s="70"/>
      <c r="CT217" s="16"/>
      <c r="CU217" s="16"/>
      <c r="CV217" s="16"/>
      <c r="CW217" s="16"/>
      <c r="CX217" s="16"/>
      <c r="CY217" s="16"/>
      <c r="CZ217" s="16"/>
      <c r="DA217" s="16"/>
      <c r="DB217" s="16"/>
      <c r="DC217" s="16"/>
      <c r="DD217" s="16"/>
      <c r="DE217" s="16"/>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6"/>
      <c r="AD218" s="15"/>
      <c r="AE218" s="15"/>
      <c r="AF218" s="16"/>
      <c r="AG218" s="15"/>
      <c r="AH218" s="15"/>
      <c r="AI218" s="16"/>
      <c r="AJ218" s="15"/>
      <c r="AK218" s="15"/>
      <c r="AL218" s="16"/>
      <c r="AM218" s="15"/>
      <c r="AN218" s="15"/>
      <c r="AO218" s="16"/>
      <c r="AP218" s="15"/>
      <c r="AQ218" s="15"/>
      <c r="AR218" s="16"/>
      <c r="AS218" s="15"/>
      <c r="AT218" s="15"/>
      <c r="AU218" s="16"/>
      <c r="AV218" s="15"/>
      <c r="AW218" s="15"/>
      <c r="AX218" s="16"/>
      <c r="AY218" s="15"/>
      <c r="AZ218" s="15"/>
      <c r="BA218" s="16"/>
      <c r="BB218" s="16"/>
      <c r="BC218" s="16"/>
      <c r="BD218" s="16"/>
      <c r="BE218" s="16"/>
      <c r="BF218" s="16"/>
      <c r="BG218" s="16"/>
      <c r="BH218" s="16"/>
      <c r="BI218" s="16"/>
      <c r="BJ218" s="69"/>
      <c r="BK218" s="69"/>
      <c r="BL218" s="69"/>
      <c r="BM218" s="69"/>
      <c r="BN218" s="69"/>
      <c r="BO218" s="69"/>
      <c r="BP218" s="69"/>
      <c r="BQ218" s="69"/>
      <c r="BR218" s="69"/>
      <c r="BS218" s="69"/>
      <c r="BT218" s="69"/>
      <c r="BU218" s="69"/>
      <c r="BV218" s="69"/>
      <c r="BW218" s="69"/>
      <c r="BX218" s="69"/>
      <c r="BY218" s="69"/>
      <c r="BZ218" s="69"/>
      <c r="CA218" s="69"/>
      <c r="CB218" s="69"/>
      <c r="CC218" s="69"/>
      <c r="CD218" s="69"/>
      <c r="CE218" s="69"/>
      <c r="CF218" s="69"/>
      <c r="CG218" s="69"/>
      <c r="CH218" s="69"/>
      <c r="CI218" s="69"/>
      <c r="CJ218" s="69"/>
      <c r="CK218" s="69"/>
      <c r="CL218" s="69"/>
      <c r="CM218" s="69"/>
      <c r="CN218" s="69"/>
      <c r="CO218" s="69"/>
      <c r="CP218" s="69"/>
      <c r="CQ218" s="69"/>
      <c r="CR218" s="69"/>
      <c r="CS218" s="70"/>
      <c r="CT218" s="16"/>
      <c r="CU218" s="16"/>
      <c r="CV218" s="16"/>
      <c r="CW218" s="16"/>
      <c r="CX218" s="16"/>
      <c r="CY218" s="16"/>
      <c r="CZ218" s="16"/>
      <c r="DA218" s="16"/>
      <c r="DB218" s="16"/>
      <c r="DC218" s="16"/>
      <c r="DD218" s="16"/>
      <c r="DE218" s="16"/>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6"/>
      <c r="AD219" s="15"/>
      <c r="AE219" s="15"/>
      <c r="AF219" s="16"/>
      <c r="AG219" s="15"/>
      <c r="AH219" s="15"/>
      <c r="AI219" s="16"/>
      <c r="AJ219" s="15"/>
      <c r="AK219" s="15"/>
      <c r="AL219" s="16"/>
      <c r="AM219" s="15"/>
      <c r="AN219" s="15"/>
      <c r="AO219" s="16"/>
      <c r="AP219" s="15"/>
      <c r="AQ219" s="15"/>
      <c r="AR219" s="16"/>
      <c r="AS219" s="15"/>
      <c r="AT219" s="15"/>
      <c r="AU219" s="16"/>
      <c r="AV219" s="15"/>
      <c r="AW219" s="15"/>
      <c r="AX219" s="16"/>
      <c r="AY219" s="15"/>
      <c r="AZ219" s="15"/>
      <c r="BA219" s="16"/>
      <c r="BB219" s="16"/>
      <c r="BC219" s="16"/>
      <c r="BD219" s="16"/>
      <c r="BE219" s="16"/>
      <c r="BF219" s="16"/>
      <c r="BG219" s="16"/>
      <c r="BH219" s="16"/>
      <c r="BI219" s="16"/>
      <c r="BJ219" s="69"/>
      <c r="BK219" s="69"/>
      <c r="BL219" s="69"/>
      <c r="BM219" s="69"/>
      <c r="BN219" s="69"/>
      <c r="BO219" s="69"/>
      <c r="BP219" s="69"/>
      <c r="BQ219" s="69"/>
      <c r="BR219" s="69"/>
      <c r="BS219" s="69"/>
      <c r="BT219" s="69"/>
      <c r="BU219" s="69"/>
      <c r="BV219" s="69"/>
      <c r="BW219" s="69"/>
      <c r="BX219" s="69"/>
      <c r="BY219" s="69"/>
      <c r="BZ219" s="69"/>
      <c r="CA219" s="69"/>
      <c r="CB219" s="69"/>
      <c r="CC219" s="69"/>
      <c r="CD219" s="69"/>
      <c r="CE219" s="69"/>
      <c r="CF219" s="69"/>
      <c r="CG219" s="69"/>
      <c r="CH219" s="69"/>
      <c r="CI219" s="69"/>
      <c r="CJ219" s="69"/>
      <c r="CK219" s="69"/>
      <c r="CL219" s="69"/>
      <c r="CM219" s="69"/>
      <c r="CN219" s="69"/>
      <c r="CO219" s="69"/>
      <c r="CP219" s="69"/>
      <c r="CQ219" s="69"/>
      <c r="CR219" s="69"/>
      <c r="CS219" s="70"/>
      <c r="CT219" s="16"/>
      <c r="CU219" s="16"/>
      <c r="CV219" s="16"/>
      <c r="CW219" s="16"/>
      <c r="CX219" s="16"/>
      <c r="CY219" s="16"/>
      <c r="CZ219" s="16"/>
      <c r="DA219" s="16"/>
      <c r="DB219" s="16"/>
      <c r="DC219" s="16"/>
      <c r="DD219" s="16"/>
      <c r="DE219" s="16"/>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6"/>
      <c r="AD220" s="15"/>
      <c r="AE220" s="15"/>
      <c r="AF220" s="16"/>
      <c r="AG220" s="15"/>
      <c r="AH220" s="15"/>
      <c r="AI220" s="16"/>
      <c r="AJ220" s="15"/>
      <c r="AK220" s="15"/>
      <c r="AL220" s="16"/>
      <c r="AM220" s="15"/>
      <c r="AN220" s="15"/>
      <c r="AO220" s="16"/>
      <c r="AP220" s="15"/>
      <c r="AQ220" s="15"/>
      <c r="AR220" s="16"/>
      <c r="AS220" s="15"/>
      <c r="AT220" s="15"/>
      <c r="AU220" s="16"/>
      <c r="AV220" s="15"/>
      <c r="AW220" s="15"/>
      <c r="AX220" s="16"/>
      <c r="AY220" s="15"/>
      <c r="AZ220" s="15"/>
      <c r="BA220" s="16"/>
      <c r="BB220" s="16"/>
      <c r="BC220" s="16"/>
      <c r="BD220" s="16"/>
      <c r="BE220" s="16"/>
      <c r="BF220" s="16"/>
      <c r="BG220" s="16"/>
      <c r="BH220" s="16"/>
      <c r="BI220" s="16"/>
      <c r="BJ220" s="69"/>
      <c r="BK220" s="69"/>
      <c r="BL220" s="69"/>
      <c r="BM220" s="69"/>
      <c r="BN220" s="69"/>
      <c r="BO220" s="69"/>
      <c r="BP220" s="69"/>
      <c r="BQ220" s="69"/>
      <c r="BR220" s="69"/>
      <c r="BS220" s="69"/>
      <c r="BT220" s="69"/>
      <c r="BU220" s="69"/>
      <c r="BV220" s="69"/>
      <c r="BW220" s="69"/>
      <c r="BX220" s="69"/>
      <c r="BY220" s="69"/>
      <c r="BZ220" s="69"/>
      <c r="CA220" s="69"/>
      <c r="CB220" s="69"/>
      <c r="CC220" s="69"/>
      <c r="CD220" s="69"/>
      <c r="CE220" s="69"/>
      <c r="CF220" s="69"/>
      <c r="CG220" s="69"/>
      <c r="CH220" s="69"/>
      <c r="CI220" s="69"/>
      <c r="CJ220" s="69"/>
      <c r="CK220" s="69"/>
      <c r="CL220" s="69"/>
      <c r="CM220" s="69"/>
      <c r="CN220" s="69"/>
      <c r="CO220" s="69"/>
      <c r="CP220" s="69"/>
      <c r="CQ220" s="69"/>
      <c r="CR220" s="69"/>
      <c r="CS220" s="70"/>
      <c r="CT220" s="16"/>
      <c r="CU220" s="16"/>
      <c r="CV220" s="16"/>
      <c r="CW220" s="16"/>
      <c r="CX220" s="16"/>
      <c r="CY220" s="16"/>
      <c r="CZ220" s="16"/>
      <c r="DA220" s="16"/>
      <c r="DB220" s="16"/>
      <c r="DC220" s="16"/>
      <c r="DD220" s="16"/>
      <c r="DE220" s="16"/>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6"/>
      <c r="AD221" s="15"/>
      <c r="AE221" s="15"/>
      <c r="AF221" s="16"/>
      <c r="AG221" s="15"/>
      <c r="AH221" s="15"/>
      <c r="AI221" s="16"/>
      <c r="AJ221" s="15"/>
      <c r="AK221" s="15"/>
      <c r="AL221" s="16"/>
      <c r="AM221" s="15"/>
      <c r="AN221" s="15"/>
      <c r="AO221" s="16"/>
      <c r="AP221" s="15"/>
      <c r="AQ221" s="15"/>
      <c r="AR221" s="16"/>
      <c r="AS221" s="15"/>
      <c r="AT221" s="15"/>
      <c r="AU221" s="16"/>
      <c r="AV221" s="15"/>
      <c r="AW221" s="15"/>
      <c r="AX221" s="16"/>
      <c r="AY221" s="15"/>
      <c r="AZ221" s="15"/>
      <c r="BA221" s="16"/>
      <c r="BB221" s="16"/>
      <c r="BC221" s="16"/>
      <c r="BD221" s="16"/>
      <c r="BE221" s="16"/>
      <c r="BF221" s="16"/>
      <c r="BG221" s="16"/>
      <c r="BH221" s="16"/>
      <c r="BI221" s="16"/>
      <c r="BJ221" s="69"/>
      <c r="BK221" s="69"/>
      <c r="BL221" s="69"/>
      <c r="BM221" s="69"/>
      <c r="BN221" s="69"/>
      <c r="BO221" s="69"/>
      <c r="BP221" s="69"/>
      <c r="BQ221" s="69"/>
      <c r="BR221" s="69"/>
      <c r="BS221" s="69"/>
      <c r="BT221" s="69"/>
      <c r="BU221" s="69"/>
      <c r="BV221" s="69"/>
      <c r="BW221" s="69"/>
      <c r="BX221" s="69"/>
      <c r="BY221" s="69"/>
      <c r="BZ221" s="69"/>
      <c r="CA221" s="69"/>
      <c r="CB221" s="69"/>
      <c r="CC221" s="69"/>
      <c r="CD221" s="69"/>
      <c r="CE221" s="69"/>
      <c r="CF221" s="69"/>
      <c r="CG221" s="69"/>
      <c r="CH221" s="69"/>
      <c r="CI221" s="69"/>
      <c r="CJ221" s="69"/>
      <c r="CK221" s="69"/>
      <c r="CL221" s="69"/>
      <c r="CM221" s="69"/>
      <c r="CN221" s="69"/>
      <c r="CO221" s="69"/>
      <c r="CP221" s="69"/>
      <c r="CQ221" s="69"/>
      <c r="CR221" s="69"/>
      <c r="CS221" s="70"/>
      <c r="CT221" s="16"/>
      <c r="CU221" s="16"/>
      <c r="CV221" s="16"/>
      <c r="CW221" s="16"/>
      <c r="CX221" s="16"/>
      <c r="CY221" s="16"/>
      <c r="CZ221" s="16"/>
      <c r="DA221" s="16"/>
      <c r="DB221" s="16"/>
      <c r="DC221" s="16"/>
      <c r="DD221" s="16"/>
      <c r="DE221" s="16"/>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6"/>
      <c r="AD222" s="15"/>
      <c r="AE222" s="15"/>
      <c r="AF222" s="16"/>
      <c r="AG222" s="15"/>
      <c r="AH222" s="15"/>
      <c r="AI222" s="16"/>
      <c r="AJ222" s="15"/>
      <c r="AK222" s="15"/>
      <c r="AL222" s="16"/>
      <c r="AM222" s="15"/>
      <c r="AN222" s="15"/>
      <c r="AO222" s="16"/>
      <c r="AP222" s="15"/>
      <c r="AQ222" s="15"/>
      <c r="AR222" s="16"/>
      <c r="AS222" s="15"/>
      <c r="AT222" s="15"/>
      <c r="AU222" s="16"/>
      <c r="AV222" s="15"/>
      <c r="AW222" s="15"/>
      <c r="AX222" s="16"/>
      <c r="AY222" s="15"/>
      <c r="AZ222" s="15"/>
      <c r="BA222" s="16"/>
      <c r="BB222" s="16"/>
      <c r="BC222" s="16"/>
      <c r="BD222" s="16"/>
      <c r="BE222" s="16"/>
      <c r="BF222" s="16"/>
      <c r="BG222" s="16"/>
      <c r="BH222" s="16"/>
      <c r="BI222" s="16"/>
      <c r="BJ222" s="69"/>
      <c r="BK222" s="69"/>
      <c r="BL222" s="69"/>
      <c r="BM222" s="69"/>
      <c r="BN222" s="69"/>
      <c r="BO222" s="69"/>
      <c r="BP222" s="69"/>
      <c r="BQ222" s="69"/>
      <c r="BR222" s="69"/>
      <c r="BS222" s="69"/>
      <c r="BT222" s="69"/>
      <c r="BU222" s="69"/>
      <c r="BV222" s="69"/>
      <c r="BW222" s="69"/>
      <c r="BX222" s="69"/>
      <c r="BY222" s="69"/>
      <c r="BZ222" s="69"/>
      <c r="CA222" s="69"/>
      <c r="CB222" s="69"/>
      <c r="CC222" s="69"/>
      <c r="CD222" s="69"/>
      <c r="CE222" s="69"/>
      <c r="CF222" s="69"/>
      <c r="CG222" s="69"/>
      <c r="CH222" s="69"/>
      <c r="CI222" s="69"/>
      <c r="CJ222" s="69"/>
      <c r="CK222" s="69"/>
      <c r="CL222" s="69"/>
      <c r="CM222" s="69"/>
      <c r="CN222" s="69"/>
      <c r="CO222" s="69"/>
      <c r="CP222" s="69"/>
      <c r="CQ222" s="69"/>
      <c r="CR222" s="69"/>
      <c r="CS222" s="70"/>
      <c r="CT222" s="16"/>
      <c r="CU222" s="16"/>
      <c r="CV222" s="16"/>
      <c r="CW222" s="16"/>
      <c r="CX222" s="16"/>
      <c r="CY222" s="16"/>
      <c r="CZ222" s="16"/>
      <c r="DA222" s="16"/>
      <c r="DB222" s="16"/>
      <c r="DC222" s="16"/>
      <c r="DD222" s="16"/>
      <c r="DE222" s="16"/>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6"/>
      <c r="AD223" s="15"/>
      <c r="AE223" s="15"/>
      <c r="AF223" s="16"/>
      <c r="AG223" s="15"/>
      <c r="AH223" s="15"/>
      <c r="AI223" s="16"/>
      <c r="AJ223" s="15"/>
      <c r="AK223" s="15"/>
      <c r="AL223" s="16"/>
      <c r="AM223" s="15"/>
      <c r="AN223" s="15"/>
      <c r="AO223" s="16"/>
      <c r="AP223" s="15"/>
      <c r="AQ223" s="15"/>
      <c r="AR223" s="16"/>
      <c r="AS223" s="15"/>
      <c r="AT223" s="15"/>
      <c r="AU223" s="16"/>
      <c r="AV223" s="15"/>
      <c r="AW223" s="15"/>
      <c r="AX223" s="16"/>
      <c r="AY223" s="15"/>
      <c r="AZ223" s="15"/>
      <c r="BA223" s="16"/>
      <c r="BB223" s="16"/>
      <c r="BC223" s="16"/>
      <c r="BD223" s="16"/>
      <c r="BE223" s="16"/>
      <c r="BF223" s="16"/>
      <c r="BG223" s="16"/>
      <c r="BH223" s="16"/>
      <c r="BI223" s="16"/>
      <c r="BJ223" s="69"/>
      <c r="BK223" s="69"/>
      <c r="BL223" s="69"/>
      <c r="BM223" s="69"/>
      <c r="BN223" s="69"/>
      <c r="BO223" s="69"/>
      <c r="BP223" s="69"/>
      <c r="BQ223" s="69"/>
      <c r="BR223" s="69"/>
      <c r="BS223" s="69"/>
      <c r="BT223" s="69"/>
      <c r="BU223" s="69"/>
      <c r="BV223" s="69"/>
      <c r="BW223" s="69"/>
      <c r="BX223" s="69"/>
      <c r="BY223" s="69"/>
      <c r="BZ223" s="69"/>
      <c r="CA223" s="69"/>
      <c r="CB223" s="69"/>
      <c r="CC223" s="69"/>
      <c r="CD223" s="69"/>
      <c r="CE223" s="69"/>
      <c r="CF223" s="69"/>
      <c r="CG223" s="69"/>
      <c r="CH223" s="69"/>
      <c r="CI223" s="69"/>
      <c r="CJ223" s="69"/>
      <c r="CK223" s="69"/>
      <c r="CL223" s="69"/>
      <c r="CM223" s="69"/>
      <c r="CN223" s="69"/>
      <c r="CO223" s="69"/>
      <c r="CP223" s="69"/>
      <c r="CQ223" s="69"/>
      <c r="CR223" s="69"/>
      <c r="CS223" s="70"/>
      <c r="CT223" s="16"/>
      <c r="CU223" s="16"/>
      <c r="CV223" s="16"/>
      <c r="CW223" s="16"/>
      <c r="CX223" s="16"/>
      <c r="CY223" s="16"/>
      <c r="CZ223" s="16"/>
      <c r="DA223" s="16"/>
      <c r="DB223" s="16"/>
      <c r="DC223" s="16"/>
      <c r="DD223" s="16"/>
      <c r="DE223" s="16"/>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6"/>
      <c r="AD224" s="15"/>
      <c r="AE224" s="15"/>
      <c r="AF224" s="16"/>
      <c r="AG224" s="15"/>
      <c r="AH224" s="15"/>
      <c r="AI224" s="16"/>
      <c r="AJ224" s="15"/>
      <c r="AK224" s="15"/>
      <c r="AL224" s="16"/>
      <c r="AM224" s="15"/>
      <c r="AN224" s="15"/>
      <c r="AO224" s="16"/>
      <c r="AP224" s="15"/>
      <c r="AQ224" s="15"/>
      <c r="AR224" s="16"/>
      <c r="AS224" s="15"/>
      <c r="AT224" s="15"/>
      <c r="AU224" s="16"/>
      <c r="AV224" s="15"/>
      <c r="AW224" s="15"/>
      <c r="AX224" s="16"/>
      <c r="AY224" s="15"/>
      <c r="AZ224" s="15"/>
      <c r="BA224" s="16"/>
      <c r="BB224" s="16"/>
      <c r="BC224" s="16"/>
      <c r="BD224" s="16"/>
      <c r="BE224" s="16"/>
      <c r="BF224" s="16"/>
      <c r="BG224" s="16"/>
      <c r="BH224" s="16"/>
      <c r="BI224" s="16"/>
      <c r="BJ224" s="69"/>
      <c r="BK224" s="69"/>
      <c r="BL224" s="69"/>
      <c r="BM224" s="69"/>
      <c r="BN224" s="69"/>
      <c r="BO224" s="69"/>
      <c r="BP224" s="69"/>
      <c r="BQ224" s="69"/>
      <c r="BR224" s="69"/>
      <c r="BS224" s="69"/>
      <c r="BT224" s="69"/>
      <c r="BU224" s="69"/>
      <c r="BV224" s="69"/>
      <c r="BW224" s="69"/>
      <c r="BX224" s="69"/>
      <c r="BY224" s="69"/>
      <c r="BZ224" s="69"/>
      <c r="CA224" s="69"/>
      <c r="CB224" s="69"/>
      <c r="CC224" s="69"/>
      <c r="CD224" s="69"/>
      <c r="CE224" s="69"/>
      <c r="CF224" s="69"/>
      <c r="CG224" s="69"/>
      <c r="CH224" s="69"/>
      <c r="CI224" s="69"/>
      <c r="CJ224" s="69"/>
      <c r="CK224" s="69"/>
      <c r="CL224" s="69"/>
      <c r="CM224" s="69"/>
      <c r="CN224" s="69"/>
      <c r="CO224" s="69"/>
      <c r="CP224" s="69"/>
      <c r="CQ224" s="69"/>
      <c r="CR224" s="69"/>
      <c r="CS224" s="70"/>
      <c r="CT224" s="16"/>
      <c r="CU224" s="16"/>
      <c r="CV224" s="16"/>
      <c r="CW224" s="16"/>
      <c r="CX224" s="16"/>
      <c r="CY224" s="16"/>
      <c r="CZ224" s="16"/>
      <c r="DA224" s="16"/>
      <c r="DB224" s="16"/>
      <c r="DC224" s="16"/>
      <c r="DD224" s="16"/>
      <c r="DE224" s="16"/>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6"/>
      <c r="AD225" s="15"/>
      <c r="AE225" s="15"/>
      <c r="AF225" s="16"/>
      <c r="AG225" s="15"/>
      <c r="AH225" s="15"/>
      <c r="AI225" s="16"/>
      <c r="AJ225" s="15"/>
      <c r="AK225" s="15"/>
      <c r="AL225" s="16"/>
      <c r="AM225" s="15"/>
      <c r="AN225" s="15"/>
      <c r="AO225" s="16"/>
      <c r="AP225" s="15"/>
      <c r="AQ225" s="15"/>
      <c r="AR225" s="16"/>
      <c r="AS225" s="15"/>
      <c r="AT225" s="15"/>
      <c r="AU225" s="16"/>
      <c r="AV225" s="15"/>
      <c r="AW225" s="15"/>
      <c r="AX225" s="16"/>
      <c r="AY225" s="15"/>
      <c r="AZ225" s="15"/>
      <c r="BA225" s="16"/>
      <c r="BB225" s="16"/>
      <c r="BC225" s="16"/>
      <c r="BD225" s="16"/>
      <c r="BE225" s="16"/>
      <c r="BF225" s="16"/>
      <c r="BG225" s="16"/>
      <c r="BH225" s="16"/>
      <c r="BI225" s="16"/>
      <c r="BJ225" s="69"/>
      <c r="BK225" s="69"/>
      <c r="BL225" s="69"/>
      <c r="BM225" s="69"/>
      <c r="BN225" s="69"/>
      <c r="BO225" s="69"/>
      <c r="BP225" s="69"/>
      <c r="BQ225" s="69"/>
      <c r="BR225" s="69"/>
      <c r="BS225" s="69"/>
      <c r="BT225" s="69"/>
      <c r="BU225" s="69"/>
      <c r="BV225" s="69"/>
      <c r="BW225" s="69"/>
      <c r="BX225" s="69"/>
      <c r="BY225" s="69"/>
      <c r="BZ225" s="69"/>
      <c r="CA225" s="69"/>
      <c r="CB225" s="69"/>
      <c r="CC225" s="69"/>
      <c r="CD225" s="69"/>
      <c r="CE225" s="69"/>
      <c r="CF225" s="69"/>
      <c r="CG225" s="69"/>
      <c r="CH225" s="69"/>
      <c r="CI225" s="69"/>
      <c r="CJ225" s="69"/>
      <c r="CK225" s="69"/>
      <c r="CL225" s="69"/>
      <c r="CM225" s="69"/>
      <c r="CN225" s="69"/>
      <c r="CO225" s="69"/>
      <c r="CP225" s="69"/>
      <c r="CQ225" s="69"/>
      <c r="CR225" s="69"/>
      <c r="CS225" s="70"/>
      <c r="CT225" s="16"/>
      <c r="CU225" s="16"/>
      <c r="CV225" s="16"/>
      <c r="CW225" s="16"/>
      <c r="CX225" s="16"/>
      <c r="CY225" s="16"/>
      <c r="CZ225" s="16"/>
      <c r="DA225" s="16"/>
      <c r="DB225" s="16"/>
      <c r="DC225" s="16"/>
      <c r="DD225" s="16"/>
      <c r="DE225" s="16"/>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6"/>
      <c r="AD226" s="15"/>
      <c r="AE226" s="15"/>
      <c r="AF226" s="16"/>
      <c r="AG226" s="15"/>
      <c r="AH226" s="15"/>
      <c r="AI226" s="16"/>
      <c r="AJ226" s="15"/>
      <c r="AK226" s="15"/>
      <c r="AL226" s="16"/>
      <c r="AM226" s="15"/>
      <c r="AN226" s="15"/>
      <c r="AO226" s="16"/>
      <c r="AP226" s="15"/>
      <c r="AQ226" s="15"/>
      <c r="AR226" s="16"/>
      <c r="AS226" s="15"/>
      <c r="AT226" s="15"/>
      <c r="AU226" s="16"/>
      <c r="AV226" s="15"/>
      <c r="AW226" s="15"/>
      <c r="AX226" s="16"/>
      <c r="AY226" s="15"/>
      <c r="AZ226" s="15"/>
      <c r="BA226" s="16"/>
      <c r="BB226" s="16"/>
      <c r="BC226" s="16"/>
      <c r="BD226" s="16"/>
      <c r="BE226" s="16"/>
      <c r="BF226" s="16"/>
      <c r="BG226" s="16"/>
      <c r="BH226" s="16"/>
      <c r="BI226" s="16"/>
      <c r="BJ226" s="69"/>
      <c r="BK226" s="69"/>
      <c r="BL226" s="69"/>
      <c r="BM226" s="69"/>
      <c r="BN226" s="69"/>
      <c r="BO226" s="69"/>
      <c r="BP226" s="69"/>
      <c r="BQ226" s="69"/>
      <c r="BR226" s="69"/>
      <c r="BS226" s="69"/>
      <c r="BT226" s="69"/>
      <c r="BU226" s="69"/>
      <c r="BV226" s="69"/>
      <c r="BW226" s="69"/>
      <c r="BX226" s="69"/>
      <c r="BY226" s="69"/>
      <c r="BZ226" s="69"/>
      <c r="CA226" s="69"/>
      <c r="CB226" s="69"/>
      <c r="CC226" s="69"/>
      <c r="CD226" s="69"/>
      <c r="CE226" s="69"/>
      <c r="CF226" s="69"/>
      <c r="CG226" s="69"/>
      <c r="CH226" s="69"/>
      <c r="CI226" s="69"/>
      <c r="CJ226" s="69"/>
      <c r="CK226" s="69"/>
      <c r="CL226" s="69"/>
      <c r="CM226" s="69"/>
      <c r="CN226" s="69"/>
      <c r="CO226" s="69"/>
      <c r="CP226" s="69"/>
      <c r="CQ226" s="69"/>
      <c r="CR226" s="69"/>
      <c r="CS226" s="70"/>
      <c r="CT226" s="16"/>
      <c r="CU226" s="16"/>
      <c r="CV226" s="16"/>
      <c r="CW226" s="16"/>
      <c r="CX226" s="16"/>
      <c r="CY226" s="16"/>
      <c r="CZ226" s="16"/>
      <c r="DA226" s="16"/>
      <c r="DB226" s="16"/>
      <c r="DC226" s="16"/>
      <c r="DD226" s="16"/>
      <c r="DE226" s="16"/>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6"/>
      <c r="AD227" s="15"/>
      <c r="AE227" s="15"/>
      <c r="AF227" s="16"/>
      <c r="AG227" s="15"/>
      <c r="AH227" s="15"/>
      <c r="AI227" s="16"/>
      <c r="AJ227" s="15"/>
      <c r="AK227" s="15"/>
      <c r="AL227" s="16"/>
      <c r="AM227" s="15"/>
      <c r="AN227" s="15"/>
      <c r="AO227" s="16"/>
      <c r="AP227" s="15"/>
      <c r="AQ227" s="15"/>
      <c r="AR227" s="16"/>
      <c r="AS227" s="15"/>
      <c r="AT227" s="15"/>
      <c r="AU227" s="16"/>
      <c r="AV227" s="15"/>
      <c r="AW227" s="15"/>
      <c r="AX227" s="16"/>
      <c r="AY227" s="15"/>
      <c r="AZ227" s="15"/>
      <c r="BA227" s="16"/>
      <c r="BB227" s="16"/>
      <c r="BC227" s="16"/>
      <c r="BD227" s="16"/>
      <c r="BE227" s="16"/>
      <c r="BF227" s="16"/>
      <c r="BG227" s="16"/>
      <c r="BH227" s="16"/>
      <c r="BI227" s="16"/>
      <c r="BJ227" s="69"/>
      <c r="BK227" s="69"/>
      <c r="BL227" s="69"/>
      <c r="BM227" s="69"/>
      <c r="BN227" s="69"/>
      <c r="BO227" s="69"/>
      <c r="BP227" s="69"/>
      <c r="BQ227" s="69"/>
      <c r="BR227" s="69"/>
      <c r="BS227" s="69"/>
      <c r="BT227" s="69"/>
      <c r="BU227" s="69"/>
      <c r="BV227" s="69"/>
      <c r="BW227" s="69"/>
      <c r="BX227" s="69"/>
      <c r="BY227" s="69"/>
      <c r="BZ227" s="69"/>
      <c r="CA227" s="69"/>
      <c r="CB227" s="69"/>
      <c r="CC227" s="69"/>
      <c r="CD227" s="69"/>
      <c r="CE227" s="69"/>
      <c r="CF227" s="69"/>
      <c r="CG227" s="69"/>
      <c r="CH227" s="69"/>
      <c r="CI227" s="69"/>
      <c r="CJ227" s="69"/>
      <c r="CK227" s="69"/>
      <c r="CL227" s="69"/>
      <c r="CM227" s="69"/>
      <c r="CN227" s="69"/>
      <c r="CO227" s="69"/>
      <c r="CP227" s="69"/>
      <c r="CQ227" s="69"/>
      <c r="CR227" s="69"/>
      <c r="CS227" s="70"/>
      <c r="CT227" s="16"/>
      <c r="CU227" s="16"/>
      <c r="CV227" s="16"/>
      <c r="CW227" s="16"/>
      <c r="CX227" s="16"/>
      <c r="CY227" s="16"/>
      <c r="CZ227" s="16"/>
      <c r="DA227" s="16"/>
      <c r="DB227" s="16"/>
      <c r="DC227" s="16"/>
      <c r="DD227" s="16"/>
      <c r="DE227" s="16"/>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6"/>
      <c r="AD228" s="15"/>
      <c r="AE228" s="15"/>
      <c r="AF228" s="16"/>
      <c r="AG228" s="15"/>
      <c r="AH228" s="15"/>
      <c r="AI228" s="16"/>
      <c r="AJ228" s="15"/>
      <c r="AK228" s="15"/>
      <c r="AL228" s="16"/>
      <c r="AM228" s="15"/>
      <c r="AN228" s="15"/>
      <c r="AO228" s="16"/>
      <c r="AP228" s="15"/>
      <c r="AQ228" s="15"/>
      <c r="AR228" s="16"/>
      <c r="AS228" s="15"/>
      <c r="AT228" s="15"/>
      <c r="AU228" s="16"/>
      <c r="AV228" s="15"/>
      <c r="AW228" s="15"/>
      <c r="AX228" s="16"/>
      <c r="AY228" s="15"/>
      <c r="AZ228" s="15"/>
      <c r="BA228" s="16"/>
      <c r="BB228" s="16"/>
      <c r="BC228" s="16"/>
      <c r="BD228" s="16"/>
      <c r="BE228" s="16"/>
      <c r="BF228" s="16"/>
      <c r="BG228" s="16"/>
      <c r="BH228" s="16"/>
      <c r="BI228" s="16"/>
      <c r="BJ228" s="69"/>
      <c r="BK228" s="69"/>
      <c r="BL228" s="69"/>
      <c r="BM228" s="69"/>
      <c r="BN228" s="69"/>
      <c r="BO228" s="69"/>
      <c r="BP228" s="69"/>
      <c r="BQ228" s="69"/>
      <c r="BR228" s="69"/>
      <c r="BS228" s="69"/>
      <c r="BT228" s="69"/>
      <c r="BU228" s="69"/>
      <c r="BV228" s="69"/>
      <c r="BW228" s="69"/>
      <c r="BX228" s="69"/>
      <c r="BY228" s="69"/>
      <c r="BZ228" s="69"/>
      <c r="CA228" s="69"/>
      <c r="CB228" s="69"/>
      <c r="CC228" s="69"/>
      <c r="CD228" s="69"/>
      <c r="CE228" s="69"/>
      <c r="CF228" s="69"/>
      <c r="CG228" s="69"/>
      <c r="CH228" s="69"/>
      <c r="CI228" s="69"/>
      <c r="CJ228" s="69"/>
      <c r="CK228" s="69"/>
      <c r="CL228" s="69"/>
      <c r="CM228" s="69"/>
      <c r="CN228" s="69"/>
      <c r="CO228" s="69"/>
      <c r="CP228" s="69"/>
      <c r="CQ228" s="69"/>
      <c r="CR228" s="69"/>
      <c r="CS228" s="70"/>
      <c r="CT228" s="16"/>
      <c r="CU228" s="16"/>
      <c r="CV228" s="16"/>
      <c r="CW228" s="16"/>
      <c r="CX228" s="16"/>
      <c r="CY228" s="16"/>
      <c r="CZ228" s="16"/>
      <c r="DA228" s="16"/>
      <c r="DB228" s="16"/>
      <c r="DC228" s="16"/>
      <c r="DD228" s="16"/>
      <c r="DE228" s="16"/>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6"/>
      <c r="AD229" s="15"/>
      <c r="AE229" s="15"/>
      <c r="AF229" s="16"/>
      <c r="AG229" s="15"/>
      <c r="AH229" s="15"/>
      <c r="AI229" s="16"/>
      <c r="AJ229" s="15"/>
      <c r="AK229" s="15"/>
      <c r="AL229" s="16"/>
      <c r="AM229" s="15"/>
      <c r="AN229" s="15"/>
      <c r="AO229" s="16"/>
      <c r="AP229" s="15"/>
      <c r="AQ229" s="15"/>
      <c r="AR229" s="16"/>
      <c r="AS229" s="15"/>
      <c r="AT229" s="15"/>
      <c r="AU229" s="16"/>
      <c r="AV229" s="15"/>
      <c r="AW229" s="15"/>
      <c r="AX229" s="16"/>
      <c r="AY229" s="15"/>
      <c r="AZ229" s="15"/>
      <c r="BA229" s="16"/>
      <c r="BB229" s="16"/>
      <c r="BC229" s="16"/>
      <c r="BD229" s="16"/>
      <c r="BE229" s="16"/>
      <c r="BF229" s="16"/>
      <c r="BG229" s="16"/>
      <c r="BH229" s="16"/>
      <c r="BI229" s="16"/>
      <c r="BJ229" s="69"/>
      <c r="BK229" s="69"/>
      <c r="BL229" s="69"/>
      <c r="BM229" s="69"/>
      <c r="BN229" s="69"/>
      <c r="BO229" s="69"/>
      <c r="BP229" s="69"/>
      <c r="BQ229" s="69"/>
      <c r="BR229" s="69"/>
      <c r="BS229" s="69"/>
      <c r="BT229" s="69"/>
      <c r="BU229" s="69"/>
      <c r="BV229" s="69"/>
      <c r="BW229" s="69"/>
      <c r="BX229" s="69"/>
      <c r="BY229" s="69"/>
      <c r="BZ229" s="69"/>
      <c r="CA229" s="69"/>
      <c r="CB229" s="69"/>
      <c r="CC229" s="69"/>
      <c r="CD229" s="69"/>
      <c r="CE229" s="69"/>
      <c r="CF229" s="69"/>
      <c r="CG229" s="69"/>
      <c r="CH229" s="69"/>
      <c r="CI229" s="69"/>
      <c r="CJ229" s="69"/>
      <c r="CK229" s="69"/>
      <c r="CL229" s="69"/>
      <c r="CM229" s="69"/>
      <c r="CN229" s="69"/>
      <c r="CO229" s="69"/>
      <c r="CP229" s="69"/>
      <c r="CQ229" s="69"/>
      <c r="CR229" s="69"/>
      <c r="CS229" s="70"/>
      <c r="CT229" s="16"/>
      <c r="CU229" s="16"/>
      <c r="CV229" s="16"/>
      <c r="CW229" s="16"/>
      <c r="CX229" s="16"/>
      <c r="CY229" s="16"/>
      <c r="CZ229" s="16"/>
      <c r="DA229" s="16"/>
      <c r="DB229" s="16"/>
      <c r="DC229" s="16"/>
      <c r="DD229" s="16"/>
      <c r="DE229" s="16"/>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6"/>
      <c r="AD230" s="15"/>
      <c r="AE230" s="15"/>
      <c r="AF230" s="16"/>
      <c r="AG230" s="15"/>
      <c r="AH230" s="15"/>
      <c r="AI230" s="16"/>
      <c r="AJ230" s="15"/>
      <c r="AK230" s="15"/>
      <c r="AL230" s="16"/>
      <c r="AM230" s="15"/>
      <c r="AN230" s="15"/>
      <c r="AO230" s="16"/>
      <c r="AP230" s="15"/>
      <c r="AQ230" s="15"/>
      <c r="AR230" s="16"/>
      <c r="AS230" s="15"/>
      <c r="AT230" s="15"/>
      <c r="AU230" s="16"/>
      <c r="AV230" s="15"/>
      <c r="AW230" s="15"/>
      <c r="AX230" s="16"/>
      <c r="AY230" s="15"/>
      <c r="AZ230" s="15"/>
      <c r="BA230" s="16"/>
      <c r="BB230" s="16"/>
      <c r="BC230" s="16"/>
      <c r="BD230" s="16"/>
      <c r="BE230" s="16"/>
      <c r="BF230" s="16"/>
      <c r="BG230" s="16"/>
      <c r="BH230" s="16"/>
      <c r="BI230" s="16"/>
      <c r="BJ230" s="69"/>
      <c r="BK230" s="69"/>
      <c r="BL230" s="69"/>
      <c r="BM230" s="69"/>
      <c r="BN230" s="69"/>
      <c r="BO230" s="69"/>
      <c r="BP230" s="69"/>
      <c r="BQ230" s="69"/>
      <c r="BR230" s="69"/>
      <c r="BS230" s="69"/>
      <c r="BT230" s="69"/>
      <c r="BU230" s="69"/>
      <c r="BV230" s="69"/>
      <c r="BW230" s="69"/>
      <c r="BX230" s="69"/>
      <c r="BY230" s="69"/>
      <c r="BZ230" s="69"/>
      <c r="CA230" s="69"/>
      <c r="CB230" s="69"/>
      <c r="CC230" s="69"/>
      <c r="CD230" s="69"/>
      <c r="CE230" s="69"/>
      <c r="CF230" s="69"/>
      <c r="CG230" s="69"/>
      <c r="CH230" s="69"/>
      <c r="CI230" s="69"/>
      <c r="CJ230" s="69"/>
      <c r="CK230" s="69"/>
      <c r="CL230" s="69"/>
      <c r="CM230" s="69"/>
      <c r="CN230" s="69"/>
      <c r="CO230" s="69"/>
      <c r="CP230" s="69"/>
      <c r="CQ230" s="69"/>
      <c r="CR230" s="69"/>
      <c r="CS230" s="70"/>
      <c r="CT230" s="16"/>
      <c r="CU230" s="16"/>
      <c r="CV230" s="16"/>
      <c r="CW230" s="16"/>
      <c r="CX230" s="16"/>
      <c r="CY230" s="16"/>
      <c r="CZ230" s="16"/>
      <c r="DA230" s="16"/>
      <c r="DB230" s="16"/>
      <c r="DC230" s="16"/>
      <c r="DD230" s="16"/>
      <c r="DE230" s="16"/>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6"/>
      <c r="AD231" s="15"/>
      <c r="AE231" s="15"/>
      <c r="AF231" s="16"/>
      <c r="AG231" s="15"/>
      <c r="AH231" s="15"/>
      <c r="AI231" s="16"/>
      <c r="AJ231" s="15"/>
      <c r="AK231" s="15"/>
      <c r="AL231" s="16"/>
      <c r="AM231" s="15"/>
      <c r="AN231" s="15"/>
      <c r="AO231" s="16"/>
      <c r="AP231" s="15"/>
      <c r="AQ231" s="15"/>
      <c r="AR231" s="16"/>
      <c r="AS231" s="15"/>
      <c r="AT231" s="15"/>
      <c r="AU231" s="16"/>
      <c r="AV231" s="15"/>
      <c r="AW231" s="15"/>
      <c r="AX231" s="16"/>
      <c r="AY231" s="15"/>
      <c r="AZ231" s="15"/>
      <c r="BA231" s="16"/>
      <c r="BB231" s="16"/>
      <c r="BC231" s="16"/>
      <c r="BD231" s="16"/>
      <c r="BE231" s="16"/>
      <c r="BF231" s="16"/>
      <c r="BG231" s="16"/>
      <c r="BH231" s="16"/>
      <c r="BI231" s="16"/>
      <c r="BJ231" s="69"/>
      <c r="BK231" s="69"/>
      <c r="BL231" s="69"/>
      <c r="BM231" s="69"/>
      <c r="BN231" s="69"/>
      <c r="BO231" s="69"/>
      <c r="BP231" s="69"/>
      <c r="BQ231" s="69"/>
      <c r="BR231" s="69"/>
      <c r="BS231" s="69"/>
      <c r="BT231" s="69"/>
      <c r="BU231" s="69"/>
      <c r="BV231" s="69"/>
      <c r="BW231" s="69"/>
      <c r="BX231" s="69"/>
      <c r="BY231" s="69"/>
      <c r="BZ231" s="69"/>
      <c r="CA231" s="69"/>
      <c r="CB231" s="69"/>
      <c r="CC231" s="69"/>
      <c r="CD231" s="69"/>
      <c r="CE231" s="69"/>
      <c r="CF231" s="69"/>
      <c r="CG231" s="69"/>
      <c r="CH231" s="69"/>
      <c r="CI231" s="69"/>
      <c r="CJ231" s="69"/>
      <c r="CK231" s="69"/>
      <c r="CL231" s="69"/>
      <c r="CM231" s="69"/>
      <c r="CN231" s="69"/>
      <c r="CO231" s="69"/>
      <c r="CP231" s="69"/>
      <c r="CQ231" s="69"/>
      <c r="CR231" s="69"/>
      <c r="CS231" s="70"/>
      <c r="CT231" s="16"/>
      <c r="CU231" s="16"/>
      <c r="CV231" s="16"/>
      <c r="CW231" s="16"/>
      <c r="CX231" s="16"/>
      <c r="CY231" s="16"/>
      <c r="CZ231" s="16"/>
      <c r="DA231" s="16"/>
      <c r="DB231" s="16"/>
      <c r="DC231" s="16"/>
      <c r="DD231" s="16"/>
      <c r="DE231" s="16"/>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6"/>
      <c r="AD232" s="15"/>
      <c r="AE232" s="15"/>
      <c r="AF232" s="16"/>
      <c r="AG232" s="15"/>
      <c r="AH232" s="15"/>
      <c r="AI232" s="16"/>
      <c r="AJ232" s="15"/>
      <c r="AK232" s="15"/>
      <c r="AL232" s="16"/>
      <c r="AM232" s="15"/>
      <c r="AN232" s="15"/>
      <c r="AO232" s="16"/>
      <c r="AP232" s="15"/>
      <c r="AQ232" s="15"/>
      <c r="AR232" s="16"/>
      <c r="AS232" s="15"/>
      <c r="AT232" s="15"/>
      <c r="AU232" s="16"/>
      <c r="AV232" s="15"/>
      <c r="AW232" s="15"/>
      <c r="AX232" s="16"/>
      <c r="AY232" s="15"/>
      <c r="AZ232" s="15"/>
      <c r="BA232" s="16"/>
      <c r="BB232" s="16"/>
      <c r="BC232" s="16"/>
      <c r="BD232" s="16"/>
      <c r="BE232" s="16"/>
      <c r="BF232" s="16"/>
      <c r="BG232" s="16"/>
      <c r="BH232" s="16"/>
      <c r="BI232" s="16"/>
      <c r="BJ232" s="69"/>
      <c r="BK232" s="69"/>
      <c r="BL232" s="69"/>
      <c r="BM232" s="69"/>
      <c r="BN232" s="69"/>
      <c r="BO232" s="69"/>
      <c r="BP232" s="69"/>
      <c r="BQ232" s="69"/>
      <c r="BR232" s="69"/>
      <c r="BS232" s="69"/>
      <c r="BT232" s="69"/>
      <c r="BU232" s="69"/>
      <c r="BV232" s="69"/>
      <c r="BW232" s="69"/>
      <c r="BX232" s="69"/>
      <c r="BY232" s="69"/>
      <c r="BZ232" s="69"/>
      <c r="CA232" s="69"/>
      <c r="CB232" s="69"/>
      <c r="CC232" s="69"/>
      <c r="CD232" s="69"/>
      <c r="CE232" s="69"/>
      <c r="CF232" s="69"/>
      <c r="CG232" s="69"/>
      <c r="CH232" s="69"/>
      <c r="CI232" s="69"/>
      <c r="CJ232" s="69"/>
      <c r="CK232" s="69"/>
      <c r="CL232" s="69"/>
      <c r="CM232" s="69"/>
      <c r="CN232" s="69"/>
      <c r="CO232" s="69"/>
      <c r="CP232" s="69"/>
      <c r="CQ232" s="69"/>
      <c r="CR232" s="69"/>
      <c r="CS232" s="70"/>
      <c r="CT232" s="16"/>
      <c r="CU232" s="16"/>
      <c r="CV232" s="16"/>
      <c r="CW232" s="16"/>
      <c r="CX232" s="16"/>
      <c r="CY232" s="16"/>
      <c r="CZ232" s="16"/>
      <c r="DA232" s="16"/>
      <c r="DB232" s="16"/>
      <c r="DC232" s="16"/>
      <c r="DD232" s="16"/>
      <c r="DE232" s="16"/>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6"/>
      <c r="AD233" s="15"/>
      <c r="AE233" s="15"/>
      <c r="AF233" s="16"/>
      <c r="AG233" s="15"/>
      <c r="AH233" s="15"/>
      <c r="AI233" s="16"/>
      <c r="AJ233" s="15"/>
      <c r="AK233" s="15"/>
      <c r="AL233" s="16"/>
      <c r="AM233" s="15"/>
      <c r="AN233" s="15"/>
      <c r="AO233" s="16"/>
      <c r="AP233" s="15"/>
      <c r="AQ233" s="15"/>
      <c r="AR233" s="16"/>
      <c r="AS233" s="15"/>
      <c r="AT233" s="15"/>
      <c r="AU233" s="16"/>
      <c r="AV233" s="15"/>
      <c r="AW233" s="15"/>
      <c r="AX233" s="16"/>
      <c r="AY233" s="15"/>
      <c r="AZ233" s="15"/>
      <c r="BA233" s="16"/>
      <c r="BB233" s="16"/>
      <c r="BC233" s="16"/>
      <c r="BD233" s="16"/>
      <c r="BE233" s="16"/>
      <c r="BF233" s="16"/>
      <c r="BG233" s="16"/>
      <c r="BH233" s="16"/>
      <c r="BI233" s="16"/>
      <c r="BJ233" s="69"/>
      <c r="BK233" s="69"/>
      <c r="BL233" s="69"/>
      <c r="BM233" s="69"/>
      <c r="BN233" s="69"/>
      <c r="BO233" s="69"/>
      <c r="BP233" s="69"/>
      <c r="BQ233" s="69"/>
      <c r="BR233" s="69"/>
      <c r="BS233" s="69"/>
      <c r="BT233" s="69"/>
      <c r="BU233" s="69"/>
      <c r="BV233" s="69"/>
      <c r="BW233" s="69"/>
      <c r="BX233" s="69"/>
      <c r="BY233" s="69"/>
      <c r="BZ233" s="69"/>
      <c r="CA233" s="69"/>
      <c r="CB233" s="69"/>
      <c r="CC233" s="69"/>
      <c r="CD233" s="69"/>
      <c r="CE233" s="69"/>
      <c r="CF233" s="69"/>
      <c r="CG233" s="69"/>
      <c r="CH233" s="69"/>
      <c r="CI233" s="69"/>
      <c r="CJ233" s="69"/>
      <c r="CK233" s="69"/>
      <c r="CL233" s="69"/>
      <c r="CM233" s="69"/>
      <c r="CN233" s="69"/>
      <c r="CO233" s="69"/>
      <c r="CP233" s="69"/>
      <c r="CQ233" s="69"/>
      <c r="CR233" s="69"/>
      <c r="CS233" s="70"/>
      <c r="CT233" s="16"/>
      <c r="CU233" s="16"/>
      <c r="CV233" s="16"/>
      <c r="CW233" s="16"/>
      <c r="CX233" s="16"/>
      <c r="CY233" s="16"/>
      <c r="CZ233" s="16"/>
      <c r="DA233" s="16"/>
      <c r="DB233" s="16"/>
      <c r="DC233" s="16"/>
      <c r="DD233" s="16"/>
      <c r="DE233" s="16"/>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6"/>
      <c r="AD234" s="15"/>
      <c r="AE234" s="15"/>
      <c r="AF234" s="16"/>
      <c r="AG234" s="15"/>
      <c r="AH234" s="15"/>
      <c r="AI234" s="16"/>
      <c r="AJ234" s="15"/>
      <c r="AK234" s="15"/>
      <c r="AL234" s="16"/>
      <c r="AM234" s="15"/>
      <c r="AN234" s="15"/>
      <c r="AO234" s="16"/>
      <c r="AP234" s="15"/>
      <c r="AQ234" s="15"/>
      <c r="AR234" s="16"/>
      <c r="AS234" s="15"/>
      <c r="AT234" s="15"/>
      <c r="AU234" s="16"/>
      <c r="AV234" s="15"/>
      <c r="AW234" s="15"/>
      <c r="AX234" s="16"/>
      <c r="AY234" s="15"/>
      <c r="AZ234" s="15"/>
      <c r="BA234" s="16"/>
      <c r="BB234" s="16"/>
      <c r="BC234" s="16"/>
      <c r="BD234" s="16"/>
      <c r="BE234" s="16"/>
      <c r="BF234" s="16"/>
      <c r="BG234" s="16"/>
      <c r="BH234" s="16"/>
      <c r="BI234" s="16"/>
      <c r="BJ234" s="69"/>
      <c r="BK234" s="69"/>
      <c r="BL234" s="69"/>
      <c r="BM234" s="69"/>
      <c r="BN234" s="69"/>
      <c r="BO234" s="69"/>
      <c r="BP234" s="69"/>
      <c r="BQ234" s="69"/>
      <c r="BR234" s="69"/>
      <c r="BS234" s="69"/>
      <c r="BT234" s="69"/>
      <c r="BU234" s="69"/>
      <c r="BV234" s="69"/>
      <c r="BW234" s="69"/>
      <c r="BX234" s="69"/>
      <c r="BY234" s="69"/>
      <c r="BZ234" s="69"/>
      <c r="CA234" s="69"/>
      <c r="CB234" s="69"/>
      <c r="CC234" s="69"/>
      <c r="CD234" s="69"/>
      <c r="CE234" s="69"/>
      <c r="CF234" s="69"/>
      <c r="CG234" s="69"/>
      <c r="CH234" s="69"/>
      <c r="CI234" s="69"/>
      <c r="CJ234" s="69"/>
      <c r="CK234" s="69"/>
      <c r="CL234" s="69"/>
      <c r="CM234" s="69"/>
      <c r="CN234" s="69"/>
      <c r="CO234" s="69"/>
      <c r="CP234" s="69"/>
      <c r="CQ234" s="69"/>
      <c r="CR234" s="69"/>
      <c r="CS234" s="70"/>
      <c r="CT234" s="16"/>
      <c r="CU234" s="16"/>
      <c r="CV234" s="16"/>
      <c r="CW234" s="16"/>
      <c r="CX234" s="16"/>
      <c r="CY234" s="16"/>
      <c r="CZ234" s="16"/>
      <c r="DA234" s="16"/>
      <c r="DB234" s="16"/>
      <c r="DC234" s="16"/>
      <c r="DD234" s="16"/>
      <c r="DE234" s="16"/>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6"/>
      <c r="AD235" s="15"/>
      <c r="AE235" s="15"/>
      <c r="AF235" s="16"/>
      <c r="AG235" s="15"/>
      <c r="AH235" s="15"/>
      <c r="AI235" s="16"/>
      <c r="AJ235" s="15"/>
      <c r="AK235" s="15"/>
      <c r="AL235" s="16"/>
      <c r="AM235" s="15"/>
      <c r="AN235" s="15"/>
      <c r="AO235" s="16"/>
      <c r="AP235" s="15"/>
      <c r="AQ235" s="15"/>
      <c r="AR235" s="16"/>
      <c r="AS235" s="15"/>
      <c r="AT235" s="15"/>
      <c r="AU235" s="16"/>
      <c r="AV235" s="15"/>
      <c r="AW235" s="15"/>
      <c r="AX235" s="16"/>
      <c r="AY235" s="15"/>
      <c r="AZ235" s="15"/>
      <c r="BA235" s="16"/>
      <c r="BB235" s="16"/>
      <c r="BC235" s="16"/>
      <c r="BD235" s="16"/>
      <c r="BE235" s="16"/>
      <c r="BF235" s="16"/>
      <c r="BG235" s="16"/>
      <c r="BH235" s="16"/>
      <c r="BI235" s="16"/>
      <c r="BJ235" s="69"/>
      <c r="BK235" s="69"/>
      <c r="BL235" s="69"/>
      <c r="BM235" s="69"/>
      <c r="BN235" s="69"/>
      <c r="BO235" s="69"/>
      <c r="BP235" s="69"/>
      <c r="BQ235" s="69"/>
      <c r="BR235" s="69"/>
      <c r="BS235" s="69"/>
      <c r="BT235" s="69"/>
      <c r="BU235" s="69"/>
      <c r="BV235" s="69"/>
      <c r="BW235" s="69"/>
      <c r="BX235" s="69"/>
      <c r="BY235" s="69"/>
      <c r="BZ235" s="69"/>
      <c r="CA235" s="69"/>
      <c r="CB235" s="69"/>
      <c r="CC235" s="69"/>
      <c r="CD235" s="69"/>
      <c r="CE235" s="69"/>
      <c r="CF235" s="69"/>
      <c r="CG235" s="69"/>
      <c r="CH235" s="69"/>
      <c r="CI235" s="69"/>
      <c r="CJ235" s="69"/>
      <c r="CK235" s="69"/>
      <c r="CL235" s="69"/>
      <c r="CM235" s="69"/>
      <c r="CN235" s="69"/>
      <c r="CO235" s="69"/>
      <c r="CP235" s="69"/>
      <c r="CQ235" s="69"/>
      <c r="CR235" s="69"/>
      <c r="CS235" s="70"/>
      <c r="CT235" s="16"/>
      <c r="CU235" s="16"/>
      <c r="CV235" s="16"/>
      <c r="CW235" s="16"/>
      <c r="CX235" s="16"/>
      <c r="CY235" s="16"/>
      <c r="CZ235" s="16"/>
      <c r="DA235" s="16"/>
      <c r="DB235" s="16"/>
      <c r="DC235" s="16"/>
      <c r="DD235" s="16"/>
      <c r="DE235" s="16"/>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6"/>
      <c r="AD236" s="15"/>
      <c r="AE236" s="15"/>
      <c r="AF236" s="16"/>
      <c r="AG236" s="15"/>
      <c r="AH236" s="15"/>
      <c r="AI236" s="16"/>
      <c r="AJ236" s="15"/>
      <c r="AK236" s="15"/>
      <c r="AL236" s="16"/>
      <c r="AM236" s="15"/>
      <c r="AN236" s="15"/>
      <c r="AO236" s="16"/>
      <c r="AP236" s="15"/>
      <c r="AQ236" s="15"/>
      <c r="AR236" s="16"/>
      <c r="AS236" s="15"/>
      <c r="AT236" s="15"/>
      <c r="AU236" s="16"/>
      <c r="AV236" s="15"/>
      <c r="AW236" s="15"/>
      <c r="AX236" s="16"/>
      <c r="AY236" s="15"/>
      <c r="AZ236" s="15"/>
      <c r="BA236" s="16"/>
      <c r="BB236" s="16"/>
      <c r="BC236" s="16"/>
      <c r="BD236" s="16"/>
      <c r="BE236" s="16"/>
      <c r="BF236" s="16"/>
      <c r="BG236" s="16"/>
      <c r="BH236" s="16"/>
      <c r="BI236" s="16"/>
      <c r="BJ236" s="69"/>
      <c r="BK236" s="69"/>
      <c r="BL236" s="69"/>
      <c r="BM236" s="69"/>
      <c r="BN236" s="69"/>
      <c r="BO236" s="69"/>
      <c r="BP236" s="69"/>
      <c r="BQ236" s="69"/>
      <c r="BR236" s="69"/>
      <c r="BS236" s="69"/>
      <c r="BT236" s="69"/>
      <c r="BU236" s="69"/>
      <c r="BV236" s="69"/>
      <c r="BW236" s="69"/>
      <c r="BX236" s="69"/>
      <c r="BY236" s="69"/>
      <c r="BZ236" s="69"/>
      <c r="CA236" s="69"/>
      <c r="CB236" s="69"/>
      <c r="CC236" s="69"/>
      <c r="CD236" s="69"/>
      <c r="CE236" s="69"/>
      <c r="CF236" s="69"/>
      <c r="CG236" s="69"/>
      <c r="CH236" s="69"/>
      <c r="CI236" s="69"/>
      <c r="CJ236" s="69"/>
      <c r="CK236" s="69"/>
      <c r="CL236" s="69"/>
      <c r="CM236" s="69"/>
      <c r="CN236" s="69"/>
      <c r="CO236" s="69"/>
      <c r="CP236" s="69"/>
      <c r="CQ236" s="69"/>
      <c r="CR236" s="69"/>
      <c r="CS236" s="70"/>
      <c r="CT236" s="16"/>
      <c r="CU236" s="16"/>
      <c r="CV236" s="16"/>
      <c r="CW236" s="16"/>
      <c r="CX236" s="16"/>
      <c r="CY236" s="16"/>
      <c r="CZ236" s="16"/>
      <c r="DA236" s="16"/>
      <c r="DB236" s="16"/>
      <c r="DC236" s="16"/>
      <c r="DD236" s="16"/>
      <c r="DE236" s="16"/>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6"/>
      <c r="AD237" s="15"/>
      <c r="AE237" s="15"/>
      <c r="AF237" s="16"/>
      <c r="AG237" s="15"/>
      <c r="AH237" s="15"/>
      <c r="AI237" s="16"/>
      <c r="AJ237" s="15"/>
      <c r="AK237" s="15"/>
      <c r="AL237" s="16"/>
      <c r="AM237" s="15"/>
      <c r="AN237" s="15"/>
      <c r="AO237" s="16"/>
      <c r="AP237" s="15"/>
      <c r="AQ237" s="15"/>
      <c r="AR237" s="16"/>
      <c r="AS237" s="15"/>
      <c r="AT237" s="15"/>
      <c r="AU237" s="16"/>
      <c r="AV237" s="15"/>
      <c r="AW237" s="15"/>
      <c r="AX237" s="16"/>
      <c r="AY237" s="15"/>
      <c r="AZ237" s="15"/>
      <c r="BA237" s="16"/>
      <c r="BB237" s="16"/>
      <c r="BC237" s="16"/>
      <c r="BD237" s="16"/>
      <c r="BE237" s="16"/>
      <c r="BF237" s="16"/>
      <c r="BG237" s="16"/>
      <c r="BH237" s="16"/>
      <c r="BI237" s="16"/>
      <c r="BJ237" s="69"/>
      <c r="BK237" s="69"/>
      <c r="BL237" s="69"/>
      <c r="BM237" s="69"/>
      <c r="BN237" s="69"/>
      <c r="BO237" s="69"/>
      <c r="BP237" s="69"/>
      <c r="BQ237" s="69"/>
      <c r="BR237" s="69"/>
      <c r="BS237" s="69"/>
      <c r="BT237" s="69"/>
      <c r="BU237" s="69"/>
      <c r="BV237" s="69"/>
      <c r="BW237" s="69"/>
      <c r="BX237" s="69"/>
      <c r="BY237" s="69"/>
      <c r="BZ237" s="69"/>
      <c r="CA237" s="69"/>
      <c r="CB237" s="69"/>
      <c r="CC237" s="69"/>
      <c r="CD237" s="69"/>
      <c r="CE237" s="69"/>
      <c r="CF237" s="69"/>
      <c r="CG237" s="69"/>
      <c r="CH237" s="69"/>
      <c r="CI237" s="69"/>
      <c r="CJ237" s="69"/>
      <c r="CK237" s="69"/>
      <c r="CL237" s="69"/>
      <c r="CM237" s="69"/>
      <c r="CN237" s="69"/>
      <c r="CO237" s="69"/>
      <c r="CP237" s="69"/>
      <c r="CQ237" s="69"/>
      <c r="CR237" s="69"/>
      <c r="CS237" s="70"/>
      <c r="CT237" s="16"/>
      <c r="CU237" s="16"/>
      <c r="CV237" s="16"/>
      <c r="CW237" s="16"/>
      <c r="CX237" s="16"/>
      <c r="CY237" s="16"/>
      <c r="CZ237" s="16"/>
      <c r="DA237" s="16"/>
      <c r="DB237" s="16"/>
      <c r="DC237" s="16"/>
      <c r="DD237" s="16"/>
      <c r="DE237" s="16"/>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6"/>
      <c r="AD238" s="15"/>
      <c r="AE238" s="15"/>
      <c r="AF238" s="16"/>
      <c r="AG238" s="15"/>
      <c r="AH238" s="15"/>
      <c r="AI238" s="16"/>
      <c r="AJ238" s="15"/>
      <c r="AK238" s="15"/>
      <c r="AL238" s="16"/>
      <c r="AM238" s="15"/>
      <c r="AN238" s="15"/>
      <c r="AO238" s="16"/>
      <c r="AP238" s="15"/>
      <c r="AQ238" s="15"/>
      <c r="AR238" s="16"/>
      <c r="AS238" s="15"/>
      <c r="AT238" s="15"/>
      <c r="AU238" s="16"/>
      <c r="AV238" s="15"/>
      <c r="AW238" s="15"/>
      <c r="AX238" s="16"/>
      <c r="AY238" s="15"/>
      <c r="AZ238" s="15"/>
      <c r="BA238" s="16"/>
      <c r="BB238" s="16"/>
      <c r="BC238" s="16"/>
      <c r="BD238" s="16"/>
      <c r="BE238" s="16"/>
      <c r="BF238" s="16"/>
      <c r="BG238" s="16"/>
      <c r="BH238" s="16"/>
      <c r="BI238" s="16"/>
      <c r="BJ238" s="69"/>
      <c r="BK238" s="69"/>
      <c r="BL238" s="69"/>
      <c r="BM238" s="69"/>
      <c r="BN238" s="69"/>
      <c r="BO238" s="69"/>
      <c r="BP238" s="69"/>
      <c r="BQ238" s="69"/>
      <c r="BR238" s="69"/>
      <c r="BS238" s="69"/>
      <c r="BT238" s="69"/>
      <c r="BU238" s="69"/>
      <c r="BV238" s="69"/>
      <c r="BW238" s="69"/>
      <c r="BX238" s="69"/>
      <c r="BY238" s="69"/>
      <c r="BZ238" s="69"/>
      <c r="CA238" s="69"/>
      <c r="CB238" s="69"/>
      <c r="CC238" s="69"/>
      <c r="CD238" s="69"/>
      <c r="CE238" s="69"/>
      <c r="CF238" s="69"/>
      <c r="CG238" s="69"/>
      <c r="CH238" s="69"/>
      <c r="CI238" s="69"/>
      <c r="CJ238" s="69"/>
      <c r="CK238" s="69"/>
      <c r="CL238" s="69"/>
      <c r="CM238" s="69"/>
      <c r="CN238" s="69"/>
      <c r="CO238" s="69"/>
      <c r="CP238" s="69"/>
      <c r="CQ238" s="69"/>
      <c r="CR238" s="69"/>
      <c r="CS238" s="70"/>
      <c r="CT238" s="16"/>
      <c r="CU238" s="16"/>
      <c r="CV238" s="16"/>
      <c r="CW238" s="16"/>
      <c r="CX238" s="16"/>
      <c r="CY238" s="16"/>
      <c r="CZ238" s="16"/>
      <c r="DA238" s="16"/>
      <c r="DB238" s="16"/>
      <c r="DC238" s="16"/>
      <c r="DD238" s="16"/>
      <c r="DE238" s="16"/>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6"/>
      <c r="AD239" s="15"/>
      <c r="AE239" s="15"/>
      <c r="AF239" s="16"/>
      <c r="AG239" s="15"/>
      <c r="AH239" s="15"/>
      <c r="AI239" s="16"/>
      <c r="AJ239" s="15"/>
      <c r="AK239" s="15"/>
      <c r="AL239" s="16"/>
      <c r="AM239" s="15"/>
      <c r="AN239" s="15"/>
      <c r="AO239" s="16"/>
      <c r="AP239" s="15"/>
      <c r="AQ239" s="15"/>
      <c r="AR239" s="16"/>
      <c r="AS239" s="15"/>
      <c r="AT239" s="15"/>
      <c r="AU239" s="16"/>
      <c r="AV239" s="15"/>
      <c r="AW239" s="15"/>
      <c r="AX239" s="16"/>
      <c r="AY239" s="15"/>
      <c r="AZ239" s="15"/>
      <c r="BA239" s="16"/>
      <c r="BB239" s="16"/>
      <c r="BC239" s="16"/>
      <c r="BD239" s="16"/>
      <c r="BE239" s="16"/>
      <c r="BF239" s="16"/>
      <c r="BG239" s="16"/>
      <c r="BH239" s="16"/>
      <c r="BI239" s="16"/>
      <c r="BJ239" s="69"/>
      <c r="BK239" s="69"/>
      <c r="BL239" s="69"/>
      <c r="BM239" s="69"/>
      <c r="BN239" s="69"/>
      <c r="BO239" s="69"/>
      <c r="BP239" s="69"/>
      <c r="BQ239" s="69"/>
      <c r="BR239" s="69"/>
      <c r="BS239" s="69"/>
      <c r="BT239" s="69"/>
      <c r="BU239" s="69"/>
      <c r="BV239" s="69"/>
      <c r="BW239" s="69"/>
      <c r="BX239" s="69"/>
      <c r="BY239" s="69"/>
      <c r="BZ239" s="69"/>
      <c r="CA239" s="69"/>
      <c r="CB239" s="69"/>
      <c r="CC239" s="69"/>
      <c r="CD239" s="69"/>
      <c r="CE239" s="69"/>
      <c r="CF239" s="69"/>
      <c r="CG239" s="69"/>
      <c r="CH239" s="69"/>
      <c r="CI239" s="69"/>
      <c r="CJ239" s="69"/>
      <c r="CK239" s="69"/>
      <c r="CL239" s="69"/>
      <c r="CM239" s="69"/>
      <c r="CN239" s="69"/>
      <c r="CO239" s="69"/>
      <c r="CP239" s="69"/>
      <c r="CQ239" s="69"/>
      <c r="CR239" s="69"/>
      <c r="CS239" s="70"/>
      <c r="CT239" s="16"/>
      <c r="CU239" s="16"/>
      <c r="CV239" s="16"/>
      <c r="CW239" s="16"/>
      <c r="CX239" s="16"/>
      <c r="CY239" s="16"/>
      <c r="CZ239" s="16"/>
      <c r="DA239" s="16"/>
      <c r="DB239" s="16"/>
      <c r="DC239" s="16"/>
      <c r="DD239" s="16"/>
      <c r="DE239" s="16"/>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6"/>
      <c r="AD240" s="15"/>
      <c r="AE240" s="15"/>
      <c r="AF240" s="16"/>
      <c r="AG240" s="15"/>
      <c r="AH240" s="15"/>
      <c r="AI240" s="16"/>
      <c r="AJ240" s="15"/>
      <c r="AK240" s="15"/>
      <c r="AL240" s="16"/>
      <c r="AM240" s="15"/>
      <c r="AN240" s="15"/>
      <c r="AO240" s="16"/>
      <c r="AP240" s="15"/>
      <c r="AQ240" s="15"/>
      <c r="AR240" s="16"/>
      <c r="AS240" s="15"/>
      <c r="AT240" s="15"/>
      <c r="AU240" s="16"/>
      <c r="AV240" s="15"/>
      <c r="AW240" s="15"/>
      <c r="AX240" s="16"/>
      <c r="AY240" s="15"/>
      <c r="AZ240" s="15"/>
      <c r="BA240" s="16"/>
      <c r="BB240" s="16"/>
      <c r="BC240" s="16"/>
      <c r="BD240" s="16"/>
      <c r="BE240" s="16"/>
      <c r="BF240" s="16"/>
      <c r="BG240" s="16"/>
      <c r="BH240" s="16"/>
      <c r="BI240" s="16"/>
      <c r="BJ240" s="69"/>
      <c r="BK240" s="69"/>
      <c r="BL240" s="69"/>
      <c r="BM240" s="69"/>
      <c r="BN240" s="69"/>
      <c r="BO240" s="69"/>
      <c r="BP240" s="69"/>
      <c r="BQ240" s="69"/>
      <c r="BR240" s="69"/>
      <c r="BS240" s="69"/>
      <c r="BT240" s="69"/>
      <c r="BU240" s="69"/>
      <c r="BV240" s="69"/>
      <c r="BW240" s="69"/>
      <c r="BX240" s="69"/>
      <c r="BY240" s="69"/>
      <c r="BZ240" s="69"/>
      <c r="CA240" s="69"/>
      <c r="CB240" s="69"/>
      <c r="CC240" s="69"/>
      <c r="CD240" s="69"/>
      <c r="CE240" s="69"/>
      <c r="CF240" s="69"/>
      <c r="CG240" s="69"/>
      <c r="CH240" s="69"/>
      <c r="CI240" s="69"/>
      <c r="CJ240" s="69"/>
      <c r="CK240" s="69"/>
      <c r="CL240" s="69"/>
      <c r="CM240" s="69"/>
      <c r="CN240" s="69"/>
      <c r="CO240" s="69"/>
      <c r="CP240" s="69"/>
      <c r="CQ240" s="69"/>
      <c r="CR240" s="69"/>
      <c r="CS240" s="70"/>
      <c r="CT240" s="16"/>
      <c r="CU240" s="16"/>
      <c r="CV240" s="16"/>
      <c r="CW240" s="16"/>
      <c r="CX240" s="16"/>
      <c r="CY240" s="16"/>
      <c r="CZ240" s="16"/>
      <c r="DA240" s="16"/>
      <c r="DB240" s="16"/>
      <c r="DC240" s="16"/>
      <c r="DD240" s="16"/>
      <c r="DE240" s="16"/>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6"/>
      <c r="AD241" s="15"/>
      <c r="AE241" s="15"/>
      <c r="AF241" s="16"/>
      <c r="AG241" s="15"/>
      <c r="AH241" s="15"/>
      <c r="AI241" s="16"/>
      <c r="AJ241" s="15"/>
      <c r="AK241" s="15"/>
      <c r="AL241" s="16"/>
      <c r="AM241" s="15"/>
      <c r="AN241" s="15"/>
      <c r="AO241" s="16"/>
      <c r="AP241" s="15"/>
      <c r="AQ241" s="15"/>
      <c r="AR241" s="16"/>
      <c r="AS241" s="15"/>
      <c r="AT241" s="15"/>
      <c r="AU241" s="16"/>
      <c r="AV241" s="15"/>
      <c r="AW241" s="15"/>
      <c r="AX241" s="16"/>
      <c r="AY241" s="15"/>
      <c r="AZ241" s="15"/>
      <c r="BA241" s="16"/>
      <c r="BB241" s="16"/>
      <c r="BC241" s="16"/>
      <c r="BD241" s="16"/>
      <c r="BE241" s="16"/>
      <c r="BF241" s="16"/>
      <c r="BG241" s="16"/>
      <c r="BH241" s="16"/>
      <c r="BI241" s="16"/>
      <c r="BJ241" s="69"/>
      <c r="BK241" s="69"/>
      <c r="BL241" s="69"/>
      <c r="BM241" s="69"/>
      <c r="BN241" s="69"/>
      <c r="BO241" s="69"/>
      <c r="BP241" s="69"/>
      <c r="BQ241" s="69"/>
      <c r="BR241" s="69"/>
      <c r="BS241" s="69"/>
      <c r="BT241" s="69"/>
      <c r="BU241" s="69"/>
      <c r="BV241" s="69"/>
      <c r="BW241" s="69"/>
      <c r="BX241" s="69"/>
      <c r="BY241" s="69"/>
      <c r="BZ241" s="69"/>
      <c r="CA241" s="69"/>
      <c r="CB241" s="69"/>
      <c r="CC241" s="69"/>
      <c r="CD241" s="69"/>
      <c r="CE241" s="69"/>
      <c r="CF241" s="69"/>
      <c r="CG241" s="69"/>
      <c r="CH241" s="69"/>
      <c r="CI241" s="69"/>
      <c r="CJ241" s="69"/>
      <c r="CK241" s="69"/>
      <c r="CL241" s="69"/>
      <c r="CM241" s="69"/>
      <c r="CN241" s="69"/>
      <c r="CO241" s="69"/>
      <c r="CP241" s="69"/>
      <c r="CQ241" s="69"/>
      <c r="CR241" s="69"/>
      <c r="CS241" s="70"/>
      <c r="CT241" s="16"/>
      <c r="CU241" s="16"/>
      <c r="CV241" s="16"/>
      <c r="CW241" s="16"/>
      <c r="CX241" s="16"/>
      <c r="CY241" s="16"/>
      <c r="CZ241" s="16"/>
      <c r="DA241" s="16"/>
      <c r="DB241" s="16"/>
      <c r="DC241" s="16"/>
      <c r="DD241" s="16"/>
      <c r="DE241" s="16"/>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6"/>
      <c r="AD242" s="15"/>
      <c r="AE242" s="15"/>
      <c r="AF242" s="16"/>
      <c r="AG242" s="15"/>
      <c r="AH242" s="15"/>
      <c r="AI242" s="16"/>
      <c r="AJ242" s="15"/>
      <c r="AK242" s="15"/>
      <c r="AL242" s="16"/>
      <c r="AM242" s="15"/>
      <c r="AN242" s="15"/>
      <c r="AO242" s="16"/>
      <c r="AP242" s="15"/>
      <c r="AQ242" s="15"/>
      <c r="AR242" s="16"/>
      <c r="AS242" s="15"/>
      <c r="AT242" s="15"/>
      <c r="AU242" s="16"/>
      <c r="AV242" s="15"/>
      <c r="AW242" s="15"/>
      <c r="AX242" s="16"/>
      <c r="AY242" s="15"/>
      <c r="AZ242" s="15"/>
      <c r="BA242" s="16"/>
      <c r="BB242" s="16"/>
      <c r="BC242" s="16"/>
      <c r="BD242" s="16"/>
      <c r="BE242" s="16"/>
      <c r="BF242" s="16"/>
      <c r="BG242" s="16"/>
      <c r="BH242" s="16"/>
      <c r="BI242" s="16"/>
      <c r="BJ242" s="69"/>
      <c r="BK242" s="69"/>
      <c r="BL242" s="69"/>
      <c r="BM242" s="69"/>
      <c r="BN242" s="69"/>
      <c r="BO242" s="69"/>
      <c r="BP242" s="69"/>
      <c r="BQ242" s="69"/>
      <c r="BR242" s="69"/>
      <c r="BS242" s="69"/>
      <c r="BT242" s="69"/>
      <c r="BU242" s="69"/>
      <c r="BV242" s="69"/>
      <c r="BW242" s="69"/>
      <c r="BX242" s="69"/>
      <c r="BY242" s="69"/>
      <c r="BZ242" s="69"/>
      <c r="CA242" s="69"/>
      <c r="CB242" s="69"/>
      <c r="CC242" s="69"/>
      <c r="CD242" s="69"/>
      <c r="CE242" s="69"/>
      <c r="CF242" s="69"/>
      <c r="CG242" s="69"/>
      <c r="CH242" s="69"/>
      <c r="CI242" s="69"/>
      <c r="CJ242" s="69"/>
      <c r="CK242" s="69"/>
      <c r="CL242" s="69"/>
      <c r="CM242" s="69"/>
      <c r="CN242" s="69"/>
      <c r="CO242" s="69"/>
      <c r="CP242" s="69"/>
      <c r="CQ242" s="69"/>
      <c r="CR242" s="69"/>
      <c r="CS242" s="70"/>
      <c r="CT242" s="16"/>
      <c r="CU242" s="16"/>
      <c r="CV242" s="16"/>
      <c r="CW242" s="16"/>
      <c r="CX242" s="16"/>
      <c r="CY242" s="16"/>
      <c r="CZ242" s="16"/>
      <c r="DA242" s="16"/>
      <c r="DB242" s="16"/>
      <c r="DC242" s="16"/>
      <c r="DD242" s="16"/>
      <c r="DE242" s="16"/>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6"/>
      <c r="AD243" s="15"/>
      <c r="AE243" s="15"/>
      <c r="AF243" s="16"/>
      <c r="AG243" s="15"/>
      <c r="AH243" s="15"/>
      <c r="AI243" s="16"/>
      <c r="AJ243" s="15"/>
      <c r="AK243" s="15"/>
      <c r="AL243" s="16"/>
      <c r="AM243" s="15"/>
      <c r="AN243" s="15"/>
      <c r="AO243" s="16"/>
      <c r="AP243" s="15"/>
      <c r="AQ243" s="15"/>
      <c r="AR243" s="16"/>
      <c r="AS243" s="15"/>
      <c r="AT243" s="15"/>
      <c r="AU243" s="16"/>
      <c r="AV243" s="15"/>
      <c r="AW243" s="15"/>
      <c r="AX243" s="16"/>
      <c r="AY243" s="15"/>
      <c r="AZ243" s="15"/>
      <c r="BA243" s="16"/>
      <c r="BB243" s="16"/>
      <c r="BC243" s="16"/>
      <c r="BD243" s="16"/>
      <c r="BE243" s="16"/>
      <c r="BF243" s="16"/>
      <c r="BG243" s="16"/>
      <c r="BH243" s="16"/>
      <c r="BI243" s="16"/>
      <c r="BJ243" s="69"/>
      <c r="BK243" s="69"/>
      <c r="BL243" s="69"/>
      <c r="BM243" s="69"/>
      <c r="BN243" s="69"/>
      <c r="BO243" s="69"/>
      <c r="BP243" s="69"/>
      <c r="BQ243" s="69"/>
      <c r="BR243" s="69"/>
      <c r="BS243" s="69"/>
      <c r="BT243" s="69"/>
      <c r="BU243" s="69"/>
      <c r="BV243" s="69"/>
      <c r="BW243" s="69"/>
      <c r="BX243" s="69"/>
      <c r="BY243" s="69"/>
      <c r="BZ243" s="69"/>
      <c r="CA243" s="69"/>
      <c r="CB243" s="69"/>
      <c r="CC243" s="69"/>
      <c r="CD243" s="69"/>
      <c r="CE243" s="69"/>
      <c r="CF243" s="69"/>
      <c r="CG243" s="69"/>
      <c r="CH243" s="69"/>
      <c r="CI243" s="69"/>
      <c r="CJ243" s="69"/>
      <c r="CK243" s="69"/>
      <c r="CL243" s="69"/>
      <c r="CM243" s="69"/>
      <c r="CN243" s="69"/>
      <c r="CO243" s="69"/>
      <c r="CP243" s="69"/>
      <c r="CQ243" s="69"/>
      <c r="CR243" s="69"/>
      <c r="CS243" s="70"/>
      <c r="CT243" s="16"/>
      <c r="CU243" s="16"/>
      <c r="CV243" s="16"/>
      <c r="CW243" s="16"/>
      <c r="CX243" s="16"/>
      <c r="CY243" s="16"/>
      <c r="CZ243" s="16"/>
      <c r="DA243" s="16"/>
      <c r="DB243" s="16"/>
      <c r="DC243" s="16"/>
      <c r="DD243" s="16"/>
      <c r="DE243" s="16"/>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6"/>
      <c r="AD244" s="15"/>
      <c r="AE244" s="15"/>
      <c r="AF244" s="16"/>
      <c r="AG244" s="15"/>
      <c r="AH244" s="15"/>
      <c r="AI244" s="16"/>
      <c r="AJ244" s="15"/>
      <c r="AK244" s="15"/>
      <c r="AL244" s="16"/>
      <c r="AM244" s="15"/>
      <c r="AN244" s="15"/>
      <c r="AO244" s="16"/>
      <c r="AP244" s="15"/>
      <c r="AQ244" s="15"/>
      <c r="AR244" s="16"/>
      <c r="AS244" s="15"/>
      <c r="AT244" s="15"/>
      <c r="AU244" s="16"/>
      <c r="AV244" s="15"/>
      <c r="AW244" s="15"/>
      <c r="AX244" s="16"/>
      <c r="AY244" s="15"/>
      <c r="AZ244" s="15"/>
      <c r="BA244" s="16"/>
      <c r="BB244" s="16"/>
      <c r="BC244" s="16"/>
      <c r="BD244" s="16"/>
      <c r="BE244" s="16"/>
      <c r="BF244" s="16"/>
      <c r="BG244" s="16"/>
      <c r="BH244" s="16"/>
      <c r="BI244" s="16"/>
      <c r="BJ244" s="69"/>
      <c r="BK244" s="69"/>
      <c r="BL244" s="69"/>
      <c r="BM244" s="69"/>
      <c r="BN244" s="69"/>
      <c r="BO244" s="69"/>
      <c r="BP244" s="69"/>
      <c r="BQ244" s="69"/>
      <c r="BR244" s="69"/>
      <c r="BS244" s="69"/>
      <c r="BT244" s="69"/>
      <c r="BU244" s="69"/>
      <c r="BV244" s="69"/>
      <c r="BW244" s="69"/>
      <c r="BX244" s="69"/>
      <c r="BY244" s="69"/>
      <c r="BZ244" s="69"/>
      <c r="CA244" s="69"/>
      <c r="CB244" s="69"/>
      <c r="CC244" s="69"/>
      <c r="CD244" s="69"/>
      <c r="CE244" s="69"/>
      <c r="CF244" s="69"/>
      <c r="CG244" s="69"/>
      <c r="CH244" s="69"/>
      <c r="CI244" s="69"/>
      <c r="CJ244" s="69"/>
      <c r="CK244" s="69"/>
      <c r="CL244" s="69"/>
      <c r="CM244" s="69"/>
      <c r="CN244" s="69"/>
      <c r="CO244" s="69"/>
      <c r="CP244" s="69"/>
      <c r="CQ244" s="69"/>
      <c r="CR244" s="69"/>
      <c r="CS244" s="70"/>
      <c r="CT244" s="16"/>
      <c r="CU244" s="16"/>
      <c r="CV244" s="16"/>
      <c r="CW244" s="16"/>
      <c r="CX244" s="16"/>
      <c r="CY244" s="16"/>
      <c r="CZ244" s="16"/>
      <c r="DA244" s="16"/>
      <c r="DB244" s="16"/>
      <c r="DC244" s="16"/>
      <c r="DD244" s="16"/>
      <c r="DE244" s="16"/>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6"/>
      <c r="AD245" s="15"/>
      <c r="AE245" s="15"/>
      <c r="AF245" s="16"/>
      <c r="AG245" s="15"/>
      <c r="AH245" s="15"/>
      <c r="AI245" s="16"/>
      <c r="AJ245" s="15"/>
      <c r="AK245" s="15"/>
      <c r="AL245" s="16"/>
      <c r="AM245" s="15"/>
      <c r="AN245" s="15"/>
      <c r="AO245" s="16"/>
      <c r="AP245" s="15"/>
      <c r="AQ245" s="15"/>
      <c r="AR245" s="16"/>
      <c r="AS245" s="15"/>
      <c r="AT245" s="15"/>
      <c r="AU245" s="16"/>
      <c r="AV245" s="15"/>
      <c r="AW245" s="15"/>
      <c r="AX245" s="16"/>
      <c r="AY245" s="15"/>
      <c r="AZ245" s="15"/>
      <c r="BA245" s="16"/>
      <c r="BB245" s="16"/>
      <c r="BC245" s="16"/>
      <c r="BD245" s="16"/>
      <c r="BE245" s="16"/>
      <c r="BF245" s="16"/>
      <c r="BG245" s="16"/>
      <c r="BH245" s="16"/>
      <c r="BI245" s="16"/>
      <c r="BJ245" s="69"/>
      <c r="BK245" s="69"/>
      <c r="BL245" s="69"/>
      <c r="BM245" s="69"/>
      <c r="BN245" s="69"/>
      <c r="BO245" s="69"/>
      <c r="BP245" s="69"/>
      <c r="BQ245" s="69"/>
      <c r="BR245" s="69"/>
      <c r="BS245" s="69"/>
      <c r="BT245" s="69"/>
      <c r="BU245" s="69"/>
      <c r="BV245" s="69"/>
      <c r="BW245" s="69"/>
      <c r="BX245" s="69"/>
      <c r="BY245" s="69"/>
      <c r="BZ245" s="69"/>
      <c r="CA245" s="69"/>
      <c r="CB245" s="69"/>
      <c r="CC245" s="69"/>
      <c r="CD245" s="69"/>
      <c r="CE245" s="69"/>
      <c r="CF245" s="69"/>
      <c r="CG245" s="69"/>
      <c r="CH245" s="69"/>
      <c r="CI245" s="69"/>
      <c r="CJ245" s="69"/>
      <c r="CK245" s="69"/>
      <c r="CL245" s="69"/>
      <c r="CM245" s="69"/>
      <c r="CN245" s="69"/>
      <c r="CO245" s="69"/>
      <c r="CP245" s="69"/>
      <c r="CQ245" s="69"/>
      <c r="CR245" s="69"/>
      <c r="CS245" s="70"/>
      <c r="CT245" s="16"/>
      <c r="CU245" s="16"/>
      <c r="CV245" s="16"/>
      <c r="CW245" s="16"/>
      <c r="CX245" s="16"/>
      <c r="CY245" s="16"/>
      <c r="CZ245" s="16"/>
      <c r="DA245" s="16"/>
      <c r="DB245" s="16"/>
      <c r="DC245" s="16"/>
      <c r="DD245" s="16"/>
      <c r="DE245" s="16"/>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6"/>
      <c r="AD246" s="15"/>
      <c r="AE246" s="15"/>
      <c r="AF246" s="16"/>
      <c r="AG246" s="15"/>
      <c r="AH246" s="15"/>
      <c r="AI246" s="16"/>
      <c r="AJ246" s="15"/>
      <c r="AK246" s="15"/>
      <c r="AL246" s="16"/>
      <c r="AM246" s="15"/>
      <c r="AN246" s="15"/>
      <c r="AO246" s="16"/>
      <c r="AP246" s="15"/>
      <c r="AQ246" s="15"/>
      <c r="AR246" s="16"/>
      <c r="AS246" s="15"/>
      <c r="AT246" s="15"/>
      <c r="AU246" s="16"/>
      <c r="AV246" s="15"/>
      <c r="AW246" s="15"/>
      <c r="AX246" s="16"/>
      <c r="AY246" s="15"/>
      <c r="AZ246" s="15"/>
      <c r="BA246" s="16"/>
      <c r="BB246" s="16"/>
      <c r="BC246" s="16"/>
      <c r="BD246" s="16"/>
      <c r="BE246" s="16"/>
      <c r="BF246" s="16"/>
      <c r="BG246" s="16"/>
      <c r="BH246" s="16"/>
      <c r="BI246" s="16"/>
      <c r="BJ246" s="69"/>
      <c r="BK246" s="69"/>
      <c r="BL246" s="69"/>
      <c r="BM246" s="69"/>
      <c r="BN246" s="69"/>
      <c r="BO246" s="69"/>
      <c r="BP246" s="69"/>
      <c r="BQ246" s="69"/>
      <c r="BR246" s="69"/>
      <c r="BS246" s="69"/>
      <c r="BT246" s="69"/>
      <c r="BU246" s="69"/>
      <c r="BV246" s="69"/>
      <c r="BW246" s="69"/>
      <c r="BX246" s="69"/>
      <c r="BY246" s="69"/>
      <c r="BZ246" s="69"/>
      <c r="CA246" s="69"/>
      <c r="CB246" s="69"/>
      <c r="CC246" s="69"/>
      <c r="CD246" s="69"/>
      <c r="CE246" s="69"/>
      <c r="CF246" s="69"/>
      <c r="CG246" s="69"/>
      <c r="CH246" s="69"/>
      <c r="CI246" s="69"/>
      <c r="CJ246" s="69"/>
      <c r="CK246" s="69"/>
      <c r="CL246" s="69"/>
      <c r="CM246" s="69"/>
      <c r="CN246" s="69"/>
      <c r="CO246" s="69"/>
      <c r="CP246" s="69"/>
      <c r="CQ246" s="69"/>
      <c r="CR246" s="69"/>
      <c r="CS246" s="70"/>
      <c r="CT246" s="16"/>
      <c r="CU246" s="16"/>
      <c r="CV246" s="16"/>
      <c r="CW246" s="16"/>
      <c r="CX246" s="16"/>
      <c r="CY246" s="16"/>
      <c r="CZ246" s="16"/>
      <c r="DA246" s="16"/>
      <c r="DB246" s="16"/>
      <c r="DC246" s="16"/>
      <c r="DD246" s="16"/>
      <c r="DE246" s="16"/>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6"/>
      <c r="AD247" s="15"/>
      <c r="AE247" s="15"/>
      <c r="AF247" s="16"/>
      <c r="AG247" s="15"/>
      <c r="AH247" s="15"/>
      <c r="AI247" s="16"/>
      <c r="AJ247" s="15"/>
      <c r="AK247" s="15"/>
      <c r="AL247" s="16"/>
      <c r="AM247" s="15"/>
      <c r="AN247" s="15"/>
      <c r="AO247" s="16"/>
      <c r="AP247" s="15"/>
      <c r="AQ247" s="15"/>
      <c r="AR247" s="16"/>
      <c r="AS247" s="15"/>
      <c r="AT247" s="15"/>
      <c r="AU247" s="16"/>
      <c r="AV247" s="15"/>
      <c r="AW247" s="15"/>
      <c r="AX247" s="16"/>
      <c r="AY247" s="15"/>
      <c r="AZ247" s="15"/>
      <c r="BA247" s="16"/>
      <c r="BB247" s="16"/>
      <c r="BC247" s="16"/>
      <c r="BD247" s="16"/>
      <c r="BE247" s="16"/>
      <c r="BF247" s="16"/>
      <c r="BG247" s="16"/>
      <c r="BH247" s="16"/>
      <c r="BI247" s="16"/>
      <c r="BJ247" s="69"/>
      <c r="BK247" s="69"/>
      <c r="BL247" s="69"/>
      <c r="BM247" s="69"/>
      <c r="BN247" s="69"/>
      <c r="BO247" s="69"/>
      <c r="BP247" s="69"/>
      <c r="BQ247" s="69"/>
      <c r="BR247" s="69"/>
      <c r="BS247" s="69"/>
      <c r="BT247" s="69"/>
      <c r="BU247" s="69"/>
      <c r="BV247" s="69"/>
      <c r="BW247" s="69"/>
      <c r="BX247" s="69"/>
      <c r="BY247" s="69"/>
      <c r="BZ247" s="69"/>
      <c r="CA247" s="69"/>
      <c r="CB247" s="69"/>
      <c r="CC247" s="69"/>
      <c r="CD247" s="69"/>
      <c r="CE247" s="69"/>
      <c r="CF247" s="69"/>
      <c r="CG247" s="69"/>
      <c r="CH247" s="69"/>
      <c r="CI247" s="69"/>
      <c r="CJ247" s="69"/>
      <c r="CK247" s="69"/>
      <c r="CL247" s="69"/>
      <c r="CM247" s="69"/>
      <c r="CN247" s="69"/>
      <c r="CO247" s="69"/>
      <c r="CP247" s="69"/>
      <c r="CQ247" s="69"/>
      <c r="CR247" s="69"/>
      <c r="CS247" s="70"/>
      <c r="CT247" s="16"/>
      <c r="CU247" s="16"/>
      <c r="CV247" s="16"/>
      <c r="CW247" s="16"/>
      <c r="CX247" s="16"/>
      <c r="CY247" s="16"/>
      <c r="CZ247" s="16"/>
      <c r="DA247" s="16"/>
      <c r="DB247" s="16"/>
      <c r="DC247" s="16"/>
      <c r="DD247" s="16"/>
      <c r="DE247" s="16"/>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6"/>
      <c r="AD248" s="15"/>
      <c r="AE248" s="15"/>
      <c r="AF248" s="16"/>
      <c r="AG248" s="15"/>
      <c r="AH248" s="15"/>
      <c r="AI248" s="16"/>
      <c r="AJ248" s="15"/>
      <c r="AK248" s="15"/>
      <c r="AL248" s="16"/>
      <c r="AM248" s="15"/>
      <c r="AN248" s="15"/>
      <c r="AO248" s="16"/>
      <c r="AP248" s="15"/>
      <c r="AQ248" s="15"/>
      <c r="AR248" s="16"/>
      <c r="AS248" s="15"/>
      <c r="AT248" s="15"/>
      <c r="AU248" s="16"/>
      <c r="AV248" s="15"/>
      <c r="AW248" s="15"/>
      <c r="AX248" s="16"/>
      <c r="AY248" s="15"/>
      <c r="AZ248" s="15"/>
      <c r="BA248" s="16"/>
      <c r="BB248" s="16"/>
      <c r="BC248" s="16"/>
      <c r="BD248" s="16"/>
      <c r="BE248" s="16"/>
      <c r="BF248" s="16"/>
      <c r="BG248" s="16"/>
      <c r="BH248" s="16"/>
      <c r="BI248" s="16"/>
      <c r="BJ248" s="69"/>
      <c r="BK248" s="69"/>
      <c r="BL248" s="69"/>
      <c r="BM248" s="69"/>
      <c r="BN248" s="69"/>
      <c r="BO248" s="69"/>
      <c r="BP248" s="69"/>
      <c r="BQ248" s="69"/>
      <c r="BR248" s="69"/>
      <c r="BS248" s="69"/>
      <c r="BT248" s="69"/>
      <c r="BU248" s="69"/>
      <c r="BV248" s="69"/>
      <c r="BW248" s="69"/>
      <c r="BX248" s="69"/>
      <c r="BY248" s="69"/>
      <c r="BZ248" s="69"/>
      <c r="CA248" s="69"/>
      <c r="CB248" s="69"/>
      <c r="CC248" s="69"/>
      <c r="CD248" s="69"/>
      <c r="CE248" s="69"/>
      <c r="CF248" s="69"/>
      <c r="CG248" s="69"/>
      <c r="CH248" s="69"/>
      <c r="CI248" s="69"/>
      <c r="CJ248" s="69"/>
      <c r="CK248" s="69"/>
      <c r="CL248" s="69"/>
      <c r="CM248" s="69"/>
      <c r="CN248" s="69"/>
      <c r="CO248" s="69"/>
      <c r="CP248" s="69"/>
      <c r="CQ248" s="69"/>
      <c r="CR248" s="69"/>
      <c r="CS248" s="70"/>
      <c r="CT248" s="16"/>
      <c r="CU248" s="16"/>
      <c r="CV248" s="16"/>
      <c r="CW248" s="16"/>
      <c r="CX248" s="16"/>
      <c r="CY248" s="16"/>
      <c r="CZ248" s="16"/>
      <c r="DA248" s="16"/>
      <c r="DB248" s="16"/>
      <c r="DC248" s="16"/>
      <c r="DD248" s="16"/>
      <c r="DE248" s="16"/>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6"/>
      <c r="AD249" s="15"/>
      <c r="AE249" s="15"/>
      <c r="AF249" s="16"/>
      <c r="AG249" s="15"/>
      <c r="AH249" s="15"/>
      <c r="AI249" s="16"/>
      <c r="AJ249" s="15"/>
      <c r="AK249" s="15"/>
      <c r="AL249" s="16"/>
      <c r="AM249" s="15"/>
      <c r="AN249" s="15"/>
      <c r="AO249" s="16"/>
      <c r="AP249" s="15"/>
      <c r="AQ249" s="15"/>
      <c r="AR249" s="16"/>
      <c r="AS249" s="15"/>
      <c r="AT249" s="15"/>
      <c r="AU249" s="16"/>
      <c r="AV249" s="15"/>
      <c r="AW249" s="15"/>
      <c r="AX249" s="16"/>
      <c r="AY249" s="15"/>
      <c r="AZ249" s="15"/>
      <c r="BA249" s="16"/>
      <c r="BB249" s="16"/>
      <c r="BC249" s="16"/>
      <c r="BD249" s="16"/>
      <c r="BE249" s="16"/>
      <c r="BF249" s="16"/>
      <c r="BG249" s="16"/>
      <c r="BH249" s="16"/>
      <c r="BI249" s="16"/>
      <c r="BJ249" s="69"/>
      <c r="BK249" s="69"/>
      <c r="BL249" s="69"/>
      <c r="BM249" s="69"/>
      <c r="BN249" s="69"/>
      <c r="BO249" s="69"/>
      <c r="BP249" s="69"/>
      <c r="BQ249" s="69"/>
      <c r="BR249" s="69"/>
      <c r="BS249" s="69"/>
      <c r="BT249" s="69"/>
      <c r="BU249" s="69"/>
      <c r="BV249" s="69"/>
      <c r="BW249" s="69"/>
      <c r="BX249" s="69"/>
      <c r="BY249" s="69"/>
      <c r="BZ249" s="69"/>
      <c r="CA249" s="69"/>
      <c r="CB249" s="69"/>
      <c r="CC249" s="69"/>
      <c r="CD249" s="69"/>
      <c r="CE249" s="69"/>
      <c r="CF249" s="69"/>
      <c r="CG249" s="69"/>
      <c r="CH249" s="69"/>
      <c r="CI249" s="69"/>
      <c r="CJ249" s="69"/>
      <c r="CK249" s="69"/>
      <c r="CL249" s="69"/>
      <c r="CM249" s="69"/>
      <c r="CN249" s="69"/>
      <c r="CO249" s="69"/>
      <c r="CP249" s="69"/>
      <c r="CQ249" s="69"/>
      <c r="CR249" s="69"/>
      <c r="CS249" s="70"/>
      <c r="CT249" s="16"/>
      <c r="CU249" s="16"/>
      <c r="CV249" s="16"/>
      <c r="CW249" s="16"/>
      <c r="CX249" s="16"/>
      <c r="CY249" s="16"/>
      <c r="CZ249" s="16"/>
      <c r="DA249" s="16"/>
      <c r="DB249" s="16"/>
      <c r="DC249" s="16"/>
      <c r="DD249" s="16"/>
      <c r="DE249" s="16"/>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6"/>
      <c r="AD250" s="15"/>
      <c r="AE250" s="15"/>
      <c r="AF250" s="16"/>
      <c r="AG250" s="15"/>
      <c r="AH250" s="15"/>
      <c r="AI250" s="16"/>
      <c r="AJ250" s="15"/>
      <c r="AK250" s="15"/>
      <c r="AL250" s="16"/>
      <c r="AM250" s="15"/>
      <c r="AN250" s="15"/>
      <c r="AO250" s="16"/>
      <c r="AP250" s="15"/>
      <c r="AQ250" s="15"/>
      <c r="AR250" s="16"/>
      <c r="AS250" s="15"/>
      <c r="AT250" s="15"/>
      <c r="AU250" s="16"/>
      <c r="AV250" s="15"/>
      <c r="AW250" s="15"/>
      <c r="AX250" s="16"/>
      <c r="AY250" s="15"/>
      <c r="AZ250" s="15"/>
      <c r="BA250" s="16"/>
      <c r="BB250" s="16"/>
      <c r="BC250" s="16"/>
      <c r="BD250" s="16"/>
      <c r="BE250" s="16"/>
      <c r="BF250" s="16"/>
      <c r="BG250" s="16"/>
      <c r="BH250" s="16"/>
      <c r="BI250" s="16"/>
      <c r="BJ250" s="69"/>
      <c r="BK250" s="69"/>
      <c r="BL250" s="69"/>
      <c r="BM250" s="69"/>
      <c r="BN250" s="69"/>
      <c r="BO250" s="69"/>
      <c r="BP250" s="69"/>
      <c r="BQ250" s="69"/>
      <c r="BR250" s="69"/>
      <c r="BS250" s="69"/>
      <c r="BT250" s="69"/>
      <c r="BU250" s="69"/>
      <c r="BV250" s="69"/>
      <c r="BW250" s="69"/>
      <c r="BX250" s="69"/>
      <c r="BY250" s="69"/>
      <c r="BZ250" s="69"/>
      <c r="CA250" s="69"/>
      <c r="CB250" s="69"/>
      <c r="CC250" s="69"/>
      <c r="CD250" s="69"/>
      <c r="CE250" s="69"/>
      <c r="CF250" s="69"/>
      <c r="CG250" s="69"/>
      <c r="CH250" s="69"/>
      <c r="CI250" s="69"/>
      <c r="CJ250" s="69"/>
      <c r="CK250" s="69"/>
      <c r="CL250" s="69"/>
      <c r="CM250" s="69"/>
      <c r="CN250" s="69"/>
      <c r="CO250" s="69"/>
      <c r="CP250" s="69"/>
      <c r="CQ250" s="69"/>
      <c r="CR250" s="69"/>
      <c r="CS250" s="70"/>
      <c r="CT250" s="16"/>
      <c r="CU250" s="16"/>
      <c r="CV250" s="16"/>
      <c r="CW250" s="16"/>
      <c r="CX250" s="16"/>
      <c r="CY250" s="16"/>
      <c r="CZ250" s="16"/>
      <c r="DA250" s="16"/>
      <c r="DB250" s="16"/>
      <c r="DC250" s="16"/>
      <c r="DD250" s="16"/>
      <c r="DE250" s="16"/>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6"/>
      <c r="AD251" s="15"/>
      <c r="AE251" s="15"/>
      <c r="AF251" s="16"/>
      <c r="AG251" s="15"/>
      <c r="AH251" s="15"/>
      <c r="AI251" s="16"/>
      <c r="AJ251" s="15"/>
      <c r="AK251" s="15"/>
      <c r="AL251" s="16"/>
      <c r="AM251" s="15"/>
      <c r="AN251" s="15"/>
      <c r="AO251" s="16"/>
      <c r="AP251" s="15"/>
      <c r="AQ251" s="15"/>
      <c r="AR251" s="16"/>
      <c r="AS251" s="15"/>
      <c r="AT251" s="15"/>
      <c r="AU251" s="16"/>
      <c r="AV251" s="15"/>
      <c r="AW251" s="15"/>
      <c r="AX251" s="16"/>
      <c r="AY251" s="15"/>
      <c r="AZ251" s="15"/>
      <c r="BA251" s="16"/>
      <c r="BB251" s="16"/>
      <c r="BC251" s="16"/>
      <c r="BD251" s="16"/>
      <c r="BE251" s="16"/>
      <c r="BF251" s="16"/>
      <c r="BG251" s="16"/>
      <c r="BH251" s="16"/>
      <c r="BI251" s="16"/>
      <c r="BJ251" s="69"/>
      <c r="BK251" s="69"/>
      <c r="BL251" s="69"/>
      <c r="BM251" s="69"/>
      <c r="BN251" s="69"/>
      <c r="BO251" s="69"/>
      <c r="BP251" s="69"/>
      <c r="BQ251" s="69"/>
      <c r="BR251" s="69"/>
      <c r="BS251" s="69"/>
      <c r="BT251" s="69"/>
      <c r="BU251" s="69"/>
      <c r="BV251" s="69"/>
      <c r="BW251" s="69"/>
      <c r="BX251" s="69"/>
      <c r="BY251" s="69"/>
      <c r="BZ251" s="69"/>
      <c r="CA251" s="69"/>
      <c r="CB251" s="69"/>
      <c r="CC251" s="69"/>
      <c r="CD251" s="69"/>
      <c r="CE251" s="69"/>
      <c r="CF251" s="69"/>
      <c r="CG251" s="69"/>
      <c r="CH251" s="69"/>
      <c r="CI251" s="69"/>
      <c r="CJ251" s="69"/>
      <c r="CK251" s="69"/>
      <c r="CL251" s="69"/>
      <c r="CM251" s="69"/>
      <c r="CN251" s="69"/>
      <c r="CO251" s="69"/>
      <c r="CP251" s="69"/>
      <c r="CQ251" s="69"/>
      <c r="CR251" s="69"/>
      <c r="CS251" s="70"/>
      <c r="CT251" s="16"/>
      <c r="CU251" s="16"/>
      <c r="CV251" s="16"/>
      <c r="CW251" s="16"/>
      <c r="CX251" s="16"/>
      <c r="CY251" s="16"/>
      <c r="CZ251" s="16"/>
      <c r="DA251" s="16"/>
      <c r="DB251" s="16"/>
      <c r="DC251" s="16"/>
      <c r="DD251" s="16"/>
      <c r="DE251" s="16"/>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6"/>
      <c r="AD252" s="15"/>
      <c r="AE252" s="15"/>
      <c r="AF252" s="16"/>
      <c r="AG252" s="15"/>
      <c r="AH252" s="15"/>
      <c r="AI252" s="16"/>
      <c r="AJ252" s="15"/>
      <c r="AK252" s="15"/>
      <c r="AL252" s="16"/>
      <c r="AM252" s="15"/>
      <c r="AN252" s="15"/>
      <c r="AO252" s="16"/>
      <c r="AP252" s="15"/>
      <c r="AQ252" s="15"/>
      <c r="AR252" s="16"/>
      <c r="AS252" s="15"/>
      <c r="AT252" s="15"/>
      <c r="AU252" s="16"/>
      <c r="AV252" s="15"/>
      <c r="AW252" s="15"/>
      <c r="AX252" s="16"/>
      <c r="AY252" s="15"/>
      <c r="AZ252" s="15"/>
      <c r="BA252" s="16"/>
      <c r="BB252" s="16"/>
      <c r="BC252" s="16"/>
      <c r="BD252" s="16"/>
      <c r="BE252" s="16"/>
      <c r="BF252" s="16"/>
      <c r="BG252" s="16"/>
      <c r="BH252" s="16"/>
      <c r="BI252" s="16"/>
      <c r="BJ252" s="69"/>
      <c r="BK252" s="69"/>
      <c r="BL252" s="69"/>
      <c r="BM252" s="69"/>
      <c r="BN252" s="69"/>
      <c r="BO252" s="69"/>
      <c r="BP252" s="69"/>
      <c r="BQ252" s="69"/>
      <c r="BR252" s="69"/>
      <c r="BS252" s="69"/>
      <c r="BT252" s="69"/>
      <c r="BU252" s="69"/>
      <c r="BV252" s="69"/>
      <c r="BW252" s="69"/>
      <c r="BX252" s="69"/>
      <c r="BY252" s="69"/>
      <c r="BZ252" s="69"/>
      <c r="CA252" s="69"/>
      <c r="CB252" s="69"/>
      <c r="CC252" s="69"/>
      <c r="CD252" s="69"/>
      <c r="CE252" s="69"/>
      <c r="CF252" s="69"/>
      <c r="CG252" s="69"/>
      <c r="CH252" s="69"/>
      <c r="CI252" s="69"/>
      <c r="CJ252" s="69"/>
      <c r="CK252" s="69"/>
      <c r="CL252" s="69"/>
      <c r="CM252" s="69"/>
      <c r="CN252" s="69"/>
      <c r="CO252" s="69"/>
      <c r="CP252" s="69"/>
      <c r="CQ252" s="69"/>
      <c r="CR252" s="69"/>
      <c r="CS252" s="70"/>
      <c r="CT252" s="16"/>
      <c r="CU252" s="16"/>
      <c r="CV252" s="16"/>
      <c r="CW252" s="16"/>
      <c r="CX252" s="16"/>
      <c r="CY252" s="16"/>
      <c r="CZ252" s="16"/>
      <c r="DA252" s="16"/>
      <c r="DB252" s="16"/>
      <c r="DC252" s="16"/>
      <c r="DD252" s="16"/>
      <c r="DE252" s="16"/>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6"/>
      <c r="AD253" s="15"/>
      <c r="AE253" s="15"/>
      <c r="AF253" s="16"/>
      <c r="AG253" s="15"/>
      <c r="AH253" s="15"/>
      <c r="AI253" s="16"/>
      <c r="AJ253" s="15"/>
      <c r="AK253" s="15"/>
      <c r="AL253" s="16"/>
      <c r="AM253" s="15"/>
      <c r="AN253" s="15"/>
      <c r="AO253" s="16"/>
      <c r="AP253" s="15"/>
      <c r="AQ253" s="15"/>
      <c r="AR253" s="16"/>
      <c r="AS253" s="15"/>
      <c r="AT253" s="15"/>
      <c r="AU253" s="16"/>
      <c r="AV253" s="15"/>
      <c r="AW253" s="15"/>
      <c r="AX253" s="16"/>
      <c r="AY253" s="15"/>
      <c r="AZ253" s="15"/>
      <c r="BA253" s="16"/>
      <c r="BB253" s="16"/>
      <c r="BC253" s="16"/>
      <c r="BD253" s="16"/>
      <c r="BE253" s="16"/>
      <c r="BF253" s="16"/>
      <c r="BG253" s="16"/>
      <c r="BH253" s="16"/>
      <c r="BI253" s="16"/>
      <c r="BJ253" s="69"/>
      <c r="BK253" s="69"/>
      <c r="BL253" s="69"/>
      <c r="BM253" s="69"/>
      <c r="BN253" s="69"/>
      <c r="BO253" s="69"/>
      <c r="BP253" s="69"/>
      <c r="BQ253" s="69"/>
      <c r="BR253" s="69"/>
      <c r="BS253" s="69"/>
      <c r="BT253" s="69"/>
      <c r="BU253" s="69"/>
      <c r="BV253" s="69"/>
      <c r="BW253" s="69"/>
      <c r="BX253" s="69"/>
      <c r="BY253" s="69"/>
      <c r="BZ253" s="69"/>
      <c r="CA253" s="69"/>
      <c r="CB253" s="69"/>
      <c r="CC253" s="69"/>
      <c r="CD253" s="69"/>
      <c r="CE253" s="69"/>
      <c r="CF253" s="69"/>
      <c r="CG253" s="69"/>
      <c r="CH253" s="69"/>
      <c r="CI253" s="69"/>
      <c r="CJ253" s="69"/>
      <c r="CK253" s="69"/>
      <c r="CL253" s="69"/>
      <c r="CM253" s="69"/>
      <c r="CN253" s="69"/>
      <c r="CO253" s="69"/>
      <c r="CP253" s="69"/>
      <c r="CQ253" s="69"/>
      <c r="CR253" s="69"/>
      <c r="CS253" s="70"/>
      <c r="CT253" s="16"/>
      <c r="CU253" s="16"/>
      <c r="CV253" s="16"/>
      <c r="CW253" s="16"/>
      <c r="CX253" s="16"/>
      <c r="CY253" s="16"/>
      <c r="CZ253" s="16"/>
      <c r="DA253" s="16"/>
      <c r="DB253" s="16"/>
      <c r="DC253" s="16"/>
      <c r="DD253" s="16"/>
      <c r="DE253" s="16"/>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6"/>
      <c r="AD254" s="15"/>
      <c r="AE254" s="15"/>
      <c r="AF254" s="16"/>
      <c r="AG254" s="15"/>
      <c r="AH254" s="15"/>
      <c r="AI254" s="16"/>
      <c r="AJ254" s="15"/>
      <c r="AK254" s="15"/>
      <c r="AL254" s="16"/>
      <c r="AM254" s="15"/>
      <c r="AN254" s="15"/>
      <c r="AO254" s="16"/>
      <c r="AP254" s="15"/>
      <c r="AQ254" s="15"/>
      <c r="AR254" s="16"/>
      <c r="AS254" s="15"/>
      <c r="AT254" s="15"/>
      <c r="AU254" s="16"/>
      <c r="AV254" s="15"/>
      <c r="AW254" s="15"/>
      <c r="AX254" s="16"/>
      <c r="AY254" s="15"/>
      <c r="AZ254" s="15"/>
      <c r="BA254" s="16"/>
      <c r="BB254" s="16"/>
      <c r="BC254" s="16"/>
      <c r="BD254" s="16"/>
      <c r="BE254" s="16"/>
      <c r="BF254" s="16"/>
      <c r="BG254" s="16"/>
      <c r="BH254" s="16"/>
      <c r="BI254" s="16"/>
      <c r="BJ254" s="69"/>
      <c r="BK254" s="69"/>
      <c r="BL254" s="69"/>
      <c r="BM254" s="69"/>
      <c r="BN254" s="69"/>
      <c r="BO254" s="69"/>
      <c r="BP254" s="69"/>
      <c r="BQ254" s="69"/>
      <c r="BR254" s="69"/>
      <c r="BS254" s="69"/>
      <c r="BT254" s="69"/>
      <c r="BU254" s="69"/>
      <c r="BV254" s="69"/>
      <c r="BW254" s="69"/>
      <c r="BX254" s="69"/>
      <c r="BY254" s="69"/>
      <c r="BZ254" s="69"/>
      <c r="CA254" s="69"/>
      <c r="CB254" s="69"/>
      <c r="CC254" s="69"/>
      <c r="CD254" s="69"/>
      <c r="CE254" s="69"/>
      <c r="CF254" s="69"/>
      <c r="CG254" s="69"/>
      <c r="CH254" s="69"/>
      <c r="CI254" s="69"/>
      <c r="CJ254" s="69"/>
      <c r="CK254" s="69"/>
      <c r="CL254" s="69"/>
      <c r="CM254" s="69"/>
      <c r="CN254" s="69"/>
      <c r="CO254" s="69"/>
      <c r="CP254" s="69"/>
      <c r="CQ254" s="69"/>
      <c r="CR254" s="69"/>
      <c r="CS254" s="70"/>
      <c r="CT254" s="16"/>
      <c r="CU254" s="16"/>
      <c r="CV254" s="16"/>
      <c r="CW254" s="16"/>
      <c r="CX254" s="16"/>
      <c r="CY254" s="16"/>
      <c r="CZ254" s="16"/>
      <c r="DA254" s="16"/>
      <c r="DB254" s="16"/>
      <c r="DC254" s="16"/>
      <c r="DD254" s="16"/>
      <c r="DE254" s="16"/>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6"/>
      <c r="AD255" s="15"/>
      <c r="AE255" s="15"/>
      <c r="AF255" s="16"/>
      <c r="AG255" s="15"/>
      <c r="AH255" s="15"/>
      <c r="AI255" s="16"/>
      <c r="AJ255" s="15"/>
      <c r="AK255" s="15"/>
      <c r="AL255" s="16"/>
      <c r="AM255" s="15"/>
      <c r="AN255" s="15"/>
      <c r="AO255" s="16"/>
      <c r="AP255" s="15"/>
      <c r="AQ255" s="15"/>
      <c r="AR255" s="16"/>
      <c r="AS255" s="15"/>
      <c r="AT255" s="15"/>
      <c r="AU255" s="16"/>
      <c r="AV255" s="15"/>
      <c r="AW255" s="15"/>
      <c r="AX255" s="16"/>
      <c r="AY255" s="15"/>
      <c r="AZ255" s="15"/>
      <c r="BA255" s="16"/>
      <c r="BB255" s="16"/>
      <c r="BC255" s="16"/>
      <c r="BD255" s="16"/>
      <c r="BE255" s="16"/>
      <c r="BF255" s="16"/>
      <c r="BG255" s="16"/>
      <c r="BH255" s="16"/>
      <c r="BI255" s="16"/>
      <c r="BJ255" s="69"/>
      <c r="BK255" s="69"/>
      <c r="BL255" s="69"/>
      <c r="BM255" s="69"/>
      <c r="BN255" s="69"/>
      <c r="BO255" s="69"/>
      <c r="BP255" s="69"/>
      <c r="BQ255" s="69"/>
      <c r="BR255" s="69"/>
      <c r="BS255" s="69"/>
      <c r="BT255" s="69"/>
      <c r="BU255" s="69"/>
      <c r="BV255" s="69"/>
      <c r="BW255" s="69"/>
      <c r="BX255" s="69"/>
      <c r="BY255" s="69"/>
      <c r="BZ255" s="69"/>
      <c r="CA255" s="69"/>
      <c r="CB255" s="69"/>
      <c r="CC255" s="69"/>
      <c r="CD255" s="69"/>
      <c r="CE255" s="69"/>
      <c r="CF255" s="69"/>
      <c r="CG255" s="69"/>
      <c r="CH255" s="69"/>
      <c r="CI255" s="69"/>
      <c r="CJ255" s="69"/>
      <c r="CK255" s="69"/>
      <c r="CL255" s="69"/>
      <c r="CM255" s="69"/>
      <c r="CN255" s="69"/>
      <c r="CO255" s="69"/>
      <c r="CP255" s="69"/>
      <c r="CQ255" s="69"/>
      <c r="CR255" s="69"/>
      <c r="CS255" s="70"/>
      <c r="CT255" s="16"/>
      <c r="CU255" s="16"/>
      <c r="CV255" s="16"/>
      <c r="CW255" s="16"/>
      <c r="CX255" s="16"/>
      <c r="CY255" s="16"/>
      <c r="CZ255" s="16"/>
      <c r="DA255" s="16"/>
      <c r="DB255" s="16"/>
      <c r="DC255" s="16"/>
      <c r="DD255" s="16"/>
      <c r="DE255" s="16"/>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6"/>
      <c r="AD256" s="15"/>
      <c r="AE256" s="15"/>
      <c r="AF256" s="16"/>
      <c r="AG256" s="15"/>
      <c r="AH256" s="15"/>
      <c r="AI256" s="16"/>
      <c r="AJ256" s="15"/>
      <c r="AK256" s="15"/>
      <c r="AL256" s="16"/>
      <c r="AM256" s="15"/>
      <c r="AN256" s="15"/>
      <c r="AO256" s="16"/>
      <c r="AP256" s="15"/>
      <c r="AQ256" s="15"/>
      <c r="AR256" s="16"/>
      <c r="AS256" s="15"/>
      <c r="AT256" s="15"/>
      <c r="AU256" s="16"/>
      <c r="AV256" s="15"/>
      <c r="AW256" s="15"/>
      <c r="AX256" s="16"/>
      <c r="AY256" s="15"/>
      <c r="AZ256" s="15"/>
      <c r="BA256" s="16"/>
      <c r="BB256" s="16"/>
      <c r="BC256" s="16"/>
      <c r="BD256" s="16"/>
      <c r="BE256" s="16"/>
      <c r="BF256" s="16"/>
      <c r="BG256" s="16"/>
      <c r="BH256" s="16"/>
      <c r="BI256" s="16"/>
      <c r="BJ256" s="69"/>
      <c r="BK256" s="69"/>
      <c r="BL256" s="69"/>
      <c r="BM256" s="69"/>
      <c r="BN256" s="69"/>
      <c r="BO256" s="69"/>
      <c r="BP256" s="69"/>
      <c r="BQ256" s="69"/>
      <c r="BR256" s="69"/>
      <c r="BS256" s="69"/>
      <c r="BT256" s="69"/>
      <c r="BU256" s="69"/>
      <c r="BV256" s="69"/>
      <c r="BW256" s="69"/>
      <c r="BX256" s="69"/>
      <c r="BY256" s="69"/>
      <c r="BZ256" s="69"/>
      <c r="CA256" s="69"/>
      <c r="CB256" s="69"/>
      <c r="CC256" s="69"/>
      <c r="CD256" s="69"/>
      <c r="CE256" s="69"/>
      <c r="CF256" s="69"/>
      <c r="CG256" s="69"/>
      <c r="CH256" s="69"/>
      <c r="CI256" s="69"/>
      <c r="CJ256" s="69"/>
      <c r="CK256" s="69"/>
      <c r="CL256" s="69"/>
      <c r="CM256" s="69"/>
      <c r="CN256" s="69"/>
      <c r="CO256" s="69"/>
      <c r="CP256" s="69"/>
      <c r="CQ256" s="69"/>
      <c r="CR256" s="69"/>
      <c r="CS256" s="70"/>
      <c r="CT256" s="16"/>
      <c r="CU256" s="16"/>
      <c r="CV256" s="16"/>
      <c r="CW256" s="16"/>
      <c r="CX256" s="16"/>
      <c r="CY256" s="16"/>
      <c r="CZ256" s="16"/>
      <c r="DA256" s="16"/>
      <c r="DB256" s="16"/>
      <c r="DC256" s="16"/>
      <c r="DD256" s="16"/>
      <c r="DE256" s="16"/>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6"/>
      <c r="AD257" s="15"/>
      <c r="AE257" s="15"/>
      <c r="AF257" s="16"/>
      <c r="AG257" s="15"/>
      <c r="AH257" s="15"/>
      <c r="AI257" s="16"/>
      <c r="AJ257" s="15"/>
      <c r="AK257" s="15"/>
      <c r="AL257" s="16"/>
      <c r="AM257" s="15"/>
      <c r="AN257" s="15"/>
      <c r="AO257" s="16"/>
      <c r="AP257" s="15"/>
      <c r="AQ257" s="15"/>
      <c r="AR257" s="16"/>
      <c r="AS257" s="15"/>
      <c r="AT257" s="15"/>
      <c r="AU257" s="16"/>
      <c r="AV257" s="15"/>
      <c r="AW257" s="15"/>
      <c r="AX257" s="16"/>
      <c r="AY257" s="15"/>
      <c r="AZ257" s="15"/>
      <c r="BA257" s="16"/>
      <c r="BB257" s="16"/>
      <c r="BC257" s="16"/>
      <c r="BD257" s="16"/>
      <c r="BE257" s="16"/>
      <c r="BF257" s="16"/>
      <c r="BG257" s="16"/>
      <c r="BH257" s="16"/>
      <c r="BI257" s="16"/>
      <c r="BJ257" s="69"/>
      <c r="BK257" s="69"/>
      <c r="BL257" s="69"/>
      <c r="BM257" s="69"/>
      <c r="BN257" s="69"/>
      <c r="BO257" s="69"/>
      <c r="BP257" s="69"/>
      <c r="BQ257" s="69"/>
      <c r="BR257" s="69"/>
      <c r="BS257" s="69"/>
      <c r="BT257" s="69"/>
      <c r="BU257" s="69"/>
      <c r="BV257" s="69"/>
      <c r="BW257" s="69"/>
      <c r="BX257" s="69"/>
      <c r="BY257" s="69"/>
      <c r="BZ257" s="69"/>
      <c r="CA257" s="69"/>
      <c r="CB257" s="69"/>
      <c r="CC257" s="69"/>
      <c r="CD257" s="69"/>
      <c r="CE257" s="69"/>
      <c r="CF257" s="69"/>
      <c r="CG257" s="69"/>
      <c r="CH257" s="69"/>
      <c r="CI257" s="69"/>
      <c r="CJ257" s="69"/>
      <c r="CK257" s="69"/>
      <c r="CL257" s="69"/>
      <c r="CM257" s="69"/>
      <c r="CN257" s="69"/>
      <c r="CO257" s="69"/>
      <c r="CP257" s="69"/>
      <c r="CQ257" s="69"/>
      <c r="CR257" s="69"/>
      <c r="CS257" s="70"/>
      <c r="CT257" s="16"/>
      <c r="CU257" s="16"/>
      <c r="CV257" s="16"/>
      <c r="CW257" s="16"/>
      <c r="CX257" s="16"/>
      <c r="CY257" s="16"/>
      <c r="CZ257" s="16"/>
      <c r="DA257" s="16"/>
      <c r="DB257" s="16"/>
      <c r="DC257" s="16"/>
      <c r="DD257" s="16"/>
      <c r="DE257" s="16"/>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6"/>
      <c r="AD258" s="15"/>
      <c r="AE258" s="15"/>
      <c r="AF258" s="16"/>
      <c r="AG258" s="15"/>
      <c r="AH258" s="15"/>
      <c r="AI258" s="16"/>
      <c r="AJ258" s="15"/>
      <c r="AK258" s="15"/>
      <c r="AL258" s="16"/>
      <c r="AM258" s="15"/>
      <c r="AN258" s="15"/>
      <c r="AO258" s="16"/>
      <c r="AP258" s="15"/>
      <c r="AQ258" s="15"/>
      <c r="AR258" s="16"/>
      <c r="AS258" s="15"/>
      <c r="AT258" s="15"/>
      <c r="AU258" s="16"/>
      <c r="AV258" s="15"/>
      <c r="AW258" s="15"/>
      <c r="AX258" s="16"/>
      <c r="AY258" s="15"/>
      <c r="AZ258" s="15"/>
      <c r="BA258" s="16"/>
      <c r="BB258" s="16"/>
      <c r="BC258" s="16"/>
      <c r="BD258" s="16"/>
      <c r="BE258" s="16"/>
      <c r="BF258" s="16"/>
      <c r="BG258" s="16"/>
      <c r="BH258" s="16"/>
      <c r="BI258" s="16"/>
      <c r="BJ258" s="69"/>
      <c r="BK258" s="69"/>
      <c r="BL258" s="69"/>
      <c r="BM258" s="69"/>
      <c r="BN258" s="69"/>
      <c r="BO258" s="69"/>
      <c r="BP258" s="69"/>
      <c r="BQ258" s="69"/>
      <c r="BR258" s="69"/>
      <c r="BS258" s="69"/>
      <c r="BT258" s="69"/>
      <c r="BU258" s="69"/>
      <c r="BV258" s="69"/>
      <c r="BW258" s="69"/>
      <c r="BX258" s="69"/>
      <c r="BY258" s="69"/>
      <c r="BZ258" s="69"/>
      <c r="CA258" s="69"/>
      <c r="CB258" s="69"/>
      <c r="CC258" s="69"/>
      <c r="CD258" s="69"/>
      <c r="CE258" s="69"/>
      <c r="CF258" s="69"/>
      <c r="CG258" s="69"/>
      <c r="CH258" s="69"/>
      <c r="CI258" s="69"/>
      <c r="CJ258" s="69"/>
      <c r="CK258" s="69"/>
      <c r="CL258" s="69"/>
      <c r="CM258" s="69"/>
      <c r="CN258" s="69"/>
      <c r="CO258" s="69"/>
      <c r="CP258" s="69"/>
      <c r="CQ258" s="69"/>
      <c r="CR258" s="69"/>
      <c r="CS258" s="70"/>
      <c r="CT258" s="16"/>
      <c r="CU258" s="16"/>
      <c r="CV258" s="16"/>
      <c r="CW258" s="16"/>
      <c r="CX258" s="16"/>
      <c r="CY258" s="16"/>
      <c r="CZ258" s="16"/>
      <c r="DA258" s="16"/>
      <c r="DB258" s="16"/>
      <c r="DC258" s="16"/>
      <c r="DD258" s="16"/>
      <c r="DE258" s="16"/>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6"/>
      <c r="AD259" s="15"/>
      <c r="AE259" s="15"/>
      <c r="AF259" s="16"/>
      <c r="AG259" s="15"/>
      <c r="AH259" s="15"/>
      <c r="AI259" s="16"/>
      <c r="AJ259" s="15"/>
      <c r="AK259" s="15"/>
      <c r="AL259" s="16"/>
      <c r="AM259" s="15"/>
      <c r="AN259" s="15"/>
      <c r="AO259" s="16"/>
      <c r="AP259" s="15"/>
      <c r="AQ259" s="15"/>
      <c r="AR259" s="16"/>
      <c r="AS259" s="15"/>
      <c r="AT259" s="15"/>
      <c r="AU259" s="16"/>
      <c r="AV259" s="15"/>
      <c r="AW259" s="15"/>
      <c r="AX259" s="16"/>
      <c r="AY259" s="15"/>
      <c r="AZ259" s="15"/>
      <c r="BA259" s="16"/>
      <c r="BB259" s="16"/>
      <c r="BC259" s="16"/>
      <c r="BD259" s="16"/>
      <c r="BE259" s="16"/>
      <c r="BF259" s="16"/>
      <c r="BG259" s="16"/>
      <c r="BH259" s="16"/>
      <c r="BI259" s="16"/>
      <c r="BJ259" s="69"/>
      <c r="BK259" s="69"/>
      <c r="BL259" s="69"/>
      <c r="BM259" s="69"/>
      <c r="BN259" s="69"/>
      <c r="BO259" s="69"/>
      <c r="BP259" s="69"/>
      <c r="BQ259" s="69"/>
      <c r="BR259" s="69"/>
      <c r="BS259" s="69"/>
      <c r="BT259" s="69"/>
      <c r="BU259" s="69"/>
      <c r="BV259" s="69"/>
      <c r="BW259" s="69"/>
      <c r="BX259" s="69"/>
      <c r="BY259" s="69"/>
      <c r="BZ259" s="69"/>
      <c r="CA259" s="69"/>
      <c r="CB259" s="69"/>
      <c r="CC259" s="69"/>
      <c r="CD259" s="69"/>
      <c r="CE259" s="69"/>
      <c r="CF259" s="69"/>
      <c r="CG259" s="69"/>
      <c r="CH259" s="69"/>
      <c r="CI259" s="69"/>
      <c r="CJ259" s="69"/>
      <c r="CK259" s="69"/>
      <c r="CL259" s="69"/>
      <c r="CM259" s="69"/>
      <c r="CN259" s="69"/>
      <c r="CO259" s="69"/>
      <c r="CP259" s="69"/>
      <c r="CQ259" s="69"/>
      <c r="CR259" s="69"/>
      <c r="CS259" s="70"/>
      <c r="CT259" s="16"/>
      <c r="CU259" s="16"/>
      <c r="CV259" s="16"/>
      <c r="CW259" s="16"/>
      <c r="CX259" s="16"/>
      <c r="CY259" s="16"/>
      <c r="CZ259" s="16"/>
      <c r="DA259" s="16"/>
      <c r="DB259" s="16"/>
      <c r="DC259" s="16"/>
      <c r="DD259" s="16"/>
      <c r="DE259" s="16"/>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6"/>
      <c r="AD260" s="15"/>
      <c r="AE260" s="15"/>
      <c r="AF260" s="16"/>
      <c r="AG260" s="15"/>
      <c r="AH260" s="15"/>
      <c r="AI260" s="16"/>
      <c r="AJ260" s="15"/>
      <c r="AK260" s="15"/>
      <c r="AL260" s="16"/>
      <c r="AM260" s="15"/>
      <c r="AN260" s="15"/>
      <c r="AO260" s="16"/>
      <c r="AP260" s="15"/>
      <c r="AQ260" s="15"/>
      <c r="AR260" s="16"/>
      <c r="AS260" s="15"/>
      <c r="AT260" s="15"/>
      <c r="AU260" s="16"/>
      <c r="AV260" s="15"/>
      <c r="AW260" s="15"/>
      <c r="AX260" s="16"/>
      <c r="AY260" s="15"/>
      <c r="AZ260" s="15"/>
      <c r="BA260" s="16"/>
      <c r="BB260" s="16"/>
      <c r="BC260" s="16"/>
      <c r="BD260" s="16"/>
      <c r="BE260" s="16"/>
      <c r="BF260" s="16"/>
      <c r="BG260" s="16"/>
      <c r="BH260" s="16"/>
      <c r="BI260" s="16"/>
      <c r="BJ260" s="69"/>
      <c r="BK260" s="69"/>
      <c r="BL260" s="69"/>
      <c r="BM260" s="69"/>
      <c r="BN260" s="69"/>
      <c r="BO260" s="69"/>
      <c r="BP260" s="69"/>
      <c r="BQ260" s="69"/>
      <c r="BR260" s="69"/>
      <c r="BS260" s="69"/>
      <c r="BT260" s="69"/>
      <c r="BU260" s="69"/>
      <c r="BV260" s="69"/>
      <c r="BW260" s="69"/>
      <c r="BX260" s="69"/>
      <c r="BY260" s="69"/>
      <c r="BZ260" s="69"/>
      <c r="CA260" s="69"/>
      <c r="CB260" s="69"/>
      <c r="CC260" s="69"/>
      <c r="CD260" s="69"/>
      <c r="CE260" s="69"/>
      <c r="CF260" s="69"/>
      <c r="CG260" s="69"/>
      <c r="CH260" s="69"/>
      <c r="CI260" s="69"/>
      <c r="CJ260" s="69"/>
      <c r="CK260" s="69"/>
      <c r="CL260" s="69"/>
      <c r="CM260" s="69"/>
      <c r="CN260" s="69"/>
      <c r="CO260" s="69"/>
      <c r="CP260" s="69"/>
      <c r="CQ260" s="69"/>
      <c r="CR260" s="69"/>
      <c r="CS260" s="70"/>
      <c r="CT260" s="16"/>
      <c r="CU260" s="16"/>
      <c r="CV260" s="16"/>
      <c r="CW260" s="16"/>
      <c r="CX260" s="16"/>
      <c r="CY260" s="16"/>
      <c r="CZ260" s="16"/>
      <c r="DA260" s="16"/>
      <c r="DB260" s="16"/>
      <c r="DC260" s="16"/>
      <c r="DD260" s="16"/>
      <c r="DE260" s="16"/>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6"/>
      <c r="AD261" s="15"/>
      <c r="AE261" s="15"/>
      <c r="AF261" s="16"/>
      <c r="AG261" s="15"/>
      <c r="AH261" s="15"/>
      <c r="AI261" s="16"/>
      <c r="AJ261" s="15"/>
      <c r="AK261" s="15"/>
      <c r="AL261" s="16"/>
      <c r="AM261" s="15"/>
      <c r="AN261" s="15"/>
      <c r="AO261" s="16"/>
      <c r="AP261" s="15"/>
      <c r="AQ261" s="15"/>
      <c r="AR261" s="16"/>
      <c r="AS261" s="15"/>
      <c r="AT261" s="15"/>
      <c r="AU261" s="16"/>
      <c r="AV261" s="15"/>
      <c r="AW261" s="15"/>
      <c r="AX261" s="16"/>
      <c r="AY261" s="15"/>
      <c r="AZ261" s="15"/>
      <c r="BA261" s="16"/>
      <c r="BB261" s="16"/>
      <c r="BC261" s="16"/>
      <c r="BD261" s="16"/>
      <c r="BE261" s="16"/>
      <c r="BF261" s="16"/>
      <c r="BG261" s="16"/>
      <c r="BH261" s="16"/>
      <c r="BI261" s="16"/>
      <c r="BJ261" s="69"/>
      <c r="BK261" s="69"/>
      <c r="BL261" s="69"/>
      <c r="BM261" s="69"/>
      <c r="BN261" s="69"/>
      <c r="BO261" s="69"/>
      <c r="BP261" s="69"/>
      <c r="BQ261" s="69"/>
      <c r="BR261" s="69"/>
      <c r="BS261" s="69"/>
      <c r="BT261" s="69"/>
      <c r="BU261" s="69"/>
      <c r="BV261" s="69"/>
      <c r="BW261" s="69"/>
      <c r="BX261" s="69"/>
      <c r="BY261" s="69"/>
      <c r="BZ261" s="69"/>
      <c r="CA261" s="69"/>
      <c r="CB261" s="69"/>
      <c r="CC261" s="69"/>
      <c r="CD261" s="69"/>
      <c r="CE261" s="69"/>
      <c r="CF261" s="69"/>
      <c r="CG261" s="69"/>
      <c r="CH261" s="69"/>
      <c r="CI261" s="69"/>
      <c r="CJ261" s="69"/>
      <c r="CK261" s="69"/>
      <c r="CL261" s="69"/>
      <c r="CM261" s="69"/>
      <c r="CN261" s="69"/>
      <c r="CO261" s="69"/>
      <c r="CP261" s="69"/>
      <c r="CQ261" s="69"/>
      <c r="CR261" s="69"/>
      <c r="CS261" s="70"/>
      <c r="CT261" s="16"/>
      <c r="CU261" s="16"/>
      <c r="CV261" s="16"/>
      <c r="CW261" s="16"/>
      <c r="CX261" s="16"/>
      <c r="CY261" s="16"/>
      <c r="CZ261" s="16"/>
      <c r="DA261" s="16"/>
      <c r="DB261" s="16"/>
      <c r="DC261" s="16"/>
      <c r="DD261" s="16"/>
      <c r="DE261" s="16"/>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6"/>
      <c r="AD262" s="15"/>
      <c r="AE262" s="15"/>
      <c r="AF262" s="16"/>
      <c r="AG262" s="15"/>
      <c r="AH262" s="15"/>
      <c r="AI262" s="16"/>
      <c r="AJ262" s="15"/>
      <c r="AK262" s="15"/>
      <c r="AL262" s="16"/>
      <c r="AM262" s="15"/>
      <c r="AN262" s="15"/>
      <c r="AO262" s="16"/>
      <c r="AP262" s="15"/>
      <c r="AQ262" s="15"/>
      <c r="AR262" s="16"/>
      <c r="AS262" s="15"/>
      <c r="AT262" s="15"/>
      <c r="AU262" s="16"/>
      <c r="AV262" s="15"/>
      <c r="AW262" s="15"/>
      <c r="AX262" s="16"/>
      <c r="AY262" s="15"/>
      <c r="AZ262" s="15"/>
      <c r="BA262" s="16"/>
      <c r="BB262" s="16"/>
      <c r="BC262" s="16"/>
      <c r="BD262" s="16"/>
      <c r="BE262" s="16"/>
      <c r="BF262" s="16"/>
      <c r="BG262" s="16"/>
      <c r="BH262" s="16"/>
      <c r="BI262" s="16"/>
      <c r="BJ262" s="69"/>
      <c r="BK262" s="69"/>
      <c r="BL262" s="69"/>
      <c r="BM262" s="69"/>
      <c r="BN262" s="69"/>
      <c r="BO262" s="69"/>
      <c r="BP262" s="69"/>
      <c r="BQ262" s="69"/>
      <c r="BR262" s="69"/>
      <c r="BS262" s="69"/>
      <c r="BT262" s="69"/>
      <c r="BU262" s="69"/>
      <c r="BV262" s="69"/>
      <c r="BW262" s="69"/>
      <c r="BX262" s="69"/>
      <c r="BY262" s="69"/>
      <c r="BZ262" s="69"/>
      <c r="CA262" s="69"/>
      <c r="CB262" s="69"/>
      <c r="CC262" s="69"/>
      <c r="CD262" s="69"/>
      <c r="CE262" s="69"/>
      <c r="CF262" s="69"/>
      <c r="CG262" s="69"/>
      <c r="CH262" s="69"/>
      <c r="CI262" s="69"/>
      <c r="CJ262" s="69"/>
      <c r="CK262" s="69"/>
      <c r="CL262" s="69"/>
      <c r="CM262" s="69"/>
      <c r="CN262" s="69"/>
      <c r="CO262" s="69"/>
      <c r="CP262" s="69"/>
      <c r="CQ262" s="69"/>
      <c r="CR262" s="69"/>
      <c r="CS262" s="70"/>
      <c r="CT262" s="16"/>
      <c r="CU262" s="16"/>
      <c r="CV262" s="16"/>
      <c r="CW262" s="16"/>
      <c r="CX262" s="16"/>
      <c r="CY262" s="16"/>
      <c r="CZ262" s="16"/>
      <c r="DA262" s="16"/>
      <c r="DB262" s="16"/>
      <c r="DC262" s="16"/>
      <c r="DD262" s="16"/>
      <c r="DE262" s="16"/>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6"/>
      <c r="AD263" s="15"/>
      <c r="AE263" s="15"/>
      <c r="AF263" s="16"/>
      <c r="AG263" s="15"/>
      <c r="AH263" s="15"/>
      <c r="AI263" s="16"/>
      <c r="AJ263" s="15"/>
      <c r="AK263" s="15"/>
      <c r="AL263" s="16"/>
      <c r="AM263" s="15"/>
      <c r="AN263" s="15"/>
      <c r="AO263" s="16"/>
      <c r="AP263" s="15"/>
      <c r="AQ263" s="15"/>
      <c r="AR263" s="16"/>
      <c r="AS263" s="15"/>
      <c r="AT263" s="15"/>
      <c r="AU263" s="16"/>
      <c r="AV263" s="15"/>
      <c r="AW263" s="15"/>
      <c r="AX263" s="16"/>
      <c r="AY263" s="15"/>
      <c r="AZ263" s="15"/>
      <c r="BA263" s="16"/>
      <c r="BB263" s="16"/>
      <c r="BC263" s="16"/>
      <c r="BD263" s="16"/>
      <c r="BE263" s="16"/>
      <c r="BF263" s="16"/>
      <c r="BG263" s="16"/>
      <c r="BH263" s="16"/>
      <c r="BI263" s="16"/>
      <c r="BJ263" s="69"/>
      <c r="BK263" s="69"/>
      <c r="BL263" s="69"/>
      <c r="BM263" s="69"/>
      <c r="BN263" s="69"/>
      <c r="BO263" s="69"/>
      <c r="BP263" s="69"/>
      <c r="BQ263" s="69"/>
      <c r="BR263" s="69"/>
      <c r="BS263" s="69"/>
      <c r="BT263" s="69"/>
      <c r="BU263" s="69"/>
      <c r="BV263" s="69"/>
      <c r="BW263" s="69"/>
      <c r="BX263" s="69"/>
      <c r="BY263" s="69"/>
      <c r="BZ263" s="69"/>
      <c r="CA263" s="69"/>
      <c r="CB263" s="69"/>
      <c r="CC263" s="69"/>
      <c r="CD263" s="69"/>
      <c r="CE263" s="69"/>
      <c r="CF263" s="69"/>
      <c r="CG263" s="69"/>
      <c r="CH263" s="69"/>
      <c r="CI263" s="69"/>
      <c r="CJ263" s="69"/>
      <c r="CK263" s="69"/>
      <c r="CL263" s="69"/>
      <c r="CM263" s="69"/>
      <c r="CN263" s="69"/>
      <c r="CO263" s="69"/>
      <c r="CP263" s="69"/>
      <c r="CQ263" s="69"/>
      <c r="CR263" s="69"/>
      <c r="CS263" s="70"/>
      <c r="CT263" s="16"/>
      <c r="CU263" s="16"/>
      <c r="CV263" s="16"/>
      <c r="CW263" s="16"/>
      <c r="CX263" s="16"/>
      <c r="CY263" s="16"/>
      <c r="CZ263" s="16"/>
      <c r="DA263" s="16"/>
      <c r="DB263" s="16"/>
      <c r="DC263" s="16"/>
      <c r="DD263" s="16"/>
      <c r="DE263" s="16"/>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6"/>
      <c r="AD264" s="15"/>
      <c r="AE264" s="15"/>
      <c r="AF264" s="16"/>
      <c r="AG264" s="15"/>
      <c r="AH264" s="15"/>
      <c r="AI264" s="16"/>
      <c r="AJ264" s="15"/>
      <c r="AK264" s="15"/>
      <c r="AL264" s="16"/>
      <c r="AM264" s="15"/>
      <c r="AN264" s="15"/>
      <c r="AO264" s="16"/>
      <c r="AP264" s="15"/>
      <c r="AQ264" s="15"/>
      <c r="AR264" s="16"/>
      <c r="AS264" s="15"/>
      <c r="AT264" s="15"/>
      <c r="AU264" s="16"/>
      <c r="AV264" s="15"/>
      <c r="AW264" s="15"/>
      <c r="AX264" s="16"/>
      <c r="AY264" s="15"/>
      <c r="AZ264" s="15"/>
      <c r="BA264" s="16"/>
      <c r="BB264" s="16"/>
      <c r="BC264" s="16"/>
      <c r="BD264" s="16"/>
      <c r="BE264" s="16"/>
      <c r="BF264" s="16"/>
      <c r="BG264" s="16"/>
      <c r="BH264" s="16"/>
      <c r="BI264" s="16"/>
      <c r="BJ264" s="69"/>
      <c r="BK264" s="69"/>
      <c r="BL264" s="69"/>
      <c r="BM264" s="69"/>
      <c r="BN264" s="69"/>
      <c r="BO264" s="69"/>
      <c r="BP264" s="69"/>
      <c r="BQ264" s="69"/>
      <c r="BR264" s="69"/>
      <c r="BS264" s="69"/>
      <c r="BT264" s="69"/>
      <c r="BU264" s="69"/>
      <c r="BV264" s="69"/>
      <c r="BW264" s="69"/>
      <c r="BX264" s="69"/>
      <c r="BY264" s="69"/>
      <c r="BZ264" s="69"/>
      <c r="CA264" s="69"/>
      <c r="CB264" s="69"/>
      <c r="CC264" s="69"/>
      <c r="CD264" s="69"/>
      <c r="CE264" s="69"/>
      <c r="CF264" s="69"/>
      <c r="CG264" s="69"/>
      <c r="CH264" s="69"/>
      <c r="CI264" s="69"/>
      <c r="CJ264" s="69"/>
      <c r="CK264" s="69"/>
      <c r="CL264" s="69"/>
      <c r="CM264" s="69"/>
      <c r="CN264" s="69"/>
      <c r="CO264" s="69"/>
      <c r="CP264" s="69"/>
      <c r="CQ264" s="69"/>
      <c r="CR264" s="69"/>
      <c r="CS264" s="70"/>
      <c r="CT264" s="16"/>
      <c r="CU264" s="16"/>
      <c r="CV264" s="16"/>
      <c r="CW264" s="16"/>
      <c r="CX264" s="16"/>
      <c r="CY264" s="16"/>
      <c r="CZ264" s="16"/>
      <c r="DA264" s="16"/>
      <c r="DB264" s="16"/>
      <c r="DC264" s="16"/>
      <c r="DD264" s="16"/>
      <c r="DE264" s="16"/>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6"/>
      <c r="AD265" s="15"/>
      <c r="AE265" s="15"/>
      <c r="AF265" s="16"/>
      <c r="AG265" s="15"/>
      <c r="AH265" s="15"/>
      <c r="AI265" s="16"/>
      <c r="AJ265" s="15"/>
      <c r="AK265" s="15"/>
      <c r="AL265" s="16"/>
      <c r="AM265" s="15"/>
      <c r="AN265" s="15"/>
      <c r="AO265" s="16"/>
      <c r="AP265" s="15"/>
      <c r="AQ265" s="15"/>
      <c r="AR265" s="16"/>
      <c r="AS265" s="15"/>
      <c r="AT265" s="15"/>
      <c r="AU265" s="16"/>
      <c r="AV265" s="15"/>
      <c r="AW265" s="15"/>
      <c r="AX265" s="16"/>
      <c r="AY265" s="15"/>
      <c r="AZ265" s="15"/>
      <c r="BA265" s="16"/>
      <c r="BB265" s="16"/>
      <c r="BC265" s="16"/>
      <c r="BD265" s="16"/>
      <c r="BE265" s="16"/>
      <c r="BF265" s="16"/>
      <c r="BG265" s="16"/>
      <c r="BH265" s="16"/>
      <c r="BI265" s="16"/>
      <c r="BJ265" s="69"/>
      <c r="BK265" s="69"/>
      <c r="BL265" s="69"/>
      <c r="BM265" s="69"/>
      <c r="BN265" s="69"/>
      <c r="BO265" s="69"/>
      <c r="BP265" s="69"/>
      <c r="BQ265" s="69"/>
      <c r="BR265" s="69"/>
      <c r="BS265" s="69"/>
      <c r="BT265" s="69"/>
      <c r="BU265" s="69"/>
      <c r="BV265" s="69"/>
      <c r="BW265" s="69"/>
      <c r="BX265" s="69"/>
      <c r="BY265" s="69"/>
      <c r="BZ265" s="69"/>
      <c r="CA265" s="69"/>
      <c r="CB265" s="69"/>
      <c r="CC265" s="69"/>
      <c r="CD265" s="69"/>
      <c r="CE265" s="69"/>
      <c r="CF265" s="69"/>
      <c r="CG265" s="69"/>
      <c r="CH265" s="69"/>
      <c r="CI265" s="69"/>
      <c r="CJ265" s="69"/>
      <c r="CK265" s="69"/>
      <c r="CL265" s="69"/>
      <c r="CM265" s="69"/>
      <c r="CN265" s="69"/>
      <c r="CO265" s="69"/>
      <c r="CP265" s="69"/>
      <c r="CQ265" s="69"/>
      <c r="CR265" s="69"/>
      <c r="CS265" s="70"/>
      <c r="CT265" s="16"/>
      <c r="CU265" s="16"/>
      <c r="CV265" s="16"/>
      <c r="CW265" s="16"/>
      <c r="CX265" s="16"/>
      <c r="CY265" s="16"/>
      <c r="CZ265" s="16"/>
      <c r="DA265" s="16"/>
      <c r="DB265" s="16"/>
      <c r="DC265" s="16"/>
      <c r="DD265" s="16"/>
      <c r="DE265" s="16"/>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6"/>
      <c r="AD266" s="15"/>
      <c r="AE266" s="15"/>
      <c r="AF266" s="16"/>
      <c r="AG266" s="15"/>
      <c r="AH266" s="15"/>
      <c r="AI266" s="16"/>
      <c r="AJ266" s="15"/>
      <c r="AK266" s="15"/>
      <c r="AL266" s="16"/>
      <c r="AM266" s="15"/>
      <c r="AN266" s="15"/>
      <c r="AO266" s="16"/>
      <c r="AP266" s="15"/>
      <c r="AQ266" s="15"/>
      <c r="AR266" s="16"/>
      <c r="AS266" s="15"/>
      <c r="AT266" s="15"/>
      <c r="AU266" s="16"/>
      <c r="AV266" s="15"/>
      <c r="AW266" s="15"/>
      <c r="AX266" s="16"/>
      <c r="AY266" s="15"/>
      <c r="AZ266" s="15"/>
      <c r="BA266" s="16"/>
      <c r="BB266" s="16"/>
      <c r="BC266" s="16"/>
      <c r="BD266" s="16"/>
      <c r="BE266" s="16"/>
      <c r="BF266" s="16"/>
      <c r="BG266" s="16"/>
      <c r="BH266" s="16"/>
      <c r="BI266" s="16"/>
      <c r="BJ266" s="69"/>
      <c r="BK266" s="69"/>
      <c r="BL266" s="69"/>
      <c r="BM266" s="69"/>
      <c r="BN266" s="69"/>
      <c r="BO266" s="69"/>
      <c r="BP266" s="69"/>
      <c r="BQ266" s="69"/>
      <c r="BR266" s="69"/>
      <c r="BS266" s="69"/>
      <c r="BT266" s="69"/>
      <c r="BU266" s="69"/>
      <c r="BV266" s="69"/>
      <c r="BW266" s="69"/>
      <c r="BX266" s="69"/>
      <c r="BY266" s="69"/>
      <c r="BZ266" s="69"/>
      <c r="CA266" s="69"/>
      <c r="CB266" s="69"/>
      <c r="CC266" s="69"/>
      <c r="CD266" s="69"/>
      <c r="CE266" s="69"/>
      <c r="CF266" s="69"/>
      <c r="CG266" s="69"/>
      <c r="CH266" s="69"/>
      <c r="CI266" s="69"/>
      <c r="CJ266" s="69"/>
      <c r="CK266" s="69"/>
      <c r="CL266" s="69"/>
      <c r="CM266" s="69"/>
      <c r="CN266" s="69"/>
      <c r="CO266" s="69"/>
      <c r="CP266" s="69"/>
      <c r="CQ266" s="69"/>
      <c r="CR266" s="69"/>
      <c r="CS266" s="70"/>
      <c r="CT266" s="16"/>
      <c r="CU266" s="16"/>
      <c r="CV266" s="16"/>
      <c r="CW266" s="16"/>
      <c r="CX266" s="16"/>
      <c r="CY266" s="16"/>
      <c r="CZ266" s="16"/>
      <c r="DA266" s="16"/>
      <c r="DB266" s="16"/>
      <c r="DC266" s="16"/>
      <c r="DD266" s="16"/>
      <c r="DE266" s="16"/>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6"/>
      <c r="AD267" s="15"/>
      <c r="AE267" s="15"/>
      <c r="AF267" s="16"/>
      <c r="AG267" s="15"/>
      <c r="AH267" s="15"/>
      <c r="AI267" s="16"/>
      <c r="AJ267" s="15"/>
      <c r="AK267" s="15"/>
      <c r="AL267" s="16"/>
      <c r="AM267" s="15"/>
      <c r="AN267" s="15"/>
      <c r="AO267" s="16"/>
      <c r="AP267" s="15"/>
      <c r="AQ267" s="15"/>
      <c r="AR267" s="16"/>
      <c r="AS267" s="15"/>
      <c r="AT267" s="15"/>
      <c r="AU267" s="16"/>
      <c r="AV267" s="15"/>
      <c r="AW267" s="15"/>
      <c r="AX267" s="16"/>
      <c r="AY267" s="15"/>
      <c r="AZ267" s="15"/>
      <c r="BA267" s="16"/>
      <c r="BB267" s="16"/>
      <c r="BC267" s="16"/>
      <c r="BD267" s="16"/>
      <c r="BE267" s="16"/>
      <c r="BF267" s="16"/>
      <c r="BG267" s="16"/>
      <c r="BH267" s="16"/>
      <c r="BI267" s="16"/>
      <c r="BJ267" s="69"/>
      <c r="BK267" s="69"/>
      <c r="BL267" s="69"/>
      <c r="BM267" s="69"/>
      <c r="BN267" s="69"/>
      <c r="BO267" s="69"/>
      <c r="BP267" s="69"/>
      <c r="BQ267" s="69"/>
      <c r="BR267" s="69"/>
      <c r="BS267" s="69"/>
      <c r="BT267" s="69"/>
      <c r="BU267" s="69"/>
      <c r="BV267" s="69"/>
      <c r="BW267" s="69"/>
      <c r="BX267" s="69"/>
      <c r="BY267" s="69"/>
      <c r="BZ267" s="69"/>
      <c r="CA267" s="69"/>
      <c r="CB267" s="69"/>
      <c r="CC267" s="69"/>
      <c r="CD267" s="69"/>
      <c r="CE267" s="69"/>
      <c r="CF267" s="69"/>
      <c r="CG267" s="69"/>
      <c r="CH267" s="69"/>
      <c r="CI267" s="69"/>
      <c r="CJ267" s="69"/>
      <c r="CK267" s="69"/>
      <c r="CL267" s="69"/>
      <c r="CM267" s="69"/>
      <c r="CN267" s="69"/>
      <c r="CO267" s="69"/>
      <c r="CP267" s="69"/>
      <c r="CQ267" s="69"/>
      <c r="CR267" s="69"/>
      <c r="CS267" s="70"/>
      <c r="CT267" s="16"/>
      <c r="CU267" s="16"/>
      <c r="CV267" s="16"/>
      <c r="CW267" s="16"/>
      <c r="CX267" s="16"/>
      <c r="CY267" s="16"/>
      <c r="CZ267" s="16"/>
      <c r="DA267" s="16"/>
      <c r="DB267" s="16"/>
      <c r="DC267" s="16"/>
      <c r="DD267" s="16"/>
      <c r="DE267" s="16"/>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6"/>
      <c r="AD268" s="15"/>
      <c r="AE268" s="15"/>
      <c r="AF268" s="16"/>
      <c r="AG268" s="15"/>
      <c r="AH268" s="15"/>
      <c r="AI268" s="16"/>
      <c r="AJ268" s="15"/>
      <c r="AK268" s="15"/>
      <c r="AL268" s="16"/>
      <c r="AM268" s="15"/>
      <c r="AN268" s="15"/>
      <c r="AO268" s="16"/>
      <c r="AP268" s="15"/>
      <c r="AQ268" s="15"/>
      <c r="AR268" s="16"/>
      <c r="AS268" s="15"/>
      <c r="AT268" s="15"/>
      <c r="AU268" s="16"/>
      <c r="AV268" s="15"/>
      <c r="AW268" s="15"/>
      <c r="AX268" s="16"/>
      <c r="AY268" s="15"/>
      <c r="AZ268" s="15"/>
      <c r="BA268" s="16"/>
      <c r="BB268" s="16"/>
      <c r="BC268" s="16"/>
      <c r="BD268" s="16"/>
      <c r="BE268" s="16"/>
      <c r="BF268" s="16"/>
      <c r="BG268" s="16"/>
      <c r="BH268" s="16"/>
      <c r="BI268" s="16"/>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70"/>
      <c r="CT268" s="16"/>
      <c r="CU268" s="16"/>
      <c r="CV268" s="16"/>
      <c r="CW268" s="16"/>
      <c r="CX268" s="16"/>
      <c r="CY268" s="16"/>
      <c r="CZ268" s="16"/>
      <c r="DA268" s="16"/>
      <c r="DB268" s="16"/>
      <c r="DC268" s="16"/>
      <c r="DD268" s="16"/>
      <c r="DE268" s="16"/>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6"/>
      <c r="AD269" s="15"/>
      <c r="AE269" s="15"/>
      <c r="AF269" s="16"/>
      <c r="AG269" s="15"/>
      <c r="AH269" s="15"/>
      <c r="AI269" s="16"/>
      <c r="AJ269" s="15"/>
      <c r="AK269" s="15"/>
      <c r="AL269" s="16"/>
      <c r="AM269" s="15"/>
      <c r="AN269" s="15"/>
      <c r="AO269" s="16"/>
      <c r="AP269" s="15"/>
      <c r="AQ269" s="15"/>
      <c r="AR269" s="16"/>
      <c r="AS269" s="15"/>
      <c r="AT269" s="15"/>
      <c r="AU269" s="16"/>
      <c r="AV269" s="15"/>
      <c r="AW269" s="15"/>
      <c r="AX269" s="16"/>
      <c r="AY269" s="15"/>
      <c r="AZ269" s="15"/>
      <c r="BA269" s="16"/>
      <c r="BB269" s="16"/>
      <c r="BC269" s="16"/>
      <c r="BD269" s="16"/>
      <c r="BE269" s="16"/>
      <c r="BF269" s="16"/>
      <c r="BG269" s="16"/>
      <c r="BH269" s="16"/>
      <c r="BI269" s="16"/>
      <c r="BJ269" s="69"/>
      <c r="BK269" s="69"/>
      <c r="BL269" s="69"/>
      <c r="BM269" s="69"/>
      <c r="BN269" s="69"/>
      <c r="BO269" s="69"/>
      <c r="BP269" s="69"/>
      <c r="BQ269" s="69"/>
      <c r="BR269" s="69"/>
      <c r="BS269" s="69"/>
      <c r="BT269" s="69"/>
      <c r="BU269" s="69"/>
      <c r="BV269" s="69"/>
      <c r="BW269" s="69"/>
      <c r="BX269" s="69"/>
      <c r="BY269" s="69"/>
      <c r="BZ269" s="69"/>
      <c r="CA269" s="69"/>
      <c r="CB269" s="69"/>
      <c r="CC269" s="69"/>
      <c r="CD269" s="69"/>
      <c r="CE269" s="69"/>
      <c r="CF269" s="69"/>
      <c r="CG269" s="69"/>
      <c r="CH269" s="69"/>
      <c r="CI269" s="69"/>
      <c r="CJ269" s="69"/>
      <c r="CK269" s="69"/>
      <c r="CL269" s="69"/>
      <c r="CM269" s="69"/>
      <c r="CN269" s="69"/>
      <c r="CO269" s="69"/>
      <c r="CP269" s="69"/>
      <c r="CQ269" s="69"/>
      <c r="CR269" s="69"/>
      <c r="CS269" s="70"/>
      <c r="CT269" s="16"/>
      <c r="CU269" s="16"/>
      <c r="CV269" s="16"/>
      <c r="CW269" s="16"/>
      <c r="CX269" s="16"/>
      <c r="CY269" s="16"/>
      <c r="CZ269" s="16"/>
      <c r="DA269" s="16"/>
      <c r="DB269" s="16"/>
      <c r="DC269" s="16"/>
      <c r="DD269" s="16"/>
      <c r="DE269" s="16"/>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6"/>
      <c r="AD270" s="15"/>
      <c r="AE270" s="15"/>
      <c r="AF270" s="16"/>
      <c r="AG270" s="15"/>
      <c r="AH270" s="15"/>
      <c r="AI270" s="16"/>
      <c r="AJ270" s="15"/>
      <c r="AK270" s="15"/>
      <c r="AL270" s="16"/>
      <c r="AM270" s="15"/>
      <c r="AN270" s="15"/>
      <c r="AO270" s="16"/>
      <c r="AP270" s="15"/>
      <c r="AQ270" s="15"/>
      <c r="AR270" s="16"/>
      <c r="AS270" s="15"/>
      <c r="AT270" s="15"/>
      <c r="AU270" s="16"/>
      <c r="AV270" s="15"/>
      <c r="AW270" s="15"/>
      <c r="AX270" s="16"/>
      <c r="AY270" s="15"/>
      <c r="AZ270" s="15"/>
      <c r="BA270" s="16"/>
      <c r="BB270" s="16"/>
      <c r="BC270" s="16"/>
      <c r="BD270" s="16"/>
      <c r="BE270" s="16"/>
      <c r="BF270" s="16"/>
      <c r="BG270" s="16"/>
      <c r="BH270" s="16"/>
      <c r="BI270" s="16"/>
      <c r="BJ270" s="69"/>
      <c r="BK270" s="69"/>
      <c r="BL270" s="69"/>
      <c r="BM270" s="69"/>
      <c r="BN270" s="69"/>
      <c r="BO270" s="69"/>
      <c r="BP270" s="69"/>
      <c r="BQ270" s="69"/>
      <c r="BR270" s="69"/>
      <c r="BS270" s="69"/>
      <c r="BT270" s="69"/>
      <c r="BU270" s="69"/>
      <c r="BV270" s="69"/>
      <c r="BW270" s="69"/>
      <c r="BX270" s="69"/>
      <c r="BY270" s="69"/>
      <c r="BZ270" s="69"/>
      <c r="CA270" s="69"/>
      <c r="CB270" s="69"/>
      <c r="CC270" s="69"/>
      <c r="CD270" s="69"/>
      <c r="CE270" s="69"/>
      <c r="CF270" s="69"/>
      <c r="CG270" s="69"/>
      <c r="CH270" s="69"/>
      <c r="CI270" s="69"/>
      <c r="CJ270" s="69"/>
      <c r="CK270" s="69"/>
      <c r="CL270" s="69"/>
      <c r="CM270" s="69"/>
      <c r="CN270" s="69"/>
      <c r="CO270" s="69"/>
      <c r="CP270" s="69"/>
      <c r="CQ270" s="69"/>
      <c r="CR270" s="69"/>
      <c r="CS270" s="70"/>
      <c r="CT270" s="16"/>
      <c r="CU270" s="16"/>
      <c r="CV270" s="16"/>
      <c r="CW270" s="16"/>
      <c r="CX270" s="16"/>
      <c r="CY270" s="16"/>
      <c r="CZ270" s="16"/>
      <c r="DA270" s="16"/>
      <c r="DB270" s="16"/>
      <c r="DC270" s="16"/>
      <c r="DD270" s="16"/>
      <c r="DE270" s="16"/>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6"/>
      <c r="AD271" s="15"/>
      <c r="AE271" s="15"/>
      <c r="AF271" s="16"/>
      <c r="AG271" s="15"/>
      <c r="AH271" s="15"/>
      <c r="AI271" s="16"/>
      <c r="AJ271" s="15"/>
      <c r="AK271" s="15"/>
      <c r="AL271" s="16"/>
      <c r="AM271" s="15"/>
      <c r="AN271" s="15"/>
      <c r="AO271" s="16"/>
      <c r="AP271" s="15"/>
      <c r="AQ271" s="15"/>
      <c r="AR271" s="16"/>
      <c r="AS271" s="15"/>
      <c r="AT271" s="15"/>
      <c r="AU271" s="16"/>
      <c r="AV271" s="15"/>
      <c r="AW271" s="15"/>
      <c r="AX271" s="16"/>
      <c r="AY271" s="15"/>
      <c r="AZ271" s="15"/>
      <c r="BA271" s="16"/>
      <c r="BB271" s="16"/>
      <c r="BC271" s="16"/>
      <c r="BD271" s="16"/>
      <c r="BE271" s="16"/>
      <c r="BF271" s="16"/>
      <c r="BG271" s="16"/>
      <c r="BH271" s="16"/>
      <c r="BI271" s="16"/>
      <c r="BJ271" s="69"/>
      <c r="BK271" s="69"/>
      <c r="BL271" s="69"/>
      <c r="BM271" s="69"/>
      <c r="BN271" s="69"/>
      <c r="BO271" s="69"/>
      <c r="BP271" s="69"/>
      <c r="BQ271" s="69"/>
      <c r="BR271" s="69"/>
      <c r="BS271" s="69"/>
      <c r="BT271" s="69"/>
      <c r="BU271" s="69"/>
      <c r="BV271" s="69"/>
      <c r="BW271" s="69"/>
      <c r="BX271" s="69"/>
      <c r="BY271" s="69"/>
      <c r="BZ271" s="69"/>
      <c r="CA271" s="69"/>
      <c r="CB271" s="69"/>
      <c r="CC271" s="69"/>
      <c r="CD271" s="69"/>
      <c r="CE271" s="69"/>
      <c r="CF271" s="69"/>
      <c r="CG271" s="69"/>
      <c r="CH271" s="69"/>
      <c r="CI271" s="69"/>
      <c r="CJ271" s="69"/>
      <c r="CK271" s="69"/>
      <c r="CL271" s="69"/>
      <c r="CM271" s="69"/>
      <c r="CN271" s="69"/>
      <c r="CO271" s="69"/>
      <c r="CP271" s="69"/>
      <c r="CQ271" s="69"/>
      <c r="CR271" s="69"/>
      <c r="CS271" s="70"/>
      <c r="CT271" s="16"/>
      <c r="CU271" s="16"/>
      <c r="CV271" s="16"/>
      <c r="CW271" s="16"/>
      <c r="CX271" s="16"/>
      <c r="CY271" s="16"/>
      <c r="CZ271" s="16"/>
      <c r="DA271" s="16"/>
      <c r="DB271" s="16"/>
      <c r="DC271" s="16"/>
      <c r="DD271" s="16"/>
      <c r="DE271" s="16"/>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6"/>
      <c r="AD272" s="15"/>
      <c r="AE272" s="15"/>
      <c r="AF272" s="16"/>
      <c r="AG272" s="15"/>
      <c r="AH272" s="15"/>
      <c r="AI272" s="16"/>
      <c r="AJ272" s="15"/>
      <c r="AK272" s="15"/>
      <c r="AL272" s="16"/>
      <c r="AM272" s="15"/>
      <c r="AN272" s="15"/>
      <c r="AO272" s="16"/>
      <c r="AP272" s="15"/>
      <c r="AQ272" s="15"/>
      <c r="AR272" s="16"/>
      <c r="AS272" s="15"/>
      <c r="AT272" s="15"/>
      <c r="AU272" s="16"/>
      <c r="AV272" s="15"/>
      <c r="AW272" s="15"/>
      <c r="AX272" s="16"/>
      <c r="AY272" s="15"/>
      <c r="AZ272" s="15"/>
      <c r="BA272" s="16"/>
      <c r="BB272" s="16"/>
      <c r="BC272" s="16"/>
      <c r="BD272" s="16"/>
      <c r="BE272" s="16"/>
      <c r="BF272" s="16"/>
      <c r="BG272" s="16"/>
      <c r="BH272" s="16"/>
      <c r="BI272" s="16"/>
      <c r="BJ272" s="69"/>
      <c r="BK272" s="69"/>
      <c r="BL272" s="69"/>
      <c r="BM272" s="69"/>
      <c r="BN272" s="69"/>
      <c r="BO272" s="69"/>
      <c r="BP272" s="69"/>
      <c r="BQ272" s="69"/>
      <c r="BR272" s="69"/>
      <c r="BS272" s="69"/>
      <c r="BT272" s="69"/>
      <c r="BU272" s="69"/>
      <c r="BV272" s="69"/>
      <c r="BW272" s="69"/>
      <c r="BX272" s="69"/>
      <c r="BY272" s="69"/>
      <c r="BZ272" s="69"/>
      <c r="CA272" s="69"/>
      <c r="CB272" s="69"/>
      <c r="CC272" s="69"/>
      <c r="CD272" s="69"/>
      <c r="CE272" s="69"/>
      <c r="CF272" s="69"/>
      <c r="CG272" s="69"/>
      <c r="CH272" s="69"/>
      <c r="CI272" s="69"/>
      <c r="CJ272" s="69"/>
      <c r="CK272" s="69"/>
      <c r="CL272" s="69"/>
      <c r="CM272" s="69"/>
      <c r="CN272" s="69"/>
      <c r="CO272" s="69"/>
      <c r="CP272" s="69"/>
      <c r="CQ272" s="69"/>
      <c r="CR272" s="69"/>
      <c r="CS272" s="70"/>
      <c r="CT272" s="16"/>
      <c r="CU272" s="16"/>
      <c r="CV272" s="16"/>
      <c r="CW272" s="16"/>
      <c r="CX272" s="16"/>
      <c r="CY272" s="16"/>
      <c r="CZ272" s="16"/>
      <c r="DA272" s="16"/>
      <c r="DB272" s="16"/>
      <c r="DC272" s="16"/>
      <c r="DD272" s="16"/>
      <c r="DE272" s="16"/>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6"/>
      <c r="AD273" s="15"/>
      <c r="AE273" s="15"/>
      <c r="AF273" s="16"/>
      <c r="AG273" s="15"/>
      <c r="AH273" s="15"/>
      <c r="AI273" s="16"/>
      <c r="AJ273" s="15"/>
      <c r="AK273" s="15"/>
      <c r="AL273" s="16"/>
      <c r="AM273" s="15"/>
      <c r="AN273" s="15"/>
      <c r="AO273" s="16"/>
      <c r="AP273" s="15"/>
      <c r="AQ273" s="15"/>
      <c r="AR273" s="16"/>
      <c r="AS273" s="15"/>
      <c r="AT273" s="15"/>
      <c r="AU273" s="16"/>
      <c r="AV273" s="15"/>
      <c r="AW273" s="15"/>
      <c r="AX273" s="16"/>
      <c r="AY273" s="15"/>
      <c r="AZ273" s="15"/>
      <c r="BA273" s="16"/>
      <c r="BB273" s="16"/>
      <c r="BC273" s="16"/>
      <c r="BD273" s="16"/>
      <c r="BE273" s="16"/>
      <c r="BF273" s="16"/>
      <c r="BG273" s="16"/>
      <c r="BH273" s="16"/>
      <c r="BI273" s="16"/>
      <c r="BJ273" s="69"/>
      <c r="BK273" s="69"/>
      <c r="BL273" s="69"/>
      <c r="BM273" s="69"/>
      <c r="BN273" s="69"/>
      <c r="BO273" s="69"/>
      <c r="BP273" s="69"/>
      <c r="BQ273" s="69"/>
      <c r="BR273" s="69"/>
      <c r="BS273" s="69"/>
      <c r="BT273" s="69"/>
      <c r="BU273" s="69"/>
      <c r="BV273" s="69"/>
      <c r="BW273" s="69"/>
      <c r="BX273" s="69"/>
      <c r="BY273" s="69"/>
      <c r="BZ273" s="69"/>
      <c r="CA273" s="69"/>
      <c r="CB273" s="69"/>
      <c r="CC273" s="69"/>
      <c r="CD273" s="69"/>
      <c r="CE273" s="69"/>
      <c r="CF273" s="69"/>
      <c r="CG273" s="69"/>
      <c r="CH273" s="69"/>
      <c r="CI273" s="69"/>
      <c r="CJ273" s="69"/>
      <c r="CK273" s="69"/>
      <c r="CL273" s="69"/>
      <c r="CM273" s="69"/>
      <c r="CN273" s="69"/>
      <c r="CO273" s="69"/>
      <c r="CP273" s="69"/>
      <c r="CQ273" s="69"/>
      <c r="CR273" s="69"/>
      <c r="CS273" s="70"/>
      <c r="CT273" s="16"/>
      <c r="CU273" s="16"/>
      <c r="CV273" s="16"/>
      <c r="CW273" s="16"/>
      <c r="CX273" s="16"/>
      <c r="CY273" s="16"/>
      <c r="CZ273" s="16"/>
      <c r="DA273" s="16"/>
      <c r="DB273" s="16"/>
      <c r="DC273" s="16"/>
      <c r="DD273" s="16"/>
      <c r="DE273" s="16"/>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6"/>
      <c r="AD274" s="15"/>
      <c r="AE274" s="15"/>
      <c r="AF274" s="16"/>
      <c r="AG274" s="15"/>
      <c r="AH274" s="15"/>
      <c r="AI274" s="16"/>
      <c r="AJ274" s="15"/>
      <c r="AK274" s="15"/>
      <c r="AL274" s="16"/>
      <c r="AM274" s="15"/>
      <c r="AN274" s="15"/>
      <c r="AO274" s="16"/>
      <c r="AP274" s="15"/>
      <c r="AQ274" s="15"/>
      <c r="AR274" s="16"/>
      <c r="AS274" s="15"/>
      <c r="AT274" s="15"/>
      <c r="AU274" s="16"/>
      <c r="AV274" s="15"/>
      <c r="AW274" s="15"/>
      <c r="AX274" s="16"/>
      <c r="AY274" s="15"/>
      <c r="AZ274" s="15"/>
      <c r="BA274" s="16"/>
      <c r="BB274" s="16"/>
      <c r="BC274" s="16"/>
      <c r="BD274" s="16"/>
      <c r="BE274" s="16"/>
      <c r="BF274" s="16"/>
      <c r="BG274" s="16"/>
      <c r="BH274" s="16"/>
      <c r="BI274" s="16"/>
      <c r="BJ274" s="69"/>
      <c r="BK274" s="69"/>
      <c r="BL274" s="69"/>
      <c r="BM274" s="69"/>
      <c r="BN274" s="69"/>
      <c r="BO274" s="69"/>
      <c r="BP274" s="69"/>
      <c r="BQ274" s="69"/>
      <c r="BR274" s="69"/>
      <c r="BS274" s="69"/>
      <c r="BT274" s="69"/>
      <c r="BU274" s="69"/>
      <c r="BV274" s="69"/>
      <c r="BW274" s="69"/>
      <c r="BX274" s="69"/>
      <c r="BY274" s="69"/>
      <c r="BZ274" s="69"/>
      <c r="CA274" s="69"/>
      <c r="CB274" s="69"/>
      <c r="CC274" s="69"/>
      <c r="CD274" s="69"/>
      <c r="CE274" s="69"/>
      <c r="CF274" s="69"/>
      <c r="CG274" s="69"/>
      <c r="CH274" s="69"/>
      <c r="CI274" s="69"/>
      <c r="CJ274" s="69"/>
      <c r="CK274" s="69"/>
      <c r="CL274" s="69"/>
      <c r="CM274" s="69"/>
      <c r="CN274" s="69"/>
      <c r="CO274" s="69"/>
      <c r="CP274" s="69"/>
      <c r="CQ274" s="69"/>
      <c r="CR274" s="69"/>
      <c r="CS274" s="70"/>
      <c r="CT274" s="16"/>
      <c r="CU274" s="16"/>
      <c r="CV274" s="16"/>
      <c r="CW274" s="16"/>
      <c r="CX274" s="16"/>
      <c r="CY274" s="16"/>
      <c r="CZ274" s="16"/>
      <c r="DA274" s="16"/>
      <c r="DB274" s="16"/>
      <c r="DC274" s="16"/>
      <c r="DD274" s="16"/>
      <c r="DE274" s="16"/>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6"/>
      <c r="AD275" s="15"/>
      <c r="AE275" s="15"/>
      <c r="AF275" s="16"/>
      <c r="AG275" s="15"/>
      <c r="AH275" s="15"/>
      <c r="AI275" s="16"/>
      <c r="AJ275" s="15"/>
      <c r="AK275" s="15"/>
      <c r="AL275" s="16"/>
      <c r="AM275" s="15"/>
      <c r="AN275" s="15"/>
      <c r="AO275" s="16"/>
      <c r="AP275" s="15"/>
      <c r="AQ275" s="15"/>
      <c r="AR275" s="16"/>
      <c r="AS275" s="15"/>
      <c r="AT275" s="15"/>
      <c r="AU275" s="16"/>
      <c r="AV275" s="15"/>
      <c r="AW275" s="15"/>
      <c r="AX275" s="16"/>
      <c r="AY275" s="15"/>
      <c r="AZ275" s="15"/>
      <c r="BA275" s="16"/>
      <c r="BB275" s="16"/>
      <c r="BC275" s="16"/>
      <c r="BD275" s="16"/>
      <c r="BE275" s="16"/>
      <c r="BF275" s="16"/>
      <c r="BG275" s="16"/>
      <c r="BH275" s="16"/>
      <c r="BI275" s="16"/>
      <c r="BJ275" s="69"/>
      <c r="BK275" s="69"/>
      <c r="BL275" s="69"/>
      <c r="BM275" s="69"/>
      <c r="BN275" s="69"/>
      <c r="BO275" s="69"/>
      <c r="BP275" s="69"/>
      <c r="BQ275" s="69"/>
      <c r="BR275" s="69"/>
      <c r="BS275" s="69"/>
      <c r="BT275" s="69"/>
      <c r="BU275" s="69"/>
      <c r="BV275" s="69"/>
      <c r="BW275" s="69"/>
      <c r="BX275" s="69"/>
      <c r="BY275" s="69"/>
      <c r="BZ275" s="69"/>
      <c r="CA275" s="69"/>
      <c r="CB275" s="69"/>
      <c r="CC275" s="69"/>
      <c r="CD275" s="69"/>
      <c r="CE275" s="69"/>
      <c r="CF275" s="69"/>
      <c r="CG275" s="69"/>
      <c r="CH275" s="69"/>
      <c r="CI275" s="69"/>
      <c r="CJ275" s="69"/>
      <c r="CK275" s="69"/>
      <c r="CL275" s="69"/>
      <c r="CM275" s="69"/>
      <c r="CN275" s="69"/>
      <c r="CO275" s="69"/>
      <c r="CP275" s="69"/>
      <c r="CQ275" s="69"/>
      <c r="CR275" s="69"/>
      <c r="CS275" s="70"/>
      <c r="CT275" s="16"/>
      <c r="CU275" s="16"/>
      <c r="CV275" s="16"/>
      <c r="CW275" s="16"/>
      <c r="CX275" s="16"/>
      <c r="CY275" s="16"/>
      <c r="CZ275" s="16"/>
      <c r="DA275" s="16"/>
      <c r="DB275" s="16"/>
      <c r="DC275" s="16"/>
      <c r="DD275" s="16"/>
      <c r="DE275" s="16"/>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6"/>
      <c r="AD276" s="15"/>
      <c r="AE276" s="15"/>
      <c r="AF276" s="16"/>
      <c r="AG276" s="15"/>
      <c r="AH276" s="15"/>
      <c r="AI276" s="16"/>
      <c r="AJ276" s="15"/>
      <c r="AK276" s="15"/>
      <c r="AL276" s="16"/>
      <c r="AM276" s="15"/>
      <c r="AN276" s="15"/>
      <c r="AO276" s="16"/>
      <c r="AP276" s="15"/>
      <c r="AQ276" s="15"/>
      <c r="AR276" s="16"/>
      <c r="AS276" s="15"/>
      <c r="AT276" s="15"/>
      <c r="AU276" s="16"/>
      <c r="AV276" s="15"/>
      <c r="AW276" s="15"/>
      <c r="AX276" s="16"/>
      <c r="AY276" s="15"/>
      <c r="AZ276" s="15"/>
      <c r="BA276" s="16"/>
      <c r="BB276" s="16"/>
      <c r="BC276" s="16"/>
      <c r="BD276" s="16"/>
      <c r="BE276" s="16"/>
      <c r="BF276" s="16"/>
      <c r="BG276" s="16"/>
      <c r="BH276" s="16"/>
      <c r="BI276" s="16"/>
      <c r="BJ276" s="69"/>
      <c r="BK276" s="69"/>
      <c r="BL276" s="69"/>
      <c r="BM276" s="69"/>
      <c r="BN276" s="69"/>
      <c r="BO276" s="69"/>
      <c r="BP276" s="69"/>
      <c r="BQ276" s="69"/>
      <c r="BR276" s="69"/>
      <c r="BS276" s="69"/>
      <c r="BT276" s="69"/>
      <c r="BU276" s="69"/>
      <c r="BV276" s="69"/>
      <c r="BW276" s="69"/>
      <c r="BX276" s="69"/>
      <c r="BY276" s="69"/>
      <c r="BZ276" s="69"/>
      <c r="CA276" s="69"/>
      <c r="CB276" s="69"/>
      <c r="CC276" s="69"/>
      <c r="CD276" s="69"/>
      <c r="CE276" s="69"/>
      <c r="CF276" s="69"/>
      <c r="CG276" s="69"/>
      <c r="CH276" s="69"/>
      <c r="CI276" s="69"/>
      <c r="CJ276" s="69"/>
      <c r="CK276" s="69"/>
      <c r="CL276" s="69"/>
      <c r="CM276" s="69"/>
      <c r="CN276" s="69"/>
      <c r="CO276" s="69"/>
      <c r="CP276" s="69"/>
      <c r="CQ276" s="69"/>
      <c r="CR276" s="69"/>
      <c r="CS276" s="70"/>
      <c r="CT276" s="16"/>
      <c r="CU276" s="16"/>
      <c r="CV276" s="16"/>
      <c r="CW276" s="16"/>
      <c r="CX276" s="16"/>
      <c r="CY276" s="16"/>
      <c r="CZ276" s="16"/>
      <c r="DA276" s="16"/>
      <c r="DB276" s="16"/>
      <c r="DC276" s="16"/>
      <c r="DD276" s="16"/>
      <c r="DE276" s="16"/>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6"/>
      <c r="AD277" s="15"/>
      <c r="AE277" s="15"/>
      <c r="AF277" s="16"/>
      <c r="AG277" s="15"/>
      <c r="AH277" s="15"/>
      <c r="AI277" s="16"/>
      <c r="AJ277" s="15"/>
      <c r="AK277" s="15"/>
      <c r="AL277" s="16"/>
      <c r="AM277" s="15"/>
      <c r="AN277" s="15"/>
      <c r="AO277" s="16"/>
      <c r="AP277" s="15"/>
      <c r="AQ277" s="15"/>
      <c r="AR277" s="16"/>
      <c r="AS277" s="15"/>
      <c r="AT277" s="15"/>
      <c r="AU277" s="16"/>
      <c r="AV277" s="15"/>
      <c r="AW277" s="15"/>
      <c r="AX277" s="16"/>
      <c r="AY277" s="15"/>
      <c r="AZ277" s="15"/>
      <c r="BA277" s="16"/>
      <c r="BB277" s="16"/>
      <c r="BC277" s="16"/>
      <c r="BD277" s="16"/>
      <c r="BE277" s="16"/>
      <c r="BF277" s="16"/>
      <c r="BG277" s="16"/>
      <c r="BH277" s="16"/>
      <c r="BI277" s="16"/>
      <c r="BJ277" s="69"/>
      <c r="BK277" s="69"/>
      <c r="BL277" s="69"/>
      <c r="BM277" s="69"/>
      <c r="BN277" s="69"/>
      <c r="BO277" s="69"/>
      <c r="BP277" s="69"/>
      <c r="BQ277" s="69"/>
      <c r="BR277" s="69"/>
      <c r="BS277" s="69"/>
      <c r="BT277" s="69"/>
      <c r="BU277" s="69"/>
      <c r="BV277" s="69"/>
      <c r="BW277" s="69"/>
      <c r="BX277" s="69"/>
      <c r="BY277" s="69"/>
      <c r="BZ277" s="69"/>
      <c r="CA277" s="69"/>
      <c r="CB277" s="69"/>
      <c r="CC277" s="69"/>
      <c r="CD277" s="69"/>
      <c r="CE277" s="69"/>
      <c r="CF277" s="69"/>
      <c r="CG277" s="69"/>
      <c r="CH277" s="69"/>
      <c r="CI277" s="69"/>
      <c r="CJ277" s="69"/>
      <c r="CK277" s="69"/>
      <c r="CL277" s="69"/>
      <c r="CM277" s="69"/>
      <c r="CN277" s="69"/>
      <c r="CO277" s="69"/>
      <c r="CP277" s="69"/>
      <c r="CQ277" s="69"/>
      <c r="CR277" s="69"/>
      <c r="CS277" s="70"/>
      <c r="CT277" s="16"/>
      <c r="CU277" s="16"/>
      <c r="CV277" s="16"/>
      <c r="CW277" s="16"/>
      <c r="CX277" s="16"/>
      <c r="CY277" s="16"/>
      <c r="CZ277" s="16"/>
      <c r="DA277" s="16"/>
      <c r="DB277" s="16"/>
      <c r="DC277" s="16"/>
      <c r="DD277" s="16"/>
      <c r="DE277" s="16"/>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6"/>
      <c r="AD278" s="15"/>
      <c r="AE278" s="15"/>
      <c r="AF278" s="16"/>
      <c r="AG278" s="15"/>
      <c r="AH278" s="15"/>
      <c r="AI278" s="16"/>
      <c r="AJ278" s="15"/>
      <c r="AK278" s="15"/>
      <c r="AL278" s="16"/>
      <c r="AM278" s="15"/>
      <c r="AN278" s="15"/>
      <c r="AO278" s="16"/>
      <c r="AP278" s="15"/>
      <c r="AQ278" s="15"/>
      <c r="AR278" s="16"/>
      <c r="AS278" s="15"/>
      <c r="AT278" s="15"/>
      <c r="AU278" s="16"/>
      <c r="AV278" s="15"/>
      <c r="AW278" s="15"/>
      <c r="AX278" s="16"/>
      <c r="AY278" s="15"/>
      <c r="AZ278" s="15"/>
      <c r="BA278" s="16"/>
      <c r="BB278" s="16"/>
      <c r="BC278" s="16"/>
      <c r="BD278" s="16"/>
      <c r="BE278" s="16"/>
      <c r="BF278" s="16"/>
      <c r="BG278" s="16"/>
      <c r="BH278" s="16"/>
      <c r="BI278" s="16"/>
      <c r="BJ278" s="69"/>
      <c r="BK278" s="69"/>
      <c r="BL278" s="69"/>
      <c r="BM278" s="69"/>
      <c r="BN278" s="69"/>
      <c r="BO278" s="69"/>
      <c r="BP278" s="69"/>
      <c r="BQ278" s="69"/>
      <c r="BR278" s="69"/>
      <c r="BS278" s="69"/>
      <c r="BT278" s="69"/>
      <c r="BU278" s="69"/>
      <c r="BV278" s="69"/>
      <c r="BW278" s="69"/>
      <c r="BX278" s="69"/>
      <c r="BY278" s="69"/>
      <c r="BZ278" s="69"/>
      <c r="CA278" s="69"/>
      <c r="CB278" s="69"/>
      <c r="CC278" s="69"/>
      <c r="CD278" s="69"/>
      <c r="CE278" s="69"/>
      <c r="CF278" s="69"/>
      <c r="CG278" s="69"/>
      <c r="CH278" s="69"/>
      <c r="CI278" s="69"/>
      <c r="CJ278" s="69"/>
      <c r="CK278" s="69"/>
      <c r="CL278" s="69"/>
      <c r="CM278" s="69"/>
      <c r="CN278" s="69"/>
      <c r="CO278" s="69"/>
      <c r="CP278" s="69"/>
      <c r="CQ278" s="69"/>
      <c r="CR278" s="69"/>
      <c r="CS278" s="70"/>
      <c r="CT278" s="16"/>
      <c r="CU278" s="16"/>
      <c r="CV278" s="16"/>
      <c r="CW278" s="16"/>
      <c r="CX278" s="16"/>
      <c r="CY278" s="16"/>
      <c r="CZ278" s="16"/>
      <c r="DA278" s="16"/>
      <c r="DB278" s="16"/>
      <c r="DC278" s="16"/>
      <c r="DD278" s="16"/>
      <c r="DE278" s="16"/>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6"/>
      <c r="AD279" s="15"/>
      <c r="AE279" s="15"/>
      <c r="AF279" s="16"/>
      <c r="AG279" s="15"/>
      <c r="AH279" s="15"/>
      <c r="AI279" s="16"/>
      <c r="AJ279" s="15"/>
      <c r="AK279" s="15"/>
      <c r="AL279" s="16"/>
      <c r="AM279" s="15"/>
      <c r="AN279" s="15"/>
      <c r="AO279" s="16"/>
      <c r="AP279" s="15"/>
      <c r="AQ279" s="15"/>
      <c r="AR279" s="16"/>
      <c r="AS279" s="15"/>
      <c r="AT279" s="15"/>
      <c r="AU279" s="16"/>
      <c r="AV279" s="15"/>
      <c r="AW279" s="15"/>
      <c r="AX279" s="16"/>
      <c r="AY279" s="15"/>
      <c r="AZ279" s="15"/>
      <c r="BA279" s="16"/>
      <c r="BB279" s="16"/>
      <c r="BC279" s="16"/>
      <c r="BD279" s="16"/>
      <c r="BE279" s="16"/>
      <c r="BF279" s="16"/>
      <c r="BG279" s="16"/>
      <c r="BH279" s="16"/>
      <c r="BI279" s="16"/>
      <c r="BJ279" s="69"/>
      <c r="BK279" s="69"/>
      <c r="BL279" s="69"/>
      <c r="BM279" s="69"/>
      <c r="BN279" s="69"/>
      <c r="BO279" s="69"/>
      <c r="BP279" s="69"/>
      <c r="BQ279" s="69"/>
      <c r="BR279" s="69"/>
      <c r="BS279" s="69"/>
      <c r="BT279" s="69"/>
      <c r="BU279" s="69"/>
      <c r="BV279" s="69"/>
      <c r="BW279" s="69"/>
      <c r="BX279" s="69"/>
      <c r="BY279" s="69"/>
      <c r="BZ279" s="69"/>
      <c r="CA279" s="69"/>
      <c r="CB279" s="69"/>
      <c r="CC279" s="69"/>
      <c r="CD279" s="69"/>
      <c r="CE279" s="69"/>
      <c r="CF279" s="69"/>
      <c r="CG279" s="69"/>
      <c r="CH279" s="69"/>
      <c r="CI279" s="69"/>
      <c r="CJ279" s="69"/>
      <c r="CK279" s="69"/>
      <c r="CL279" s="69"/>
      <c r="CM279" s="69"/>
      <c r="CN279" s="69"/>
      <c r="CO279" s="69"/>
      <c r="CP279" s="69"/>
      <c r="CQ279" s="69"/>
      <c r="CR279" s="69"/>
      <c r="CS279" s="70"/>
      <c r="CT279" s="16"/>
      <c r="CU279" s="16"/>
      <c r="CV279" s="16"/>
      <c r="CW279" s="16"/>
      <c r="CX279" s="16"/>
      <c r="CY279" s="16"/>
      <c r="CZ279" s="16"/>
      <c r="DA279" s="16"/>
      <c r="DB279" s="16"/>
      <c r="DC279" s="16"/>
      <c r="DD279" s="16"/>
      <c r="DE279" s="16"/>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6"/>
      <c r="AD280" s="15"/>
      <c r="AE280" s="15"/>
      <c r="AF280" s="16"/>
      <c r="AG280" s="15"/>
      <c r="AH280" s="15"/>
      <c r="AI280" s="16"/>
      <c r="AJ280" s="15"/>
      <c r="AK280" s="15"/>
      <c r="AL280" s="16"/>
      <c r="AM280" s="15"/>
      <c r="AN280" s="15"/>
      <c r="AO280" s="16"/>
      <c r="AP280" s="15"/>
      <c r="AQ280" s="15"/>
      <c r="AR280" s="16"/>
      <c r="AS280" s="15"/>
      <c r="AT280" s="15"/>
      <c r="AU280" s="16"/>
      <c r="AV280" s="15"/>
      <c r="AW280" s="15"/>
      <c r="AX280" s="16"/>
      <c r="AY280" s="15"/>
      <c r="AZ280" s="15"/>
      <c r="BA280" s="16"/>
      <c r="BB280" s="16"/>
      <c r="BC280" s="16"/>
      <c r="BD280" s="16"/>
      <c r="BE280" s="16"/>
      <c r="BF280" s="16"/>
      <c r="BG280" s="16"/>
      <c r="BH280" s="16"/>
      <c r="BI280" s="16"/>
      <c r="BJ280" s="69"/>
      <c r="BK280" s="69"/>
      <c r="BL280" s="69"/>
      <c r="BM280" s="69"/>
      <c r="BN280" s="69"/>
      <c r="BO280" s="69"/>
      <c r="BP280" s="69"/>
      <c r="BQ280" s="69"/>
      <c r="BR280" s="69"/>
      <c r="BS280" s="69"/>
      <c r="BT280" s="69"/>
      <c r="BU280" s="69"/>
      <c r="BV280" s="69"/>
      <c r="BW280" s="69"/>
      <c r="BX280" s="69"/>
      <c r="BY280" s="69"/>
      <c r="BZ280" s="69"/>
      <c r="CA280" s="69"/>
      <c r="CB280" s="69"/>
      <c r="CC280" s="69"/>
      <c r="CD280" s="69"/>
      <c r="CE280" s="69"/>
      <c r="CF280" s="69"/>
      <c r="CG280" s="69"/>
      <c r="CH280" s="69"/>
      <c r="CI280" s="69"/>
      <c r="CJ280" s="69"/>
      <c r="CK280" s="69"/>
      <c r="CL280" s="69"/>
      <c r="CM280" s="69"/>
      <c r="CN280" s="69"/>
      <c r="CO280" s="69"/>
      <c r="CP280" s="69"/>
      <c r="CQ280" s="69"/>
      <c r="CR280" s="69"/>
      <c r="CS280" s="70"/>
      <c r="CT280" s="16"/>
      <c r="CU280" s="16"/>
      <c r="CV280" s="16"/>
      <c r="CW280" s="16"/>
      <c r="CX280" s="16"/>
      <c r="CY280" s="16"/>
      <c r="CZ280" s="16"/>
      <c r="DA280" s="16"/>
      <c r="DB280" s="16"/>
      <c r="DC280" s="16"/>
      <c r="DD280" s="16"/>
      <c r="DE280" s="16"/>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6"/>
      <c r="AD281" s="15"/>
      <c r="AE281" s="15"/>
      <c r="AF281" s="16"/>
      <c r="AG281" s="15"/>
      <c r="AH281" s="15"/>
      <c r="AI281" s="16"/>
      <c r="AJ281" s="15"/>
      <c r="AK281" s="15"/>
      <c r="AL281" s="16"/>
      <c r="AM281" s="15"/>
      <c r="AN281" s="15"/>
      <c r="AO281" s="16"/>
      <c r="AP281" s="15"/>
      <c r="AQ281" s="15"/>
      <c r="AR281" s="16"/>
      <c r="AS281" s="15"/>
      <c r="AT281" s="15"/>
      <c r="AU281" s="16"/>
      <c r="AV281" s="15"/>
      <c r="AW281" s="15"/>
      <c r="AX281" s="16"/>
      <c r="AY281" s="15"/>
      <c r="AZ281" s="15"/>
      <c r="BA281" s="16"/>
      <c r="BB281" s="16"/>
      <c r="BC281" s="16"/>
      <c r="BD281" s="16"/>
      <c r="BE281" s="16"/>
      <c r="BF281" s="16"/>
      <c r="BG281" s="16"/>
      <c r="BH281" s="16"/>
      <c r="BI281" s="16"/>
      <c r="BJ281" s="69"/>
      <c r="BK281" s="69"/>
      <c r="BL281" s="69"/>
      <c r="BM281" s="69"/>
      <c r="BN281" s="69"/>
      <c r="BO281" s="69"/>
      <c r="BP281" s="69"/>
      <c r="BQ281" s="69"/>
      <c r="BR281" s="69"/>
      <c r="BS281" s="69"/>
      <c r="BT281" s="69"/>
      <c r="BU281" s="69"/>
      <c r="BV281" s="69"/>
      <c r="BW281" s="69"/>
      <c r="BX281" s="69"/>
      <c r="BY281" s="69"/>
      <c r="BZ281" s="69"/>
      <c r="CA281" s="69"/>
      <c r="CB281" s="69"/>
      <c r="CC281" s="69"/>
      <c r="CD281" s="69"/>
      <c r="CE281" s="69"/>
      <c r="CF281" s="69"/>
      <c r="CG281" s="69"/>
      <c r="CH281" s="69"/>
      <c r="CI281" s="69"/>
      <c r="CJ281" s="69"/>
      <c r="CK281" s="69"/>
      <c r="CL281" s="69"/>
      <c r="CM281" s="69"/>
      <c r="CN281" s="69"/>
      <c r="CO281" s="69"/>
      <c r="CP281" s="69"/>
      <c r="CQ281" s="69"/>
      <c r="CR281" s="69"/>
      <c r="CS281" s="70"/>
      <c r="CT281" s="16"/>
      <c r="CU281" s="16"/>
      <c r="CV281" s="16"/>
      <c r="CW281" s="16"/>
      <c r="CX281" s="16"/>
      <c r="CY281" s="16"/>
      <c r="CZ281" s="16"/>
      <c r="DA281" s="16"/>
      <c r="DB281" s="16"/>
      <c r="DC281" s="16"/>
      <c r="DD281" s="16"/>
      <c r="DE281" s="16"/>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6"/>
      <c r="AD282" s="15"/>
      <c r="AE282" s="15"/>
      <c r="AF282" s="16"/>
      <c r="AG282" s="15"/>
      <c r="AH282" s="15"/>
      <c r="AI282" s="16"/>
      <c r="AJ282" s="15"/>
      <c r="AK282" s="15"/>
      <c r="AL282" s="16"/>
      <c r="AM282" s="15"/>
      <c r="AN282" s="15"/>
      <c r="AO282" s="16"/>
      <c r="AP282" s="15"/>
      <c r="AQ282" s="15"/>
      <c r="AR282" s="16"/>
      <c r="AS282" s="15"/>
      <c r="AT282" s="15"/>
      <c r="AU282" s="16"/>
      <c r="AV282" s="15"/>
      <c r="AW282" s="15"/>
      <c r="AX282" s="16"/>
      <c r="AY282" s="15"/>
      <c r="AZ282" s="15"/>
      <c r="BA282" s="16"/>
      <c r="BB282" s="16"/>
      <c r="BC282" s="16"/>
      <c r="BD282" s="16"/>
      <c r="BE282" s="16"/>
      <c r="BF282" s="16"/>
      <c r="BG282" s="16"/>
      <c r="BH282" s="16"/>
      <c r="BI282" s="16"/>
      <c r="BJ282" s="69"/>
      <c r="BK282" s="69"/>
      <c r="BL282" s="69"/>
      <c r="BM282" s="69"/>
      <c r="BN282" s="69"/>
      <c r="BO282" s="69"/>
      <c r="BP282" s="69"/>
      <c r="BQ282" s="69"/>
      <c r="BR282" s="69"/>
      <c r="BS282" s="69"/>
      <c r="BT282" s="69"/>
      <c r="BU282" s="69"/>
      <c r="BV282" s="69"/>
      <c r="BW282" s="69"/>
      <c r="BX282" s="69"/>
      <c r="BY282" s="69"/>
      <c r="BZ282" s="69"/>
      <c r="CA282" s="69"/>
      <c r="CB282" s="69"/>
      <c r="CC282" s="69"/>
      <c r="CD282" s="69"/>
      <c r="CE282" s="69"/>
      <c r="CF282" s="69"/>
      <c r="CG282" s="69"/>
      <c r="CH282" s="69"/>
      <c r="CI282" s="69"/>
      <c r="CJ282" s="69"/>
      <c r="CK282" s="69"/>
      <c r="CL282" s="69"/>
      <c r="CM282" s="69"/>
      <c r="CN282" s="69"/>
      <c r="CO282" s="69"/>
      <c r="CP282" s="69"/>
      <c r="CQ282" s="69"/>
      <c r="CR282" s="69"/>
      <c r="CS282" s="70"/>
      <c r="CT282" s="16"/>
      <c r="CU282" s="16"/>
      <c r="CV282" s="16"/>
      <c r="CW282" s="16"/>
      <c r="CX282" s="16"/>
      <c r="CY282" s="16"/>
      <c r="CZ282" s="16"/>
      <c r="DA282" s="16"/>
      <c r="DB282" s="16"/>
      <c r="DC282" s="16"/>
      <c r="DD282" s="16"/>
      <c r="DE282" s="16"/>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6"/>
      <c r="AD283" s="15"/>
      <c r="AE283" s="15"/>
      <c r="AF283" s="16"/>
      <c r="AG283" s="15"/>
      <c r="AH283" s="15"/>
      <c r="AI283" s="16"/>
      <c r="AJ283" s="15"/>
      <c r="AK283" s="15"/>
      <c r="AL283" s="16"/>
      <c r="AM283" s="15"/>
      <c r="AN283" s="15"/>
      <c r="AO283" s="16"/>
      <c r="AP283" s="15"/>
      <c r="AQ283" s="15"/>
      <c r="AR283" s="16"/>
      <c r="AS283" s="15"/>
      <c r="AT283" s="15"/>
      <c r="AU283" s="16"/>
      <c r="AV283" s="15"/>
      <c r="AW283" s="15"/>
      <c r="AX283" s="16"/>
      <c r="AY283" s="15"/>
      <c r="AZ283" s="15"/>
      <c r="BA283" s="16"/>
      <c r="BB283" s="16"/>
      <c r="BC283" s="16"/>
      <c r="BD283" s="16"/>
      <c r="BE283" s="16"/>
      <c r="BF283" s="16"/>
      <c r="BG283" s="16"/>
      <c r="BH283" s="16"/>
      <c r="BI283" s="16"/>
      <c r="BJ283" s="69"/>
      <c r="BK283" s="69"/>
      <c r="BL283" s="69"/>
      <c r="BM283" s="69"/>
      <c r="BN283" s="69"/>
      <c r="BO283" s="69"/>
      <c r="BP283" s="69"/>
      <c r="BQ283" s="69"/>
      <c r="BR283" s="69"/>
      <c r="BS283" s="69"/>
      <c r="BT283" s="69"/>
      <c r="BU283" s="69"/>
      <c r="BV283" s="69"/>
      <c r="BW283" s="69"/>
      <c r="BX283" s="69"/>
      <c r="BY283" s="69"/>
      <c r="BZ283" s="69"/>
      <c r="CA283" s="69"/>
      <c r="CB283" s="69"/>
      <c r="CC283" s="69"/>
      <c r="CD283" s="69"/>
      <c r="CE283" s="69"/>
      <c r="CF283" s="69"/>
      <c r="CG283" s="69"/>
      <c r="CH283" s="69"/>
      <c r="CI283" s="69"/>
      <c r="CJ283" s="69"/>
      <c r="CK283" s="69"/>
      <c r="CL283" s="69"/>
      <c r="CM283" s="69"/>
      <c r="CN283" s="69"/>
      <c r="CO283" s="69"/>
      <c r="CP283" s="69"/>
      <c r="CQ283" s="69"/>
      <c r="CR283" s="69"/>
      <c r="CS283" s="70"/>
      <c r="CT283" s="16"/>
      <c r="CU283" s="16"/>
      <c r="CV283" s="16"/>
      <c r="CW283" s="16"/>
      <c r="CX283" s="16"/>
      <c r="CY283" s="16"/>
      <c r="CZ283" s="16"/>
      <c r="DA283" s="16"/>
      <c r="DB283" s="16"/>
      <c r="DC283" s="16"/>
      <c r="DD283" s="16"/>
      <c r="DE283" s="16"/>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6"/>
      <c r="AD284" s="15"/>
      <c r="AE284" s="15"/>
      <c r="AF284" s="16"/>
      <c r="AG284" s="15"/>
      <c r="AH284" s="15"/>
      <c r="AI284" s="16"/>
      <c r="AJ284" s="15"/>
      <c r="AK284" s="15"/>
      <c r="AL284" s="16"/>
      <c r="AM284" s="15"/>
      <c r="AN284" s="15"/>
      <c r="AO284" s="16"/>
      <c r="AP284" s="15"/>
      <c r="AQ284" s="15"/>
      <c r="AR284" s="16"/>
      <c r="AS284" s="15"/>
      <c r="AT284" s="15"/>
      <c r="AU284" s="16"/>
      <c r="AV284" s="15"/>
      <c r="AW284" s="15"/>
      <c r="AX284" s="16"/>
      <c r="AY284" s="15"/>
      <c r="AZ284" s="15"/>
      <c r="BA284" s="16"/>
      <c r="BB284" s="16"/>
      <c r="BC284" s="16"/>
      <c r="BD284" s="16"/>
      <c r="BE284" s="16"/>
      <c r="BF284" s="16"/>
      <c r="BG284" s="16"/>
      <c r="BH284" s="16"/>
      <c r="BI284" s="16"/>
      <c r="BJ284" s="69"/>
      <c r="BK284" s="69"/>
      <c r="BL284" s="69"/>
      <c r="BM284" s="69"/>
      <c r="BN284" s="69"/>
      <c r="BO284" s="69"/>
      <c r="BP284" s="69"/>
      <c r="BQ284" s="69"/>
      <c r="BR284" s="69"/>
      <c r="BS284" s="69"/>
      <c r="BT284" s="69"/>
      <c r="BU284" s="69"/>
      <c r="BV284" s="69"/>
      <c r="BW284" s="69"/>
      <c r="BX284" s="69"/>
      <c r="BY284" s="69"/>
      <c r="BZ284" s="69"/>
      <c r="CA284" s="69"/>
      <c r="CB284" s="69"/>
      <c r="CC284" s="69"/>
      <c r="CD284" s="69"/>
      <c r="CE284" s="69"/>
      <c r="CF284" s="69"/>
      <c r="CG284" s="69"/>
      <c r="CH284" s="69"/>
      <c r="CI284" s="69"/>
      <c r="CJ284" s="69"/>
      <c r="CK284" s="69"/>
      <c r="CL284" s="69"/>
      <c r="CM284" s="69"/>
      <c r="CN284" s="69"/>
      <c r="CO284" s="69"/>
      <c r="CP284" s="69"/>
      <c r="CQ284" s="69"/>
      <c r="CR284" s="69"/>
      <c r="CS284" s="70"/>
      <c r="CT284" s="16"/>
      <c r="CU284" s="16"/>
      <c r="CV284" s="16"/>
      <c r="CW284" s="16"/>
      <c r="CX284" s="16"/>
      <c r="CY284" s="16"/>
      <c r="CZ284" s="16"/>
      <c r="DA284" s="16"/>
      <c r="DB284" s="16"/>
      <c r="DC284" s="16"/>
      <c r="DD284" s="16"/>
      <c r="DE284" s="16"/>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6"/>
      <c r="AD285" s="15"/>
      <c r="AE285" s="15"/>
      <c r="AF285" s="16"/>
      <c r="AG285" s="15"/>
      <c r="AH285" s="15"/>
      <c r="AI285" s="16"/>
      <c r="AJ285" s="15"/>
      <c r="AK285" s="15"/>
      <c r="AL285" s="16"/>
      <c r="AM285" s="15"/>
      <c r="AN285" s="15"/>
      <c r="AO285" s="16"/>
      <c r="AP285" s="15"/>
      <c r="AQ285" s="15"/>
      <c r="AR285" s="16"/>
      <c r="AS285" s="15"/>
      <c r="AT285" s="15"/>
      <c r="AU285" s="16"/>
      <c r="AV285" s="15"/>
      <c r="AW285" s="15"/>
      <c r="AX285" s="16"/>
      <c r="AY285" s="15"/>
      <c r="AZ285" s="15"/>
      <c r="BA285" s="16"/>
      <c r="BB285" s="16"/>
      <c r="BC285" s="16"/>
      <c r="BD285" s="16"/>
      <c r="BE285" s="16"/>
      <c r="BF285" s="16"/>
      <c r="BG285" s="16"/>
      <c r="BH285" s="16"/>
      <c r="BI285" s="16"/>
      <c r="BJ285" s="69"/>
      <c r="BK285" s="69"/>
      <c r="BL285" s="69"/>
      <c r="BM285" s="69"/>
      <c r="BN285" s="69"/>
      <c r="BO285" s="69"/>
      <c r="BP285" s="69"/>
      <c r="BQ285" s="69"/>
      <c r="BR285" s="69"/>
      <c r="BS285" s="69"/>
      <c r="BT285" s="69"/>
      <c r="BU285" s="69"/>
      <c r="BV285" s="69"/>
      <c r="BW285" s="69"/>
      <c r="BX285" s="69"/>
      <c r="BY285" s="69"/>
      <c r="BZ285" s="69"/>
      <c r="CA285" s="69"/>
      <c r="CB285" s="69"/>
      <c r="CC285" s="69"/>
      <c r="CD285" s="69"/>
      <c r="CE285" s="69"/>
      <c r="CF285" s="69"/>
      <c r="CG285" s="69"/>
      <c r="CH285" s="69"/>
      <c r="CI285" s="69"/>
      <c r="CJ285" s="69"/>
      <c r="CK285" s="69"/>
      <c r="CL285" s="69"/>
      <c r="CM285" s="69"/>
      <c r="CN285" s="69"/>
      <c r="CO285" s="69"/>
      <c r="CP285" s="69"/>
      <c r="CQ285" s="69"/>
      <c r="CR285" s="69"/>
      <c r="CS285" s="70"/>
      <c r="CT285" s="16"/>
      <c r="CU285" s="16"/>
      <c r="CV285" s="16"/>
      <c r="CW285" s="16"/>
      <c r="CX285" s="16"/>
      <c r="CY285" s="16"/>
      <c r="CZ285" s="16"/>
      <c r="DA285" s="16"/>
      <c r="DB285" s="16"/>
      <c r="DC285" s="16"/>
      <c r="DD285" s="16"/>
      <c r="DE285" s="16"/>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6"/>
      <c r="AD286" s="15"/>
      <c r="AE286" s="15"/>
      <c r="AF286" s="16"/>
      <c r="AG286" s="15"/>
      <c r="AH286" s="15"/>
      <c r="AI286" s="16"/>
      <c r="AJ286" s="15"/>
      <c r="AK286" s="15"/>
      <c r="AL286" s="16"/>
      <c r="AM286" s="15"/>
      <c r="AN286" s="15"/>
      <c r="AO286" s="16"/>
      <c r="AP286" s="15"/>
      <c r="AQ286" s="15"/>
      <c r="AR286" s="16"/>
      <c r="AS286" s="15"/>
      <c r="AT286" s="15"/>
      <c r="AU286" s="16"/>
      <c r="AV286" s="15"/>
      <c r="AW286" s="15"/>
      <c r="AX286" s="16"/>
      <c r="AY286" s="15"/>
      <c r="AZ286" s="15"/>
      <c r="BA286" s="16"/>
      <c r="BB286" s="16"/>
      <c r="BC286" s="16"/>
      <c r="BD286" s="16"/>
      <c r="BE286" s="16"/>
      <c r="BF286" s="16"/>
      <c r="BG286" s="16"/>
      <c r="BH286" s="16"/>
      <c r="BI286" s="16"/>
      <c r="BJ286" s="69"/>
      <c r="BK286" s="69"/>
      <c r="BL286" s="69"/>
      <c r="BM286" s="69"/>
      <c r="BN286" s="69"/>
      <c r="BO286" s="69"/>
      <c r="BP286" s="69"/>
      <c r="BQ286" s="69"/>
      <c r="BR286" s="69"/>
      <c r="BS286" s="69"/>
      <c r="BT286" s="69"/>
      <c r="BU286" s="69"/>
      <c r="BV286" s="69"/>
      <c r="BW286" s="69"/>
      <c r="BX286" s="69"/>
      <c r="BY286" s="69"/>
      <c r="BZ286" s="69"/>
      <c r="CA286" s="69"/>
      <c r="CB286" s="69"/>
      <c r="CC286" s="69"/>
      <c r="CD286" s="69"/>
      <c r="CE286" s="69"/>
      <c r="CF286" s="69"/>
      <c r="CG286" s="69"/>
      <c r="CH286" s="69"/>
      <c r="CI286" s="69"/>
      <c r="CJ286" s="69"/>
      <c r="CK286" s="69"/>
      <c r="CL286" s="69"/>
      <c r="CM286" s="69"/>
      <c r="CN286" s="69"/>
      <c r="CO286" s="69"/>
      <c r="CP286" s="69"/>
      <c r="CQ286" s="69"/>
      <c r="CR286" s="69"/>
      <c r="CS286" s="70"/>
      <c r="CT286" s="16"/>
      <c r="CU286" s="16"/>
      <c r="CV286" s="16"/>
      <c r="CW286" s="16"/>
      <c r="CX286" s="16"/>
      <c r="CY286" s="16"/>
      <c r="CZ286" s="16"/>
      <c r="DA286" s="16"/>
      <c r="DB286" s="16"/>
      <c r="DC286" s="16"/>
      <c r="DD286" s="16"/>
      <c r="DE286" s="16"/>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6"/>
      <c r="AD287" s="15"/>
      <c r="AE287" s="15"/>
      <c r="AF287" s="16"/>
      <c r="AG287" s="15"/>
      <c r="AH287" s="15"/>
      <c r="AI287" s="16"/>
      <c r="AJ287" s="15"/>
      <c r="AK287" s="15"/>
      <c r="AL287" s="16"/>
      <c r="AM287" s="15"/>
      <c r="AN287" s="15"/>
      <c r="AO287" s="16"/>
      <c r="AP287" s="15"/>
      <c r="AQ287" s="15"/>
      <c r="AR287" s="16"/>
      <c r="AS287" s="15"/>
      <c r="AT287" s="15"/>
      <c r="AU287" s="16"/>
      <c r="AV287" s="15"/>
      <c r="AW287" s="15"/>
      <c r="AX287" s="16"/>
      <c r="AY287" s="15"/>
      <c r="AZ287" s="15"/>
      <c r="BA287" s="16"/>
      <c r="BB287" s="16"/>
      <c r="BC287" s="16"/>
      <c r="BD287" s="16"/>
      <c r="BE287" s="16"/>
      <c r="BF287" s="16"/>
      <c r="BG287" s="16"/>
      <c r="BH287" s="16"/>
      <c r="BI287" s="16"/>
      <c r="BJ287" s="69"/>
      <c r="BK287" s="69"/>
      <c r="BL287" s="69"/>
      <c r="BM287" s="69"/>
      <c r="BN287" s="69"/>
      <c r="BO287" s="69"/>
      <c r="BP287" s="69"/>
      <c r="BQ287" s="69"/>
      <c r="BR287" s="69"/>
      <c r="BS287" s="69"/>
      <c r="BT287" s="69"/>
      <c r="BU287" s="69"/>
      <c r="BV287" s="69"/>
      <c r="BW287" s="69"/>
      <c r="BX287" s="69"/>
      <c r="BY287" s="69"/>
      <c r="BZ287" s="69"/>
      <c r="CA287" s="69"/>
      <c r="CB287" s="69"/>
      <c r="CC287" s="69"/>
      <c r="CD287" s="69"/>
      <c r="CE287" s="69"/>
      <c r="CF287" s="69"/>
      <c r="CG287" s="69"/>
      <c r="CH287" s="69"/>
      <c r="CI287" s="69"/>
      <c r="CJ287" s="69"/>
      <c r="CK287" s="69"/>
      <c r="CL287" s="69"/>
      <c r="CM287" s="69"/>
      <c r="CN287" s="69"/>
      <c r="CO287" s="69"/>
      <c r="CP287" s="69"/>
      <c r="CQ287" s="69"/>
      <c r="CR287" s="69"/>
      <c r="CS287" s="70"/>
      <c r="CT287" s="16"/>
      <c r="CU287" s="16"/>
      <c r="CV287" s="16"/>
      <c r="CW287" s="16"/>
      <c r="CX287" s="16"/>
      <c r="CY287" s="16"/>
      <c r="CZ287" s="16"/>
      <c r="DA287" s="16"/>
      <c r="DB287" s="16"/>
      <c r="DC287" s="16"/>
      <c r="DD287" s="16"/>
      <c r="DE287" s="16"/>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6"/>
      <c r="AD288" s="15"/>
      <c r="AE288" s="15"/>
      <c r="AF288" s="16"/>
      <c r="AG288" s="15"/>
      <c r="AH288" s="15"/>
      <c r="AI288" s="16"/>
      <c r="AJ288" s="15"/>
      <c r="AK288" s="15"/>
      <c r="AL288" s="16"/>
      <c r="AM288" s="15"/>
      <c r="AN288" s="15"/>
      <c r="AO288" s="16"/>
      <c r="AP288" s="15"/>
      <c r="AQ288" s="15"/>
      <c r="AR288" s="16"/>
      <c r="AS288" s="15"/>
      <c r="AT288" s="15"/>
      <c r="AU288" s="16"/>
      <c r="AV288" s="15"/>
      <c r="AW288" s="15"/>
      <c r="AX288" s="16"/>
      <c r="AY288" s="15"/>
      <c r="AZ288" s="15"/>
      <c r="BA288" s="16"/>
      <c r="BB288" s="16"/>
      <c r="BC288" s="16"/>
      <c r="BD288" s="16"/>
      <c r="BE288" s="16"/>
      <c r="BF288" s="16"/>
      <c r="BG288" s="16"/>
      <c r="BH288" s="16"/>
      <c r="BI288" s="16"/>
      <c r="BJ288" s="69"/>
      <c r="BK288" s="69"/>
      <c r="BL288" s="69"/>
      <c r="BM288" s="69"/>
      <c r="BN288" s="69"/>
      <c r="BO288" s="69"/>
      <c r="BP288" s="69"/>
      <c r="BQ288" s="69"/>
      <c r="BR288" s="69"/>
      <c r="BS288" s="69"/>
      <c r="BT288" s="69"/>
      <c r="BU288" s="69"/>
      <c r="BV288" s="69"/>
      <c r="BW288" s="69"/>
      <c r="BX288" s="69"/>
      <c r="BY288" s="69"/>
      <c r="BZ288" s="69"/>
      <c r="CA288" s="69"/>
      <c r="CB288" s="69"/>
      <c r="CC288" s="69"/>
      <c r="CD288" s="69"/>
      <c r="CE288" s="69"/>
      <c r="CF288" s="69"/>
      <c r="CG288" s="69"/>
      <c r="CH288" s="69"/>
      <c r="CI288" s="69"/>
      <c r="CJ288" s="69"/>
      <c r="CK288" s="69"/>
      <c r="CL288" s="69"/>
      <c r="CM288" s="69"/>
      <c r="CN288" s="69"/>
      <c r="CO288" s="69"/>
      <c r="CP288" s="69"/>
      <c r="CQ288" s="69"/>
      <c r="CR288" s="69"/>
      <c r="CS288" s="70"/>
      <c r="CT288" s="16"/>
      <c r="CU288" s="16"/>
      <c r="CV288" s="16"/>
      <c r="CW288" s="16"/>
      <c r="CX288" s="16"/>
      <c r="CY288" s="16"/>
      <c r="CZ288" s="16"/>
      <c r="DA288" s="16"/>
      <c r="DB288" s="16"/>
      <c r="DC288" s="16"/>
      <c r="DD288" s="16"/>
      <c r="DE288" s="16"/>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6"/>
      <c r="AD289" s="15"/>
      <c r="AE289" s="15"/>
      <c r="AF289" s="16"/>
      <c r="AG289" s="15"/>
      <c r="AH289" s="15"/>
      <c r="AI289" s="16"/>
      <c r="AJ289" s="15"/>
      <c r="AK289" s="15"/>
      <c r="AL289" s="16"/>
      <c r="AM289" s="15"/>
      <c r="AN289" s="15"/>
      <c r="AO289" s="16"/>
      <c r="AP289" s="15"/>
      <c r="AQ289" s="15"/>
      <c r="AR289" s="16"/>
      <c r="AS289" s="15"/>
      <c r="AT289" s="15"/>
      <c r="AU289" s="16"/>
      <c r="AV289" s="15"/>
      <c r="AW289" s="15"/>
      <c r="AX289" s="16"/>
      <c r="AY289" s="15"/>
      <c r="AZ289" s="15"/>
      <c r="BA289" s="16"/>
      <c r="BB289" s="16"/>
      <c r="BC289" s="16"/>
      <c r="BD289" s="16"/>
      <c r="BE289" s="16"/>
      <c r="BF289" s="16"/>
      <c r="BG289" s="16"/>
      <c r="BH289" s="16"/>
      <c r="BI289" s="16"/>
      <c r="BJ289" s="69"/>
      <c r="BK289" s="69"/>
      <c r="BL289" s="69"/>
      <c r="BM289" s="69"/>
      <c r="BN289" s="69"/>
      <c r="BO289" s="69"/>
      <c r="BP289" s="69"/>
      <c r="BQ289" s="69"/>
      <c r="BR289" s="69"/>
      <c r="BS289" s="69"/>
      <c r="BT289" s="69"/>
      <c r="BU289" s="69"/>
      <c r="BV289" s="69"/>
      <c r="BW289" s="69"/>
      <c r="BX289" s="69"/>
      <c r="BY289" s="69"/>
      <c r="BZ289" s="69"/>
      <c r="CA289" s="69"/>
      <c r="CB289" s="69"/>
      <c r="CC289" s="69"/>
      <c r="CD289" s="69"/>
      <c r="CE289" s="69"/>
      <c r="CF289" s="69"/>
      <c r="CG289" s="69"/>
      <c r="CH289" s="69"/>
      <c r="CI289" s="69"/>
      <c r="CJ289" s="69"/>
      <c r="CK289" s="69"/>
      <c r="CL289" s="69"/>
      <c r="CM289" s="69"/>
      <c r="CN289" s="69"/>
      <c r="CO289" s="69"/>
      <c r="CP289" s="69"/>
      <c r="CQ289" s="69"/>
      <c r="CR289" s="69"/>
      <c r="CS289" s="70"/>
      <c r="CT289" s="16"/>
      <c r="CU289" s="16"/>
      <c r="CV289" s="16"/>
      <c r="CW289" s="16"/>
      <c r="CX289" s="16"/>
      <c r="CY289" s="16"/>
      <c r="CZ289" s="16"/>
      <c r="DA289" s="16"/>
      <c r="DB289" s="16"/>
      <c r="DC289" s="16"/>
      <c r="DD289" s="16"/>
      <c r="DE289" s="16"/>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6"/>
      <c r="AD290" s="15"/>
      <c r="AE290" s="15"/>
      <c r="AF290" s="16"/>
      <c r="AG290" s="15"/>
      <c r="AH290" s="15"/>
      <c r="AI290" s="16"/>
      <c r="AJ290" s="15"/>
      <c r="AK290" s="15"/>
      <c r="AL290" s="16"/>
      <c r="AM290" s="15"/>
      <c r="AN290" s="15"/>
      <c r="AO290" s="16"/>
      <c r="AP290" s="15"/>
      <c r="AQ290" s="15"/>
      <c r="AR290" s="16"/>
      <c r="AS290" s="15"/>
      <c r="AT290" s="15"/>
      <c r="AU290" s="16"/>
      <c r="AV290" s="15"/>
      <c r="AW290" s="15"/>
      <c r="AX290" s="16"/>
      <c r="AY290" s="15"/>
      <c r="AZ290" s="15"/>
      <c r="BA290" s="16"/>
      <c r="BB290" s="16"/>
      <c r="BC290" s="16"/>
      <c r="BD290" s="16"/>
      <c r="BE290" s="16"/>
      <c r="BF290" s="16"/>
      <c r="BG290" s="16"/>
      <c r="BH290" s="16"/>
      <c r="BI290" s="16"/>
      <c r="BJ290" s="69"/>
      <c r="BK290" s="69"/>
      <c r="BL290" s="69"/>
      <c r="BM290" s="69"/>
      <c r="BN290" s="69"/>
      <c r="BO290" s="69"/>
      <c r="BP290" s="69"/>
      <c r="BQ290" s="69"/>
      <c r="BR290" s="69"/>
      <c r="BS290" s="69"/>
      <c r="BT290" s="69"/>
      <c r="BU290" s="69"/>
      <c r="BV290" s="69"/>
      <c r="BW290" s="69"/>
      <c r="BX290" s="69"/>
      <c r="BY290" s="69"/>
      <c r="BZ290" s="69"/>
      <c r="CA290" s="69"/>
      <c r="CB290" s="69"/>
      <c r="CC290" s="69"/>
      <c r="CD290" s="69"/>
      <c r="CE290" s="69"/>
      <c r="CF290" s="69"/>
      <c r="CG290" s="69"/>
      <c r="CH290" s="69"/>
      <c r="CI290" s="69"/>
      <c r="CJ290" s="69"/>
      <c r="CK290" s="69"/>
      <c r="CL290" s="69"/>
      <c r="CM290" s="69"/>
      <c r="CN290" s="69"/>
      <c r="CO290" s="69"/>
      <c r="CP290" s="69"/>
      <c r="CQ290" s="69"/>
      <c r="CR290" s="69"/>
      <c r="CS290" s="70"/>
      <c r="CT290" s="16"/>
      <c r="CU290" s="16"/>
      <c r="CV290" s="16"/>
      <c r="CW290" s="16"/>
      <c r="CX290" s="16"/>
      <c r="CY290" s="16"/>
      <c r="CZ290" s="16"/>
      <c r="DA290" s="16"/>
      <c r="DB290" s="16"/>
      <c r="DC290" s="16"/>
      <c r="DD290" s="16"/>
      <c r="DE290" s="16"/>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6"/>
      <c r="AD291" s="15"/>
      <c r="AE291" s="15"/>
      <c r="AF291" s="16"/>
      <c r="AG291" s="15"/>
      <c r="AH291" s="15"/>
      <c r="AI291" s="16"/>
      <c r="AJ291" s="15"/>
      <c r="AK291" s="15"/>
      <c r="AL291" s="16"/>
      <c r="AM291" s="15"/>
      <c r="AN291" s="15"/>
      <c r="AO291" s="16"/>
      <c r="AP291" s="15"/>
      <c r="AQ291" s="15"/>
      <c r="AR291" s="16"/>
      <c r="AS291" s="15"/>
      <c r="AT291" s="15"/>
      <c r="AU291" s="16"/>
      <c r="AV291" s="15"/>
      <c r="AW291" s="15"/>
      <c r="AX291" s="16"/>
      <c r="AY291" s="15"/>
      <c r="AZ291" s="15"/>
      <c r="BA291" s="16"/>
      <c r="BB291" s="16"/>
      <c r="BC291" s="16"/>
      <c r="BD291" s="16"/>
      <c r="BE291" s="16"/>
      <c r="BF291" s="16"/>
      <c r="BG291" s="16"/>
      <c r="BH291" s="16"/>
      <c r="BI291" s="16"/>
      <c r="BJ291" s="69"/>
      <c r="BK291" s="69"/>
      <c r="BL291" s="69"/>
      <c r="BM291" s="69"/>
      <c r="BN291" s="69"/>
      <c r="BO291" s="69"/>
      <c r="BP291" s="69"/>
      <c r="BQ291" s="69"/>
      <c r="BR291" s="69"/>
      <c r="BS291" s="69"/>
      <c r="BT291" s="69"/>
      <c r="BU291" s="69"/>
      <c r="BV291" s="69"/>
      <c r="BW291" s="69"/>
      <c r="BX291" s="69"/>
      <c r="BY291" s="69"/>
      <c r="BZ291" s="69"/>
      <c r="CA291" s="69"/>
      <c r="CB291" s="69"/>
      <c r="CC291" s="69"/>
      <c r="CD291" s="69"/>
      <c r="CE291" s="69"/>
      <c r="CF291" s="69"/>
      <c r="CG291" s="69"/>
      <c r="CH291" s="69"/>
      <c r="CI291" s="69"/>
      <c r="CJ291" s="69"/>
      <c r="CK291" s="69"/>
      <c r="CL291" s="69"/>
      <c r="CM291" s="69"/>
      <c r="CN291" s="69"/>
      <c r="CO291" s="69"/>
      <c r="CP291" s="69"/>
      <c r="CQ291" s="69"/>
      <c r="CR291" s="69"/>
      <c r="CS291" s="70"/>
      <c r="CT291" s="16"/>
      <c r="CU291" s="16"/>
      <c r="CV291" s="16"/>
      <c r="CW291" s="16"/>
      <c r="CX291" s="16"/>
      <c r="CY291" s="16"/>
      <c r="CZ291" s="16"/>
      <c r="DA291" s="16"/>
      <c r="DB291" s="16"/>
      <c r="DC291" s="16"/>
      <c r="DD291" s="16"/>
      <c r="DE291" s="16"/>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6"/>
      <c r="AD292" s="15"/>
      <c r="AE292" s="15"/>
      <c r="AF292" s="16"/>
      <c r="AG292" s="15"/>
      <c r="AH292" s="15"/>
      <c r="AI292" s="16"/>
      <c r="AJ292" s="15"/>
      <c r="AK292" s="15"/>
      <c r="AL292" s="16"/>
      <c r="AM292" s="15"/>
      <c r="AN292" s="15"/>
      <c r="AO292" s="16"/>
      <c r="AP292" s="15"/>
      <c r="AQ292" s="15"/>
      <c r="AR292" s="16"/>
      <c r="AS292" s="15"/>
      <c r="AT292" s="15"/>
      <c r="AU292" s="16"/>
      <c r="AV292" s="15"/>
      <c r="AW292" s="15"/>
      <c r="AX292" s="16"/>
      <c r="AY292" s="15"/>
      <c r="AZ292" s="15"/>
      <c r="BA292" s="16"/>
      <c r="BB292" s="16"/>
      <c r="BC292" s="16"/>
      <c r="BD292" s="16"/>
      <c r="BE292" s="16"/>
      <c r="BF292" s="16"/>
      <c r="BG292" s="16"/>
      <c r="BH292" s="16"/>
      <c r="BI292" s="16"/>
      <c r="BJ292" s="69"/>
      <c r="BK292" s="69"/>
      <c r="BL292" s="69"/>
      <c r="BM292" s="69"/>
      <c r="BN292" s="69"/>
      <c r="BO292" s="69"/>
      <c r="BP292" s="69"/>
      <c r="BQ292" s="69"/>
      <c r="BR292" s="69"/>
      <c r="BS292" s="69"/>
      <c r="BT292" s="69"/>
      <c r="BU292" s="69"/>
      <c r="BV292" s="69"/>
      <c r="BW292" s="69"/>
      <c r="BX292" s="69"/>
      <c r="BY292" s="69"/>
      <c r="BZ292" s="69"/>
      <c r="CA292" s="69"/>
      <c r="CB292" s="69"/>
      <c r="CC292" s="69"/>
      <c r="CD292" s="69"/>
      <c r="CE292" s="69"/>
      <c r="CF292" s="69"/>
      <c r="CG292" s="69"/>
      <c r="CH292" s="69"/>
      <c r="CI292" s="69"/>
      <c r="CJ292" s="69"/>
      <c r="CK292" s="69"/>
      <c r="CL292" s="69"/>
      <c r="CM292" s="69"/>
      <c r="CN292" s="69"/>
      <c r="CO292" s="69"/>
      <c r="CP292" s="69"/>
      <c r="CQ292" s="69"/>
      <c r="CR292" s="69"/>
      <c r="CS292" s="70"/>
      <c r="CT292" s="16"/>
      <c r="CU292" s="16"/>
      <c r="CV292" s="16"/>
      <c r="CW292" s="16"/>
      <c r="CX292" s="16"/>
      <c r="CY292" s="16"/>
      <c r="CZ292" s="16"/>
      <c r="DA292" s="16"/>
      <c r="DB292" s="16"/>
      <c r="DC292" s="16"/>
      <c r="DD292" s="16"/>
      <c r="DE292" s="16"/>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6"/>
      <c r="AD293" s="15"/>
      <c r="AE293" s="15"/>
      <c r="AF293" s="16"/>
      <c r="AG293" s="15"/>
      <c r="AH293" s="15"/>
      <c r="AI293" s="16"/>
      <c r="AJ293" s="15"/>
      <c r="AK293" s="15"/>
      <c r="AL293" s="16"/>
      <c r="AM293" s="15"/>
      <c r="AN293" s="15"/>
      <c r="AO293" s="16"/>
      <c r="AP293" s="15"/>
      <c r="AQ293" s="15"/>
      <c r="AR293" s="16"/>
      <c r="AS293" s="15"/>
      <c r="AT293" s="15"/>
      <c r="AU293" s="16"/>
      <c r="AV293" s="15"/>
      <c r="AW293" s="15"/>
      <c r="AX293" s="16"/>
      <c r="AY293" s="15"/>
      <c r="AZ293" s="15"/>
      <c r="BA293" s="16"/>
      <c r="BB293" s="16"/>
      <c r="BC293" s="16"/>
      <c r="BD293" s="16"/>
      <c r="BE293" s="16"/>
      <c r="BF293" s="16"/>
      <c r="BG293" s="16"/>
      <c r="BH293" s="16"/>
      <c r="BI293" s="16"/>
      <c r="BJ293" s="69"/>
      <c r="BK293" s="69"/>
      <c r="BL293" s="69"/>
      <c r="BM293" s="69"/>
      <c r="BN293" s="69"/>
      <c r="BO293" s="69"/>
      <c r="BP293" s="69"/>
      <c r="BQ293" s="69"/>
      <c r="BR293" s="69"/>
      <c r="BS293" s="69"/>
      <c r="BT293" s="69"/>
      <c r="BU293" s="69"/>
      <c r="BV293" s="69"/>
      <c r="BW293" s="69"/>
      <c r="BX293" s="69"/>
      <c r="BY293" s="69"/>
      <c r="BZ293" s="69"/>
      <c r="CA293" s="69"/>
      <c r="CB293" s="69"/>
      <c r="CC293" s="69"/>
      <c r="CD293" s="69"/>
      <c r="CE293" s="69"/>
      <c r="CF293" s="69"/>
      <c r="CG293" s="69"/>
      <c r="CH293" s="69"/>
      <c r="CI293" s="69"/>
      <c r="CJ293" s="69"/>
      <c r="CK293" s="69"/>
      <c r="CL293" s="69"/>
      <c r="CM293" s="69"/>
      <c r="CN293" s="69"/>
      <c r="CO293" s="69"/>
      <c r="CP293" s="69"/>
      <c r="CQ293" s="69"/>
      <c r="CR293" s="69"/>
      <c r="CS293" s="70"/>
      <c r="CT293" s="16"/>
      <c r="CU293" s="16"/>
      <c r="CV293" s="16"/>
      <c r="CW293" s="16"/>
      <c r="CX293" s="16"/>
      <c r="CY293" s="16"/>
      <c r="CZ293" s="16"/>
      <c r="DA293" s="16"/>
      <c r="DB293" s="16"/>
      <c r="DC293" s="16"/>
      <c r="DD293" s="16"/>
      <c r="DE293" s="16"/>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6"/>
      <c r="AD294" s="15"/>
      <c r="AE294" s="15"/>
      <c r="AF294" s="16"/>
      <c r="AG294" s="15"/>
      <c r="AH294" s="15"/>
      <c r="AI294" s="16"/>
      <c r="AJ294" s="15"/>
      <c r="AK294" s="15"/>
      <c r="AL294" s="16"/>
      <c r="AM294" s="15"/>
      <c r="AN294" s="15"/>
      <c r="AO294" s="16"/>
      <c r="AP294" s="15"/>
      <c r="AQ294" s="15"/>
      <c r="AR294" s="16"/>
      <c r="AS294" s="15"/>
      <c r="AT294" s="15"/>
      <c r="AU294" s="16"/>
      <c r="AV294" s="15"/>
      <c r="AW294" s="15"/>
      <c r="AX294" s="16"/>
      <c r="AY294" s="15"/>
      <c r="AZ294" s="15"/>
      <c r="BA294" s="16"/>
      <c r="BB294" s="16"/>
      <c r="BC294" s="16"/>
      <c r="BD294" s="16"/>
      <c r="BE294" s="16"/>
      <c r="BF294" s="16"/>
      <c r="BG294" s="16"/>
      <c r="BH294" s="16"/>
      <c r="BI294" s="16"/>
      <c r="BJ294" s="69"/>
      <c r="BK294" s="69"/>
      <c r="BL294" s="69"/>
      <c r="BM294" s="69"/>
      <c r="BN294" s="69"/>
      <c r="BO294" s="69"/>
      <c r="BP294" s="69"/>
      <c r="BQ294" s="69"/>
      <c r="BR294" s="69"/>
      <c r="BS294" s="69"/>
      <c r="BT294" s="69"/>
      <c r="BU294" s="69"/>
      <c r="BV294" s="69"/>
      <c r="BW294" s="69"/>
      <c r="BX294" s="69"/>
      <c r="BY294" s="69"/>
      <c r="BZ294" s="69"/>
      <c r="CA294" s="69"/>
      <c r="CB294" s="69"/>
      <c r="CC294" s="69"/>
      <c r="CD294" s="69"/>
      <c r="CE294" s="69"/>
      <c r="CF294" s="69"/>
      <c r="CG294" s="69"/>
      <c r="CH294" s="69"/>
      <c r="CI294" s="69"/>
      <c r="CJ294" s="69"/>
      <c r="CK294" s="69"/>
      <c r="CL294" s="69"/>
      <c r="CM294" s="69"/>
      <c r="CN294" s="69"/>
      <c r="CO294" s="69"/>
      <c r="CP294" s="69"/>
      <c r="CQ294" s="69"/>
      <c r="CR294" s="69"/>
      <c r="CS294" s="70"/>
      <c r="CT294" s="16"/>
      <c r="CU294" s="16"/>
      <c r="CV294" s="16"/>
      <c r="CW294" s="16"/>
      <c r="CX294" s="16"/>
      <c r="CY294" s="16"/>
      <c r="CZ294" s="16"/>
      <c r="DA294" s="16"/>
      <c r="DB294" s="16"/>
      <c r="DC294" s="16"/>
      <c r="DD294" s="16"/>
      <c r="DE294" s="16"/>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6"/>
      <c r="AD295" s="15"/>
      <c r="AE295" s="15"/>
      <c r="AF295" s="16"/>
      <c r="AG295" s="15"/>
      <c r="AH295" s="15"/>
      <c r="AI295" s="16"/>
      <c r="AJ295" s="15"/>
      <c r="AK295" s="15"/>
      <c r="AL295" s="16"/>
      <c r="AM295" s="15"/>
      <c r="AN295" s="15"/>
      <c r="AO295" s="16"/>
      <c r="AP295" s="15"/>
      <c r="AQ295" s="15"/>
      <c r="AR295" s="16"/>
      <c r="AS295" s="15"/>
      <c r="AT295" s="15"/>
      <c r="AU295" s="16"/>
      <c r="AV295" s="15"/>
      <c r="AW295" s="15"/>
      <c r="AX295" s="16"/>
      <c r="AY295" s="15"/>
      <c r="AZ295" s="15"/>
      <c r="BA295" s="16"/>
      <c r="BB295" s="16"/>
      <c r="BC295" s="16"/>
      <c r="BD295" s="16"/>
      <c r="BE295" s="16"/>
      <c r="BF295" s="16"/>
      <c r="BG295" s="16"/>
      <c r="BH295" s="16"/>
      <c r="BI295" s="16"/>
      <c r="BJ295" s="69"/>
      <c r="BK295" s="69"/>
      <c r="BL295" s="69"/>
      <c r="BM295" s="69"/>
      <c r="BN295" s="69"/>
      <c r="BO295" s="69"/>
      <c r="BP295" s="69"/>
      <c r="BQ295" s="69"/>
      <c r="BR295" s="69"/>
      <c r="BS295" s="69"/>
      <c r="BT295" s="69"/>
      <c r="BU295" s="69"/>
      <c r="BV295" s="69"/>
      <c r="BW295" s="69"/>
      <c r="BX295" s="69"/>
      <c r="BY295" s="69"/>
      <c r="BZ295" s="69"/>
      <c r="CA295" s="69"/>
      <c r="CB295" s="69"/>
      <c r="CC295" s="69"/>
      <c r="CD295" s="69"/>
      <c r="CE295" s="69"/>
      <c r="CF295" s="69"/>
      <c r="CG295" s="69"/>
      <c r="CH295" s="69"/>
      <c r="CI295" s="69"/>
      <c r="CJ295" s="69"/>
      <c r="CK295" s="69"/>
      <c r="CL295" s="69"/>
      <c r="CM295" s="69"/>
      <c r="CN295" s="69"/>
      <c r="CO295" s="69"/>
      <c r="CP295" s="69"/>
      <c r="CQ295" s="69"/>
      <c r="CR295" s="69"/>
      <c r="CS295" s="70"/>
      <c r="CT295" s="16"/>
      <c r="CU295" s="16"/>
      <c r="CV295" s="16"/>
      <c r="CW295" s="16"/>
      <c r="CX295" s="16"/>
      <c r="CY295" s="16"/>
      <c r="CZ295" s="16"/>
      <c r="DA295" s="16"/>
      <c r="DB295" s="16"/>
      <c r="DC295" s="16"/>
      <c r="DD295" s="16"/>
      <c r="DE295" s="16"/>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6"/>
      <c r="AD296" s="15"/>
      <c r="AE296" s="15"/>
      <c r="AF296" s="16"/>
      <c r="AG296" s="15"/>
      <c r="AH296" s="15"/>
      <c r="AI296" s="16"/>
      <c r="AJ296" s="15"/>
      <c r="AK296" s="15"/>
      <c r="AL296" s="16"/>
      <c r="AM296" s="15"/>
      <c r="AN296" s="15"/>
      <c r="AO296" s="16"/>
      <c r="AP296" s="15"/>
      <c r="AQ296" s="15"/>
      <c r="AR296" s="16"/>
      <c r="AS296" s="15"/>
      <c r="AT296" s="15"/>
      <c r="AU296" s="16"/>
      <c r="AV296" s="15"/>
      <c r="AW296" s="15"/>
      <c r="AX296" s="16"/>
      <c r="AY296" s="15"/>
      <c r="AZ296" s="15"/>
      <c r="BA296" s="16"/>
      <c r="BB296" s="16"/>
      <c r="BC296" s="16"/>
      <c r="BD296" s="16"/>
      <c r="BE296" s="16"/>
      <c r="BF296" s="16"/>
      <c r="BG296" s="16"/>
      <c r="BH296" s="16"/>
      <c r="BI296" s="16"/>
      <c r="BJ296" s="69"/>
      <c r="BK296" s="69"/>
      <c r="BL296" s="69"/>
      <c r="BM296" s="69"/>
      <c r="BN296" s="69"/>
      <c r="BO296" s="69"/>
      <c r="BP296" s="69"/>
      <c r="BQ296" s="69"/>
      <c r="BR296" s="69"/>
      <c r="BS296" s="69"/>
      <c r="BT296" s="69"/>
      <c r="BU296" s="69"/>
      <c r="BV296" s="69"/>
      <c r="BW296" s="69"/>
      <c r="BX296" s="69"/>
      <c r="BY296" s="69"/>
      <c r="BZ296" s="69"/>
      <c r="CA296" s="69"/>
      <c r="CB296" s="69"/>
      <c r="CC296" s="69"/>
      <c r="CD296" s="69"/>
      <c r="CE296" s="69"/>
      <c r="CF296" s="69"/>
      <c r="CG296" s="69"/>
      <c r="CH296" s="69"/>
      <c r="CI296" s="69"/>
      <c r="CJ296" s="69"/>
      <c r="CK296" s="69"/>
      <c r="CL296" s="69"/>
      <c r="CM296" s="69"/>
      <c r="CN296" s="69"/>
      <c r="CO296" s="69"/>
      <c r="CP296" s="69"/>
      <c r="CQ296" s="69"/>
      <c r="CR296" s="69"/>
      <c r="CS296" s="70"/>
      <c r="CT296" s="16"/>
      <c r="CU296" s="16"/>
      <c r="CV296" s="16"/>
      <c r="CW296" s="16"/>
      <c r="CX296" s="16"/>
      <c r="CY296" s="16"/>
      <c r="CZ296" s="16"/>
      <c r="DA296" s="16"/>
      <c r="DB296" s="16"/>
      <c r="DC296" s="16"/>
      <c r="DD296" s="16"/>
      <c r="DE296" s="16"/>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6"/>
      <c r="AD297" s="15"/>
      <c r="AE297" s="15"/>
      <c r="AF297" s="16"/>
      <c r="AG297" s="15"/>
      <c r="AH297" s="15"/>
      <c r="AI297" s="16"/>
      <c r="AJ297" s="15"/>
      <c r="AK297" s="15"/>
      <c r="AL297" s="16"/>
      <c r="AM297" s="15"/>
      <c r="AN297" s="15"/>
      <c r="AO297" s="16"/>
      <c r="AP297" s="15"/>
      <c r="AQ297" s="15"/>
      <c r="AR297" s="16"/>
      <c r="AS297" s="15"/>
      <c r="AT297" s="15"/>
      <c r="AU297" s="16"/>
      <c r="AV297" s="15"/>
      <c r="AW297" s="15"/>
      <c r="AX297" s="16"/>
      <c r="AY297" s="15"/>
      <c r="AZ297" s="15"/>
      <c r="BA297" s="16"/>
      <c r="BB297" s="16"/>
      <c r="BC297" s="16"/>
      <c r="BD297" s="16"/>
      <c r="BE297" s="16"/>
      <c r="BF297" s="16"/>
      <c r="BG297" s="16"/>
      <c r="BH297" s="16"/>
      <c r="BI297" s="16"/>
      <c r="BJ297" s="69"/>
      <c r="BK297" s="69"/>
      <c r="BL297" s="69"/>
      <c r="BM297" s="69"/>
      <c r="BN297" s="69"/>
      <c r="BO297" s="69"/>
      <c r="BP297" s="69"/>
      <c r="BQ297" s="69"/>
      <c r="BR297" s="69"/>
      <c r="BS297" s="69"/>
      <c r="BT297" s="69"/>
      <c r="BU297" s="69"/>
      <c r="BV297" s="69"/>
      <c r="BW297" s="69"/>
      <c r="BX297" s="69"/>
      <c r="BY297" s="69"/>
      <c r="BZ297" s="69"/>
      <c r="CA297" s="69"/>
      <c r="CB297" s="69"/>
      <c r="CC297" s="69"/>
      <c r="CD297" s="69"/>
      <c r="CE297" s="69"/>
      <c r="CF297" s="69"/>
      <c r="CG297" s="69"/>
      <c r="CH297" s="69"/>
      <c r="CI297" s="69"/>
      <c r="CJ297" s="69"/>
      <c r="CK297" s="69"/>
      <c r="CL297" s="69"/>
      <c r="CM297" s="69"/>
      <c r="CN297" s="69"/>
      <c r="CO297" s="69"/>
      <c r="CP297" s="69"/>
      <c r="CQ297" s="69"/>
      <c r="CR297" s="69"/>
      <c r="CS297" s="70"/>
      <c r="CT297" s="16"/>
      <c r="CU297" s="16"/>
      <c r="CV297" s="16"/>
      <c r="CW297" s="16"/>
      <c r="CX297" s="16"/>
      <c r="CY297" s="16"/>
      <c r="CZ297" s="16"/>
      <c r="DA297" s="16"/>
      <c r="DB297" s="16"/>
      <c r="DC297" s="16"/>
      <c r="DD297" s="16"/>
      <c r="DE297" s="16"/>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6"/>
      <c r="AD298" s="15"/>
      <c r="AE298" s="15"/>
      <c r="AF298" s="16"/>
      <c r="AG298" s="15"/>
      <c r="AH298" s="15"/>
      <c r="AI298" s="16"/>
      <c r="AJ298" s="15"/>
      <c r="AK298" s="15"/>
      <c r="AL298" s="16"/>
      <c r="AM298" s="15"/>
      <c r="AN298" s="15"/>
      <c r="AO298" s="16"/>
      <c r="AP298" s="15"/>
      <c r="AQ298" s="15"/>
      <c r="AR298" s="16"/>
      <c r="AS298" s="15"/>
      <c r="AT298" s="15"/>
      <c r="AU298" s="16"/>
      <c r="AV298" s="15"/>
      <c r="AW298" s="15"/>
      <c r="AX298" s="16"/>
      <c r="AY298" s="15"/>
      <c r="AZ298" s="15"/>
      <c r="BA298" s="16"/>
      <c r="BB298" s="16"/>
      <c r="BC298" s="16"/>
      <c r="BD298" s="16"/>
      <c r="BE298" s="16"/>
      <c r="BF298" s="16"/>
      <c r="BG298" s="16"/>
      <c r="BH298" s="16"/>
      <c r="BI298" s="16"/>
      <c r="BJ298" s="69"/>
      <c r="BK298" s="69"/>
      <c r="BL298" s="69"/>
      <c r="BM298" s="69"/>
      <c r="BN298" s="69"/>
      <c r="BO298" s="69"/>
      <c r="BP298" s="69"/>
      <c r="BQ298" s="69"/>
      <c r="BR298" s="69"/>
      <c r="BS298" s="69"/>
      <c r="BT298" s="69"/>
      <c r="BU298" s="69"/>
      <c r="BV298" s="69"/>
      <c r="BW298" s="69"/>
      <c r="BX298" s="69"/>
      <c r="BY298" s="69"/>
      <c r="BZ298" s="69"/>
      <c r="CA298" s="69"/>
      <c r="CB298" s="69"/>
      <c r="CC298" s="69"/>
      <c r="CD298" s="69"/>
      <c r="CE298" s="69"/>
      <c r="CF298" s="69"/>
      <c r="CG298" s="69"/>
      <c r="CH298" s="69"/>
      <c r="CI298" s="69"/>
      <c r="CJ298" s="69"/>
      <c r="CK298" s="69"/>
      <c r="CL298" s="69"/>
      <c r="CM298" s="69"/>
      <c r="CN298" s="69"/>
      <c r="CO298" s="69"/>
      <c r="CP298" s="69"/>
      <c r="CQ298" s="69"/>
      <c r="CR298" s="69"/>
      <c r="CS298" s="70"/>
      <c r="CT298" s="16"/>
      <c r="CU298" s="16"/>
      <c r="CV298" s="16"/>
      <c r="CW298" s="16"/>
      <c r="CX298" s="16"/>
      <c r="CY298" s="16"/>
      <c r="CZ298" s="16"/>
      <c r="DA298" s="16"/>
      <c r="DB298" s="16"/>
      <c r="DC298" s="16"/>
      <c r="DD298" s="16"/>
      <c r="DE298" s="16"/>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6"/>
      <c r="AD299" s="15"/>
      <c r="AE299" s="15"/>
      <c r="AF299" s="16"/>
      <c r="AG299" s="15"/>
      <c r="AH299" s="15"/>
      <c r="AI299" s="16"/>
      <c r="AJ299" s="15"/>
      <c r="AK299" s="15"/>
      <c r="AL299" s="16"/>
      <c r="AM299" s="15"/>
      <c r="AN299" s="15"/>
      <c r="AO299" s="16"/>
      <c r="AP299" s="15"/>
      <c r="AQ299" s="15"/>
      <c r="AR299" s="16"/>
      <c r="AS299" s="15"/>
      <c r="AT299" s="15"/>
      <c r="AU299" s="16"/>
      <c r="AV299" s="15"/>
      <c r="AW299" s="15"/>
      <c r="AX299" s="16"/>
      <c r="AY299" s="15"/>
      <c r="AZ299" s="15"/>
      <c r="BA299" s="16"/>
      <c r="BB299" s="16"/>
      <c r="BC299" s="16"/>
      <c r="BD299" s="16"/>
      <c r="BE299" s="16"/>
      <c r="BF299" s="16"/>
      <c r="BG299" s="16"/>
      <c r="BH299" s="16"/>
      <c r="BI299" s="16"/>
      <c r="BJ299" s="69"/>
      <c r="BK299" s="69"/>
      <c r="BL299" s="69"/>
      <c r="BM299" s="69"/>
      <c r="BN299" s="69"/>
      <c r="BO299" s="69"/>
      <c r="BP299" s="69"/>
      <c r="BQ299" s="69"/>
      <c r="BR299" s="69"/>
      <c r="BS299" s="69"/>
      <c r="BT299" s="69"/>
      <c r="BU299" s="69"/>
      <c r="BV299" s="69"/>
      <c r="BW299" s="69"/>
      <c r="BX299" s="69"/>
      <c r="BY299" s="69"/>
      <c r="BZ299" s="69"/>
      <c r="CA299" s="69"/>
      <c r="CB299" s="69"/>
      <c r="CC299" s="69"/>
      <c r="CD299" s="69"/>
      <c r="CE299" s="69"/>
      <c r="CF299" s="69"/>
      <c r="CG299" s="69"/>
      <c r="CH299" s="69"/>
      <c r="CI299" s="69"/>
      <c r="CJ299" s="69"/>
      <c r="CK299" s="69"/>
      <c r="CL299" s="69"/>
      <c r="CM299" s="69"/>
      <c r="CN299" s="69"/>
      <c r="CO299" s="69"/>
      <c r="CP299" s="69"/>
      <c r="CQ299" s="69"/>
      <c r="CR299" s="69"/>
      <c r="CS299" s="70"/>
      <c r="CT299" s="16"/>
      <c r="CU299" s="16"/>
      <c r="CV299" s="16"/>
      <c r="CW299" s="16"/>
      <c r="CX299" s="16"/>
      <c r="CY299" s="16"/>
      <c r="CZ299" s="16"/>
      <c r="DA299" s="16"/>
      <c r="DB299" s="16"/>
      <c r="DC299" s="16"/>
      <c r="DD299" s="16"/>
      <c r="DE299" s="16"/>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6"/>
      <c r="AD300" s="15"/>
      <c r="AE300" s="15"/>
      <c r="AF300" s="16"/>
      <c r="AG300" s="15"/>
      <c r="AH300" s="15"/>
      <c r="AI300" s="16"/>
      <c r="AJ300" s="15"/>
      <c r="AK300" s="15"/>
      <c r="AL300" s="16"/>
      <c r="AM300" s="15"/>
      <c r="AN300" s="15"/>
      <c r="AO300" s="16"/>
      <c r="AP300" s="15"/>
      <c r="AQ300" s="15"/>
      <c r="AR300" s="16"/>
      <c r="AS300" s="15"/>
      <c r="AT300" s="15"/>
      <c r="AU300" s="16"/>
      <c r="AV300" s="15"/>
      <c r="AW300" s="15"/>
      <c r="AX300" s="16"/>
      <c r="AY300" s="15"/>
      <c r="AZ300" s="15"/>
      <c r="BA300" s="16"/>
      <c r="BB300" s="16"/>
      <c r="BC300" s="16"/>
      <c r="BD300" s="16"/>
      <c r="BE300" s="16"/>
      <c r="BF300" s="16"/>
      <c r="BG300" s="16"/>
      <c r="BH300" s="16"/>
      <c r="BI300" s="16"/>
      <c r="BJ300" s="69"/>
      <c r="BK300" s="69"/>
      <c r="BL300" s="69"/>
      <c r="BM300" s="69"/>
      <c r="BN300" s="69"/>
      <c r="BO300" s="69"/>
      <c r="BP300" s="69"/>
      <c r="BQ300" s="69"/>
      <c r="BR300" s="69"/>
      <c r="BS300" s="69"/>
      <c r="BT300" s="69"/>
      <c r="BU300" s="69"/>
      <c r="BV300" s="69"/>
      <c r="BW300" s="69"/>
      <c r="BX300" s="69"/>
      <c r="BY300" s="69"/>
      <c r="BZ300" s="69"/>
      <c r="CA300" s="69"/>
      <c r="CB300" s="69"/>
      <c r="CC300" s="69"/>
      <c r="CD300" s="69"/>
      <c r="CE300" s="69"/>
      <c r="CF300" s="69"/>
      <c r="CG300" s="69"/>
      <c r="CH300" s="69"/>
      <c r="CI300" s="69"/>
      <c r="CJ300" s="69"/>
      <c r="CK300" s="69"/>
      <c r="CL300" s="69"/>
      <c r="CM300" s="69"/>
      <c r="CN300" s="69"/>
      <c r="CO300" s="69"/>
      <c r="CP300" s="69"/>
      <c r="CQ300" s="69"/>
      <c r="CR300" s="69"/>
      <c r="CS300" s="70"/>
      <c r="CT300" s="16"/>
      <c r="CU300" s="16"/>
      <c r="CV300" s="16"/>
      <c r="CW300" s="16"/>
      <c r="CX300" s="16"/>
      <c r="CY300" s="16"/>
      <c r="CZ300" s="16"/>
      <c r="DA300" s="16"/>
      <c r="DB300" s="16"/>
      <c r="DC300" s="16"/>
      <c r="DD300" s="16"/>
      <c r="DE300" s="16"/>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6"/>
      <c r="AD301" s="15"/>
      <c r="AE301" s="15"/>
      <c r="AF301" s="16"/>
      <c r="AG301" s="15"/>
      <c r="AH301" s="15"/>
      <c r="AI301" s="16"/>
      <c r="AJ301" s="15"/>
      <c r="AK301" s="15"/>
      <c r="AL301" s="16"/>
      <c r="AM301" s="15"/>
      <c r="AN301" s="15"/>
      <c r="AO301" s="16"/>
      <c r="AP301" s="15"/>
      <c r="AQ301" s="15"/>
      <c r="AR301" s="16"/>
      <c r="AS301" s="15"/>
      <c r="AT301" s="15"/>
      <c r="AU301" s="16"/>
      <c r="AV301" s="15"/>
      <c r="AW301" s="15"/>
      <c r="AX301" s="16"/>
      <c r="AY301" s="15"/>
      <c r="AZ301" s="15"/>
      <c r="BA301" s="16"/>
      <c r="BB301" s="16"/>
      <c r="BC301" s="16"/>
      <c r="BD301" s="16"/>
      <c r="BE301" s="16"/>
      <c r="BF301" s="16"/>
      <c r="BG301" s="16"/>
      <c r="BH301" s="16"/>
      <c r="BI301" s="16"/>
      <c r="BJ301" s="69"/>
      <c r="BK301" s="69"/>
      <c r="BL301" s="69"/>
      <c r="BM301" s="69"/>
      <c r="BN301" s="69"/>
      <c r="BO301" s="69"/>
      <c r="BP301" s="69"/>
      <c r="BQ301" s="69"/>
      <c r="BR301" s="69"/>
      <c r="BS301" s="69"/>
      <c r="BT301" s="69"/>
      <c r="BU301" s="69"/>
      <c r="BV301" s="69"/>
      <c r="BW301" s="69"/>
      <c r="BX301" s="69"/>
      <c r="BY301" s="69"/>
      <c r="BZ301" s="69"/>
      <c r="CA301" s="69"/>
      <c r="CB301" s="69"/>
      <c r="CC301" s="69"/>
      <c r="CD301" s="69"/>
      <c r="CE301" s="69"/>
      <c r="CF301" s="69"/>
      <c r="CG301" s="69"/>
      <c r="CH301" s="69"/>
      <c r="CI301" s="69"/>
      <c r="CJ301" s="69"/>
      <c r="CK301" s="69"/>
      <c r="CL301" s="69"/>
      <c r="CM301" s="69"/>
      <c r="CN301" s="69"/>
      <c r="CO301" s="69"/>
      <c r="CP301" s="69"/>
      <c r="CQ301" s="69"/>
      <c r="CR301" s="69"/>
      <c r="CS301" s="70"/>
      <c r="CT301" s="16"/>
      <c r="CU301" s="16"/>
      <c r="CV301" s="16"/>
      <c r="CW301" s="16"/>
      <c r="CX301" s="16"/>
      <c r="CY301" s="16"/>
      <c r="CZ301" s="16"/>
      <c r="DA301" s="16"/>
      <c r="DB301" s="16"/>
      <c r="DC301" s="16"/>
      <c r="DD301" s="16"/>
      <c r="DE301" s="16"/>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6"/>
      <c r="AD302" s="15"/>
      <c r="AE302" s="15"/>
      <c r="AF302" s="16"/>
      <c r="AG302" s="15"/>
      <c r="AH302" s="15"/>
      <c r="AI302" s="16"/>
      <c r="AJ302" s="15"/>
      <c r="AK302" s="15"/>
      <c r="AL302" s="16"/>
      <c r="AM302" s="15"/>
      <c r="AN302" s="15"/>
      <c r="AO302" s="16"/>
      <c r="AP302" s="15"/>
      <c r="AQ302" s="15"/>
      <c r="AR302" s="16"/>
      <c r="AS302" s="15"/>
      <c r="AT302" s="15"/>
      <c r="AU302" s="16"/>
      <c r="AV302" s="15"/>
      <c r="AW302" s="15"/>
      <c r="AX302" s="16"/>
      <c r="AY302" s="15"/>
      <c r="AZ302" s="15"/>
      <c r="BA302" s="16"/>
      <c r="BB302" s="16"/>
      <c r="BC302" s="16"/>
      <c r="BD302" s="16"/>
      <c r="BE302" s="16"/>
      <c r="BF302" s="16"/>
      <c r="BG302" s="16"/>
      <c r="BH302" s="16"/>
      <c r="BI302" s="16"/>
      <c r="BJ302" s="69"/>
      <c r="BK302" s="69"/>
      <c r="BL302" s="69"/>
      <c r="BM302" s="69"/>
      <c r="BN302" s="69"/>
      <c r="BO302" s="69"/>
      <c r="BP302" s="69"/>
      <c r="BQ302" s="69"/>
      <c r="BR302" s="69"/>
      <c r="BS302" s="69"/>
      <c r="BT302" s="69"/>
      <c r="BU302" s="69"/>
      <c r="BV302" s="69"/>
      <c r="BW302" s="69"/>
      <c r="BX302" s="69"/>
      <c r="BY302" s="69"/>
      <c r="BZ302" s="69"/>
      <c r="CA302" s="69"/>
      <c r="CB302" s="69"/>
      <c r="CC302" s="69"/>
      <c r="CD302" s="69"/>
      <c r="CE302" s="69"/>
      <c r="CF302" s="69"/>
      <c r="CG302" s="69"/>
      <c r="CH302" s="69"/>
      <c r="CI302" s="69"/>
      <c r="CJ302" s="69"/>
      <c r="CK302" s="69"/>
      <c r="CL302" s="69"/>
      <c r="CM302" s="69"/>
      <c r="CN302" s="69"/>
      <c r="CO302" s="69"/>
      <c r="CP302" s="69"/>
      <c r="CQ302" s="69"/>
      <c r="CR302" s="69"/>
      <c r="CS302" s="70"/>
      <c r="CT302" s="16"/>
      <c r="CU302" s="16"/>
      <c r="CV302" s="16"/>
      <c r="CW302" s="16"/>
      <c r="CX302" s="16"/>
      <c r="CY302" s="16"/>
      <c r="CZ302" s="16"/>
      <c r="DA302" s="16"/>
      <c r="DB302" s="16"/>
      <c r="DC302" s="16"/>
      <c r="DD302" s="16"/>
      <c r="DE302" s="16"/>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6"/>
      <c r="AD303" s="15"/>
      <c r="AE303" s="15"/>
      <c r="AF303" s="16"/>
      <c r="AG303" s="15"/>
      <c r="AH303" s="15"/>
      <c r="AI303" s="16"/>
      <c r="AJ303" s="15"/>
      <c r="AK303" s="15"/>
      <c r="AL303" s="16"/>
      <c r="AM303" s="15"/>
      <c r="AN303" s="15"/>
      <c r="AO303" s="16"/>
      <c r="AP303" s="15"/>
      <c r="AQ303" s="15"/>
      <c r="AR303" s="16"/>
      <c r="AS303" s="15"/>
      <c r="AT303" s="15"/>
      <c r="AU303" s="16"/>
      <c r="AV303" s="15"/>
      <c r="AW303" s="15"/>
      <c r="AX303" s="16"/>
      <c r="AY303" s="15"/>
      <c r="AZ303" s="15"/>
      <c r="BA303" s="16"/>
      <c r="BB303" s="16"/>
      <c r="BC303" s="16"/>
      <c r="BD303" s="16"/>
      <c r="BE303" s="16"/>
      <c r="BF303" s="16"/>
      <c r="BG303" s="16"/>
      <c r="BH303" s="16"/>
      <c r="BI303" s="16"/>
      <c r="BJ303" s="69"/>
      <c r="BK303" s="69"/>
      <c r="BL303" s="69"/>
      <c r="BM303" s="69"/>
      <c r="BN303" s="69"/>
      <c r="BO303" s="69"/>
      <c r="BP303" s="69"/>
      <c r="BQ303" s="69"/>
      <c r="BR303" s="69"/>
      <c r="BS303" s="69"/>
      <c r="BT303" s="69"/>
      <c r="BU303" s="69"/>
      <c r="BV303" s="69"/>
      <c r="BW303" s="69"/>
      <c r="BX303" s="69"/>
      <c r="BY303" s="69"/>
      <c r="BZ303" s="69"/>
      <c r="CA303" s="69"/>
      <c r="CB303" s="69"/>
      <c r="CC303" s="69"/>
      <c r="CD303" s="69"/>
      <c r="CE303" s="69"/>
      <c r="CF303" s="69"/>
      <c r="CG303" s="69"/>
      <c r="CH303" s="69"/>
      <c r="CI303" s="69"/>
      <c r="CJ303" s="69"/>
      <c r="CK303" s="69"/>
      <c r="CL303" s="69"/>
      <c r="CM303" s="69"/>
      <c r="CN303" s="69"/>
      <c r="CO303" s="69"/>
      <c r="CP303" s="69"/>
      <c r="CQ303" s="69"/>
      <c r="CR303" s="69"/>
      <c r="CS303" s="70"/>
      <c r="CT303" s="16"/>
      <c r="CU303" s="16"/>
      <c r="CV303" s="16"/>
      <c r="CW303" s="16"/>
      <c r="CX303" s="16"/>
      <c r="CY303" s="16"/>
      <c r="CZ303" s="16"/>
      <c r="DA303" s="16"/>
      <c r="DB303" s="16"/>
      <c r="DC303" s="16"/>
      <c r="DD303" s="16"/>
      <c r="DE303" s="16"/>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6"/>
      <c r="AD304" s="15"/>
      <c r="AE304" s="15"/>
      <c r="AF304" s="16"/>
      <c r="AG304" s="15"/>
      <c r="AH304" s="15"/>
      <c r="AI304" s="16"/>
      <c r="AJ304" s="15"/>
      <c r="AK304" s="15"/>
      <c r="AL304" s="16"/>
      <c r="AM304" s="15"/>
      <c r="AN304" s="15"/>
      <c r="AO304" s="16"/>
      <c r="AP304" s="15"/>
      <c r="AQ304" s="15"/>
      <c r="AR304" s="16"/>
      <c r="AS304" s="15"/>
      <c r="AT304" s="15"/>
      <c r="AU304" s="16"/>
      <c r="AV304" s="15"/>
      <c r="AW304" s="15"/>
      <c r="AX304" s="16"/>
      <c r="AY304" s="15"/>
      <c r="AZ304" s="15"/>
      <c r="BA304" s="16"/>
      <c r="BB304" s="16"/>
      <c r="BC304" s="16"/>
      <c r="BD304" s="16"/>
      <c r="BE304" s="16"/>
      <c r="BF304" s="16"/>
      <c r="BG304" s="16"/>
      <c r="BH304" s="16"/>
      <c r="BI304" s="16"/>
      <c r="BJ304" s="69"/>
      <c r="BK304" s="69"/>
      <c r="BL304" s="69"/>
      <c r="BM304" s="69"/>
      <c r="BN304" s="69"/>
      <c r="BO304" s="69"/>
      <c r="BP304" s="69"/>
      <c r="BQ304" s="69"/>
      <c r="BR304" s="69"/>
      <c r="BS304" s="69"/>
      <c r="BT304" s="69"/>
      <c r="BU304" s="69"/>
      <c r="BV304" s="69"/>
      <c r="BW304" s="69"/>
      <c r="BX304" s="69"/>
      <c r="BY304" s="69"/>
      <c r="BZ304" s="69"/>
      <c r="CA304" s="69"/>
      <c r="CB304" s="69"/>
      <c r="CC304" s="69"/>
      <c r="CD304" s="69"/>
      <c r="CE304" s="69"/>
      <c r="CF304" s="69"/>
      <c r="CG304" s="69"/>
      <c r="CH304" s="69"/>
      <c r="CI304" s="69"/>
      <c r="CJ304" s="69"/>
      <c r="CK304" s="69"/>
      <c r="CL304" s="69"/>
      <c r="CM304" s="69"/>
      <c r="CN304" s="69"/>
      <c r="CO304" s="69"/>
      <c r="CP304" s="69"/>
      <c r="CQ304" s="69"/>
      <c r="CR304" s="69"/>
      <c r="CS304" s="70"/>
      <c r="CT304" s="16"/>
      <c r="CU304" s="16"/>
      <c r="CV304" s="16"/>
      <c r="CW304" s="16"/>
      <c r="CX304" s="16"/>
      <c r="CY304" s="16"/>
      <c r="CZ304" s="16"/>
      <c r="DA304" s="16"/>
      <c r="DB304" s="16"/>
      <c r="DC304" s="16"/>
      <c r="DD304" s="16"/>
      <c r="DE304" s="16"/>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6"/>
      <c r="AD305" s="15"/>
      <c r="AE305" s="15"/>
      <c r="AF305" s="16"/>
      <c r="AG305" s="15"/>
      <c r="AH305" s="15"/>
      <c r="AI305" s="16"/>
      <c r="AJ305" s="15"/>
      <c r="AK305" s="15"/>
      <c r="AL305" s="16"/>
      <c r="AM305" s="15"/>
      <c r="AN305" s="15"/>
      <c r="AO305" s="16"/>
      <c r="AP305" s="15"/>
      <c r="AQ305" s="15"/>
      <c r="AR305" s="16"/>
      <c r="AS305" s="15"/>
      <c r="AT305" s="15"/>
      <c r="AU305" s="16"/>
      <c r="AV305" s="15"/>
      <c r="AW305" s="15"/>
      <c r="AX305" s="16"/>
      <c r="AY305" s="15"/>
      <c r="AZ305" s="15"/>
      <c r="BA305" s="16"/>
      <c r="BB305" s="16"/>
      <c r="BC305" s="16"/>
      <c r="BD305" s="16"/>
      <c r="BE305" s="16"/>
      <c r="BF305" s="16"/>
      <c r="BG305" s="16"/>
      <c r="BH305" s="16"/>
      <c r="BI305" s="16"/>
      <c r="BJ305" s="69"/>
      <c r="BK305" s="69"/>
      <c r="BL305" s="69"/>
      <c r="BM305" s="69"/>
      <c r="BN305" s="69"/>
      <c r="BO305" s="69"/>
      <c r="BP305" s="69"/>
      <c r="BQ305" s="69"/>
      <c r="BR305" s="69"/>
      <c r="BS305" s="69"/>
      <c r="BT305" s="69"/>
      <c r="BU305" s="69"/>
      <c r="BV305" s="69"/>
      <c r="BW305" s="69"/>
      <c r="BX305" s="69"/>
      <c r="BY305" s="69"/>
      <c r="BZ305" s="69"/>
      <c r="CA305" s="69"/>
      <c r="CB305" s="69"/>
      <c r="CC305" s="69"/>
      <c r="CD305" s="69"/>
      <c r="CE305" s="69"/>
      <c r="CF305" s="69"/>
      <c r="CG305" s="69"/>
      <c r="CH305" s="69"/>
      <c r="CI305" s="69"/>
      <c r="CJ305" s="69"/>
      <c r="CK305" s="69"/>
      <c r="CL305" s="69"/>
      <c r="CM305" s="69"/>
      <c r="CN305" s="69"/>
      <c r="CO305" s="69"/>
      <c r="CP305" s="69"/>
      <c r="CQ305" s="69"/>
      <c r="CR305" s="69"/>
      <c r="CS305" s="70"/>
      <c r="CT305" s="16"/>
      <c r="CU305" s="16"/>
      <c r="CV305" s="16"/>
      <c r="CW305" s="16"/>
      <c r="CX305" s="16"/>
      <c r="CY305" s="16"/>
      <c r="CZ305" s="16"/>
      <c r="DA305" s="16"/>
      <c r="DB305" s="16"/>
      <c r="DC305" s="16"/>
      <c r="DD305" s="16"/>
      <c r="DE305" s="16"/>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6"/>
      <c r="AD306" s="15"/>
      <c r="AE306" s="15"/>
      <c r="AF306" s="16"/>
      <c r="AG306" s="15"/>
      <c r="AH306" s="15"/>
      <c r="AI306" s="16"/>
      <c r="AJ306" s="15"/>
      <c r="AK306" s="15"/>
      <c r="AL306" s="16"/>
      <c r="AM306" s="15"/>
      <c r="AN306" s="15"/>
      <c r="AO306" s="16"/>
      <c r="AP306" s="15"/>
      <c r="AQ306" s="15"/>
      <c r="AR306" s="16"/>
      <c r="AS306" s="15"/>
      <c r="AT306" s="15"/>
      <c r="AU306" s="16"/>
      <c r="AV306" s="15"/>
      <c r="AW306" s="15"/>
      <c r="AX306" s="16"/>
      <c r="AY306" s="15"/>
      <c r="AZ306" s="15"/>
      <c r="BA306" s="16"/>
      <c r="BB306" s="16"/>
      <c r="BC306" s="16"/>
      <c r="BD306" s="16"/>
      <c r="BE306" s="16"/>
      <c r="BF306" s="16"/>
      <c r="BG306" s="16"/>
      <c r="BH306" s="16"/>
      <c r="BI306" s="16"/>
      <c r="BJ306" s="69"/>
      <c r="BK306" s="69"/>
      <c r="BL306" s="69"/>
      <c r="BM306" s="69"/>
      <c r="BN306" s="69"/>
      <c r="BO306" s="69"/>
      <c r="BP306" s="69"/>
      <c r="BQ306" s="69"/>
      <c r="BR306" s="69"/>
      <c r="BS306" s="69"/>
      <c r="BT306" s="69"/>
      <c r="BU306" s="69"/>
      <c r="BV306" s="69"/>
      <c r="BW306" s="69"/>
      <c r="BX306" s="69"/>
      <c r="BY306" s="69"/>
      <c r="BZ306" s="69"/>
      <c r="CA306" s="69"/>
      <c r="CB306" s="69"/>
      <c r="CC306" s="69"/>
      <c r="CD306" s="69"/>
      <c r="CE306" s="69"/>
      <c r="CF306" s="69"/>
      <c r="CG306" s="69"/>
      <c r="CH306" s="69"/>
      <c r="CI306" s="69"/>
      <c r="CJ306" s="69"/>
      <c r="CK306" s="69"/>
      <c r="CL306" s="69"/>
      <c r="CM306" s="69"/>
      <c r="CN306" s="69"/>
      <c r="CO306" s="69"/>
      <c r="CP306" s="69"/>
      <c r="CQ306" s="69"/>
      <c r="CR306" s="69"/>
      <c r="CS306" s="70"/>
      <c r="CT306" s="16"/>
      <c r="CU306" s="16"/>
      <c r="CV306" s="16"/>
      <c r="CW306" s="16"/>
      <c r="CX306" s="16"/>
      <c r="CY306" s="16"/>
      <c r="CZ306" s="16"/>
      <c r="DA306" s="16"/>
      <c r="DB306" s="16"/>
      <c r="DC306" s="16"/>
      <c r="DD306" s="16"/>
      <c r="DE306" s="16"/>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6"/>
      <c r="AD307" s="15"/>
      <c r="AE307" s="15"/>
      <c r="AF307" s="16"/>
      <c r="AG307" s="15"/>
      <c r="AH307" s="15"/>
      <c r="AI307" s="16"/>
      <c r="AJ307" s="15"/>
      <c r="AK307" s="15"/>
      <c r="AL307" s="16"/>
      <c r="AM307" s="15"/>
      <c r="AN307" s="15"/>
      <c r="AO307" s="16"/>
      <c r="AP307" s="15"/>
      <c r="AQ307" s="15"/>
      <c r="AR307" s="16"/>
      <c r="AS307" s="15"/>
      <c r="AT307" s="15"/>
      <c r="AU307" s="16"/>
      <c r="AV307" s="15"/>
      <c r="AW307" s="15"/>
      <c r="AX307" s="16"/>
      <c r="AY307" s="15"/>
      <c r="AZ307" s="15"/>
      <c r="BA307" s="16"/>
      <c r="BB307" s="16"/>
      <c r="BC307" s="16"/>
      <c r="BD307" s="16"/>
      <c r="BE307" s="16"/>
      <c r="BF307" s="16"/>
      <c r="BG307" s="16"/>
      <c r="BH307" s="16"/>
      <c r="BI307" s="16"/>
      <c r="BJ307" s="69"/>
      <c r="BK307" s="69"/>
      <c r="BL307" s="69"/>
      <c r="BM307" s="69"/>
      <c r="BN307" s="69"/>
      <c r="BO307" s="69"/>
      <c r="BP307" s="69"/>
      <c r="BQ307" s="69"/>
      <c r="BR307" s="69"/>
      <c r="BS307" s="69"/>
      <c r="BT307" s="69"/>
      <c r="BU307" s="69"/>
      <c r="BV307" s="69"/>
      <c r="BW307" s="69"/>
      <c r="BX307" s="69"/>
      <c r="BY307" s="69"/>
      <c r="BZ307" s="69"/>
      <c r="CA307" s="69"/>
      <c r="CB307" s="69"/>
      <c r="CC307" s="69"/>
      <c r="CD307" s="69"/>
      <c r="CE307" s="69"/>
      <c r="CF307" s="69"/>
      <c r="CG307" s="69"/>
      <c r="CH307" s="69"/>
      <c r="CI307" s="69"/>
      <c r="CJ307" s="69"/>
      <c r="CK307" s="69"/>
      <c r="CL307" s="69"/>
      <c r="CM307" s="69"/>
      <c r="CN307" s="69"/>
      <c r="CO307" s="69"/>
      <c r="CP307" s="69"/>
      <c r="CQ307" s="69"/>
      <c r="CR307" s="69"/>
      <c r="CS307" s="70"/>
      <c r="CT307" s="16"/>
      <c r="CU307" s="16"/>
      <c r="CV307" s="16"/>
      <c r="CW307" s="16"/>
      <c r="CX307" s="16"/>
      <c r="CY307" s="16"/>
      <c r="CZ307" s="16"/>
      <c r="DA307" s="16"/>
      <c r="DB307" s="16"/>
      <c r="DC307" s="16"/>
      <c r="DD307" s="16"/>
      <c r="DE307" s="16"/>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6"/>
      <c r="AD308" s="15"/>
      <c r="AE308" s="15"/>
      <c r="AF308" s="16"/>
      <c r="AG308" s="15"/>
      <c r="AH308" s="15"/>
      <c r="AI308" s="16"/>
      <c r="AJ308" s="15"/>
      <c r="AK308" s="15"/>
      <c r="AL308" s="16"/>
      <c r="AM308" s="15"/>
      <c r="AN308" s="15"/>
      <c r="AO308" s="16"/>
      <c r="AP308" s="15"/>
      <c r="AQ308" s="15"/>
      <c r="AR308" s="16"/>
      <c r="AS308" s="15"/>
      <c r="AT308" s="15"/>
      <c r="AU308" s="16"/>
      <c r="AV308" s="15"/>
      <c r="AW308" s="15"/>
      <c r="AX308" s="16"/>
      <c r="AY308" s="15"/>
      <c r="AZ308" s="15"/>
      <c r="BA308" s="16"/>
      <c r="BB308" s="16"/>
      <c r="BC308" s="16"/>
      <c r="BD308" s="16"/>
      <c r="BE308" s="16"/>
      <c r="BF308" s="16"/>
      <c r="BG308" s="16"/>
      <c r="BH308" s="16"/>
      <c r="BI308" s="16"/>
      <c r="BJ308" s="69"/>
      <c r="BK308" s="69"/>
      <c r="BL308" s="69"/>
      <c r="BM308" s="69"/>
      <c r="BN308" s="69"/>
      <c r="BO308" s="69"/>
      <c r="BP308" s="69"/>
      <c r="BQ308" s="69"/>
      <c r="BR308" s="69"/>
      <c r="BS308" s="69"/>
      <c r="BT308" s="69"/>
      <c r="BU308" s="69"/>
      <c r="BV308" s="69"/>
      <c r="BW308" s="69"/>
      <c r="BX308" s="69"/>
      <c r="BY308" s="69"/>
      <c r="BZ308" s="69"/>
      <c r="CA308" s="69"/>
      <c r="CB308" s="69"/>
      <c r="CC308" s="69"/>
      <c r="CD308" s="69"/>
      <c r="CE308" s="69"/>
      <c r="CF308" s="69"/>
      <c r="CG308" s="69"/>
      <c r="CH308" s="69"/>
      <c r="CI308" s="69"/>
      <c r="CJ308" s="69"/>
      <c r="CK308" s="69"/>
      <c r="CL308" s="69"/>
      <c r="CM308" s="69"/>
      <c r="CN308" s="69"/>
      <c r="CO308" s="69"/>
      <c r="CP308" s="69"/>
      <c r="CQ308" s="69"/>
      <c r="CR308" s="69"/>
      <c r="CS308" s="70"/>
      <c r="CT308" s="16"/>
      <c r="CU308" s="16"/>
      <c r="CV308" s="16"/>
      <c r="CW308" s="16"/>
      <c r="CX308" s="16"/>
      <c r="CY308" s="16"/>
      <c r="CZ308" s="16"/>
      <c r="DA308" s="16"/>
      <c r="DB308" s="16"/>
      <c r="DC308" s="16"/>
      <c r="DD308" s="16"/>
      <c r="DE308" s="16"/>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6"/>
      <c r="AD309" s="15"/>
      <c r="AE309" s="15"/>
      <c r="AF309" s="16"/>
      <c r="AG309" s="15"/>
      <c r="AH309" s="15"/>
      <c r="AI309" s="16"/>
      <c r="AJ309" s="15"/>
      <c r="AK309" s="15"/>
      <c r="AL309" s="16"/>
      <c r="AM309" s="15"/>
      <c r="AN309" s="15"/>
      <c r="AO309" s="16"/>
      <c r="AP309" s="15"/>
      <c r="AQ309" s="15"/>
      <c r="AR309" s="16"/>
      <c r="AS309" s="15"/>
      <c r="AT309" s="15"/>
      <c r="AU309" s="16"/>
      <c r="AV309" s="15"/>
      <c r="AW309" s="15"/>
      <c r="AX309" s="16"/>
      <c r="AY309" s="15"/>
      <c r="AZ309" s="15"/>
      <c r="BA309" s="16"/>
      <c r="BB309" s="16"/>
      <c r="BC309" s="16"/>
      <c r="BD309" s="16"/>
      <c r="BE309" s="16"/>
      <c r="BF309" s="16"/>
      <c r="BG309" s="16"/>
      <c r="BH309" s="16"/>
      <c r="BI309" s="16"/>
      <c r="BJ309" s="69"/>
      <c r="BK309" s="69"/>
      <c r="BL309" s="69"/>
      <c r="BM309" s="69"/>
      <c r="BN309" s="69"/>
      <c r="BO309" s="69"/>
      <c r="BP309" s="69"/>
      <c r="BQ309" s="69"/>
      <c r="BR309" s="69"/>
      <c r="BS309" s="69"/>
      <c r="BT309" s="69"/>
      <c r="BU309" s="69"/>
      <c r="BV309" s="69"/>
      <c r="BW309" s="69"/>
      <c r="BX309" s="69"/>
      <c r="BY309" s="69"/>
      <c r="BZ309" s="69"/>
      <c r="CA309" s="69"/>
      <c r="CB309" s="69"/>
      <c r="CC309" s="69"/>
      <c r="CD309" s="69"/>
      <c r="CE309" s="69"/>
      <c r="CF309" s="69"/>
      <c r="CG309" s="69"/>
      <c r="CH309" s="69"/>
      <c r="CI309" s="69"/>
      <c r="CJ309" s="69"/>
      <c r="CK309" s="69"/>
      <c r="CL309" s="69"/>
      <c r="CM309" s="69"/>
      <c r="CN309" s="69"/>
      <c r="CO309" s="69"/>
      <c r="CP309" s="69"/>
      <c r="CQ309" s="69"/>
      <c r="CR309" s="69"/>
      <c r="CS309" s="70"/>
      <c r="CT309" s="16"/>
      <c r="CU309" s="16"/>
      <c r="CV309" s="16"/>
      <c r="CW309" s="16"/>
      <c r="CX309" s="16"/>
      <c r="CY309" s="16"/>
      <c r="CZ309" s="16"/>
      <c r="DA309" s="16"/>
      <c r="DB309" s="16"/>
      <c r="DC309" s="16"/>
      <c r="DD309" s="16"/>
      <c r="DE309" s="16"/>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6"/>
      <c r="AD310" s="15"/>
      <c r="AE310" s="15"/>
      <c r="AF310" s="16"/>
      <c r="AG310" s="15"/>
      <c r="AH310" s="15"/>
      <c r="AI310" s="16"/>
      <c r="AJ310" s="15"/>
      <c r="AK310" s="15"/>
      <c r="AL310" s="16"/>
      <c r="AM310" s="15"/>
      <c r="AN310" s="15"/>
      <c r="AO310" s="16"/>
      <c r="AP310" s="15"/>
      <c r="AQ310" s="15"/>
      <c r="AR310" s="16"/>
      <c r="AS310" s="15"/>
      <c r="AT310" s="15"/>
      <c r="AU310" s="16"/>
      <c r="AV310" s="15"/>
      <c r="AW310" s="15"/>
      <c r="AX310" s="16"/>
      <c r="AY310" s="15"/>
      <c r="AZ310" s="15"/>
      <c r="BA310" s="16"/>
      <c r="BB310" s="16"/>
      <c r="BC310" s="16"/>
      <c r="BD310" s="16"/>
      <c r="BE310" s="16"/>
      <c r="BF310" s="16"/>
      <c r="BG310" s="16"/>
      <c r="BH310" s="16"/>
      <c r="BI310" s="16"/>
      <c r="BJ310" s="69"/>
      <c r="BK310" s="69"/>
      <c r="BL310" s="69"/>
      <c r="BM310" s="69"/>
      <c r="BN310" s="69"/>
      <c r="BO310" s="69"/>
      <c r="BP310" s="69"/>
      <c r="BQ310" s="69"/>
      <c r="BR310" s="69"/>
      <c r="BS310" s="69"/>
      <c r="BT310" s="69"/>
      <c r="BU310" s="69"/>
      <c r="BV310" s="69"/>
      <c r="BW310" s="69"/>
      <c r="BX310" s="69"/>
      <c r="BY310" s="69"/>
      <c r="BZ310" s="69"/>
      <c r="CA310" s="69"/>
      <c r="CB310" s="69"/>
      <c r="CC310" s="69"/>
      <c r="CD310" s="69"/>
      <c r="CE310" s="69"/>
      <c r="CF310" s="69"/>
      <c r="CG310" s="69"/>
      <c r="CH310" s="69"/>
      <c r="CI310" s="69"/>
      <c r="CJ310" s="69"/>
      <c r="CK310" s="69"/>
      <c r="CL310" s="69"/>
      <c r="CM310" s="69"/>
      <c r="CN310" s="69"/>
      <c r="CO310" s="69"/>
      <c r="CP310" s="69"/>
      <c r="CQ310" s="69"/>
      <c r="CR310" s="69"/>
      <c r="CS310" s="70"/>
      <c r="CT310" s="16"/>
      <c r="CU310" s="16"/>
      <c r="CV310" s="16"/>
      <c r="CW310" s="16"/>
      <c r="CX310" s="16"/>
      <c r="CY310" s="16"/>
      <c r="CZ310" s="16"/>
      <c r="DA310" s="16"/>
      <c r="DB310" s="16"/>
      <c r="DC310" s="16"/>
      <c r="DD310" s="16"/>
      <c r="DE310" s="16"/>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6"/>
      <c r="AD311" s="15"/>
      <c r="AE311" s="15"/>
      <c r="AF311" s="16"/>
      <c r="AG311" s="15"/>
      <c r="AH311" s="15"/>
      <c r="AI311" s="16"/>
      <c r="AJ311" s="15"/>
      <c r="AK311" s="15"/>
      <c r="AL311" s="16"/>
      <c r="AM311" s="15"/>
      <c r="AN311" s="15"/>
      <c r="AO311" s="16"/>
      <c r="AP311" s="15"/>
      <c r="AQ311" s="15"/>
      <c r="AR311" s="16"/>
      <c r="AS311" s="15"/>
      <c r="AT311" s="15"/>
      <c r="AU311" s="16"/>
      <c r="AV311" s="15"/>
      <c r="AW311" s="15"/>
      <c r="AX311" s="16"/>
      <c r="AY311" s="15"/>
      <c r="AZ311" s="15"/>
      <c r="BA311" s="16"/>
      <c r="BB311" s="16"/>
      <c r="BC311" s="16"/>
      <c r="BD311" s="16"/>
      <c r="BE311" s="16"/>
      <c r="BF311" s="16"/>
      <c r="BG311" s="16"/>
      <c r="BH311" s="16"/>
      <c r="BI311" s="16"/>
      <c r="BJ311" s="71"/>
      <c r="BK311" s="16"/>
      <c r="BL311" s="16"/>
      <c r="BM311" s="16"/>
      <c r="BN311" s="16"/>
      <c r="BO311" s="16"/>
      <c r="BP311" s="16"/>
      <c r="BQ311" s="16"/>
      <c r="BR311" s="16"/>
      <c r="BS311" s="16"/>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72"/>
      <c r="CT311" s="16"/>
      <c r="CU311" s="16"/>
      <c r="CV311" s="16"/>
      <c r="CW311" s="16"/>
      <c r="CX311" s="16"/>
      <c r="CY311" s="16"/>
      <c r="CZ311" s="16"/>
      <c r="DA311" s="16"/>
      <c r="DB311" s="16"/>
      <c r="DC311" s="16"/>
      <c r="DD311" s="16"/>
      <c r="DE311" s="16"/>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6"/>
      <c r="AD312" s="15"/>
      <c r="AE312" s="15"/>
      <c r="AF312" s="16"/>
      <c r="AG312" s="15"/>
      <c r="AH312" s="15"/>
      <c r="AI312" s="16"/>
      <c r="AJ312" s="15"/>
      <c r="AK312" s="15"/>
      <c r="AL312" s="16"/>
      <c r="AM312" s="15"/>
      <c r="AN312" s="15"/>
      <c r="AO312" s="16"/>
      <c r="AP312" s="15"/>
      <c r="AQ312" s="15"/>
      <c r="AR312" s="16"/>
      <c r="AS312" s="15"/>
      <c r="AT312" s="15"/>
      <c r="AU312" s="16"/>
      <c r="AV312" s="15"/>
      <c r="AW312" s="15"/>
      <c r="AX312" s="16"/>
      <c r="AY312" s="15"/>
      <c r="AZ312" s="15"/>
      <c r="BA312" s="16"/>
      <c r="BB312" s="16"/>
      <c r="BC312" s="16"/>
      <c r="BD312" s="16"/>
      <c r="BE312" s="16"/>
      <c r="BF312" s="16"/>
      <c r="BG312" s="16"/>
      <c r="BH312" s="16"/>
      <c r="BI312" s="16"/>
      <c r="BJ312" s="71"/>
      <c r="BK312" s="16"/>
      <c r="BL312" s="16"/>
      <c r="BM312" s="16"/>
      <c r="BN312" s="16"/>
      <c r="BO312" s="16"/>
      <c r="BP312" s="16"/>
      <c r="BQ312" s="16"/>
      <c r="BR312" s="16"/>
      <c r="BS312" s="16"/>
      <c r="BT312" s="16"/>
      <c r="BU312" s="16"/>
      <c r="BV312" s="16"/>
      <c r="BW312" s="16"/>
      <c r="BX312" s="16"/>
      <c r="BY312" s="16"/>
      <c r="BZ312" s="16"/>
      <c r="CA312" s="16"/>
      <c r="CB312" s="16"/>
      <c r="CC312" s="16"/>
      <c r="CD312" s="16"/>
      <c r="CE312" s="16"/>
      <c r="CF312" s="16"/>
      <c r="CG312" s="16"/>
      <c r="CH312" s="16"/>
      <c r="CI312" s="16"/>
      <c r="CJ312" s="16"/>
      <c r="CK312" s="16"/>
      <c r="CL312" s="16"/>
      <c r="CM312" s="16"/>
      <c r="CN312" s="16"/>
      <c r="CO312" s="16"/>
      <c r="CP312" s="16"/>
      <c r="CQ312" s="16"/>
      <c r="CR312" s="16"/>
      <c r="CS312" s="72"/>
      <c r="CT312" s="16"/>
      <c r="CU312" s="16"/>
      <c r="CV312" s="16"/>
      <c r="CW312" s="16"/>
      <c r="CX312" s="16"/>
      <c r="CY312" s="16"/>
      <c r="CZ312" s="16"/>
      <c r="DA312" s="16"/>
      <c r="DB312" s="16"/>
      <c r="DC312" s="16"/>
      <c r="DD312" s="16"/>
      <c r="DE312" s="16"/>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6"/>
      <c r="AD313" s="15"/>
      <c r="AE313" s="15"/>
      <c r="AF313" s="16"/>
      <c r="AG313" s="15"/>
      <c r="AH313" s="15"/>
      <c r="AI313" s="16"/>
      <c r="AJ313" s="15"/>
      <c r="AK313" s="15"/>
      <c r="AL313" s="16"/>
      <c r="AM313" s="15"/>
      <c r="AN313" s="15"/>
      <c r="AO313" s="16"/>
      <c r="AP313" s="15"/>
      <c r="AQ313" s="15"/>
      <c r="AR313" s="16"/>
      <c r="AS313" s="15"/>
      <c r="AT313" s="15"/>
      <c r="AU313" s="16"/>
      <c r="AV313" s="15"/>
      <c r="AW313" s="15"/>
      <c r="AX313" s="16"/>
      <c r="AY313" s="15"/>
      <c r="AZ313" s="15"/>
      <c r="BA313" s="16"/>
      <c r="BB313" s="16"/>
      <c r="BC313" s="16"/>
      <c r="BD313" s="16"/>
      <c r="BE313" s="16"/>
      <c r="BF313" s="16"/>
      <c r="BG313" s="16"/>
      <c r="BH313" s="16"/>
      <c r="BI313" s="16"/>
      <c r="BJ313" s="71"/>
      <c r="BK313" s="16"/>
      <c r="BL313" s="16"/>
      <c r="BM313" s="16"/>
      <c r="BN313" s="16"/>
      <c r="BO313" s="16"/>
      <c r="BP313" s="16"/>
      <c r="BQ313" s="16"/>
      <c r="BR313" s="16"/>
      <c r="BS313" s="16"/>
      <c r="BT313" s="16"/>
      <c r="BU313" s="16"/>
      <c r="BV313" s="16"/>
      <c r="BW313" s="16"/>
      <c r="BX313" s="16"/>
      <c r="BY313" s="16"/>
      <c r="BZ313" s="16"/>
      <c r="CA313" s="16"/>
      <c r="CB313" s="16"/>
      <c r="CC313" s="16"/>
      <c r="CD313" s="16"/>
      <c r="CE313" s="16"/>
      <c r="CF313" s="16"/>
      <c r="CG313" s="16"/>
      <c r="CH313" s="16"/>
      <c r="CI313" s="16"/>
      <c r="CJ313" s="16"/>
      <c r="CK313" s="16"/>
      <c r="CL313" s="16"/>
      <c r="CM313" s="16"/>
      <c r="CN313" s="16"/>
      <c r="CO313" s="16"/>
      <c r="CP313" s="16"/>
      <c r="CQ313" s="16"/>
      <c r="CR313" s="16"/>
      <c r="CS313" s="72"/>
      <c r="CT313" s="16"/>
      <c r="CU313" s="16"/>
      <c r="CV313" s="16"/>
      <c r="CW313" s="16"/>
      <c r="CX313" s="16"/>
      <c r="CY313" s="16"/>
      <c r="CZ313" s="16"/>
      <c r="DA313" s="16"/>
      <c r="DB313" s="16"/>
      <c r="DC313" s="16"/>
      <c r="DD313" s="16"/>
      <c r="DE313" s="16"/>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6"/>
      <c r="AD314" s="15"/>
      <c r="AE314" s="15"/>
      <c r="AF314" s="16"/>
      <c r="AG314" s="15"/>
      <c r="AH314" s="15"/>
      <c r="AI314" s="16"/>
      <c r="AJ314" s="15"/>
      <c r="AK314" s="15"/>
      <c r="AL314" s="16"/>
      <c r="AM314" s="15"/>
      <c r="AN314" s="15"/>
      <c r="AO314" s="16"/>
      <c r="AP314" s="15"/>
      <c r="AQ314" s="15"/>
      <c r="AR314" s="16"/>
      <c r="AS314" s="15"/>
      <c r="AT314" s="15"/>
      <c r="AU314" s="16"/>
      <c r="AV314" s="15"/>
      <c r="AW314" s="15"/>
      <c r="AX314" s="16"/>
      <c r="AY314" s="15"/>
      <c r="AZ314" s="15"/>
      <c r="BA314" s="16"/>
      <c r="BB314" s="16"/>
      <c r="BC314" s="16"/>
      <c r="BD314" s="16"/>
      <c r="BE314" s="16"/>
      <c r="BF314" s="16"/>
      <c r="BG314" s="16"/>
      <c r="BH314" s="16"/>
      <c r="BI314" s="16"/>
      <c r="BJ314" s="71"/>
      <c r="BK314" s="16"/>
      <c r="BL314" s="16"/>
      <c r="BM314" s="16"/>
      <c r="BN314" s="16"/>
      <c r="BO314" s="16"/>
      <c r="BP314" s="16"/>
      <c r="BQ314" s="16"/>
      <c r="BR314" s="16"/>
      <c r="BS314" s="16"/>
      <c r="BT314" s="16"/>
      <c r="BU314" s="16"/>
      <c r="BV314" s="16"/>
      <c r="BW314" s="16"/>
      <c r="BX314" s="16"/>
      <c r="BY314" s="16"/>
      <c r="BZ314" s="16"/>
      <c r="CA314" s="16"/>
      <c r="CB314" s="16"/>
      <c r="CC314" s="16"/>
      <c r="CD314" s="16"/>
      <c r="CE314" s="16"/>
      <c r="CF314" s="16"/>
      <c r="CG314" s="16"/>
      <c r="CH314" s="16"/>
      <c r="CI314" s="16"/>
      <c r="CJ314" s="16"/>
      <c r="CK314" s="16"/>
      <c r="CL314" s="16"/>
      <c r="CM314" s="16"/>
      <c r="CN314" s="16"/>
      <c r="CO314" s="16"/>
      <c r="CP314" s="16"/>
      <c r="CQ314" s="16"/>
      <c r="CR314" s="16"/>
      <c r="CS314" s="72"/>
      <c r="CT314" s="16"/>
      <c r="CU314" s="16"/>
      <c r="CV314" s="16"/>
      <c r="CW314" s="16"/>
      <c r="CX314" s="16"/>
      <c r="CY314" s="16"/>
      <c r="CZ314" s="16"/>
      <c r="DA314" s="16"/>
      <c r="DB314" s="16"/>
      <c r="DC314" s="16"/>
      <c r="DD314" s="16"/>
      <c r="DE314" s="16"/>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6"/>
      <c r="AD315" s="15"/>
      <c r="AE315" s="15"/>
      <c r="AF315" s="16"/>
      <c r="AG315" s="15"/>
      <c r="AH315" s="15"/>
      <c r="AI315" s="16"/>
      <c r="AJ315" s="15"/>
      <c r="AK315" s="15"/>
      <c r="AL315" s="16"/>
      <c r="AM315" s="15"/>
      <c r="AN315" s="15"/>
      <c r="AO315" s="16"/>
      <c r="AP315" s="15"/>
      <c r="AQ315" s="15"/>
      <c r="AR315" s="16"/>
      <c r="AS315" s="15"/>
      <c r="AT315" s="15"/>
      <c r="AU315" s="16"/>
      <c r="AV315" s="15"/>
      <c r="AW315" s="15"/>
      <c r="AX315" s="16"/>
      <c r="AY315" s="15"/>
      <c r="AZ315" s="15"/>
      <c r="BA315" s="16"/>
      <c r="BB315" s="16"/>
      <c r="BC315" s="16"/>
      <c r="BD315" s="16"/>
      <c r="BE315" s="16"/>
      <c r="BF315" s="16"/>
      <c r="BG315" s="16"/>
      <c r="BH315" s="16"/>
      <c r="BI315" s="16"/>
      <c r="BJ315" s="71"/>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72"/>
      <c r="CT315" s="16"/>
      <c r="CU315" s="16"/>
      <c r="CV315" s="16"/>
      <c r="CW315" s="16"/>
      <c r="CX315" s="16"/>
      <c r="CY315" s="16"/>
      <c r="CZ315" s="16"/>
      <c r="DA315" s="16"/>
      <c r="DB315" s="16"/>
      <c r="DC315" s="16"/>
      <c r="DD315" s="16"/>
      <c r="DE315" s="16"/>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6"/>
      <c r="AD316" s="15"/>
      <c r="AE316" s="15"/>
      <c r="AF316" s="16"/>
      <c r="AG316" s="15"/>
      <c r="AH316" s="15"/>
      <c r="AI316" s="16"/>
      <c r="AJ316" s="15"/>
      <c r="AK316" s="15"/>
      <c r="AL316" s="16"/>
      <c r="AM316" s="15"/>
      <c r="AN316" s="15"/>
      <c r="AO316" s="16"/>
      <c r="AP316" s="15"/>
      <c r="AQ316" s="15"/>
      <c r="AR316" s="16"/>
      <c r="AS316" s="15"/>
      <c r="AT316" s="15"/>
      <c r="AU316" s="16"/>
      <c r="AV316" s="15"/>
      <c r="AW316" s="15"/>
      <c r="AX316" s="16"/>
      <c r="AY316" s="15"/>
      <c r="AZ316" s="15"/>
      <c r="BA316" s="16"/>
      <c r="BB316" s="16"/>
      <c r="BC316" s="16"/>
      <c r="BD316" s="16"/>
      <c r="BE316" s="16"/>
      <c r="BF316" s="16"/>
      <c r="BG316" s="16"/>
      <c r="BH316" s="16"/>
      <c r="BI316" s="16"/>
      <c r="BJ316" s="71"/>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72"/>
      <c r="CT316" s="16"/>
      <c r="CU316" s="16"/>
      <c r="CV316" s="16"/>
      <c r="CW316" s="16"/>
      <c r="CX316" s="16"/>
      <c r="CY316" s="16"/>
      <c r="CZ316" s="16"/>
      <c r="DA316" s="16"/>
      <c r="DB316" s="16"/>
      <c r="DC316" s="16"/>
      <c r="DD316" s="16"/>
      <c r="DE316" s="16"/>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6"/>
      <c r="AD317" s="15"/>
      <c r="AE317" s="15"/>
      <c r="AF317" s="16"/>
      <c r="AG317" s="15"/>
      <c r="AH317" s="15"/>
      <c r="AI317" s="16"/>
      <c r="AJ317" s="15"/>
      <c r="AK317" s="15"/>
      <c r="AL317" s="16"/>
      <c r="AM317" s="15"/>
      <c r="AN317" s="15"/>
      <c r="AO317" s="16"/>
      <c r="AP317" s="15"/>
      <c r="AQ317" s="15"/>
      <c r="AR317" s="16"/>
      <c r="AS317" s="15"/>
      <c r="AT317" s="15"/>
      <c r="AU317" s="16"/>
      <c r="AV317" s="15"/>
      <c r="AW317" s="15"/>
      <c r="AX317" s="16"/>
      <c r="AY317" s="15"/>
      <c r="AZ317" s="15"/>
      <c r="BA317" s="16"/>
      <c r="BB317" s="16"/>
      <c r="BC317" s="16"/>
      <c r="BD317" s="16"/>
      <c r="BE317" s="16"/>
      <c r="BF317" s="16"/>
      <c r="BG317" s="16"/>
      <c r="BH317" s="16"/>
      <c r="BI317" s="16"/>
      <c r="BJ317" s="71"/>
      <c r="BK317" s="16"/>
      <c r="BL317" s="16"/>
      <c r="BM317" s="16"/>
      <c r="BN317" s="16"/>
      <c r="BO317" s="16"/>
      <c r="BP317" s="16"/>
      <c r="BQ317" s="16"/>
      <c r="BR317" s="16"/>
      <c r="BS317" s="16"/>
      <c r="BT317" s="16"/>
      <c r="BU317" s="16"/>
      <c r="BV317" s="16"/>
      <c r="BW317" s="16"/>
      <c r="BX317" s="16"/>
      <c r="BY317" s="16"/>
      <c r="BZ317" s="16"/>
      <c r="CA317" s="16"/>
      <c r="CB317" s="16"/>
      <c r="CC317" s="16"/>
      <c r="CD317" s="16"/>
      <c r="CE317" s="16"/>
      <c r="CF317" s="16"/>
      <c r="CG317" s="16"/>
      <c r="CH317" s="16"/>
      <c r="CI317" s="16"/>
      <c r="CJ317" s="16"/>
      <c r="CK317" s="16"/>
      <c r="CL317" s="16"/>
      <c r="CM317" s="16"/>
      <c r="CN317" s="16"/>
      <c r="CO317" s="16"/>
      <c r="CP317" s="16"/>
      <c r="CQ317" s="16"/>
      <c r="CR317" s="16"/>
      <c r="CS317" s="72"/>
      <c r="CT317" s="16"/>
      <c r="CU317" s="16"/>
      <c r="CV317" s="16"/>
      <c r="CW317" s="16"/>
      <c r="CX317" s="16"/>
      <c r="CY317" s="16"/>
      <c r="CZ317" s="16"/>
      <c r="DA317" s="16"/>
      <c r="DB317" s="16"/>
      <c r="DC317" s="16"/>
      <c r="DD317" s="16"/>
      <c r="DE317" s="16"/>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6"/>
      <c r="AD318" s="15"/>
      <c r="AE318" s="15"/>
      <c r="AF318" s="16"/>
      <c r="AG318" s="15"/>
      <c r="AH318" s="15"/>
      <c r="AI318" s="16"/>
      <c r="AJ318" s="15"/>
      <c r="AK318" s="15"/>
      <c r="AL318" s="16"/>
      <c r="AM318" s="15"/>
      <c r="AN318" s="15"/>
      <c r="AO318" s="16"/>
      <c r="AP318" s="15"/>
      <c r="AQ318" s="15"/>
      <c r="AR318" s="16"/>
      <c r="AS318" s="15"/>
      <c r="AT318" s="15"/>
      <c r="AU318" s="16"/>
      <c r="AV318" s="15"/>
      <c r="AW318" s="15"/>
      <c r="AX318" s="16"/>
      <c r="AY318" s="15"/>
      <c r="AZ318" s="15"/>
      <c r="BA318" s="16"/>
      <c r="BB318" s="16"/>
      <c r="BC318" s="16"/>
      <c r="BD318" s="16"/>
      <c r="BE318" s="16"/>
      <c r="BF318" s="16"/>
      <c r="BG318" s="16"/>
      <c r="BH318" s="16"/>
      <c r="BI318" s="16"/>
      <c r="BJ318" s="71"/>
      <c r="BK318" s="16"/>
      <c r="BL318" s="16"/>
      <c r="BM318" s="16"/>
      <c r="BN318" s="16"/>
      <c r="BO318" s="16"/>
      <c r="BP318" s="16"/>
      <c r="BQ318" s="16"/>
      <c r="BR318" s="16"/>
      <c r="BS318" s="16"/>
      <c r="BT318" s="16"/>
      <c r="BU318" s="16"/>
      <c r="BV318" s="16"/>
      <c r="BW318" s="16"/>
      <c r="BX318" s="16"/>
      <c r="BY318" s="16"/>
      <c r="BZ318" s="16"/>
      <c r="CA318" s="16"/>
      <c r="CB318" s="16"/>
      <c r="CC318" s="16"/>
      <c r="CD318" s="16"/>
      <c r="CE318" s="16"/>
      <c r="CF318" s="16"/>
      <c r="CG318" s="16"/>
      <c r="CH318" s="16"/>
      <c r="CI318" s="16"/>
      <c r="CJ318" s="16"/>
      <c r="CK318" s="16"/>
      <c r="CL318" s="16"/>
      <c r="CM318" s="16"/>
      <c r="CN318" s="16"/>
      <c r="CO318" s="16"/>
      <c r="CP318" s="16"/>
      <c r="CQ318" s="16"/>
      <c r="CR318" s="16"/>
      <c r="CS318" s="72"/>
      <c r="CT318" s="16"/>
      <c r="CU318" s="16"/>
      <c r="CV318" s="16"/>
      <c r="CW318" s="16"/>
      <c r="CX318" s="16"/>
      <c r="CY318" s="16"/>
      <c r="CZ318" s="16"/>
      <c r="DA318" s="16"/>
      <c r="DB318" s="16"/>
      <c r="DC318" s="16"/>
      <c r="DD318" s="16"/>
      <c r="DE318" s="16"/>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6"/>
      <c r="AD319" s="15"/>
      <c r="AE319" s="15"/>
      <c r="AF319" s="16"/>
      <c r="AG319" s="15"/>
      <c r="AH319" s="15"/>
      <c r="AI319" s="16"/>
      <c r="AJ319" s="15"/>
      <c r="AK319" s="15"/>
      <c r="AL319" s="16"/>
      <c r="AM319" s="15"/>
      <c r="AN319" s="15"/>
      <c r="AO319" s="16"/>
      <c r="AP319" s="15"/>
      <c r="AQ319" s="15"/>
      <c r="AR319" s="16"/>
      <c r="AS319" s="15"/>
      <c r="AT319" s="15"/>
      <c r="AU319" s="16"/>
      <c r="AV319" s="15"/>
      <c r="AW319" s="15"/>
      <c r="AX319" s="16"/>
      <c r="AY319" s="15"/>
      <c r="AZ319" s="15"/>
      <c r="BA319" s="16"/>
      <c r="BB319" s="16"/>
      <c r="BC319" s="16"/>
      <c r="BD319" s="16"/>
      <c r="BE319" s="16"/>
      <c r="BF319" s="16"/>
      <c r="BG319" s="16"/>
      <c r="BH319" s="16"/>
      <c r="BI319" s="16"/>
      <c r="BJ319" s="71"/>
      <c r="BK319" s="16"/>
      <c r="BL319" s="16"/>
      <c r="BM319" s="16"/>
      <c r="BN319" s="16"/>
      <c r="BO319" s="16"/>
      <c r="BP319" s="16"/>
      <c r="BQ319" s="16"/>
      <c r="BR319" s="16"/>
      <c r="BS319" s="16"/>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72"/>
      <c r="CT319" s="16"/>
      <c r="CU319" s="16"/>
      <c r="CV319" s="16"/>
      <c r="CW319" s="16"/>
      <c r="CX319" s="16"/>
      <c r="CY319" s="16"/>
      <c r="CZ319" s="16"/>
      <c r="DA319" s="16"/>
      <c r="DB319" s="16"/>
      <c r="DC319" s="16"/>
      <c r="DD319" s="16"/>
      <c r="DE319" s="16"/>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6"/>
      <c r="AD320" s="15"/>
      <c r="AE320" s="15"/>
      <c r="AF320" s="16"/>
      <c r="AG320" s="15"/>
      <c r="AH320" s="15"/>
      <c r="AI320" s="16"/>
      <c r="AJ320" s="15"/>
      <c r="AK320" s="15"/>
      <c r="AL320" s="16"/>
      <c r="AM320" s="15"/>
      <c r="AN320" s="15"/>
      <c r="AO320" s="16"/>
      <c r="AP320" s="15"/>
      <c r="AQ320" s="15"/>
      <c r="AR320" s="16"/>
      <c r="AS320" s="15"/>
      <c r="AT320" s="15"/>
      <c r="AU320" s="16"/>
      <c r="AV320" s="15"/>
      <c r="AW320" s="15"/>
      <c r="AX320" s="16"/>
      <c r="AY320" s="15"/>
      <c r="AZ320" s="15"/>
      <c r="BA320" s="16"/>
      <c r="BB320" s="16"/>
      <c r="BC320" s="16"/>
      <c r="BD320" s="16"/>
      <c r="BE320" s="16"/>
      <c r="BF320" s="16"/>
      <c r="BG320" s="16"/>
      <c r="BH320" s="16"/>
      <c r="BI320" s="16"/>
      <c r="BJ320" s="71"/>
      <c r="BK320" s="16"/>
      <c r="BL320" s="16"/>
      <c r="BM320" s="16"/>
      <c r="BN320" s="16"/>
      <c r="BO320" s="16"/>
      <c r="BP320" s="16"/>
      <c r="BQ320" s="16"/>
      <c r="BR320" s="16"/>
      <c r="BS320" s="16"/>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72"/>
      <c r="CT320" s="16"/>
      <c r="CU320" s="16"/>
      <c r="CV320" s="16"/>
      <c r="CW320" s="16"/>
      <c r="CX320" s="16"/>
      <c r="CY320" s="16"/>
      <c r="CZ320" s="16"/>
      <c r="DA320" s="16"/>
      <c r="DB320" s="16"/>
      <c r="DC320" s="16"/>
      <c r="DD320" s="16"/>
      <c r="DE320" s="16"/>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6"/>
      <c r="AD321" s="15"/>
      <c r="AE321" s="15"/>
      <c r="AF321" s="16"/>
      <c r="AG321" s="15"/>
      <c r="AH321" s="15"/>
      <c r="AI321" s="16"/>
      <c r="AJ321" s="15"/>
      <c r="AK321" s="15"/>
      <c r="AL321" s="16"/>
      <c r="AM321" s="15"/>
      <c r="AN321" s="15"/>
      <c r="AO321" s="16"/>
      <c r="AP321" s="15"/>
      <c r="AQ321" s="15"/>
      <c r="AR321" s="16"/>
      <c r="AS321" s="15"/>
      <c r="AT321" s="15"/>
      <c r="AU321" s="16"/>
      <c r="AV321" s="15"/>
      <c r="AW321" s="15"/>
      <c r="AX321" s="16"/>
      <c r="AY321" s="15"/>
      <c r="AZ321" s="15"/>
      <c r="BA321" s="16"/>
      <c r="BB321" s="16"/>
      <c r="BC321" s="16"/>
      <c r="BD321" s="16"/>
      <c r="BE321" s="16"/>
      <c r="BF321" s="16"/>
      <c r="BG321" s="16"/>
      <c r="BH321" s="16"/>
      <c r="BI321" s="16"/>
      <c r="BJ321" s="71"/>
      <c r="BK321" s="16"/>
      <c r="BL321" s="16"/>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72"/>
      <c r="CT321" s="16"/>
      <c r="CU321" s="16"/>
      <c r="CV321" s="16"/>
      <c r="CW321" s="16"/>
      <c r="CX321" s="16"/>
      <c r="CY321" s="16"/>
      <c r="CZ321" s="16"/>
      <c r="DA321" s="16"/>
      <c r="DB321" s="16"/>
      <c r="DC321" s="16"/>
      <c r="DD321" s="16"/>
      <c r="DE321" s="16"/>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6"/>
      <c r="AD322" s="15"/>
      <c r="AE322" s="15"/>
      <c r="AF322" s="16"/>
      <c r="AG322" s="15"/>
      <c r="AH322" s="15"/>
      <c r="AI322" s="16"/>
      <c r="AJ322" s="15"/>
      <c r="AK322" s="15"/>
      <c r="AL322" s="16"/>
      <c r="AM322" s="15"/>
      <c r="AN322" s="15"/>
      <c r="AO322" s="16"/>
      <c r="AP322" s="15"/>
      <c r="AQ322" s="15"/>
      <c r="AR322" s="16"/>
      <c r="AS322" s="15"/>
      <c r="AT322" s="15"/>
      <c r="AU322" s="16"/>
      <c r="AV322" s="15"/>
      <c r="AW322" s="15"/>
      <c r="AX322" s="16"/>
      <c r="AY322" s="15"/>
      <c r="AZ322" s="15"/>
      <c r="BA322" s="16"/>
      <c r="BB322" s="16"/>
      <c r="BC322" s="16"/>
      <c r="BD322" s="16"/>
      <c r="BE322" s="16"/>
      <c r="BF322" s="16"/>
      <c r="BG322" s="16"/>
      <c r="BH322" s="16"/>
      <c r="BI322" s="16"/>
      <c r="BJ322" s="71"/>
      <c r="BK322" s="16"/>
      <c r="BL322" s="16"/>
      <c r="BM322" s="16"/>
      <c r="BN322" s="16"/>
      <c r="BO322" s="16"/>
      <c r="BP322" s="16"/>
      <c r="BQ322" s="16"/>
      <c r="BR322" s="16"/>
      <c r="BS322" s="16"/>
      <c r="BT322" s="16"/>
      <c r="BU322" s="16"/>
      <c r="BV322" s="16"/>
      <c r="BW322" s="16"/>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72"/>
      <c r="CT322" s="16"/>
      <c r="CU322" s="16"/>
      <c r="CV322" s="16"/>
      <c r="CW322" s="16"/>
      <c r="CX322" s="16"/>
      <c r="CY322" s="16"/>
      <c r="CZ322" s="16"/>
      <c r="DA322" s="16"/>
      <c r="DB322" s="16"/>
      <c r="DC322" s="16"/>
      <c r="DD322" s="16"/>
      <c r="DE322" s="16"/>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6"/>
      <c r="AD323" s="15"/>
      <c r="AE323" s="15"/>
      <c r="AF323" s="16"/>
      <c r="AG323" s="15"/>
      <c r="AH323" s="15"/>
      <c r="AI323" s="16"/>
      <c r="AJ323" s="15"/>
      <c r="AK323" s="15"/>
      <c r="AL323" s="16"/>
      <c r="AM323" s="15"/>
      <c r="AN323" s="15"/>
      <c r="AO323" s="16"/>
      <c r="AP323" s="15"/>
      <c r="AQ323" s="15"/>
      <c r="AR323" s="16"/>
      <c r="AS323" s="15"/>
      <c r="AT323" s="15"/>
      <c r="AU323" s="16"/>
      <c r="AV323" s="15"/>
      <c r="AW323" s="15"/>
      <c r="AX323" s="16"/>
      <c r="AY323" s="15"/>
      <c r="AZ323" s="15"/>
      <c r="BA323" s="16"/>
      <c r="BB323" s="16"/>
      <c r="BC323" s="16"/>
      <c r="BD323" s="16"/>
      <c r="BE323" s="16"/>
      <c r="BF323" s="16"/>
      <c r="BG323" s="16"/>
      <c r="BH323" s="16"/>
      <c r="BI323" s="16"/>
      <c r="BJ323" s="71"/>
      <c r="BK323" s="16"/>
      <c r="BL323" s="16"/>
      <c r="BM323" s="16"/>
      <c r="BN323" s="16"/>
      <c r="BO323" s="16"/>
      <c r="BP323" s="16"/>
      <c r="BQ323" s="16"/>
      <c r="BR323" s="16"/>
      <c r="BS323" s="16"/>
      <c r="BT323" s="16"/>
      <c r="BU323" s="16"/>
      <c r="BV323" s="16"/>
      <c r="BW323" s="16"/>
      <c r="BX323" s="16"/>
      <c r="BY323" s="16"/>
      <c r="BZ323" s="16"/>
      <c r="CA323" s="16"/>
      <c r="CB323" s="16"/>
      <c r="CC323" s="16"/>
      <c r="CD323" s="16"/>
      <c r="CE323" s="16"/>
      <c r="CF323" s="16"/>
      <c r="CG323" s="16"/>
      <c r="CH323" s="16"/>
      <c r="CI323" s="16"/>
      <c r="CJ323" s="16"/>
      <c r="CK323" s="16"/>
      <c r="CL323" s="16"/>
      <c r="CM323" s="16"/>
      <c r="CN323" s="16"/>
      <c r="CO323" s="16"/>
      <c r="CP323" s="16"/>
      <c r="CQ323" s="16"/>
      <c r="CR323" s="16"/>
      <c r="CS323" s="72"/>
      <c r="CT323" s="16"/>
      <c r="CU323" s="16"/>
      <c r="CV323" s="16"/>
      <c r="CW323" s="16"/>
      <c r="CX323" s="16"/>
      <c r="CY323" s="16"/>
      <c r="CZ323" s="16"/>
      <c r="DA323" s="16"/>
      <c r="DB323" s="16"/>
      <c r="DC323" s="16"/>
      <c r="DD323" s="16"/>
      <c r="DE323" s="16"/>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6"/>
      <c r="AD324" s="15"/>
      <c r="AE324" s="15"/>
      <c r="AF324" s="16"/>
      <c r="AG324" s="15"/>
      <c r="AH324" s="15"/>
      <c r="AI324" s="16"/>
      <c r="AJ324" s="15"/>
      <c r="AK324" s="15"/>
      <c r="AL324" s="16"/>
      <c r="AM324" s="15"/>
      <c r="AN324" s="15"/>
      <c r="AO324" s="16"/>
      <c r="AP324" s="15"/>
      <c r="AQ324" s="15"/>
      <c r="AR324" s="16"/>
      <c r="AS324" s="15"/>
      <c r="AT324" s="15"/>
      <c r="AU324" s="16"/>
      <c r="AV324" s="15"/>
      <c r="AW324" s="15"/>
      <c r="AX324" s="16"/>
      <c r="AY324" s="15"/>
      <c r="AZ324" s="15"/>
      <c r="BA324" s="16"/>
      <c r="BB324" s="16"/>
      <c r="BC324" s="16"/>
      <c r="BD324" s="16"/>
      <c r="BE324" s="16"/>
      <c r="BF324" s="16"/>
      <c r="BG324" s="16"/>
      <c r="BH324" s="16"/>
      <c r="BI324" s="16"/>
      <c r="BJ324" s="71"/>
      <c r="BK324" s="16"/>
      <c r="BL324" s="16"/>
      <c r="BM324" s="16"/>
      <c r="BN324" s="16"/>
      <c r="BO324" s="16"/>
      <c r="BP324" s="16"/>
      <c r="BQ324" s="16"/>
      <c r="BR324" s="16"/>
      <c r="BS324" s="16"/>
      <c r="BT324" s="16"/>
      <c r="BU324" s="16"/>
      <c r="BV324" s="16"/>
      <c r="BW324" s="16"/>
      <c r="BX324" s="16"/>
      <c r="BY324" s="16"/>
      <c r="BZ324" s="16"/>
      <c r="CA324" s="16"/>
      <c r="CB324" s="16"/>
      <c r="CC324" s="16"/>
      <c r="CD324" s="16"/>
      <c r="CE324" s="16"/>
      <c r="CF324" s="16"/>
      <c r="CG324" s="16"/>
      <c r="CH324" s="16"/>
      <c r="CI324" s="16"/>
      <c r="CJ324" s="16"/>
      <c r="CK324" s="16"/>
      <c r="CL324" s="16"/>
      <c r="CM324" s="16"/>
      <c r="CN324" s="16"/>
      <c r="CO324" s="16"/>
      <c r="CP324" s="16"/>
      <c r="CQ324" s="16"/>
      <c r="CR324" s="16"/>
      <c r="CS324" s="72"/>
      <c r="CT324" s="16"/>
      <c r="CU324" s="16"/>
      <c r="CV324" s="16"/>
      <c r="CW324" s="16"/>
      <c r="CX324" s="16"/>
      <c r="CY324" s="16"/>
      <c r="CZ324" s="16"/>
      <c r="DA324" s="16"/>
      <c r="DB324" s="16"/>
      <c r="DC324" s="16"/>
      <c r="DD324" s="16"/>
      <c r="DE324" s="16"/>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6"/>
      <c r="AD325" s="15"/>
      <c r="AE325" s="15"/>
      <c r="AF325" s="16"/>
      <c r="AG325" s="15"/>
      <c r="AH325" s="15"/>
      <c r="AI325" s="16"/>
      <c r="AJ325" s="15"/>
      <c r="AK325" s="15"/>
      <c r="AL325" s="16"/>
      <c r="AM325" s="15"/>
      <c r="AN325" s="15"/>
      <c r="AO325" s="16"/>
      <c r="AP325" s="15"/>
      <c r="AQ325" s="15"/>
      <c r="AR325" s="16"/>
      <c r="AS325" s="15"/>
      <c r="AT325" s="15"/>
      <c r="AU325" s="16"/>
      <c r="AV325" s="15"/>
      <c r="AW325" s="15"/>
      <c r="AX325" s="16"/>
      <c r="AY325" s="15"/>
      <c r="AZ325" s="15"/>
      <c r="BA325" s="16"/>
      <c r="BB325" s="16"/>
      <c r="BC325" s="16"/>
      <c r="BD325" s="16"/>
      <c r="BE325" s="16"/>
      <c r="BF325" s="16"/>
      <c r="BG325" s="16"/>
      <c r="BH325" s="16"/>
      <c r="BI325" s="16"/>
      <c r="BJ325" s="71"/>
      <c r="BK325" s="16"/>
      <c r="BL325" s="16"/>
      <c r="BM325" s="16"/>
      <c r="BN325" s="16"/>
      <c r="BO325" s="16"/>
      <c r="BP325" s="16"/>
      <c r="BQ325" s="16"/>
      <c r="BR325" s="16"/>
      <c r="BS325" s="16"/>
      <c r="BT325" s="16"/>
      <c r="BU325" s="16"/>
      <c r="BV325" s="16"/>
      <c r="BW325" s="16"/>
      <c r="BX325" s="16"/>
      <c r="BY325" s="16"/>
      <c r="BZ325" s="16"/>
      <c r="CA325" s="16"/>
      <c r="CB325" s="16"/>
      <c r="CC325" s="16"/>
      <c r="CD325" s="16"/>
      <c r="CE325" s="16"/>
      <c r="CF325" s="16"/>
      <c r="CG325" s="16"/>
      <c r="CH325" s="16"/>
      <c r="CI325" s="16"/>
      <c r="CJ325" s="16"/>
      <c r="CK325" s="16"/>
      <c r="CL325" s="16"/>
      <c r="CM325" s="16"/>
      <c r="CN325" s="16"/>
      <c r="CO325" s="16"/>
      <c r="CP325" s="16"/>
      <c r="CQ325" s="16"/>
      <c r="CR325" s="16"/>
      <c r="CS325" s="72"/>
      <c r="CT325" s="16"/>
      <c r="CU325" s="16"/>
      <c r="CV325" s="16"/>
      <c r="CW325" s="16"/>
      <c r="CX325" s="16"/>
      <c r="CY325" s="16"/>
      <c r="CZ325" s="16"/>
      <c r="DA325" s="16"/>
      <c r="DB325" s="16"/>
      <c r="DC325" s="16"/>
      <c r="DD325" s="16"/>
      <c r="DE325" s="16"/>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6"/>
      <c r="AD326" s="15"/>
      <c r="AE326" s="15"/>
      <c r="AF326" s="16"/>
      <c r="AG326" s="15"/>
      <c r="AH326" s="15"/>
      <c r="AI326" s="16"/>
      <c r="AJ326" s="15"/>
      <c r="AK326" s="15"/>
      <c r="AL326" s="16"/>
      <c r="AM326" s="15"/>
      <c r="AN326" s="15"/>
      <c r="AO326" s="16"/>
      <c r="AP326" s="15"/>
      <c r="AQ326" s="15"/>
      <c r="AR326" s="16"/>
      <c r="AS326" s="15"/>
      <c r="AT326" s="15"/>
      <c r="AU326" s="16"/>
      <c r="AV326" s="15"/>
      <c r="AW326" s="15"/>
      <c r="AX326" s="16"/>
      <c r="AY326" s="15"/>
      <c r="AZ326" s="15"/>
      <c r="BA326" s="16"/>
      <c r="BB326" s="16"/>
      <c r="BC326" s="16"/>
      <c r="BD326" s="16"/>
      <c r="BE326" s="16"/>
      <c r="BF326" s="16"/>
      <c r="BG326" s="16"/>
      <c r="BH326" s="16"/>
      <c r="BI326" s="16"/>
      <c r="BJ326" s="71"/>
      <c r="BK326" s="16"/>
      <c r="BL326" s="16"/>
      <c r="BM326" s="16"/>
      <c r="BN326" s="16"/>
      <c r="BO326" s="16"/>
      <c r="BP326" s="16"/>
      <c r="BQ326" s="16"/>
      <c r="BR326" s="16"/>
      <c r="BS326" s="16"/>
      <c r="BT326" s="16"/>
      <c r="BU326" s="16"/>
      <c r="BV326" s="16"/>
      <c r="BW326" s="16"/>
      <c r="BX326" s="16"/>
      <c r="BY326" s="16"/>
      <c r="BZ326" s="16"/>
      <c r="CA326" s="16"/>
      <c r="CB326" s="16"/>
      <c r="CC326" s="16"/>
      <c r="CD326" s="16"/>
      <c r="CE326" s="16"/>
      <c r="CF326" s="16"/>
      <c r="CG326" s="16"/>
      <c r="CH326" s="16"/>
      <c r="CI326" s="16"/>
      <c r="CJ326" s="16"/>
      <c r="CK326" s="16"/>
      <c r="CL326" s="16"/>
      <c r="CM326" s="16"/>
      <c r="CN326" s="16"/>
      <c r="CO326" s="16"/>
      <c r="CP326" s="16"/>
      <c r="CQ326" s="16"/>
      <c r="CR326" s="16"/>
      <c r="CS326" s="72"/>
      <c r="CT326" s="16"/>
      <c r="CU326" s="16"/>
      <c r="CV326" s="16"/>
      <c r="CW326" s="16"/>
      <c r="CX326" s="16"/>
      <c r="CY326" s="16"/>
      <c r="CZ326" s="16"/>
      <c r="DA326" s="16"/>
      <c r="DB326" s="16"/>
      <c r="DC326" s="16"/>
      <c r="DD326" s="16"/>
      <c r="DE326" s="16"/>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61"/>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73"/>
      <c r="CT327" s="15"/>
      <c r="CU327" s="15"/>
      <c r="CV327" s="15"/>
      <c r="CW327" s="15"/>
      <c r="CX327" s="15"/>
      <c r="CY327" s="15"/>
      <c r="CZ327" s="15"/>
      <c r="DA327" s="15"/>
      <c r="DB327" s="15"/>
      <c r="DC327" s="15"/>
      <c r="DD327" s="15"/>
      <c r="DE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61"/>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73"/>
      <c r="CT328" s="15"/>
      <c r="CU328" s="15"/>
      <c r="CV328" s="15"/>
      <c r="CW328" s="15"/>
      <c r="CX328" s="15"/>
      <c r="CY328" s="15"/>
      <c r="CZ328" s="15"/>
      <c r="DA328" s="15"/>
      <c r="DB328" s="15"/>
      <c r="DC328" s="15"/>
      <c r="DD328" s="15"/>
      <c r="DE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61"/>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73"/>
      <c r="CT329" s="15"/>
      <c r="CU329" s="15"/>
      <c r="CV329" s="15"/>
      <c r="CW329" s="15"/>
      <c r="CX329" s="15"/>
      <c r="CY329" s="15"/>
      <c r="CZ329" s="15"/>
      <c r="DA329" s="15"/>
      <c r="DB329" s="15"/>
      <c r="DC329" s="15"/>
      <c r="DD329" s="15"/>
      <c r="DE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61"/>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73"/>
      <c r="CT330" s="15"/>
      <c r="CU330" s="15"/>
      <c r="CV330" s="15"/>
      <c r="CW330" s="15"/>
      <c r="CX330" s="15"/>
      <c r="CY330" s="15"/>
      <c r="CZ330" s="15"/>
      <c r="DA330" s="15"/>
      <c r="DB330" s="15"/>
      <c r="DC330" s="15"/>
      <c r="DD330" s="15"/>
      <c r="DE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61"/>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73"/>
      <c r="CT331" s="15"/>
      <c r="CU331" s="15"/>
      <c r="CV331" s="15"/>
      <c r="CW331" s="15"/>
      <c r="CX331" s="15"/>
      <c r="CY331" s="15"/>
      <c r="CZ331" s="15"/>
      <c r="DA331" s="15"/>
      <c r="DB331" s="15"/>
      <c r="DC331" s="15"/>
      <c r="DD331" s="15"/>
      <c r="DE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61"/>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73"/>
      <c r="CT332" s="15"/>
      <c r="CU332" s="15"/>
      <c r="CV332" s="15"/>
      <c r="CW332" s="15"/>
      <c r="CX332" s="15"/>
      <c r="CY332" s="15"/>
      <c r="CZ332" s="15"/>
      <c r="DA332" s="15"/>
      <c r="DB332" s="15"/>
      <c r="DC332" s="15"/>
      <c r="DD332" s="15"/>
      <c r="DE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61"/>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73"/>
      <c r="CT333" s="15"/>
      <c r="CU333" s="15"/>
      <c r="CV333" s="15"/>
      <c r="CW333" s="15"/>
      <c r="CX333" s="15"/>
      <c r="CY333" s="15"/>
      <c r="CZ333" s="15"/>
      <c r="DA333" s="15"/>
      <c r="DB333" s="15"/>
      <c r="DC333" s="15"/>
      <c r="DD333" s="15"/>
      <c r="DE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61"/>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73"/>
      <c r="CT334" s="15"/>
      <c r="CU334" s="15"/>
      <c r="CV334" s="15"/>
      <c r="CW334" s="15"/>
      <c r="CX334" s="15"/>
      <c r="CY334" s="15"/>
      <c r="CZ334" s="15"/>
      <c r="DA334" s="15"/>
      <c r="DB334" s="15"/>
      <c r="DC334" s="15"/>
      <c r="DD334" s="15"/>
      <c r="DE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61"/>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73"/>
      <c r="CT335" s="15"/>
      <c r="CU335" s="15"/>
      <c r="CV335" s="15"/>
      <c r="CW335" s="15"/>
      <c r="CX335" s="15"/>
      <c r="CY335" s="15"/>
      <c r="CZ335" s="15"/>
      <c r="DA335" s="15"/>
      <c r="DB335" s="15"/>
      <c r="DC335" s="15"/>
      <c r="DD335" s="15"/>
      <c r="DE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61"/>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73"/>
      <c r="CT336" s="15"/>
      <c r="CU336" s="15"/>
      <c r="CV336" s="15"/>
      <c r="CW336" s="15"/>
      <c r="CX336" s="15"/>
      <c r="CY336" s="15"/>
      <c r="CZ336" s="15"/>
      <c r="DA336" s="15"/>
      <c r="DB336" s="15"/>
      <c r="DC336" s="15"/>
      <c r="DD336" s="15"/>
      <c r="DE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61"/>
      <c r="BK337" s="15"/>
      <c r="BL337" s="15"/>
      <c r="BM337" s="15"/>
      <c r="BN337" s="15"/>
      <c r="BO337" s="15"/>
      <c r="BP337" s="15"/>
      <c r="BQ337" s="15"/>
      <c r="BR337" s="15"/>
      <c r="BS337" s="15"/>
      <c r="BT337" s="15"/>
      <c r="BU337" s="15"/>
      <c r="BV337" s="15"/>
      <c r="BW337" s="15"/>
      <c r="BX337" s="15"/>
      <c r="BY337" s="15"/>
      <c r="BZ337" s="15"/>
      <c r="CA337" s="15"/>
      <c r="CB337" s="15"/>
      <c r="CC337" s="15"/>
      <c r="CD337" s="15"/>
      <c r="CE337" s="15"/>
      <c r="CF337" s="15"/>
      <c r="CG337" s="15"/>
      <c r="CH337" s="15"/>
      <c r="CI337" s="15"/>
      <c r="CJ337" s="15"/>
      <c r="CK337" s="15"/>
      <c r="CL337" s="15"/>
      <c r="CM337" s="15"/>
      <c r="CN337" s="15"/>
      <c r="CO337" s="15"/>
      <c r="CP337" s="15"/>
      <c r="CQ337" s="15"/>
      <c r="CR337" s="15"/>
      <c r="CS337" s="73"/>
      <c r="CT337" s="15"/>
      <c r="CU337" s="15"/>
      <c r="CV337" s="15"/>
      <c r="CW337" s="15"/>
      <c r="CX337" s="15"/>
      <c r="CY337" s="15"/>
      <c r="CZ337" s="15"/>
      <c r="DA337" s="15"/>
      <c r="DB337" s="15"/>
      <c r="DC337" s="15"/>
      <c r="DD337" s="15"/>
      <c r="DE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61"/>
      <c r="BK338" s="15"/>
      <c r="BL338" s="15"/>
      <c r="BM338" s="15"/>
      <c r="BN338" s="15"/>
      <c r="BO338" s="15"/>
      <c r="BP338" s="15"/>
      <c r="BQ338" s="15"/>
      <c r="BR338" s="15"/>
      <c r="BS338" s="15"/>
      <c r="BT338" s="15"/>
      <c r="BU338" s="15"/>
      <c r="BV338" s="15"/>
      <c r="BW338" s="15"/>
      <c r="BX338" s="15"/>
      <c r="BY338" s="15"/>
      <c r="BZ338" s="15"/>
      <c r="CA338" s="15"/>
      <c r="CB338" s="15"/>
      <c r="CC338" s="15"/>
      <c r="CD338" s="15"/>
      <c r="CE338" s="15"/>
      <c r="CF338" s="15"/>
      <c r="CG338" s="15"/>
      <c r="CH338" s="15"/>
      <c r="CI338" s="15"/>
      <c r="CJ338" s="15"/>
      <c r="CK338" s="15"/>
      <c r="CL338" s="15"/>
      <c r="CM338" s="15"/>
      <c r="CN338" s="15"/>
      <c r="CO338" s="15"/>
      <c r="CP338" s="15"/>
      <c r="CQ338" s="15"/>
      <c r="CR338" s="15"/>
      <c r="CS338" s="73"/>
      <c r="CT338" s="15"/>
      <c r="CU338" s="15"/>
      <c r="CV338" s="15"/>
      <c r="CW338" s="15"/>
      <c r="CX338" s="15"/>
      <c r="CY338" s="15"/>
      <c r="CZ338" s="15"/>
      <c r="DA338" s="15"/>
      <c r="DB338" s="15"/>
      <c r="DC338" s="15"/>
      <c r="DD338" s="15"/>
      <c r="DE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61"/>
      <c r="BK339" s="15"/>
      <c r="BL339" s="15"/>
      <c r="BM339" s="15"/>
      <c r="BN339" s="15"/>
      <c r="BO339" s="15"/>
      <c r="BP339" s="15"/>
      <c r="BQ339" s="15"/>
      <c r="BR339" s="15"/>
      <c r="BS339" s="15"/>
      <c r="BT339" s="15"/>
      <c r="BU339" s="15"/>
      <c r="BV339" s="15"/>
      <c r="BW339" s="15"/>
      <c r="BX339" s="15"/>
      <c r="BY339" s="15"/>
      <c r="BZ339" s="15"/>
      <c r="CA339" s="15"/>
      <c r="CB339" s="15"/>
      <c r="CC339" s="15"/>
      <c r="CD339" s="15"/>
      <c r="CE339" s="15"/>
      <c r="CF339" s="15"/>
      <c r="CG339" s="15"/>
      <c r="CH339" s="15"/>
      <c r="CI339" s="15"/>
      <c r="CJ339" s="15"/>
      <c r="CK339" s="15"/>
      <c r="CL339" s="15"/>
      <c r="CM339" s="15"/>
      <c r="CN339" s="15"/>
      <c r="CO339" s="15"/>
      <c r="CP339" s="15"/>
      <c r="CQ339" s="15"/>
      <c r="CR339" s="15"/>
      <c r="CS339" s="73"/>
      <c r="CT339" s="15"/>
      <c r="CU339" s="15"/>
      <c r="CV339" s="15"/>
      <c r="CW339" s="15"/>
      <c r="CX339" s="15"/>
      <c r="CY339" s="15"/>
      <c r="CZ339" s="15"/>
      <c r="DA339" s="15"/>
      <c r="DB339" s="15"/>
      <c r="DC339" s="15"/>
      <c r="DD339" s="15"/>
      <c r="DE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61"/>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73"/>
      <c r="CT340" s="15"/>
      <c r="CU340" s="15"/>
      <c r="CV340" s="15"/>
      <c r="CW340" s="15"/>
      <c r="CX340" s="15"/>
      <c r="CY340" s="15"/>
      <c r="CZ340" s="15"/>
      <c r="DA340" s="15"/>
      <c r="DB340" s="15"/>
      <c r="DC340" s="15"/>
      <c r="DD340" s="15"/>
      <c r="DE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61"/>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73"/>
      <c r="CT341" s="15"/>
      <c r="CU341" s="15"/>
      <c r="CV341" s="15"/>
      <c r="CW341" s="15"/>
      <c r="CX341" s="15"/>
      <c r="CY341" s="15"/>
      <c r="CZ341" s="15"/>
      <c r="DA341" s="15"/>
      <c r="DB341" s="15"/>
      <c r="DC341" s="15"/>
      <c r="DD341" s="15"/>
      <c r="DE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61"/>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73"/>
      <c r="CT342" s="15"/>
      <c r="CU342" s="15"/>
      <c r="CV342" s="15"/>
      <c r="CW342" s="15"/>
      <c r="CX342" s="15"/>
      <c r="CY342" s="15"/>
      <c r="CZ342" s="15"/>
      <c r="DA342" s="15"/>
      <c r="DB342" s="15"/>
      <c r="DC342" s="15"/>
      <c r="DD342" s="15"/>
      <c r="DE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61"/>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73"/>
      <c r="CT343" s="15"/>
      <c r="CU343" s="15"/>
      <c r="CV343" s="15"/>
      <c r="CW343" s="15"/>
      <c r="CX343" s="15"/>
      <c r="CY343" s="15"/>
      <c r="CZ343" s="15"/>
      <c r="DA343" s="15"/>
      <c r="DB343" s="15"/>
      <c r="DC343" s="15"/>
      <c r="DD343" s="15"/>
      <c r="DE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61"/>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73"/>
      <c r="CT344" s="15"/>
      <c r="CU344" s="15"/>
      <c r="CV344" s="15"/>
      <c r="CW344" s="15"/>
      <c r="CX344" s="15"/>
      <c r="CY344" s="15"/>
      <c r="CZ344" s="15"/>
      <c r="DA344" s="15"/>
      <c r="DB344" s="15"/>
      <c r="DC344" s="15"/>
      <c r="DD344" s="15"/>
      <c r="DE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61"/>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73"/>
      <c r="CT345" s="15"/>
      <c r="CU345" s="15"/>
      <c r="CV345" s="15"/>
      <c r="CW345" s="15"/>
      <c r="CX345" s="15"/>
      <c r="CY345" s="15"/>
      <c r="CZ345" s="15"/>
      <c r="DA345" s="15"/>
      <c r="DB345" s="15"/>
      <c r="DC345" s="15"/>
      <c r="DD345" s="15"/>
      <c r="DE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61"/>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73"/>
      <c r="CT346" s="15"/>
      <c r="CU346" s="15"/>
      <c r="CV346" s="15"/>
      <c r="CW346" s="15"/>
      <c r="CX346" s="15"/>
      <c r="CY346" s="15"/>
      <c r="CZ346" s="15"/>
      <c r="DA346" s="15"/>
      <c r="DB346" s="15"/>
      <c r="DC346" s="15"/>
      <c r="DD346" s="15"/>
      <c r="DE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61"/>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73"/>
      <c r="CT347" s="15"/>
      <c r="CU347" s="15"/>
      <c r="CV347" s="15"/>
      <c r="CW347" s="15"/>
      <c r="CX347" s="15"/>
      <c r="CY347" s="15"/>
      <c r="CZ347" s="15"/>
      <c r="DA347" s="15"/>
      <c r="DB347" s="15"/>
      <c r="DC347" s="15"/>
      <c r="DD347" s="15"/>
      <c r="DE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61"/>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73"/>
      <c r="CT348" s="15"/>
      <c r="CU348" s="15"/>
      <c r="CV348" s="15"/>
      <c r="CW348" s="15"/>
      <c r="CX348" s="15"/>
      <c r="CY348" s="15"/>
      <c r="CZ348" s="15"/>
      <c r="DA348" s="15"/>
      <c r="DB348" s="15"/>
      <c r="DC348" s="15"/>
      <c r="DD348" s="15"/>
      <c r="DE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61"/>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73"/>
      <c r="CT349" s="15"/>
      <c r="CU349" s="15"/>
      <c r="CV349" s="15"/>
      <c r="CW349" s="15"/>
      <c r="CX349" s="15"/>
      <c r="CY349" s="15"/>
      <c r="CZ349" s="15"/>
      <c r="DA349" s="15"/>
      <c r="DB349" s="15"/>
      <c r="DC349" s="15"/>
      <c r="DD349" s="15"/>
      <c r="DE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61"/>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73"/>
      <c r="CT350" s="15"/>
      <c r="CU350" s="15"/>
      <c r="CV350" s="15"/>
      <c r="CW350" s="15"/>
      <c r="CX350" s="15"/>
      <c r="CY350" s="15"/>
      <c r="CZ350" s="15"/>
      <c r="DA350" s="15"/>
      <c r="DB350" s="15"/>
      <c r="DC350" s="15"/>
      <c r="DD350" s="15"/>
      <c r="DE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61"/>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73"/>
      <c r="CT351" s="15"/>
      <c r="CU351" s="15"/>
      <c r="CV351" s="15"/>
      <c r="CW351" s="15"/>
      <c r="CX351" s="15"/>
      <c r="CY351" s="15"/>
      <c r="CZ351" s="15"/>
      <c r="DA351" s="15"/>
      <c r="DB351" s="15"/>
      <c r="DC351" s="15"/>
      <c r="DD351" s="15"/>
      <c r="DE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61"/>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73"/>
      <c r="CT352" s="15"/>
      <c r="CU352" s="15"/>
      <c r="CV352" s="15"/>
      <c r="CW352" s="15"/>
      <c r="CX352" s="15"/>
      <c r="CY352" s="15"/>
      <c r="CZ352" s="15"/>
      <c r="DA352" s="15"/>
      <c r="DB352" s="15"/>
      <c r="DC352" s="15"/>
      <c r="DD352" s="15"/>
      <c r="DE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61"/>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73"/>
      <c r="CT353" s="15"/>
      <c r="CU353" s="15"/>
      <c r="CV353" s="15"/>
      <c r="CW353" s="15"/>
      <c r="CX353" s="15"/>
      <c r="CY353" s="15"/>
      <c r="CZ353" s="15"/>
      <c r="DA353" s="15"/>
      <c r="DB353" s="15"/>
      <c r="DC353" s="15"/>
      <c r="DD353" s="15"/>
      <c r="DE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61"/>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73"/>
      <c r="CT354" s="15"/>
      <c r="CU354" s="15"/>
      <c r="CV354" s="15"/>
      <c r="CW354" s="15"/>
      <c r="CX354" s="15"/>
      <c r="CY354" s="15"/>
      <c r="CZ354" s="15"/>
      <c r="DA354" s="15"/>
      <c r="DB354" s="15"/>
      <c r="DC354" s="15"/>
      <c r="DD354" s="15"/>
      <c r="DE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61"/>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73"/>
      <c r="CT355" s="15"/>
      <c r="CU355" s="15"/>
      <c r="CV355" s="15"/>
      <c r="CW355" s="15"/>
      <c r="CX355" s="15"/>
      <c r="CY355" s="15"/>
      <c r="CZ355" s="15"/>
      <c r="DA355" s="15"/>
      <c r="DB355" s="15"/>
      <c r="DC355" s="15"/>
      <c r="DD355" s="15"/>
      <c r="DE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61"/>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73"/>
      <c r="CT356" s="15"/>
      <c r="CU356" s="15"/>
      <c r="CV356" s="15"/>
      <c r="CW356" s="15"/>
      <c r="CX356" s="15"/>
      <c r="CY356" s="15"/>
      <c r="CZ356" s="15"/>
      <c r="DA356" s="15"/>
      <c r="DB356" s="15"/>
      <c r="DC356" s="15"/>
      <c r="DD356" s="15"/>
      <c r="DE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61"/>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73"/>
      <c r="CT357" s="15"/>
      <c r="CU357" s="15"/>
      <c r="CV357" s="15"/>
      <c r="CW357" s="15"/>
      <c r="CX357" s="15"/>
      <c r="CY357" s="15"/>
      <c r="CZ357" s="15"/>
      <c r="DA357" s="15"/>
      <c r="DB357" s="15"/>
      <c r="DC357" s="15"/>
      <c r="DD357" s="15"/>
      <c r="DE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61"/>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73"/>
      <c r="CT358" s="15"/>
      <c r="CU358" s="15"/>
      <c r="CV358" s="15"/>
      <c r="CW358" s="15"/>
      <c r="CX358" s="15"/>
      <c r="CY358" s="15"/>
      <c r="CZ358" s="15"/>
      <c r="DA358" s="15"/>
      <c r="DB358" s="15"/>
      <c r="DC358" s="15"/>
      <c r="DD358" s="15"/>
      <c r="DE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61"/>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73"/>
      <c r="CT359" s="15"/>
      <c r="CU359" s="15"/>
      <c r="CV359" s="15"/>
      <c r="CW359" s="15"/>
      <c r="CX359" s="15"/>
      <c r="CY359" s="15"/>
      <c r="CZ359" s="15"/>
      <c r="DA359" s="15"/>
      <c r="DB359" s="15"/>
      <c r="DC359" s="15"/>
      <c r="DD359" s="15"/>
      <c r="DE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61"/>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73"/>
      <c r="CT360" s="15"/>
      <c r="CU360" s="15"/>
      <c r="CV360" s="15"/>
      <c r="CW360" s="15"/>
      <c r="CX360" s="15"/>
      <c r="CY360" s="15"/>
      <c r="CZ360" s="15"/>
      <c r="DA360" s="15"/>
      <c r="DB360" s="15"/>
      <c r="DC360" s="15"/>
      <c r="DD360" s="15"/>
      <c r="DE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61"/>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73"/>
      <c r="CT361" s="15"/>
      <c r="CU361" s="15"/>
      <c r="CV361" s="15"/>
      <c r="CW361" s="15"/>
      <c r="CX361" s="15"/>
      <c r="CY361" s="15"/>
      <c r="CZ361" s="15"/>
      <c r="DA361" s="15"/>
      <c r="DB361" s="15"/>
      <c r="DC361" s="15"/>
      <c r="DD361" s="15"/>
      <c r="DE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61"/>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73"/>
      <c r="CT362" s="15"/>
      <c r="CU362" s="15"/>
      <c r="CV362" s="15"/>
      <c r="CW362" s="15"/>
      <c r="CX362" s="15"/>
      <c r="CY362" s="15"/>
      <c r="CZ362" s="15"/>
      <c r="DA362" s="15"/>
      <c r="DB362" s="15"/>
      <c r="DC362" s="15"/>
      <c r="DD362" s="15"/>
      <c r="DE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61"/>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73"/>
      <c r="CT363" s="15"/>
      <c r="CU363" s="15"/>
      <c r="CV363" s="15"/>
      <c r="CW363" s="15"/>
      <c r="CX363" s="15"/>
      <c r="CY363" s="15"/>
      <c r="CZ363" s="15"/>
      <c r="DA363" s="15"/>
      <c r="DB363" s="15"/>
      <c r="DC363" s="15"/>
      <c r="DD363" s="15"/>
      <c r="DE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61"/>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73"/>
      <c r="CT364" s="15"/>
      <c r="CU364" s="15"/>
      <c r="CV364" s="15"/>
      <c r="CW364" s="15"/>
      <c r="CX364" s="15"/>
      <c r="CY364" s="15"/>
      <c r="CZ364" s="15"/>
      <c r="DA364" s="15"/>
      <c r="DB364" s="15"/>
      <c r="DC364" s="15"/>
      <c r="DD364" s="15"/>
      <c r="DE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61"/>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73"/>
      <c r="CT365" s="15"/>
      <c r="CU365" s="15"/>
      <c r="CV365" s="15"/>
      <c r="CW365" s="15"/>
      <c r="CX365" s="15"/>
      <c r="CY365" s="15"/>
      <c r="CZ365" s="15"/>
      <c r="DA365" s="15"/>
      <c r="DB365" s="15"/>
      <c r="DC365" s="15"/>
      <c r="DD365" s="15"/>
      <c r="DE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61"/>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73"/>
      <c r="CT366" s="15"/>
      <c r="CU366" s="15"/>
      <c r="CV366" s="15"/>
      <c r="CW366" s="15"/>
      <c r="CX366" s="15"/>
      <c r="CY366" s="15"/>
      <c r="CZ366" s="15"/>
      <c r="DA366" s="15"/>
      <c r="DB366" s="15"/>
      <c r="DC366" s="15"/>
      <c r="DD366" s="15"/>
      <c r="DE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61"/>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73"/>
      <c r="CT367" s="15"/>
      <c r="CU367" s="15"/>
      <c r="CV367" s="15"/>
      <c r="CW367" s="15"/>
      <c r="CX367" s="15"/>
      <c r="CY367" s="15"/>
      <c r="CZ367" s="15"/>
      <c r="DA367" s="15"/>
      <c r="DB367" s="15"/>
      <c r="DC367" s="15"/>
      <c r="DD367" s="15"/>
      <c r="DE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61"/>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73"/>
      <c r="CT368" s="15"/>
      <c r="CU368" s="15"/>
      <c r="CV368" s="15"/>
      <c r="CW368" s="15"/>
      <c r="CX368" s="15"/>
      <c r="CY368" s="15"/>
      <c r="CZ368" s="15"/>
      <c r="DA368" s="15"/>
      <c r="DB368" s="15"/>
      <c r="DC368" s="15"/>
      <c r="DD368" s="15"/>
      <c r="DE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61"/>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73"/>
      <c r="CT369" s="15"/>
      <c r="CU369" s="15"/>
      <c r="CV369" s="15"/>
      <c r="CW369" s="15"/>
      <c r="CX369" s="15"/>
      <c r="CY369" s="15"/>
      <c r="CZ369" s="15"/>
      <c r="DA369" s="15"/>
      <c r="DB369" s="15"/>
      <c r="DC369" s="15"/>
      <c r="DD369" s="15"/>
      <c r="DE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61"/>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73"/>
      <c r="CT370" s="15"/>
      <c r="CU370" s="15"/>
      <c r="CV370" s="15"/>
      <c r="CW370" s="15"/>
      <c r="CX370" s="15"/>
      <c r="CY370" s="15"/>
      <c r="CZ370" s="15"/>
      <c r="DA370" s="15"/>
      <c r="DB370" s="15"/>
      <c r="DC370" s="15"/>
      <c r="DD370" s="15"/>
      <c r="DE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61"/>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73"/>
      <c r="CT371" s="15"/>
      <c r="CU371" s="15"/>
      <c r="CV371" s="15"/>
      <c r="CW371" s="15"/>
      <c r="CX371" s="15"/>
      <c r="CY371" s="15"/>
      <c r="CZ371" s="15"/>
      <c r="DA371" s="15"/>
      <c r="DB371" s="15"/>
      <c r="DC371" s="15"/>
      <c r="DD371" s="15"/>
      <c r="DE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61"/>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73"/>
      <c r="CT372" s="15"/>
      <c r="CU372" s="15"/>
      <c r="CV372" s="15"/>
      <c r="CW372" s="15"/>
      <c r="CX372" s="15"/>
      <c r="CY372" s="15"/>
      <c r="CZ372" s="15"/>
      <c r="DA372" s="15"/>
      <c r="DB372" s="15"/>
      <c r="DC372" s="15"/>
      <c r="DD372" s="15"/>
      <c r="DE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61"/>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73"/>
      <c r="CT373" s="15"/>
      <c r="CU373" s="15"/>
      <c r="CV373" s="15"/>
      <c r="CW373" s="15"/>
      <c r="CX373" s="15"/>
      <c r="CY373" s="15"/>
      <c r="CZ373" s="15"/>
      <c r="DA373" s="15"/>
      <c r="DB373" s="15"/>
      <c r="DC373" s="15"/>
      <c r="DD373" s="15"/>
      <c r="DE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61"/>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73"/>
      <c r="CT374" s="15"/>
      <c r="CU374" s="15"/>
      <c r="CV374" s="15"/>
      <c r="CW374" s="15"/>
      <c r="CX374" s="15"/>
      <c r="CY374" s="15"/>
      <c r="CZ374" s="15"/>
      <c r="DA374" s="15"/>
      <c r="DB374" s="15"/>
      <c r="DC374" s="15"/>
      <c r="DD374" s="15"/>
      <c r="DE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61"/>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73"/>
      <c r="CT375" s="15"/>
      <c r="CU375" s="15"/>
      <c r="CV375" s="15"/>
      <c r="CW375" s="15"/>
      <c r="CX375" s="15"/>
      <c r="CY375" s="15"/>
      <c r="CZ375" s="15"/>
      <c r="DA375" s="15"/>
      <c r="DB375" s="15"/>
      <c r="DC375" s="15"/>
      <c r="DD375" s="15"/>
      <c r="DE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61"/>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73"/>
      <c r="CT376" s="15"/>
      <c r="CU376" s="15"/>
      <c r="CV376" s="15"/>
      <c r="CW376" s="15"/>
      <c r="CX376" s="15"/>
      <c r="CY376" s="15"/>
      <c r="CZ376" s="15"/>
      <c r="DA376" s="15"/>
      <c r="DB376" s="15"/>
      <c r="DC376" s="15"/>
      <c r="DD376" s="15"/>
      <c r="DE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61"/>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73"/>
      <c r="CT377" s="15"/>
      <c r="CU377" s="15"/>
      <c r="CV377" s="15"/>
      <c r="CW377" s="15"/>
      <c r="CX377" s="15"/>
      <c r="CY377" s="15"/>
      <c r="CZ377" s="15"/>
      <c r="DA377" s="15"/>
      <c r="DB377" s="15"/>
      <c r="DC377" s="15"/>
      <c r="DD377" s="15"/>
      <c r="DE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61"/>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73"/>
      <c r="CT378" s="15"/>
      <c r="CU378" s="15"/>
      <c r="CV378" s="15"/>
      <c r="CW378" s="15"/>
      <c r="CX378" s="15"/>
      <c r="CY378" s="15"/>
      <c r="CZ378" s="15"/>
      <c r="DA378" s="15"/>
      <c r="DB378" s="15"/>
      <c r="DC378" s="15"/>
      <c r="DD378" s="15"/>
      <c r="DE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61"/>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73"/>
      <c r="CT379" s="15"/>
      <c r="CU379" s="15"/>
      <c r="CV379" s="15"/>
      <c r="CW379" s="15"/>
      <c r="CX379" s="15"/>
      <c r="CY379" s="15"/>
      <c r="CZ379" s="15"/>
      <c r="DA379" s="15"/>
      <c r="DB379" s="15"/>
      <c r="DC379" s="15"/>
      <c r="DD379" s="15"/>
      <c r="DE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61"/>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73"/>
      <c r="CT380" s="15"/>
      <c r="CU380" s="15"/>
      <c r="CV380" s="15"/>
      <c r="CW380" s="15"/>
      <c r="CX380" s="15"/>
      <c r="CY380" s="15"/>
      <c r="CZ380" s="15"/>
      <c r="DA380" s="15"/>
      <c r="DB380" s="15"/>
      <c r="DC380" s="15"/>
      <c r="DD380" s="15"/>
      <c r="DE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61"/>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73"/>
      <c r="CT381" s="15"/>
      <c r="CU381" s="15"/>
      <c r="CV381" s="15"/>
      <c r="CW381" s="15"/>
      <c r="CX381" s="15"/>
      <c r="CY381" s="15"/>
      <c r="CZ381" s="15"/>
      <c r="DA381" s="15"/>
      <c r="DB381" s="15"/>
      <c r="DC381" s="15"/>
      <c r="DD381" s="15"/>
      <c r="DE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61"/>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73"/>
      <c r="CT382" s="15"/>
      <c r="CU382" s="15"/>
      <c r="CV382" s="15"/>
      <c r="CW382" s="15"/>
      <c r="CX382" s="15"/>
      <c r="CY382" s="15"/>
      <c r="CZ382" s="15"/>
      <c r="DA382" s="15"/>
      <c r="DB382" s="15"/>
      <c r="DC382" s="15"/>
      <c r="DD382" s="15"/>
      <c r="DE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61"/>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73"/>
      <c r="CT383" s="15"/>
      <c r="CU383" s="15"/>
      <c r="CV383" s="15"/>
      <c r="CW383" s="15"/>
      <c r="CX383" s="15"/>
      <c r="CY383" s="15"/>
      <c r="CZ383" s="15"/>
      <c r="DA383" s="15"/>
      <c r="DB383" s="15"/>
      <c r="DC383" s="15"/>
      <c r="DD383" s="15"/>
      <c r="DE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61"/>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73"/>
      <c r="CT384" s="15"/>
      <c r="CU384" s="15"/>
      <c r="CV384" s="15"/>
      <c r="CW384" s="15"/>
      <c r="CX384" s="15"/>
      <c r="CY384" s="15"/>
      <c r="CZ384" s="15"/>
      <c r="DA384" s="15"/>
      <c r="DB384" s="15"/>
      <c r="DC384" s="15"/>
      <c r="DD384" s="15"/>
      <c r="DE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61"/>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73"/>
      <c r="CT385" s="15"/>
      <c r="CU385" s="15"/>
      <c r="CV385" s="15"/>
      <c r="CW385" s="15"/>
      <c r="CX385" s="15"/>
      <c r="CY385" s="15"/>
      <c r="CZ385" s="15"/>
      <c r="DA385" s="15"/>
      <c r="DB385" s="15"/>
      <c r="DC385" s="15"/>
      <c r="DD385" s="15"/>
      <c r="DE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61"/>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73"/>
      <c r="CT386" s="15"/>
      <c r="CU386" s="15"/>
      <c r="CV386" s="15"/>
      <c r="CW386" s="15"/>
      <c r="CX386" s="15"/>
      <c r="CY386" s="15"/>
      <c r="CZ386" s="15"/>
      <c r="DA386" s="15"/>
      <c r="DB386" s="15"/>
      <c r="DC386" s="15"/>
      <c r="DD386" s="15"/>
      <c r="DE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61"/>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73"/>
      <c r="CT387" s="15"/>
      <c r="CU387" s="15"/>
      <c r="CV387" s="15"/>
      <c r="CW387" s="15"/>
      <c r="CX387" s="15"/>
      <c r="CY387" s="15"/>
      <c r="CZ387" s="15"/>
      <c r="DA387" s="15"/>
      <c r="DB387" s="15"/>
      <c r="DC387" s="15"/>
      <c r="DD387" s="15"/>
      <c r="DE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61"/>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73"/>
      <c r="CT388" s="15"/>
      <c r="CU388" s="15"/>
      <c r="CV388" s="15"/>
      <c r="CW388" s="15"/>
      <c r="CX388" s="15"/>
      <c r="CY388" s="15"/>
      <c r="CZ388" s="15"/>
      <c r="DA388" s="15"/>
      <c r="DB388" s="15"/>
      <c r="DC388" s="15"/>
      <c r="DD388" s="15"/>
      <c r="DE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61"/>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73"/>
      <c r="CT389" s="15"/>
      <c r="CU389" s="15"/>
      <c r="CV389" s="15"/>
      <c r="CW389" s="15"/>
      <c r="CX389" s="15"/>
      <c r="CY389" s="15"/>
      <c r="CZ389" s="15"/>
      <c r="DA389" s="15"/>
      <c r="DB389" s="15"/>
      <c r="DC389" s="15"/>
      <c r="DD389" s="15"/>
      <c r="DE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61"/>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73"/>
      <c r="CT390" s="15"/>
      <c r="CU390" s="15"/>
      <c r="CV390" s="15"/>
      <c r="CW390" s="15"/>
      <c r="CX390" s="15"/>
      <c r="CY390" s="15"/>
      <c r="CZ390" s="15"/>
      <c r="DA390" s="15"/>
      <c r="DB390" s="15"/>
      <c r="DC390" s="15"/>
      <c r="DD390" s="15"/>
      <c r="DE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61"/>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73"/>
      <c r="CT391" s="15"/>
      <c r="CU391" s="15"/>
      <c r="CV391" s="15"/>
      <c r="CW391" s="15"/>
      <c r="CX391" s="15"/>
      <c r="CY391" s="15"/>
      <c r="CZ391" s="15"/>
      <c r="DA391" s="15"/>
      <c r="DB391" s="15"/>
      <c r="DC391" s="15"/>
      <c r="DD391" s="15"/>
      <c r="DE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61"/>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73"/>
      <c r="CT392" s="15"/>
      <c r="CU392" s="15"/>
      <c r="CV392" s="15"/>
      <c r="CW392" s="15"/>
      <c r="CX392" s="15"/>
      <c r="CY392" s="15"/>
      <c r="CZ392" s="15"/>
      <c r="DA392" s="15"/>
      <c r="DB392" s="15"/>
      <c r="DC392" s="15"/>
      <c r="DD392" s="15"/>
      <c r="DE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61"/>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73"/>
      <c r="CT393" s="15"/>
      <c r="CU393" s="15"/>
      <c r="CV393" s="15"/>
      <c r="CW393" s="15"/>
      <c r="CX393" s="15"/>
      <c r="CY393" s="15"/>
      <c r="CZ393" s="15"/>
      <c r="DA393" s="15"/>
      <c r="DB393" s="15"/>
      <c r="DC393" s="15"/>
      <c r="DD393" s="15"/>
      <c r="DE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61"/>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73"/>
      <c r="CT394" s="15"/>
      <c r="CU394" s="15"/>
      <c r="CV394" s="15"/>
      <c r="CW394" s="15"/>
      <c r="CX394" s="15"/>
      <c r="CY394" s="15"/>
      <c r="CZ394" s="15"/>
      <c r="DA394" s="15"/>
      <c r="DB394" s="15"/>
      <c r="DC394" s="15"/>
      <c r="DD394" s="15"/>
      <c r="DE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61"/>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73"/>
      <c r="CT395" s="15"/>
      <c r="CU395" s="15"/>
      <c r="CV395" s="15"/>
      <c r="CW395" s="15"/>
      <c r="CX395" s="15"/>
      <c r="CY395" s="15"/>
      <c r="CZ395" s="15"/>
      <c r="DA395" s="15"/>
      <c r="DB395" s="15"/>
      <c r="DC395" s="15"/>
      <c r="DD395" s="15"/>
      <c r="DE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61"/>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73"/>
      <c r="CT396" s="15"/>
      <c r="CU396" s="15"/>
      <c r="CV396" s="15"/>
      <c r="CW396" s="15"/>
      <c r="CX396" s="15"/>
      <c r="CY396" s="15"/>
      <c r="CZ396" s="15"/>
      <c r="DA396" s="15"/>
      <c r="DB396" s="15"/>
      <c r="DC396" s="15"/>
      <c r="DD396" s="15"/>
      <c r="DE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61"/>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73"/>
      <c r="CT397" s="15"/>
      <c r="CU397" s="15"/>
      <c r="CV397" s="15"/>
      <c r="CW397" s="15"/>
      <c r="CX397" s="15"/>
      <c r="CY397" s="15"/>
      <c r="CZ397" s="15"/>
      <c r="DA397" s="15"/>
      <c r="DB397" s="15"/>
      <c r="DC397" s="15"/>
      <c r="DD397" s="15"/>
      <c r="DE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61"/>
      <c r="BK398" s="15"/>
      <c r="BL398" s="15"/>
      <c r="BM398" s="15"/>
      <c r="BN398" s="15"/>
      <c r="BO398" s="15"/>
      <c r="BP398" s="15"/>
      <c r="BQ398" s="15"/>
      <c r="BR398" s="15"/>
      <c r="BS398" s="15"/>
      <c r="BT398" s="15"/>
      <c r="BU398" s="15"/>
      <c r="BV398" s="15"/>
      <c r="BW398" s="15"/>
      <c r="BX398" s="15"/>
      <c r="BY398" s="15"/>
      <c r="BZ398" s="15"/>
      <c r="CA398" s="15"/>
      <c r="CB398" s="15"/>
      <c r="CC398" s="15"/>
      <c r="CD398" s="15"/>
      <c r="CE398" s="15"/>
      <c r="CF398" s="15"/>
      <c r="CG398" s="15"/>
      <c r="CH398" s="15"/>
      <c r="CI398" s="15"/>
      <c r="CJ398" s="15"/>
      <c r="CK398" s="15"/>
      <c r="CL398" s="15"/>
      <c r="CM398" s="15"/>
      <c r="CN398" s="15"/>
      <c r="CO398" s="15"/>
      <c r="CP398" s="15"/>
      <c r="CQ398" s="15"/>
      <c r="CR398" s="15"/>
      <c r="CS398" s="73"/>
      <c r="CT398" s="15"/>
      <c r="CU398" s="15"/>
      <c r="CV398" s="15"/>
      <c r="CW398" s="15"/>
      <c r="CX398" s="15"/>
      <c r="CY398" s="15"/>
      <c r="CZ398" s="15"/>
      <c r="DA398" s="15"/>
      <c r="DB398" s="15"/>
      <c r="DC398" s="15"/>
      <c r="DD398" s="15"/>
      <c r="DE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61"/>
      <c r="BK399" s="15"/>
      <c r="BL399" s="15"/>
      <c r="BM399" s="15"/>
      <c r="BN399" s="15"/>
      <c r="BO399" s="15"/>
      <c r="BP399" s="15"/>
      <c r="BQ399" s="15"/>
      <c r="BR399" s="15"/>
      <c r="BS399" s="15"/>
      <c r="BT399" s="15"/>
      <c r="BU399" s="15"/>
      <c r="BV399" s="15"/>
      <c r="BW399" s="15"/>
      <c r="BX399" s="15"/>
      <c r="BY399" s="15"/>
      <c r="BZ399" s="15"/>
      <c r="CA399" s="15"/>
      <c r="CB399" s="15"/>
      <c r="CC399" s="15"/>
      <c r="CD399" s="15"/>
      <c r="CE399" s="15"/>
      <c r="CF399" s="15"/>
      <c r="CG399" s="15"/>
      <c r="CH399" s="15"/>
      <c r="CI399" s="15"/>
      <c r="CJ399" s="15"/>
      <c r="CK399" s="15"/>
      <c r="CL399" s="15"/>
      <c r="CM399" s="15"/>
      <c r="CN399" s="15"/>
      <c r="CO399" s="15"/>
      <c r="CP399" s="15"/>
      <c r="CQ399" s="15"/>
      <c r="CR399" s="15"/>
      <c r="CS399" s="73"/>
      <c r="CT399" s="15"/>
      <c r="CU399" s="15"/>
      <c r="CV399" s="15"/>
      <c r="CW399" s="15"/>
      <c r="CX399" s="15"/>
      <c r="CY399" s="15"/>
      <c r="CZ399" s="15"/>
      <c r="DA399" s="15"/>
      <c r="DB399" s="15"/>
      <c r="DC399" s="15"/>
      <c r="DD399" s="15"/>
      <c r="DE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61"/>
      <c r="BK400" s="15"/>
      <c r="BL400" s="15"/>
      <c r="BM400" s="15"/>
      <c r="BN400" s="15"/>
      <c r="BO400" s="15"/>
      <c r="BP400" s="15"/>
      <c r="BQ400" s="15"/>
      <c r="BR400" s="15"/>
      <c r="BS400" s="15"/>
      <c r="BT400" s="15"/>
      <c r="BU400" s="15"/>
      <c r="BV400" s="15"/>
      <c r="BW400" s="15"/>
      <c r="BX400" s="15"/>
      <c r="BY400" s="15"/>
      <c r="BZ400" s="15"/>
      <c r="CA400" s="15"/>
      <c r="CB400" s="15"/>
      <c r="CC400" s="15"/>
      <c r="CD400" s="15"/>
      <c r="CE400" s="15"/>
      <c r="CF400" s="15"/>
      <c r="CG400" s="15"/>
      <c r="CH400" s="15"/>
      <c r="CI400" s="15"/>
      <c r="CJ400" s="15"/>
      <c r="CK400" s="15"/>
      <c r="CL400" s="15"/>
      <c r="CM400" s="15"/>
      <c r="CN400" s="15"/>
      <c r="CO400" s="15"/>
      <c r="CP400" s="15"/>
      <c r="CQ400" s="15"/>
      <c r="CR400" s="15"/>
      <c r="CS400" s="73"/>
      <c r="CT400" s="15"/>
      <c r="CU400" s="15"/>
      <c r="CV400" s="15"/>
      <c r="CW400" s="15"/>
      <c r="CX400" s="15"/>
      <c r="CY400" s="15"/>
      <c r="CZ400" s="15"/>
      <c r="DA400" s="15"/>
      <c r="DB400" s="15"/>
      <c r="DC400" s="15"/>
      <c r="DD400" s="15"/>
      <c r="DE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61"/>
      <c r="BK401" s="15"/>
      <c r="BL401" s="15"/>
      <c r="BM401" s="15"/>
      <c r="BN401" s="15"/>
      <c r="BO401" s="15"/>
      <c r="BP401" s="15"/>
      <c r="BQ401" s="15"/>
      <c r="BR401" s="15"/>
      <c r="BS401" s="15"/>
      <c r="BT401" s="15"/>
      <c r="BU401" s="15"/>
      <c r="BV401" s="15"/>
      <c r="BW401" s="15"/>
      <c r="BX401" s="15"/>
      <c r="BY401" s="15"/>
      <c r="BZ401" s="15"/>
      <c r="CA401" s="15"/>
      <c r="CB401" s="15"/>
      <c r="CC401" s="15"/>
      <c r="CD401" s="15"/>
      <c r="CE401" s="15"/>
      <c r="CF401" s="15"/>
      <c r="CG401" s="15"/>
      <c r="CH401" s="15"/>
      <c r="CI401" s="15"/>
      <c r="CJ401" s="15"/>
      <c r="CK401" s="15"/>
      <c r="CL401" s="15"/>
      <c r="CM401" s="15"/>
      <c r="CN401" s="15"/>
      <c r="CO401" s="15"/>
      <c r="CP401" s="15"/>
      <c r="CQ401" s="15"/>
      <c r="CR401" s="15"/>
      <c r="CS401" s="73"/>
      <c r="CT401" s="15"/>
      <c r="CU401" s="15"/>
      <c r="CV401" s="15"/>
      <c r="CW401" s="15"/>
      <c r="CX401" s="15"/>
      <c r="CY401" s="15"/>
      <c r="CZ401" s="15"/>
      <c r="DA401" s="15"/>
      <c r="DB401" s="15"/>
      <c r="DC401" s="15"/>
      <c r="DD401" s="15"/>
      <c r="DE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61"/>
      <c r="BK402" s="15"/>
      <c r="BL402" s="15"/>
      <c r="BM402" s="15"/>
      <c r="BN402" s="15"/>
      <c r="BO402" s="15"/>
      <c r="BP402" s="15"/>
      <c r="BQ402" s="15"/>
      <c r="BR402" s="15"/>
      <c r="BS402" s="15"/>
      <c r="BT402" s="15"/>
      <c r="BU402" s="15"/>
      <c r="BV402" s="15"/>
      <c r="BW402" s="15"/>
      <c r="BX402" s="15"/>
      <c r="BY402" s="15"/>
      <c r="BZ402" s="15"/>
      <c r="CA402" s="15"/>
      <c r="CB402" s="15"/>
      <c r="CC402" s="15"/>
      <c r="CD402" s="15"/>
      <c r="CE402" s="15"/>
      <c r="CF402" s="15"/>
      <c r="CG402" s="15"/>
      <c r="CH402" s="15"/>
      <c r="CI402" s="15"/>
      <c r="CJ402" s="15"/>
      <c r="CK402" s="15"/>
      <c r="CL402" s="15"/>
      <c r="CM402" s="15"/>
      <c r="CN402" s="15"/>
      <c r="CO402" s="15"/>
      <c r="CP402" s="15"/>
      <c r="CQ402" s="15"/>
      <c r="CR402" s="15"/>
      <c r="CS402" s="73"/>
      <c r="CT402" s="15"/>
      <c r="CU402" s="15"/>
      <c r="CV402" s="15"/>
      <c r="CW402" s="15"/>
      <c r="CX402" s="15"/>
      <c r="CY402" s="15"/>
      <c r="CZ402" s="15"/>
      <c r="DA402" s="15"/>
      <c r="DB402" s="15"/>
      <c r="DC402" s="15"/>
      <c r="DD402" s="15"/>
      <c r="DE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61"/>
      <c r="BK403" s="15"/>
      <c r="BL403" s="15"/>
      <c r="BM403" s="15"/>
      <c r="BN403" s="15"/>
      <c r="BO403" s="15"/>
      <c r="BP403" s="15"/>
      <c r="BQ403" s="15"/>
      <c r="BR403" s="15"/>
      <c r="BS403" s="15"/>
      <c r="BT403" s="15"/>
      <c r="BU403" s="15"/>
      <c r="BV403" s="15"/>
      <c r="BW403" s="15"/>
      <c r="BX403" s="15"/>
      <c r="BY403" s="15"/>
      <c r="BZ403" s="15"/>
      <c r="CA403" s="15"/>
      <c r="CB403" s="15"/>
      <c r="CC403" s="15"/>
      <c r="CD403" s="15"/>
      <c r="CE403" s="15"/>
      <c r="CF403" s="15"/>
      <c r="CG403" s="15"/>
      <c r="CH403" s="15"/>
      <c r="CI403" s="15"/>
      <c r="CJ403" s="15"/>
      <c r="CK403" s="15"/>
      <c r="CL403" s="15"/>
      <c r="CM403" s="15"/>
      <c r="CN403" s="15"/>
      <c r="CO403" s="15"/>
      <c r="CP403" s="15"/>
      <c r="CQ403" s="15"/>
      <c r="CR403" s="15"/>
      <c r="CS403" s="73"/>
      <c r="CT403" s="15"/>
      <c r="CU403" s="15"/>
      <c r="CV403" s="15"/>
      <c r="CW403" s="15"/>
      <c r="CX403" s="15"/>
      <c r="CY403" s="15"/>
      <c r="CZ403" s="15"/>
      <c r="DA403" s="15"/>
      <c r="DB403" s="15"/>
      <c r="DC403" s="15"/>
      <c r="DD403" s="15"/>
      <c r="DE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61"/>
      <c r="BK404" s="15"/>
      <c r="BL404" s="15"/>
      <c r="BM404" s="15"/>
      <c r="BN404" s="15"/>
      <c r="BO404" s="15"/>
      <c r="BP404" s="15"/>
      <c r="BQ404" s="15"/>
      <c r="BR404" s="15"/>
      <c r="BS404" s="15"/>
      <c r="BT404" s="15"/>
      <c r="BU404" s="15"/>
      <c r="BV404" s="15"/>
      <c r="BW404" s="15"/>
      <c r="BX404" s="15"/>
      <c r="BY404" s="15"/>
      <c r="BZ404" s="15"/>
      <c r="CA404" s="15"/>
      <c r="CB404" s="15"/>
      <c r="CC404" s="15"/>
      <c r="CD404" s="15"/>
      <c r="CE404" s="15"/>
      <c r="CF404" s="15"/>
      <c r="CG404" s="15"/>
      <c r="CH404" s="15"/>
      <c r="CI404" s="15"/>
      <c r="CJ404" s="15"/>
      <c r="CK404" s="15"/>
      <c r="CL404" s="15"/>
      <c r="CM404" s="15"/>
      <c r="CN404" s="15"/>
      <c r="CO404" s="15"/>
      <c r="CP404" s="15"/>
      <c r="CQ404" s="15"/>
      <c r="CR404" s="15"/>
      <c r="CS404" s="73"/>
      <c r="CT404" s="15"/>
      <c r="CU404" s="15"/>
      <c r="CV404" s="15"/>
      <c r="CW404" s="15"/>
      <c r="CX404" s="15"/>
      <c r="CY404" s="15"/>
      <c r="CZ404" s="15"/>
      <c r="DA404" s="15"/>
      <c r="DB404" s="15"/>
      <c r="DC404" s="15"/>
      <c r="DD404" s="15"/>
      <c r="DE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61"/>
      <c r="BK405" s="15"/>
      <c r="BL405" s="15"/>
      <c r="BM405" s="15"/>
      <c r="BN405" s="15"/>
      <c r="BO405" s="15"/>
      <c r="BP405" s="15"/>
      <c r="BQ405" s="15"/>
      <c r="BR405" s="15"/>
      <c r="BS405" s="15"/>
      <c r="BT405" s="15"/>
      <c r="BU405" s="15"/>
      <c r="BV405" s="15"/>
      <c r="BW405" s="15"/>
      <c r="BX405" s="15"/>
      <c r="BY405" s="15"/>
      <c r="BZ405" s="15"/>
      <c r="CA405" s="15"/>
      <c r="CB405" s="15"/>
      <c r="CC405" s="15"/>
      <c r="CD405" s="15"/>
      <c r="CE405" s="15"/>
      <c r="CF405" s="15"/>
      <c r="CG405" s="15"/>
      <c r="CH405" s="15"/>
      <c r="CI405" s="15"/>
      <c r="CJ405" s="15"/>
      <c r="CK405" s="15"/>
      <c r="CL405" s="15"/>
      <c r="CM405" s="15"/>
      <c r="CN405" s="15"/>
      <c r="CO405" s="15"/>
      <c r="CP405" s="15"/>
      <c r="CQ405" s="15"/>
      <c r="CR405" s="15"/>
      <c r="CS405" s="73"/>
      <c r="CT405" s="15"/>
      <c r="CU405" s="15"/>
      <c r="CV405" s="15"/>
      <c r="CW405" s="15"/>
      <c r="CX405" s="15"/>
      <c r="CY405" s="15"/>
      <c r="CZ405" s="15"/>
      <c r="DA405" s="15"/>
      <c r="DB405" s="15"/>
      <c r="DC405" s="15"/>
      <c r="DD405" s="15"/>
      <c r="DE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61"/>
      <c r="BK406" s="15"/>
      <c r="BL406" s="15"/>
      <c r="BM406" s="15"/>
      <c r="BN406" s="15"/>
      <c r="BO406" s="15"/>
      <c r="BP406" s="15"/>
      <c r="BQ406" s="15"/>
      <c r="BR406" s="15"/>
      <c r="BS406" s="15"/>
      <c r="BT406" s="15"/>
      <c r="BU406" s="15"/>
      <c r="BV406" s="15"/>
      <c r="BW406" s="15"/>
      <c r="BX406" s="15"/>
      <c r="BY406" s="15"/>
      <c r="BZ406" s="15"/>
      <c r="CA406" s="15"/>
      <c r="CB406" s="15"/>
      <c r="CC406" s="15"/>
      <c r="CD406" s="15"/>
      <c r="CE406" s="15"/>
      <c r="CF406" s="15"/>
      <c r="CG406" s="15"/>
      <c r="CH406" s="15"/>
      <c r="CI406" s="15"/>
      <c r="CJ406" s="15"/>
      <c r="CK406" s="15"/>
      <c r="CL406" s="15"/>
      <c r="CM406" s="15"/>
      <c r="CN406" s="15"/>
      <c r="CO406" s="15"/>
      <c r="CP406" s="15"/>
      <c r="CQ406" s="15"/>
      <c r="CR406" s="15"/>
      <c r="CS406" s="73"/>
      <c r="CT406" s="15"/>
      <c r="CU406" s="15"/>
      <c r="CV406" s="15"/>
      <c r="CW406" s="15"/>
      <c r="CX406" s="15"/>
      <c r="CY406" s="15"/>
      <c r="CZ406" s="15"/>
      <c r="DA406" s="15"/>
      <c r="DB406" s="15"/>
      <c r="DC406" s="15"/>
      <c r="DD406" s="15"/>
      <c r="DE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61"/>
      <c r="BK407" s="15"/>
      <c r="BL407" s="15"/>
      <c r="BM407" s="15"/>
      <c r="BN407" s="15"/>
      <c r="BO407" s="15"/>
      <c r="BP407" s="15"/>
      <c r="BQ407" s="15"/>
      <c r="BR407" s="15"/>
      <c r="BS407" s="15"/>
      <c r="BT407" s="15"/>
      <c r="BU407" s="15"/>
      <c r="BV407" s="15"/>
      <c r="BW407" s="15"/>
      <c r="BX407" s="15"/>
      <c r="BY407" s="15"/>
      <c r="BZ407" s="15"/>
      <c r="CA407" s="15"/>
      <c r="CB407" s="15"/>
      <c r="CC407" s="15"/>
      <c r="CD407" s="15"/>
      <c r="CE407" s="15"/>
      <c r="CF407" s="15"/>
      <c r="CG407" s="15"/>
      <c r="CH407" s="15"/>
      <c r="CI407" s="15"/>
      <c r="CJ407" s="15"/>
      <c r="CK407" s="15"/>
      <c r="CL407" s="15"/>
      <c r="CM407" s="15"/>
      <c r="CN407" s="15"/>
      <c r="CO407" s="15"/>
      <c r="CP407" s="15"/>
      <c r="CQ407" s="15"/>
      <c r="CR407" s="15"/>
      <c r="CS407" s="73"/>
      <c r="CT407" s="15"/>
      <c r="CU407" s="15"/>
      <c r="CV407" s="15"/>
      <c r="CW407" s="15"/>
      <c r="CX407" s="15"/>
      <c r="CY407" s="15"/>
      <c r="CZ407" s="15"/>
      <c r="DA407" s="15"/>
      <c r="DB407" s="15"/>
      <c r="DC407" s="15"/>
      <c r="DD407" s="15"/>
      <c r="DE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61"/>
      <c r="BK408" s="15"/>
      <c r="BL408" s="15"/>
      <c r="BM408" s="15"/>
      <c r="BN408" s="15"/>
      <c r="BO408" s="15"/>
      <c r="BP408" s="15"/>
      <c r="BQ408" s="15"/>
      <c r="BR408" s="15"/>
      <c r="BS408" s="15"/>
      <c r="BT408" s="15"/>
      <c r="BU408" s="15"/>
      <c r="BV408" s="15"/>
      <c r="BW408" s="15"/>
      <c r="BX408" s="15"/>
      <c r="BY408" s="15"/>
      <c r="BZ408" s="15"/>
      <c r="CA408" s="15"/>
      <c r="CB408" s="15"/>
      <c r="CC408" s="15"/>
      <c r="CD408" s="15"/>
      <c r="CE408" s="15"/>
      <c r="CF408" s="15"/>
      <c r="CG408" s="15"/>
      <c r="CH408" s="15"/>
      <c r="CI408" s="15"/>
      <c r="CJ408" s="15"/>
      <c r="CK408" s="15"/>
      <c r="CL408" s="15"/>
      <c r="CM408" s="15"/>
      <c r="CN408" s="15"/>
      <c r="CO408" s="15"/>
      <c r="CP408" s="15"/>
      <c r="CQ408" s="15"/>
      <c r="CR408" s="15"/>
      <c r="CS408" s="73"/>
      <c r="CT408" s="15"/>
      <c r="CU408" s="15"/>
      <c r="CV408" s="15"/>
      <c r="CW408" s="15"/>
      <c r="CX408" s="15"/>
      <c r="CY408" s="15"/>
      <c r="CZ408" s="15"/>
      <c r="DA408" s="15"/>
      <c r="DB408" s="15"/>
      <c r="DC408" s="15"/>
      <c r="DD408" s="15"/>
      <c r="DE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61"/>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15"/>
      <c r="CO409" s="15"/>
      <c r="CP409" s="15"/>
      <c r="CQ409" s="15"/>
      <c r="CR409" s="15"/>
      <c r="CS409" s="73"/>
      <c r="CT409" s="15"/>
      <c r="CU409" s="15"/>
      <c r="CV409" s="15"/>
      <c r="CW409" s="15"/>
      <c r="CX409" s="15"/>
      <c r="CY409" s="15"/>
      <c r="CZ409" s="15"/>
      <c r="DA409" s="15"/>
      <c r="DB409" s="15"/>
      <c r="DC409" s="15"/>
      <c r="DD409" s="15"/>
      <c r="DE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61"/>
      <c r="BK410" s="15"/>
      <c r="BL410" s="15"/>
      <c r="BM410" s="15"/>
      <c r="BN410" s="15"/>
      <c r="BO410" s="15"/>
      <c r="BP410" s="15"/>
      <c r="BQ410" s="15"/>
      <c r="BR410" s="15"/>
      <c r="BS410" s="15"/>
      <c r="BT410" s="15"/>
      <c r="BU410" s="15"/>
      <c r="BV410" s="15"/>
      <c r="BW410" s="15"/>
      <c r="BX410" s="15"/>
      <c r="BY410" s="15"/>
      <c r="BZ410" s="15"/>
      <c r="CA410" s="15"/>
      <c r="CB410" s="15"/>
      <c r="CC410" s="15"/>
      <c r="CD410" s="15"/>
      <c r="CE410" s="15"/>
      <c r="CF410" s="15"/>
      <c r="CG410" s="15"/>
      <c r="CH410" s="15"/>
      <c r="CI410" s="15"/>
      <c r="CJ410" s="15"/>
      <c r="CK410" s="15"/>
      <c r="CL410" s="15"/>
      <c r="CM410" s="15"/>
      <c r="CN410" s="15"/>
      <c r="CO410" s="15"/>
      <c r="CP410" s="15"/>
      <c r="CQ410" s="15"/>
      <c r="CR410" s="15"/>
      <c r="CS410" s="73"/>
      <c r="CT410" s="15"/>
      <c r="CU410" s="15"/>
      <c r="CV410" s="15"/>
      <c r="CW410" s="15"/>
      <c r="CX410" s="15"/>
      <c r="CY410" s="15"/>
      <c r="CZ410" s="15"/>
      <c r="DA410" s="15"/>
      <c r="DB410" s="15"/>
      <c r="DC410" s="15"/>
      <c r="DD410" s="15"/>
      <c r="DE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61"/>
      <c r="BK411" s="15"/>
      <c r="BL411" s="15"/>
      <c r="BM411" s="15"/>
      <c r="BN411" s="15"/>
      <c r="BO411" s="15"/>
      <c r="BP411" s="15"/>
      <c r="BQ411" s="15"/>
      <c r="BR411" s="15"/>
      <c r="BS411" s="15"/>
      <c r="BT411" s="15"/>
      <c r="BU411" s="15"/>
      <c r="BV411" s="15"/>
      <c r="BW411" s="15"/>
      <c r="BX411" s="15"/>
      <c r="BY411" s="15"/>
      <c r="BZ411" s="15"/>
      <c r="CA411" s="15"/>
      <c r="CB411" s="15"/>
      <c r="CC411" s="15"/>
      <c r="CD411" s="15"/>
      <c r="CE411" s="15"/>
      <c r="CF411" s="15"/>
      <c r="CG411" s="15"/>
      <c r="CH411" s="15"/>
      <c r="CI411" s="15"/>
      <c r="CJ411" s="15"/>
      <c r="CK411" s="15"/>
      <c r="CL411" s="15"/>
      <c r="CM411" s="15"/>
      <c r="CN411" s="15"/>
      <c r="CO411" s="15"/>
      <c r="CP411" s="15"/>
      <c r="CQ411" s="15"/>
      <c r="CR411" s="15"/>
      <c r="CS411" s="73"/>
      <c r="CT411" s="15"/>
      <c r="CU411" s="15"/>
      <c r="CV411" s="15"/>
      <c r="CW411" s="15"/>
      <c r="CX411" s="15"/>
      <c r="CY411" s="15"/>
      <c r="CZ411" s="15"/>
      <c r="DA411" s="15"/>
      <c r="DB411" s="15"/>
      <c r="DC411" s="15"/>
      <c r="DD411" s="15"/>
      <c r="DE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61"/>
      <c r="BK412" s="15"/>
      <c r="BL412" s="15"/>
      <c r="BM412" s="15"/>
      <c r="BN412" s="15"/>
      <c r="BO412" s="15"/>
      <c r="BP412" s="15"/>
      <c r="BQ412" s="15"/>
      <c r="BR412" s="15"/>
      <c r="BS412" s="15"/>
      <c r="BT412" s="15"/>
      <c r="BU412" s="15"/>
      <c r="BV412" s="15"/>
      <c r="BW412" s="15"/>
      <c r="BX412" s="15"/>
      <c r="BY412" s="15"/>
      <c r="BZ412" s="15"/>
      <c r="CA412" s="15"/>
      <c r="CB412" s="15"/>
      <c r="CC412" s="15"/>
      <c r="CD412" s="15"/>
      <c r="CE412" s="15"/>
      <c r="CF412" s="15"/>
      <c r="CG412" s="15"/>
      <c r="CH412" s="15"/>
      <c r="CI412" s="15"/>
      <c r="CJ412" s="15"/>
      <c r="CK412" s="15"/>
      <c r="CL412" s="15"/>
      <c r="CM412" s="15"/>
      <c r="CN412" s="15"/>
      <c r="CO412" s="15"/>
      <c r="CP412" s="15"/>
      <c r="CQ412" s="15"/>
      <c r="CR412" s="15"/>
      <c r="CS412" s="73"/>
      <c r="CT412" s="15"/>
      <c r="CU412" s="15"/>
      <c r="CV412" s="15"/>
      <c r="CW412" s="15"/>
      <c r="CX412" s="15"/>
      <c r="CY412" s="15"/>
      <c r="CZ412" s="15"/>
      <c r="DA412" s="15"/>
      <c r="DB412" s="15"/>
      <c r="DC412" s="15"/>
      <c r="DD412" s="15"/>
      <c r="DE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61"/>
      <c r="BK413" s="15"/>
      <c r="BL413" s="15"/>
      <c r="BM413" s="15"/>
      <c r="BN413" s="15"/>
      <c r="BO413" s="15"/>
      <c r="BP413" s="15"/>
      <c r="BQ413" s="15"/>
      <c r="BR413" s="15"/>
      <c r="BS413" s="15"/>
      <c r="BT413" s="15"/>
      <c r="BU413" s="15"/>
      <c r="BV413" s="15"/>
      <c r="BW413" s="15"/>
      <c r="BX413" s="15"/>
      <c r="BY413" s="15"/>
      <c r="BZ413" s="15"/>
      <c r="CA413" s="15"/>
      <c r="CB413" s="15"/>
      <c r="CC413" s="15"/>
      <c r="CD413" s="15"/>
      <c r="CE413" s="15"/>
      <c r="CF413" s="15"/>
      <c r="CG413" s="15"/>
      <c r="CH413" s="15"/>
      <c r="CI413" s="15"/>
      <c r="CJ413" s="15"/>
      <c r="CK413" s="15"/>
      <c r="CL413" s="15"/>
      <c r="CM413" s="15"/>
      <c r="CN413" s="15"/>
      <c r="CO413" s="15"/>
      <c r="CP413" s="15"/>
      <c r="CQ413" s="15"/>
      <c r="CR413" s="15"/>
      <c r="CS413" s="73"/>
      <c r="CT413" s="15"/>
      <c r="CU413" s="15"/>
      <c r="CV413" s="15"/>
      <c r="CW413" s="15"/>
      <c r="CX413" s="15"/>
      <c r="CY413" s="15"/>
      <c r="CZ413" s="15"/>
      <c r="DA413" s="15"/>
      <c r="DB413" s="15"/>
      <c r="DC413" s="15"/>
      <c r="DD413" s="15"/>
      <c r="DE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61"/>
      <c r="BK414" s="15"/>
      <c r="BL414" s="15"/>
      <c r="BM414" s="15"/>
      <c r="BN414" s="15"/>
      <c r="BO414" s="15"/>
      <c r="BP414" s="15"/>
      <c r="BQ414" s="15"/>
      <c r="BR414" s="15"/>
      <c r="BS414" s="15"/>
      <c r="BT414" s="15"/>
      <c r="BU414" s="15"/>
      <c r="BV414" s="15"/>
      <c r="BW414" s="15"/>
      <c r="BX414" s="15"/>
      <c r="BY414" s="15"/>
      <c r="BZ414" s="15"/>
      <c r="CA414" s="15"/>
      <c r="CB414" s="15"/>
      <c r="CC414" s="15"/>
      <c r="CD414" s="15"/>
      <c r="CE414" s="15"/>
      <c r="CF414" s="15"/>
      <c r="CG414" s="15"/>
      <c r="CH414" s="15"/>
      <c r="CI414" s="15"/>
      <c r="CJ414" s="15"/>
      <c r="CK414" s="15"/>
      <c r="CL414" s="15"/>
      <c r="CM414" s="15"/>
      <c r="CN414" s="15"/>
      <c r="CO414" s="15"/>
      <c r="CP414" s="15"/>
      <c r="CQ414" s="15"/>
      <c r="CR414" s="15"/>
      <c r="CS414" s="73"/>
      <c r="CT414" s="15"/>
      <c r="CU414" s="15"/>
      <c r="CV414" s="15"/>
      <c r="CW414" s="15"/>
      <c r="CX414" s="15"/>
      <c r="CY414" s="15"/>
      <c r="CZ414" s="15"/>
      <c r="DA414" s="15"/>
      <c r="DB414" s="15"/>
      <c r="DC414" s="15"/>
      <c r="DD414" s="15"/>
      <c r="DE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61"/>
      <c r="BK415" s="15"/>
      <c r="BL415" s="15"/>
      <c r="BM415" s="15"/>
      <c r="BN415" s="15"/>
      <c r="BO415" s="15"/>
      <c r="BP415" s="15"/>
      <c r="BQ415" s="15"/>
      <c r="BR415" s="15"/>
      <c r="BS415" s="15"/>
      <c r="BT415" s="15"/>
      <c r="BU415" s="15"/>
      <c r="BV415" s="15"/>
      <c r="BW415" s="15"/>
      <c r="BX415" s="15"/>
      <c r="BY415" s="15"/>
      <c r="BZ415" s="15"/>
      <c r="CA415" s="15"/>
      <c r="CB415" s="15"/>
      <c r="CC415" s="15"/>
      <c r="CD415" s="15"/>
      <c r="CE415" s="15"/>
      <c r="CF415" s="15"/>
      <c r="CG415" s="15"/>
      <c r="CH415" s="15"/>
      <c r="CI415" s="15"/>
      <c r="CJ415" s="15"/>
      <c r="CK415" s="15"/>
      <c r="CL415" s="15"/>
      <c r="CM415" s="15"/>
      <c r="CN415" s="15"/>
      <c r="CO415" s="15"/>
      <c r="CP415" s="15"/>
      <c r="CQ415" s="15"/>
      <c r="CR415" s="15"/>
      <c r="CS415" s="73"/>
      <c r="CT415" s="15"/>
      <c r="CU415" s="15"/>
      <c r="CV415" s="15"/>
      <c r="CW415" s="15"/>
      <c r="CX415" s="15"/>
      <c r="CY415" s="15"/>
      <c r="CZ415" s="15"/>
      <c r="DA415" s="15"/>
      <c r="DB415" s="15"/>
      <c r="DC415" s="15"/>
      <c r="DD415" s="15"/>
      <c r="DE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61"/>
      <c r="BK416" s="15"/>
      <c r="BL416" s="15"/>
      <c r="BM416" s="15"/>
      <c r="BN416" s="15"/>
      <c r="BO416" s="15"/>
      <c r="BP416" s="15"/>
      <c r="BQ416" s="15"/>
      <c r="BR416" s="15"/>
      <c r="BS416" s="15"/>
      <c r="BT416" s="15"/>
      <c r="BU416" s="15"/>
      <c r="BV416" s="15"/>
      <c r="BW416" s="15"/>
      <c r="BX416" s="15"/>
      <c r="BY416" s="15"/>
      <c r="BZ416" s="15"/>
      <c r="CA416" s="15"/>
      <c r="CB416" s="15"/>
      <c r="CC416" s="15"/>
      <c r="CD416" s="15"/>
      <c r="CE416" s="15"/>
      <c r="CF416" s="15"/>
      <c r="CG416" s="15"/>
      <c r="CH416" s="15"/>
      <c r="CI416" s="15"/>
      <c r="CJ416" s="15"/>
      <c r="CK416" s="15"/>
      <c r="CL416" s="15"/>
      <c r="CM416" s="15"/>
      <c r="CN416" s="15"/>
      <c r="CO416" s="15"/>
      <c r="CP416" s="15"/>
      <c r="CQ416" s="15"/>
      <c r="CR416" s="15"/>
      <c r="CS416" s="73"/>
      <c r="CT416" s="15"/>
      <c r="CU416" s="15"/>
      <c r="CV416" s="15"/>
      <c r="CW416" s="15"/>
      <c r="CX416" s="15"/>
      <c r="CY416" s="15"/>
      <c r="CZ416" s="15"/>
      <c r="DA416" s="15"/>
      <c r="DB416" s="15"/>
      <c r="DC416" s="15"/>
      <c r="DD416" s="15"/>
      <c r="DE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61"/>
      <c r="BK417" s="15"/>
      <c r="BL417" s="15"/>
      <c r="BM417" s="15"/>
      <c r="BN417" s="15"/>
      <c r="BO417" s="15"/>
      <c r="BP417" s="15"/>
      <c r="BQ417" s="15"/>
      <c r="BR417" s="15"/>
      <c r="BS417" s="15"/>
      <c r="BT417" s="15"/>
      <c r="BU417" s="15"/>
      <c r="BV417" s="15"/>
      <c r="BW417" s="15"/>
      <c r="BX417" s="15"/>
      <c r="BY417" s="15"/>
      <c r="BZ417" s="15"/>
      <c r="CA417" s="15"/>
      <c r="CB417" s="15"/>
      <c r="CC417" s="15"/>
      <c r="CD417" s="15"/>
      <c r="CE417" s="15"/>
      <c r="CF417" s="15"/>
      <c r="CG417" s="15"/>
      <c r="CH417" s="15"/>
      <c r="CI417" s="15"/>
      <c r="CJ417" s="15"/>
      <c r="CK417" s="15"/>
      <c r="CL417" s="15"/>
      <c r="CM417" s="15"/>
      <c r="CN417" s="15"/>
      <c r="CO417" s="15"/>
      <c r="CP417" s="15"/>
      <c r="CQ417" s="15"/>
      <c r="CR417" s="15"/>
      <c r="CS417" s="73"/>
      <c r="CT417" s="15"/>
      <c r="CU417" s="15"/>
      <c r="CV417" s="15"/>
      <c r="CW417" s="15"/>
      <c r="CX417" s="15"/>
      <c r="CY417" s="15"/>
      <c r="CZ417" s="15"/>
      <c r="DA417" s="15"/>
      <c r="DB417" s="15"/>
      <c r="DC417" s="15"/>
      <c r="DD417" s="15"/>
      <c r="DE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61"/>
      <c r="BK418" s="15"/>
      <c r="BL418" s="15"/>
      <c r="BM418" s="15"/>
      <c r="BN418" s="15"/>
      <c r="BO418" s="15"/>
      <c r="BP418" s="15"/>
      <c r="BQ418" s="15"/>
      <c r="BR418" s="15"/>
      <c r="BS418" s="15"/>
      <c r="BT418" s="15"/>
      <c r="BU418" s="15"/>
      <c r="BV418" s="15"/>
      <c r="BW418" s="15"/>
      <c r="BX418" s="15"/>
      <c r="BY418" s="15"/>
      <c r="BZ418" s="15"/>
      <c r="CA418" s="15"/>
      <c r="CB418" s="15"/>
      <c r="CC418" s="15"/>
      <c r="CD418" s="15"/>
      <c r="CE418" s="15"/>
      <c r="CF418" s="15"/>
      <c r="CG418" s="15"/>
      <c r="CH418" s="15"/>
      <c r="CI418" s="15"/>
      <c r="CJ418" s="15"/>
      <c r="CK418" s="15"/>
      <c r="CL418" s="15"/>
      <c r="CM418" s="15"/>
      <c r="CN418" s="15"/>
      <c r="CO418" s="15"/>
      <c r="CP418" s="15"/>
      <c r="CQ418" s="15"/>
      <c r="CR418" s="15"/>
      <c r="CS418" s="73"/>
      <c r="CT418" s="15"/>
      <c r="CU418" s="15"/>
      <c r="CV418" s="15"/>
      <c r="CW418" s="15"/>
      <c r="CX418" s="15"/>
      <c r="CY418" s="15"/>
      <c r="CZ418" s="15"/>
      <c r="DA418" s="15"/>
      <c r="DB418" s="15"/>
      <c r="DC418" s="15"/>
      <c r="DD418" s="15"/>
      <c r="DE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61"/>
      <c r="BK419" s="15"/>
      <c r="BL419" s="15"/>
      <c r="BM419" s="15"/>
      <c r="BN419" s="15"/>
      <c r="BO419" s="15"/>
      <c r="BP419" s="15"/>
      <c r="BQ419" s="15"/>
      <c r="BR419" s="15"/>
      <c r="BS419" s="15"/>
      <c r="BT419" s="15"/>
      <c r="BU419" s="15"/>
      <c r="BV419" s="15"/>
      <c r="BW419" s="15"/>
      <c r="BX419" s="15"/>
      <c r="BY419" s="15"/>
      <c r="BZ419" s="15"/>
      <c r="CA419" s="15"/>
      <c r="CB419" s="15"/>
      <c r="CC419" s="15"/>
      <c r="CD419" s="15"/>
      <c r="CE419" s="15"/>
      <c r="CF419" s="15"/>
      <c r="CG419" s="15"/>
      <c r="CH419" s="15"/>
      <c r="CI419" s="15"/>
      <c r="CJ419" s="15"/>
      <c r="CK419" s="15"/>
      <c r="CL419" s="15"/>
      <c r="CM419" s="15"/>
      <c r="CN419" s="15"/>
      <c r="CO419" s="15"/>
      <c r="CP419" s="15"/>
      <c r="CQ419" s="15"/>
      <c r="CR419" s="15"/>
      <c r="CS419" s="73"/>
      <c r="CT419" s="15"/>
      <c r="CU419" s="15"/>
      <c r="CV419" s="15"/>
      <c r="CW419" s="15"/>
      <c r="CX419" s="15"/>
      <c r="CY419" s="15"/>
      <c r="CZ419" s="15"/>
      <c r="DA419" s="15"/>
      <c r="DB419" s="15"/>
      <c r="DC419" s="15"/>
      <c r="DD419" s="15"/>
      <c r="DE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61"/>
      <c r="BK420" s="15"/>
      <c r="BL420" s="15"/>
      <c r="BM420" s="15"/>
      <c r="BN420" s="15"/>
      <c r="BO420" s="15"/>
      <c r="BP420" s="15"/>
      <c r="BQ420" s="15"/>
      <c r="BR420" s="15"/>
      <c r="BS420" s="15"/>
      <c r="BT420" s="15"/>
      <c r="BU420" s="15"/>
      <c r="BV420" s="15"/>
      <c r="BW420" s="15"/>
      <c r="BX420" s="15"/>
      <c r="BY420" s="15"/>
      <c r="BZ420" s="15"/>
      <c r="CA420" s="15"/>
      <c r="CB420" s="15"/>
      <c r="CC420" s="15"/>
      <c r="CD420" s="15"/>
      <c r="CE420" s="15"/>
      <c r="CF420" s="15"/>
      <c r="CG420" s="15"/>
      <c r="CH420" s="15"/>
      <c r="CI420" s="15"/>
      <c r="CJ420" s="15"/>
      <c r="CK420" s="15"/>
      <c r="CL420" s="15"/>
      <c r="CM420" s="15"/>
      <c r="CN420" s="15"/>
      <c r="CO420" s="15"/>
      <c r="CP420" s="15"/>
      <c r="CQ420" s="15"/>
      <c r="CR420" s="15"/>
      <c r="CS420" s="73"/>
      <c r="CT420" s="15"/>
      <c r="CU420" s="15"/>
      <c r="CV420" s="15"/>
      <c r="CW420" s="15"/>
      <c r="CX420" s="15"/>
      <c r="CY420" s="15"/>
      <c r="CZ420" s="15"/>
      <c r="DA420" s="15"/>
      <c r="DB420" s="15"/>
      <c r="DC420" s="15"/>
      <c r="DD420" s="15"/>
      <c r="DE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61"/>
      <c r="BK421" s="15"/>
      <c r="BL421" s="15"/>
      <c r="BM421" s="15"/>
      <c r="BN421" s="15"/>
      <c r="BO421" s="15"/>
      <c r="BP421" s="15"/>
      <c r="BQ421" s="15"/>
      <c r="BR421" s="15"/>
      <c r="BS421" s="15"/>
      <c r="BT421" s="15"/>
      <c r="BU421" s="15"/>
      <c r="BV421" s="15"/>
      <c r="BW421" s="15"/>
      <c r="BX421" s="15"/>
      <c r="BY421" s="15"/>
      <c r="BZ421" s="15"/>
      <c r="CA421" s="15"/>
      <c r="CB421" s="15"/>
      <c r="CC421" s="15"/>
      <c r="CD421" s="15"/>
      <c r="CE421" s="15"/>
      <c r="CF421" s="15"/>
      <c r="CG421" s="15"/>
      <c r="CH421" s="15"/>
      <c r="CI421" s="15"/>
      <c r="CJ421" s="15"/>
      <c r="CK421" s="15"/>
      <c r="CL421" s="15"/>
      <c r="CM421" s="15"/>
      <c r="CN421" s="15"/>
      <c r="CO421" s="15"/>
      <c r="CP421" s="15"/>
      <c r="CQ421" s="15"/>
      <c r="CR421" s="15"/>
      <c r="CS421" s="73"/>
      <c r="CT421" s="15"/>
      <c r="CU421" s="15"/>
      <c r="CV421" s="15"/>
      <c r="CW421" s="15"/>
      <c r="CX421" s="15"/>
      <c r="CY421" s="15"/>
      <c r="CZ421" s="15"/>
      <c r="DA421" s="15"/>
      <c r="DB421" s="15"/>
      <c r="DC421" s="15"/>
      <c r="DD421" s="15"/>
      <c r="DE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61"/>
      <c r="BK422" s="15"/>
      <c r="BL422" s="15"/>
      <c r="BM422" s="15"/>
      <c r="BN422" s="15"/>
      <c r="BO422" s="15"/>
      <c r="BP422" s="15"/>
      <c r="BQ422" s="15"/>
      <c r="BR422" s="15"/>
      <c r="BS422" s="15"/>
      <c r="BT422" s="15"/>
      <c r="BU422" s="15"/>
      <c r="BV422" s="15"/>
      <c r="BW422" s="15"/>
      <c r="BX422" s="15"/>
      <c r="BY422" s="15"/>
      <c r="BZ422" s="15"/>
      <c r="CA422" s="15"/>
      <c r="CB422" s="15"/>
      <c r="CC422" s="15"/>
      <c r="CD422" s="15"/>
      <c r="CE422" s="15"/>
      <c r="CF422" s="15"/>
      <c r="CG422" s="15"/>
      <c r="CH422" s="15"/>
      <c r="CI422" s="15"/>
      <c r="CJ422" s="15"/>
      <c r="CK422" s="15"/>
      <c r="CL422" s="15"/>
      <c r="CM422" s="15"/>
      <c r="CN422" s="15"/>
      <c r="CO422" s="15"/>
      <c r="CP422" s="15"/>
      <c r="CQ422" s="15"/>
      <c r="CR422" s="15"/>
      <c r="CS422" s="73"/>
      <c r="CT422" s="15"/>
      <c r="CU422" s="15"/>
      <c r="CV422" s="15"/>
      <c r="CW422" s="15"/>
      <c r="CX422" s="15"/>
      <c r="CY422" s="15"/>
      <c r="CZ422" s="15"/>
      <c r="DA422" s="15"/>
      <c r="DB422" s="15"/>
      <c r="DC422" s="15"/>
      <c r="DD422" s="15"/>
      <c r="DE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61"/>
      <c r="BK423" s="15"/>
      <c r="BL423" s="15"/>
      <c r="BM423" s="15"/>
      <c r="BN423" s="15"/>
      <c r="BO423" s="15"/>
      <c r="BP423" s="15"/>
      <c r="BQ423" s="15"/>
      <c r="BR423" s="15"/>
      <c r="BS423" s="15"/>
      <c r="BT423" s="15"/>
      <c r="BU423" s="15"/>
      <c r="BV423" s="15"/>
      <c r="BW423" s="15"/>
      <c r="BX423" s="15"/>
      <c r="BY423" s="15"/>
      <c r="BZ423" s="15"/>
      <c r="CA423" s="15"/>
      <c r="CB423" s="15"/>
      <c r="CC423" s="15"/>
      <c r="CD423" s="15"/>
      <c r="CE423" s="15"/>
      <c r="CF423" s="15"/>
      <c r="CG423" s="15"/>
      <c r="CH423" s="15"/>
      <c r="CI423" s="15"/>
      <c r="CJ423" s="15"/>
      <c r="CK423" s="15"/>
      <c r="CL423" s="15"/>
      <c r="CM423" s="15"/>
      <c r="CN423" s="15"/>
      <c r="CO423" s="15"/>
      <c r="CP423" s="15"/>
      <c r="CQ423" s="15"/>
      <c r="CR423" s="15"/>
      <c r="CS423" s="73"/>
      <c r="CT423" s="15"/>
      <c r="CU423" s="15"/>
      <c r="CV423" s="15"/>
      <c r="CW423" s="15"/>
      <c r="CX423" s="15"/>
      <c r="CY423" s="15"/>
      <c r="CZ423" s="15"/>
      <c r="DA423" s="15"/>
      <c r="DB423" s="15"/>
      <c r="DC423" s="15"/>
      <c r="DD423" s="15"/>
      <c r="DE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61"/>
      <c r="BK424" s="15"/>
      <c r="BL424" s="15"/>
      <c r="BM424" s="15"/>
      <c r="BN424" s="15"/>
      <c r="BO424" s="15"/>
      <c r="BP424" s="15"/>
      <c r="BQ424" s="15"/>
      <c r="BR424" s="15"/>
      <c r="BS424" s="15"/>
      <c r="BT424" s="15"/>
      <c r="BU424" s="15"/>
      <c r="BV424" s="15"/>
      <c r="BW424" s="15"/>
      <c r="BX424" s="15"/>
      <c r="BY424" s="15"/>
      <c r="BZ424" s="15"/>
      <c r="CA424" s="15"/>
      <c r="CB424" s="15"/>
      <c r="CC424" s="15"/>
      <c r="CD424" s="15"/>
      <c r="CE424" s="15"/>
      <c r="CF424" s="15"/>
      <c r="CG424" s="15"/>
      <c r="CH424" s="15"/>
      <c r="CI424" s="15"/>
      <c r="CJ424" s="15"/>
      <c r="CK424" s="15"/>
      <c r="CL424" s="15"/>
      <c r="CM424" s="15"/>
      <c r="CN424" s="15"/>
      <c r="CO424" s="15"/>
      <c r="CP424" s="15"/>
      <c r="CQ424" s="15"/>
      <c r="CR424" s="15"/>
      <c r="CS424" s="73"/>
      <c r="CT424" s="15"/>
      <c r="CU424" s="15"/>
      <c r="CV424" s="15"/>
      <c r="CW424" s="15"/>
      <c r="CX424" s="15"/>
      <c r="CY424" s="15"/>
      <c r="CZ424" s="15"/>
      <c r="DA424" s="15"/>
      <c r="DB424" s="15"/>
      <c r="DC424" s="15"/>
      <c r="DD424" s="15"/>
      <c r="DE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61"/>
      <c r="BK425" s="15"/>
      <c r="BL425" s="15"/>
      <c r="BM425" s="15"/>
      <c r="BN425" s="15"/>
      <c r="BO425" s="15"/>
      <c r="BP425" s="15"/>
      <c r="BQ425" s="15"/>
      <c r="BR425" s="15"/>
      <c r="BS425" s="15"/>
      <c r="BT425" s="15"/>
      <c r="BU425" s="15"/>
      <c r="BV425" s="15"/>
      <c r="BW425" s="15"/>
      <c r="BX425" s="15"/>
      <c r="BY425" s="15"/>
      <c r="BZ425" s="15"/>
      <c r="CA425" s="15"/>
      <c r="CB425" s="15"/>
      <c r="CC425" s="15"/>
      <c r="CD425" s="15"/>
      <c r="CE425" s="15"/>
      <c r="CF425" s="15"/>
      <c r="CG425" s="15"/>
      <c r="CH425" s="15"/>
      <c r="CI425" s="15"/>
      <c r="CJ425" s="15"/>
      <c r="CK425" s="15"/>
      <c r="CL425" s="15"/>
      <c r="CM425" s="15"/>
      <c r="CN425" s="15"/>
      <c r="CO425" s="15"/>
      <c r="CP425" s="15"/>
      <c r="CQ425" s="15"/>
      <c r="CR425" s="15"/>
      <c r="CS425" s="73"/>
      <c r="CT425" s="15"/>
      <c r="CU425" s="15"/>
      <c r="CV425" s="15"/>
      <c r="CW425" s="15"/>
      <c r="CX425" s="15"/>
      <c r="CY425" s="15"/>
      <c r="CZ425" s="15"/>
      <c r="DA425" s="15"/>
      <c r="DB425" s="15"/>
      <c r="DC425" s="15"/>
      <c r="DD425" s="15"/>
      <c r="DE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61"/>
      <c r="BK426" s="15"/>
      <c r="BL426" s="15"/>
      <c r="BM426" s="15"/>
      <c r="BN426" s="15"/>
      <c r="BO426" s="15"/>
      <c r="BP426" s="15"/>
      <c r="BQ426" s="15"/>
      <c r="BR426" s="15"/>
      <c r="BS426" s="15"/>
      <c r="BT426" s="15"/>
      <c r="BU426" s="15"/>
      <c r="BV426" s="15"/>
      <c r="BW426" s="15"/>
      <c r="BX426" s="15"/>
      <c r="BY426" s="15"/>
      <c r="BZ426" s="15"/>
      <c r="CA426" s="15"/>
      <c r="CB426" s="15"/>
      <c r="CC426" s="15"/>
      <c r="CD426" s="15"/>
      <c r="CE426" s="15"/>
      <c r="CF426" s="15"/>
      <c r="CG426" s="15"/>
      <c r="CH426" s="15"/>
      <c r="CI426" s="15"/>
      <c r="CJ426" s="15"/>
      <c r="CK426" s="15"/>
      <c r="CL426" s="15"/>
      <c r="CM426" s="15"/>
      <c r="CN426" s="15"/>
      <c r="CO426" s="15"/>
      <c r="CP426" s="15"/>
      <c r="CQ426" s="15"/>
      <c r="CR426" s="15"/>
      <c r="CS426" s="73"/>
      <c r="CT426" s="15"/>
      <c r="CU426" s="15"/>
      <c r="CV426" s="15"/>
      <c r="CW426" s="15"/>
      <c r="CX426" s="15"/>
      <c r="CY426" s="15"/>
      <c r="CZ426" s="15"/>
      <c r="DA426" s="15"/>
      <c r="DB426" s="15"/>
      <c r="DC426" s="15"/>
      <c r="DD426" s="15"/>
      <c r="DE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61"/>
      <c r="BK427" s="15"/>
      <c r="BL427" s="15"/>
      <c r="BM427" s="15"/>
      <c r="BN427" s="15"/>
      <c r="BO427" s="15"/>
      <c r="BP427" s="15"/>
      <c r="BQ427" s="15"/>
      <c r="BR427" s="15"/>
      <c r="BS427" s="15"/>
      <c r="BT427" s="15"/>
      <c r="BU427" s="15"/>
      <c r="BV427" s="15"/>
      <c r="BW427" s="15"/>
      <c r="BX427" s="15"/>
      <c r="BY427" s="15"/>
      <c r="BZ427" s="15"/>
      <c r="CA427" s="15"/>
      <c r="CB427" s="15"/>
      <c r="CC427" s="15"/>
      <c r="CD427" s="15"/>
      <c r="CE427" s="15"/>
      <c r="CF427" s="15"/>
      <c r="CG427" s="15"/>
      <c r="CH427" s="15"/>
      <c r="CI427" s="15"/>
      <c r="CJ427" s="15"/>
      <c r="CK427" s="15"/>
      <c r="CL427" s="15"/>
      <c r="CM427" s="15"/>
      <c r="CN427" s="15"/>
      <c r="CO427" s="15"/>
      <c r="CP427" s="15"/>
      <c r="CQ427" s="15"/>
      <c r="CR427" s="15"/>
      <c r="CS427" s="73"/>
      <c r="CT427" s="15"/>
      <c r="CU427" s="15"/>
      <c r="CV427" s="15"/>
      <c r="CW427" s="15"/>
      <c r="CX427" s="15"/>
      <c r="CY427" s="15"/>
      <c r="CZ427" s="15"/>
      <c r="DA427" s="15"/>
      <c r="DB427" s="15"/>
      <c r="DC427" s="15"/>
      <c r="DD427" s="15"/>
      <c r="DE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61"/>
      <c r="BK428" s="15"/>
      <c r="BL428" s="15"/>
      <c r="BM428" s="15"/>
      <c r="BN428" s="15"/>
      <c r="BO428" s="15"/>
      <c r="BP428" s="15"/>
      <c r="BQ428" s="15"/>
      <c r="BR428" s="15"/>
      <c r="BS428" s="15"/>
      <c r="BT428" s="15"/>
      <c r="BU428" s="15"/>
      <c r="BV428" s="15"/>
      <c r="BW428" s="15"/>
      <c r="BX428" s="15"/>
      <c r="BY428" s="15"/>
      <c r="BZ428" s="15"/>
      <c r="CA428" s="15"/>
      <c r="CB428" s="15"/>
      <c r="CC428" s="15"/>
      <c r="CD428" s="15"/>
      <c r="CE428" s="15"/>
      <c r="CF428" s="15"/>
      <c r="CG428" s="15"/>
      <c r="CH428" s="15"/>
      <c r="CI428" s="15"/>
      <c r="CJ428" s="15"/>
      <c r="CK428" s="15"/>
      <c r="CL428" s="15"/>
      <c r="CM428" s="15"/>
      <c r="CN428" s="15"/>
      <c r="CO428" s="15"/>
      <c r="CP428" s="15"/>
      <c r="CQ428" s="15"/>
      <c r="CR428" s="15"/>
      <c r="CS428" s="73"/>
      <c r="CT428" s="15"/>
      <c r="CU428" s="15"/>
      <c r="CV428" s="15"/>
      <c r="CW428" s="15"/>
      <c r="CX428" s="15"/>
      <c r="CY428" s="15"/>
      <c r="CZ428" s="15"/>
      <c r="DA428" s="15"/>
      <c r="DB428" s="15"/>
      <c r="DC428" s="15"/>
      <c r="DD428" s="15"/>
      <c r="DE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61"/>
      <c r="BK429" s="15"/>
      <c r="BL429" s="15"/>
      <c r="BM429" s="15"/>
      <c r="BN429" s="15"/>
      <c r="BO429" s="15"/>
      <c r="BP429" s="15"/>
      <c r="BQ429" s="15"/>
      <c r="BR429" s="15"/>
      <c r="BS429" s="15"/>
      <c r="BT429" s="15"/>
      <c r="BU429" s="15"/>
      <c r="BV429" s="15"/>
      <c r="BW429" s="15"/>
      <c r="BX429" s="15"/>
      <c r="BY429" s="15"/>
      <c r="BZ429" s="15"/>
      <c r="CA429" s="15"/>
      <c r="CB429" s="15"/>
      <c r="CC429" s="15"/>
      <c r="CD429" s="15"/>
      <c r="CE429" s="15"/>
      <c r="CF429" s="15"/>
      <c r="CG429" s="15"/>
      <c r="CH429" s="15"/>
      <c r="CI429" s="15"/>
      <c r="CJ429" s="15"/>
      <c r="CK429" s="15"/>
      <c r="CL429" s="15"/>
      <c r="CM429" s="15"/>
      <c r="CN429" s="15"/>
      <c r="CO429" s="15"/>
      <c r="CP429" s="15"/>
      <c r="CQ429" s="15"/>
      <c r="CR429" s="15"/>
      <c r="CS429" s="73"/>
      <c r="CT429" s="15"/>
      <c r="CU429" s="15"/>
      <c r="CV429" s="15"/>
      <c r="CW429" s="15"/>
      <c r="CX429" s="15"/>
      <c r="CY429" s="15"/>
      <c r="CZ429" s="15"/>
      <c r="DA429" s="15"/>
      <c r="DB429" s="15"/>
      <c r="DC429" s="15"/>
      <c r="DD429" s="15"/>
      <c r="DE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61"/>
      <c r="BK430" s="15"/>
      <c r="BL430" s="15"/>
      <c r="BM430" s="15"/>
      <c r="BN430" s="15"/>
      <c r="BO430" s="15"/>
      <c r="BP430" s="15"/>
      <c r="BQ430" s="15"/>
      <c r="BR430" s="15"/>
      <c r="BS430" s="15"/>
      <c r="BT430" s="15"/>
      <c r="BU430" s="15"/>
      <c r="BV430" s="15"/>
      <c r="BW430" s="15"/>
      <c r="BX430" s="15"/>
      <c r="BY430" s="15"/>
      <c r="BZ430" s="15"/>
      <c r="CA430" s="15"/>
      <c r="CB430" s="15"/>
      <c r="CC430" s="15"/>
      <c r="CD430" s="15"/>
      <c r="CE430" s="15"/>
      <c r="CF430" s="15"/>
      <c r="CG430" s="15"/>
      <c r="CH430" s="15"/>
      <c r="CI430" s="15"/>
      <c r="CJ430" s="15"/>
      <c r="CK430" s="15"/>
      <c r="CL430" s="15"/>
      <c r="CM430" s="15"/>
      <c r="CN430" s="15"/>
      <c r="CO430" s="15"/>
      <c r="CP430" s="15"/>
      <c r="CQ430" s="15"/>
      <c r="CR430" s="15"/>
      <c r="CS430" s="73"/>
      <c r="CT430" s="15"/>
      <c r="CU430" s="15"/>
      <c r="CV430" s="15"/>
      <c r="CW430" s="15"/>
      <c r="CX430" s="15"/>
      <c r="CY430" s="15"/>
      <c r="CZ430" s="15"/>
      <c r="DA430" s="15"/>
      <c r="DB430" s="15"/>
      <c r="DC430" s="15"/>
      <c r="DD430" s="15"/>
      <c r="DE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61"/>
      <c r="BK431" s="15"/>
      <c r="BL431" s="15"/>
      <c r="BM431" s="15"/>
      <c r="BN431" s="15"/>
      <c r="BO431" s="15"/>
      <c r="BP431" s="15"/>
      <c r="BQ431" s="15"/>
      <c r="BR431" s="15"/>
      <c r="BS431" s="15"/>
      <c r="BT431" s="15"/>
      <c r="BU431" s="15"/>
      <c r="BV431" s="15"/>
      <c r="BW431" s="15"/>
      <c r="BX431" s="15"/>
      <c r="BY431" s="15"/>
      <c r="BZ431" s="15"/>
      <c r="CA431" s="15"/>
      <c r="CB431" s="15"/>
      <c r="CC431" s="15"/>
      <c r="CD431" s="15"/>
      <c r="CE431" s="15"/>
      <c r="CF431" s="15"/>
      <c r="CG431" s="15"/>
      <c r="CH431" s="15"/>
      <c r="CI431" s="15"/>
      <c r="CJ431" s="15"/>
      <c r="CK431" s="15"/>
      <c r="CL431" s="15"/>
      <c r="CM431" s="15"/>
      <c r="CN431" s="15"/>
      <c r="CO431" s="15"/>
      <c r="CP431" s="15"/>
      <c r="CQ431" s="15"/>
      <c r="CR431" s="15"/>
      <c r="CS431" s="73"/>
      <c r="CT431" s="15"/>
      <c r="CU431" s="15"/>
      <c r="CV431" s="15"/>
      <c r="CW431" s="15"/>
      <c r="CX431" s="15"/>
      <c r="CY431" s="15"/>
      <c r="CZ431" s="15"/>
      <c r="DA431" s="15"/>
      <c r="DB431" s="15"/>
      <c r="DC431" s="15"/>
      <c r="DD431" s="15"/>
      <c r="DE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61"/>
      <c r="BK432" s="15"/>
      <c r="BL432" s="15"/>
      <c r="BM432" s="15"/>
      <c r="BN432" s="15"/>
      <c r="BO432" s="15"/>
      <c r="BP432" s="15"/>
      <c r="BQ432" s="15"/>
      <c r="BR432" s="15"/>
      <c r="BS432" s="15"/>
      <c r="BT432" s="15"/>
      <c r="BU432" s="15"/>
      <c r="BV432" s="15"/>
      <c r="BW432" s="15"/>
      <c r="BX432" s="15"/>
      <c r="BY432" s="15"/>
      <c r="BZ432" s="15"/>
      <c r="CA432" s="15"/>
      <c r="CB432" s="15"/>
      <c r="CC432" s="15"/>
      <c r="CD432" s="15"/>
      <c r="CE432" s="15"/>
      <c r="CF432" s="15"/>
      <c r="CG432" s="15"/>
      <c r="CH432" s="15"/>
      <c r="CI432" s="15"/>
      <c r="CJ432" s="15"/>
      <c r="CK432" s="15"/>
      <c r="CL432" s="15"/>
      <c r="CM432" s="15"/>
      <c r="CN432" s="15"/>
      <c r="CO432" s="15"/>
      <c r="CP432" s="15"/>
      <c r="CQ432" s="15"/>
      <c r="CR432" s="15"/>
      <c r="CS432" s="73"/>
      <c r="CT432" s="15"/>
      <c r="CU432" s="15"/>
      <c r="CV432" s="15"/>
      <c r="CW432" s="15"/>
      <c r="CX432" s="15"/>
      <c r="CY432" s="15"/>
      <c r="CZ432" s="15"/>
      <c r="DA432" s="15"/>
      <c r="DB432" s="15"/>
      <c r="DC432" s="15"/>
      <c r="DD432" s="15"/>
      <c r="DE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61"/>
      <c r="BK433" s="15"/>
      <c r="BL433" s="15"/>
      <c r="BM433" s="15"/>
      <c r="BN433" s="15"/>
      <c r="BO433" s="15"/>
      <c r="BP433" s="15"/>
      <c r="BQ433" s="15"/>
      <c r="BR433" s="15"/>
      <c r="BS433" s="15"/>
      <c r="BT433" s="15"/>
      <c r="BU433" s="15"/>
      <c r="BV433" s="15"/>
      <c r="BW433" s="15"/>
      <c r="BX433" s="15"/>
      <c r="BY433" s="15"/>
      <c r="BZ433" s="15"/>
      <c r="CA433" s="15"/>
      <c r="CB433" s="15"/>
      <c r="CC433" s="15"/>
      <c r="CD433" s="15"/>
      <c r="CE433" s="15"/>
      <c r="CF433" s="15"/>
      <c r="CG433" s="15"/>
      <c r="CH433" s="15"/>
      <c r="CI433" s="15"/>
      <c r="CJ433" s="15"/>
      <c r="CK433" s="15"/>
      <c r="CL433" s="15"/>
      <c r="CM433" s="15"/>
      <c r="CN433" s="15"/>
      <c r="CO433" s="15"/>
      <c r="CP433" s="15"/>
      <c r="CQ433" s="15"/>
      <c r="CR433" s="15"/>
      <c r="CS433" s="73"/>
      <c r="CT433" s="15"/>
      <c r="CU433" s="15"/>
      <c r="CV433" s="15"/>
      <c r="CW433" s="15"/>
      <c r="CX433" s="15"/>
      <c r="CY433" s="15"/>
      <c r="CZ433" s="15"/>
      <c r="DA433" s="15"/>
      <c r="DB433" s="15"/>
      <c r="DC433" s="15"/>
      <c r="DD433" s="15"/>
      <c r="DE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61"/>
      <c r="BK434" s="15"/>
      <c r="BL434" s="15"/>
      <c r="BM434" s="15"/>
      <c r="BN434" s="15"/>
      <c r="BO434" s="15"/>
      <c r="BP434" s="15"/>
      <c r="BQ434" s="15"/>
      <c r="BR434" s="15"/>
      <c r="BS434" s="15"/>
      <c r="BT434" s="15"/>
      <c r="BU434" s="15"/>
      <c r="BV434" s="15"/>
      <c r="BW434" s="15"/>
      <c r="BX434" s="15"/>
      <c r="BY434" s="15"/>
      <c r="BZ434" s="15"/>
      <c r="CA434" s="15"/>
      <c r="CB434" s="15"/>
      <c r="CC434" s="15"/>
      <c r="CD434" s="15"/>
      <c r="CE434" s="15"/>
      <c r="CF434" s="15"/>
      <c r="CG434" s="15"/>
      <c r="CH434" s="15"/>
      <c r="CI434" s="15"/>
      <c r="CJ434" s="15"/>
      <c r="CK434" s="15"/>
      <c r="CL434" s="15"/>
      <c r="CM434" s="15"/>
      <c r="CN434" s="15"/>
      <c r="CO434" s="15"/>
      <c r="CP434" s="15"/>
      <c r="CQ434" s="15"/>
      <c r="CR434" s="15"/>
      <c r="CS434" s="73"/>
      <c r="CT434" s="15"/>
      <c r="CU434" s="15"/>
      <c r="CV434" s="15"/>
      <c r="CW434" s="15"/>
      <c r="CX434" s="15"/>
      <c r="CY434" s="15"/>
      <c r="CZ434" s="15"/>
      <c r="DA434" s="15"/>
      <c r="DB434" s="15"/>
      <c r="DC434" s="15"/>
      <c r="DD434" s="15"/>
      <c r="DE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61"/>
      <c r="BK435" s="15"/>
      <c r="BL435" s="15"/>
      <c r="BM435" s="15"/>
      <c r="BN435" s="15"/>
      <c r="BO435" s="15"/>
      <c r="BP435" s="15"/>
      <c r="BQ435" s="15"/>
      <c r="BR435" s="15"/>
      <c r="BS435" s="15"/>
      <c r="BT435" s="15"/>
      <c r="BU435" s="15"/>
      <c r="BV435" s="15"/>
      <c r="BW435" s="15"/>
      <c r="BX435" s="15"/>
      <c r="BY435" s="15"/>
      <c r="BZ435" s="15"/>
      <c r="CA435" s="15"/>
      <c r="CB435" s="15"/>
      <c r="CC435" s="15"/>
      <c r="CD435" s="15"/>
      <c r="CE435" s="15"/>
      <c r="CF435" s="15"/>
      <c r="CG435" s="15"/>
      <c r="CH435" s="15"/>
      <c r="CI435" s="15"/>
      <c r="CJ435" s="15"/>
      <c r="CK435" s="15"/>
      <c r="CL435" s="15"/>
      <c r="CM435" s="15"/>
      <c r="CN435" s="15"/>
      <c r="CO435" s="15"/>
      <c r="CP435" s="15"/>
      <c r="CQ435" s="15"/>
      <c r="CR435" s="15"/>
      <c r="CS435" s="73"/>
      <c r="CT435" s="15"/>
      <c r="CU435" s="15"/>
      <c r="CV435" s="15"/>
      <c r="CW435" s="15"/>
      <c r="CX435" s="15"/>
      <c r="CY435" s="15"/>
      <c r="CZ435" s="15"/>
      <c r="DA435" s="15"/>
      <c r="DB435" s="15"/>
      <c r="DC435" s="15"/>
      <c r="DD435" s="15"/>
      <c r="DE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61"/>
      <c r="BK436" s="15"/>
      <c r="BL436" s="15"/>
      <c r="BM436" s="15"/>
      <c r="BN436" s="15"/>
      <c r="BO436" s="15"/>
      <c r="BP436" s="15"/>
      <c r="BQ436" s="15"/>
      <c r="BR436" s="15"/>
      <c r="BS436" s="15"/>
      <c r="BT436" s="15"/>
      <c r="BU436" s="15"/>
      <c r="BV436" s="15"/>
      <c r="BW436" s="15"/>
      <c r="BX436" s="15"/>
      <c r="BY436" s="15"/>
      <c r="BZ436" s="15"/>
      <c r="CA436" s="15"/>
      <c r="CB436" s="15"/>
      <c r="CC436" s="15"/>
      <c r="CD436" s="15"/>
      <c r="CE436" s="15"/>
      <c r="CF436" s="15"/>
      <c r="CG436" s="15"/>
      <c r="CH436" s="15"/>
      <c r="CI436" s="15"/>
      <c r="CJ436" s="15"/>
      <c r="CK436" s="15"/>
      <c r="CL436" s="15"/>
      <c r="CM436" s="15"/>
      <c r="CN436" s="15"/>
      <c r="CO436" s="15"/>
      <c r="CP436" s="15"/>
      <c r="CQ436" s="15"/>
      <c r="CR436" s="15"/>
      <c r="CS436" s="73"/>
      <c r="CT436" s="15"/>
      <c r="CU436" s="15"/>
      <c r="CV436" s="15"/>
      <c r="CW436" s="15"/>
      <c r="CX436" s="15"/>
      <c r="CY436" s="15"/>
      <c r="CZ436" s="15"/>
      <c r="DA436" s="15"/>
      <c r="DB436" s="15"/>
      <c r="DC436" s="15"/>
      <c r="DD436" s="15"/>
      <c r="DE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61"/>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73"/>
      <c r="CT437" s="15"/>
      <c r="CU437" s="15"/>
      <c r="CV437" s="15"/>
      <c r="CW437" s="15"/>
      <c r="CX437" s="15"/>
      <c r="CY437" s="15"/>
      <c r="CZ437" s="15"/>
      <c r="DA437" s="15"/>
      <c r="DB437" s="15"/>
      <c r="DC437" s="15"/>
      <c r="DD437" s="15"/>
      <c r="DE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61"/>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73"/>
      <c r="CT438" s="15"/>
      <c r="CU438" s="15"/>
      <c r="CV438" s="15"/>
      <c r="CW438" s="15"/>
      <c r="CX438" s="15"/>
      <c r="CY438" s="15"/>
      <c r="CZ438" s="15"/>
      <c r="DA438" s="15"/>
      <c r="DB438" s="15"/>
      <c r="DC438" s="15"/>
      <c r="DD438" s="15"/>
      <c r="DE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61"/>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73"/>
      <c r="CT439" s="15"/>
      <c r="CU439" s="15"/>
      <c r="CV439" s="15"/>
      <c r="CW439" s="15"/>
      <c r="CX439" s="15"/>
      <c r="CY439" s="15"/>
      <c r="CZ439" s="15"/>
      <c r="DA439" s="15"/>
      <c r="DB439" s="15"/>
      <c r="DC439" s="15"/>
      <c r="DD439" s="15"/>
      <c r="DE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61"/>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73"/>
      <c r="CT440" s="15"/>
      <c r="CU440" s="15"/>
      <c r="CV440" s="15"/>
      <c r="CW440" s="15"/>
      <c r="CX440" s="15"/>
      <c r="CY440" s="15"/>
      <c r="CZ440" s="15"/>
      <c r="DA440" s="15"/>
      <c r="DB440" s="15"/>
      <c r="DC440" s="15"/>
      <c r="DD440" s="15"/>
      <c r="DE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61"/>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73"/>
      <c r="CT441" s="15"/>
      <c r="CU441" s="15"/>
      <c r="CV441" s="15"/>
      <c r="CW441" s="15"/>
      <c r="CX441" s="15"/>
      <c r="CY441" s="15"/>
      <c r="CZ441" s="15"/>
      <c r="DA441" s="15"/>
      <c r="DB441" s="15"/>
      <c r="DC441" s="15"/>
      <c r="DD441" s="15"/>
      <c r="DE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61"/>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73"/>
      <c r="CT442" s="15"/>
      <c r="CU442" s="15"/>
      <c r="CV442" s="15"/>
      <c r="CW442" s="15"/>
      <c r="CX442" s="15"/>
      <c r="CY442" s="15"/>
      <c r="CZ442" s="15"/>
      <c r="DA442" s="15"/>
      <c r="DB442" s="15"/>
      <c r="DC442" s="15"/>
      <c r="DD442" s="15"/>
      <c r="DE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61"/>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73"/>
      <c r="CT443" s="15"/>
      <c r="CU443" s="15"/>
      <c r="CV443" s="15"/>
      <c r="CW443" s="15"/>
      <c r="CX443" s="15"/>
      <c r="CY443" s="15"/>
      <c r="CZ443" s="15"/>
      <c r="DA443" s="15"/>
      <c r="DB443" s="15"/>
      <c r="DC443" s="15"/>
      <c r="DD443" s="15"/>
      <c r="DE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61"/>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73"/>
      <c r="CT444" s="15"/>
      <c r="CU444" s="15"/>
      <c r="CV444" s="15"/>
      <c r="CW444" s="15"/>
      <c r="CX444" s="15"/>
      <c r="CY444" s="15"/>
      <c r="CZ444" s="15"/>
      <c r="DA444" s="15"/>
      <c r="DB444" s="15"/>
      <c r="DC444" s="15"/>
      <c r="DD444" s="15"/>
      <c r="DE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61"/>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73"/>
      <c r="CT445" s="15"/>
      <c r="CU445" s="15"/>
      <c r="CV445" s="15"/>
      <c r="CW445" s="15"/>
      <c r="CX445" s="15"/>
      <c r="CY445" s="15"/>
      <c r="CZ445" s="15"/>
      <c r="DA445" s="15"/>
      <c r="DB445" s="15"/>
      <c r="DC445" s="15"/>
      <c r="DD445" s="15"/>
      <c r="DE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61"/>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73"/>
      <c r="CT446" s="15"/>
      <c r="CU446" s="15"/>
      <c r="CV446" s="15"/>
      <c r="CW446" s="15"/>
      <c r="CX446" s="15"/>
      <c r="CY446" s="15"/>
      <c r="CZ446" s="15"/>
      <c r="DA446" s="15"/>
      <c r="DB446" s="15"/>
      <c r="DC446" s="15"/>
      <c r="DD446" s="15"/>
      <c r="DE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61"/>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73"/>
      <c r="CT447" s="15"/>
      <c r="CU447" s="15"/>
      <c r="CV447" s="15"/>
      <c r="CW447" s="15"/>
      <c r="CX447" s="15"/>
      <c r="CY447" s="15"/>
      <c r="CZ447" s="15"/>
      <c r="DA447" s="15"/>
      <c r="DB447" s="15"/>
      <c r="DC447" s="15"/>
      <c r="DD447" s="15"/>
      <c r="DE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61"/>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73"/>
      <c r="CT448" s="15"/>
      <c r="CU448" s="15"/>
      <c r="CV448" s="15"/>
      <c r="CW448" s="15"/>
      <c r="CX448" s="15"/>
      <c r="CY448" s="15"/>
      <c r="CZ448" s="15"/>
      <c r="DA448" s="15"/>
      <c r="DB448" s="15"/>
      <c r="DC448" s="15"/>
      <c r="DD448" s="15"/>
      <c r="DE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61"/>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73"/>
      <c r="CT449" s="15"/>
      <c r="CU449" s="15"/>
      <c r="CV449" s="15"/>
      <c r="CW449" s="15"/>
      <c r="CX449" s="15"/>
      <c r="CY449" s="15"/>
      <c r="CZ449" s="15"/>
      <c r="DA449" s="15"/>
      <c r="DB449" s="15"/>
      <c r="DC449" s="15"/>
      <c r="DD449" s="15"/>
      <c r="DE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61"/>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73"/>
      <c r="CT450" s="15"/>
      <c r="CU450" s="15"/>
      <c r="CV450" s="15"/>
      <c r="CW450" s="15"/>
      <c r="CX450" s="15"/>
      <c r="CY450" s="15"/>
      <c r="CZ450" s="15"/>
      <c r="DA450" s="15"/>
      <c r="DB450" s="15"/>
      <c r="DC450" s="15"/>
      <c r="DD450" s="15"/>
      <c r="DE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61"/>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73"/>
      <c r="CT451" s="15"/>
      <c r="CU451" s="15"/>
      <c r="CV451" s="15"/>
      <c r="CW451" s="15"/>
      <c r="CX451" s="15"/>
      <c r="CY451" s="15"/>
      <c r="CZ451" s="15"/>
      <c r="DA451" s="15"/>
      <c r="DB451" s="15"/>
      <c r="DC451" s="15"/>
      <c r="DD451" s="15"/>
      <c r="DE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61"/>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73"/>
      <c r="CT452" s="15"/>
      <c r="CU452" s="15"/>
      <c r="CV452" s="15"/>
      <c r="CW452" s="15"/>
      <c r="CX452" s="15"/>
      <c r="CY452" s="15"/>
      <c r="CZ452" s="15"/>
      <c r="DA452" s="15"/>
      <c r="DB452" s="15"/>
      <c r="DC452" s="15"/>
      <c r="DD452" s="15"/>
      <c r="DE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61"/>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73"/>
      <c r="CT453" s="15"/>
      <c r="CU453" s="15"/>
      <c r="CV453" s="15"/>
      <c r="CW453" s="15"/>
      <c r="CX453" s="15"/>
      <c r="CY453" s="15"/>
      <c r="CZ453" s="15"/>
      <c r="DA453" s="15"/>
      <c r="DB453" s="15"/>
      <c r="DC453" s="15"/>
      <c r="DD453" s="15"/>
      <c r="DE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61"/>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73"/>
      <c r="CT454" s="15"/>
      <c r="CU454" s="15"/>
      <c r="CV454" s="15"/>
      <c r="CW454" s="15"/>
      <c r="CX454" s="15"/>
      <c r="CY454" s="15"/>
      <c r="CZ454" s="15"/>
      <c r="DA454" s="15"/>
      <c r="DB454" s="15"/>
      <c r="DC454" s="15"/>
      <c r="DD454" s="15"/>
      <c r="DE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61"/>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73"/>
      <c r="CT455" s="15"/>
      <c r="CU455" s="15"/>
      <c r="CV455" s="15"/>
      <c r="CW455" s="15"/>
      <c r="CX455" s="15"/>
      <c r="CY455" s="15"/>
      <c r="CZ455" s="15"/>
      <c r="DA455" s="15"/>
      <c r="DB455" s="15"/>
      <c r="DC455" s="15"/>
      <c r="DD455" s="15"/>
      <c r="DE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61"/>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73"/>
      <c r="CT456" s="15"/>
      <c r="CU456" s="15"/>
      <c r="CV456" s="15"/>
      <c r="CW456" s="15"/>
      <c r="CX456" s="15"/>
      <c r="CY456" s="15"/>
      <c r="CZ456" s="15"/>
      <c r="DA456" s="15"/>
      <c r="DB456" s="15"/>
      <c r="DC456" s="15"/>
      <c r="DD456" s="15"/>
      <c r="DE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61"/>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73"/>
      <c r="CT457" s="15"/>
      <c r="CU457" s="15"/>
      <c r="CV457" s="15"/>
      <c r="CW457" s="15"/>
      <c r="CX457" s="15"/>
      <c r="CY457" s="15"/>
      <c r="CZ457" s="15"/>
      <c r="DA457" s="15"/>
      <c r="DB457" s="15"/>
      <c r="DC457" s="15"/>
      <c r="DD457" s="15"/>
      <c r="DE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61"/>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73"/>
      <c r="CT458" s="15"/>
      <c r="CU458" s="15"/>
      <c r="CV458" s="15"/>
      <c r="CW458" s="15"/>
      <c r="CX458" s="15"/>
      <c r="CY458" s="15"/>
      <c r="CZ458" s="15"/>
      <c r="DA458" s="15"/>
      <c r="DB458" s="15"/>
      <c r="DC458" s="15"/>
      <c r="DD458" s="15"/>
      <c r="DE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61"/>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73"/>
      <c r="CT459" s="15"/>
      <c r="CU459" s="15"/>
      <c r="CV459" s="15"/>
      <c r="CW459" s="15"/>
      <c r="CX459" s="15"/>
      <c r="CY459" s="15"/>
      <c r="CZ459" s="15"/>
      <c r="DA459" s="15"/>
      <c r="DB459" s="15"/>
      <c r="DC459" s="15"/>
      <c r="DD459" s="15"/>
      <c r="DE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61"/>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73"/>
      <c r="CT460" s="15"/>
      <c r="CU460" s="15"/>
      <c r="CV460" s="15"/>
      <c r="CW460" s="15"/>
      <c r="CX460" s="15"/>
      <c r="CY460" s="15"/>
      <c r="CZ460" s="15"/>
      <c r="DA460" s="15"/>
      <c r="DB460" s="15"/>
      <c r="DC460" s="15"/>
      <c r="DD460" s="15"/>
      <c r="DE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61"/>
      <c r="BK461" s="15"/>
      <c r="BL461" s="15"/>
      <c r="BM461" s="15"/>
      <c r="BN461" s="15"/>
      <c r="BO461" s="15"/>
      <c r="BP461" s="15"/>
      <c r="BQ461" s="15"/>
      <c r="BR461" s="15"/>
      <c r="BS461" s="15"/>
      <c r="BT461" s="15"/>
      <c r="BU461" s="15"/>
      <c r="BV461" s="15"/>
      <c r="BW461" s="15"/>
      <c r="BX461" s="15"/>
      <c r="BY461" s="15"/>
      <c r="BZ461" s="15"/>
      <c r="CA461" s="15"/>
      <c r="CB461" s="15"/>
      <c r="CC461" s="15"/>
      <c r="CD461" s="15"/>
      <c r="CE461" s="15"/>
      <c r="CF461" s="15"/>
      <c r="CG461" s="15"/>
      <c r="CH461" s="15"/>
      <c r="CI461" s="15"/>
      <c r="CJ461" s="15"/>
      <c r="CK461" s="15"/>
      <c r="CL461" s="15"/>
      <c r="CM461" s="15"/>
      <c r="CN461" s="15"/>
      <c r="CO461" s="15"/>
      <c r="CP461" s="15"/>
      <c r="CQ461" s="15"/>
      <c r="CR461" s="15"/>
      <c r="CS461" s="73"/>
      <c r="CT461" s="15"/>
      <c r="CU461" s="15"/>
      <c r="CV461" s="15"/>
      <c r="CW461" s="15"/>
      <c r="CX461" s="15"/>
      <c r="CY461" s="15"/>
      <c r="CZ461" s="15"/>
      <c r="DA461" s="15"/>
      <c r="DB461" s="15"/>
      <c r="DC461" s="15"/>
      <c r="DD461" s="15"/>
      <c r="DE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61"/>
      <c r="BK462" s="15"/>
      <c r="BL462" s="15"/>
      <c r="BM462" s="15"/>
      <c r="BN462" s="15"/>
      <c r="BO462" s="15"/>
      <c r="BP462" s="15"/>
      <c r="BQ462" s="15"/>
      <c r="BR462" s="15"/>
      <c r="BS462" s="15"/>
      <c r="BT462" s="15"/>
      <c r="BU462" s="15"/>
      <c r="BV462" s="15"/>
      <c r="BW462" s="15"/>
      <c r="BX462" s="15"/>
      <c r="BY462" s="15"/>
      <c r="BZ462" s="15"/>
      <c r="CA462" s="15"/>
      <c r="CB462" s="15"/>
      <c r="CC462" s="15"/>
      <c r="CD462" s="15"/>
      <c r="CE462" s="15"/>
      <c r="CF462" s="15"/>
      <c r="CG462" s="15"/>
      <c r="CH462" s="15"/>
      <c r="CI462" s="15"/>
      <c r="CJ462" s="15"/>
      <c r="CK462" s="15"/>
      <c r="CL462" s="15"/>
      <c r="CM462" s="15"/>
      <c r="CN462" s="15"/>
      <c r="CO462" s="15"/>
      <c r="CP462" s="15"/>
      <c r="CQ462" s="15"/>
      <c r="CR462" s="15"/>
      <c r="CS462" s="73"/>
      <c r="CT462" s="15"/>
      <c r="CU462" s="15"/>
      <c r="CV462" s="15"/>
      <c r="CW462" s="15"/>
      <c r="CX462" s="15"/>
      <c r="CY462" s="15"/>
      <c r="CZ462" s="15"/>
      <c r="DA462" s="15"/>
      <c r="DB462" s="15"/>
      <c r="DC462" s="15"/>
      <c r="DD462" s="15"/>
      <c r="DE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61"/>
      <c r="BK463" s="15"/>
      <c r="BL463" s="15"/>
      <c r="BM463" s="15"/>
      <c r="BN463" s="15"/>
      <c r="BO463" s="15"/>
      <c r="BP463" s="15"/>
      <c r="BQ463" s="15"/>
      <c r="BR463" s="15"/>
      <c r="BS463" s="15"/>
      <c r="BT463" s="15"/>
      <c r="BU463" s="15"/>
      <c r="BV463" s="15"/>
      <c r="BW463" s="15"/>
      <c r="BX463" s="15"/>
      <c r="BY463" s="15"/>
      <c r="BZ463" s="15"/>
      <c r="CA463" s="15"/>
      <c r="CB463" s="15"/>
      <c r="CC463" s="15"/>
      <c r="CD463" s="15"/>
      <c r="CE463" s="15"/>
      <c r="CF463" s="15"/>
      <c r="CG463" s="15"/>
      <c r="CH463" s="15"/>
      <c r="CI463" s="15"/>
      <c r="CJ463" s="15"/>
      <c r="CK463" s="15"/>
      <c r="CL463" s="15"/>
      <c r="CM463" s="15"/>
      <c r="CN463" s="15"/>
      <c r="CO463" s="15"/>
      <c r="CP463" s="15"/>
      <c r="CQ463" s="15"/>
      <c r="CR463" s="15"/>
      <c r="CS463" s="73"/>
      <c r="CT463" s="15"/>
      <c r="CU463" s="15"/>
      <c r="CV463" s="15"/>
      <c r="CW463" s="15"/>
      <c r="CX463" s="15"/>
      <c r="CY463" s="15"/>
      <c r="CZ463" s="15"/>
      <c r="DA463" s="15"/>
      <c r="DB463" s="15"/>
      <c r="DC463" s="15"/>
      <c r="DD463" s="15"/>
      <c r="DE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61"/>
      <c r="BK464" s="15"/>
      <c r="BL464" s="15"/>
      <c r="BM464" s="15"/>
      <c r="BN464" s="15"/>
      <c r="BO464" s="15"/>
      <c r="BP464" s="15"/>
      <c r="BQ464" s="15"/>
      <c r="BR464" s="15"/>
      <c r="BS464" s="15"/>
      <c r="BT464" s="15"/>
      <c r="BU464" s="15"/>
      <c r="BV464" s="15"/>
      <c r="BW464" s="15"/>
      <c r="BX464" s="15"/>
      <c r="BY464" s="15"/>
      <c r="BZ464" s="15"/>
      <c r="CA464" s="15"/>
      <c r="CB464" s="15"/>
      <c r="CC464" s="15"/>
      <c r="CD464" s="15"/>
      <c r="CE464" s="15"/>
      <c r="CF464" s="15"/>
      <c r="CG464" s="15"/>
      <c r="CH464" s="15"/>
      <c r="CI464" s="15"/>
      <c r="CJ464" s="15"/>
      <c r="CK464" s="15"/>
      <c r="CL464" s="15"/>
      <c r="CM464" s="15"/>
      <c r="CN464" s="15"/>
      <c r="CO464" s="15"/>
      <c r="CP464" s="15"/>
      <c r="CQ464" s="15"/>
      <c r="CR464" s="15"/>
      <c r="CS464" s="73"/>
      <c r="CT464" s="15"/>
      <c r="CU464" s="15"/>
      <c r="CV464" s="15"/>
      <c r="CW464" s="15"/>
      <c r="CX464" s="15"/>
      <c r="CY464" s="15"/>
      <c r="CZ464" s="15"/>
      <c r="DA464" s="15"/>
      <c r="DB464" s="15"/>
      <c r="DC464" s="15"/>
      <c r="DD464" s="15"/>
      <c r="DE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61"/>
      <c r="BK465" s="15"/>
      <c r="BL465" s="15"/>
      <c r="BM465" s="15"/>
      <c r="BN465" s="15"/>
      <c r="BO465" s="15"/>
      <c r="BP465" s="15"/>
      <c r="BQ465" s="15"/>
      <c r="BR465" s="15"/>
      <c r="BS465" s="15"/>
      <c r="BT465" s="15"/>
      <c r="BU465" s="15"/>
      <c r="BV465" s="15"/>
      <c r="BW465" s="15"/>
      <c r="BX465" s="15"/>
      <c r="BY465" s="15"/>
      <c r="BZ465" s="15"/>
      <c r="CA465" s="15"/>
      <c r="CB465" s="15"/>
      <c r="CC465" s="15"/>
      <c r="CD465" s="15"/>
      <c r="CE465" s="15"/>
      <c r="CF465" s="15"/>
      <c r="CG465" s="15"/>
      <c r="CH465" s="15"/>
      <c r="CI465" s="15"/>
      <c r="CJ465" s="15"/>
      <c r="CK465" s="15"/>
      <c r="CL465" s="15"/>
      <c r="CM465" s="15"/>
      <c r="CN465" s="15"/>
      <c r="CO465" s="15"/>
      <c r="CP465" s="15"/>
      <c r="CQ465" s="15"/>
      <c r="CR465" s="15"/>
      <c r="CS465" s="73"/>
      <c r="CT465" s="15"/>
      <c r="CU465" s="15"/>
      <c r="CV465" s="15"/>
      <c r="CW465" s="15"/>
      <c r="CX465" s="15"/>
      <c r="CY465" s="15"/>
      <c r="CZ465" s="15"/>
      <c r="DA465" s="15"/>
      <c r="DB465" s="15"/>
      <c r="DC465" s="15"/>
      <c r="DD465" s="15"/>
      <c r="DE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61"/>
      <c r="BK466" s="15"/>
      <c r="BL466" s="15"/>
      <c r="BM466" s="15"/>
      <c r="BN466" s="15"/>
      <c r="BO466" s="15"/>
      <c r="BP466" s="15"/>
      <c r="BQ466" s="15"/>
      <c r="BR466" s="15"/>
      <c r="BS466" s="15"/>
      <c r="BT466" s="15"/>
      <c r="BU466" s="15"/>
      <c r="BV466" s="15"/>
      <c r="BW466" s="15"/>
      <c r="BX466" s="15"/>
      <c r="BY466" s="15"/>
      <c r="BZ466" s="15"/>
      <c r="CA466" s="15"/>
      <c r="CB466" s="15"/>
      <c r="CC466" s="15"/>
      <c r="CD466" s="15"/>
      <c r="CE466" s="15"/>
      <c r="CF466" s="15"/>
      <c r="CG466" s="15"/>
      <c r="CH466" s="15"/>
      <c r="CI466" s="15"/>
      <c r="CJ466" s="15"/>
      <c r="CK466" s="15"/>
      <c r="CL466" s="15"/>
      <c r="CM466" s="15"/>
      <c r="CN466" s="15"/>
      <c r="CO466" s="15"/>
      <c r="CP466" s="15"/>
      <c r="CQ466" s="15"/>
      <c r="CR466" s="15"/>
      <c r="CS466" s="73"/>
      <c r="CT466" s="15"/>
      <c r="CU466" s="15"/>
      <c r="CV466" s="15"/>
      <c r="CW466" s="15"/>
      <c r="CX466" s="15"/>
      <c r="CY466" s="15"/>
      <c r="CZ466" s="15"/>
      <c r="DA466" s="15"/>
      <c r="DB466" s="15"/>
      <c r="DC466" s="15"/>
      <c r="DD466" s="15"/>
      <c r="DE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61"/>
      <c r="BK467" s="15"/>
      <c r="BL467" s="15"/>
      <c r="BM467" s="15"/>
      <c r="BN467" s="15"/>
      <c r="BO467" s="15"/>
      <c r="BP467" s="15"/>
      <c r="BQ467" s="15"/>
      <c r="BR467" s="15"/>
      <c r="BS467" s="15"/>
      <c r="BT467" s="15"/>
      <c r="BU467" s="15"/>
      <c r="BV467" s="15"/>
      <c r="BW467" s="15"/>
      <c r="BX467" s="15"/>
      <c r="BY467" s="15"/>
      <c r="BZ467" s="15"/>
      <c r="CA467" s="15"/>
      <c r="CB467" s="15"/>
      <c r="CC467" s="15"/>
      <c r="CD467" s="15"/>
      <c r="CE467" s="15"/>
      <c r="CF467" s="15"/>
      <c r="CG467" s="15"/>
      <c r="CH467" s="15"/>
      <c r="CI467" s="15"/>
      <c r="CJ467" s="15"/>
      <c r="CK467" s="15"/>
      <c r="CL467" s="15"/>
      <c r="CM467" s="15"/>
      <c r="CN467" s="15"/>
      <c r="CO467" s="15"/>
      <c r="CP467" s="15"/>
      <c r="CQ467" s="15"/>
      <c r="CR467" s="15"/>
      <c r="CS467" s="73"/>
      <c r="CT467" s="15"/>
      <c r="CU467" s="15"/>
      <c r="CV467" s="15"/>
      <c r="CW467" s="15"/>
      <c r="CX467" s="15"/>
      <c r="CY467" s="15"/>
      <c r="CZ467" s="15"/>
      <c r="DA467" s="15"/>
      <c r="DB467" s="15"/>
      <c r="DC467" s="15"/>
      <c r="DD467" s="15"/>
      <c r="DE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61"/>
      <c r="BK468" s="15"/>
      <c r="BL468" s="15"/>
      <c r="BM468" s="15"/>
      <c r="BN468" s="15"/>
      <c r="BO468" s="15"/>
      <c r="BP468" s="15"/>
      <c r="BQ468" s="15"/>
      <c r="BR468" s="15"/>
      <c r="BS468" s="15"/>
      <c r="BT468" s="15"/>
      <c r="BU468" s="15"/>
      <c r="BV468" s="15"/>
      <c r="BW468" s="15"/>
      <c r="BX468" s="15"/>
      <c r="BY468" s="15"/>
      <c r="BZ468" s="15"/>
      <c r="CA468" s="15"/>
      <c r="CB468" s="15"/>
      <c r="CC468" s="15"/>
      <c r="CD468" s="15"/>
      <c r="CE468" s="15"/>
      <c r="CF468" s="15"/>
      <c r="CG468" s="15"/>
      <c r="CH468" s="15"/>
      <c r="CI468" s="15"/>
      <c r="CJ468" s="15"/>
      <c r="CK468" s="15"/>
      <c r="CL468" s="15"/>
      <c r="CM468" s="15"/>
      <c r="CN468" s="15"/>
      <c r="CO468" s="15"/>
      <c r="CP468" s="15"/>
      <c r="CQ468" s="15"/>
      <c r="CR468" s="15"/>
      <c r="CS468" s="73"/>
      <c r="CT468" s="15"/>
      <c r="CU468" s="15"/>
      <c r="CV468" s="15"/>
      <c r="CW468" s="15"/>
      <c r="CX468" s="15"/>
      <c r="CY468" s="15"/>
      <c r="CZ468" s="15"/>
      <c r="DA468" s="15"/>
      <c r="DB468" s="15"/>
      <c r="DC468" s="15"/>
      <c r="DD468" s="15"/>
      <c r="DE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61"/>
      <c r="BK469" s="15"/>
      <c r="BL469" s="15"/>
      <c r="BM469" s="15"/>
      <c r="BN469" s="15"/>
      <c r="BO469" s="15"/>
      <c r="BP469" s="15"/>
      <c r="BQ469" s="15"/>
      <c r="BR469" s="15"/>
      <c r="BS469" s="15"/>
      <c r="BT469" s="15"/>
      <c r="BU469" s="15"/>
      <c r="BV469" s="15"/>
      <c r="BW469" s="15"/>
      <c r="BX469" s="15"/>
      <c r="BY469" s="15"/>
      <c r="BZ469" s="15"/>
      <c r="CA469" s="15"/>
      <c r="CB469" s="15"/>
      <c r="CC469" s="15"/>
      <c r="CD469" s="15"/>
      <c r="CE469" s="15"/>
      <c r="CF469" s="15"/>
      <c r="CG469" s="15"/>
      <c r="CH469" s="15"/>
      <c r="CI469" s="15"/>
      <c r="CJ469" s="15"/>
      <c r="CK469" s="15"/>
      <c r="CL469" s="15"/>
      <c r="CM469" s="15"/>
      <c r="CN469" s="15"/>
      <c r="CO469" s="15"/>
      <c r="CP469" s="15"/>
      <c r="CQ469" s="15"/>
      <c r="CR469" s="15"/>
      <c r="CS469" s="73"/>
      <c r="CT469" s="15"/>
      <c r="CU469" s="15"/>
      <c r="CV469" s="15"/>
      <c r="CW469" s="15"/>
      <c r="CX469" s="15"/>
      <c r="CY469" s="15"/>
      <c r="CZ469" s="15"/>
      <c r="DA469" s="15"/>
      <c r="DB469" s="15"/>
      <c r="DC469" s="15"/>
      <c r="DD469" s="15"/>
      <c r="DE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61"/>
      <c r="BK470" s="15"/>
      <c r="BL470" s="15"/>
      <c r="BM470" s="15"/>
      <c r="BN470" s="15"/>
      <c r="BO470" s="15"/>
      <c r="BP470" s="15"/>
      <c r="BQ470" s="15"/>
      <c r="BR470" s="15"/>
      <c r="BS470" s="15"/>
      <c r="BT470" s="15"/>
      <c r="BU470" s="15"/>
      <c r="BV470" s="15"/>
      <c r="BW470" s="15"/>
      <c r="BX470" s="15"/>
      <c r="BY470" s="15"/>
      <c r="BZ470" s="15"/>
      <c r="CA470" s="15"/>
      <c r="CB470" s="15"/>
      <c r="CC470" s="15"/>
      <c r="CD470" s="15"/>
      <c r="CE470" s="15"/>
      <c r="CF470" s="15"/>
      <c r="CG470" s="15"/>
      <c r="CH470" s="15"/>
      <c r="CI470" s="15"/>
      <c r="CJ470" s="15"/>
      <c r="CK470" s="15"/>
      <c r="CL470" s="15"/>
      <c r="CM470" s="15"/>
      <c r="CN470" s="15"/>
      <c r="CO470" s="15"/>
      <c r="CP470" s="15"/>
      <c r="CQ470" s="15"/>
      <c r="CR470" s="15"/>
      <c r="CS470" s="73"/>
      <c r="CT470" s="15"/>
      <c r="CU470" s="15"/>
      <c r="CV470" s="15"/>
      <c r="CW470" s="15"/>
      <c r="CX470" s="15"/>
      <c r="CY470" s="15"/>
      <c r="CZ470" s="15"/>
      <c r="DA470" s="15"/>
      <c r="DB470" s="15"/>
      <c r="DC470" s="15"/>
      <c r="DD470" s="15"/>
      <c r="DE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61"/>
      <c r="BK471" s="15"/>
      <c r="BL471" s="15"/>
      <c r="BM471" s="15"/>
      <c r="BN471" s="15"/>
      <c r="BO471" s="15"/>
      <c r="BP471" s="15"/>
      <c r="BQ471" s="15"/>
      <c r="BR471" s="15"/>
      <c r="BS471" s="15"/>
      <c r="BT471" s="15"/>
      <c r="BU471" s="15"/>
      <c r="BV471" s="15"/>
      <c r="BW471" s="15"/>
      <c r="BX471" s="15"/>
      <c r="BY471" s="15"/>
      <c r="BZ471" s="15"/>
      <c r="CA471" s="15"/>
      <c r="CB471" s="15"/>
      <c r="CC471" s="15"/>
      <c r="CD471" s="15"/>
      <c r="CE471" s="15"/>
      <c r="CF471" s="15"/>
      <c r="CG471" s="15"/>
      <c r="CH471" s="15"/>
      <c r="CI471" s="15"/>
      <c r="CJ471" s="15"/>
      <c r="CK471" s="15"/>
      <c r="CL471" s="15"/>
      <c r="CM471" s="15"/>
      <c r="CN471" s="15"/>
      <c r="CO471" s="15"/>
      <c r="CP471" s="15"/>
      <c r="CQ471" s="15"/>
      <c r="CR471" s="15"/>
      <c r="CS471" s="73"/>
      <c r="CT471" s="15"/>
      <c r="CU471" s="15"/>
      <c r="CV471" s="15"/>
      <c r="CW471" s="15"/>
      <c r="CX471" s="15"/>
      <c r="CY471" s="15"/>
      <c r="CZ471" s="15"/>
      <c r="DA471" s="15"/>
      <c r="DB471" s="15"/>
      <c r="DC471" s="15"/>
      <c r="DD471" s="15"/>
      <c r="DE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61"/>
      <c r="BK472" s="15"/>
      <c r="BL472" s="15"/>
      <c r="BM472" s="15"/>
      <c r="BN472" s="15"/>
      <c r="BO472" s="15"/>
      <c r="BP472" s="15"/>
      <c r="BQ472" s="15"/>
      <c r="BR472" s="15"/>
      <c r="BS472" s="15"/>
      <c r="BT472" s="15"/>
      <c r="BU472" s="15"/>
      <c r="BV472" s="15"/>
      <c r="BW472" s="15"/>
      <c r="BX472" s="15"/>
      <c r="BY472" s="15"/>
      <c r="BZ472" s="15"/>
      <c r="CA472" s="15"/>
      <c r="CB472" s="15"/>
      <c r="CC472" s="15"/>
      <c r="CD472" s="15"/>
      <c r="CE472" s="15"/>
      <c r="CF472" s="15"/>
      <c r="CG472" s="15"/>
      <c r="CH472" s="15"/>
      <c r="CI472" s="15"/>
      <c r="CJ472" s="15"/>
      <c r="CK472" s="15"/>
      <c r="CL472" s="15"/>
      <c r="CM472" s="15"/>
      <c r="CN472" s="15"/>
      <c r="CO472" s="15"/>
      <c r="CP472" s="15"/>
      <c r="CQ472" s="15"/>
      <c r="CR472" s="15"/>
      <c r="CS472" s="73"/>
      <c r="CT472" s="15"/>
      <c r="CU472" s="15"/>
      <c r="CV472" s="15"/>
      <c r="CW472" s="15"/>
      <c r="CX472" s="15"/>
      <c r="CY472" s="15"/>
      <c r="CZ472" s="15"/>
      <c r="DA472" s="15"/>
      <c r="DB472" s="15"/>
      <c r="DC472" s="15"/>
      <c r="DD472" s="15"/>
      <c r="DE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61"/>
      <c r="BK473" s="15"/>
      <c r="BL473" s="15"/>
      <c r="BM473" s="15"/>
      <c r="BN473" s="15"/>
      <c r="BO473" s="15"/>
      <c r="BP473" s="15"/>
      <c r="BQ473" s="15"/>
      <c r="BR473" s="15"/>
      <c r="BS473" s="15"/>
      <c r="BT473" s="15"/>
      <c r="BU473" s="15"/>
      <c r="BV473" s="15"/>
      <c r="BW473" s="15"/>
      <c r="BX473" s="15"/>
      <c r="BY473" s="15"/>
      <c r="BZ473" s="15"/>
      <c r="CA473" s="15"/>
      <c r="CB473" s="15"/>
      <c r="CC473" s="15"/>
      <c r="CD473" s="15"/>
      <c r="CE473" s="15"/>
      <c r="CF473" s="15"/>
      <c r="CG473" s="15"/>
      <c r="CH473" s="15"/>
      <c r="CI473" s="15"/>
      <c r="CJ473" s="15"/>
      <c r="CK473" s="15"/>
      <c r="CL473" s="15"/>
      <c r="CM473" s="15"/>
      <c r="CN473" s="15"/>
      <c r="CO473" s="15"/>
      <c r="CP473" s="15"/>
      <c r="CQ473" s="15"/>
      <c r="CR473" s="15"/>
      <c r="CS473" s="73"/>
      <c r="CT473" s="15"/>
      <c r="CU473" s="15"/>
      <c r="CV473" s="15"/>
      <c r="CW473" s="15"/>
      <c r="CX473" s="15"/>
      <c r="CY473" s="15"/>
      <c r="CZ473" s="15"/>
      <c r="DA473" s="15"/>
      <c r="DB473" s="15"/>
      <c r="DC473" s="15"/>
      <c r="DD473" s="15"/>
      <c r="DE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61"/>
      <c r="BK474" s="15"/>
      <c r="BL474" s="15"/>
      <c r="BM474" s="15"/>
      <c r="BN474" s="15"/>
      <c r="BO474" s="15"/>
      <c r="BP474" s="15"/>
      <c r="BQ474" s="15"/>
      <c r="BR474" s="15"/>
      <c r="BS474" s="15"/>
      <c r="BT474" s="15"/>
      <c r="BU474" s="15"/>
      <c r="BV474" s="15"/>
      <c r="BW474" s="15"/>
      <c r="BX474" s="15"/>
      <c r="BY474" s="15"/>
      <c r="BZ474" s="15"/>
      <c r="CA474" s="15"/>
      <c r="CB474" s="15"/>
      <c r="CC474" s="15"/>
      <c r="CD474" s="15"/>
      <c r="CE474" s="15"/>
      <c r="CF474" s="15"/>
      <c r="CG474" s="15"/>
      <c r="CH474" s="15"/>
      <c r="CI474" s="15"/>
      <c r="CJ474" s="15"/>
      <c r="CK474" s="15"/>
      <c r="CL474" s="15"/>
      <c r="CM474" s="15"/>
      <c r="CN474" s="15"/>
      <c r="CO474" s="15"/>
      <c r="CP474" s="15"/>
      <c r="CQ474" s="15"/>
      <c r="CR474" s="15"/>
      <c r="CS474" s="73"/>
      <c r="CT474" s="15"/>
      <c r="CU474" s="15"/>
      <c r="CV474" s="15"/>
      <c r="CW474" s="15"/>
      <c r="CX474" s="15"/>
      <c r="CY474" s="15"/>
      <c r="CZ474" s="15"/>
      <c r="DA474" s="15"/>
      <c r="DB474" s="15"/>
      <c r="DC474" s="15"/>
      <c r="DD474" s="15"/>
      <c r="DE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61"/>
      <c r="BK475" s="15"/>
      <c r="BL475" s="15"/>
      <c r="BM475" s="15"/>
      <c r="BN475" s="15"/>
      <c r="BO475" s="15"/>
      <c r="BP475" s="15"/>
      <c r="BQ475" s="15"/>
      <c r="BR475" s="15"/>
      <c r="BS475" s="15"/>
      <c r="BT475" s="15"/>
      <c r="BU475" s="15"/>
      <c r="BV475" s="15"/>
      <c r="BW475" s="15"/>
      <c r="BX475" s="15"/>
      <c r="BY475" s="15"/>
      <c r="BZ475" s="15"/>
      <c r="CA475" s="15"/>
      <c r="CB475" s="15"/>
      <c r="CC475" s="15"/>
      <c r="CD475" s="15"/>
      <c r="CE475" s="15"/>
      <c r="CF475" s="15"/>
      <c r="CG475" s="15"/>
      <c r="CH475" s="15"/>
      <c r="CI475" s="15"/>
      <c r="CJ475" s="15"/>
      <c r="CK475" s="15"/>
      <c r="CL475" s="15"/>
      <c r="CM475" s="15"/>
      <c r="CN475" s="15"/>
      <c r="CO475" s="15"/>
      <c r="CP475" s="15"/>
      <c r="CQ475" s="15"/>
      <c r="CR475" s="15"/>
      <c r="CS475" s="73"/>
      <c r="CT475" s="15"/>
      <c r="CU475" s="15"/>
      <c r="CV475" s="15"/>
      <c r="CW475" s="15"/>
      <c r="CX475" s="15"/>
      <c r="CY475" s="15"/>
      <c r="CZ475" s="15"/>
      <c r="DA475" s="15"/>
      <c r="DB475" s="15"/>
      <c r="DC475" s="15"/>
      <c r="DD475" s="15"/>
      <c r="DE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61"/>
      <c r="BK476" s="15"/>
      <c r="BL476" s="15"/>
      <c r="BM476" s="15"/>
      <c r="BN476" s="15"/>
      <c r="BO476" s="15"/>
      <c r="BP476" s="15"/>
      <c r="BQ476" s="15"/>
      <c r="BR476" s="15"/>
      <c r="BS476" s="15"/>
      <c r="BT476" s="15"/>
      <c r="BU476" s="15"/>
      <c r="BV476" s="15"/>
      <c r="BW476" s="15"/>
      <c r="BX476" s="15"/>
      <c r="BY476" s="15"/>
      <c r="BZ476" s="15"/>
      <c r="CA476" s="15"/>
      <c r="CB476" s="15"/>
      <c r="CC476" s="15"/>
      <c r="CD476" s="15"/>
      <c r="CE476" s="15"/>
      <c r="CF476" s="15"/>
      <c r="CG476" s="15"/>
      <c r="CH476" s="15"/>
      <c r="CI476" s="15"/>
      <c r="CJ476" s="15"/>
      <c r="CK476" s="15"/>
      <c r="CL476" s="15"/>
      <c r="CM476" s="15"/>
      <c r="CN476" s="15"/>
      <c r="CO476" s="15"/>
      <c r="CP476" s="15"/>
      <c r="CQ476" s="15"/>
      <c r="CR476" s="15"/>
      <c r="CS476" s="73"/>
      <c r="CT476" s="15"/>
      <c r="CU476" s="15"/>
      <c r="CV476" s="15"/>
      <c r="CW476" s="15"/>
      <c r="CX476" s="15"/>
      <c r="CY476" s="15"/>
      <c r="CZ476" s="15"/>
      <c r="DA476" s="15"/>
      <c r="DB476" s="15"/>
      <c r="DC476" s="15"/>
      <c r="DD476" s="15"/>
      <c r="DE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61"/>
      <c r="BK477" s="15"/>
      <c r="BL477" s="15"/>
      <c r="BM477" s="15"/>
      <c r="BN477" s="15"/>
      <c r="BO477" s="15"/>
      <c r="BP477" s="15"/>
      <c r="BQ477" s="15"/>
      <c r="BR477" s="15"/>
      <c r="BS477" s="15"/>
      <c r="BT477" s="15"/>
      <c r="BU477" s="15"/>
      <c r="BV477" s="15"/>
      <c r="BW477" s="15"/>
      <c r="BX477" s="15"/>
      <c r="BY477" s="15"/>
      <c r="BZ477" s="15"/>
      <c r="CA477" s="15"/>
      <c r="CB477" s="15"/>
      <c r="CC477" s="15"/>
      <c r="CD477" s="15"/>
      <c r="CE477" s="15"/>
      <c r="CF477" s="15"/>
      <c r="CG477" s="15"/>
      <c r="CH477" s="15"/>
      <c r="CI477" s="15"/>
      <c r="CJ477" s="15"/>
      <c r="CK477" s="15"/>
      <c r="CL477" s="15"/>
      <c r="CM477" s="15"/>
      <c r="CN477" s="15"/>
      <c r="CO477" s="15"/>
      <c r="CP477" s="15"/>
      <c r="CQ477" s="15"/>
      <c r="CR477" s="15"/>
      <c r="CS477" s="73"/>
      <c r="CT477" s="15"/>
      <c r="CU477" s="15"/>
      <c r="CV477" s="15"/>
      <c r="CW477" s="15"/>
      <c r="CX477" s="15"/>
      <c r="CY477" s="15"/>
      <c r="CZ477" s="15"/>
      <c r="DA477" s="15"/>
      <c r="DB477" s="15"/>
      <c r="DC477" s="15"/>
      <c r="DD477" s="15"/>
      <c r="DE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61"/>
      <c r="BK478" s="15"/>
      <c r="BL478" s="15"/>
      <c r="BM478" s="15"/>
      <c r="BN478" s="15"/>
      <c r="BO478" s="15"/>
      <c r="BP478" s="15"/>
      <c r="BQ478" s="15"/>
      <c r="BR478" s="15"/>
      <c r="BS478" s="15"/>
      <c r="BT478" s="15"/>
      <c r="BU478" s="15"/>
      <c r="BV478" s="15"/>
      <c r="BW478" s="15"/>
      <c r="BX478" s="15"/>
      <c r="BY478" s="15"/>
      <c r="BZ478" s="15"/>
      <c r="CA478" s="15"/>
      <c r="CB478" s="15"/>
      <c r="CC478" s="15"/>
      <c r="CD478" s="15"/>
      <c r="CE478" s="15"/>
      <c r="CF478" s="15"/>
      <c r="CG478" s="15"/>
      <c r="CH478" s="15"/>
      <c r="CI478" s="15"/>
      <c r="CJ478" s="15"/>
      <c r="CK478" s="15"/>
      <c r="CL478" s="15"/>
      <c r="CM478" s="15"/>
      <c r="CN478" s="15"/>
      <c r="CO478" s="15"/>
      <c r="CP478" s="15"/>
      <c r="CQ478" s="15"/>
      <c r="CR478" s="15"/>
      <c r="CS478" s="73"/>
      <c r="CT478" s="15"/>
      <c r="CU478" s="15"/>
      <c r="CV478" s="15"/>
      <c r="CW478" s="15"/>
      <c r="CX478" s="15"/>
      <c r="CY478" s="15"/>
      <c r="CZ478" s="15"/>
      <c r="DA478" s="15"/>
      <c r="DB478" s="15"/>
      <c r="DC478" s="15"/>
      <c r="DD478" s="15"/>
      <c r="DE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61"/>
      <c r="BK479" s="15"/>
      <c r="BL479" s="15"/>
      <c r="BM479" s="15"/>
      <c r="BN479" s="15"/>
      <c r="BO479" s="15"/>
      <c r="BP479" s="15"/>
      <c r="BQ479" s="15"/>
      <c r="BR479" s="15"/>
      <c r="BS479" s="15"/>
      <c r="BT479" s="15"/>
      <c r="BU479" s="15"/>
      <c r="BV479" s="15"/>
      <c r="BW479" s="15"/>
      <c r="BX479" s="15"/>
      <c r="BY479" s="15"/>
      <c r="BZ479" s="15"/>
      <c r="CA479" s="15"/>
      <c r="CB479" s="15"/>
      <c r="CC479" s="15"/>
      <c r="CD479" s="15"/>
      <c r="CE479" s="15"/>
      <c r="CF479" s="15"/>
      <c r="CG479" s="15"/>
      <c r="CH479" s="15"/>
      <c r="CI479" s="15"/>
      <c r="CJ479" s="15"/>
      <c r="CK479" s="15"/>
      <c r="CL479" s="15"/>
      <c r="CM479" s="15"/>
      <c r="CN479" s="15"/>
      <c r="CO479" s="15"/>
      <c r="CP479" s="15"/>
      <c r="CQ479" s="15"/>
      <c r="CR479" s="15"/>
      <c r="CS479" s="73"/>
      <c r="CT479" s="15"/>
      <c r="CU479" s="15"/>
      <c r="CV479" s="15"/>
      <c r="CW479" s="15"/>
      <c r="CX479" s="15"/>
      <c r="CY479" s="15"/>
      <c r="CZ479" s="15"/>
      <c r="DA479" s="15"/>
      <c r="DB479" s="15"/>
      <c r="DC479" s="15"/>
      <c r="DD479" s="15"/>
      <c r="DE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61"/>
      <c r="BK480" s="15"/>
      <c r="BL480" s="15"/>
      <c r="BM480" s="15"/>
      <c r="BN480" s="15"/>
      <c r="BO480" s="15"/>
      <c r="BP480" s="15"/>
      <c r="BQ480" s="15"/>
      <c r="BR480" s="15"/>
      <c r="BS480" s="15"/>
      <c r="BT480" s="15"/>
      <c r="BU480" s="15"/>
      <c r="BV480" s="15"/>
      <c r="BW480" s="15"/>
      <c r="BX480" s="15"/>
      <c r="BY480" s="15"/>
      <c r="BZ480" s="15"/>
      <c r="CA480" s="15"/>
      <c r="CB480" s="15"/>
      <c r="CC480" s="15"/>
      <c r="CD480" s="15"/>
      <c r="CE480" s="15"/>
      <c r="CF480" s="15"/>
      <c r="CG480" s="15"/>
      <c r="CH480" s="15"/>
      <c r="CI480" s="15"/>
      <c r="CJ480" s="15"/>
      <c r="CK480" s="15"/>
      <c r="CL480" s="15"/>
      <c r="CM480" s="15"/>
      <c r="CN480" s="15"/>
      <c r="CO480" s="15"/>
      <c r="CP480" s="15"/>
      <c r="CQ480" s="15"/>
      <c r="CR480" s="15"/>
      <c r="CS480" s="73"/>
      <c r="CT480" s="15"/>
      <c r="CU480" s="15"/>
      <c r="CV480" s="15"/>
      <c r="CW480" s="15"/>
      <c r="CX480" s="15"/>
      <c r="CY480" s="15"/>
      <c r="CZ480" s="15"/>
      <c r="DA480" s="15"/>
      <c r="DB480" s="15"/>
      <c r="DC480" s="15"/>
      <c r="DD480" s="15"/>
      <c r="DE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61"/>
      <c r="BK481" s="15"/>
      <c r="BL481" s="15"/>
      <c r="BM481" s="15"/>
      <c r="BN481" s="15"/>
      <c r="BO481" s="15"/>
      <c r="BP481" s="15"/>
      <c r="BQ481" s="15"/>
      <c r="BR481" s="15"/>
      <c r="BS481" s="15"/>
      <c r="BT481" s="15"/>
      <c r="BU481" s="15"/>
      <c r="BV481" s="15"/>
      <c r="BW481" s="15"/>
      <c r="BX481" s="15"/>
      <c r="BY481" s="15"/>
      <c r="BZ481" s="15"/>
      <c r="CA481" s="15"/>
      <c r="CB481" s="15"/>
      <c r="CC481" s="15"/>
      <c r="CD481" s="15"/>
      <c r="CE481" s="15"/>
      <c r="CF481" s="15"/>
      <c r="CG481" s="15"/>
      <c r="CH481" s="15"/>
      <c r="CI481" s="15"/>
      <c r="CJ481" s="15"/>
      <c r="CK481" s="15"/>
      <c r="CL481" s="15"/>
      <c r="CM481" s="15"/>
      <c r="CN481" s="15"/>
      <c r="CO481" s="15"/>
      <c r="CP481" s="15"/>
      <c r="CQ481" s="15"/>
      <c r="CR481" s="15"/>
      <c r="CS481" s="73"/>
      <c r="CT481" s="15"/>
      <c r="CU481" s="15"/>
      <c r="CV481" s="15"/>
      <c r="CW481" s="15"/>
      <c r="CX481" s="15"/>
      <c r="CY481" s="15"/>
      <c r="CZ481" s="15"/>
      <c r="DA481" s="15"/>
      <c r="DB481" s="15"/>
      <c r="DC481" s="15"/>
      <c r="DD481" s="15"/>
      <c r="DE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61"/>
      <c r="BK482" s="15"/>
      <c r="BL482" s="15"/>
      <c r="BM482" s="15"/>
      <c r="BN482" s="15"/>
      <c r="BO482" s="15"/>
      <c r="BP482" s="15"/>
      <c r="BQ482" s="15"/>
      <c r="BR482" s="15"/>
      <c r="BS482" s="15"/>
      <c r="BT482" s="15"/>
      <c r="BU482" s="15"/>
      <c r="BV482" s="15"/>
      <c r="BW482" s="15"/>
      <c r="BX482" s="15"/>
      <c r="BY482" s="15"/>
      <c r="BZ482" s="15"/>
      <c r="CA482" s="15"/>
      <c r="CB482" s="15"/>
      <c r="CC482" s="15"/>
      <c r="CD482" s="15"/>
      <c r="CE482" s="15"/>
      <c r="CF482" s="15"/>
      <c r="CG482" s="15"/>
      <c r="CH482" s="15"/>
      <c r="CI482" s="15"/>
      <c r="CJ482" s="15"/>
      <c r="CK482" s="15"/>
      <c r="CL482" s="15"/>
      <c r="CM482" s="15"/>
      <c r="CN482" s="15"/>
      <c r="CO482" s="15"/>
      <c r="CP482" s="15"/>
      <c r="CQ482" s="15"/>
      <c r="CR482" s="15"/>
      <c r="CS482" s="73"/>
      <c r="CT482" s="15"/>
      <c r="CU482" s="15"/>
      <c r="CV482" s="15"/>
      <c r="CW482" s="15"/>
      <c r="CX482" s="15"/>
      <c r="CY482" s="15"/>
      <c r="CZ482" s="15"/>
      <c r="DA482" s="15"/>
      <c r="DB482" s="15"/>
      <c r="DC482" s="15"/>
      <c r="DD482" s="15"/>
      <c r="DE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61"/>
      <c r="BK483" s="15"/>
      <c r="BL483" s="15"/>
      <c r="BM483" s="15"/>
      <c r="BN483" s="15"/>
      <c r="BO483" s="15"/>
      <c r="BP483" s="15"/>
      <c r="BQ483" s="15"/>
      <c r="BR483" s="15"/>
      <c r="BS483" s="15"/>
      <c r="BT483" s="15"/>
      <c r="BU483" s="15"/>
      <c r="BV483" s="15"/>
      <c r="BW483" s="15"/>
      <c r="BX483" s="15"/>
      <c r="BY483" s="15"/>
      <c r="BZ483" s="15"/>
      <c r="CA483" s="15"/>
      <c r="CB483" s="15"/>
      <c r="CC483" s="15"/>
      <c r="CD483" s="15"/>
      <c r="CE483" s="15"/>
      <c r="CF483" s="15"/>
      <c r="CG483" s="15"/>
      <c r="CH483" s="15"/>
      <c r="CI483" s="15"/>
      <c r="CJ483" s="15"/>
      <c r="CK483" s="15"/>
      <c r="CL483" s="15"/>
      <c r="CM483" s="15"/>
      <c r="CN483" s="15"/>
      <c r="CO483" s="15"/>
      <c r="CP483" s="15"/>
      <c r="CQ483" s="15"/>
      <c r="CR483" s="15"/>
      <c r="CS483" s="73"/>
      <c r="CT483" s="15"/>
      <c r="CU483" s="15"/>
      <c r="CV483" s="15"/>
      <c r="CW483" s="15"/>
      <c r="CX483" s="15"/>
      <c r="CY483" s="15"/>
      <c r="CZ483" s="15"/>
      <c r="DA483" s="15"/>
      <c r="DB483" s="15"/>
      <c r="DC483" s="15"/>
      <c r="DD483" s="15"/>
      <c r="DE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61"/>
      <c r="BK484" s="15"/>
      <c r="BL484" s="15"/>
      <c r="BM484" s="15"/>
      <c r="BN484" s="15"/>
      <c r="BO484" s="15"/>
      <c r="BP484" s="15"/>
      <c r="BQ484" s="15"/>
      <c r="BR484" s="15"/>
      <c r="BS484" s="15"/>
      <c r="BT484" s="15"/>
      <c r="BU484" s="15"/>
      <c r="BV484" s="15"/>
      <c r="BW484" s="15"/>
      <c r="BX484" s="15"/>
      <c r="BY484" s="15"/>
      <c r="BZ484" s="15"/>
      <c r="CA484" s="15"/>
      <c r="CB484" s="15"/>
      <c r="CC484" s="15"/>
      <c r="CD484" s="15"/>
      <c r="CE484" s="15"/>
      <c r="CF484" s="15"/>
      <c r="CG484" s="15"/>
      <c r="CH484" s="15"/>
      <c r="CI484" s="15"/>
      <c r="CJ484" s="15"/>
      <c r="CK484" s="15"/>
      <c r="CL484" s="15"/>
      <c r="CM484" s="15"/>
      <c r="CN484" s="15"/>
      <c r="CO484" s="15"/>
      <c r="CP484" s="15"/>
      <c r="CQ484" s="15"/>
      <c r="CR484" s="15"/>
      <c r="CS484" s="73"/>
      <c r="CT484" s="15"/>
      <c r="CU484" s="15"/>
      <c r="CV484" s="15"/>
      <c r="CW484" s="15"/>
      <c r="CX484" s="15"/>
      <c r="CY484" s="15"/>
      <c r="CZ484" s="15"/>
      <c r="DA484" s="15"/>
      <c r="DB484" s="15"/>
      <c r="DC484" s="15"/>
      <c r="DD484" s="15"/>
      <c r="DE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c r="AW485" s="15"/>
      <c r="AX485" s="15"/>
      <c r="AY485" s="15"/>
      <c r="AZ485" s="15"/>
      <c r="BA485" s="15"/>
      <c r="BB485" s="15"/>
      <c r="BC485" s="15"/>
      <c r="BD485" s="15"/>
      <c r="BE485" s="15"/>
      <c r="BF485" s="15"/>
      <c r="BG485" s="15"/>
      <c r="BH485" s="15"/>
      <c r="BI485" s="15"/>
      <c r="BJ485" s="61"/>
      <c r="BK485" s="15"/>
      <c r="BL485" s="15"/>
      <c r="BM485" s="15"/>
      <c r="BN485" s="15"/>
      <c r="BO485" s="15"/>
      <c r="BP485" s="15"/>
      <c r="BQ485" s="15"/>
      <c r="BR485" s="15"/>
      <c r="BS485" s="15"/>
      <c r="BT485" s="15"/>
      <c r="BU485" s="15"/>
      <c r="BV485" s="15"/>
      <c r="BW485" s="15"/>
      <c r="BX485" s="15"/>
      <c r="BY485" s="15"/>
      <c r="BZ485" s="15"/>
      <c r="CA485" s="15"/>
      <c r="CB485" s="15"/>
      <c r="CC485" s="15"/>
      <c r="CD485" s="15"/>
      <c r="CE485" s="15"/>
      <c r="CF485" s="15"/>
      <c r="CG485" s="15"/>
      <c r="CH485" s="15"/>
      <c r="CI485" s="15"/>
      <c r="CJ485" s="15"/>
      <c r="CK485" s="15"/>
      <c r="CL485" s="15"/>
      <c r="CM485" s="15"/>
      <c r="CN485" s="15"/>
      <c r="CO485" s="15"/>
      <c r="CP485" s="15"/>
      <c r="CQ485" s="15"/>
      <c r="CR485" s="15"/>
      <c r="CS485" s="73"/>
      <c r="CT485" s="15"/>
      <c r="CU485" s="15"/>
      <c r="CV485" s="15"/>
      <c r="CW485" s="15"/>
      <c r="CX485" s="15"/>
      <c r="CY485" s="15"/>
      <c r="CZ485" s="15"/>
      <c r="DA485" s="15"/>
      <c r="DB485" s="15"/>
      <c r="DC485" s="15"/>
      <c r="DD485" s="15"/>
      <c r="DE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61"/>
      <c r="BK486" s="15"/>
      <c r="BL486" s="15"/>
      <c r="BM486" s="15"/>
      <c r="BN486" s="15"/>
      <c r="BO486" s="15"/>
      <c r="BP486" s="15"/>
      <c r="BQ486" s="15"/>
      <c r="BR486" s="15"/>
      <c r="BS486" s="15"/>
      <c r="BT486" s="15"/>
      <c r="BU486" s="15"/>
      <c r="BV486" s="15"/>
      <c r="BW486" s="15"/>
      <c r="BX486" s="15"/>
      <c r="BY486" s="15"/>
      <c r="BZ486" s="15"/>
      <c r="CA486" s="15"/>
      <c r="CB486" s="15"/>
      <c r="CC486" s="15"/>
      <c r="CD486" s="15"/>
      <c r="CE486" s="15"/>
      <c r="CF486" s="15"/>
      <c r="CG486" s="15"/>
      <c r="CH486" s="15"/>
      <c r="CI486" s="15"/>
      <c r="CJ486" s="15"/>
      <c r="CK486" s="15"/>
      <c r="CL486" s="15"/>
      <c r="CM486" s="15"/>
      <c r="CN486" s="15"/>
      <c r="CO486" s="15"/>
      <c r="CP486" s="15"/>
      <c r="CQ486" s="15"/>
      <c r="CR486" s="15"/>
      <c r="CS486" s="73"/>
      <c r="CT486" s="15"/>
      <c r="CU486" s="15"/>
      <c r="CV486" s="15"/>
      <c r="CW486" s="15"/>
      <c r="CX486" s="15"/>
      <c r="CY486" s="15"/>
      <c r="CZ486" s="15"/>
      <c r="DA486" s="15"/>
      <c r="DB486" s="15"/>
      <c r="DC486" s="15"/>
      <c r="DD486" s="15"/>
      <c r="DE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c r="AW487" s="15"/>
      <c r="AX487" s="15"/>
      <c r="AY487" s="15"/>
      <c r="AZ487" s="15"/>
      <c r="BA487" s="15"/>
      <c r="BB487" s="15"/>
      <c r="BC487" s="15"/>
      <c r="BD487" s="15"/>
      <c r="BE487" s="15"/>
      <c r="BF487" s="15"/>
      <c r="BG487" s="15"/>
      <c r="BH487" s="15"/>
      <c r="BI487" s="15"/>
      <c r="BJ487" s="61"/>
      <c r="BK487" s="15"/>
      <c r="BL487" s="15"/>
      <c r="BM487" s="15"/>
      <c r="BN487" s="15"/>
      <c r="BO487" s="15"/>
      <c r="BP487" s="15"/>
      <c r="BQ487" s="15"/>
      <c r="BR487" s="15"/>
      <c r="BS487" s="15"/>
      <c r="BT487" s="15"/>
      <c r="BU487" s="15"/>
      <c r="BV487" s="15"/>
      <c r="BW487" s="15"/>
      <c r="BX487" s="15"/>
      <c r="BY487" s="15"/>
      <c r="BZ487" s="15"/>
      <c r="CA487" s="15"/>
      <c r="CB487" s="15"/>
      <c r="CC487" s="15"/>
      <c r="CD487" s="15"/>
      <c r="CE487" s="15"/>
      <c r="CF487" s="15"/>
      <c r="CG487" s="15"/>
      <c r="CH487" s="15"/>
      <c r="CI487" s="15"/>
      <c r="CJ487" s="15"/>
      <c r="CK487" s="15"/>
      <c r="CL487" s="15"/>
      <c r="CM487" s="15"/>
      <c r="CN487" s="15"/>
      <c r="CO487" s="15"/>
      <c r="CP487" s="15"/>
      <c r="CQ487" s="15"/>
      <c r="CR487" s="15"/>
      <c r="CS487" s="73"/>
      <c r="CT487" s="15"/>
      <c r="CU487" s="15"/>
      <c r="CV487" s="15"/>
      <c r="CW487" s="15"/>
      <c r="CX487" s="15"/>
      <c r="CY487" s="15"/>
      <c r="CZ487" s="15"/>
      <c r="DA487" s="15"/>
      <c r="DB487" s="15"/>
      <c r="DC487" s="15"/>
      <c r="DD487" s="15"/>
      <c r="DE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c r="AW488" s="15"/>
      <c r="AX488" s="15"/>
      <c r="AY488" s="15"/>
      <c r="AZ488" s="15"/>
      <c r="BA488" s="15"/>
      <c r="BB488" s="15"/>
      <c r="BC488" s="15"/>
      <c r="BD488" s="15"/>
      <c r="BE488" s="15"/>
      <c r="BF488" s="15"/>
      <c r="BG488" s="15"/>
      <c r="BH488" s="15"/>
      <c r="BI488" s="15"/>
      <c r="BJ488" s="61"/>
      <c r="BK488" s="15"/>
      <c r="BL488" s="15"/>
      <c r="BM488" s="15"/>
      <c r="BN488" s="15"/>
      <c r="BO488" s="15"/>
      <c r="BP488" s="15"/>
      <c r="BQ488" s="15"/>
      <c r="BR488" s="15"/>
      <c r="BS488" s="15"/>
      <c r="BT488" s="15"/>
      <c r="BU488" s="15"/>
      <c r="BV488" s="15"/>
      <c r="BW488" s="15"/>
      <c r="BX488" s="15"/>
      <c r="BY488" s="15"/>
      <c r="BZ488" s="15"/>
      <c r="CA488" s="15"/>
      <c r="CB488" s="15"/>
      <c r="CC488" s="15"/>
      <c r="CD488" s="15"/>
      <c r="CE488" s="15"/>
      <c r="CF488" s="15"/>
      <c r="CG488" s="15"/>
      <c r="CH488" s="15"/>
      <c r="CI488" s="15"/>
      <c r="CJ488" s="15"/>
      <c r="CK488" s="15"/>
      <c r="CL488" s="15"/>
      <c r="CM488" s="15"/>
      <c r="CN488" s="15"/>
      <c r="CO488" s="15"/>
      <c r="CP488" s="15"/>
      <c r="CQ488" s="15"/>
      <c r="CR488" s="15"/>
      <c r="CS488" s="73"/>
      <c r="CT488" s="15"/>
      <c r="CU488" s="15"/>
      <c r="CV488" s="15"/>
      <c r="CW488" s="15"/>
      <c r="CX488" s="15"/>
      <c r="CY488" s="15"/>
      <c r="CZ488" s="15"/>
      <c r="DA488" s="15"/>
      <c r="DB488" s="15"/>
      <c r="DC488" s="15"/>
      <c r="DD488" s="15"/>
      <c r="DE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c r="AW489" s="15"/>
      <c r="AX489" s="15"/>
      <c r="AY489" s="15"/>
      <c r="AZ489" s="15"/>
      <c r="BA489" s="15"/>
      <c r="BB489" s="15"/>
      <c r="BC489" s="15"/>
      <c r="BD489" s="15"/>
      <c r="BE489" s="15"/>
      <c r="BF489" s="15"/>
      <c r="BG489" s="15"/>
      <c r="BH489" s="15"/>
      <c r="BI489" s="15"/>
      <c r="BJ489" s="61"/>
      <c r="BK489" s="15"/>
      <c r="BL489" s="15"/>
      <c r="BM489" s="15"/>
      <c r="BN489" s="15"/>
      <c r="BO489" s="15"/>
      <c r="BP489" s="15"/>
      <c r="BQ489" s="15"/>
      <c r="BR489" s="15"/>
      <c r="BS489" s="15"/>
      <c r="BT489" s="15"/>
      <c r="BU489" s="15"/>
      <c r="BV489" s="15"/>
      <c r="BW489" s="15"/>
      <c r="BX489" s="15"/>
      <c r="BY489" s="15"/>
      <c r="BZ489" s="15"/>
      <c r="CA489" s="15"/>
      <c r="CB489" s="15"/>
      <c r="CC489" s="15"/>
      <c r="CD489" s="15"/>
      <c r="CE489" s="15"/>
      <c r="CF489" s="15"/>
      <c r="CG489" s="15"/>
      <c r="CH489" s="15"/>
      <c r="CI489" s="15"/>
      <c r="CJ489" s="15"/>
      <c r="CK489" s="15"/>
      <c r="CL489" s="15"/>
      <c r="CM489" s="15"/>
      <c r="CN489" s="15"/>
      <c r="CO489" s="15"/>
      <c r="CP489" s="15"/>
      <c r="CQ489" s="15"/>
      <c r="CR489" s="15"/>
      <c r="CS489" s="73"/>
      <c r="CT489" s="15"/>
      <c r="CU489" s="15"/>
      <c r="CV489" s="15"/>
      <c r="CW489" s="15"/>
      <c r="CX489" s="15"/>
      <c r="CY489" s="15"/>
      <c r="CZ489" s="15"/>
      <c r="DA489" s="15"/>
      <c r="DB489" s="15"/>
      <c r="DC489" s="15"/>
      <c r="DD489" s="15"/>
      <c r="DE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c r="AW490" s="15"/>
      <c r="AX490" s="15"/>
      <c r="AY490" s="15"/>
      <c r="AZ490" s="15"/>
      <c r="BA490" s="15"/>
      <c r="BB490" s="15"/>
      <c r="BC490" s="15"/>
      <c r="BD490" s="15"/>
      <c r="BE490" s="15"/>
      <c r="BF490" s="15"/>
      <c r="BG490" s="15"/>
      <c r="BH490" s="15"/>
      <c r="BI490" s="15"/>
      <c r="BJ490" s="61"/>
      <c r="BK490" s="15"/>
      <c r="BL490" s="15"/>
      <c r="BM490" s="15"/>
      <c r="BN490" s="15"/>
      <c r="BO490" s="15"/>
      <c r="BP490" s="15"/>
      <c r="BQ490" s="15"/>
      <c r="BR490" s="15"/>
      <c r="BS490" s="15"/>
      <c r="BT490" s="15"/>
      <c r="BU490" s="15"/>
      <c r="BV490" s="15"/>
      <c r="BW490" s="15"/>
      <c r="BX490" s="15"/>
      <c r="BY490" s="15"/>
      <c r="BZ490" s="15"/>
      <c r="CA490" s="15"/>
      <c r="CB490" s="15"/>
      <c r="CC490" s="15"/>
      <c r="CD490" s="15"/>
      <c r="CE490" s="15"/>
      <c r="CF490" s="15"/>
      <c r="CG490" s="15"/>
      <c r="CH490" s="15"/>
      <c r="CI490" s="15"/>
      <c r="CJ490" s="15"/>
      <c r="CK490" s="15"/>
      <c r="CL490" s="15"/>
      <c r="CM490" s="15"/>
      <c r="CN490" s="15"/>
      <c r="CO490" s="15"/>
      <c r="CP490" s="15"/>
      <c r="CQ490" s="15"/>
      <c r="CR490" s="15"/>
      <c r="CS490" s="73"/>
      <c r="CT490" s="15"/>
      <c r="CU490" s="15"/>
      <c r="CV490" s="15"/>
      <c r="CW490" s="15"/>
      <c r="CX490" s="15"/>
      <c r="CY490" s="15"/>
      <c r="CZ490" s="15"/>
      <c r="DA490" s="15"/>
      <c r="DB490" s="15"/>
      <c r="DC490" s="15"/>
      <c r="DD490" s="15"/>
      <c r="DE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c r="AW491" s="15"/>
      <c r="AX491" s="15"/>
      <c r="AY491" s="15"/>
      <c r="AZ491" s="15"/>
      <c r="BA491" s="15"/>
      <c r="BB491" s="15"/>
      <c r="BC491" s="15"/>
      <c r="BD491" s="15"/>
      <c r="BE491" s="15"/>
      <c r="BF491" s="15"/>
      <c r="BG491" s="15"/>
      <c r="BH491" s="15"/>
      <c r="BI491" s="15"/>
      <c r="BJ491" s="61"/>
      <c r="BK491" s="15"/>
      <c r="BL491" s="15"/>
      <c r="BM491" s="15"/>
      <c r="BN491" s="15"/>
      <c r="BO491" s="15"/>
      <c r="BP491" s="15"/>
      <c r="BQ491" s="15"/>
      <c r="BR491" s="15"/>
      <c r="BS491" s="15"/>
      <c r="BT491" s="15"/>
      <c r="BU491" s="15"/>
      <c r="BV491" s="15"/>
      <c r="BW491" s="15"/>
      <c r="BX491" s="15"/>
      <c r="BY491" s="15"/>
      <c r="BZ491" s="15"/>
      <c r="CA491" s="15"/>
      <c r="CB491" s="15"/>
      <c r="CC491" s="15"/>
      <c r="CD491" s="15"/>
      <c r="CE491" s="15"/>
      <c r="CF491" s="15"/>
      <c r="CG491" s="15"/>
      <c r="CH491" s="15"/>
      <c r="CI491" s="15"/>
      <c r="CJ491" s="15"/>
      <c r="CK491" s="15"/>
      <c r="CL491" s="15"/>
      <c r="CM491" s="15"/>
      <c r="CN491" s="15"/>
      <c r="CO491" s="15"/>
      <c r="CP491" s="15"/>
      <c r="CQ491" s="15"/>
      <c r="CR491" s="15"/>
      <c r="CS491" s="73"/>
      <c r="CT491" s="15"/>
      <c r="CU491" s="15"/>
      <c r="CV491" s="15"/>
      <c r="CW491" s="15"/>
      <c r="CX491" s="15"/>
      <c r="CY491" s="15"/>
      <c r="CZ491" s="15"/>
      <c r="DA491" s="15"/>
      <c r="DB491" s="15"/>
      <c r="DC491" s="15"/>
      <c r="DD491" s="15"/>
      <c r="DE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c r="AW492" s="15"/>
      <c r="AX492" s="15"/>
      <c r="AY492" s="15"/>
      <c r="AZ492" s="15"/>
      <c r="BA492" s="15"/>
      <c r="BB492" s="15"/>
      <c r="BC492" s="15"/>
      <c r="BD492" s="15"/>
      <c r="BE492" s="15"/>
      <c r="BF492" s="15"/>
      <c r="BG492" s="15"/>
      <c r="BH492" s="15"/>
      <c r="BI492" s="15"/>
      <c r="BJ492" s="61"/>
      <c r="BK492" s="15"/>
      <c r="BL492" s="15"/>
      <c r="BM492" s="15"/>
      <c r="BN492" s="15"/>
      <c r="BO492" s="15"/>
      <c r="BP492" s="15"/>
      <c r="BQ492" s="15"/>
      <c r="BR492" s="15"/>
      <c r="BS492" s="15"/>
      <c r="BT492" s="15"/>
      <c r="BU492" s="15"/>
      <c r="BV492" s="15"/>
      <c r="BW492" s="15"/>
      <c r="BX492" s="15"/>
      <c r="BY492" s="15"/>
      <c r="BZ492" s="15"/>
      <c r="CA492" s="15"/>
      <c r="CB492" s="15"/>
      <c r="CC492" s="15"/>
      <c r="CD492" s="15"/>
      <c r="CE492" s="15"/>
      <c r="CF492" s="15"/>
      <c r="CG492" s="15"/>
      <c r="CH492" s="15"/>
      <c r="CI492" s="15"/>
      <c r="CJ492" s="15"/>
      <c r="CK492" s="15"/>
      <c r="CL492" s="15"/>
      <c r="CM492" s="15"/>
      <c r="CN492" s="15"/>
      <c r="CO492" s="15"/>
      <c r="CP492" s="15"/>
      <c r="CQ492" s="15"/>
      <c r="CR492" s="15"/>
      <c r="CS492" s="73"/>
      <c r="CT492" s="15"/>
      <c r="CU492" s="15"/>
      <c r="CV492" s="15"/>
      <c r="CW492" s="15"/>
      <c r="CX492" s="15"/>
      <c r="CY492" s="15"/>
      <c r="CZ492" s="15"/>
      <c r="DA492" s="15"/>
      <c r="DB492" s="15"/>
      <c r="DC492" s="15"/>
      <c r="DD492" s="15"/>
      <c r="DE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c r="AW493" s="15"/>
      <c r="AX493" s="15"/>
      <c r="AY493" s="15"/>
      <c r="AZ493" s="15"/>
      <c r="BA493" s="15"/>
      <c r="BB493" s="15"/>
      <c r="BC493" s="15"/>
      <c r="BD493" s="15"/>
      <c r="BE493" s="15"/>
      <c r="BF493" s="15"/>
      <c r="BG493" s="15"/>
      <c r="BH493" s="15"/>
      <c r="BI493" s="15"/>
      <c r="BJ493" s="61"/>
      <c r="BK493" s="15"/>
      <c r="BL493" s="15"/>
      <c r="BM493" s="15"/>
      <c r="BN493" s="15"/>
      <c r="BO493" s="15"/>
      <c r="BP493" s="15"/>
      <c r="BQ493" s="15"/>
      <c r="BR493" s="15"/>
      <c r="BS493" s="15"/>
      <c r="BT493" s="15"/>
      <c r="BU493" s="15"/>
      <c r="BV493" s="15"/>
      <c r="BW493" s="15"/>
      <c r="BX493" s="15"/>
      <c r="BY493" s="15"/>
      <c r="BZ493" s="15"/>
      <c r="CA493" s="15"/>
      <c r="CB493" s="15"/>
      <c r="CC493" s="15"/>
      <c r="CD493" s="15"/>
      <c r="CE493" s="15"/>
      <c r="CF493" s="15"/>
      <c r="CG493" s="15"/>
      <c r="CH493" s="15"/>
      <c r="CI493" s="15"/>
      <c r="CJ493" s="15"/>
      <c r="CK493" s="15"/>
      <c r="CL493" s="15"/>
      <c r="CM493" s="15"/>
      <c r="CN493" s="15"/>
      <c r="CO493" s="15"/>
      <c r="CP493" s="15"/>
      <c r="CQ493" s="15"/>
      <c r="CR493" s="15"/>
      <c r="CS493" s="73"/>
      <c r="CT493" s="15"/>
      <c r="CU493" s="15"/>
      <c r="CV493" s="15"/>
      <c r="CW493" s="15"/>
      <c r="CX493" s="15"/>
      <c r="CY493" s="15"/>
      <c r="CZ493" s="15"/>
      <c r="DA493" s="15"/>
      <c r="DB493" s="15"/>
      <c r="DC493" s="15"/>
      <c r="DD493" s="15"/>
      <c r="DE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c r="AW494" s="15"/>
      <c r="AX494" s="15"/>
      <c r="AY494" s="15"/>
      <c r="AZ494" s="15"/>
      <c r="BA494" s="15"/>
      <c r="BB494" s="15"/>
      <c r="BC494" s="15"/>
      <c r="BD494" s="15"/>
      <c r="BE494" s="15"/>
      <c r="BF494" s="15"/>
      <c r="BG494" s="15"/>
      <c r="BH494" s="15"/>
      <c r="BI494" s="15"/>
      <c r="BJ494" s="61"/>
      <c r="BK494" s="15"/>
      <c r="BL494" s="15"/>
      <c r="BM494" s="15"/>
      <c r="BN494" s="15"/>
      <c r="BO494" s="15"/>
      <c r="BP494" s="15"/>
      <c r="BQ494" s="15"/>
      <c r="BR494" s="15"/>
      <c r="BS494" s="15"/>
      <c r="BT494" s="15"/>
      <c r="BU494" s="15"/>
      <c r="BV494" s="15"/>
      <c r="BW494" s="15"/>
      <c r="BX494" s="15"/>
      <c r="BY494" s="15"/>
      <c r="BZ494" s="15"/>
      <c r="CA494" s="15"/>
      <c r="CB494" s="15"/>
      <c r="CC494" s="15"/>
      <c r="CD494" s="15"/>
      <c r="CE494" s="15"/>
      <c r="CF494" s="15"/>
      <c r="CG494" s="15"/>
      <c r="CH494" s="15"/>
      <c r="CI494" s="15"/>
      <c r="CJ494" s="15"/>
      <c r="CK494" s="15"/>
      <c r="CL494" s="15"/>
      <c r="CM494" s="15"/>
      <c r="CN494" s="15"/>
      <c r="CO494" s="15"/>
      <c r="CP494" s="15"/>
      <c r="CQ494" s="15"/>
      <c r="CR494" s="15"/>
      <c r="CS494" s="73"/>
      <c r="CT494" s="15"/>
      <c r="CU494" s="15"/>
      <c r="CV494" s="15"/>
      <c r="CW494" s="15"/>
      <c r="CX494" s="15"/>
      <c r="CY494" s="15"/>
      <c r="CZ494" s="15"/>
      <c r="DA494" s="15"/>
      <c r="DB494" s="15"/>
      <c r="DC494" s="15"/>
      <c r="DD494" s="15"/>
      <c r="DE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c r="AW495" s="15"/>
      <c r="AX495" s="15"/>
      <c r="AY495" s="15"/>
      <c r="AZ495" s="15"/>
      <c r="BA495" s="15"/>
      <c r="BB495" s="15"/>
      <c r="BC495" s="15"/>
      <c r="BD495" s="15"/>
      <c r="BE495" s="15"/>
      <c r="BF495" s="15"/>
      <c r="BG495" s="15"/>
      <c r="BH495" s="15"/>
      <c r="BI495" s="15"/>
      <c r="BJ495" s="61"/>
      <c r="BK495" s="15"/>
      <c r="BL495" s="15"/>
      <c r="BM495" s="15"/>
      <c r="BN495" s="15"/>
      <c r="BO495" s="15"/>
      <c r="BP495" s="15"/>
      <c r="BQ495" s="15"/>
      <c r="BR495" s="15"/>
      <c r="BS495" s="15"/>
      <c r="BT495" s="15"/>
      <c r="BU495" s="15"/>
      <c r="BV495" s="15"/>
      <c r="BW495" s="15"/>
      <c r="BX495" s="15"/>
      <c r="BY495" s="15"/>
      <c r="BZ495" s="15"/>
      <c r="CA495" s="15"/>
      <c r="CB495" s="15"/>
      <c r="CC495" s="15"/>
      <c r="CD495" s="15"/>
      <c r="CE495" s="15"/>
      <c r="CF495" s="15"/>
      <c r="CG495" s="15"/>
      <c r="CH495" s="15"/>
      <c r="CI495" s="15"/>
      <c r="CJ495" s="15"/>
      <c r="CK495" s="15"/>
      <c r="CL495" s="15"/>
      <c r="CM495" s="15"/>
      <c r="CN495" s="15"/>
      <c r="CO495" s="15"/>
      <c r="CP495" s="15"/>
      <c r="CQ495" s="15"/>
      <c r="CR495" s="15"/>
      <c r="CS495" s="73"/>
      <c r="CT495" s="15"/>
      <c r="CU495" s="15"/>
      <c r="CV495" s="15"/>
      <c r="CW495" s="15"/>
      <c r="CX495" s="15"/>
      <c r="CY495" s="15"/>
      <c r="CZ495" s="15"/>
      <c r="DA495" s="15"/>
      <c r="DB495" s="15"/>
      <c r="DC495" s="15"/>
      <c r="DD495" s="15"/>
      <c r="DE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c r="AW496" s="15"/>
      <c r="AX496" s="15"/>
      <c r="AY496" s="15"/>
      <c r="AZ496" s="15"/>
      <c r="BA496" s="15"/>
      <c r="BB496" s="15"/>
      <c r="BC496" s="15"/>
      <c r="BD496" s="15"/>
      <c r="BE496" s="15"/>
      <c r="BF496" s="15"/>
      <c r="BG496" s="15"/>
      <c r="BH496" s="15"/>
      <c r="BI496" s="15"/>
      <c r="BJ496" s="61"/>
      <c r="BK496" s="15"/>
      <c r="BL496" s="15"/>
      <c r="BM496" s="15"/>
      <c r="BN496" s="15"/>
      <c r="BO496" s="15"/>
      <c r="BP496" s="15"/>
      <c r="BQ496" s="15"/>
      <c r="BR496" s="15"/>
      <c r="BS496" s="15"/>
      <c r="BT496" s="15"/>
      <c r="BU496" s="15"/>
      <c r="BV496" s="15"/>
      <c r="BW496" s="15"/>
      <c r="BX496" s="15"/>
      <c r="BY496" s="15"/>
      <c r="BZ496" s="15"/>
      <c r="CA496" s="15"/>
      <c r="CB496" s="15"/>
      <c r="CC496" s="15"/>
      <c r="CD496" s="15"/>
      <c r="CE496" s="15"/>
      <c r="CF496" s="15"/>
      <c r="CG496" s="15"/>
      <c r="CH496" s="15"/>
      <c r="CI496" s="15"/>
      <c r="CJ496" s="15"/>
      <c r="CK496" s="15"/>
      <c r="CL496" s="15"/>
      <c r="CM496" s="15"/>
      <c r="CN496" s="15"/>
      <c r="CO496" s="15"/>
      <c r="CP496" s="15"/>
      <c r="CQ496" s="15"/>
      <c r="CR496" s="15"/>
      <c r="CS496" s="73"/>
      <c r="CT496" s="15"/>
      <c r="CU496" s="15"/>
      <c r="CV496" s="15"/>
      <c r="CW496" s="15"/>
      <c r="CX496" s="15"/>
      <c r="CY496" s="15"/>
      <c r="CZ496" s="15"/>
      <c r="DA496" s="15"/>
      <c r="DB496" s="15"/>
      <c r="DC496" s="15"/>
      <c r="DD496" s="15"/>
      <c r="DE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c r="AW497" s="15"/>
      <c r="AX497" s="15"/>
      <c r="AY497" s="15"/>
      <c r="AZ497" s="15"/>
      <c r="BA497" s="15"/>
      <c r="BB497" s="15"/>
      <c r="BC497" s="15"/>
      <c r="BD497" s="15"/>
      <c r="BE497" s="15"/>
      <c r="BF497" s="15"/>
      <c r="BG497" s="15"/>
      <c r="BH497" s="15"/>
      <c r="BI497" s="15"/>
      <c r="BJ497" s="61"/>
      <c r="BK497" s="15"/>
      <c r="BL497" s="15"/>
      <c r="BM497" s="15"/>
      <c r="BN497" s="15"/>
      <c r="BO497" s="15"/>
      <c r="BP497" s="15"/>
      <c r="BQ497" s="15"/>
      <c r="BR497" s="15"/>
      <c r="BS497" s="15"/>
      <c r="BT497" s="15"/>
      <c r="BU497" s="15"/>
      <c r="BV497" s="15"/>
      <c r="BW497" s="15"/>
      <c r="BX497" s="15"/>
      <c r="BY497" s="15"/>
      <c r="BZ497" s="15"/>
      <c r="CA497" s="15"/>
      <c r="CB497" s="15"/>
      <c r="CC497" s="15"/>
      <c r="CD497" s="15"/>
      <c r="CE497" s="15"/>
      <c r="CF497" s="15"/>
      <c r="CG497" s="15"/>
      <c r="CH497" s="15"/>
      <c r="CI497" s="15"/>
      <c r="CJ497" s="15"/>
      <c r="CK497" s="15"/>
      <c r="CL497" s="15"/>
      <c r="CM497" s="15"/>
      <c r="CN497" s="15"/>
      <c r="CO497" s="15"/>
      <c r="CP497" s="15"/>
      <c r="CQ497" s="15"/>
      <c r="CR497" s="15"/>
      <c r="CS497" s="73"/>
      <c r="CT497" s="15"/>
      <c r="CU497" s="15"/>
      <c r="CV497" s="15"/>
      <c r="CW497" s="15"/>
      <c r="CX497" s="15"/>
      <c r="CY497" s="15"/>
      <c r="CZ497" s="15"/>
      <c r="DA497" s="15"/>
      <c r="DB497" s="15"/>
      <c r="DC497" s="15"/>
      <c r="DD497" s="15"/>
      <c r="DE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c r="AW498" s="15"/>
      <c r="AX498" s="15"/>
      <c r="AY498" s="15"/>
      <c r="AZ498" s="15"/>
      <c r="BA498" s="15"/>
      <c r="BB498" s="15"/>
      <c r="BC498" s="15"/>
      <c r="BD498" s="15"/>
      <c r="BE498" s="15"/>
      <c r="BF498" s="15"/>
      <c r="BG498" s="15"/>
      <c r="BH498" s="15"/>
      <c r="BI498" s="15"/>
      <c r="BJ498" s="61"/>
      <c r="BK498" s="15"/>
      <c r="BL498" s="15"/>
      <c r="BM498" s="15"/>
      <c r="BN498" s="15"/>
      <c r="BO498" s="15"/>
      <c r="BP498" s="15"/>
      <c r="BQ498" s="15"/>
      <c r="BR498" s="15"/>
      <c r="BS498" s="15"/>
      <c r="BT498" s="15"/>
      <c r="BU498" s="15"/>
      <c r="BV498" s="15"/>
      <c r="BW498" s="15"/>
      <c r="BX498" s="15"/>
      <c r="BY498" s="15"/>
      <c r="BZ498" s="15"/>
      <c r="CA498" s="15"/>
      <c r="CB498" s="15"/>
      <c r="CC498" s="15"/>
      <c r="CD498" s="15"/>
      <c r="CE498" s="15"/>
      <c r="CF498" s="15"/>
      <c r="CG498" s="15"/>
      <c r="CH498" s="15"/>
      <c r="CI498" s="15"/>
      <c r="CJ498" s="15"/>
      <c r="CK498" s="15"/>
      <c r="CL498" s="15"/>
      <c r="CM498" s="15"/>
      <c r="CN498" s="15"/>
      <c r="CO498" s="15"/>
      <c r="CP498" s="15"/>
      <c r="CQ498" s="15"/>
      <c r="CR498" s="15"/>
      <c r="CS498" s="73"/>
      <c r="CT498" s="15"/>
      <c r="CU498" s="15"/>
      <c r="CV498" s="15"/>
      <c r="CW498" s="15"/>
      <c r="CX498" s="15"/>
      <c r="CY498" s="15"/>
      <c r="CZ498" s="15"/>
      <c r="DA498" s="15"/>
      <c r="DB498" s="15"/>
      <c r="DC498" s="15"/>
      <c r="DD498" s="15"/>
      <c r="DE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c r="AW499" s="15"/>
      <c r="AX499" s="15"/>
      <c r="AY499" s="15"/>
      <c r="AZ499" s="15"/>
      <c r="BA499" s="15"/>
      <c r="BB499" s="15"/>
      <c r="BC499" s="15"/>
      <c r="BD499" s="15"/>
      <c r="BE499" s="15"/>
      <c r="BF499" s="15"/>
      <c r="BG499" s="15"/>
      <c r="BH499" s="15"/>
      <c r="BI499" s="15"/>
      <c r="BJ499" s="61"/>
      <c r="BK499" s="15"/>
      <c r="BL499" s="15"/>
      <c r="BM499" s="15"/>
      <c r="BN499" s="15"/>
      <c r="BO499" s="15"/>
      <c r="BP499" s="15"/>
      <c r="BQ499" s="15"/>
      <c r="BR499" s="15"/>
      <c r="BS499" s="15"/>
      <c r="BT499" s="15"/>
      <c r="BU499" s="15"/>
      <c r="BV499" s="15"/>
      <c r="BW499" s="15"/>
      <c r="BX499" s="15"/>
      <c r="BY499" s="15"/>
      <c r="BZ499" s="15"/>
      <c r="CA499" s="15"/>
      <c r="CB499" s="15"/>
      <c r="CC499" s="15"/>
      <c r="CD499" s="15"/>
      <c r="CE499" s="15"/>
      <c r="CF499" s="15"/>
      <c r="CG499" s="15"/>
      <c r="CH499" s="15"/>
      <c r="CI499" s="15"/>
      <c r="CJ499" s="15"/>
      <c r="CK499" s="15"/>
      <c r="CL499" s="15"/>
      <c r="CM499" s="15"/>
      <c r="CN499" s="15"/>
      <c r="CO499" s="15"/>
      <c r="CP499" s="15"/>
      <c r="CQ499" s="15"/>
      <c r="CR499" s="15"/>
      <c r="CS499" s="73"/>
      <c r="CT499" s="15"/>
      <c r="CU499" s="15"/>
      <c r="CV499" s="15"/>
      <c r="CW499" s="15"/>
      <c r="CX499" s="15"/>
      <c r="CY499" s="15"/>
      <c r="CZ499" s="15"/>
      <c r="DA499" s="15"/>
      <c r="DB499" s="15"/>
      <c r="DC499" s="15"/>
      <c r="DD499" s="15"/>
      <c r="DE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c r="AW500" s="15"/>
      <c r="AX500" s="15"/>
      <c r="AY500" s="15"/>
      <c r="AZ500" s="15"/>
      <c r="BA500" s="15"/>
      <c r="BB500" s="15"/>
      <c r="BC500" s="15"/>
      <c r="BD500" s="15"/>
      <c r="BE500" s="15"/>
      <c r="BF500" s="15"/>
      <c r="BG500" s="15"/>
      <c r="BH500" s="15"/>
      <c r="BI500" s="15"/>
      <c r="BJ500" s="61"/>
      <c r="BK500" s="15"/>
      <c r="BL500" s="15"/>
      <c r="BM500" s="15"/>
      <c r="BN500" s="15"/>
      <c r="BO500" s="15"/>
      <c r="BP500" s="15"/>
      <c r="BQ500" s="15"/>
      <c r="BR500" s="15"/>
      <c r="BS500" s="15"/>
      <c r="BT500" s="15"/>
      <c r="BU500" s="15"/>
      <c r="BV500" s="15"/>
      <c r="BW500" s="15"/>
      <c r="BX500" s="15"/>
      <c r="BY500" s="15"/>
      <c r="BZ500" s="15"/>
      <c r="CA500" s="15"/>
      <c r="CB500" s="15"/>
      <c r="CC500" s="15"/>
      <c r="CD500" s="15"/>
      <c r="CE500" s="15"/>
      <c r="CF500" s="15"/>
      <c r="CG500" s="15"/>
      <c r="CH500" s="15"/>
      <c r="CI500" s="15"/>
      <c r="CJ500" s="15"/>
      <c r="CK500" s="15"/>
      <c r="CL500" s="15"/>
      <c r="CM500" s="15"/>
      <c r="CN500" s="15"/>
      <c r="CO500" s="15"/>
      <c r="CP500" s="15"/>
      <c r="CQ500" s="15"/>
      <c r="CR500" s="15"/>
      <c r="CS500" s="73"/>
      <c r="CT500" s="15"/>
      <c r="CU500" s="15"/>
      <c r="CV500" s="15"/>
      <c r="CW500" s="15"/>
      <c r="CX500" s="15"/>
      <c r="CY500" s="15"/>
      <c r="CZ500" s="15"/>
      <c r="DA500" s="15"/>
      <c r="DB500" s="15"/>
      <c r="DC500" s="15"/>
      <c r="DD500" s="15"/>
      <c r="DE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c r="AW501" s="15"/>
      <c r="AX501" s="15"/>
      <c r="AY501" s="15"/>
      <c r="AZ501" s="15"/>
      <c r="BA501" s="15"/>
      <c r="BB501" s="15"/>
      <c r="BC501" s="15"/>
      <c r="BD501" s="15"/>
      <c r="BE501" s="15"/>
      <c r="BF501" s="15"/>
      <c r="BG501" s="15"/>
      <c r="BH501" s="15"/>
      <c r="BI501" s="15"/>
      <c r="BJ501" s="61"/>
      <c r="BK501" s="15"/>
      <c r="BL501" s="15"/>
      <c r="BM501" s="15"/>
      <c r="BN501" s="15"/>
      <c r="BO501" s="15"/>
      <c r="BP501" s="15"/>
      <c r="BQ501" s="15"/>
      <c r="BR501" s="15"/>
      <c r="BS501" s="15"/>
      <c r="BT501" s="15"/>
      <c r="BU501" s="15"/>
      <c r="BV501" s="15"/>
      <c r="BW501" s="15"/>
      <c r="BX501" s="15"/>
      <c r="BY501" s="15"/>
      <c r="BZ501" s="15"/>
      <c r="CA501" s="15"/>
      <c r="CB501" s="15"/>
      <c r="CC501" s="15"/>
      <c r="CD501" s="15"/>
      <c r="CE501" s="15"/>
      <c r="CF501" s="15"/>
      <c r="CG501" s="15"/>
      <c r="CH501" s="15"/>
      <c r="CI501" s="15"/>
      <c r="CJ501" s="15"/>
      <c r="CK501" s="15"/>
      <c r="CL501" s="15"/>
      <c r="CM501" s="15"/>
      <c r="CN501" s="15"/>
      <c r="CO501" s="15"/>
      <c r="CP501" s="15"/>
      <c r="CQ501" s="15"/>
      <c r="CR501" s="15"/>
      <c r="CS501" s="73"/>
      <c r="CT501" s="15"/>
      <c r="CU501" s="15"/>
      <c r="CV501" s="15"/>
      <c r="CW501" s="15"/>
      <c r="CX501" s="15"/>
      <c r="CY501" s="15"/>
      <c r="CZ501" s="15"/>
      <c r="DA501" s="15"/>
      <c r="DB501" s="15"/>
      <c r="DC501" s="15"/>
      <c r="DD501" s="15"/>
      <c r="DE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c r="AW502" s="15"/>
      <c r="AX502" s="15"/>
      <c r="AY502" s="15"/>
      <c r="AZ502" s="15"/>
      <c r="BA502" s="15"/>
      <c r="BB502" s="15"/>
      <c r="BC502" s="15"/>
      <c r="BD502" s="15"/>
      <c r="BE502" s="15"/>
      <c r="BF502" s="15"/>
      <c r="BG502" s="15"/>
      <c r="BH502" s="15"/>
      <c r="BI502" s="15"/>
      <c r="BJ502" s="61"/>
      <c r="BK502" s="15"/>
      <c r="BL502" s="15"/>
      <c r="BM502" s="15"/>
      <c r="BN502" s="15"/>
      <c r="BO502" s="15"/>
      <c r="BP502" s="15"/>
      <c r="BQ502" s="15"/>
      <c r="BR502" s="15"/>
      <c r="BS502" s="15"/>
      <c r="BT502" s="15"/>
      <c r="BU502" s="15"/>
      <c r="BV502" s="15"/>
      <c r="BW502" s="15"/>
      <c r="BX502" s="15"/>
      <c r="BY502" s="15"/>
      <c r="BZ502" s="15"/>
      <c r="CA502" s="15"/>
      <c r="CB502" s="15"/>
      <c r="CC502" s="15"/>
      <c r="CD502" s="15"/>
      <c r="CE502" s="15"/>
      <c r="CF502" s="15"/>
      <c r="CG502" s="15"/>
      <c r="CH502" s="15"/>
      <c r="CI502" s="15"/>
      <c r="CJ502" s="15"/>
      <c r="CK502" s="15"/>
      <c r="CL502" s="15"/>
      <c r="CM502" s="15"/>
      <c r="CN502" s="15"/>
      <c r="CO502" s="15"/>
      <c r="CP502" s="15"/>
      <c r="CQ502" s="15"/>
      <c r="CR502" s="15"/>
      <c r="CS502" s="73"/>
      <c r="CT502" s="15"/>
      <c r="CU502" s="15"/>
      <c r="CV502" s="15"/>
      <c r="CW502" s="15"/>
      <c r="CX502" s="15"/>
      <c r="CY502" s="15"/>
      <c r="CZ502" s="15"/>
      <c r="DA502" s="15"/>
      <c r="DB502" s="15"/>
      <c r="DC502" s="15"/>
      <c r="DD502" s="15"/>
      <c r="DE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61"/>
      <c r="BK503" s="15"/>
      <c r="BL503" s="15"/>
      <c r="BM503" s="15"/>
      <c r="BN503" s="15"/>
      <c r="BO503" s="15"/>
      <c r="BP503" s="15"/>
      <c r="BQ503" s="15"/>
      <c r="BR503" s="15"/>
      <c r="BS503" s="15"/>
      <c r="BT503" s="15"/>
      <c r="BU503" s="15"/>
      <c r="BV503" s="15"/>
      <c r="BW503" s="15"/>
      <c r="BX503" s="15"/>
      <c r="BY503" s="15"/>
      <c r="BZ503" s="15"/>
      <c r="CA503" s="15"/>
      <c r="CB503" s="15"/>
      <c r="CC503" s="15"/>
      <c r="CD503" s="15"/>
      <c r="CE503" s="15"/>
      <c r="CF503" s="15"/>
      <c r="CG503" s="15"/>
      <c r="CH503" s="15"/>
      <c r="CI503" s="15"/>
      <c r="CJ503" s="15"/>
      <c r="CK503" s="15"/>
      <c r="CL503" s="15"/>
      <c r="CM503" s="15"/>
      <c r="CN503" s="15"/>
      <c r="CO503" s="15"/>
      <c r="CP503" s="15"/>
      <c r="CQ503" s="15"/>
      <c r="CR503" s="15"/>
      <c r="CS503" s="73"/>
      <c r="CT503" s="15"/>
      <c r="CU503" s="15"/>
      <c r="CV503" s="15"/>
      <c r="CW503" s="15"/>
      <c r="CX503" s="15"/>
      <c r="CY503" s="15"/>
      <c r="CZ503" s="15"/>
      <c r="DA503" s="15"/>
      <c r="DB503" s="15"/>
      <c r="DC503" s="15"/>
      <c r="DD503" s="15"/>
      <c r="DE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61"/>
      <c r="BK504" s="15"/>
      <c r="BL504" s="15"/>
      <c r="BM504" s="15"/>
      <c r="BN504" s="15"/>
      <c r="BO504" s="15"/>
      <c r="BP504" s="15"/>
      <c r="BQ504" s="15"/>
      <c r="BR504" s="15"/>
      <c r="BS504" s="15"/>
      <c r="BT504" s="15"/>
      <c r="BU504" s="15"/>
      <c r="BV504" s="15"/>
      <c r="BW504" s="15"/>
      <c r="BX504" s="15"/>
      <c r="BY504" s="15"/>
      <c r="BZ504" s="15"/>
      <c r="CA504" s="15"/>
      <c r="CB504" s="15"/>
      <c r="CC504" s="15"/>
      <c r="CD504" s="15"/>
      <c r="CE504" s="15"/>
      <c r="CF504" s="15"/>
      <c r="CG504" s="15"/>
      <c r="CH504" s="15"/>
      <c r="CI504" s="15"/>
      <c r="CJ504" s="15"/>
      <c r="CK504" s="15"/>
      <c r="CL504" s="15"/>
      <c r="CM504" s="15"/>
      <c r="CN504" s="15"/>
      <c r="CO504" s="15"/>
      <c r="CP504" s="15"/>
      <c r="CQ504" s="15"/>
      <c r="CR504" s="15"/>
      <c r="CS504" s="73"/>
      <c r="CT504" s="15"/>
      <c r="CU504" s="15"/>
      <c r="CV504" s="15"/>
      <c r="CW504" s="15"/>
      <c r="CX504" s="15"/>
      <c r="CY504" s="15"/>
      <c r="CZ504" s="15"/>
      <c r="DA504" s="15"/>
      <c r="DB504" s="15"/>
      <c r="DC504" s="15"/>
      <c r="DD504" s="15"/>
      <c r="DE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61"/>
      <c r="BK505" s="15"/>
      <c r="BL505" s="15"/>
      <c r="BM505" s="15"/>
      <c r="BN505" s="15"/>
      <c r="BO505" s="15"/>
      <c r="BP505" s="15"/>
      <c r="BQ505" s="15"/>
      <c r="BR505" s="15"/>
      <c r="BS505" s="15"/>
      <c r="BT505" s="15"/>
      <c r="BU505" s="15"/>
      <c r="BV505" s="15"/>
      <c r="BW505" s="15"/>
      <c r="BX505" s="15"/>
      <c r="BY505" s="15"/>
      <c r="BZ505" s="15"/>
      <c r="CA505" s="15"/>
      <c r="CB505" s="15"/>
      <c r="CC505" s="15"/>
      <c r="CD505" s="15"/>
      <c r="CE505" s="15"/>
      <c r="CF505" s="15"/>
      <c r="CG505" s="15"/>
      <c r="CH505" s="15"/>
      <c r="CI505" s="15"/>
      <c r="CJ505" s="15"/>
      <c r="CK505" s="15"/>
      <c r="CL505" s="15"/>
      <c r="CM505" s="15"/>
      <c r="CN505" s="15"/>
      <c r="CO505" s="15"/>
      <c r="CP505" s="15"/>
      <c r="CQ505" s="15"/>
      <c r="CR505" s="15"/>
      <c r="CS505" s="73"/>
      <c r="CT505" s="15"/>
      <c r="CU505" s="15"/>
      <c r="CV505" s="15"/>
      <c r="CW505" s="15"/>
      <c r="CX505" s="15"/>
      <c r="CY505" s="15"/>
      <c r="CZ505" s="15"/>
      <c r="DA505" s="15"/>
      <c r="DB505" s="15"/>
      <c r="DC505" s="15"/>
      <c r="DD505" s="15"/>
      <c r="DE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61"/>
      <c r="BK506" s="15"/>
      <c r="BL506" s="15"/>
      <c r="BM506" s="15"/>
      <c r="BN506" s="15"/>
      <c r="BO506" s="15"/>
      <c r="BP506" s="15"/>
      <c r="BQ506" s="15"/>
      <c r="BR506" s="15"/>
      <c r="BS506" s="15"/>
      <c r="BT506" s="15"/>
      <c r="BU506" s="15"/>
      <c r="BV506" s="15"/>
      <c r="BW506" s="15"/>
      <c r="BX506" s="15"/>
      <c r="BY506" s="15"/>
      <c r="BZ506" s="15"/>
      <c r="CA506" s="15"/>
      <c r="CB506" s="15"/>
      <c r="CC506" s="15"/>
      <c r="CD506" s="15"/>
      <c r="CE506" s="15"/>
      <c r="CF506" s="15"/>
      <c r="CG506" s="15"/>
      <c r="CH506" s="15"/>
      <c r="CI506" s="15"/>
      <c r="CJ506" s="15"/>
      <c r="CK506" s="15"/>
      <c r="CL506" s="15"/>
      <c r="CM506" s="15"/>
      <c r="CN506" s="15"/>
      <c r="CO506" s="15"/>
      <c r="CP506" s="15"/>
      <c r="CQ506" s="15"/>
      <c r="CR506" s="15"/>
      <c r="CS506" s="73"/>
      <c r="CT506" s="15"/>
      <c r="CU506" s="15"/>
      <c r="CV506" s="15"/>
      <c r="CW506" s="15"/>
      <c r="CX506" s="15"/>
      <c r="CY506" s="15"/>
      <c r="CZ506" s="15"/>
      <c r="DA506" s="15"/>
      <c r="DB506" s="15"/>
      <c r="DC506" s="15"/>
      <c r="DD506" s="15"/>
      <c r="DE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61"/>
      <c r="BK507" s="15"/>
      <c r="BL507" s="15"/>
      <c r="BM507" s="15"/>
      <c r="BN507" s="15"/>
      <c r="BO507" s="15"/>
      <c r="BP507" s="15"/>
      <c r="BQ507" s="15"/>
      <c r="BR507" s="15"/>
      <c r="BS507" s="15"/>
      <c r="BT507" s="15"/>
      <c r="BU507" s="15"/>
      <c r="BV507" s="15"/>
      <c r="BW507" s="15"/>
      <c r="BX507" s="15"/>
      <c r="BY507" s="15"/>
      <c r="BZ507" s="15"/>
      <c r="CA507" s="15"/>
      <c r="CB507" s="15"/>
      <c r="CC507" s="15"/>
      <c r="CD507" s="15"/>
      <c r="CE507" s="15"/>
      <c r="CF507" s="15"/>
      <c r="CG507" s="15"/>
      <c r="CH507" s="15"/>
      <c r="CI507" s="15"/>
      <c r="CJ507" s="15"/>
      <c r="CK507" s="15"/>
      <c r="CL507" s="15"/>
      <c r="CM507" s="15"/>
      <c r="CN507" s="15"/>
      <c r="CO507" s="15"/>
      <c r="CP507" s="15"/>
      <c r="CQ507" s="15"/>
      <c r="CR507" s="15"/>
      <c r="CS507" s="73"/>
      <c r="CT507" s="15"/>
      <c r="CU507" s="15"/>
      <c r="CV507" s="15"/>
      <c r="CW507" s="15"/>
      <c r="CX507" s="15"/>
      <c r="CY507" s="15"/>
      <c r="CZ507" s="15"/>
      <c r="DA507" s="15"/>
      <c r="DB507" s="15"/>
      <c r="DC507" s="15"/>
      <c r="DD507" s="15"/>
      <c r="DE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61"/>
      <c r="BK508" s="15"/>
      <c r="BL508" s="15"/>
      <c r="BM508" s="15"/>
      <c r="BN508" s="15"/>
      <c r="BO508" s="15"/>
      <c r="BP508" s="15"/>
      <c r="BQ508" s="15"/>
      <c r="BR508" s="15"/>
      <c r="BS508" s="15"/>
      <c r="BT508" s="15"/>
      <c r="BU508" s="15"/>
      <c r="BV508" s="15"/>
      <c r="BW508" s="15"/>
      <c r="BX508" s="15"/>
      <c r="BY508" s="15"/>
      <c r="BZ508" s="15"/>
      <c r="CA508" s="15"/>
      <c r="CB508" s="15"/>
      <c r="CC508" s="15"/>
      <c r="CD508" s="15"/>
      <c r="CE508" s="15"/>
      <c r="CF508" s="15"/>
      <c r="CG508" s="15"/>
      <c r="CH508" s="15"/>
      <c r="CI508" s="15"/>
      <c r="CJ508" s="15"/>
      <c r="CK508" s="15"/>
      <c r="CL508" s="15"/>
      <c r="CM508" s="15"/>
      <c r="CN508" s="15"/>
      <c r="CO508" s="15"/>
      <c r="CP508" s="15"/>
      <c r="CQ508" s="15"/>
      <c r="CR508" s="15"/>
      <c r="CS508" s="73"/>
      <c r="CT508" s="15"/>
      <c r="CU508" s="15"/>
      <c r="CV508" s="15"/>
      <c r="CW508" s="15"/>
      <c r="CX508" s="15"/>
      <c r="CY508" s="15"/>
      <c r="CZ508" s="15"/>
      <c r="DA508" s="15"/>
      <c r="DB508" s="15"/>
      <c r="DC508" s="15"/>
      <c r="DD508" s="15"/>
      <c r="DE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61"/>
      <c r="BK509" s="15"/>
      <c r="BL509" s="15"/>
      <c r="BM509" s="15"/>
      <c r="BN509" s="15"/>
      <c r="BO509" s="15"/>
      <c r="BP509" s="15"/>
      <c r="BQ509" s="15"/>
      <c r="BR509" s="15"/>
      <c r="BS509" s="15"/>
      <c r="BT509" s="15"/>
      <c r="BU509" s="15"/>
      <c r="BV509" s="15"/>
      <c r="BW509" s="15"/>
      <c r="BX509" s="15"/>
      <c r="BY509" s="15"/>
      <c r="BZ509" s="15"/>
      <c r="CA509" s="15"/>
      <c r="CB509" s="15"/>
      <c r="CC509" s="15"/>
      <c r="CD509" s="15"/>
      <c r="CE509" s="15"/>
      <c r="CF509" s="15"/>
      <c r="CG509" s="15"/>
      <c r="CH509" s="15"/>
      <c r="CI509" s="15"/>
      <c r="CJ509" s="15"/>
      <c r="CK509" s="15"/>
      <c r="CL509" s="15"/>
      <c r="CM509" s="15"/>
      <c r="CN509" s="15"/>
      <c r="CO509" s="15"/>
      <c r="CP509" s="15"/>
      <c r="CQ509" s="15"/>
      <c r="CR509" s="15"/>
      <c r="CS509" s="73"/>
      <c r="CT509" s="15"/>
      <c r="CU509" s="15"/>
      <c r="CV509" s="15"/>
      <c r="CW509" s="15"/>
      <c r="CX509" s="15"/>
      <c r="CY509" s="15"/>
      <c r="CZ509" s="15"/>
      <c r="DA509" s="15"/>
      <c r="DB509" s="15"/>
      <c r="DC509" s="15"/>
      <c r="DD509" s="15"/>
      <c r="DE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61"/>
      <c r="BK510" s="15"/>
      <c r="BL510" s="15"/>
      <c r="BM510" s="15"/>
      <c r="BN510" s="15"/>
      <c r="BO510" s="15"/>
      <c r="BP510" s="15"/>
      <c r="BQ510" s="15"/>
      <c r="BR510" s="15"/>
      <c r="BS510" s="15"/>
      <c r="BT510" s="15"/>
      <c r="BU510" s="15"/>
      <c r="BV510" s="15"/>
      <c r="BW510" s="15"/>
      <c r="BX510" s="15"/>
      <c r="BY510" s="15"/>
      <c r="BZ510" s="15"/>
      <c r="CA510" s="15"/>
      <c r="CB510" s="15"/>
      <c r="CC510" s="15"/>
      <c r="CD510" s="15"/>
      <c r="CE510" s="15"/>
      <c r="CF510" s="15"/>
      <c r="CG510" s="15"/>
      <c r="CH510" s="15"/>
      <c r="CI510" s="15"/>
      <c r="CJ510" s="15"/>
      <c r="CK510" s="15"/>
      <c r="CL510" s="15"/>
      <c r="CM510" s="15"/>
      <c r="CN510" s="15"/>
      <c r="CO510" s="15"/>
      <c r="CP510" s="15"/>
      <c r="CQ510" s="15"/>
      <c r="CR510" s="15"/>
      <c r="CS510" s="73"/>
      <c r="CT510" s="15"/>
      <c r="CU510" s="15"/>
      <c r="CV510" s="15"/>
      <c r="CW510" s="15"/>
      <c r="CX510" s="15"/>
      <c r="CY510" s="15"/>
      <c r="CZ510" s="15"/>
      <c r="DA510" s="15"/>
      <c r="DB510" s="15"/>
      <c r="DC510" s="15"/>
      <c r="DD510" s="15"/>
      <c r="DE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61"/>
      <c r="BK511" s="15"/>
      <c r="BL511" s="15"/>
      <c r="BM511" s="15"/>
      <c r="BN511" s="15"/>
      <c r="BO511" s="15"/>
      <c r="BP511" s="15"/>
      <c r="BQ511" s="15"/>
      <c r="BR511" s="15"/>
      <c r="BS511" s="15"/>
      <c r="BT511" s="15"/>
      <c r="BU511" s="15"/>
      <c r="BV511" s="15"/>
      <c r="BW511" s="15"/>
      <c r="BX511" s="15"/>
      <c r="BY511" s="15"/>
      <c r="BZ511" s="15"/>
      <c r="CA511" s="15"/>
      <c r="CB511" s="15"/>
      <c r="CC511" s="15"/>
      <c r="CD511" s="15"/>
      <c r="CE511" s="15"/>
      <c r="CF511" s="15"/>
      <c r="CG511" s="15"/>
      <c r="CH511" s="15"/>
      <c r="CI511" s="15"/>
      <c r="CJ511" s="15"/>
      <c r="CK511" s="15"/>
      <c r="CL511" s="15"/>
      <c r="CM511" s="15"/>
      <c r="CN511" s="15"/>
      <c r="CO511" s="15"/>
      <c r="CP511" s="15"/>
      <c r="CQ511" s="15"/>
      <c r="CR511" s="15"/>
      <c r="CS511" s="73"/>
      <c r="CT511" s="15"/>
      <c r="CU511" s="15"/>
      <c r="CV511" s="15"/>
      <c r="CW511" s="15"/>
      <c r="CX511" s="15"/>
      <c r="CY511" s="15"/>
      <c r="CZ511" s="15"/>
      <c r="DA511" s="15"/>
      <c r="DB511" s="15"/>
      <c r="DC511" s="15"/>
      <c r="DD511" s="15"/>
      <c r="DE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61"/>
      <c r="BK512" s="15"/>
      <c r="BL512" s="15"/>
      <c r="BM512" s="15"/>
      <c r="BN512" s="15"/>
      <c r="BO512" s="15"/>
      <c r="BP512" s="15"/>
      <c r="BQ512" s="15"/>
      <c r="BR512" s="15"/>
      <c r="BS512" s="15"/>
      <c r="BT512" s="15"/>
      <c r="BU512" s="15"/>
      <c r="BV512" s="15"/>
      <c r="BW512" s="15"/>
      <c r="BX512" s="15"/>
      <c r="BY512" s="15"/>
      <c r="BZ512" s="15"/>
      <c r="CA512" s="15"/>
      <c r="CB512" s="15"/>
      <c r="CC512" s="15"/>
      <c r="CD512" s="15"/>
      <c r="CE512" s="15"/>
      <c r="CF512" s="15"/>
      <c r="CG512" s="15"/>
      <c r="CH512" s="15"/>
      <c r="CI512" s="15"/>
      <c r="CJ512" s="15"/>
      <c r="CK512" s="15"/>
      <c r="CL512" s="15"/>
      <c r="CM512" s="15"/>
      <c r="CN512" s="15"/>
      <c r="CO512" s="15"/>
      <c r="CP512" s="15"/>
      <c r="CQ512" s="15"/>
      <c r="CR512" s="15"/>
      <c r="CS512" s="73"/>
      <c r="CT512" s="15"/>
      <c r="CU512" s="15"/>
      <c r="CV512" s="15"/>
      <c r="CW512" s="15"/>
      <c r="CX512" s="15"/>
      <c r="CY512" s="15"/>
      <c r="CZ512" s="15"/>
      <c r="DA512" s="15"/>
      <c r="DB512" s="15"/>
      <c r="DC512" s="15"/>
      <c r="DD512" s="15"/>
      <c r="DE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c r="AW513" s="15"/>
      <c r="AX513" s="15"/>
      <c r="AY513" s="15"/>
      <c r="AZ513" s="15"/>
      <c r="BA513" s="15"/>
      <c r="BB513" s="15"/>
      <c r="BC513" s="15"/>
      <c r="BD513" s="15"/>
      <c r="BE513" s="15"/>
      <c r="BF513" s="15"/>
      <c r="BG513" s="15"/>
      <c r="BH513" s="15"/>
      <c r="BI513" s="15"/>
      <c r="BJ513" s="61"/>
      <c r="BK513" s="15"/>
      <c r="BL513" s="15"/>
      <c r="BM513" s="15"/>
      <c r="BN513" s="15"/>
      <c r="BO513" s="15"/>
      <c r="BP513" s="15"/>
      <c r="BQ513" s="15"/>
      <c r="BR513" s="15"/>
      <c r="BS513" s="15"/>
      <c r="BT513" s="15"/>
      <c r="BU513" s="15"/>
      <c r="BV513" s="15"/>
      <c r="BW513" s="15"/>
      <c r="BX513" s="15"/>
      <c r="BY513" s="15"/>
      <c r="BZ513" s="15"/>
      <c r="CA513" s="15"/>
      <c r="CB513" s="15"/>
      <c r="CC513" s="15"/>
      <c r="CD513" s="15"/>
      <c r="CE513" s="15"/>
      <c r="CF513" s="15"/>
      <c r="CG513" s="15"/>
      <c r="CH513" s="15"/>
      <c r="CI513" s="15"/>
      <c r="CJ513" s="15"/>
      <c r="CK513" s="15"/>
      <c r="CL513" s="15"/>
      <c r="CM513" s="15"/>
      <c r="CN513" s="15"/>
      <c r="CO513" s="15"/>
      <c r="CP513" s="15"/>
      <c r="CQ513" s="15"/>
      <c r="CR513" s="15"/>
      <c r="CS513" s="73"/>
      <c r="CT513" s="15"/>
      <c r="CU513" s="15"/>
      <c r="CV513" s="15"/>
      <c r="CW513" s="15"/>
      <c r="CX513" s="15"/>
      <c r="CY513" s="15"/>
      <c r="CZ513" s="15"/>
      <c r="DA513" s="15"/>
      <c r="DB513" s="15"/>
      <c r="DC513" s="15"/>
      <c r="DD513" s="15"/>
      <c r="DE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c r="AW514" s="15"/>
      <c r="AX514" s="15"/>
      <c r="AY514" s="15"/>
      <c r="AZ514" s="15"/>
      <c r="BA514" s="15"/>
      <c r="BB514" s="15"/>
      <c r="BC514" s="15"/>
      <c r="BD514" s="15"/>
      <c r="BE514" s="15"/>
      <c r="BF514" s="15"/>
      <c r="BG514" s="15"/>
      <c r="BH514" s="15"/>
      <c r="BI514" s="15"/>
      <c r="BJ514" s="61"/>
      <c r="BK514" s="15"/>
      <c r="BL514" s="15"/>
      <c r="BM514" s="15"/>
      <c r="BN514" s="15"/>
      <c r="BO514" s="15"/>
      <c r="BP514" s="15"/>
      <c r="BQ514" s="15"/>
      <c r="BR514" s="15"/>
      <c r="BS514" s="15"/>
      <c r="BT514" s="15"/>
      <c r="BU514" s="15"/>
      <c r="BV514" s="15"/>
      <c r="BW514" s="15"/>
      <c r="BX514" s="15"/>
      <c r="BY514" s="15"/>
      <c r="BZ514" s="15"/>
      <c r="CA514" s="15"/>
      <c r="CB514" s="15"/>
      <c r="CC514" s="15"/>
      <c r="CD514" s="15"/>
      <c r="CE514" s="15"/>
      <c r="CF514" s="15"/>
      <c r="CG514" s="15"/>
      <c r="CH514" s="15"/>
      <c r="CI514" s="15"/>
      <c r="CJ514" s="15"/>
      <c r="CK514" s="15"/>
      <c r="CL514" s="15"/>
      <c r="CM514" s="15"/>
      <c r="CN514" s="15"/>
      <c r="CO514" s="15"/>
      <c r="CP514" s="15"/>
      <c r="CQ514" s="15"/>
      <c r="CR514" s="15"/>
      <c r="CS514" s="73"/>
      <c r="CT514" s="15"/>
      <c r="CU514" s="15"/>
      <c r="CV514" s="15"/>
      <c r="CW514" s="15"/>
      <c r="CX514" s="15"/>
      <c r="CY514" s="15"/>
      <c r="CZ514" s="15"/>
      <c r="DA514" s="15"/>
      <c r="DB514" s="15"/>
      <c r="DC514" s="15"/>
      <c r="DD514" s="15"/>
      <c r="DE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c r="AW515" s="15"/>
      <c r="AX515" s="15"/>
      <c r="AY515" s="15"/>
      <c r="AZ515" s="15"/>
      <c r="BA515" s="15"/>
      <c r="BB515" s="15"/>
      <c r="BC515" s="15"/>
      <c r="BD515" s="15"/>
      <c r="BE515" s="15"/>
      <c r="BF515" s="15"/>
      <c r="BG515" s="15"/>
      <c r="BH515" s="15"/>
      <c r="BI515" s="15"/>
      <c r="BJ515" s="61"/>
      <c r="BK515" s="15"/>
      <c r="BL515" s="15"/>
      <c r="BM515" s="15"/>
      <c r="BN515" s="15"/>
      <c r="BO515" s="15"/>
      <c r="BP515" s="15"/>
      <c r="BQ515" s="15"/>
      <c r="BR515" s="15"/>
      <c r="BS515" s="15"/>
      <c r="BT515" s="15"/>
      <c r="BU515" s="15"/>
      <c r="BV515" s="15"/>
      <c r="BW515" s="15"/>
      <c r="BX515" s="15"/>
      <c r="BY515" s="15"/>
      <c r="BZ515" s="15"/>
      <c r="CA515" s="15"/>
      <c r="CB515" s="15"/>
      <c r="CC515" s="15"/>
      <c r="CD515" s="15"/>
      <c r="CE515" s="15"/>
      <c r="CF515" s="15"/>
      <c r="CG515" s="15"/>
      <c r="CH515" s="15"/>
      <c r="CI515" s="15"/>
      <c r="CJ515" s="15"/>
      <c r="CK515" s="15"/>
      <c r="CL515" s="15"/>
      <c r="CM515" s="15"/>
      <c r="CN515" s="15"/>
      <c r="CO515" s="15"/>
      <c r="CP515" s="15"/>
      <c r="CQ515" s="15"/>
      <c r="CR515" s="15"/>
      <c r="CS515" s="73"/>
      <c r="CT515" s="15"/>
      <c r="CU515" s="15"/>
      <c r="CV515" s="15"/>
      <c r="CW515" s="15"/>
      <c r="CX515" s="15"/>
      <c r="CY515" s="15"/>
      <c r="CZ515" s="15"/>
      <c r="DA515" s="15"/>
      <c r="DB515" s="15"/>
      <c r="DC515" s="15"/>
      <c r="DD515" s="15"/>
      <c r="DE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61"/>
      <c r="BK516" s="15"/>
      <c r="BL516" s="15"/>
      <c r="BM516" s="15"/>
      <c r="BN516" s="15"/>
      <c r="BO516" s="15"/>
      <c r="BP516" s="15"/>
      <c r="BQ516" s="15"/>
      <c r="BR516" s="15"/>
      <c r="BS516" s="15"/>
      <c r="BT516" s="15"/>
      <c r="BU516" s="15"/>
      <c r="BV516" s="15"/>
      <c r="BW516" s="15"/>
      <c r="BX516" s="15"/>
      <c r="BY516" s="15"/>
      <c r="BZ516" s="15"/>
      <c r="CA516" s="15"/>
      <c r="CB516" s="15"/>
      <c r="CC516" s="15"/>
      <c r="CD516" s="15"/>
      <c r="CE516" s="15"/>
      <c r="CF516" s="15"/>
      <c r="CG516" s="15"/>
      <c r="CH516" s="15"/>
      <c r="CI516" s="15"/>
      <c r="CJ516" s="15"/>
      <c r="CK516" s="15"/>
      <c r="CL516" s="15"/>
      <c r="CM516" s="15"/>
      <c r="CN516" s="15"/>
      <c r="CO516" s="15"/>
      <c r="CP516" s="15"/>
      <c r="CQ516" s="15"/>
      <c r="CR516" s="15"/>
      <c r="CS516" s="73"/>
      <c r="CT516" s="15"/>
      <c r="CU516" s="15"/>
      <c r="CV516" s="15"/>
      <c r="CW516" s="15"/>
      <c r="CX516" s="15"/>
      <c r="CY516" s="15"/>
      <c r="CZ516" s="15"/>
      <c r="DA516" s="15"/>
      <c r="DB516" s="15"/>
      <c r="DC516" s="15"/>
      <c r="DD516" s="15"/>
      <c r="DE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61"/>
      <c r="BK517" s="15"/>
      <c r="BL517" s="15"/>
      <c r="BM517" s="15"/>
      <c r="BN517" s="15"/>
      <c r="BO517" s="15"/>
      <c r="BP517" s="15"/>
      <c r="BQ517" s="15"/>
      <c r="BR517" s="15"/>
      <c r="BS517" s="15"/>
      <c r="BT517" s="15"/>
      <c r="BU517" s="15"/>
      <c r="BV517" s="15"/>
      <c r="BW517" s="15"/>
      <c r="BX517" s="15"/>
      <c r="BY517" s="15"/>
      <c r="BZ517" s="15"/>
      <c r="CA517" s="15"/>
      <c r="CB517" s="15"/>
      <c r="CC517" s="15"/>
      <c r="CD517" s="15"/>
      <c r="CE517" s="15"/>
      <c r="CF517" s="15"/>
      <c r="CG517" s="15"/>
      <c r="CH517" s="15"/>
      <c r="CI517" s="15"/>
      <c r="CJ517" s="15"/>
      <c r="CK517" s="15"/>
      <c r="CL517" s="15"/>
      <c r="CM517" s="15"/>
      <c r="CN517" s="15"/>
      <c r="CO517" s="15"/>
      <c r="CP517" s="15"/>
      <c r="CQ517" s="15"/>
      <c r="CR517" s="15"/>
      <c r="CS517" s="73"/>
      <c r="CT517" s="15"/>
      <c r="CU517" s="15"/>
      <c r="CV517" s="15"/>
      <c r="CW517" s="15"/>
      <c r="CX517" s="15"/>
      <c r="CY517" s="15"/>
      <c r="CZ517" s="15"/>
      <c r="DA517" s="15"/>
      <c r="DB517" s="15"/>
      <c r="DC517" s="15"/>
      <c r="DD517" s="15"/>
      <c r="DE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61"/>
      <c r="BK518" s="15"/>
      <c r="BL518" s="15"/>
      <c r="BM518" s="15"/>
      <c r="BN518" s="15"/>
      <c r="BO518" s="15"/>
      <c r="BP518" s="15"/>
      <c r="BQ518" s="15"/>
      <c r="BR518" s="15"/>
      <c r="BS518" s="15"/>
      <c r="BT518" s="15"/>
      <c r="BU518" s="15"/>
      <c r="BV518" s="15"/>
      <c r="BW518" s="15"/>
      <c r="BX518" s="15"/>
      <c r="BY518" s="15"/>
      <c r="BZ518" s="15"/>
      <c r="CA518" s="15"/>
      <c r="CB518" s="15"/>
      <c r="CC518" s="15"/>
      <c r="CD518" s="15"/>
      <c r="CE518" s="15"/>
      <c r="CF518" s="15"/>
      <c r="CG518" s="15"/>
      <c r="CH518" s="15"/>
      <c r="CI518" s="15"/>
      <c r="CJ518" s="15"/>
      <c r="CK518" s="15"/>
      <c r="CL518" s="15"/>
      <c r="CM518" s="15"/>
      <c r="CN518" s="15"/>
      <c r="CO518" s="15"/>
      <c r="CP518" s="15"/>
      <c r="CQ518" s="15"/>
      <c r="CR518" s="15"/>
      <c r="CS518" s="73"/>
      <c r="CT518" s="15"/>
      <c r="CU518" s="15"/>
      <c r="CV518" s="15"/>
      <c r="CW518" s="15"/>
      <c r="CX518" s="15"/>
      <c r="CY518" s="15"/>
      <c r="CZ518" s="15"/>
      <c r="DA518" s="15"/>
      <c r="DB518" s="15"/>
      <c r="DC518" s="15"/>
      <c r="DD518" s="15"/>
      <c r="DE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c r="AW519" s="15"/>
      <c r="AX519" s="15"/>
      <c r="AY519" s="15"/>
      <c r="AZ519" s="15"/>
      <c r="BA519" s="15"/>
      <c r="BB519" s="15"/>
      <c r="BC519" s="15"/>
      <c r="BD519" s="15"/>
      <c r="BE519" s="15"/>
      <c r="BF519" s="15"/>
      <c r="BG519" s="15"/>
      <c r="BH519" s="15"/>
      <c r="BI519" s="15"/>
      <c r="BJ519" s="61"/>
      <c r="BK519" s="15"/>
      <c r="BL519" s="15"/>
      <c r="BM519" s="15"/>
      <c r="BN519" s="15"/>
      <c r="BO519" s="15"/>
      <c r="BP519" s="15"/>
      <c r="BQ519" s="15"/>
      <c r="BR519" s="15"/>
      <c r="BS519" s="15"/>
      <c r="BT519" s="15"/>
      <c r="BU519" s="15"/>
      <c r="BV519" s="15"/>
      <c r="BW519" s="15"/>
      <c r="BX519" s="15"/>
      <c r="BY519" s="15"/>
      <c r="BZ519" s="15"/>
      <c r="CA519" s="15"/>
      <c r="CB519" s="15"/>
      <c r="CC519" s="15"/>
      <c r="CD519" s="15"/>
      <c r="CE519" s="15"/>
      <c r="CF519" s="15"/>
      <c r="CG519" s="15"/>
      <c r="CH519" s="15"/>
      <c r="CI519" s="15"/>
      <c r="CJ519" s="15"/>
      <c r="CK519" s="15"/>
      <c r="CL519" s="15"/>
      <c r="CM519" s="15"/>
      <c r="CN519" s="15"/>
      <c r="CO519" s="15"/>
      <c r="CP519" s="15"/>
      <c r="CQ519" s="15"/>
      <c r="CR519" s="15"/>
      <c r="CS519" s="73"/>
      <c r="CT519" s="15"/>
      <c r="CU519" s="15"/>
      <c r="CV519" s="15"/>
      <c r="CW519" s="15"/>
      <c r="CX519" s="15"/>
      <c r="CY519" s="15"/>
      <c r="CZ519" s="15"/>
      <c r="DA519" s="15"/>
      <c r="DB519" s="15"/>
      <c r="DC519" s="15"/>
      <c r="DD519" s="15"/>
      <c r="DE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c r="AW520" s="15"/>
      <c r="AX520" s="15"/>
      <c r="AY520" s="15"/>
      <c r="AZ520" s="15"/>
      <c r="BA520" s="15"/>
      <c r="BB520" s="15"/>
      <c r="BC520" s="15"/>
      <c r="BD520" s="15"/>
      <c r="BE520" s="15"/>
      <c r="BF520" s="15"/>
      <c r="BG520" s="15"/>
      <c r="BH520" s="15"/>
      <c r="BI520" s="15"/>
      <c r="BJ520" s="61"/>
      <c r="BK520" s="15"/>
      <c r="BL520" s="15"/>
      <c r="BM520" s="15"/>
      <c r="BN520" s="15"/>
      <c r="BO520" s="15"/>
      <c r="BP520" s="15"/>
      <c r="BQ520" s="15"/>
      <c r="BR520" s="15"/>
      <c r="BS520" s="15"/>
      <c r="BT520" s="15"/>
      <c r="BU520" s="15"/>
      <c r="BV520" s="15"/>
      <c r="BW520" s="15"/>
      <c r="BX520" s="15"/>
      <c r="BY520" s="15"/>
      <c r="BZ520" s="15"/>
      <c r="CA520" s="15"/>
      <c r="CB520" s="15"/>
      <c r="CC520" s="15"/>
      <c r="CD520" s="15"/>
      <c r="CE520" s="15"/>
      <c r="CF520" s="15"/>
      <c r="CG520" s="15"/>
      <c r="CH520" s="15"/>
      <c r="CI520" s="15"/>
      <c r="CJ520" s="15"/>
      <c r="CK520" s="15"/>
      <c r="CL520" s="15"/>
      <c r="CM520" s="15"/>
      <c r="CN520" s="15"/>
      <c r="CO520" s="15"/>
      <c r="CP520" s="15"/>
      <c r="CQ520" s="15"/>
      <c r="CR520" s="15"/>
      <c r="CS520" s="73"/>
      <c r="CT520" s="15"/>
      <c r="CU520" s="15"/>
      <c r="CV520" s="15"/>
      <c r="CW520" s="15"/>
      <c r="CX520" s="15"/>
      <c r="CY520" s="15"/>
      <c r="CZ520" s="15"/>
      <c r="DA520" s="15"/>
      <c r="DB520" s="15"/>
      <c r="DC520" s="15"/>
      <c r="DD520" s="15"/>
      <c r="DE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c r="AW521" s="15"/>
      <c r="AX521" s="15"/>
      <c r="AY521" s="15"/>
      <c r="AZ521" s="15"/>
      <c r="BA521" s="15"/>
      <c r="BB521" s="15"/>
      <c r="BC521" s="15"/>
      <c r="BD521" s="15"/>
      <c r="BE521" s="15"/>
      <c r="BF521" s="15"/>
      <c r="BG521" s="15"/>
      <c r="BH521" s="15"/>
      <c r="BI521" s="15"/>
      <c r="BJ521" s="61"/>
      <c r="BK521" s="15"/>
      <c r="BL521" s="15"/>
      <c r="BM521" s="15"/>
      <c r="BN521" s="15"/>
      <c r="BO521" s="15"/>
      <c r="BP521" s="15"/>
      <c r="BQ521" s="15"/>
      <c r="BR521" s="15"/>
      <c r="BS521" s="15"/>
      <c r="BT521" s="15"/>
      <c r="BU521" s="15"/>
      <c r="BV521" s="15"/>
      <c r="BW521" s="15"/>
      <c r="BX521" s="15"/>
      <c r="BY521" s="15"/>
      <c r="BZ521" s="15"/>
      <c r="CA521" s="15"/>
      <c r="CB521" s="15"/>
      <c r="CC521" s="15"/>
      <c r="CD521" s="15"/>
      <c r="CE521" s="15"/>
      <c r="CF521" s="15"/>
      <c r="CG521" s="15"/>
      <c r="CH521" s="15"/>
      <c r="CI521" s="15"/>
      <c r="CJ521" s="15"/>
      <c r="CK521" s="15"/>
      <c r="CL521" s="15"/>
      <c r="CM521" s="15"/>
      <c r="CN521" s="15"/>
      <c r="CO521" s="15"/>
      <c r="CP521" s="15"/>
      <c r="CQ521" s="15"/>
      <c r="CR521" s="15"/>
      <c r="CS521" s="73"/>
      <c r="CT521" s="15"/>
      <c r="CU521" s="15"/>
      <c r="CV521" s="15"/>
      <c r="CW521" s="15"/>
      <c r="CX521" s="15"/>
      <c r="CY521" s="15"/>
      <c r="CZ521" s="15"/>
      <c r="DA521" s="15"/>
      <c r="DB521" s="15"/>
      <c r="DC521" s="15"/>
      <c r="DD521" s="15"/>
      <c r="DE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61"/>
      <c r="BK522" s="15"/>
      <c r="BL522" s="15"/>
      <c r="BM522" s="15"/>
      <c r="BN522" s="15"/>
      <c r="BO522" s="15"/>
      <c r="BP522" s="15"/>
      <c r="BQ522" s="15"/>
      <c r="BR522" s="15"/>
      <c r="BS522" s="15"/>
      <c r="BT522" s="15"/>
      <c r="BU522" s="15"/>
      <c r="BV522" s="15"/>
      <c r="BW522" s="15"/>
      <c r="BX522" s="15"/>
      <c r="BY522" s="15"/>
      <c r="BZ522" s="15"/>
      <c r="CA522" s="15"/>
      <c r="CB522" s="15"/>
      <c r="CC522" s="15"/>
      <c r="CD522" s="15"/>
      <c r="CE522" s="15"/>
      <c r="CF522" s="15"/>
      <c r="CG522" s="15"/>
      <c r="CH522" s="15"/>
      <c r="CI522" s="15"/>
      <c r="CJ522" s="15"/>
      <c r="CK522" s="15"/>
      <c r="CL522" s="15"/>
      <c r="CM522" s="15"/>
      <c r="CN522" s="15"/>
      <c r="CO522" s="15"/>
      <c r="CP522" s="15"/>
      <c r="CQ522" s="15"/>
      <c r="CR522" s="15"/>
      <c r="CS522" s="73"/>
      <c r="CT522" s="15"/>
      <c r="CU522" s="15"/>
      <c r="CV522" s="15"/>
      <c r="CW522" s="15"/>
      <c r="CX522" s="15"/>
      <c r="CY522" s="15"/>
      <c r="CZ522" s="15"/>
      <c r="DA522" s="15"/>
      <c r="DB522" s="15"/>
      <c r="DC522" s="15"/>
      <c r="DD522" s="15"/>
      <c r="DE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61"/>
      <c r="BK523" s="15"/>
      <c r="BL523" s="15"/>
      <c r="BM523" s="15"/>
      <c r="BN523" s="15"/>
      <c r="BO523" s="15"/>
      <c r="BP523" s="15"/>
      <c r="BQ523" s="15"/>
      <c r="BR523" s="15"/>
      <c r="BS523" s="15"/>
      <c r="BT523" s="15"/>
      <c r="BU523" s="15"/>
      <c r="BV523" s="15"/>
      <c r="BW523" s="15"/>
      <c r="BX523" s="15"/>
      <c r="BY523" s="15"/>
      <c r="BZ523" s="15"/>
      <c r="CA523" s="15"/>
      <c r="CB523" s="15"/>
      <c r="CC523" s="15"/>
      <c r="CD523" s="15"/>
      <c r="CE523" s="15"/>
      <c r="CF523" s="15"/>
      <c r="CG523" s="15"/>
      <c r="CH523" s="15"/>
      <c r="CI523" s="15"/>
      <c r="CJ523" s="15"/>
      <c r="CK523" s="15"/>
      <c r="CL523" s="15"/>
      <c r="CM523" s="15"/>
      <c r="CN523" s="15"/>
      <c r="CO523" s="15"/>
      <c r="CP523" s="15"/>
      <c r="CQ523" s="15"/>
      <c r="CR523" s="15"/>
      <c r="CS523" s="73"/>
      <c r="CT523" s="15"/>
      <c r="CU523" s="15"/>
      <c r="CV523" s="15"/>
      <c r="CW523" s="15"/>
      <c r="CX523" s="15"/>
      <c r="CY523" s="15"/>
      <c r="CZ523" s="15"/>
      <c r="DA523" s="15"/>
      <c r="DB523" s="15"/>
      <c r="DC523" s="15"/>
      <c r="DD523" s="15"/>
      <c r="DE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61"/>
      <c r="BK524" s="15"/>
      <c r="BL524" s="15"/>
      <c r="BM524" s="15"/>
      <c r="BN524" s="15"/>
      <c r="BO524" s="15"/>
      <c r="BP524" s="15"/>
      <c r="BQ524" s="15"/>
      <c r="BR524" s="15"/>
      <c r="BS524" s="15"/>
      <c r="BT524" s="15"/>
      <c r="BU524" s="15"/>
      <c r="BV524" s="15"/>
      <c r="BW524" s="15"/>
      <c r="BX524" s="15"/>
      <c r="BY524" s="15"/>
      <c r="BZ524" s="15"/>
      <c r="CA524" s="15"/>
      <c r="CB524" s="15"/>
      <c r="CC524" s="15"/>
      <c r="CD524" s="15"/>
      <c r="CE524" s="15"/>
      <c r="CF524" s="15"/>
      <c r="CG524" s="15"/>
      <c r="CH524" s="15"/>
      <c r="CI524" s="15"/>
      <c r="CJ524" s="15"/>
      <c r="CK524" s="15"/>
      <c r="CL524" s="15"/>
      <c r="CM524" s="15"/>
      <c r="CN524" s="15"/>
      <c r="CO524" s="15"/>
      <c r="CP524" s="15"/>
      <c r="CQ524" s="15"/>
      <c r="CR524" s="15"/>
      <c r="CS524" s="73"/>
      <c r="CT524" s="15"/>
      <c r="CU524" s="15"/>
      <c r="CV524" s="15"/>
      <c r="CW524" s="15"/>
      <c r="CX524" s="15"/>
      <c r="CY524" s="15"/>
      <c r="CZ524" s="15"/>
      <c r="DA524" s="15"/>
      <c r="DB524" s="15"/>
      <c r="DC524" s="15"/>
      <c r="DD524" s="15"/>
      <c r="DE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61"/>
      <c r="BK525" s="15"/>
      <c r="BL525" s="15"/>
      <c r="BM525" s="15"/>
      <c r="BN525" s="15"/>
      <c r="BO525" s="15"/>
      <c r="BP525" s="15"/>
      <c r="BQ525" s="15"/>
      <c r="BR525" s="15"/>
      <c r="BS525" s="15"/>
      <c r="BT525" s="15"/>
      <c r="BU525" s="15"/>
      <c r="BV525" s="15"/>
      <c r="BW525" s="15"/>
      <c r="BX525" s="15"/>
      <c r="BY525" s="15"/>
      <c r="BZ525" s="15"/>
      <c r="CA525" s="15"/>
      <c r="CB525" s="15"/>
      <c r="CC525" s="15"/>
      <c r="CD525" s="15"/>
      <c r="CE525" s="15"/>
      <c r="CF525" s="15"/>
      <c r="CG525" s="15"/>
      <c r="CH525" s="15"/>
      <c r="CI525" s="15"/>
      <c r="CJ525" s="15"/>
      <c r="CK525" s="15"/>
      <c r="CL525" s="15"/>
      <c r="CM525" s="15"/>
      <c r="CN525" s="15"/>
      <c r="CO525" s="15"/>
      <c r="CP525" s="15"/>
      <c r="CQ525" s="15"/>
      <c r="CR525" s="15"/>
      <c r="CS525" s="73"/>
      <c r="CT525" s="15"/>
      <c r="CU525" s="15"/>
      <c r="CV525" s="15"/>
      <c r="CW525" s="15"/>
      <c r="CX525" s="15"/>
      <c r="CY525" s="15"/>
      <c r="CZ525" s="15"/>
      <c r="DA525" s="15"/>
      <c r="DB525" s="15"/>
      <c r="DC525" s="15"/>
      <c r="DD525" s="15"/>
      <c r="DE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61"/>
      <c r="BK526" s="15"/>
      <c r="BL526" s="15"/>
      <c r="BM526" s="15"/>
      <c r="BN526" s="15"/>
      <c r="BO526" s="15"/>
      <c r="BP526" s="15"/>
      <c r="BQ526" s="15"/>
      <c r="BR526" s="15"/>
      <c r="BS526" s="15"/>
      <c r="BT526" s="15"/>
      <c r="BU526" s="15"/>
      <c r="BV526" s="15"/>
      <c r="BW526" s="15"/>
      <c r="BX526" s="15"/>
      <c r="BY526" s="15"/>
      <c r="BZ526" s="15"/>
      <c r="CA526" s="15"/>
      <c r="CB526" s="15"/>
      <c r="CC526" s="15"/>
      <c r="CD526" s="15"/>
      <c r="CE526" s="15"/>
      <c r="CF526" s="15"/>
      <c r="CG526" s="15"/>
      <c r="CH526" s="15"/>
      <c r="CI526" s="15"/>
      <c r="CJ526" s="15"/>
      <c r="CK526" s="15"/>
      <c r="CL526" s="15"/>
      <c r="CM526" s="15"/>
      <c r="CN526" s="15"/>
      <c r="CO526" s="15"/>
      <c r="CP526" s="15"/>
      <c r="CQ526" s="15"/>
      <c r="CR526" s="15"/>
      <c r="CS526" s="73"/>
      <c r="CT526" s="15"/>
      <c r="CU526" s="15"/>
      <c r="CV526" s="15"/>
      <c r="CW526" s="15"/>
      <c r="CX526" s="15"/>
      <c r="CY526" s="15"/>
      <c r="CZ526" s="15"/>
      <c r="DA526" s="15"/>
      <c r="DB526" s="15"/>
      <c r="DC526" s="15"/>
      <c r="DD526" s="15"/>
      <c r="DE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61"/>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73"/>
      <c r="CT527" s="15"/>
      <c r="CU527" s="15"/>
      <c r="CV527" s="15"/>
      <c r="CW527" s="15"/>
      <c r="CX527" s="15"/>
      <c r="CY527" s="15"/>
      <c r="CZ527" s="15"/>
      <c r="DA527" s="15"/>
      <c r="DB527" s="15"/>
      <c r="DC527" s="15"/>
      <c r="DD527" s="15"/>
      <c r="DE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61"/>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73"/>
      <c r="CT528" s="15"/>
      <c r="CU528" s="15"/>
      <c r="CV528" s="15"/>
      <c r="CW528" s="15"/>
      <c r="CX528" s="15"/>
      <c r="CY528" s="15"/>
      <c r="CZ528" s="15"/>
      <c r="DA528" s="15"/>
      <c r="DB528" s="15"/>
      <c r="DC528" s="15"/>
      <c r="DD528" s="15"/>
      <c r="DE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61"/>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73"/>
      <c r="CT529" s="15"/>
      <c r="CU529" s="15"/>
      <c r="CV529" s="15"/>
      <c r="CW529" s="15"/>
      <c r="CX529" s="15"/>
      <c r="CY529" s="15"/>
      <c r="CZ529" s="15"/>
      <c r="DA529" s="15"/>
      <c r="DB529" s="15"/>
      <c r="DC529" s="15"/>
      <c r="DD529" s="15"/>
      <c r="DE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61"/>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73"/>
      <c r="CT530" s="15"/>
      <c r="CU530" s="15"/>
      <c r="CV530" s="15"/>
      <c r="CW530" s="15"/>
      <c r="CX530" s="15"/>
      <c r="CY530" s="15"/>
      <c r="CZ530" s="15"/>
      <c r="DA530" s="15"/>
      <c r="DB530" s="15"/>
      <c r="DC530" s="15"/>
      <c r="DD530" s="15"/>
      <c r="DE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61"/>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73"/>
      <c r="CT531" s="15"/>
      <c r="CU531" s="15"/>
      <c r="CV531" s="15"/>
      <c r="CW531" s="15"/>
      <c r="CX531" s="15"/>
      <c r="CY531" s="15"/>
      <c r="CZ531" s="15"/>
      <c r="DA531" s="15"/>
      <c r="DB531" s="15"/>
      <c r="DC531" s="15"/>
      <c r="DD531" s="15"/>
      <c r="DE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61"/>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73"/>
      <c r="CT532" s="15"/>
      <c r="CU532" s="15"/>
      <c r="CV532" s="15"/>
      <c r="CW532" s="15"/>
      <c r="CX532" s="15"/>
      <c r="CY532" s="15"/>
      <c r="CZ532" s="15"/>
      <c r="DA532" s="15"/>
      <c r="DB532" s="15"/>
      <c r="DC532" s="15"/>
      <c r="DD532" s="15"/>
      <c r="DE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61"/>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73"/>
      <c r="CT533" s="15"/>
      <c r="CU533" s="15"/>
      <c r="CV533" s="15"/>
      <c r="CW533" s="15"/>
      <c r="CX533" s="15"/>
      <c r="CY533" s="15"/>
      <c r="CZ533" s="15"/>
      <c r="DA533" s="15"/>
      <c r="DB533" s="15"/>
      <c r="DC533" s="15"/>
      <c r="DD533" s="15"/>
      <c r="DE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61"/>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73"/>
      <c r="CT534" s="15"/>
      <c r="CU534" s="15"/>
      <c r="CV534" s="15"/>
      <c r="CW534" s="15"/>
      <c r="CX534" s="15"/>
      <c r="CY534" s="15"/>
      <c r="CZ534" s="15"/>
      <c r="DA534" s="15"/>
      <c r="DB534" s="15"/>
      <c r="DC534" s="15"/>
      <c r="DD534" s="15"/>
      <c r="DE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61"/>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73"/>
      <c r="CT535" s="15"/>
      <c r="CU535" s="15"/>
      <c r="CV535" s="15"/>
      <c r="CW535" s="15"/>
      <c r="CX535" s="15"/>
      <c r="CY535" s="15"/>
      <c r="CZ535" s="15"/>
      <c r="DA535" s="15"/>
      <c r="DB535" s="15"/>
      <c r="DC535" s="15"/>
      <c r="DD535" s="15"/>
      <c r="DE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61"/>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73"/>
      <c r="CT536" s="15"/>
      <c r="CU536" s="15"/>
      <c r="CV536" s="15"/>
      <c r="CW536" s="15"/>
      <c r="CX536" s="15"/>
      <c r="CY536" s="15"/>
      <c r="CZ536" s="15"/>
      <c r="DA536" s="15"/>
      <c r="DB536" s="15"/>
      <c r="DC536" s="15"/>
      <c r="DD536" s="15"/>
      <c r="DE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61"/>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73"/>
      <c r="CT537" s="15"/>
      <c r="CU537" s="15"/>
      <c r="CV537" s="15"/>
      <c r="CW537" s="15"/>
      <c r="CX537" s="15"/>
      <c r="CY537" s="15"/>
      <c r="CZ537" s="15"/>
      <c r="DA537" s="15"/>
      <c r="DB537" s="15"/>
      <c r="DC537" s="15"/>
      <c r="DD537" s="15"/>
      <c r="DE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61"/>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73"/>
      <c r="CT538" s="15"/>
      <c r="CU538" s="15"/>
      <c r="CV538" s="15"/>
      <c r="CW538" s="15"/>
      <c r="CX538" s="15"/>
      <c r="CY538" s="15"/>
      <c r="CZ538" s="15"/>
      <c r="DA538" s="15"/>
      <c r="DB538" s="15"/>
      <c r="DC538" s="15"/>
      <c r="DD538" s="15"/>
      <c r="DE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61"/>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73"/>
      <c r="CT539" s="15"/>
      <c r="CU539" s="15"/>
      <c r="CV539" s="15"/>
      <c r="CW539" s="15"/>
      <c r="CX539" s="15"/>
      <c r="CY539" s="15"/>
      <c r="CZ539" s="15"/>
      <c r="DA539" s="15"/>
      <c r="DB539" s="15"/>
      <c r="DC539" s="15"/>
      <c r="DD539" s="15"/>
      <c r="DE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61"/>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73"/>
      <c r="CT540" s="15"/>
      <c r="CU540" s="15"/>
      <c r="CV540" s="15"/>
      <c r="CW540" s="15"/>
      <c r="CX540" s="15"/>
      <c r="CY540" s="15"/>
      <c r="CZ540" s="15"/>
      <c r="DA540" s="15"/>
      <c r="DB540" s="15"/>
      <c r="DC540" s="15"/>
      <c r="DD540" s="15"/>
      <c r="DE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61"/>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73"/>
      <c r="CT541" s="15"/>
      <c r="CU541" s="15"/>
      <c r="CV541" s="15"/>
      <c r="CW541" s="15"/>
      <c r="CX541" s="15"/>
      <c r="CY541" s="15"/>
      <c r="CZ541" s="15"/>
      <c r="DA541" s="15"/>
      <c r="DB541" s="15"/>
      <c r="DC541" s="15"/>
      <c r="DD541" s="15"/>
      <c r="DE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61"/>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73"/>
      <c r="CT542" s="15"/>
      <c r="CU542" s="15"/>
      <c r="CV542" s="15"/>
      <c r="CW542" s="15"/>
      <c r="CX542" s="15"/>
      <c r="CY542" s="15"/>
      <c r="CZ542" s="15"/>
      <c r="DA542" s="15"/>
      <c r="DB542" s="15"/>
      <c r="DC542" s="15"/>
      <c r="DD542" s="15"/>
      <c r="DE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61"/>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73"/>
      <c r="CT543" s="15"/>
      <c r="CU543" s="15"/>
      <c r="CV543" s="15"/>
      <c r="CW543" s="15"/>
      <c r="CX543" s="15"/>
      <c r="CY543" s="15"/>
      <c r="CZ543" s="15"/>
      <c r="DA543" s="15"/>
      <c r="DB543" s="15"/>
      <c r="DC543" s="15"/>
      <c r="DD543" s="15"/>
      <c r="DE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61"/>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73"/>
      <c r="CT544" s="15"/>
      <c r="CU544" s="15"/>
      <c r="CV544" s="15"/>
      <c r="CW544" s="15"/>
      <c r="CX544" s="15"/>
      <c r="CY544" s="15"/>
      <c r="CZ544" s="15"/>
      <c r="DA544" s="15"/>
      <c r="DB544" s="15"/>
      <c r="DC544" s="15"/>
      <c r="DD544" s="15"/>
      <c r="DE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61"/>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73"/>
      <c r="CT545" s="15"/>
      <c r="CU545" s="15"/>
      <c r="CV545" s="15"/>
      <c r="CW545" s="15"/>
      <c r="CX545" s="15"/>
      <c r="CY545" s="15"/>
      <c r="CZ545" s="15"/>
      <c r="DA545" s="15"/>
      <c r="DB545" s="15"/>
      <c r="DC545" s="15"/>
      <c r="DD545" s="15"/>
      <c r="DE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61"/>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73"/>
      <c r="CT546" s="15"/>
      <c r="CU546" s="15"/>
      <c r="CV546" s="15"/>
      <c r="CW546" s="15"/>
      <c r="CX546" s="15"/>
      <c r="CY546" s="15"/>
      <c r="CZ546" s="15"/>
      <c r="DA546" s="15"/>
      <c r="DB546" s="15"/>
      <c r="DC546" s="15"/>
      <c r="DD546" s="15"/>
      <c r="DE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61"/>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73"/>
      <c r="CT547" s="15"/>
      <c r="CU547" s="15"/>
      <c r="CV547" s="15"/>
      <c r="CW547" s="15"/>
      <c r="CX547" s="15"/>
      <c r="CY547" s="15"/>
      <c r="CZ547" s="15"/>
      <c r="DA547" s="15"/>
      <c r="DB547" s="15"/>
      <c r="DC547" s="15"/>
      <c r="DD547" s="15"/>
      <c r="DE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61"/>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73"/>
      <c r="CT548" s="15"/>
      <c r="CU548" s="15"/>
      <c r="CV548" s="15"/>
      <c r="CW548" s="15"/>
      <c r="CX548" s="15"/>
      <c r="CY548" s="15"/>
      <c r="CZ548" s="15"/>
      <c r="DA548" s="15"/>
      <c r="DB548" s="15"/>
      <c r="DC548" s="15"/>
      <c r="DD548" s="15"/>
      <c r="DE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61"/>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73"/>
      <c r="CT549" s="15"/>
      <c r="CU549" s="15"/>
      <c r="CV549" s="15"/>
      <c r="CW549" s="15"/>
      <c r="CX549" s="15"/>
      <c r="CY549" s="15"/>
      <c r="CZ549" s="15"/>
      <c r="DA549" s="15"/>
      <c r="DB549" s="15"/>
      <c r="DC549" s="15"/>
      <c r="DD549" s="15"/>
      <c r="DE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61"/>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73"/>
      <c r="CT550" s="15"/>
      <c r="CU550" s="15"/>
      <c r="CV550" s="15"/>
      <c r="CW550" s="15"/>
      <c r="CX550" s="15"/>
      <c r="CY550" s="15"/>
      <c r="CZ550" s="15"/>
      <c r="DA550" s="15"/>
      <c r="DB550" s="15"/>
      <c r="DC550" s="15"/>
      <c r="DD550" s="15"/>
      <c r="DE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61"/>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73"/>
      <c r="CT551" s="15"/>
      <c r="CU551" s="15"/>
      <c r="CV551" s="15"/>
      <c r="CW551" s="15"/>
      <c r="CX551" s="15"/>
      <c r="CY551" s="15"/>
      <c r="CZ551" s="15"/>
      <c r="DA551" s="15"/>
      <c r="DB551" s="15"/>
      <c r="DC551" s="15"/>
      <c r="DD551" s="15"/>
      <c r="DE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61"/>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73"/>
      <c r="CT552" s="15"/>
      <c r="CU552" s="15"/>
      <c r="CV552" s="15"/>
      <c r="CW552" s="15"/>
      <c r="CX552" s="15"/>
      <c r="CY552" s="15"/>
      <c r="CZ552" s="15"/>
      <c r="DA552" s="15"/>
      <c r="DB552" s="15"/>
      <c r="DC552" s="15"/>
      <c r="DD552" s="15"/>
      <c r="DE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61"/>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73"/>
      <c r="CT553" s="15"/>
      <c r="CU553" s="15"/>
      <c r="CV553" s="15"/>
      <c r="CW553" s="15"/>
      <c r="CX553" s="15"/>
      <c r="CY553" s="15"/>
      <c r="CZ553" s="15"/>
      <c r="DA553" s="15"/>
      <c r="DB553" s="15"/>
      <c r="DC553" s="15"/>
      <c r="DD553" s="15"/>
      <c r="DE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61"/>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73"/>
      <c r="CT554" s="15"/>
      <c r="CU554" s="15"/>
      <c r="CV554" s="15"/>
      <c r="CW554" s="15"/>
      <c r="CX554" s="15"/>
      <c r="CY554" s="15"/>
      <c r="CZ554" s="15"/>
      <c r="DA554" s="15"/>
      <c r="DB554" s="15"/>
      <c r="DC554" s="15"/>
      <c r="DD554" s="15"/>
      <c r="DE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61"/>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73"/>
      <c r="CT555" s="15"/>
      <c r="CU555" s="15"/>
      <c r="CV555" s="15"/>
      <c r="CW555" s="15"/>
      <c r="CX555" s="15"/>
      <c r="CY555" s="15"/>
      <c r="CZ555" s="15"/>
      <c r="DA555" s="15"/>
      <c r="DB555" s="15"/>
      <c r="DC555" s="15"/>
      <c r="DD555" s="15"/>
      <c r="DE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61"/>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73"/>
      <c r="CT556" s="15"/>
      <c r="CU556" s="15"/>
      <c r="CV556" s="15"/>
      <c r="CW556" s="15"/>
      <c r="CX556" s="15"/>
      <c r="CY556" s="15"/>
      <c r="CZ556" s="15"/>
      <c r="DA556" s="15"/>
      <c r="DB556" s="15"/>
      <c r="DC556" s="15"/>
      <c r="DD556" s="15"/>
      <c r="DE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61"/>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73"/>
      <c r="CT557" s="15"/>
      <c r="CU557" s="15"/>
      <c r="CV557" s="15"/>
      <c r="CW557" s="15"/>
      <c r="CX557" s="15"/>
      <c r="CY557" s="15"/>
      <c r="CZ557" s="15"/>
      <c r="DA557" s="15"/>
      <c r="DB557" s="15"/>
      <c r="DC557" s="15"/>
      <c r="DD557" s="15"/>
      <c r="DE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61"/>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73"/>
      <c r="CT558" s="15"/>
      <c r="CU558" s="15"/>
      <c r="CV558" s="15"/>
      <c r="CW558" s="15"/>
      <c r="CX558" s="15"/>
      <c r="CY558" s="15"/>
      <c r="CZ558" s="15"/>
      <c r="DA558" s="15"/>
      <c r="DB558" s="15"/>
      <c r="DC558" s="15"/>
      <c r="DD558" s="15"/>
      <c r="DE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61"/>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73"/>
      <c r="CT559" s="15"/>
      <c r="CU559" s="15"/>
      <c r="CV559" s="15"/>
      <c r="CW559" s="15"/>
      <c r="CX559" s="15"/>
      <c r="CY559" s="15"/>
      <c r="CZ559" s="15"/>
      <c r="DA559" s="15"/>
      <c r="DB559" s="15"/>
      <c r="DC559" s="15"/>
      <c r="DD559" s="15"/>
      <c r="DE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61"/>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73"/>
      <c r="CT560" s="15"/>
      <c r="CU560" s="15"/>
      <c r="CV560" s="15"/>
      <c r="CW560" s="15"/>
      <c r="CX560" s="15"/>
      <c r="CY560" s="15"/>
      <c r="CZ560" s="15"/>
      <c r="DA560" s="15"/>
      <c r="DB560" s="15"/>
      <c r="DC560" s="15"/>
      <c r="DD560" s="15"/>
      <c r="DE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61"/>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73"/>
      <c r="CT561" s="15"/>
      <c r="CU561" s="15"/>
      <c r="CV561" s="15"/>
      <c r="CW561" s="15"/>
      <c r="CX561" s="15"/>
      <c r="CY561" s="15"/>
      <c r="CZ561" s="15"/>
      <c r="DA561" s="15"/>
      <c r="DB561" s="15"/>
      <c r="DC561" s="15"/>
      <c r="DD561" s="15"/>
      <c r="DE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61"/>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73"/>
      <c r="CT562" s="15"/>
      <c r="CU562" s="15"/>
      <c r="CV562" s="15"/>
      <c r="CW562" s="15"/>
      <c r="CX562" s="15"/>
      <c r="CY562" s="15"/>
      <c r="CZ562" s="15"/>
      <c r="DA562" s="15"/>
      <c r="DB562" s="15"/>
      <c r="DC562" s="15"/>
      <c r="DD562" s="15"/>
      <c r="DE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61"/>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73"/>
      <c r="CT563" s="15"/>
      <c r="CU563" s="15"/>
      <c r="CV563" s="15"/>
      <c r="CW563" s="15"/>
      <c r="CX563" s="15"/>
      <c r="CY563" s="15"/>
      <c r="CZ563" s="15"/>
      <c r="DA563" s="15"/>
      <c r="DB563" s="15"/>
      <c r="DC563" s="15"/>
      <c r="DD563" s="15"/>
      <c r="DE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61"/>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73"/>
      <c r="CT564" s="15"/>
      <c r="CU564" s="15"/>
      <c r="CV564" s="15"/>
      <c r="CW564" s="15"/>
      <c r="CX564" s="15"/>
      <c r="CY564" s="15"/>
      <c r="CZ564" s="15"/>
      <c r="DA564" s="15"/>
      <c r="DB564" s="15"/>
      <c r="DC564" s="15"/>
      <c r="DD564" s="15"/>
      <c r="DE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61"/>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73"/>
      <c r="CT565" s="15"/>
      <c r="CU565" s="15"/>
      <c r="CV565" s="15"/>
      <c r="CW565" s="15"/>
      <c r="CX565" s="15"/>
      <c r="CY565" s="15"/>
      <c r="CZ565" s="15"/>
      <c r="DA565" s="15"/>
      <c r="DB565" s="15"/>
      <c r="DC565" s="15"/>
      <c r="DD565" s="15"/>
      <c r="DE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61"/>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73"/>
      <c r="CT566" s="15"/>
      <c r="CU566" s="15"/>
      <c r="CV566" s="15"/>
      <c r="CW566" s="15"/>
      <c r="CX566" s="15"/>
      <c r="CY566" s="15"/>
      <c r="CZ566" s="15"/>
      <c r="DA566" s="15"/>
      <c r="DB566" s="15"/>
      <c r="DC566" s="15"/>
      <c r="DD566" s="15"/>
      <c r="DE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61"/>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73"/>
      <c r="CT567" s="15"/>
      <c r="CU567" s="15"/>
      <c r="CV567" s="15"/>
      <c r="CW567" s="15"/>
      <c r="CX567" s="15"/>
      <c r="CY567" s="15"/>
      <c r="CZ567" s="15"/>
      <c r="DA567" s="15"/>
      <c r="DB567" s="15"/>
      <c r="DC567" s="15"/>
      <c r="DD567" s="15"/>
      <c r="DE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61"/>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73"/>
      <c r="CT568" s="15"/>
      <c r="CU568" s="15"/>
      <c r="CV568" s="15"/>
      <c r="CW568" s="15"/>
      <c r="CX568" s="15"/>
      <c r="CY568" s="15"/>
      <c r="CZ568" s="15"/>
      <c r="DA568" s="15"/>
      <c r="DB568" s="15"/>
      <c r="DC568" s="15"/>
      <c r="DD568" s="15"/>
      <c r="DE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61"/>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73"/>
      <c r="CT569" s="15"/>
      <c r="CU569" s="15"/>
      <c r="CV569" s="15"/>
      <c r="CW569" s="15"/>
      <c r="CX569" s="15"/>
      <c r="CY569" s="15"/>
      <c r="CZ569" s="15"/>
      <c r="DA569" s="15"/>
      <c r="DB569" s="15"/>
      <c r="DC569" s="15"/>
      <c r="DD569" s="15"/>
      <c r="DE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61"/>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73"/>
      <c r="CT570" s="15"/>
      <c r="CU570" s="15"/>
      <c r="CV570" s="15"/>
      <c r="CW570" s="15"/>
      <c r="CX570" s="15"/>
      <c r="CY570" s="15"/>
      <c r="CZ570" s="15"/>
      <c r="DA570" s="15"/>
      <c r="DB570" s="15"/>
      <c r="DC570" s="15"/>
      <c r="DD570" s="15"/>
      <c r="DE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61"/>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73"/>
      <c r="CT571" s="15"/>
      <c r="CU571" s="15"/>
      <c r="CV571" s="15"/>
      <c r="CW571" s="15"/>
      <c r="CX571" s="15"/>
      <c r="CY571" s="15"/>
      <c r="CZ571" s="15"/>
      <c r="DA571" s="15"/>
      <c r="DB571" s="15"/>
      <c r="DC571" s="15"/>
      <c r="DD571" s="15"/>
      <c r="DE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61"/>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73"/>
      <c r="CT572" s="15"/>
      <c r="CU572" s="15"/>
      <c r="CV572" s="15"/>
      <c r="CW572" s="15"/>
      <c r="CX572" s="15"/>
      <c r="CY572" s="15"/>
      <c r="CZ572" s="15"/>
      <c r="DA572" s="15"/>
      <c r="DB572" s="15"/>
      <c r="DC572" s="15"/>
      <c r="DD572" s="15"/>
      <c r="DE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61"/>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73"/>
      <c r="CT573" s="15"/>
      <c r="CU573" s="15"/>
      <c r="CV573" s="15"/>
      <c r="CW573" s="15"/>
      <c r="CX573" s="15"/>
      <c r="CY573" s="15"/>
      <c r="CZ573" s="15"/>
      <c r="DA573" s="15"/>
      <c r="DB573" s="15"/>
      <c r="DC573" s="15"/>
      <c r="DD573" s="15"/>
      <c r="DE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61"/>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73"/>
      <c r="CT574" s="15"/>
      <c r="CU574" s="15"/>
      <c r="CV574" s="15"/>
      <c r="CW574" s="15"/>
      <c r="CX574" s="15"/>
      <c r="CY574" s="15"/>
      <c r="CZ574" s="15"/>
      <c r="DA574" s="15"/>
      <c r="DB574" s="15"/>
      <c r="DC574" s="15"/>
      <c r="DD574" s="15"/>
      <c r="DE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61"/>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73"/>
      <c r="CT575" s="15"/>
      <c r="CU575" s="15"/>
      <c r="CV575" s="15"/>
      <c r="CW575" s="15"/>
      <c r="CX575" s="15"/>
      <c r="CY575" s="15"/>
      <c r="CZ575" s="15"/>
      <c r="DA575" s="15"/>
      <c r="DB575" s="15"/>
      <c r="DC575" s="15"/>
      <c r="DD575" s="15"/>
      <c r="DE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61"/>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73"/>
      <c r="CT576" s="15"/>
      <c r="CU576" s="15"/>
      <c r="CV576" s="15"/>
      <c r="CW576" s="15"/>
      <c r="CX576" s="15"/>
      <c r="CY576" s="15"/>
      <c r="CZ576" s="15"/>
      <c r="DA576" s="15"/>
      <c r="DB576" s="15"/>
      <c r="DC576" s="15"/>
      <c r="DD576" s="15"/>
      <c r="DE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61"/>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73"/>
      <c r="CT577" s="15"/>
      <c r="CU577" s="15"/>
      <c r="CV577" s="15"/>
      <c r="CW577" s="15"/>
      <c r="CX577" s="15"/>
      <c r="CY577" s="15"/>
      <c r="CZ577" s="15"/>
      <c r="DA577" s="15"/>
      <c r="DB577" s="15"/>
      <c r="DC577" s="15"/>
      <c r="DD577" s="15"/>
      <c r="DE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61"/>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73"/>
      <c r="CT578" s="15"/>
      <c r="CU578" s="15"/>
      <c r="CV578" s="15"/>
      <c r="CW578" s="15"/>
      <c r="CX578" s="15"/>
      <c r="CY578" s="15"/>
      <c r="CZ578" s="15"/>
      <c r="DA578" s="15"/>
      <c r="DB578" s="15"/>
      <c r="DC578" s="15"/>
      <c r="DD578" s="15"/>
      <c r="DE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61"/>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73"/>
      <c r="CT579" s="15"/>
      <c r="CU579" s="15"/>
      <c r="CV579" s="15"/>
      <c r="CW579" s="15"/>
      <c r="CX579" s="15"/>
      <c r="CY579" s="15"/>
      <c r="CZ579" s="15"/>
      <c r="DA579" s="15"/>
      <c r="DB579" s="15"/>
      <c r="DC579" s="15"/>
      <c r="DD579" s="15"/>
      <c r="DE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61"/>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73"/>
      <c r="CT580" s="15"/>
      <c r="CU580" s="15"/>
      <c r="CV580" s="15"/>
      <c r="CW580" s="15"/>
      <c r="CX580" s="15"/>
      <c r="CY580" s="15"/>
      <c r="CZ580" s="15"/>
      <c r="DA580" s="15"/>
      <c r="DB580" s="15"/>
      <c r="DC580" s="15"/>
      <c r="DD580" s="15"/>
      <c r="DE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61"/>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73"/>
      <c r="CT581" s="15"/>
      <c r="CU581" s="15"/>
      <c r="CV581" s="15"/>
      <c r="CW581" s="15"/>
      <c r="CX581" s="15"/>
      <c r="CY581" s="15"/>
      <c r="CZ581" s="15"/>
      <c r="DA581" s="15"/>
      <c r="DB581" s="15"/>
      <c r="DC581" s="15"/>
      <c r="DD581" s="15"/>
      <c r="DE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61"/>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73"/>
      <c r="CT582" s="15"/>
      <c r="CU582" s="15"/>
      <c r="CV582" s="15"/>
      <c r="CW582" s="15"/>
      <c r="CX582" s="15"/>
      <c r="CY582" s="15"/>
      <c r="CZ582" s="15"/>
      <c r="DA582" s="15"/>
      <c r="DB582" s="15"/>
      <c r="DC582" s="15"/>
      <c r="DD582" s="15"/>
      <c r="DE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c r="AW583" s="15"/>
      <c r="AX583" s="15"/>
      <c r="AY583" s="15"/>
      <c r="AZ583" s="15"/>
      <c r="BA583" s="15"/>
      <c r="BB583" s="15"/>
      <c r="BC583" s="15"/>
      <c r="BD583" s="15"/>
      <c r="BE583" s="15"/>
      <c r="BF583" s="15"/>
      <c r="BG583" s="15"/>
      <c r="BH583" s="15"/>
      <c r="BI583" s="15"/>
      <c r="BJ583" s="61"/>
      <c r="BK583" s="15"/>
      <c r="BL583" s="15"/>
      <c r="BM583" s="15"/>
      <c r="BN583" s="15"/>
      <c r="BO583" s="15"/>
      <c r="BP583" s="15"/>
      <c r="BQ583" s="15"/>
      <c r="BR583" s="15"/>
      <c r="BS583" s="15"/>
      <c r="BT583" s="15"/>
      <c r="BU583" s="15"/>
      <c r="BV583" s="15"/>
      <c r="BW583" s="15"/>
      <c r="BX583" s="15"/>
      <c r="BY583" s="15"/>
      <c r="BZ583" s="15"/>
      <c r="CA583" s="15"/>
      <c r="CB583" s="15"/>
      <c r="CC583" s="15"/>
      <c r="CD583" s="15"/>
      <c r="CE583" s="15"/>
      <c r="CF583" s="15"/>
      <c r="CG583" s="15"/>
      <c r="CH583" s="15"/>
      <c r="CI583" s="15"/>
      <c r="CJ583" s="15"/>
      <c r="CK583" s="15"/>
      <c r="CL583" s="15"/>
      <c r="CM583" s="15"/>
      <c r="CN583" s="15"/>
      <c r="CO583" s="15"/>
      <c r="CP583" s="15"/>
      <c r="CQ583" s="15"/>
      <c r="CR583" s="15"/>
      <c r="CS583" s="73"/>
      <c r="CT583" s="15"/>
      <c r="CU583" s="15"/>
      <c r="CV583" s="15"/>
      <c r="CW583" s="15"/>
      <c r="CX583" s="15"/>
      <c r="CY583" s="15"/>
      <c r="CZ583" s="15"/>
      <c r="DA583" s="15"/>
      <c r="DB583" s="15"/>
      <c r="DC583" s="15"/>
      <c r="DD583" s="15"/>
      <c r="DE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61"/>
      <c r="BK584" s="15"/>
      <c r="BL584" s="15"/>
      <c r="BM584" s="15"/>
      <c r="BN584" s="15"/>
      <c r="BO584" s="15"/>
      <c r="BP584" s="15"/>
      <c r="BQ584" s="15"/>
      <c r="BR584" s="15"/>
      <c r="BS584" s="15"/>
      <c r="BT584" s="15"/>
      <c r="BU584" s="15"/>
      <c r="BV584" s="15"/>
      <c r="BW584" s="15"/>
      <c r="BX584" s="15"/>
      <c r="BY584" s="15"/>
      <c r="BZ584" s="15"/>
      <c r="CA584" s="15"/>
      <c r="CB584" s="15"/>
      <c r="CC584" s="15"/>
      <c r="CD584" s="15"/>
      <c r="CE584" s="15"/>
      <c r="CF584" s="15"/>
      <c r="CG584" s="15"/>
      <c r="CH584" s="15"/>
      <c r="CI584" s="15"/>
      <c r="CJ584" s="15"/>
      <c r="CK584" s="15"/>
      <c r="CL584" s="15"/>
      <c r="CM584" s="15"/>
      <c r="CN584" s="15"/>
      <c r="CO584" s="15"/>
      <c r="CP584" s="15"/>
      <c r="CQ584" s="15"/>
      <c r="CR584" s="15"/>
      <c r="CS584" s="73"/>
      <c r="CT584" s="15"/>
      <c r="CU584" s="15"/>
      <c r="CV584" s="15"/>
      <c r="CW584" s="15"/>
      <c r="CX584" s="15"/>
      <c r="CY584" s="15"/>
      <c r="CZ584" s="15"/>
      <c r="DA584" s="15"/>
      <c r="DB584" s="15"/>
      <c r="DC584" s="15"/>
      <c r="DD584" s="15"/>
      <c r="DE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c r="AW585" s="15"/>
      <c r="AX585" s="15"/>
      <c r="AY585" s="15"/>
      <c r="AZ585" s="15"/>
      <c r="BA585" s="15"/>
      <c r="BB585" s="15"/>
      <c r="BC585" s="15"/>
      <c r="BD585" s="15"/>
      <c r="BE585" s="15"/>
      <c r="BF585" s="15"/>
      <c r="BG585" s="15"/>
      <c r="BH585" s="15"/>
      <c r="BI585" s="15"/>
      <c r="BJ585" s="61"/>
      <c r="BK585" s="15"/>
      <c r="BL585" s="15"/>
      <c r="BM585" s="15"/>
      <c r="BN585" s="15"/>
      <c r="BO585" s="15"/>
      <c r="BP585" s="15"/>
      <c r="BQ585" s="15"/>
      <c r="BR585" s="15"/>
      <c r="BS585" s="15"/>
      <c r="BT585" s="15"/>
      <c r="BU585" s="15"/>
      <c r="BV585" s="15"/>
      <c r="BW585" s="15"/>
      <c r="BX585" s="15"/>
      <c r="BY585" s="15"/>
      <c r="BZ585" s="15"/>
      <c r="CA585" s="15"/>
      <c r="CB585" s="15"/>
      <c r="CC585" s="15"/>
      <c r="CD585" s="15"/>
      <c r="CE585" s="15"/>
      <c r="CF585" s="15"/>
      <c r="CG585" s="15"/>
      <c r="CH585" s="15"/>
      <c r="CI585" s="15"/>
      <c r="CJ585" s="15"/>
      <c r="CK585" s="15"/>
      <c r="CL585" s="15"/>
      <c r="CM585" s="15"/>
      <c r="CN585" s="15"/>
      <c r="CO585" s="15"/>
      <c r="CP585" s="15"/>
      <c r="CQ585" s="15"/>
      <c r="CR585" s="15"/>
      <c r="CS585" s="73"/>
      <c r="CT585" s="15"/>
      <c r="CU585" s="15"/>
      <c r="CV585" s="15"/>
      <c r="CW585" s="15"/>
      <c r="CX585" s="15"/>
      <c r="CY585" s="15"/>
      <c r="CZ585" s="15"/>
      <c r="DA585" s="15"/>
      <c r="DB585" s="15"/>
      <c r="DC585" s="15"/>
      <c r="DD585" s="15"/>
      <c r="DE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c r="AW586" s="15"/>
      <c r="AX586" s="15"/>
      <c r="AY586" s="15"/>
      <c r="AZ586" s="15"/>
      <c r="BA586" s="15"/>
      <c r="BB586" s="15"/>
      <c r="BC586" s="15"/>
      <c r="BD586" s="15"/>
      <c r="BE586" s="15"/>
      <c r="BF586" s="15"/>
      <c r="BG586" s="15"/>
      <c r="BH586" s="15"/>
      <c r="BI586" s="15"/>
      <c r="BJ586" s="61"/>
      <c r="BK586" s="15"/>
      <c r="BL586" s="15"/>
      <c r="BM586" s="15"/>
      <c r="BN586" s="15"/>
      <c r="BO586" s="15"/>
      <c r="BP586" s="15"/>
      <c r="BQ586" s="15"/>
      <c r="BR586" s="15"/>
      <c r="BS586" s="15"/>
      <c r="BT586" s="15"/>
      <c r="BU586" s="15"/>
      <c r="BV586" s="15"/>
      <c r="BW586" s="15"/>
      <c r="BX586" s="15"/>
      <c r="BY586" s="15"/>
      <c r="BZ586" s="15"/>
      <c r="CA586" s="15"/>
      <c r="CB586" s="15"/>
      <c r="CC586" s="15"/>
      <c r="CD586" s="15"/>
      <c r="CE586" s="15"/>
      <c r="CF586" s="15"/>
      <c r="CG586" s="15"/>
      <c r="CH586" s="15"/>
      <c r="CI586" s="15"/>
      <c r="CJ586" s="15"/>
      <c r="CK586" s="15"/>
      <c r="CL586" s="15"/>
      <c r="CM586" s="15"/>
      <c r="CN586" s="15"/>
      <c r="CO586" s="15"/>
      <c r="CP586" s="15"/>
      <c r="CQ586" s="15"/>
      <c r="CR586" s="15"/>
      <c r="CS586" s="73"/>
      <c r="CT586" s="15"/>
      <c r="CU586" s="15"/>
      <c r="CV586" s="15"/>
      <c r="CW586" s="15"/>
      <c r="CX586" s="15"/>
      <c r="CY586" s="15"/>
      <c r="CZ586" s="15"/>
      <c r="DA586" s="15"/>
      <c r="DB586" s="15"/>
      <c r="DC586" s="15"/>
      <c r="DD586" s="15"/>
      <c r="DE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61"/>
      <c r="BK587" s="15"/>
      <c r="BL587" s="15"/>
      <c r="BM587" s="15"/>
      <c r="BN587" s="15"/>
      <c r="BO587" s="15"/>
      <c r="BP587" s="15"/>
      <c r="BQ587" s="15"/>
      <c r="BR587" s="15"/>
      <c r="BS587" s="15"/>
      <c r="BT587" s="15"/>
      <c r="BU587" s="15"/>
      <c r="BV587" s="15"/>
      <c r="BW587" s="15"/>
      <c r="BX587" s="15"/>
      <c r="BY587" s="15"/>
      <c r="BZ587" s="15"/>
      <c r="CA587" s="15"/>
      <c r="CB587" s="15"/>
      <c r="CC587" s="15"/>
      <c r="CD587" s="15"/>
      <c r="CE587" s="15"/>
      <c r="CF587" s="15"/>
      <c r="CG587" s="15"/>
      <c r="CH587" s="15"/>
      <c r="CI587" s="15"/>
      <c r="CJ587" s="15"/>
      <c r="CK587" s="15"/>
      <c r="CL587" s="15"/>
      <c r="CM587" s="15"/>
      <c r="CN587" s="15"/>
      <c r="CO587" s="15"/>
      <c r="CP587" s="15"/>
      <c r="CQ587" s="15"/>
      <c r="CR587" s="15"/>
      <c r="CS587" s="73"/>
      <c r="CT587" s="15"/>
      <c r="CU587" s="15"/>
      <c r="CV587" s="15"/>
      <c r="CW587" s="15"/>
      <c r="CX587" s="15"/>
      <c r="CY587" s="15"/>
      <c r="CZ587" s="15"/>
      <c r="DA587" s="15"/>
      <c r="DB587" s="15"/>
      <c r="DC587" s="15"/>
      <c r="DD587" s="15"/>
      <c r="DE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61"/>
      <c r="BK588" s="15"/>
      <c r="BL588" s="15"/>
      <c r="BM588" s="15"/>
      <c r="BN588" s="15"/>
      <c r="BO588" s="15"/>
      <c r="BP588" s="15"/>
      <c r="BQ588" s="15"/>
      <c r="BR588" s="15"/>
      <c r="BS588" s="15"/>
      <c r="BT588" s="15"/>
      <c r="BU588" s="15"/>
      <c r="BV588" s="15"/>
      <c r="BW588" s="15"/>
      <c r="BX588" s="15"/>
      <c r="BY588" s="15"/>
      <c r="BZ588" s="15"/>
      <c r="CA588" s="15"/>
      <c r="CB588" s="15"/>
      <c r="CC588" s="15"/>
      <c r="CD588" s="15"/>
      <c r="CE588" s="15"/>
      <c r="CF588" s="15"/>
      <c r="CG588" s="15"/>
      <c r="CH588" s="15"/>
      <c r="CI588" s="15"/>
      <c r="CJ588" s="15"/>
      <c r="CK588" s="15"/>
      <c r="CL588" s="15"/>
      <c r="CM588" s="15"/>
      <c r="CN588" s="15"/>
      <c r="CO588" s="15"/>
      <c r="CP588" s="15"/>
      <c r="CQ588" s="15"/>
      <c r="CR588" s="15"/>
      <c r="CS588" s="73"/>
      <c r="CT588" s="15"/>
      <c r="CU588" s="15"/>
      <c r="CV588" s="15"/>
      <c r="CW588" s="15"/>
      <c r="CX588" s="15"/>
      <c r="CY588" s="15"/>
      <c r="CZ588" s="15"/>
      <c r="DA588" s="15"/>
      <c r="DB588" s="15"/>
      <c r="DC588" s="15"/>
      <c r="DD588" s="15"/>
      <c r="DE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61"/>
      <c r="BK589" s="15"/>
      <c r="BL589" s="15"/>
      <c r="BM589" s="15"/>
      <c r="BN589" s="15"/>
      <c r="BO589" s="15"/>
      <c r="BP589" s="15"/>
      <c r="BQ589" s="15"/>
      <c r="BR589" s="15"/>
      <c r="BS589" s="15"/>
      <c r="BT589" s="15"/>
      <c r="BU589" s="15"/>
      <c r="BV589" s="15"/>
      <c r="BW589" s="15"/>
      <c r="BX589" s="15"/>
      <c r="BY589" s="15"/>
      <c r="BZ589" s="15"/>
      <c r="CA589" s="15"/>
      <c r="CB589" s="15"/>
      <c r="CC589" s="15"/>
      <c r="CD589" s="15"/>
      <c r="CE589" s="15"/>
      <c r="CF589" s="15"/>
      <c r="CG589" s="15"/>
      <c r="CH589" s="15"/>
      <c r="CI589" s="15"/>
      <c r="CJ589" s="15"/>
      <c r="CK589" s="15"/>
      <c r="CL589" s="15"/>
      <c r="CM589" s="15"/>
      <c r="CN589" s="15"/>
      <c r="CO589" s="15"/>
      <c r="CP589" s="15"/>
      <c r="CQ589" s="15"/>
      <c r="CR589" s="15"/>
      <c r="CS589" s="73"/>
      <c r="CT589" s="15"/>
      <c r="CU589" s="15"/>
      <c r="CV589" s="15"/>
      <c r="CW589" s="15"/>
      <c r="CX589" s="15"/>
      <c r="CY589" s="15"/>
      <c r="CZ589" s="15"/>
      <c r="DA589" s="15"/>
      <c r="DB589" s="15"/>
      <c r="DC589" s="15"/>
      <c r="DD589" s="15"/>
      <c r="DE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61"/>
      <c r="BK590" s="15"/>
      <c r="BL590" s="15"/>
      <c r="BM590" s="15"/>
      <c r="BN590" s="15"/>
      <c r="BO590" s="15"/>
      <c r="BP590" s="15"/>
      <c r="BQ590" s="15"/>
      <c r="BR590" s="15"/>
      <c r="BS590" s="15"/>
      <c r="BT590" s="15"/>
      <c r="BU590" s="15"/>
      <c r="BV590" s="15"/>
      <c r="BW590" s="15"/>
      <c r="BX590" s="15"/>
      <c r="BY590" s="15"/>
      <c r="BZ590" s="15"/>
      <c r="CA590" s="15"/>
      <c r="CB590" s="15"/>
      <c r="CC590" s="15"/>
      <c r="CD590" s="15"/>
      <c r="CE590" s="15"/>
      <c r="CF590" s="15"/>
      <c r="CG590" s="15"/>
      <c r="CH590" s="15"/>
      <c r="CI590" s="15"/>
      <c r="CJ590" s="15"/>
      <c r="CK590" s="15"/>
      <c r="CL590" s="15"/>
      <c r="CM590" s="15"/>
      <c r="CN590" s="15"/>
      <c r="CO590" s="15"/>
      <c r="CP590" s="15"/>
      <c r="CQ590" s="15"/>
      <c r="CR590" s="15"/>
      <c r="CS590" s="73"/>
      <c r="CT590" s="15"/>
      <c r="CU590" s="15"/>
      <c r="CV590" s="15"/>
      <c r="CW590" s="15"/>
      <c r="CX590" s="15"/>
      <c r="CY590" s="15"/>
      <c r="CZ590" s="15"/>
      <c r="DA590" s="15"/>
      <c r="DB590" s="15"/>
      <c r="DC590" s="15"/>
      <c r="DD590" s="15"/>
      <c r="DE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c r="AU591" s="15"/>
      <c r="AV591" s="15"/>
      <c r="AW591" s="15"/>
      <c r="AX591" s="15"/>
      <c r="AY591" s="15"/>
      <c r="AZ591" s="15"/>
      <c r="BA591" s="15"/>
      <c r="BB591" s="15"/>
      <c r="BC591" s="15"/>
      <c r="BD591" s="15"/>
      <c r="BE591" s="15"/>
      <c r="BF591" s="15"/>
      <c r="BG591" s="15"/>
      <c r="BH591" s="15"/>
      <c r="BI591" s="15"/>
      <c r="BJ591" s="61"/>
      <c r="BK591" s="15"/>
      <c r="BL591" s="15"/>
      <c r="BM591" s="15"/>
      <c r="BN591" s="15"/>
      <c r="BO591" s="15"/>
      <c r="BP591" s="15"/>
      <c r="BQ591" s="15"/>
      <c r="BR591" s="15"/>
      <c r="BS591" s="15"/>
      <c r="BT591" s="15"/>
      <c r="BU591" s="15"/>
      <c r="BV591" s="15"/>
      <c r="BW591" s="15"/>
      <c r="BX591" s="15"/>
      <c r="BY591" s="15"/>
      <c r="BZ591" s="15"/>
      <c r="CA591" s="15"/>
      <c r="CB591" s="15"/>
      <c r="CC591" s="15"/>
      <c r="CD591" s="15"/>
      <c r="CE591" s="15"/>
      <c r="CF591" s="15"/>
      <c r="CG591" s="15"/>
      <c r="CH591" s="15"/>
      <c r="CI591" s="15"/>
      <c r="CJ591" s="15"/>
      <c r="CK591" s="15"/>
      <c r="CL591" s="15"/>
      <c r="CM591" s="15"/>
      <c r="CN591" s="15"/>
      <c r="CO591" s="15"/>
      <c r="CP591" s="15"/>
      <c r="CQ591" s="15"/>
      <c r="CR591" s="15"/>
      <c r="CS591" s="73"/>
      <c r="CT591" s="15"/>
      <c r="CU591" s="15"/>
      <c r="CV591" s="15"/>
      <c r="CW591" s="15"/>
      <c r="CX591" s="15"/>
      <c r="CY591" s="15"/>
      <c r="CZ591" s="15"/>
      <c r="DA591" s="15"/>
      <c r="DB591" s="15"/>
      <c r="DC591" s="15"/>
      <c r="DD591" s="15"/>
      <c r="DE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61"/>
      <c r="BK592" s="15"/>
      <c r="BL592" s="15"/>
      <c r="BM592" s="15"/>
      <c r="BN592" s="15"/>
      <c r="BO592" s="15"/>
      <c r="BP592" s="15"/>
      <c r="BQ592" s="15"/>
      <c r="BR592" s="15"/>
      <c r="BS592" s="15"/>
      <c r="BT592" s="15"/>
      <c r="BU592" s="15"/>
      <c r="BV592" s="15"/>
      <c r="BW592" s="15"/>
      <c r="BX592" s="15"/>
      <c r="BY592" s="15"/>
      <c r="BZ592" s="15"/>
      <c r="CA592" s="15"/>
      <c r="CB592" s="15"/>
      <c r="CC592" s="15"/>
      <c r="CD592" s="15"/>
      <c r="CE592" s="15"/>
      <c r="CF592" s="15"/>
      <c r="CG592" s="15"/>
      <c r="CH592" s="15"/>
      <c r="CI592" s="15"/>
      <c r="CJ592" s="15"/>
      <c r="CK592" s="15"/>
      <c r="CL592" s="15"/>
      <c r="CM592" s="15"/>
      <c r="CN592" s="15"/>
      <c r="CO592" s="15"/>
      <c r="CP592" s="15"/>
      <c r="CQ592" s="15"/>
      <c r="CR592" s="15"/>
      <c r="CS592" s="73"/>
      <c r="CT592" s="15"/>
      <c r="CU592" s="15"/>
      <c r="CV592" s="15"/>
      <c r="CW592" s="15"/>
      <c r="CX592" s="15"/>
      <c r="CY592" s="15"/>
      <c r="CZ592" s="15"/>
      <c r="DA592" s="15"/>
      <c r="DB592" s="15"/>
      <c r="DC592" s="15"/>
      <c r="DD592" s="15"/>
      <c r="DE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c r="AU593" s="15"/>
      <c r="AV593" s="15"/>
      <c r="AW593" s="15"/>
      <c r="AX593" s="15"/>
      <c r="AY593" s="15"/>
      <c r="AZ593" s="15"/>
      <c r="BA593" s="15"/>
      <c r="BB593" s="15"/>
      <c r="BC593" s="15"/>
      <c r="BD593" s="15"/>
      <c r="BE593" s="15"/>
      <c r="BF593" s="15"/>
      <c r="BG593" s="15"/>
      <c r="BH593" s="15"/>
      <c r="BI593" s="15"/>
      <c r="BJ593" s="61"/>
      <c r="BK593" s="15"/>
      <c r="BL593" s="15"/>
      <c r="BM593" s="15"/>
      <c r="BN593" s="15"/>
      <c r="BO593" s="15"/>
      <c r="BP593" s="15"/>
      <c r="BQ593" s="15"/>
      <c r="BR593" s="15"/>
      <c r="BS593" s="15"/>
      <c r="BT593" s="15"/>
      <c r="BU593" s="15"/>
      <c r="BV593" s="15"/>
      <c r="BW593" s="15"/>
      <c r="BX593" s="15"/>
      <c r="BY593" s="15"/>
      <c r="BZ593" s="15"/>
      <c r="CA593" s="15"/>
      <c r="CB593" s="15"/>
      <c r="CC593" s="15"/>
      <c r="CD593" s="15"/>
      <c r="CE593" s="15"/>
      <c r="CF593" s="15"/>
      <c r="CG593" s="15"/>
      <c r="CH593" s="15"/>
      <c r="CI593" s="15"/>
      <c r="CJ593" s="15"/>
      <c r="CK593" s="15"/>
      <c r="CL593" s="15"/>
      <c r="CM593" s="15"/>
      <c r="CN593" s="15"/>
      <c r="CO593" s="15"/>
      <c r="CP593" s="15"/>
      <c r="CQ593" s="15"/>
      <c r="CR593" s="15"/>
      <c r="CS593" s="73"/>
      <c r="CT593" s="15"/>
      <c r="CU593" s="15"/>
      <c r="CV593" s="15"/>
      <c r="CW593" s="15"/>
      <c r="CX593" s="15"/>
      <c r="CY593" s="15"/>
      <c r="CZ593" s="15"/>
      <c r="DA593" s="15"/>
      <c r="DB593" s="15"/>
      <c r="DC593" s="15"/>
      <c r="DD593" s="15"/>
      <c r="DE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c r="AM594" s="15"/>
      <c r="AN594" s="15"/>
      <c r="AO594" s="15"/>
      <c r="AP594" s="15"/>
      <c r="AQ594" s="15"/>
      <c r="AR594" s="15"/>
      <c r="AS594" s="15"/>
      <c r="AT594" s="15"/>
      <c r="AU594" s="15"/>
      <c r="AV594" s="15"/>
      <c r="AW594" s="15"/>
      <c r="AX594" s="15"/>
      <c r="AY594" s="15"/>
      <c r="AZ594" s="15"/>
      <c r="BA594" s="15"/>
      <c r="BB594" s="15"/>
      <c r="BC594" s="15"/>
      <c r="BD594" s="15"/>
      <c r="BE594" s="15"/>
      <c r="BF594" s="15"/>
      <c r="BG594" s="15"/>
      <c r="BH594" s="15"/>
      <c r="BI594" s="15"/>
      <c r="BJ594" s="61"/>
      <c r="BK594" s="15"/>
      <c r="BL594" s="15"/>
      <c r="BM594" s="15"/>
      <c r="BN594" s="15"/>
      <c r="BO594" s="15"/>
      <c r="BP594" s="15"/>
      <c r="BQ594" s="15"/>
      <c r="BR594" s="15"/>
      <c r="BS594" s="15"/>
      <c r="BT594" s="15"/>
      <c r="BU594" s="15"/>
      <c r="BV594" s="15"/>
      <c r="BW594" s="15"/>
      <c r="BX594" s="15"/>
      <c r="BY594" s="15"/>
      <c r="BZ594" s="15"/>
      <c r="CA594" s="15"/>
      <c r="CB594" s="15"/>
      <c r="CC594" s="15"/>
      <c r="CD594" s="15"/>
      <c r="CE594" s="15"/>
      <c r="CF594" s="15"/>
      <c r="CG594" s="15"/>
      <c r="CH594" s="15"/>
      <c r="CI594" s="15"/>
      <c r="CJ594" s="15"/>
      <c r="CK594" s="15"/>
      <c r="CL594" s="15"/>
      <c r="CM594" s="15"/>
      <c r="CN594" s="15"/>
      <c r="CO594" s="15"/>
      <c r="CP594" s="15"/>
      <c r="CQ594" s="15"/>
      <c r="CR594" s="15"/>
      <c r="CS594" s="73"/>
      <c r="CT594" s="15"/>
      <c r="CU594" s="15"/>
      <c r="CV594" s="15"/>
      <c r="CW594" s="15"/>
      <c r="CX594" s="15"/>
      <c r="CY594" s="15"/>
      <c r="CZ594" s="15"/>
      <c r="DA594" s="15"/>
      <c r="DB594" s="15"/>
      <c r="DC594" s="15"/>
      <c r="DD594" s="15"/>
      <c r="DE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c r="AM595" s="15"/>
      <c r="AN595" s="15"/>
      <c r="AO595" s="15"/>
      <c r="AP595" s="15"/>
      <c r="AQ595" s="15"/>
      <c r="AR595" s="15"/>
      <c r="AS595" s="15"/>
      <c r="AT595" s="15"/>
      <c r="AU595" s="15"/>
      <c r="AV595" s="15"/>
      <c r="AW595" s="15"/>
      <c r="AX595" s="15"/>
      <c r="AY595" s="15"/>
      <c r="AZ595" s="15"/>
      <c r="BA595" s="15"/>
      <c r="BB595" s="15"/>
      <c r="BC595" s="15"/>
      <c r="BD595" s="15"/>
      <c r="BE595" s="15"/>
      <c r="BF595" s="15"/>
      <c r="BG595" s="15"/>
      <c r="BH595" s="15"/>
      <c r="BI595" s="15"/>
      <c r="BJ595" s="61"/>
      <c r="BK595" s="15"/>
      <c r="BL595" s="15"/>
      <c r="BM595" s="15"/>
      <c r="BN595" s="15"/>
      <c r="BO595" s="15"/>
      <c r="BP595" s="15"/>
      <c r="BQ595" s="15"/>
      <c r="BR595" s="15"/>
      <c r="BS595" s="15"/>
      <c r="BT595" s="15"/>
      <c r="BU595" s="15"/>
      <c r="BV595" s="15"/>
      <c r="BW595" s="15"/>
      <c r="BX595" s="15"/>
      <c r="BY595" s="15"/>
      <c r="BZ595" s="15"/>
      <c r="CA595" s="15"/>
      <c r="CB595" s="15"/>
      <c r="CC595" s="15"/>
      <c r="CD595" s="15"/>
      <c r="CE595" s="15"/>
      <c r="CF595" s="15"/>
      <c r="CG595" s="15"/>
      <c r="CH595" s="15"/>
      <c r="CI595" s="15"/>
      <c r="CJ595" s="15"/>
      <c r="CK595" s="15"/>
      <c r="CL595" s="15"/>
      <c r="CM595" s="15"/>
      <c r="CN595" s="15"/>
      <c r="CO595" s="15"/>
      <c r="CP595" s="15"/>
      <c r="CQ595" s="15"/>
      <c r="CR595" s="15"/>
      <c r="CS595" s="73"/>
      <c r="CT595" s="15"/>
      <c r="CU595" s="15"/>
      <c r="CV595" s="15"/>
      <c r="CW595" s="15"/>
      <c r="CX595" s="15"/>
      <c r="CY595" s="15"/>
      <c r="CZ595" s="15"/>
      <c r="DA595" s="15"/>
      <c r="DB595" s="15"/>
      <c r="DC595" s="15"/>
      <c r="DD595" s="15"/>
      <c r="DE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c r="AM596" s="15"/>
      <c r="AN596" s="15"/>
      <c r="AO596" s="15"/>
      <c r="AP596" s="15"/>
      <c r="AQ596" s="15"/>
      <c r="AR596" s="15"/>
      <c r="AS596" s="15"/>
      <c r="AT596" s="15"/>
      <c r="AU596" s="15"/>
      <c r="AV596" s="15"/>
      <c r="AW596" s="15"/>
      <c r="AX596" s="15"/>
      <c r="AY596" s="15"/>
      <c r="AZ596" s="15"/>
      <c r="BA596" s="15"/>
      <c r="BB596" s="15"/>
      <c r="BC596" s="15"/>
      <c r="BD596" s="15"/>
      <c r="BE596" s="15"/>
      <c r="BF596" s="15"/>
      <c r="BG596" s="15"/>
      <c r="BH596" s="15"/>
      <c r="BI596" s="15"/>
      <c r="BJ596" s="61"/>
      <c r="BK596" s="15"/>
      <c r="BL596" s="15"/>
      <c r="BM596" s="15"/>
      <c r="BN596" s="15"/>
      <c r="BO596" s="15"/>
      <c r="BP596" s="15"/>
      <c r="BQ596" s="15"/>
      <c r="BR596" s="15"/>
      <c r="BS596" s="15"/>
      <c r="BT596" s="15"/>
      <c r="BU596" s="15"/>
      <c r="BV596" s="15"/>
      <c r="BW596" s="15"/>
      <c r="BX596" s="15"/>
      <c r="BY596" s="15"/>
      <c r="BZ596" s="15"/>
      <c r="CA596" s="15"/>
      <c r="CB596" s="15"/>
      <c r="CC596" s="15"/>
      <c r="CD596" s="15"/>
      <c r="CE596" s="15"/>
      <c r="CF596" s="15"/>
      <c r="CG596" s="15"/>
      <c r="CH596" s="15"/>
      <c r="CI596" s="15"/>
      <c r="CJ596" s="15"/>
      <c r="CK596" s="15"/>
      <c r="CL596" s="15"/>
      <c r="CM596" s="15"/>
      <c r="CN596" s="15"/>
      <c r="CO596" s="15"/>
      <c r="CP596" s="15"/>
      <c r="CQ596" s="15"/>
      <c r="CR596" s="15"/>
      <c r="CS596" s="73"/>
      <c r="CT596" s="15"/>
      <c r="CU596" s="15"/>
      <c r="CV596" s="15"/>
      <c r="CW596" s="15"/>
      <c r="CX596" s="15"/>
      <c r="CY596" s="15"/>
      <c r="CZ596" s="15"/>
      <c r="DA596" s="15"/>
      <c r="DB596" s="15"/>
      <c r="DC596" s="15"/>
      <c r="DD596" s="15"/>
      <c r="DE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61"/>
      <c r="BK597" s="15"/>
      <c r="BL597" s="15"/>
      <c r="BM597" s="15"/>
      <c r="BN597" s="15"/>
      <c r="BO597" s="15"/>
      <c r="BP597" s="15"/>
      <c r="BQ597" s="15"/>
      <c r="BR597" s="15"/>
      <c r="BS597" s="15"/>
      <c r="BT597" s="15"/>
      <c r="BU597" s="15"/>
      <c r="BV597" s="15"/>
      <c r="BW597" s="15"/>
      <c r="BX597" s="15"/>
      <c r="BY597" s="15"/>
      <c r="BZ597" s="15"/>
      <c r="CA597" s="15"/>
      <c r="CB597" s="15"/>
      <c r="CC597" s="15"/>
      <c r="CD597" s="15"/>
      <c r="CE597" s="15"/>
      <c r="CF597" s="15"/>
      <c r="CG597" s="15"/>
      <c r="CH597" s="15"/>
      <c r="CI597" s="15"/>
      <c r="CJ597" s="15"/>
      <c r="CK597" s="15"/>
      <c r="CL597" s="15"/>
      <c r="CM597" s="15"/>
      <c r="CN597" s="15"/>
      <c r="CO597" s="15"/>
      <c r="CP597" s="15"/>
      <c r="CQ597" s="15"/>
      <c r="CR597" s="15"/>
      <c r="CS597" s="73"/>
      <c r="CT597" s="15"/>
      <c r="CU597" s="15"/>
      <c r="CV597" s="15"/>
      <c r="CW597" s="15"/>
      <c r="CX597" s="15"/>
      <c r="CY597" s="15"/>
      <c r="CZ597" s="15"/>
      <c r="DA597" s="15"/>
      <c r="DB597" s="15"/>
      <c r="DC597" s="15"/>
      <c r="DD597" s="15"/>
      <c r="DE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c r="AW598" s="15"/>
      <c r="AX598" s="15"/>
      <c r="AY598" s="15"/>
      <c r="AZ598" s="15"/>
      <c r="BA598" s="15"/>
      <c r="BB598" s="15"/>
      <c r="BC598" s="15"/>
      <c r="BD598" s="15"/>
      <c r="BE598" s="15"/>
      <c r="BF598" s="15"/>
      <c r="BG598" s="15"/>
      <c r="BH598" s="15"/>
      <c r="BI598" s="15"/>
      <c r="BJ598" s="61"/>
      <c r="BK598" s="15"/>
      <c r="BL598" s="15"/>
      <c r="BM598" s="15"/>
      <c r="BN598" s="15"/>
      <c r="BO598" s="15"/>
      <c r="BP598" s="15"/>
      <c r="BQ598" s="15"/>
      <c r="BR598" s="15"/>
      <c r="BS598" s="15"/>
      <c r="BT598" s="15"/>
      <c r="BU598" s="15"/>
      <c r="BV598" s="15"/>
      <c r="BW598" s="15"/>
      <c r="BX598" s="15"/>
      <c r="BY598" s="15"/>
      <c r="BZ598" s="15"/>
      <c r="CA598" s="15"/>
      <c r="CB598" s="15"/>
      <c r="CC598" s="15"/>
      <c r="CD598" s="15"/>
      <c r="CE598" s="15"/>
      <c r="CF598" s="15"/>
      <c r="CG598" s="15"/>
      <c r="CH598" s="15"/>
      <c r="CI598" s="15"/>
      <c r="CJ598" s="15"/>
      <c r="CK598" s="15"/>
      <c r="CL598" s="15"/>
      <c r="CM598" s="15"/>
      <c r="CN598" s="15"/>
      <c r="CO598" s="15"/>
      <c r="CP598" s="15"/>
      <c r="CQ598" s="15"/>
      <c r="CR598" s="15"/>
      <c r="CS598" s="73"/>
      <c r="CT598" s="15"/>
      <c r="CU598" s="15"/>
      <c r="CV598" s="15"/>
      <c r="CW598" s="15"/>
      <c r="CX598" s="15"/>
      <c r="CY598" s="15"/>
      <c r="CZ598" s="15"/>
      <c r="DA598" s="15"/>
      <c r="DB598" s="15"/>
      <c r="DC598" s="15"/>
      <c r="DD598" s="15"/>
      <c r="DE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c r="AW599" s="15"/>
      <c r="AX599" s="15"/>
      <c r="AY599" s="15"/>
      <c r="AZ599" s="15"/>
      <c r="BA599" s="15"/>
      <c r="BB599" s="15"/>
      <c r="BC599" s="15"/>
      <c r="BD599" s="15"/>
      <c r="BE599" s="15"/>
      <c r="BF599" s="15"/>
      <c r="BG599" s="15"/>
      <c r="BH599" s="15"/>
      <c r="BI599" s="15"/>
      <c r="BJ599" s="61"/>
      <c r="BK599" s="15"/>
      <c r="BL599" s="15"/>
      <c r="BM599" s="15"/>
      <c r="BN599" s="15"/>
      <c r="BO599" s="15"/>
      <c r="BP599" s="15"/>
      <c r="BQ599" s="15"/>
      <c r="BR599" s="15"/>
      <c r="BS599" s="15"/>
      <c r="BT599" s="15"/>
      <c r="BU599" s="15"/>
      <c r="BV599" s="15"/>
      <c r="BW599" s="15"/>
      <c r="BX599" s="15"/>
      <c r="BY599" s="15"/>
      <c r="BZ599" s="15"/>
      <c r="CA599" s="15"/>
      <c r="CB599" s="15"/>
      <c r="CC599" s="15"/>
      <c r="CD599" s="15"/>
      <c r="CE599" s="15"/>
      <c r="CF599" s="15"/>
      <c r="CG599" s="15"/>
      <c r="CH599" s="15"/>
      <c r="CI599" s="15"/>
      <c r="CJ599" s="15"/>
      <c r="CK599" s="15"/>
      <c r="CL599" s="15"/>
      <c r="CM599" s="15"/>
      <c r="CN599" s="15"/>
      <c r="CO599" s="15"/>
      <c r="CP599" s="15"/>
      <c r="CQ599" s="15"/>
      <c r="CR599" s="15"/>
      <c r="CS599" s="73"/>
      <c r="CT599" s="15"/>
      <c r="CU599" s="15"/>
      <c r="CV599" s="15"/>
      <c r="CW599" s="15"/>
      <c r="CX599" s="15"/>
      <c r="CY599" s="15"/>
      <c r="CZ599" s="15"/>
      <c r="DA599" s="15"/>
      <c r="DB599" s="15"/>
      <c r="DC599" s="15"/>
      <c r="DD599" s="15"/>
      <c r="DE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61"/>
      <c r="BK600" s="15"/>
      <c r="BL600" s="15"/>
      <c r="BM600" s="15"/>
      <c r="BN600" s="15"/>
      <c r="BO600" s="15"/>
      <c r="BP600" s="15"/>
      <c r="BQ600" s="15"/>
      <c r="BR600" s="15"/>
      <c r="BS600" s="15"/>
      <c r="BT600" s="15"/>
      <c r="BU600" s="15"/>
      <c r="BV600" s="15"/>
      <c r="BW600" s="15"/>
      <c r="BX600" s="15"/>
      <c r="BY600" s="15"/>
      <c r="BZ600" s="15"/>
      <c r="CA600" s="15"/>
      <c r="CB600" s="15"/>
      <c r="CC600" s="15"/>
      <c r="CD600" s="15"/>
      <c r="CE600" s="15"/>
      <c r="CF600" s="15"/>
      <c r="CG600" s="15"/>
      <c r="CH600" s="15"/>
      <c r="CI600" s="15"/>
      <c r="CJ600" s="15"/>
      <c r="CK600" s="15"/>
      <c r="CL600" s="15"/>
      <c r="CM600" s="15"/>
      <c r="CN600" s="15"/>
      <c r="CO600" s="15"/>
      <c r="CP600" s="15"/>
      <c r="CQ600" s="15"/>
      <c r="CR600" s="15"/>
      <c r="CS600" s="73"/>
      <c r="CT600" s="15"/>
      <c r="CU600" s="15"/>
      <c r="CV600" s="15"/>
      <c r="CW600" s="15"/>
      <c r="CX600" s="15"/>
      <c r="CY600" s="15"/>
      <c r="CZ600" s="15"/>
      <c r="DA600" s="15"/>
      <c r="DB600" s="15"/>
      <c r="DC600" s="15"/>
      <c r="DD600" s="15"/>
      <c r="DE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61"/>
      <c r="BK601" s="15"/>
      <c r="BL601" s="15"/>
      <c r="BM601" s="15"/>
      <c r="BN601" s="15"/>
      <c r="BO601" s="15"/>
      <c r="BP601" s="15"/>
      <c r="BQ601" s="15"/>
      <c r="BR601" s="15"/>
      <c r="BS601" s="15"/>
      <c r="BT601" s="15"/>
      <c r="BU601" s="15"/>
      <c r="BV601" s="15"/>
      <c r="BW601" s="15"/>
      <c r="BX601" s="15"/>
      <c r="BY601" s="15"/>
      <c r="BZ601" s="15"/>
      <c r="CA601" s="15"/>
      <c r="CB601" s="15"/>
      <c r="CC601" s="15"/>
      <c r="CD601" s="15"/>
      <c r="CE601" s="15"/>
      <c r="CF601" s="15"/>
      <c r="CG601" s="15"/>
      <c r="CH601" s="15"/>
      <c r="CI601" s="15"/>
      <c r="CJ601" s="15"/>
      <c r="CK601" s="15"/>
      <c r="CL601" s="15"/>
      <c r="CM601" s="15"/>
      <c r="CN601" s="15"/>
      <c r="CO601" s="15"/>
      <c r="CP601" s="15"/>
      <c r="CQ601" s="15"/>
      <c r="CR601" s="15"/>
      <c r="CS601" s="73"/>
      <c r="CT601" s="15"/>
      <c r="CU601" s="15"/>
      <c r="CV601" s="15"/>
      <c r="CW601" s="15"/>
      <c r="CX601" s="15"/>
      <c r="CY601" s="15"/>
      <c r="CZ601" s="15"/>
      <c r="DA601" s="15"/>
      <c r="DB601" s="15"/>
      <c r="DC601" s="15"/>
      <c r="DD601" s="15"/>
      <c r="DE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61"/>
      <c r="BK602" s="15"/>
      <c r="BL602" s="15"/>
      <c r="BM602" s="15"/>
      <c r="BN602" s="15"/>
      <c r="BO602" s="15"/>
      <c r="BP602" s="15"/>
      <c r="BQ602" s="15"/>
      <c r="BR602" s="15"/>
      <c r="BS602" s="15"/>
      <c r="BT602" s="15"/>
      <c r="BU602" s="15"/>
      <c r="BV602" s="15"/>
      <c r="BW602" s="15"/>
      <c r="BX602" s="15"/>
      <c r="BY602" s="15"/>
      <c r="BZ602" s="15"/>
      <c r="CA602" s="15"/>
      <c r="CB602" s="15"/>
      <c r="CC602" s="15"/>
      <c r="CD602" s="15"/>
      <c r="CE602" s="15"/>
      <c r="CF602" s="15"/>
      <c r="CG602" s="15"/>
      <c r="CH602" s="15"/>
      <c r="CI602" s="15"/>
      <c r="CJ602" s="15"/>
      <c r="CK602" s="15"/>
      <c r="CL602" s="15"/>
      <c r="CM602" s="15"/>
      <c r="CN602" s="15"/>
      <c r="CO602" s="15"/>
      <c r="CP602" s="15"/>
      <c r="CQ602" s="15"/>
      <c r="CR602" s="15"/>
      <c r="CS602" s="73"/>
      <c r="CT602" s="15"/>
      <c r="CU602" s="15"/>
      <c r="CV602" s="15"/>
      <c r="CW602" s="15"/>
      <c r="CX602" s="15"/>
      <c r="CY602" s="15"/>
      <c r="CZ602" s="15"/>
      <c r="DA602" s="15"/>
      <c r="DB602" s="15"/>
      <c r="DC602" s="15"/>
      <c r="DD602" s="15"/>
      <c r="DE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61"/>
      <c r="BK603" s="15"/>
      <c r="BL603" s="15"/>
      <c r="BM603" s="15"/>
      <c r="BN603" s="15"/>
      <c r="BO603" s="15"/>
      <c r="BP603" s="15"/>
      <c r="BQ603" s="15"/>
      <c r="BR603" s="15"/>
      <c r="BS603" s="15"/>
      <c r="BT603" s="15"/>
      <c r="BU603" s="15"/>
      <c r="BV603" s="15"/>
      <c r="BW603" s="15"/>
      <c r="BX603" s="15"/>
      <c r="BY603" s="15"/>
      <c r="BZ603" s="15"/>
      <c r="CA603" s="15"/>
      <c r="CB603" s="15"/>
      <c r="CC603" s="15"/>
      <c r="CD603" s="15"/>
      <c r="CE603" s="15"/>
      <c r="CF603" s="15"/>
      <c r="CG603" s="15"/>
      <c r="CH603" s="15"/>
      <c r="CI603" s="15"/>
      <c r="CJ603" s="15"/>
      <c r="CK603" s="15"/>
      <c r="CL603" s="15"/>
      <c r="CM603" s="15"/>
      <c r="CN603" s="15"/>
      <c r="CO603" s="15"/>
      <c r="CP603" s="15"/>
      <c r="CQ603" s="15"/>
      <c r="CR603" s="15"/>
      <c r="CS603" s="73"/>
      <c r="CT603" s="15"/>
      <c r="CU603" s="15"/>
      <c r="CV603" s="15"/>
      <c r="CW603" s="15"/>
      <c r="CX603" s="15"/>
      <c r="CY603" s="15"/>
      <c r="CZ603" s="15"/>
      <c r="DA603" s="15"/>
      <c r="DB603" s="15"/>
      <c r="DC603" s="15"/>
      <c r="DD603" s="15"/>
      <c r="DE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61"/>
      <c r="BK604" s="15"/>
      <c r="BL604" s="15"/>
      <c r="BM604" s="15"/>
      <c r="BN604" s="15"/>
      <c r="BO604" s="15"/>
      <c r="BP604" s="15"/>
      <c r="BQ604" s="15"/>
      <c r="BR604" s="15"/>
      <c r="BS604" s="15"/>
      <c r="BT604" s="15"/>
      <c r="BU604" s="15"/>
      <c r="BV604" s="15"/>
      <c r="BW604" s="15"/>
      <c r="BX604" s="15"/>
      <c r="BY604" s="15"/>
      <c r="BZ604" s="15"/>
      <c r="CA604" s="15"/>
      <c r="CB604" s="15"/>
      <c r="CC604" s="15"/>
      <c r="CD604" s="15"/>
      <c r="CE604" s="15"/>
      <c r="CF604" s="15"/>
      <c r="CG604" s="15"/>
      <c r="CH604" s="15"/>
      <c r="CI604" s="15"/>
      <c r="CJ604" s="15"/>
      <c r="CK604" s="15"/>
      <c r="CL604" s="15"/>
      <c r="CM604" s="15"/>
      <c r="CN604" s="15"/>
      <c r="CO604" s="15"/>
      <c r="CP604" s="15"/>
      <c r="CQ604" s="15"/>
      <c r="CR604" s="15"/>
      <c r="CS604" s="73"/>
      <c r="CT604" s="15"/>
      <c r="CU604" s="15"/>
      <c r="CV604" s="15"/>
      <c r="CW604" s="15"/>
      <c r="CX604" s="15"/>
      <c r="CY604" s="15"/>
      <c r="CZ604" s="15"/>
      <c r="DA604" s="15"/>
      <c r="DB604" s="15"/>
      <c r="DC604" s="15"/>
      <c r="DD604" s="15"/>
      <c r="DE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61"/>
      <c r="BK605" s="15"/>
      <c r="BL605" s="15"/>
      <c r="BM605" s="15"/>
      <c r="BN605" s="15"/>
      <c r="BO605" s="15"/>
      <c r="BP605" s="15"/>
      <c r="BQ605" s="15"/>
      <c r="BR605" s="15"/>
      <c r="BS605" s="15"/>
      <c r="BT605" s="15"/>
      <c r="BU605" s="15"/>
      <c r="BV605" s="15"/>
      <c r="BW605" s="15"/>
      <c r="BX605" s="15"/>
      <c r="BY605" s="15"/>
      <c r="BZ605" s="15"/>
      <c r="CA605" s="15"/>
      <c r="CB605" s="15"/>
      <c r="CC605" s="15"/>
      <c r="CD605" s="15"/>
      <c r="CE605" s="15"/>
      <c r="CF605" s="15"/>
      <c r="CG605" s="15"/>
      <c r="CH605" s="15"/>
      <c r="CI605" s="15"/>
      <c r="CJ605" s="15"/>
      <c r="CK605" s="15"/>
      <c r="CL605" s="15"/>
      <c r="CM605" s="15"/>
      <c r="CN605" s="15"/>
      <c r="CO605" s="15"/>
      <c r="CP605" s="15"/>
      <c r="CQ605" s="15"/>
      <c r="CR605" s="15"/>
      <c r="CS605" s="73"/>
      <c r="CT605" s="15"/>
      <c r="CU605" s="15"/>
      <c r="CV605" s="15"/>
      <c r="CW605" s="15"/>
      <c r="CX605" s="15"/>
      <c r="CY605" s="15"/>
      <c r="CZ605" s="15"/>
      <c r="DA605" s="15"/>
      <c r="DB605" s="15"/>
      <c r="DC605" s="15"/>
      <c r="DD605" s="15"/>
      <c r="DE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c r="AV606" s="15"/>
      <c r="AW606" s="15"/>
      <c r="AX606" s="15"/>
      <c r="AY606" s="15"/>
      <c r="AZ606" s="15"/>
      <c r="BA606" s="15"/>
      <c r="BB606" s="15"/>
      <c r="BC606" s="15"/>
      <c r="BD606" s="15"/>
      <c r="BE606" s="15"/>
      <c r="BF606" s="15"/>
      <c r="BG606" s="15"/>
      <c r="BH606" s="15"/>
      <c r="BI606" s="15"/>
      <c r="BJ606" s="61"/>
      <c r="BK606" s="15"/>
      <c r="BL606" s="15"/>
      <c r="BM606" s="15"/>
      <c r="BN606" s="15"/>
      <c r="BO606" s="15"/>
      <c r="BP606" s="15"/>
      <c r="BQ606" s="15"/>
      <c r="BR606" s="15"/>
      <c r="BS606" s="15"/>
      <c r="BT606" s="15"/>
      <c r="BU606" s="15"/>
      <c r="BV606" s="15"/>
      <c r="BW606" s="15"/>
      <c r="BX606" s="15"/>
      <c r="BY606" s="15"/>
      <c r="BZ606" s="15"/>
      <c r="CA606" s="15"/>
      <c r="CB606" s="15"/>
      <c r="CC606" s="15"/>
      <c r="CD606" s="15"/>
      <c r="CE606" s="15"/>
      <c r="CF606" s="15"/>
      <c r="CG606" s="15"/>
      <c r="CH606" s="15"/>
      <c r="CI606" s="15"/>
      <c r="CJ606" s="15"/>
      <c r="CK606" s="15"/>
      <c r="CL606" s="15"/>
      <c r="CM606" s="15"/>
      <c r="CN606" s="15"/>
      <c r="CO606" s="15"/>
      <c r="CP606" s="15"/>
      <c r="CQ606" s="15"/>
      <c r="CR606" s="15"/>
      <c r="CS606" s="73"/>
      <c r="CT606" s="15"/>
      <c r="CU606" s="15"/>
      <c r="CV606" s="15"/>
      <c r="CW606" s="15"/>
      <c r="CX606" s="15"/>
      <c r="CY606" s="15"/>
      <c r="CZ606" s="15"/>
      <c r="DA606" s="15"/>
      <c r="DB606" s="15"/>
      <c r="DC606" s="15"/>
      <c r="DD606" s="15"/>
      <c r="DE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61"/>
      <c r="BK607" s="15"/>
      <c r="BL607" s="15"/>
      <c r="BM607" s="15"/>
      <c r="BN607" s="15"/>
      <c r="BO607" s="15"/>
      <c r="BP607" s="15"/>
      <c r="BQ607" s="15"/>
      <c r="BR607" s="15"/>
      <c r="BS607" s="15"/>
      <c r="BT607" s="15"/>
      <c r="BU607" s="15"/>
      <c r="BV607" s="15"/>
      <c r="BW607" s="15"/>
      <c r="BX607" s="15"/>
      <c r="BY607" s="15"/>
      <c r="BZ607" s="15"/>
      <c r="CA607" s="15"/>
      <c r="CB607" s="15"/>
      <c r="CC607" s="15"/>
      <c r="CD607" s="15"/>
      <c r="CE607" s="15"/>
      <c r="CF607" s="15"/>
      <c r="CG607" s="15"/>
      <c r="CH607" s="15"/>
      <c r="CI607" s="15"/>
      <c r="CJ607" s="15"/>
      <c r="CK607" s="15"/>
      <c r="CL607" s="15"/>
      <c r="CM607" s="15"/>
      <c r="CN607" s="15"/>
      <c r="CO607" s="15"/>
      <c r="CP607" s="15"/>
      <c r="CQ607" s="15"/>
      <c r="CR607" s="15"/>
      <c r="CS607" s="73"/>
      <c r="CT607" s="15"/>
      <c r="CU607" s="15"/>
      <c r="CV607" s="15"/>
      <c r="CW607" s="15"/>
      <c r="CX607" s="15"/>
      <c r="CY607" s="15"/>
      <c r="CZ607" s="15"/>
      <c r="DA607" s="15"/>
      <c r="DB607" s="15"/>
      <c r="DC607" s="15"/>
      <c r="DD607" s="15"/>
      <c r="DE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61"/>
      <c r="BK608" s="15"/>
      <c r="BL608" s="15"/>
      <c r="BM608" s="15"/>
      <c r="BN608" s="15"/>
      <c r="BO608" s="15"/>
      <c r="BP608" s="15"/>
      <c r="BQ608" s="15"/>
      <c r="BR608" s="15"/>
      <c r="BS608" s="15"/>
      <c r="BT608" s="15"/>
      <c r="BU608" s="15"/>
      <c r="BV608" s="15"/>
      <c r="BW608" s="15"/>
      <c r="BX608" s="15"/>
      <c r="BY608" s="15"/>
      <c r="BZ608" s="15"/>
      <c r="CA608" s="15"/>
      <c r="CB608" s="15"/>
      <c r="CC608" s="15"/>
      <c r="CD608" s="15"/>
      <c r="CE608" s="15"/>
      <c r="CF608" s="15"/>
      <c r="CG608" s="15"/>
      <c r="CH608" s="15"/>
      <c r="CI608" s="15"/>
      <c r="CJ608" s="15"/>
      <c r="CK608" s="15"/>
      <c r="CL608" s="15"/>
      <c r="CM608" s="15"/>
      <c r="CN608" s="15"/>
      <c r="CO608" s="15"/>
      <c r="CP608" s="15"/>
      <c r="CQ608" s="15"/>
      <c r="CR608" s="15"/>
      <c r="CS608" s="73"/>
      <c r="CT608" s="15"/>
      <c r="CU608" s="15"/>
      <c r="CV608" s="15"/>
      <c r="CW608" s="15"/>
      <c r="CX608" s="15"/>
      <c r="CY608" s="15"/>
      <c r="CZ608" s="15"/>
      <c r="DA608" s="15"/>
      <c r="DB608" s="15"/>
      <c r="DC608" s="15"/>
      <c r="DD608" s="15"/>
      <c r="DE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61"/>
      <c r="BK609" s="15"/>
      <c r="BL609" s="15"/>
      <c r="BM609" s="15"/>
      <c r="BN609" s="15"/>
      <c r="BO609" s="15"/>
      <c r="BP609" s="15"/>
      <c r="BQ609" s="15"/>
      <c r="BR609" s="15"/>
      <c r="BS609" s="15"/>
      <c r="BT609" s="15"/>
      <c r="BU609" s="15"/>
      <c r="BV609" s="15"/>
      <c r="BW609" s="15"/>
      <c r="BX609" s="15"/>
      <c r="BY609" s="15"/>
      <c r="BZ609" s="15"/>
      <c r="CA609" s="15"/>
      <c r="CB609" s="15"/>
      <c r="CC609" s="15"/>
      <c r="CD609" s="15"/>
      <c r="CE609" s="15"/>
      <c r="CF609" s="15"/>
      <c r="CG609" s="15"/>
      <c r="CH609" s="15"/>
      <c r="CI609" s="15"/>
      <c r="CJ609" s="15"/>
      <c r="CK609" s="15"/>
      <c r="CL609" s="15"/>
      <c r="CM609" s="15"/>
      <c r="CN609" s="15"/>
      <c r="CO609" s="15"/>
      <c r="CP609" s="15"/>
      <c r="CQ609" s="15"/>
      <c r="CR609" s="15"/>
      <c r="CS609" s="73"/>
      <c r="CT609" s="15"/>
      <c r="CU609" s="15"/>
      <c r="CV609" s="15"/>
      <c r="CW609" s="15"/>
      <c r="CX609" s="15"/>
      <c r="CY609" s="15"/>
      <c r="CZ609" s="15"/>
      <c r="DA609" s="15"/>
      <c r="DB609" s="15"/>
      <c r="DC609" s="15"/>
      <c r="DD609" s="15"/>
      <c r="DE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61"/>
      <c r="BK610" s="15"/>
      <c r="BL610" s="15"/>
      <c r="BM610" s="15"/>
      <c r="BN610" s="15"/>
      <c r="BO610" s="15"/>
      <c r="BP610" s="15"/>
      <c r="BQ610" s="15"/>
      <c r="BR610" s="15"/>
      <c r="BS610" s="15"/>
      <c r="BT610" s="15"/>
      <c r="BU610" s="15"/>
      <c r="BV610" s="15"/>
      <c r="BW610" s="15"/>
      <c r="BX610" s="15"/>
      <c r="BY610" s="15"/>
      <c r="BZ610" s="15"/>
      <c r="CA610" s="15"/>
      <c r="CB610" s="15"/>
      <c r="CC610" s="15"/>
      <c r="CD610" s="15"/>
      <c r="CE610" s="15"/>
      <c r="CF610" s="15"/>
      <c r="CG610" s="15"/>
      <c r="CH610" s="15"/>
      <c r="CI610" s="15"/>
      <c r="CJ610" s="15"/>
      <c r="CK610" s="15"/>
      <c r="CL610" s="15"/>
      <c r="CM610" s="15"/>
      <c r="CN610" s="15"/>
      <c r="CO610" s="15"/>
      <c r="CP610" s="15"/>
      <c r="CQ610" s="15"/>
      <c r="CR610" s="15"/>
      <c r="CS610" s="73"/>
      <c r="CT610" s="15"/>
      <c r="CU610" s="15"/>
      <c r="CV610" s="15"/>
      <c r="CW610" s="15"/>
      <c r="CX610" s="15"/>
      <c r="CY610" s="15"/>
      <c r="CZ610" s="15"/>
      <c r="DA610" s="15"/>
      <c r="DB610" s="15"/>
      <c r="DC610" s="15"/>
      <c r="DD610" s="15"/>
      <c r="DE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61"/>
      <c r="BK611" s="15"/>
      <c r="BL611" s="15"/>
      <c r="BM611" s="15"/>
      <c r="BN611" s="15"/>
      <c r="BO611" s="15"/>
      <c r="BP611" s="15"/>
      <c r="BQ611" s="15"/>
      <c r="BR611" s="15"/>
      <c r="BS611" s="15"/>
      <c r="BT611" s="15"/>
      <c r="BU611" s="15"/>
      <c r="BV611" s="15"/>
      <c r="BW611" s="15"/>
      <c r="BX611" s="15"/>
      <c r="BY611" s="15"/>
      <c r="BZ611" s="15"/>
      <c r="CA611" s="15"/>
      <c r="CB611" s="15"/>
      <c r="CC611" s="15"/>
      <c r="CD611" s="15"/>
      <c r="CE611" s="15"/>
      <c r="CF611" s="15"/>
      <c r="CG611" s="15"/>
      <c r="CH611" s="15"/>
      <c r="CI611" s="15"/>
      <c r="CJ611" s="15"/>
      <c r="CK611" s="15"/>
      <c r="CL611" s="15"/>
      <c r="CM611" s="15"/>
      <c r="CN611" s="15"/>
      <c r="CO611" s="15"/>
      <c r="CP611" s="15"/>
      <c r="CQ611" s="15"/>
      <c r="CR611" s="15"/>
      <c r="CS611" s="73"/>
      <c r="CT611" s="15"/>
      <c r="CU611" s="15"/>
      <c r="CV611" s="15"/>
      <c r="CW611" s="15"/>
      <c r="CX611" s="15"/>
      <c r="CY611" s="15"/>
      <c r="CZ611" s="15"/>
      <c r="DA611" s="15"/>
      <c r="DB611" s="15"/>
      <c r="DC611" s="15"/>
      <c r="DD611" s="15"/>
      <c r="DE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61"/>
      <c r="BK612" s="15"/>
      <c r="BL612" s="15"/>
      <c r="BM612" s="15"/>
      <c r="BN612" s="15"/>
      <c r="BO612" s="15"/>
      <c r="BP612" s="15"/>
      <c r="BQ612" s="15"/>
      <c r="BR612" s="15"/>
      <c r="BS612" s="15"/>
      <c r="BT612" s="15"/>
      <c r="BU612" s="15"/>
      <c r="BV612" s="15"/>
      <c r="BW612" s="15"/>
      <c r="BX612" s="15"/>
      <c r="BY612" s="15"/>
      <c r="BZ612" s="15"/>
      <c r="CA612" s="15"/>
      <c r="CB612" s="15"/>
      <c r="CC612" s="15"/>
      <c r="CD612" s="15"/>
      <c r="CE612" s="15"/>
      <c r="CF612" s="15"/>
      <c r="CG612" s="15"/>
      <c r="CH612" s="15"/>
      <c r="CI612" s="15"/>
      <c r="CJ612" s="15"/>
      <c r="CK612" s="15"/>
      <c r="CL612" s="15"/>
      <c r="CM612" s="15"/>
      <c r="CN612" s="15"/>
      <c r="CO612" s="15"/>
      <c r="CP612" s="15"/>
      <c r="CQ612" s="15"/>
      <c r="CR612" s="15"/>
      <c r="CS612" s="73"/>
      <c r="CT612" s="15"/>
      <c r="CU612" s="15"/>
      <c r="CV612" s="15"/>
      <c r="CW612" s="15"/>
      <c r="CX612" s="15"/>
      <c r="CY612" s="15"/>
      <c r="CZ612" s="15"/>
      <c r="DA612" s="15"/>
      <c r="DB612" s="15"/>
      <c r="DC612" s="15"/>
      <c r="DD612" s="15"/>
      <c r="DE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61"/>
      <c r="BK613" s="15"/>
      <c r="BL613" s="15"/>
      <c r="BM613" s="15"/>
      <c r="BN613" s="15"/>
      <c r="BO613" s="15"/>
      <c r="BP613" s="15"/>
      <c r="BQ613" s="15"/>
      <c r="BR613" s="15"/>
      <c r="BS613" s="15"/>
      <c r="BT613" s="15"/>
      <c r="BU613" s="15"/>
      <c r="BV613" s="15"/>
      <c r="BW613" s="15"/>
      <c r="BX613" s="15"/>
      <c r="BY613" s="15"/>
      <c r="BZ613" s="15"/>
      <c r="CA613" s="15"/>
      <c r="CB613" s="15"/>
      <c r="CC613" s="15"/>
      <c r="CD613" s="15"/>
      <c r="CE613" s="15"/>
      <c r="CF613" s="15"/>
      <c r="CG613" s="15"/>
      <c r="CH613" s="15"/>
      <c r="CI613" s="15"/>
      <c r="CJ613" s="15"/>
      <c r="CK613" s="15"/>
      <c r="CL613" s="15"/>
      <c r="CM613" s="15"/>
      <c r="CN613" s="15"/>
      <c r="CO613" s="15"/>
      <c r="CP613" s="15"/>
      <c r="CQ613" s="15"/>
      <c r="CR613" s="15"/>
      <c r="CS613" s="73"/>
      <c r="CT613" s="15"/>
      <c r="CU613" s="15"/>
      <c r="CV613" s="15"/>
      <c r="CW613" s="15"/>
      <c r="CX613" s="15"/>
      <c r="CY613" s="15"/>
      <c r="CZ613" s="15"/>
      <c r="DA613" s="15"/>
      <c r="DB613" s="15"/>
      <c r="DC613" s="15"/>
      <c r="DD613" s="15"/>
      <c r="DE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61"/>
      <c r="BK614" s="15"/>
      <c r="BL614" s="15"/>
      <c r="BM614" s="15"/>
      <c r="BN614" s="15"/>
      <c r="BO614" s="15"/>
      <c r="BP614" s="15"/>
      <c r="BQ614" s="15"/>
      <c r="BR614" s="15"/>
      <c r="BS614" s="15"/>
      <c r="BT614" s="15"/>
      <c r="BU614" s="15"/>
      <c r="BV614" s="15"/>
      <c r="BW614" s="15"/>
      <c r="BX614" s="15"/>
      <c r="BY614" s="15"/>
      <c r="BZ614" s="15"/>
      <c r="CA614" s="15"/>
      <c r="CB614" s="15"/>
      <c r="CC614" s="15"/>
      <c r="CD614" s="15"/>
      <c r="CE614" s="15"/>
      <c r="CF614" s="15"/>
      <c r="CG614" s="15"/>
      <c r="CH614" s="15"/>
      <c r="CI614" s="15"/>
      <c r="CJ614" s="15"/>
      <c r="CK614" s="15"/>
      <c r="CL614" s="15"/>
      <c r="CM614" s="15"/>
      <c r="CN614" s="15"/>
      <c r="CO614" s="15"/>
      <c r="CP614" s="15"/>
      <c r="CQ614" s="15"/>
      <c r="CR614" s="15"/>
      <c r="CS614" s="73"/>
      <c r="CT614" s="15"/>
      <c r="CU614" s="15"/>
      <c r="CV614" s="15"/>
      <c r="CW614" s="15"/>
      <c r="CX614" s="15"/>
      <c r="CY614" s="15"/>
      <c r="CZ614" s="15"/>
      <c r="DA614" s="15"/>
      <c r="DB614" s="15"/>
      <c r="DC614" s="15"/>
      <c r="DD614" s="15"/>
      <c r="DE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61"/>
      <c r="BK615" s="15"/>
      <c r="BL615" s="15"/>
      <c r="BM615" s="15"/>
      <c r="BN615" s="15"/>
      <c r="BO615" s="15"/>
      <c r="BP615" s="15"/>
      <c r="BQ615" s="15"/>
      <c r="BR615" s="15"/>
      <c r="BS615" s="15"/>
      <c r="BT615" s="15"/>
      <c r="BU615" s="15"/>
      <c r="BV615" s="15"/>
      <c r="BW615" s="15"/>
      <c r="BX615" s="15"/>
      <c r="BY615" s="15"/>
      <c r="BZ615" s="15"/>
      <c r="CA615" s="15"/>
      <c r="CB615" s="15"/>
      <c r="CC615" s="15"/>
      <c r="CD615" s="15"/>
      <c r="CE615" s="15"/>
      <c r="CF615" s="15"/>
      <c r="CG615" s="15"/>
      <c r="CH615" s="15"/>
      <c r="CI615" s="15"/>
      <c r="CJ615" s="15"/>
      <c r="CK615" s="15"/>
      <c r="CL615" s="15"/>
      <c r="CM615" s="15"/>
      <c r="CN615" s="15"/>
      <c r="CO615" s="15"/>
      <c r="CP615" s="15"/>
      <c r="CQ615" s="15"/>
      <c r="CR615" s="15"/>
      <c r="CS615" s="73"/>
      <c r="CT615" s="15"/>
      <c r="CU615" s="15"/>
      <c r="CV615" s="15"/>
      <c r="CW615" s="15"/>
      <c r="CX615" s="15"/>
      <c r="CY615" s="15"/>
      <c r="CZ615" s="15"/>
      <c r="DA615" s="15"/>
      <c r="DB615" s="15"/>
      <c r="DC615" s="15"/>
      <c r="DD615" s="15"/>
      <c r="DE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61"/>
      <c r="BK616" s="15"/>
      <c r="BL616" s="15"/>
      <c r="BM616" s="15"/>
      <c r="BN616" s="15"/>
      <c r="BO616" s="15"/>
      <c r="BP616" s="15"/>
      <c r="BQ616" s="15"/>
      <c r="BR616" s="15"/>
      <c r="BS616" s="15"/>
      <c r="BT616" s="15"/>
      <c r="BU616" s="15"/>
      <c r="BV616" s="15"/>
      <c r="BW616" s="15"/>
      <c r="BX616" s="15"/>
      <c r="BY616" s="15"/>
      <c r="BZ616" s="15"/>
      <c r="CA616" s="15"/>
      <c r="CB616" s="15"/>
      <c r="CC616" s="15"/>
      <c r="CD616" s="15"/>
      <c r="CE616" s="15"/>
      <c r="CF616" s="15"/>
      <c r="CG616" s="15"/>
      <c r="CH616" s="15"/>
      <c r="CI616" s="15"/>
      <c r="CJ616" s="15"/>
      <c r="CK616" s="15"/>
      <c r="CL616" s="15"/>
      <c r="CM616" s="15"/>
      <c r="CN616" s="15"/>
      <c r="CO616" s="15"/>
      <c r="CP616" s="15"/>
      <c r="CQ616" s="15"/>
      <c r="CR616" s="15"/>
      <c r="CS616" s="73"/>
      <c r="CT616" s="15"/>
      <c r="CU616" s="15"/>
      <c r="CV616" s="15"/>
      <c r="CW616" s="15"/>
      <c r="CX616" s="15"/>
      <c r="CY616" s="15"/>
      <c r="CZ616" s="15"/>
      <c r="DA616" s="15"/>
      <c r="DB616" s="15"/>
      <c r="DC616" s="15"/>
      <c r="DD616" s="15"/>
      <c r="DE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61"/>
      <c r="BK617" s="15"/>
      <c r="BL617" s="15"/>
      <c r="BM617" s="15"/>
      <c r="BN617" s="15"/>
      <c r="BO617" s="15"/>
      <c r="BP617" s="15"/>
      <c r="BQ617" s="15"/>
      <c r="BR617" s="15"/>
      <c r="BS617" s="15"/>
      <c r="BT617" s="15"/>
      <c r="BU617" s="15"/>
      <c r="BV617" s="15"/>
      <c r="BW617" s="15"/>
      <c r="BX617" s="15"/>
      <c r="BY617" s="15"/>
      <c r="BZ617" s="15"/>
      <c r="CA617" s="15"/>
      <c r="CB617" s="15"/>
      <c r="CC617" s="15"/>
      <c r="CD617" s="15"/>
      <c r="CE617" s="15"/>
      <c r="CF617" s="15"/>
      <c r="CG617" s="15"/>
      <c r="CH617" s="15"/>
      <c r="CI617" s="15"/>
      <c r="CJ617" s="15"/>
      <c r="CK617" s="15"/>
      <c r="CL617" s="15"/>
      <c r="CM617" s="15"/>
      <c r="CN617" s="15"/>
      <c r="CO617" s="15"/>
      <c r="CP617" s="15"/>
      <c r="CQ617" s="15"/>
      <c r="CR617" s="15"/>
      <c r="CS617" s="73"/>
      <c r="CT617" s="15"/>
      <c r="CU617" s="15"/>
      <c r="CV617" s="15"/>
      <c r="CW617" s="15"/>
      <c r="CX617" s="15"/>
      <c r="CY617" s="15"/>
      <c r="CZ617" s="15"/>
      <c r="DA617" s="15"/>
      <c r="DB617" s="15"/>
      <c r="DC617" s="15"/>
      <c r="DD617" s="15"/>
      <c r="DE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61"/>
      <c r="BK618" s="15"/>
      <c r="BL618" s="15"/>
      <c r="BM618" s="15"/>
      <c r="BN618" s="15"/>
      <c r="BO618" s="15"/>
      <c r="BP618" s="15"/>
      <c r="BQ618" s="15"/>
      <c r="BR618" s="15"/>
      <c r="BS618" s="15"/>
      <c r="BT618" s="15"/>
      <c r="BU618" s="15"/>
      <c r="BV618" s="15"/>
      <c r="BW618" s="15"/>
      <c r="BX618" s="15"/>
      <c r="BY618" s="15"/>
      <c r="BZ618" s="15"/>
      <c r="CA618" s="15"/>
      <c r="CB618" s="15"/>
      <c r="CC618" s="15"/>
      <c r="CD618" s="15"/>
      <c r="CE618" s="15"/>
      <c r="CF618" s="15"/>
      <c r="CG618" s="15"/>
      <c r="CH618" s="15"/>
      <c r="CI618" s="15"/>
      <c r="CJ618" s="15"/>
      <c r="CK618" s="15"/>
      <c r="CL618" s="15"/>
      <c r="CM618" s="15"/>
      <c r="CN618" s="15"/>
      <c r="CO618" s="15"/>
      <c r="CP618" s="15"/>
      <c r="CQ618" s="15"/>
      <c r="CR618" s="15"/>
      <c r="CS618" s="73"/>
      <c r="CT618" s="15"/>
      <c r="CU618" s="15"/>
      <c r="CV618" s="15"/>
      <c r="CW618" s="15"/>
      <c r="CX618" s="15"/>
      <c r="CY618" s="15"/>
      <c r="CZ618" s="15"/>
      <c r="DA618" s="15"/>
      <c r="DB618" s="15"/>
      <c r="DC618" s="15"/>
      <c r="DD618" s="15"/>
      <c r="DE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61"/>
      <c r="BK619" s="15"/>
      <c r="BL619" s="15"/>
      <c r="BM619" s="15"/>
      <c r="BN619" s="15"/>
      <c r="BO619" s="15"/>
      <c r="BP619" s="15"/>
      <c r="BQ619" s="15"/>
      <c r="BR619" s="15"/>
      <c r="BS619" s="15"/>
      <c r="BT619" s="15"/>
      <c r="BU619" s="15"/>
      <c r="BV619" s="15"/>
      <c r="BW619" s="15"/>
      <c r="BX619" s="15"/>
      <c r="BY619" s="15"/>
      <c r="BZ619" s="15"/>
      <c r="CA619" s="15"/>
      <c r="CB619" s="15"/>
      <c r="CC619" s="15"/>
      <c r="CD619" s="15"/>
      <c r="CE619" s="15"/>
      <c r="CF619" s="15"/>
      <c r="CG619" s="15"/>
      <c r="CH619" s="15"/>
      <c r="CI619" s="15"/>
      <c r="CJ619" s="15"/>
      <c r="CK619" s="15"/>
      <c r="CL619" s="15"/>
      <c r="CM619" s="15"/>
      <c r="CN619" s="15"/>
      <c r="CO619" s="15"/>
      <c r="CP619" s="15"/>
      <c r="CQ619" s="15"/>
      <c r="CR619" s="15"/>
      <c r="CS619" s="73"/>
      <c r="CT619" s="15"/>
      <c r="CU619" s="15"/>
      <c r="CV619" s="15"/>
      <c r="CW619" s="15"/>
      <c r="CX619" s="15"/>
      <c r="CY619" s="15"/>
      <c r="CZ619" s="15"/>
      <c r="DA619" s="15"/>
      <c r="DB619" s="15"/>
      <c r="DC619" s="15"/>
      <c r="DD619" s="15"/>
      <c r="DE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61"/>
      <c r="BK620" s="15"/>
      <c r="BL620" s="15"/>
      <c r="BM620" s="15"/>
      <c r="BN620" s="15"/>
      <c r="BO620" s="15"/>
      <c r="BP620" s="15"/>
      <c r="BQ620" s="15"/>
      <c r="BR620" s="15"/>
      <c r="BS620" s="15"/>
      <c r="BT620" s="15"/>
      <c r="BU620" s="15"/>
      <c r="BV620" s="15"/>
      <c r="BW620" s="15"/>
      <c r="BX620" s="15"/>
      <c r="BY620" s="15"/>
      <c r="BZ620" s="15"/>
      <c r="CA620" s="15"/>
      <c r="CB620" s="15"/>
      <c r="CC620" s="15"/>
      <c r="CD620" s="15"/>
      <c r="CE620" s="15"/>
      <c r="CF620" s="15"/>
      <c r="CG620" s="15"/>
      <c r="CH620" s="15"/>
      <c r="CI620" s="15"/>
      <c r="CJ620" s="15"/>
      <c r="CK620" s="15"/>
      <c r="CL620" s="15"/>
      <c r="CM620" s="15"/>
      <c r="CN620" s="15"/>
      <c r="CO620" s="15"/>
      <c r="CP620" s="15"/>
      <c r="CQ620" s="15"/>
      <c r="CR620" s="15"/>
      <c r="CS620" s="73"/>
      <c r="CT620" s="15"/>
      <c r="CU620" s="15"/>
      <c r="CV620" s="15"/>
      <c r="CW620" s="15"/>
      <c r="CX620" s="15"/>
      <c r="CY620" s="15"/>
      <c r="CZ620" s="15"/>
      <c r="DA620" s="15"/>
      <c r="DB620" s="15"/>
      <c r="DC620" s="15"/>
      <c r="DD620" s="15"/>
      <c r="DE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61"/>
      <c r="BK621" s="15"/>
      <c r="BL621" s="15"/>
      <c r="BM621" s="15"/>
      <c r="BN621" s="15"/>
      <c r="BO621" s="15"/>
      <c r="BP621" s="15"/>
      <c r="BQ621" s="15"/>
      <c r="BR621" s="15"/>
      <c r="BS621" s="15"/>
      <c r="BT621" s="15"/>
      <c r="BU621" s="15"/>
      <c r="BV621" s="15"/>
      <c r="BW621" s="15"/>
      <c r="BX621" s="15"/>
      <c r="BY621" s="15"/>
      <c r="BZ621" s="15"/>
      <c r="CA621" s="15"/>
      <c r="CB621" s="15"/>
      <c r="CC621" s="15"/>
      <c r="CD621" s="15"/>
      <c r="CE621" s="15"/>
      <c r="CF621" s="15"/>
      <c r="CG621" s="15"/>
      <c r="CH621" s="15"/>
      <c r="CI621" s="15"/>
      <c r="CJ621" s="15"/>
      <c r="CK621" s="15"/>
      <c r="CL621" s="15"/>
      <c r="CM621" s="15"/>
      <c r="CN621" s="15"/>
      <c r="CO621" s="15"/>
      <c r="CP621" s="15"/>
      <c r="CQ621" s="15"/>
      <c r="CR621" s="15"/>
      <c r="CS621" s="73"/>
      <c r="CT621" s="15"/>
      <c r="CU621" s="15"/>
      <c r="CV621" s="15"/>
      <c r="CW621" s="15"/>
      <c r="CX621" s="15"/>
      <c r="CY621" s="15"/>
      <c r="CZ621" s="15"/>
      <c r="DA621" s="15"/>
      <c r="DB621" s="15"/>
      <c r="DC621" s="15"/>
      <c r="DD621" s="15"/>
      <c r="DE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61"/>
      <c r="BK622" s="15"/>
      <c r="BL622" s="15"/>
      <c r="BM622" s="15"/>
      <c r="BN622" s="15"/>
      <c r="BO622" s="15"/>
      <c r="BP622" s="15"/>
      <c r="BQ622" s="15"/>
      <c r="BR622" s="15"/>
      <c r="BS622" s="15"/>
      <c r="BT622" s="15"/>
      <c r="BU622" s="15"/>
      <c r="BV622" s="15"/>
      <c r="BW622" s="15"/>
      <c r="BX622" s="15"/>
      <c r="BY622" s="15"/>
      <c r="BZ622" s="15"/>
      <c r="CA622" s="15"/>
      <c r="CB622" s="15"/>
      <c r="CC622" s="15"/>
      <c r="CD622" s="15"/>
      <c r="CE622" s="15"/>
      <c r="CF622" s="15"/>
      <c r="CG622" s="15"/>
      <c r="CH622" s="15"/>
      <c r="CI622" s="15"/>
      <c r="CJ622" s="15"/>
      <c r="CK622" s="15"/>
      <c r="CL622" s="15"/>
      <c r="CM622" s="15"/>
      <c r="CN622" s="15"/>
      <c r="CO622" s="15"/>
      <c r="CP622" s="15"/>
      <c r="CQ622" s="15"/>
      <c r="CR622" s="15"/>
      <c r="CS622" s="73"/>
      <c r="CT622" s="15"/>
      <c r="CU622" s="15"/>
      <c r="CV622" s="15"/>
      <c r="CW622" s="15"/>
      <c r="CX622" s="15"/>
      <c r="CY622" s="15"/>
      <c r="CZ622" s="15"/>
      <c r="DA622" s="15"/>
      <c r="DB622" s="15"/>
      <c r="DC622" s="15"/>
      <c r="DD622" s="15"/>
      <c r="DE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61"/>
      <c r="BK623" s="15"/>
      <c r="BL623" s="15"/>
      <c r="BM623" s="15"/>
      <c r="BN623" s="15"/>
      <c r="BO623" s="15"/>
      <c r="BP623" s="15"/>
      <c r="BQ623" s="15"/>
      <c r="BR623" s="15"/>
      <c r="BS623" s="15"/>
      <c r="BT623" s="15"/>
      <c r="BU623" s="15"/>
      <c r="BV623" s="15"/>
      <c r="BW623" s="15"/>
      <c r="BX623" s="15"/>
      <c r="BY623" s="15"/>
      <c r="BZ623" s="15"/>
      <c r="CA623" s="15"/>
      <c r="CB623" s="15"/>
      <c r="CC623" s="15"/>
      <c r="CD623" s="15"/>
      <c r="CE623" s="15"/>
      <c r="CF623" s="15"/>
      <c r="CG623" s="15"/>
      <c r="CH623" s="15"/>
      <c r="CI623" s="15"/>
      <c r="CJ623" s="15"/>
      <c r="CK623" s="15"/>
      <c r="CL623" s="15"/>
      <c r="CM623" s="15"/>
      <c r="CN623" s="15"/>
      <c r="CO623" s="15"/>
      <c r="CP623" s="15"/>
      <c r="CQ623" s="15"/>
      <c r="CR623" s="15"/>
      <c r="CS623" s="73"/>
      <c r="CT623" s="15"/>
      <c r="CU623" s="15"/>
      <c r="CV623" s="15"/>
      <c r="CW623" s="15"/>
      <c r="CX623" s="15"/>
      <c r="CY623" s="15"/>
      <c r="CZ623" s="15"/>
      <c r="DA623" s="15"/>
      <c r="DB623" s="15"/>
      <c r="DC623" s="15"/>
      <c r="DD623" s="15"/>
      <c r="DE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61"/>
      <c r="BK624" s="15"/>
      <c r="BL624" s="15"/>
      <c r="BM624" s="15"/>
      <c r="BN624" s="15"/>
      <c r="BO624" s="15"/>
      <c r="BP624" s="15"/>
      <c r="BQ624" s="15"/>
      <c r="BR624" s="15"/>
      <c r="BS624" s="15"/>
      <c r="BT624" s="15"/>
      <c r="BU624" s="15"/>
      <c r="BV624" s="15"/>
      <c r="BW624" s="15"/>
      <c r="BX624" s="15"/>
      <c r="BY624" s="15"/>
      <c r="BZ624" s="15"/>
      <c r="CA624" s="15"/>
      <c r="CB624" s="15"/>
      <c r="CC624" s="15"/>
      <c r="CD624" s="15"/>
      <c r="CE624" s="15"/>
      <c r="CF624" s="15"/>
      <c r="CG624" s="15"/>
      <c r="CH624" s="15"/>
      <c r="CI624" s="15"/>
      <c r="CJ624" s="15"/>
      <c r="CK624" s="15"/>
      <c r="CL624" s="15"/>
      <c r="CM624" s="15"/>
      <c r="CN624" s="15"/>
      <c r="CO624" s="15"/>
      <c r="CP624" s="15"/>
      <c r="CQ624" s="15"/>
      <c r="CR624" s="15"/>
      <c r="CS624" s="73"/>
      <c r="CT624" s="15"/>
      <c r="CU624" s="15"/>
      <c r="CV624" s="15"/>
      <c r="CW624" s="15"/>
      <c r="CX624" s="15"/>
      <c r="CY624" s="15"/>
      <c r="CZ624" s="15"/>
      <c r="DA624" s="15"/>
      <c r="DB624" s="15"/>
      <c r="DC624" s="15"/>
      <c r="DD624" s="15"/>
      <c r="DE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61"/>
      <c r="BK625" s="15"/>
      <c r="BL625" s="15"/>
      <c r="BM625" s="15"/>
      <c r="BN625" s="15"/>
      <c r="BO625" s="15"/>
      <c r="BP625" s="15"/>
      <c r="BQ625" s="15"/>
      <c r="BR625" s="15"/>
      <c r="BS625" s="15"/>
      <c r="BT625" s="15"/>
      <c r="BU625" s="15"/>
      <c r="BV625" s="15"/>
      <c r="BW625" s="15"/>
      <c r="BX625" s="15"/>
      <c r="BY625" s="15"/>
      <c r="BZ625" s="15"/>
      <c r="CA625" s="15"/>
      <c r="CB625" s="15"/>
      <c r="CC625" s="15"/>
      <c r="CD625" s="15"/>
      <c r="CE625" s="15"/>
      <c r="CF625" s="15"/>
      <c r="CG625" s="15"/>
      <c r="CH625" s="15"/>
      <c r="CI625" s="15"/>
      <c r="CJ625" s="15"/>
      <c r="CK625" s="15"/>
      <c r="CL625" s="15"/>
      <c r="CM625" s="15"/>
      <c r="CN625" s="15"/>
      <c r="CO625" s="15"/>
      <c r="CP625" s="15"/>
      <c r="CQ625" s="15"/>
      <c r="CR625" s="15"/>
      <c r="CS625" s="73"/>
      <c r="CT625" s="15"/>
      <c r="CU625" s="15"/>
      <c r="CV625" s="15"/>
      <c r="CW625" s="15"/>
      <c r="CX625" s="15"/>
      <c r="CY625" s="15"/>
      <c r="CZ625" s="15"/>
      <c r="DA625" s="15"/>
      <c r="DB625" s="15"/>
      <c r="DC625" s="15"/>
      <c r="DD625" s="15"/>
      <c r="DE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61"/>
      <c r="BK626" s="15"/>
      <c r="BL626" s="15"/>
      <c r="BM626" s="15"/>
      <c r="BN626" s="15"/>
      <c r="BO626" s="15"/>
      <c r="BP626" s="15"/>
      <c r="BQ626" s="15"/>
      <c r="BR626" s="15"/>
      <c r="BS626" s="15"/>
      <c r="BT626" s="15"/>
      <c r="BU626" s="15"/>
      <c r="BV626" s="15"/>
      <c r="BW626" s="15"/>
      <c r="BX626" s="15"/>
      <c r="BY626" s="15"/>
      <c r="BZ626" s="15"/>
      <c r="CA626" s="15"/>
      <c r="CB626" s="15"/>
      <c r="CC626" s="15"/>
      <c r="CD626" s="15"/>
      <c r="CE626" s="15"/>
      <c r="CF626" s="15"/>
      <c r="CG626" s="15"/>
      <c r="CH626" s="15"/>
      <c r="CI626" s="15"/>
      <c r="CJ626" s="15"/>
      <c r="CK626" s="15"/>
      <c r="CL626" s="15"/>
      <c r="CM626" s="15"/>
      <c r="CN626" s="15"/>
      <c r="CO626" s="15"/>
      <c r="CP626" s="15"/>
      <c r="CQ626" s="15"/>
      <c r="CR626" s="15"/>
      <c r="CS626" s="73"/>
      <c r="CT626" s="15"/>
      <c r="CU626" s="15"/>
      <c r="CV626" s="15"/>
      <c r="CW626" s="15"/>
      <c r="CX626" s="15"/>
      <c r="CY626" s="15"/>
      <c r="CZ626" s="15"/>
      <c r="DA626" s="15"/>
      <c r="DB626" s="15"/>
      <c r="DC626" s="15"/>
      <c r="DD626" s="15"/>
      <c r="DE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61"/>
      <c r="BK627" s="15"/>
      <c r="BL627" s="15"/>
      <c r="BM627" s="15"/>
      <c r="BN627" s="15"/>
      <c r="BO627" s="15"/>
      <c r="BP627" s="15"/>
      <c r="BQ627" s="15"/>
      <c r="BR627" s="15"/>
      <c r="BS627" s="15"/>
      <c r="BT627" s="15"/>
      <c r="BU627" s="15"/>
      <c r="BV627" s="15"/>
      <c r="BW627" s="15"/>
      <c r="BX627" s="15"/>
      <c r="BY627" s="15"/>
      <c r="BZ627" s="15"/>
      <c r="CA627" s="15"/>
      <c r="CB627" s="15"/>
      <c r="CC627" s="15"/>
      <c r="CD627" s="15"/>
      <c r="CE627" s="15"/>
      <c r="CF627" s="15"/>
      <c r="CG627" s="15"/>
      <c r="CH627" s="15"/>
      <c r="CI627" s="15"/>
      <c r="CJ627" s="15"/>
      <c r="CK627" s="15"/>
      <c r="CL627" s="15"/>
      <c r="CM627" s="15"/>
      <c r="CN627" s="15"/>
      <c r="CO627" s="15"/>
      <c r="CP627" s="15"/>
      <c r="CQ627" s="15"/>
      <c r="CR627" s="15"/>
      <c r="CS627" s="73"/>
      <c r="CT627" s="15"/>
      <c r="CU627" s="15"/>
      <c r="CV627" s="15"/>
      <c r="CW627" s="15"/>
      <c r="CX627" s="15"/>
      <c r="CY627" s="15"/>
      <c r="CZ627" s="15"/>
      <c r="DA627" s="15"/>
      <c r="DB627" s="15"/>
      <c r="DC627" s="15"/>
      <c r="DD627" s="15"/>
      <c r="DE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61"/>
      <c r="BK628" s="15"/>
      <c r="BL628" s="15"/>
      <c r="BM628" s="15"/>
      <c r="BN628" s="15"/>
      <c r="BO628" s="15"/>
      <c r="BP628" s="15"/>
      <c r="BQ628" s="15"/>
      <c r="BR628" s="15"/>
      <c r="BS628" s="15"/>
      <c r="BT628" s="15"/>
      <c r="BU628" s="15"/>
      <c r="BV628" s="15"/>
      <c r="BW628" s="15"/>
      <c r="BX628" s="15"/>
      <c r="BY628" s="15"/>
      <c r="BZ628" s="15"/>
      <c r="CA628" s="15"/>
      <c r="CB628" s="15"/>
      <c r="CC628" s="15"/>
      <c r="CD628" s="15"/>
      <c r="CE628" s="15"/>
      <c r="CF628" s="15"/>
      <c r="CG628" s="15"/>
      <c r="CH628" s="15"/>
      <c r="CI628" s="15"/>
      <c r="CJ628" s="15"/>
      <c r="CK628" s="15"/>
      <c r="CL628" s="15"/>
      <c r="CM628" s="15"/>
      <c r="CN628" s="15"/>
      <c r="CO628" s="15"/>
      <c r="CP628" s="15"/>
      <c r="CQ628" s="15"/>
      <c r="CR628" s="15"/>
      <c r="CS628" s="73"/>
      <c r="CT628" s="15"/>
      <c r="CU628" s="15"/>
      <c r="CV628" s="15"/>
      <c r="CW628" s="15"/>
      <c r="CX628" s="15"/>
      <c r="CY628" s="15"/>
      <c r="CZ628" s="15"/>
      <c r="DA628" s="15"/>
      <c r="DB628" s="15"/>
      <c r="DC628" s="15"/>
      <c r="DD628" s="15"/>
      <c r="DE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61"/>
      <c r="BK629" s="15"/>
      <c r="BL629" s="15"/>
      <c r="BM629" s="15"/>
      <c r="BN629" s="15"/>
      <c r="BO629" s="15"/>
      <c r="BP629" s="15"/>
      <c r="BQ629" s="15"/>
      <c r="BR629" s="15"/>
      <c r="BS629" s="15"/>
      <c r="BT629" s="15"/>
      <c r="BU629" s="15"/>
      <c r="BV629" s="15"/>
      <c r="BW629" s="15"/>
      <c r="BX629" s="15"/>
      <c r="BY629" s="15"/>
      <c r="BZ629" s="15"/>
      <c r="CA629" s="15"/>
      <c r="CB629" s="15"/>
      <c r="CC629" s="15"/>
      <c r="CD629" s="15"/>
      <c r="CE629" s="15"/>
      <c r="CF629" s="15"/>
      <c r="CG629" s="15"/>
      <c r="CH629" s="15"/>
      <c r="CI629" s="15"/>
      <c r="CJ629" s="15"/>
      <c r="CK629" s="15"/>
      <c r="CL629" s="15"/>
      <c r="CM629" s="15"/>
      <c r="CN629" s="15"/>
      <c r="CO629" s="15"/>
      <c r="CP629" s="15"/>
      <c r="CQ629" s="15"/>
      <c r="CR629" s="15"/>
      <c r="CS629" s="73"/>
      <c r="CT629" s="15"/>
      <c r="CU629" s="15"/>
      <c r="CV629" s="15"/>
      <c r="CW629" s="15"/>
      <c r="CX629" s="15"/>
      <c r="CY629" s="15"/>
      <c r="CZ629" s="15"/>
      <c r="DA629" s="15"/>
      <c r="DB629" s="15"/>
      <c r="DC629" s="15"/>
      <c r="DD629" s="15"/>
      <c r="DE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61"/>
      <c r="BK630" s="15"/>
      <c r="BL630" s="15"/>
      <c r="BM630" s="15"/>
      <c r="BN630" s="15"/>
      <c r="BO630" s="15"/>
      <c r="BP630" s="15"/>
      <c r="BQ630" s="15"/>
      <c r="BR630" s="15"/>
      <c r="BS630" s="15"/>
      <c r="BT630" s="15"/>
      <c r="BU630" s="15"/>
      <c r="BV630" s="15"/>
      <c r="BW630" s="15"/>
      <c r="BX630" s="15"/>
      <c r="BY630" s="15"/>
      <c r="BZ630" s="15"/>
      <c r="CA630" s="15"/>
      <c r="CB630" s="15"/>
      <c r="CC630" s="15"/>
      <c r="CD630" s="15"/>
      <c r="CE630" s="15"/>
      <c r="CF630" s="15"/>
      <c r="CG630" s="15"/>
      <c r="CH630" s="15"/>
      <c r="CI630" s="15"/>
      <c r="CJ630" s="15"/>
      <c r="CK630" s="15"/>
      <c r="CL630" s="15"/>
      <c r="CM630" s="15"/>
      <c r="CN630" s="15"/>
      <c r="CO630" s="15"/>
      <c r="CP630" s="15"/>
      <c r="CQ630" s="15"/>
      <c r="CR630" s="15"/>
      <c r="CS630" s="73"/>
      <c r="CT630" s="15"/>
      <c r="CU630" s="15"/>
      <c r="CV630" s="15"/>
      <c r="CW630" s="15"/>
      <c r="CX630" s="15"/>
      <c r="CY630" s="15"/>
      <c r="CZ630" s="15"/>
      <c r="DA630" s="15"/>
      <c r="DB630" s="15"/>
      <c r="DC630" s="15"/>
      <c r="DD630" s="15"/>
      <c r="DE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61"/>
      <c r="BK631" s="15"/>
      <c r="BL631" s="15"/>
      <c r="BM631" s="15"/>
      <c r="BN631" s="15"/>
      <c r="BO631" s="15"/>
      <c r="BP631" s="15"/>
      <c r="BQ631" s="15"/>
      <c r="BR631" s="15"/>
      <c r="BS631" s="15"/>
      <c r="BT631" s="15"/>
      <c r="BU631" s="15"/>
      <c r="BV631" s="15"/>
      <c r="BW631" s="15"/>
      <c r="BX631" s="15"/>
      <c r="BY631" s="15"/>
      <c r="BZ631" s="15"/>
      <c r="CA631" s="15"/>
      <c r="CB631" s="15"/>
      <c r="CC631" s="15"/>
      <c r="CD631" s="15"/>
      <c r="CE631" s="15"/>
      <c r="CF631" s="15"/>
      <c r="CG631" s="15"/>
      <c r="CH631" s="15"/>
      <c r="CI631" s="15"/>
      <c r="CJ631" s="15"/>
      <c r="CK631" s="15"/>
      <c r="CL631" s="15"/>
      <c r="CM631" s="15"/>
      <c r="CN631" s="15"/>
      <c r="CO631" s="15"/>
      <c r="CP631" s="15"/>
      <c r="CQ631" s="15"/>
      <c r="CR631" s="15"/>
      <c r="CS631" s="73"/>
      <c r="CT631" s="15"/>
      <c r="CU631" s="15"/>
      <c r="CV631" s="15"/>
      <c r="CW631" s="15"/>
      <c r="CX631" s="15"/>
      <c r="CY631" s="15"/>
      <c r="CZ631" s="15"/>
      <c r="DA631" s="15"/>
      <c r="DB631" s="15"/>
      <c r="DC631" s="15"/>
      <c r="DD631" s="15"/>
      <c r="DE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61"/>
      <c r="BK632" s="15"/>
      <c r="BL632" s="15"/>
      <c r="BM632" s="15"/>
      <c r="BN632" s="15"/>
      <c r="BO632" s="15"/>
      <c r="BP632" s="15"/>
      <c r="BQ632" s="15"/>
      <c r="BR632" s="15"/>
      <c r="BS632" s="15"/>
      <c r="BT632" s="15"/>
      <c r="BU632" s="15"/>
      <c r="BV632" s="15"/>
      <c r="BW632" s="15"/>
      <c r="BX632" s="15"/>
      <c r="BY632" s="15"/>
      <c r="BZ632" s="15"/>
      <c r="CA632" s="15"/>
      <c r="CB632" s="15"/>
      <c r="CC632" s="15"/>
      <c r="CD632" s="15"/>
      <c r="CE632" s="15"/>
      <c r="CF632" s="15"/>
      <c r="CG632" s="15"/>
      <c r="CH632" s="15"/>
      <c r="CI632" s="15"/>
      <c r="CJ632" s="15"/>
      <c r="CK632" s="15"/>
      <c r="CL632" s="15"/>
      <c r="CM632" s="15"/>
      <c r="CN632" s="15"/>
      <c r="CO632" s="15"/>
      <c r="CP632" s="15"/>
      <c r="CQ632" s="15"/>
      <c r="CR632" s="15"/>
      <c r="CS632" s="73"/>
      <c r="CT632" s="15"/>
      <c r="CU632" s="15"/>
      <c r="CV632" s="15"/>
      <c r="CW632" s="15"/>
      <c r="CX632" s="15"/>
      <c r="CY632" s="15"/>
      <c r="CZ632" s="15"/>
      <c r="DA632" s="15"/>
      <c r="DB632" s="15"/>
      <c r="DC632" s="15"/>
      <c r="DD632" s="15"/>
      <c r="DE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61"/>
      <c r="BK633" s="15"/>
      <c r="BL633" s="15"/>
      <c r="BM633" s="15"/>
      <c r="BN633" s="15"/>
      <c r="BO633" s="15"/>
      <c r="BP633" s="15"/>
      <c r="BQ633" s="15"/>
      <c r="BR633" s="15"/>
      <c r="BS633" s="15"/>
      <c r="BT633" s="15"/>
      <c r="BU633" s="15"/>
      <c r="BV633" s="15"/>
      <c r="BW633" s="15"/>
      <c r="BX633" s="15"/>
      <c r="BY633" s="15"/>
      <c r="BZ633" s="15"/>
      <c r="CA633" s="15"/>
      <c r="CB633" s="15"/>
      <c r="CC633" s="15"/>
      <c r="CD633" s="15"/>
      <c r="CE633" s="15"/>
      <c r="CF633" s="15"/>
      <c r="CG633" s="15"/>
      <c r="CH633" s="15"/>
      <c r="CI633" s="15"/>
      <c r="CJ633" s="15"/>
      <c r="CK633" s="15"/>
      <c r="CL633" s="15"/>
      <c r="CM633" s="15"/>
      <c r="CN633" s="15"/>
      <c r="CO633" s="15"/>
      <c r="CP633" s="15"/>
      <c r="CQ633" s="15"/>
      <c r="CR633" s="15"/>
      <c r="CS633" s="73"/>
      <c r="CT633" s="15"/>
      <c r="CU633" s="15"/>
      <c r="CV633" s="15"/>
      <c r="CW633" s="15"/>
      <c r="CX633" s="15"/>
      <c r="CY633" s="15"/>
      <c r="CZ633" s="15"/>
      <c r="DA633" s="15"/>
      <c r="DB633" s="15"/>
      <c r="DC633" s="15"/>
      <c r="DD633" s="15"/>
      <c r="DE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61"/>
      <c r="BK634" s="15"/>
      <c r="BL634" s="15"/>
      <c r="BM634" s="15"/>
      <c r="BN634" s="15"/>
      <c r="BO634" s="15"/>
      <c r="BP634" s="15"/>
      <c r="BQ634" s="15"/>
      <c r="BR634" s="15"/>
      <c r="BS634" s="15"/>
      <c r="BT634" s="15"/>
      <c r="BU634" s="15"/>
      <c r="BV634" s="15"/>
      <c r="BW634" s="15"/>
      <c r="BX634" s="15"/>
      <c r="BY634" s="15"/>
      <c r="BZ634" s="15"/>
      <c r="CA634" s="15"/>
      <c r="CB634" s="15"/>
      <c r="CC634" s="15"/>
      <c r="CD634" s="15"/>
      <c r="CE634" s="15"/>
      <c r="CF634" s="15"/>
      <c r="CG634" s="15"/>
      <c r="CH634" s="15"/>
      <c r="CI634" s="15"/>
      <c r="CJ634" s="15"/>
      <c r="CK634" s="15"/>
      <c r="CL634" s="15"/>
      <c r="CM634" s="15"/>
      <c r="CN634" s="15"/>
      <c r="CO634" s="15"/>
      <c r="CP634" s="15"/>
      <c r="CQ634" s="15"/>
      <c r="CR634" s="15"/>
      <c r="CS634" s="73"/>
      <c r="CT634" s="15"/>
      <c r="CU634" s="15"/>
      <c r="CV634" s="15"/>
      <c r="CW634" s="15"/>
      <c r="CX634" s="15"/>
      <c r="CY634" s="15"/>
      <c r="CZ634" s="15"/>
      <c r="DA634" s="15"/>
      <c r="DB634" s="15"/>
      <c r="DC634" s="15"/>
      <c r="DD634" s="15"/>
      <c r="DE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61"/>
      <c r="BK635" s="15"/>
      <c r="BL635" s="15"/>
      <c r="BM635" s="15"/>
      <c r="BN635" s="15"/>
      <c r="BO635" s="15"/>
      <c r="BP635" s="15"/>
      <c r="BQ635" s="15"/>
      <c r="BR635" s="15"/>
      <c r="BS635" s="15"/>
      <c r="BT635" s="15"/>
      <c r="BU635" s="15"/>
      <c r="BV635" s="15"/>
      <c r="BW635" s="15"/>
      <c r="BX635" s="15"/>
      <c r="BY635" s="15"/>
      <c r="BZ635" s="15"/>
      <c r="CA635" s="15"/>
      <c r="CB635" s="15"/>
      <c r="CC635" s="15"/>
      <c r="CD635" s="15"/>
      <c r="CE635" s="15"/>
      <c r="CF635" s="15"/>
      <c r="CG635" s="15"/>
      <c r="CH635" s="15"/>
      <c r="CI635" s="15"/>
      <c r="CJ635" s="15"/>
      <c r="CK635" s="15"/>
      <c r="CL635" s="15"/>
      <c r="CM635" s="15"/>
      <c r="CN635" s="15"/>
      <c r="CO635" s="15"/>
      <c r="CP635" s="15"/>
      <c r="CQ635" s="15"/>
      <c r="CR635" s="15"/>
      <c r="CS635" s="73"/>
      <c r="CT635" s="15"/>
      <c r="CU635" s="15"/>
      <c r="CV635" s="15"/>
      <c r="CW635" s="15"/>
      <c r="CX635" s="15"/>
      <c r="CY635" s="15"/>
      <c r="CZ635" s="15"/>
      <c r="DA635" s="15"/>
      <c r="DB635" s="15"/>
      <c r="DC635" s="15"/>
      <c r="DD635" s="15"/>
      <c r="DE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61"/>
      <c r="BK636" s="15"/>
      <c r="BL636" s="15"/>
      <c r="BM636" s="15"/>
      <c r="BN636" s="15"/>
      <c r="BO636" s="15"/>
      <c r="BP636" s="15"/>
      <c r="BQ636" s="15"/>
      <c r="BR636" s="15"/>
      <c r="BS636" s="15"/>
      <c r="BT636" s="15"/>
      <c r="BU636" s="15"/>
      <c r="BV636" s="15"/>
      <c r="BW636" s="15"/>
      <c r="BX636" s="15"/>
      <c r="BY636" s="15"/>
      <c r="BZ636" s="15"/>
      <c r="CA636" s="15"/>
      <c r="CB636" s="15"/>
      <c r="CC636" s="15"/>
      <c r="CD636" s="15"/>
      <c r="CE636" s="15"/>
      <c r="CF636" s="15"/>
      <c r="CG636" s="15"/>
      <c r="CH636" s="15"/>
      <c r="CI636" s="15"/>
      <c r="CJ636" s="15"/>
      <c r="CK636" s="15"/>
      <c r="CL636" s="15"/>
      <c r="CM636" s="15"/>
      <c r="CN636" s="15"/>
      <c r="CO636" s="15"/>
      <c r="CP636" s="15"/>
      <c r="CQ636" s="15"/>
      <c r="CR636" s="15"/>
      <c r="CS636" s="73"/>
      <c r="CT636" s="15"/>
      <c r="CU636" s="15"/>
      <c r="CV636" s="15"/>
      <c r="CW636" s="15"/>
      <c r="CX636" s="15"/>
      <c r="CY636" s="15"/>
      <c r="CZ636" s="15"/>
      <c r="DA636" s="15"/>
      <c r="DB636" s="15"/>
      <c r="DC636" s="15"/>
      <c r="DD636" s="15"/>
      <c r="DE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61"/>
      <c r="BK637" s="15"/>
      <c r="BL637" s="15"/>
      <c r="BM637" s="15"/>
      <c r="BN637" s="15"/>
      <c r="BO637" s="15"/>
      <c r="BP637" s="15"/>
      <c r="BQ637" s="15"/>
      <c r="BR637" s="15"/>
      <c r="BS637" s="15"/>
      <c r="BT637" s="15"/>
      <c r="BU637" s="15"/>
      <c r="BV637" s="15"/>
      <c r="BW637" s="15"/>
      <c r="BX637" s="15"/>
      <c r="BY637" s="15"/>
      <c r="BZ637" s="15"/>
      <c r="CA637" s="15"/>
      <c r="CB637" s="15"/>
      <c r="CC637" s="15"/>
      <c r="CD637" s="15"/>
      <c r="CE637" s="15"/>
      <c r="CF637" s="15"/>
      <c r="CG637" s="15"/>
      <c r="CH637" s="15"/>
      <c r="CI637" s="15"/>
      <c r="CJ637" s="15"/>
      <c r="CK637" s="15"/>
      <c r="CL637" s="15"/>
      <c r="CM637" s="15"/>
      <c r="CN637" s="15"/>
      <c r="CO637" s="15"/>
      <c r="CP637" s="15"/>
      <c r="CQ637" s="15"/>
      <c r="CR637" s="15"/>
      <c r="CS637" s="73"/>
      <c r="CT637" s="15"/>
      <c r="CU637" s="15"/>
      <c r="CV637" s="15"/>
      <c r="CW637" s="15"/>
      <c r="CX637" s="15"/>
      <c r="CY637" s="15"/>
      <c r="CZ637" s="15"/>
      <c r="DA637" s="15"/>
      <c r="DB637" s="15"/>
      <c r="DC637" s="15"/>
      <c r="DD637" s="15"/>
      <c r="DE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61"/>
      <c r="BK638" s="15"/>
      <c r="BL638" s="15"/>
      <c r="BM638" s="15"/>
      <c r="BN638" s="15"/>
      <c r="BO638" s="15"/>
      <c r="BP638" s="15"/>
      <c r="BQ638" s="15"/>
      <c r="BR638" s="15"/>
      <c r="BS638" s="15"/>
      <c r="BT638" s="15"/>
      <c r="BU638" s="15"/>
      <c r="BV638" s="15"/>
      <c r="BW638" s="15"/>
      <c r="BX638" s="15"/>
      <c r="BY638" s="15"/>
      <c r="BZ638" s="15"/>
      <c r="CA638" s="15"/>
      <c r="CB638" s="15"/>
      <c r="CC638" s="15"/>
      <c r="CD638" s="15"/>
      <c r="CE638" s="15"/>
      <c r="CF638" s="15"/>
      <c r="CG638" s="15"/>
      <c r="CH638" s="15"/>
      <c r="CI638" s="15"/>
      <c r="CJ638" s="15"/>
      <c r="CK638" s="15"/>
      <c r="CL638" s="15"/>
      <c r="CM638" s="15"/>
      <c r="CN638" s="15"/>
      <c r="CO638" s="15"/>
      <c r="CP638" s="15"/>
      <c r="CQ638" s="15"/>
      <c r="CR638" s="15"/>
      <c r="CS638" s="73"/>
      <c r="CT638" s="15"/>
      <c r="CU638" s="15"/>
      <c r="CV638" s="15"/>
      <c r="CW638" s="15"/>
      <c r="CX638" s="15"/>
      <c r="CY638" s="15"/>
      <c r="CZ638" s="15"/>
      <c r="DA638" s="15"/>
      <c r="DB638" s="15"/>
      <c r="DC638" s="15"/>
      <c r="DD638" s="15"/>
      <c r="DE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61"/>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15"/>
      <c r="CO639" s="15"/>
      <c r="CP639" s="15"/>
      <c r="CQ639" s="15"/>
      <c r="CR639" s="15"/>
      <c r="CS639" s="73"/>
      <c r="CT639" s="15"/>
      <c r="CU639" s="15"/>
      <c r="CV639" s="15"/>
      <c r="CW639" s="15"/>
      <c r="CX639" s="15"/>
      <c r="CY639" s="15"/>
      <c r="CZ639" s="15"/>
      <c r="DA639" s="15"/>
      <c r="DB639" s="15"/>
      <c r="DC639" s="15"/>
      <c r="DD639" s="15"/>
      <c r="DE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61"/>
      <c r="BK640" s="15"/>
      <c r="BL640" s="15"/>
      <c r="BM640" s="15"/>
      <c r="BN640" s="15"/>
      <c r="BO640" s="15"/>
      <c r="BP640" s="15"/>
      <c r="BQ640" s="15"/>
      <c r="BR640" s="15"/>
      <c r="BS640" s="15"/>
      <c r="BT640" s="15"/>
      <c r="BU640" s="15"/>
      <c r="BV640" s="15"/>
      <c r="BW640" s="15"/>
      <c r="BX640" s="15"/>
      <c r="BY640" s="15"/>
      <c r="BZ640" s="15"/>
      <c r="CA640" s="15"/>
      <c r="CB640" s="15"/>
      <c r="CC640" s="15"/>
      <c r="CD640" s="15"/>
      <c r="CE640" s="15"/>
      <c r="CF640" s="15"/>
      <c r="CG640" s="15"/>
      <c r="CH640" s="15"/>
      <c r="CI640" s="15"/>
      <c r="CJ640" s="15"/>
      <c r="CK640" s="15"/>
      <c r="CL640" s="15"/>
      <c r="CM640" s="15"/>
      <c r="CN640" s="15"/>
      <c r="CO640" s="15"/>
      <c r="CP640" s="15"/>
      <c r="CQ640" s="15"/>
      <c r="CR640" s="15"/>
      <c r="CS640" s="73"/>
      <c r="CT640" s="15"/>
      <c r="CU640" s="15"/>
      <c r="CV640" s="15"/>
      <c r="CW640" s="15"/>
      <c r="CX640" s="15"/>
      <c r="CY640" s="15"/>
      <c r="CZ640" s="15"/>
      <c r="DA640" s="15"/>
      <c r="DB640" s="15"/>
      <c r="DC640" s="15"/>
      <c r="DD640" s="15"/>
      <c r="DE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61"/>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15"/>
      <c r="CO641" s="15"/>
      <c r="CP641" s="15"/>
      <c r="CQ641" s="15"/>
      <c r="CR641" s="15"/>
      <c r="CS641" s="73"/>
      <c r="CT641" s="15"/>
      <c r="CU641" s="15"/>
      <c r="CV641" s="15"/>
      <c r="CW641" s="15"/>
      <c r="CX641" s="15"/>
      <c r="CY641" s="15"/>
      <c r="CZ641" s="15"/>
      <c r="DA641" s="15"/>
      <c r="DB641" s="15"/>
      <c r="DC641" s="15"/>
      <c r="DD641" s="15"/>
      <c r="DE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61"/>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15"/>
      <c r="CO642" s="15"/>
      <c r="CP642" s="15"/>
      <c r="CQ642" s="15"/>
      <c r="CR642" s="15"/>
      <c r="CS642" s="73"/>
      <c r="CT642" s="15"/>
      <c r="CU642" s="15"/>
      <c r="CV642" s="15"/>
      <c r="CW642" s="15"/>
      <c r="CX642" s="15"/>
      <c r="CY642" s="15"/>
      <c r="CZ642" s="15"/>
      <c r="DA642" s="15"/>
      <c r="DB642" s="15"/>
      <c r="DC642" s="15"/>
      <c r="DD642" s="15"/>
      <c r="DE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61"/>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15"/>
      <c r="CO643" s="15"/>
      <c r="CP643" s="15"/>
      <c r="CQ643" s="15"/>
      <c r="CR643" s="15"/>
      <c r="CS643" s="73"/>
      <c r="CT643" s="15"/>
      <c r="CU643" s="15"/>
      <c r="CV643" s="15"/>
      <c r="CW643" s="15"/>
      <c r="CX643" s="15"/>
      <c r="CY643" s="15"/>
      <c r="CZ643" s="15"/>
      <c r="DA643" s="15"/>
      <c r="DB643" s="15"/>
      <c r="DC643" s="15"/>
      <c r="DD643" s="15"/>
      <c r="DE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61"/>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15"/>
      <c r="CO644" s="15"/>
      <c r="CP644" s="15"/>
      <c r="CQ644" s="15"/>
      <c r="CR644" s="15"/>
      <c r="CS644" s="73"/>
      <c r="CT644" s="15"/>
      <c r="CU644" s="15"/>
      <c r="CV644" s="15"/>
      <c r="CW644" s="15"/>
      <c r="CX644" s="15"/>
      <c r="CY644" s="15"/>
      <c r="CZ644" s="15"/>
      <c r="DA644" s="15"/>
      <c r="DB644" s="15"/>
      <c r="DC644" s="15"/>
      <c r="DD644" s="15"/>
      <c r="DE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61"/>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c r="CO645" s="15"/>
      <c r="CP645" s="15"/>
      <c r="CQ645" s="15"/>
      <c r="CR645" s="15"/>
      <c r="CS645" s="73"/>
      <c r="CT645" s="15"/>
      <c r="CU645" s="15"/>
      <c r="CV645" s="15"/>
      <c r="CW645" s="15"/>
      <c r="CX645" s="15"/>
      <c r="CY645" s="15"/>
      <c r="CZ645" s="15"/>
      <c r="DA645" s="15"/>
      <c r="DB645" s="15"/>
      <c r="DC645" s="15"/>
      <c r="DD645" s="15"/>
      <c r="DE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61"/>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c r="CO646" s="15"/>
      <c r="CP646" s="15"/>
      <c r="CQ646" s="15"/>
      <c r="CR646" s="15"/>
      <c r="CS646" s="73"/>
      <c r="CT646" s="15"/>
      <c r="CU646" s="15"/>
      <c r="CV646" s="15"/>
      <c r="CW646" s="15"/>
      <c r="CX646" s="15"/>
      <c r="CY646" s="15"/>
      <c r="CZ646" s="15"/>
      <c r="DA646" s="15"/>
      <c r="DB646" s="15"/>
      <c r="DC646" s="15"/>
      <c r="DD646" s="15"/>
      <c r="DE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61"/>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15"/>
      <c r="CO647" s="15"/>
      <c r="CP647" s="15"/>
      <c r="CQ647" s="15"/>
      <c r="CR647" s="15"/>
      <c r="CS647" s="73"/>
      <c r="CT647" s="15"/>
      <c r="CU647" s="15"/>
      <c r="CV647" s="15"/>
      <c r="CW647" s="15"/>
      <c r="CX647" s="15"/>
      <c r="CY647" s="15"/>
      <c r="CZ647" s="15"/>
      <c r="DA647" s="15"/>
      <c r="DB647" s="15"/>
      <c r="DC647" s="15"/>
      <c r="DD647" s="15"/>
      <c r="DE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61"/>
      <c r="BK648" s="15"/>
      <c r="BL648" s="15"/>
      <c r="BM648" s="15"/>
      <c r="BN648" s="15"/>
      <c r="BO648" s="15"/>
      <c r="BP648" s="15"/>
      <c r="BQ648" s="15"/>
      <c r="BR648" s="15"/>
      <c r="BS648" s="15"/>
      <c r="BT648" s="15"/>
      <c r="BU648" s="15"/>
      <c r="BV648" s="15"/>
      <c r="BW648" s="15"/>
      <c r="BX648" s="15"/>
      <c r="BY648" s="15"/>
      <c r="BZ648" s="15"/>
      <c r="CA648" s="15"/>
      <c r="CB648" s="15"/>
      <c r="CC648" s="15"/>
      <c r="CD648" s="15"/>
      <c r="CE648" s="15"/>
      <c r="CF648" s="15"/>
      <c r="CG648" s="15"/>
      <c r="CH648" s="15"/>
      <c r="CI648" s="15"/>
      <c r="CJ648" s="15"/>
      <c r="CK648" s="15"/>
      <c r="CL648" s="15"/>
      <c r="CM648" s="15"/>
      <c r="CN648" s="15"/>
      <c r="CO648" s="15"/>
      <c r="CP648" s="15"/>
      <c r="CQ648" s="15"/>
      <c r="CR648" s="15"/>
      <c r="CS648" s="73"/>
      <c r="CT648" s="15"/>
      <c r="CU648" s="15"/>
      <c r="CV648" s="15"/>
      <c r="CW648" s="15"/>
      <c r="CX648" s="15"/>
      <c r="CY648" s="15"/>
      <c r="CZ648" s="15"/>
      <c r="DA648" s="15"/>
      <c r="DB648" s="15"/>
      <c r="DC648" s="15"/>
      <c r="DD648" s="15"/>
      <c r="DE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61"/>
      <c r="BK649" s="15"/>
      <c r="BL649" s="15"/>
      <c r="BM649" s="15"/>
      <c r="BN649" s="15"/>
      <c r="BO649" s="15"/>
      <c r="BP649" s="15"/>
      <c r="BQ649" s="15"/>
      <c r="BR649" s="15"/>
      <c r="BS649" s="15"/>
      <c r="BT649" s="15"/>
      <c r="BU649" s="15"/>
      <c r="BV649" s="15"/>
      <c r="BW649" s="15"/>
      <c r="BX649" s="15"/>
      <c r="BY649" s="15"/>
      <c r="BZ649" s="15"/>
      <c r="CA649" s="15"/>
      <c r="CB649" s="15"/>
      <c r="CC649" s="15"/>
      <c r="CD649" s="15"/>
      <c r="CE649" s="15"/>
      <c r="CF649" s="15"/>
      <c r="CG649" s="15"/>
      <c r="CH649" s="15"/>
      <c r="CI649" s="15"/>
      <c r="CJ649" s="15"/>
      <c r="CK649" s="15"/>
      <c r="CL649" s="15"/>
      <c r="CM649" s="15"/>
      <c r="CN649" s="15"/>
      <c r="CO649" s="15"/>
      <c r="CP649" s="15"/>
      <c r="CQ649" s="15"/>
      <c r="CR649" s="15"/>
      <c r="CS649" s="73"/>
      <c r="CT649" s="15"/>
      <c r="CU649" s="15"/>
      <c r="CV649" s="15"/>
      <c r="CW649" s="15"/>
      <c r="CX649" s="15"/>
      <c r="CY649" s="15"/>
      <c r="CZ649" s="15"/>
      <c r="DA649" s="15"/>
      <c r="DB649" s="15"/>
      <c r="DC649" s="15"/>
      <c r="DD649" s="15"/>
      <c r="DE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61"/>
      <c r="BK650" s="15"/>
      <c r="BL650" s="15"/>
      <c r="BM650" s="15"/>
      <c r="BN650" s="15"/>
      <c r="BO650" s="15"/>
      <c r="BP650" s="15"/>
      <c r="BQ650" s="15"/>
      <c r="BR650" s="15"/>
      <c r="BS650" s="15"/>
      <c r="BT650" s="15"/>
      <c r="BU650" s="15"/>
      <c r="BV650" s="15"/>
      <c r="BW650" s="15"/>
      <c r="BX650" s="15"/>
      <c r="BY650" s="15"/>
      <c r="BZ650" s="15"/>
      <c r="CA650" s="15"/>
      <c r="CB650" s="15"/>
      <c r="CC650" s="15"/>
      <c r="CD650" s="15"/>
      <c r="CE650" s="15"/>
      <c r="CF650" s="15"/>
      <c r="CG650" s="15"/>
      <c r="CH650" s="15"/>
      <c r="CI650" s="15"/>
      <c r="CJ650" s="15"/>
      <c r="CK650" s="15"/>
      <c r="CL650" s="15"/>
      <c r="CM650" s="15"/>
      <c r="CN650" s="15"/>
      <c r="CO650" s="15"/>
      <c r="CP650" s="15"/>
      <c r="CQ650" s="15"/>
      <c r="CR650" s="15"/>
      <c r="CS650" s="73"/>
      <c r="CT650" s="15"/>
      <c r="CU650" s="15"/>
      <c r="CV650" s="15"/>
      <c r="CW650" s="15"/>
      <c r="CX650" s="15"/>
      <c r="CY650" s="15"/>
      <c r="CZ650" s="15"/>
      <c r="DA650" s="15"/>
      <c r="DB650" s="15"/>
      <c r="DC650" s="15"/>
      <c r="DD650" s="15"/>
      <c r="DE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61"/>
      <c r="BK651" s="15"/>
      <c r="BL651" s="15"/>
      <c r="BM651" s="15"/>
      <c r="BN651" s="15"/>
      <c r="BO651" s="15"/>
      <c r="BP651" s="15"/>
      <c r="BQ651" s="15"/>
      <c r="BR651" s="15"/>
      <c r="BS651" s="15"/>
      <c r="BT651" s="15"/>
      <c r="BU651" s="15"/>
      <c r="BV651" s="15"/>
      <c r="BW651" s="15"/>
      <c r="BX651" s="15"/>
      <c r="BY651" s="15"/>
      <c r="BZ651" s="15"/>
      <c r="CA651" s="15"/>
      <c r="CB651" s="15"/>
      <c r="CC651" s="15"/>
      <c r="CD651" s="15"/>
      <c r="CE651" s="15"/>
      <c r="CF651" s="15"/>
      <c r="CG651" s="15"/>
      <c r="CH651" s="15"/>
      <c r="CI651" s="15"/>
      <c r="CJ651" s="15"/>
      <c r="CK651" s="15"/>
      <c r="CL651" s="15"/>
      <c r="CM651" s="15"/>
      <c r="CN651" s="15"/>
      <c r="CO651" s="15"/>
      <c r="CP651" s="15"/>
      <c r="CQ651" s="15"/>
      <c r="CR651" s="15"/>
      <c r="CS651" s="73"/>
      <c r="CT651" s="15"/>
      <c r="CU651" s="15"/>
      <c r="CV651" s="15"/>
      <c r="CW651" s="15"/>
      <c r="CX651" s="15"/>
      <c r="CY651" s="15"/>
      <c r="CZ651" s="15"/>
      <c r="DA651" s="15"/>
      <c r="DB651" s="15"/>
      <c r="DC651" s="15"/>
      <c r="DD651" s="15"/>
      <c r="DE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61"/>
      <c r="BK652" s="15"/>
      <c r="BL652" s="15"/>
      <c r="BM652" s="15"/>
      <c r="BN652" s="15"/>
      <c r="BO652" s="15"/>
      <c r="BP652" s="15"/>
      <c r="BQ652" s="15"/>
      <c r="BR652" s="15"/>
      <c r="BS652" s="15"/>
      <c r="BT652" s="15"/>
      <c r="BU652" s="15"/>
      <c r="BV652" s="15"/>
      <c r="BW652" s="15"/>
      <c r="BX652" s="15"/>
      <c r="BY652" s="15"/>
      <c r="BZ652" s="15"/>
      <c r="CA652" s="15"/>
      <c r="CB652" s="15"/>
      <c r="CC652" s="15"/>
      <c r="CD652" s="15"/>
      <c r="CE652" s="15"/>
      <c r="CF652" s="15"/>
      <c r="CG652" s="15"/>
      <c r="CH652" s="15"/>
      <c r="CI652" s="15"/>
      <c r="CJ652" s="15"/>
      <c r="CK652" s="15"/>
      <c r="CL652" s="15"/>
      <c r="CM652" s="15"/>
      <c r="CN652" s="15"/>
      <c r="CO652" s="15"/>
      <c r="CP652" s="15"/>
      <c r="CQ652" s="15"/>
      <c r="CR652" s="15"/>
      <c r="CS652" s="73"/>
      <c r="CT652" s="15"/>
      <c r="CU652" s="15"/>
      <c r="CV652" s="15"/>
      <c r="CW652" s="15"/>
      <c r="CX652" s="15"/>
      <c r="CY652" s="15"/>
      <c r="CZ652" s="15"/>
      <c r="DA652" s="15"/>
      <c r="DB652" s="15"/>
      <c r="DC652" s="15"/>
      <c r="DD652" s="15"/>
      <c r="DE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61"/>
      <c r="BK653" s="15"/>
      <c r="BL653" s="15"/>
      <c r="BM653" s="15"/>
      <c r="BN653" s="15"/>
      <c r="BO653" s="15"/>
      <c r="BP653" s="15"/>
      <c r="BQ653" s="15"/>
      <c r="BR653" s="15"/>
      <c r="BS653" s="15"/>
      <c r="BT653" s="15"/>
      <c r="BU653" s="15"/>
      <c r="BV653" s="15"/>
      <c r="BW653" s="15"/>
      <c r="BX653" s="15"/>
      <c r="BY653" s="15"/>
      <c r="BZ653" s="15"/>
      <c r="CA653" s="15"/>
      <c r="CB653" s="15"/>
      <c r="CC653" s="15"/>
      <c r="CD653" s="15"/>
      <c r="CE653" s="15"/>
      <c r="CF653" s="15"/>
      <c r="CG653" s="15"/>
      <c r="CH653" s="15"/>
      <c r="CI653" s="15"/>
      <c r="CJ653" s="15"/>
      <c r="CK653" s="15"/>
      <c r="CL653" s="15"/>
      <c r="CM653" s="15"/>
      <c r="CN653" s="15"/>
      <c r="CO653" s="15"/>
      <c r="CP653" s="15"/>
      <c r="CQ653" s="15"/>
      <c r="CR653" s="15"/>
      <c r="CS653" s="73"/>
      <c r="CT653" s="15"/>
      <c r="CU653" s="15"/>
      <c r="CV653" s="15"/>
      <c r="CW653" s="15"/>
      <c r="CX653" s="15"/>
      <c r="CY653" s="15"/>
      <c r="CZ653" s="15"/>
      <c r="DA653" s="15"/>
      <c r="DB653" s="15"/>
      <c r="DC653" s="15"/>
      <c r="DD653" s="15"/>
      <c r="DE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61"/>
      <c r="BK654" s="15"/>
      <c r="BL654" s="15"/>
      <c r="BM654" s="15"/>
      <c r="BN654" s="15"/>
      <c r="BO654" s="15"/>
      <c r="BP654" s="15"/>
      <c r="BQ654" s="15"/>
      <c r="BR654" s="15"/>
      <c r="BS654" s="15"/>
      <c r="BT654" s="15"/>
      <c r="BU654" s="15"/>
      <c r="BV654" s="15"/>
      <c r="BW654" s="15"/>
      <c r="BX654" s="15"/>
      <c r="BY654" s="15"/>
      <c r="BZ654" s="15"/>
      <c r="CA654" s="15"/>
      <c r="CB654" s="15"/>
      <c r="CC654" s="15"/>
      <c r="CD654" s="15"/>
      <c r="CE654" s="15"/>
      <c r="CF654" s="15"/>
      <c r="CG654" s="15"/>
      <c r="CH654" s="15"/>
      <c r="CI654" s="15"/>
      <c r="CJ654" s="15"/>
      <c r="CK654" s="15"/>
      <c r="CL654" s="15"/>
      <c r="CM654" s="15"/>
      <c r="CN654" s="15"/>
      <c r="CO654" s="15"/>
      <c r="CP654" s="15"/>
      <c r="CQ654" s="15"/>
      <c r="CR654" s="15"/>
      <c r="CS654" s="73"/>
      <c r="CT654" s="15"/>
      <c r="CU654" s="15"/>
      <c r="CV654" s="15"/>
      <c r="CW654" s="15"/>
      <c r="CX654" s="15"/>
      <c r="CY654" s="15"/>
      <c r="CZ654" s="15"/>
      <c r="DA654" s="15"/>
      <c r="DB654" s="15"/>
      <c r="DC654" s="15"/>
      <c r="DD654" s="15"/>
      <c r="DE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61"/>
      <c r="BK655" s="15"/>
      <c r="BL655" s="15"/>
      <c r="BM655" s="15"/>
      <c r="BN655" s="15"/>
      <c r="BO655" s="15"/>
      <c r="BP655" s="15"/>
      <c r="BQ655" s="15"/>
      <c r="BR655" s="15"/>
      <c r="BS655" s="15"/>
      <c r="BT655" s="15"/>
      <c r="BU655" s="15"/>
      <c r="BV655" s="15"/>
      <c r="BW655" s="15"/>
      <c r="BX655" s="15"/>
      <c r="BY655" s="15"/>
      <c r="BZ655" s="15"/>
      <c r="CA655" s="15"/>
      <c r="CB655" s="15"/>
      <c r="CC655" s="15"/>
      <c r="CD655" s="15"/>
      <c r="CE655" s="15"/>
      <c r="CF655" s="15"/>
      <c r="CG655" s="15"/>
      <c r="CH655" s="15"/>
      <c r="CI655" s="15"/>
      <c r="CJ655" s="15"/>
      <c r="CK655" s="15"/>
      <c r="CL655" s="15"/>
      <c r="CM655" s="15"/>
      <c r="CN655" s="15"/>
      <c r="CO655" s="15"/>
      <c r="CP655" s="15"/>
      <c r="CQ655" s="15"/>
      <c r="CR655" s="15"/>
      <c r="CS655" s="73"/>
      <c r="CT655" s="15"/>
      <c r="CU655" s="15"/>
      <c r="CV655" s="15"/>
      <c r="CW655" s="15"/>
      <c r="CX655" s="15"/>
      <c r="CY655" s="15"/>
      <c r="CZ655" s="15"/>
      <c r="DA655" s="15"/>
      <c r="DB655" s="15"/>
      <c r="DC655" s="15"/>
      <c r="DD655" s="15"/>
      <c r="DE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61"/>
      <c r="BK656" s="15"/>
      <c r="BL656" s="15"/>
      <c r="BM656" s="15"/>
      <c r="BN656" s="15"/>
      <c r="BO656" s="15"/>
      <c r="BP656" s="15"/>
      <c r="BQ656" s="15"/>
      <c r="BR656" s="15"/>
      <c r="BS656" s="15"/>
      <c r="BT656" s="15"/>
      <c r="BU656" s="15"/>
      <c r="BV656" s="15"/>
      <c r="BW656" s="15"/>
      <c r="BX656" s="15"/>
      <c r="BY656" s="15"/>
      <c r="BZ656" s="15"/>
      <c r="CA656" s="15"/>
      <c r="CB656" s="15"/>
      <c r="CC656" s="15"/>
      <c r="CD656" s="15"/>
      <c r="CE656" s="15"/>
      <c r="CF656" s="15"/>
      <c r="CG656" s="15"/>
      <c r="CH656" s="15"/>
      <c r="CI656" s="15"/>
      <c r="CJ656" s="15"/>
      <c r="CK656" s="15"/>
      <c r="CL656" s="15"/>
      <c r="CM656" s="15"/>
      <c r="CN656" s="15"/>
      <c r="CO656" s="15"/>
      <c r="CP656" s="15"/>
      <c r="CQ656" s="15"/>
      <c r="CR656" s="15"/>
      <c r="CS656" s="73"/>
      <c r="CT656" s="15"/>
      <c r="CU656" s="15"/>
      <c r="CV656" s="15"/>
      <c r="CW656" s="15"/>
      <c r="CX656" s="15"/>
      <c r="CY656" s="15"/>
      <c r="CZ656" s="15"/>
      <c r="DA656" s="15"/>
      <c r="DB656" s="15"/>
      <c r="DC656" s="15"/>
      <c r="DD656" s="15"/>
      <c r="DE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61"/>
      <c r="BK657" s="15"/>
      <c r="BL657" s="15"/>
      <c r="BM657" s="15"/>
      <c r="BN657" s="15"/>
      <c r="BO657" s="15"/>
      <c r="BP657" s="15"/>
      <c r="BQ657" s="15"/>
      <c r="BR657" s="15"/>
      <c r="BS657" s="15"/>
      <c r="BT657" s="15"/>
      <c r="BU657" s="15"/>
      <c r="BV657" s="15"/>
      <c r="BW657" s="15"/>
      <c r="BX657" s="15"/>
      <c r="BY657" s="15"/>
      <c r="BZ657" s="15"/>
      <c r="CA657" s="15"/>
      <c r="CB657" s="15"/>
      <c r="CC657" s="15"/>
      <c r="CD657" s="15"/>
      <c r="CE657" s="15"/>
      <c r="CF657" s="15"/>
      <c r="CG657" s="15"/>
      <c r="CH657" s="15"/>
      <c r="CI657" s="15"/>
      <c r="CJ657" s="15"/>
      <c r="CK657" s="15"/>
      <c r="CL657" s="15"/>
      <c r="CM657" s="15"/>
      <c r="CN657" s="15"/>
      <c r="CO657" s="15"/>
      <c r="CP657" s="15"/>
      <c r="CQ657" s="15"/>
      <c r="CR657" s="15"/>
      <c r="CS657" s="73"/>
      <c r="CT657" s="15"/>
      <c r="CU657" s="15"/>
      <c r="CV657" s="15"/>
      <c r="CW657" s="15"/>
      <c r="CX657" s="15"/>
      <c r="CY657" s="15"/>
      <c r="CZ657" s="15"/>
      <c r="DA657" s="15"/>
      <c r="DB657" s="15"/>
      <c r="DC657" s="15"/>
      <c r="DD657" s="15"/>
      <c r="DE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61"/>
      <c r="BK658" s="15"/>
      <c r="BL658" s="15"/>
      <c r="BM658" s="15"/>
      <c r="BN658" s="15"/>
      <c r="BO658" s="15"/>
      <c r="BP658" s="15"/>
      <c r="BQ658" s="15"/>
      <c r="BR658" s="15"/>
      <c r="BS658" s="15"/>
      <c r="BT658" s="15"/>
      <c r="BU658" s="15"/>
      <c r="BV658" s="15"/>
      <c r="BW658" s="15"/>
      <c r="BX658" s="15"/>
      <c r="BY658" s="15"/>
      <c r="BZ658" s="15"/>
      <c r="CA658" s="15"/>
      <c r="CB658" s="15"/>
      <c r="CC658" s="15"/>
      <c r="CD658" s="15"/>
      <c r="CE658" s="15"/>
      <c r="CF658" s="15"/>
      <c r="CG658" s="15"/>
      <c r="CH658" s="15"/>
      <c r="CI658" s="15"/>
      <c r="CJ658" s="15"/>
      <c r="CK658" s="15"/>
      <c r="CL658" s="15"/>
      <c r="CM658" s="15"/>
      <c r="CN658" s="15"/>
      <c r="CO658" s="15"/>
      <c r="CP658" s="15"/>
      <c r="CQ658" s="15"/>
      <c r="CR658" s="15"/>
      <c r="CS658" s="73"/>
      <c r="CT658" s="15"/>
      <c r="CU658" s="15"/>
      <c r="CV658" s="15"/>
      <c r="CW658" s="15"/>
      <c r="CX658" s="15"/>
      <c r="CY658" s="15"/>
      <c r="CZ658" s="15"/>
      <c r="DA658" s="15"/>
      <c r="DB658" s="15"/>
      <c r="DC658" s="15"/>
      <c r="DD658" s="15"/>
      <c r="DE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61"/>
      <c r="BK659" s="15"/>
      <c r="BL659" s="15"/>
      <c r="BM659" s="15"/>
      <c r="BN659" s="15"/>
      <c r="BO659" s="15"/>
      <c r="BP659" s="15"/>
      <c r="BQ659" s="15"/>
      <c r="BR659" s="15"/>
      <c r="BS659" s="15"/>
      <c r="BT659" s="15"/>
      <c r="BU659" s="15"/>
      <c r="BV659" s="15"/>
      <c r="BW659" s="15"/>
      <c r="BX659" s="15"/>
      <c r="BY659" s="15"/>
      <c r="BZ659" s="15"/>
      <c r="CA659" s="15"/>
      <c r="CB659" s="15"/>
      <c r="CC659" s="15"/>
      <c r="CD659" s="15"/>
      <c r="CE659" s="15"/>
      <c r="CF659" s="15"/>
      <c r="CG659" s="15"/>
      <c r="CH659" s="15"/>
      <c r="CI659" s="15"/>
      <c r="CJ659" s="15"/>
      <c r="CK659" s="15"/>
      <c r="CL659" s="15"/>
      <c r="CM659" s="15"/>
      <c r="CN659" s="15"/>
      <c r="CO659" s="15"/>
      <c r="CP659" s="15"/>
      <c r="CQ659" s="15"/>
      <c r="CR659" s="15"/>
      <c r="CS659" s="73"/>
      <c r="CT659" s="15"/>
      <c r="CU659" s="15"/>
      <c r="CV659" s="15"/>
      <c r="CW659" s="15"/>
      <c r="CX659" s="15"/>
      <c r="CY659" s="15"/>
      <c r="CZ659" s="15"/>
      <c r="DA659" s="15"/>
      <c r="DB659" s="15"/>
      <c r="DC659" s="15"/>
      <c r="DD659" s="15"/>
      <c r="DE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61"/>
      <c r="BK660" s="15"/>
      <c r="BL660" s="15"/>
      <c r="BM660" s="15"/>
      <c r="BN660" s="15"/>
      <c r="BO660" s="15"/>
      <c r="BP660" s="15"/>
      <c r="BQ660" s="15"/>
      <c r="BR660" s="15"/>
      <c r="BS660" s="15"/>
      <c r="BT660" s="15"/>
      <c r="BU660" s="15"/>
      <c r="BV660" s="15"/>
      <c r="BW660" s="15"/>
      <c r="BX660" s="15"/>
      <c r="BY660" s="15"/>
      <c r="BZ660" s="15"/>
      <c r="CA660" s="15"/>
      <c r="CB660" s="15"/>
      <c r="CC660" s="15"/>
      <c r="CD660" s="15"/>
      <c r="CE660" s="15"/>
      <c r="CF660" s="15"/>
      <c r="CG660" s="15"/>
      <c r="CH660" s="15"/>
      <c r="CI660" s="15"/>
      <c r="CJ660" s="15"/>
      <c r="CK660" s="15"/>
      <c r="CL660" s="15"/>
      <c r="CM660" s="15"/>
      <c r="CN660" s="15"/>
      <c r="CO660" s="15"/>
      <c r="CP660" s="15"/>
      <c r="CQ660" s="15"/>
      <c r="CR660" s="15"/>
      <c r="CS660" s="73"/>
      <c r="CT660" s="15"/>
      <c r="CU660" s="15"/>
      <c r="CV660" s="15"/>
      <c r="CW660" s="15"/>
      <c r="CX660" s="15"/>
      <c r="CY660" s="15"/>
      <c r="CZ660" s="15"/>
      <c r="DA660" s="15"/>
      <c r="DB660" s="15"/>
      <c r="DC660" s="15"/>
      <c r="DD660" s="15"/>
      <c r="DE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61"/>
      <c r="BK661" s="15"/>
      <c r="BL661" s="15"/>
      <c r="BM661" s="15"/>
      <c r="BN661" s="15"/>
      <c r="BO661" s="15"/>
      <c r="BP661" s="15"/>
      <c r="BQ661" s="15"/>
      <c r="BR661" s="15"/>
      <c r="BS661" s="15"/>
      <c r="BT661" s="15"/>
      <c r="BU661" s="15"/>
      <c r="BV661" s="15"/>
      <c r="BW661" s="15"/>
      <c r="BX661" s="15"/>
      <c r="BY661" s="15"/>
      <c r="BZ661" s="15"/>
      <c r="CA661" s="15"/>
      <c r="CB661" s="15"/>
      <c r="CC661" s="15"/>
      <c r="CD661" s="15"/>
      <c r="CE661" s="15"/>
      <c r="CF661" s="15"/>
      <c r="CG661" s="15"/>
      <c r="CH661" s="15"/>
      <c r="CI661" s="15"/>
      <c r="CJ661" s="15"/>
      <c r="CK661" s="15"/>
      <c r="CL661" s="15"/>
      <c r="CM661" s="15"/>
      <c r="CN661" s="15"/>
      <c r="CO661" s="15"/>
      <c r="CP661" s="15"/>
      <c r="CQ661" s="15"/>
      <c r="CR661" s="15"/>
      <c r="CS661" s="73"/>
      <c r="CT661" s="15"/>
      <c r="CU661" s="15"/>
      <c r="CV661" s="15"/>
      <c r="CW661" s="15"/>
      <c r="CX661" s="15"/>
      <c r="CY661" s="15"/>
      <c r="CZ661" s="15"/>
      <c r="DA661" s="15"/>
      <c r="DB661" s="15"/>
      <c r="DC661" s="15"/>
      <c r="DD661" s="15"/>
      <c r="DE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61"/>
      <c r="BK662" s="15"/>
      <c r="BL662" s="15"/>
      <c r="BM662" s="15"/>
      <c r="BN662" s="15"/>
      <c r="BO662" s="15"/>
      <c r="BP662" s="15"/>
      <c r="BQ662" s="15"/>
      <c r="BR662" s="15"/>
      <c r="BS662" s="15"/>
      <c r="BT662" s="15"/>
      <c r="BU662" s="15"/>
      <c r="BV662" s="15"/>
      <c r="BW662" s="15"/>
      <c r="BX662" s="15"/>
      <c r="BY662" s="15"/>
      <c r="BZ662" s="15"/>
      <c r="CA662" s="15"/>
      <c r="CB662" s="15"/>
      <c r="CC662" s="15"/>
      <c r="CD662" s="15"/>
      <c r="CE662" s="15"/>
      <c r="CF662" s="15"/>
      <c r="CG662" s="15"/>
      <c r="CH662" s="15"/>
      <c r="CI662" s="15"/>
      <c r="CJ662" s="15"/>
      <c r="CK662" s="15"/>
      <c r="CL662" s="15"/>
      <c r="CM662" s="15"/>
      <c r="CN662" s="15"/>
      <c r="CO662" s="15"/>
      <c r="CP662" s="15"/>
      <c r="CQ662" s="15"/>
      <c r="CR662" s="15"/>
      <c r="CS662" s="73"/>
      <c r="CT662" s="15"/>
      <c r="CU662" s="15"/>
      <c r="CV662" s="15"/>
      <c r="CW662" s="15"/>
      <c r="CX662" s="15"/>
      <c r="CY662" s="15"/>
      <c r="CZ662" s="15"/>
      <c r="DA662" s="15"/>
      <c r="DB662" s="15"/>
      <c r="DC662" s="15"/>
      <c r="DD662" s="15"/>
      <c r="DE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c r="BJ663" s="61"/>
      <c r="BK663" s="15"/>
      <c r="BL663" s="15"/>
      <c r="BM663" s="15"/>
      <c r="BN663" s="15"/>
      <c r="BO663" s="15"/>
      <c r="BP663" s="15"/>
      <c r="BQ663" s="15"/>
      <c r="BR663" s="15"/>
      <c r="BS663" s="15"/>
      <c r="BT663" s="15"/>
      <c r="BU663" s="15"/>
      <c r="BV663" s="15"/>
      <c r="BW663" s="15"/>
      <c r="BX663" s="15"/>
      <c r="BY663" s="15"/>
      <c r="BZ663" s="15"/>
      <c r="CA663" s="15"/>
      <c r="CB663" s="15"/>
      <c r="CC663" s="15"/>
      <c r="CD663" s="15"/>
      <c r="CE663" s="15"/>
      <c r="CF663" s="15"/>
      <c r="CG663" s="15"/>
      <c r="CH663" s="15"/>
      <c r="CI663" s="15"/>
      <c r="CJ663" s="15"/>
      <c r="CK663" s="15"/>
      <c r="CL663" s="15"/>
      <c r="CM663" s="15"/>
      <c r="CN663" s="15"/>
      <c r="CO663" s="15"/>
      <c r="CP663" s="15"/>
      <c r="CQ663" s="15"/>
      <c r="CR663" s="15"/>
      <c r="CS663" s="73"/>
      <c r="CT663" s="15"/>
      <c r="CU663" s="15"/>
      <c r="CV663" s="15"/>
      <c r="CW663" s="15"/>
      <c r="CX663" s="15"/>
      <c r="CY663" s="15"/>
      <c r="CZ663" s="15"/>
      <c r="DA663" s="15"/>
      <c r="DB663" s="15"/>
      <c r="DC663" s="15"/>
      <c r="DD663" s="15"/>
      <c r="DE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c r="BJ664" s="61"/>
      <c r="BK664" s="15"/>
      <c r="BL664" s="15"/>
      <c r="BM664" s="15"/>
      <c r="BN664" s="15"/>
      <c r="BO664" s="15"/>
      <c r="BP664" s="15"/>
      <c r="BQ664" s="15"/>
      <c r="BR664" s="15"/>
      <c r="BS664" s="15"/>
      <c r="BT664" s="15"/>
      <c r="BU664" s="15"/>
      <c r="BV664" s="15"/>
      <c r="BW664" s="15"/>
      <c r="BX664" s="15"/>
      <c r="BY664" s="15"/>
      <c r="BZ664" s="15"/>
      <c r="CA664" s="15"/>
      <c r="CB664" s="15"/>
      <c r="CC664" s="15"/>
      <c r="CD664" s="15"/>
      <c r="CE664" s="15"/>
      <c r="CF664" s="15"/>
      <c r="CG664" s="15"/>
      <c r="CH664" s="15"/>
      <c r="CI664" s="15"/>
      <c r="CJ664" s="15"/>
      <c r="CK664" s="15"/>
      <c r="CL664" s="15"/>
      <c r="CM664" s="15"/>
      <c r="CN664" s="15"/>
      <c r="CO664" s="15"/>
      <c r="CP664" s="15"/>
      <c r="CQ664" s="15"/>
      <c r="CR664" s="15"/>
      <c r="CS664" s="73"/>
      <c r="CT664" s="15"/>
      <c r="CU664" s="15"/>
      <c r="CV664" s="15"/>
      <c r="CW664" s="15"/>
      <c r="CX664" s="15"/>
      <c r="CY664" s="15"/>
      <c r="CZ664" s="15"/>
      <c r="DA664" s="15"/>
      <c r="DB664" s="15"/>
      <c r="DC664" s="15"/>
      <c r="DD664" s="15"/>
      <c r="DE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c r="BJ665" s="61"/>
      <c r="BK665" s="15"/>
      <c r="BL665" s="15"/>
      <c r="BM665" s="15"/>
      <c r="BN665" s="15"/>
      <c r="BO665" s="15"/>
      <c r="BP665" s="15"/>
      <c r="BQ665" s="15"/>
      <c r="BR665" s="15"/>
      <c r="BS665" s="15"/>
      <c r="BT665" s="15"/>
      <c r="BU665" s="15"/>
      <c r="BV665" s="15"/>
      <c r="BW665" s="15"/>
      <c r="BX665" s="15"/>
      <c r="BY665" s="15"/>
      <c r="BZ665" s="15"/>
      <c r="CA665" s="15"/>
      <c r="CB665" s="15"/>
      <c r="CC665" s="15"/>
      <c r="CD665" s="15"/>
      <c r="CE665" s="15"/>
      <c r="CF665" s="15"/>
      <c r="CG665" s="15"/>
      <c r="CH665" s="15"/>
      <c r="CI665" s="15"/>
      <c r="CJ665" s="15"/>
      <c r="CK665" s="15"/>
      <c r="CL665" s="15"/>
      <c r="CM665" s="15"/>
      <c r="CN665" s="15"/>
      <c r="CO665" s="15"/>
      <c r="CP665" s="15"/>
      <c r="CQ665" s="15"/>
      <c r="CR665" s="15"/>
      <c r="CS665" s="73"/>
      <c r="CT665" s="15"/>
      <c r="CU665" s="15"/>
      <c r="CV665" s="15"/>
      <c r="CW665" s="15"/>
      <c r="CX665" s="15"/>
      <c r="CY665" s="15"/>
      <c r="CZ665" s="15"/>
      <c r="DA665" s="15"/>
      <c r="DB665" s="15"/>
      <c r="DC665" s="15"/>
      <c r="DD665" s="15"/>
      <c r="DE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61"/>
      <c r="BK666" s="15"/>
      <c r="BL666" s="15"/>
      <c r="BM666" s="15"/>
      <c r="BN666" s="15"/>
      <c r="BO666" s="15"/>
      <c r="BP666" s="15"/>
      <c r="BQ666" s="15"/>
      <c r="BR666" s="15"/>
      <c r="BS666" s="15"/>
      <c r="BT666" s="15"/>
      <c r="BU666" s="15"/>
      <c r="BV666" s="15"/>
      <c r="BW666" s="15"/>
      <c r="BX666" s="15"/>
      <c r="BY666" s="15"/>
      <c r="BZ666" s="15"/>
      <c r="CA666" s="15"/>
      <c r="CB666" s="15"/>
      <c r="CC666" s="15"/>
      <c r="CD666" s="15"/>
      <c r="CE666" s="15"/>
      <c r="CF666" s="15"/>
      <c r="CG666" s="15"/>
      <c r="CH666" s="15"/>
      <c r="CI666" s="15"/>
      <c r="CJ666" s="15"/>
      <c r="CK666" s="15"/>
      <c r="CL666" s="15"/>
      <c r="CM666" s="15"/>
      <c r="CN666" s="15"/>
      <c r="CO666" s="15"/>
      <c r="CP666" s="15"/>
      <c r="CQ666" s="15"/>
      <c r="CR666" s="15"/>
      <c r="CS666" s="73"/>
      <c r="CT666" s="15"/>
      <c r="CU666" s="15"/>
      <c r="CV666" s="15"/>
      <c r="CW666" s="15"/>
      <c r="CX666" s="15"/>
      <c r="CY666" s="15"/>
      <c r="CZ666" s="15"/>
      <c r="DA666" s="15"/>
      <c r="DB666" s="15"/>
      <c r="DC666" s="15"/>
      <c r="DD666" s="15"/>
      <c r="DE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61"/>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15"/>
      <c r="CO667" s="15"/>
      <c r="CP667" s="15"/>
      <c r="CQ667" s="15"/>
      <c r="CR667" s="15"/>
      <c r="CS667" s="73"/>
      <c r="CT667" s="15"/>
      <c r="CU667" s="15"/>
      <c r="CV667" s="15"/>
      <c r="CW667" s="15"/>
      <c r="CX667" s="15"/>
      <c r="CY667" s="15"/>
      <c r="CZ667" s="15"/>
      <c r="DA667" s="15"/>
      <c r="DB667" s="15"/>
      <c r="DC667" s="15"/>
      <c r="DD667" s="15"/>
      <c r="DE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61"/>
      <c r="BK668" s="15"/>
      <c r="BL668" s="15"/>
      <c r="BM668" s="15"/>
      <c r="BN668" s="15"/>
      <c r="BO668" s="15"/>
      <c r="BP668" s="15"/>
      <c r="BQ668" s="15"/>
      <c r="BR668" s="15"/>
      <c r="BS668" s="15"/>
      <c r="BT668" s="15"/>
      <c r="BU668" s="15"/>
      <c r="BV668" s="15"/>
      <c r="BW668" s="15"/>
      <c r="BX668" s="15"/>
      <c r="BY668" s="15"/>
      <c r="BZ668" s="15"/>
      <c r="CA668" s="15"/>
      <c r="CB668" s="15"/>
      <c r="CC668" s="15"/>
      <c r="CD668" s="15"/>
      <c r="CE668" s="15"/>
      <c r="CF668" s="15"/>
      <c r="CG668" s="15"/>
      <c r="CH668" s="15"/>
      <c r="CI668" s="15"/>
      <c r="CJ668" s="15"/>
      <c r="CK668" s="15"/>
      <c r="CL668" s="15"/>
      <c r="CM668" s="15"/>
      <c r="CN668" s="15"/>
      <c r="CO668" s="15"/>
      <c r="CP668" s="15"/>
      <c r="CQ668" s="15"/>
      <c r="CR668" s="15"/>
      <c r="CS668" s="73"/>
      <c r="CT668" s="15"/>
      <c r="CU668" s="15"/>
      <c r="CV668" s="15"/>
      <c r="CW668" s="15"/>
      <c r="CX668" s="15"/>
      <c r="CY668" s="15"/>
      <c r="CZ668" s="15"/>
      <c r="DA668" s="15"/>
      <c r="DB668" s="15"/>
      <c r="DC668" s="15"/>
      <c r="DD668" s="15"/>
      <c r="DE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c r="BJ669" s="61"/>
      <c r="BK669" s="15"/>
      <c r="BL669" s="15"/>
      <c r="BM669" s="15"/>
      <c r="BN669" s="15"/>
      <c r="BO669" s="15"/>
      <c r="BP669" s="15"/>
      <c r="BQ669" s="15"/>
      <c r="BR669" s="15"/>
      <c r="BS669" s="15"/>
      <c r="BT669" s="15"/>
      <c r="BU669" s="15"/>
      <c r="BV669" s="15"/>
      <c r="BW669" s="15"/>
      <c r="BX669" s="15"/>
      <c r="BY669" s="15"/>
      <c r="BZ669" s="15"/>
      <c r="CA669" s="15"/>
      <c r="CB669" s="15"/>
      <c r="CC669" s="15"/>
      <c r="CD669" s="15"/>
      <c r="CE669" s="15"/>
      <c r="CF669" s="15"/>
      <c r="CG669" s="15"/>
      <c r="CH669" s="15"/>
      <c r="CI669" s="15"/>
      <c r="CJ669" s="15"/>
      <c r="CK669" s="15"/>
      <c r="CL669" s="15"/>
      <c r="CM669" s="15"/>
      <c r="CN669" s="15"/>
      <c r="CO669" s="15"/>
      <c r="CP669" s="15"/>
      <c r="CQ669" s="15"/>
      <c r="CR669" s="15"/>
      <c r="CS669" s="73"/>
      <c r="CT669" s="15"/>
      <c r="CU669" s="15"/>
      <c r="CV669" s="15"/>
      <c r="CW669" s="15"/>
      <c r="CX669" s="15"/>
      <c r="CY669" s="15"/>
      <c r="CZ669" s="15"/>
      <c r="DA669" s="15"/>
      <c r="DB669" s="15"/>
      <c r="DC669" s="15"/>
      <c r="DD669" s="15"/>
      <c r="DE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61"/>
      <c r="BK670" s="15"/>
      <c r="BL670" s="15"/>
      <c r="BM670" s="15"/>
      <c r="BN670" s="15"/>
      <c r="BO670" s="15"/>
      <c r="BP670" s="15"/>
      <c r="BQ670" s="15"/>
      <c r="BR670" s="15"/>
      <c r="BS670" s="15"/>
      <c r="BT670" s="15"/>
      <c r="BU670" s="15"/>
      <c r="BV670" s="15"/>
      <c r="BW670" s="15"/>
      <c r="BX670" s="15"/>
      <c r="BY670" s="15"/>
      <c r="BZ670" s="15"/>
      <c r="CA670" s="15"/>
      <c r="CB670" s="15"/>
      <c r="CC670" s="15"/>
      <c r="CD670" s="15"/>
      <c r="CE670" s="15"/>
      <c r="CF670" s="15"/>
      <c r="CG670" s="15"/>
      <c r="CH670" s="15"/>
      <c r="CI670" s="15"/>
      <c r="CJ670" s="15"/>
      <c r="CK670" s="15"/>
      <c r="CL670" s="15"/>
      <c r="CM670" s="15"/>
      <c r="CN670" s="15"/>
      <c r="CO670" s="15"/>
      <c r="CP670" s="15"/>
      <c r="CQ670" s="15"/>
      <c r="CR670" s="15"/>
      <c r="CS670" s="73"/>
      <c r="CT670" s="15"/>
      <c r="CU670" s="15"/>
      <c r="CV670" s="15"/>
      <c r="CW670" s="15"/>
      <c r="CX670" s="15"/>
      <c r="CY670" s="15"/>
      <c r="CZ670" s="15"/>
      <c r="DA670" s="15"/>
      <c r="DB670" s="15"/>
      <c r="DC670" s="15"/>
      <c r="DD670" s="15"/>
      <c r="DE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c r="BJ671" s="61"/>
      <c r="BK671" s="15"/>
      <c r="BL671" s="15"/>
      <c r="BM671" s="15"/>
      <c r="BN671" s="15"/>
      <c r="BO671" s="15"/>
      <c r="BP671" s="15"/>
      <c r="BQ671" s="15"/>
      <c r="BR671" s="15"/>
      <c r="BS671" s="15"/>
      <c r="BT671" s="15"/>
      <c r="BU671" s="15"/>
      <c r="BV671" s="15"/>
      <c r="BW671" s="15"/>
      <c r="BX671" s="15"/>
      <c r="BY671" s="15"/>
      <c r="BZ671" s="15"/>
      <c r="CA671" s="15"/>
      <c r="CB671" s="15"/>
      <c r="CC671" s="15"/>
      <c r="CD671" s="15"/>
      <c r="CE671" s="15"/>
      <c r="CF671" s="15"/>
      <c r="CG671" s="15"/>
      <c r="CH671" s="15"/>
      <c r="CI671" s="15"/>
      <c r="CJ671" s="15"/>
      <c r="CK671" s="15"/>
      <c r="CL671" s="15"/>
      <c r="CM671" s="15"/>
      <c r="CN671" s="15"/>
      <c r="CO671" s="15"/>
      <c r="CP671" s="15"/>
      <c r="CQ671" s="15"/>
      <c r="CR671" s="15"/>
      <c r="CS671" s="73"/>
      <c r="CT671" s="15"/>
      <c r="CU671" s="15"/>
      <c r="CV671" s="15"/>
      <c r="CW671" s="15"/>
      <c r="CX671" s="15"/>
      <c r="CY671" s="15"/>
      <c r="CZ671" s="15"/>
      <c r="DA671" s="15"/>
      <c r="DB671" s="15"/>
      <c r="DC671" s="15"/>
      <c r="DD671" s="15"/>
      <c r="DE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61"/>
      <c r="BK672" s="15"/>
      <c r="BL672" s="15"/>
      <c r="BM672" s="15"/>
      <c r="BN672" s="15"/>
      <c r="BO672" s="15"/>
      <c r="BP672" s="15"/>
      <c r="BQ672" s="15"/>
      <c r="BR672" s="15"/>
      <c r="BS672" s="15"/>
      <c r="BT672" s="15"/>
      <c r="BU672" s="15"/>
      <c r="BV672" s="15"/>
      <c r="BW672" s="15"/>
      <c r="BX672" s="15"/>
      <c r="BY672" s="15"/>
      <c r="BZ672" s="15"/>
      <c r="CA672" s="15"/>
      <c r="CB672" s="15"/>
      <c r="CC672" s="15"/>
      <c r="CD672" s="15"/>
      <c r="CE672" s="15"/>
      <c r="CF672" s="15"/>
      <c r="CG672" s="15"/>
      <c r="CH672" s="15"/>
      <c r="CI672" s="15"/>
      <c r="CJ672" s="15"/>
      <c r="CK672" s="15"/>
      <c r="CL672" s="15"/>
      <c r="CM672" s="15"/>
      <c r="CN672" s="15"/>
      <c r="CO672" s="15"/>
      <c r="CP672" s="15"/>
      <c r="CQ672" s="15"/>
      <c r="CR672" s="15"/>
      <c r="CS672" s="73"/>
      <c r="CT672" s="15"/>
      <c r="CU672" s="15"/>
      <c r="CV672" s="15"/>
      <c r="CW672" s="15"/>
      <c r="CX672" s="15"/>
      <c r="CY672" s="15"/>
      <c r="CZ672" s="15"/>
      <c r="DA672" s="15"/>
      <c r="DB672" s="15"/>
      <c r="DC672" s="15"/>
      <c r="DD672" s="15"/>
      <c r="DE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61"/>
      <c r="BK673" s="15"/>
      <c r="BL673" s="15"/>
      <c r="BM673" s="15"/>
      <c r="BN673" s="15"/>
      <c r="BO673" s="15"/>
      <c r="BP673" s="15"/>
      <c r="BQ673" s="15"/>
      <c r="BR673" s="15"/>
      <c r="BS673" s="15"/>
      <c r="BT673" s="15"/>
      <c r="BU673" s="15"/>
      <c r="BV673" s="15"/>
      <c r="BW673" s="15"/>
      <c r="BX673" s="15"/>
      <c r="BY673" s="15"/>
      <c r="BZ673" s="15"/>
      <c r="CA673" s="15"/>
      <c r="CB673" s="15"/>
      <c r="CC673" s="15"/>
      <c r="CD673" s="15"/>
      <c r="CE673" s="15"/>
      <c r="CF673" s="15"/>
      <c r="CG673" s="15"/>
      <c r="CH673" s="15"/>
      <c r="CI673" s="15"/>
      <c r="CJ673" s="15"/>
      <c r="CK673" s="15"/>
      <c r="CL673" s="15"/>
      <c r="CM673" s="15"/>
      <c r="CN673" s="15"/>
      <c r="CO673" s="15"/>
      <c r="CP673" s="15"/>
      <c r="CQ673" s="15"/>
      <c r="CR673" s="15"/>
      <c r="CS673" s="73"/>
      <c r="CT673" s="15"/>
      <c r="CU673" s="15"/>
      <c r="CV673" s="15"/>
      <c r="CW673" s="15"/>
      <c r="CX673" s="15"/>
      <c r="CY673" s="15"/>
      <c r="CZ673" s="15"/>
      <c r="DA673" s="15"/>
      <c r="DB673" s="15"/>
      <c r="DC673" s="15"/>
      <c r="DD673" s="15"/>
      <c r="DE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61"/>
      <c r="BK674" s="15"/>
      <c r="BL674" s="15"/>
      <c r="BM674" s="15"/>
      <c r="BN674" s="15"/>
      <c r="BO674" s="15"/>
      <c r="BP674" s="15"/>
      <c r="BQ674" s="15"/>
      <c r="BR674" s="15"/>
      <c r="BS674" s="15"/>
      <c r="BT674" s="15"/>
      <c r="BU674" s="15"/>
      <c r="BV674" s="15"/>
      <c r="BW674" s="15"/>
      <c r="BX674" s="15"/>
      <c r="BY674" s="15"/>
      <c r="BZ674" s="15"/>
      <c r="CA674" s="15"/>
      <c r="CB674" s="15"/>
      <c r="CC674" s="15"/>
      <c r="CD674" s="15"/>
      <c r="CE674" s="15"/>
      <c r="CF674" s="15"/>
      <c r="CG674" s="15"/>
      <c r="CH674" s="15"/>
      <c r="CI674" s="15"/>
      <c r="CJ674" s="15"/>
      <c r="CK674" s="15"/>
      <c r="CL674" s="15"/>
      <c r="CM674" s="15"/>
      <c r="CN674" s="15"/>
      <c r="CO674" s="15"/>
      <c r="CP674" s="15"/>
      <c r="CQ674" s="15"/>
      <c r="CR674" s="15"/>
      <c r="CS674" s="73"/>
      <c r="CT674" s="15"/>
      <c r="CU674" s="15"/>
      <c r="CV674" s="15"/>
      <c r="CW674" s="15"/>
      <c r="CX674" s="15"/>
      <c r="CY674" s="15"/>
      <c r="CZ674" s="15"/>
      <c r="DA674" s="15"/>
      <c r="DB674" s="15"/>
      <c r="DC674" s="15"/>
      <c r="DD674" s="15"/>
      <c r="DE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c r="AW675" s="15"/>
      <c r="AX675" s="15"/>
      <c r="AY675" s="15"/>
      <c r="AZ675" s="15"/>
      <c r="BA675" s="15"/>
      <c r="BB675" s="15"/>
      <c r="BC675" s="15"/>
      <c r="BD675" s="15"/>
      <c r="BE675" s="15"/>
      <c r="BF675" s="15"/>
      <c r="BG675" s="15"/>
      <c r="BH675" s="15"/>
      <c r="BI675" s="15"/>
      <c r="BJ675" s="61"/>
      <c r="BK675" s="15"/>
      <c r="BL675" s="15"/>
      <c r="BM675" s="15"/>
      <c r="BN675" s="15"/>
      <c r="BO675" s="15"/>
      <c r="BP675" s="15"/>
      <c r="BQ675" s="15"/>
      <c r="BR675" s="15"/>
      <c r="BS675" s="15"/>
      <c r="BT675" s="15"/>
      <c r="BU675" s="15"/>
      <c r="BV675" s="15"/>
      <c r="BW675" s="15"/>
      <c r="BX675" s="15"/>
      <c r="BY675" s="15"/>
      <c r="BZ675" s="15"/>
      <c r="CA675" s="15"/>
      <c r="CB675" s="15"/>
      <c r="CC675" s="15"/>
      <c r="CD675" s="15"/>
      <c r="CE675" s="15"/>
      <c r="CF675" s="15"/>
      <c r="CG675" s="15"/>
      <c r="CH675" s="15"/>
      <c r="CI675" s="15"/>
      <c r="CJ675" s="15"/>
      <c r="CK675" s="15"/>
      <c r="CL675" s="15"/>
      <c r="CM675" s="15"/>
      <c r="CN675" s="15"/>
      <c r="CO675" s="15"/>
      <c r="CP675" s="15"/>
      <c r="CQ675" s="15"/>
      <c r="CR675" s="15"/>
      <c r="CS675" s="73"/>
      <c r="CT675" s="15"/>
      <c r="CU675" s="15"/>
      <c r="CV675" s="15"/>
      <c r="CW675" s="15"/>
      <c r="CX675" s="15"/>
      <c r="CY675" s="15"/>
      <c r="CZ675" s="15"/>
      <c r="DA675" s="15"/>
      <c r="DB675" s="15"/>
      <c r="DC675" s="15"/>
      <c r="DD675" s="15"/>
      <c r="DE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c r="AW676" s="15"/>
      <c r="AX676" s="15"/>
      <c r="AY676" s="15"/>
      <c r="AZ676" s="15"/>
      <c r="BA676" s="15"/>
      <c r="BB676" s="15"/>
      <c r="BC676" s="15"/>
      <c r="BD676" s="15"/>
      <c r="BE676" s="15"/>
      <c r="BF676" s="15"/>
      <c r="BG676" s="15"/>
      <c r="BH676" s="15"/>
      <c r="BI676" s="15"/>
      <c r="BJ676" s="61"/>
      <c r="BK676" s="15"/>
      <c r="BL676" s="15"/>
      <c r="BM676" s="15"/>
      <c r="BN676" s="15"/>
      <c r="BO676" s="15"/>
      <c r="BP676" s="15"/>
      <c r="BQ676" s="15"/>
      <c r="BR676" s="15"/>
      <c r="BS676" s="15"/>
      <c r="BT676" s="15"/>
      <c r="BU676" s="15"/>
      <c r="BV676" s="15"/>
      <c r="BW676" s="15"/>
      <c r="BX676" s="15"/>
      <c r="BY676" s="15"/>
      <c r="BZ676" s="15"/>
      <c r="CA676" s="15"/>
      <c r="CB676" s="15"/>
      <c r="CC676" s="15"/>
      <c r="CD676" s="15"/>
      <c r="CE676" s="15"/>
      <c r="CF676" s="15"/>
      <c r="CG676" s="15"/>
      <c r="CH676" s="15"/>
      <c r="CI676" s="15"/>
      <c r="CJ676" s="15"/>
      <c r="CK676" s="15"/>
      <c r="CL676" s="15"/>
      <c r="CM676" s="15"/>
      <c r="CN676" s="15"/>
      <c r="CO676" s="15"/>
      <c r="CP676" s="15"/>
      <c r="CQ676" s="15"/>
      <c r="CR676" s="15"/>
      <c r="CS676" s="73"/>
      <c r="CT676" s="15"/>
      <c r="CU676" s="15"/>
      <c r="CV676" s="15"/>
      <c r="CW676" s="15"/>
      <c r="CX676" s="15"/>
      <c r="CY676" s="15"/>
      <c r="CZ676" s="15"/>
      <c r="DA676" s="15"/>
      <c r="DB676" s="15"/>
      <c r="DC676" s="15"/>
      <c r="DD676" s="15"/>
      <c r="DE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c r="AW677" s="15"/>
      <c r="AX677" s="15"/>
      <c r="AY677" s="15"/>
      <c r="AZ677" s="15"/>
      <c r="BA677" s="15"/>
      <c r="BB677" s="15"/>
      <c r="BC677" s="15"/>
      <c r="BD677" s="15"/>
      <c r="BE677" s="15"/>
      <c r="BF677" s="15"/>
      <c r="BG677" s="15"/>
      <c r="BH677" s="15"/>
      <c r="BI677" s="15"/>
      <c r="BJ677" s="61"/>
      <c r="BK677" s="15"/>
      <c r="BL677" s="15"/>
      <c r="BM677" s="15"/>
      <c r="BN677" s="15"/>
      <c r="BO677" s="15"/>
      <c r="BP677" s="15"/>
      <c r="BQ677" s="15"/>
      <c r="BR677" s="15"/>
      <c r="BS677" s="15"/>
      <c r="BT677" s="15"/>
      <c r="BU677" s="15"/>
      <c r="BV677" s="15"/>
      <c r="BW677" s="15"/>
      <c r="BX677" s="15"/>
      <c r="BY677" s="15"/>
      <c r="BZ677" s="15"/>
      <c r="CA677" s="15"/>
      <c r="CB677" s="15"/>
      <c r="CC677" s="15"/>
      <c r="CD677" s="15"/>
      <c r="CE677" s="15"/>
      <c r="CF677" s="15"/>
      <c r="CG677" s="15"/>
      <c r="CH677" s="15"/>
      <c r="CI677" s="15"/>
      <c r="CJ677" s="15"/>
      <c r="CK677" s="15"/>
      <c r="CL677" s="15"/>
      <c r="CM677" s="15"/>
      <c r="CN677" s="15"/>
      <c r="CO677" s="15"/>
      <c r="CP677" s="15"/>
      <c r="CQ677" s="15"/>
      <c r="CR677" s="15"/>
      <c r="CS677" s="73"/>
      <c r="CT677" s="15"/>
      <c r="CU677" s="15"/>
      <c r="CV677" s="15"/>
      <c r="CW677" s="15"/>
      <c r="CX677" s="15"/>
      <c r="CY677" s="15"/>
      <c r="CZ677" s="15"/>
      <c r="DA677" s="15"/>
      <c r="DB677" s="15"/>
      <c r="DC677" s="15"/>
      <c r="DD677" s="15"/>
      <c r="DE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c r="AW678" s="15"/>
      <c r="AX678" s="15"/>
      <c r="AY678" s="15"/>
      <c r="AZ678" s="15"/>
      <c r="BA678" s="15"/>
      <c r="BB678" s="15"/>
      <c r="BC678" s="15"/>
      <c r="BD678" s="15"/>
      <c r="BE678" s="15"/>
      <c r="BF678" s="15"/>
      <c r="BG678" s="15"/>
      <c r="BH678" s="15"/>
      <c r="BI678" s="15"/>
      <c r="BJ678" s="61"/>
      <c r="BK678" s="15"/>
      <c r="BL678" s="15"/>
      <c r="BM678" s="15"/>
      <c r="BN678" s="15"/>
      <c r="BO678" s="15"/>
      <c r="BP678" s="15"/>
      <c r="BQ678" s="15"/>
      <c r="BR678" s="15"/>
      <c r="BS678" s="15"/>
      <c r="BT678" s="15"/>
      <c r="BU678" s="15"/>
      <c r="BV678" s="15"/>
      <c r="BW678" s="15"/>
      <c r="BX678" s="15"/>
      <c r="BY678" s="15"/>
      <c r="BZ678" s="15"/>
      <c r="CA678" s="15"/>
      <c r="CB678" s="15"/>
      <c r="CC678" s="15"/>
      <c r="CD678" s="15"/>
      <c r="CE678" s="15"/>
      <c r="CF678" s="15"/>
      <c r="CG678" s="15"/>
      <c r="CH678" s="15"/>
      <c r="CI678" s="15"/>
      <c r="CJ678" s="15"/>
      <c r="CK678" s="15"/>
      <c r="CL678" s="15"/>
      <c r="CM678" s="15"/>
      <c r="CN678" s="15"/>
      <c r="CO678" s="15"/>
      <c r="CP678" s="15"/>
      <c r="CQ678" s="15"/>
      <c r="CR678" s="15"/>
      <c r="CS678" s="73"/>
      <c r="CT678" s="15"/>
      <c r="CU678" s="15"/>
      <c r="CV678" s="15"/>
      <c r="CW678" s="15"/>
      <c r="CX678" s="15"/>
      <c r="CY678" s="15"/>
      <c r="CZ678" s="15"/>
      <c r="DA678" s="15"/>
      <c r="DB678" s="15"/>
      <c r="DC678" s="15"/>
      <c r="DD678" s="15"/>
      <c r="DE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61"/>
      <c r="BK679" s="15"/>
      <c r="BL679" s="15"/>
      <c r="BM679" s="15"/>
      <c r="BN679" s="15"/>
      <c r="BO679" s="15"/>
      <c r="BP679" s="15"/>
      <c r="BQ679" s="15"/>
      <c r="BR679" s="15"/>
      <c r="BS679" s="15"/>
      <c r="BT679" s="15"/>
      <c r="BU679" s="15"/>
      <c r="BV679" s="15"/>
      <c r="BW679" s="15"/>
      <c r="BX679" s="15"/>
      <c r="BY679" s="15"/>
      <c r="BZ679" s="15"/>
      <c r="CA679" s="15"/>
      <c r="CB679" s="15"/>
      <c r="CC679" s="15"/>
      <c r="CD679" s="15"/>
      <c r="CE679" s="15"/>
      <c r="CF679" s="15"/>
      <c r="CG679" s="15"/>
      <c r="CH679" s="15"/>
      <c r="CI679" s="15"/>
      <c r="CJ679" s="15"/>
      <c r="CK679" s="15"/>
      <c r="CL679" s="15"/>
      <c r="CM679" s="15"/>
      <c r="CN679" s="15"/>
      <c r="CO679" s="15"/>
      <c r="CP679" s="15"/>
      <c r="CQ679" s="15"/>
      <c r="CR679" s="15"/>
      <c r="CS679" s="73"/>
      <c r="CT679" s="15"/>
      <c r="CU679" s="15"/>
      <c r="CV679" s="15"/>
      <c r="CW679" s="15"/>
      <c r="CX679" s="15"/>
      <c r="CY679" s="15"/>
      <c r="CZ679" s="15"/>
      <c r="DA679" s="15"/>
      <c r="DB679" s="15"/>
      <c r="DC679" s="15"/>
      <c r="DD679" s="15"/>
      <c r="DE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61"/>
      <c r="BK680" s="15"/>
      <c r="BL680" s="15"/>
      <c r="BM680" s="15"/>
      <c r="BN680" s="15"/>
      <c r="BO680" s="15"/>
      <c r="BP680" s="15"/>
      <c r="BQ680" s="15"/>
      <c r="BR680" s="15"/>
      <c r="BS680" s="15"/>
      <c r="BT680" s="15"/>
      <c r="BU680" s="15"/>
      <c r="BV680" s="15"/>
      <c r="BW680" s="15"/>
      <c r="BX680" s="15"/>
      <c r="BY680" s="15"/>
      <c r="BZ680" s="15"/>
      <c r="CA680" s="15"/>
      <c r="CB680" s="15"/>
      <c r="CC680" s="15"/>
      <c r="CD680" s="15"/>
      <c r="CE680" s="15"/>
      <c r="CF680" s="15"/>
      <c r="CG680" s="15"/>
      <c r="CH680" s="15"/>
      <c r="CI680" s="15"/>
      <c r="CJ680" s="15"/>
      <c r="CK680" s="15"/>
      <c r="CL680" s="15"/>
      <c r="CM680" s="15"/>
      <c r="CN680" s="15"/>
      <c r="CO680" s="15"/>
      <c r="CP680" s="15"/>
      <c r="CQ680" s="15"/>
      <c r="CR680" s="15"/>
      <c r="CS680" s="73"/>
      <c r="CT680" s="15"/>
      <c r="CU680" s="15"/>
      <c r="CV680" s="15"/>
      <c r="CW680" s="15"/>
      <c r="CX680" s="15"/>
      <c r="CY680" s="15"/>
      <c r="CZ680" s="15"/>
      <c r="DA680" s="15"/>
      <c r="DB680" s="15"/>
      <c r="DC680" s="15"/>
      <c r="DD680" s="15"/>
      <c r="DE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61"/>
      <c r="BK681" s="15"/>
      <c r="BL681" s="15"/>
      <c r="BM681" s="15"/>
      <c r="BN681" s="15"/>
      <c r="BO681" s="15"/>
      <c r="BP681" s="15"/>
      <c r="BQ681" s="15"/>
      <c r="BR681" s="15"/>
      <c r="BS681" s="15"/>
      <c r="BT681" s="15"/>
      <c r="BU681" s="15"/>
      <c r="BV681" s="15"/>
      <c r="BW681" s="15"/>
      <c r="BX681" s="15"/>
      <c r="BY681" s="15"/>
      <c r="BZ681" s="15"/>
      <c r="CA681" s="15"/>
      <c r="CB681" s="15"/>
      <c r="CC681" s="15"/>
      <c r="CD681" s="15"/>
      <c r="CE681" s="15"/>
      <c r="CF681" s="15"/>
      <c r="CG681" s="15"/>
      <c r="CH681" s="15"/>
      <c r="CI681" s="15"/>
      <c r="CJ681" s="15"/>
      <c r="CK681" s="15"/>
      <c r="CL681" s="15"/>
      <c r="CM681" s="15"/>
      <c r="CN681" s="15"/>
      <c r="CO681" s="15"/>
      <c r="CP681" s="15"/>
      <c r="CQ681" s="15"/>
      <c r="CR681" s="15"/>
      <c r="CS681" s="73"/>
      <c r="CT681" s="15"/>
      <c r="CU681" s="15"/>
      <c r="CV681" s="15"/>
      <c r="CW681" s="15"/>
      <c r="CX681" s="15"/>
      <c r="CY681" s="15"/>
      <c r="CZ681" s="15"/>
      <c r="DA681" s="15"/>
      <c r="DB681" s="15"/>
      <c r="DC681" s="15"/>
      <c r="DD681" s="15"/>
      <c r="DE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61"/>
      <c r="BK682" s="15"/>
      <c r="BL682" s="15"/>
      <c r="BM682" s="15"/>
      <c r="BN682" s="15"/>
      <c r="BO682" s="15"/>
      <c r="BP682" s="15"/>
      <c r="BQ682" s="15"/>
      <c r="BR682" s="15"/>
      <c r="BS682" s="15"/>
      <c r="BT682" s="15"/>
      <c r="BU682" s="15"/>
      <c r="BV682" s="15"/>
      <c r="BW682" s="15"/>
      <c r="BX682" s="15"/>
      <c r="BY682" s="15"/>
      <c r="BZ682" s="15"/>
      <c r="CA682" s="15"/>
      <c r="CB682" s="15"/>
      <c r="CC682" s="15"/>
      <c r="CD682" s="15"/>
      <c r="CE682" s="15"/>
      <c r="CF682" s="15"/>
      <c r="CG682" s="15"/>
      <c r="CH682" s="15"/>
      <c r="CI682" s="15"/>
      <c r="CJ682" s="15"/>
      <c r="CK682" s="15"/>
      <c r="CL682" s="15"/>
      <c r="CM682" s="15"/>
      <c r="CN682" s="15"/>
      <c r="CO682" s="15"/>
      <c r="CP682" s="15"/>
      <c r="CQ682" s="15"/>
      <c r="CR682" s="15"/>
      <c r="CS682" s="73"/>
      <c r="CT682" s="15"/>
      <c r="CU682" s="15"/>
      <c r="CV682" s="15"/>
      <c r="CW682" s="15"/>
      <c r="CX682" s="15"/>
      <c r="CY682" s="15"/>
      <c r="CZ682" s="15"/>
      <c r="DA682" s="15"/>
      <c r="DB682" s="15"/>
      <c r="DC682" s="15"/>
      <c r="DD682" s="15"/>
      <c r="DE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61"/>
      <c r="BK683" s="15"/>
      <c r="BL683" s="15"/>
      <c r="BM683" s="15"/>
      <c r="BN683" s="15"/>
      <c r="BO683" s="15"/>
      <c r="BP683" s="15"/>
      <c r="BQ683" s="15"/>
      <c r="BR683" s="15"/>
      <c r="BS683" s="15"/>
      <c r="BT683" s="15"/>
      <c r="BU683" s="15"/>
      <c r="BV683" s="15"/>
      <c r="BW683" s="15"/>
      <c r="BX683" s="15"/>
      <c r="BY683" s="15"/>
      <c r="BZ683" s="15"/>
      <c r="CA683" s="15"/>
      <c r="CB683" s="15"/>
      <c r="CC683" s="15"/>
      <c r="CD683" s="15"/>
      <c r="CE683" s="15"/>
      <c r="CF683" s="15"/>
      <c r="CG683" s="15"/>
      <c r="CH683" s="15"/>
      <c r="CI683" s="15"/>
      <c r="CJ683" s="15"/>
      <c r="CK683" s="15"/>
      <c r="CL683" s="15"/>
      <c r="CM683" s="15"/>
      <c r="CN683" s="15"/>
      <c r="CO683" s="15"/>
      <c r="CP683" s="15"/>
      <c r="CQ683" s="15"/>
      <c r="CR683" s="15"/>
      <c r="CS683" s="73"/>
      <c r="CT683" s="15"/>
      <c r="CU683" s="15"/>
      <c r="CV683" s="15"/>
      <c r="CW683" s="15"/>
      <c r="CX683" s="15"/>
      <c r="CY683" s="15"/>
      <c r="CZ683" s="15"/>
      <c r="DA683" s="15"/>
      <c r="DB683" s="15"/>
      <c r="DC683" s="15"/>
      <c r="DD683" s="15"/>
      <c r="DE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61"/>
      <c r="BK684" s="15"/>
      <c r="BL684" s="15"/>
      <c r="BM684" s="15"/>
      <c r="BN684" s="15"/>
      <c r="BO684" s="15"/>
      <c r="BP684" s="15"/>
      <c r="BQ684" s="15"/>
      <c r="BR684" s="15"/>
      <c r="BS684" s="15"/>
      <c r="BT684" s="15"/>
      <c r="BU684" s="15"/>
      <c r="BV684" s="15"/>
      <c r="BW684" s="15"/>
      <c r="BX684" s="15"/>
      <c r="BY684" s="15"/>
      <c r="BZ684" s="15"/>
      <c r="CA684" s="15"/>
      <c r="CB684" s="15"/>
      <c r="CC684" s="15"/>
      <c r="CD684" s="15"/>
      <c r="CE684" s="15"/>
      <c r="CF684" s="15"/>
      <c r="CG684" s="15"/>
      <c r="CH684" s="15"/>
      <c r="CI684" s="15"/>
      <c r="CJ684" s="15"/>
      <c r="CK684" s="15"/>
      <c r="CL684" s="15"/>
      <c r="CM684" s="15"/>
      <c r="CN684" s="15"/>
      <c r="CO684" s="15"/>
      <c r="CP684" s="15"/>
      <c r="CQ684" s="15"/>
      <c r="CR684" s="15"/>
      <c r="CS684" s="73"/>
      <c r="CT684" s="15"/>
      <c r="CU684" s="15"/>
      <c r="CV684" s="15"/>
      <c r="CW684" s="15"/>
      <c r="CX684" s="15"/>
      <c r="CY684" s="15"/>
      <c r="CZ684" s="15"/>
      <c r="DA684" s="15"/>
      <c r="DB684" s="15"/>
      <c r="DC684" s="15"/>
      <c r="DD684" s="15"/>
      <c r="DE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61"/>
      <c r="BK685" s="15"/>
      <c r="BL685" s="15"/>
      <c r="BM685" s="15"/>
      <c r="BN685" s="15"/>
      <c r="BO685" s="15"/>
      <c r="BP685" s="15"/>
      <c r="BQ685" s="15"/>
      <c r="BR685" s="15"/>
      <c r="BS685" s="15"/>
      <c r="BT685" s="15"/>
      <c r="BU685" s="15"/>
      <c r="BV685" s="15"/>
      <c r="BW685" s="15"/>
      <c r="BX685" s="15"/>
      <c r="BY685" s="15"/>
      <c r="BZ685" s="15"/>
      <c r="CA685" s="15"/>
      <c r="CB685" s="15"/>
      <c r="CC685" s="15"/>
      <c r="CD685" s="15"/>
      <c r="CE685" s="15"/>
      <c r="CF685" s="15"/>
      <c r="CG685" s="15"/>
      <c r="CH685" s="15"/>
      <c r="CI685" s="15"/>
      <c r="CJ685" s="15"/>
      <c r="CK685" s="15"/>
      <c r="CL685" s="15"/>
      <c r="CM685" s="15"/>
      <c r="CN685" s="15"/>
      <c r="CO685" s="15"/>
      <c r="CP685" s="15"/>
      <c r="CQ685" s="15"/>
      <c r="CR685" s="15"/>
      <c r="CS685" s="73"/>
      <c r="CT685" s="15"/>
      <c r="CU685" s="15"/>
      <c r="CV685" s="15"/>
      <c r="CW685" s="15"/>
      <c r="CX685" s="15"/>
      <c r="CY685" s="15"/>
      <c r="CZ685" s="15"/>
      <c r="DA685" s="15"/>
      <c r="DB685" s="15"/>
      <c r="DC685" s="15"/>
      <c r="DD685" s="15"/>
      <c r="DE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61"/>
      <c r="BK686" s="15"/>
      <c r="BL686" s="15"/>
      <c r="BM686" s="15"/>
      <c r="BN686" s="15"/>
      <c r="BO686" s="15"/>
      <c r="BP686" s="15"/>
      <c r="BQ686" s="15"/>
      <c r="BR686" s="15"/>
      <c r="BS686" s="15"/>
      <c r="BT686" s="15"/>
      <c r="BU686" s="15"/>
      <c r="BV686" s="15"/>
      <c r="BW686" s="15"/>
      <c r="BX686" s="15"/>
      <c r="BY686" s="15"/>
      <c r="BZ686" s="15"/>
      <c r="CA686" s="15"/>
      <c r="CB686" s="15"/>
      <c r="CC686" s="15"/>
      <c r="CD686" s="15"/>
      <c r="CE686" s="15"/>
      <c r="CF686" s="15"/>
      <c r="CG686" s="15"/>
      <c r="CH686" s="15"/>
      <c r="CI686" s="15"/>
      <c r="CJ686" s="15"/>
      <c r="CK686" s="15"/>
      <c r="CL686" s="15"/>
      <c r="CM686" s="15"/>
      <c r="CN686" s="15"/>
      <c r="CO686" s="15"/>
      <c r="CP686" s="15"/>
      <c r="CQ686" s="15"/>
      <c r="CR686" s="15"/>
      <c r="CS686" s="73"/>
      <c r="CT686" s="15"/>
      <c r="CU686" s="15"/>
      <c r="CV686" s="15"/>
      <c r="CW686" s="15"/>
      <c r="CX686" s="15"/>
      <c r="CY686" s="15"/>
      <c r="CZ686" s="15"/>
      <c r="DA686" s="15"/>
      <c r="DB686" s="15"/>
      <c r="DC686" s="15"/>
      <c r="DD686" s="15"/>
      <c r="DE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61"/>
      <c r="BK687" s="15"/>
      <c r="BL687" s="15"/>
      <c r="BM687" s="15"/>
      <c r="BN687" s="15"/>
      <c r="BO687" s="15"/>
      <c r="BP687" s="15"/>
      <c r="BQ687" s="15"/>
      <c r="BR687" s="15"/>
      <c r="BS687" s="15"/>
      <c r="BT687" s="15"/>
      <c r="BU687" s="15"/>
      <c r="BV687" s="15"/>
      <c r="BW687" s="15"/>
      <c r="BX687" s="15"/>
      <c r="BY687" s="15"/>
      <c r="BZ687" s="15"/>
      <c r="CA687" s="15"/>
      <c r="CB687" s="15"/>
      <c r="CC687" s="15"/>
      <c r="CD687" s="15"/>
      <c r="CE687" s="15"/>
      <c r="CF687" s="15"/>
      <c r="CG687" s="15"/>
      <c r="CH687" s="15"/>
      <c r="CI687" s="15"/>
      <c r="CJ687" s="15"/>
      <c r="CK687" s="15"/>
      <c r="CL687" s="15"/>
      <c r="CM687" s="15"/>
      <c r="CN687" s="15"/>
      <c r="CO687" s="15"/>
      <c r="CP687" s="15"/>
      <c r="CQ687" s="15"/>
      <c r="CR687" s="15"/>
      <c r="CS687" s="73"/>
      <c r="CT687" s="15"/>
      <c r="CU687" s="15"/>
      <c r="CV687" s="15"/>
      <c r="CW687" s="15"/>
      <c r="CX687" s="15"/>
      <c r="CY687" s="15"/>
      <c r="CZ687" s="15"/>
      <c r="DA687" s="15"/>
      <c r="DB687" s="15"/>
      <c r="DC687" s="15"/>
      <c r="DD687" s="15"/>
      <c r="DE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61"/>
      <c r="BK688" s="15"/>
      <c r="BL688" s="15"/>
      <c r="BM688" s="15"/>
      <c r="BN688" s="15"/>
      <c r="BO688" s="15"/>
      <c r="BP688" s="15"/>
      <c r="BQ688" s="15"/>
      <c r="BR688" s="15"/>
      <c r="BS688" s="15"/>
      <c r="BT688" s="15"/>
      <c r="BU688" s="15"/>
      <c r="BV688" s="15"/>
      <c r="BW688" s="15"/>
      <c r="BX688" s="15"/>
      <c r="BY688" s="15"/>
      <c r="BZ688" s="15"/>
      <c r="CA688" s="15"/>
      <c r="CB688" s="15"/>
      <c r="CC688" s="15"/>
      <c r="CD688" s="15"/>
      <c r="CE688" s="15"/>
      <c r="CF688" s="15"/>
      <c r="CG688" s="15"/>
      <c r="CH688" s="15"/>
      <c r="CI688" s="15"/>
      <c r="CJ688" s="15"/>
      <c r="CK688" s="15"/>
      <c r="CL688" s="15"/>
      <c r="CM688" s="15"/>
      <c r="CN688" s="15"/>
      <c r="CO688" s="15"/>
      <c r="CP688" s="15"/>
      <c r="CQ688" s="15"/>
      <c r="CR688" s="15"/>
      <c r="CS688" s="73"/>
      <c r="CT688" s="15"/>
      <c r="CU688" s="15"/>
      <c r="CV688" s="15"/>
      <c r="CW688" s="15"/>
      <c r="CX688" s="15"/>
      <c r="CY688" s="15"/>
      <c r="CZ688" s="15"/>
      <c r="DA688" s="15"/>
      <c r="DB688" s="15"/>
      <c r="DC688" s="15"/>
      <c r="DD688" s="15"/>
      <c r="DE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61"/>
      <c r="BK689" s="15"/>
      <c r="BL689" s="15"/>
      <c r="BM689" s="15"/>
      <c r="BN689" s="15"/>
      <c r="BO689" s="15"/>
      <c r="BP689" s="15"/>
      <c r="BQ689" s="15"/>
      <c r="BR689" s="15"/>
      <c r="BS689" s="15"/>
      <c r="BT689" s="15"/>
      <c r="BU689" s="15"/>
      <c r="BV689" s="15"/>
      <c r="BW689" s="15"/>
      <c r="BX689" s="15"/>
      <c r="BY689" s="15"/>
      <c r="BZ689" s="15"/>
      <c r="CA689" s="15"/>
      <c r="CB689" s="15"/>
      <c r="CC689" s="15"/>
      <c r="CD689" s="15"/>
      <c r="CE689" s="15"/>
      <c r="CF689" s="15"/>
      <c r="CG689" s="15"/>
      <c r="CH689" s="15"/>
      <c r="CI689" s="15"/>
      <c r="CJ689" s="15"/>
      <c r="CK689" s="15"/>
      <c r="CL689" s="15"/>
      <c r="CM689" s="15"/>
      <c r="CN689" s="15"/>
      <c r="CO689" s="15"/>
      <c r="CP689" s="15"/>
      <c r="CQ689" s="15"/>
      <c r="CR689" s="15"/>
      <c r="CS689" s="73"/>
      <c r="CT689" s="15"/>
      <c r="CU689" s="15"/>
      <c r="CV689" s="15"/>
      <c r="CW689" s="15"/>
      <c r="CX689" s="15"/>
      <c r="CY689" s="15"/>
      <c r="CZ689" s="15"/>
      <c r="DA689" s="15"/>
      <c r="DB689" s="15"/>
      <c r="DC689" s="15"/>
      <c r="DD689" s="15"/>
      <c r="DE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61"/>
      <c r="BK690" s="15"/>
      <c r="BL690" s="15"/>
      <c r="BM690" s="15"/>
      <c r="BN690" s="15"/>
      <c r="BO690" s="15"/>
      <c r="BP690" s="15"/>
      <c r="BQ690" s="15"/>
      <c r="BR690" s="15"/>
      <c r="BS690" s="15"/>
      <c r="BT690" s="15"/>
      <c r="BU690" s="15"/>
      <c r="BV690" s="15"/>
      <c r="BW690" s="15"/>
      <c r="BX690" s="15"/>
      <c r="BY690" s="15"/>
      <c r="BZ690" s="15"/>
      <c r="CA690" s="15"/>
      <c r="CB690" s="15"/>
      <c r="CC690" s="15"/>
      <c r="CD690" s="15"/>
      <c r="CE690" s="15"/>
      <c r="CF690" s="15"/>
      <c r="CG690" s="15"/>
      <c r="CH690" s="15"/>
      <c r="CI690" s="15"/>
      <c r="CJ690" s="15"/>
      <c r="CK690" s="15"/>
      <c r="CL690" s="15"/>
      <c r="CM690" s="15"/>
      <c r="CN690" s="15"/>
      <c r="CO690" s="15"/>
      <c r="CP690" s="15"/>
      <c r="CQ690" s="15"/>
      <c r="CR690" s="15"/>
      <c r="CS690" s="73"/>
      <c r="CT690" s="15"/>
      <c r="CU690" s="15"/>
      <c r="CV690" s="15"/>
      <c r="CW690" s="15"/>
      <c r="CX690" s="15"/>
      <c r="CY690" s="15"/>
      <c r="CZ690" s="15"/>
      <c r="DA690" s="15"/>
      <c r="DB690" s="15"/>
      <c r="DC690" s="15"/>
      <c r="DD690" s="15"/>
      <c r="DE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61"/>
      <c r="BK691" s="15"/>
      <c r="BL691" s="15"/>
      <c r="BM691" s="15"/>
      <c r="BN691" s="15"/>
      <c r="BO691" s="15"/>
      <c r="BP691" s="15"/>
      <c r="BQ691" s="15"/>
      <c r="BR691" s="15"/>
      <c r="BS691" s="15"/>
      <c r="BT691" s="15"/>
      <c r="BU691" s="15"/>
      <c r="BV691" s="15"/>
      <c r="BW691" s="15"/>
      <c r="BX691" s="15"/>
      <c r="BY691" s="15"/>
      <c r="BZ691" s="15"/>
      <c r="CA691" s="15"/>
      <c r="CB691" s="15"/>
      <c r="CC691" s="15"/>
      <c r="CD691" s="15"/>
      <c r="CE691" s="15"/>
      <c r="CF691" s="15"/>
      <c r="CG691" s="15"/>
      <c r="CH691" s="15"/>
      <c r="CI691" s="15"/>
      <c r="CJ691" s="15"/>
      <c r="CK691" s="15"/>
      <c r="CL691" s="15"/>
      <c r="CM691" s="15"/>
      <c r="CN691" s="15"/>
      <c r="CO691" s="15"/>
      <c r="CP691" s="15"/>
      <c r="CQ691" s="15"/>
      <c r="CR691" s="15"/>
      <c r="CS691" s="73"/>
      <c r="CT691" s="15"/>
      <c r="CU691" s="15"/>
      <c r="CV691" s="15"/>
      <c r="CW691" s="15"/>
      <c r="CX691" s="15"/>
      <c r="CY691" s="15"/>
      <c r="CZ691" s="15"/>
      <c r="DA691" s="15"/>
      <c r="DB691" s="15"/>
      <c r="DC691" s="15"/>
      <c r="DD691" s="15"/>
      <c r="DE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61"/>
      <c r="BK692" s="15"/>
      <c r="BL692" s="15"/>
      <c r="BM692" s="15"/>
      <c r="BN692" s="15"/>
      <c r="BO692" s="15"/>
      <c r="BP692" s="15"/>
      <c r="BQ692" s="15"/>
      <c r="BR692" s="15"/>
      <c r="BS692" s="15"/>
      <c r="BT692" s="15"/>
      <c r="BU692" s="15"/>
      <c r="BV692" s="15"/>
      <c r="BW692" s="15"/>
      <c r="BX692" s="15"/>
      <c r="BY692" s="15"/>
      <c r="BZ692" s="15"/>
      <c r="CA692" s="15"/>
      <c r="CB692" s="15"/>
      <c r="CC692" s="15"/>
      <c r="CD692" s="15"/>
      <c r="CE692" s="15"/>
      <c r="CF692" s="15"/>
      <c r="CG692" s="15"/>
      <c r="CH692" s="15"/>
      <c r="CI692" s="15"/>
      <c r="CJ692" s="15"/>
      <c r="CK692" s="15"/>
      <c r="CL692" s="15"/>
      <c r="CM692" s="15"/>
      <c r="CN692" s="15"/>
      <c r="CO692" s="15"/>
      <c r="CP692" s="15"/>
      <c r="CQ692" s="15"/>
      <c r="CR692" s="15"/>
      <c r="CS692" s="73"/>
      <c r="CT692" s="15"/>
      <c r="CU692" s="15"/>
      <c r="CV692" s="15"/>
      <c r="CW692" s="15"/>
      <c r="CX692" s="15"/>
      <c r="CY692" s="15"/>
      <c r="CZ692" s="15"/>
      <c r="DA692" s="15"/>
      <c r="DB692" s="15"/>
      <c r="DC692" s="15"/>
      <c r="DD692" s="15"/>
      <c r="DE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61"/>
      <c r="BK693" s="15"/>
      <c r="BL693" s="15"/>
      <c r="BM693" s="15"/>
      <c r="BN693" s="15"/>
      <c r="BO693" s="15"/>
      <c r="BP693" s="15"/>
      <c r="BQ693" s="15"/>
      <c r="BR693" s="15"/>
      <c r="BS693" s="15"/>
      <c r="BT693" s="15"/>
      <c r="BU693" s="15"/>
      <c r="BV693" s="15"/>
      <c r="BW693" s="15"/>
      <c r="BX693" s="15"/>
      <c r="BY693" s="15"/>
      <c r="BZ693" s="15"/>
      <c r="CA693" s="15"/>
      <c r="CB693" s="15"/>
      <c r="CC693" s="15"/>
      <c r="CD693" s="15"/>
      <c r="CE693" s="15"/>
      <c r="CF693" s="15"/>
      <c r="CG693" s="15"/>
      <c r="CH693" s="15"/>
      <c r="CI693" s="15"/>
      <c r="CJ693" s="15"/>
      <c r="CK693" s="15"/>
      <c r="CL693" s="15"/>
      <c r="CM693" s="15"/>
      <c r="CN693" s="15"/>
      <c r="CO693" s="15"/>
      <c r="CP693" s="15"/>
      <c r="CQ693" s="15"/>
      <c r="CR693" s="15"/>
      <c r="CS693" s="73"/>
      <c r="CT693" s="15"/>
      <c r="CU693" s="15"/>
      <c r="CV693" s="15"/>
      <c r="CW693" s="15"/>
      <c r="CX693" s="15"/>
      <c r="CY693" s="15"/>
      <c r="CZ693" s="15"/>
      <c r="DA693" s="15"/>
      <c r="DB693" s="15"/>
      <c r="DC693" s="15"/>
      <c r="DD693" s="15"/>
      <c r="DE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61"/>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73"/>
      <c r="CT694" s="15"/>
      <c r="CU694" s="15"/>
      <c r="CV694" s="15"/>
      <c r="CW694" s="15"/>
      <c r="CX694" s="15"/>
      <c r="CY694" s="15"/>
      <c r="CZ694" s="15"/>
      <c r="DA694" s="15"/>
      <c r="DB694" s="15"/>
      <c r="DC694" s="15"/>
      <c r="DD694" s="15"/>
      <c r="DE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61"/>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73"/>
      <c r="CT695" s="15"/>
      <c r="CU695" s="15"/>
      <c r="CV695" s="15"/>
      <c r="CW695" s="15"/>
      <c r="CX695" s="15"/>
      <c r="CY695" s="15"/>
      <c r="CZ695" s="15"/>
      <c r="DA695" s="15"/>
      <c r="DB695" s="15"/>
      <c r="DC695" s="15"/>
      <c r="DD695" s="15"/>
      <c r="DE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61"/>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73"/>
      <c r="CT696" s="15"/>
      <c r="CU696" s="15"/>
      <c r="CV696" s="15"/>
      <c r="CW696" s="15"/>
      <c r="CX696" s="15"/>
      <c r="CY696" s="15"/>
      <c r="CZ696" s="15"/>
      <c r="DA696" s="15"/>
      <c r="DB696" s="15"/>
      <c r="DC696" s="15"/>
      <c r="DD696" s="15"/>
      <c r="DE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61"/>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73"/>
      <c r="CT697" s="15"/>
      <c r="CU697" s="15"/>
      <c r="CV697" s="15"/>
      <c r="CW697" s="15"/>
      <c r="CX697" s="15"/>
      <c r="CY697" s="15"/>
      <c r="CZ697" s="15"/>
      <c r="DA697" s="15"/>
      <c r="DB697" s="15"/>
      <c r="DC697" s="15"/>
      <c r="DD697" s="15"/>
      <c r="DE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61"/>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73"/>
      <c r="CT698" s="15"/>
      <c r="CU698" s="15"/>
      <c r="CV698" s="15"/>
      <c r="CW698" s="15"/>
      <c r="CX698" s="15"/>
      <c r="CY698" s="15"/>
      <c r="CZ698" s="15"/>
      <c r="DA698" s="15"/>
      <c r="DB698" s="15"/>
      <c r="DC698" s="15"/>
      <c r="DD698" s="15"/>
      <c r="DE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61"/>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73"/>
      <c r="CT699" s="15"/>
      <c r="CU699" s="15"/>
      <c r="CV699" s="15"/>
      <c r="CW699" s="15"/>
      <c r="CX699" s="15"/>
      <c r="CY699" s="15"/>
      <c r="CZ699" s="15"/>
      <c r="DA699" s="15"/>
      <c r="DB699" s="15"/>
      <c r="DC699" s="15"/>
      <c r="DD699" s="15"/>
      <c r="DE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61"/>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73"/>
      <c r="CT700" s="15"/>
      <c r="CU700" s="15"/>
      <c r="CV700" s="15"/>
      <c r="CW700" s="15"/>
      <c r="CX700" s="15"/>
      <c r="CY700" s="15"/>
      <c r="CZ700" s="15"/>
      <c r="DA700" s="15"/>
      <c r="DB700" s="15"/>
      <c r="DC700" s="15"/>
      <c r="DD700" s="15"/>
      <c r="DE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61"/>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73"/>
      <c r="CT701" s="15"/>
      <c r="CU701" s="15"/>
      <c r="CV701" s="15"/>
      <c r="CW701" s="15"/>
      <c r="CX701" s="15"/>
      <c r="CY701" s="15"/>
      <c r="CZ701" s="15"/>
      <c r="DA701" s="15"/>
      <c r="DB701" s="15"/>
      <c r="DC701" s="15"/>
      <c r="DD701" s="15"/>
      <c r="DE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61"/>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73"/>
      <c r="CT702" s="15"/>
      <c r="CU702" s="15"/>
      <c r="CV702" s="15"/>
      <c r="CW702" s="15"/>
      <c r="CX702" s="15"/>
      <c r="CY702" s="15"/>
      <c r="CZ702" s="15"/>
      <c r="DA702" s="15"/>
      <c r="DB702" s="15"/>
      <c r="DC702" s="15"/>
      <c r="DD702" s="15"/>
      <c r="DE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61"/>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73"/>
      <c r="CT703" s="15"/>
      <c r="CU703" s="15"/>
      <c r="CV703" s="15"/>
      <c r="CW703" s="15"/>
      <c r="CX703" s="15"/>
      <c r="CY703" s="15"/>
      <c r="CZ703" s="15"/>
      <c r="DA703" s="15"/>
      <c r="DB703" s="15"/>
      <c r="DC703" s="15"/>
      <c r="DD703" s="15"/>
      <c r="DE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61"/>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73"/>
      <c r="CT704" s="15"/>
      <c r="CU704" s="15"/>
      <c r="CV704" s="15"/>
      <c r="CW704" s="15"/>
      <c r="CX704" s="15"/>
      <c r="CY704" s="15"/>
      <c r="CZ704" s="15"/>
      <c r="DA704" s="15"/>
      <c r="DB704" s="15"/>
      <c r="DC704" s="15"/>
      <c r="DD704" s="15"/>
      <c r="DE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61"/>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73"/>
      <c r="CT705" s="15"/>
      <c r="CU705" s="15"/>
      <c r="CV705" s="15"/>
      <c r="CW705" s="15"/>
      <c r="CX705" s="15"/>
      <c r="CY705" s="15"/>
      <c r="CZ705" s="15"/>
      <c r="DA705" s="15"/>
      <c r="DB705" s="15"/>
      <c r="DC705" s="15"/>
      <c r="DD705" s="15"/>
      <c r="DE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61"/>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73"/>
      <c r="CT706" s="15"/>
      <c r="CU706" s="15"/>
      <c r="CV706" s="15"/>
      <c r="CW706" s="15"/>
      <c r="CX706" s="15"/>
      <c r="CY706" s="15"/>
      <c r="CZ706" s="15"/>
      <c r="DA706" s="15"/>
      <c r="DB706" s="15"/>
      <c r="DC706" s="15"/>
      <c r="DD706" s="15"/>
      <c r="DE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61"/>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73"/>
      <c r="CT707" s="15"/>
      <c r="CU707" s="15"/>
      <c r="CV707" s="15"/>
      <c r="CW707" s="15"/>
      <c r="CX707" s="15"/>
      <c r="CY707" s="15"/>
      <c r="CZ707" s="15"/>
      <c r="DA707" s="15"/>
      <c r="DB707" s="15"/>
      <c r="DC707" s="15"/>
      <c r="DD707" s="15"/>
      <c r="DE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61"/>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73"/>
      <c r="CT708" s="15"/>
      <c r="CU708" s="15"/>
      <c r="CV708" s="15"/>
      <c r="CW708" s="15"/>
      <c r="CX708" s="15"/>
      <c r="CY708" s="15"/>
      <c r="CZ708" s="15"/>
      <c r="DA708" s="15"/>
      <c r="DB708" s="15"/>
      <c r="DC708" s="15"/>
      <c r="DD708" s="15"/>
      <c r="DE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61"/>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73"/>
      <c r="CT709" s="15"/>
      <c r="CU709" s="15"/>
      <c r="CV709" s="15"/>
      <c r="CW709" s="15"/>
      <c r="CX709" s="15"/>
      <c r="CY709" s="15"/>
      <c r="CZ709" s="15"/>
      <c r="DA709" s="15"/>
      <c r="DB709" s="15"/>
      <c r="DC709" s="15"/>
      <c r="DD709" s="15"/>
      <c r="DE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61"/>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73"/>
      <c r="CT710" s="15"/>
      <c r="CU710" s="15"/>
      <c r="CV710" s="15"/>
      <c r="CW710" s="15"/>
      <c r="CX710" s="15"/>
      <c r="CY710" s="15"/>
      <c r="CZ710" s="15"/>
      <c r="DA710" s="15"/>
      <c r="DB710" s="15"/>
      <c r="DC710" s="15"/>
      <c r="DD710" s="15"/>
      <c r="DE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61"/>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73"/>
      <c r="CT711" s="15"/>
      <c r="CU711" s="15"/>
      <c r="CV711" s="15"/>
      <c r="CW711" s="15"/>
      <c r="CX711" s="15"/>
      <c r="CY711" s="15"/>
      <c r="CZ711" s="15"/>
      <c r="DA711" s="15"/>
      <c r="DB711" s="15"/>
      <c r="DC711" s="15"/>
      <c r="DD711" s="15"/>
      <c r="DE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61"/>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73"/>
      <c r="CT712" s="15"/>
      <c r="CU712" s="15"/>
      <c r="CV712" s="15"/>
      <c r="CW712" s="15"/>
      <c r="CX712" s="15"/>
      <c r="CY712" s="15"/>
      <c r="CZ712" s="15"/>
      <c r="DA712" s="15"/>
      <c r="DB712" s="15"/>
      <c r="DC712" s="15"/>
      <c r="DD712" s="15"/>
      <c r="DE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61"/>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73"/>
      <c r="CT713" s="15"/>
      <c r="CU713" s="15"/>
      <c r="CV713" s="15"/>
      <c r="CW713" s="15"/>
      <c r="CX713" s="15"/>
      <c r="CY713" s="15"/>
      <c r="CZ713" s="15"/>
      <c r="DA713" s="15"/>
      <c r="DB713" s="15"/>
      <c r="DC713" s="15"/>
      <c r="DD713" s="15"/>
      <c r="DE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61"/>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73"/>
      <c r="CT714" s="15"/>
      <c r="CU714" s="15"/>
      <c r="CV714" s="15"/>
      <c r="CW714" s="15"/>
      <c r="CX714" s="15"/>
      <c r="CY714" s="15"/>
      <c r="CZ714" s="15"/>
      <c r="DA714" s="15"/>
      <c r="DB714" s="15"/>
      <c r="DC714" s="15"/>
      <c r="DD714" s="15"/>
      <c r="DE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61"/>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73"/>
      <c r="CT715" s="15"/>
      <c r="CU715" s="15"/>
      <c r="CV715" s="15"/>
      <c r="CW715" s="15"/>
      <c r="CX715" s="15"/>
      <c r="CY715" s="15"/>
      <c r="CZ715" s="15"/>
      <c r="DA715" s="15"/>
      <c r="DB715" s="15"/>
      <c r="DC715" s="15"/>
      <c r="DD715" s="15"/>
      <c r="DE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61"/>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73"/>
      <c r="CT716" s="15"/>
      <c r="CU716" s="15"/>
      <c r="CV716" s="15"/>
      <c r="CW716" s="15"/>
      <c r="CX716" s="15"/>
      <c r="CY716" s="15"/>
      <c r="CZ716" s="15"/>
      <c r="DA716" s="15"/>
      <c r="DB716" s="15"/>
      <c r="DC716" s="15"/>
      <c r="DD716" s="15"/>
      <c r="DE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61"/>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73"/>
      <c r="CT717" s="15"/>
      <c r="CU717" s="15"/>
      <c r="CV717" s="15"/>
      <c r="CW717" s="15"/>
      <c r="CX717" s="15"/>
      <c r="CY717" s="15"/>
      <c r="CZ717" s="15"/>
      <c r="DA717" s="15"/>
      <c r="DB717" s="15"/>
      <c r="DC717" s="15"/>
      <c r="DD717" s="15"/>
      <c r="DE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61"/>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73"/>
      <c r="CT718" s="15"/>
      <c r="CU718" s="15"/>
      <c r="CV718" s="15"/>
      <c r="CW718" s="15"/>
      <c r="CX718" s="15"/>
      <c r="CY718" s="15"/>
      <c r="CZ718" s="15"/>
      <c r="DA718" s="15"/>
      <c r="DB718" s="15"/>
      <c r="DC718" s="15"/>
      <c r="DD718" s="15"/>
      <c r="DE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61"/>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73"/>
      <c r="CT719" s="15"/>
      <c r="CU719" s="15"/>
      <c r="CV719" s="15"/>
      <c r="CW719" s="15"/>
      <c r="CX719" s="15"/>
      <c r="CY719" s="15"/>
      <c r="CZ719" s="15"/>
      <c r="DA719" s="15"/>
      <c r="DB719" s="15"/>
      <c r="DC719" s="15"/>
      <c r="DD719" s="15"/>
      <c r="DE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61"/>
      <c r="BK720" s="15"/>
      <c r="BL720" s="15"/>
      <c r="BM720" s="15"/>
      <c r="BN720" s="15"/>
      <c r="BO720" s="15"/>
      <c r="BP720" s="15"/>
      <c r="BQ720" s="15"/>
      <c r="BR720" s="15"/>
      <c r="BS720" s="15"/>
      <c r="BT720" s="15"/>
      <c r="BU720" s="15"/>
      <c r="BV720" s="15"/>
      <c r="BW720" s="15"/>
      <c r="BX720" s="15"/>
      <c r="BY720" s="15"/>
      <c r="BZ720" s="15"/>
      <c r="CA720" s="15"/>
      <c r="CB720" s="15"/>
      <c r="CC720" s="15"/>
      <c r="CD720" s="15"/>
      <c r="CE720" s="15"/>
      <c r="CF720" s="15"/>
      <c r="CG720" s="15"/>
      <c r="CH720" s="15"/>
      <c r="CI720" s="15"/>
      <c r="CJ720" s="15"/>
      <c r="CK720" s="15"/>
      <c r="CL720" s="15"/>
      <c r="CM720" s="15"/>
      <c r="CN720" s="15"/>
      <c r="CO720" s="15"/>
      <c r="CP720" s="15"/>
      <c r="CQ720" s="15"/>
      <c r="CR720" s="15"/>
      <c r="CS720" s="73"/>
      <c r="CT720" s="15"/>
      <c r="CU720" s="15"/>
      <c r="CV720" s="15"/>
      <c r="CW720" s="15"/>
      <c r="CX720" s="15"/>
      <c r="CY720" s="15"/>
      <c r="CZ720" s="15"/>
      <c r="DA720" s="15"/>
      <c r="DB720" s="15"/>
      <c r="DC720" s="15"/>
      <c r="DD720" s="15"/>
      <c r="DE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61"/>
      <c r="BK721" s="15"/>
      <c r="BL721" s="15"/>
      <c r="BM721" s="15"/>
      <c r="BN721" s="15"/>
      <c r="BO721" s="15"/>
      <c r="BP721" s="15"/>
      <c r="BQ721" s="15"/>
      <c r="BR721" s="15"/>
      <c r="BS721" s="15"/>
      <c r="BT721" s="15"/>
      <c r="BU721" s="15"/>
      <c r="BV721" s="15"/>
      <c r="BW721" s="15"/>
      <c r="BX721" s="15"/>
      <c r="BY721" s="15"/>
      <c r="BZ721" s="15"/>
      <c r="CA721" s="15"/>
      <c r="CB721" s="15"/>
      <c r="CC721" s="15"/>
      <c r="CD721" s="15"/>
      <c r="CE721" s="15"/>
      <c r="CF721" s="15"/>
      <c r="CG721" s="15"/>
      <c r="CH721" s="15"/>
      <c r="CI721" s="15"/>
      <c r="CJ721" s="15"/>
      <c r="CK721" s="15"/>
      <c r="CL721" s="15"/>
      <c r="CM721" s="15"/>
      <c r="CN721" s="15"/>
      <c r="CO721" s="15"/>
      <c r="CP721" s="15"/>
      <c r="CQ721" s="15"/>
      <c r="CR721" s="15"/>
      <c r="CS721" s="73"/>
      <c r="CT721" s="15"/>
      <c r="CU721" s="15"/>
      <c r="CV721" s="15"/>
      <c r="CW721" s="15"/>
      <c r="CX721" s="15"/>
      <c r="CY721" s="15"/>
      <c r="CZ721" s="15"/>
      <c r="DA721" s="15"/>
      <c r="DB721" s="15"/>
      <c r="DC721" s="15"/>
      <c r="DD721" s="15"/>
      <c r="DE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61"/>
      <c r="BK722" s="15"/>
      <c r="BL722" s="15"/>
      <c r="BM722" s="15"/>
      <c r="BN722" s="15"/>
      <c r="BO722" s="15"/>
      <c r="BP722" s="15"/>
      <c r="BQ722" s="15"/>
      <c r="BR722" s="15"/>
      <c r="BS722" s="15"/>
      <c r="BT722" s="15"/>
      <c r="BU722" s="15"/>
      <c r="BV722" s="15"/>
      <c r="BW722" s="15"/>
      <c r="BX722" s="15"/>
      <c r="BY722" s="15"/>
      <c r="BZ722" s="15"/>
      <c r="CA722" s="15"/>
      <c r="CB722" s="15"/>
      <c r="CC722" s="15"/>
      <c r="CD722" s="15"/>
      <c r="CE722" s="15"/>
      <c r="CF722" s="15"/>
      <c r="CG722" s="15"/>
      <c r="CH722" s="15"/>
      <c r="CI722" s="15"/>
      <c r="CJ722" s="15"/>
      <c r="CK722" s="15"/>
      <c r="CL722" s="15"/>
      <c r="CM722" s="15"/>
      <c r="CN722" s="15"/>
      <c r="CO722" s="15"/>
      <c r="CP722" s="15"/>
      <c r="CQ722" s="15"/>
      <c r="CR722" s="15"/>
      <c r="CS722" s="73"/>
      <c r="CT722" s="15"/>
      <c r="CU722" s="15"/>
      <c r="CV722" s="15"/>
      <c r="CW722" s="15"/>
      <c r="CX722" s="15"/>
      <c r="CY722" s="15"/>
      <c r="CZ722" s="15"/>
      <c r="DA722" s="15"/>
      <c r="DB722" s="15"/>
      <c r="DC722" s="15"/>
      <c r="DD722" s="15"/>
      <c r="DE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61"/>
      <c r="BK723" s="15"/>
      <c r="BL723" s="15"/>
      <c r="BM723" s="15"/>
      <c r="BN723" s="15"/>
      <c r="BO723" s="15"/>
      <c r="BP723" s="15"/>
      <c r="BQ723" s="15"/>
      <c r="BR723" s="15"/>
      <c r="BS723" s="15"/>
      <c r="BT723" s="15"/>
      <c r="BU723" s="15"/>
      <c r="BV723" s="15"/>
      <c r="BW723" s="15"/>
      <c r="BX723" s="15"/>
      <c r="BY723" s="15"/>
      <c r="BZ723" s="15"/>
      <c r="CA723" s="15"/>
      <c r="CB723" s="15"/>
      <c r="CC723" s="15"/>
      <c r="CD723" s="15"/>
      <c r="CE723" s="15"/>
      <c r="CF723" s="15"/>
      <c r="CG723" s="15"/>
      <c r="CH723" s="15"/>
      <c r="CI723" s="15"/>
      <c r="CJ723" s="15"/>
      <c r="CK723" s="15"/>
      <c r="CL723" s="15"/>
      <c r="CM723" s="15"/>
      <c r="CN723" s="15"/>
      <c r="CO723" s="15"/>
      <c r="CP723" s="15"/>
      <c r="CQ723" s="15"/>
      <c r="CR723" s="15"/>
      <c r="CS723" s="73"/>
      <c r="CT723" s="15"/>
      <c r="CU723" s="15"/>
      <c r="CV723" s="15"/>
      <c r="CW723" s="15"/>
      <c r="CX723" s="15"/>
      <c r="CY723" s="15"/>
      <c r="CZ723" s="15"/>
      <c r="DA723" s="15"/>
      <c r="DB723" s="15"/>
      <c r="DC723" s="15"/>
      <c r="DD723" s="15"/>
      <c r="DE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61"/>
      <c r="BK724" s="15"/>
      <c r="BL724" s="15"/>
      <c r="BM724" s="15"/>
      <c r="BN724" s="15"/>
      <c r="BO724" s="15"/>
      <c r="BP724" s="15"/>
      <c r="BQ724" s="15"/>
      <c r="BR724" s="15"/>
      <c r="BS724" s="15"/>
      <c r="BT724" s="15"/>
      <c r="BU724" s="15"/>
      <c r="BV724" s="15"/>
      <c r="BW724" s="15"/>
      <c r="BX724" s="15"/>
      <c r="BY724" s="15"/>
      <c r="BZ724" s="15"/>
      <c r="CA724" s="15"/>
      <c r="CB724" s="15"/>
      <c r="CC724" s="15"/>
      <c r="CD724" s="15"/>
      <c r="CE724" s="15"/>
      <c r="CF724" s="15"/>
      <c r="CG724" s="15"/>
      <c r="CH724" s="15"/>
      <c r="CI724" s="15"/>
      <c r="CJ724" s="15"/>
      <c r="CK724" s="15"/>
      <c r="CL724" s="15"/>
      <c r="CM724" s="15"/>
      <c r="CN724" s="15"/>
      <c r="CO724" s="15"/>
      <c r="CP724" s="15"/>
      <c r="CQ724" s="15"/>
      <c r="CR724" s="15"/>
      <c r="CS724" s="73"/>
      <c r="CT724" s="15"/>
      <c r="CU724" s="15"/>
      <c r="CV724" s="15"/>
      <c r="CW724" s="15"/>
      <c r="CX724" s="15"/>
      <c r="CY724" s="15"/>
      <c r="CZ724" s="15"/>
      <c r="DA724" s="15"/>
      <c r="DB724" s="15"/>
      <c r="DC724" s="15"/>
      <c r="DD724" s="15"/>
      <c r="DE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61"/>
      <c r="BK725" s="15"/>
      <c r="BL725" s="15"/>
      <c r="BM725" s="15"/>
      <c r="BN725" s="15"/>
      <c r="BO725" s="15"/>
      <c r="BP725" s="15"/>
      <c r="BQ725" s="15"/>
      <c r="BR725" s="15"/>
      <c r="BS725" s="15"/>
      <c r="BT725" s="15"/>
      <c r="BU725" s="15"/>
      <c r="BV725" s="15"/>
      <c r="BW725" s="15"/>
      <c r="BX725" s="15"/>
      <c r="BY725" s="15"/>
      <c r="BZ725" s="15"/>
      <c r="CA725" s="15"/>
      <c r="CB725" s="15"/>
      <c r="CC725" s="15"/>
      <c r="CD725" s="15"/>
      <c r="CE725" s="15"/>
      <c r="CF725" s="15"/>
      <c r="CG725" s="15"/>
      <c r="CH725" s="15"/>
      <c r="CI725" s="15"/>
      <c r="CJ725" s="15"/>
      <c r="CK725" s="15"/>
      <c r="CL725" s="15"/>
      <c r="CM725" s="15"/>
      <c r="CN725" s="15"/>
      <c r="CO725" s="15"/>
      <c r="CP725" s="15"/>
      <c r="CQ725" s="15"/>
      <c r="CR725" s="15"/>
      <c r="CS725" s="73"/>
      <c r="CT725" s="15"/>
      <c r="CU725" s="15"/>
      <c r="CV725" s="15"/>
      <c r="CW725" s="15"/>
      <c r="CX725" s="15"/>
      <c r="CY725" s="15"/>
      <c r="CZ725" s="15"/>
      <c r="DA725" s="15"/>
      <c r="DB725" s="15"/>
      <c r="DC725" s="15"/>
      <c r="DD725" s="15"/>
      <c r="DE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61"/>
      <c r="BK726" s="15"/>
      <c r="BL726" s="15"/>
      <c r="BM726" s="15"/>
      <c r="BN726" s="15"/>
      <c r="BO726" s="15"/>
      <c r="BP726" s="15"/>
      <c r="BQ726" s="15"/>
      <c r="BR726" s="15"/>
      <c r="BS726" s="15"/>
      <c r="BT726" s="15"/>
      <c r="BU726" s="15"/>
      <c r="BV726" s="15"/>
      <c r="BW726" s="15"/>
      <c r="BX726" s="15"/>
      <c r="BY726" s="15"/>
      <c r="BZ726" s="15"/>
      <c r="CA726" s="15"/>
      <c r="CB726" s="15"/>
      <c r="CC726" s="15"/>
      <c r="CD726" s="15"/>
      <c r="CE726" s="15"/>
      <c r="CF726" s="15"/>
      <c r="CG726" s="15"/>
      <c r="CH726" s="15"/>
      <c r="CI726" s="15"/>
      <c r="CJ726" s="15"/>
      <c r="CK726" s="15"/>
      <c r="CL726" s="15"/>
      <c r="CM726" s="15"/>
      <c r="CN726" s="15"/>
      <c r="CO726" s="15"/>
      <c r="CP726" s="15"/>
      <c r="CQ726" s="15"/>
      <c r="CR726" s="15"/>
      <c r="CS726" s="73"/>
      <c r="CT726" s="15"/>
      <c r="CU726" s="15"/>
      <c r="CV726" s="15"/>
      <c r="CW726" s="15"/>
      <c r="CX726" s="15"/>
      <c r="CY726" s="15"/>
      <c r="CZ726" s="15"/>
      <c r="DA726" s="15"/>
      <c r="DB726" s="15"/>
      <c r="DC726" s="15"/>
      <c r="DD726" s="15"/>
      <c r="DE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61"/>
      <c r="BK727" s="15"/>
      <c r="BL727" s="15"/>
      <c r="BM727" s="15"/>
      <c r="BN727" s="15"/>
      <c r="BO727" s="15"/>
      <c r="BP727" s="15"/>
      <c r="BQ727" s="15"/>
      <c r="BR727" s="15"/>
      <c r="BS727" s="15"/>
      <c r="BT727" s="15"/>
      <c r="BU727" s="15"/>
      <c r="BV727" s="15"/>
      <c r="BW727" s="15"/>
      <c r="BX727" s="15"/>
      <c r="BY727" s="15"/>
      <c r="BZ727" s="15"/>
      <c r="CA727" s="15"/>
      <c r="CB727" s="15"/>
      <c r="CC727" s="15"/>
      <c r="CD727" s="15"/>
      <c r="CE727" s="15"/>
      <c r="CF727" s="15"/>
      <c r="CG727" s="15"/>
      <c r="CH727" s="15"/>
      <c r="CI727" s="15"/>
      <c r="CJ727" s="15"/>
      <c r="CK727" s="15"/>
      <c r="CL727" s="15"/>
      <c r="CM727" s="15"/>
      <c r="CN727" s="15"/>
      <c r="CO727" s="15"/>
      <c r="CP727" s="15"/>
      <c r="CQ727" s="15"/>
      <c r="CR727" s="15"/>
      <c r="CS727" s="73"/>
      <c r="CT727" s="15"/>
      <c r="CU727" s="15"/>
      <c r="CV727" s="15"/>
      <c r="CW727" s="15"/>
      <c r="CX727" s="15"/>
      <c r="CY727" s="15"/>
      <c r="CZ727" s="15"/>
      <c r="DA727" s="15"/>
      <c r="DB727" s="15"/>
      <c r="DC727" s="15"/>
      <c r="DD727" s="15"/>
      <c r="DE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61"/>
      <c r="BK728" s="15"/>
      <c r="BL728" s="15"/>
      <c r="BM728" s="15"/>
      <c r="BN728" s="15"/>
      <c r="BO728" s="15"/>
      <c r="BP728" s="15"/>
      <c r="BQ728" s="15"/>
      <c r="BR728" s="15"/>
      <c r="BS728" s="15"/>
      <c r="BT728" s="15"/>
      <c r="BU728" s="15"/>
      <c r="BV728" s="15"/>
      <c r="BW728" s="15"/>
      <c r="BX728" s="15"/>
      <c r="BY728" s="15"/>
      <c r="BZ728" s="15"/>
      <c r="CA728" s="15"/>
      <c r="CB728" s="15"/>
      <c r="CC728" s="15"/>
      <c r="CD728" s="15"/>
      <c r="CE728" s="15"/>
      <c r="CF728" s="15"/>
      <c r="CG728" s="15"/>
      <c r="CH728" s="15"/>
      <c r="CI728" s="15"/>
      <c r="CJ728" s="15"/>
      <c r="CK728" s="15"/>
      <c r="CL728" s="15"/>
      <c r="CM728" s="15"/>
      <c r="CN728" s="15"/>
      <c r="CO728" s="15"/>
      <c r="CP728" s="15"/>
      <c r="CQ728" s="15"/>
      <c r="CR728" s="15"/>
      <c r="CS728" s="73"/>
      <c r="CT728" s="15"/>
      <c r="CU728" s="15"/>
      <c r="CV728" s="15"/>
      <c r="CW728" s="15"/>
      <c r="CX728" s="15"/>
      <c r="CY728" s="15"/>
      <c r="CZ728" s="15"/>
      <c r="DA728" s="15"/>
      <c r="DB728" s="15"/>
      <c r="DC728" s="15"/>
      <c r="DD728" s="15"/>
      <c r="DE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61"/>
      <c r="BK729" s="15"/>
      <c r="BL729" s="15"/>
      <c r="BM729" s="15"/>
      <c r="BN729" s="15"/>
      <c r="BO729" s="15"/>
      <c r="BP729" s="15"/>
      <c r="BQ729" s="15"/>
      <c r="BR729" s="15"/>
      <c r="BS729" s="15"/>
      <c r="BT729" s="15"/>
      <c r="BU729" s="15"/>
      <c r="BV729" s="15"/>
      <c r="BW729" s="15"/>
      <c r="BX729" s="15"/>
      <c r="BY729" s="15"/>
      <c r="BZ729" s="15"/>
      <c r="CA729" s="15"/>
      <c r="CB729" s="15"/>
      <c r="CC729" s="15"/>
      <c r="CD729" s="15"/>
      <c r="CE729" s="15"/>
      <c r="CF729" s="15"/>
      <c r="CG729" s="15"/>
      <c r="CH729" s="15"/>
      <c r="CI729" s="15"/>
      <c r="CJ729" s="15"/>
      <c r="CK729" s="15"/>
      <c r="CL729" s="15"/>
      <c r="CM729" s="15"/>
      <c r="CN729" s="15"/>
      <c r="CO729" s="15"/>
      <c r="CP729" s="15"/>
      <c r="CQ729" s="15"/>
      <c r="CR729" s="15"/>
      <c r="CS729" s="73"/>
      <c r="CT729" s="15"/>
      <c r="CU729" s="15"/>
      <c r="CV729" s="15"/>
      <c r="CW729" s="15"/>
      <c r="CX729" s="15"/>
      <c r="CY729" s="15"/>
      <c r="CZ729" s="15"/>
      <c r="DA729" s="15"/>
      <c r="DB729" s="15"/>
      <c r="DC729" s="15"/>
      <c r="DD729" s="15"/>
      <c r="DE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61"/>
      <c r="BK730" s="15"/>
      <c r="BL730" s="15"/>
      <c r="BM730" s="15"/>
      <c r="BN730" s="15"/>
      <c r="BO730" s="15"/>
      <c r="BP730" s="15"/>
      <c r="BQ730" s="15"/>
      <c r="BR730" s="15"/>
      <c r="BS730" s="15"/>
      <c r="BT730" s="15"/>
      <c r="BU730" s="15"/>
      <c r="BV730" s="15"/>
      <c r="BW730" s="15"/>
      <c r="BX730" s="15"/>
      <c r="BY730" s="15"/>
      <c r="BZ730" s="15"/>
      <c r="CA730" s="15"/>
      <c r="CB730" s="15"/>
      <c r="CC730" s="15"/>
      <c r="CD730" s="15"/>
      <c r="CE730" s="15"/>
      <c r="CF730" s="15"/>
      <c r="CG730" s="15"/>
      <c r="CH730" s="15"/>
      <c r="CI730" s="15"/>
      <c r="CJ730" s="15"/>
      <c r="CK730" s="15"/>
      <c r="CL730" s="15"/>
      <c r="CM730" s="15"/>
      <c r="CN730" s="15"/>
      <c r="CO730" s="15"/>
      <c r="CP730" s="15"/>
      <c r="CQ730" s="15"/>
      <c r="CR730" s="15"/>
      <c r="CS730" s="73"/>
      <c r="CT730" s="15"/>
      <c r="CU730" s="15"/>
      <c r="CV730" s="15"/>
      <c r="CW730" s="15"/>
      <c r="CX730" s="15"/>
      <c r="CY730" s="15"/>
      <c r="CZ730" s="15"/>
      <c r="DA730" s="15"/>
      <c r="DB730" s="15"/>
      <c r="DC730" s="15"/>
      <c r="DD730" s="15"/>
      <c r="DE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61"/>
      <c r="BK731" s="15"/>
      <c r="BL731" s="15"/>
      <c r="BM731" s="15"/>
      <c r="BN731" s="15"/>
      <c r="BO731" s="15"/>
      <c r="BP731" s="15"/>
      <c r="BQ731" s="15"/>
      <c r="BR731" s="15"/>
      <c r="BS731" s="15"/>
      <c r="BT731" s="15"/>
      <c r="BU731" s="15"/>
      <c r="BV731" s="15"/>
      <c r="BW731" s="15"/>
      <c r="BX731" s="15"/>
      <c r="BY731" s="15"/>
      <c r="BZ731" s="15"/>
      <c r="CA731" s="15"/>
      <c r="CB731" s="15"/>
      <c r="CC731" s="15"/>
      <c r="CD731" s="15"/>
      <c r="CE731" s="15"/>
      <c r="CF731" s="15"/>
      <c r="CG731" s="15"/>
      <c r="CH731" s="15"/>
      <c r="CI731" s="15"/>
      <c r="CJ731" s="15"/>
      <c r="CK731" s="15"/>
      <c r="CL731" s="15"/>
      <c r="CM731" s="15"/>
      <c r="CN731" s="15"/>
      <c r="CO731" s="15"/>
      <c r="CP731" s="15"/>
      <c r="CQ731" s="15"/>
      <c r="CR731" s="15"/>
      <c r="CS731" s="73"/>
      <c r="CT731" s="15"/>
      <c r="CU731" s="15"/>
      <c r="CV731" s="15"/>
      <c r="CW731" s="15"/>
      <c r="CX731" s="15"/>
      <c r="CY731" s="15"/>
      <c r="CZ731" s="15"/>
      <c r="DA731" s="15"/>
      <c r="DB731" s="15"/>
      <c r="DC731" s="15"/>
      <c r="DD731" s="15"/>
      <c r="DE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61"/>
      <c r="BK732" s="15"/>
      <c r="BL732" s="15"/>
      <c r="BM732" s="15"/>
      <c r="BN732" s="15"/>
      <c r="BO732" s="15"/>
      <c r="BP732" s="15"/>
      <c r="BQ732" s="15"/>
      <c r="BR732" s="15"/>
      <c r="BS732" s="15"/>
      <c r="BT732" s="15"/>
      <c r="BU732" s="15"/>
      <c r="BV732" s="15"/>
      <c r="BW732" s="15"/>
      <c r="BX732" s="15"/>
      <c r="BY732" s="15"/>
      <c r="BZ732" s="15"/>
      <c r="CA732" s="15"/>
      <c r="CB732" s="15"/>
      <c r="CC732" s="15"/>
      <c r="CD732" s="15"/>
      <c r="CE732" s="15"/>
      <c r="CF732" s="15"/>
      <c r="CG732" s="15"/>
      <c r="CH732" s="15"/>
      <c r="CI732" s="15"/>
      <c r="CJ732" s="15"/>
      <c r="CK732" s="15"/>
      <c r="CL732" s="15"/>
      <c r="CM732" s="15"/>
      <c r="CN732" s="15"/>
      <c r="CO732" s="15"/>
      <c r="CP732" s="15"/>
      <c r="CQ732" s="15"/>
      <c r="CR732" s="15"/>
      <c r="CS732" s="73"/>
      <c r="CT732" s="15"/>
      <c r="CU732" s="15"/>
      <c r="CV732" s="15"/>
      <c r="CW732" s="15"/>
      <c r="CX732" s="15"/>
      <c r="CY732" s="15"/>
      <c r="CZ732" s="15"/>
      <c r="DA732" s="15"/>
      <c r="DB732" s="15"/>
      <c r="DC732" s="15"/>
      <c r="DD732" s="15"/>
      <c r="DE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c r="BC733" s="15"/>
      <c r="BD733" s="15"/>
      <c r="BE733" s="15"/>
      <c r="BF733" s="15"/>
      <c r="BG733" s="15"/>
      <c r="BH733" s="15"/>
      <c r="BI733" s="15"/>
      <c r="BJ733" s="61"/>
      <c r="BK733" s="15"/>
      <c r="BL733" s="15"/>
      <c r="BM733" s="15"/>
      <c r="BN733" s="15"/>
      <c r="BO733" s="15"/>
      <c r="BP733" s="15"/>
      <c r="BQ733" s="15"/>
      <c r="BR733" s="15"/>
      <c r="BS733" s="15"/>
      <c r="BT733" s="15"/>
      <c r="BU733" s="15"/>
      <c r="BV733" s="15"/>
      <c r="BW733" s="15"/>
      <c r="BX733" s="15"/>
      <c r="BY733" s="15"/>
      <c r="BZ733" s="15"/>
      <c r="CA733" s="15"/>
      <c r="CB733" s="15"/>
      <c r="CC733" s="15"/>
      <c r="CD733" s="15"/>
      <c r="CE733" s="15"/>
      <c r="CF733" s="15"/>
      <c r="CG733" s="15"/>
      <c r="CH733" s="15"/>
      <c r="CI733" s="15"/>
      <c r="CJ733" s="15"/>
      <c r="CK733" s="15"/>
      <c r="CL733" s="15"/>
      <c r="CM733" s="15"/>
      <c r="CN733" s="15"/>
      <c r="CO733" s="15"/>
      <c r="CP733" s="15"/>
      <c r="CQ733" s="15"/>
      <c r="CR733" s="15"/>
      <c r="CS733" s="73"/>
      <c r="CT733" s="15"/>
      <c r="CU733" s="15"/>
      <c r="CV733" s="15"/>
      <c r="CW733" s="15"/>
      <c r="CX733" s="15"/>
      <c r="CY733" s="15"/>
      <c r="CZ733" s="15"/>
      <c r="DA733" s="15"/>
      <c r="DB733" s="15"/>
      <c r="DC733" s="15"/>
      <c r="DD733" s="15"/>
      <c r="DE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61"/>
      <c r="BK734" s="15"/>
      <c r="BL734" s="15"/>
      <c r="BM734" s="15"/>
      <c r="BN734" s="15"/>
      <c r="BO734" s="15"/>
      <c r="BP734" s="15"/>
      <c r="BQ734" s="15"/>
      <c r="BR734" s="15"/>
      <c r="BS734" s="15"/>
      <c r="BT734" s="15"/>
      <c r="BU734" s="15"/>
      <c r="BV734" s="15"/>
      <c r="BW734" s="15"/>
      <c r="BX734" s="15"/>
      <c r="BY734" s="15"/>
      <c r="BZ734" s="15"/>
      <c r="CA734" s="15"/>
      <c r="CB734" s="15"/>
      <c r="CC734" s="15"/>
      <c r="CD734" s="15"/>
      <c r="CE734" s="15"/>
      <c r="CF734" s="15"/>
      <c r="CG734" s="15"/>
      <c r="CH734" s="15"/>
      <c r="CI734" s="15"/>
      <c r="CJ734" s="15"/>
      <c r="CK734" s="15"/>
      <c r="CL734" s="15"/>
      <c r="CM734" s="15"/>
      <c r="CN734" s="15"/>
      <c r="CO734" s="15"/>
      <c r="CP734" s="15"/>
      <c r="CQ734" s="15"/>
      <c r="CR734" s="15"/>
      <c r="CS734" s="73"/>
      <c r="CT734" s="15"/>
      <c r="CU734" s="15"/>
      <c r="CV734" s="15"/>
      <c r="CW734" s="15"/>
      <c r="CX734" s="15"/>
      <c r="CY734" s="15"/>
      <c r="CZ734" s="15"/>
      <c r="DA734" s="15"/>
      <c r="DB734" s="15"/>
      <c r="DC734" s="15"/>
      <c r="DD734" s="15"/>
      <c r="DE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c r="BC735" s="15"/>
      <c r="BD735" s="15"/>
      <c r="BE735" s="15"/>
      <c r="BF735" s="15"/>
      <c r="BG735" s="15"/>
      <c r="BH735" s="15"/>
      <c r="BI735" s="15"/>
      <c r="BJ735" s="61"/>
      <c r="BK735" s="15"/>
      <c r="BL735" s="15"/>
      <c r="BM735" s="15"/>
      <c r="BN735" s="15"/>
      <c r="BO735" s="15"/>
      <c r="BP735" s="15"/>
      <c r="BQ735" s="15"/>
      <c r="BR735" s="15"/>
      <c r="BS735" s="15"/>
      <c r="BT735" s="15"/>
      <c r="BU735" s="15"/>
      <c r="BV735" s="15"/>
      <c r="BW735" s="15"/>
      <c r="BX735" s="15"/>
      <c r="BY735" s="15"/>
      <c r="BZ735" s="15"/>
      <c r="CA735" s="15"/>
      <c r="CB735" s="15"/>
      <c r="CC735" s="15"/>
      <c r="CD735" s="15"/>
      <c r="CE735" s="15"/>
      <c r="CF735" s="15"/>
      <c r="CG735" s="15"/>
      <c r="CH735" s="15"/>
      <c r="CI735" s="15"/>
      <c r="CJ735" s="15"/>
      <c r="CK735" s="15"/>
      <c r="CL735" s="15"/>
      <c r="CM735" s="15"/>
      <c r="CN735" s="15"/>
      <c r="CO735" s="15"/>
      <c r="CP735" s="15"/>
      <c r="CQ735" s="15"/>
      <c r="CR735" s="15"/>
      <c r="CS735" s="73"/>
      <c r="CT735" s="15"/>
      <c r="CU735" s="15"/>
      <c r="CV735" s="15"/>
      <c r="CW735" s="15"/>
      <c r="CX735" s="15"/>
      <c r="CY735" s="15"/>
      <c r="CZ735" s="15"/>
      <c r="DA735" s="15"/>
      <c r="DB735" s="15"/>
      <c r="DC735" s="15"/>
      <c r="DD735" s="15"/>
      <c r="DE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61"/>
      <c r="BK736" s="15"/>
      <c r="BL736" s="15"/>
      <c r="BM736" s="15"/>
      <c r="BN736" s="15"/>
      <c r="BO736" s="15"/>
      <c r="BP736" s="15"/>
      <c r="BQ736" s="15"/>
      <c r="BR736" s="15"/>
      <c r="BS736" s="15"/>
      <c r="BT736" s="15"/>
      <c r="BU736" s="15"/>
      <c r="BV736" s="15"/>
      <c r="BW736" s="15"/>
      <c r="BX736" s="15"/>
      <c r="BY736" s="15"/>
      <c r="BZ736" s="15"/>
      <c r="CA736" s="15"/>
      <c r="CB736" s="15"/>
      <c r="CC736" s="15"/>
      <c r="CD736" s="15"/>
      <c r="CE736" s="15"/>
      <c r="CF736" s="15"/>
      <c r="CG736" s="15"/>
      <c r="CH736" s="15"/>
      <c r="CI736" s="15"/>
      <c r="CJ736" s="15"/>
      <c r="CK736" s="15"/>
      <c r="CL736" s="15"/>
      <c r="CM736" s="15"/>
      <c r="CN736" s="15"/>
      <c r="CO736" s="15"/>
      <c r="CP736" s="15"/>
      <c r="CQ736" s="15"/>
      <c r="CR736" s="15"/>
      <c r="CS736" s="73"/>
      <c r="CT736" s="15"/>
      <c r="CU736" s="15"/>
      <c r="CV736" s="15"/>
      <c r="CW736" s="15"/>
      <c r="CX736" s="15"/>
      <c r="CY736" s="15"/>
      <c r="CZ736" s="15"/>
      <c r="DA736" s="15"/>
      <c r="DB736" s="15"/>
      <c r="DC736" s="15"/>
      <c r="DD736" s="15"/>
      <c r="DE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61"/>
      <c r="BK737" s="15"/>
      <c r="BL737" s="15"/>
      <c r="BM737" s="15"/>
      <c r="BN737" s="15"/>
      <c r="BO737" s="15"/>
      <c r="BP737" s="15"/>
      <c r="BQ737" s="15"/>
      <c r="BR737" s="15"/>
      <c r="BS737" s="15"/>
      <c r="BT737" s="15"/>
      <c r="BU737" s="15"/>
      <c r="BV737" s="15"/>
      <c r="BW737" s="15"/>
      <c r="BX737" s="15"/>
      <c r="BY737" s="15"/>
      <c r="BZ737" s="15"/>
      <c r="CA737" s="15"/>
      <c r="CB737" s="15"/>
      <c r="CC737" s="15"/>
      <c r="CD737" s="15"/>
      <c r="CE737" s="15"/>
      <c r="CF737" s="15"/>
      <c r="CG737" s="15"/>
      <c r="CH737" s="15"/>
      <c r="CI737" s="15"/>
      <c r="CJ737" s="15"/>
      <c r="CK737" s="15"/>
      <c r="CL737" s="15"/>
      <c r="CM737" s="15"/>
      <c r="CN737" s="15"/>
      <c r="CO737" s="15"/>
      <c r="CP737" s="15"/>
      <c r="CQ737" s="15"/>
      <c r="CR737" s="15"/>
      <c r="CS737" s="73"/>
      <c r="CT737" s="15"/>
      <c r="CU737" s="15"/>
      <c r="CV737" s="15"/>
      <c r="CW737" s="15"/>
      <c r="CX737" s="15"/>
      <c r="CY737" s="15"/>
      <c r="CZ737" s="15"/>
      <c r="DA737" s="15"/>
      <c r="DB737" s="15"/>
      <c r="DC737" s="15"/>
      <c r="DD737" s="15"/>
      <c r="DE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c r="BC738" s="15"/>
      <c r="BD738" s="15"/>
      <c r="BE738" s="15"/>
      <c r="BF738" s="15"/>
      <c r="BG738" s="15"/>
      <c r="BH738" s="15"/>
      <c r="BI738" s="15"/>
      <c r="BJ738" s="61"/>
      <c r="BK738" s="15"/>
      <c r="BL738" s="15"/>
      <c r="BM738" s="15"/>
      <c r="BN738" s="15"/>
      <c r="BO738" s="15"/>
      <c r="BP738" s="15"/>
      <c r="BQ738" s="15"/>
      <c r="BR738" s="15"/>
      <c r="BS738" s="15"/>
      <c r="BT738" s="15"/>
      <c r="BU738" s="15"/>
      <c r="BV738" s="15"/>
      <c r="BW738" s="15"/>
      <c r="BX738" s="15"/>
      <c r="BY738" s="15"/>
      <c r="BZ738" s="15"/>
      <c r="CA738" s="15"/>
      <c r="CB738" s="15"/>
      <c r="CC738" s="15"/>
      <c r="CD738" s="15"/>
      <c r="CE738" s="15"/>
      <c r="CF738" s="15"/>
      <c r="CG738" s="15"/>
      <c r="CH738" s="15"/>
      <c r="CI738" s="15"/>
      <c r="CJ738" s="15"/>
      <c r="CK738" s="15"/>
      <c r="CL738" s="15"/>
      <c r="CM738" s="15"/>
      <c r="CN738" s="15"/>
      <c r="CO738" s="15"/>
      <c r="CP738" s="15"/>
      <c r="CQ738" s="15"/>
      <c r="CR738" s="15"/>
      <c r="CS738" s="73"/>
      <c r="CT738" s="15"/>
      <c r="CU738" s="15"/>
      <c r="CV738" s="15"/>
      <c r="CW738" s="15"/>
      <c r="CX738" s="15"/>
      <c r="CY738" s="15"/>
      <c r="CZ738" s="15"/>
      <c r="DA738" s="15"/>
      <c r="DB738" s="15"/>
      <c r="DC738" s="15"/>
      <c r="DD738" s="15"/>
      <c r="DE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61"/>
      <c r="BK739" s="15"/>
      <c r="BL739" s="15"/>
      <c r="BM739" s="15"/>
      <c r="BN739" s="15"/>
      <c r="BO739" s="15"/>
      <c r="BP739" s="15"/>
      <c r="BQ739" s="15"/>
      <c r="BR739" s="15"/>
      <c r="BS739" s="15"/>
      <c r="BT739" s="15"/>
      <c r="BU739" s="15"/>
      <c r="BV739" s="15"/>
      <c r="BW739" s="15"/>
      <c r="BX739" s="15"/>
      <c r="BY739" s="15"/>
      <c r="BZ739" s="15"/>
      <c r="CA739" s="15"/>
      <c r="CB739" s="15"/>
      <c r="CC739" s="15"/>
      <c r="CD739" s="15"/>
      <c r="CE739" s="15"/>
      <c r="CF739" s="15"/>
      <c r="CG739" s="15"/>
      <c r="CH739" s="15"/>
      <c r="CI739" s="15"/>
      <c r="CJ739" s="15"/>
      <c r="CK739" s="15"/>
      <c r="CL739" s="15"/>
      <c r="CM739" s="15"/>
      <c r="CN739" s="15"/>
      <c r="CO739" s="15"/>
      <c r="CP739" s="15"/>
      <c r="CQ739" s="15"/>
      <c r="CR739" s="15"/>
      <c r="CS739" s="73"/>
      <c r="CT739" s="15"/>
      <c r="CU739" s="15"/>
      <c r="CV739" s="15"/>
      <c r="CW739" s="15"/>
      <c r="CX739" s="15"/>
      <c r="CY739" s="15"/>
      <c r="CZ739" s="15"/>
      <c r="DA739" s="15"/>
      <c r="DB739" s="15"/>
      <c r="DC739" s="15"/>
      <c r="DD739" s="15"/>
      <c r="DE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61"/>
      <c r="BK740" s="15"/>
      <c r="BL740" s="15"/>
      <c r="BM740" s="15"/>
      <c r="BN740" s="15"/>
      <c r="BO740" s="15"/>
      <c r="BP740" s="15"/>
      <c r="BQ740" s="15"/>
      <c r="BR740" s="15"/>
      <c r="BS740" s="15"/>
      <c r="BT740" s="15"/>
      <c r="BU740" s="15"/>
      <c r="BV740" s="15"/>
      <c r="BW740" s="15"/>
      <c r="BX740" s="15"/>
      <c r="BY740" s="15"/>
      <c r="BZ740" s="15"/>
      <c r="CA740" s="15"/>
      <c r="CB740" s="15"/>
      <c r="CC740" s="15"/>
      <c r="CD740" s="15"/>
      <c r="CE740" s="15"/>
      <c r="CF740" s="15"/>
      <c r="CG740" s="15"/>
      <c r="CH740" s="15"/>
      <c r="CI740" s="15"/>
      <c r="CJ740" s="15"/>
      <c r="CK740" s="15"/>
      <c r="CL740" s="15"/>
      <c r="CM740" s="15"/>
      <c r="CN740" s="15"/>
      <c r="CO740" s="15"/>
      <c r="CP740" s="15"/>
      <c r="CQ740" s="15"/>
      <c r="CR740" s="15"/>
      <c r="CS740" s="73"/>
      <c r="CT740" s="15"/>
      <c r="CU740" s="15"/>
      <c r="CV740" s="15"/>
      <c r="CW740" s="15"/>
      <c r="CX740" s="15"/>
      <c r="CY740" s="15"/>
      <c r="CZ740" s="15"/>
      <c r="DA740" s="15"/>
      <c r="DB740" s="15"/>
      <c r="DC740" s="15"/>
      <c r="DD740" s="15"/>
      <c r="DE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61"/>
      <c r="BK741" s="15"/>
      <c r="BL741" s="15"/>
      <c r="BM741" s="15"/>
      <c r="BN741" s="15"/>
      <c r="BO741" s="15"/>
      <c r="BP741" s="15"/>
      <c r="BQ741" s="15"/>
      <c r="BR741" s="15"/>
      <c r="BS741" s="15"/>
      <c r="BT741" s="15"/>
      <c r="BU741" s="15"/>
      <c r="BV741" s="15"/>
      <c r="BW741" s="15"/>
      <c r="BX741" s="15"/>
      <c r="BY741" s="15"/>
      <c r="BZ741" s="15"/>
      <c r="CA741" s="15"/>
      <c r="CB741" s="15"/>
      <c r="CC741" s="15"/>
      <c r="CD741" s="15"/>
      <c r="CE741" s="15"/>
      <c r="CF741" s="15"/>
      <c r="CG741" s="15"/>
      <c r="CH741" s="15"/>
      <c r="CI741" s="15"/>
      <c r="CJ741" s="15"/>
      <c r="CK741" s="15"/>
      <c r="CL741" s="15"/>
      <c r="CM741" s="15"/>
      <c r="CN741" s="15"/>
      <c r="CO741" s="15"/>
      <c r="CP741" s="15"/>
      <c r="CQ741" s="15"/>
      <c r="CR741" s="15"/>
      <c r="CS741" s="73"/>
      <c r="CT741" s="15"/>
      <c r="CU741" s="15"/>
      <c r="CV741" s="15"/>
      <c r="CW741" s="15"/>
      <c r="CX741" s="15"/>
      <c r="CY741" s="15"/>
      <c r="CZ741" s="15"/>
      <c r="DA741" s="15"/>
      <c r="DB741" s="15"/>
      <c r="DC741" s="15"/>
      <c r="DD741" s="15"/>
      <c r="DE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61"/>
      <c r="BK742" s="15"/>
      <c r="BL742" s="15"/>
      <c r="BM742" s="15"/>
      <c r="BN742" s="15"/>
      <c r="BO742" s="15"/>
      <c r="BP742" s="15"/>
      <c r="BQ742" s="15"/>
      <c r="BR742" s="15"/>
      <c r="BS742" s="15"/>
      <c r="BT742" s="15"/>
      <c r="BU742" s="15"/>
      <c r="BV742" s="15"/>
      <c r="BW742" s="15"/>
      <c r="BX742" s="15"/>
      <c r="BY742" s="15"/>
      <c r="BZ742" s="15"/>
      <c r="CA742" s="15"/>
      <c r="CB742" s="15"/>
      <c r="CC742" s="15"/>
      <c r="CD742" s="15"/>
      <c r="CE742" s="15"/>
      <c r="CF742" s="15"/>
      <c r="CG742" s="15"/>
      <c r="CH742" s="15"/>
      <c r="CI742" s="15"/>
      <c r="CJ742" s="15"/>
      <c r="CK742" s="15"/>
      <c r="CL742" s="15"/>
      <c r="CM742" s="15"/>
      <c r="CN742" s="15"/>
      <c r="CO742" s="15"/>
      <c r="CP742" s="15"/>
      <c r="CQ742" s="15"/>
      <c r="CR742" s="15"/>
      <c r="CS742" s="73"/>
      <c r="CT742" s="15"/>
      <c r="CU742" s="15"/>
      <c r="CV742" s="15"/>
      <c r="CW742" s="15"/>
      <c r="CX742" s="15"/>
      <c r="CY742" s="15"/>
      <c r="CZ742" s="15"/>
      <c r="DA742" s="15"/>
      <c r="DB742" s="15"/>
      <c r="DC742" s="15"/>
      <c r="DD742" s="15"/>
      <c r="DE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c r="BC743" s="15"/>
      <c r="BD743" s="15"/>
      <c r="BE743" s="15"/>
      <c r="BF743" s="15"/>
      <c r="BG743" s="15"/>
      <c r="BH743" s="15"/>
      <c r="BI743" s="15"/>
      <c r="BJ743" s="61"/>
      <c r="BK743" s="15"/>
      <c r="BL743" s="15"/>
      <c r="BM743" s="15"/>
      <c r="BN743" s="15"/>
      <c r="BO743" s="15"/>
      <c r="BP743" s="15"/>
      <c r="BQ743" s="15"/>
      <c r="BR743" s="15"/>
      <c r="BS743" s="15"/>
      <c r="BT743" s="15"/>
      <c r="BU743" s="15"/>
      <c r="BV743" s="15"/>
      <c r="BW743" s="15"/>
      <c r="BX743" s="15"/>
      <c r="BY743" s="15"/>
      <c r="BZ743" s="15"/>
      <c r="CA743" s="15"/>
      <c r="CB743" s="15"/>
      <c r="CC743" s="15"/>
      <c r="CD743" s="15"/>
      <c r="CE743" s="15"/>
      <c r="CF743" s="15"/>
      <c r="CG743" s="15"/>
      <c r="CH743" s="15"/>
      <c r="CI743" s="15"/>
      <c r="CJ743" s="15"/>
      <c r="CK743" s="15"/>
      <c r="CL743" s="15"/>
      <c r="CM743" s="15"/>
      <c r="CN743" s="15"/>
      <c r="CO743" s="15"/>
      <c r="CP743" s="15"/>
      <c r="CQ743" s="15"/>
      <c r="CR743" s="15"/>
      <c r="CS743" s="73"/>
      <c r="CT743" s="15"/>
      <c r="CU743" s="15"/>
      <c r="CV743" s="15"/>
      <c r="CW743" s="15"/>
      <c r="CX743" s="15"/>
      <c r="CY743" s="15"/>
      <c r="CZ743" s="15"/>
      <c r="DA743" s="15"/>
      <c r="DB743" s="15"/>
      <c r="DC743" s="15"/>
      <c r="DD743" s="15"/>
      <c r="DE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61"/>
      <c r="BK744" s="15"/>
      <c r="BL744" s="15"/>
      <c r="BM744" s="15"/>
      <c r="BN744" s="15"/>
      <c r="BO744" s="15"/>
      <c r="BP744" s="15"/>
      <c r="BQ744" s="15"/>
      <c r="BR744" s="15"/>
      <c r="BS744" s="15"/>
      <c r="BT744" s="15"/>
      <c r="BU744" s="15"/>
      <c r="BV744" s="15"/>
      <c r="BW744" s="15"/>
      <c r="BX744" s="15"/>
      <c r="BY744" s="15"/>
      <c r="BZ744" s="15"/>
      <c r="CA744" s="15"/>
      <c r="CB744" s="15"/>
      <c r="CC744" s="15"/>
      <c r="CD744" s="15"/>
      <c r="CE744" s="15"/>
      <c r="CF744" s="15"/>
      <c r="CG744" s="15"/>
      <c r="CH744" s="15"/>
      <c r="CI744" s="15"/>
      <c r="CJ744" s="15"/>
      <c r="CK744" s="15"/>
      <c r="CL744" s="15"/>
      <c r="CM744" s="15"/>
      <c r="CN744" s="15"/>
      <c r="CO744" s="15"/>
      <c r="CP744" s="15"/>
      <c r="CQ744" s="15"/>
      <c r="CR744" s="15"/>
      <c r="CS744" s="73"/>
      <c r="CT744" s="15"/>
      <c r="CU744" s="15"/>
      <c r="CV744" s="15"/>
      <c r="CW744" s="15"/>
      <c r="CX744" s="15"/>
      <c r="CY744" s="15"/>
      <c r="CZ744" s="15"/>
      <c r="DA744" s="15"/>
      <c r="DB744" s="15"/>
      <c r="DC744" s="15"/>
      <c r="DD744" s="15"/>
      <c r="DE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c r="BC745" s="15"/>
      <c r="BD745" s="15"/>
      <c r="BE745" s="15"/>
      <c r="BF745" s="15"/>
      <c r="BG745" s="15"/>
      <c r="BH745" s="15"/>
      <c r="BI745" s="15"/>
      <c r="BJ745" s="61"/>
      <c r="BK745" s="15"/>
      <c r="BL745" s="15"/>
      <c r="BM745" s="15"/>
      <c r="BN745" s="15"/>
      <c r="BO745" s="15"/>
      <c r="BP745" s="15"/>
      <c r="BQ745" s="15"/>
      <c r="BR745" s="15"/>
      <c r="BS745" s="15"/>
      <c r="BT745" s="15"/>
      <c r="BU745" s="15"/>
      <c r="BV745" s="15"/>
      <c r="BW745" s="15"/>
      <c r="BX745" s="15"/>
      <c r="BY745" s="15"/>
      <c r="BZ745" s="15"/>
      <c r="CA745" s="15"/>
      <c r="CB745" s="15"/>
      <c r="CC745" s="15"/>
      <c r="CD745" s="15"/>
      <c r="CE745" s="15"/>
      <c r="CF745" s="15"/>
      <c r="CG745" s="15"/>
      <c r="CH745" s="15"/>
      <c r="CI745" s="15"/>
      <c r="CJ745" s="15"/>
      <c r="CK745" s="15"/>
      <c r="CL745" s="15"/>
      <c r="CM745" s="15"/>
      <c r="CN745" s="15"/>
      <c r="CO745" s="15"/>
      <c r="CP745" s="15"/>
      <c r="CQ745" s="15"/>
      <c r="CR745" s="15"/>
      <c r="CS745" s="73"/>
      <c r="CT745" s="15"/>
      <c r="CU745" s="15"/>
      <c r="CV745" s="15"/>
      <c r="CW745" s="15"/>
      <c r="CX745" s="15"/>
      <c r="CY745" s="15"/>
      <c r="CZ745" s="15"/>
      <c r="DA745" s="15"/>
      <c r="DB745" s="15"/>
      <c r="DC745" s="15"/>
      <c r="DD745" s="15"/>
      <c r="DE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61"/>
      <c r="BK746" s="15"/>
      <c r="BL746" s="15"/>
      <c r="BM746" s="15"/>
      <c r="BN746" s="15"/>
      <c r="BO746" s="15"/>
      <c r="BP746" s="15"/>
      <c r="BQ746" s="15"/>
      <c r="BR746" s="15"/>
      <c r="BS746" s="15"/>
      <c r="BT746" s="15"/>
      <c r="BU746" s="15"/>
      <c r="BV746" s="15"/>
      <c r="BW746" s="15"/>
      <c r="BX746" s="15"/>
      <c r="BY746" s="15"/>
      <c r="BZ746" s="15"/>
      <c r="CA746" s="15"/>
      <c r="CB746" s="15"/>
      <c r="CC746" s="15"/>
      <c r="CD746" s="15"/>
      <c r="CE746" s="15"/>
      <c r="CF746" s="15"/>
      <c r="CG746" s="15"/>
      <c r="CH746" s="15"/>
      <c r="CI746" s="15"/>
      <c r="CJ746" s="15"/>
      <c r="CK746" s="15"/>
      <c r="CL746" s="15"/>
      <c r="CM746" s="15"/>
      <c r="CN746" s="15"/>
      <c r="CO746" s="15"/>
      <c r="CP746" s="15"/>
      <c r="CQ746" s="15"/>
      <c r="CR746" s="15"/>
      <c r="CS746" s="73"/>
      <c r="CT746" s="15"/>
      <c r="CU746" s="15"/>
      <c r="CV746" s="15"/>
      <c r="CW746" s="15"/>
      <c r="CX746" s="15"/>
      <c r="CY746" s="15"/>
      <c r="CZ746" s="15"/>
      <c r="DA746" s="15"/>
      <c r="DB746" s="15"/>
      <c r="DC746" s="15"/>
      <c r="DD746" s="15"/>
      <c r="DE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61"/>
      <c r="BK747" s="15"/>
      <c r="BL747" s="15"/>
      <c r="BM747" s="15"/>
      <c r="BN747" s="15"/>
      <c r="BO747" s="15"/>
      <c r="BP747" s="15"/>
      <c r="BQ747" s="15"/>
      <c r="BR747" s="15"/>
      <c r="BS747" s="15"/>
      <c r="BT747" s="15"/>
      <c r="BU747" s="15"/>
      <c r="BV747" s="15"/>
      <c r="BW747" s="15"/>
      <c r="BX747" s="15"/>
      <c r="BY747" s="15"/>
      <c r="BZ747" s="15"/>
      <c r="CA747" s="15"/>
      <c r="CB747" s="15"/>
      <c r="CC747" s="15"/>
      <c r="CD747" s="15"/>
      <c r="CE747" s="15"/>
      <c r="CF747" s="15"/>
      <c r="CG747" s="15"/>
      <c r="CH747" s="15"/>
      <c r="CI747" s="15"/>
      <c r="CJ747" s="15"/>
      <c r="CK747" s="15"/>
      <c r="CL747" s="15"/>
      <c r="CM747" s="15"/>
      <c r="CN747" s="15"/>
      <c r="CO747" s="15"/>
      <c r="CP747" s="15"/>
      <c r="CQ747" s="15"/>
      <c r="CR747" s="15"/>
      <c r="CS747" s="73"/>
      <c r="CT747" s="15"/>
      <c r="CU747" s="15"/>
      <c r="CV747" s="15"/>
      <c r="CW747" s="15"/>
      <c r="CX747" s="15"/>
      <c r="CY747" s="15"/>
      <c r="CZ747" s="15"/>
      <c r="DA747" s="15"/>
      <c r="DB747" s="15"/>
      <c r="DC747" s="15"/>
      <c r="DD747" s="15"/>
      <c r="DE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61"/>
      <c r="BK748" s="15"/>
      <c r="BL748" s="15"/>
      <c r="BM748" s="15"/>
      <c r="BN748" s="15"/>
      <c r="BO748" s="15"/>
      <c r="BP748" s="15"/>
      <c r="BQ748" s="15"/>
      <c r="BR748" s="15"/>
      <c r="BS748" s="15"/>
      <c r="BT748" s="15"/>
      <c r="BU748" s="15"/>
      <c r="BV748" s="15"/>
      <c r="BW748" s="15"/>
      <c r="BX748" s="15"/>
      <c r="BY748" s="15"/>
      <c r="BZ748" s="15"/>
      <c r="CA748" s="15"/>
      <c r="CB748" s="15"/>
      <c r="CC748" s="15"/>
      <c r="CD748" s="15"/>
      <c r="CE748" s="15"/>
      <c r="CF748" s="15"/>
      <c r="CG748" s="15"/>
      <c r="CH748" s="15"/>
      <c r="CI748" s="15"/>
      <c r="CJ748" s="15"/>
      <c r="CK748" s="15"/>
      <c r="CL748" s="15"/>
      <c r="CM748" s="15"/>
      <c r="CN748" s="15"/>
      <c r="CO748" s="15"/>
      <c r="CP748" s="15"/>
      <c r="CQ748" s="15"/>
      <c r="CR748" s="15"/>
      <c r="CS748" s="73"/>
      <c r="CT748" s="15"/>
      <c r="CU748" s="15"/>
      <c r="CV748" s="15"/>
      <c r="CW748" s="15"/>
      <c r="CX748" s="15"/>
      <c r="CY748" s="15"/>
      <c r="CZ748" s="15"/>
      <c r="DA748" s="15"/>
      <c r="DB748" s="15"/>
      <c r="DC748" s="15"/>
      <c r="DD748" s="15"/>
      <c r="DE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61"/>
      <c r="BK749" s="15"/>
      <c r="BL749" s="15"/>
      <c r="BM749" s="15"/>
      <c r="BN749" s="15"/>
      <c r="BO749" s="15"/>
      <c r="BP749" s="15"/>
      <c r="BQ749" s="15"/>
      <c r="BR749" s="15"/>
      <c r="BS749" s="15"/>
      <c r="BT749" s="15"/>
      <c r="BU749" s="15"/>
      <c r="BV749" s="15"/>
      <c r="BW749" s="15"/>
      <c r="BX749" s="15"/>
      <c r="BY749" s="15"/>
      <c r="BZ749" s="15"/>
      <c r="CA749" s="15"/>
      <c r="CB749" s="15"/>
      <c r="CC749" s="15"/>
      <c r="CD749" s="15"/>
      <c r="CE749" s="15"/>
      <c r="CF749" s="15"/>
      <c r="CG749" s="15"/>
      <c r="CH749" s="15"/>
      <c r="CI749" s="15"/>
      <c r="CJ749" s="15"/>
      <c r="CK749" s="15"/>
      <c r="CL749" s="15"/>
      <c r="CM749" s="15"/>
      <c r="CN749" s="15"/>
      <c r="CO749" s="15"/>
      <c r="CP749" s="15"/>
      <c r="CQ749" s="15"/>
      <c r="CR749" s="15"/>
      <c r="CS749" s="73"/>
      <c r="CT749" s="15"/>
      <c r="CU749" s="15"/>
      <c r="CV749" s="15"/>
      <c r="CW749" s="15"/>
      <c r="CX749" s="15"/>
      <c r="CY749" s="15"/>
      <c r="CZ749" s="15"/>
      <c r="DA749" s="15"/>
      <c r="DB749" s="15"/>
      <c r="DC749" s="15"/>
      <c r="DD749" s="15"/>
      <c r="DE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61"/>
      <c r="BK750" s="15"/>
      <c r="BL750" s="15"/>
      <c r="BM750" s="15"/>
      <c r="BN750" s="15"/>
      <c r="BO750" s="15"/>
      <c r="BP750" s="15"/>
      <c r="BQ750" s="15"/>
      <c r="BR750" s="15"/>
      <c r="BS750" s="15"/>
      <c r="BT750" s="15"/>
      <c r="BU750" s="15"/>
      <c r="BV750" s="15"/>
      <c r="BW750" s="15"/>
      <c r="BX750" s="15"/>
      <c r="BY750" s="15"/>
      <c r="BZ750" s="15"/>
      <c r="CA750" s="15"/>
      <c r="CB750" s="15"/>
      <c r="CC750" s="15"/>
      <c r="CD750" s="15"/>
      <c r="CE750" s="15"/>
      <c r="CF750" s="15"/>
      <c r="CG750" s="15"/>
      <c r="CH750" s="15"/>
      <c r="CI750" s="15"/>
      <c r="CJ750" s="15"/>
      <c r="CK750" s="15"/>
      <c r="CL750" s="15"/>
      <c r="CM750" s="15"/>
      <c r="CN750" s="15"/>
      <c r="CO750" s="15"/>
      <c r="CP750" s="15"/>
      <c r="CQ750" s="15"/>
      <c r="CR750" s="15"/>
      <c r="CS750" s="73"/>
      <c r="CT750" s="15"/>
      <c r="CU750" s="15"/>
      <c r="CV750" s="15"/>
      <c r="CW750" s="15"/>
      <c r="CX750" s="15"/>
      <c r="CY750" s="15"/>
      <c r="CZ750" s="15"/>
      <c r="DA750" s="15"/>
      <c r="DB750" s="15"/>
      <c r="DC750" s="15"/>
      <c r="DD750" s="15"/>
      <c r="DE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61"/>
      <c r="BK751" s="15"/>
      <c r="BL751" s="15"/>
      <c r="BM751" s="15"/>
      <c r="BN751" s="15"/>
      <c r="BO751" s="15"/>
      <c r="BP751" s="15"/>
      <c r="BQ751" s="15"/>
      <c r="BR751" s="15"/>
      <c r="BS751" s="15"/>
      <c r="BT751" s="15"/>
      <c r="BU751" s="15"/>
      <c r="BV751" s="15"/>
      <c r="BW751" s="15"/>
      <c r="BX751" s="15"/>
      <c r="BY751" s="15"/>
      <c r="BZ751" s="15"/>
      <c r="CA751" s="15"/>
      <c r="CB751" s="15"/>
      <c r="CC751" s="15"/>
      <c r="CD751" s="15"/>
      <c r="CE751" s="15"/>
      <c r="CF751" s="15"/>
      <c r="CG751" s="15"/>
      <c r="CH751" s="15"/>
      <c r="CI751" s="15"/>
      <c r="CJ751" s="15"/>
      <c r="CK751" s="15"/>
      <c r="CL751" s="15"/>
      <c r="CM751" s="15"/>
      <c r="CN751" s="15"/>
      <c r="CO751" s="15"/>
      <c r="CP751" s="15"/>
      <c r="CQ751" s="15"/>
      <c r="CR751" s="15"/>
      <c r="CS751" s="73"/>
      <c r="CT751" s="15"/>
      <c r="CU751" s="15"/>
      <c r="CV751" s="15"/>
      <c r="CW751" s="15"/>
      <c r="CX751" s="15"/>
      <c r="CY751" s="15"/>
      <c r="CZ751" s="15"/>
      <c r="DA751" s="15"/>
      <c r="DB751" s="15"/>
      <c r="DC751" s="15"/>
      <c r="DD751" s="15"/>
      <c r="DE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61"/>
      <c r="BK752" s="15"/>
      <c r="BL752" s="15"/>
      <c r="BM752" s="15"/>
      <c r="BN752" s="15"/>
      <c r="BO752" s="15"/>
      <c r="BP752" s="15"/>
      <c r="BQ752" s="15"/>
      <c r="BR752" s="15"/>
      <c r="BS752" s="15"/>
      <c r="BT752" s="15"/>
      <c r="BU752" s="15"/>
      <c r="BV752" s="15"/>
      <c r="BW752" s="15"/>
      <c r="BX752" s="15"/>
      <c r="BY752" s="15"/>
      <c r="BZ752" s="15"/>
      <c r="CA752" s="15"/>
      <c r="CB752" s="15"/>
      <c r="CC752" s="15"/>
      <c r="CD752" s="15"/>
      <c r="CE752" s="15"/>
      <c r="CF752" s="15"/>
      <c r="CG752" s="15"/>
      <c r="CH752" s="15"/>
      <c r="CI752" s="15"/>
      <c r="CJ752" s="15"/>
      <c r="CK752" s="15"/>
      <c r="CL752" s="15"/>
      <c r="CM752" s="15"/>
      <c r="CN752" s="15"/>
      <c r="CO752" s="15"/>
      <c r="CP752" s="15"/>
      <c r="CQ752" s="15"/>
      <c r="CR752" s="15"/>
      <c r="CS752" s="73"/>
      <c r="CT752" s="15"/>
      <c r="CU752" s="15"/>
      <c r="CV752" s="15"/>
      <c r="CW752" s="15"/>
      <c r="CX752" s="15"/>
      <c r="CY752" s="15"/>
      <c r="CZ752" s="15"/>
      <c r="DA752" s="15"/>
      <c r="DB752" s="15"/>
      <c r="DC752" s="15"/>
      <c r="DD752" s="15"/>
      <c r="DE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61"/>
      <c r="BK753" s="15"/>
      <c r="BL753" s="15"/>
      <c r="BM753" s="15"/>
      <c r="BN753" s="15"/>
      <c r="BO753" s="15"/>
      <c r="BP753" s="15"/>
      <c r="BQ753" s="15"/>
      <c r="BR753" s="15"/>
      <c r="BS753" s="15"/>
      <c r="BT753" s="15"/>
      <c r="BU753" s="15"/>
      <c r="BV753" s="15"/>
      <c r="BW753" s="15"/>
      <c r="BX753" s="15"/>
      <c r="BY753" s="15"/>
      <c r="BZ753" s="15"/>
      <c r="CA753" s="15"/>
      <c r="CB753" s="15"/>
      <c r="CC753" s="15"/>
      <c r="CD753" s="15"/>
      <c r="CE753" s="15"/>
      <c r="CF753" s="15"/>
      <c r="CG753" s="15"/>
      <c r="CH753" s="15"/>
      <c r="CI753" s="15"/>
      <c r="CJ753" s="15"/>
      <c r="CK753" s="15"/>
      <c r="CL753" s="15"/>
      <c r="CM753" s="15"/>
      <c r="CN753" s="15"/>
      <c r="CO753" s="15"/>
      <c r="CP753" s="15"/>
      <c r="CQ753" s="15"/>
      <c r="CR753" s="15"/>
      <c r="CS753" s="73"/>
      <c r="CT753" s="15"/>
      <c r="CU753" s="15"/>
      <c r="CV753" s="15"/>
      <c r="CW753" s="15"/>
      <c r="CX753" s="15"/>
      <c r="CY753" s="15"/>
      <c r="CZ753" s="15"/>
      <c r="DA753" s="15"/>
      <c r="DB753" s="15"/>
      <c r="DC753" s="15"/>
      <c r="DD753" s="15"/>
      <c r="DE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61"/>
      <c r="BK754" s="15"/>
      <c r="BL754" s="15"/>
      <c r="BM754" s="15"/>
      <c r="BN754" s="15"/>
      <c r="BO754" s="15"/>
      <c r="BP754" s="15"/>
      <c r="BQ754" s="15"/>
      <c r="BR754" s="15"/>
      <c r="BS754" s="15"/>
      <c r="BT754" s="15"/>
      <c r="BU754" s="15"/>
      <c r="BV754" s="15"/>
      <c r="BW754" s="15"/>
      <c r="BX754" s="15"/>
      <c r="BY754" s="15"/>
      <c r="BZ754" s="15"/>
      <c r="CA754" s="15"/>
      <c r="CB754" s="15"/>
      <c r="CC754" s="15"/>
      <c r="CD754" s="15"/>
      <c r="CE754" s="15"/>
      <c r="CF754" s="15"/>
      <c r="CG754" s="15"/>
      <c r="CH754" s="15"/>
      <c r="CI754" s="15"/>
      <c r="CJ754" s="15"/>
      <c r="CK754" s="15"/>
      <c r="CL754" s="15"/>
      <c r="CM754" s="15"/>
      <c r="CN754" s="15"/>
      <c r="CO754" s="15"/>
      <c r="CP754" s="15"/>
      <c r="CQ754" s="15"/>
      <c r="CR754" s="15"/>
      <c r="CS754" s="73"/>
      <c r="CT754" s="15"/>
      <c r="CU754" s="15"/>
      <c r="CV754" s="15"/>
      <c r="CW754" s="15"/>
      <c r="CX754" s="15"/>
      <c r="CY754" s="15"/>
      <c r="CZ754" s="15"/>
      <c r="DA754" s="15"/>
      <c r="DB754" s="15"/>
      <c r="DC754" s="15"/>
      <c r="DD754" s="15"/>
      <c r="DE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61"/>
      <c r="BK755" s="15"/>
      <c r="BL755" s="15"/>
      <c r="BM755" s="15"/>
      <c r="BN755" s="15"/>
      <c r="BO755" s="15"/>
      <c r="BP755" s="15"/>
      <c r="BQ755" s="15"/>
      <c r="BR755" s="15"/>
      <c r="BS755" s="15"/>
      <c r="BT755" s="15"/>
      <c r="BU755" s="15"/>
      <c r="BV755" s="15"/>
      <c r="BW755" s="15"/>
      <c r="BX755" s="15"/>
      <c r="BY755" s="15"/>
      <c r="BZ755" s="15"/>
      <c r="CA755" s="15"/>
      <c r="CB755" s="15"/>
      <c r="CC755" s="15"/>
      <c r="CD755" s="15"/>
      <c r="CE755" s="15"/>
      <c r="CF755" s="15"/>
      <c r="CG755" s="15"/>
      <c r="CH755" s="15"/>
      <c r="CI755" s="15"/>
      <c r="CJ755" s="15"/>
      <c r="CK755" s="15"/>
      <c r="CL755" s="15"/>
      <c r="CM755" s="15"/>
      <c r="CN755" s="15"/>
      <c r="CO755" s="15"/>
      <c r="CP755" s="15"/>
      <c r="CQ755" s="15"/>
      <c r="CR755" s="15"/>
      <c r="CS755" s="73"/>
      <c r="CT755" s="15"/>
      <c r="CU755" s="15"/>
      <c r="CV755" s="15"/>
      <c r="CW755" s="15"/>
      <c r="CX755" s="15"/>
      <c r="CY755" s="15"/>
      <c r="CZ755" s="15"/>
      <c r="DA755" s="15"/>
      <c r="DB755" s="15"/>
      <c r="DC755" s="15"/>
      <c r="DD755" s="15"/>
      <c r="DE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61"/>
      <c r="BK756" s="15"/>
      <c r="BL756" s="15"/>
      <c r="BM756" s="15"/>
      <c r="BN756" s="15"/>
      <c r="BO756" s="15"/>
      <c r="BP756" s="15"/>
      <c r="BQ756" s="15"/>
      <c r="BR756" s="15"/>
      <c r="BS756" s="15"/>
      <c r="BT756" s="15"/>
      <c r="BU756" s="15"/>
      <c r="BV756" s="15"/>
      <c r="BW756" s="15"/>
      <c r="BX756" s="15"/>
      <c r="BY756" s="15"/>
      <c r="BZ756" s="15"/>
      <c r="CA756" s="15"/>
      <c r="CB756" s="15"/>
      <c r="CC756" s="15"/>
      <c r="CD756" s="15"/>
      <c r="CE756" s="15"/>
      <c r="CF756" s="15"/>
      <c r="CG756" s="15"/>
      <c r="CH756" s="15"/>
      <c r="CI756" s="15"/>
      <c r="CJ756" s="15"/>
      <c r="CK756" s="15"/>
      <c r="CL756" s="15"/>
      <c r="CM756" s="15"/>
      <c r="CN756" s="15"/>
      <c r="CO756" s="15"/>
      <c r="CP756" s="15"/>
      <c r="CQ756" s="15"/>
      <c r="CR756" s="15"/>
      <c r="CS756" s="73"/>
      <c r="CT756" s="15"/>
      <c r="CU756" s="15"/>
      <c r="CV756" s="15"/>
      <c r="CW756" s="15"/>
      <c r="CX756" s="15"/>
      <c r="CY756" s="15"/>
      <c r="CZ756" s="15"/>
      <c r="DA756" s="15"/>
      <c r="DB756" s="15"/>
      <c r="DC756" s="15"/>
      <c r="DD756" s="15"/>
      <c r="DE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61"/>
      <c r="BK757" s="15"/>
      <c r="BL757" s="15"/>
      <c r="BM757" s="15"/>
      <c r="BN757" s="15"/>
      <c r="BO757" s="15"/>
      <c r="BP757" s="15"/>
      <c r="BQ757" s="15"/>
      <c r="BR757" s="15"/>
      <c r="BS757" s="15"/>
      <c r="BT757" s="15"/>
      <c r="BU757" s="15"/>
      <c r="BV757" s="15"/>
      <c r="BW757" s="15"/>
      <c r="BX757" s="15"/>
      <c r="BY757" s="15"/>
      <c r="BZ757" s="15"/>
      <c r="CA757" s="15"/>
      <c r="CB757" s="15"/>
      <c r="CC757" s="15"/>
      <c r="CD757" s="15"/>
      <c r="CE757" s="15"/>
      <c r="CF757" s="15"/>
      <c r="CG757" s="15"/>
      <c r="CH757" s="15"/>
      <c r="CI757" s="15"/>
      <c r="CJ757" s="15"/>
      <c r="CK757" s="15"/>
      <c r="CL757" s="15"/>
      <c r="CM757" s="15"/>
      <c r="CN757" s="15"/>
      <c r="CO757" s="15"/>
      <c r="CP757" s="15"/>
      <c r="CQ757" s="15"/>
      <c r="CR757" s="15"/>
      <c r="CS757" s="73"/>
      <c r="CT757" s="15"/>
      <c r="CU757" s="15"/>
      <c r="CV757" s="15"/>
      <c r="CW757" s="15"/>
      <c r="CX757" s="15"/>
      <c r="CY757" s="15"/>
      <c r="CZ757" s="15"/>
      <c r="DA757" s="15"/>
      <c r="DB757" s="15"/>
      <c r="DC757" s="15"/>
      <c r="DD757" s="15"/>
      <c r="DE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c r="AW758" s="15"/>
      <c r="AX758" s="15"/>
      <c r="AY758" s="15"/>
      <c r="AZ758" s="15"/>
      <c r="BA758" s="15"/>
      <c r="BB758" s="15"/>
      <c r="BC758" s="15"/>
      <c r="BD758" s="15"/>
      <c r="BE758" s="15"/>
      <c r="BF758" s="15"/>
      <c r="BG758" s="15"/>
      <c r="BH758" s="15"/>
      <c r="BI758" s="15"/>
      <c r="BJ758" s="61"/>
      <c r="BK758" s="15"/>
      <c r="BL758" s="15"/>
      <c r="BM758" s="15"/>
      <c r="BN758" s="15"/>
      <c r="BO758" s="15"/>
      <c r="BP758" s="15"/>
      <c r="BQ758" s="15"/>
      <c r="BR758" s="15"/>
      <c r="BS758" s="15"/>
      <c r="BT758" s="15"/>
      <c r="BU758" s="15"/>
      <c r="BV758" s="15"/>
      <c r="BW758" s="15"/>
      <c r="BX758" s="15"/>
      <c r="BY758" s="15"/>
      <c r="BZ758" s="15"/>
      <c r="CA758" s="15"/>
      <c r="CB758" s="15"/>
      <c r="CC758" s="15"/>
      <c r="CD758" s="15"/>
      <c r="CE758" s="15"/>
      <c r="CF758" s="15"/>
      <c r="CG758" s="15"/>
      <c r="CH758" s="15"/>
      <c r="CI758" s="15"/>
      <c r="CJ758" s="15"/>
      <c r="CK758" s="15"/>
      <c r="CL758" s="15"/>
      <c r="CM758" s="15"/>
      <c r="CN758" s="15"/>
      <c r="CO758" s="15"/>
      <c r="CP758" s="15"/>
      <c r="CQ758" s="15"/>
      <c r="CR758" s="15"/>
      <c r="CS758" s="73"/>
      <c r="CT758" s="15"/>
      <c r="CU758" s="15"/>
      <c r="CV758" s="15"/>
      <c r="CW758" s="15"/>
      <c r="CX758" s="15"/>
      <c r="CY758" s="15"/>
      <c r="CZ758" s="15"/>
      <c r="DA758" s="15"/>
      <c r="DB758" s="15"/>
      <c r="DC758" s="15"/>
      <c r="DD758" s="15"/>
      <c r="DE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c r="AW759" s="15"/>
      <c r="AX759" s="15"/>
      <c r="AY759" s="15"/>
      <c r="AZ759" s="15"/>
      <c r="BA759" s="15"/>
      <c r="BB759" s="15"/>
      <c r="BC759" s="15"/>
      <c r="BD759" s="15"/>
      <c r="BE759" s="15"/>
      <c r="BF759" s="15"/>
      <c r="BG759" s="15"/>
      <c r="BH759" s="15"/>
      <c r="BI759" s="15"/>
      <c r="BJ759" s="61"/>
      <c r="BK759" s="15"/>
      <c r="BL759" s="15"/>
      <c r="BM759" s="15"/>
      <c r="BN759" s="15"/>
      <c r="BO759" s="15"/>
      <c r="BP759" s="15"/>
      <c r="BQ759" s="15"/>
      <c r="BR759" s="15"/>
      <c r="BS759" s="15"/>
      <c r="BT759" s="15"/>
      <c r="BU759" s="15"/>
      <c r="BV759" s="15"/>
      <c r="BW759" s="15"/>
      <c r="BX759" s="15"/>
      <c r="BY759" s="15"/>
      <c r="BZ759" s="15"/>
      <c r="CA759" s="15"/>
      <c r="CB759" s="15"/>
      <c r="CC759" s="15"/>
      <c r="CD759" s="15"/>
      <c r="CE759" s="15"/>
      <c r="CF759" s="15"/>
      <c r="CG759" s="15"/>
      <c r="CH759" s="15"/>
      <c r="CI759" s="15"/>
      <c r="CJ759" s="15"/>
      <c r="CK759" s="15"/>
      <c r="CL759" s="15"/>
      <c r="CM759" s="15"/>
      <c r="CN759" s="15"/>
      <c r="CO759" s="15"/>
      <c r="CP759" s="15"/>
      <c r="CQ759" s="15"/>
      <c r="CR759" s="15"/>
      <c r="CS759" s="73"/>
      <c r="CT759" s="15"/>
      <c r="CU759" s="15"/>
      <c r="CV759" s="15"/>
      <c r="CW759" s="15"/>
      <c r="CX759" s="15"/>
      <c r="CY759" s="15"/>
      <c r="CZ759" s="15"/>
      <c r="DA759" s="15"/>
      <c r="DB759" s="15"/>
      <c r="DC759" s="15"/>
      <c r="DD759" s="15"/>
      <c r="DE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61"/>
      <c r="BK760" s="15"/>
      <c r="BL760" s="15"/>
      <c r="BM760" s="15"/>
      <c r="BN760" s="15"/>
      <c r="BO760" s="15"/>
      <c r="BP760" s="15"/>
      <c r="BQ760" s="15"/>
      <c r="BR760" s="15"/>
      <c r="BS760" s="15"/>
      <c r="BT760" s="15"/>
      <c r="BU760" s="15"/>
      <c r="BV760" s="15"/>
      <c r="BW760" s="15"/>
      <c r="BX760" s="15"/>
      <c r="BY760" s="15"/>
      <c r="BZ760" s="15"/>
      <c r="CA760" s="15"/>
      <c r="CB760" s="15"/>
      <c r="CC760" s="15"/>
      <c r="CD760" s="15"/>
      <c r="CE760" s="15"/>
      <c r="CF760" s="15"/>
      <c r="CG760" s="15"/>
      <c r="CH760" s="15"/>
      <c r="CI760" s="15"/>
      <c r="CJ760" s="15"/>
      <c r="CK760" s="15"/>
      <c r="CL760" s="15"/>
      <c r="CM760" s="15"/>
      <c r="CN760" s="15"/>
      <c r="CO760" s="15"/>
      <c r="CP760" s="15"/>
      <c r="CQ760" s="15"/>
      <c r="CR760" s="15"/>
      <c r="CS760" s="73"/>
      <c r="CT760" s="15"/>
      <c r="CU760" s="15"/>
      <c r="CV760" s="15"/>
      <c r="CW760" s="15"/>
      <c r="CX760" s="15"/>
      <c r="CY760" s="15"/>
      <c r="CZ760" s="15"/>
      <c r="DA760" s="15"/>
      <c r="DB760" s="15"/>
      <c r="DC760" s="15"/>
      <c r="DD760" s="15"/>
      <c r="DE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c r="AW761" s="15"/>
      <c r="AX761" s="15"/>
      <c r="AY761" s="15"/>
      <c r="AZ761" s="15"/>
      <c r="BA761" s="15"/>
      <c r="BB761" s="15"/>
      <c r="BC761" s="15"/>
      <c r="BD761" s="15"/>
      <c r="BE761" s="15"/>
      <c r="BF761" s="15"/>
      <c r="BG761" s="15"/>
      <c r="BH761" s="15"/>
      <c r="BI761" s="15"/>
      <c r="BJ761" s="61"/>
      <c r="BK761" s="15"/>
      <c r="BL761" s="15"/>
      <c r="BM761" s="15"/>
      <c r="BN761" s="15"/>
      <c r="BO761" s="15"/>
      <c r="BP761" s="15"/>
      <c r="BQ761" s="15"/>
      <c r="BR761" s="15"/>
      <c r="BS761" s="15"/>
      <c r="BT761" s="15"/>
      <c r="BU761" s="15"/>
      <c r="BV761" s="15"/>
      <c r="BW761" s="15"/>
      <c r="BX761" s="15"/>
      <c r="BY761" s="15"/>
      <c r="BZ761" s="15"/>
      <c r="CA761" s="15"/>
      <c r="CB761" s="15"/>
      <c r="CC761" s="15"/>
      <c r="CD761" s="15"/>
      <c r="CE761" s="15"/>
      <c r="CF761" s="15"/>
      <c r="CG761" s="15"/>
      <c r="CH761" s="15"/>
      <c r="CI761" s="15"/>
      <c r="CJ761" s="15"/>
      <c r="CK761" s="15"/>
      <c r="CL761" s="15"/>
      <c r="CM761" s="15"/>
      <c r="CN761" s="15"/>
      <c r="CO761" s="15"/>
      <c r="CP761" s="15"/>
      <c r="CQ761" s="15"/>
      <c r="CR761" s="15"/>
      <c r="CS761" s="73"/>
      <c r="CT761" s="15"/>
      <c r="CU761" s="15"/>
      <c r="CV761" s="15"/>
      <c r="CW761" s="15"/>
      <c r="CX761" s="15"/>
      <c r="CY761" s="15"/>
      <c r="CZ761" s="15"/>
      <c r="DA761" s="15"/>
      <c r="DB761" s="15"/>
      <c r="DC761" s="15"/>
      <c r="DD761" s="15"/>
      <c r="DE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c r="AW762" s="15"/>
      <c r="AX762" s="15"/>
      <c r="AY762" s="15"/>
      <c r="AZ762" s="15"/>
      <c r="BA762" s="15"/>
      <c r="BB762" s="15"/>
      <c r="BC762" s="15"/>
      <c r="BD762" s="15"/>
      <c r="BE762" s="15"/>
      <c r="BF762" s="15"/>
      <c r="BG762" s="15"/>
      <c r="BH762" s="15"/>
      <c r="BI762" s="15"/>
      <c r="BJ762" s="61"/>
      <c r="BK762" s="15"/>
      <c r="BL762" s="15"/>
      <c r="BM762" s="15"/>
      <c r="BN762" s="15"/>
      <c r="BO762" s="15"/>
      <c r="BP762" s="15"/>
      <c r="BQ762" s="15"/>
      <c r="BR762" s="15"/>
      <c r="BS762" s="15"/>
      <c r="BT762" s="15"/>
      <c r="BU762" s="15"/>
      <c r="BV762" s="15"/>
      <c r="BW762" s="15"/>
      <c r="BX762" s="15"/>
      <c r="BY762" s="15"/>
      <c r="BZ762" s="15"/>
      <c r="CA762" s="15"/>
      <c r="CB762" s="15"/>
      <c r="CC762" s="15"/>
      <c r="CD762" s="15"/>
      <c r="CE762" s="15"/>
      <c r="CF762" s="15"/>
      <c r="CG762" s="15"/>
      <c r="CH762" s="15"/>
      <c r="CI762" s="15"/>
      <c r="CJ762" s="15"/>
      <c r="CK762" s="15"/>
      <c r="CL762" s="15"/>
      <c r="CM762" s="15"/>
      <c r="CN762" s="15"/>
      <c r="CO762" s="15"/>
      <c r="CP762" s="15"/>
      <c r="CQ762" s="15"/>
      <c r="CR762" s="15"/>
      <c r="CS762" s="73"/>
      <c r="CT762" s="15"/>
      <c r="CU762" s="15"/>
      <c r="CV762" s="15"/>
      <c r="CW762" s="15"/>
      <c r="CX762" s="15"/>
      <c r="CY762" s="15"/>
      <c r="CZ762" s="15"/>
      <c r="DA762" s="15"/>
      <c r="DB762" s="15"/>
      <c r="DC762" s="15"/>
      <c r="DD762" s="15"/>
      <c r="DE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61"/>
      <c r="BK763" s="15"/>
      <c r="BL763" s="15"/>
      <c r="BM763" s="15"/>
      <c r="BN763" s="15"/>
      <c r="BO763" s="15"/>
      <c r="BP763" s="15"/>
      <c r="BQ763" s="15"/>
      <c r="BR763" s="15"/>
      <c r="BS763" s="15"/>
      <c r="BT763" s="15"/>
      <c r="BU763" s="15"/>
      <c r="BV763" s="15"/>
      <c r="BW763" s="15"/>
      <c r="BX763" s="15"/>
      <c r="BY763" s="15"/>
      <c r="BZ763" s="15"/>
      <c r="CA763" s="15"/>
      <c r="CB763" s="15"/>
      <c r="CC763" s="15"/>
      <c r="CD763" s="15"/>
      <c r="CE763" s="15"/>
      <c r="CF763" s="15"/>
      <c r="CG763" s="15"/>
      <c r="CH763" s="15"/>
      <c r="CI763" s="15"/>
      <c r="CJ763" s="15"/>
      <c r="CK763" s="15"/>
      <c r="CL763" s="15"/>
      <c r="CM763" s="15"/>
      <c r="CN763" s="15"/>
      <c r="CO763" s="15"/>
      <c r="CP763" s="15"/>
      <c r="CQ763" s="15"/>
      <c r="CR763" s="15"/>
      <c r="CS763" s="73"/>
      <c r="CT763" s="15"/>
      <c r="CU763" s="15"/>
      <c r="CV763" s="15"/>
      <c r="CW763" s="15"/>
      <c r="CX763" s="15"/>
      <c r="CY763" s="15"/>
      <c r="CZ763" s="15"/>
      <c r="DA763" s="15"/>
      <c r="DB763" s="15"/>
      <c r="DC763" s="15"/>
      <c r="DD763" s="15"/>
      <c r="DE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61"/>
      <c r="BK764" s="15"/>
      <c r="BL764" s="15"/>
      <c r="BM764" s="15"/>
      <c r="BN764" s="15"/>
      <c r="BO764" s="15"/>
      <c r="BP764" s="15"/>
      <c r="BQ764" s="15"/>
      <c r="BR764" s="15"/>
      <c r="BS764" s="15"/>
      <c r="BT764" s="15"/>
      <c r="BU764" s="15"/>
      <c r="BV764" s="15"/>
      <c r="BW764" s="15"/>
      <c r="BX764" s="15"/>
      <c r="BY764" s="15"/>
      <c r="BZ764" s="15"/>
      <c r="CA764" s="15"/>
      <c r="CB764" s="15"/>
      <c r="CC764" s="15"/>
      <c r="CD764" s="15"/>
      <c r="CE764" s="15"/>
      <c r="CF764" s="15"/>
      <c r="CG764" s="15"/>
      <c r="CH764" s="15"/>
      <c r="CI764" s="15"/>
      <c r="CJ764" s="15"/>
      <c r="CK764" s="15"/>
      <c r="CL764" s="15"/>
      <c r="CM764" s="15"/>
      <c r="CN764" s="15"/>
      <c r="CO764" s="15"/>
      <c r="CP764" s="15"/>
      <c r="CQ764" s="15"/>
      <c r="CR764" s="15"/>
      <c r="CS764" s="73"/>
      <c r="CT764" s="15"/>
      <c r="CU764" s="15"/>
      <c r="CV764" s="15"/>
      <c r="CW764" s="15"/>
      <c r="CX764" s="15"/>
      <c r="CY764" s="15"/>
      <c r="CZ764" s="15"/>
      <c r="DA764" s="15"/>
      <c r="DB764" s="15"/>
      <c r="DC764" s="15"/>
      <c r="DD764" s="15"/>
      <c r="DE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c r="AW765" s="15"/>
      <c r="AX765" s="15"/>
      <c r="AY765" s="15"/>
      <c r="AZ765" s="15"/>
      <c r="BA765" s="15"/>
      <c r="BB765" s="15"/>
      <c r="BC765" s="15"/>
      <c r="BD765" s="15"/>
      <c r="BE765" s="15"/>
      <c r="BF765" s="15"/>
      <c r="BG765" s="15"/>
      <c r="BH765" s="15"/>
      <c r="BI765" s="15"/>
      <c r="BJ765" s="61"/>
      <c r="BK765" s="15"/>
      <c r="BL765" s="15"/>
      <c r="BM765" s="15"/>
      <c r="BN765" s="15"/>
      <c r="BO765" s="15"/>
      <c r="BP765" s="15"/>
      <c r="BQ765" s="15"/>
      <c r="BR765" s="15"/>
      <c r="BS765" s="15"/>
      <c r="BT765" s="15"/>
      <c r="BU765" s="15"/>
      <c r="BV765" s="15"/>
      <c r="BW765" s="15"/>
      <c r="BX765" s="15"/>
      <c r="BY765" s="15"/>
      <c r="BZ765" s="15"/>
      <c r="CA765" s="15"/>
      <c r="CB765" s="15"/>
      <c r="CC765" s="15"/>
      <c r="CD765" s="15"/>
      <c r="CE765" s="15"/>
      <c r="CF765" s="15"/>
      <c r="CG765" s="15"/>
      <c r="CH765" s="15"/>
      <c r="CI765" s="15"/>
      <c r="CJ765" s="15"/>
      <c r="CK765" s="15"/>
      <c r="CL765" s="15"/>
      <c r="CM765" s="15"/>
      <c r="CN765" s="15"/>
      <c r="CO765" s="15"/>
      <c r="CP765" s="15"/>
      <c r="CQ765" s="15"/>
      <c r="CR765" s="15"/>
      <c r="CS765" s="73"/>
      <c r="CT765" s="15"/>
      <c r="CU765" s="15"/>
      <c r="CV765" s="15"/>
      <c r="CW765" s="15"/>
      <c r="CX765" s="15"/>
      <c r="CY765" s="15"/>
      <c r="CZ765" s="15"/>
      <c r="DA765" s="15"/>
      <c r="DB765" s="15"/>
      <c r="DC765" s="15"/>
      <c r="DD765" s="15"/>
      <c r="DE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61"/>
      <c r="BK766" s="15"/>
      <c r="BL766" s="15"/>
      <c r="BM766" s="15"/>
      <c r="BN766" s="15"/>
      <c r="BO766" s="15"/>
      <c r="BP766" s="15"/>
      <c r="BQ766" s="15"/>
      <c r="BR766" s="15"/>
      <c r="BS766" s="15"/>
      <c r="BT766" s="15"/>
      <c r="BU766" s="15"/>
      <c r="BV766" s="15"/>
      <c r="BW766" s="15"/>
      <c r="BX766" s="15"/>
      <c r="BY766" s="15"/>
      <c r="BZ766" s="15"/>
      <c r="CA766" s="15"/>
      <c r="CB766" s="15"/>
      <c r="CC766" s="15"/>
      <c r="CD766" s="15"/>
      <c r="CE766" s="15"/>
      <c r="CF766" s="15"/>
      <c r="CG766" s="15"/>
      <c r="CH766" s="15"/>
      <c r="CI766" s="15"/>
      <c r="CJ766" s="15"/>
      <c r="CK766" s="15"/>
      <c r="CL766" s="15"/>
      <c r="CM766" s="15"/>
      <c r="CN766" s="15"/>
      <c r="CO766" s="15"/>
      <c r="CP766" s="15"/>
      <c r="CQ766" s="15"/>
      <c r="CR766" s="15"/>
      <c r="CS766" s="73"/>
      <c r="CT766" s="15"/>
      <c r="CU766" s="15"/>
      <c r="CV766" s="15"/>
      <c r="CW766" s="15"/>
      <c r="CX766" s="15"/>
      <c r="CY766" s="15"/>
      <c r="CZ766" s="15"/>
      <c r="DA766" s="15"/>
      <c r="DB766" s="15"/>
      <c r="DC766" s="15"/>
      <c r="DD766" s="15"/>
      <c r="DE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61"/>
      <c r="BK767" s="15"/>
      <c r="BL767" s="15"/>
      <c r="BM767" s="15"/>
      <c r="BN767" s="15"/>
      <c r="BO767" s="15"/>
      <c r="BP767" s="15"/>
      <c r="BQ767" s="15"/>
      <c r="BR767" s="15"/>
      <c r="BS767" s="15"/>
      <c r="BT767" s="15"/>
      <c r="BU767" s="15"/>
      <c r="BV767" s="15"/>
      <c r="BW767" s="15"/>
      <c r="BX767" s="15"/>
      <c r="BY767" s="15"/>
      <c r="BZ767" s="15"/>
      <c r="CA767" s="15"/>
      <c r="CB767" s="15"/>
      <c r="CC767" s="15"/>
      <c r="CD767" s="15"/>
      <c r="CE767" s="15"/>
      <c r="CF767" s="15"/>
      <c r="CG767" s="15"/>
      <c r="CH767" s="15"/>
      <c r="CI767" s="15"/>
      <c r="CJ767" s="15"/>
      <c r="CK767" s="15"/>
      <c r="CL767" s="15"/>
      <c r="CM767" s="15"/>
      <c r="CN767" s="15"/>
      <c r="CO767" s="15"/>
      <c r="CP767" s="15"/>
      <c r="CQ767" s="15"/>
      <c r="CR767" s="15"/>
      <c r="CS767" s="73"/>
      <c r="CT767" s="15"/>
      <c r="CU767" s="15"/>
      <c r="CV767" s="15"/>
      <c r="CW767" s="15"/>
      <c r="CX767" s="15"/>
      <c r="CY767" s="15"/>
      <c r="CZ767" s="15"/>
      <c r="DA767" s="15"/>
      <c r="DB767" s="15"/>
      <c r="DC767" s="15"/>
      <c r="DD767" s="15"/>
      <c r="DE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61"/>
      <c r="BK768" s="15"/>
      <c r="BL768" s="15"/>
      <c r="BM768" s="15"/>
      <c r="BN768" s="15"/>
      <c r="BO768" s="15"/>
      <c r="BP768" s="15"/>
      <c r="BQ768" s="15"/>
      <c r="BR768" s="15"/>
      <c r="BS768" s="15"/>
      <c r="BT768" s="15"/>
      <c r="BU768" s="15"/>
      <c r="BV768" s="15"/>
      <c r="BW768" s="15"/>
      <c r="BX768" s="15"/>
      <c r="BY768" s="15"/>
      <c r="BZ768" s="15"/>
      <c r="CA768" s="15"/>
      <c r="CB768" s="15"/>
      <c r="CC768" s="15"/>
      <c r="CD768" s="15"/>
      <c r="CE768" s="15"/>
      <c r="CF768" s="15"/>
      <c r="CG768" s="15"/>
      <c r="CH768" s="15"/>
      <c r="CI768" s="15"/>
      <c r="CJ768" s="15"/>
      <c r="CK768" s="15"/>
      <c r="CL768" s="15"/>
      <c r="CM768" s="15"/>
      <c r="CN768" s="15"/>
      <c r="CO768" s="15"/>
      <c r="CP768" s="15"/>
      <c r="CQ768" s="15"/>
      <c r="CR768" s="15"/>
      <c r="CS768" s="73"/>
      <c r="CT768" s="15"/>
      <c r="CU768" s="15"/>
      <c r="CV768" s="15"/>
      <c r="CW768" s="15"/>
      <c r="CX768" s="15"/>
      <c r="CY768" s="15"/>
      <c r="CZ768" s="15"/>
      <c r="DA768" s="15"/>
      <c r="DB768" s="15"/>
      <c r="DC768" s="15"/>
      <c r="DD768" s="15"/>
      <c r="DE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61"/>
      <c r="BK769" s="15"/>
      <c r="BL769" s="15"/>
      <c r="BM769" s="15"/>
      <c r="BN769" s="15"/>
      <c r="BO769" s="15"/>
      <c r="BP769" s="15"/>
      <c r="BQ769" s="15"/>
      <c r="BR769" s="15"/>
      <c r="BS769" s="15"/>
      <c r="BT769" s="15"/>
      <c r="BU769" s="15"/>
      <c r="BV769" s="15"/>
      <c r="BW769" s="15"/>
      <c r="BX769" s="15"/>
      <c r="BY769" s="15"/>
      <c r="BZ769" s="15"/>
      <c r="CA769" s="15"/>
      <c r="CB769" s="15"/>
      <c r="CC769" s="15"/>
      <c r="CD769" s="15"/>
      <c r="CE769" s="15"/>
      <c r="CF769" s="15"/>
      <c r="CG769" s="15"/>
      <c r="CH769" s="15"/>
      <c r="CI769" s="15"/>
      <c r="CJ769" s="15"/>
      <c r="CK769" s="15"/>
      <c r="CL769" s="15"/>
      <c r="CM769" s="15"/>
      <c r="CN769" s="15"/>
      <c r="CO769" s="15"/>
      <c r="CP769" s="15"/>
      <c r="CQ769" s="15"/>
      <c r="CR769" s="15"/>
      <c r="CS769" s="73"/>
      <c r="CT769" s="15"/>
      <c r="CU769" s="15"/>
      <c r="CV769" s="15"/>
      <c r="CW769" s="15"/>
      <c r="CX769" s="15"/>
      <c r="CY769" s="15"/>
      <c r="CZ769" s="15"/>
      <c r="DA769" s="15"/>
      <c r="DB769" s="15"/>
      <c r="DC769" s="15"/>
      <c r="DD769" s="15"/>
      <c r="DE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61"/>
      <c r="BK770" s="15"/>
      <c r="BL770" s="15"/>
      <c r="BM770" s="15"/>
      <c r="BN770" s="15"/>
      <c r="BO770" s="15"/>
      <c r="BP770" s="15"/>
      <c r="BQ770" s="15"/>
      <c r="BR770" s="15"/>
      <c r="BS770" s="15"/>
      <c r="BT770" s="15"/>
      <c r="BU770" s="15"/>
      <c r="BV770" s="15"/>
      <c r="BW770" s="15"/>
      <c r="BX770" s="15"/>
      <c r="BY770" s="15"/>
      <c r="BZ770" s="15"/>
      <c r="CA770" s="15"/>
      <c r="CB770" s="15"/>
      <c r="CC770" s="15"/>
      <c r="CD770" s="15"/>
      <c r="CE770" s="15"/>
      <c r="CF770" s="15"/>
      <c r="CG770" s="15"/>
      <c r="CH770" s="15"/>
      <c r="CI770" s="15"/>
      <c r="CJ770" s="15"/>
      <c r="CK770" s="15"/>
      <c r="CL770" s="15"/>
      <c r="CM770" s="15"/>
      <c r="CN770" s="15"/>
      <c r="CO770" s="15"/>
      <c r="CP770" s="15"/>
      <c r="CQ770" s="15"/>
      <c r="CR770" s="15"/>
      <c r="CS770" s="73"/>
      <c r="CT770" s="15"/>
      <c r="CU770" s="15"/>
      <c r="CV770" s="15"/>
      <c r="CW770" s="15"/>
      <c r="CX770" s="15"/>
      <c r="CY770" s="15"/>
      <c r="CZ770" s="15"/>
      <c r="DA770" s="15"/>
      <c r="DB770" s="15"/>
      <c r="DC770" s="15"/>
      <c r="DD770" s="15"/>
      <c r="DE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61"/>
      <c r="BK771" s="15"/>
      <c r="BL771" s="15"/>
      <c r="BM771" s="15"/>
      <c r="BN771" s="15"/>
      <c r="BO771" s="15"/>
      <c r="BP771" s="15"/>
      <c r="BQ771" s="15"/>
      <c r="BR771" s="15"/>
      <c r="BS771" s="15"/>
      <c r="BT771" s="15"/>
      <c r="BU771" s="15"/>
      <c r="BV771" s="15"/>
      <c r="BW771" s="15"/>
      <c r="BX771" s="15"/>
      <c r="BY771" s="15"/>
      <c r="BZ771" s="15"/>
      <c r="CA771" s="15"/>
      <c r="CB771" s="15"/>
      <c r="CC771" s="15"/>
      <c r="CD771" s="15"/>
      <c r="CE771" s="15"/>
      <c r="CF771" s="15"/>
      <c r="CG771" s="15"/>
      <c r="CH771" s="15"/>
      <c r="CI771" s="15"/>
      <c r="CJ771" s="15"/>
      <c r="CK771" s="15"/>
      <c r="CL771" s="15"/>
      <c r="CM771" s="15"/>
      <c r="CN771" s="15"/>
      <c r="CO771" s="15"/>
      <c r="CP771" s="15"/>
      <c r="CQ771" s="15"/>
      <c r="CR771" s="15"/>
      <c r="CS771" s="73"/>
      <c r="CT771" s="15"/>
      <c r="CU771" s="15"/>
      <c r="CV771" s="15"/>
      <c r="CW771" s="15"/>
      <c r="CX771" s="15"/>
      <c r="CY771" s="15"/>
      <c r="CZ771" s="15"/>
      <c r="DA771" s="15"/>
      <c r="DB771" s="15"/>
      <c r="DC771" s="15"/>
      <c r="DD771" s="15"/>
      <c r="DE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61"/>
      <c r="BK772" s="15"/>
      <c r="BL772" s="15"/>
      <c r="BM772" s="15"/>
      <c r="BN772" s="15"/>
      <c r="BO772" s="15"/>
      <c r="BP772" s="15"/>
      <c r="BQ772" s="15"/>
      <c r="BR772" s="15"/>
      <c r="BS772" s="15"/>
      <c r="BT772" s="15"/>
      <c r="BU772" s="15"/>
      <c r="BV772" s="15"/>
      <c r="BW772" s="15"/>
      <c r="BX772" s="15"/>
      <c r="BY772" s="15"/>
      <c r="BZ772" s="15"/>
      <c r="CA772" s="15"/>
      <c r="CB772" s="15"/>
      <c r="CC772" s="15"/>
      <c r="CD772" s="15"/>
      <c r="CE772" s="15"/>
      <c r="CF772" s="15"/>
      <c r="CG772" s="15"/>
      <c r="CH772" s="15"/>
      <c r="CI772" s="15"/>
      <c r="CJ772" s="15"/>
      <c r="CK772" s="15"/>
      <c r="CL772" s="15"/>
      <c r="CM772" s="15"/>
      <c r="CN772" s="15"/>
      <c r="CO772" s="15"/>
      <c r="CP772" s="15"/>
      <c r="CQ772" s="15"/>
      <c r="CR772" s="15"/>
      <c r="CS772" s="73"/>
      <c r="CT772" s="15"/>
      <c r="CU772" s="15"/>
      <c r="CV772" s="15"/>
      <c r="CW772" s="15"/>
      <c r="CX772" s="15"/>
      <c r="CY772" s="15"/>
      <c r="CZ772" s="15"/>
      <c r="DA772" s="15"/>
      <c r="DB772" s="15"/>
      <c r="DC772" s="15"/>
      <c r="DD772" s="15"/>
      <c r="DE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61"/>
      <c r="BK773" s="15"/>
      <c r="BL773" s="15"/>
      <c r="BM773" s="15"/>
      <c r="BN773" s="15"/>
      <c r="BO773" s="15"/>
      <c r="BP773" s="15"/>
      <c r="BQ773" s="15"/>
      <c r="BR773" s="15"/>
      <c r="BS773" s="15"/>
      <c r="BT773" s="15"/>
      <c r="BU773" s="15"/>
      <c r="BV773" s="15"/>
      <c r="BW773" s="15"/>
      <c r="BX773" s="15"/>
      <c r="BY773" s="15"/>
      <c r="BZ773" s="15"/>
      <c r="CA773" s="15"/>
      <c r="CB773" s="15"/>
      <c r="CC773" s="15"/>
      <c r="CD773" s="15"/>
      <c r="CE773" s="15"/>
      <c r="CF773" s="15"/>
      <c r="CG773" s="15"/>
      <c r="CH773" s="15"/>
      <c r="CI773" s="15"/>
      <c r="CJ773" s="15"/>
      <c r="CK773" s="15"/>
      <c r="CL773" s="15"/>
      <c r="CM773" s="15"/>
      <c r="CN773" s="15"/>
      <c r="CO773" s="15"/>
      <c r="CP773" s="15"/>
      <c r="CQ773" s="15"/>
      <c r="CR773" s="15"/>
      <c r="CS773" s="73"/>
      <c r="CT773" s="15"/>
      <c r="CU773" s="15"/>
      <c r="CV773" s="15"/>
      <c r="CW773" s="15"/>
      <c r="CX773" s="15"/>
      <c r="CY773" s="15"/>
      <c r="CZ773" s="15"/>
      <c r="DA773" s="15"/>
      <c r="DB773" s="15"/>
      <c r="DC773" s="15"/>
      <c r="DD773" s="15"/>
      <c r="DE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61"/>
      <c r="BK774" s="15"/>
      <c r="BL774" s="15"/>
      <c r="BM774" s="15"/>
      <c r="BN774" s="15"/>
      <c r="BO774" s="15"/>
      <c r="BP774" s="15"/>
      <c r="BQ774" s="15"/>
      <c r="BR774" s="15"/>
      <c r="BS774" s="15"/>
      <c r="BT774" s="15"/>
      <c r="BU774" s="15"/>
      <c r="BV774" s="15"/>
      <c r="BW774" s="15"/>
      <c r="BX774" s="15"/>
      <c r="BY774" s="15"/>
      <c r="BZ774" s="15"/>
      <c r="CA774" s="15"/>
      <c r="CB774" s="15"/>
      <c r="CC774" s="15"/>
      <c r="CD774" s="15"/>
      <c r="CE774" s="15"/>
      <c r="CF774" s="15"/>
      <c r="CG774" s="15"/>
      <c r="CH774" s="15"/>
      <c r="CI774" s="15"/>
      <c r="CJ774" s="15"/>
      <c r="CK774" s="15"/>
      <c r="CL774" s="15"/>
      <c r="CM774" s="15"/>
      <c r="CN774" s="15"/>
      <c r="CO774" s="15"/>
      <c r="CP774" s="15"/>
      <c r="CQ774" s="15"/>
      <c r="CR774" s="15"/>
      <c r="CS774" s="73"/>
      <c r="CT774" s="15"/>
      <c r="CU774" s="15"/>
      <c r="CV774" s="15"/>
      <c r="CW774" s="15"/>
      <c r="CX774" s="15"/>
      <c r="CY774" s="15"/>
      <c r="CZ774" s="15"/>
      <c r="DA774" s="15"/>
      <c r="DB774" s="15"/>
      <c r="DC774" s="15"/>
      <c r="DD774" s="15"/>
      <c r="DE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61"/>
      <c r="BK775" s="15"/>
      <c r="BL775" s="15"/>
      <c r="BM775" s="15"/>
      <c r="BN775" s="15"/>
      <c r="BO775" s="15"/>
      <c r="BP775" s="15"/>
      <c r="BQ775" s="15"/>
      <c r="BR775" s="15"/>
      <c r="BS775" s="15"/>
      <c r="BT775" s="15"/>
      <c r="BU775" s="15"/>
      <c r="BV775" s="15"/>
      <c r="BW775" s="15"/>
      <c r="BX775" s="15"/>
      <c r="BY775" s="15"/>
      <c r="BZ775" s="15"/>
      <c r="CA775" s="15"/>
      <c r="CB775" s="15"/>
      <c r="CC775" s="15"/>
      <c r="CD775" s="15"/>
      <c r="CE775" s="15"/>
      <c r="CF775" s="15"/>
      <c r="CG775" s="15"/>
      <c r="CH775" s="15"/>
      <c r="CI775" s="15"/>
      <c r="CJ775" s="15"/>
      <c r="CK775" s="15"/>
      <c r="CL775" s="15"/>
      <c r="CM775" s="15"/>
      <c r="CN775" s="15"/>
      <c r="CO775" s="15"/>
      <c r="CP775" s="15"/>
      <c r="CQ775" s="15"/>
      <c r="CR775" s="15"/>
      <c r="CS775" s="73"/>
      <c r="CT775" s="15"/>
      <c r="CU775" s="15"/>
      <c r="CV775" s="15"/>
      <c r="CW775" s="15"/>
      <c r="CX775" s="15"/>
      <c r="CY775" s="15"/>
      <c r="CZ775" s="15"/>
      <c r="DA775" s="15"/>
      <c r="DB775" s="15"/>
      <c r="DC775" s="15"/>
      <c r="DD775" s="15"/>
      <c r="DE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61"/>
      <c r="BK776" s="15"/>
      <c r="BL776" s="15"/>
      <c r="BM776" s="15"/>
      <c r="BN776" s="15"/>
      <c r="BO776" s="15"/>
      <c r="BP776" s="15"/>
      <c r="BQ776" s="15"/>
      <c r="BR776" s="15"/>
      <c r="BS776" s="15"/>
      <c r="BT776" s="15"/>
      <c r="BU776" s="15"/>
      <c r="BV776" s="15"/>
      <c r="BW776" s="15"/>
      <c r="BX776" s="15"/>
      <c r="BY776" s="15"/>
      <c r="BZ776" s="15"/>
      <c r="CA776" s="15"/>
      <c r="CB776" s="15"/>
      <c r="CC776" s="15"/>
      <c r="CD776" s="15"/>
      <c r="CE776" s="15"/>
      <c r="CF776" s="15"/>
      <c r="CG776" s="15"/>
      <c r="CH776" s="15"/>
      <c r="CI776" s="15"/>
      <c r="CJ776" s="15"/>
      <c r="CK776" s="15"/>
      <c r="CL776" s="15"/>
      <c r="CM776" s="15"/>
      <c r="CN776" s="15"/>
      <c r="CO776" s="15"/>
      <c r="CP776" s="15"/>
      <c r="CQ776" s="15"/>
      <c r="CR776" s="15"/>
      <c r="CS776" s="73"/>
      <c r="CT776" s="15"/>
      <c r="CU776" s="15"/>
      <c r="CV776" s="15"/>
      <c r="CW776" s="15"/>
      <c r="CX776" s="15"/>
      <c r="CY776" s="15"/>
      <c r="CZ776" s="15"/>
      <c r="DA776" s="15"/>
      <c r="DB776" s="15"/>
      <c r="DC776" s="15"/>
      <c r="DD776" s="15"/>
      <c r="DE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61"/>
      <c r="BK777" s="15"/>
      <c r="BL777" s="15"/>
      <c r="BM777" s="15"/>
      <c r="BN777" s="15"/>
      <c r="BO777" s="15"/>
      <c r="BP777" s="15"/>
      <c r="BQ777" s="15"/>
      <c r="BR777" s="15"/>
      <c r="BS777" s="15"/>
      <c r="BT777" s="15"/>
      <c r="BU777" s="15"/>
      <c r="BV777" s="15"/>
      <c r="BW777" s="15"/>
      <c r="BX777" s="15"/>
      <c r="BY777" s="15"/>
      <c r="BZ777" s="15"/>
      <c r="CA777" s="15"/>
      <c r="CB777" s="15"/>
      <c r="CC777" s="15"/>
      <c r="CD777" s="15"/>
      <c r="CE777" s="15"/>
      <c r="CF777" s="15"/>
      <c r="CG777" s="15"/>
      <c r="CH777" s="15"/>
      <c r="CI777" s="15"/>
      <c r="CJ777" s="15"/>
      <c r="CK777" s="15"/>
      <c r="CL777" s="15"/>
      <c r="CM777" s="15"/>
      <c r="CN777" s="15"/>
      <c r="CO777" s="15"/>
      <c r="CP777" s="15"/>
      <c r="CQ777" s="15"/>
      <c r="CR777" s="15"/>
      <c r="CS777" s="73"/>
      <c r="CT777" s="15"/>
      <c r="CU777" s="15"/>
      <c r="CV777" s="15"/>
      <c r="CW777" s="15"/>
      <c r="CX777" s="15"/>
      <c r="CY777" s="15"/>
      <c r="CZ777" s="15"/>
      <c r="DA777" s="15"/>
      <c r="DB777" s="15"/>
      <c r="DC777" s="15"/>
      <c r="DD777" s="15"/>
      <c r="DE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61"/>
      <c r="BK778" s="15"/>
      <c r="BL778" s="15"/>
      <c r="BM778" s="15"/>
      <c r="BN778" s="15"/>
      <c r="BO778" s="15"/>
      <c r="BP778" s="15"/>
      <c r="BQ778" s="15"/>
      <c r="BR778" s="15"/>
      <c r="BS778" s="15"/>
      <c r="BT778" s="15"/>
      <c r="BU778" s="15"/>
      <c r="BV778" s="15"/>
      <c r="BW778" s="15"/>
      <c r="BX778" s="15"/>
      <c r="BY778" s="15"/>
      <c r="BZ778" s="15"/>
      <c r="CA778" s="15"/>
      <c r="CB778" s="15"/>
      <c r="CC778" s="15"/>
      <c r="CD778" s="15"/>
      <c r="CE778" s="15"/>
      <c r="CF778" s="15"/>
      <c r="CG778" s="15"/>
      <c r="CH778" s="15"/>
      <c r="CI778" s="15"/>
      <c r="CJ778" s="15"/>
      <c r="CK778" s="15"/>
      <c r="CL778" s="15"/>
      <c r="CM778" s="15"/>
      <c r="CN778" s="15"/>
      <c r="CO778" s="15"/>
      <c r="CP778" s="15"/>
      <c r="CQ778" s="15"/>
      <c r="CR778" s="15"/>
      <c r="CS778" s="73"/>
      <c r="CT778" s="15"/>
      <c r="CU778" s="15"/>
      <c r="CV778" s="15"/>
      <c r="CW778" s="15"/>
      <c r="CX778" s="15"/>
      <c r="CY778" s="15"/>
      <c r="CZ778" s="15"/>
      <c r="DA778" s="15"/>
      <c r="DB778" s="15"/>
      <c r="DC778" s="15"/>
      <c r="DD778" s="15"/>
      <c r="DE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61"/>
      <c r="BK779" s="15"/>
      <c r="BL779" s="15"/>
      <c r="BM779" s="15"/>
      <c r="BN779" s="15"/>
      <c r="BO779" s="15"/>
      <c r="BP779" s="15"/>
      <c r="BQ779" s="15"/>
      <c r="BR779" s="15"/>
      <c r="BS779" s="15"/>
      <c r="BT779" s="15"/>
      <c r="BU779" s="15"/>
      <c r="BV779" s="15"/>
      <c r="BW779" s="15"/>
      <c r="BX779" s="15"/>
      <c r="BY779" s="15"/>
      <c r="BZ779" s="15"/>
      <c r="CA779" s="15"/>
      <c r="CB779" s="15"/>
      <c r="CC779" s="15"/>
      <c r="CD779" s="15"/>
      <c r="CE779" s="15"/>
      <c r="CF779" s="15"/>
      <c r="CG779" s="15"/>
      <c r="CH779" s="15"/>
      <c r="CI779" s="15"/>
      <c r="CJ779" s="15"/>
      <c r="CK779" s="15"/>
      <c r="CL779" s="15"/>
      <c r="CM779" s="15"/>
      <c r="CN779" s="15"/>
      <c r="CO779" s="15"/>
      <c r="CP779" s="15"/>
      <c r="CQ779" s="15"/>
      <c r="CR779" s="15"/>
      <c r="CS779" s="73"/>
      <c r="CT779" s="15"/>
      <c r="CU779" s="15"/>
      <c r="CV779" s="15"/>
      <c r="CW779" s="15"/>
      <c r="CX779" s="15"/>
      <c r="CY779" s="15"/>
      <c r="CZ779" s="15"/>
      <c r="DA779" s="15"/>
      <c r="DB779" s="15"/>
      <c r="DC779" s="15"/>
      <c r="DD779" s="15"/>
      <c r="DE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61"/>
      <c r="BK780" s="15"/>
      <c r="BL780" s="15"/>
      <c r="BM780" s="15"/>
      <c r="BN780" s="15"/>
      <c r="BO780" s="15"/>
      <c r="BP780" s="15"/>
      <c r="BQ780" s="15"/>
      <c r="BR780" s="15"/>
      <c r="BS780" s="15"/>
      <c r="BT780" s="15"/>
      <c r="BU780" s="15"/>
      <c r="BV780" s="15"/>
      <c r="BW780" s="15"/>
      <c r="BX780" s="15"/>
      <c r="BY780" s="15"/>
      <c r="BZ780" s="15"/>
      <c r="CA780" s="15"/>
      <c r="CB780" s="15"/>
      <c r="CC780" s="15"/>
      <c r="CD780" s="15"/>
      <c r="CE780" s="15"/>
      <c r="CF780" s="15"/>
      <c r="CG780" s="15"/>
      <c r="CH780" s="15"/>
      <c r="CI780" s="15"/>
      <c r="CJ780" s="15"/>
      <c r="CK780" s="15"/>
      <c r="CL780" s="15"/>
      <c r="CM780" s="15"/>
      <c r="CN780" s="15"/>
      <c r="CO780" s="15"/>
      <c r="CP780" s="15"/>
      <c r="CQ780" s="15"/>
      <c r="CR780" s="15"/>
      <c r="CS780" s="73"/>
      <c r="CT780" s="15"/>
      <c r="CU780" s="15"/>
      <c r="CV780" s="15"/>
      <c r="CW780" s="15"/>
      <c r="CX780" s="15"/>
      <c r="CY780" s="15"/>
      <c r="CZ780" s="15"/>
      <c r="DA780" s="15"/>
      <c r="DB780" s="15"/>
      <c r="DC780" s="15"/>
      <c r="DD780" s="15"/>
      <c r="DE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61"/>
      <c r="BK781" s="15"/>
      <c r="BL781" s="15"/>
      <c r="BM781" s="15"/>
      <c r="BN781" s="15"/>
      <c r="BO781" s="15"/>
      <c r="BP781" s="15"/>
      <c r="BQ781" s="15"/>
      <c r="BR781" s="15"/>
      <c r="BS781" s="15"/>
      <c r="BT781" s="15"/>
      <c r="BU781" s="15"/>
      <c r="BV781" s="15"/>
      <c r="BW781" s="15"/>
      <c r="BX781" s="15"/>
      <c r="BY781" s="15"/>
      <c r="BZ781" s="15"/>
      <c r="CA781" s="15"/>
      <c r="CB781" s="15"/>
      <c r="CC781" s="15"/>
      <c r="CD781" s="15"/>
      <c r="CE781" s="15"/>
      <c r="CF781" s="15"/>
      <c r="CG781" s="15"/>
      <c r="CH781" s="15"/>
      <c r="CI781" s="15"/>
      <c r="CJ781" s="15"/>
      <c r="CK781" s="15"/>
      <c r="CL781" s="15"/>
      <c r="CM781" s="15"/>
      <c r="CN781" s="15"/>
      <c r="CO781" s="15"/>
      <c r="CP781" s="15"/>
      <c r="CQ781" s="15"/>
      <c r="CR781" s="15"/>
      <c r="CS781" s="73"/>
      <c r="CT781" s="15"/>
      <c r="CU781" s="15"/>
      <c r="CV781" s="15"/>
      <c r="CW781" s="15"/>
      <c r="CX781" s="15"/>
      <c r="CY781" s="15"/>
      <c r="CZ781" s="15"/>
      <c r="DA781" s="15"/>
      <c r="DB781" s="15"/>
      <c r="DC781" s="15"/>
      <c r="DD781" s="15"/>
      <c r="DE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61"/>
      <c r="BK782" s="15"/>
      <c r="BL782" s="15"/>
      <c r="BM782" s="15"/>
      <c r="BN782" s="15"/>
      <c r="BO782" s="15"/>
      <c r="BP782" s="15"/>
      <c r="BQ782" s="15"/>
      <c r="BR782" s="15"/>
      <c r="BS782" s="15"/>
      <c r="BT782" s="15"/>
      <c r="BU782" s="15"/>
      <c r="BV782" s="15"/>
      <c r="BW782" s="15"/>
      <c r="BX782" s="15"/>
      <c r="BY782" s="15"/>
      <c r="BZ782" s="15"/>
      <c r="CA782" s="15"/>
      <c r="CB782" s="15"/>
      <c r="CC782" s="15"/>
      <c r="CD782" s="15"/>
      <c r="CE782" s="15"/>
      <c r="CF782" s="15"/>
      <c r="CG782" s="15"/>
      <c r="CH782" s="15"/>
      <c r="CI782" s="15"/>
      <c r="CJ782" s="15"/>
      <c r="CK782" s="15"/>
      <c r="CL782" s="15"/>
      <c r="CM782" s="15"/>
      <c r="CN782" s="15"/>
      <c r="CO782" s="15"/>
      <c r="CP782" s="15"/>
      <c r="CQ782" s="15"/>
      <c r="CR782" s="15"/>
      <c r="CS782" s="73"/>
      <c r="CT782" s="15"/>
      <c r="CU782" s="15"/>
      <c r="CV782" s="15"/>
      <c r="CW782" s="15"/>
      <c r="CX782" s="15"/>
      <c r="CY782" s="15"/>
      <c r="CZ782" s="15"/>
      <c r="DA782" s="15"/>
      <c r="DB782" s="15"/>
      <c r="DC782" s="15"/>
      <c r="DD782" s="15"/>
      <c r="DE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61"/>
      <c r="BK783" s="15"/>
      <c r="BL783" s="15"/>
      <c r="BM783" s="15"/>
      <c r="BN783" s="15"/>
      <c r="BO783" s="15"/>
      <c r="BP783" s="15"/>
      <c r="BQ783" s="15"/>
      <c r="BR783" s="15"/>
      <c r="BS783" s="15"/>
      <c r="BT783" s="15"/>
      <c r="BU783" s="15"/>
      <c r="BV783" s="15"/>
      <c r="BW783" s="15"/>
      <c r="BX783" s="15"/>
      <c r="BY783" s="15"/>
      <c r="BZ783" s="15"/>
      <c r="CA783" s="15"/>
      <c r="CB783" s="15"/>
      <c r="CC783" s="15"/>
      <c r="CD783" s="15"/>
      <c r="CE783" s="15"/>
      <c r="CF783" s="15"/>
      <c r="CG783" s="15"/>
      <c r="CH783" s="15"/>
      <c r="CI783" s="15"/>
      <c r="CJ783" s="15"/>
      <c r="CK783" s="15"/>
      <c r="CL783" s="15"/>
      <c r="CM783" s="15"/>
      <c r="CN783" s="15"/>
      <c r="CO783" s="15"/>
      <c r="CP783" s="15"/>
      <c r="CQ783" s="15"/>
      <c r="CR783" s="15"/>
      <c r="CS783" s="73"/>
      <c r="CT783" s="15"/>
      <c r="CU783" s="15"/>
      <c r="CV783" s="15"/>
      <c r="CW783" s="15"/>
      <c r="CX783" s="15"/>
      <c r="CY783" s="15"/>
      <c r="CZ783" s="15"/>
      <c r="DA783" s="15"/>
      <c r="DB783" s="15"/>
      <c r="DC783" s="15"/>
      <c r="DD783" s="15"/>
      <c r="DE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61"/>
      <c r="BK784" s="15"/>
      <c r="BL784" s="15"/>
      <c r="BM784" s="15"/>
      <c r="BN784" s="15"/>
      <c r="BO784" s="15"/>
      <c r="BP784" s="15"/>
      <c r="BQ784" s="15"/>
      <c r="BR784" s="15"/>
      <c r="BS784" s="15"/>
      <c r="BT784" s="15"/>
      <c r="BU784" s="15"/>
      <c r="BV784" s="15"/>
      <c r="BW784" s="15"/>
      <c r="BX784" s="15"/>
      <c r="BY784" s="15"/>
      <c r="BZ784" s="15"/>
      <c r="CA784" s="15"/>
      <c r="CB784" s="15"/>
      <c r="CC784" s="15"/>
      <c r="CD784" s="15"/>
      <c r="CE784" s="15"/>
      <c r="CF784" s="15"/>
      <c r="CG784" s="15"/>
      <c r="CH784" s="15"/>
      <c r="CI784" s="15"/>
      <c r="CJ784" s="15"/>
      <c r="CK784" s="15"/>
      <c r="CL784" s="15"/>
      <c r="CM784" s="15"/>
      <c r="CN784" s="15"/>
      <c r="CO784" s="15"/>
      <c r="CP784" s="15"/>
      <c r="CQ784" s="15"/>
      <c r="CR784" s="15"/>
      <c r="CS784" s="73"/>
      <c r="CT784" s="15"/>
      <c r="CU784" s="15"/>
      <c r="CV784" s="15"/>
      <c r="CW784" s="15"/>
      <c r="CX784" s="15"/>
      <c r="CY784" s="15"/>
      <c r="CZ784" s="15"/>
      <c r="DA784" s="15"/>
      <c r="DB784" s="15"/>
      <c r="DC784" s="15"/>
      <c r="DD784" s="15"/>
      <c r="DE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61"/>
      <c r="BK785" s="15"/>
      <c r="BL785" s="15"/>
      <c r="BM785" s="15"/>
      <c r="BN785" s="15"/>
      <c r="BO785" s="15"/>
      <c r="BP785" s="15"/>
      <c r="BQ785" s="15"/>
      <c r="BR785" s="15"/>
      <c r="BS785" s="15"/>
      <c r="BT785" s="15"/>
      <c r="BU785" s="15"/>
      <c r="BV785" s="15"/>
      <c r="BW785" s="15"/>
      <c r="BX785" s="15"/>
      <c r="BY785" s="15"/>
      <c r="BZ785" s="15"/>
      <c r="CA785" s="15"/>
      <c r="CB785" s="15"/>
      <c r="CC785" s="15"/>
      <c r="CD785" s="15"/>
      <c r="CE785" s="15"/>
      <c r="CF785" s="15"/>
      <c r="CG785" s="15"/>
      <c r="CH785" s="15"/>
      <c r="CI785" s="15"/>
      <c r="CJ785" s="15"/>
      <c r="CK785" s="15"/>
      <c r="CL785" s="15"/>
      <c r="CM785" s="15"/>
      <c r="CN785" s="15"/>
      <c r="CO785" s="15"/>
      <c r="CP785" s="15"/>
      <c r="CQ785" s="15"/>
      <c r="CR785" s="15"/>
      <c r="CS785" s="73"/>
      <c r="CT785" s="15"/>
      <c r="CU785" s="15"/>
      <c r="CV785" s="15"/>
      <c r="CW785" s="15"/>
      <c r="CX785" s="15"/>
      <c r="CY785" s="15"/>
      <c r="CZ785" s="15"/>
      <c r="DA785" s="15"/>
      <c r="DB785" s="15"/>
      <c r="DC785" s="15"/>
      <c r="DD785" s="15"/>
      <c r="DE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61"/>
      <c r="BK786" s="15"/>
      <c r="BL786" s="15"/>
      <c r="BM786" s="15"/>
      <c r="BN786" s="15"/>
      <c r="BO786" s="15"/>
      <c r="BP786" s="15"/>
      <c r="BQ786" s="15"/>
      <c r="BR786" s="15"/>
      <c r="BS786" s="15"/>
      <c r="BT786" s="15"/>
      <c r="BU786" s="15"/>
      <c r="BV786" s="15"/>
      <c r="BW786" s="15"/>
      <c r="BX786" s="15"/>
      <c r="BY786" s="15"/>
      <c r="BZ786" s="15"/>
      <c r="CA786" s="15"/>
      <c r="CB786" s="15"/>
      <c r="CC786" s="15"/>
      <c r="CD786" s="15"/>
      <c r="CE786" s="15"/>
      <c r="CF786" s="15"/>
      <c r="CG786" s="15"/>
      <c r="CH786" s="15"/>
      <c r="CI786" s="15"/>
      <c r="CJ786" s="15"/>
      <c r="CK786" s="15"/>
      <c r="CL786" s="15"/>
      <c r="CM786" s="15"/>
      <c r="CN786" s="15"/>
      <c r="CO786" s="15"/>
      <c r="CP786" s="15"/>
      <c r="CQ786" s="15"/>
      <c r="CR786" s="15"/>
      <c r="CS786" s="73"/>
      <c r="CT786" s="15"/>
      <c r="CU786" s="15"/>
      <c r="CV786" s="15"/>
      <c r="CW786" s="15"/>
      <c r="CX786" s="15"/>
      <c r="CY786" s="15"/>
      <c r="CZ786" s="15"/>
      <c r="DA786" s="15"/>
      <c r="DB786" s="15"/>
      <c r="DC786" s="15"/>
      <c r="DD786" s="15"/>
      <c r="DE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61"/>
      <c r="BK787" s="15"/>
      <c r="BL787" s="15"/>
      <c r="BM787" s="15"/>
      <c r="BN787" s="15"/>
      <c r="BO787" s="15"/>
      <c r="BP787" s="15"/>
      <c r="BQ787" s="15"/>
      <c r="BR787" s="15"/>
      <c r="BS787" s="15"/>
      <c r="BT787" s="15"/>
      <c r="BU787" s="15"/>
      <c r="BV787" s="15"/>
      <c r="BW787" s="15"/>
      <c r="BX787" s="15"/>
      <c r="BY787" s="15"/>
      <c r="BZ787" s="15"/>
      <c r="CA787" s="15"/>
      <c r="CB787" s="15"/>
      <c r="CC787" s="15"/>
      <c r="CD787" s="15"/>
      <c r="CE787" s="15"/>
      <c r="CF787" s="15"/>
      <c r="CG787" s="15"/>
      <c r="CH787" s="15"/>
      <c r="CI787" s="15"/>
      <c r="CJ787" s="15"/>
      <c r="CK787" s="15"/>
      <c r="CL787" s="15"/>
      <c r="CM787" s="15"/>
      <c r="CN787" s="15"/>
      <c r="CO787" s="15"/>
      <c r="CP787" s="15"/>
      <c r="CQ787" s="15"/>
      <c r="CR787" s="15"/>
      <c r="CS787" s="73"/>
      <c r="CT787" s="15"/>
      <c r="CU787" s="15"/>
      <c r="CV787" s="15"/>
      <c r="CW787" s="15"/>
      <c r="CX787" s="15"/>
      <c r="CY787" s="15"/>
      <c r="CZ787" s="15"/>
      <c r="DA787" s="15"/>
      <c r="DB787" s="15"/>
      <c r="DC787" s="15"/>
      <c r="DD787" s="15"/>
      <c r="DE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61"/>
      <c r="BK788" s="15"/>
      <c r="BL788" s="15"/>
      <c r="BM788" s="15"/>
      <c r="BN788" s="15"/>
      <c r="BO788" s="15"/>
      <c r="BP788" s="15"/>
      <c r="BQ788" s="15"/>
      <c r="BR788" s="15"/>
      <c r="BS788" s="15"/>
      <c r="BT788" s="15"/>
      <c r="BU788" s="15"/>
      <c r="BV788" s="15"/>
      <c r="BW788" s="15"/>
      <c r="BX788" s="15"/>
      <c r="BY788" s="15"/>
      <c r="BZ788" s="15"/>
      <c r="CA788" s="15"/>
      <c r="CB788" s="15"/>
      <c r="CC788" s="15"/>
      <c r="CD788" s="15"/>
      <c r="CE788" s="15"/>
      <c r="CF788" s="15"/>
      <c r="CG788" s="15"/>
      <c r="CH788" s="15"/>
      <c r="CI788" s="15"/>
      <c r="CJ788" s="15"/>
      <c r="CK788" s="15"/>
      <c r="CL788" s="15"/>
      <c r="CM788" s="15"/>
      <c r="CN788" s="15"/>
      <c r="CO788" s="15"/>
      <c r="CP788" s="15"/>
      <c r="CQ788" s="15"/>
      <c r="CR788" s="15"/>
      <c r="CS788" s="73"/>
      <c r="CT788" s="15"/>
      <c r="CU788" s="15"/>
      <c r="CV788" s="15"/>
      <c r="CW788" s="15"/>
      <c r="CX788" s="15"/>
      <c r="CY788" s="15"/>
      <c r="CZ788" s="15"/>
      <c r="DA788" s="15"/>
      <c r="DB788" s="15"/>
      <c r="DC788" s="15"/>
      <c r="DD788" s="15"/>
      <c r="DE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61"/>
      <c r="BK789" s="15"/>
      <c r="BL789" s="15"/>
      <c r="BM789" s="15"/>
      <c r="BN789" s="15"/>
      <c r="BO789" s="15"/>
      <c r="BP789" s="15"/>
      <c r="BQ789" s="15"/>
      <c r="BR789" s="15"/>
      <c r="BS789" s="15"/>
      <c r="BT789" s="15"/>
      <c r="BU789" s="15"/>
      <c r="BV789" s="15"/>
      <c r="BW789" s="15"/>
      <c r="BX789" s="15"/>
      <c r="BY789" s="15"/>
      <c r="BZ789" s="15"/>
      <c r="CA789" s="15"/>
      <c r="CB789" s="15"/>
      <c r="CC789" s="15"/>
      <c r="CD789" s="15"/>
      <c r="CE789" s="15"/>
      <c r="CF789" s="15"/>
      <c r="CG789" s="15"/>
      <c r="CH789" s="15"/>
      <c r="CI789" s="15"/>
      <c r="CJ789" s="15"/>
      <c r="CK789" s="15"/>
      <c r="CL789" s="15"/>
      <c r="CM789" s="15"/>
      <c r="CN789" s="15"/>
      <c r="CO789" s="15"/>
      <c r="CP789" s="15"/>
      <c r="CQ789" s="15"/>
      <c r="CR789" s="15"/>
      <c r="CS789" s="73"/>
      <c r="CT789" s="15"/>
      <c r="CU789" s="15"/>
      <c r="CV789" s="15"/>
      <c r="CW789" s="15"/>
      <c r="CX789" s="15"/>
      <c r="CY789" s="15"/>
      <c r="CZ789" s="15"/>
      <c r="DA789" s="15"/>
      <c r="DB789" s="15"/>
      <c r="DC789" s="15"/>
      <c r="DD789" s="15"/>
      <c r="DE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61"/>
      <c r="BK790" s="15"/>
      <c r="BL790" s="15"/>
      <c r="BM790" s="15"/>
      <c r="BN790" s="15"/>
      <c r="BO790" s="15"/>
      <c r="BP790" s="15"/>
      <c r="BQ790" s="15"/>
      <c r="BR790" s="15"/>
      <c r="BS790" s="15"/>
      <c r="BT790" s="15"/>
      <c r="BU790" s="15"/>
      <c r="BV790" s="15"/>
      <c r="BW790" s="15"/>
      <c r="BX790" s="15"/>
      <c r="BY790" s="15"/>
      <c r="BZ790" s="15"/>
      <c r="CA790" s="15"/>
      <c r="CB790" s="15"/>
      <c r="CC790" s="15"/>
      <c r="CD790" s="15"/>
      <c r="CE790" s="15"/>
      <c r="CF790" s="15"/>
      <c r="CG790" s="15"/>
      <c r="CH790" s="15"/>
      <c r="CI790" s="15"/>
      <c r="CJ790" s="15"/>
      <c r="CK790" s="15"/>
      <c r="CL790" s="15"/>
      <c r="CM790" s="15"/>
      <c r="CN790" s="15"/>
      <c r="CO790" s="15"/>
      <c r="CP790" s="15"/>
      <c r="CQ790" s="15"/>
      <c r="CR790" s="15"/>
      <c r="CS790" s="73"/>
      <c r="CT790" s="15"/>
      <c r="CU790" s="15"/>
      <c r="CV790" s="15"/>
      <c r="CW790" s="15"/>
      <c r="CX790" s="15"/>
      <c r="CY790" s="15"/>
      <c r="CZ790" s="15"/>
      <c r="DA790" s="15"/>
      <c r="DB790" s="15"/>
      <c r="DC790" s="15"/>
      <c r="DD790" s="15"/>
      <c r="DE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61"/>
      <c r="BK791" s="15"/>
      <c r="BL791" s="15"/>
      <c r="BM791" s="15"/>
      <c r="BN791" s="15"/>
      <c r="BO791" s="15"/>
      <c r="BP791" s="15"/>
      <c r="BQ791" s="15"/>
      <c r="BR791" s="15"/>
      <c r="BS791" s="15"/>
      <c r="BT791" s="15"/>
      <c r="BU791" s="15"/>
      <c r="BV791" s="15"/>
      <c r="BW791" s="15"/>
      <c r="BX791" s="15"/>
      <c r="BY791" s="15"/>
      <c r="BZ791" s="15"/>
      <c r="CA791" s="15"/>
      <c r="CB791" s="15"/>
      <c r="CC791" s="15"/>
      <c r="CD791" s="15"/>
      <c r="CE791" s="15"/>
      <c r="CF791" s="15"/>
      <c r="CG791" s="15"/>
      <c r="CH791" s="15"/>
      <c r="CI791" s="15"/>
      <c r="CJ791" s="15"/>
      <c r="CK791" s="15"/>
      <c r="CL791" s="15"/>
      <c r="CM791" s="15"/>
      <c r="CN791" s="15"/>
      <c r="CO791" s="15"/>
      <c r="CP791" s="15"/>
      <c r="CQ791" s="15"/>
      <c r="CR791" s="15"/>
      <c r="CS791" s="73"/>
      <c r="CT791" s="15"/>
      <c r="CU791" s="15"/>
      <c r="CV791" s="15"/>
      <c r="CW791" s="15"/>
      <c r="CX791" s="15"/>
      <c r="CY791" s="15"/>
      <c r="CZ791" s="15"/>
      <c r="DA791" s="15"/>
      <c r="DB791" s="15"/>
      <c r="DC791" s="15"/>
      <c r="DD791" s="15"/>
      <c r="DE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61"/>
      <c r="BK792" s="15"/>
      <c r="BL792" s="15"/>
      <c r="BM792" s="15"/>
      <c r="BN792" s="15"/>
      <c r="BO792" s="15"/>
      <c r="BP792" s="15"/>
      <c r="BQ792" s="15"/>
      <c r="BR792" s="15"/>
      <c r="BS792" s="15"/>
      <c r="BT792" s="15"/>
      <c r="BU792" s="15"/>
      <c r="BV792" s="15"/>
      <c r="BW792" s="15"/>
      <c r="BX792" s="15"/>
      <c r="BY792" s="15"/>
      <c r="BZ792" s="15"/>
      <c r="CA792" s="15"/>
      <c r="CB792" s="15"/>
      <c r="CC792" s="15"/>
      <c r="CD792" s="15"/>
      <c r="CE792" s="15"/>
      <c r="CF792" s="15"/>
      <c r="CG792" s="15"/>
      <c r="CH792" s="15"/>
      <c r="CI792" s="15"/>
      <c r="CJ792" s="15"/>
      <c r="CK792" s="15"/>
      <c r="CL792" s="15"/>
      <c r="CM792" s="15"/>
      <c r="CN792" s="15"/>
      <c r="CO792" s="15"/>
      <c r="CP792" s="15"/>
      <c r="CQ792" s="15"/>
      <c r="CR792" s="15"/>
      <c r="CS792" s="73"/>
      <c r="CT792" s="15"/>
      <c r="CU792" s="15"/>
      <c r="CV792" s="15"/>
      <c r="CW792" s="15"/>
      <c r="CX792" s="15"/>
      <c r="CY792" s="15"/>
      <c r="CZ792" s="15"/>
      <c r="DA792" s="15"/>
      <c r="DB792" s="15"/>
      <c r="DC792" s="15"/>
      <c r="DD792" s="15"/>
      <c r="DE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61"/>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15"/>
      <c r="CO793" s="15"/>
      <c r="CP793" s="15"/>
      <c r="CQ793" s="15"/>
      <c r="CR793" s="15"/>
      <c r="CS793" s="73"/>
      <c r="CT793" s="15"/>
      <c r="CU793" s="15"/>
      <c r="CV793" s="15"/>
      <c r="CW793" s="15"/>
      <c r="CX793" s="15"/>
      <c r="CY793" s="15"/>
      <c r="CZ793" s="15"/>
      <c r="DA793" s="15"/>
      <c r="DB793" s="15"/>
      <c r="DC793" s="15"/>
      <c r="DD793" s="15"/>
      <c r="DE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61"/>
      <c r="BK794" s="15"/>
      <c r="BL794" s="15"/>
      <c r="BM794" s="15"/>
      <c r="BN794" s="15"/>
      <c r="BO794" s="15"/>
      <c r="BP794" s="15"/>
      <c r="BQ794" s="15"/>
      <c r="BR794" s="15"/>
      <c r="BS794" s="15"/>
      <c r="BT794" s="15"/>
      <c r="BU794" s="15"/>
      <c r="BV794" s="15"/>
      <c r="BW794" s="15"/>
      <c r="BX794" s="15"/>
      <c r="BY794" s="15"/>
      <c r="BZ794" s="15"/>
      <c r="CA794" s="15"/>
      <c r="CB794" s="15"/>
      <c r="CC794" s="15"/>
      <c r="CD794" s="15"/>
      <c r="CE794" s="15"/>
      <c r="CF794" s="15"/>
      <c r="CG794" s="15"/>
      <c r="CH794" s="15"/>
      <c r="CI794" s="15"/>
      <c r="CJ794" s="15"/>
      <c r="CK794" s="15"/>
      <c r="CL794" s="15"/>
      <c r="CM794" s="15"/>
      <c r="CN794" s="15"/>
      <c r="CO794" s="15"/>
      <c r="CP794" s="15"/>
      <c r="CQ794" s="15"/>
      <c r="CR794" s="15"/>
      <c r="CS794" s="73"/>
      <c r="CT794" s="15"/>
      <c r="CU794" s="15"/>
      <c r="CV794" s="15"/>
      <c r="CW794" s="15"/>
      <c r="CX794" s="15"/>
      <c r="CY794" s="15"/>
      <c r="CZ794" s="15"/>
      <c r="DA794" s="15"/>
      <c r="DB794" s="15"/>
      <c r="DC794" s="15"/>
      <c r="DD794" s="15"/>
      <c r="DE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61"/>
      <c r="BK795" s="15"/>
      <c r="BL795" s="15"/>
      <c r="BM795" s="15"/>
      <c r="BN795" s="15"/>
      <c r="BO795" s="15"/>
      <c r="BP795" s="15"/>
      <c r="BQ795" s="15"/>
      <c r="BR795" s="15"/>
      <c r="BS795" s="15"/>
      <c r="BT795" s="15"/>
      <c r="BU795" s="15"/>
      <c r="BV795" s="15"/>
      <c r="BW795" s="15"/>
      <c r="BX795" s="15"/>
      <c r="BY795" s="15"/>
      <c r="BZ795" s="15"/>
      <c r="CA795" s="15"/>
      <c r="CB795" s="15"/>
      <c r="CC795" s="15"/>
      <c r="CD795" s="15"/>
      <c r="CE795" s="15"/>
      <c r="CF795" s="15"/>
      <c r="CG795" s="15"/>
      <c r="CH795" s="15"/>
      <c r="CI795" s="15"/>
      <c r="CJ795" s="15"/>
      <c r="CK795" s="15"/>
      <c r="CL795" s="15"/>
      <c r="CM795" s="15"/>
      <c r="CN795" s="15"/>
      <c r="CO795" s="15"/>
      <c r="CP795" s="15"/>
      <c r="CQ795" s="15"/>
      <c r="CR795" s="15"/>
      <c r="CS795" s="73"/>
      <c r="CT795" s="15"/>
      <c r="CU795" s="15"/>
      <c r="CV795" s="15"/>
      <c r="CW795" s="15"/>
      <c r="CX795" s="15"/>
      <c r="CY795" s="15"/>
      <c r="CZ795" s="15"/>
      <c r="DA795" s="15"/>
      <c r="DB795" s="15"/>
      <c r="DC795" s="15"/>
      <c r="DD795" s="15"/>
      <c r="DE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61"/>
      <c r="BK796" s="15"/>
      <c r="BL796" s="15"/>
      <c r="BM796" s="15"/>
      <c r="BN796" s="15"/>
      <c r="BO796" s="15"/>
      <c r="BP796" s="15"/>
      <c r="BQ796" s="15"/>
      <c r="BR796" s="15"/>
      <c r="BS796" s="15"/>
      <c r="BT796" s="15"/>
      <c r="BU796" s="15"/>
      <c r="BV796" s="15"/>
      <c r="BW796" s="15"/>
      <c r="BX796" s="15"/>
      <c r="BY796" s="15"/>
      <c r="BZ796" s="15"/>
      <c r="CA796" s="15"/>
      <c r="CB796" s="15"/>
      <c r="CC796" s="15"/>
      <c r="CD796" s="15"/>
      <c r="CE796" s="15"/>
      <c r="CF796" s="15"/>
      <c r="CG796" s="15"/>
      <c r="CH796" s="15"/>
      <c r="CI796" s="15"/>
      <c r="CJ796" s="15"/>
      <c r="CK796" s="15"/>
      <c r="CL796" s="15"/>
      <c r="CM796" s="15"/>
      <c r="CN796" s="15"/>
      <c r="CO796" s="15"/>
      <c r="CP796" s="15"/>
      <c r="CQ796" s="15"/>
      <c r="CR796" s="15"/>
      <c r="CS796" s="73"/>
      <c r="CT796" s="15"/>
      <c r="CU796" s="15"/>
      <c r="CV796" s="15"/>
      <c r="CW796" s="15"/>
      <c r="CX796" s="15"/>
      <c r="CY796" s="15"/>
      <c r="CZ796" s="15"/>
      <c r="DA796" s="15"/>
      <c r="DB796" s="15"/>
      <c r="DC796" s="15"/>
      <c r="DD796" s="15"/>
      <c r="DE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61"/>
      <c r="BK797" s="15"/>
      <c r="BL797" s="15"/>
      <c r="BM797" s="15"/>
      <c r="BN797" s="15"/>
      <c r="BO797" s="15"/>
      <c r="BP797" s="15"/>
      <c r="BQ797" s="15"/>
      <c r="BR797" s="15"/>
      <c r="BS797" s="15"/>
      <c r="BT797" s="15"/>
      <c r="BU797" s="15"/>
      <c r="BV797" s="15"/>
      <c r="BW797" s="15"/>
      <c r="BX797" s="15"/>
      <c r="BY797" s="15"/>
      <c r="BZ797" s="15"/>
      <c r="CA797" s="15"/>
      <c r="CB797" s="15"/>
      <c r="CC797" s="15"/>
      <c r="CD797" s="15"/>
      <c r="CE797" s="15"/>
      <c r="CF797" s="15"/>
      <c r="CG797" s="15"/>
      <c r="CH797" s="15"/>
      <c r="CI797" s="15"/>
      <c r="CJ797" s="15"/>
      <c r="CK797" s="15"/>
      <c r="CL797" s="15"/>
      <c r="CM797" s="15"/>
      <c r="CN797" s="15"/>
      <c r="CO797" s="15"/>
      <c r="CP797" s="15"/>
      <c r="CQ797" s="15"/>
      <c r="CR797" s="15"/>
      <c r="CS797" s="73"/>
      <c r="CT797" s="15"/>
      <c r="CU797" s="15"/>
      <c r="CV797" s="15"/>
      <c r="CW797" s="15"/>
      <c r="CX797" s="15"/>
      <c r="CY797" s="15"/>
      <c r="CZ797" s="15"/>
      <c r="DA797" s="15"/>
      <c r="DB797" s="15"/>
      <c r="DC797" s="15"/>
      <c r="DD797" s="15"/>
      <c r="DE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61"/>
      <c r="BK798" s="15"/>
      <c r="BL798" s="15"/>
      <c r="BM798" s="15"/>
      <c r="BN798" s="15"/>
      <c r="BO798" s="15"/>
      <c r="BP798" s="15"/>
      <c r="BQ798" s="15"/>
      <c r="BR798" s="15"/>
      <c r="BS798" s="15"/>
      <c r="BT798" s="15"/>
      <c r="BU798" s="15"/>
      <c r="BV798" s="15"/>
      <c r="BW798" s="15"/>
      <c r="BX798" s="15"/>
      <c r="BY798" s="15"/>
      <c r="BZ798" s="15"/>
      <c r="CA798" s="15"/>
      <c r="CB798" s="15"/>
      <c r="CC798" s="15"/>
      <c r="CD798" s="15"/>
      <c r="CE798" s="15"/>
      <c r="CF798" s="15"/>
      <c r="CG798" s="15"/>
      <c r="CH798" s="15"/>
      <c r="CI798" s="15"/>
      <c r="CJ798" s="15"/>
      <c r="CK798" s="15"/>
      <c r="CL798" s="15"/>
      <c r="CM798" s="15"/>
      <c r="CN798" s="15"/>
      <c r="CO798" s="15"/>
      <c r="CP798" s="15"/>
      <c r="CQ798" s="15"/>
      <c r="CR798" s="15"/>
      <c r="CS798" s="73"/>
      <c r="CT798" s="15"/>
      <c r="CU798" s="15"/>
      <c r="CV798" s="15"/>
      <c r="CW798" s="15"/>
      <c r="CX798" s="15"/>
      <c r="CY798" s="15"/>
      <c r="CZ798" s="15"/>
      <c r="DA798" s="15"/>
      <c r="DB798" s="15"/>
      <c r="DC798" s="15"/>
      <c r="DD798" s="15"/>
      <c r="DE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61"/>
      <c r="BK799" s="15"/>
      <c r="BL799" s="15"/>
      <c r="BM799" s="15"/>
      <c r="BN799" s="15"/>
      <c r="BO799" s="15"/>
      <c r="BP799" s="15"/>
      <c r="BQ799" s="15"/>
      <c r="BR799" s="15"/>
      <c r="BS799" s="15"/>
      <c r="BT799" s="15"/>
      <c r="BU799" s="15"/>
      <c r="BV799" s="15"/>
      <c r="BW799" s="15"/>
      <c r="BX799" s="15"/>
      <c r="BY799" s="15"/>
      <c r="BZ799" s="15"/>
      <c r="CA799" s="15"/>
      <c r="CB799" s="15"/>
      <c r="CC799" s="15"/>
      <c r="CD799" s="15"/>
      <c r="CE799" s="15"/>
      <c r="CF799" s="15"/>
      <c r="CG799" s="15"/>
      <c r="CH799" s="15"/>
      <c r="CI799" s="15"/>
      <c r="CJ799" s="15"/>
      <c r="CK799" s="15"/>
      <c r="CL799" s="15"/>
      <c r="CM799" s="15"/>
      <c r="CN799" s="15"/>
      <c r="CO799" s="15"/>
      <c r="CP799" s="15"/>
      <c r="CQ799" s="15"/>
      <c r="CR799" s="15"/>
      <c r="CS799" s="73"/>
      <c r="CT799" s="15"/>
      <c r="CU799" s="15"/>
      <c r="CV799" s="15"/>
      <c r="CW799" s="15"/>
      <c r="CX799" s="15"/>
      <c r="CY799" s="15"/>
      <c r="CZ799" s="15"/>
      <c r="DA799" s="15"/>
      <c r="DB799" s="15"/>
      <c r="DC799" s="15"/>
      <c r="DD799" s="15"/>
      <c r="DE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c r="AW800" s="15"/>
      <c r="AX800" s="15"/>
      <c r="AY800" s="15"/>
      <c r="AZ800" s="15"/>
      <c r="BA800" s="15"/>
      <c r="BB800" s="15"/>
      <c r="BC800" s="15"/>
      <c r="BD800" s="15"/>
      <c r="BE800" s="15"/>
      <c r="BF800" s="15"/>
      <c r="BG800" s="15"/>
      <c r="BH800" s="15"/>
      <c r="BI800" s="15"/>
      <c r="BJ800" s="61"/>
      <c r="BK800" s="15"/>
      <c r="BL800" s="15"/>
      <c r="BM800" s="15"/>
      <c r="BN800" s="15"/>
      <c r="BO800" s="15"/>
      <c r="BP800" s="15"/>
      <c r="BQ800" s="15"/>
      <c r="BR800" s="15"/>
      <c r="BS800" s="15"/>
      <c r="BT800" s="15"/>
      <c r="BU800" s="15"/>
      <c r="BV800" s="15"/>
      <c r="BW800" s="15"/>
      <c r="BX800" s="15"/>
      <c r="BY800" s="15"/>
      <c r="BZ800" s="15"/>
      <c r="CA800" s="15"/>
      <c r="CB800" s="15"/>
      <c r="CC800" s="15"/>
      <c r="CD800" s="15"/>
      <c r="CE800" s="15"/>
      <c r="CF800" s="15"/>
      <c r="CG800" s="15"/>
      <c r="CH800" s="15"/>
      <c r="CI800" s="15"/>
      <c r="CJ800" s="15"/>
      <c r="CK800" s="15"/>
      <c r="CL800" s="15"/>
      <c r="CM800" s="15"/>
      <c r="CN800" s="15"/>
      <c r="CO800" s="15"/>
      <c r="CP800" s="15"/>
      <c r="CQ800" s="15"/>
      <c r="CR800" s="15"/>
      <c r="CS800" s="73"/>
      <c r="CT800" s="15"/>
      <c r="CU800" s="15"/>
      <c r="CV800" s="15"/>
      <c r="CW800" s="15"/>
      <c r="CX800" s="15"/>
      <c r="CY800" s="15"/>
      <c r="CZ800" s="15"/>
      <c r="DA800" s="15"/>
      <c r="DB800" s="15"/>
      <c r="DC800" s="15"/>
      <c r="DD800" s="15"/>
      <c r="DE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61"/>
      <c r="BK801" s="15"/>
      <c r="BL801" s="15"/>
      <c r="BM801" s="15"/>
      <c r="BN801" s="15"/>
      <c r="BO801" s="15"/>
      <c r="BP801" s="15"/>
      <c r="BQ801" s="15"/>
      <c r="BR801" s="15"/>
      <c r="BS801" s="15"/>
      <c r="BT801" s="15"/>
      <c r="BU801" s="15"/>
      <c r="BV801" s="15"/>
      <c r="BW801" s="15"/>
      <c r="BX801" s="15"/>
      <c r="BY801" s="15"/>
      <c r="BZ801" s="15"/>
      <c r="CA801" s="15"/>
      <c r="CB801" s="15"/>
      <c r="CC801" s="15"/>
      <c r="CD801" s="15"/>
      <c r="CE801" s="15"/>
      <c r="CF801" s="15"/>
      <c r="CG801" s="15"/>
      <c r="CH801" s="15"/>
      <c r="CI801" s="15"/>
      <c r="CJ801" s="15"/>
      <c r="CK801" s="15"/>
      <c r="CL801" s="15"/>
      <c r="CM801" s="15"/>
      <c r="CN801" s="15"/>
      <c r="CO801" s="15"/>
      <c r="CP801" s="15"/>
      <c r="CQ801" s="15"/>
      <c r="CR801" s="15"/>
      <c r="CS801" s="73"/>
      <c r="CT801" s="15"/>
      <c r="CU801" s="15"/>
      <c r="CV801" s="15"/>
      <c r="CW801" s="15"/>
      <c r="CX801" s="15"/>
      <c r="CY801" s="15"/>
      <c r="CZ801" s="15"/>
      <c r="DA801" s="15"/>
      <c r="DB801" s="15"/>
      <c r="DC801" s="15"/>
      <c r="DD801" s="15"/>
      <c r="DE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c r="AW802" s="15"/>
      <c r="AX802" s="15"/>
      <c r="AY802" s="15"/>
      <c r="AZ802" s="15"/>
      <c r="BA802" s="15"/>
      <c r="BB802" s="15"/>
      <c r="BC802" s="15"/>
      <c r="BD802" s="15"/>
      <c r="BE802" s="15"/>
      <c r="BF802" s="15"/>
      <c r="BG802" s="15"/>
      <c r="BH802" s="15"/>
      <c r="BI802" s="15"/>
      <c r="BJ802" s="61"/>
      <c r="BK802" s="15"/>
      <c r="BL802" s="15"/>
      <c r="BM802" s="15"/>
      <c r="BN802" s="15"/>
      <c r="BO802" s="15"/>
      <c r="BP802" s="15"/>
      <c r="BQ802" s="15"/>
      <c r="BR802" s="15"/>
      <c r="BS802" s="15"/>
      <c r="BT802" s="15"/>
      <c r="BU802" s="15"/>
      <c r="BV802" s="15"/>
      <c r="BW802" s="15"/>
      <c r="BX802" s="15"/>
      <c r="BY802" s="15"/>
      <c r="BZ802" s="15"/>
      <c r="CA802" s="15"/>
      <c r="CB802" s="15"/>
      <c r="CC802" s="15"/>
      <c r="CD802" s="15"/>
      <c r="CE802" s="15"/>
      <c r="CF802" s="15"/>
      <c r="CG802" s="15"/>
      <c r="CH802" s="15"/>
      <c r="CI802" s="15"/>
      <c r="CJ802" s="15"/>
      <c r="CK802" s="15"/>
      <c r="CL802" s="15"/>
      <c r="CM802" s="15"/>
      <c r="CN802" s="15"/>
      <c r="CO802" s="15"/>
      <c r="CP802" s="15"/>
      <c r="CQ802" s="15"/>
      <c r="CR802" s="15"/>
      <c r="CS802" s="73"/>
      <c r="CT802" s="15"/>
      <c r="CU802" s="15"/>
      <c r="CV802" s="15"/>
      <c r="CW802" s="15"/>
      <c r="CX802" s="15"/>
      <c r="CY802" s="15"/>
      <c r="CZ802" s="15"/>
      <c r="DA802" s="15"/>
      <c r="DB802" s="15"/>
      <c r="DC802" s="15"/>
      <c r="DD802" s="15"/>
      <c r="DE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c r="AW803" s="15"/>
      <c r="AX803" s="15"/>
      <c r="AY803" s="15"/>
      <c r="AZ803" s="15"/>
      <c r="BA803" s="15"/>
      <c r="BB803" s="15"/>
      <c r="BC803" s="15"/>
      <c r="BD803" s="15"/>
      <c r="BE803" s="15"/>
      <c r="BF803" s="15"/>
      <c r="BG803" s="15"/>
      <c r="BH803" s="15"/>
      <c r="BI803" s="15"/>
      <c r="BJ803" s="61"/>
      <c r="BK803" s="15"/>
      <c r="BL803" s="15"/>
      <c r="BM803" s="15"/>
      <c r="BN803" s="15"/>
      <c r="BO803" s="15"/>
      <c r="BP803" s="15"/>
      <c r="BQ803" s="15"/>
      <c r="BR803" s="15"/>
      <c r="BS803" s="15"/>
      <c r="BT803" s="15"/>
      <c r="BU803" s="15"/>
      <c r="BV803" s="15"/>
      <c r="BW803" s="15"/>
      <c r="BX803" s="15"/>
      <c r="BY803" s="15"/>
      <c r="BZ803" s="15"/>
      <c r="CA803" s="15"/>
      <c r="CB803" s="15"/>
      <c r="CC803" s="15"/>
      <c r="CD803" s="15"/>
      <c r="CE803" s="15"/>
      <c r="CF803" s="15"/>
      <c r="CG803" s="15"/>
      <c r="CH803" s="15"/>
      <c r="CI803" s="15"/>
      <c r="CJ803" s="15"/>
      <c r="CK803" s="15"/>
      <c r="CL803" s="15"/>
      <c r="CM803" s="15"/>
      <c r="CN803" s="15"/>
      <c r="CO803" s="15"/>
      <c r="CP803" s="15"/>
      <c r="CQ803" s="15"/>
      <c r="CR803" s="15"/>
      <c r="CS803" s="73"/>
      <c r="CT803" s="15"/>
      <c r="CU803" s="15"/>
      <c r="CV803" s="15"/>
      <c r="CW803" s="15"/>
      <c r="CX803" s="15"/>
      <c r="CY803" s="15"/>
      <c r="CZ803" s="15"/>
      <c r="DA803" s="15"/>
      <c r="DB803" s="15"/>
      <c r="DC803" s="15"/>
      <c r="DD803" s="15"/>
      <c r="DE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c r="AW804" s="15"/>
      <c r="AX804" s="15"/>
      <c r="AY804" s="15"/>
      <c r="AZ804" s="15"/>
      <c r="BA804" s="15"/>
      <c r="BB804" s="15"/>
      <c r="BC804" s="15"/>
      <c r="BD804" s="15"/>
      <c r="BE804" s="15"/>
      <c r="BF804" s="15"/>
      <c r="BG804" s="15"/>
      <c r="BH804" s="15"/>
      <c r="BI804" s="15"/>
      <c r="BJ804" s="61"/>
      <c r="BK804" s="15"/>
      <c r="BL804" s="15"/>
      <c r="BM804" s="15"/>
      <c r="BN804" s="15"/>
      <c r="BO804" s="15"/>
      <c r="BP804" s="15"/>
      <c r="BQ804" s="15"/>
      <c r="BR804" s="15"/>
      <c r="BS804" s="15"/>
      <c r="BT804" s="15"/>
      <c r="BU804" s="15"/>
      <c r="BV804" s="15"/>
      <c r="BW804" s="15"/>
      <c r="BX804" s="15"/>
      <c r="BY804" s="15"/>
      <c r="BZ804" s="15"/>
      <c r="CA804" s="15"/>
      <c r="CB804" s="15"/>
      <c r="CC804" s="15"/>
      <c r="CD804" s="15"/>
      <c r="CE804" s="15"/>
      <c r="CF804" s="15"/>
      <c r="CG804" s="15"/>
      <c r="CH804" s="15"/>
      <c r="CI804" s="15"/>
      <c r="CJ804" s="15"/>
      <c r="CK804" s="15"/>
      <c r="CL804" s="15"/>
      <c r="CM804" s="15"/>
      <c r="CN804" s="15"/>
      <c r="CO804" s="15"/>
      <c r="CP804" s="15"/>
      <c r="CQ804" s="15"/>
      <c r="CR804" s="15"/>
      <c r="CS804" s="73"/>
      <c r="CT804" s="15"/>
      <c r="CU804" s="15"/>
      <c r="CV804" s="15"/>
      <c r="CW804" s="15"/>
      <c r="CX804" s="15"/>
      <c r="CY804" s="15"/>
      <c r="CZ804" s="15"/>
      <c r="DA804" s="15"/>
      <c r="DB804" s="15"/>
      <c r="DC804" s="15"/>
      <c r="DD804" s="15"/>
      <c r="DE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c r="AW805" s="15"/>
      <c r="AX805" s="15"/>
      <c r="AY805" s="15"/>
      <c r="AZ805" s="15"/>
      <c r="BA805" s="15"/>
      <c r="BB805" s="15"/>
      <c r="BC805" s="15"/>
      <c r="BD805" s="15"/>
      <c r="BE805" s="15"/>
      <c r="BF805" s="15"/>
      <c r="BG805" s="15"/>
      <c r="BH805" s="15"/>
      <c r="BI805" s="15"/>
      <c r="BJ805" s="61"/>
      <c r="BK805" s="15"/>
      <c r="BL805" s="15"/>
      <c r="BM805" s="15"/>
      <c r="BN805" s="15"/>
      <c r="BO805" s="15"/>
      <c r="BP805" s="15"/>
      <c r="BQ805" s="15"/>
      <c r="BR805" s="15"/>
      <c r="BS805" s="15"/>
      <c r="BT805" s="15"/>
      <c r="BU805" s="15"/>
      <c r="BV805" s="15"/>
      <c r="BW805" s="15"/>
      <c r="BX805" s="15"/>
      <c r="BY805" s="15"/>
      <c r="BZ805" s="15"/>
      <c r="CA805" s="15"/>
      <c r="CB805" s="15"/>
      <c r="CC805" s="15"/>
      <c r="CD805" s="15"/>
      <c r="CE805" s="15"/>
      <c r="CF805" s="15"/>
      <c r="CG805" s="15"/>
      <c r="CH805" s="15"/>
      <c r="CI805" s="15"/>
      <c r="CJ805" s="15"/>
      <c r="CK805" s="15"/>
      <c r="CL805" s="15"/>
      <c r="CM805" s="15"/>
      <c r="CN805" s="15"/>
      <c r="CO805" s="15"/>
      <c r="CP805" s="15"/>
      <c r="CQ805" s="15"/>
      <c r="CR805" s="15"/>
      <c r="CS805" s="73"/>
      <c r="CT805" s="15"/>
      <c r="CU805" s="15"/>
      <c r="CV805" s="15"/>
      <c r="CW805" s="15"/>
      <c r="CX805" s="15"/>
      <c r="CY805" s="15"/>
      <c r="CZ805" s="15"/>
      <c r="DA805" s="15"/>
      <c r="DB805" s="15"/>
      <c r="DC805" s="15"/>
      <c r="DD805" s="15"/>
      <c r="DE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c r="AW806" s="15"/>
      <c r="AX806" s="15"/>
      <c r="AY806" s="15"/>
      <c r="AZ806" s="15"/>
      <c r="BA806" s="15"/>
      <c r="BB806" s="15"/>
      <c r="BC806" s="15"/>
      <c r="BD806" s="15"/>
      <c r="BE806" s="15"/>
      <c r="BF806" s="15"/>
      <c r="BG806" s="15"/>
      <c r="BH806" s="15"/>
      <c r="BI806" s="15"/>
      <c r="BJ806" s="61"/>
      <c r="BK806" s="15"/>
      <c r="BL806" s="15"/>
      <c r="BM806" s="15"/>
      <c r="BN806" s="15"/>
      <c r="BO806" s="15"/>
      <c r="BP806" s="15"/>
      <c r="BQ806" s="15"/>
      <c r="BR806" s="15"/>
      <c r="BS806" s="15"/>
      <c r="BT806" s="15"/>
      <c r="BU806" s="15"/>
      <c r="BV806" s="15"/>
      <c r="BW806" s="15"/>
      <c r="BX806" s="15"/>
      <c r="BY806" s="15"/>
      <c r="BZ806" s="15"/>
      <c r="CA806" s="15"/>
      <c r="CB806" s="15"/>
      <c r="CC806" s="15"/>
      <c r="CD806" s="15"/>
      <c r="CE806" s="15"/>
      <c r="CF806" s="15"/>
      <c r="CG806" s="15"/>
      <c r="CH806" s="15"/>
      <c r="CI806" s="15"/>
      <c r="CJ806" s="15"/>
      <c r="CK806" s="15"/>
      <c r="CL806" s="15"/>
      <c r="CM806" s="15"/>
      <c r="CN806" s="15"/>
      <c r="CO806" s="15"/>
      <c r="CP806" s="15"/>
      <c r="CQ806" s="15"/>
      <c r="CR806" s="15"/>
      <c r="CS806" s="73"/>
      <c r="CT806" s="15"/>
      <c r="CU806" s="15"/>
      <c r="CV806" s="15"/>
      <c r="CW806" s="15"/>
      <c r="CX806" s="15"/>
      <c r="CY806" s="15"/>
      <c r="CZ806" s="15"/>
      <c r="DA806" s="15"/>
      <c r="DB806" s="15"/>
      <c r="DC806" s="15"/>
      <c r="DD806" s="15"/>
      <c r="DE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61"/>
      <c r="BK807" s="15"/>
      <c r="BL807" s="15"/>
      <c r="BM807" s="15"/>
      <c r="BN807" s="15"/>
      <c r="BO807" s="15"/>
      <c r="BP807" s="15"/>
      <c r="BQ807" s="15"/>
      <c r="BR807" s="15"/>
      <c r="BS807" s="15"/>
      <c r="BT807" s="15"/>
      <c r="BU807" s="15"/>
      <c r="BV807" s="15"/>
      <c r="BW807" s="15"/>
      <c r="BX807" s="15"/>
      <c r="BY807" s="15"/>
      <c r="BZ807" s="15"/>
      <c r="CA807" s="15"/>
      <c r="CB807" s="15"/>
      <c r="CC807" s="15"/>
      <c r="CD807" s="15"/>
      <c r="CE807" s="15"/>
      <c r="CF807" s="15"/>
      <c r="CG807" s="15"/>
      <c r="CH807" s="15"/>
      <c r="CI807" s="15"/>
      <c r="CJ807" s="15"/>
      <c r="CK807" s="15"/>
      <c r="CL807" s="15"/>
      <c r="CM807" s="15"/>
      <c r="CN807" s="15"/>
      <c r="CO807" s="15"/>
      <c r="CP807" s="15"/>
      <c r="CQ807" s="15"/>
      <c r="CR807" s="15"/>
      <c r="CS807" s="73"/>
      <c r="CT807" s="15"/>
      <c r="CU807" s="15"/>
      <c r="CV807" s="15"/>
      <c r="CW807" s="15"/>
      <c r="CX807" s="15"/>
      <c r="CY807" s="15"/>
      <c r="CZ807" s="15"/>
      <c r="DA807" s="15"/>
      <c r="DB807" s="15"/>
      <c r="DC807" s="15"/>
      <c r="DD807" s="15"/>
      <c r="DE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61"/>
      <c r="BK808" s="15"/>
      <c r="BL808" s="15"/>
      <c r="BM808" s="15"/>
      <c r="BN808" s="15"/>
      <c r="BO808" s="15"/>
      <c r="BP808" s="15"/>
      <c r="BQ808" s="15"/>
      <c r="BR808" s="15"/>
      <c r="BS808" s="15"/>
      <c r="BT808" s="15"/>
      <c r="BU808" s="15"/>
      <c r="BV808" s="15"/>
      <c r="BW808" s="15"/>
      <c r="BX808" s="15"/>
      <c r="BY808" s="15"/>
      <c r="BZ808" s="15"/>
      <c r="CA808" s="15"/>
      <c r="CB808" s="15"/>
      <c r="CC808" s="15"/>
      <c r="CD808" s="15"/>
      <c r="CE808" s="15"/>
      <c r="CF808" s="15"/>
      <c r="CG808" s="15"/>
      <c r="CH808" s="15"/>
      <c r="CI808" s="15"/>
      <c r="CJ808" s="15"/>
      <c r="CK808" s="15"/>
      <c r="CL808" s="15"/>
      <c r="CM808" s="15"/>
      <c r="CN808" s="15"/>
      <c r="CO808" s="15"/>
      <c r="CP808" s="15"/>
      <c r="CQ808" s="15"/>
      <c r="CR808" s="15"/>
      <c r="CS808" s="73"/>
      <c r="CT808" s="15"/>
      <c r="CU808" s="15"/>
      <c r="CV808" s="15"/>
      <c r="CW808" s="15"/>
      <c r="CX808" s="15"/>
      <c r="CY808" s="15"/>
      <c r="CZ808" s="15"/>
      <c r="DA808" s="15"/>
      <c r="DB808" s="15"/>
      <c r="DC808" s="15"/>
      <c r="DD808" s="15"/>
      <c r="DE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c r="AW809" s="15"/>
      <c r="AX809" s="15"/>
      <c r="AY809" s="15"/>
      <c r="AZ809" s="15"/>
      <c r="BA809" s="15"/>
      <c r="BB809" s="15"/>
      <c r="BC809" s="15"/>
      <c r="BD809" s="15"/>
      <c r="BE809" s="15"/>
      <c r="BF809" s="15"/>
      <c r="BG809" s="15"/>
      <c r="BH809" s="15"/>
      <c r="BI809" s="15"/>
      <c r="BJ809" s="61"/>
      <c r="BK809" s="15"/>
      <c r="BL809" s="15"/>
      <c r="BM809" s="15"/>
      <c r="BN809" s="15"/>
      <c r="BO809" s="15"/>
      <c r="BP809" s="15"/>
      <c r="BQ809" s="15"/>
      <c r="BR809" s="15"/>
      <c r="BS809" s="15"/>
      <c r="BT809" s="15"/>
      <c r="BU809" s="15"/>
      <c r="BV809" s="15"/>
      <c r="BW809" s="15"/>
      <c r="BX809" s="15"/>
      <c r="BY809" s="15"/>
      <c r="BZ809" s="15"/>
      <c r="CA809" s="15"/>
      <c r="CB809" s="15"/>
      <c r="CC809" s="15"/>
      <c r="CD809" s="15"/>
      <c r="CE809" s="15"/>
      <c r="CF809" s="15"/>
      <c r="CG809" s="15"/>
      <c r="CH809" s="15"/>
      <c r="CI809" s="15"/>
      <c r="CJ809" s="15"/>
      <c r="CK809" s="15"/>
      <c r="CL809" s="15"/>
      <c r="CM809" s="15"/>
      <c r="CN809" s="15"/>
      <c r="CO809" s="15"/>
      <c r="CP809" s="15"/>
      <c r="CQ809" s="15"/>
      <c r="CR809" s="15"/>
      <c r="CS809" s="73"/>
      <c r="CT809" s="15"/>
      <c r="CU809" s="15"/>
      <c r="CV809" s="15"/>
      <c r="CW809" s="15"/>
      <c r="CX809" s="15"/>
      <c r="CY809" s="15"/>
      <c r="CZ809" s="15"/>
      <c r="DA809" s="15"/>
      <c r="DB809" s="15"/>
      <c r="DC809" s="15"/>
      <c r="DD809" s="15"/>
      <c r="DE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c r="AW810" s="15"/>
      <c r="AX810" s="15"/>
      <c r="AY810" s="15"/>
      <c r="AZ810" s="15"/>
      <c r="BA810" s="15"/>
      <c r="BB810" s="15"/>
      <c r="BC810" s="15"/>
      <c r="BD810" s="15"/>
      <c r="BE810" s="15"/>
      <c r="BF810" s="15"/>
      <c r="BG810" s="15"/>
      <c r="BH810" s="15"/>
      <c r="BI810" s="15"/>
      <c r="BJ810" s="61"/>
      <c r="BK810" s="15"/>
      <c r="BL810" s="15"/>
      <c r="BM810" s="15"/>
      <c r="BN810" s="15"/>
      <c r="BO810" s="15"/>
      <c r="BP810" s="15"/>
      <c r="BQ810" s="15"/>
      <c r="BR810" s="15"/>
      <c r="BS810" s="15"/>
      <c r="BT810" s="15"/>
      <c r="BU810" s="15"/>
      <c r="BV810" s="15"/>
      <c r="BW810" s="15"/>
      <c r="BX810" s="15"/>
      <c r="BY810" s="15"/>
      <c r="BZ810" s="15"/>
      <c r="CA810" s="15"/>
      <c r="CB810" s="15"/>
      <c r="CC810" s="15"/>
      <c r="CD810" s="15"/>
      <c r="CE810" s="15"/>
      <c r="CF810" s="15"/>
      <c r="CG810" s="15"/>
      <c r="CH810" s="15"/>
      <c r="CI810" s="15"/>
      <c r="CJ810" s="15"/>
      <c r="CK810" s="15"/>
      <c r="CL810" s="15"/>
      <c r="CM810" s="15"/>
      <c r="CN810" s="15"/>
      <c r="CO810" s="15"/>
      <c r="CP810" s="15"/>
      <c r="CQ810" s="15"/>
      <c r="CR810" s="15"/>
      <c r="CS810" s="73"/>
      <c r="CT810" s="15"/>
      <c r="CU810" s="15"/>
      <c r="CV810" s="15"/>
      <c r="CW810" s="15"/>
      <c r="CX810" s="15"/>
      <c r="CY810" s="15"/>
      <c r="CZ810" s="15"/>
      <c r="DA810" s="15"/>
      <c r="DB810" s="15"/>
      <c r="DC810" s="15"/>
      <c r="DD810" s="15"/>
      <c r="DE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c r="AW811" s="15"/>
      <c r="AX811" s="15"/>
      <c r="AY811" s="15"/>
      <c r="AZ811" s="15"/>
      <c r="BA811" s="15"/>
      <c r="BB811" s="15"/>
      <c r="BC811" s="15"/>
      <c r="BD811" s="15"/>
      <c r="BE811" s="15"/>
      <c r="BF811" s="15"/>
      <c r="BG811" s="15"/>
      <c r="BH811" s="15"/>
      <c r="BI811" s="15"/>
      <c r="BJ811" s="61"/>
      <c r="BK811" s="15"/>
      <c r="BL811" s="15"/>
      <c r="BM811" s="15"/>
      <c r="BN811" s="15"/>
      <c r="BO811" s="15"/>
      <c r="BP811" s="15"/>
      <c r="BQ811" s="15"/>
      <c r="BR811" s="15"/>
      <c r="BS811" s="15"/>
      <c r="BT811" s="15"/>
      <c r="BU811" s="15"/>
      <c r="BV811" s="15"/>
      <c r="BW811" s="15"/>
      <c r="BX811" s="15"/>
      <c r="BY811" s="15"/>
      <c r="BZ811" s="15"/>
      <c r="CA811" s="15"/>
      <c r="CB811" s="15"/>
      <c r="CC811" s="15"/>
      <c r="CD811" s="15"/>
      <c r="CE811" s="15"/>
      <c r="CF811" s="15"/>
      <c r="CG811" s="15"/>
      <c r="CH811" s="15"/>
      <c r="CI811" s="15"/>
      <c r="CJ811" s="15"/>
      <c r="CK811" s="15"/>
      <c r="CL811" s="15"/>
      <c r="CM811" s="15"/>
      <c r="CN811" s="15"/>
      <c r="CO811" s="15"/>
      <c r="CP811" s="15"/>
      <c r="CQ811" s="15"/>
      <c r="CR811" s="15"/>
      <c r="CS811" s="73"/>
      <c r="CT811" s="15"/>
      <c r="CU811" s="15"/>
      <c r="CV811" s="15"/>
      <c r="CW811" s="15"/>
      <c r="CX811" s="15"/>
      <c r="CY811" s="15"/>
      <c r="CZ811" s="15"/>
      <c r="DA811" s="15"/>
      <c r="DB811" s="15"/>
      <c r="DC811" s="15"/>
      <c r="DD811" s="15"/>
      <c r="DE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c r="AW812" s="15"/>
      <c r="AX812" s="15"/>
      <c r="AY812" s="15"/>
      <c r="AZ812" s="15"/>
      <c r="BA812" s="15"/>
      <c r="BB812" s="15"/>
      <c r="BC812" s="15"/>
      <c r="BD812" s="15"/>
      <c r="BE812" s="15"/>
      <c r="BF812" s="15"/>
      <c r="BG812" s="15"/>
      <c r="BH812" s="15"/>
      <c r="BI812" s="15"/>
      <c r="BJ812" s="61"/>
      <c r="BK812" s="15"/>
      <c r="BL812" s="15"/>
      <c r="BM812" s="15"/>
      <c r="BN812" s="15"/>
      <c r="BO812" s="15"/>
      <c r="BP812" s="15"/>
      <c r="BQ812" s="15"/>
      <c r="BR812" s="15"/>
      <c r="BS812" s="15"/>
      <c r="BT812" s="15"/>
      <c r="BU812" s="15"/>
      <c r="BV812" s="15"/>
      <c r="BW812" s="15"/>
      <c r="BX812" s="15"/>
      <c r="BY812" s="15"/>
      <c r="BZ812" s="15"/>
      <c r="CA812" s="15"/>
      <c r="CB812" s="15"/>
      <c r="CC812" s="15"/>
      <c r="CD812" s="15"/>
      <c r="CE812" s="15"/>
      <c r="CF812" s="15"/>
      <c r="CG812" s="15"/>
      <c r="CH812" s="15"/>
      <c r="CI812" s="15"/>
      <c r="CJ812" s="15"/>
      <c r="CK812" s="15"/>
      <c r="CL812" s="15"/>
      <c r="CM812" s="15"/>
      <c r="CN812" s="15"/>
      <c r="CO812" s="15"/>
      <c r="CP812" s="15"/>
      <c r="CQ812" s="15"/>
      <c r="CR812" s="15"/>
      <c r="CS812" s="73"/>
      <c r="CT812" s="15"/>
      <c r="CU812" s="15"/>
      <c r="CV812" s="15"/>
      <c r="CW812" s="15"/>
      <c r="CX812" s="15"/>
      <c r="CY812" s="15"/>
      <c r="CZ812" s="15"/>
      <c r="DA812" s="15"/>
      <c r="DB812" s="15"/>
      <c r="DC812" s="15"/>
      <c r="DD812" s="15"/>
      <c r="DE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c r="AW813" s="15"/>
      <c r="AX813" s="15"/>
      <c r="AY813" s="15"/>
      <c r="AZ813" s="15"/>
      <c r="BA813" s="15"/>
      <c r="BB813" s="15"/>
      <c r="BC813" s="15"/>
      <c r="BD813" s="15"/>
      <c r="BE813" s="15"/>
      <c r="BF813" s="15"/>
      <c r="BG813" s="15"/>
      <c r="BH813" s="15"/>
      <c r="BI813" s="15"/>
      <c r="BJ813" s="61"/>
      <c r="BK813" s="15"/>
      <c r="BL813" s="15"/>
      <c r="BM813" s="15"/>
      <c r="BN813" s="15"/>
      <c r="BO813" s="15"/>
      <c r="BP813" s="15"/>
      <c r="BQ813" s="15"/>
      <c r="BR813" s="15"/>
      <c r="BS813" s="15"/>
      <c r="BT813" s="15"/>
      <c r="BU813" s="15"/>
      <c r="BV813" s="15"/>
      <c r="BW813" s="15"/>
      <c r="BX813" s="15"/>
      <c r="BY813" s="15"/>
      <c r="BZ813" s="15"/>
      <c r="CA813" s="15"/>
      <c r="CB813" s="15"/>
      <c r="CC813" s="15"/>
      <c r="CD813" s="15"/>
      <c r="CE813" s="15"/>
      <c r="CF813" s="15"/>
      <c r="CG813" s="15"/>
      <c r="CH813" s="15"/>
      <c r="CI813" s="15"/>
      <c r="CJ813" s="15"/>
      <c r="CK813" s="15"/>
      <c r="CL813" s="15"/>
      <c r="CM813" s="15"/>
      <c r="CN813" s="15"/>
      <c r="CO813" s="15"/>
      <c r="CP813" s="15"/>
      <c r="CQ813" s="15"/>
      <c r="CR813" s="15"/>
      <c r="CS813" s="73"/>
      <c r="CT813" s="15"/>
      <c r="CU813" s="15"/>
      <c r="CV813" s="15"/>
      <c r="CW813" s="15"/>
      <c r="CX813" s="15"/>
      <c r="CY813" s="15"/>
      <c r="CZ813" s="15"/>
      <c r="DA813" s="15"/>
      <c r="DB813" s="15"/>
      <c r="DC813" s="15"/>
      <c r="DD813" s="15"/>
      <c r="DE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61"/>
      <c r="BK814" s="15"/>
      <c r="BL814" s="15"/>
      <c r="BM814" s="15"/>
      <c r="BN814" s="15"/>
      <c r="BO814" s="15"/>
      <c r="BP814" s="15"/>
      <c r="BQ814" s="15"/>
      <c r="BR814" s="15"/>
      <c r="BS814" s="15"/>
      <c r="BT814" s="15"/>
      <c r="BU814" s="15"/>
      <c r="BV814" s="15"/>
      <c r="BW814" s="15"/>
      <c r="BX814" s="15"/>
      <c r="BY814" s="15"/>
      <c r="BZ814" s="15"/>
      <c r="CA814" s="15"/>
      <c r="CB814" s="15"/>
      <c r="CC814" s="15"/>
      <c r="CD814" s="15"/>
      <c r="CE814" s="15"/>
      <c r="CF814" s="15"/>
      <c r="CG814" s="15"/>
      <c r="CH814" s="15"/>
      <c r="CI814" s="15"/>
      <c r="CJ814" s="15"/>
      <c r="CK814" s="15"/>
      <c r="CL814" s="15"/>
      <c r="CM814" s="15"/>
      <c r="CN814" s="15"/>
      <c r="CO814" s="15"/>
      <c r="CP814" s="15"/>
      <c r="CQ814" s="15"/>
      <c r="CR814" s="15"/>
      <c r="CS814" s="73"/>
      <c r="CT814" s="15"/>
      <c r="CU814" s="15"/>
      <c r="CV814" s="15"/>
      <c r="CW814" s="15"/>
      <c r="CX814" s="15"/>
      <c r="CY814" s="15"/>
      <c r="CZ814" s="15"/>
      <c r="DA814" s="15"/>
      <c r="DB814" s="15"/>
      <c r="DC814" s="15"/>
      <c r="DD814" s="15"/>
      <c r="DE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61"/>
      <c r="BK815" s="15"/>
      <c r="BL815" s="15"/>
      <c r="BM815" s="15"/>
      <c r="BN815" s="15"/>
      <c r="BO815" s="15"/>
      <c r="BP815" s="15"/>
      <c r="BQ815" s="15"/>
      <c r="BR815" s="15"/>
      <c r="BS815" s="15"/>
      <c r="BT815" s="15"/>
      <c r="BU815" s="15"/>
      <c r="BV815" s="15"/>
      <c r="BW815" s="15"/>
      <c r="BX815" s="15"/>
      <c r="BY815" s="15"/>
      <c r="BZ815" s="15"/>
      <c r="CA815" s="15"/>
      <c r="CB815" s="15"/>
      <c r="CC815" s="15"/>
      <c r="CD815" s="15"/>
      <c r="CE815" s="15"/>
      <c r="CF815" s="15"/>
      <c r="CG815" s="15"/>
      <c r="CH815" s="15"/>
      <c r="CI815" s="15"/>
      <c r="CJ815" s="15"/>
      <c r="CK815" s="15"/>
      <c r="CL815" s="15"/>
      <c r="CM815" s="15"/>
      <c r="CN815" s="15"/>
      <c r="CO815" s="15"/>
      <c r="CP815" s="15"/>
      <c r="CQ815" s="15"/>
      <c r="CR815" s="15"/>
      <c r="CS815" s="73"/>
      <c r="CT815" s="15"/>
      <c r="CU815" s="15"/>
      <c r="CV815" s="15"/>
      <c r="CW815" s="15"/>
      <c r="CX815" s="15"/>
      <c r="CY815" s="15"/>
      <c r="CZ815" s="15"/>
      <c r="DA815" s="15"/>
      <c r="DB815" s="15"/>
      <c r="DC815" s="15"/>
      <c r="DD815" s="15"/>
      <c r="DE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61"/>
      <c r="BK816" s="15"/>
      <c r="BL816" s="15"/>
      <c r="BM816" s="15"/>
      <c r="BN816" s="15"/>
      <c r="BO816" s="15"/>
      <c r="BP816" s="15"/>
      <c r="BQ816" s="15"/>
      <c r="BR816" s="15"/>
      <c r="BS816" s="15"/>
      <c r="BT816" s="15"/>
      <c r="BU816" s="15"/>
      <c r="BV816" s="15"/>
      <c r="BW816" s="15"/>
      <c r="BX816" s="15"/>
      <c r="BY816" s="15"/>
      <c r="BZ816" s="15"/>
      <c r="CA816" s="15"/>
      <c r="CB816" s="15"/>
      <c r="CC816" s="15"/>
      <c r="CD816" s="15"/>
      <c r="CE816" s="15"/>
      <c r="CF816" s="15"/>
      <c r="CG816" s="15"/>
      <c r="CH816" s="15"/>
      <c r="CI816" s="15"/>
      <c r="CJ816" s="15"/>
      <c r="CK816" s="15"/>
      <c r="CL816" s="15"/>
      <c r="CM816" s="15"/>
      <c r="CN816" s="15"/>
      <c r="CO816" s="15"/>
      <c r="CP816" s="15"/>
      <c r="CQ816" s="15"/>
      <c r="CR816" s="15"/>
      <c r="CS816" s="73"/>
      <c r="CT816" s="15"/>
      <c r="CU816" s="15"/>
      <c r="CV816" s="15"/>
      <c r="CW816" s="15"/>
      <c r="CX816" s="15"/>
      <c r="CY816" s="15"/>
      <c r="CZ816" s="15"/>
      <c r="DA816" s="15"/>
      <c r="DB816" s="15"/>
      <c r="DC816" s="15"/>
      <c r="DD816" s="15"/>
      <c r="DE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61"/>
      <c r="BK817" s="15"/>
      <c r="BL817" s="15"/>
      <c r="BM817" s="15"/>
      <c r="BN817" s="15"/>
      <c r="BO817" s="15"/>
      <c r="BP817" s="15"/>
      <c r="BQ817" s="15"/>
      <c r="BR817" s="15"/>
      <c r="BS817" s="15"/>
      <c r="BT817" s="15"/>
      <c r="BU817" s="15"/>
      <c r="BV817" s="15"/>
      <c r="BW817" s="15"/>
      <c r="BX817" s="15"/>
      <c r="BY817" s="15"/>
      <c r="BZ817" s="15"/>
      <c r="CA817" s="15"/>
      <c r="CB817" s="15"/>
      <c r="CC817" s="15"/>
      <c r="CD817" s="15"/>
      <c r="CE817" s="15"/>
      <c r="CF817" s="15"/>
      <c r="CG817" s="15"/>
      <c r="CH817" s="15"/>
      <c r="CI817" s="15"/>
      <c r="CJ817" s="15"/>
      <c r="CK817" s="15"/>
      <c r="CL817" s="15"/>
      <c r="CM817" s="15"/>
      <c r="CN817" s="15"/>
      <c r="CO817" s="15"/>
      <c r="CP817" s="15"/>
      <c r="CQ817" s="15"/>
      <c r="CR817" s="15"/>
      <c r="CS817" s="73"/>
      <c r="CT817" s="15"/>
      <c r="CU817" s="15"/>
      <c r="CV817" s="15"/>
      <c r="CW817" s="15"/>
      <c r="CX817" s="15"/>
      <c r="CY817" s="15"/>
      <c r="CZ817" s="15"/>
      <c r="DA817" s="15"/>
      <c r="DB817" s="15"/>
      <c r="DC817" s="15"/>
      <c r="DD817" s="15"/>
      <c r="DE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61"/>
      <c r="BK818" s="15"/>
      <c r="BL818" s="15"/>
      <c r="BM818" s="15"/>
      <c r="BN818" s="15"/>
      <c r="BO818" s="15"/>
      <c r="BP818" s="15"/>
      <c r="BQ818" s="15"/>
      <c r="BR818" s="15"/>
      <c r="BS818" s="15"/>
      <c r="BT818" s="15"/>
      <c r="BU818" s="15"/>
      <c r="BV818" s="15"/>
      <c r="BW818" s="15"/>
      <c r="BX818" s="15"/>
      <c r="BY818" s="15"/>
      <c r="BZ818" s="15"/>
      <c r="CA818" s="15"/>
      <c r="CB818" s="15"/>
      <c r="CC818" s="15"/>
      <c r="CD818" s="15"/>
      <c r="CE818" s="15"/>
      <c r="CF818" s="15"/>
      <c r="CG818" s="15"/>
      <c r="CH818" s="15"/>
      <c r="CI818" s="15"/>
      <c r="CJ818" s="15"/>
      <c r="CK818" s="15"/>
      <c r="CL818" s="15"/>
      <c r="CM818" s="15"/>
      <c r="CN818" s="15"/>
      <c r="CO818" s="15"/>
      <c r="CP818" s="15"/>
      <c r="CQ818" s="15"/>
      <c r="CR818" s="15"/>
      <c r="CS818" s="73"/>
      <c r="CT818" s="15"/>
      <c r="CU818" s="15"/>
      <c r="CV818" s="15"/>
      <c r="CW818" s="15"/>
      <c r="CX818" s="15"/>
      <c r="CY818" s="15"/>
      <c r="CZ818" s="15"/>
      <c r="DA818" s="15"/>
      <c r="DB818" s="15"/>
      <c r="DC818" s="15"/>
      <c r="DD818" s="15"/>
      <c r="DE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61"/>
      <c r="BK819" s="15"/>
      <c r="BL819" s="15"/>
      <c r="BM819" s="15"/>
      <c r="BN819" s="15"/>
      <c r="BO819" s="15"/>
      <c r="BP819" s="15"/>
      <c r="BQ819" s="15"/>
      <c r="BR819" s="15"/>
      <c r="BS819" s="15"/>
      <c r="BT819" s="15"/>
      <c r="BU819" s="15"/>
      <c r="BV819" s="15"/>
      <c r="BW819" s="15"/>
      <c r="BX819" s="15"/>
      <c r="BY819" s="15"/>
      <c r="BZ819" s="15"/>
      <c r="CA819" s="15"/>
      <c r="CB819" s="15"/>
      <c r="CC819" s="15"/>
      <c r="CD819" s="15"/>
      <c r="CE819" s="15"/>
      <c r="CF819" s="15"/>
      <c r="CG819" s="15"/>
      <c r="CH819" s="15"/>
      <c r="CI819" s="15"/>
      <c r="CJ819" s="15"/>
      <c r="CK819" s="15"/>
      <c r="CL819" s="15"/>
      <c r="CM819" s="15"/>
      <c r="CN819" s="15"/>
      <c r="CO819" s="15"/>
      <c r="CP819" s="15"/>
      <c r="CQ819" s="15"/>
      <c r="CR819" s="15"/>
      <c r="CS819" s="73"/>
      <c r="CT819" s="15"/>
      <c r="CU819" s="15"/>
      <c r="CV819" s="15"/>
      <c r="CW819" s="15"/>
      <c r="CX819" s="15"/>
      <c r="CY819" s="15"/>
      <c r="CZ819" s="15"/>
      <c r="DA819" s="15"/>
      <c r="DB819" s="15"/>
      <c r="DC819" s="15"/>
      <c r="DD819" s="15"/>
      <c r="DE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61"/>
      <c r="BK820" s="15"/>
      <c r="BL820" s="15"/>
      <c r="BM820" s="15"/>
      <c r="BN820" s="15"/>
      <c r="BO820" s="15"/>
      <c r="BP820" s="15"/>
      <c r="BQ820" s="15"/>
      <c r="BR820" s="15"/>
      <c r="BS820" s="15"/>
      <c r="BT820" s="15"/>
      <c r="BU820" s="15"/>
      <c r="BV820" s="15"/>
      <c r="BW820" s="15"/>
      <c r="BX820" s="15"/>
      <c r="BY820" s="15"/>
      <c r="BZ820" s="15"/>
      <c r="CA820" s="15"/>
      <c r="CB820" s="15"/>
      <c r="CC820" s="15"/>
      <c r="CD820" s="15"/>
      <c r="CE820" s="15"/>
      <c r="CF820" s="15"/>
      <c r="CG820" s="15"/>
      <c r="CH820" s="15"/>
      <c r="CI820" s="15"/>
      <c r="CJ820" s="15"/>
      <c r="CK820" s="15"/>
      <c r="CL820" s="15"/>
      <c r="CM820" s="15"/>
      <c r="CN820" s="15"/>
      <c r="CO820" s="15"/>
      <c r="CP820" s="15"/>
      <c r="CQ820" s="15"/>
      <c r="CR820" s="15"/>
      <c r="CS820" s="73"/>
      <c r="CT820" s="15"/>
      <c r="CU820" s="15"/>
      <c r="CV820" s="15"/>
      <c r="CW820" s="15"/>
      <c r="CX820" s="15"/>
      <c r="CY820" s="15"/>
      <c r="CZ820" s="15"/>
      <c r="DA820" s="15"/>
      <c r="DB820" s="15"/>
      <c r="DC820" s="15"/>
      <c r="DD820" s="15"/>
      <c r="DE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61"/>
      <c r="BK821" s="15"/>
      <c r="BL821" s="15"/>
      <c r="BM821" s="15"/>
      <c r="BN821" s="15"/>
      <c r="BO821" s="15"/>
      <c r="BP821" s="15"/>
      <c r="BQ821" s="15"/>
      <c r="BR821" s="15"/>
      <c r="BS821" s="15"/>
      <c r="BT821" s="15"/>
      <c r="BU821" s="15"/>
      <c r="BV821" s="15"/>
      <c r="BW821" s="15"/>
      <c r="BX821" s="15"/>
      <c r="BY821" s="15"/>
      <c r="BZ821" s="15"/>
      <c r="CA821" s="15"/>
      <c r="CB821" s="15"/>
      <c r="CC821" s="15"/>
      <c r="CD821" s="15"/>
      <c r="CE821" s="15"/>
      <c r="CF821" s="15"/>
      <c r="CG821" s="15"/>
      <c r="CH821" s="15"/>
      <c r="CI821" s="15"/>
      <c r="CJ821" s="15"/>
      <c r="CK821" s="15"/>
      <c r="CL821" s="15"/>
      <c r="CM821" s="15"/>
      <c r="CN821" s="15"/>
      <c r="CO821" s="15"/>
      <c r="CP821" s="15"/>
      <c r="CQ821" s="15"/>
      <c r="CR821" s="15"/>
      <c r="CS821" s="73"/>
      <c r="CT821" s="15"/>
      <c r="CU821" s="15"/>
      <c r="CV821" s="15"/>
      <c r="CW821" s="15"/>
      <c r="CX821" s="15"/>
      <c r="CY821" s="15"/>
      <c r="CZ821" s="15"/>
      <c r="DA821" s="15"/>
      <c r="DB821" s="15"/>
      <c r="DC821" s="15"/>
      <c r="DD821" s="15"/>
      <c r="DE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61"/>
      <c r="BK822" s="15"/>
      <c r="BL822" s="15"/>
      <c r="BM822" s="15"/>
      <c r="BN822" s="15"/>
      <c r="BO822" s="15"/>
      <c r="BP822" s="15"/>
      <c r="BQ822" s="15"/>
      <c r="BR822" s="15"/>
      <c r="BS822" s="15"/>
      <c r="BT822" s="15"/>
      <c r="BU822" s="15"/>
      <c r="BV822" s="15"/>
      <c r="BW822" s="15"/>
      <c r="BX822" s="15"/>
      <c r="BY822" s="15"/>
      <c r="BZ822" s="15"/>
      <c r="CA822" s="15"/>
      <c r="CB822" s="15"/>
      <c r="CC822" s="15"/>
      <c r="CD822" s="15"/>
      <c r="CE822" s="15"/>
      <c r="CF822" s="15"/>
      <c r="CG822" s="15"/>
      <c r="CH822" s="15"/>
      <c r="CI822" s="15"/>
      <c r="CJ822" s="15"/>
      <c r="CK822" s="15"/>
      <c r="CL822" s="15"/>
      <c r="CM822" s="15"/>
      <c r="CN822" s="15"/>
      <c r="CO822" s="15"/>
      <c r="CP822" s="15"/>
      <c r="CQ822" s="15"/>
      <c r="CR822" s="15"/>
      <c r="CS822" s="73"/>
      <c r="CT822" s="15"/>
      <c r="CU822" s="15"/>
      <c r="CV822" s="15"/>
      <c r="CW822" s="15"/>
      <c r="CX822" s="15"/>
      <c r="CY822" s="15"/>
      <c r="CZ822" s="15"/>
      <c r="DA822" s="15"/>
      <c r="DB822" s="15"/>
      <c r="DC822" s="15"/>
      <c r="DD822" s="15"/>
      <c r="DE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61"/>
      <c r="BK823" s="15"/>
      <c r="BL823" s="15"/>
      <c r="BM823" s="15"/>
      <c r="BN823" s="15"/>
      <c r="BO823" s="15"/>
      <c r="BP823" s="15"/>
      <c r="BQ823" s="15"/>
      <c r="BR823" s="15"/>
      <c r="BS823" s="15"/>
      <c r="BT823" s="15"/>
      <c r="BU823" s="15"/>
      <c r="BV823" s="15"/>
      <c r="BW823" s="15"/>
      <c r="BX823" s="15"/>
      <c r="BY823" s="15"/>
      <c r="BZ823" s="15"/>
      <c r="CA823" s="15"/>
      <c r="CB823" s="15"/>
      <c r="CC823" s="15"/>
      <c r="CD823" s="15"/>
      <c r="CE823" s="15"/>
      <c r="CF823" s="15"/>
      <c r="CG823" s="15"/>
      <c r="CH823" s="15"/>
      <c r="CI823" s="15"/>
      <c r="CJ823" s="15"/>
      <c r="CK823" s="15"/>
      <c r="CL823" s="15"/>
      <c r="CM823" s="15"/>
      <c r="CN823" s="15"/>
      <c r="CO823" s="15"/>
      <c r="CP823" s="15"/>
      <c r="CQ823" s="15"/>
      <c r="CR823" s="15"/>
      <c r="CS823" s="73"/>
      <c r="CT823" s="15"/>
      <c r="CU823" s="15"/>
      <c r="CV823" s="15"/>
      <c r="CW823" s="15"/>
      <c r="CX823" s="15"/>
      <c r="CY823" s="15"/>
      <c r="CZ823" s="15"/>
      <c r="DA823" s="15"/>
      <c r="DB823" s="15"/>
      <c r="DC823" s="15"/>
      <c r="DD823" s="15"/>
      <c r="DE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61"/>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73"/>
      <c r="CT824" s="15"/>
      <c r="CU824" s="15"/>
      <c r="CV824" s="15"/>
      <c r="CW824" s="15"/>
      <c r="CX824" s="15"/>
      <c r="CY824" s="15"/>
      <c r="CZ824" s="15"/>
      <c r="DA824" s="15"/>
      <c r="DB824" s="15"/>
      <c r="DC824" s="15"/>
      <c r="DD824" s="15"/>
      <c r="DE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61"/>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73"/>
      <c r="CT825" s="15"/>
      <c r="CU825" s="15"/>
      <c r="CV825" s="15"/>
      <c r="CW825" s="15"/>
      <c r="CX825" s="15"/>
      <c r="CY825" s="15"/>
      <c r="CZ825" s="15"/>
      <c r="DA825" s="15"/>
      <c r="DB825" s="15"/>
      <c r="DC825" s="15"/>
      <c r="DD825" s="15"/>
      <c r="DE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61"/>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73"/>
      <c r="CT826" s="15"/>
      <c r="CU826" s="15"/>
      <c r="CV826" s="15"/>
      <c r="CW826" s="15"/>
      <c r="CX826" s="15"/>
      <c r="CY826" s="15"/>
      <c r="CZ826" s="15"/>
      <c r="DA826" s="15"/>
      <c r="DB826" s="15"/>
      <c r="DC826" s="15"/>
      <c r="DD826" s="15"/>
      <c r="DE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61"/>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73"/>
      <c r="CT827" s="15"/>
      <c r="CU827" s="15"/>
      <c r="CV827" s="15"/>
      <c r="CW827" s="15"/>
      <c r="CX827" s="15"/>
      <c r="CY827" s="15"/>
      <c r="CZ827" s="15"/>
      <c r="DA827" s="15"/>
      <c r="DB827" s="15"/>
      <c r="DC827" s="15"/>
      <c r="DD827" s="15"/>
      <c r="DE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61"/>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73"/>
      <c r="CT828" s="15"/>
      <c r="CU828" s="15"/>
      <c r="CV828" s="15"/>
      <c r="CW828" s="15"/>
      <c r="CX828" s="15"/>
      <c r="CY828" s="15"/>
      <c r="CZ828" s="15"/>
      <c r="DA828" s="15"/>
      <c r="DB828" s="15"/>
      <c r="DC828" s="15"/>
      <c r="DD828" s="15"/>
      <c r="DE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61"/>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73"/>
      <c r="CT829" s="15"/>
      <c r="CU829" s="15"/>
      <c r="CV829" s="15"/>
      <c r="CW829" s="15"/>
      <c r="CX829" s="15"/>
      <c r="CY829" s="15"/>
      <c r="CZ829" s="15"/>
      <c r="DA829" s="15"/>
      <c r="DB829" s="15"/>
      <c r="DC829" s="15"/>
      <c r="DD829" s="15"/>
      <c r="DE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61"/>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73"/>
      <c r="CT830" s="15"/>
      <c r="CU830" s="15"/>
      <c r="CV830" s="15"/>
      <c r="CW830" s="15"/>
      <c r="CX830" s="15"/>
      <c r="CY830" s="15"/>
      <c r="CZ830" s="15"/>
      <c r="DA830" s="15"/>
      <c r="DB830" s="15"/>
      <c r="DC830" s="15"/>
      <c r="DD830" s="15"/>
      <c r="DE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61"/>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73"/>
      <c r="CT831" s="15"/>
      <c r="CU831" s="15"/>
      <c r="CV831" s="15"/>
      <c r="CW831" s="15"/>
      <c r="CX831" s="15"/>
      <c r="CY831" s="15"/>
      <c r="CZ831" s="15"/>
      <c r="DA831" s="15"/>
      <c r="DB831" s="15"/>
      <c r="DC831" s="15"/>
      <c r="DD831" s="15"/>
      <c r="DE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61"/>
      <c r="BK832" s="15"/>
      <c r="BL832" s="15"/>
      <c r="BM832" s="15"/>
      <c r="BN832" s="15"/>
      <c r="BO832" s="15"/>
      <c r="BP832" s="15"/>
      <c r="BQ832" s="15"/>
      <c r="BR832" s="15"/>
      <c r="BS832" s="15"/>
      <c r="BT832" s="15"/>
      <c r="BU832" s="15"/>
      <c r="BV832" s="15"/>
      <c r="BW832" s="15"/>
      <c r="BX832" s="15"/>
      <c r="BY832" s="15"/>
      <c r="BZ832" s="15"/>
      <c r="CA832" s="15"/>
      <c r="CB832" s="15"/>
      <c r="CC832" s="15"/>
      <c r="CD832" s="15"/>
      <c r="CE832" s="15"/>
      <c r="CF832" s="15"/>
      <c r="CG832" s="15"/>
      <c r="CH832" s="15"/>
      <c r="CI832" s="15"/>
      <c r="CJ832" s="15"/>
      <c r="CK832" s="15"/>
      <c r="CL832" s="15"/>
      <c r="CM832" s="15"/>
      <c r="CN832" s="15"/>
      <c r="CO832" s="15"/>
      <c r="CP832" s="15"/>
      <c r="CQ832" s="15"/>
      <c r="CR832" s="15"/>
      <c r="CS832" s="73"/>
      <c r="CT832" s="15"/>
      <c r="CU832" s="15"/>
      <c r="CV832" s="15"/>
      <c r="CW832" s="15"/>
      <c r="CX832" s="15"/>
      <c r="CY832" s="15"/>
      <c r="CZ832" s="15"/>
      <c r="DA832" s="15"/>
      <c r="DB832" s="15"/>
      <c r="DC832" s="15"/>
      <c r="DD832" s="15"/>
      <c r="DE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61"/>
      <c r="BK833" s="15"/>
      <c r="BL833" s="15"/>
      <c r="BM833" s="15"/>
      <c r="BN833" s="15"/>
      <c r="BO833" s="15"/>
      <c r="BP833" s="15"/>
      <c r="BQ833" s="15"/>
      <c r="BR833" s="15"/>
      <c r="BS833" s="15"/>
      <c r="BT833" s="15"/>
      <c r="BU833" s="15"/>
      <c r="BV833" s="15"/>
      <c r="BW833" s="15"/>
      <c r="BX833" s="15"/>
      <c r="BY833" s="15"/>
      <c r="BZ833" s="15"/>
      <c r="CA833" s="15"/>
      <c r="CB833" s="15"/>
      <c r="CC833" s="15"/>
      <c r="CD833" s="15"/>
      <c r="CE833" s="15"/>
      <c r="CF833" s="15"/>
      <c r="CG833" s="15"/>
      <c r="CH833" s="15"/>
      <c r="CI833" s="15"/>
      <c r="CJ833" s="15"/>
      <c r="CK833" s="15"/>
      <c r="CL833" s="15"/>
      <c r="CM833" s="15"/>
      <c r="CN833" s="15"/>
      <c r="CO833" s="15"/>
      <c r="CP833" s="15"/>
      <c r="CQ833" s="15"/>
      <c r="CR833" s="15"/>
      <c r="CS833" s="73"/>
      <c r="CT833" s="15"/>
      <c r="CU833" s="15"/>
      <c r="CV833" s="15"/>
      <c r="CW833" s="15"/>
      <c r="CX833" s="15"/>
      <c r="CY833" s="15"/>
      <c r="CZ833" s="15"/>
      <c r="DA833" s="15"/>
      <c r="DB833" s="15"/>
      <c r="DC833" s="15"/>
      <c r="DD833" s="15"/>
      <c r="DE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61"/>
      <c r="BK834" s="15"/>
      <c r="BL834" s="15"/>
      <c r="BM834" s="15"/>
      <c r="BN834" s="15"/>
      <c r="BO834" s="15"/>
      <c r="BP834" s="15"/>
      <c r="BQ834" s="15"/>
      <c r="BR834" s="15"/>
      <c r="BS834" s="15"/>
      <c r="BT834" s="15"/>
      <c r="BU834" s="15"/>
      <c r="BV834" s="15"/>
      <c r="BW834" s="15"/>
      <c r="BX834" s="15"/>
      <c r="BY834" s="15"/>
      <c r="BZ834" s="15"/>
      <c r="CA834" s="15"/>
      <c r="CB834" s="15"/>
      <c r="CC834" s="15"/>
      <c r="CD834" s="15"/>
      <c r="CE834" s="15"/>
      <c r="CF834" s="15"/>
      <c r="CG834" s="15"/>
      <c r="CH834" s="15"/>
      <c r="CI834" s="15"/>
      <c r="CJ834" s="15"/>
      <c r="CK834" s="15"/>
      <c r="CL834" s="15"/>
      <c r="CM834" s="15"/>
      <c r="CN834" s="15"/>
      <c r="CO834" s="15"/>
      <c r="CP834" s="15"/>
      <c r="CQ834" s="15"/>
      <c r="CR834" s="15"/>
      <c r="CS834" s="73"/>
      <c r="CT834" s="15"/>
      <c r="CU834" s="15"/>
      <c r="CV834" s="15"/>
      <c r="CW834" s="15"/>
      <c r="CX834" s="15"/>
      <c r="CY834" s="15"/>
      <c r="CZ834" s="15"/>
      <c r="DA834" s="15"/>
      <c r="DB834" s="15"/>
      <c r="DC834" s="15"/>
      <c r="DD834" s="15"/>
      <c r="DE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61"/>
      <c r="BK835" s="15"/>
      <c r="BL835" s="15"/>
      <c r="BM835" s="15"/>
      <c r="BN835" s="15"/>
      <c r="BO835" s="15"/>
      <c r="BP835" s="15"/>
      <c r="BQ835" s="15"/>
      <c r="BR835" s="15"/>
      <c r="BS835" s="15"/>
      <c r="BT835" s="15"/>
      <c r="BU835" s="15"/>
      <c r="BV835" s="15"/>
      <c r="BW835" s="15"/>
      <c r="BX835" s="15"/>
      <c r="BY835" s="15"/>
      <c r="BZ835" s="15"/>
      <c r="CA835" s="15"/>
      <c r="CB835" s="15"/>
      <c r="CC835" s="15"/>
      <c r="CD835" s="15"/>
      <c r="CE835" s="15"/>
      <c r="CF835" s="15"/>
      <c r="CG835" s="15"/>
      <c r="CH835" s="15"/>
      <c r="CI835" s="15"/>
      <c r="CJ835" s="15"/>
      <c r="CK835" s="15"/>
      <c r="CL835" s="15"/>
      <c r="CM835" s="15"/>
      <c r="CN835" s="15"/>
      <c r="CO835" s="15"/>
      <c r="CP835" s="15"/>
      <c r="CQ835" s="15"/>
      <c r="CR835" s="15"/>
      <c r="CS835" s="73"/>
      <c r="CT835" s="15"/>
      <c r="CU835" s="15"/>
      <c r="CV835" s="15"/>
      <c r="CW835" s="15"/>
      <c r="CX835" s="15"/>
      <c r="CY835" s="15"/>
      <c r="CZ835" s="15"/>
      <c r="DA835" s="15"/>
      <c r="DB835" s="15"/>
      <c r="DC835" s="15"/>
      <c r="DD835" s="15"/>
      <c r="DE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61"/>
      <c r="BK836" s="15"/>
      <c r="BL836" s="15"/>
      <c r="BM836" s="15"/>
      <c r="BN836" s="15"/>
      <c r="BO836" s="15"/>
      <c r="BP836" s="15"/>
      <c r="BQ836" s="15"/>
      <c r="BR836" s="15"/>
      <c r="BS836" s="15"/>
      <c r="BT836" s="15"/>
      <c r="BU836" s="15"/>
      <c r="BV836" s="15"/>
      <c r="BW836" s="15"/>
      <c r="BX836" s="15"/>
      <c r="BY836" s="15"/>
      <c r="BZ836" s="15"/>
      <c r="CA836" s="15"/>
      <c r="CB836" s="15"/>
      <c r="CC836" s="15"/>
      <c r="CD836" s="15"/>
      <c r="CE836" s="15"/>
      <c r="CF836" s="15"/>
      <c r="CG836" s="15"/>
      <c r="CH836" s="15"/>
      <c r="CI836" s="15"/>
      <c r="CJ836" s="15"/>
      <c r="CK836" s="15"/>
      <c r="CL836" s="15"/>
      <c r="CM836" s="15"/>
      <c r="CN836" s="15"/>
      <c r="CO836" s="15"/>
      <c r="CP836" s="15"/>
      <c r="CQ836" s="15"/>
      <c r="CR836" s="15"/>
      <c r="CS836" s="73"/>
      <c r="CT836" s="15"/>
      <c r="CU836" s="15"/>
      <c r="CV836" s="15"/>
      <c r="CW836" s="15"/>
      <c r="CX836" s="15"/>
      <c r="CY836" s="15"/>
      <c r="CZ836" s="15"/>
      <c r="DA836" s="15"/>
      <c r="DB836" s="15"/>
      <c r="DC836" s="15"/>
      <c r="DD836" s="15"/>
      <c r="DE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61"/>
      <c r="BK837" s="15"/>
      <c r="BL837" s="15"/>
      <c r="BM837" s="15"/>
      <c r="BN837" s="15"/>
      <c r="BO837" s="15"/>
      <c r="BP837" s="15"/>
      <c r="BQ837" s="15"/>
      <c r="BR837" s="15"/>
      <c r="BS837" s="15"/>
      <c r="BT837" s="15"/>
      <c r="BU837" s="15"/>
      <c r="BV837" s="15"/>
      <c r="BW837" s="15"/>
      <c r="BX837" s="15"/>
      <c r="BY837" s="15"/>
      <c r="BZ837" s="15"/>
      <c r="CA837" s="15"/>
      <c r="CB837" s="15"/>
      <c r="CC837" s="15"/>
      <c r="CD837" s="15"/>
      <c r="CE837" s="15"/>
      <c r="CF837" s="15"/>
      <c r="CG837" s="15"/>
      <c r="CH837" s="15"/>
      <c r="CI837" s="15"/>
      <c r="CJ837" s="15"/>
      <c r="CK837" s="15"/>
      <c r="CL837" s="15"/>
      <c r="CM837" s="15"/>
      <c r="CN837" s="15"/>
      <c r="CO837" s="15"/>
      <c r="CP837" s="15"/>
      <c r="CQ837" s="15"/>
      <c r="CR837" s="15"/>
      <c r="CS837" s="73"/>
      <c r="CT837" s="15"/>
      <c r="CU837" s="15"/>
      <c r="CV837" s="15"/>
      <c r="CW837" s="15"/>
      <c r="CX837" s="15"/>
      <c r="CY837" s="15"/>
      <c r="CZ837" s="15"/>
      <c r="DA837" s="15"/>
      <c r="DB837" s="15"/>
      <c r="DC837" s="15"/>
      <c r="DD837" s="15"/>
      <c r="DE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61"/>
      <c r="BK838" s="15"/>
      <c r="BL838" s="15"/>
      <c r="BM838" s="15"/>
      <c r="BN838" s="15"/>
      <c r="BO838" s="15"/>
      <c r="BP838" s="15"/>
      <c r="BQ838" s="15"/>
      <c r="BR838" s="15"/>
      <c r="BS838" s="15"/>
      <c r="BT838" s="15"/>
      <c r="BU838" s="15"/>
      <c r="BV838" s="15"/>
      <c r="BW838" s="15"/>
      <c r="BX838" s="15"/>
      <c r="BY838" s="15"/>
      <c r="BZ838" s="15"/>
      <c r="CA838" s="15"/>
      <c r="CB838" s="15"/>
      <c r="CC838" s="15"/>
      <c r="CD838" s="15"/>
      <c r="CE838" s="15"/>
      <c r="CF838" s="15"/>
      <c r="CG838" s="15"/>
      <c r="CH838" s="15"/>
      <c r="CI838" s="15"/>
      <c r="CJ838" s="15"/>
      <c r="CK838" s="15"/>
      <c r="CL838" s="15"/>
      <c r="CM838" s="15"/>
      <c r="CN838" s="15"/>
      <c r="CO838" s="15"/>
      <c r="CP838" s="15"/>
      <c r="CQ838" s="15"/>
      <c r="CR838" s="15"/>
      <c r="CS838" s="73"/>
      <c r="CT838" s="15"/>
      <c r="CU838" s="15"/>
      <c r="CV838" s="15"/>
      <c r="CW838" s="15"/>
      <c r="CX838" s="15"/>
      <c r="CY838" s="15"/>
      <c r="CZ838" s="15"/>
      <c r="DA838" s="15"/>
      <c r="DB838" s="15"/>
      <c r="DC838" s="15"/>
      <c r="DD838" s="15"/>
      <c r="DE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61"/>
      <c r="BK839" s="15"/>
      <c r="BL839" s="15"/>
      <c r="BM839" s="15"/>
      <c r="BN839" s="15"/>
      <c r="BO839" s="15"/>
      <c r="BP839" s="15"/>
      <c r="BQ839" s="15"/>
      <c r="BR839" s="15"/>
      <c r="BS839" s="15"/>
      <c r="BT839" s="15"/>
      <c r="BU839" s="15"/>
      <c r="BV839" s="15"/>
      <c r="BW839" s="15"/>
      <c r="BX839" s="15"/>
      <c r="BY839" s="15"/>
      <c r="BZ839" s="15"/>
      <c r="CA839" s="15"/>
      <c r="CB839" s="15"/>
      <c r="CC839" s="15"/>
      <c r="CD839" s="15"/>
      <c r="CE839" s="15"/>
      <c r="CF839" s="15"/>
      <c r="CG839" s="15"/>
      <c r="CH839" s="15"/>
      <c r="CI839" s="15"/>
      <c r="CJ839" s="15"/>
      <c r="CK839" s="15"/>
      <c r="CL839" s="15"/>
      <c r="CM839" s="15"/>
      <c r="CN839" s="15"/>
      <c r="CO839" s="15"/>
      <c r="CP839" s="15"/>
      <c r="CQ839" s="15"/>
      <c r="CR839" s="15"/>
      <c r="CS839" s="73"/>
      <c r="CT839" s="15"/>
      <c r="CU839" s="15"/>
      <c r="CV839" s="15"/>
      <c r="CW839" s="15"/>
      <c r="CX839" s="15"/>
      <c r="CY839" s="15"/>
      <c r="CZ839" s="15"/>
      <c r="DA839" s="15"/>
      <c r="DB839" s="15"/>
      <c r="DC839" s="15"/>
      <c r="DD839" s="15"/>
      <c r="DE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61"/>
      <c r="BK840" s="15"/>
      <c r="BL840" s="15"/>
      <c r="BM840" s="15"/>
      <c r="BN840" s="15"/>
      <c r="BO840" s="15"/>
      <c r="BP840" s="15"/>
      <c r="BQ840" s="15"/>
      <c r="BR840" s="15"/>
      <c r="BS840" s="15"/>
      <c r="BT840" s="15"/>
      <c r="BU840" s="15"/>
      <c r="BV840" s="15"/>
      <c r="BW840" s="15"/>
      <c r="BX840" s="15"/>
      <c r="BY840" s="15"/>
      <c r="BZ840" s="15"/>
      <c r="CA840" s="15"/>
      <c r="CB840" s="15"/>
      <c r="CC840" s="15"/>
      <c r="CD840" s="15"/>
      <c r="CE840" s="15"/>
      <c r="CF840" s="15"/>
      <c r="CG840" s="15"/>
      <c r="CH840" s="15"/>
      <c r="CI840" s="15"/>
      <c r="CJ840" s="15"/>
      <c r="CK840" s="15"/>
      <c r="CL840" s="15"/>
      <c r="CM840" s="15"/>
      <c r="CN840" s="15"/>
      <c r="CO840" s="15"/>
      <c r="CP840" s="15"/>
      <c r="CQ840" s="15"/>
      <c r="CR840" s="15"/>
      <c r="CS840" s="73"/>
      <c r="CT840" s="15"/>
      <c r="CU840" s="15"/>
      <c r="CV840" s="15"/>
      <c r="CW840" s="15"/>
      <c r="CX840" s="15"/>
      <c r="CY840" s="15"/>
      <c r="CZ840" s="15"/>
      <c r="DA840" s="15"/>
      <c r="DB840" s="15"/>
      <c r="DC840" s="15"/>
      <c r="DD840" s="15"/>
      <c r="DE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61"/>
      <c r="BK841" s="15"/>
      <c r="BL841" s="15"/>
      <c r="BM841" s="15"/>
      <c r="BN841" s="15"/>
      <c r="BO841" s="15"/>
      <c r="BP841" s="15"/>
      <c r="BQ841" s="15"/>
      <c r="BR841" s="15"/>
      <c r="BS841" s="15"/>
      <c r="BT841" s="15"/>
      <c r="BU841" s="15"/>
      <c r="BV841" s="15"/>
      <c r="BW841" s="15"/>
      <c r="BX841" s="15"/>
      <c r="BY841" s="15"/>
      <c r="BZ841" s="15"/>
      <c r="CA841" s="15"/>
      <c r="CB841" s="15"/>
      <c r="CC841" s="15"/>
      <c r="CD841" s="15"/>
      <c r="CE841" s="15"/>
      <c r="CF841" s="15"/>
      <c r="CG841" s="15"/>
      <c r="CH841" s="15"/>
      <c r="CI841" s="15"/>
      <c r="CJ841" s="15"/>
      <c r="CK841" s="15"/>
      <c r="CL841" s="15"/>
      <c r="CM841" s="15"/>
      <c r="CN841" s="15"/>
      <c r="CO841" s="15"/>
      <c r="CP841" s="15"/>
      <c r="CQ841" s="15"/>
      <c r="CR841" s="15"/>
      <c r="CS841" s="73"/>
      <c r="CT841" s="15"/>
      <c r="CU841" s="15"/>
      <c r="CV841" s="15"/>
      <c r="CW841" s="15"/>
      <c r="CX841" s="15"/>
      <c r="CY841" s="15"/>
      <c r="CZ841" s="15"/>
      <c r="DA841" s="15"/>
      <c r="DB841" s="15"/>
      <c r="DC841" s="15"/>
      <c r="DD841" s="15"/>
      <c r="DE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61"/>
      <c r="BK842" s="15"/>
      <c r="BL842" s="15"/>
      <c r="BM842" s="15"/>
      <c r="BN842" s="15"/>
      <c r="BO842" s="15"/>
      <c r="BP842" s="15"/>
      <c r="BQ842" s="15"/>
      <c r="BR842" s="15"/>
      <c r="BS842" s="15"/>
      <c r="BT842" s="15"/>
      <c r="BU842" s="15"/>
      <c r="BV842" s="15"/>
      <c r="BW842" s="15"/>
      <c r="BX842" s="15"/>
      <c r="BY842" s="15"/>
      <c r="BZ842" s="15"/>
      <c r="CA842" s="15"/>
      <c r="CB842" s="15"/>
      <c r="CC842" s="15"/>
      <c r="CD842" s="15"/>
      <c r="CE842" s="15"/>
      <c r="CF842" s="15"/>
      <c r="CG842" s="15"/>
      <c r="CH842" s="15"/>
      <c r="CI842" s="15"/>
      <c r="CJ842" s="15"/>
      <c r="CK842" s="15"/>
      <c r="CL842" s="15"/>
      <c r="CM842" s="15"/>
      <c r="CN842" s="15"/>
      <c r="CO842" s="15"/>
      <c r="CP842" s="15"/>
      <c r="CQ842" s="15"/>
      <c r="CR842" s="15"/>
      <c r="CS842" s="73"/>
      <c r="CT842" s="15"/>
      <c r="CU842" s="15"/>
      <c r="CV842" s="15"/>
      <c r="CW842" s="15"/>
      <c r="CX842" s="15"/>
      <c r="CY842" s="15"/>
      <c r="CZ842" s="15"/>
      <c r="DA842" s="15"/>
      <c r="DB842" s="15"/>
      <c r="DC842" s="15"/>
      <c r="DD842" s="15"/>
      <c r="DE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61"/>
      <c r="BK843" s="15"/>
      <c r="BL843" s="15"/>
      <c r="BM843" s="15"/>
      <c r="BN843" s="15"/>
      <c r="BO843" s="15"/>
      <c r="BP843" s="15"/>
      <c r="BQ843" s="15"/>
      <c r="BR843" s="15"/>
      <c r="BS843" s="15"/>
      <c r="BT843" s="15"/>
      <c r="BU843" s="15"/>
      <c r="BV843" s="15"/>
      <c r="BW843" s="15"/>
      <c r="BX843" s="15"/>
      <c r="BY843" s="15"/>
      <c r="BZ843" s="15"/>
      <c r="CA843" s="15"/>
      <c r="CB843" s="15"/>
      <c r="CC843" s="15"/>
      <c r="CD843" s="15"/>
      <c r="CE843" s="15"/>
      <c r="CF843" s="15"/>
      <c r="CG843" s="15"/>
      <c r="CH843" s="15"/>
      <c r="CI843" s="15"/>
      <c r="CJ843" s="15"/>
      <c r="CK843" s="15"/>
      <c r="CL843" s="15"/>
      <c r="CM843" s="15"/>
      <c r="CN843" s="15"/>
      <c r="CO843" s="15"/>
      <c r="CP843" s="15"/>
      <c r="CQ843" s="15"/>
      <c r="CR843" s="15"/>
      <c r="CS843" s="73"/>
      <c r="CT843" s="15"/>
      <c r="CU843" s="15"/>
      <c r="CV843" s="15"/>
      <c r="CW843" s="15"/>
      <c r="CX843" s="15"/>
      <c r="CY843" s="15"/>
      <c r="CZ843" s="15"/>
      <c r="DA843" s="15"/>
      <c r="DB843" s="15"/>
      <c r="DC843" s="15"/>
      <c r="DD843" s="15"/>
      <c r="DE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61"/>
      <c r="BK844" s="15"/>
      <c r="BL844" s="15"/>
      <c r="BM844" s="15"/>
      <c r="BN844" s="15"/>
      <c r="BO844" s="15"/>
      <c r="BP844" s="15"/>
      <c r="BQ844" s="15"/>
      <c r="BR844" s="15"/>
      <c r="BS844" s="15"/>
      <c r="BT844" s="15"/>
      <c r="BU844" s="15"/>
      <c r="BV844" s="15"/>
      <c r="BW844" s="15"/>
      <c r="BX844" s="15"/>
      <c r="BY844" s="15"/>
      <c r="BZ844" s="15"/>
      <c r="CA844" s="15"/>
      <c r="CB844" s="15"/>
      <c r="CC844" s="15"/>
      <c r="CD844" s="15"/>
      <c r="CE844" s="15"/>
      <c r="CF844" s="15"/>
      <c r="CG844" s="15"/>
      <c r="CH844" s="15"/>
      <c r="CI844" s="15"/>
      <c r="CJ844" s="15"/>
      <c r="CK844" s="15"/>
      <c r="CL844" s="15"/>
      <c r="CM844" s="15"/>
      <c r="CN844" s="15"/>
      <c r="CO844" s="15"/>
      <c r="CP844" s="15"/>
      <c r="CQ844" s="15"/>
      <c r="CR844" s="15"/>
      <c r="CS844" s="73"/>
      <c r="CT844" s="15"/>
      <c r="CU844" s="15"/>
      <c r="CV844" s="15"/>
      <c r="CW844" s="15"/>
      <c r="CX844" s="15"/>
      <c r="CY844" s="15"/>
      <c r="CZ844" s="15"/>
      <c r="DA844" s="15"/>
      <c r="DB844" s="15"/>
      <c r="DC844" s="15"/>
      <c r="DD844" s="15"/>
      <c r="DE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61"/>
      <c r="BK845" s="15"/>
      <c r="BL845" s="15"/>
      <c r="BM845" s="15"/>
      <c r="BN845" s="15"/>
      <c r="BO845" s="15"/>
      <c r="BP845" s="15"/>
      <c r="BQ845" s="15"/>
      <c r="BR845" s="15"/>
      <c r="BS845" s="15"/>
      <c r="BT845" s="15"/>
      <c r="BU845" s="15"/>
      <c r="BV845" s="15"/>
      <c r="BW845" s="15"/>
      <c r="BX845" s="15"/>
      <c r="BY845" s="15"/>
      <c r="BZ845" s="15"/>
      <c r="CA845" s="15"/>
      <c r="CB845" s="15"/>
      <c r="CC845" s="15"/>
      <c r="CD845" s="15"/>
      <c r="CE845" s="15"/>
      <c r="CF845" s="15"/>
      <c r="CG845" s="15"/>
      <c r="CH845" s="15"/>
      <c r="CI845" s="15"/>
      <c r="CJ845" s="15"/>
      <c r="CK845" s="15"/>
      <c r="CL845" s="15"/>
      <c r="CM845" s="15"/>
      <c r="CN845" s="15"/>
      <c r="CO845" s="15"/>
      <c r="CP845" s="15"/>
      <c r="CQ845" s="15"/>
      <c r="CR845" s="15"/>
      <c r="CS845" s="73"/>
      <c r="CT845" s="15"/>
      <c r="CU845" s="15"/>
      <c r="CV845" s="15"/>
      <c r="CW845" s="15"/>
      <c r="CX845" s="15"/>
      <c r="CY845" s="15"/>
      <c r="CZ845" s="15"/>
      <c r="DA845" s="15"/>
      <c r="DB845" s="15"/>
      <c r="DC845" s="15"/>
      <c r="DD845" s="15"/>
      <c r="DE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61"/>
      <c r="BK846" s="15"/>
      <c r="BL846" s="15"/>
      <c r="BM846" s="15"/>
      <c r="BN846" s="15"/>
      <c r="BO846" s="15"/>
      <c r="BP846" s="15"/>
      <c r="BQ846" s="15"/>
      <c r="BR846" s="15"/>
      <c r="BS846" s="15"/>
      <c r="BT846" s="15"/>
      <c r="BU846" s="15"/>
      <c r="BV846" s="15"/>
      <c r="BW846" s="15"/>
      <c r="BX846" s="15"/>
      <c r="BY846" s="15"/>
      <c r="BZ846" s="15"/>
      <c r="CA846" s="15"/>
      <c r="CB846" s="15"/>
      <c r="CC846" s="15"/>
      <c r="CD846" s="15"/>
      <c r="CE846" s="15"/>
      <c r="CF846" s="15"/>
      <c r="CG846" s="15"/>
      <c r="CH846" s="15"/>
      <c r="CI846" s="15"/>
      <c r="CJ846" s="15"/>
      <c r="CK846" s="15"/>
      <c r="CL846" s="15"/>
      <c r="CM846" s="15"/>
      <c r="CN846" s="15"/>
      <c r="CO846" s="15"/>
      <c r="CP846" s="15"/>
      <c r="CQ846" s="15"/>
      <c r="CR846" s="15"/>
      <c r="CS846" s="73"/>
      <c r="CT846" s="15"/>
      <c r="CU846" s="15"/>
      <c r="CV846" s="15"/>
      <c r="CW846" s="15"/>
      <c r="CX846" s="15"/>
      <c r="CY846" s="15"/>
      <c r="CZ846" s="15"/>
      <c r="DA846" s="15"/>
      <c r="DB846" s="15"/>
      <c r="DC846" s="15"/>
      <c r="DD846" s="15"/>
      <c r="DE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61"/>
      <c r="BK847" s="15"/>
      <c r="BL847" s="15"/>
      <c r="BM847" s="15"/>
      <c r="BN847" s="15"/>
      <c r="BO847" s="15"/>
      <c r="BP847" s="15"/>
      <c r="BQ847" s="15"/>
      <c r="BR847" s="15"/>
      <c r="BS847" s="15"/>
      <c r="BT847" s="15"/>
      <c r="BU847" s="15"/>
      <c r="BV847" s="15"/>
      <c r="BW847" s="15"/>
      <c r="BX847" s="15"/>
      <c r="BY847" s="15"/>
      <c r="BZ847" s="15"/>
      <c r="CA847" s="15"/>
      <c r="CB847" s="15"/>
      <c r="CC847" s="15"/>
      <c r="CD847" s="15"/>
      <c r="CE847" s="15"/>
      <c r="CF847" s="15"/>
      <c r="CG847" s="15"/>
      <c r="CH847" s="15"/>
      <c r="CI847" s="15"/>
      <c r="CJ847" s="15"/>
      <c r="CK847" s="15"/>
      <c r="CL847" s="15"/>
      <c r="CM847" s="15"/>
      <c r="CN847" s="15"/>
      <c r="CO847" s="15"/>
      <c r="CP847" s="15"/>
      <c r="CQ847" s="15"/>
      <c r="CR847" s="15"/>
      <c r="CS847" s="73"/>
      <c r="CT847" s="15"/>
      <c r="CU847" s="15"/>
      <c r="CV847" s="15"/>
      <c r="CW847" s="15"/>
      <c r="CX847" s="15"/>
      <c r="CY847" s="15"/>
      <c r="CZ847" s="15"/>
      <c r="DA847" s="15"/>
      <c r="DB847" s="15"/>
      <c r="DC847" s="15"/>
      <c r="DD847" s="15"/>
      <c r="DE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61"/>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73"/>
      <c r="CT848" s="15"/>
      <c r="CU848" s="15"/>
      <c r="CV848" s="15"/>
      <c r="CW848" s="15"/>
      <c r="CX848" s="15"/>
      <c r="CY848" s="15"/>
      <c r="CZ848" s="15"/>
      <c r="DA848" s="15"/>
      <c r="DB848" s="15"/>
      <c r="DC848" s="15"/>
      <c r="DD848" s="15"/>
      <c r="DE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61"/>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73"/>
      <c r="CT849" s="15"/>
      <c r="CU849" s="15"/>
      <c r="CV849" s="15"/>
      <c r="CW849" s="15"/>
      <c r="CX849" s="15"/>
      <c r="CY849" s="15"/>
      <c r="CZ849" s="15"/>
      <c r="DA849" s="15"/>
      <c r="DB849" s="15"/>
      <c r="DC849" s="15"/>
      <c r="DD849" s="15"/>
      <c r="DE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c r="AW850" s="15"/>
      <c r="AX850" s="15"/>
      <c r="AY850" s="15"/>
      <c r="AZ850" s="15"/>
      <c r="BA850" s="15"/>
      <c r="BB850" s="15"/>
      <c r="BC850" s="15"/>
      <c r="BD850" s="15"/>
      <c r="BE850" s="15"/>
      <c r="BF850" s="15"/>
      <c r="BG850" s="15"/>
      <c r="BH850" s="15"/>
      <c r="BI850" s="15"/>
      <c r="BJ850" s="61"/>
      <c r="BK850" s="15"/>
      <c r="BL850" s="15"/>
      <c r="BM850" s="15"/>
      <c r="BN850" s="15"/>
      <c r="BO850" s="15"/>
      <c r="BP850" s="15"/>
      <c r="BQ850" s="15"/>
      <c r="BR850" s="15"/>
      <c r="BS850" s="15"/>
      <c r="BT850" s="15"/>
      <c r="BU850" s="15"/>
      <c r="BV850" s="15"/>
      <c r="BW850" s="15"/>
      <c r="BX850" s="15"/>
      <c r="BY850" s="15"/>
      <c r="BZ850" s="15"/>
      <c r="CA850" s="15"/>
      <c r="CB850" s="15"/>
      <c r="CC850" s="15"/>
      <c r="CD850" s="15"/>
      <c r="CE850" s="15"/>
      <c r="CF850" s="15"/>
      <c r="CG850" s="15"/>
      <c r="CH850" s="15"/>
      <c r="CI850" s="15"/>
      <c r="CJ850" s="15"/>
      <c r="CK850" s="15"/>
      <c r="CL850" s="15"/>
      <c r="CM850" s="15"/>
      <c r="CN850" s="15"/>
      <c r="CO850" s="15"/>
      <c r="CP850" s="15"/>
      <c r="CQ850" s="15"/>
      <c r="CR850" s="15"/>
      <c r="CS850" s="73"/>
      <c r="CT850" s="15"/>
      <c r="CU850" s="15"/>
      <c r="CV850" s="15"/>
      <c r="CW850" s="15"/>
      <c r="CX850" s="15"/>
      <c r="CY850" s="15"/>
      <c r="CZ850" s="15"/>
      <c r="DA850" s="15"/>
      <c r="DB850" s="15"/>
      <c r="DC850" s="15"/>
      <c r="DD850" s="15"/>
      <c r="DE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c r="AW851" s="15"/>
      <c r="AX851" s="15"/>
      <c r="AY851" s="15"/>
      <c r="AZ851" s="15"/>
      <c r="BA851" s="15"/>
      <c r="BB851" s="15"/>
      <c r="BC851" s="15"/>
      <c r="BD851" s="15"/>
      <c r="BE851" s="15"/>
      <c r="BF851" s="15"/>
      <c r="BG851" s="15"/>
      <c r="BH851" s="15"/>
      <c r="BI851" s="15"/>
      <c r="BJ851" s="61"/>
      <c r="BK851" s="15"/>
      <c r="BL851" s="15"/>
      <c r="BM851" s="15"/>
      <c r="BN851" s="15"/>
      <c r="BO851" s="15"/>
      <c r="BP851" s="15"/>
      <c r="BQ851" s="15"/>
      <c r="BR851" s="15"/>
      <c r="BS851" s="15"/>
      <c r="BT851" s="15"/>
      <c r="BU851" s="15"/>
      <c r="BV851" s="15"/>
      <c r="BW851" s="15"/>
      <c r="BX851" s="15"/>
      <c r="BY851" s="15"/>
      <c r="BZ851" s="15"/>
      <c r="CA851" s="15"/>
      <c r="CB851" s="15"/>
      <c r="CC851" s="15"/>
      <c r="CD851" s="15"/>
      <c r="CE851" s="15"/>
      <c r="CF851" s="15"/>
      <c r="CG851" s="15"/>
      <c r="CH851" s="15"/>
      <c r="CI851" s="15"/>
      <c r="CJ851" s="15"/>
      <c r="CK851" s="15"/>
      <c r="CL851" s="15"/>
      <c r="CM851" s="15"/>
      <c r="CN851" s="15"/>
      <c r="CO851" s="15"/>
      <c r="CP851" s="15"/>
      <c r="CQ851" s="15"/>
      <c r="CR851" s="15"/>
      <c r="CS851" s="73"/>
      <c r="CT851" s="15"/>
      <c r="CU851" s="15"/>
      <c r="CV851" s="15"/>
      <c r="CW851" s="15"/>
      <c r="CX851" s="15"/>
      <c r="CY851" s="15"/>
      <c r="CZ851" s="15"/>
      <c r="DA851" s="15"/>
      <c r="DB851" s="15"/>
      <c r="DC851" s="15"/>
      <c r="DD851" s="15"/>
      <c r="DE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c r="AW852" s="15"/>
      <c r="AX852" s="15"/>
      <c r="AY852" s="15"/>
      <c r="AZ852" s="15"/>
      <c r="BA852" s="15"/>
      <c r="BB852" s="15"/>
      <c r="BC852" s="15"/>
      <c r="BD852" s="15"/>
      <c r="BE852" s="15"/>
      <c r="BF852" s="15"/>
      <c r="BG852" s="15"/>
      <c r="BH852" s="15"/>
      <c r="BI852" s="15"/>
      <c r="BJ852" s="61"/>
      <c r="BK852" s="15"/>
      <c r="BL852" s="15"/>
      <c r="BM852" s="15"/>
      <c r="BN852" s="15"/>
      <c r="BO852" s="15"/>
      <c r="BP852" s="15"/>
      <c r="BQ852" s="15"/>
      <c r="BR852" s="15"/>
      <c r="BS852" s="15"/>
      <c r="BT852" s="15"/>
      <c r="BU852" s="15"/>
      <c r="BV852" s="15"/>
      <c r="BW852" s="15"/>
      <c r="BX852" s="15"/>
      <c r="BY852" s="15"/>
      <c r="BZ852" s="15"/>
      <c r="CA852" s="15"/>
      <c r="CB852" s="15"/>
      <c r="CC852" s="15"/>
      <c r="CD852" s="15"/>
      <c r="CE852" s="15"/>
      <c r="CF852" s="15"/>
      <c r="CG852" s="15"/>
      <c r="CH852" s="15"/>
      <c r="CI852" s="15"/>
      <c r="CJ852" s="15"/>
      <c r="CK852" s="15"/>
      <c r="CL852" s="15"/>
      <c r="CM852" s="15"/>
      <c r="CN852" s="15"/>
      <c r="CO852" s="15"/>
      <c r="CP852" s="15"/>
      <c r="CQ852" s="15"/>
      <c r="CR852" s="15"/>
      <c r="CS852" s="73"/>
      <c r="CT852" s="15"/>
      <c r="CU852" s="15"/>
      <c r="CV852" s="15"/>
      <c r="CW852" s="15"/>
      <c r="CX852" s="15"/>
      <c r="CY852" s="15"/>
      <c r="CZ852" s="15"/>
      <c r="DA852" s="15"/>
      <c r="DB852" s="15"/>
      <c r="DC852" s="15"/>
      <c r="DD852" s="15"/>
      <c r="DE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c r="AW853" s="15"/>
      <c r="AX853" s="15"/>
      <c r="AY853" s="15"/>
      <c r="AZ853" s="15"/>
      <c r="BA853" s="15"/>
      <c r="BB853" s="15"/>
      <c r="BC853" s="15"/>
      <c r="BD853" s="15"/>
      <c r="BE853" s="15"/>
      <c r="BF853" s="15"/>
      <c r="BG853" s="15"/>
      <c r="BH853" s="15"/>
      <c r="BI853" s="15"/>
      <c r="BJ853" s="61"/>
      <c r="BK853" s="15"/>
      <c r="BL853" s="15"/>
      <c r="BM853" s="15"/>
      <c r="BN853" s="15"/>
      <c r="BO853" s="15"/>
      <c r="BP853" s="15"/>
      <c r="BQ853" s="15"/>
      <c r="BR853" s="15"/>
      <c r="BS853" s="15"/>
      <c r="BT853" s="15"/>
      <c r="BU853" s="15"/>
      <c r="BV853" s="15"/>
      <c r="BW853" s="15"/>
      <c r="BX853" s="15"/>
      <c r="BY853" s="15"/>
      <c r="BZ853" s="15"/>
      <c r="CA853" s="15"/>
      <c r="CB853" s="15"/>
      <c r="CC853" s="15"/>
      <c r="CD853" s="15"/>
      <c r="CE853" s="15"/>
      <c r="CF853" s="15"/>
      <c r="CG853" s="15"/>
      <c r="CH853" s="15"/>
      <c r="CI853" s="15"/>
      <c r="CJ853" s="15"/>
      <c r="CK853" s="15"/>
      <c r="CL853" s="15"/>
      <c r="CM853" s="15"/>
      <c r="CN853" s="15"/>
      <c r="CO853" s="15"/>
      <c r="CP853" s="15"/>
      <c r="CQ853" s="15"/>
      <c r="CR853" s="15"/>
      <c r="CS853" s="73"/>
      <c r="CT853" s="15"/>
      <c r="CU853" s="15"/>
      <c r="CV853" s="15"/>
      <c r="CW853" s="15"/>
      <c r="CX853" s="15"/>
      <c r="CY853" s="15"/>
      <c r="CZ853" s="15"/>
      <c r="DA853" s="15"/>
      <c r="DB853" s="15"/>
      <c r="DC853" s="15"/>
      <c r="DD853" s="15"/>
      <c r="DE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c r="AW854" s="15"/>
      <c r="AX854" s="15"/>
      <c r="AY854" s="15"/>
      <c r="AZ854" s="15"/>
      <c r="BA854" s="15"/>
      <c r="BB854" s="15"/>
      <c r="BC854" s="15"/>
      <c r="BD854" s="15"/>
      <c r="BE854" s="15"/>
      <c r="BF854" s="15"/>
      <c r="BG854" s="15"/>
      <c r="BH854" s="15"/>
      <c r="BI854" s="15"/>
      <c r="BJ854" s="61"/>
      <c r="BK854" s="15"/>
      <c r="BL854" s="15"/>
      <c r="BM854" s="15"/>
      <c r="BN854" s="15"/>
      <c r="BO854" s="15"/>
      <c r="BP854" s="15"/>
      <c r="BQ854" s="15"/>
      <c r="BR854" s="15"/>
      <c r="BS854" s="15"/>
      <c r="BT854" s="15"/>
      <c r="BU854" s="15"/>
      <c r="BV854" s="15"/>
      <c r="BW854" s="15"/>
      <c r="BX854" s="15"/>
      <c r="BY854" s="15"/>
      <c r="BZ854" s="15"/>
      <c r="CA854" s="15"/>
      <c r="CB854" s="15"/>
      <c r="CC854" s="15"/>
      <c r="CD854" s="15"/>
      <c r="CE854" s="15"/>
      <c r="CF854" s="15"/>
      <c r="CG854" s="15"/>
      <c r="CH854" s="15"/>
      <c r="CI854" s="15"/>
      <c r="CJ854" s="15"/>
      <c r="CK854" s="15"/>
      <c r="CL854" s="15"/>
      <c r="CM854" s="15"/>
      <c r="CN854" s="15"/>
      <c r="CO854" s="15"/>
      <c r="CP854" s="15"/>
      <c r="CQ854" s="15"/>
      <c r="CR854" s="15"/>
      <c r="CS854" s="73"/>
      <c r="CT854" s="15"/>
      <c r="CU854" s="15"/>
      <c r="CV854" s="15"/>
      <c r="CW854" s="15"/>
      <c r="CX854" s="15"/>
      <c r="CY854" s="15"/>
      <c r="CZ854" s="15"/>
      <c r="DA854" s="15"/>
      <c r="DB854" s="15"/>
      <c r="DC854" s="15"/>
      <c r="DD854" s="15"/>
      <c r="DE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c r="AW855" s="15"/>
      <c r="AX855" s="15"/>
      <c r="AY855" s="15"/>
      <c r="AZ855" s="15"/>
      <c r="BA855" s="15"/>
      <c r="BB855" s="15"/>
      <c r="BC855" s="15"/>
      <c r="BD855" s="15"/>
      <c r="BE855" s="15"/>
      <c r="BF855" s="15"/>
      <c r="BG855" s="15"/>
      <c r="BH855" s="15"/>
      <c r="BI855" s="15"/>
      <c r="BJ855" s="61"/>
      <c r="BK855" s="15"/>
      <c r="BL855" s="15"/>
      <c r="BM855" s="15"/>
      <c r="BN855" s="15"/>
      <c r="BO855" s="15"/>
      <c r="BP855" s="15"/>
      <c r="BQ855" s="15"/>
      <c r="BR855" s="15"/>
      <c r="BS855" s="15"/>
      <c r="BT855" s="15"/>
      <c r="BU855" s="15"/>
      <c r="BV855" s="15"/>
      <c r="BW855" s="15"/>
      <c r="BX855" s="15"/>
      <c r="BY855" s="15"/>
      <c r="BZ855" s="15"/>
      <c r="CA855" s="15"/>
      <c r="CB855" s="15"/>
      <c r="CC855" s="15"/>
      <c r="CD855" s="15"/>
      <c r="CE855" s="15"/>
      <c r="CF855" s="15"/>
      <c r="CG855" s="15"/>
      <c r="CH855" s="15"/>
      <c r="CI855" s="15"/>
      <c r="CJ855" s="15"/>
      <c r="CK855" s="15"/>
      <c r="CL855" s="15"/>
      <c r="CM855" s="15"/>
      <c r="CN855" s="15"/>
      <c r="CO855" s="15"/>
      <c r="CP855" s="15"/>
      <c r="CQ855" s="15"/>
      <c r="CR855" s="15"/>
      <c r="CS855" s="73"/>
      <c r="CT855" s="15"/>
      <c r="CU855" s="15"/>
      <c r="CV855" s="15"/>
      <c r="CW855" s="15"/>
      <c r="CX855" s="15"/>
      <c r="CY855" s="15"/>
      <c r="CZ855" s="15"/>
      <c r="DA855" s="15"/>
      <c r="DB855" s="15"/>
      <c r="DC855" s="15"/>
      <c r="DD855" s="15"/>
      <c r="DE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c r="AW856" s="15"/>
      <c r="AX856" s="15"/>
      <c r="AY856" s="15"/>
      <c r="AZ856" s="15"/>
      <c r="BA856" s="15"/>
      <c r="BB856" s="15"/>
      <c r="BC856" s="15"/>
      <c r="BD856" s="15"/>
      <c r="BE856" s="15"/>
      <c r="BF856" s="15"/>
      <c r="BG856" s="15"/>
      <c r="BH856" s="15"/>
      <c r="BI856" s="15"/>
      <c r="BJ856" s="61"/>
      <c r="BK856" s="15"/>
      <c r="BL856" s="15"/>
      <c r="BM856" s="15"/>
      <c r="BN856" s="15"/>
      <c r="BO856" s="15"/>
      <c r="BP856" s="15"/>
      <c r="BQ856" s="15"/>
      <c r="BR856" s="15"/>
      <c r="BS856" s="15"/>
      <c r="BT856" s="15"/>
      <c r="BU856" s="15"/>
      <c r="BV856" s="15"/>
      <c r="BW856" s="15"/>
      <c r="BX856" s="15"/>
      <c r="BY856" s="15"/>
      <c r="BZ856" s="15"/>
      <c r="CA856" s="15"/>
      <c r="CB856" s="15"/>
      <c r="CC856" s="15"/>
      <c r="CD856" s="15"/>
      <c r="CE856" s="15"/>
      <c r="CF856" s="15"/>
      <c r="CG856" s="15"/>
      <c r="CH856" s="15"/>
      <c r="CI856" s="15"/>
      <c r="CJ856" s="15"/>
      <c r="CK856" s="15"/>
      <c r="CL856" s="15"/>
      <c r="CM856" s="15"/>
      <c r="CN856" s="15"/>
      <c r="CO856" s="15"/>
      <c r="CP856" s="15"/>
      <c r="CQ856" s="15"/>
      <c r="CR856" s="15"/>
      <c r="CS856" s="73"/>
      <c r="CT856" s="15"/>
      <c r="CU856" s="15"/>
      <c r="CV856" s="15"/>
      <c r="CW856" s="15"/>
      <c r="CX856" s="15"/>
      <c r="CY856" s="15"/>
      <c r="CZ856" s="15"/>
      <c r="DA856" s="15"/>
      <c r="DB856" s="15"/>
      <c r="DC856" s="15"/>
      <c r="DD856" s="15"/>
      <c r="DE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c r="AW857" s="15"/>
      <c r="AX857" s="15"/>
      <c r="AY857" s="15"/>
      <c r="AZ857" s="15"/>
      <c r="BA857" s="15"/>
      <c r="BB857" s="15"/>
      <c r="BC857" s="15"/>
      <c r="BD857" s="15"/>
      <c r="BE857" s="15"/>
      <c r="BF857" s="15"/>
      <c r="BG857" s="15"/>
      <c r="BH857" s="15"/>
      <c r="BI857" s="15"/>
      <c r="BJ857" s="61"/>
      <c r="BK857" s="15"/>
      <c r="BL857" s="15"/>
      <c r="BM857" s="15"/>
      <c r="BN857" s="15"/>
      <c r="BO857" s="15"/>
      <c r="BP857" s="15"/>
      <c r="BQ857" s="15"/>
      <c r="BR857" s="15"/>
      <c r="BS857" s="15"/>
      <c r="BT857" s="15"/>
      <c r="BU857" s="15"/>
      <c r="BV857" s="15"/>
      <c r="BW857" s="15"/>
      <c r="BX857" s="15"/>
      <c r="BY857" s="15"/>
      <c r="BZ857" s="15"/>
      <c r="CA857" s="15"/>
      <c r="CB857" s="15"/>
      <c r="CC857" s="15"/>
      <c r="CD857" s="15"/>
      <c r="CE857" s="15"/>
      <c r="CF857" s="15"/>
      <c r="CG857" s="15"/>
      <c r="CH857" s="15"/>
      <c r="CI857" s="15"/>
      <c r="CJ857" s="15"/>
      <c r="CK857" s="15"/>
      <c r="CL857" s="15"/>
      <c r="CM857" s="15"/>
      <c r="CN857" s="15"/>
      <c r="CO857" s="15"/>
      <c r="CP857" s="15"/>
      <c r="CQ857" s="15"/>
      <c r="CR857" s="15"/>
      <c r="CS857" s="73"/>
      <c r="CT857" s="15"/>
      <c r="CU857" s="15"/>
      <c r="CV857" s="15"/>
      <c r="CW857" s="15"/>
      <c r="CX857" s="15"/>
      <c r="CY857" s="15"/>
      <c r="CZ857" s="15"/>
      <c r="DA857" s="15"/>
      <c r="DB857" s="15"/>
      <c r="DC857" s="15"/>
      <c r="DD857" s="15"/>
      <c r="DE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c r="AW858" s="15"/>
      <c r="AX858" s="15"/>
      <c r="AY858" s="15"/>
      <c r="AZ858" s="15"/>
      <c r="BA858" s="15"/>
      <c r="BB858" s="15"/>
      <c r="BC858" s="15"/>
      <c r="BD858" s="15"/>
      <c r="BE858" s="15"/>
      <c r="BF858" s="15"/>
      <c r="BG858" s="15"/>
      <c r="BH858" s="15"/>
      <c r="BI858" s="15"/>
      <c r="BJ858" s="61"/>
      <c r="BK858" s="15"/>
      <c r="BL858" s="15"/>
      <c r="BM858" s="15"/>
      <c r="BN858" s="15"/>
      <c r="BO858" s="15"/>
      <c r="BP858" s="15"/>
      <c r="BQ858" s="15"/>
      <c r="BR858" s="15"/>
      <c r="BS858" s="15"/>
      <c r="BT858" s="15"/>
      <c r="BU858" s="15"/>
      <c r="BV858" s="15"/>
      <c r="BW858" s="15"/>
      <c r="BX858" s="15"/>
      <c r="BY858" s="15"/>
      <c r="BZ858" s="15"/>
      <c r="CA858" s="15"/>
      <c r="CB858" s="15"/>
      <c r="CC858" s="15"/>
      <c r="CD858" s="15"/>
      <c r="CE858" s="15"/>
      <c r="CF858" s="15"/>
      <c r="CG858" s="15"/>
      <c r="CH858" s="15"/>
      <c r="CI858" s="15"/>
      <c r="CJ858" s="15"/>
      <c r="CK858" s="15"/>
      <c r="CL858" s="15"/>
      <c r="CM858" s="15"/>
      <c r="CN858" s="15"/>
      <c r="CO858" s="15"/>
      <c r="CP858" s="15"/>
      <c r="CQ858" s="15"/>
      <c r="CR858" s="15"/>
      <c r="CS858" s="73"/>
      <c r="CT858" s="15"/>
      <c r="CU858" s="15"/>
      <c r="CV858" s="15"/>
      <c r="CW858" s="15"/>
      <c r="CX858" s="15"/>
      <c r="CY858" s="15"/>
      <c r="CZ858" s="15"/>
      <c r="DA858" s="15"/>
      <c r="DB858" s="15"/>
      <c r="DC858" s="15"/>
      <c r="DD858" s="15"/>
      <c r="DE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61"/>
      <c r="BK859" s="15"/>
      <c r="BL859" s="15"/>
      <c r="BM859" s="15"/>
      <c r="BN859" s="15"/>
      <c r="BO859" s="15"/>
      <c r="BP859" s="15"/>
      <c r="BQ859" s="15"/>
      <c r="BR859" s="15"/>
      <c r="BS859" s="15"/>
      <c r="BT859" s="15"/>
      <c r="BU859" s="15"/>
      <c r="BV859" s="15"/>
      <c r="BW859" s="15"/>
      <c r="BX859" s="15"/>
      <c r="BY859" s="15"/>
      <c r="BZ859" s="15"/>
      <c r="CA859" s="15"/>
      <c r="CB859" s="15"/>
      <c r="CC859" s="15"/>
      <c r="CD859" s="15"/>
      <c r="CE859" s="15"/>
      <c r="CF859" s="15"/>
      <c r="CG859" s="15"/>
      <c r="CH859" s="15"/>
      <c r="CI859" s="15"/>
      <c r="CJ859" s="15"/>
      <c r="CK859" s="15"/>
      <c r="CL859" s="15"/>
      <c r="CM859" s="15"/>
      <c r="CN859" s="15"/>
      <c r="CO859" s="15"/>
      <c r="CP859" s="15"/>
      <c r="CQ859" s="15"/>
      <c r="CR859" s="15"/>
      <c r="CS859" s="73"/>
      <c r="CT859" s="15"/>
      <c r="CU859" s="15"/>
      <c r="CV859" s="15"/>
      <c r="CW859" s="15"/>
      <c r="CX859" s="15"/>
      <c r="CY859" s="15"/>
      <c r="CZ859" s="15"/>
      <c r="DA859" s="15"/>
      <c r="DB859" s="15"/>
      <c r="DC859" s="15"/>
      <c r="DD859" s="15"/>
      <c r="DE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61"/>
      <c r="BK860" s="15"/>
      <c r="BL860" s="15"/>
      <c r="BM860" s="15"/>
      <c r="BN860" s="15"/>
      <c r="BO860" s="15"/>
      <c r="BP860" s="15"/>
      <c r="BQ860" s="15"/>
      <c r="BR860" s="15"/>
      <c r="BS860" s="15"/>
      <c r="BT860" s="15"/>
      <c r="BU860" s="15"/>
      <c r="BV860" s="15"/>
      <c r="BW860" s="15"/>
      <c r="BX860" s="15"/>
      <c r="BY860" s="15"/>
      <c r="BZ860" s="15"/>
      <c r="CA860" s="15"/>
      <c r="CB860" s="15"/>
      <c r="CC860" s="15"/>
      <c r="CD860" s="15"/>
      <c r="CE860" s="15"/>
      <c r="CF860" s="15"/>
      <c r="CG860" s="15"/>
      <c r="CH860" s="15"/>
      <c r="CI860" s="15"/>
      <c r="CJ860" s="15"/>
      <c r="CK860" s="15"/>
      <c r="CL860" s="15"/>
      <c r="CM860" s="15"/>
      <c r="CN860" s="15"/>
      <c r="CO860" s="15"/>
      <c r="CP860" s="15"/>
      <c r="CQ860" s="15"/>
      <c r="CR860" s="15"/>
      <c r="CS860" s="73"/>
      <c r="CT860" s="15"/>
      <c r="CU860" s="15"/>
      <c r="CV860" s="15"/>
      <c r="CW860" s="15"/>
      <c r="CX860" s="15"/>
      <c r="CY860" s="15"/>
      <c r="CZ860" s="15"/>
      <c r="DA860" s="15"/>
      <c r="DB860" s="15"/>
      <c r="DC860" s="15"/>
      <c r="DD860" s="15"/>
      <c r="DE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61"/>
      <c r="BK861" s="15"/>
      <c r="BL861" s="15"/>
      <c r="BM861" s="15"/>
      <c r="BN861" s="15"/>
      <c r="BO861" s="15"/>
      <c r="BP861" s="15"/>
      <c r="BQ861" s="15"/>
      <c r="BR861" s="15"/>
      <c r="BS861" s="15"/>
      <c r="BT861" s="15"/>
      <c r="BU861" s="15"/>
      <c r="BV861" s="15"/>
      <c r="BW861" s="15"/>
      <c r="BX861" s="15"/>
      <c r="BY861" s="15"/>
      <c r="BZ861" s="15"/>
      <c r="CA861" s="15"/>
      <c r="CB861" s="15"/>
      <c r="CC861" s="15"/>
      <c r="CD861" s="15"/>
      <c r="CE861" s="15"/>
      <c r="CF861" s="15"/>
      <c r="CG861" s="15"/>
      <c r="CH861" s="15"/>
      <c r="CI861" s="15"/>
      <c r="CJ861" s="15"/>
      <c r="CK861" s="15"/>
      <c r="CL861" s="15"/>
      <c r="CM861" s="15"/>
      <c r="CN861" s="15"/>
      <c r="CO861" s="15"/>
      <c r="CP861" s="15"/>
      <c r="CQ861" s="15"/>
      <c r="CR861" s="15"/>
      <c r="CS861" s="73"/>
      <c r="CT861" s="15"/>
      <c r="CU861" s="15"/>
      <c r="CV861" s="15"/>
      <c r="CW861" s="15"/>
      <c r="CX861" s="15"/>
      <c r="CY861" s="15"/>
      <c r="CZ861" s="15"/>
      <c r="DA861" s="15"/>
      <c r="DB861" s="15"/>
      <c r="DC861" s="15"/>
      <c r="DD861" s="15"/>
      <c r="DE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61"/>
      <c r="BK862" s="15"/>
      <c r="BL862" s="15"/>
      <c r="BM862" s="15"/>
      <c r="BN862" s="15"/>
      <c r="BO862" s="15"/>
      <c r="BP862" s="15"/>
      <c r="BQ862" s="15"/>
      <c r="BR862" s="15"/>
      <c r="BS862" s="15"/>
      <c r="BT862" s="15"/>
      <c r="BU862" s="15"/>
      <c r="BV862" s="15"/>
      <c r="BW862" s="15"/>
      <c r="BX862" s="15"/>
      <c r="BY862" s="15"/>
      <c r="BZ862" s="15"/>
      <c r="CA862" s="15"/>
      <c r="CB862" s="15"/>
      <c r="CC862" s="15"/>
      <c r="CD862" s="15"/>
      <c r="CE862" s="15"/>
      <c r="CF862" s="15"/>
      <c r="CG862" s="15"/>
      <c r="CH862" s="15"/>
      <c r="CI862" s="15"/>
      <c r="CJ862" s="15"/>
      <c r="CK862" s="15"/>
      <c r="CL862" s="15"/>
      <c r="CM862" s="15"/>
      <c r="CN862" s="15"/>
      <c r="CO862" s="15"/>
      <c r="CP862" s="15"/>
      <c r="CQ862" s="15"/>
      <c r="CR862" s="15"/>
      <c r="CS862" s="73"/>
      <c r="CT862" s="15"/>
      <c r="CU862" s="15"/>
      <c r="CV862" s="15"/>
      <c r="CW862" s="15"/>
      <c r="CX862" s="15"/>
      <c r="CY862" s="15"/>
      <c r="CZ862" s="15"/>
      <c r="DA862" s="15"/>
      <c r="DB862" s="15"/>
      <c r="DC862" s="15"/>
      <c r="DD862" s="15"/>
      <c r="DE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61"/>
      <c r="BK863" s="15"/>
      <c r="BL863" s="15"/>
      <c r="BM863" s="15"/>
      <c r="BN863" s="15"/>
      <c r="BO863" s="15"/>
      <c r="BP863" s="15"/>
      <c r="BQ863" s="15"/>
      <c r="BR863" s="15"/>
      <c r="BS863" s="15"/>
      <c r="BT863" s="15"/>
      <c r="BU863" s="15"/>
      <c r="BV863" s="15"/>
      <c r="BW863" s="15"/>
      <c r="BX863" s="15"/>
      <c r="BY863" s="15"/>
      <c r="BZ863" s="15"/>
      <c r="CA863" s="15"/>
      <c r="CB863" s="15"/>
      <c r="CC863" s="15"/>
      <c r="CD863" s="15"/>
      <c r="CE863" s="15"/>
      <c r="CF863" s="15"/>
      <c r="CG863" s="15"/>
      <c r="CH863" s="15"/>
      <c r="CI863" s="15"/>
      <c r="CJ863" s="15"/>
      <c r="CK863" s="15"/>
      <c r="CL863" s="15"/>
      <c r="CM863" s="15"/>
      <c r="CN863" s="15"/>
      <c r="CO863" s="15"/>
      <c r="CP863" s="15"/>
      <c r="CQ863" s="15"/>
      <c r="CR863" s="15"/>
      <c r="CS863" s="73"/>
      <c r="CT863" s="15"/>
      <c r="CU863" s="15"/>
      <c r="CV863" s="15"/>
      <c r="CW863" s="15"/>
      <c r="CX863" s="15"/>
      <c r="CY863" s="15"/>
      <c r="CZ863" s="15"/>
      <c r="DA863" s="15"/>
      <c r="DB863" s="15"/>
      <c r="DC863" s="15"/>
      <c r="DD863" s="15"/>
      <c r="DE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61"/>
      <c r="BK864" s="15"/>
      <c r="BL864" s="15"/>
      <c r="BM864" s="15"/>
      <c r="BN864" s="15"/>
      <c r="BO864" s="15"/>
      <c r="BP864" s="15"/>
      <c r="BQ864" s="15"/>
      <c r="BR864" s="15"/>
      <c r="BS864" s="15"/>
      <c r="BT864" s="15"/>
      <c r="BU864" s="15"/>
      <c r="BV864" s="15"/>
      <c r="BW864" s="15"/>
      <c r="BX864" s="15"/>
      <c r="BY864" s="15"/>
      <c r="BZ864" s="15"/>
      <c r="CA864" s="15"/>
      <c r="CB864" s="15"/>
      <c r="CC864" s="15"/>
      <c r="CD864" s="15"/>
      <c r="CE864" s="15"/>
      <c r="CF864" s="15"/>
      <c r="CG864" s="15"/>
      <c r="CH864" s="15"/>
      <c r="CI864" s="15"/>
      <c r="CJ864" s="15"/>
      <c r="CK864" s="15"/>
      <c r="CL864" s="15"/>
      <c r="CM864" s="15"/>
      <c r="CN864" s="15"/>
      <c r="CO864" s="15"/>
      <c r="CP864" s="15"/>
      <c r="CQ864" s="15"/>
      <c r="CR864" s="15"/>
      <c r="CS864" s="73"/>
      <c r="CT864" s="15"/>
      <c r="CU864" s="15"/>
      <c r="CV864" s="15"/>
      <c r="CW864" s="15"/>
      <c r="CX864" s="15"/>
      <c r="CY864" s="15"/>
      <c r="CZ864" s="15"/>
      <c r="DA864" s="15"/>
      <c r="DB864" s="15"/>
      <c r="DC864" s="15"/>
      <c r="DD864" s="15"/>
      <c r="DE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61"/>
      <c r="BK865" s="15"/>
      <c r="BL865" s="15"/>
      <c r="BM865" s="15"/>
      <c r="BN865" s="15"/>
      <c r="BO865" s="15"/>
      <c r="BP865" s="15"/>
      <c r="BQ865" s="15"/>
      <c r="BR865" s="15"/>
      <c r="BS865" s="15"/>
      <c r="BT865" s="15"/>
      <c r="BU865" s="15"/>
      <c r="BV865" s="15"/>
      <c r="BW865" s="15"/>
      <c r="BX865" s="15"/>
      <c r="BY865" s="15"/>
      <c r="BZ865" s="15"/>
      <c r="CA865" s="15"/>
      <c r="CB865" s="15"/>
      <c r="CC865" s="15"/>
      <c r="CD865" s="15"/>
      <c r="CE865" s="15"/>
      <c r="CF865" s="15"/>
      <c r="CG865" s="15"/>
      <c r="CH865" s="15"/>
      <c r="CI865" s="15"/>
      <c r="CJ865" s="15"/>
      <c r="CK865" s="15"/>
      <c r="CL865" s="15"/>
      <c r="CM865" s="15"/>
      <c r="CN865" s="15"/>
      <c r="CO865" s="15"/>
      <c r="CP865" s="15"/>
      <c r="CQ865" s="15"/>
      <c r="CR865" s="15"/>
      <c r="CS865" s="73"/>
      <c r="CT865" s="15"/>
      <c r="CU865" s="15"/>
      <c r="CV865" s="15"/>
      <c r="CW865" s="15"/>
      <c r="CX865" s="15"/>
      <c r="CY865" s="15"/>
      <c r="CZ865" s="15"/>
      <c r="DA865" s="15"/>
      <c r="DB865" s="15"/>
      <c r="DC865" s="15"/>
      <c r="DD865" s="15"/>
      <c r="DE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61"/>
      <c r="BK866" s="15"/>
      <c r="BL866" s="15"/>
      <c r="BM866" s="15"/>
      <c r="BN866" s="15"/>
      <c r="BO866" s="15"/>
      <c r="BP866" s="15"/>
      <c r="BQ866" s="15"/>
      <c r="BR866" s="15"/>
      <c r="BS866" s="15"/>
      <c r="BT866" s="15"/>
      <c r="BU866" s="15"/>
      <c r="BV866" s="15"/>
      <c r="BW866" s="15"/>
      <c r="BX866" s="15"/>
      <c r="BY866" s="15"/>
      <c r="BZ866" s="15"/>
      <c r="CA866" s="15"/>
      <c r="CB866" s="15"/>
      <c r="CC866" s="15"/>
      <c r="CD866" s="15"/>
      <c r="CE866" s="15"/>
      <c r="CF866" s="15"/>
      <c r="CG866" s="15"/>
      <c r="CH866" s="15"/>
      <c r="CI866" s="15"/>
      <c r="CJ866" s="15"/>
      <c r="CK866" s="15"/>
      <c r="CL866" s="15"/>
      <c r="CM866" s="15"/>
      <c r="CN866" s="15"/>
      <c r="CO866" s="15"/>
      <c r="CP866" s="15"/>
      <c r="CQ866" s="15"/>
      <c r="CR866" s="15"/>
      <c r="CS866" s="73"/>
      <c r="CT866" s="15"/>
      <c r="CU866" s="15"/>
      <c r="CV866" s="15"/>
      <c r="CW866" s="15"/>
      <c r="CX866" s="15"/>
      <c r="CY866" s="15"/>
      <c r="CZ866" s="15"/>
      <c r="DA866" s="15"/>
      <c r="DB866" s="15"/>
      <c r="DC866" s="15"/>
      <c r="DD866" s="15"/>
      <c r="DE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61"/>
      <c r="BK867" s="15"/>
      <c r="BL867" s="15"/>
      <c r="BM867" s="15"/>
      <c r="BN867" s="15"/>
      <c r="BO867" s="15"/>
      <c r="BP867" s="15"/>
      <c r="BQ867" s="15"/>
      <c r="BR867" s="15"/>
      <c r="BS867" s="15"/>
      <c r="BT867" s="15"/>
      <c r="BU867" s="15"/>
      <c r="BV867" s="15"/>
      <c r="BW867" s="15"/>
      <c r="BX867" s="15"/>
      <c r="BY867" s="15"/>
      <c r="BZ867" s="15"/>
      <c r="CA867" s="15"/>
      <c r="CB867" s="15"/>
      <c r="CC867" s="15"/>
      <c r="CD867" s="15"/>
      <c r="CE867" s="15"/>
      <c r="CF867" s="15"/>
      <c r="CG867" s="15"/>
      <c r="CH867" s="15"/>
      <c r="CI867" s="15"/>
      <c r="CJ867" s="15"/>
      <c r="CK867" s="15"/>
      <c r="CL867" s="15"/>
      <c r="CM867" s="15"/>
      <c r="CN867" s="15"/>
      <c r="CO867" s="15"/>
      <c r="CP867" s="15"/>
      <c r="CQ867" s="15"/>
      <c r="CR867" s="15"/>
      <c r="CS867" s="73"/>
      <c r="CT867" s="15"/>
      <c r="CU867" s="15"/>
      <c r="CV867" s="15"/>
      <c r="CW867" s="15"/>
      <c r="CX867" s="15"/>
      <c r="CY867" s="15"/>
      <c r="CZ867" s="15"/>
      <c r="DA867" s="15"/>
      <c r="DB867" s="15"/>
      <c r="DC867" s="15"/>
      <c r="DD867" s="15"/>
      <c r="DE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61"/>
      <c r="BK868" s="15"/>
      <c r="BL868" s="15"/>
      <c r="BM868" s="15"/>
      <c r="BN868" s="15"/>
      <c r="BO868" s="15"/>
      <c r="BP868" s="15"/>
      <c r="BQ868" s="15"/>
      <c r="BR868" s="15"/>
      <c r="BS868" s="15"/>
      <c r="BT868" s="15"/>
      <c r="BU868" s="15"/>
      <c r="BV868" s="15"/>
      <c r="BW868" s="15"/>
      <c r="BX868" s="15"/>
      <c r="BY868" s="15"/>
      <c r="BZ868" s="15"/>
      <c r="CA868" s="15"/>
      <c r="CB868" s="15"/>
      <c r="CC868" s="15"/>
      <c r="CD868" s="15"/>
      <c r="CE868" s="15"/>
      <c r="CF868" s="15"/>
      <c r="CG868" s="15"/>
      <c r="CH868" s="15"/>
      <c r="CI868" s="15"/>
      <c r="CJ868" s="15"/>
      <c r="CK868" s="15"/>
      <c r="CL868" s="15"/>
      <c r="CM868" s="15"/>
      <c r="CN868" s="15"/>
      <c r="CO868" s="15"/>
      <c r="CP868" s="15"/>
      <c r="CQ868" s="15"/>
      <c r="CR868" s="15"/>
      <c r="CS868" s="73"/>
      <c r="CT868" s="15"/>
      <c r="CU868" s="15"/>
      <c r="CV868" s="15"/>
      <c r="CW868" s="15"/>
      <c r="CX868" s="15"/>
      <c r="CY868" s="15"/>
      <c r="CZ868" s="15"/>
      <c r="DA868" s="15"/>
      <c r="DB868" s="15"/>
      <c r="DC868" s="15"/>
      <c r="DD868" s="15"/>
      <c r="DE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61"/>
      <c r="BK869" s="15"/>
      <c r="BL869" s="15"/>
      <c r="BM869" s="15"/>
      <c r="BN869" s="15"/>
      <c r="BO869" s="15"/>
      <c r="BP869" s="15"/>
      <c r="BQ869" s="15"/>
      <c r="BR869" s="15"/>
      <c r="BS869" s="15"/>
      <c r="BT869" s="15"/>
      <c r="BU869" s="15"/>
      <c r="BV869" s="15"/>
      <c r="BW869" s="15"/>
      <c r="BX869" s="15"/>
      <c r="BY869" s="15"/>
      <c r="BZ869" s="15"/>
      <c r="CA869" s="15"/>
      <c r="CB869" s="15"/>
      <c r="CC869" s="15"/>
      <c r="CD869" s="15"/>
      <c r="CE869" s="15"/>
      <c r="CF869" s="15"/>
      <c r="CG869" s="15"/>
      <c r="CH869" s="15"/>
      <c r="CI869" s="15"/>
      <c r="CJ869" s="15"/>
      <c r="CK869" s="15"/>
      <c r="CL869" s="15"/>
      <c r="CM869" s="15"/>
      <c r="CN869" s="15"/>
      <c r="CO869" s="15"/>
      <c r="CP869" s="15"/>
      <c r="CQ869" s="15"/>
      <c r="CR869" s="15"/>
      <c r="CS869" s="73"/>
      <c r="CT869" s="15"/>
      <c r="CU869" s="15"/>
      <c r="CV869" s="15"/>
      <c r="CW869" s="15"/>
      <c r="CX869" s="15"/>
      <c r="CY869" s="15"/>
      <c r="CZ869" s="15"/>
      <c r="DA869" s="15"/>
      <c r="DB869" s="15"/>
      <c r="DC869" s="15"/>
      <c r="DD869" s="15"/>
      <c r="DE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61"/>
      <c r="BK870" s="15"/>
      <c r="BL870" s="15"/>
      <c r="BM870" s="15"/>
      <c r="BN870" s="15"/>
      <c r="BO870" s="15"/>
      <c r="BP870" s="15"/>
      <c r="BQ870" s="15"/>
      <c r="BR870" s="15"/>
      <c r="BS870" s="15"/>
      <c r="BT870" s="15"/>
      <c r="BU870" s="15"/>
      <c r="BV870" s="15"/>
      <c r="BW870" s="15"/>
      <c r="BX870" s="15"/>
      <c r="BY870" s="15"/>
      <c r="BZ870" s="15"/>
      <c r="CA870" s="15"/>
      <c r="CB870" s="15"/>
      <c r="CC870" s="15"/>
      <c r="CD870" s="15"/>
      <c r="CE870" s="15"/>
      <c r="CF870" s="15"/>
      <c r="CG870" s="15"/>
      <c r="CH870" s="15"/>
      <c r="CI870" s="15"/>
      <c r="CJ870" s="15"/>
      <c r="CK870" s="15"/>
      <c r="CL870" s="15"/>
      <c r="CM870" s="15"/>
      <c r="CN870" s="15"/>
      <c r="CO870" s="15"/>
      <c r="CP870" s="15"/>
      <c r="CQ870" s="15"/>
      <c r="CR870" s="15"/>
      <c r="CS870" s="73"/>
      <c r="CT870" s="15"/>
      <c r="CU870" s="15"/>
      <c r="CV870" s="15"/>
      <c r="CW870" s="15"/>
      <c r="CX870" s="15"/>
      <c r="CY870" s="15"/>
      <c r="CZ870" s="15"/>
      <c r="DA870" s="15"/>
      <c r="DB870" s="15"/>
      <c r="DC870" s="15"/>
      <c r="DD870" s="15"/>
      <c r="DE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61"/>
      <c r="BK871" s="15"/>
      <c r="BL871" s="15"/>
      <c r="BM871" s="15"/>
      <c r="BN871" s="15"/>
      <c r="BO871" s="15"/>
      <c r="BP871" s="15"/>
      <c r="BQ871" s="15"/>
      <c r="BR871" s="15"/>
      <c r="BS871" s="15"/>
      <c r="BT871" s="15"/>
      <c r="BU871" s="15"/>
      <c r="BV871" s="15"/>
      <c r="BW871" s="15"/>
      <c r="BX871" s="15"/>
      <c r="BY871" s="15"/>
      <c r="BZ871" s="15"/>
      <c r="CA871" s="15"/>
      <c r="CB871" s="15"/>
      <c r="CC871" s="15"/>
      <c r="CD871" s="15"/>
      <c r="CE871" s="15"/>
      <c r="CF871" s="15"/>
      <c r="CG871" s="15"/>
      <c r="CH871" s="15"/>
      <c r="CI871" s="15"/>
      <c r="CJ871" s="15"/>
      <c r="CK871" s="15"/>
      <c r="CL871" s="15"/>
      <c r="CM871" s="15"/>
      <c r="CN871" s="15"/>
      <c r="CO871" s="15"/>
      <c r="CP871" s="15"/>
      <c r="CQ871" s="15"/>
      <c r="CR871" s="15"/>
      <c r="CS871" s="73"/>
      <c r="CT871" s="15"/>
      <c r="CU871" s="15"/>
      <c r="CV871" s="15"/>
      <c r="CW871" s="15"/>
      <c r="CX871" s="15"/>
      <c r="CY871" s="15"/>
      <c r="CZ871" s="15"/>
      <c r="DA871" s="15"/>
      <c r="DB871" s="15"/>
      <c r="DC871" s="15"/>
      <c r="DD871" s="15"/>
      <c r="DE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61"/>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73"/>
      <c r="CT872" s="15"/>
      <c r="CU872" s="15"/>
      <c r="CV872" s="15"/>
      <c r="CW872" s="15"/>
      <c r="CX872" s="15"/>
      <c r="CY872" s="15"/>
      <c r="CZ872" s="15"/>
      <c r="DA872" s="15"/>
      <c r="DB872" s="15"/>
      <c r="DC872" s="15"/>
      <c r="DD872" s="15"/>
      <c r="DE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61"/>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73"/>
      <c r="CT873" s="15"/>
      <c r="CU873" s="15"/>
      <c r="CV873" s="15"/>
      <c r="CW873" s="15"/>
      <c r="CX873" s="15"/>
      <c r="CY873" s="15"/>
      <c r="CZ873" s="15"/>
      <c r="DA873" s="15"/>
      <c r="DB873" s="15"/>
      <c r="DC873" s="15"/>
      <c r="DD873" s="15"/>
      <c r="DE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61"/>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73"/>
      <c r="CT874" s="15"/>
      <c r="CU874" s="15"/>
      <c r="CV874" s="15"/>
      <c r="CW874" s="15"/>
      <c r="CX874" s="15"/>
      <c r="CY874" s="15"/>
      <c r="CZ874" s="15"/>
      <c r="DA874" s="15"/>
      <c r="DB874" s="15"/>
      <c r="DC874" s="15"/>
      <c r="DD874" s="15"/>
      <c r="DE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61"/>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73"/>
      <c r="CT875" s="15"/>
      <c r="CU875" s="15"/>
      <c r="CV875" s="15"/>
      <c r="CW875" s="15"/>
      <c r="CX875" s="15"/>
      <c r="CY875" s="15"/>
      <c r="CZ875" s="15"/>
      <c r="DA875" s="15"/>
      <c r="DB875" s="15"/>
      <c r="DC875" s="15"/>
      <c r="DD875" s="15"/>
      <c r="DE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61"/>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73"/>
      <c r="CT876" s="15"/>
      <c r="CU876" s="15"/>
      <c r="CV876" s="15"/>
      <c r="CW876" s="15"/>
      <c r="CX876" s="15"/>
      <c r="CY876" s="15"/>
      <c r="CZ876" s="15"/>
      <c r="DA876" s="15"/>
      <c r="DB876" s="15"/>
      <c r="DC876" s="15"/>
      <c r="DD876" s="15"/>
      <c r="DE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61"/>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73"/>
      <c r="CT877" s="15"/>
      <c r="CU877" s="15"/>
      <c r="CV877" s="15"/>
      <c r="CW877" s="15"/>
      <c r="CX877" s="15"/>
      <c r="CY877" s="15"/>
      <c r="CZ877" s="15"/>
      <c r="DA877" s="15"/>
      <c r="DB877" s="15"/>
      <c r="DC877" s="15"/>
      <c r="DD877" s="15"/>
      <c r="DE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61"/>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73"/>
      <c r="CT878" s="15"/>
      <c r="CU878" s="15"/>
      <c r="CV878" s="15"/>
      <c r="CW878" s="15"/>
      <c r="CX878" s="15"/>
      <c r="CY878" s="15"/>
      <c r="CZ878" s="15"/>
      <c r="DA878" s="15"/>
      <c r="DB878" s="15"/>
      <c r="DC878" s="15"/>
      <c r="DD878" s="15"/>
      <c r="DE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61"/>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73"/>
      <c r="CT879" s="15"/>
      <c r="CU879" s="15"/>
      <c r="CV879" s="15"/>
      <c r="CW879" s="15"/>
      <c r="CX879" s="15"/>
      <c r="CY879" s="15"/>
      <c r="CZ879" s="15"/>
      <c r="DA879" s="15"/>
      <c r="DB879" s="15"/>
      <c r="DC879" s="15"/>
      <c r="DD879" s="15"/>
      <c r="DE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61"/>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c r="CN880" s="15"/>
      <c r="CO880" s="15"/>
      <c r="CP880" s="15"/>
      <c r="CQ880" s="15"/>
      <c r="CR880" s="15"/>
      <c r="CS880" s="73"/>
      <c r="CT880" s="15"/>
      <c r="CU880" s="15"/>
      <c r="CV880" s="15"/>
      <c r="CW880" s="15"/>
      <c r="CX880" s="15"/>
      <c r="CY880" s="15"/>
      <c r="CZ880" s="15"/>
      <c r="DA880" s="15"/>
      <c r="DB880" s="15"/>
      <c r="DC880" s="15"/>
      <c r="DD880" s="15"/>
      <c r="DE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61"/>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c r="CN881" s="15"/>
      <c r="CO881" s="15"/>
      <c r="CP881" s="15"/>
      <c r="CQ881" s="15"/>
      <c r="CR881" s="15"/>
      <c r="CS881" s="73"/>
      <c r="CT881" s="15"/>
      <c r="CU881" s="15"/>
      <c r="CV881" s="15"/>
      <c r="CW881" s="15"/>
      <c r="CX881" s="15"/>
      <c r="CY881" s="15"/>
      <c r="CZ881" s="15"/>
      <c r="DA881" s="15"/>
      <c r="DB881" s="15"/>
      <c r="DC881" s="15"/>
      <c r="DD881" s="15"/>
      <c r="DE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61"/>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c r="CN882" s="15"/>
      <c r="CO882" s="15"/>
      <c r="CP882" s="15"/>
      <c r="CQ882" s="15"/>
      <c r="CR882" s="15"/>
      <c r="CS882" s="73"/>
      <c r="CT882" s="15"/>
      <c r="CU882" s="15"/>
      <c r="CV882" s="15"/>
      <c r="CW882" s="15"/>
      <c r="CX882" s="15"/>
      <c r="CY882" s="15"/>
      <c r="CZ882" s="15"/>
      <c r="DA882" s="15"/>
      <c r="DB882" s="15"/>
      <c r="DC882" s="15"/>
      <c r="DD882" s="15"/>
      <c r="DE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61"/>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c r="CN883" s="15"/>
      <c r="CO883" s="15"/>
      <c r="CP883" s="15"/>
      <c r="CQ883" s="15"/>
      <c r="CR883" s="15"/>
      <c r="CS883" s="73"/>
      <c r="CT883" s="15"/>
      <c r="CU883" s="15"/>
      <c r="CV883" s="15"/>
      <c r="CW883" s="15"/>
      <c r="CX883" s="15"/>
      <c r="CY883" s="15"/>
      <c r="CZ883" s="15"/>
      <c r="DA883" s="15"/>
      <c r="DB883" s="15"/>
      <c r="DC883" s="15"/>
      <c r="DD883" s="15"/>
      <c r="DE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61"/>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c r="CN884" s="15"/>
      <c r="CO884" s="15"/>
      <c r="CP884" s="15"/>
      <c r="CQ884" s="15"/>
      <c r="CR884" s="15"/>
      <c r="CS884" s="73"/>
      <c r="CT884" s="15"/>
      <c r="CU884" s="15"/>
      <c r="CV884" s="15"/>
      <c r="CW884" s="15"/>
      <c r="CX884" s="15"/>
      <c r="CY884" s="15"/>
      <c r="CZ884" s="15"/>
      <c r="DA884" s="15"/>
      <c r="DB884" s="15"/>
      <c r="DC884" s="15"/>
      <c r="DD884" s="15"/>
      <c r="DE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61"/>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c r="CN885" s="15"/>
      <c r="CO885" s="15"/>
      <c r="CP885" s="15"/>
      <c r="CQ885" s="15"/>
      <c r="CR885" s="15"/>
      <c r="CS885" s="73"/>
      <c r="CT885" s="15"/>
      <c r="CU885" s="15"/>
      <c r="CV885" s="15"/>
      <c r="CW885" s="15"/>
      <c r="CX885" s="15"/>
      <c r="CY885" s="15"/>
      <c r="CZ885" s="15"/>
      <c r="DA885" s="15"/>
      <c r="DB885" s="15"/>
      <c r="DC885" s="15"/>
      <c r="DD885" s="15"/>
      <c r="DE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61"/>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c r="CN886" s="15"/>
      <c r="CO886" s="15"/>
      <c r="CP886" s="15"/>
      <c r="CQ886" s="15"/>
      <c r="CR886" s="15"/>
      <c r="CS886" s="73"/>
      <c r="CT886" s="15"/>
      <c r="CU886" s="15"/>
      <c r="CV886" s="15"/>
      <c r="CW886" s="15"/>
      <c r="CX886" s="15"/>
      <c r="CY886" s="15"/>
      <c r="CZ886" s="15"/>
      <c r="DA886" s="15"/>
      <c r="DB886" s="15"/>
      <c r="DC886" s="15"/>
      <c r="DD886" s="15"/>
      <c r="DE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61"/>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c r="CN887" s="15"/>
      <c r="CO887" s="15"/>
      <c r="CP887" s="15"/>
      <c r="CQ887" s="15"/>
      <c r="CR887" s="15"/>
      <c r="CS887" s="73"/>
      <c r="CT887" s="15"/>
      <c r="CU887" s="15"/>
      <c r="CV887" s="15"/>
      <c r="CW887" s="15"/>
      <c r="CX887" s="15"/>
      <c r="CY887" s="15"/>
      <c r="CZ887" s="15"/>
      <c r="DA887" s="15"/>
      <c r="DB887" s="15"/>
      <c r="DC887" s="15"/>
      <c r="DD887" s="15"/>
      <c r="DE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61"/>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c r="CN888" s="15"/>
      <c r="CO888" s="15"/>
      <c r="CP888" s="15"/>
      <c r="CQ888" s="15"/>
      <c r="CR888" s="15"/>
      <c r="CS888" s="73"/>
      <c r="CT888" s="15"/>
      <c r="CU888" s="15"/>
      <c r="CV888" s="15"/>
      <c r="CW888" s="15"/>
      <c r="CX888" s="15"/>
      <c r="CY888" s="15"/>
      <c r="CZ888" s="15"/>
      <c r="DA888" s="15"/>
      <c r="DB888" s="15"/>
      <c r="DC888" s="15"/>
      <c r="DD888" s="15"/>
      <c r="DE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61"/>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c r="CN889" s="15"/>
      <c r="CO889" s="15"/>
      <c r="CP889" s="15"/>
      <c r="CQ889" s="15"/>
      <c r="CR889" s="15"/>
      <c r="CS889" s="73"/>
      <c r="CT889" s="15"/>
      <c r="CU889" s="15"/>
      <c r="CV889" s="15"/>
      <c r="CW889" s="15"/>
      <c r="CX889" s="15"/>
      <c r="CY889" s="15"/>
      <c r="CZ889" s="15"/>
      <c r="DA889" s="15"/>
      <c r="DB889" s="15"/>
      <c r="DC889" s="15"/>
      <c r="DD889" s="15"/>
      <c r="DE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61"/>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c r="CN890" s="15"/>
      <c r="CO890" s="15"/>
      <c r="CP890" s="15"/>
      <c r="CQ890" s="15"/>
      <c r="CR890" s="15"/>
      <c r="CS890" s="73"/>
      <c r="CT890" s="15"/>
      <c r="CU890" s="15"/>
      <c r="CV890" s="15"/>
      <c r="CW890" s="15"/>
      <c r="CX890" s="15"/>
      <c r="CY890" s="15"/>
      <c r="CZ890" s="15"/>
      <c r="DA890" s="15"/>
      <c r="DB890" s="15"/>
      <c r="DC890" s="15"/>
      <c r="DD890" s="15"/>
      <c r="DE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61"/>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c r="CN891" s="15"/>
      <c r="CO891" s="15"/>
      <c r="CP891" s="15"/>
      <c r="CQ891" s="15"/>
      <c r="CR891" s="15"/>
      <c r="CS891" s="73"/>
      <c r="CT891" s="15"/>
      <c r="CU891" s="15"/>
      <c r="CV891" s="15"/>
      <c r="CW891" s="15"/>
      <c r="CX891" s="15"/>
      <c r="CY891" s="15"/>
      <c r="CZ891" s="15"/>
      <c r="DA891" s="15"/>
      <c r="DB891" s="15"/>
      <c r="DC891" s="15"/>
      <c r="DD891" s="15"/>
      <c r="DE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61"/>
      <c r="BK892" s="15"/>
      <c r="BL892" s="15"/>
      <c r="BM892" s="15"/>
      <c r="BN892" s="15"/>
      <c r="BO892" s="15"/>
      <c r="BP892" s="15"/>
      <c r="BQ892" s="15"/>
      <c r="BR892" s="15"/>
      <c r="BS892" s="15"/>
      <c r="BT892" s="15"/>
      <c r="BU892" s="15"/>
      <c r="BV892" s="15"/>
      <c r="BW892" s="15"/>
      <c r="BX892" s="15"/>
      <c r="BY892" s="15"/>
      <c r="BZ892" s="15"/>
      <c r="CA892" s="15"/>
      <c r="CB892" s="15"/>
      <c r="CC892" s="15"/>
      <c r="CD892" s="15"/>
      <c r="CE892" s="15"/>
      <c r="CF892" s="15"/>
      <c r="CG892" s="15"/>
      <c r="CH892" s="15"/>
      <c r="CI892" s="15"/>
      <c r="CJ892" s="15"/>
      <c r="CK892" s="15"/>
      <c r="CL892" s="15"/>
      <c r="CM892" s="15"/>
      <c r="CN892" s="15"/>
      <c r="CO892" s="15"/>
      <c r="CP892" s="15"/>
      <c r="CQ892" s="15"/>
      <c r="CR892" s="15"/>
      <c r="CS892" s="73"/>
      <c r="CT892" s="15"/>
      <c r="CU892" s="15"/>
      <c r="CV892" s="15"/>
      <c r="CW892" s="15"/>
      <c r="CX892" s="15"/>
      <c r="CY892" s="15"/>
      <c r="CZ892" s="15"/>
      <c r="DA892" s="15"/>
      <c r="DB892" s="15"/>
      <c r="DC892" s="15"/>
      <c r="DD892" s="15"/>
      <c r="DE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c r="AG893" s="15"/>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61"/>
      <c r="BK893" s="15"/>
      <c r="BL893" s="15"/>
      <c r="BM893" s="15"/>
      <c r="BN893" s="15"/>
      <c r="BO893" s="15"/>
      <c r="BP893" s="15"/>
      <c r="BQ893" s="15"/>
      <c r="BR893" s="15"/>
      <c r="BS893" s="15"/>
      <c r="BT893" s="15"/>
      <c r="BU893" s="15"/>
      <c r="BV893" s="15"/>
      <c r="BW893" s="15"/>
      <c r="BX893" s="15"/>
      <c r="BY893" s="15"/>
      <c r="BZ893" s="15"/>
      <c r="CA893" s="15"/>
      <c r="CB893" s="15"/>
      <c r="CC893" s="15"/>
      <c r="CD893" s="15"/>
      <c r="CE893" s="15"/>
      <c r="CF893" s="15"/>
      <c r="CG893" s="15"/>
      <c r="CH893" s="15"/>
      <c r="CI893" s="15"/>
      <c r="CJ893" s="15"/>
      <c r="CK893" s="15"/>
      <c r="CL893" s="15"/>
      <c r="CM893" s="15"/>
      <c r="CN893" s="15"/>
      <c r="CO893" s="15"/>
      <c r="CP893" s="15"/>
      <c r="CQ893" s="15"/>
      <c r="CR893" s="15"/>
      <c r="CS893" s="73"/>
      <c r="CT893" s="15"/>
      <c r="CU893" s="15"/>
      <c r="CV893" s="15"/>
      <c r="CW893" s="15"/>
      <c r="CX893" s="15"/>
      <c r="CY893" s="15"/>
      <c r="CZ893" s="15"/>
      <c r="DA893" s="15"/>
      <c r="DB893" s="15"/>
      <c r="DC893" s="15"/>
      <c r="DD893" s="15"/>
      <c r="DE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61"/>
      <c r="BK894" s="15"/>
      <c r="BL894" s="15"/>
      <c r="BM894" s="15"/>
      <c r="BN894" s="15"/>
      <c r="BO894" s="15"/>
      <c r="BP894" s="15"/>
      <c r="BQ894" s="15"/>
      <c r="BR894" s="15"/>
      <c r="BS894" s="15"/>
      <c r="BT894" s="15"/>
      <c r="BU894" s="15"/>
      <c r="BV894" s="15"/>
      <c r="BW894" s="15"/>
      <c r="BX894" s="15"/>
      <c r="BY894" s="15"/>
      <c r="BZ894" s="15"/>
      <c r="CA894" s="15"/>
      <c r="CB894" s="15"/>
      <c r="CC894" s="15"/>
      <c r="CD894" s="15"/>
      <c r="CE894" s="15"/>
      <c r="CF894" s="15"/>
      <c r="CG894" s="15"/>
      <c r="CH894" s="15"/>
      <c r="CI894" s="15"/>
      <c r="CJ894" s="15"/>
      <c r="CK894" s="15"/>
      <c r="CL894" s="15"/>
      <c r="CM894" s="15"/>
      <c r="CN894" s="15"/>
      <c r="CO894" s="15"/>
      <c r="CP894" s="15"/>
      <c r="CQ894" s="15"/>
      <c r="CR894" s="15"/>
      <c r="CS894" s="73"/>
      <c r="CT894" s="15"/>
      <c r="CU894" s="15"/>
      <c r="CV894" s="15"/>
      <c r="CW894" s="15"/>
      <c r="CX894" s="15"/>
      <c r="CY894" s="15"/>
      <c r="CZ894" s="15"/>
      <c r="DA894" s="15"/>
      <c r="DB894" s="15"/>
      <c r="DC894" s="15"/>
      <c r="DD894" s="15"/>
      <c r="DE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61"/>
      <c r="BK895" s="15"/>
      <c r="BL895" s="15"/>
      <c r="BM895" s="15"/>
      <c r="BN895" s="15"/>
      <c r="BO895" s="15"/>
      <c r="BP895" s="15"/>
      <c r="BQ895" s="15"/>
      <c r="BR895" s="15"/>
      <c r="BS895" s="15"/>
      <c r="BT895" s="15"/>
      <c r="BU895" s="15"/>
      <c r="BV895" s="15"/>
      <c r="BW895" s="15"/>
      <c r="BX895" s="15"/>
      <c r="BY895" s="15"/>
      <c r="BZ895" s="15"/>
      <c r="CA895" s="15"/>
      <c r="CB895" s="15"/>
      <c r="CC895" s="15"/>
      <c r="CD895" s="15"/>
      <c r="CE895" s="15"/>
      <c r="CF895" s="15"/>
      <c r="CG895" s="15"/>
      <c r="CH895" s="15"/>
      <c r="CI895" s="15"/>
      <c r="CJ895" s="15"/>
      <c r="CK895" s="15"/>
      <c r="CL895" s="15"/>
      <c r="CM895" s="15"/>
      <c r="CN895" s="15"/>
      <c r="CO895" s="15"/>
      <c r="CP895" s="15"/>
      <c r="CQ895" s="15"/>
      <c r="CR895" s="15"/>
      <c r="CS895" s="73"/>
      <c r="CT895" s="15"/>
      <c r="CU895" s="15"/>
      <c r="CV895" s="15"/>
      <c r="CW895" s="15"/>
      <c r="CX895" s="15"/>
      <c r="CY895" s="15"/>
      <c r="CZ895" s="15"/>
      <c r="DA895" s="15"/>
      <c r="DB895" s="15"/>
      <c r="DC895" s="15"/>
      <c r="DD895" s="15"/>
      <c r="DE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61"/>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73"/>
      <c r="CT896" s="15"/>
      <c r="CU896" s="15"/>
      <c r="CV896" s="15"/>
      <c r="CW896" s="15"/>
      <c r="CX896" s="15"/>
      <c r="CY896" s="15"/>
      <c r="CZ896" s="15"/>
      <c r="DA896" s="15"/>
      <c r="DB896" s="15"/>
      <c r="DC896" s="15"/>
      <c r="DD896" s="15"/>
      <c r="DE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61"/>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73"/>
      <c r="CT897" s="15"/>
      <c r="CU897" s="15"/>
      <c r="CV897" s="15"/>
      <c r="CW897" s="15"/>
      <c r="CX897" s="15"/>
      <c r="CY897" s="15"/>
      <c r="CZ897" s="15"/>
      <c r="DA897" s="15"/>
      <c r="DB897" s="15"/>
      <c r="DC897" s="15"/>
      <c r="DD897" s="15"/>
      <c r="DE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61"/>
      <c r="BK898" s="15"/>
      <c r="BL898" s="15"/>
      <c r="BM898" s="15"/>
      <c r="BN898" s="15"/>
      <c r="BO898" s="15"/>
      <c r="BP898" s="15"/>
      <c r="BQ898" s="15"/>
      <c r="BR898" s="15"/>
      <c r="BS898" s="15"/>
      <c r="BT898" s="15"/>
      <c r="BU898" s="15"/>
      <c r="BV898" s="15"/>
      <c r="BW898" s="15"/>
      <c r="BX898" s="15"/>
      <c r="BY898" s="15"/>
      <c r="BZ898" s="15"/>
      <c r="CA898" s="15"/>
      <c r="CB898" s="15"/>
      <c r="CC898" s="15"/>
      <c r="CD898" s="15"/>
      <c r="CE898" s="15"/>
      <c r="CF898" s="15"/>
      <c r="CG898" s="15"/>
      <c r="CH898" s="15"/>
      <c r="CI898" s="15"/>
      <c r="CJ898" s="15"/>
      <c r="CK898" s="15"/>
      <c r="CL898" s="15"/>
      <c r="CM898" s="15"/>
      <c r="CN898" s="15"/>
      <c r="CO898" s="15"/>
      <c r="CP898" s="15"/>
      <c r="CQ898" s="15"/>
      <c r="CR898" s="15"/>
      <c r="CS898" s="73"/>
      <c r="CT898" s="15"/>
      <c r="CU898" s="15"/>
      <c r="CV898" s="15"/>
      <c r="CW898" s="15"/>
      <c r="CX898" s="15"/>
      <c r="CY898" s="15"/>
      <c r="CZ898" s="15"/>
      <c r="DA898" s="15"/>
      <c r="DB898" s="15"/>
      <c r="DC898" s="15"/>
      <c r="DD898" s="15"/>
      <c r="DE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61"/>
      <c r="BK899" s="15"/>
      <c r="BL899" s="15"/>
      <c r="BM899" s="15"/>
      <c r="BN899" s="15"/>
      <c r="BO899" s="15"/>
      <c r="BP899" s="15"/>
      <c r="BQ899" s="15"/>
      <c r="BR899" s="15"/>
      <c r="BS899" s="15"/>
      <c r="BT899" s="15"/>
      <c r="BU899" s="15"/>
      <c r="BV899" s="15"/>
      <c r="BW899" s="15"/>
      <c r="BX899" s="15"/>
      <c r="BY899" s="15"/>
      <c r="BZ899" s="15"/>
      <c r="CA899" s="15"/>
      <c r="CB899" s="15"/>
      <c r="CC899" s="15"/>
      <c r="CD899" s="15"/>
      <c r="CE899" s="15"/>
      <c r="CF899" s="15"/>
      <c r="CG899" s="15"/>
      <c r="CH899" s="15"/>
      <c r="CI899" s="15"/>
      <c r="CJ899" s="15"/>
      <c r="CK899" s="15"/>
      <c r="CL899" s="15"/>
      <c r="CM899" s="15"/>
      <c r="CN899" s="15"/>
      <c r="CO899" s="15"/>
      <c r="CP899" s="15"/>
      <c r="CQ899" s="15"/>
      <c r="CR899" s="15"/>
      <c r="CS899" s="73"/>
      <c r="CT899" s="15"/>
      <c r="CU899" s="15"/>
      <c r="CV899" s="15"/>
      <c r="CW899" s="15"/>
      <c r="CX899" s="15"/>
      <c r="CY899" s="15"/>
      <c r="CZ899" s="15"/>
      <c r="DA899" s="15"/>
      <c r="DB899" s="15"/>
      <c r="DC899" s="15"/>
      <c r="DD899" s="15"/>
      <c r="DE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61"/>
      <c r="BK900" s="15"/>
      <c r="BL900" s="15"/>
      <c r="BM900" s="15"/>
      <c r="BN900" s="15"/>
      <c r="BO900" s="15"/>
      <c r="BP900" s="15"/>
      <c r="BQ900" s="15"/>
      <c r="BR900" s="15"/>
      <c r="BS900" s="15"/>
      <c r="BT900" s="15"/>
      <c r="BU900" s="15"/>
      <c r="BV900" s="15"/>
      <c r="BW900" s="15"/>
      <c r="BX900" s="15"/>
      <c r="BY900" s="15"/>
      <c r="BZ900" s="15"/>
      <c r="CA900" s="15"/>
      <c r="CB900" s="15"/>
      <c r="CC900" s="15"/>
      <c r="CD900" s="15"/>
      <c r="CE900" s="15"/>
      <c r="CF900" s="15"/>
      <c r="CG900" s="15"/>
      <c r="CH900" s="15"/>
      <c r="CI900" s="15"/>
      <c r="CJ900" s="15"/>
      <c r="CK900" s="15"/>
      <c r="CL900" s="15"/>
      <c r="CM900" s="15"/>
      <c r="CN900" s="15"/>
      <c r="CO900" s="15"/>
      <c r="CP900" s="15"/>
      <c r="CQ900" s="15"/>
      <c r="CR900" s="15"/>
      <c r="CS900" s="73"/>
      <c r="CT900" s="15"/>
      <c r="CU900" s="15"/>
      <c r="CV900" s="15"/>
      <c r="CW900" s="15"/>
      <c r="CX900" s="15"/>
      <c r="CY900" s="15"/>
      <c r="CZ900" s="15"/>
      <c r="DA900" s="15"/>
      <c r="DB900" s="15"/>
      <c r="DC900" s="15"/>
      <c r="DD900" s="15"/>
      <c r="DE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61"/>
      <c r="BK901" s="15"/>
      <c r="BL901" s="15"/>
      <c r="BM901" s="15"/>
      <c r="BN901" s="15"/>
      <c r="BO901" s="15"/>
      <c r="BP901" s="15"/>
      <c r="BQ901" s="15"/>
      <c r="BR901" s="15"/>
      <c r="BS901" s="15"/>
      <c r="BT901" s="15"/>
      <c r="BU901" s="15"/>
      <c r="BV901" s="15"/>
      <c r="BW901" s="15"/>
      <c r="BX901" s="15"/>
      <c r="BY901" s="15"/>
      <c r="BZ901" s="15"/>
      <c r="CA901" s="15"/>
      <c r="CB901" s="15"/>
      <c r="CC901" s="15"/>
      <c r="CD901" s="15"/>
      <c r="CE901" s="15"/>
      <c r="CF901" s="15"/>
      <c r="CG901" s="15"/>
      <c r="CH901" s="15"/>
      <c r="CI901" s="15"/>
      <c r="CJ901" s="15"/>
      <c r="CK901" s="15"/>
      <c r="CL901" s="15"/>
      <c r="CM901" s="15"/>
      <c r="CN901" s="15"/>
      <c r="CO901" s="15"/>
      <c r="CP901" s="15"/>
      <c r="CQ901" s="15"/>
      <c r="CR901" s="15"/>
      <c r="CS901" s="73"/>
      <c r="CT901" s="15"/>
      <c r="CU901" s="15"/>
      <c r="CV901" s="15"/>
      <c r="CW901" s="15"/>
      <c r="CX901" s="15"/>
      <c r="CY901" s="15"/>
      <c r="CZ901" s="15"/>
      <c r="DA901" s="15"/>
      <c r="DB901" s="15"/>
      <c r="DC901" s="15"/>
      <c r="DD901" s="15"/>
      <c r="DE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61"/>
      <c r="BK902" s="15"/>
      <c r="BL902" s="15"/>
      <c r="BM902" s="15"/>
      <c r="BN902" s="15"/>
      <c r="BO902" s="15"/>
      <c r="BP902" s="15"/>
      <c r="BQ902" s="15"/>
      <c r="BR902" s="15"/>
      <c r="BS902" s="15"/>
      <c r="BT902" s="15"/>
      <c r="BU902" s="15"/>
      <c r="BV902" s="15"/>
      <c r="BW902" s="15"/>
      <c r="BX902" s="15"/>
      <c r="BY902" s="15"/>
      <c r="BZ902" s="15"/>
      <c r="CA902" s="15"/>
      <c r="CB902" s="15"/>
      <c r="CC902" s="15"/>
      <c r="CD902" s="15"/>
      <c r="CE902" s="15"/>
      <c r="CF902" s="15"/>
      <c r="CG902" s="15"/>
      <c r="CH902" s="15"/>
      <c r="CI902" s="15"/>
      <c r="CJ902" s="15"/>
      <c r="CK902" s="15"/>
      <c r="CL902" s="15"/>
      <c r="CM902" s="15"/>
      <c r="CN902" s="15"/>
      <c r="CO902" s="15"/>
      <c r="CP902" s="15"/>
      <c r="CQ902" s="15"/>
      <c r="CR902" s="15"/>
      <c r="CS902" s="73"/>
      <c r="CT902" s="15"/>
      <c r="CU902" s="15"/>
      <c r="CV902" s="15"/>
      <c r="CW902" s="15"/>
      <c r="CX902" s="15"/>
      <c r="CY902" s="15"/>
      <c r="CZ902" s="15"/>
      <c r="DA902" s="15"/>
      <c r="DB902" s="15"/>
      <c r="DC902" s="15"/>
      <c r="DD902" s="15"/>
      <c r="DE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61"/>
      <c r="BK903" s="15"/>
      <c r="BL903" s="15"/>
      <c r="BM903" s="15"/>
      <c r="BN903" s="15"/>
      <c r="BO903" s="15"/>
      <c r="BP903" s="15"/>
      <c r="BQ903" s="15"/>
      <c r="BR903" s="15"/>
      <c r="BS903" s="15"/>
      <c r="BT903" s="15"/>
      <c r="BU903" s="15"/>
      <c r="BV903" s="15"/>
      <c r="BW903" s="15"/>
      <c r="BX903" s="15"/>
      <c r="BY903" s="15"/>
      <c r="BZ903" s="15"/>
      <c r="CA903" s="15"/>
      <c r="CB903" s="15"/>
      <c r="CC903" s="15"/>
      <c r="CD903" s="15"/>
      <c r="CE903" s="15"/>
      <c r="CF903" s="15"/>
      <c r="CG903" s="15"/>
      <c r="CH903" s="15"/>
      <c r="CI903" s="15"/>
      <c r="CJ903" s="15"/>
      <c r="CK903" s="15"/>
      <c r="CL903" s="15"/>
      <c r="CM903" s="15"/>
      <c r="CN903" s="15"/>
      <c r="CO903" s="15"/>
      <c r="CP903" s="15"/>
      <c r="CQ903" s="15"/>
      <c r="CR903" s="15"/>
      <c r="CS903" s="73"/>
      <c r="CT903" s="15"/>
      <c r="CU903" s="15"/>
      <c r="CV903" s="15"/>
      <c r="CW903" s="15"/>
      <c r="CX903" s="15"/>
      <c r="CY903" s="15"/>
      <c r="CZ903" s="15"/>
      <c r="DA903" s="15"/>
      <c r="DB903" s="15"/>
      <c r="DC903" s="15"/>
      <c r="DD903" s="15"/>
      <c r="DE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61"/>
      <c r="BK904" s="15"/>
      <c r="BL904" s="15"/>
      <c r="BM904" s="15"/>
      <c r="BN904" s="15"/>
      <c r="BO904" s="15"/>
      <c r="BP904" s="15"/>
      <c r="BQ904" s="15"/>
      <c r="BR904" s="15"/>
      <c r="BS904" s="15"/>
      <c r="BT904" s="15"/>
      <c r="BU904" s="15"/>
      <c r="BV904" s="15"/>
      <c r="BW904" s="15"/>
      <c r="BX904" s="15"/>
      <c r="BY904" s="15"/>
      <c r="BZ904" s="15"/>
      <c r="CA904" s="15"/>
      <c r="CB904" s="15"/>
      <c r="CC904" s="15"/>
      <c r="CD904" s="15"/>
      <c r="CE904" s="15"/>
      <c r="CF904" s="15"/>
      <c r="CG904" s="15"/>
      <c r="CH904" s="15"/>
      <c r="CI904" s="15"/>
      <c r="CJ904" s="15"/>
      <c r="CK904" s="15"/>
      <c r="CL904" s="15"/>
      <c r="CM904" s="15"/>
      <c r="CN904" s="15"/>
      <c r="CO904" s="15"/>
      <c r="CP904" s="15"/>
      <c r="CQ904" s="15"/>
      <c r="CR904" s="15"/>
      <c r="CS904" s="73"/>
      <c r="CT904" s="15"/>
      <c r="CU904" s="15"/>
      <c r="CV904" s="15"/>
      <c r="CW904" s="15"/>
      <c r="CX904" s="15"/>
      <c r="CY904" s="15"/>
      <c r="CZ904" s="15"/>
      <c r="DA904" s="15"/>
      <c r="DB904" s="15"/>
      <c r="DC904" s="15"/>
      <c r="DD904" s="15"/>
      <c r="DE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61"/>
      <c r="BK905" s="15"/>
      <c r="BL905" s="15"/>
      <c r="BM905" s="15"/>
      <c r="BN905" s="15"/>
      <c r="BO905" s="15"/>
      <c r="BP905" s="15"/>
      <c r="BQ905" s="15"/>
      <c r="BR905" s="15"/>
      <c r="BS905" s="15"/>
      <c r="BT905" s="15"/>
      <c r="BU905" s="15"/>
      <c r="BV905" s="15"/>
      <c r="BW905" s="15"/>
      <c r="BX905" s="15"/>
      <c r="BY905" s="15"/>
      <c r="BZ905" s="15"/>
      <c r="CA905" s="15"/>
      <c r="CB905" s="15"/>
      <c r="CC905" s="15"/>
      <c r="CD905" s="15"/>
      <c r="CE905" s="15"/>
      <c r="CF905" s="15"/>
      <c r="CG905" s="15"/>
      <c r="CH905" s="15"/>
      <c r="CI905" s="15"/>
      <c r="CJ905" s="15"/>
      <c r="CK905" s="15"/>
      <c r="CL905" s="15"/>
      <c r="CM905" s="15"/>
      <c r="CN905" s="15"/>
      <c r="CO905" s="15"/>
      <c r="CP905" s="15"/>
      <c r="CQ905" s="15"/>
      <c r="CR905" s="15"/>
      <c r="CS905" s="73"/>
      <c r="CT905" s="15"/>
      <c r="CU905" s="15"/>
      <c r="CV905" s="15"/>
      <c r="CW905" s="15"/>
      <c r="CX905" s="15"/>
      <c r="CY905" s="15"/>
      <c r="CZ905" s="15"/>
      <c r="DA905" s="15"/>
      <c r="DB905" s="15"/>
      <c r="DC905" s="15"/>
      <c r="DD905" s="15"/>
      <c r="DE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61"/>
      <c r="BK906" s="15"/>
      <c r="BL906" s="15"/>
      <c r="BM906" s="15"/>
      <c r="BN906" s="15"/>
      <c r="BO906" s="15"/>
      <c r="BP906" s="15"/>
      <c r="BQ906" s="15"/>
      <c r="BR906" s="15"/>
      <c r="BS906" s="15"/>
      <c r="BT906" s="15"/>
      <c r="BU906" s="15"/>
      <c r="BV906" s="15"/>
      <c r="BW906" s="15"/>
      <c r="BX906" s="15"/>
      <c r="BY906" s="15"/>
      <c r="BZ906" s="15"/>
      <c r="CA906" s="15"/>
      <c r="CB906" s="15"/>
      <c r="CC906" s="15"/>
      <c r="CD906" s="15"/>
      <c r="CE906" s="15"/>
      <c r="CF906" s="15"/>
      <c r="CG906" s="15"/>
      <c r="CH906" s="15"/>
      <c r="CI906" s="15"/>
      <c r="CJ906" s="15"/>
      <c r="CK906" s="15"/>
      <c r="CL906" s="15"/>
      <c r="CM906" s="15"/>
      <c r="CN906" s="15"/>
      <c r="CO906" s="15"/>
      <c r="CP906" s="15"/>
      <c r="CQ906" s="15"/>
      <c r="CR906" s="15"/>
      <c r="CS906" s="73"/>
      <c r="CT906" s="15"/>
      <c r="CU906" s="15"/>
      <c r="CV906" s="15"/>
      <c r="CW906" s="15"/>
      <c r="CX906" s="15"/>
      <c r="CY906" s="15"/>
      <c r="CZ906" s="15"/>
      <c r="DA906" s="15"/>
      <c r="DB906" s="15"/>
      <c r="DC906" s="15"/>
      <c r="DD906" s="15"/>
      <c r="DE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61"/>
      <c r="BK907" s="15"/>
      <c r="BL907" s="15"/>
      <c r="BM907" s="15"/>
      <c r="BN907" s="15"/>
      <c r="BO907" s="15"/>
      <c r="BP907" s="15"/>
      <c r="BQ907" s="15"/>
      <c r="BR907" s="15"/>
      <c r="BS907" s="15"/>
      <c r="BT907" s="15"/>
      <c r="BU907" s="15"/>
      <c r="BV907" s="15"/>
      <c r="BW907" s="15"/>
      <c r="BX907" s="15"/>
      <c r="BY907" s="15"/>
      <c r="BZ907" s="15"/>
      <c r="CA907" s="15"/>
      <c r="CB907" s="15"/>
      <c r="CC907" s="15"/>
      <c r="CD907" s="15"/>
      <c r="CE907" s="15"/>
      <c r="CF907" s="15"/>
      <c r="CG907" s="15"/>
      <c r="CH907" s="15"/>
      <c r="CI907" s="15"/>
      <c r="CJ907" s="15"/>
      <c r="CK907" s="15"/>
      <c r="CL907" s="15"/>
      <c r="CM907" s="15"/>
      <c r="CN907" s="15"/>
      <c r="CO907" s="15"/>
      <c r="CP907" s="15"/>
      <c r="CQ907" s="15"/>
      <c r="CR907" s="15"/>
      <c r="CS907" s="73"/>
      <c r="CT907" s="15"/>
      <c r="CU907" s="15"/>
      <c r="CV907" s="15"/>
      <c r="CW907" s="15"/>
      <c r="CX907" s="15"/>
      <c r="CY907" s="15"/>
      <c r="CZ907" s="15"/>
      <c r="DA907" s="15"/>
      <c r="DB907" s="15"/>
      <c r="DC907" s="15"/>
      <c r="DD907" s="15"/>
      <c r="DE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61"/>
      <c r="BK908" s="15"/>
      <c r="BL908" s="15"/>
      <c r="BM908" s="15"/>
      <c r="BN908" s="15"/>
      <c r="BO908" s="15"/>
      <c r="BP908" s="15"/>
      <c r="BQ908" s="15"/>
      <c r="BR908" s="15"/>
      <c r="BS908" s="15"/>
      <c r="BT908" s="15"/>
      <c r="BU908" s="15"/>
      <c r="BV908" s="15"/>
      <c r="BW908" s="15"/>
      <c r="BX908" s="15"/>
      <c r="BY908" s="15"/>
      <c r="BZ908" s="15"/>
      <c r="CA908" s="15"/>
      <c r="CB908" s="15"/>
      <c r="CC908" s="15"/>
      <c r="CD908" s="15"/>
      <c r="CE908" s="15"/>
      <c r="CF908" s="15"/>
      <c r="CG908" s="15"/>
      <c r="CH908" s="15"/>
      <c r="CI908" s="15"/>
      <c r="CJ908" s="15"/>
      <c r="CK908" s="15"/>
      <c r="CL908" s="15"/>
      <c r="CM908" s="15"/>
      <c r="CN908" s="15"/>
      <c r="CO908" s="15"/>
      <c r="CP908" s="15"/>
      <c r="CQ908" s="15"/>
      <c r="CR908" s="15"/>
      <c r="CS908" s="73"/>
      <c r="CT908" s="15"/>
      <c r="CU908" s="15"/>
      <c r="CV908" s="15"/>
      <c r="CW908" s="15"/>
      <c r="CX908" s="15"/>
      <c r="CY908" s="15"/>
      <c r="CZ908" s="15"/>
      <c r="DA908" s="15"/>
      <c r="DB908" s="15"/>
      <c r="DC908" s="15"/>
      <c r="DD908" s="15"/>
      <c r="DE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61"/>
      <c r="BK909" s="15"/>
      <c r="BL909" s="15"/>
      <c r="BM909" s="15"/>
      <c r="BN909" s="15"/>
      <c r="BO909" s="15"/>
      <c r="BP909" s="15"/>
      <c r="BQ909" s="15"/>
      <c r="BR909" s="15"/>
      <c r="BS909" s="15"/>
      <c r="BT909" s="15"/>
      <c r="BU909" s="15"/>
      <c r="BV909" s="15"/>
      <c r="BW909" s="15"/>
      <c r="BX909" s="15"/>
      <c r="BY909" s="15"/>
      <c r="BZ909" s="15"/>
      <c r="CA909" s="15"/>
      <c r="CB909" s="15"/>
      <c r="CC909" s="15"/>
      <c r="CD909" s="15"/>
      <c r="CE909" s="15"/>
      <c r="CF909" s="15"/>
      <c r="CG909" s="15"/>
      <c r="CH909" s="15"/>
      <c r="CI909" s="15"/>
      <c r="CJ909" s="15"/>
      <c r="CK909" s="15"/>
      <c r="CL909" s="15"/>
      <c r="CM909" s="15"/>
      <c r="CN909" s="15"/>
      <c r="CO909" s="15"/>
      <c r="CP909" s="15"/>
      <c r="CQ909" s="15"/>
      <c r="CR909" s="15"/>
      <c r="CS909" s="73"/>
      <c r="CT909" s="15"/>
      <c r="CU909" s="15"/>
      <c r="CV909" s="15"/>
      <c r="CW909" s="15"/>
      <c r="CX909" s="15"/>
      <c r="CY909" s="15"/>
      <c r="CZ909" s="15"/>
      <c r="DA909" s="15"/>
      <c r="DB909" s="15"/>
      <c r="DC909" s="15"/>
      <c r="DD909" s="15"/>
      <c r="DE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61"/>
      <c r="BK910" s="15"/>
      <c r="BL910" s="15"/>
      <c r="BM910" s="15"/>
      <c r="BN910" s="15"/>
      <c r="BO910" s="15"/>
      <c r="BP910" s="15"/>
      <c r="BQ910" s="15"/>
      <c r="BR910" s="15"/>
      <c r="BS910" s="15"/>
      <c r="BT910" s="15"/>
      <c r="BU910" s="15"/>
      <c r="BV910" s="15"/>
      <c r="BW910" s="15"/>
      <c r="BX910" s="15"/>
      <c r="BY910" s="15"/>
      <c r="BZ910" s="15"/>
      <c r="CA910" s="15"/>
      <c r="CB910" s="15"/>
      <c r="CC910" s="15"/>
      <c r="CD910" s="15"/>
      <c r="CE910" s="15"/>
      <c r="CF910" s="15"/>
      <c r="CG910" s="15"/>
      <c r="CH910" s="15"/>
      <c r="CI910" s="15"/>
      <c r="CJ910" s="15"/>
      <c r="CK910" s="15"/>
      <c r="CL910" s="15"/>
      <c r="CM910" s="15"/>
      <c r="CN910" s="15"/>
      <c r="CO910" s="15"/>
      <c r="CP910" s="15"/>
      <c r="CQ910" s="15"/>
      <c r="CR910" s="15"/>
      <c r="CS910" s="73"/>
      <c r="CT910" s="15"/>
      <c r="CU910" s="15"/>
      <c r="CV910" s="15"/>
      <c r="CW910" s="15"/>
      <c r="CX910" s="15"/>
      <c r="CY910" s="15"/>
      <c r="CZ910" s="15"/>
      <c r="DA910" s="15"/>
      <c r="DB910" s="15"/>
      <c r="DC910" s="15"/>
      <c r="DD910" s="15"/>
      <c r="DE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61"/>
      <c r="BK911" s="15"/>
      <c r="BL911" s="15"/>
      <c r="BM911" s="15"/>
      <c r="BN911" s="15"/>
      <c r="BO911" s="15"/>
      <c r="BP911" s="15"/>
      <c r="BQ911" s="15"/>
      <c r="BR911" s="15"/>
      <c r="BS911" s="15"/>
      <c r="BT911" s="15"/>
      <c r="BU911" s="15"/>
      <c r="BV911" s="15"/>
      <c r="BW911" s="15"/>
      <c r="BX911" s="15"/>
      <c r="BY911" s="15"/>
      <c r="BZ911" s="15"/>
      <c r="CA911" s="15"/>
      <c r="CB911" s="15"/>
      <c r="CC911" s="15"/>
      <c r="CD911" s="15"/>
      <c r="CE911" s="15"/>
      <c r="CF911" s="15"/>
      <c r="CG911" s="15"/>
      <c r="CH911" s="15"/>
      <c r="CI911" s="15"/>
      <c r="CJ911" s="15"/>
      <c r="CK911" s="15"/>
      <c r="CL911" s="15"/>
      <c r="CM911" s="15"/>
      <c r="CN911" s="15"/>
      <c r="CO911" s="15"/>
      <c r="CP911" s="15"/>
      <c r="CQ911" s="15"/>
      <c r="CR911" s="15"/>
      <c r="CS911" s="73"/>
      <c r="CT911" s="15"/>
      <c r="CU911" s="15"/>
      <c r="CV911" s="15"/>
      <c r="CW911" s="15"/>
      <c r="CX911" s="15"/>
      <c r="CY911" s="15"/>
      <c r="CZ911" s="15"/>
      <c r="DA911" s="15"/>
      <c r="DB911" s="15"/>
      <c r="DC911" s="15"/>
      <c r="DD911" s="15"/>
      <c r="DE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61"/>
      <c r="BK912" s="15"/>
      <c r="BL912" s="15"/>
      <c r="BM912" s="15"/>
      <c r="BN912" s="15"/>
      <c r="BO912" s="15"/>
      <c r="BP912" s="15"/>
      <c r="BQ912" s="15"/>
      <c r="BR912" s="15"/>
      <c r="BS912" s="15"/>
      <c r="BT912" s="15"/>
      <c r="BU912" s="15"/>
      <c r="BV912" s="15"/>
      <c r="BW912" s="15"/>
      <c r="BX912" s="15"/>
      <c r="BY912" s="15"/>
      <c r="BZ912" s="15"/>
      <c r="CA912" s="15"/>
      <c r="CB912" s="15"/>
      <c r="CC912" s="15"/>
      <c r="CD912" s="15"/>
      <c r="CE912" s="15"/>
      <c r="CF912" s="15"/>
      <c r="CG912" s="15"/>
      <c r="CH912" s="15"/>
      <c r="CI912" s="15"/>
      <c r="CJ912" s="15"/>
      <c r="CK912" s="15"/>
      <c r="CL912" s="15"/>
      <c r="CM912" s="15"/>
      <c r="CN912" s="15"/>
      <c r="CO912" s="15"/>
      <c r="CP912" s="15"/>
      <c r="CQ912" s="15"/>
      <c r="CR912" s="15"/>
      <c r="CS912" s="73"/>
      <c r="CT912" s="15"/>
      <c r="CU912" s="15"/>
      <c r="CV912" s="15"/>
      <c r="CW912" s="15"/>
      <c r="CX912" s="15"/>
      <c r="CY912" s="15"/>
      <c r="CZ912" s="15"/>
      <c r="DA912" s="15"/>
      <c r="DB912" s="15"/>
      <c r="DC912" s="15"/>
      <c r="DD912" s="15"/>
      <c r="DE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c r="AW913" s="15"/>
      <c r="AX913" s="15"/>
      <c r="AY913" s="15"/>
      <c r="AZ913" s="15"/>
      <c r="BA913" s="15"/>
      <c r="BB913" s="15"/>
      <c r="BC913" s="15"/>
      <c r="BD913" s="15"/>
      <c r="BE913" s="15"/>
      <c r="BF913" s="15"/>
      <c r="BG913" s="15"/>
      <c r="BH913" s="15"/>
      <c r="BI913" s="15"/>
      <c r="BJ913" s="61"/>
      <c r="BK913" s="15"/>
      <c r="BL913" s="15"/>
      <c r="BM913" s="15"/>
      <c r="BN913" s="15"/>
      <c r="BO913" s="15"/>
      <c r="BP913" s="15"/>
      <c r="BQ913" s="15"/>
      <c r="BR913" s="15"/>
      <c r="BS913" s="15"/>
      <c r="BT913" s="15"/>
      <c r="BU913" s="15"/>
      <c r="BV913" s="15"/>
      <c r="BW913" s="15"/>
      <c r="BX913" s="15"/>
      <c r="BY913" s="15"/>
      <c r="BZ913" s="15"/>
      <c r="CA913" s="15"/>
      <c r="CB913" s="15"/>
      <c r="CC913" s="15"/>
      <c r="CD913" s="15"/>
      <c r="CE913" s="15"/>
      <c r="CF913" s="15"/>
      <c r="CG913" s="15"/>
      <c r="CH913" s="15"/>
      <c r="CI913" s="15"/>
      <c r="CJ913" s="15"/>
      <c r="CK913" s="15"/>
      <c r="CL913" s="15"/>
      <c r="CM913" s="15"/>
      <c r="CN913" s="15"/>
      <c r="CO913" s="15"/>
      <c r="CP913" s="15"/>
      <c r="CQ913" s="15"/>
      <c r="CR913" s="15"/>
      <c r="CS913" s="73"/>
      <c r="CT913" s="15"/>
      <c r="CU913" s="15"/>
      <c r="CV913" s="15"/>
      <c r="CW913" s="15"/>
      <c r="CX913" s="15"/>
      <c r="CY913" s="15"/>
      <c r="CZ913" s="15"/>
      <c r="DA913" s="15"/>
      <c r="DB913" s="15"/>
      <c r="DC913" s="15"/>
      <c r="DD913" s="15"/>
      <c r="DE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61"/>
      <c r="BK914" s="15"/>
      <c r="BL914" s="15"/>
      <c r="BM914" s="15"/>
      <c r="BN914" s="15"/>
      <c r="BO914" s="15"/>
      <c r="BP914" s="15"/>
      <c r="BQ914" s="15"/>
      <c r="BR914" s="15"/>
      <c r="BS914" s="15"/>
      <c r="BT914" s="15"/>
      <c r="BU914" s="15"/>
      <c r="BV914" s="15"/>
      <c r="BW914" s="15"/>
      <c r="BX914" s="15"/>
      <c r="BY914" s="15"/>
      <c r="BZ914" s="15"/>
      <c r="CA914" s="15"/>
      <c r="CB914" s="15"/>
      <c r="CC914" s="15"/>
      <c r="CD914" s="15"/>
      <c r="CE914" s="15"/>
      <c r="CF914" s="15"/>
      <c r="CG914" s="15"/>
      <c r="CH914" s="15"/>
      <c r="CI914" s="15"/>
      <c r="CJ914" s="15"/>
      <c r="CK914" s="15"/>
      <c r="CL914" s="15"/>
      <c r="CM914" s="15"/>
      <c r="CN914" s="15"/>
      <c r="CO914" s="15"/>
      <c r="CP914" s="15"/>
      <c r="CQ914" s="15"/>
      <c r="CR914" s="15"/>
      <c r="CS914" s="73"/>
      <c r="CT914" s="15"/>
      <c r="CU914" s="15"/>
      <c r="CV914" s="15"/>
      <c r="CW914" s="15"/>
      <c r="CX914" s="15"/>
      <c r="CY914" s="15"/>
      <c r="CZ914" s="15"/>
      <c r="DA914" s="15"/>
      <c r="DB914" s="15"/>
      <c r="DC914" s="15"/>
      <c r="DD914" s="15"/>
      <c r="DE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61"/>
      <c r="BK915" s="15"/>
      <c r="BL915" s="15"/>
      <c r="BM915" s="15"/>
      <c r="BN915" s="15"/>
      <c r="BO915" s="15"/>
      <c r="BP915" s="15"/>
      <c r="BQ915" s="15"/>
      <c r="BR915" s="15"/>
      <c r="BS915" s="15"/>
      <c r="BT915" s="15"/>
      <c r="BU915" s="15"/>
      <c r="BV915" s="15"/>
      <c r="BW915" s="15"/>
      <c r="BX915" s="15"/>
      <c r="BY915" s="15"/>
      <c r="BZ915" s="15"/>
      <c r="CA915" s="15"/>
      <c r="CB915" s="15"/>
      <c r="CC915" s="15"/>
      <c r="CD915" s="15"/>
      <c r="CE915" s="15"/>
      <c r="CF915" s="15"/>
      <c r="CG915" s="15"/>
      <c r="CH915" s="15"/>
      <c r="CI915" s="15"/>
      <c r="CJ915" s="15"/>
      <c r="CK915" s="15"/>
      <c r="CL915" s="15"/>
      <c r="CM915" s="15"/>
      <c r="CN915" s="15"/>
      <c r="CO915" s="15"/>
      <c r="CP915" s="15"/>
      <c r="CQ915" s="15"/>
      <c r="CR915" s="15"/>
      <c r="CS915" s="73"/>
      <c r="CT915" s="15"/>
      <c r="CU915" s="15"/>
      <c r="CV915" s="15"/>
      <c r="CW915" s="15"/>
      <c r="CX915" s="15"/>
      <c r="CY915" s="15"/>
      <c r="CZ915" s="15"/>
      <c r="DA915" s="15"/>
      <c r="DB915" s="15"/>
      <c r="DC915" s="15"/>
      <c r="DD915" s="15"/>
      <c r="DE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61"/>
      <c r="BK916" s="15"/>
      <c r="BL916" s="15"/>
      <c r="BM916" s="15"/>
      <c r="BN916" s="15"/>
      <c r="BO916" s="15"/>
      <c r="BP916" s="15"/>
      <c r="BQ916" s="15"/>
      <c r="BR916" s="15"/>
      <c r="BS916" s="15"/>
      <c r="BT916" s="15"/>
      <c r="BU916" s="15"/>
      <c r="BV916" s="15"/>
      <c r="BW916" s="15"/>
      <c r="BX916" s="15"/>
      <c r="BY916" s="15"/>
      <c r="BZ916" s="15"/>
      <c r="CA916" s="15"/>
      <c r="CB916" s="15"/>
      <c r="CC916" s="15"/>
      <c r="CD916" s="15"/>
      <c r="CE916" s="15"/>
      <c r="CF916" s="15"/>
      <c r="CG916" s="15"/>
      <c r="CH916" s="15"/>
      <c r="CI916" s="15"/>
      <c r="CJ916" s="15"/>
      <c r="CK916" s="15"/>
      <c r="CL916" s="15"/>
      <c r="CM916" s="15"/>
      <c r="CN916" s="15"/>
      <c r="CO916" s="15"/>
      <c r="CP916" s="15"/>
      <c r="CQ916" s="15"/>
      <c r="CR916" s="15"/>
      <c r="CS916" s="73"/>
      <c r="CT916" s="15"/>
      <c r="CU916" s="15"/>
      <c r="CV916" s="15"/>
      <c r="CW916" s="15"/>
      <c r="CX916" s="15"/>
      <c r="CY916" s="15"/>
      <c r="CZ916" s="15"/>
      <c r="DA916" s="15"/>
      <c r="DB916" s="15"/>
      <c r="DC916" s="15"/>
      <c r="DD916" s="15"/>
      <c r="DE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61"/>
      <c r="BK917" s="15"/>
      <c r="BL917" s="15"/>
      <c r="BM917" s="15"/>
      <c r="BN917" s="15"/>
      <c r="BO917" s="15"/>
      <c r="BP917" s="15"/>
      <c r="BQ917" s="15"/>
      <c r="BR917" s="15"/>
      <c r="BS917" s="15"/>
      <c r="BT917" s="15"/>
      <c r="BU917" s="15"/>
      <c r="BV917" s="15"/>
      <c r="BW917" s="15"/>
      <c r="BX917" s="15"/>
      <c r="BY917" s="15"/>
      <c r="BZ917" s="15"/>
      <c r="CA917" s="15"/>
      <c r="CB917" s="15"/>
      <c r="CC917" s="15"/>
      <c r="CD917" s="15"/>
      <c r="CE917" s="15"/>
      <c r="CF917" s="15"/>
      <c r="CG917" s="15"/>
      <c r="CH917" s="15"/>
      <c r="CI917" s="15"/>
      <c r="CJ917" s="15"/>
      <c r="CK917" s="15"/>
      <c r="CL917" s="15"/>
      <c r="CM917" s="15"/>
      <c r="CN917" s="15"/>
      <c r="CO917" s="15"/>
      <c r="CP917" s="15"/>
      <c r="CQ917" s="15"/>
      <c r="CR917" s="15"/>
      <c r="CS917" s="73"/>
      <c r="CT917" s="15"/>
      <c r="CU917" s="15"/>
      <c r="CV917" s="15"/>
      <c r="CW917" s="15"/>
      <c r="CX917" s="15"/>
      <c r="CY917" s="15"/>
      <c r="CZ917" s="15"/>
      <c r="DA917" s="15"/>
      <c r="DB917" s="15"/>
      <c r="DC917" s="15"/>
      <c r="DD917" s="15"/>
      <c r="DE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61"/>
      <c r="BK918" s="15"/>
      <c r="BL918" s="15"/>
      <c r="BM918" s="15"/>
      <c r="BN918" s="15"/>
      <c r="BO918" s="15"/>
      <c r="BP918" s="15"/>
      <c r="BQ918" s="15"/>
      <c r="BR918" s="15"/>
      <c r="BS918" s="15"/>
      <c r="BT918" s="15"/>
      <c r="BU918" s="15"/>
      <c r="BV918" s="15"/>
      <c r="BW918" s="15"/>
      <c r="BX918" s="15"/>
      <c r="BY918" s="15"/>
      <c r="BZ918" s="15"/>
      <c r="CA918" s="15"/>
      <c r="CB918" s="15"/>
      <c r="CC918" s="15"/>
      <c r="CD918" s="15"/>
      <c r="CE918" s="15"/>
      <c r="CF918" s="15"/>
      <c r="CG918" s="15"/>
      <c r="CH918" s="15"/>
      <c r="CI918" s="15"/>
      <c r="CJ918" s="15"/>
      <c r="CK918" s="15"/>
      <c r="CL918" s="15"/>
      <c r="CM918" s="15"/>
      <c r="CN918" s="15"/>
      <c r="CO918" s="15"/>
      <c r="CP918" s="15"/>
      <c r="CQ918" s="15"/>
      <c r="CR918" s="15"/>
      <c r="CS918" s="73"/>
      <c r="CT918" s="15"/>
      <c r="CU918" s="15"/>
      <c r="CV918" s="15"/>
      <c r="CW918" s="15"/>
      <c r="CX918" s="15"/>
      <c r="CY918" s="15"/>
      <c r="CZ918" s="15"/>
      <c r="DA918" s="15"/>
      <c r="DB918" s="15"/>
      <c r="DC918" s="15"/>
      <c r="DD918" s="15"/>
      <c r="DE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61"/>
      <c r="BK919" s="15"/>
      <c r="BL919" s="15"/>
      <c r="BM919" s="15"/>
      <c r="BN919" s="15"/>
      <c r="BO919" s="15"/>
      <c r="BP919" s="15"/>
      <c r="BQ919" s="15"/>
      <c r="BR919" s="15"/>
      <c r="BS919" s="15"/>
      <c r="BT919" s="15"/>
      <c r="BU919" s="15"/>
      <c r="BV919" s="15"/>
      <c r="BW919" s="15"/>
      <c r="BX919" s="15"/>
      <c r="BY919" s="15"/>
      <c r="BZ919" s="15"/>
      <c r="CA919" s="15"/>
      <c r="CB919" s="15"/>
      <c r="CC919" s="15"/>
      <c r="CD919" s="15"/>
      <c r="CE919" s="15"/>
      <c r="CF919" s="15"/>
      <c r="CG919" s="15"/>
      <c r="CH919" s="15"/>
      <c r="CI919" s="15"/>
      <c r="CJ919" s="15"/>
      <c r="CK919" s="15"/>
      <c r="CL919" s="15"/>
      <c r="CM919" s="15"/>
      <c r="CN919" s="15"/>
      <c r="CO919" s="15"/>
      <c r="CP919" s="15"/>
      <c r="CQ919" s="15"/>
      <c r="CR919" s="15"/>
      <c r="CS919" s="73"/>
      <c r="CT919" s="15"/>
      <c r="CU919" s="15"/>
      <c r="CV919" s="15"/>
      <c r="CW919" s="15"/>
      <c r="CX919" s="15"/>
      <c r="CY919" s="15"/>
      <c r="CZ919" s="15"/>
      <c r="DA919" s="15"/>
      <c r="DB919" s="15"/>
      <c r="DC919" s="15"/>
      <c r="DD919" s="15"/>
      <c r="DE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61"/>
      <c r="BK920" s="15"/>
      <c r="BL920" s="15"/>
      <c r="BM920" s="15"/>
      <c r="BN920" s="15"/>
      <c r="BO920" s="15"/>
      <c r="BP920" s="15"/>
      <c r="BQ920" s="15"/>
      <c r="BR920" s="15"/>
      <c r="BS920" s="15"/>
      <c r="BT920" s="15"/>
      <c r="BU920" s="15"/>
      <c r="BV920" s="15"/>
      <c r="BW920" s="15"/>
      <c r="BX920" s="15"/>
      <c r="BY920" s="15"/>
      <c r="BZ920" s="15"/>
      <c r="CA920" s="15"/>
      <c r="CB920" s="15"/>
      <c r="CC920" s="15"/>
      <c r="CD920" s="15"/>
      <c r="CE920" s="15"/>
      <c r="CF920" s="15"/>
      <c r="CG920" s="15"/>
      <c r="CH920" s="15"/>
      <c r="CI920" s="15"/>
      <c r="CJ920" s="15"/>
      <c r="CK920" s="15"/>
      <c r="CL920" s="15"/>
      <c r="CM920" s="15"/>
      <c r="CN920" s="15"/>
      <c r="CO920" s="15"/>
      <c r="CP920" s="15"/>
      <c r="CQ920" s="15"/>
      <c r="CR920" s="15"/>
      <c r="CS920" s="73"/>
      <c r="CT920" s="15"/>
      <c r="CU920" s="15"/>
      <c r="CV920" s="15"/>
      <c r="CW920" s="15"/>
      <c r="CX920" s="15"/>
      <c r="CY920" s="15"/>
      <c r="CZ920" s="15"/>
      <c r="DA920" s="15"/>
      <c r="DB920" s="15"/>
      <c r="DC920" s="15"/>
      <c r="DD920" s="15"/>
      <c r="DE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61"/>
      <c r="BK921" s="15"/>
      <c r="BL921" s="15"/>
      <c r="BM921" s="15"/>
      <c r="BN921" s="15"/>
      <c r="BO921" s="15"/>
      <c r="BP921" s="15"/>
      <c r="BQ921" s="15"/>
      <c r="BR921" s="15"/>
      <c r="BS921" s="15"/>
      <c r="BT921" s="15"/>
      <c r="BU921" s="15"/>
      <c r="BV921" s="15"/>
      <c r="BW921" s="15"/>
      <c r="BX921" s="15"/>
      <c r="BY921" s="15"/>
      <c r="BZ921" s="15"/>
      <c r="CA921" s="15"/>
      <c r="CB921" s="15"/>
      <c r="CC921" s="15"/>
      <c r="CD921" s="15"/>
      <c r="CE921" s="15"/>
      <c r="CF921" s="15"/>
      <c r="CG921" s="15"/>
      <c r="CH921" s="15"/>
      <c r="CI921" s="15"/>
      <c r="CJ921" s="15"/>
      <c r="CK921" s="15"/>
      <c r="CL921" s="15"/>
      <c r="CM921" s="15"/>
      <c r="CN921" s="15"/>
      <c r="CO921" s="15"/>
      <c r="CP921" s="15"/>
      <c r="CQ921" s="15"/>
      <c r="CR921" s="15"/>
      <c r="CS921" s="73"/>
      <c r="CT921" s="15"/>
      <c r="CU921" s="15"/>
      <c r="CV921" s="15"/>
      <c r="CW921" s="15"/>
      <c r="CX921" s="15"/>
      <c r="CY921" s="15"/>
      <c r="CZ921" s="15"/>
      <c r="DA921" s="15"/>
      <c r="DB921" s="15"/>
      <c r="DC921" s="15"/>
      <c r="DD921" s="15"/>
      <c r="DE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61"/>
      <c r="BK922" s="15"/>
      <c r="BL922" s="15"/>
      <c r="BM922" s="15"/>
      <c r="BN922" s="15"/>
      <c r="BO922" s="15"/>
      <c r="BP922" s="15"/>
      <c r="BQ922" s="15"/>
      <c r="BR922" s="15"/>
      <c r="BS922" s="15"/>
      <c r="BT922" s="15"/>
      <c r="BU922" s="15"/>
      <c r="BV922" s="15"/>
      <c r="BW922" s="15"/>
      <c r="BX922" s="15"/>
      <c r="BY922" s="15"/>
      <c r="BZ922" s="15"/>
      <c r="CA922" s="15"/>
      <c r="CB922" s="15"/>
      <c r="CC922" s="15"/>
      <c r="CD922" s="15"/>
      <c r="CE922" s="15"/>
      <c r="CF922" s="15"/>
      <c r="CG922" s="15"/>
      <c r="CH922" s="15"/>
      <c r="CI922" s="15"/>
      <c r="CJ922" s="15"/>
      <c r="CK922" s="15"/>
      <c r="CL922" s="15"/>
      <c r="CM922" s="15"/>
      <c r="CN922" s="15"/>
      <c r="CO922" s="15"/>
      <c r="CP922" s="15"/>
      <c r="CQ922" s="15"/>
      <c r="CR922" s="15"/>
      <c r="CS922" s="73"/>
      <c r="CT922" s="15"/>
      <c r="CU922" s="15"/>
      <c r="CV922" s="15"/>
      <c r="CW922" s="15"/>
      <c r="CX922" s="15"/>
      <c r="CY922" s="15"/>
      <c r="CZ922" s="15"/>
      <c r="DA922" s="15"/>
      <c r="DB922" s="15"/>
      <c r="DC922" s="15"/>
      <c r="DD922" s="15"/>
      <c r="DE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61"/>
      <c r="BK923" s="15"/>
      <c r="BL923" s="15"/>
      <c r="BM923" s="15"/>
      <c r="BN923" s="15"/>
      <c r="BO923" s="15"/>
      <c r="BP923" s="15"/>
      <c r="BQ923" s="15"/>
      <c r="BR923" s="15"/>
      <c r="BS923" s="15"/>
      <c r="BT923" s="15"/>
      <c r="BU923" s="15"/>
      <c r="BV923" s="15"/>
      <c r="BW923" s="15"/>
      <c r="BX923" s="15"/>
      <c r="BY923" s="15"/>
      <c r="BZ923" s="15"/>
      <c r="CA923" s="15"/>
      <c r="CB923" s="15"/>
      <c r="CC923" s="15"/>
      <c r="CD923" s="15"/>
      <c r="CE923" s="15"/>
      <c r="CF923" s="15"/>
      <c r="CG923" s="15"/>
      <c r="CH923" s="15"/>
      <c r="CI923" s="15"/>
      <c r="CJ923" s="15"/>
      <c r="CK923" s="15"/>
      <c r="CL923" s="15"/>
      <c r="CM923" s="15"/>
      <c r="CN923" s="15"/>
      <c r="CO923" s="15"/>
      <c r="CP923" s="15"/>
      <c r="CQ923" s="15"/>
      <c r="CR923" s="15"/>
      <c r="CS923" s="73"/>
      <c r="CT923" s="15"/>
      <c r="CU923" s="15"/>
      <c r="CV923" s="15"/>
      <c r="CW923" s="15"/>
      <c r="CX923" s="15"/>
      <c r="CY923" s="15"/>
      <c r="CZ923" s="15"/>
      <c r="DA923" s="15"/>
      <c r="DB923" s="15"/>
      <c r="DC923" s="15"/>
      <c r="DD923" s="15"/>
      <c r="DE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61"/>
      <c r="BK924" s="15"/>
      <c r="BL924" s="15"/>
      <c r="BM924" s="15"/>
      <c r="BN924" s="15"/>
      <c r="BO924" s="15"/>
      <c r="BP924" s="15"/>
      <c r="BQ924" s="15"/>
      <c r="BR924" s="15"/>
      <c r="BS924" s="15"/>
      <c r="BT924" s="15"/>
      <c r="BU924" s="15"/>
      <c r="BV924" s="15"/>
      <c r="BW924" s="15"/>
      <c r="BX924" s="15"/>
      <c r="BY924" s="15"/>
      <c r="BZ924" s="15"/>
      <c r="CA924" s="15"/>
      <c r="CB924" s="15"/>
      <c r="CC924" s="15"/>
      <c r="CD924" s="15"/>
      <c r="CE924" s="15"/>
      <c r="CF924" s="15"/>
      <c r="CG924" s="15"/>
      <c r="CH924" s="15"/>
      <c r="CI924" s="15"/>
      <c r="CJ924" s="15"/>
      <c r="CK924" s="15"/>
      <c r="CL924" s="15"/>
      <c r="CM924" s="15"/>
      <c r="CN924" s="15"/>
      <c r="CO924" s="15"/>
      <c r="CP924" s="15"/>
      <c r="CQ924" s="15"/>
      <c r="CR924" s="15"/>
      <c r="CS924" s="73"/>
      <c r="CT924" s="15"/>
      <c r="CU924" s="15"/>
      <c r="CV924" s="15"/>
      <c r="CW924" s="15"/>
      <c r="CX924" s="15"/>
      <c r="CY924" s="15"/>
      <c r="CZ924" s="15"/>
      <c r="DA924" s="15"/>
      <c r="DB924" s="15"/>
      <c r="DC924" s="15"/>
      <c r="DD924" s="15"/>
      <c r="DE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61"/>
      <c r="BK925" s="15"/>
      <c r="BL925" s="15"/>
      <c r="BM925" s="15"/>
      <c r="BN925" s="15"/>
      <c r="BO925" s="15"/>
      <c r="BP925" s="15"/>
      <c r="BQ925" s="15"/>
      <c r="BR925" s="15"/>
      <c r="BS925" s="15"/>
      <c r="BT925" s="15"/>
      <c r="BU925" s="15"/>
      <c r="BV925" s="15"/>
      <c r="BW925" s="15"/>
      <c r="BX925" s="15"/>
      <c r="BY925" s="15"/>
      <c r="BZ925" s="15"/>
      <c r="CA925" s="15"/>
      <c r="CB925" s="15"/>
      <c r="CC925" s="15"/>
      <c r="CD925" s="15"/>
      <c r="CE925" s="15"/>
      <c r="CF925" s="15"/>
      <c r="CG925" s="15"/>
      <c r="CH925" s="15"/>
      <c r="CI925" s="15"/>
      <c r="CJ925" s="15"/>
      <c r="CK925" s="15"/>
      <c r="CL925" s="15"/>
      <c r="CM925" s="15"/>
      <c r="CN925" s="15"/>
      <c r="CO925" s="15"/>
      <c r="CP925" s="15"/>
      <c r="CQ925" s="15"/>
      <c r="CR925" s="15"/>
      <c r="CS925" s="73"/>
      <c r="CT925" s="15"/>
      <c r="CU925" s="15"/>
      <c r="CV925" s="15"/>
      <c r="CW925" s="15"/>
      <c r="CX925" s="15"/>
      <c r="CY925" s="15"/>
      <c r="CZ925" s="15"/>
      <c r="DA925" s="15"/>
      <c r="DB925" s="15"/>
      <c r="DC925" s="15"/>
      <c r="DD925" s="15"/>
      <c r="DE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61"/>
      <c r="BK926" s="15"/>
      <c r="BL926" s="15"/>
      <c r="BM926" s="15"/>
      <c r="BN926" s="15"/>
      <c r="BO926" s="15"/>
      <c r="BP926" s="15"/>
      <c r="BQ926" s="15"/>
      <c r="BR926" s="15"/>
      <c r="BS926" s="15"/>
      <c r="BT926" s="15"/>
      <c r="BU926" s="15"/>
      <c r="BV926" s="15"/>
      <c r="BW926" s="15"/>
      <c r="BX926" s="15"/>
      <c r="BY926" s="15"/>
      <c r="BZ926" s="15"/>
      <c r="CA926" s="15"/>
      <c r="CB926" s="15"/>
      <c r="CC926" s="15"/>
      <c r="CD926" s="15"/>
      <c r="CE926" s="15"/>
      <c r="CF926" s="15"/>
      <c r="CG926" s="15"/>
      <c r="CH926" s="15"/>
      <c r="CI926" s="15"/>
      <c r="CJ926" s="15"/>
      <c r="CK926" s="15"/>
      <c r="CL926" s="15"/>
      <c r="CM926" s="15"/>
      <c r="CN926" s="15"/>
      <c r="CO926" s="15"/>
      <c r="CP926" s="15"/>
      <c r="CQ926" s="15"/>
      <c r="CR926" s="15"/>
      <c r="CS926" s="73"/>
      <c r="CT926" s="15"/>
      <c r="CU926" s="15"/>
      <c r="CV926" s="15"/>
      <c r="CW926" s="15"/>
      <c r="CX926" s="15"/>
      <c r="CY926" s="15"/>
      <c r="CZ926" s="15"/>
      <c r="DA926" s="15"/>
      <c r="DB926" s="15"/>
      <c r="DC926" s="15"/>
      <c r="DD926" s="15"/>
      <c r="DE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61"/>
      <c r="BK927" s="15"/>
      <c r="BL927" s="15"/>
      <c r="BM927" s="15"/>
      <c r="BN927" s="15"/>
      <c r="BO927" s="15"/>
      <c r="BP927" s="15"/>
      <c r="BQ927" s="15"/>
      <c r="BR927" s="15"/>
      <c r="BS927" s="15"/>
      <c r="BT927" s="15"/>
      <c r="BU927" s="15"/>
      <c r="BV927" s="15"/>
      <c r="BW927" s="15"/>
      <c r="BX927" s="15"/>
      <c r="BY927" s="15"/>
      <c r="BZ927" s="15"/>
      <c r="CA927" s="15"/>
      <c r="CB927" s="15"/>
      <c r="CC927" s="15"/>
      <c r="CD927" s="15"/>
      <c r="CE927" s="15"/>
      <c r="CF927" s="15"/>
      <c r="CG927" s="15"/>
      <c r="CH927" s="15"/>
      <c r="CI927" s="15"/>
      <c r="CJ927" s="15"/>
      <c r="CK927" s="15"/>
      <c r="CL927" s="15"/>
      <c r="CM927" s="15"/>
      <c r="CN927" s="15"/>
      <c r="CO927" s="15"/>
      <c r="CP927" s="15"/>
      <c r="CQ927" s="15"/>
      <c r="CR927" s="15"/>
      <c r="CS927" s="73"/>
      <c r="CT927" s="15"/>
      <c r="CU927" s="15"/>
      <c r="CV927" s="15"/>
      <c r="CW927" s="15"/>
      <c r="CX927" s="15"/>
      <c r="CY927" s="15"/>
      <c r="CZ927" s="15"/>
      <c r="DA927" s="15"/>
      <c r="DB927" s="15"/>
      <c r="DC927" s="15"/>
      <c r="DD927" s="15"/>
      <c r="DE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61"/>
      <c r="BK928" s="15"/>
      <c r="BL928" s="15"/>
      <c r="BM928" s="15"/>
      <c r="BN928" s="15"/>
      <c r="BO928" s="15"/>
      <c r="BP928" s="15"/>
      <c r="BQ928" s="15"/>
      <c r="BR928" s="15"/>
      <c r="BS928" s="15"/>
      <c r="BT928" s="15"/>
      <c r="BU928" s="15"/>
      <c r="BV928" s="15"/>
      <c r="BW928" s="15"/>
      <c r="BX928" s="15"/>
      <c r="BY928" s="15"/>
      <c r="BZ928" s="15"/>
      <c r="CA928" s="15"/>
      <c r="CB928" s="15"/>
      <c r="CC928" s="15"/>
      <c r="CD928" s="15"/>
      <c r="CE928" s="15"/>
      <c r="CF928" s="15"/>
      <c r="CG928" s="15"/>
      <c r="CH928" s="15"/>
      <c r="CI928" s="15"/>
      <c r="CJ928" s="15"/>
      <c r="CK928" s="15"/>
      <c r="CL928" s="15"/>
      <c r="CM928" s="15"/>
      <c r="CN928" s="15"/>
      <c r="CO928" s="15"/>
      <c r="CP928" s="15"/>
      <c r="CQ928" s="15"/>
      <c r="CR928" s="15"/>
      <c r="CS928" s="73"/>
      <c r="CT928" s="15"/>
      <c r="CU928" s="15"/>
      <c r="CV928" s="15"/>
      <c r="CW928" s="15"/>
      <c r="CX928" s="15"/>
      <c r="CY928" s="15"/>
      <c r="CZ928" s="15"/>
      <c r="DA928" s="15"/>
      <c r="DB928" s="15"/>
      <c r="DC928" s="15"/>
      <c r="DD928" s="15"/>
      <c r="DE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61"/>
      <c r="BK929" s="15"/>
      <c r="BL929" s="15"/>
      <c r="BM929" s="15"/>
      <c r="BN929" s="15"/>
      <c r="BO929" s="15"/>
      <c r="BP929" s="15"/>
      <c r="BQ929" s="15"/>
      <c r="BR929" s="15"/>
      <c r="BS929" s="15"/>
      <c r="BT929" s="15"/>
      <c r="BU929" s="15"/>
      <c r="BV929" s="15"/>
      <c r="BW929" s="15"/>
      <c r="BX929" s="15"/>
      <c r="BY929" s="15"/>
      <c r="BZ929" s="15"/>
      <c r="CA929" s="15"/>
      <c r="CB929" s="15"/>
      <c r="CC929" s="15"/>
      <c r="CD929" s="15"/>
      <c r="CE929" s="15"/>
      <c r="CF929" s="15"/>
      <c r="CG929" s="15"/>
      <c r="CH929" s="15"/>
      <c r="CI929" s="15"/>
      <c r="CJ929" s="15"/>
      <c r="CK929" s="15"/>
      <c r="CL929" s="15"/>
      <c r="CM929" s="15"/>
      <c r="CN929" s="15"/>
      <c r="CO929" s="15"/>
      <c r="CP929" s="15"/>
      <c r="CQ929" s="15"/>
      <c r="CR929" s="15"/>
      <c r="CS929" s="73"/>
      <c r="CT929" s="15"/>
      <c r="CU929" s="15"/>
      <c r="CV929" s="15"/>
      <c r="CW929" s="15"/>
      <c r="CX929" s="15"/>
      <c r="CY929" s="15"/>
      <c r="CZ929" s="15"/>
      <c r="DA929" s="15"/>
      <c r="DB929" s="15"/>
      <c r="DC929" s="15"/>
      <c r="DD929" s="15"/>
      <c r="DE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61"/>
      <c r="BK930" s="15"/>
      <c r="BL930" s="15"/>
      <c r="BM930" s="15"/>
      <c r="BN930" s="15"/>
      <c r="BO930" s="15"/>
      <c r="BP930" s="15"/>
      <c r="BQ930" s="15"/>
      <c r="BR930" s="15"/>
      <c r="BS930" s="15"/>
      <c r="BT930" s="15"/>
      <c r="BU930" s="15"/>
      <c r="BV930" s="15"/>
      <c r="BW930" s="15"/>
      <c r="BX930" s="15"/>
      <c r="BY930" s="15"/>
      <c r="BZ930" s="15"/>
      <c r="CA930" s="15"/>
      <c r="CB930" s="15"/>
      <c r="CC930" s="15"/>
      <c r="CD930" s="15"/>
      <c r="CE930" s="15"/>
      <c r="CF930" s="15"/>
      <c r="CG930" s="15"/>
      <c r="CH930" s="15"/>
      <c r="CI930" s="15"/>
      <c r="CJ930" s="15"/>
      <c r="CK930" s="15"/>
      <c r="CL930" s="15"/>
      <c r="CM930" s="15"/>
      <c r="CN930" s="15"/>
      <c r="CO930" s="15"/>
      <c r="CP930" s="15"/>
      <c r="CQ930" s="15"/>
      <c r="CR930" s="15"/>
      <c r="CS930" s="73"/>
      <c r="CT930" s="15"/>
      <c r="CU930" s="15"/>
      <c r="CV930" s="15"/>
      <c r="CW930" s="15"/>
      <c r="CX930" s="15"/>
      <c r="CY930" s="15"/>
      <c r="CZ930" s="15"/>
      <c r="DA930" s="15"/>
      <c r="DB930" s="15"/>
      <c r="DC930" s="15"/>
      <c r="DD930" s="15"/>
      <c r="DE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61"/>
      <c r="BK931" s="15"/>
      <c r="BL931" s="15"/>
      <c r="BM931" s="15"/>
      <c r="BN931" s="15"/>
      <c r="BO931" s="15"/>
      <c r="BP931" s="15"/>
      <c r="BQ931" s="15"/>
      <c r="BR931" s="15"/>
      <c r="BS931" s="15"/>
      <c r="BT931" s="15"/>
      <c r="BU931" s="15"/>
      <c r="BV931" s="15"/>
      <c r="BW931" s="15"/>
      <c r="BX931" s="15"/>
      <c r="BY931" s="15"/>
      <c r="BZ931" s="15"/>
      <c r="CA931" s="15"/>
      <c r="CB931" s="15"/>
      <c r="CC931" s="15"/>
      <c r="CD931" s="15"/>
      <c r="CE931" s="15"/>
      <c r="CF931" s="15"/>
      <c r="CG931" s="15"/>
      <c r="CH931" s="15"/>
      <c r="CI931" s="15"/>
      <c r="CJ931" s="15"/>
      <c r="CK931" s="15"/>
      <c r="CL931" s="15"/>
      <c r="CM931" s="15"/>
      <c r="CN931" s="15"/>
      <c r="CO931" s="15"/>
      <c r="CP931" s="15"/>
      <c r="CQ931" s="15"/>
      <c r="CR931" s="15"/>
      <c r="CS931" s="73"/>
      <c r="CT931" s="15"/>
      <c r="CU931" s="15"/>
      <c r="CV931" s="15"/>
      <c r="CW931" s="15"/>
      <c r="CX931" s="15"/>
      <c r="CY931" s="15"/>
      <c r="CZ931" s="15"/>
      <c r="DA931" s="15"/>
      <c r="DB931" s="15"/>
      <c r="DC931" s="15"/>
      <c r="DD931" s="15"/>
      <c r="DE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61"/>
      <c r="BK932" s="15"/>
      <c r="BL932" s="15"/>
      <c r="BM932" s="15"/>
      <c r="BN932" s="15"/>
      <c r="BO932" s="15"/>
      <c r="BP932" s="15"/>
      <c r="BQ932" s="15"/>
      <c r="BR932" s="15"/>
      <c r="BS932" s="15"/>
      <c r="BT932" s="15"/>
      <c r="BU932" s="15"/>
      <c r="BV932" s="15"/>
      <c r="BW932" s="15"/>
      <c r="BX932" s="15"/>
      <c r="BY932" s="15"/>
      <c r="BZ932" s="15"/>
      <c r="CA932" s="15"/>
      <c r="CB932" s="15"/>
      <c r="CC932" s="15"/>
      <c r="CD932" s="15"/>
      <c r="CE932" s="15"/>
      <c r="CF932" s="15"/>
      <c r="CG932" s="15"/>
      <c r="CH932" s="15"/>
      <c r="CI932" s="15"/>
      <c r="CJ932" s="15"/>
      <c r="CK932" s="15"/>
      <c r="CL932" s="15"/>
      <c r="CM932" s="15"/>
      <c r="CN932" s="15"/>
      <c r="CO932" s="15"/>
      <c r="CP932" s="15"/>
      <c r="CQ932" s="15"/>
      <c r="CR932" s="15"/>
      <c r="CS932" s="73"/>
      <c r="CT932" s="15"/>
      <c r="CU932" s="15"/>
      <c r="CV932" s="15"/>
      <c r="CW932" s="15"/>
      <c r="CX932" s="15"/>
      <c r="CY932" s="15"/>
      <c r="CZ932" s="15"/>
      <c r="DA932" s="15"/>
      <c r="DB932" s="15"/>
      <c r="DC932" s="15"/>
      <c r="DD932" s="15"/>
      <c r="DE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61"/>
      <c r="BK933" s="15"/>
      <c r="BL933" s="15"/>
      <c r="BM933" s="15"/>
      <c r="BN933" s="15"/>
      <c r="BO933" s="15"/>
      <c r="BP933" s="15"/>
      <c r="BQ933" s="15"/>
      <c r="BR933" s="15"/>
      <c r="BS933" s="15"/>
      <c r="BT933" s="15"/>
      <c r="BU933" s="15"/>
      <c r="BV933" s="15"/>
      <c r="BW933" s="15"/>
      <c r="BX933" s="15"/>
      <c r="BY933" s="15"/>
      <c r="BZ933" s="15"/>
      <c r="CA933" s="15"/>
      <c r="CB933" s="15"/>
      <c r="CC933" s="15"/>
      <c r="CD933" s="15"/>
      <c r="CE933" s="15"/>
      <c r="CF933" s="15"/>
      <c r="CG933" s="15"/>
      <c r="CH933" s="15"/>
      <c r="CI933" s="15"/>
      <c r="CJ933" s="15"/>
      <c r="CK933" s="15"/>
      <c r="CL933" s="15"/>
      <c r="CM933" s="15"/>
      <c r="CN933" s="15"/>
      <c r="CO933" s="15"/>
      <c r="CP933" s="15"/>
      <c r="CQ933" s="15"/>
      <c r="CR933" s="15"/>
      <c r="CS933" s="73"/>
      <c r="CT933" s="15"/>
      <c r="CU933" s="15"/>
      <c r="CV933" s="15"/>
      <c r="CW933" s="15"/>
      <c r="CX933" s="15"/>
      <c r="CY933" s="15"/>
      <c r="CZ933" s="15"/>
      <c r="DA933" s="15"/>
      <c r="DB933" s="15"/>
      <c r="DC933" s="15"/>
      <c r="DD933" s="15"/>
      <c r="DE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61"/>
      <c r="BK934" s="15"/>
      <c r="BL934" s="15"/>
      <c r="BM934" s="15"/>
      <c r="BN934" s="15"/>
      <c r="BO934" s="15"/>
      <c r="BP934" s="15"/>
      <c r="BQ934" s="15"/>
      <c r="BR934" s="15"/>
      <c r="BS934" s="15"/>
      <c r="BT934" s="15"/>
      <c r="BU934" s="15"/>
      <c r="BV934" s="15"/>
      <c r="BW934" s="15"/>
      <c r="BX934" s="15"/>
      <c r="BY934" s="15"/>
      <c r="BZ934" s="15"/>
      <c r="CA934" s="15"/>
      <c r="CB934" s="15"/>
      <c r="CC934" s="15"/>
      <c r="CD934" s="15"/>
      <c r="CE934" s="15"/>
      <c r="CF934" s="15"/>
      <c r="CG934" s="15"/>
      <c r="CH934" s="15"/>
      <c r="CI934" s="15"/>
      <c r="CJ934" s="15"/>
      <c r="CK934" s="15"/>
      <c r="CL934" s="15"/>
      <c r="CM934" s="15"/>
      <c r="CN934" s="15"/>
      <c r="CO934" s="15"/>
      <c r="CP934" s="15"/>
      <c r="CQ934" s="15"/>
      <c r="CR934" s="15"/>
      <c r="CS934" s="73"/>
      <c r="CT934" s="15"/>
      <c r="CU934" s="15"/>
      <c r="CV934" s="15"/>
      <c r="CW934" s="15"/>
      <c r="CX934" s="15"/>
      <c r="CY934" s="15"/>
      <c r="CZ934" s="15"/>
      <c r="DA934" s="15"/>
      <c r="DB934" s="15"/>
      <c r="DC934" s="15"/>
      <c r="DD934" s="15"/>
      <c r="DE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61"/>
      <c r="BK935" s="15"/>
      <c r="BL935" s="15"/>
      <c r="BM935" s="15"/>
      <c r="BN935" s="15"/>
      <c r="BO935" s="15"/>
      <c r="BP935" s="15"/>
      <c r="BQ935" s="15"/>
      <c r="BR935" s="15"/>
      <c r="BS935" s="15"/>
      <c r="BT935" s="15"/>
      <c r="BU935" s="15"/>
      <c r="BV935" s="15"/>
      <c r="BW935" s="15"/>
      <c r="BX935" s="15"/>
      <c r="BY935" s="15"/>
      <c r="BZ935" s="15"/>
      <c r="CA935" s="15"/>
      <c r="CB935" s="15"/>
      <c r="CC935" s="15"/>
      <c r="CD935" s="15"/>
      <c r="CE935" s="15"/>
      <c r="CF935" s="15"/>
      <c r="CG935" s="15"/>
      <c r="CH935" s="15"/>
      <c r="CI935" s="15"/>
      <c r="CJ935" s="15"/>
      <c r="CK935" s="15"/>
      <c r="CL935" s="15"/>
      <c r="CM935" s="15"/>
      <c r="CN935" s="15"/>
      <c r="CO935" s="15"/>
      <c r="CP935" s="15"/>
      <c r="CQ935" s="15"/>
      <c r="CR935" s="15"/>
      <c r="CS935" s="73"/>
      <c r="CT935" s="15"/>
      <c r="CU935" s="15"/>
      <c r="CV935" s="15"/>
      <c r="CW935" s="15"/>
      <c r="CX935" s="15"/>
      <c r="CY935" s="15"/>
      <c r="CZ935" s="15"/>
      <c r="DA935" s="15"/>
      <c r="DB935" s="15"/>
      <c r="DC935" s="15"/>
      <c r="DD935" s="15"/>
      <c r="DE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61"/>
      <c r="BK936" s="15"/>
      <c r="BL936" s="15"/>
      <c r="BM936" s="15"/>
      <c r="BN936" s="15"/>
      <c r="BO936" s="15"/>
      <c r="BP936" s="15"/>
      <c r="BQ936" s="15"/>
      <c r="BR936" s="15"/>
      <c r="BS936" s="15"/>
      <c r="BT936" s="15"/>
      <c r="BU936" s="15"/>
      <c r="BV936" s="15"/>
      <c r="BW936" s="15"/>
      <c r="BX936" s="15"/>
      <c r="BY936" s="15"/>
      <c r="BZ936" s="15"/>
      <c r="CA936" s="15"/>
      <c r="CB936" s="15"/>
      <c r="CC936" s="15"/>
      <c r="CD936" s="15"/>
      <c r="CE936" s="15"/>
      <c r="CF936" s="15"/>
      <c r="CG936" s="15"/>
      <c r="CH936" s="15"/>
      <c r="CI936" s="15"/>
      <c r="CJ936" s="15"/>
      <c r="CK936" s="15"/>
      <c r="CL936" s="15"/>
      <c r="CM936" s="15"/>
      <c r="CN936" s="15"/>
      <c r="CO936" s="15"/>
      <c r="CP936" s="15"/>
      <c r="CQ936" s="15"/>
      <c r="CR936" s="15"/>
      <c r="CS936" s="73"/>
      <c r="CT936" s="15"/>
      <c r="CU936" s="15"/>
      <c r="CV936" s="15"/>
      <c r="CW936" s="15"/>
      <c r="CX936" s="15"/>
      <c r="CY936" s="15"/>
      <c r="CZ936" s="15"/>
      <c r="DA936" s="15"/>
      <c r="DB936" s="15"/>
      <c r="DC936" s="15"/>
      <c r="DD936" s="15"/>
      <c r="DE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61"/>
      <c r="BK937" s="15"/>
      <c r="BL937" s="15"/>
      <c r="BM937" s="15"/>
      <c r="BN937" s="15"/>
      <c r="BO937" s="15"/>
      <c r="BP937" s="15"/>
      <c r="BQ937" s="15"/>
      <c r="BR937" s="15"/>
      <c r="BS937" s="15"/>
      <c r="BT937" s="15"/>
      <c r="BU937" s="15"/>
      <c r="BV937" s="15"/>
      <c r="BW937" s="15"/>
      <c r="BX937" s="15"/>
      <c r="BY937" s="15"/>
      <c r="BZ937" s="15"/>
      <c r="CA937" s="15"/>
      <c r="CB937" s="15"/>
      <c r="CC937" s="15"/>
      <c r="CD937" s="15"/>
      <c r="CE937" s="15"/>
      <c r="CF937" s="15"/>
      <c r="CG937" s="15"/>
      <c r="CH937" s="15"/>
      <c r="CI937" s="15"/>
      <c r="CJ937" s="15"/>
      <c r="CK937" s="15"/>
      <c r="CL937" s="15"/>
      <c r="CM937" s="15"/>
      <c r="CN937" s="15"/>
      <c r="CO937" s="15"/>
      <c r="CP937" s="15"/>
      <c r="CQ937" s="15"/>
      <c r="CR937" s="15"/>
      <c r="CS937" s="73"/>
      <c r="CT937" s="15"/>
      <c r="CU937" s="15"/>
      <c r="CV937" s="15"/>
      <c r="CW937" s="15"/>
      <c r="CX937" s="15"/>
      <c r="CY937" s="15"/>
      <c r="CZ937" s="15"/>
      <c r="DA937" s="15"/>
      <c r="DB937" s="15"/>
      <c r="DC937" s="15"/>
      <c r="DD937" s="15"/>
      <c r="DE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61"/>
      <c r="BK938" s="15"/>
      <c r="BL938" s="15"/>
      <c r="BM938" s="15"/>
      <c r="BN938" s="15"/>
      <c r="BO938" s="15"/>
      <c r="BP938" s="15"/>
      <c r="BQ938" s="15"/>
      <c r="BR938" s="15"/>
      <c r="BS938" s="15"/>
      <c r="BT938" s="15"/>
      <c r="BU938" s="15"/>
      <c r="BV938" s="15"/>
      <c r="BW938" s="15"/>
      <c r="BX938" s="15"/>
      <c r="BY938" s="15"/>
      <c r="BZ938" s="15"/>
      <c r="CA938" s="15"/>
      <c r="CB938" s="15"/>
      <c r="CC938" s="15"/>
      <c r="CD938" s="15"/>
      <c r="CE938" s="15"/>
      <c r="CF938" s="15"/>
      <c r="CG938" s="15"/>
      <c r="CH938" s="15"/>
      <c r="CI938" s="15"/>
      <c r="CJ938" s="15"/>
      <c r="CK938" s="15"/>
      <c r="CL938" s="15"/>
      <c r="CM938" s="15"/>
      <c r="CN938" s="15"/>
      <c r="CO938" s="15"/>
      <c r="CP938" s="15"/>
      <c r="CQ938" s="15"/>
      <c r="CR938" s="15"/>
      <c r="CS938" s="73"/>
      <c r="CT938" s="15"/>
      <c r="CU938" s="15"/>
      <c r="CV938" s="15"/>
      <c r="CW938" s="15"/>
      <c r="CX938" s="15"/>
      <c r="CY938" s="15"/>
      <c r="CZ938" s="15"/>
      <c r="DA938" s="15"/>
      <c r="DB938" s="15"/>
      <c r="DC938" s="15"/>
      <c r="DD938" s="15"/>
      <c r="DE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61"/>
      <c r="BK939" s="15"/>
      <c r="BL939" s="15"/>
      <c r="BM939" s="15"/>
      <c r="BN939" s="15"/>
      <c r="BO939" s="15"/>
      <c r="BP939" s="15"/>
      <c r="BQ939" s="15"/>
      <c r="BR939" s="15"/>
      <c r="BS939" s="15"/>
      <c r="BT939" s="15"/>
      <c r="BU939" s="15"/>
      <c r="BV939" s="15"/>
      <c r="BW939" s="15"/>
      <c r="BX939" s="15"/>
      <c r="BY939" s="15"/>
      <c r="BZ939" s="15"/>
      <c r="CA939" s="15"/>
      <c r="CB939" s="15"/>
      <c r="CC939" s="15"/>
      <c r="CD939" s="15"/>
      <c r="CE939" s="15"/>
      <c r="CF939" s="15"/>
      <c r="CG939" s="15"/>
      <c r="CH939" s="15"/>
      <c r="CI939" s="15"/>
      <c r="CJ939" s="15"/>
      <c r="CK939" s="15"/>
      <c r="CL939" s="15"/>
      <c r="CM939" s="15"/>
      <c r="CN939" s="15"/>
      <c r="CO939" s="15"/>
      <c r="CP939" s="15"/>
      <c r="CQ939" s="15"/>
      <c r="CR939" s="15"/>
      <c r="CS939" s="73"/>
      <c r="CT939" s="15"/>
      <c r="CU939" s="15"/>
      <c r="CV939" s="15"/>
      <c r="CW939" s="15"/>
      <c r="CX939" s="15"/>
      <c r="CY939" s="15"/>
      <c r="CZ939" s="15"/>
      <c r="DA939" s="15"/>
      <c r="DB939" s="15"/>
      <c r="DC939" s="15"/>
      <c r="DD939" s="15"/>
      <c r="DE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61"/>
      <c r="BK940" s="15"/>
      <c r="BL940" s="15"/>
      <c r="BM940" s="15"/>
      <c r="BN940" s="15"/>
      <c r="BO940" s="15"/>
      <c r="BP940" s="15"/>
      <c r="BQ940" s="15"/>
      <c r="BR940" s="15"/>
      <c r="BS940" s="15"/>
      <c r="BT940" s="15"/>
      <c r="BU940" s="15"/>
      <c r="BV940" s="15"/>
      <c r="BW940" s="15"/>
      <c r="BX940" s="15"/>
      <c r="BY940" s="15"/>
      <c r="BZ940" s="15"/>
      <c r="CA940" s="15"/>
      <c r="CB940" s="15"/>
      <c r="CC940" s="15"/>
      <c r="CD940" s="15"/>
      <c r="CE940" s="15"/>
      <c r="CF940" s="15"/>
      <c r="CG940" s="15"/>
      <c r="CH940" s="15"/>
      <c r="CI940" s="15"/>
      <c r="CJ940" s="15"/>
      <c r="CK940" s="15"/>
      <c r="CL940" s="15"/>
      <c r="CM940" s="15"/>
      <c r="CN940" s="15"/>
      <c r="CO940" s="15"/>
      <c r="CP940" s="15"/>
      <c r="CQ940" s="15"/>
      <c r="CR940" s="15"/>
      <c r="CS940" s="73"/>
      <c r="CT940" s="15"/>
      <c r="CU940" s="15"/>
      <c r="CV940" s="15"/>
      <c r="CW940" s="15"/>
      <c r="CX940" s="15"/>
      <c r="CY940" s="15"/>
      <c r="CZ940" s="15"/>
      <c r="DA940" s="15"/>
      <c r="DB940" s="15"/>
      <c r="DC940" s="15"/>
      <c r="DD940" s="15"/>
      <c r="DE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61"/>
      <c r="BK941" s="15"/>
      <c r="BL941" s="15"/>
      <c r="BM941" s="15"/>
      <c r="BN941" s="15"/>
      <c r="BO941" s="15"/>
      <c r="BP941" s="15"/>
      <c r="BQ941" s="15"/>
      <c r="BR941" s="15"/>
      <c r="BS941" s="15"/>
      <c r="BT941" s="15"/>
      <c r="BU941" s="15"/>
      <c r="BV941" s="15"/>
      <c r="BW941" s="15"/>
      <c r="BX941" s="15"/>
      <c r="BY941" s="15"/>
      <c r="BZ941" s="15"/>
      <c r="CA941" s="15"/>
      <c r="CB941" s="15"/>
      <c r="CC941" s="15"/>
      <c r="CD941" s="15"/>
      <c r="CE941" s="15"/>
      <c r="CF941" s="15"/>
      <c r="CG941" s="15"/>
      <c r="CH941" s="15"/>
      <c r="CI941" s="15"/>
      <c r="CJ941" s="15"/>
      <c r="CK941" s="15"/>
      <c r="CL941" s="15"/>
      <c r="CM941" s="15"/>
      <c r="CN941" s="15"/>
      <c r="CO941" s="15"/>
      <c r="CP941" s="15"/>
      <c r="CQ941" s="15"/>
      <c r="CR941" s="15"/>
      <c r="CS941" s="73"/>
      <c r="CT941" s="15"/>
      <c r="CU941" s="15"/>
      <c r="CV941" s="15"/>
      <c r="CW941" s="15"/>
      <c r="CX941" s="15"/>
      <c r="CY941" s="15"/>
      <c r="CZ941" s="15"/>
      <c r="DA941" s="15"/>
      <c r="DB941" s="15"/>
      <c r="DC941" s="15"/>
      <c r="DD941" s="15"/>
      <c r="DE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61"/>
      <c r="BK942" s="15"/>
      <c r="BL942" s="15"/>
      <c r="BM942" s="15"/>
      <c r="BN942" s="15"/>
      <c r="BO942" s="15"/>
      <c r="BP942" s="15"/>
      <c r="BQ942" s="15"/>
      <c r="BR942" s="15"/>
      <c r="BS942" s="15"/>
      <c r="BT942" s="15"/>
      <c r="BU942" s="15"/>
      <c r="BV942" s="15"/>
      <c r="BW942" s="15"/>
      <c r="BX942" s="15"/>
      <c r="BY942" s="15"/>
      <c r="BZ942" s="15"/>
      <c r="CA942" s="15"/>
      <c r="CB942" s="15"/>
      <c r="CC942" s="15"/>
      <c r="CD942" s="15"/>
      <c r="CE942" s="15"/>
      <c r="CF942" s="15"/>
      <c r="CG942" s="15"/>
      <c r="CH942" s="15"/>
      <c r="CI942" s="15"/>
      <c r="CJ942" s="15"/>
      <c r="CK942" s="15"/>
      <c r="CL942" s="15"/>
      <c r="CM942" s="15"/>
      <c r="CN942" s="15"/>
      <c r="CO942" s="15"/>
      <c r="CP942" s="15"/>
      <c r="CQ942" s="15"/>
      <c r="CR942" s="15"/>
      <c r="CS942" s="73"/>
      <c r="CT942" s="15"/>
      <c r="CU942" s="15"/>
      <c r="CV942" s="15"/>
      <c r="CW942" s="15"/>
      <c r="CX942" s="15"/>
      <c r="CY942" s="15"/>
      <c r="CZ942" s="15"/>
      <c r="DA942" s="15"/>
      <c r="DB942" s="15"/>
      <c r="DC942" s="15"/>
      <c r="DD942" s="15"/>
      <c r="DE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61"/>
      <c r="BK943" s="15"/>
      <c r="BL943" s="15"/>
      <c r="BM943" s="15"/>
      <c r="BN943" s="15"/>
      <c r="BO943" s="15"/>
      <c r="BP943" s="15"/>
      <c r="BQ943" s="15"/>
      <c r="BR943" s="15"/>
      <c r="BS943" s="15"/>
      <c r="BT943" s="15"/>
      <c r="BU943" s="15"/>
      <c r="BV943" s="15"/>
      <c r="BW943" s="15"/>
      <c r="BX943" s="15"/>
      <c r="BY943" s="15"/>
      <c r="BZ943" s="15"/>
      <c r="CA943" s="15"/>
      <c r="CB943" s="15"/>
      <c r="CC943" s="15"/>
      <c r="CD943" s="15"/>
      <c r="CE943" s="15"/>
      <c r="CF943" s="15"/>
      <c r="CG943" s="15"/>
      <c r="CH943" s="15"/>
      <c r="CI943" s="15"/>
      <c r="CJ943" s="15"/>
      <c r="CK943" s="15"/>
      <c r="CL943" s="15"/>
      <c r="CM943" s="15"/>
      <c r="CN943" s="15"/>
      <c r="CO943" s="15"/>
      <c r="CP943" s="15"/>
      <c r="CQ943" s="15"/>
      <c r="CR943" s="15"/>
      <c r="CS943" s="73"/>
      <c r="CT943" s="15"/>
      <c r="CU943" s="15"/>
      <c r="CV943" s="15"/>
      <c r="CW943" s="15"/>
      <c r="CX943" s="15"/>
      <c r="CY943" s="15"/>
      <c r="CZ943" s="15"/>
      <c r="DA943" s="15"/>
      <c r="DB943" s="15"/>
      <c r="DC943" s="15"/>
      <c r="DD943" s="15"/>
      <c r="DE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61"/>
      <c r="BK944" s="15"/>
      <c r="BL944" s="15"/>
      <c r="BM944" s="15"/>
      <c r="BN944" s="15"/>
      <c r="BO944" s="15"/>
      <c r="BP944" s="15"/>
      <c r="BQ944" s="15"/>
      <c r="BR944" s="15"/>
      <c r="BS944" s="15"/>
      <c r="BT944" s="15"/>
      <c r="BU944" s="15"/>
      <c r="BV944" s="15"/>
      <c r="BW944" s="15"/>
      <c r="BX944" s="15"/>
      <c r="BY944" s="15"/>
      <c r="BZ944" s="15"/>
      <c r="CA944" s="15"/>
      <c r="CB944" s="15"/>
      <c r="CC944" s="15"/>
      <c r="CD944" s="15"/>
      <c r="CE944" s="15"/>
      <c r="CF944" s="15"/>
      <c r="CG944" s="15"/>
      <c r="CH944" s="15"/>
      <c r="CI944" s="15"/>
      <c r="CJ944" s="15"/>
      <c r="CK944" s="15"/>
      <c r="CL944" s="15"/>
      <c r="CM944" s="15"/>
      <c r="CN944" s="15"/>
      <c r="CO944" s="15"/>
      <c r="CP944" s="15"/>
      <c r="CQ944" s="15"/>
      <c r="CR944" s="15"/>
      <c r="CS944" s="73"/>
      <c r="CT944" s="15"/>
      <c r="CU944" s="15"/>
      <c r="CV944" s="15"/>
      <c r="CW944" s="15"/>
      <c r="CX944" s="15"/>
      <c r="CY944" s="15"/>
      <c r="CZ944" s="15"/>
      <c r="DA944" s="15"/>
      <c r="DB944" s="15"/>
      <c r="DC944" s="15"/>
      <c r="DD944" s="15"/>
      <c r="DE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61"/>
      <c r="BK945" s="15"/>
      <c r="BL945" s="15"/>
      <c r="BM945" s="15"/>
      <c r="BN945" s="15"/>
      <c r="BO945" s="15"/>
      <c r="BP945" s="15"/>
      <c r="BQ945" s="15"/>
      <c r="BR945" s="15"/>
      <c r="BS945" s="15"/>
      <c r="BT945" s="15"/>
      <c r="BU945" s="15"/>
      <c r="BV945" s="15"/>
      <c r="BW945" s="15"/>
      <c r="BX945" s="15"/>
      <c r="BY945" s="15"/>
      <c r="BZ945" s="15"/>
      <c r="CA945" s="15"/>
      <c r="CB945" s="15"/>
      <c r="CC945" s="15"/>
      <c r="CD945" s="15"/>
      <c r="CE945" s="15"/>
      <c r="CF945" s="15"/>
      <c r="CG945" s="15"/>
      <c r="CH945" s="15"/>
      <c r="CI945" s="15"/>
      <c r="CJ945" s="15"/>
      <c r="CK945" s="15"/>
      <c r="CL945" s="15"/>
      <c r="CM945" s="15"/>
      <c r="CN945" s="15"/>
      <c r="CO945" s="15"/>
      <c r="CP945" s="15"/>
      <c r="CQ945" s="15"/>
      <c r="CR945" s="15"/>
      <c r="CS945" s="73"/>
      <c r="CT945" s="15"/>
      <c r="CU945" s="15"/>
      <c r="CV945" s="15"/>
      <c r="CW945" s="15"/>
      <c r="CX945" s="15"/>
      <c r="CY945" s="15"/>
      <c r="CZ945" s="15"/>
      <c r="DA945" s="15"/>
      <c r="DB945" s="15"/>
      <c r="DC945" s="15"/>
      <c r="DD945" s="15"/>
      <c r="DE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61"/>
      <c r="BK946" s="15"/>
      <c r="BL946" s="15"/>
      <c r="BM946" s="15"/>
      <c r="BN946" s="15"/>
      <c r="BO946" s="15"/>
      <c r="BP946" s="15"/>
      <c r="BQ946" s="15"/>
      <c r="BR946" s="15"/>
      <c r="BS946" s="15"/>
      <c r="BT946" s="15"/>
      <c r="BU946" s="15"/>
      <c r="BV946" s="15"/>
      <c r="BW946" s="15"/>
      <c r="BX946" s="15"/>
      <c r="BY946" s="15"/>
      <c r="BZ946" s="15"/>
      <c r="CA946" s="15"/>
      <c r="CB946" s="15"/>
      <c r="CC946" s="15"/>
      <c r="CD946" s="15"/>
      <c r="CE946" s="15"/>
      <c r="CF946" s="15"/>
      <c r="CG946" s="15"/>
      <c r="CH946" s="15"/>
      <c r="CI946" s="15"/>
      <c r="CJ946" s="15"/>
      <c r="CK946" s="15"/>
      <c r="CL946" s="15"/>
      <c r="CM946" s="15"/>
      <c r="CN946" s="15"/>
      <c r="CO946" s="15"/>
      <c r="CP946" s="15"/>
      <c r="CQ946" s="15"/>
      <c r="CR946" s="15"/>
      <c r="CS946" s="73"/>
      <c r="CT946" s="15"/>
      <c r="CU946" s="15"/>
      <c r="CV946" s="15"/>
      <c r="CW946" s="15"/>
      <c r="CX946" s="15"/>
      <c r="CY946" s="15"/>
      <c r="CZ946" s="15"/>
      <c r="DA946" s="15"/>
      <c r="DB946" s="15"/>
      <c r="DC946" s="15"/>
      <c r="DD946" s="15"/>
      <c r="DE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61"/>
      <c r="BK947" s="15"/>
      <c r="BL947" s="15"/>
      <c r="BM947" s="15"/>
      <c r="BN947" s="15"/>
      <c r="BO947" s="15"/>
      <c r="BP947" s="15"/>
      <c r="BQ947" s="15"/>
      <c r="BR947" s="15"/>
      <c r="BS947" s="15"/>
      <c r="BT947" s="15"/>
      <c r="BU947" s="15"/>
      <c r="BV947" s="15"/>
      <c r="BW947" s="15"/>
      <c r="BX947" s="15"/>
      <c r="BY947" s="15"/>
      <c r="BZ947" s="15"/>
      <c r="CA947" s="15"/>
      <c r="CB947" s="15"/>
      <c r="CC947" s="15"/>
      <c r="CD947" s="15"/>
      <c r="CE947" s="15"/>
      <c r="CF947" s="15"/>
      <c r="CG947" s="15"/>
      <c r="CH947" s="15"/>
      <c r="CI947" s="15"/>
      <c r="CJ947" s="15"/>
      <c r="CK947" s="15"/>
      <c r="CL947" s="15"/>
      <c r="CM947" s="15"/>
      <c r="CN947" s="15"/>
      <c r="CO947" s="15"/>
      <c r="CP947" s="15"/>
      <c r="CQ947" s="15"/>
      <c r="CR947" s="15"/>
      <c r="CS947" s="73"/>
      <c r="CT947" s="15"/>
      <c r="CU947" s="15"/>
      <c r="CV947" s="15"/>
      <c r="CW947" s="15"/>
      <c r="CX947" s="15"/>
      <c r="CY947" s="15"/>
      <c r="CZ947" s="15"/>
      <c r="DA947" s="15"/>
      <c r="DB947" s="15"/>
      <c r="DC947" s="15"/>
      <c r="DD947" s="15"/>
      <c r="DE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61"/>
      <c r="BK948" s="15"/>
      <c r="BL948" s="15"/>
      <c r="BM948" s="15"/>
      <c r="BN948" s="15"/>
      <c r="BO948" s="15"/>
      <c r="BP948" s="15"/>
      <c r="BQ948" s="15"/>
      <c r="BR948" s="15"/>
      <c r="BS948" s="15"/>
      <c r="BT948" s="15"/>
      <c r="BU948" s="15"/>
      <c r="BV948" s="15"/>
      <c r="BW948" s="15"/>
      <c r="BX948" s="15"/>
      <c r="BY948" s="15"/>
      <c r="BZ948" s="15"/>
      <c r="CA948" s="15"/>
      <c r="CB948" s="15"/>
      <c r="CC948" s="15"/>
      <c r="CD948" s="15"/>
      <c r="CE948" s="15"/>
      <c r="CF948" s="15"/>
      <c r="CG948" s="15"/>
      <c r="CH948" s="15"/>
      <c r="CI948" s="15"/>
      <c r="CJ948" s="15"/>
      <c r="CK948" s="15"/>
      <c r="CL948" s="15"/>
      <c r="CM948" s="15"/>
      <c r="CN948" s="15"/>
      <c r="CO948" s="15"/>
      <c r="CP948" s="15"/>
      <c r="CQ948" s="15"/>
      <c r="CR948" s="15"/>
      <c r="CS948" s="73"/>
      <c r="CT948" s="15"/>
      <c r="CU948" s="15"/>
      <c r="CV948" s="15"/>
      <c r="CW948" s="15"/>
      <c r="CX948" s="15"/>
      <c r="CY948" s="15"/>
      <c r="CZ948" s="15"/>
      <c r="DA948" s="15"/>
      <c r="DB948" s="15"/>
      <c r="DC948" s="15"/>
      <c r="DD948" s="15"/>
      <c r="DE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61"/>
      <c r="BK949" s="15"/>
      <c r="BL949" s="15"/>
      <c r="BM949" s="15"/>
      <c r="BN949" s="15"/>
      <c r="BO949" s="15"/>
      <c r="BP949" s="15"/>
      <c r="BQ949" s="15"/>
      <c r="BR949" s="15"/>
      <c r="BS949" s="15"/>
      <c r="BT949" s="15"/>
      <c r="BU949" s="15"/>
      <c r="BV949" s="15"/>
      <c r="BW949" s="15"/>
      <c r="BX949" s="15"/>
      <c r="BY949" s="15"/>
      <c r="BZ949" s="15"/>
      <c r="CA949" s="15"/>
      <c r="CB949" s="15"/>
      <c r="CC949" s="15"/>
      <c r="CD949" s="15"/>
      <c r="CE949" s="15"/>
      <c r="CF949" s="15"/>
      <c r="CG949" s="15"/>
      <c r="CH949" s="15"/>
      <c r="CI949" s="15"/>
      <c r="CJ949" s="15"/>
      <c r="CK949" s="15"/>
      <c r="CL949" s="15"/>
      <c r="CM949" s="15"/>
      <c r="CN949" s="15"/>
      <c r="CO949" s="15"/>
      <c r="CP949" s="15"/>
      <c r="CQ949" s="15"/>
      <c r="CR949" s="15"/>
      <c r="CS949" s="73"/>
      <c r="CT949" s="15"/>
      <c r="CU949" s="15"/>
      <c r="CV949" s="15"/>
      <c r="CW949" s="15"/>
      <c r="CX949" s="15"/>
      <c r="CY949" s="15"/>
      <c r="CZ949" s="15"/>
      <c r="DA949" s="15"/>
      <c r="DB949" s="15"/>
      <c r="DC949" s="15"/>
      <c r="DD949" s="15"/>
      <c r="DE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61"/>
      <c r="BK950" s="15"/>
      <c r="BL950" s="15"/>
      <c r="BM950" s="15"/>
      <c r="BN950" s="15"/>
      <c r="BO950" s="15"/>
      <c r="BP950" s="15"/>
      <c r="BQ950" s="15"/>
      <c r="BR950" s="15"/>
      <c r="BS950" s="15"/>
      <c r="BT950" s="15"/>
      <c r="BU950" s="15"/>
      <c r="BV950" s="15"/>
      <c r="BW950" s="15"/>
      <c r="BX950" s="15"/>
      <c r="BY950" s="15"/>
      <c r="BZ950" s="15"/>
      <c r="CA950" s="15"/>
      <c r="CB950" s="15"/>
      <c r="CC950" s="15"/>
      <c r="CD950" s="15"/>
      <c r="CE950" s="15"/>
      <c r="CF950" s="15"/>
      <c r="CG950" s="15"/>
      <c r="CH950" s="15"/>
      <c r="CI950" s="15"/>
      <c r="CJ950" s="15"/>
      <c r="CK950" s="15"/>
      <c r="CL950" s="15"/>
      <c r="CM950" s="15"/>
      <c r="CN950" s="15"/>
      <c r="CO950" s="15"/>
      <c r="CP950" s="15"/>
      <c r="CQ950" s="15"/>
      <c r="CR950" s="15"/>
      <c r="CS950" s="73"/>
      <c r="CT950" s="15"/>
      <c r="CU950" s="15"/>
      <c r="CV950" s="15"/>
      <c r="CW950" s="15"/>
      <c r="CX950" s="15"/>
      <c r="CY950" s="15"/>
      <c r="CZ950" s="15"/>
      <c r="DA950" s="15"/>
      <c r="DB950" s="15"/>
      <c r="DC950" s="15"/>
      <c r="DD950" s="15"/>
      <c r="DE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61"/>
      <c r="BK951" s="15"/>
      <c r="BL951" s="15"/>
      <c r="BM951" s="15"/>
      <c r="BN951" s="15"/>
      <c r="BO951" s="15"/>
      <c r="BP951" s="15"/>
      <c r="BQ951" s="15"/>
      <c r="BR951" s="15"/>
      <c r="BS951" s="15"/>
      <c r="BT951" s="15"/>
      <c r="BU951" s="15"/>
      <c r="BV951" s="15"/>
      <c r="BW951" s="15"/>
      <c r="BX951" s="15"/>
      <c r="BY951" s="15"/>
      <c r="BZ951" s="15"/>
      <c r="CA951" s="15"/>
      <c r="CB951" s="15"/>
      <c r="CC951" s="15"/>
      <c r="CD951" s="15"/>
      <c r="CE951" s="15"/>
      <c r="CF951" s="15"/>
      <c r="CG951" s="15"/>
      <c r="CH951" s="15"/>
      <c r="CI951" s="15"/>
      <c r="CJ951" s="15"/>
      <c r="CK951" s="15"/>
      <c r="CL951" s="15"/>
      <c r="CM951" s="15"/>
      <c r="CN951" s="15"/>
      <c r="CO951" s="15"/>
      <c r="CP951" s="15"/>
      <c r="CQ951" s="15"/>
      <c r="CR951" s="15"/>
      <c r="CS951" s="73"/>
      <c r="CT951" s="15"/>
      <c r="CU951" s="15"/>
      <c r="CV951" s="15"/>
      <c r="CW951" s="15"/>
      <c r="CX951" s="15"/>
      <c r="CY951" s="15"/>
      <c r="CZ951" s="15"/>
      <c r="DA951" s="15"/>
      <c r="DB951" s="15"/>
      <c r="DC951" s="15"/>
      <c r="DD951" s="15"/>
      <c r="DE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61"/>
      <c r="BK952" s="15"/>
      <c r="BL952" s="15"/>
      <c r="BM952" s="15"/>
      <c r="BN952" s="15"/>
      <c r="BO952" s="15"/>
      <c r="BP952" s="15"/>
      <c r="BQ952" s="15"/>
      <c r="BR952" s="15"/>
      <c r="BS952" s="15"/>
      <c r="BT952" s="15"/>
      <c r="BU952" s="15"/>
      <c r="BV952" s="15"/>
      <c r="BW952" s="15"/>
      <c r="BX952" s="15"/>
      <c r="BY952" s="15"/>
      <c r="BZ952" s="15"/>
      <c r="CA952" s="15"/>
      <c r="CB952" s="15"/>
      <c r="CC952" s="15"/>
      <c r="CD952" s="15"/>
      <c r="CE952" s="15"/>
      <c r="CF952" s="15"/>
      <c r="CG952" s="15"/>
      <c r="CH952" s="15"/>
      <c r="CI952" s="15"/>
      <c r="CJ952" s="15"/>
      <c r="CK952" s="15"/>
      <c r="CL952" s="15"/>
      <c r="CM952" s="15"/>
      <c r="CN952" s="15"/>
      <c r="CO952" s="15"/>
      <c r="CP952" s="15"/>
      <c r="CQ952" s="15"/>
      <c r="CR952" s="15"/>
      <c r="CS952" s="73"/>
      <c r="CT952" s="15"/>
      <c r="CU952" s="15"/>
      <c r="CV952" s="15"/>
      <c r="CW952" s="15"/>
      <c r="CX952" s="15"/>
      <c r="CY952" s="15"/>
      <c r="CZ952" s="15"/>
      <c r="DA952" s="15"/>
      <c r="DB952" s="15"/>
      <c r="DC952" s="15"/>
      <c r="DD952" s="15"/>
      <c r="DE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61"/>
      <c r="BK953" s="15"/>
      <c r="BL953" s="15"/>
      <c r="BM953" s="15"/>
      <c r="BN953" s="15"/>
      <c r="BO953" s="15"/>
      <c r="BP953" s="15"/>
      <c r="BQ953" s="15"/>
      <c r="BR953" s="15"/>
      <c r="BS953" s="15"/>
      <c r="BT953" s="15"/>
      <c r="BU953" s="15"/>
      <c r="BV953" s="15"/>
      <c r="BW953" s="15"/>
      <c r="BX953" s="15"/>
      <c r="BY953" s="15"/>
      <c r="BZ953" s="15"/>
      <c r="CA953" s="15"/>
      <c r="CB953" s="15"/>
      <c r="CC953" s="15"/>
      <c r="CD953" s="15"/>
      <c r="CE953" s="15"/>
      <c r="CF953" s="15"/>
      <c r="CG953" s="15"/>
      <c r="CH953" s="15"/>
      <c r="CI953" s="15"/>
      <c r="CJ953" s="15"/>
      <c r="CK953" s="15"/>
      <c r="CL953" s="15"/>
      <c r="CM953" s="15"/>
      <c r="CN953" s="15"/>
      <c r="CO953" s="15"/>
      <c r="CP953" s="15"/>
      <c r="CQ953" s="15"/>
      <c r="CR953" s="15"/>
      <c r="CS953" s="73"/>
      <c r="CT953" s="15"/>
      <c r="CU953" s="15"/>
      <c r="CV953" s="15"/>
      <c r="CW953" s="15"/>
      <c r="CX953" s="15"/>
      <c r="CY953" s="15"/>
      <c r="CZ953" s="15"/>
      <c r="DA953" s="15"/>
      <c r="DB953" s="15"/>
      <c r="DC953" s="15"/>
      <c r="DD953" s="15"/>
      <c r="DE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61"/>
      <c r="BK954" s="15"/>
      <c r="BL954" s="15"/>
      <c r="BM954" s="15"/>
      <c r="BN954" s="15"/>
      <c r="BO954" s="15"/>
      <c r="BP954" s="15"/>
      <c r="BQ954" s="15"/>
      <c r="BR954" s="15"/>
      <c r="BS954" s="15"/>
      <c r="BT954" s="15"/>
      <c r="BU954" s="15"/>
      <c r="BV954" s="15"/>
      <c r="BW954" s="15"/>
      <c r="BX954" s="15"/>
      <c r="BY954" s="15"/>
      <c r="BZ954" s="15"/>
      <c r="CA954" s="15"/>
      <c r="CB954" s="15"/>
      <c r="CC954" s="15"/>
      <c r="CD954" s="15"/>
      <c r="CE954" s="15"/>
      <c r="CF954" s="15"/>
      <c r="CG954" s="15"/>
      <c r="CH954" s="15"/>
      <c r="CI954" s="15"/>
      <c r="CJ954" s="15"/>
      <c r="CK954" s="15"/>
      <c r="CL954" s="15"/>
      <c r="CM954" s="15"/>
      <c r="CN954" s="15"/>
      <c r="CO954" s="15"/>
      <c r="CP954" s="15"/>
      <c r="CQ954" s="15"/>
      <c r="CR954" s="15"/>
      <c r="CS954" s="73"/>
      <c r="CT954" s="15"/>
      <c r="CU954" s="15"/>
      <c r="CV954" s="15"/>
      <c r="CW954" s="15"/>
      <c r="CX954" s="15"/>
      <c r="CY954" s="15"/>
      <c r="CZ954" s="15"/>
      <c r="DA954" s="15"/>
      <c r="DB954" s="15"/>
      <c r="DC954" s="15"/>
      <c r="DD954" s="15"/>
      <c r="DE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61"/>
      <c r="BK955" s="15"/>
      <c r="BL955" s="15"/>
      <c r="BM955" s="15"/>
      <c r="BN955" s="15"/>
      <c r="BO955" s="15"/>
      <c r="BP955" s="15"/>
      <c r="BQ955" s="15"/>
      <c r="BR955" s="15"/>
      <c r="BS955" s="15"/>
      <c r="BT955" s="15"/>
      <c r="BU955" s="15"/>
      <c r="BV955" s="15"/>
      <c r="BW955" s="15"/>
      <c r="BX955" s="15"/>
      <c r="BY955" s="15"/>
      <c r="BZ955" s="15"/>
      <c r="CA955" s="15"/>
      <c r="CB955" s="15"/>
      <c r="CC955" s="15"/>
      <c r="CD955" s="15"/>
      <c r="CE955" s="15"/>
      <c r="CF955" s="15"/>
      <c r="CG955" s="15"/>
      <c r="CH955" s="15"/>
      <c r="CI955" s="15"/>
      <c r="CJ955" s="15"/>
      <c r="CK955" s="15"/>
      <c r="CL955" s="15"/>
      <c r="CM955" s="15"/>
      <c r="CN955" s="15"/>
      <c r="CO955" s="15"/>
      <c r="CP955" s="15"/>
      <c r="CQ955" s="15"/>
      <c r="CR955" s="15"/>
      <c r="CS955" s="73"/>
      <c r="CT955" s="15"/>
      <c r="CU955" s="15"/>
      <c r="CV955" s="15"/>
      <c r="CW955" s="15"/>
      <c r="CX955" s="15"/>
      <c r="CY955" s="15"/>
      <c r="CZ955" s="15"/>
      <c r="DA955" s="15"/>
      <c r="DB955" s="15"/>
      <c r="DC955" s="15"/>
      <c r="DD955" s="15"/>
      <c r="DE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61"/>
      <c r="BK956" s="15"/>
      <c r="BL956" s="15"/>
      <c r="BM956" s="15"/>
      <c r="BN956" s="15"/>
      <c r="BO956" s="15"/>
      <c r="BP956" s="15"/>
      <c r="BQ956" s="15"/>
      <c r="BR956" s="15"/>
      <c r="BS956" s="15"/>
      <c r="BT956" s="15"/>
      <c r="BU956" s="15"/>
      <c r="BV956" s="15"/>
      <c r="BW956" s="15"/>
      <c r="BX956" s="15"/>
      <c r="BY956" s="15"/>
      <c r="BZ956" s="15"/>
      <c r="CA956" s="15"/>
      <c r="CB956" s="15"/>
      <c r="CC956" s="15"/>
      <c r="CD956" s="15"/>
      <c r="CE956" s="15"/>
      <c r="CF956" s="15"/>
      <c r="CG956" s="15"/>
      <c r="CH956" s="15"/>
      <c r="CI956" s="15"/>
      <c r="CJ956" s="15"/>
      <c r="CK956" s="15"/>
      <c r="CL956" s="15"/>
      <c r="CM956" s="15"/>
      <c r="CN956" s="15"/>
      <c r="CO956" s="15"/>
      <c r="CP956" s="15"/>
      <c r="CQ956" s="15"/>
      <c r="CR956" s="15"/>
      <c r="CS956" s="73"/>
      <c r="CT956" s="15"/>
      <c r="CU956" s="15"/>
      <c r="CV956" s="15"/>
      <c r="CW956" s="15"/>
      <c r="CX956" s="15"/>
      <c r="CY956" s="15"/>
      <c r="CZ956" s="15"/>
      <c r="DA956" s="15"/>
      <c r="DB956" s="15"/>
      <c r="DC956" s="15"/>
      <c r="DD956" s="15"/>
      <c r="DE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61"/>
      <c r="BK957" s="15"/>
      <c r="BL957" s="15"/>
      <c r="BM957" s="15"/>
      <c r="BN957" s="15"/>
      <c r="BO957" s="15"/>
      <c r="BP957" s="15"/>
      <c r="BQ957" s="15"/>
      <c r="BR957" s="15"/>
      <c r="BS957" s="15"/>
      <c r="BT957" s="15"/>
      <c r="BU957" s="15"/>
      <c r="BV957" s="15"/>
      <c r="BW957" s="15"/>
      <c r="BX957" s="15"/>
      <c r="BY957" s="15"/>
      <c r="BZ957" s="15"/>
      <c r="CA957" s="15"/>
      <c r="CB957" s="15"/>
      <c r="CC957" s="15"/>
      <c r="CD957" s="15"/>
      <c r="CE957" s="15"/>
      <c r="CF957" s="15"/>
      <c r="CG957" s="15"/>
      <c r="CH957" s="15"/>
      <c r="CI957" s="15"/>
      <c r="CJ957" s="15"/>
      <c r="CK957" s="15"/>
      <c r="CL957" s="15"/>
      <c r="CM957" s="15"/>
      <c r="CN957" s="15"/>
      <c r="CO957" s="15"/>
      <c r="CP957" s="15"/>
      <c r="CQ957" s="15"/>
      <c r="CR957" s="15"/>
      <c r="CS957" s="73"/>
      <c r="CT957" s="15"/>
      <c r="CU957" s="15"/>
      <c r="CV957" s="15"/>
      <c r="CW957" s="15"/>
      <c r="CX957" s="15"/>
      <c r="CY957" s="15"/>
      <c r="CZ957" s="15"/>
      <c r="DA957" s="15"/>
      <c r="DB957" s="15"/>
      <c r="DC957" s="15"/>
      <c r="DD957" s="15"/>
      <c r="DE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61"/>
      <c r="BK958" s="15"/>
      <c r="BL958" s="15"/>
      <c r="BM958" s="15"/>
      <c r="BN958" s="15"/>
      <c r="BO958" s="15"/>
      <c r="BP958" s="15"/>
      <c r="BQ958" s="15"/>
      <c r="BR958" s="15"/>
      <c r="BS958" s="15"/>
      <c r="BT958" s="15"/>
      <c r="BU958" s="15"/>
      <c r="BV958" s="15"/>
      <c r="BW958" s="15"/>
      <c r="BX958" s="15"/>
      <c r="BY958" s="15"/>
      <c r="BZ958" s="15"/>
      <c r="CA958" s="15"/>
      <c r="CB958" s="15"/>
      <c r="CC958" s="15"/>
      <c r="CD958" s="15"/>
      <c r="CE958" s="15"/>
      <c r="CF958" s="15"/>
      <c r="CG958" s="15"/>
      <c r="CH958" s="15"/>
      <c r="CI958" s="15"/>
      <c r="CJ958" s="15"/>
      <c r="CK958" s="15"/>
      <c r="CL958" s="15"/>
      <c r="CM958" s="15"/>
      <c r="CN958" s="15"/>
      <c r="CO958" s="15"/>
      <c r="CP958" s="15"/>
      <c r="CQ958" s="15"/>
      <c r="CR958" s="15"/>
      <c r="CS958" s="73"/>
      <c r="CT958" s="15"/>
      <c r="CU958" s="15"/>
      <c r="CV958" s="15"/>
      <c r="CW958" s="15"/>
      <c r="CX958" s="15"/>
      <c r="CY958" s="15"/>
      <c r="CZ958" s="15"/>
      <c r="DA958" s="15"/>
      <c r="DB958" s="15"/>
      <c r="DC958" s="15"/>
      <c r="DD958" s="15"/>
      <c r="DE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c r="BA959" s="15"/>
      <c r="BB959" s="15"/>
      <c r="BC959" s="15"/>
      <c r="BD959" s="15"/>
      <c r="BE959" s="15"/>
      <c r="BF959" s="15"/>
      <c r="BG959" s="15"/>
      <c r="BH959" s="15"/>
      <c r="BI959" s="15"/>
      <c r="BJ959" s="61"/>
      <c r="BK959" s="15"/>
      <c r="BL959" s="15"/>
      <c r="BM959" s="15"/>
      <c r="BN959" s="15"/>
      <c r="BO959" s="15"/>
      <c r="BP959" s="15"/>
      <c r="BQ959" s="15"/>
      <c r="BR959" s="15"/>
      <c r="BS959" s="15"/>
      <c r="BT959" s="15"/>
      <c r="BU959" s="15"/>
      <c r="BV959" s="15"/>
      <c r="BW959" s="15"/>
      <c r="BX959" s="15"/>
      <c r="BY959" s="15"/>
      <c r="BZ959" s="15"/>
      <c r="CA959" s="15"/>
      <c r="CB959" s="15"/>
      <c r="CC959" s="15"/>
      <c r="CD959" s="15"/>
      <c r="CE959" s="15"/>
      <c r="CF959" s="15"/>
      <c r="CG959" s="15"/>
      <c r="CH959" s="15"/>
      <c r="CI959" s="15"/>
      <c r="CJ959" s="15"/>
      <c r="CK959" s="15"/>
      <c r="CL959" s="15"/>
      <c r="CM959" s="15"/>
      <c r="CN959" s="15"/>
      <c r="CO959" s="15"/>
      <c r="CP959" s="15"/>
      <c r="CQ959" s="15"/>
      <c r="CR959" s="15"/>
      <c r="CS959" s="73"/>
      <c r="CT959" s="15"/>
      <c r="CU959" s="15"/>
      <c r="CV959" s="15"/>
      <c r="CW959" s="15"/>
      <c r="CX959" s="15"/>
      <c r="CY959" s="15"/>
      <c r="CZ959" s="15"/>
      <c r="DA959" s="15"/>
      <c r="DB959" s="15"/>
      <c r="DC959" s="15"/>
      <c r="DD959" s="15"/>
      <c r="DE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c r="BA960" s="15"/>
      <c r="BB960" s="15"/>
      <c r="BC960" s="15"/>
      <c r="BD960" s="15"/>
      <c r="BE960" s="15"/>
      <c r="BF960" s="15"/>
      <c r="BG960" s="15"/>
      <c r="BH960" s="15"/>
      <c r="BI960" s="15"/>
      <c r="BJ960" s="61"/>
      <c r="BK960" s="15"/>
      <c r="BL960" s="15"/>
      <c r="BM960" s="15"/>
      <c r="BN960" s="15"/>
      <c r="BO960" s="15"/>
      <c r="BP960" s="15"/>
      <c r="BQ960" s="15"/>
      <c r="BR960" s="15"/>
      <c r="BS960" s="15"/>
      <c r="BT960" s="15"/>
      <c r="BU960" s="15"/>
      <c r="BV960" s="15"/>
      <c r="BW960" s="15"/>
      <c r="BX960" s="15"/>
      <c r="BY960" s="15"/>
      <c r="BZ960" s="15"/>
      <c r="CA960" s="15"/>
      <c r="CB960" s="15"/>
      <c r="CC960" s="15"/>
      <c r="CD960" s="15"/>
      <c r="CE960" s="15"/>
      <c r="CF960" s="15"/>
      <c r="CG960" s="15"/>
      <c r="CH960" s="15"/>
      <c r="CI960" s="15"/>
      <c r="CJ960" s="15"/>
      <c r="CK960" s="15"/>
      <c r="CL960" s="15"/>
      <c r="CM960" s="15"/>
      <c r="CN960" s="15"/>
      <c r="CO960" s="15"/>
      <c r="CP960" s="15"/>
      <c r="CQ960" s="15"/>
      <c r="CR960" s="15"/>
      <c r="CS960" s="73"/>
      <c r="CT960" s="15"/>
      <c r="CU960" s="15"/>
      <c r="CV960" s="15"/>
      <c r="CW960" s="15"/>
      <c r="CX960" s="15"/>
      <c r="CY960" s="15"/>
      <c r="CZ960" s="15"/>
      <c r="DA960" s="15"/>
      <c r="DB960" s="15"/>
      <c r="DC960" s="15"/>
      <c r="DD960" s="15"/>
      <c r="DE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c r="BA961" s="15"/>
      <c r="BB961" s="15"/>
      <c r="BC961" s="15"/>
      <c r="BD961" s="15"/>
      <c r="BE961" s="15"/>
      <c r="BF961" s="15"/>
      <c r="BG961" s="15"/>
      <c r="BH961" s="15"/>
      <c r="BI961" s="15"/>
      <c r="BJ961" s="61"/>
      <c r="BK961" s="15"/>
      <c r="BL961" s="15"/>
      <c r="BM961" s="15"/>
      <c r="BN961" s="15"/>
      <c r="BO961" s="15"/>
      <c r="BP961" s="15"/>
      <c r="BQ961" s="15"/>
      <c r="BR961" s="15"/>
      <c r="BS961" s="15"/>
      <c r="BT961" s="15"/>
      <c r="BU961" s="15"/>
      <c r="BV961" s="15"/>
      <c r="BW961" s="15"/>
      <c r="BX961" s="15"/>
      <c r="BY961" s="15"/>
      <c r="BZ961" s="15"/>
      <c r="CA961" s="15"/>
      <c r="CB961" s="15"/>
      <c r="CC961" s="15"/>
      <c r="CD961" s="15"/>
      <c r="CE961" s="15"/>
      <c r="CF961" s="15"/>
      <c r="CG961" s="15"/>
      <c r="CH961" s="15"/>
      <c r="CI961" s="15"/>
      <c r="CJ961" s="15"/>
      <c r="CK961" s="15"/>
      <c r="CL961" s="15"/>
      <c r="CM961" s="15"/>
      <c r="CN961" s="15"/>
      <c r="CO961" s="15"/>
      <c r="CP961" s="15"/>
      <c r="CQ961" s="15"/>
      <c r="CR961" s="15"/>
      <c r="CS961" s="73"/>
      <c r="CT961" s="15"/>
      <c r="CU961" s="15"/>
      <c r="CV961" s="15"/>
      <c r="CW961" s="15"/>
      <c r="CX961" s="15"/>
      <c r="CY961" s="15"/>
      <c r="CZ961" s="15"/>
      <c r="DA961" s="15"/>
      <c r="DB961" s="15"/>
      <c r="DC961" s="15"/>
      <c r="DD961" s="15"/>
      <c r="DE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c r="BA962" s="15"/>
      <c r="BB962" s="15"/>
      <c r="BC962" s="15"/>
      <c r="BD962" s="15"/>
      <c r="BE962" s="15"/>
      <c r="BF962" s="15"/>
      <c r="BG962" s="15"/>
      <c r="BH962" s="15"/>
      <c r="BI962" s="15"/>
      <c r="BJ962" s="61"/>
      <c r="BK962" s="15"/>
      <c r="BL962" s="15"/>
      <c r="BM962" s="15"/>
      <c r="BN962" s="15"/>
      <c r="BO962" s="15"/>
      <c r="BP962" s="15"/>
      <c r="BQ962" s="15"/>
      <c r="BR962" s="15"/>
      <c r="BS962" s="15"/>
      <c r="BT962" s="15"/>
      <c r="BU962" s="15"/>
      <c r="BV962" s="15"/>
      <c r="BW962" s="15"/>
      <c r="BX962" s="15"/>
      <c r="BY962" s="15"/>
      <c r="BZ962" s="15"/>
      <c r="CA962" s="15"/>
      <c r="CB962" s="15"/>
      <c r="CC962" s="15"/>
      <c r="CD962" s="15"/>
      <c r="CE962" s="15"/>
      <c r="CF962" s="15"/>
      <c r="CG962" s="15"/>
      <c r="CH962" s="15"/>
      <c r="CI962" s="15"/>
      <c r="CJ962" s="15"/>
      <c r="CK962" s="15"/>
      <c r="CL962" s="15"/>
      <c r="CM962" s="15"/>
      <c r="CN962" s="15"/>
      <c r="CO962" s="15"/>
      <c r="CP962" s="15"/>
      <c r="CQ962" s="15"/>
      <c r="CR962" s="15"/>
      <c r="CS962" s="73"/>
      <c r="CT962" s="15"/>
      <c r="CU962" s="15"/>
      <c r="CV962" s="15"/>
      <c r="CW962" s="15"/>
      <c r="CX962" s="15"/>
      <c r="CY962" s="15"/>
      <c r="CZ962" s="15"/>
      <c r="DA962" s="15"/>
      <c r="DB962" s="15"/>
      <c r="DC962" s="15"/>
      <c r="DD962" s="15"/>
      <c r="DE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c r="BA963" s="15"/>
      <c r="BB963" s="15"/>
      <c r="BC963" s="15"/>
      <c r="BD963" s="15"/>
      <c r="BE963" s="15"/>
      <c r="BF963" s="15"/>
      <c r="BG963" s="15"/>
      <c r="BH963" s="15"/>
      <c r="BI963" s="15"/>
      <c r="BJ963" s="61"/>
      <c r="BK963" s="15"/>
      <c r="BL963" s="15"/>
      <c r="BM963" s="15"/>
      <c r="BN963" s="15"/>
      <c r="BO963" s="15"/>
      <c r="BP963" s="15"/>
      <c r="BQ963" s="15"/>
      <c r="BR963" s="15"/>
      <c r="BS963" s="15"/>
      <c r="BT963" s="15"/>
      <c r="BU963" s="15"/>
      <c r="BV963" s="15"/>
      <c r="BW963" s="15"/>
      <c r="BX963" s="15"/>
      <c r="BY963" s="15"/>
      <c r="BZ963" s="15"/>
      <c r="CA963" s="15"/>
      <c r="CB963" s="15"/>
      <c r="CC963" s="15"/>
      <c r="CD963" s="15"/>
      <c r="CE963" s="15"/>
      <c r="CF963" s="15"/>
      <c r="CG963" s="15"/>
      <c r="CH963" s="15"/>
      <c r="CI963" s="15"/>
      <c r="CJ963" s="15"/>
      <c r="CK963" s="15"/>
      <c r="CL963" s="15"/>
      <c r="CM963" s="15"/>
      <c r="CN963" s="15"/>
      <c r="CO963" s="15"/>
      <c r="CP963" s="15"/>
      <c r="CQ963" s="15"/>
      <c r="CR963" s="15"/>
      <c r="CS963" s="73"/>
      <c r="CT963" s="15"/>
      <c r="CU963" s="15"/>
      <c r="CV963" s="15"/>
      <c r="CW963" s="15"/>
      <c r="CX963" s="15"/>
      <c r="CY963" s="15"/>
      <c r="CZ963" s="15"/>
      <c r="DA963" s="15"/>
      <c r="DB963" s="15"/>
      <c r="DC963" s="15"/>
      <c r="DD963" s="15"/>
      <c r="DE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c r="BA964" s="15"/>
      <c r="BB964" s="15"/>
      <c r="BC964" s="15"/>
      <c r="BD964" s="15"/>
      <c r="BE964" s="15"/>
      <c r="BF964" s="15"/>
      <c r="BG964" s="15"/>
      <c r="BH964" s="15"/>
      <c r="BI964" s="15"/>
      <c r="BJ964" s="61"/>
      <c r="BK964" s="15"/>
      <c r="BL964" s="15"/>
      <c r="BM964" s="15"/>
      <c r="BN964" s="15"/>
      <c r="BO964" s="15"/>
      <c r="BP964" s="15"/>
      <c r="BQ964" s="15"/>
      <c r="BR964" s="15"/>
      <c r="BS964" s="15"/>
      <c r="BT964" s="15"/>
      <c r="BU964" s="15"/>
      <c r="BV964" s="15"/>
      <c r="BW964" s="15"/>
      <c r="BX964" s="15"/>
      <c r="BY964" s="15"/>
      <c r="BZ964" s="15"/>
      <c r="CA964" s="15"/>
      <c r="CB964" s="15"/>
      <c r="CC964" s="15"/>
      <c r="CD964" s="15"/>
      <c r="CE964" s="15"/>
      <c r="CF964" s="15"/>
      <c r="CG964" s="15"/>
      <c r="CH964" s="15"/>
      <c r="CI964" s="15"/>
      <c r="CJ964" s="15"/>
      <c r="CK964" s="15"/>
      <c r="CL964" s="15"/>
      <c r="CM964" s="15"/>
      <c r="CN964" s="15"/>
      <c r="CO964" s="15"/>
      <c r="CP964" s="15"/>
      <c r="CQ964" s="15"/>
      <c r="CR964" s="15"/>
      <c r="CS964" s="73"/>
      <c r="CT964" s="15"/>
      <c r="CU964" s="15"/>
      <c r="CV964" s="15"/>
      <c r="CW964" s="15"/>
      <c r="CX964" s="15"/>
      <c r="CY964" s="15"/>
      <c r="CZ964" s="15"/>
      <c r="DA964" s="15"/>
      <c r="DB964" s="15"/>
      <c r="DC964" s="15"/>
      <c r="DD964" s="15"/>
      <c r="DE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c r="BA965" s="15"/>
      <c r="BB965" s="15"/>
      <c r="BC965" s="15"/>
      <c r="BD965" s="15"/>
      <c r="BE965" s="15"/>
      <c r="BF965" s="15"/>
      <c r="BG965" s="15"/>
      <c r="BH965" s="15"/>
      <c r="BI965" s="15"/>
      <c r="BJ965" s="61"/>
      <c r="BK965" s="15"/>
      <c r="BL965" s="15"/>
      <c r="BM965" s="15"/>
      <c r="BN965" s="15"/>
      <c r="BO965" s="15"/>
      <c r="BP965" s="15"/>
      <c r="BQ965" s="15"/>
      <c r="BR965" s="15"/>
      <c r="BS965" s="15"/>
      <c r="BT965" s="15"/>
      <c r="BU965" s="15"/>
      <c r="BV965" s="15"/>
      <c r="BW965" s="15"/>
      <c r="BX965" s="15"/>
      <c r="BY965" s="15"/>
      <c r="BZ965" s="15"/>
      <c r="CA965" s="15"/>
      <c r="CB965" s="15"/>
      <c r="CC965" s="15"/>
      <c r="CD965" s="15"/>
      <c r="CE965" s="15"/>
      <c r="CF965" s="15"/>
      <c r="CG965" s="15"/>
      <c r="CH965" s="15"/>
      <c r="CI965" s="15"/>
      <c r="CJ965" s="15"/>
      <c r="CK965" s="15"/>
      <c r="CL965" s="15"/>
      <c r="CM965" s="15"/>
      <c r="CN965" s="15"/>
      <c r="CO965" s="15"/>
      <c r="CP965" s="15"/>
      <c r="CQ965" s="15"/>
      <c r="CR965" s="15"/>
      <c r="CS965" s="73"/>
      <c r="CT965" s="15"/>
      <c r="CU965" s="15"/>
      <c r="CV965" s="15"/>
      <c r="CW965" s="15"/>
      <c r="CX965" s="15"/>
      <c r="CY965" s="15"/>
      <c r="CZ965" s="15"/>
      <c r="DA965" s="15"/>
      <c r="DB965" s="15"/>
      <c r="DC965" s="15"/>
      <c r="DD965" s="15"/>
      <c r="DE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c r="BA966" s="15"/>
      <c r="BB966" s="15"/>
      <c r="BC966" s="15"/>
      <c r="BD966" s="15"/>
      <c r="BE966" s="15"/>
      <c r="BF966" s="15"/>
      <c r="BG966" s="15"/>
      <c r="BH966" s="15"/>
      <c r="BI966" s="15"/>
      <c r="BJ966" s="61"/>
      <c r="BK966" s="15"/>
      <c r="BL966" s="15"/>
      <c r="BM966" s="15"/>
      <c r="BN966" s="15"/>
      <c r="BO966" s="15"/>
      <c r="BP966" s="15"/>
      <c r="BQ966" s="15"/>
      <c r="BR966" s="15"/>
      <c r="BS966" s="15"/>
      <c r="BT966" s="15"/>
      <c r="BU966" s="15"/>
      <c r="BV966" s="15"/>
      <c r="BW966" s="15"/>
      <c r="BX966" s="15"/>
      <c r="BY966" s="15"/>
      <c r="BZ966" s="15"/>
      <c r="CA966" s="15"/>
      <c r="CB966" s="15"/>
      <c r="CC966" s="15"/>
      <c r="CD966" s="15"/>
      <c r="CE966" s="15"/>
      <c r="CF966" s="15"/>
      <c r="CG966" s="15"/>
      <c r="CH966" s="15"/>
      <c r="CI966" s="15"/>
      <c r="CJ966" s="15"/>
      <c r="CK966" s="15"/>
      <c r="CL966" s="15"/>
      <c r="CM966" s="15"/>
      <c r="CN966" s="15"/>
      <c r="CO966" s="15"/>
      <c r="CP966" s="15"/>
      <c r="CQ966" s="15"/>
      <c r="CR966" s="15"/>
      <c r="CS966" s="73"/>
      <c r="CT966" s="15"/>
      <c r="CU966" s="15"/>
      <c r="CV966" s="15"/>
      <c r="CW966" s="15"/>
      <c r="CX966" s="15"/>
      <c r="CY966" s="15"/>
      <c r="CZ966" s="15"/>
      <c r="DA966" s="15"/>
      <c r="DB966" s="15"/>
      <c r="DC966" s="15"/>
      <c r="DD966" s="15"/>
      <c r="DE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c r="BA967" s="15"/>
      <c r="BB967" s="15"/>
      <c r="BC967" s="15"/>
      <c r="BD967" s="15"/>
      <c r="BE967" s="15"/>
      <c r="BF967" s="15"/>
      <c r="BG967" s="15"/>
      <c r="BH967" s="15"/>
      <c r="BI967" s="15"/>
      <c r="BJ967" s="61"/>
      <c r="BK967" s="15"/>
      <c r="BL967" s="15"/>
      <c r="BM967" s="15"/>
      <c r="BN967" s="15"/>
      <c r="BO967" s="15"/>
      <c r="BP967" s="15"/>
      <c r="BQ967" s="15"/>
      <c r="BR967" s="15"/>
      <c r="BS967" s="15"/>
      <c r="BT967" s="15"/>
      <c r="BU967" s="15"/>
      <c r="BV967" s="15"/>
      <c r="BW967" s="15"/>
      <c r="BX967" s="15"/>
      <c r="BY967" s="15"/>
      <c r="BZ967" s="15"/>
      <c r="CA967" s="15"/>
      <c r="CB967" s="15"/>
      <c r="CC967" s="15"/>
      <c r="CD967" s="15"/>
      <c r="CE967" s="15"/>
      <c r="CF967" s="15"/>
      <c r="CG967" s="15"/>
      <c r="CH967" s="15"/>
      <c r="CI967" s="15"/>
      <c r="CJ967" s="15"/>
      <c r="CK967" s="15"/>
      <c r="CL967" s="15"/>
      <c r="CM967" s="15"/>
      <c r="CN967" s="15"/>
      <c r="CO967" s="15"/>
      <c r="CP967" s="15"/>
      <c r="CQ967" s="15"/>
      <c r="CR967" s="15"/>
      <c r="CS967" s="73"/>
      <c r="CT967" s="15"/>
      <c r="CU967" s="15"/>
      <c r="CV967" s="15"/>
      <c r="CW967" s="15"/>
      <c r="CX967" s="15"/>
      <c r="CY967" s="15"/>
      <c r="CZ967" s="15"/>
      <c r="DA967" s="15"/>
      <c r="DB967" s="15"/>
      <c r="DC967" s="15"/>
      <c r="DD967" s="15"/>
      <c r="DE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c r="BA968" s="15"/>
      <c r="BB968" s="15"/>
      <c r="BC968" s="15"/>
      <c r="BD968" s="15"/>
      <c r="BE968" s="15"/>
      <c r="BF968" s="15"/>
      <c r="BG968" s="15"/>
      <c r="BH968" s="15"/>
      <c r="BI968" s="15"/>
      <c r="BJ968" s="61"/>
      <c r="BK968" s="15"/>
      <c r="BL968" s="15"/>
      <c r="BM968" s="15"/>
      <c r="BN968" s="15"/>
      <c r="BO968" s="15"/>
      <c r="BP968" s="15"/>
      <c r="BQ968" s="15"/>
      <c r="BR968" s="15"/>
      <c r="BS968" s="15"/>
      <c r="BT968" s="15"/>
      <c r="BU968" s="15"/>
      <c r="BV968" s="15"/>
      <c r="BW968" s="15"/>
      <c r="BX968" s="15"/>
      <c r="BY968" s="15"/>
      <c r="BZ968" s="15"/>
      <c r="CA968" s="15"/>
      <c r="CB968" s="15"/>
      <c r="CC968" s="15"/>
      <c r="CD968" s="15"/>
      <c r="CE968" s="15"/>
      <c r="CF968" s="15"/>
      <c r="CG968" s="15"/>
      <c r="CH968" s="15"/>
      <c r="CI968" s="15"/>
      <c r="CJ968" s="15"/>
      <c r="CK968" s="15"/>
      <c r="CL968" s="15"/>
      <c r="CM968" s="15"/>
      <c r="CN968" s="15"/>
      <c r="CO968" s="15"/>
      <c r="CP968" s="15"/>
      <c r="CQ968" s="15"/>
      <c r="CR968" s="15"/>
      <c r="CS968" s="73"/>
      <c r="CT968" s="15"/>
      <c r="CU968" s="15"/>
      <c r="CV968" s="15"/>
      <c r="CW968" s="15"/>
      <c r="CX968" s="15"/>
      <c r="CY968" s="15"/>
      <c r="CZ968" s="15"/>
      <c r="DA968" s="15"/>
      <c r="DB968" s="15"/>
      <c r="DC968" s="15"/>
      <c r="DD968" s="15"/>
      <c r="DE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c r="BA969" s="15"/>
      <c r="BB969" s="15"/>
      <c r="BC969" s="15"/>
      <c r="BD969" s="15"/>
      <c r="BE969" s="15"/>
      <c r="BF969" s="15"/>
      <c r="BG969" s="15"/>
      <c r="BH969" s="15"/>
      <c r="BI969" s="15"/>
      <c r="BJ969" s="61"/>
      <c r="BK969" s="15"/>
      <c r="BL969" s="15"/>
      <c r="BM969" s="15"/>
      <c r="BN969" s="15"/>
      <c r="BO969" s="15"/>
      <c r="BP969" s="15"/>
      <c r="BQ969" s="15"/>
      <c r="BR969" s="15"/>
      <c r="BS969" s="15"/>
      <c r="BT969" s="15"/>
      <c r="BU969" s="15"/>
      <c r="BV969" s="15"/>
      <c r="BW969" s="15"/>
      <c r="BX969" s="15"/>
      <c r="BY969" s="15"/>
      <c r="BZ969" s="15"/>
      <c r="CA969" s="15"/>
      <c r="CB969" s="15"/>
      <c r="CC969" s="15"/>
      <c r="CD969" s="15"/>
      <c r="CE969" s="15"/>
      <c r="CF969" s="15"/>
      <c r="CG969" s="15"/>
      <c r="CH969" s="15"/>
      <c r="CI969" s="15"/>
      <c r="CJ969" s="15"/>
      <c r="CK969" s="15"/>
      <c r="CL969" s="15"/>
      <c r="CM969" s="15"/>
      <c r="CN969" s="15"/>
      <c r="CO969" s="15"/>
      <c r="CP969" s="15"/>
      <c r="CQ969" s="15"/>
      <c r="CR969" s="15"/>
      <c r="CS969" s="73"/>
      <c r="CT969" s="15"/>
      <c r="CU969" s="15"/>
      <c r="CV969" s="15"/>
      <c r="CW969" s="15"/>
      <c r="CX969" s="15"/>
      <c r="CY969" s="15"/>
      <c r="CZ969" s="15"/>
      <c r="DA969" s="15"/>
      <c r="DB969" s="15"/>
      <c r="DC969" s="15"/>
      <c r="DD969" s="15"/>
      <c r="DE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c r="BA970" s="15"/>
      <c r="BB970" s="15"/>
      <c r="BC970" s="15"/>
      <c r="BD970" s="15"/>
      <c r="BE970" s="15"/>
      <c r="BF970" s="15"/>
      <c r="BG970" s="15"/>
      <c r="BH970" s="15"/>
      <c r="BI970" s="15"/>
      <c r="BJ970" s="61"/>
      <c r="BK970" s="15"/>
      <c r="BL970" s="15"/>
      <c r="BM970" s="15"/>
      <c r="BN970" s="15"/>
      <c r="BO970" s="15"/>
      <c r="BP970" s="15"/>
      <c r="BQ970" s="15"/>
      <c r="BR970" s="15"/>
      <c r="BS970" s="15"/>
      <c r="BT970" s="15"/>
      <c r="BU970" s="15"/>
      <c r="BV970" s="15"/>
      <c r="BW970" s="15"/>
      <c r="BX970" s="15"/>
      <c r="BY970" s="15"/>
      <c r="BZ970" s="15"/>
      <c r="CA970" s="15"/>
      <c r="CB970" s="15"/>
      <c r="CC970" s="15"/>
      <c r="CD970" s="15"/>
      <c r="CE970" s="15"/>
      <c r="CF970" s="15"/>
      <c r="CG970" s="15"/>
      <c r="CH970" s="15"/>
      <c r="CI970" s="15"/>
      <c r="CJ970" s="15"/>
      <c r="CK970" s="15"/>
      <c r="CL970" s="15"/>
      <c r="CM970" s="15"/>
      <c r="CN970" s="15"/>
      <c r="CO970" s="15"/>
      <c r="CP970" s="15"/>
      <c r="CQ970" s="15"/>
      <c r="CR970" s="15"/>
      <c r="CS970" s="73"/>
      <c r="CT970" s="15"/>
      <c r="CU970" s="15"/>
      <c r="CV970" s="15"/>
      <c r="CW970" s="15"/>
      <c r="CX970" s="15"/>
      <c r="CY970" s="15"/>
      <c r="CZ970" s="15"/>
      <c r="DA970" s="15"/>
      <c r="DB970" s="15"/>
      <c r="DC970" s="15"/>
      <c r="DD970" s="15"/>
      <c r="DE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c r="BA971" s="15"/>
      <c r="BB971" s="15"/>
      <c r="BC971" s="15"/>
      <c r="BD971" s="15"/>
      <c r="BE971" s="15"/>
      <c r="BF971" s="15"/>
      <c r="BG971" s="15"/>
      <c r="BH971" s="15"/>
      <c r="BI971" s="15"/>
      <c r="BJ971" s="61"/>
      <c r="BK971" s="15"/>
      <c r="BL971" s="15"/>
      <c r="BM971" s="15"/>
      <c r="BN971" s="15"/>
      <c r="BO971" s="15"/>
      <c r="BP971" s="15"/>
      <c r="BQ971" s="15"/>
      <c r="BR971" s="15"/>
      <c r="BS971" s="15"/>
      <c r="BT971" s="15"/>
      <c r="BU971" s="15"/>
      <c r="BV971" s="15"/>
      <c r="BW971" s="15"/>
      <c r="BX971" s="15"/>
      <c r="BY971" s="15"/>
      <c r="BZ971" s="15"/>
      <c r="CA971" s="15"/>
      <c r="CB971" s="15"/>
      <c r="CC971" s="15"/>
      <c r="CD971" s="15"/>
      <c r="CE971" s="15"/>
      <c r="CF971" s="15"/>
      <c r="CG971" s="15"/>
      <c r="CH971" s="15"/>
      <c r="CI971" s="15"/>
      <c r="CJ971" s="15"/>
      <c r="CK971" s="15"/>
      <c r="CL971" s="15"/>
      <c r="CM971" s="15"/>
      <c r="CN971" s="15"/>
      <c r="CO971" s="15"/>
      <c r="CP971" s="15"/>
      <c r="CQ971" s="15"/>
      <c r="CR971" s="15"/>
      <c r="CS971" s="73"/>
      <c r="CT971" s="15"/>
      <c r="CU971" s="15"/>
      <c r="CV971" s="15"/>
      <c r="CW971" s="15"/>
      <c r="CX971" s="15"/>
      <c r="CY971" s="15"/>
      <c r="CZ971" s="15"/>
      <c r="DA971" s="15"/>
      <c r="DB971" s="15"/>
      <c r="DC971" s="15"/>
      <c r="DD971" s="15"/>
      <c r="DE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c r="BA972" s="15"/>
      <c r="BB972" s="15"/>
      <c r="BC972" s="15"/>
      <c r="BD972" s="15"/>
      <c r="BE972" s="15"/>
      <c r="BF972" s="15"/>
      <c r="BG972" s="15"/>
      <c r="BH972" s="15"/>
      <c r="BI972" s="15"/>
      <c r="BJ972" s="61"/>
      <c r="BK972" s="15"/>
      <c r="BL972" s="15"/>
      <c r="BM972" s="15"/>
      <c r="BN972" s="15"/>
      <c r="BO972" s="15"/>
      <c r="BP972" s="15"/>
      <c r="BQ972" s="15"/>
      <c r="BR972" s="15"/>
      <c r="BS972" s="15"/>
      <c r="BT972" s="15"/>
      <c r="BU972" s="15"/>
      <c r="BV972" s="15"/>
      <c r="BW972" s="15"/>
      <c r="BX972" s="15"/>
      <c r="BY972" s="15"/>
      <c r="BZ972" s="15"/>
      <c r="CA972" s="15"/>
      <c r="CB972" s="15"/>
      <c r="CC972" s="15"/>
      <c r="CD972" s="15"/>
      <c r="CE972" s="15"/>
      <c r="CF972" s="15"/>
      <c r="CG972" s="15"/>
      <c r="CH972" s="15"/>
      <c r="CI972" s="15"/>
      <c r="CJ972" s="15"/>
      <c r="CK972" s="15"/>
      <c r="CL972" s="15"/>
      <c r="CM972" s="15"/>
      <c r="CN972" s="15"/>
      <c r="CO972" s="15"/>
      <c r="CP972" s="15"/>
      <c r="CQ972" s="15"/>
      <c r="CR972" s="15"/>
      <c r="CS972" s="73"/>
      <c r="CT972" s="15"/>
      <c r="CU972" s="15"/>
      <c r="CV972" s="15"/>
      <c r="CW972" s="15"/>
      <c r="CX972" s="15"/>
      <c r="CY972" s="15"/>
      <c r="CZ972" s="15"/>
      <c r="DA972" s="15"/>
      <c r="DB972" s="15"/>
      <c r="DC972" s="15"/>
      <c r="DD972" s="15"/>
      <c r="DE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c r="BA973" s="15"/>
      <c r="BB973" s="15"/>
      <c r="BC973" s="15"/>
      <c r="BD973" s="15"/>
      <c r="BE973" s="15"/>
      <c r="BF973" s="15"/>
      <c r="BG973" s="15"/>
      <c r="BH973" s="15"/>
      <c r="BI973" s="15"/>
      <c r="BJ973" s="61"/>
      <c r="BK973" s="15"/>
      <c r="BL973" s="15"/>
      <c r="BM973" s="15"/>
      <c r="BN973" s="15"/>
      <c r="BO973" s="15"/>
      <c r="BP973" s="15"/>
      <c r="BQ973" s="15"/>
      <c r="BR973" s="15"/>
      <c r="BS973" s="15"/>
      <c r="BT973" s="15"/>
      <c r="BU973" s="15"/>
      <c r="BV973" s="15"/>
      <c r="BW973" s="15"/>
      <c r="BX973" s="15"/>
      <c r="BY973" s="15"/>
      <c r="BZ973" s="15"/>
      <c r="CA973" s="15"/>
      <c r="CB973" s="15"/>
      <c r="CC973" s="15"/>
      <c r="CD973" s="15"/>
      <c r="CE973" s="15"/>
      <c r="CF973" s="15"/>
      <c r="CG973" s="15"/>
      <c r="CH973" s="15"/>
      <c r="CI973" s="15"/>
      <c r="CJ973" s="15"/>
      <c r="CK973" s="15"/>
      <c r="CL973" s="15"/>
      <c r="CM973" s="15"/>
      <c r="CN973" s="15"/>
      <c r="CO973" s="15"/>
      <c r="CP973" s="15"/>
      <c r="CQ973" s="15"/>
      <c r="CR973" s="15"/>
      <c r="CS973" s="73"/>
      <c r="CT973" s="15"/>
      <c r="CU973" s="15"/>
      <c r="CV973" s="15"/>
      <c r="CW973" s="15"/>
      <c r="CX973" s="15"/>
      <c r="CY973" s="15"/>
      <c r="CZ973" s="15"/>
      <c r="DA973" s="15"/>
      <c r="DB973" s="15"/>
      <c r="DC973" s="15"/>
      <c r="DD973" s="15"/>
      <c r="DE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c r="BA974" s="15"/>
      <c r="BB974" s="15"/>
      <c r="BC974" s="15"/>
      <c r="BD974" s="15"/>
      <c r="BE974" s="15"/>
      <c r="BF974" s="15"/>
      <c r="BG974" s="15"/>
      <c r="BH974" s="15"/>
      <c r="BI974" s="15"/>
      <c r="BJ974" s="61"/>
      <c r="BK974" s="15"/>
      <c r="BL974" s="15"/>
      <c r="BM974" s="15"/>
      <c r="BN974" s="15"/>
      <c r="BO974" s="15"/>
      <c r="BP974" s="15"/>
      <c r="BQ974" s="15"/>
      <c r="BR974" s="15"/>
      <c r="BS974" s="15"/>
      <c r="BT974" s="15"/>
      <c r="BU974" s="15"/>
      <c r="BV974" s="15"/>
      <c r="BW974" s="15"/>
      <c r="BX974" s="15"/>
      <c r="BY974" s="15"/>
      <c r="BZ974" s="15"/>
      <c r="CA974" s="15"/>
      <c r="CB974" s="15"/>
      <c r="CC974" s="15"/>
      <c r="CD974" s="15"/>
      <c r="CE974" s="15"/>
      <c r="CF974" s="15"/>
      <c r="CG974" s="15"/>
      <c r="CH974" s="15"/>
      <c r="CI974" s="15"/>
      <c r="CJ974" s="15"/>
      <c r="CK974" s="15"/>
      <c r="CL974" s="15"/>
      <c r="CM974" s="15"/>
      <c r="CN974" s="15"/>
      <c r="CO974" s="15"/>
      <c r="CP974" s="15"/>
      <c r="CQ974" s="15"/>
      <c r="CR974" s="15"/>
      <c r="CS974" s="73"/>
      <c r="CT974" s="15"/>
      <c r="CU974" s="15"/>
      <c r="CV974" s="15"/>
      <c r="CW974" s="15"/>
      <c r="CX974" s="15"/>
      <c r="CY974" s="15"/>
      <c r="CZ974" s="15"/>
      <c r="DA974" s="15"/>
      <c r="DB974" s="15"/>
      <c r="DC974" s="15"/>
      <c r="DD974" s="15"/>
      <c r="DE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c r="BA975" s="15"/>
      <c r="BB975" s="15"/>
      <c r="BC975" s="15"/>
      <c r="BD975" s="15"/>
      <c r="BE975" s="15"/>
      <c r="BF975" s="15"/>
      <c r="BG975" s="15"/>
      <c r="BH975" s="15"/>
      <c r="BI975" s="15"/>
      <c r="BJ975" s="61"/>
      <c r="BK975" s="15"/>
      <c r="BL975" s="15"/>
      <c r="BM975" s="15"/>
      <c r="BN975" s="15"/>
      <c r="BO975" s="15"/>
      <c r="BP975" s="15"/>
      <c r="BQ975" s="15"/>
      <c r="BR975" s="15"/>
      <c r="BS975" s="15"/>
      <c r="BT975" s="15"/>
      <c r="BU975" s="15"/>
      <c r="BV975" s="15"/>
      <c r="BW975" s="15"/>
      <c r="BX975" s="15"/>
      <c r="BY975" s="15"/>
      <c r="BZ975" s="15"/>
      <c r="CA975" s="15"/>
      <c r="CB975" s="15"/>
      <c r="CC975" s="15"/>
      <c r="CD975" s="15"/>
      <c r="CE975" s="15"/>
      <c r="CF975" s="15"/>
      <c r="CG975" s="15"/>
      <c r="CH975" s="15"/>
      <c r="CI975" s="15"/>
      <c r="CJ975" s="15"/>
      <c r="CK975" s="15"/>
      <c r="CL975" s="15"/>
      <c r="CM975" s="15"/>
      <c r="CN975" s="15"/>
      <c r="CO975" s="15"/>
      <c r="CP975" s="15"/>
      <c r="CQ975" s="15"/>
      <c r="CR975" s="15"/>
      <c r="CS975" s="73"/>
      <c r="CT975" s="15"/>
      <c r="CU975" s="15"/>
      <c r="CV975" s="15"/>
      <c r="CW975" s="15"/>
      <c r="CX975" s="15"/>
      <c r="CY975" s="15"/>
      <c r="CZ975" s="15"/>
      <c r="DA975" s="15"/>
      <c r="DB975" s="15"/>
      <c r="DC975" s="15"/>
      <c r="DD975" s="15"/>
      <c r="DE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c r="BA976" s="15"/>
      <c r="BB976" s="15"/>
      <c r="BC976" s="15"/>
      <c r="BD976" s="15"/>
      <c r="BE976" s="15"/>
      <c r="BF976" s="15"/>
      <c r="BG976" s="15"/>
      <c r="BH976" s="15"/>
      <c r="BI976" s="15"/>
      <c r="BJ976" s="61"/>
      <c r="BK976" s="15"/>
      <c r="BL976" s="15"/>
      <c r="BM976" s="15"/>
      <c r="BN976" s="15"/>
      <c r="BO976" s="15"/>
      <c r="BP976" s="15"/>
      <c r="BQ976" s="15"/>
      <c r="BR976" s="15"/>
      <c r="BS976" s="15"/>
      <c r="BT976" s="15"/>
      <c r="BU976" s="15"/>
      <c r="BV976" s="15"/>
      <c r="BW976" s="15"/>
      <c r="BX976" s="15"/>
      <c r="BY976" s="15"/>
      <c r="BZ976" s="15"/>
      <c r="CA976" s="15"/>
      <c r="CB976" s="15"/>
      <c r="CC976" s="15"/>
      <c r="CD976" s="15"/>
      <c r="CE976" s="15"/>
      <c r="CF976" s="15"/>
      <c r="CG976" s="15"/>
      <c r="CH976" s="15"/>
      <c r="CI976" s="15"/>
      <c r="CJ976" s="15"/>
      <c r="CK976" s="15"/>
      <c r="CL976" s="15"/>
      <c r="CM976" s="15"/>
      <c r="CN976" s="15"/>
      <c r="CO976" s="15"/>
      <c r="CP976" s="15"/>
      <c r="CQ976" s="15"/>
      <c r="CR976" s="15"/>
      <c r="CS976" s="73"/>
      <c r="CT976" s="15"/>
      <c r="CU976" s="15"/>
      <c r="CV976" s="15"/>
      <c r="CW976" s="15"/>
      <c r="CX976" s="15"/>
      <c r="CY976" s="15"/>
      <c r="CZ976" s="15"/>
      <c r="DA976" s="15"/>
      <c r="DB976" s="15"/>
      <c r="DC976" s="15"/>
      <c r="DD976" s="15"/>
      <c r="DE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c r="BA977" s="15"/>
      <c r="BB977" s="15"/>
      <c r="BC977" s="15"/>
      <c r="BD977" s="15"/>
      <c r="BE977" s="15"/>
      <c r="BF977" s="15"/>
      <c r="BG977" s="15"/>
      <c r="BH977" s="15"/>
      <c r="BI977" s="15"/>
      <c r="BJ977" s="61"/>
      <c r="BK977" s="15"/>
      <c r="BL977" s="15"/>
      <c r="BM977" s="15"/>
      <c r="BN977" s="15"/>
      <c r="BO977" s="15"/>
      <c r="BP977" s="15"/>
      <c r="BQ977" s="15"/>
      <c r="BR977" s="15"/>
      <c r="BS977" s="15"/>
      <c r="BT977" s="15"/>
      <c r="BU977" s="15"/>
      <c r="BV977" s="15"/>
      <c r="BW977" s="15"/>
      <c r="BX977" s="15"/>
      <c r="BY977" s="15"/>
      <c r="BZ977" s="15"/>
      <c r="CA977" s="15"/>
      <c r="CB977" s="15"/>
      <c r="CC977" s="15"/>
      <c r="CD977" s="15"/>
      <c r="CE977" s="15"/>
      <c r="CF977" s="15"/>
      <c r="CG977" s="15"/>
      <c r="CH977" s="15"/>
      <c r="CI977" s="15"/>
      <c r="CJ977" s="15"/>
      <c r="CK977" s="15"/>
      <c r="CL977" s="15"/>
      <c r="CM977" s="15"/>
      <c r="CN977" s="15"/>
      <c r="CO977" s="15"/>
      <c r="CP977" s="15"/>
      <c r="CQ977" s="15"/>
      <c r="CR977" s="15"/>
      <c r="CS977" s="73"/>
      <c r="CT977" s="15"/>
      <c r="CU977" s="15"/>
      <c r="CV977" s="15"/>
      <c r="CW977" s="15"/>
      <c r="CX977" s="15"/>
      <c r="CY977" s="15"/>
      <c r="CZ977" s="15"/>
      <c r="DA977" s="15"/>
      <c r="DB977" s="15"/>
      <c r="DC977" s="15"/>
      <c r="DD977" s="15"/>
      <c r="DE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c r="BA978" s="15"/>
      <c r="BB978" s="15"/>
      <c r="BC978" s="15"/>
      <c r="BD978" s="15"/>
      <c r="BE978" s="15"/>
      <c r="BF978" s="15"/>
      <c r="BG978" s="15"/>
      <c r="BH978" s="15"/>
      <c r="BI978" s="15"/>
      <c r="BJ978" s="61"/>
      <c r="BK978" s="15"/>
      <c r="BL978" s="15"/>
      <c r="BM978" s="15"/>
      <c r="BN978" s="15"/>
      <c r="BO978" s="15"/>
      <c r="BP978" s="15"/>
      <c r="BQ978" s="15"/>
      <c r="BR978" s="15"/>
      <c r="BS978" s="15"/>
      <c r="BT978" s="15"/>
      <c r="BU978" s="15"/>
      <c r="BV978" s="15"/>
      <c r="BW978" s="15"/>
      <c r="BX978" s="15"/>
      <c r="BY978" s="15"/>
      <c r="BZ978" s="15"/>
      <c r="CA978" s="15"/>
      <c r="CB978" s="15"/>
      <c r="CC978" s="15"/>
      <c r="CD978" s="15"/>
      <c r="CE978" s="15"/>
      <c r="CF978" s="15"/>
      <c r="CG978" s="15"/>
      <c r="CH978" s="15"/>
      <c r="CI978" s="15"/>
      <c r="CJ978" s="15"/>
      <c r="CK978" s="15"/>
      <c r="CL978" s="15"/>
      <c r="CM978" s="15"/>
      <c r="CN978" s="15"/>
      <c r="CO978" s="15"/>
      <c r="CP978" s="15"/>
      <c r="CQ978" s="15"/>
      <c r="CR978" s="15"/>
      <c r="CS978" s="73"/>
      <c r="CT978" s="15"/>
      <c r="CU978" s="15"/>
      <c r="CV978" s="15"/>
      <c r="CW978" s="15"/>
      <c r="CX978" s="15"/>
      <c r="CY978" s="15"/>
      <c r="CZ978" s="15"/>
      <c r="DA978" s="15"/>
      <c r="DB978" s="15"/>
      <c r="DC978" s="15"/>
      <c r="DD978" s="15"/>
      <c r="DE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c r="BA979" s="15"/>
      <c r="BB979" s="15"/>
      <c r="BC979" s="15"/>
      <c r="BD979" s="15"/>
      <c r="BE979" s="15"/>
      <c r="BF979" s="15"/>
      <c r="BG979" s="15"/>
      <c r="BH979" s="15"/>
      <c r="BI979" s="15"/>
      <c r="BJ979" s="61"/>
      <c r="BK979" s="15"/>
      <c r="BL979" s="15"/>
      <c r="BM979" s="15"/>
      <c r="BN979" s="15"/>
      <c r="BO979" s="15"/>
      <c r="BP979" s="15"/>
      <c r="BQ979" s="15"/>
      <c r="BR979" s="15"/>
      <c r="BS979" s="15"/>
      <c r="BT979" s="15"/>
      <c r="BU979" s="15"/>
      <c r="BV979" s="15"/>
      <c r="BW979" s="15"/>
      <c r="BX979" s="15"/>
      <c r="BY979" s="15"/>
      <c r="BZ979" s="15"/>
      <c r="CA979" s="15"/>
      <c r="CB979" s="15"/>
      <c r="CC979" s="15"/>
      <c r="CD979" s="15"/>
      <c r="CE979" s="15"/>
      <c r="CF979" s="15"/>
      <c r="CG979" s="15"/>
      <c r="CH979" s="15"/>
      <c r="CI979" s="15"/>
      <c r="CJ979" s="15"/>
      <c r="CK979" s="15"/>
      <c r="CL979" s="15"/>
      <c r="CM979" s="15"/>
      <c r="CN979" s="15"/>
      <c r="CO979" s="15"/>
      <c r="CP979" s="15"/>
      <c r="CQ979" s="15"/>
      <c r="CR979" s="15"/>
      <c r="CS979" s="73"/>
      <c r="CT979" s="15"/>
      <c r="CU979" s="15"/>
      <c r="CV979" s="15"/>
      <c r="CW979" s="15"/>
      <c r="CX979" s="15"/>
      <c r="CY979" s="15"/>
      <c r="CZ979" s="15"/>
      <c r="DA979" s="15"/>
      <c r="DB979" s="15"/>
      <c r="DC979" s="15"/>
      <c r="DD979" s="15"/>
      <c r="DE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c r="BA980" s="15"/>
      <c r="BB980" s="15"/>
      <c r="BC980" s="15"/>
      <c r="BD980" s="15"/>
      <c r="BE980" s="15"/>
      <c r="BF980" s="15"/>
      <c r="BG980" s="15"/>
      <c r="BH980" s="15"/>
      <c r="BI980" s="15"/>
      <c r="BJ980" s="61"/>
      <c r="BK980" s="15"/>
      <c r="BL980" s="15"/>
      <c r="BM980" s="15"/>
      <c r="BN980" s="15"/>
      <c r="BO980" s="15"/>
      <c r="BP980" s="15"/>
      <c r="BQ980" s="15"/>
      <c r="BR980" s="15"/>
      <c r="BS980" s="15"/>
      <c r="BT980" s="15"/>
      <c r="BU980" s="15"/>
      <c r="BV980" s="15"/>
      <c r="BW980" s="15"/>
      <c r="BX980" s="15"/>
      <c r="BY980" s="15"/>
      <c r="BZ980" s="15"/>
      <c r="CA980" s="15"/>
      <c r="CB980" s="15"/>
      <c r="CC980" s="15"/>
      <c r="CD980" s="15"/>
      <c r="CE980" s="15"/>
      <c r="CF980" s="15"/>
      <c r="CG980" s="15"/>
      <c r="CH980" s="15"/>
      <c r="CI980" s="15"/>
      <c r="CJ980" s="15"/>
      <c r="CK980" s="15"/>
      <c r="CL980" s="15"/>
      <c r="CM980" s="15"/>
      <c r="CN980" s="15"/>
      <c r="CO980" s="15"/>
      <c r="CP980" s="15"/>
      <c r="CQ980" s="15"/>
      <c r="CR980" s="15"/>
      <c r="CS980" s="73"/>
      <c r="CT980" s="15"/>
      <c r="CU980" s="15"/>
      <c r="CV980" s="15"/>
      <c r="CW980" s="15"/>
      <c r="CX980" s="15"/>
      <c r="CY980" s="15"/>
      <c r="CZ980" s="15"/>
      <c r="DA980" s="15"/>
      <c r="DB980" s="15"/>
      <c r="DC980" s="15"/>
      <c r="DD980" s="15"/>
      <c r="DE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c r="BA981" s="15"/>
      <c r="BB981" s="15"/>
      <c r="BC981" s="15"/>
      <c r="BD981" s="15"/>
      <c r="BE981" s="15"/>
      <c r="BF981" s="15"/>
      <c r="BG981" s="15"/>
      <c r="BH981" s="15"/>
      <c r="BI981" s="15"/>
      <c r="BJ981" s="61"/>
      <c r="BK981" s="15"/>
      <c r="BL981" s="15"/>
      <c r="BM981" s="15"/>
      <c r="BN981" s="15"/>
      <c r="BO981" s="15"/>
      <c r="BP981" s="15"/>
      <c r="BQ981" s="15"/>
      <c r="BR981" s="15"/>
      <c r="BS981" s="15"/>
      <c r="BT981" s="15"/>
      <c r="BU981" s="15"/>
      <c r="BV981" s="15"/>
      <c r="BW981" s="15"/>
      <c r="BX981" s="15"/>
      <c r="BY981" s="15"/>
      <c r="BZ981" s="15"/>
      <c r="CA981" s="15"/>
      <c r="CB981" s="15"/>
      <c r="CC981" s="15"/>
      <c r="CD981" s="15"/>
      <c r="CE981" s="15"/>
      <c r="CF981" s="15"/>
      <c r="CG981" s="15"/>
      <c r="CH981" s="15"/>
      <c r="CI981" s="15"/>
      <c r="CJ981" s="15"/>
      <c r="CK981" s="15"/>
      <c r="CL981" s="15"/>
      <c r="CM981" s="15"/>
      <c r="CN981" s="15"/>
      <c r="CO981" s="15"/>
      <c r="CP981" s="15"/>
      <c r="CQ981" s="15"/>
      <c r="CR981" s="15"/>
      <c r="CS981" s="73"/>
      <c r="CT981" s="15"/>
      <c r="CU981" s="15"/>
      <c r="CV981" s="15"/>
      <c r="CW981" s="15"/>
      <c r="CX981" s="15"/>
      <c r="CY981" s="15"/>
      <c r="CZ981" s="15"/>
      <c r="DA981" s="15"/>
      <c r="DB981" s="15"/>
      <c r="DC981" s="15"/>
      <c r="DD981" s="15"/>
      <c r="DE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c r="BA982" s="15"/>
      <c r="BB982" s="15"/>
      <c r="BC982" s="15"/>
      <c r="BD982" s="15"/>
      <c r="BE982" s="15"/>
      <c r="BF982" s="15"/>
      <c r="BG982" s="15"/>
      <c r="BH982" s="15"/>
      <c r="BI982" s="15"/>
      <c r="BJ982" s="61"/>
      <c r="BK982" s="15"/>
      <c r="BL982" s="15"/>
      <c r="BM982" s="15"/>
      <c r="BN982" s="15"/>
      <c r="BO982" s="15"/>
      <c r="BP982" s="15"/>
      <c r="BQ982" s="15"/>
      <c r="BR982" s="15"/>
      <c r="BS982" s="15"/>
      <c r="BT982" s="15"/>
      <c r="BU982" s="15"/>
      <c r="BV982" s="15"/>
      <c r="BW982" s="15"/>
      <c r="BX982" s="15"/>
      <c r="BY982" s="15"/>
      <c r="BZ982" s="15"/>
      <c r="CA982" s="15"/>
      <c r="CB982" s="15"/>
      <c r="CC982" s="15"/>
      <c r="CD982" s="15"/>
      <c r="CE982" s="15"/>
      <c r="CF982" s="15"/>
      <c r="CG982" s="15"/>
      <c r="CH982" s="15"/>
      <c r="CI982" s="15"/>
      <c r="CJ982" s="15"/>
      <c r="CK982" s="15"/>
      <c r="CL982" s="15"/>
      <c r="CM982" s="15"/>
      <c r="CN982" s="15"/>
      <c r="CO982" s="15"/>
      <c r="CP982" s="15"/>
      <c r="CQ982" s="15"/>
      <c r="CR982" s="15"/>
      <c r="CS982" s="73"/>
      <c r="CT982" s="15"/>
      <c r="CU982" s="15"/>
      <c r="CV982" s="15"/>
      <c r="CW982" s="15"/>
      <c r="CX982" s="15"/>
      <c r="CY982" s="15"/>
      <c r="CZ982" s="15"/>
      <c r="DA982" s="15"/>
      <c r="DB982" s="15"/>
      <c r="DC982" s="15"/>
      <c r="DD982" s="15"/>
      <c r="DE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c r="BA983" s="15"/>
      <c r="BB983" s="15"/>
      <c r="BC983" s="15"/>
      <c r="BD983" s="15"/>
      <c r="BE983" s="15"/>
      <c r="BF983" s="15"/>
      <c r="BG983" s="15"/>
      <c r="BH983" s="15"/>
      <c r="BI983" s="15"/>
      <c r="BJ983" s="61"/>
      <c r="BK983" s="15"/>
      <c r="BL983" s="15"/>
      <c r="BM983" s="15"/>
      <c r="BN983" s="15"/>
      <c r="BO983" s="15"/>
      <c r="BP983" s="15"/>
      <c r="BQ983" s="15"/>
      <c r="BR983" s="15"/>
      <c r="BS983" s="15"/>
      <c r="BT983" s="15"/>
      <c r="BU983" s="15"/>
      <c r="BV983" s="15"/>
      <c r="BW983" s="15"/>
      <c r="BX983" s="15"/>
      <c r="BY983" s="15"/>
      <c r="BZ983" s="15"/>
      <c r="CA983" s="15"/>
      <c r="CB983" s="15"/>
      <c r="CC983" s="15"/>
      <c r="CD983" s="15"/>
      <c r="CE983" s="15"/>
      <c r="CF983" s="15"/>
      <c r="CG983" s="15"/>
      <c r="CH983" s="15"/>
      <c r="CI983" s="15"/>
      <c r="CJ983" s="15"/>
      <c r="CK983" s="15"/>
      <c r="CL983" s="15"/>
      <c r="CM983" s="15"/>
      <c r="CN983" s="15"/>
      <c r="CO983" s="15"/>
      <c r="CP983" s="15"/>
      <c r="CQ983" s="15"/>
      <c r="CR983" s="15"/>
      <c r="CS983" s="73"/>
      <c r="CT983" s="15"/>
      <c r="CU983" s="15"/>
      <c r="CV983" s="15"/>
      <c r="CW983" s="15"/>
      <c r="CX983" s="15"/>
      <c r="CY983" s="15"/>
      <c r="CZ983" s="15"/>
      <c r="DA983" s="15"/>
      <c r="DB983" s="15"/>
      <c r="DC983" s="15"/>
      <c r="DD983" s="15"/>
      <c r="DE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c r="BA984" s="15"/>
      <c r="BB984" s="15"/>
      <c r="BC984" s="15"/>
      <c r="BD984" s="15"/>
      <c r="BE984" s="15"/>
      <c r="BF984" s="15"/>
      <c r="BG984" s="15"/>
      <c r="BH984" s="15"/>
      <c r="BI984" s="15"/>
      <c r="BJ984" s="61"/>
      <c r="BK984" s="15"/>
      <c r="BL984" s="15"/>
      <c r="BM984" s="15"/>
      <c r="BN984" s="15"/>
      <c r="BO984" s="15"/>
      <c r="BP984" s="15"/>
      <c r="BQ984" s="15"/>
      <c r="BR984" s="15"/>
      <c r="BS984" s="15"/>
      <c r="BT984" s="15"/>
      <c r="BU984" s="15"/>
      <c r="BV984" s="15"/>
      <c r="BW984" s="15"/>
      <c r="BX984" s="15"/>
      <c r="BY984" s="15"/>
      <c r="BZ984" s="15"/>
      <c r="CA984" s="15"/>
      <c r="CB984" s="15"/>
      <c r="CC984" s="15"/>
      <c r="CD984" s="15"/>
      <c r="CE984" s="15"/>
      <c r="CF984" s="15"/>
      <c r="CG984" s="15"/>
      <c r="CH984" s="15"/>
      <c r="CI984" s="15"/>
      <c r="CJ984" s="15"/>
      <c r="CK984" s="15"/>
      <c r="CL984" s="15"/>
      <c r="CM984" s="15"/>
      <c r="CN984" s="15"/>
      <c r="CO984" s="15"/>
      <c r="CP984" s="15"/>
      <c r="CQ984" s="15"/>
      <c r="CR984" s="15"/>
      <c r="CS984" s="73"/>
      <c r="CT984" s="15"/>
      <c r="CU984" s="15"/>
      <c r="CV984" s="15"/>
      <c r="CW984" s="15"/>
      <c r="CX984" s="15"/>
      <c r="CY984" s="15"/>
      <c r="CZ984" s="15"/>
      <c r="DA984" s="15"/>
      <c r="DB984" s="15"/>
      <c r="DC984" s="15"/>
      <c r="DD984" s="15"/>
      <c r="DE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c r="BA985" s="15"/>
      <c r="BB985" s="15"/>
      <c r="BC985" s="15"/>
      <c r="BD985" s="15"/>
      <c r="BE985" s="15"/>
      <c r="BF985" s="15"/>
      <c r="BG985" s="15"/>
      <c r="BH985" s="15"/>
      <c r="BI985" s="15"/>
      <c r="BJ985" s="61"/>
      <c r="BK985" s="15"/>
      <c r="BL985" s="15"/>
      <c r="BM985" s="15"/>
      <c r="BN985" s="15"/>
      <c r="BO985" s="15"/>
      <c r="BP985" s="15"/>
      <c r="BQ985" s="15"/>
      <c r="BR985" s="15"/>
      <c r="BS985" s="15"/>
      <c r="BT985" s="15"/>
      <c r="BU985" s="15"/>
      <c r="BV985" s="15"/>
      <c r="BW985" s="15"/>
      <c r="BX985" s="15"/>
      <c r="BY985" s="15"/>
      <c r="BZ985" s="15"/>
      <c r="CA985" s="15"/>
      <c r="CB985" s="15"/>
      <c r="CC985" s="15"/>
      <c r="CD985" s="15"/>
      <c r="CE985" s="15"/>
      <c r="CF985" s="15"/>
      <c r="CG985" s="15"/>
      <c r="CH985" s="15"/>
      <c r="CI985" s="15"/>
      <c r="CJ985" s="15"/>
      <c r="CK985" s="15"/>
      <c r="CL985" s="15"/>
      <c r="CM985" s="15"/>
      <c r="CN985" s="15"/>
      <c r="CO985" s="15"/>
      <c r="CP985" s="15"/>
      <c r="CQ985" s="15"/>
      <c r="CR985" s="15"/>
      <c r="CS985" s="73"/>
      <c r="CT985" s="15"/>
      <c r="CU985" s="15"/>
      <c r="CV985" s="15"/>
      <c r="CW985" s="15"/>
      <c r="CX985" s="15"/>
      <c r="CY985" s="15"/>
      <c r="CZ985" s="15"/>
      <c r="DA985" s="15"/>
      <c r="DB985" s="15"/>
      <c r="DC985" s="15"/>
      <c r="DD985" s="15"/>
      <c r="DE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c r="BA986" s="15"/>
      <c r="BB986" s="15"/>
      <c r="BC986" s="15"/>
      <c r="BD986" s="15"/>
      <c r="BE986" s="15"/>
      <c r="BF986" s="15"/>
      <c r="BG986" s="15"/>
      <c r="BH986" s="15"/>
      <c r="BI986" s="15"/>
      <c r="BJ986" s="61"/>
      <c r="BK986" s="15"/>
      <c r="BL986" s="15"/>
      <c r="BM986" s="15"/>
      <c r="BN986" s="15"/>
      <c r="BO986" s="15"/>
      <c r="BP986" s="15"/>
      <c r="BQ986" s="15"/>
      <c r="BR986" s="15"/>
      <c r="BS986" s="15"/>
      <c r="BT986" s="15"/>
      <c r="BU986" s="15"/>
      <c r="BV986" s="15"/>
      <c r="BW986" s="15"/>
      <c r="BX986" s="15"/>
      <c r="BY986" s="15"/>
      <c r="BZ986" s="15"/>
      <c r="CA986" s="15"/>
      <c r="CB986" s="15"/>
      <c r="CC986" s="15"/>
      <c r="CD986" s="15"/>
      <c r="CE986" s="15"/>
      <c r="CF986" s="15"/>
      <c r="CG986" s="15"/>
      <c r="CH986" s="15"/>
      <c r="CI986" s="15"/>
      <c r="CJ986" s="15"/>
      <c r="CK986" s="15"/>
      <c r="CL986" s="15"/>
      <c r="CM986" s="15"/>
      <c r="CN986" s="15"/>
      <c r="CO986" s="15"/>
      <c r="CP986" s="15"/>
      <c r="CQ986" s="15"/>
      <c r="CR986" s="15"/>
      <c r="CS986" s="73"/>
      <c r="CT986" s="15"/>
      <c r="CU986" s="15"/>
      <c r="CV986" s="15"/>
      <c r="CW986" s="15"/>
      <c r="CX986" s="15"/>
      <c r="CY986" s="15"/>
      <c r="CZ986" s="15"/>
      <c r="DA986" s="15"/>
      <c r="DB986" s="15"/>
      <c r="DC986" s="15"/>
      <c r="DD986" s="15"/>
      <c r="DE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c r="BA987" s="15"/>
      <c r="BB987" s="15"/>
      <c r="BC987" s="15"/>
      <c r="BD987" s="15"/>
      <c r="BE987" s="15"/>
      <c r="BF987" s="15"/>
      <c r="BG987" s="15"/>
      <c r="BH987" s="15"/>
      <c r="BI987" s="15"/>
      <c r="BJ987" s="61"/>
      <c r="BK987" s="15"/>
      <c r="BL987" s="15"/>
      <c r="BM987" s="15"/>
      <c r="BN987" s="15"/>
      <c r="BO987" s="15"/>
      <c r="BP987" s="15"/>
      <c r="BQ987" s="15"/>
      <c r="BR987" s="15"/>
      <c r="BS987" s="15"/>
      <c r="BT987" s="15"/>
      <c r="BU987" s="15"/>
      <c r="BV987" s="15"/>
      <c r="BW987" s="15"/>
      <c r="BX987" s="15"/>
      <c r="BY987" s="15"/>
      <c r="BZ987" s="15"/>
      <c r="CA987" s="15"/>
      <c r="CB987" s="15"/>
      <c r="CC987" s="15"/>
      <c r="CD987" s="15"/>
      <c r="CE987" s="15"/>
      <c r="CF987" s="15"/>
      <c r="CG987" s="15"/>
      <c r="CH987" s="15"/>
      <c r="CI987" s="15"/>
      <c r="CJ987" s="15"/>
      <c r="CK987" s="15"/>
      <c r="CL987" s="15"/>
      <c r="CM987" s="15"/>
      <c r="CN987" s="15"/>
      <c r="CO987" s="15"/>
      <c r="CP987" s="15"/>
      <c r="CQ987" s="15"/>
      <c r="CR987" s="15"/>
      <c r="CS987" s="73"/>
      <c r="CT987" s="15"/>
      <c r="CU987" s="15"/>
      <c r="CV987" s="15"/>
      <c r="CW987" s="15"/>
      <c r="CX987" s="15"/>
      <c r="CY987" s="15"/>
      <c r="CZ987" s="15"/>
      <c r="DA987" s="15"/>
      <c r="DB987" s="15"/>
      <c r="DC987" s="15"/>
      <c r="DD987" s="15"/>
      <c r="DE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c r="BA988" s="15"/>
      <c r="BB988" s="15"/>
      <c r="BC988" s="15"/>
      <c r="BD988" s="15"/>
      <c r="BE988" s="15"/>
      <c r="BF988" s="15"/>
      <c r="BG988" s="15"/>
      <c r="BH988" s="15"/>
      <c r="BI988" s="15"/>
      <c r="BJ988" s="61"/>
      <c r="BK988" s="15"/>
      <c r="BL988" s="15"/>
      <c r="BM988" s="15"/>
      <c r="BN988" s="15"/>
      <c r="BO988" s="15"/>
      <c r="BP988" s="15"/>
      <c r="BQ988" s="15"/>
      <c r="BR988" s="15"/>
      <c r="BS988" s="15"/>
      <c r="BT988" s="15"/>
      <c r="BU988" s="15"/>
      <c r="BV988" s="15"/>
      <c r="BW988" s="15"/>
      <c r="BX988" s="15"/>
      <c r="BY988" s="15"/>
      <c r="BZ988" s="15"/>
      <c r="CA988" s="15"/>
      <c r="CB988" s="15"/>
      <c r="CC988" s="15"/>
      <c r="CD988" s="15"/>
      <c r="CE988" s="15"/>
      <c r="CF988" s="15"/>
      <c r="CG988" s="15"/>
      <c r="CH988" s="15"/>
      <c r="CI988" s="15"/>
      <c r="CJ988" s="15"/>
      <c r="CK988" s="15"/>
      <c r="CL988" s="15"/>
      <c r="CM988" s="15"/>
      <c r="CN988" s="15"/>
      <c r="CO988" s="15"/>
      <c r="CP988" s="15"/>
      <c r="CQ988" s="15"/>
      <c r="CR988" s="15"/>
      <c r="CS988" s="73"/>
      <c r="CT988" s="15"/>
      <c r="CU988" s="15"/>
      <c r="CV988" s="15"/>
      <c r="CW988" s="15"/>
      <c r="CX988" s="15"/>
      <c r="CY988" s="15"/>
      <c r="CZ988" s="15"/>
      <c r="DA988" s="15"/>
      <c r="DB988" s="15"/>
      <c r="DC988" s="15"/>
      <c r="DD988" s="15"/>
      <c r="DE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c r="BA989" s="15"/>
      <c r="BB989" s="15"/>
      <c r="BC989" s="15"/>
      <c r="BD989" s="15"/>
      <c r="BE989" s="15"/>
      <c r="BF989" s="15"/>
      <c r="BG989" s="15"/>
      <c r="BH989" s="15"/>
      <c r="BI989" s="15"/>
      <c r="BJ989" s="61"/>
      <c r="BK989" s="15"/>
      <c r="BL989" s="15"/>
      <c r="BM989" s="15"/>
      <c r="BN989" s="15"/>
      <c r="BO989" s="15"/>
      <c r="BP989" s="15"/>
      <c r="BQ989" s="15"/>
      <c r="BR989" s="15"/>
      <c r="BS989" s="15"/>
      <c r="BT989" s="15"/>
      <c r="BU989" s="15"/>
      <c r="BV989" s="15"/>
      <c r="BW989" s="15"/>
      <c r="BX989" s="15"/>
      <c r="BY989" s="15"/>
      <c r="BZ989" s="15"/>
      <c r="CA989" s="15"/>
      <c r="CB989" s="15"/>
      <c r="CC989" s="15"/>
      <c r="CD989" s="15"/>
      <c r="CE989" s="15"/>
      <c r="CF989" s="15"/>
      <c r="CG989" s="15"/>
      <c r="CH989" s="15"/>
      <c r="CI989" s="15"/>
      <c r="CJ989" s="15"/>
      <c r="CK989" s="15"/>
      <c r="CL989" s="15"/>
      <c r="CM989" s="15"/>
      <c r="CN989" s="15"/>
      <c r="CO989" s="15"/>
      <c r="CP989" s="15"/>
      <c r="CQ989" s="15"/>
      <c r="CR989" s="15"/>
      <c r="CS989" s="73"/>
      <c r="CT989" s="15"/>
      <c r="CU989" s="15"/>
      <c r="CV989" s="15"/>
      <c r="CW989" s="15"/>
      <c r="CX989" s="15"/>
      <c r="CY989" s="15"/>
      <c r="CZ989" s="15"/>
      <c r="DA989" s="15"/>
      <c r="DB989" s="15"/>
      <c r="DC989" s="15"/>
      <c r="DD989" s="15"/>
      <c r="DE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c r="BA990" s="15"/>
      <c r="BB990" s="15"/>
      <c r="BC990" s="15"/>
      <c r="BD990" s="15"/>
      <c r="BE990" s="15"/>
      <c r="BF990" s="15"/>
      <c r="BG990" s="15"/>
      <c r="BH990" s="15"/>
      <c r="BI990" s="15"/>
      <c r="BJ990" s="61"/>
      <c r="BK990" s="15"/>
      <c r="BL990" s="15"/>
      <c r="BM990" s="15"/>
      <c r="BN990" s="15"/>
      <c r="BO990" s="15"/>
      <c r="BP990" s="15"/>
      <c r="BQ990" s="15"/>
      <c r="BR990" s="15"/>
      <c r="BS990" s="15"/>
      <c r="BT990" s="15"/>
      <c r="BU990" s="15"/>
      <c r="BV990" s="15"/>
      <c r="BW990" s="15"/>
      <c r="BX990" s="15"/>
      <c r="BY990" s="15"/>
      <c r="BZ990" s="15"/>
      <c r="CA990" s="15"/>
      <c r="CB990" s="15"/>
      <c r="CC990" s="15"/>
      <c r="CD990" s="15"/>
      <c r="CE990" s="15"/>
      <c r="CF990" s="15"/>
      <c r="CG990" s="15"/>
      <c r="CH990" s="15"/>
      <c r="CI990" s="15"/>
      <c r="CJ990" s="15"/>
      <c r="CK990" s="15"/>
      <c r="CL990" s="15"/>
      <c r="CM990" s="15"/>
      <c r="CN990" s="15"/>
      <c r="CO990" s="15"/>
      <c r="CP990" s="15"/>
      <c r="CQ990" s="15"/>
      <c r="CR990" s="15"/>
      <c r="CS990" s="73"/>
      <c r="CT990" s="15"/>
      <c r="CU990" s="15"/>
      <c r="CV990" s="15"/>
      <c r="CW990" s="15"/>
      <c r="CX990" s="15"/>
      <c r="CY990" s="15"/>
      <c r="CZ990" s="15"/>
      <c r="DA990" s="15"/>
      <c r="DB990" s="15"/>
      <c r="DC990" s="15"/>
      <c r="DD990" s="15"/>
      <c r="DE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c r="BA991" s="15"/>
      <c r="BB991" s="15"/>
      <c r="BC991" s="15"/>
      <c r="BD991" s="15"/>
      <c r="BE991" s="15"/>
      <c r="BF991" s="15"/>
      <c r="BG991" s="15"/>
      <c r="BH991" s="15"/>
      <c r="BI991" s="15"/>
      <c r="BJ991" s="61"/>
      <c r="BK991" s="15"/>
      <c r="BL991" s="15"/>
      <c r="BM991" s="15"/>
      <c r="BN991" s="15"/>
      <c r="BO991" s="15"/>
      <c r="BP991" s="15"/>
      <c r="BQ991" s="15"/>
      <c r="BR991" s="15"/>
      <c r="BS991" s="15"/>
      <c r="BT991" s="15"/>
      <c r="BU991" s="15"/>
      <c r="BV991" s="15"/>
      <c r="BW991" s="15"/>
      <c r="BX991" s="15"/>
      <c r="BY991" s="15"/>
      <c r="BZ991" s="15"/>
      <c r="CA991" s="15"/>
      <c r="CB991" s="15"/>
      <c r="CC991" s="15"/>
      <c r="CD991" s="15"/>
      <c r="CE991" s="15"/>
      <c r="CF991" s="15"/>
      <c r="CG991" s="15"/>
      <c r="CH991" s="15"/>
      <c r="CI991" s="15"/>
      <c r="CJ991" s="15"/>
      <c r="CK991" s="15"/>
      <c r="CL991" s="15"/>
      <c r="CM991" s="15"/>
      <c r="CN991" s="15"/>
      <c r="CO991" s="15"/>
      <c r="CP991" s="15"/>
      <c r="CQ991" s="15"/>
      <c r="CR991" s="15"/>
      <c r="CS991" s="73"/>
      <c r="CT991" s="15"/>
      <c r="CU991" s="15"/>
      <c r="CV991" s="15"/>
      <c r="CW991" s="15"/>
      <c r="CX991" s="15"/>
      <c r="CY991" s="15"/>
      <c r="CZ991" s="15"/>
      <c r="DA991" s="15"/>
      <c r="DB991" s="15"/>
      <c r="DC991" s="15"/>
      <c r="DD991" s="15"/>
      <c r="DE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c r="BA992" s="15"/>
      <c r="BB992" s="15"/>
      <c r="BC992" s="15"/>
      <c r="BD992" s="15"/>
      <c r="BE992" s="15"/>
      <c r="BF992" s="15"/>
      <c r="BG992" s="15"/>
      <c r="BH992" s="15"/>
      <c r="BI992" s="15"/>
      <c r="BJ992" s="61"/>
      <c r="BK992" s="15"/>
      <c r="BL992" s="15"/>
      <c r="BM992" s="15"/>
      <c r="BN992" s="15"/>
      <c r="BO992" s="15"/>
      <c r="BP992" s="15"/>
      <c r="BQ992" s="15"/>
      <c r="BR992" s="15"/>
      <c r="BS992" s="15"/>
      <c r="BT992" s="15"/>
      <c r="BU992" s="15"/>
      <c r="BV992" s="15"/>
      <c r="BW992" s="15"/>
      <c r="BX992" s="15"/>
      <c r="BY992" s="15"/>
      <c r="BZ992" s="15"/>
      <c r="CA992" s="15"/>
      <c r="CB992" s="15"/>
      <c r="CC992" s="15"/>
      <c r="CD992" s="15"/>
      <c r="CE992" s="15"/>
      <c r="CF992" s="15"/>
      <c r="CG992" s="15"/>
      <c r="CH992" s="15"/>
      <c r="CI992" s="15"/>
      <c r="CJ992" s="15"/>
      <c r="CK992" s="15"/>
      <c r="CL992" s="15"/>
      <c r="CM992" s="15"/>
      <c r="CN992" s="15"/>
      <c r="CO992" s="15"/>
      <c r="CP992" s="15"/>
      <c r="CQ992" s="15"/>
      <c r="CR992" s="15"/>
      <c r="CS992" s="73"/>
      <c r="CT992" s="15"/>
      <c r="CU992" s="15"/>
      <c r="CV992" s="15"/>
      <c r="CW992" s="15"/>
      <c r="CX992" s="15"/>
      <c r="CY992" s="15"/>
      <c r="CZ992" s="15"/>
      <c r="DA992" s="15"/>
      <c r="DB992" s="15"/>
      <c r="DC992" s="15"/>
      <c r="DD992" s="15"/>
      <c r="DE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c r="BA993" s="15"/>
      <c r="BB993" s="15"/>
      <c r="BC993" s="15"/>
      <c r="BD993" s="15"/>
      <c r="BE993" s="15"/>
      <c r="BF993" s="15"/>
      <c r="BG993" s="15"/>
      <c r="BH993" s="15"/>
      <c r="BI993" s="15"/>
      <c r="BJ993" s="61"/>
      <c r="BK993" s="15"/>
      <c r="BL993" s="15"/>
      <c r="BM993" s="15"/>
      <c r="BN993" s="15"/>
      <c r="BO993" s="15"/>
      <c r="BP993" s="15"/>
      <c r="BQ993" s="15"/>
      <c r="BR993" s="15"/>
      <c r="BS993" s="15"/>
      <c r="BT993" s="15"/>
      <c r="BU993" s="15"/>
      <c r="BV993" s="15"/>
      <c r="BW993" s="15"/>
      <c r="BX993" s="15"/>
      <c r="BY993" s="15"/>
      <c r="BZ993" s="15"/>
      <c r="CA993" s="15"/>
      <c r="CB993" s="15"/>
      <c r="CC993" s="15"/>
      <c r="CD993" s="15"/>
      <c r="CE993" s="15"/>
      <c r="CF993" s="15"/>
      <c r="CG993" s="15"/>
      <c r="CH993" s="15"/>
      <c r="CI993" s="15"/>
      <c r="CJ993" s="15"/>
      <c r="CK993" s="15"/>
      <c r="CL993" s="15"/>
      <c r="CM993" s="15"/>
      <c r="CN993" s="15"/>
      <c r="CO993" s="15"/>
      <c r="CP993" s="15"/>
      <c r="CQ993" s="15"/>
      <c r="CR993" s="15"/>
      <c r="CS993" s="73"/>
      <c r="CT993" s="15"/>
      <c r="CU993" s="15"/>
      <c r="CV993" s="15"/>
      <c r="CW993" s="15"/>
      <c r="CX993" s="15"/>
      <c r="CY993" s="15"/>
      <c r="CZ993" s="15"/>
      <c r="DA993" s="15"/>
      <c r="DB993" s="15"/>
      <c r="DC993" s="15"/>
      <c r="DD993" s="15"/>
      <c r="DE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c r="BA994" s="15"/>
      <c r="BB994" s="15"/>
      <c r="BC994" s="15"/>
      <c r="BD994" s="15"/>
      <c r="BE994" s="15"/>
      <c r="BF994" s="15"/>
      <c r="BG994" s="15"/>
      <c r="BH994" s="15"/>
      <c r="BI994" s="15"/>
      <c r="BJ994" s="61"/>
      <c r="BK994" s="15"/>
      <c r="BL994" s="15"/>
      <c r="BM994" s="15"/>
      <c r="BN994" s="15"/>
      <c r="BO994" s="15"/>
      <c r="BP994" s="15"/>
      <c r="BQ994" s="15"/>
      <c r="BR994" s="15"/>
      <c r="BS994" s="15"/>
      <c r="BT994" s="15"/>
      <c r="BU994" s="15"/>
      <c r="BV994" s="15"/>
      <c r="BW994" s="15"/>
      <c r="BX994" s="15"/>
      <c r="BY994" s="15"/>
      <c r="BZ994" s="15"/>
      <c r="CA994" s="15"/>
      <c r="CB994" s="15"/>
      <c r="CC994" s="15"/>
      <c r="CD994" s="15"/>
      <c r="CE994" s="15"/>
      <c r="CF994" s="15"/>
      <c r="CG994" s="15"/>
      <c r="CH994" s="15"/>
      <c r="CI994" s="15"/>
      <c r="CJ994" s="15"/>
      <c r="CK994" s="15"/>
      <c r="CL994" s="15"/>
      <c r="CM994" s="15"/>
      <c r="CN994" s="15"/>
      <c r="CO994" s="15"/>
      <c r="CP994" s="15"/>
      <c r="CQ994" s="15"/>
      <c r="CR994" s="15"/>
      <c r="CS994" s="73"/>
      <c r="CT994" s="15"/>
      <c r="CU994" s="15"/>
      <c r="CV994" s="15"/>
      <c r="CW994" s="15"/>
      <c r="CX994" s="15"/>
      <c r="CY994" s="15"/>
      <c r="CZ994" s="15"/>
      <c r="DA994" s="15"/>
      <c r="DB994" s="15"/>
      <c r="DC994" s="15"/>
      <c r="DD994" s="15"/>
      <c r="DE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c r="BA995" s="15"/>
      <c r="BB995" s="15"/>
      <c r="BC995" s="15"/>
      <c r="BD995" s="15"/>
      <c r="BE995" s="15"/>
      <c r="BF995" s="15"/>
      <c r="BG995" s="15"/>
      <c r="BH995" s="15"/>
      <c r="BI995" s="15"/>
      <c r="BJ995" s="61"/>
      <c r="BK995" s="15"/>
      <c r="BL995" s="15"/>
      <c r="BM995" s="15"/>
      <c r="BN995" s="15"/>
      <c r="BO995" s="15"/>
      <c r="BP995" s="15"/>
      <c r="BQ995" s="15"/>
      <c r="BR995" s="15"/>
      <c r="BS995" s="15"/>
      <c r="BT995" s="15"/>
      <c r="BU995" s="15"/>
      <c r="BV995" s="15"/>
      <c r="BW995" s="15"/>
      <c r="BX995" s="15"/>
      <c r="BY995" s="15"/>
      <c r="BZ995" s="15"/>
      <c r="CA995" s="15"/>
      <c r="CB995" s="15"/>
      <c r="CC995" s="15"/>
      <c r="CD995" s="15"/>
      <c r="CE995" s="15"/>
      <c r="CF995" s="15"/>
      <c r="CG995" s="15"/>
      <c r="CH995" s="15"/>
      <c r="CI995" s="15"/>
      <c r="CJ995" s="15"/>
      <c r="CK995" s="15"/>
      <c r="CL995" s="15"/>
      <c r="CM995" s="15"/>
      <c r="CN995" s="15"/>
      <c r="CO995" s="15"/>
      <c r="CP995" s="15"/>
      <c r="CQ995" s="15"/>
      <c r="CR995" s="15"/>
      <c r="CS995" s="73"/>
      <c r="CT995" s="15"/>
      <c r="CU995" s="15"/>
      <c r="CV995" s="15"/>
      <c r="CW995" s="15"/>
      <c r="CX995" s="15"/>
      <c r="CY995" s="15"/>
      <c r="CZ995" s="15"/>
      <c r="DA995" s="15"/>
      <c r="DB995" s="15"/>
      <c r="DC995" s="15"/>
      <c r="DD995" s="15"/>
      <c r="DE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c r="BA996" s="15"/>
      <c r="BB996" s="15"/>
      <c r="BC996" s="15"/>
      <c r="BD996" s="15"/>
      <c r="BE996" s="15"/>
      <c r="BF996" s="15"/>
      <c r="BG996" s="15"/>
      <c r="BH996" s="15"/>
      <c r="BI996" s="15"/>
      <c r="BJ996" s="61"/>
      <c r="BK996" s="15"/>
      <c r="BL996" s="15"/>
      <c r="BM996" s="15"/>
      <c r="BN996" s="15"/>
      <c r="BO996" s="15"/>
      <c r="BP996" s="15"/>
      <c r="BQ996" s="15"/>
      <c r="BR996" s="15"/>
      <c r="BS996" s="15"/>
      <c r="BT996" s="15"/>
      <c r="BU996" s="15"/>
      <c r="BV996" s="15"/>
      <c r="BW996" s="15"/>
      <c r="BX996" s="15"/>
      <c r="BY996" s="15"/>
      <c r="BZ996" s="15"/>
      <c r="CA996" s="15"/>
      <c r="CB996" s="15"/>
      <c r="CC996" s="15"/>
      <c r="CD996" s="15"/>
      <c r="CE996" s="15"/>
      <c r="CF996" s="15"/>
      <c r="CG996" s="15"/>
      <c r="CH996" s="15"/>
      <c r="CI996" s="15"/>
      <c r="CJ996" s="15"/>
      <c r="CK996" s="15"/>
      <c r="CL996" s="15"/>
      <c r="CM996" s="15"/>
      <c r="CN996" s="15"/>
      <c r="CO996" s="15"/>
      <c r="CP996" s="15"/>
      <c r="CQ996" s="15"/>
      <c r="CR996" s="15"/>
      <c r="CS996" s="73"/>
      <c r="CT996" s="15"/>
      <c r="CU996" s="15"/>
      <c r="CV996" s="15"/>
      <c r="CW996" s="15"/>
      <c r="CX996" s="15"/>
      <c r="CY996" s="15"/>
      <c r="CZ996" s="15"/>
      <c r="DA996" s="15"/>
      <c r="DB996" s="15"/>
      <c r="DC996" s="15"/>
      <c r="DD996" s="15"/>
      <c r="DE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c r="BA997" s="15"/>
      <c r="BB997" s="15"/>
      <c r="BC997" s="15"/>
      <c r="BD997" s="15"/>
      <c r="BE997" s="15"/>
      <c r="BF997" s="15"/>
      <c r="BG997" s="15"/>
      <c r="BH997" s="15"/>
      <c r="BI997" s="15"/>
      <c r="BJ997" s="61"/>
      <c r="BK997" s="15"/>
      <c r="BL997" s="15"/>
      <c r="BM997" s="15"/>
      <c r="BN997" s="15"/>
      <c r="BO997" s="15"/>
      <c r="BP997" s="15"/>
      <c r="BQ997" s="15"/>
      <c r="BR997" s="15"/>
      <c r="BS997" s="15"/>
      <c r="BT997" s="15"/>
      <c r="BU997" s="15"/>
      <c r="BV997" s="15"/>
      <c r="BW997" s="15"/>
      <c r="BX997" s="15"/>
      <c r="BY997" s="15"/>
      <c r="BZ997" s="15"/>
      <c r="CA997" s="15"/>
      <c r="CB997" s="15"/>
      <c r="CC997" s="15"/>
      <c r="CD997" s="15"/>
      <c r="CE997" s="15"/>
      <c r="CF997" s="15"/>
      <c r="CG997" s="15"/>
      <c r="CH997" s="15"/>
      <c r="CI997" s="15"/>
      <c r="CJ997" s="15"/>
      <c r="CK997" s="15"/>
      <c r="CL997" s="15"/>
      <c r="CM997" s="15"/>
      <c r="CN997" s="15"/>
      <c r="CO997" s="15"/>
      <c r="CP997" s="15"/>
      <c r="CQ997" s="15"/>
      <c r="CR997" s="15"/>
      <c r="CS997" s="73"/>
      <c r="CT997" s="15"/>
      <c r="CU997" s="15"/>
      <c r="CV997" s="15"/>
      <c r="CW997" s="15"/>
      <c r="CX997" s="15"/>
      <c r="CY997" s="15"/>
      <c r="CZ997" s="15"/>
      <c r="DA997" s="15"/>
      <c r="DB997" s="15"/>
      <c r="DC997" s="15"/>
      <c r="DD997" s="15"/>
      <c r="DE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c r="BA998" s="15"/>
      <c r="BB998" s="15"/>
      <c r="BC998" s="15"/>
      <c r="BD998" s="15"/>
      <c r="BE998" s="15"/>
      <c r="BF998" s="15"/>
      <c r="BG998" s="15"/>
      <c r="BH998" s="15"/>
      <c r="BI998" s="15"/>
      <c r="BJ998" s="61"/>
      <c r="BK998" s="15"/>
      <c r="BL998" s="15"/>
      <c r="BM998" s="15"/>
      <c r="BN998" s="15"/>
      <c r="BO998" s="15"/>
      <c r="BP998" s="15"/>
      <c r="BQ998" s="15"/>
      <c r="BR998" s="15"/>
      <c r="BS998" s="15"/>
      <c r="BT998" s="15"/>
      <c r="BU998" s="15"/>
      <c r="BV998" s="15"/>
      <c r="BW998" s="15"/>
      <c r="BX998" s="15"/>
      <c r="BY998" s="15"/>
      <c r="BZ998" s="15"/>
      <c r="CA998" s="15"/>
      <c r="CB998" s="15"/>
      <c r="CC998" s="15"/>
      <c r="CD998" s="15"/>
      <c r="CE998" s="15"/>
      <c r="CF998" s="15"/>
      <c r="CG998" s="15"/>
      <c r="CH998" s="15"/>
      <c r="CI998" s="15"/>
      <c r="CJ998" s="15"/>
      <c r="CK998" s="15"/>
      <c r="CL998" s="15"/>
      <c r="CM998" s="15"/>
      <c r="CN998" s="15"/>
      <c r="CO998" s="15"/>
      <c r="CP998" s="15"/>
      <c r="CQ998" s="15"/>
      <c r="CR998" s="15"/>
      <c r="CS998" s="73"/>
      <c r="CT998" s="15"/>
      <c r="CU998" s="15"/>
      <c r="CV998" s="15"/>
      <c r="CW998" s="15"/>
      <c r="CX998" s="15"/>
      <c r="CY998" s="15"/>
      <c r="CZ998" s="15"/>
      <c r="DA998" s="15"/>
      <c r="DB998" s="15"/>
      <c r="DC998" s="15"/>
      <c r="DD998" s="15"/>
      <c r="DE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c r="BA999" s="15"/>
      <c r="BB999" s="15"/>
      <c r="BC999" s="15"/>
      <c r="BD999" s="15"/>
      <c r="BE999" s="15"/>
      <c r="BF999" s="15"/>
      <c r="BG999" s="15"/>
      <c r="BH999" s="15"/>
      <c r="BI999" s="15"/>
      <c r="BJ999" s="61"/>
      <c r="BK999" s="15"/>
      <c r="BL999" s="15"/>
      <c r="BM999" s="15"/>
      <c r="BN999" s="15"/>
      <c r="BO999" s="15"/>
      <c r="BP999" s="15"/>
      <c r="BQ999" s="15"/>
      <c r="BR999" s="15"/>
      <c r="BS999" s="15"/>
      <c r="BT999" s="15"/>
      <c r="BU999" s="15"/>
      <c r="BV999" s="15"/>
      <c r="BW999" s="15"/>
      <c r="BX999" s="15"/>
      <c r="BY999" s="15"/>
      <c r="BZ999" s="15"/>
      <c r="CA999" s="15"/>
      <c r="CB999" s="15"/>
      <c r="CC999" s="15"/>
      <c r="CD999" s="15"/>
      <c r="CE999" s="15"/>
      <c r="CF999" s="15"/>
      <c r="CG999" s="15"/>
      <c r="CH999" s="15"/>
      <c r="CI999" s="15"/>
      <c r="CJ999" s="15"/>
      <c r="CK999" s="15"/>
      <c r="CL999" s="15"/>
      <c r="CM999" s="15"/>
      <c r="CN999" s="15"/>
      <c r="CO999" s="15"/>
      <c r="CP999" s="15"/>
      <c r="CQ999" s="15"/>
      <c r="CR999" s="15"/>
      <c r="CS999" s="73"/>
      <c r="CT999" s="15"/>
      <c r="CU999" s="15"/>
      <c r="CV999" s="15"/>
      <c r="CW999" s="15"/>
      <c r="CX999" s="15"/>
      <c r="CY999" s="15"/>
      <c r="CZ999" s="15"/>
      <c r="DA999" s="15"/>
      <c r="DB999" s="15"/>
      <c r="DC999" s="15"/>
      <c r="DD999" s="15"/>
      <c r="DE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c r="BA1000" s="15"/>
      <c r="BB1000" s="15"/>
      <c r="BC1000" s="15"/>
      <c r="BD1000" s="15"/>
      <c r="BE1000" s="15"/>
      <c r="BF1000" s="15"/>
      <c r="BG1000" s="15"/>
      <c r="BH1000" s="15"/>
      <c r="BI1000" s="15"/>
      <c r="BJ1000" s="61"/>
      <c r="BK1000" s="15"/>
      <c r="BL1000" s="15"/>
      <c r="BM1000" s="15"/>
      <c r="BN1000" s="15"/>
      <c r="BO1000" s="15"/>
      <c r="BP1000" s="15"/>
      <c r="BQ1000" s="15"/>
      <c r="BR1000" s="15"/>
      <c r="BS1000" s="15"/>
      <c r="BT1000" s="15"/>
      <c r="BU1000" s="15"/>
      <c r="BV1000" s="15"/>
      <c r="BW1000" s="15"/>
      <c r="BX1000" s="15"/>
      <c r="BY1000" s="15"/>
      <c r="BZ1000" s="15"/>
      <c r="CA1000" s="15"/>
      <c r="CB1000" s="15"/>
      <c r="CC1000" s="15"/>
      <c r="CD1000" s="15"/>
      <c r="CE1000" s="15"/>
      <c r="CF1000" s="15"/>
      <c r="CG1000" s="15"/>
      <c r="CH1000" s="15"/>
      <c r="CI1000" s="15"/>
      <c r="CJ1000" s="15"/>
      <c r="CK1000" s="15"/>
      <c r="CL1000" s="15"/>
      <c r="CM1000" s="15"/>
      <c r="CN1000" s="15"/>
      <c r="CO1000" s="15"/>
      <c r="CP1000" s="15"/>
      <c r="CQ1000" s="15"/>
      <c r="CR1000" s="15"/>
      <c r="CS1000" s="73"/>
      <c r="CT1000" s="15"/>
      <c r="CU1000" s="15"/>
      <c r="CV1000" s="15"/>
      <c r="CW1000" s="15"/>
      <c r="CX1000" s="15"/>
      <c r="CY1000" s="15"/>
      <c r="CZ1000" s="15"/>
      <c r="DA1000" s="15"/>
      <c r="DB1000" s="15"/>
      <c r="DC1000" s="15"/>
      <c r="DD1000" s="15"/>
      <c r="DE1000"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88"/>
    <col customWidth="1" min="2" max="2" width="8.75"/>
    <col customWidth="1" hidden="1" min="3" max="3" width="8.63"/>
    <col customWidth="1" min="4" max="4" width="9.0"/>
    <col customWidth="1" min="5" max="5" width="12.75"/>
    <col customWidth="1" hidden="1" min="6" max="6" width="8.0"/>
    <col customWidth="1" min="7" max="7" width="8.38"/>
    <col customWidth="1" hidden="1" min="8" max="8" width="8.5"/>
    <col customWidth="1" min="9" max="9" width="11.38"/>
    <col customWidth="1" min="10" max="10" width="5.13"/>
    <col customWidth="1" min="11" max="11" width="16.5"/>
    <col customWidth="1" hidden="1" min="12" max="12" width="10.88"/>
    <col customWidth="1" min="13" max="13" width="12.88"/>
    <col customWidth="1" min="14" max="14" width="11.25"/>
    <col customWidth="1" min="15" max="15" width="14.38"/>
    <col customWidth="1" hidden="1" min="16" max="16" width="15.25"/>
    <col customWidth="1" hidden="1" min="17" max="17" width="11.88"/>
    <col customWidth="1" min="18" max="18" width="11.38"/>
    <col customWidth="1" min="19" max="19" width="10.38"/>
    <col customWidth="1" min="20" max="20" width="12.63"/>
  </cols>
  <sheetData>
    <row r="1">
      <c r="A1" s="74" t="s">
        <v>558</v>
      </c>
      <c r="L1" s="75"/>
      <c r="M1" s="75"/>
      <c r="N1" s="75"/>
      <c r="O1" s="75"/>
      <c r="P1" s="75"/>
      <c r="Q1" s="75"/>
      <c r="R1" s="75"/>
      <c r="S1" s="75"/>
      <c r="T1" s="75"/>
      <c r="U1" s="76"/>
      <c r="V1" s="76"/>
      <c r="W1" s="76"/>
      <c r="X1" s="76"/>
      <c r="Y1" s="76"/>
      <c r="Z1" s="76"/>
      <c r="AA1" s="76"/>
      <c r="AB1" s="76"/>
      <c r="AC1" s="76"/>
      <c r="AD1" s="76"/>
      <c r="AE1" s="76"/>
    </row>
    <row r="2">
      <c r="A2" s="77">
        <v>27.0</v>
      </c>
      <c r="B2" s="78" t="s">
        <v>559</v>
      </c>
      <c r="C2" s="78" t="s">
        <v>560</v>
      </c>
      <c r="D2" s="78" t="s">
        <v>561</v>
      </c>
      <c r="E2" s="78" t="s">
        <v>512</v>
      </c>
      <c r="F2" s="79" t="s">
        <v>562</v>
      </c>
      <c r="G2" s="79" t="s">
        <v>563</v>
      </c>
      <c r="H2" s="79" t="s">
        <v>520</v>
      </c>
      <c r="I2" s="79" t="s">
        <v>532</v>
      </c>
      <c r="J2" s="79" t="s">
        <v>564</v>
      </c>
      <c r="K2" s="79" t="s">
        <v>565</v>
      </c>
      <c r="L2" s="79" t="s">
        <v>525</v>
      </c>
      <c r="M2" s="80" t="s">
        <v>566</v>
      </c>
      <c r="N2" s="78" t="s">
        <v>527</v>
      </c>
      <c r="O2" s="78" t="s">
        <v>528</v>
      </c>
      <c r="P2" s="80" t="s">
        <v>567</v>
      </c>
      <c r="Q2" s="81" t="s">
        <v>568</v>
      </c>
      <c r="R2" s="80" t="s">
        <v>569</v>
      </c>
      <c r="S2" s="78" t="s">
        <v>537</v>
      </c>
      <c r="T2" s="75"/>
      <c r="U2" s="76"/>
      <c r="V2" s="76"/>
      <c r="W2" s="76"/>
      <c r="X2" s="76"/>
      <c r="Y2" s="76"/>
      <c r="Z2" s="76"/>
      <c r="AA2" s="76"/>
      <c r="AB2" s="76"/>
      <c r="AC2" s="76"/>
      <c r="AD2" s="76"/>
      <c r="AE2" s="76"/>
    </row>
    <row r="3">
      <c r="A3" s="79">
        <f>SUMIF(Setup!A:A, $A$2, Setup!B:B)</f>
        <v>118</v>
      </c>
      <c r="B3" s="82" t="str">
        <f>IFERROR(__xludf.DUMMYFUNCTION("IFERROR(FILTER(DriverInfo!B$2:B1000, DriverInfo!A$2:A1000=A3),"""")"),"swerve")</f>
        <v>swerve</v>
      </c>
      <c r="C3" s="83">
        <f>SUMIF(RawTotals!A$2:A1000, A3, RawTotals!C$2:C1000)</f>
        <v>0</v>
      </c>
      <c r="D3" s="84">
        <f>SUMIF(RawTotals!A$2:A1000, A3, RawTotals!D$2:D1000)</f>
        <v>1.75</v>
      </c>
      <c r="E3" s="85">
        <f>SUMIF(RawTotals!A$2:A1000, A3, RawTotals!G$2:G1000)</f>
        <v>0.8235294118</v>
      </c>
      <c r="F3" s="84">
        <f>SUMIF(RawTotals!A$2:A1000, A3, RawTotals!L$2:L1000)</f>
        <v>0</v>
      </c>
      <c r="G3" s="84">
        <f>SUMIF(RawTotals!A$2:A1000, A3, RawTotals!M$2:M1000)</f>
        <v>11.375</v>
      </c>
      <c r="H3" s="85">
        <f>SUMIF(RawTotals!A$2:A1000, A3, RawTotals!O$2:O1000)</f>
        <v>0.8898305085</v>
      </c>
      <c r="I3" s="84">
        <f>SUMIF(RawTotals!A$2:A1000, A3, RawTotals!Z$2:Z1000)+SUMIF(RawTotals!A$2:A1000, A3, RawTotals!Y$2:Y1000)</f>
        <v>29.75</v>
      </c>
      <c r="J3" s="84">
        <f>SUMIF(RawTotals!A$2:A1000, A3, RawTotals!P$2:P1000)</f>
        <v>11.25</v>
      </c>
      <c r="K3" s="85">
        <f>SUMIF(RawTotals!$A$2:$A1000, $A3, RawTotals!S$2:S1000)</f>
        <v>0.8571428571</v>
      </c>
      <c r="L3" s="85">
        <f>SUMIF(RawTotals!$A$2:$A1000, $A3, RawTotals!T$2:T1000)</f>
        <v>0</v>
      </c>
      <c r="M3" s="85">
        <f>SUMIF(RawTotals!$A$2:$A1000, $A3, RawTotals!U$2:U1000)</f>
        <v>0</v>
      </c>
      <c r="N3" s="85">
        <f>SUMIF(RawTotals!$A$2:$A1000, $A3, RawTotals!V$2:V1000)</f>
        <v>0</v>
      </c>
      <c r="O3" s="85">
        <f>SUMIF(RawTotals!$A$2:$A1000, $A3, RawTotals!W$2:W1000)</f>
        <v>0.75</v>
      </c>
      <c r="P3" s="86">
        <f>SUMIF(RawTotals!$A$2:$A1000, $B3, RawTotals!AM$2:AM1000)</f>
        <v>0</v>
      </c>
      <c r="Q3" s="86">
        <f>SUMIF(RawTotals!$A$2:$A1000, $B3, RawTotals!AN$2:AN1000)</f>
        <v>0</v>
      </c>
      <c r="R3" s="87">
        <v>1024.0</v>
      </c>
      <c r="S3" s="88">
        <f>(IF(SUM(C$3:D$5)&lt;=10,SUM(I3:J3),SUM(J3+(G3*2)+F3+13.3)))-SUMIF(RawTotals!$A$2:$A1000, $R3, RawTotals!AK$2:AK1000)</f>
        <v>41</v>
      </c>
      <c r="T3" s="89"/>
      <c r="U3" s="76"/>
      <c r="V3" s="76"/>
      <c r="W3" s="76"/>
      <c r="X3" s="76"/>
      <c r="Y3" s="76"/>
      <c r="Z3" s="76"/>
      <c r="AA3" s="76"/>
      <c r="AB3" s="76"/>
      <c r="AC3" s="76"/>
      <c r="AD3" s="76"/>
      <c r="AE3" s="76"/>
    </row>
    <row r="4">
      <c r="A4" s="79">
        <f>SUMIF(Setup!A:A, $A$2, Setup!C:C)</f>
        <v>5712</v>
      </c>
      <c r="B4" s="82" t="str">
        <f>IFERROR(__xludf.DUMMYFUNCTION("IFERROR(FILTER(DriverInfo!B$2:B1000, DriverInfo!A$2:A1000=A4),"""")"),"Swerve")</f>
        <v>Swerve</v>
      </c>
      <c r="C4" s="83">
        <f>SUMIF(RawTotals!A$2:A1000, A4, RawTotals!C$2:C1000)</f>
        <v>0</v>
      </c>
      <c r="D4" s="84">
        <f>SUMIF(RawTotals!A$2:A1000, A4, RawTotals!D$2:D1000)</f>
        <v>1</v>
      </c>
      <c r="E4" s="85">
        <f>SUMIF(RawTotals!A$2:A1000, A4, RawTotals!G$2:G1000)</f>
        <v>0.6666666667</v>
      </c>
      <c r="F4" s="84">
        <f>SUMIF(RawTotals!A$2:A1000, A4, RawTotals!L$2:L1000)</f>
        <v>0.125</v>
      </c>
      <c r="G4" s="84">
        <f>SUMIF(RawTotals!A$2:A1000, A4, RawTotals!M$2:M1000)</f>
        <v>12</v>
      </c>
      <c r="H4" s="85">
        <f>SUMIF(RawTotals!A$2:A1000, A4, RawTotals!O$2:O1000)</f>
        <v>0.875</v>
      </c>
      <c r="I4" s="84">
        <f>SUMIF(RawTotals!A$2:A1000, A4, RawTotals!Z$2:Z1000)+SUMIF(RawTotals!A$2:A1000, A4, RawTotals!Y$2:Y1000)</f>
        <v>28.125</v>
      </c>
      <c r="J4" s="84">
        <f>SUMIF(RawTotals!A$2:A1000, A4, RawTotals!P$2:P1000)</f>
        <v>12.5</v>
      </c>
      <c r="K4" s="85">
        <f>SUMIF(RawTotals!$A$2:$A1000, $A4, RawTotals!S$2:S1000)</f>
        <v>1</v>
      </c>
      <c r="L4" s="85">
        <f>SUMIF(RawTotals!$A$2:$A1000, $A4, RawTotals!T$2:T1000)</f>
        <v>0</v>
      </c>
      <c r="M4" s="85">
        <f>SUMIF(RawTotals!$A$2:$A1000, $A4, RawTotals!U$2:U1000)</f>
        <v>0</v>
      </c>
      <c r="N4" s="85">
        <f>SUMIF(RawTotals!$A$2:$A1000, $A4, RawTotals!V$2:V1000)</f>
        <v>0.125</v>
      </c>
      <c r="O4" s="85">
        <f>SUMIF(RawTotals!$A$2:$A1000, $A4, RawTotals!W$2:W1000)</f>
        <v>0.75</v>
      </c>
      <c r="P4" s="86">
        <f>SUMIF(RawTotals!$A$2:$A1000, $B4, RawTotals!AM$2:AM1000)</f>
        <v>0</v>
      </c>
      <c r="Q4" s="86">
        <f>SUMIF(RawTotals!$A$2:$A1000, $B4, RawTotals!AN$2:AN1000)</f>
        <v>0</v>
      </c>
      <c r="R4" s="75"/>
      <c r="S4" s="88">
        <f>(IF(SUM(C$3:D$5)&lt;=10,SUM(I4:J4),SUM(J4+(G4*2)+F4+13.3)))-SUMIF(RawTotals!$A$2:$A1000, $R4, RawTotals!AK$2:AK1000)</f>
        <v>40.625</v>
      </c>
      <c r="T4" s="89"/>
      <c r="U4" s="76"/>
      <c r="V4" s="76"/>
      <c r="W4" s="76"/>
      <c r="X4" s="76"/>
      <c r="Y4" s="76"/>
      <c r="Z4" s="76"/>
      <c r="AA4" s="76"/>
      <c r="AB4" s="76"/>
      <c r="AC4" s="76"/>
      <c r="AD4" s="76"/>
      <c r="AE4" s="76"/>
    </row>
    <row r="5">
      <c r="A5" s="79">
        <f>SUMIF(Setup!A:A, $A$2, Setup!D:D)</f>
        <v>4028</v>
      </c>
      <c r="B5" s="82" t="str">
        <f>IFERROR(__xludf.DUMMYFUNCTION("IFERROR(FILTER(DriverInfo!B$2:B1000, DriverInfo!A$2:A1000=A5),"""")"),"swerve")</f>
        <v>swerve</v>
      </c>
      <c r="C5" s="83">
        <f>SUMIF(RawTotals!A$2:A1000, A5, RawTotals!C$2:C1000)</f>
        <v>0</v>
      </c>
      <c r="D5" s="84">
        <f>SUMIF(RawTotals!A$2:A1000, A5, RawTotals!D$2:D1000)</f>
        <v>3.428571429</v>
      </c>
      <c r="E5" s="85">
        <f>SUMIF(RawTotals!A$2:A1000, A5, RawTotals!G$2:G1000)</f>
        <v>0.9230769231</v>
      </c>
      <c r="F5" s="84">
        <f>SUMIF(RawTotals!A$2:A1000, A5, RawTotals!L$2:L1000)</f>
        <v>0</v>
      </c>
      <c r="G5" s="84">
        <f>SUMIF(RawTotals!A$2:A1000, A5, RawTotals!M$2:M1000)</f>
        <v>15.85714286</v>
      </c>
      <c r="H5" s="85">
        <f>SUMIF(RawTotals!A$2:A1000, A5, RawTotals!O$2:O1000)</f>
        <v>0.9246575342</v>
      </c>
      <c r="I5" s="84">
        <f>SUMIF(RawTotals!A$2:A1000, A5, RawTotals!Z$2:Z1000)+SUMIF(RawTotals!A$2:A1000, A5, RawTotals!Y$2:Y1000)</f>
        <v>45.42857143</v>
      </c>
      <c r="J5" s="84">
        <f>SUMIF(RawTotals!A$2:A1000, A5, RawTotals!P$2:P1000)</f>
        <v>7.428571429</v>
      </c>
      <c r="K5" s="85">
        <f>SUMIF(RawTotals!$A$2:$A1000, $A5, RawTotals!S$2:S1000)</f>
        <v>1</v>
      </c>
      <c r="L5" s="85">
        <f>SUMIF(RawTotals!$A$2:$A1000, $A5, RawTotals!T$2:T1000)</f>
        <v>0</v>
      </c>
      <c r="M5" s="85">
        <f>SUMIF(RawTotals!$A$2:$A1000, $A5, RawTotals!U$2:U1000)</f>
        <v>0.2857142857</v>
      </c>
      <c r="N5" s="85">
        <f>SUMIF(RawTotals!$A$2:$A1000, $A5, RawTotals!V$2:V1000)</f>
        <v>0.1428571429</v>
      </c>
      <c r="O5" s="85">
        <f>SUMIF(RawTotals!$A$2:$A1000, $A5, RawTotals!W$2:W1000)</f>
        <v>0.2857142857</v>
      </c>
      <c r="P5" s="86">
        <f>SUMIF(RawTotals!$A$2:$A1000, $B5, RawTotals!AM$2:AM1000)</f>
        <v>0</v>
      </c>
      <c r="Q5" s="86">
        <f>SUMIF(RawTotals!$A$2:$A1000, $B5, RawTotals!AN$2:AN1000)</f>
        <v>0</v>
      </c>
      <c r="R5" s="75"/>
      <c r="S5" s="88">
        <f>(IF(SUM(C$3:D$5)&lt;=10,SUM(I5:J5),SUM(J5+(G5*2)+F5+13.3)))-SUMIF(RawTotals!$A$2:$A1000, $R5, RawTotals!AK$2:AK1000)</f>
        <v>52.85714286</v>
      </c>
      <c r="T5" s="89"/>
      <c r="U5" s="76"/>
      <c r="V5" s="76"/>
      <c r="W5" s="76"/>
      <c r="X5" s="76"/>
      <c r="Y5" s="76"/>
      <c r="Z5" s="76"/>
      <c r="AA5" s="76"/>
      <c r="AB5" s="76"/>
      <c r="AC5" s="76"/>
      <c r="AD5" s="76"/>
      <c r="AE5" s="76"/>
    </row>
    <row r="6">
      <c r="A6" s="90" t="s">
        <v>570</v>
      </c>
      <c r="B6" s="91"/>
      <c r="C6" s="92">
        <f t="shared" ref="C6:D6" si="1">SUM(C3:C5)</f>
        <v>0</v>
      </c>
      <c r="D6" s="92">
        <f t="shared" si="1"/>
        <v>6.178571429</v>
      </c>
      <c r="E6" s="92"/>
      <c r="F6" s="92">
        <f t="shared" ref="F6:G6" si="2">SUM(F3:F5)</f>
        <v>0.125</v>
      </c>
      <c r="G6" s="92">
        <f t="shared" si="2"/>
        <v>39.23214286</v>
      </c>
      <c r="H6" s="92"/>
      <c r="I6" s="92">
        <f t="shared" ref="I6:J6" si="3">SUM(I3:I5)</f>
        <v>103.3035714</v>
      </c>
      <c r="J6" s="92">
        <f t="shared" si="3"/>
        <v>31.17857143</v>
      </c>
      <c r="K6" s="93"/>
      <c r="L6" s="93"/>
      <c r="M6" s="93"/>
      <c r="N6" s="93"/>
      <c r="O6" s="93"/>
      <c r="P6" s="93"/>
      <c r="Q6" s="93"/>
      <c r="R6" s="94"/>
      <c r="S6" s="95">
        <f>SUM(S3:S5)</f>
        <v>134.4821429</v>
      </c>
      <c r="T6" s="89"/>
      <c r="U6" s="76"/>
      <c r="V6" s="76"/>
      <c r="W6" s="76"/>
      <c r="X6" s="76"/>
      <c r="Y6" s="76"/>
      <c r="Z6" s="76"/>
      <c r="AA6" s="76"/>
      <c r="AB6" s="76"/>
      <c r="AC6" s="76"/>
      <c r="AD6" s="76"/>
      <c r="AE6" s="76"/>
    </row>
    <row r="7">
      <c r="A7" s="75"/>
      <c r="B7" s="82"/>
      <c r="C7" s="83"/>
      <c r="D7" s="83"/>
      <c r="E7" s="82"/>
      <c r="F7" s="83"/>
      <c r="G7" s="83"/>
      <c r="H7" s="84"/>
      <c r="I7" s="83"/>
      <c r="J7" s="83"/>
      <c r="K7" s="85"/>
      <c r="L7" s="85"/>
      <c r="M7" s="85"/>
      <c r="N7" s="85"/>
      <c r="O7" s="85"/>
      <c r="P7" s="96"/>
      <c r="Q7" s="96"/>
      <c r="R7" s="75"/>
      <c r="S7" s="97"/>
      <c r="T7" s="89"/>
      <c r="U7" s="76"/>
      <c r="V7" s="76"/>
      <c r="W7" s="76"/>
      <c r="X7" s="76"/>
      <c r="Y7" s="76"/>
      <c r="Z7" s="76"/>
      <c r="AA7" s="76"/>
      <c r="AB7" s="76"/>
      <c r="AC7" s="76"/>
      <c r="AD7" s="76"/>
      <c r="AE7" s="76"/>
    </row>
    <row r="8">
      <c r="A8" s="79">
        <f>SUMIF(Setup!A:A, $A$2, Setup!E:E)</f>
        <v>1339</v>
      </c>
      <c r="B8" s="98" t="str">
        <f>IFERROR(__xludf.DUMMYFUNCTION("IFERROR(FILTER(DriverInfo!B$2:B1000, DriverInfo!A$2:A1000=A8),"""")"),"")</f>
        <v/>
      </c>
      <c r="C8" s="99">
        <f>SUMIF(RawTotals!A$2:A1000, A8, RawTotals!C$2:C1000)</f>
        <v>0</v>
      </c>
      <c r="D8" s="100">
        <f>SUMIF(RawTotals!A$2:A1000, A8, RawTotals!D$2:D1000)</f>
        <v>2</v>
      </c>
      <c r="E8" s="101">
        <f>SUMIF(RawTotals!A$2:A1000, A8, RawTotals!G$2:G1000)</f>
        <v>1</v>
      </c>
      <c r="F8" s="100">
        <f>SUMIF(RawTotals!A$2:A1000, A8, RawTotals!L$2:L1000)</f>
        <v>0</v>
      </c>
      <c r="G8" s="100">
        <f>SUMIF(RawTotals!A$2:A1000, A8, RawTotals!M$2:M1000)</f>
        <v>13.85714286</v>
      </c>
      <c r="H8" s="101">
        <f>SUMIF(RawTotals!A$2:A1000, A8, RawTotals!O$2:O1000)</f>
        <v>0.880952381</v>
      </c>
      <c r="I8" s="100">
        <f>SUMIF(RawTotals!A$2:A1000, A8, RawTotals!Z$2:Z1000)+SUMIF(RawTotals!A$2:A1000, A8, RawTotals!Y$2:Y1000)</f>
        <v>35.71428571</v>
      </c>
      <c r="J8" s="100">
        <f>SUMIF(RawTotals!A$2:A1000, A8, RawTotals!P$2:P1000)</f>
        <v>15</v>
      </c>
      <c r="K8" s="101">
        <f>SUMIF(RawTotals!$A$2:$A1000, $A8, RawTotals!S$2:S1000)</f>
        <v>1</v>
      </c>
      <c r="L8" s="101">
        <f>SUMIF(RawTotals!$A$2:$A1000, $A8, RawTotals!T$2:T1000)</f>
        <v>0</v>
      </c>
      <c r="M8" s="101">
        <f>SUMIF(RawTotals!$A$2:$A1000, $A8, RawTotals!U$2:U1000)</f>
        <v>0</v>
      </c>
      <c r="N8" s="101">
        <f>SUMIF(RawTotals!$A$2:$A1000, $A8, RawTotals!V$2:V1000)</f>
        <v>0</v>
      </c>
      <c r="O8" s="101">
        <f>SUMIF(RawTotals!$A$2:$A1000, $A8, RawTotals!W$2:W1000)</f>
        <v>1</v>
      </c>
      <c r="P8" s="102">
        <f>SUMIF(RawTotals!$A$2:$A1000, $B8, RawTotals!AM$2:AM1000)</f>
        <v>0</v>
      </c>
      <c r="Q8" s="102">
        <f>SUMIF(RawTotals!$A$2:$A1000, $B8, RawTotals!AN$2:AN1000)</f>
        <v>0</v>
      </c>
      <c r="R8" s="103"/>
      <c r="S8" s="88">
        <f>(IF(SUM(C$8:D$10)&lt;=10,SUM(I8:J8),SUM(J8+(G8*2)+F8+13.3)))-SUMIF(RawTotals!$A$2:$A1000, $R3, RawTotals!AK$2:AK1000)</f>
        <v>50.71428571</v>
      </c>
      <c r="T8" s="89"/>
      <c r="U8" s="76"/>
      <c r="V8" s="76"/>
      <c r="W8" s="76"/>
      <c r="X8" s="76"/>
      <c r="Y8" s="76"/>
      <c r="Z8" s="76"/>
      <c r="AA8" s="76"/>
      <c r="AB8" s="76"/>
      <c r="AC8" s="76"/>
      <c r="AD8" s="76"/>
      <c r="AE8" s="76"/>
    </row>
    <row r="9">
      <c r="A9" s="79">
        <f>SUMIF(Setup!A:A, $A$2, Setup!F:F)</f>
        <v>1024</v>
      </c>
      <c r="B9" s="104" t="str">
        <f>IFERROR(__xludf.DUMMYFUNCTION("IFERROR(FILTER(DriverInfo!B$2:B1000, DriverInfo!A$2:A1000=A9),"""")"),"Tank")</f>
        <v>Tank</v>
      </c>
      <c r="C9" s="83">
        <f>SUMIF(RawTotals!A$2:A1000, A9, RawTotals!C$2:C1000)</f>
        <v>0</v>
      </c>
      <c r="D9" s="84">
        <f>SUMIF(RawTotals!A$2:A1000, A9, RawTotals!D$2:D1000)</f>
        <v>1.625</v>
      </c>
      <c r="E9" s="105">
        <f>SUMIF(RawTotals!A$2:A1000, A9, RawTotals!G$2:G1000)</f>
        <v>0.9285714286</v>
      </c>
      <c r="F9" s="84">
        <f>SUMIF(RawTotals!A$2:A1000, A9, RawTotals!L$2:L1000)</f>
        <v>0.25</v>
      </c>
      <c r="G9" s="84">
        <f>SUMIF(RawTotals!A$2:A1000, A9, RawTotals!M$2:M1000)</f>
        <v>4.5</v>
      </c>
      <c r="H9" s="85">
        <f>SUMIF(RawTotals!A$2:A1000, A9, RawTotals!O$2:O1000)</f>
        <v>0.8095238095</v>
      </c>
      <c r="I9" s="84">
        <f>SUMIF(RawTotals!A$2:A1000, A9, RawTotals!Z$2:Z1000)+SUMIF(RawTotals!A$2:A1000, A9, RawTotals!Y$2:Y1000)</f>
        <v>15.75</v>
      </c>
      <c r="J9" s="84">
        <f>SUMIF(RawTotals!A$2:A1000, A9, RawTotals!P$2:P1000)</f>
        <v>11.25</v>
      </c>
      <c r="K9" s="85">
        <f>SUMIF(RawTotals!$A$2:$A1000, $A9, RawTotals!S$2:S1000)</f>
        <v>1</v>
      </c>
      <c r="L9" s="85">
        <f>SUMIF(RawTotals!$A$2:$A1000, $A9, RawTotals!T$2:T1000)</f>
        <v>0</v>
      </c>
      <c r="M9" s="85">
        <f>SUMIF(RawTotals!$A$2:$A1000, $A9, RawTotals!U$2:U1000)</f>
        <v>0</v>
      </c>
      <c r="N9" s="85">
        <f>SUMIF(RawTotals!$A$2:$A1000, $A9, RawTotals!V$2:V1000)</f>
        <v>0.375</v>
      </c>
      <c r="O9" s="85">
        <f>SUMIF(RawTotals!$A$2:$A1000, $A9, RawTotals!W$2:W1000)</f>
        <v>0.5</v>
      </c>
      <c r="P9" s="86">
        <f>SUMIF(RawTotals!$A$2:$A1000, $B9, RawTotals!AM$2:AM1000)</f>
        <v>0</v>
      </c>
      <c r="Q9" s="86">
        <f>SUMIF(RawTotals!$A$2:$A1000, $B9, RawTotals!AN$2:AN1000)</f>
        <v>0</v>
      </c>
      <c r="R9" s="75"/>
      <c r="S9" s="88">
        <f>(IF(SUM(C$8:D$10)&lt;=10,SUM(I9:J9),SUM(J9+(G9*2)+F9+13.3)))-SUMIF(RawTotals!$A$2:$A1000, $R4, RawTotals!AK$2:AK1000)</f>
        <v>27</v>
      </c>
      <c r="T9" s="89"/>
      <c r="U9" s="76"/>
      <c r="V9" s="76"/>
      <c r="W9" s="76"/>
      <c r="X9" s="76"/>
      <c r="Y9" s="76"/>
      <c r="Z9" s="76"/>
      <c r="AA9" s="76"/>
      <c r="AB9" s="76"/>
      <c r="AC9" s="76"/>
      <c r="AD9" s="76"/>
      <c r="AE9" s="76"/>
    </row>
    <row r="10">
      <c r="A10" s="79">
        <f>SUMIF(Setup!A:A, $A$2, Setup!G:G)</f>
        <v>2363</v>
      </c>
      <c r="B10" s="104" t="str">
        <f>IFERROR(__xludf.DUMMYFUNCTION("IFERROR(FILTER(DriverInfo!B$2:B1000, DriverInfo!A$2:A1000=A10),"""")"),"")</f>
        <v/>
      </c>
      <c r="C10" s="83">
        <f>SUMIF(RawTotals!A$2:A1000, A10, RawTotals!C$2:C1000)</f>
        <v>0</v>
      </c>
      <c r="D10" s="84">
        <f>SUMIF(RawTotals!A$2:A1000, A10, RawTotals!D$2:D1000)</f>
        <v>1.857142857</v>
      </c>
      <c r="E10" s="105">
        <f>SUMIF(RawTotals!A$2:A1000, A10, RawTotals!G$2:G1000)</f>
        <v>0.9285714286</v>
      </c>
      <c r="F10" s="84">
        <f>SUMIF(RawTotals!A$2:A1000, A10, RawTotals!L$2:L1000)</f>
        <v>0</v>
      </c>
      <c r="G10" s="84">
        <f>SUMIF(RawTotals!A$2:A1000, A10, RawTotals!M$2:M1000)</f>
        <v>13.14285714</v>
      </c>
      <c r="H10" s="85">
        <f>SUMIF(RawTotals!A$2:A1000, A10, RawTotals!O$2:O1000)</f>
        <v>0.8267716535</v>
      </c>
      <c r="I10" s="84">
        <f>SUMIF(RawTotals!A$2:A1000, A10, RawTotals!Z$2:Z1000)+SUMIF(RawTotals!A$2:A1000, A10, RawTotals!Y$2:Y1000)</f>
        <v>33.71428571</v>
      </c>
      <c r="J10" s="84">
        <f>SUMIF(RawTotals!A$2:A1000, A10, RawTotals!P$2:P1000)</f>
        <v>3.428571429</v>
      </c>
      <c r="K10" s="85">
        <f>SUMIF(RawTotals!$A$2:$A1000, $A10, RawTotals!S$2:S1000)</f>
        <v>0.6666666667</v>
      </c>
      <c r="L10" s="85">
        <f>SUMIF(RawTotals!$A$2:$A1000, $A10, RawTotals!T$2:T1000)</f>
        <v>0</v>
      </c>
      <c r="M10" s="85">
        <f>SUMIF(RawTotals!$A$2:$A1000, $A10, RawTotals!U$2:U1000)</f>
        <v>0.5714285714</v>
      </c>
      <c r="N10" s="85">
        <f>SUMIF(RawTotals!$A$2:$A1000, $A10, RawTotals!V$2:V1000)</f>
        <v>0</v>
      </c>
      <c r="O10" s="85">
        <f>SUMIF(RawTotals!$A$2:$A1000, $A10, RawTotals!W$2:W1000)</f>
        <v>0</v>
      </c>
      <c r="P10" s="86">
        <f>SUMIF(RawTotals!$A$2:$A1000, $B10, RawTotals!AM$2:AM1000)</f>
        <v>0</v>
      </c>
      <c r="Q10" s="86">
        <f>SUMIF(RawTotals!$A$2:$A1000, $B10, RawTotals!AN$2:AN1000)</f>
        <v>0</v>
      </c>
      <c r="R10" s="75"/>
      <c r="S10" s="88">
        <f>(IF(SUM(C$8:D$10)&lt;=10,SUM(I10:J10),SUM(J10+(G10*2)+F10+13.3)))-SUMIF(RawTotals!$A$2:$A1000, $R5, RawTotals!AK$2:AK1000)</f>
        <v>37.14285714</v>
      </c>
      <c r="T10" s="89"/>
      <c r="U10" s="76"/>
      <c r="V10" s="76"/>
      <c r="W10" s="76"/>
      <c r="X10" s="76"/>
      <c r="Y10" s="76"/>
      <c r="Z10" s="76"/>
      <c r="AA10" s="76"/>
      <c r="AB10" s="76"/>
      <c r="AC10" s="76"/>
      <c r="AD10" s="76"/>
      <c r="AE10" s="76"/>
    </row>
    <row r="11">
      <c r="A11" s="106" t="s">
        <v>570</v>
      </c>
      <c r="B11" s="107"/>
      <c r="C11" s="108">
        <f t="shared" ref="C11:D11" si="4">SUM(C8:C10)</f>
        <v>0</v>
      </c>
      <c r="D11" s="108">
        <f t="shared" si="4"/>
        <v>5.482142857</v>
      </c>
      <c r="E11" s="108"/>
      <c r="F11" s="108">
        <f t="shared" ref="F11:G11" si="5">SUM(F8:F10)</f>
        <v>0.25</v>
      </c>
      <c r="G11" s="108">
        <f t="shared" si="5"/>
        <v>31.5</v>
      </c>
      <c r="H11" s="108"/>
      <c r="I11" s="108">
        <f t="shared" ref="I11:J11" si="6">SUM(I8:I10)</f>
        <v>85.17857143</v>
      </c>
      <c r="J11" s="108">
        <f t="shared" si="6"/>
        <v>29.67857143</v>
      </c>
      <c r="K11" s="108"/>
      <c r="L11" s="108"/>
      <c r="M11" s="108"/>
      <c r="N11" s="108"/>
      <c r="O11" s="108"/>
      <c r="P11" s="108"/>
      <c r="Q11" s="108"/>
      <c r="R11" s="109"/>
      <c r="S11" s="110">
        <f>SUM(S8:S10)</f>
        <v>114.8571429</v>
      </c>
      <c r="T11" s="75"/>
      <c r="U11" s="76"/>
      <c r="V11" s="76"/>
      <c r="W11" s="76"/>
      <c r="X11" s="76"/>
      <c r="Y11" s="76"/>
      <c r="Z11" s="76"/>
      <c r="AA11" s="76"/>
      <c r="AB11" s="76"/>
      <c r="AC11" s="76"/>
      <c r="AD11" s="76"/>
      <c r="AE11" s="76"/>
    </row>
    <row r="1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row>
    <row r="1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row>
    <row r="14">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row>
    <row r="15">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row>
    <row r="16">
      <c r="A16" s="76"/>
      <c r="B16" s="76"/>
      <c r="C16" s="76"/>
      <c r="D16" s="76"/>
      <c r="E16" s="111" t="s">
        <v>571</v>
      </c>
      <c r="F16" s="76"/>
      <c r="G16" s="76"/>
      <c r="H16" s="76"/>
      <c r="I16" s="76"/>
      <c r="J16" s="76"/>
      <c r="K16" s="111"/>
      <c r="L16" s="76"/>
      <c r="M16" s="76"/>
      <c r="N16" s="76"/>
      <c r="O16" s="76"/>
      <c r="P16" s="76"/>
      <c r="Q16" s="76"/>
      <c r="R16" s="76"/>
      <c r="S16" s="76"/>
      <c r="T16" s="76"/>
      <c r="U16" s="76"/>
      <c r="V16" s="76"/>
      <c r="W16" s="76"/>
      <c r="X16" s="76"/>
      <c r="Y16" s="76"/>
      <c r="Z16" s="76"/>
      <c r="AA16" s="76"/>
      <c r="AB16" s="76"/>
      <c r="AC16" s="76"/>
      <c r="AD16" s="76"/>
      <c r="AE16" s="76"/>
    </row>
    <row r="17">
      <c r="A17" s="76"/>
      <c r="B17" s="76"/>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row>
    <row r="18">
      <c r="A18" s="76"/>
      <c r="B18" s="76"/>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row>
    <row r="19">
      <c r="A19" s="76"/>
      <c r="B19" s="76"/>
      <c r="C19" s="76"/>
      <c r="D19" s="76"/>
      <c r="E19" s="76"/>
      <c r="F19" s="76"/>
      <c r="G19" s="76"/>
      <c r="H19" s="76"/>
      <c r="I19" s="76"/>
      <c r="J19" s="76"/>
      <c r="K19" s="111" t="s">
        <v>572</v>
      </c>
      <c r="L19" s="76"/>
      <c r="M19" s="76"/>
      <c r="N19" s="76"/>
      <c r="O19" s="76"/>
      <c r="P19" s="76"/>
      <c r="Q19" s="76"/>
      <c r="R19" s="76"/>
      <c r="S19" s="76"/>
      <c r="T19" s="76"/>
      <c r="U19" s="76"/>
      <c r="V19" s="76"/>
      <c r="W19" s="76"/>
      <c r="X19" s="76"/>
      <c r="Y19" s="76"/>
      <c r="Z19" s="76"/>
      <c r="AA19" s="76"/>
      <c r="AB19" s="76"/>
      <c r="AC19" s="76"/>
      <c r="AD19" s="76"/>
      <c r="AE19" s="76"/>
    </row>
    <row r="20">
      <c r="A20" s="76"/>
      <c r="B20" s="76"/>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row>
    <row r="21">
      <c r="A21" s="76"/>
      <c r="B21" s="76"/>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row>
    <row r="22">
      <c r="A22" s="76"/>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row>
    <row r="23">
      <c r="A23" s="76"/>
      <c r="B23" s="76"/>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row>
    <row r="24">
      <c r="A24" s="76"/>
      <c r="B24" s="76"/>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row>
    <row r="25">
      <c r="A25" s="76"/>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row>
    <row r="26">
      <c r="A26" s="76"/>
      <c r="B26" s="76"/>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row>
    <row r="27">
      <c r="A27" s="76"/>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row>
    <row r="28">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row>
    <row r="29">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row>
    <row r="30">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row>
    <row r="31">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row>
    <row r="32">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row>
    <row r="3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row>
    <row r="34">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row>
    <row r="35">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row>
    <row r="36">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row>
    <row r="37">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row>
    <row r="38">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row>
    <row r="39">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row>
    <row r="40">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row>
    <row r="41">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row>
    <row r="42">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row>
    <row r="43">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row>
    <row r="44">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row>
    <row r="45">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row>
    <row r="46">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row>
    <row r="47">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row>
    <row r="48">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row>
    <row r="49">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row>
    <row r="50">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row>
    <row r="51">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row>
    <row r="52">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row>
    <row r="53">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row>
    <row r="54">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row>
    <row r="55">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row>
    <row r="56">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row>
    <row r="57">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row>
    <row r="58">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row>
    <row r="59">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row>
    <row r="60">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row>
    <row r="61">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row>
    <row r="62">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row>
    <row r="6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row>
    <row r="6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row>
    <row r="6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row>
    <row r="66">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row>
    <row r="67">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row>
    <row r="68">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row>
    <row r="69">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row>
    <row r="70">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row>
    <row r="71">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row>
    <row r="72">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row>
    <row r="73">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row>
    <row r="7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row>
    <row r="7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row>
    <row r="76">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row>
    <row r="77">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row>
  </sheetData>
  <mergeCells count="1">
    <mergeCell ref="A1:K1"/>
  </mergeCells>
  <dataValidations>
    <dataValidation type="list" allowBlank="1" sqref="R3:R5">
      <formula1>'Match Schedule Strategy'!$A$8:$A$10</formula1>
    </dataValidation>
    <dataValidation type="list" allowBlank="1" sqref="R8:R10">
      <formula1>$A$3:$A$5</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3"/>
    <col customWidth="1" min="2" max="2" width="8.63"/>
    <col customWidth="1" min="3" max="3" width="9.0"/>
    <col customWidth="1" min="4" max="4" width="13.5"/>
    <col hidden="1" min="5" max="5" width="12.63"/>
    <col customWidth="1" min="6" max="6" width="8.38"/>
    <col customWidth="1" min="7" max="7" width="13.5"/>
    <col customWidth="1" min="8" max="8" width="10.38"/>
    <col customWidth="1" min="9" max="9" width="11.75"/>
    <col customWidth="1" min="10" max="10" width="11.88"/>
    <col customWidth="1" min="11" max="11" width="10.38"/>
    <col customWidth="1" min="12" max="12" width="25.63"/>
  </cols>
  <sheetData>
    <row r="1">
      <c r="A1" s="112" t="s">
        <v>573</v>
      </c>
      <c r="B1" s="113">
        <v>1023.0</v>
      </c>
      <c r="L1" s="114"/>
      <c r="M1" s="115"/>
      <c r="AD1" s="18" t="s">
        <v>574</v>
      </c>
    </row>
    <row r="2">
      <c r="A2" s="27"/>
      <c r="L2" s="114"/>
      <c r="AD2" s="15">
        <f>COUNT(RawTotals!A2:A3000)+1</f>
        <v>49</v>
      </c>
    </row>
    <row r="3">
      <c r="A3" s="27" t="s">
        <v>575</v>
      </c>
      <c r="B3" s="116" t="s">
        <v>560</v>
      </c>
      <c r="C3" s="117" t="s">
        <v>561</v>
      </c>
      <c r="D3" s="118" t="s">
        <v>512</v>
      </c>
      <c r="E3" s="117" t="s">
        <v>562</v>
      </c>
      <c r="F3" s="117" t="s">
        <v>563</v>
      </c>
      <c r="G3" s="118" t="s">
        <v>520</v>
      </c>
      <c r="H3" s="118" t="s">
        <v>576</v>
      </c>
      <c r="I3" s="118" t="s">
        <v>577</v>
      </c>
      <c r="J3" s="118" t="s">
        <v>564</v>
      </c>
      <c r="K3" s="117" t="s">
        <v>537</v>
      </c>
      <c r="L3" s="119" t="s">
        <v>559</v>
      </c>
      <c r="W3" s="18" t="s">
        <v>578</v>
      </c>
    </row>
    <row r="4">
      <c r="A4" s="83"/>
      <c r="B4" s="120">
        <f>SUMIF(RawTotals!A$2:A3000, B1, RawTotals!C$2:C3000)</f>
        <v>0</v>
      </c>
      <c r="C4" s="121">
        <f>SUMIF(RawTotals!A$2:A3000, B1, RawTotals!D$2:D3000)</f>
        <v>1.375</v>
      </c>
      <c r="D4" s="122">
        <f>SUMIF(RawTotals!A$2:A3000, B1, RawTotals!G$2:G3000)</f>
        <v>0.5</v>
      </c>
      <c r="E4" s="121">
        <f>SUMIF(RawTotals!A$2:A3000, B1, RawTotals!L$2:L3000)</f>
        <v>0</v>
      </c>
      <c r="F4" s="121">
        <f>SUMIF(RawTotals!A$2:A3000, B1, RawTotals!M$2:M3000)</f>
        <v>12.625</v>
      </c>
      <c r="G4" s="122">
        <f>SUMIF(RawTotals!A$2:A3000, B1, RawTotals!O$2:O3000)</f>
        <v>0.8296296296</v>
      </c>
      <c r="H4" s="121">
        <f>SUMIF(RawTotals!A$2:A3000, B1, RawTotals!Y$2:Y3000)</f>
        <v>5.5</v>
      </c>
      <c r="I4" s="123">
        <f>SUMIF(RawTotals!A$2:A3000, B1, RawTotals!Z$2:Z3000)</f>
        <v>25.25</v>
      </c>
      <c r="J4" s="121">
        <f>SUMIF(RawTotals!A$2:A3000, B1, RawTotals!P$2:P3000)</f>
        <v>6.125</v>
      </c>
      <c r="K4" s="121">
        <f>SUMIF(RawTotals!A$2:A3000, B1, RawTotals!AF$2:AF3000)</f>
        <v>36.875</v>
      </c>
      <c r="L4" s="124" t="str">
        <f>IFERROR(__xludf.DUMMYFUNCTION("(FILTER(DriverInfo!B:B,B1=DriverInfo!A:A))"),"swerve")</f>
        <v>swerve</v>
      </c>
    </row>
    <row r="5">
      <c r="A5" s="27"/>
      <c r="B5" s="27"/>
      <c r="L5" s="114"/>
    </row>
    <row r="6">
      <c r="A6" s="125" t="s">
        <v>579</v>
      </c>
      <c r="B6" s="76" t="str">
        <f>IFERROR((RANK(B4,INDIRECT("RawTotals!C2:C"&amp;AD2),0))&amp;MID("thstndrdth",MIN(9,2*RIGHT((RANK(B4,INDIRECT("RawTotals!C2:C"&amp;AD2),0)))*(MOD((RANK(B4,INDIRECT("RawTotals!C2:C"&amp;AD2),0))-11,100)&gt;2)+1),2),"")</f>
        <v>2nd</v>
      </c>
      <c r="C6" s="76" t="str">
        <f>IFERROR((RANK(C4,INDIRECT("RawTotals!D2:D"&amp;AD2),0))&amp;MID("thstndrdth",MIN(9,2*RIGHT((RANK(C4,INDIRECT("RawTotals!D2:D"&amp;AD2),0)))*(MOD((RANK(C4,INDIRECT("RawTotals!D2:D"&amp;AD2),0))-11,100)&gt;2)+1),2),"")</f>
        <v>36th</v>
      </c>
      <c r="D6" s="76" t="str">
        <f>((RANK(D4,INDIRECT("RawTotals!G2:G"&amp;AD2),0))&amp;MID("thstndrdth",MIN(9,2*RIGHT((RANK(D4,INDIRECT("RawTotals!G2:G"&amp;AD2),0)))*(MOD((RANK(D4,INDIRECT("RawTotals!G2:G"&amp;AD2),0))-11,100)&gt;2)+1),2))</f>
        <v>48th</v>
      </c>
      <c r="E6" s="76" t="str">
        <f>IFERROR((RANK(E4,INDIRECT("RawTotals!L2:L"&amp;AD2),0))&amp;MID("thstndrdth",MIN(9,2*RIGHT((RANK(E4,INDIRECT("RawTotals!L2:L"&amp;AD2),0)))*(MOD((RANK(E4,INDIRECT("RawTotals!L2:L"&amp;AD2),0))-11,100)&gt;2)+1),2),"")</f>
        <v>13th</v>
      </c>
      <c r="F6" s="76" t="str">
        <f>IFERROR((RANK(F4,INDIRECT("RawTotals!M2:M"&amp;AD2),0))&amp;MID("thstndrdth",MIN(9,2*RIGHT((RANK(F4,INDIRECT("RawTotals!M2:M"&amp;AD2),0)))*(MOD((RANK(F4,INDIRECT("RawTotals!M2:m"&amp;AD2),0))-11,100)&gt;2)+1),2),"")</f>
        <v>12th</v>
      </c>
      <c r="G6" s="76" t="str">
        <f>IFERROR((RANK(G4,INDIRECT("RawTotals!o2:o"&amp;AD2),0))&amp;MID("thstndrdth",MIN(9,2*RIGHT((RANK(G4,INDIRECT("RawTotals!o2:o"&amp;AD2),0)))*(MOD((RANK(G4,INDIRECT("RawTotals!o2:o"&amp;AD2),0))-11,100)&gt;2)+1),2),"")</f>
        <v>32nd</v>
      </c>
      <c r="H6" s="76" t="str">
        <f>IFERROR((RANK(H4,INDIRECT("RawTotals!y2:y"&amp;AD2),0))&amp;MID("thstndrdth",MIN(9,2*RIGHT((RANK(H4,INDIRECT("RawTotals!y2:y"&amp;AD2),0)))*(MOD((RANK(H4,INDIRECT("RawTotals!y2:y"&amp;AD2),0))-11,100)&gt;2)+1),2),"")</f>
        <v>36th</v>
      </c>
      <c r="I6" s="76" t="str">
        <f>IFERROR((RANK(I4,INDIRECT("RawTotals!z2:z"&amp;AD2),0))&amp;MID("thstndrdth",MIN(9,2*RIGHT((RANK(I4,INDIRECT("RawTotals!z2:z"&amp;AD2),0)))*(MOD((RANK(I4,INDIRECT("RawTotals!z2:z"&amp;AD2),0))-11,100)&gt;2)+1),2),"")</f>
        <v>12th</v>
      </c>
      <c r="J6" s="76" t="str">
        <f>IFERROR((RANK(J4,INDIRECT("RawTotals!p2:p"&amp;AD2),0))&amp;MID("thstndrdth",MIN(9,2*RIGHT((RANK(J4,INDIRECT("RawTotals!p2:p"&amp;AD2),0)))*(MOD((RANK(J4,INDIRECT("RawTotals!p2:p"&amp;AD2),0))-11,100)&gt;2)+1),2),"")</f>
        <v>34th</v>
      </c>
      <c r="K6" s="76" t="str">
        <f>IFERROR((RANK(K4,INDIRECT("RawTotals!af2:af"&amp;AD2),0)&amp;MID("thstndrdth",MIN(9,2*RIGHT((RANK(K4,INDIRECT("RawTotals!af2:af"&amp;AD2),0)))*(MOD((RANK(K4,INDIRECT("RawTotals!af2:af"&amp;AD2),0))-11,100)&gt;2)+1),2)),"")</f>
        <v>21st</v>
      </c>
      <c r="L6" s="114"/>
      <c r="M6" s="46"/>
    </row>
    <row r="7">
      <c r="A7" s="27"/>
      <c r="B7" s="18" t="s">
        <v>580</v>
      </c>
      <c r="L7" s="114"/>
    </row>
    <row r="8">
      <c r="A8" s="125" t="s">
        <v>581</v>
      </c>
      <c r="B8" s="126" t="s">
        <v>560</v>
      </c>
      <c r="C8" s="126" t="s">
        <v>561</v>
      </c>
      <c r="D8" s="127" t="s">
        <v>9</v>
      </c>
      <c r="E8" s="126" t="s">
        <v>562</v>
      </c>
      <c r="F8" s="126" t="s">
        <v>563</v>
      </c>
      <c r="G8" s="127" t="s">
        <v>12</v>
      </c>
      <c r="H8" s="127" t="s">
        <v>576</v>
      </c>
      <c r="I8" s="128" t="s">
        <v>577</v>
      </c>
      <c r="J8" s="127" t="s">
        <v>564</v>
      </c>
      <c r="K8" s="126" t="s">
        <v>537</v>
      </c>
      <c r="L8" s="129" t="s">
        <v>582</v>
      </c>
      <c r="M8" s="130" t="s">
        <v>583</v>
      </c>
      <c r="T8" s="18" t="s">
        <v>521</v>
      </c>
      <c r="V8" s="131" t="s">
        <v>581</v>
      </c>
      <c r="W8" s="117" t="s">
        <v>560</v>
      </c>
      <c r="X8" s="117" t="s">
        <v>561</v>
      </c>
      <c r="Y8" s="117" t="s">
        <v>562</v>
      </c>
      <c r="Z8" s="117" t="s">
        <v>563</v>
      </c>
      <c r="AA8" s="118" t="s">
        <v>12</v>
      </c>
      <c r="AB8" s="118" t="s">
        <v>584</v>
      </c>
      <c r="AC8" s="118" t="s">
        <v>564</v>
      </c>
      <c r="AD8" s="132" t="s">
        <v>537</v>
      </c>
    </row>
    <row r="9">
      <c r="A9" s="133">
        <f t="array" ref="A9:A3000">SORT(V9:V3000)</f>
        <v>5</v>
      </c>
      <c r="B9" s="134">
        <f>IFERROR(__xludf.DUMMYFUNCTION("IFERROR((FILTER(Data!H:H,Data!D:D=A9,Data!B:B=$B$1)),"""")"),0.0)</f>
        <v>0</v>
      </c>
      <c r="C9" s="134">
        <f>IFERROR(__xludf.DUMMYFUNCTION("IFERROR((FILTER(Data!G:G,Data!D:D=A9,Data!B:B=$B$1)),"""")"),3.0)</f>
        <v>3</v>
      </c>
      <c r="D9" s="134">
        <f>IFERROR(__xludf.DUMMYFUNCTION("IFERROR((FILTER(Data!J:J,Data!D:D=A9,Data!B:B=$B$1)),"""")"),5.0)</f>
        <v>5</v>
      </c>
      <c r="E9" s="134">
        <f>IFERROR(__xludf.DUMMYFUNCTION("IFERROR((FILTER(Data!L:L,Data!D:D=A9,Data!B:B=$B$1)),"""")"),0.0)</f>
        <v>0</v>
      </c>
      <c r="F9" s="134">
        <f>IFERROR(__xludf.DUMMYFUNCTION("IFERROR((FILTER(Data!K:K,Data!D:D=A9,Data!B:B=$B$1)),"""")"),15.0)</f>
        <v>15</v>
      </c>
      <c r="G9" s="134">
        <f>IFERROR(__xludf.DUMMYFUNCTION("IFERROR((FILTER(Data!M:M,Data!D:D=A9,Data!B:B=$B$1)),"""")"),5.0)</f>
        <v>5</v>
      </c>
      <c r="H9" s="134">
        <f>IFERROR(__xludf.DUMMYFUNCTION("IFERROR((FILTER(Data!G:G,Data!D:D=A9,Data!B:B=$B$1)*4)+(FILTER(Data!H:H,Data!D:D=A9,Data!B:B=$B$1)*2),"""")"),12.0)</f>
        <v>12</v>
      </c>
      <c r="I9" s="15">
        <f>IFERROR(__xludf.DUMMYFUNCTION("IFERROR((FILTER(Data!K:K,Data!D:D=A9,Data!B:B=$B$1)*2)+(FILTER(Data!L:L,Data!D:D=A9,Data!B:B=$B$1)),"""")"),30.0)</f>
        <v>30</v>
      </c>
      <c r="J9" s="134" t="str">
        <f>IFERROR(__xludf.DUMMYFUNCTION("IFERROR((FILTER(Data!N:N,Data!D:D=A9,Data!B:B=$B$1)),"""")"),"MIDDLE")</f>
        <v>MIDDLE</v>
      </c>
      <c r="K9" s="135">
        <f>IFERROR(__xludf.DUMMYFUNCTION("IFERROR((FILTER(Data!H:H,Data!D:D=A9,Data!B:B=$B$1)*2)+(FILTER(Data!L:L,Data!D:D=A9,Data!B:B=$B$1))+(FILTER(Data!G:G,Data!D:D=A9,Data!B:B=$B$1)*4)+(FILTER(Data!K:K,Data!D:D=A9,Data!B:B=$B$1)*2)+(((COUNTIF(FILTER(Data!N:N,Data!D:D=A9,Data!B:B=$B$1),""TRAVE"&amp;"RSE"")*15)+(COUNTIF(FILTER(Data!N:N,Data!D:D=A9,Data!B:B=$B$1),""HIGH"")*10)+(COUNTIF(FILTER(Data!N:N,Data!D:D=A9,Data!B:B=$B$1),""MIDDLE"")*6)+(COUNTIF(FILTER(Data!N:N,Data!D:D=A9,Data!B:B=$B$1),""LOW"")*4))),"""")"),48.0)</f>
        <v>48</v>
      </c>
      <c r="L9" s="136" t="str">
        <f>IFERROR(__xludf.DUMMYFUNCTION("IFERROR((FILTER(Data!P:P,Data!D:D=A9,Data!B:B=$B$1)),"""")"),"")</f>
        <v/>
      </c>
      <c r="M9" s="137" t="str">
        <f>IFERROR(__xludf.DUMMYFUNCTION("IFERROR((FILTER(Data!A:A,Data!D:D=A9,Data!B:B=$B$1)),"""")"),"Mason")</f>
        <v>Mason</v>
      </c>
      <c r="T9" s="52">
        <f>IFERROR(__xludf.DUMMYFUNCTION("((COUNTIF(FILTER(Data!N:N,Data!D:D=A9,Data!B:B=$B$1),""TRAVERSE"")*15)+(COUNTIF(FILTER(Data!N:N,Data!D:D=A9,Data!B:B=B$1),""HIGH"")*10)+(COUNTIF(FILTER(Data!N:N,Data!D:D=A9,Data!B:B=$B$1),""MIDDLE"")*6)+(COUNTIF(FILTER(Data!N:N,Data!D:D=A9,Data!B:B=$B$1),"&amp;"""LOW"")*4))"),6.0)</f>
        <v>6</v>
      </c>
      <c r="V9" s="138" t="str">
        <f>IF(Data!B1='Team Parser'!$B$1, Data!D1,"")</f>
        <v/>
      </c>
      <c r="W9" s="134" t="str">
        <f>IF(Data!$B1='Team Parser'!$B$1, Data!H1,"")</f>
        <v/>
      </c>
      <c r="X9" s="134" t="str">
        <f>IF(Data!$B1='Team Parser'!$B$1, Data!G1,"")</f>
        <v/>
      </c>
      <c r="Y9" s="134" t="str">
        <f>IF(Data!$B1='Team Parser'!$B$1, Data!L1,"")</f>
        <v/>
      </c>
      <c r="Z9" s="134" t="str">
        <f>IF(Data!$B1='Team Parser'!$B$1, Data!K1,"")</f>
        <v/>
      </c>
      <c r="AA9" s="134" t="str">
        <f>IF(Data!$B1='Team Parser'!$B$1, Data!M1,"")</f>
        <v/>
      </c>
      <c r="AB9" s="134" t="str">
        <f>IF(Data!$B1='Team Parser'!$B$1,((Z9*2)+(Y9)+(X9*4)+(W9*2)),"")</f>
        <v/>
      </c>
      <c r="AC9" s="134" t="str">
        <f>IF(Data!$B1='Team Parser'!$B$1, Data!N1,"")</f>
        <v/>
      </c>
      <c r="AD9" s="139" t="str">
        <f>IF(Data!$B1='Team Parser'!$B$1,(AB9+(COUNTIF(AC9,"TRAVERSE")*15)+(COUNTIF(AC9,"HIGH")*10)+(COUNTIF(AC9,"MIDDLE")*6)+(COUNTIF(AC9,"LOW")*4)),"")</f>
        <v/>
      </c>
    </row>
    <row r="10">
      <c r="A10" s="133">
        <v>15.0</v>
      </c>
      <c r="B10" s="134">
        <f>IFERROR(__xludf.DUMMYFUNCTION("IFERROR((FILTER(Data!H:H,Data!D:D=A10,Data!B:B=$B$1)),"""")"),0.0)</f>
        <v>0</v>
      </c>
      <c r="C10" s="134">
        <f>IFERROR(__xludf.DUMMYFUNCTION("IFERROR((FILTER(Data!G:G,Data!D:D=A10,Data!B:B=$B$1)),"""")"),0.0)</f>
        <v>0</v>
      </c>
      <c r="D10" s="134">
        <f>IFERROR(__xludf.DUMMYFUNCTION("IFERROR((FILTER(Data!J:J,Data!D:D=A10,Data!B:B=$B$1)),"""")"),0.0)</f>
        <v>0</v>
      </c>
      <c r="E10" s="134">
        <f>IFERROR(__xludf.DUMMYFUNCTION("IFERROR((FILTER(Data!L:L,Data!D:D=A10,Data!B:B=$B$1)),"""")"),0.0)</f>
        <v>0</v>
      </c>
      <c r="F10" s="134">
        <f>IFERROR(__xludf.DUMMYFUNCTION("IFERROR((FILTER(Data!K:K,Data!D:D=A10,Data!B:B=$B$1)),"""")"),13.0)</f>
        <v>13</v>
      </c>
      <c r="G10" s="134">
        <f>IFERROR(__xludf.DUMMYFUNCTION("IFERROR((FILTER(Data!M:M,Data!D:D=A10,Data!B:B=$B$1)),"""")"),1.0)</f>
        <v>1</v>
      </c>
      <c r="H10" s="134">
        <f>IFERROR(__xludf.DUMMYFUNCTION("IFERROR((FILTER(Data!G:G,Data!D:D=A10,Data!B:B=$B$1)*4)+(FILTER(Data!H:H,Data!D:D=A10,Data!B:B=$B$1)*2),"""")"),0.0)</f>
        <v>0</v>
      </c>
      <c r="I10" s="140">
        <f>IFERROR(__xludf.DUMMYFUNCTION("IFERROR((FILTER(Data!K:K,Data!D:D=A10,Data!B:B=$B$1)*2)+(FILTER(Data!L:L,Data!D:D=A10,Data!B:B=$B$1)),"""")"),26.0)</f>
        <v>26</v>
      </c>
      <c r="J10" s="134" t="str">
        <f>IFERROR(__xludf.DUMMYFUNCTION("IFERROR((FILTER(Data!N:N,Data!D:D=A10,Data!B:B=$B$1)),"""")"),"MIDDLE")</f>
        <v>MIDDLE</v>
      </c>
      <c r="K10" s="135">
        <f>IFERROR(__xludf.DUMMYFUNCTION("IFERROR((FILTER(Data!H:H,Data!D:D=A10,Data!B:B=$B$1)*2)+(FILTER(Data!L:L,Data!D:D=A10,Data!B:B=$B$1))+(FILTER(Data!G:G,Data!D:D=A10,Data!B:B=$B$1)*4)+(FILTER(Data!K:K,Data!D:D=A10,Data!B:B=$B$1)*2)+(((COUNTIF(FILTER(Data!N:N,Data!D:D=A10,Data!B:B=$B$1),"""&amp;"TRAVERSE"")*15)+(COUNTIF(FILTER(Data!N:N,Data!D:D=A10,Data!B:B=$B$1),""HIGH"")*10)+(COUNTIF(FILTER(Data!N:N,Data!D:D=A10,Data!B:B=$B$1),""MIDDLE"")*6)+(COUNTIF(FILTER(Data!N:N,Data!D:D=A10,Data!B:B=$B$1),""LOW"")*4))),"""")"),32.0)</f>
        <v>32</v>
      </c>
      <c r="L10" s="136" t="str">
        <f>IFERROR(__xludf.DUMMYFUNCTION("IFERROR((FILTER(Data!P:P,Data!D:D=A10,Data!B:B=$B$1)),"""")"),"")</f>
        <v/>
      </c>
      <c r="M10" s="137" t="str">
        <f>IFERROR(__xludf.DUMMYFUNCTION("IFERROR((FILTER(Data!A:A,Data!D:D=A10,Data!B:B=$B$1)),"""")"),"Thomas Mills")</f>
        <v>Thomas Mills</v>
      </c>
      <c r="T10" s="52">
        <f>IFERROR(__xludf.DUMMYFUNCTION("((COUNTIF(FILTER(Data!N:N,Data!D:D=A10,Data!B:B=$B$1),""TRAVERSE"")*15)+(COUNTIF(FILTER(Data!N:N,Data!D:D=A10,Data!B:B=B$1),""HIGH"")*10)+(COUNTIF(FILTER(Data!N:N,Data!D:D=A10,Data!B:B=$B$1),""MIDDLE"")*6)+(COUNTIF(FILTER(Data!N:N,Data!D:D=A10,Data!B:B=$B"&amp;"$1),""LOW"")*4))"),6.0)</f>
        <v>6</v>
      </c>
      <c r="V10" s="138">
        <f>IF(Data!B2='Team Parser'!$B$1, Data!D2,"")</f>
        <v>15</v>
      </c>
      <c r="W10" s="134">
        <f>IF(Data!$B2='Team Parser'!$B$1, Data!H2,"")</f>
        <v>0</v>
      </c>
      <c r="X10" s="134">
        <f>IF(Data!$B2='Team Parser'!$B$1, Data!G2,"")</f>
        <v>0</v>
      </c>
      <c r="Y10" s="134">
        <f>IF(Data!$B2='Team Parser'!$B$1, Data!L2,"")</f>
        <v>0</v>
      </c>
      <c r="Z10" s="134">
        <f>IF(Data!$B2='Team Parser'!$B$1, Data!K2,"")</f>
        <v>13</v>
      </c>
      <c r="AA10" s="134">
        <f>IF(Data!$B2='Team Parser'!$B$1, Data!M2,"")</f>
        <v>1</v>
      </c>
      <c r="AB10" s="134">
        <f>IF(Data!$B2='Team Parser'!$B$1,((Z10*2)+(Y10)+(X10*4)+(W10*2)),"")</f>
        <v>26</v>
      </c>
      <c r="AC10" s="134" t="str">
        <f>IF(Data!$B2='Team Parser'!$B$1, Data!N2,"")</f>
        <v>MIDDLE</v>
      </c>
      <c r="AD10" s="139">
        <f>IF(Data!$B2='Team Parser'!$B$1,(AB10+(COUNTIF(AC10,"TRAVERSE")*15)+(COUNTIF(AC10,"HIGH")*10)+(COUNTIF(AC10,"MIDDLE")*6)+(COUNTIF(AC10,"LOW")*4)),"")</f>
        <v>32</v>
      </c>
    </row>
    <row r="11">
      <c r="A11" s="133">
        <v>20.0</v>
      </c>
      <c r="B11" s="134">
        <f>IFERROR(__xludf.DUMMYFUNCTION("IFERROR((FILTER(Data!H:H,Data!D:D=A11,Data!B:B=$B$1)),"""")"),0.0)</f>
        <v>0</v>
      </c>
      <c r="C11" s="134">
        <f>IFERROR(__xludf.DUMMYFUNCTION("IFERROR((FILTER(Data!G:G,Data!D:D=A11,Data!B:B=$B$1)),"""")"),2.0)</f>
        <v>2</v>
      </c>
      <c r="D11" s="134">
        <f>IFERROR(__xludf.DUMMYFUNCTION("IFERROR((FILTER(Data!J:J,Data!D:D=A11,Data!B:B=$B$1)),"""")"),2.0)</f>
        <v>2</v>
      </c>
      <c r="E11" s="134">
        <f>IFERROR(__xludf.DUMMYFUNCTION("IFERROR((FILTER(Data!L:L,Data!D:D=A11,Data!B:B=$B$1)),"""")"),0.0)</f>
        <v>0</v>
      </c>
      <c r="F11" s="134">
        <f>IFERROR(__xludf.DUMMYFUNCTION("IFERROR((FILTER(Data!K:K,Data!D:D=A11,Data!B:B=$B$1)),"""")"),9.0)</f>
        <v>9</v>
      </c>
      <c r="G11" s="134">
        <f>IFERROR(__xludf.DUMMYFUNCTION("IFERROR((FILTER(Data!M:M,Data!D:D=A11,Data!B:B=$B$1)),"""")"),1.0)</f>
        <v>1</v>
      </c>
      <c r="H11" s="134">
        <f>IFERROR(__xludf.DUMMYFUNCTION("IFERROR((FILTER(Data!G:G,Data!D:D=A11,Data!B:B=$B$1)*4)+(FILTER(Data!H:H,Data!D:D=A11,Data!B:B=$B$1)*2),"""")"),8.0)</f>
        <v>8</v>
      </c>
      <c r="I11" s="15">
        <f>IFERROR(__xludf.DUMMYFUNCTION("IFERROR((FILTER(Data!K:K,Data!D:D=A11,Data!B:B=$B$1)*2)+(FILTER(Data!L:L,Data!D:D=A11,Data!B:B=$B$1)),"""")"),18.0)</f>
        <v>18</v>
      </c>
      <c r="J11" s="134" t="str">
        <f>IFERROR(__xludf.DUMMYFUNCTION("IFERROR((FILTER(Data!N:N,Data!D:D=A11,Data!B:B=$B$1)),"""")"),"MIDDLE")</f>
        <v>MIDDLE</v>
      </c>
      <c r="K11" s="135">
        <f>IFERROR(__xludf.DUMMYFUNCTION("IFERROR((FILTER(Data!H:H,Data!D:D=A11,Data!B:B=$B$1)*2)+(FILTER(Data!L:L,Data!D:D=A11,Data!B:B=$B$1))+(FILTER(Data!G:G,Data!D:D=A11,Data!B:B=$B$1)*4)+(FILTER(Data!K:K,Data!D:D=A11,Data!B:B=$B$1)*2)+(((COUNTIF(FILTER(Data!N:N,Data!D:D=A11,Data!B:B=$B$1),"""&amp;"TRAVERSE"")*15)+(COUNTIF(FILTER(Data!N:N,Data!D:D=A11,Data!B:B=$B$1),""HIGH"")*10)+(COUNTIF(FILTER(Data!N:N,Data!D:D=A11,Data!B:B=$B$1),""MIDDLE"")*6)+(COUNTIF(FILTER(Data!N:N,Data!D:D=A11,Data!B:B=$B$1),""LOW"")*4))),"""")"),32.0)</f>
        <v>32</v>
      </c>
      <c r="L11" s="136" t="str">
        <f>IFERROR(__xludf.DUMMYFUNCTION("IFERROR((FILTER(Data!P:P,Data!D:D=A11,Data!B:B=$B$1)),"""")"),"")</f>
        <v/>
      </c>
      <c r="M11" s="137" t="str">
        <f>IFERROR(__xludf.DUMMYFUNCTION("IFERROR((FILTER(Data!A:A,Data!D:D=A11,Data!B:B=$B$1)),"""")"),"Nicolai")</f>
        <v>Nicolai</v>
      </c>
      <c r="T11" s="52">
        <f>IFERROR(__xludf.DUMMYFUNCTION("((COUNTIF(FILTER(Data!N:N,Data!D:D=A11,Data!B:B=$B$1),""TRAVERSE"")*15)+(COUNTIF(FILTER(Data!N:N,Data!D:D=A11,Data!B:B=B$1),""HIGH"")*10)+(COUNTIF(FILTER(Data!N:N,Data!D:D=A11,Data!B:B=$B$1),""MIDDLE"")*6)+(COUNTIF(FILTER(Data!N:N,Data!D:D=A11,Data!B:B=$B"&amp;"$1),""LOW"")*4))"),6.0)</f>
        <v>6</v>
      </c>
      <c r="V11" s="138">
        <f>IF(Data!B3='Team Parser'!$B$1, Data!D3,"")</f>
        <v>20</v>
      </c>
      <c r="W11" s="134">
        <f>IF(Data!$B3='Team Parser'!$B$1, Data!H3,"")</f>
        <v>0</v>
      </c>
      <c r="X11" s="134">
        <f>IF(Data!$B3='Team Parser'!$B$1, Data!G3,"")</f>
        <v>2</v>
      </c>
      <c r="Y11" s="134">
        <f>IF(Data!$B3='Team Parser'!$B$1, Data!L3,"")</f>
        <v>0</v>
      </c>
      <c r="Z11" s="134">
        <f>IF(Data!$B3='Team Parser'!$B$1, Data!K3,"")</f>
        <v>9</v>
      </c>
      <c r="AA11" s="134">
        <f>IF(Data!$B3='Team Parser'!$B$1, Data!M3,"")</f>
        <v>1</v>
      </c>
      <c r="AB11" s="134">
        <f>IF(Data!$B3='Team Parser'!$B$1,((Z11*2)+(Y11)+(X11*4)+(W11*2)),"")</f>
        <v>26</v>
      </c>
      <c r="AC11" s="134" t="str">
        <f>IF(Data!$B3='Team Parser'!$B$1, Data!N3,"")</f>
        <v>MIDDLE</v>
      </c>
      <c r="AD11" s="139">
        <f>IF(Data!$B3='Team Parser'!$B$1,(AB11+(COUNTIF(AC11,"TRAVERSE")*15)+(COUNTIF(AC11,"HIGH")*10)+(COUNTIF(AC11,"MIDDLE")*6)+(COUNTIF(AC11,"LOW")*4)),"")</f>
        <v>32</v>
      </c>
    </row>
    <row r="12">
      <c r="A12" s="133">
        <v>25.0</v>
      </c>
      <c r="B12" s="134">
        <f>IFERROR(__xludf.DUMMYFUNCTION("IFERROR((FILTER(Data!H:H,Data!D:D=A12,Data!B:B=$B$1)),"""")"),0.0)</f>
        <v>0</v>
      </c>
      <c r="C12" s="134">
        <f>IFERROR(__xludf.DUMMYFUNCTION("IFERROR((FILTER(Data!G:G,Data!D:D=A12,Data!B:B=$B$1)),"""")"),1.0)</f>
        <v>1</v>
      </c>
      <c r="D12" s="134">
        <f>IFERROR(__xludf.DUMMYFUNCTION("IFERROR((FILTER(Data!J:J,Data!D:D=A12,Data!B:B=$B$1)),"""")"),4.0)</f>
        <v>4</v>
      </c>
      <c r="E12" s="134">
        <f>IFERROR(__xludf.DUMMYFUNCTION("IFERROR((FILTER(Data!L:L,Data!D:D=A12,Data!B:B=$B$1)),"""")"),0.0)</f>
        <v>0</v>
      </c>
      <c r="F12" s="134">
        <f>IFERROR(__xludf.DUMMYFUNCTION("IFERROR((FILTER(Data!K:K,Data!D:D=A12,Data!B:B=$B$1)),"""")"),12.0)</f>
        <v>12</v>
      </c>
      <c r="G12" s="134">
        <f>IFERROR(__xludf.DUMMYFUNCTION("IFERROR((FILTER(Data!M:M,Data!D:D=A12,Data!B:B=$B$1)),"""")"),3.0)</f>
        <v>3</v>
      </c>
      <c r="H12" s="134">
        <f>IFERROR(__xludf.DUMMYFUNCTION("IFERROR((FILTER(Data!G:G,Data!D:D=A12,Data!B:B=$B$1)*4)+(FILTER(Data!H:H,Data!D:D=A12,Data!B:B=$B$1)*2),"""")"),4.0)</f>
        <v>4</v>
      </c>
      <c r="I12" s="15">
        <f>IFERROR(__xludf.DUMMYFUNCTION("IFERROR((FILTER(Data!K:K,Data!D:D=A12,Data!B:B=$B$1)*2)+(FILTER(Data!L:L,Data!D:D=A12,Data!B:B=$B$1)),"""")"),24.0)</f>
        <v>24</v>
      </c>
      <c r="J12" s="134" t="str">
        <f>IFERROR(__xludf.DUMMYFUNCTION("IFERROR((FILTER(Data!N:N,Data!D:D=A12,Data!B:B=$B$1)),"""")"),"MIDDLE")</f>
        <v>MIDDLE</v>
      </c>
      <c r="K12" s="135">
        <f>IFERROR(__xludf.DUMMYFUNCTION("IFERROR((FILTER(Data!H:H,Data!D:D=A12,Data!B:B=$B$1)*2)+(FILTER(Data!L:L,Data!D:D=A12,Data!B:B=$B$1))+(FILTER(Data!G:G,Data!D:D=A12,Data!B:B=$B$1)*4)+(FILTER(Data!K:K,Data!D:D=A12,Data!B:B=$B$1)*2)+(((COUNTIF(FILTER(Data!N:N,Data!D:D=A12,Data!B:B=$B$1),"""&amp;"TRAVERSE"")*15)+(COUNTIF(FILTER(Data!N:N,Data!D:D=A12,Data!B:B=$B$1),""HIGH"")*10)+(COUNTIF(FILTER(Data!N:N,Data!D:D=A12,Data!B:B=$B$1),""MIDDLE"")*6)+(COUNTIF(FILTER(Data!N:N,Data!D:D=A12,Data!B:B=$B$1),""LOW"")*4))),"""")"),34.0)</f>
        <v>34</v>
      </c>
      <c r="L12" s="136" t="str">
        <f>IFERROR(__xludf.DUMMYFUNCTION("IFERROR((FILTER(Data!P:P,Data!D:D=A12,Data!B:B=$B$1)),"""")"),"")</f>
        <v/>
      </c>
      <c r="M12" s="137" t="str">
        <f>IFERROR(__xludf.DUMMYFUNCTION("IFERROR((FILTER(Data!A:A,Data!D:D=A12,Data!B:B=$B$1)),"""")"),"Mason")</f>
        <v>Mason</v>
      </c>
      <c r="T12" s="52">
        <f>IFERROR(__xludf.DUMMYFUNCTION("((COUNTIF(FILTER(Data!N:N,Data!D:D=A12,Data!B:B=$B$1),""TRAVERSE"")*15)+(COUNTIF(FILTER(Data!N:N,Data!D:D=A12,Data!B:B=B$1),""HIGH"")*10)+(COUNTIF(FILTER(Data!N:N,Data!D:D=A12,Data!B:B=$B$1),""MIDDLE"")*6)+(COUNTIF(FILTER(Data!N:N,Data!D:D=A12,Data!B:B=$B"&amp;"$1),""LOW"")*4))"),6.0)</f>
        <v>6</v>
      </c>
      <c r="V12" s="138">
        <f>IF(Data!B4='Team Parser'!$B$1, Data!D4,"")</f>
        <v>25</v>
      </c>
      <c r="W12" s="134">
        <f>IF(Data!$B4='Team Parser'!$B$1, Data!H4,"")</f>
        <v>0</v>
      </c>
      <c r="X12" s="134">
        <f>IF(Data!$B4='Team Parser'!$B$1, Data!G4,"")</f>
        <v>1</v>
      </c>
      <c r="Y12" s="134">
        <f>IF(Data!$B4='Team Parser'!$B$1, Data!L4,"")</f>
        <v>0</v>
      </c>
      <c r="Z12" s="134">
        <f>IF(Data!$B4='Team Parser'!$B$1, Data!K4,"")</f>
        <v>12</v>
      </c>
      <c r="AA12" s="134">
        <f>IF(Data!$B4='Team Parser'!$B$1, Data!M4,"")</f>
        <v>3</v>
      </c>
      <c r="AB12" s="134">
        <f>IF(Data!$B4='Team Parser'!$B$1,((Z12*2)+(Y12)+(X12*4)+(W12*2)),"")</f>
        <v>28</v>
      </c>
      <c r="AC12" s="134" t="str">
        <f>IF(Data!$B4='Team Parser'!$B$1, Data!N4,"")</f>
        <v>MIDDLE</v>
      </c>
      <c r="AD12" s="139">
        <f>IF(Data!$B4='Team Parser'!$B$1,(AB12+(COUNTIF(AC12,"TRAVERSE")*15)+(COUNTIF(AC12,"HIGH")*10)+(COUNTIF(AC12,"MIDDLE")*6)+(COUNTIF(AC12,"LOW")*4)),"")</f>
        <v>34</v>
      </c>
    </row>
    <row r="13">
      <c r="A13" s="133">
        <v>35.0</v>
      </c>
      <c r="B13" s="134">
        <f>IFERROR(__xludf.DUMMYFUNCTION("IFERROR((FILTER(Data!H:H,Data!D:D=A13,Data!B:B=$B$1)),"""")"),0.0)</f>
        <v>0</v>
      </c>
      <c r="C13" s="134">
        <f>IFERROR(__xludf.DUMMYFUNCTION("IFERROR((FILTER(Data!G:G,Data!D:D=A13,Data!B:B=$B$1)),"""")"),2.0)</f>
        <v>2</v>
      </c>
      <c r="D13" s="134">
        <f>IFERROR(__xludf.DUMMYFUNCTION("IFERROR((FILTER(Data!J:J,Data!D:D=A13,Data!B:B=$B$1)),"""")"),2.0)</f>
        <v>2</v>
      </c>
      <c r="E13" s="134">
        <f>IFERROR(__xludf.DUMMYFUNCTION("IFERROR((FILTER(Data!L:L,Data!D:D=A13,Data!B:B=$B$1)),"""")"),0.0)</f>
        <v>0</v>
      </c>
      <c r="F13" s="134">
        <f>IFERROR(__xludf.DUMMYFUNCTION("IFERROR((FILTER(Data!K:K,Data!D:D=A13,Data!B:B=$B$1)),"""")"),12.0)</f>
        <v>12</v>
      </c>
      <c r="G13" s="134">
        <f>IFERROR(__xludf.DUMMYFUNCTION("IFERROR((FILTER(Data!M:M,Data!D:D=A13,Data!B:B=$B$1)),"""")"),7.0)</f>
        <v>7</v>
      </c>
      <c r="H13" s="134">
        <f>IFERROR(__xludf.DUMMYFUNCTION("IFERROR((FILTER(Data!G:G,Data!D:D=A13,Data!B:B=$B$1)*4)+(FILTER(Data!H:H,Data!D:D=A13,Data!B:B=$B$1)*2),"""")"),8.0)</f>
        <v>8</v>
      </c>
      <c r="I13" s="15">
        <f>IFERROR(__xludf.DUMMYFUNCTION("IFERROR((FILTER(Data!K:K,Data!D:D=A13,Data!B:B=$B$1)*2)+(FILTER(Data!L:L,Data!D:D=A13,Data!B:B=$B$1)),"""")"),24.0)</f>
        <v>24</v>
      </c>
      <c r="J13" s="134" t="str">
        <f>IFERROR(__xludf.DUMMYFUNCTION("IFERROR((FILTER(Data!N:N,Data!D:D=A13,Data!B:B=$B$1)),"""")"),"FAIL")</f>
        <v>FAIL</v>
      </c>
      <c r="K13" s="135">
        <f>IFERROR(__xludf.DUMMYFUNCTION("IFERROR((FILTER(Data!H:H,Data!D:D=A13,Data!B:B=$B$1)*2)+(FILTER(Data!L:L,Data!D:D=A13,Data!B:B=$B$1))+(FILTER(Data!G:G,Data!D:D=A13,Data!B:B=$B$1)*4)+(FILTER(Data!K:K,Data!D:D=A13,Data!B:B=$B$1)*2)+(((COUNTIF(FILTER(Data!N:N,Data!D:D=A13,Data!B:B=$B$1),"""&amp;"TRAVERSE"")*15)+(COUNTIF(FILTER(Data!N:N,Data!D:D=A13,Data!B:B=$B$1),""HIGH"")*10)+(COUNTIF(FILTER(Data!N:N,Data!D:D=A13,Data!B:B=$B$1),""MIDDLE"")*6)+(COUNTIF(FILTER(Data!N:N,Data!D:D=A13,Data!B:B=$B$1),""LOW"")*4))),"""")"),32.0)</f>
        <v>32</v>
      </c>
      <c r="L13" s="136" t="str">
        <f>IFERROR(__xludf.DUMMYFUNCTION("IFERROR((FILTER(Data!P:P,Data!D:D=A13,Data!B:B=$B$1)),"""")"),"")</f>
        <v/>
      </c>
      <c r="M13" s="137" t="str">
        <f>IFERROR(__xludf.DUMMYFUNCTION("IFERROR((FILTER(Data!A:A,Data!D:D=A13,Data!B:B=$B$1)),"""")"),"Ethan")</f>
        <v>Ethan</v>
      </c>
      <c r="T13" s="52">
        <f>IFERROR(__xludf.DUMMYFUNCTION("((COUNTIF(FILTER(Data!N:N,Data!D:D=A13,Data!B:B=$B$1),""TRAVERSE"")*15)+(COUNTIF(FILTER(Data!N:N,Data!D:D=A13,Data!B:B=B$1),""HIGH"")*10)+(COUNTIF(FILTER(Data!N:N,Data!D:D=A13,Data!B:B=$B$1),""MIDDLE"")*6)+(COUNTIF(FILTER(Data!N:N,Data!D:D=A13,Data!B:B=$B"&amp;"$1),""LOW"")*4))"),0.0)</f>
        <v>0</v>
      </c>
      <c r="V13" s="138">
        <f>IF(Data!B5='Team Parser'!$B$1, Data!D5,"")</f>
        <v>35</v>
      </c>
      <c r="W13" s="134">
        <f>IF(Data!$B5='Team Parser'!$B$1, Data!H5,"")</f>
        <v>0</v>
      </c>
      <c r="X13" s="134">
        <f>IF(Data!$B5='Team Parser'!$B$1, Data!G5,"")</f>
        <v>2</v>
      </c>
      <c r="Y13" s="134">
        <f>IF(Data!$B5='Team Parser'!$B$1, Data!L5,"")</f>
        <v>0</v>
      </c>
      <c r="Z13" s="134">
        <f>IF(Data!$B5='Team Parser'!$B$1, Data!K5,"")</f>
        <v>12</v>
      </c>
      <c r="AA13" s="134">
        <f>IF(Data!$B5='Team Parser'!$B$1, Data!M5,"")</f>
        <v>7</v>
      </c>
      <c r="AB13" s="134">
        <f>IF(Data!$B5='Team Parser'!$B$1,((Z13*2)+(Y13)+(X13*4)+(W13*2)),"")</f>
        <v>32</v>
      </c>
      <c r="AC13" s="134" t="str">
        <f>IF(Data!$B5='Team Parser'!$B$1, Data!N5,"")</f>
        <v>FAIL</v>
      </c>
      <c r="AD13" s="139">
        <f>IF(Data!$B5='Team Parser'!$B$1,(AB13+(COUNTIF(AC13,"TRAVERSE")*15)+(COUNTIF(AC13,"HIGH")*10)+(COUNTIF(AC13,"MIDDLE")*6)+(COUNTIF(AC13,"LOW")*4)),"")</f>
        <v>32</v>
      </c>
    </row>
    <row r="14">
      <c r="A14" s="133">
        <v>43.0</v>
      </c>
      <c r="B14" s="134">
        <f>IFERROR(__xludf.DUMMYFUNCTION("IFERROR((FILTER(Data!H:H,Data!D:D=A14,Data!B:B=$B$1)),"""")"),0.0)</f>
        <v>0</v>
      </c>
      <c r="C14" s="134">
        <f>IFERROR(__xludf.DUMMYFUNCTION("IFERROR((FILTER(Data!G:G,Data!D:D=A14,Data!B:B=$B$1)),"""")"),0.0)</f>
        <v>0</v>
      </c>
      <c r="D14" s="134">
        <f>IFERROR(__xludf.DUMMYFUNCTION("IFERROR((FILTER(Data!J:J,Data!D:D=A14,Data!B:B=$B$1)),"""")"),6.0)</f>
        <v>6</v>
      </c>
      <c r="E14" s="134">
        <f>IFERROR(__xludf.DUMMYFUNCTION("IFERROR((FILTER(Data!L:L,Data!D:D=A14,Data!B:B=$B$1)),"""")"),0.0)</f>
        <v>0</v>
      </c>
      <c r="F14" s="134">
        <f>IFERROR(__xludf.DUMMYFUNCTION("IFERROR((FILTER(Data!K:K,Data!D:D=A14,Data!B:B=$B$1)),"""")"),20.0)</f>
        <v>20</v>
      </c>
      <c r="G14" s="134">
        <f>IFERROR(__xludf.DUMMYFUNCTION("IFERROR((FILTER(Data!M:M,Data!D:D=A14,Data!B:B=$B$1)),"""")"),0.0)</f>
        <v>0</v>
      </c>
      <c r="H14" s="134">
        <f>IFERROR(__xludf.DUMMYFUNCTION("IFERROR((FILTER(Data!G:G,Data!D:D=A14,Data!B:B=$B$1)*4)+(FILTER(Data!H:H,Data!D:D=A14,Data!B:B=$B$1)*2),"""")"),0.0)</f>
        <v>0</v>
      </c>
      <c r="I14" s="15">
        <f>IFERROR(__xludf.DUMMYFUNCTION("IFERROR((FILTER(Data!K:K,Data!D:D=A14,Data!B:B=$B$1)*2)+(FILTER(Data!L:L,Data!D:D=A14,Data!B:B=$B$1)),"""")"),40.0)</f>
        <v>40</v>
      </c>
      <c r="J14" s="134" t="str">
        <f>IFERROR(__xludf.DUMMYFUNCTION("IFERROR((FILTER(Data!N:N,Data!D:D=A14,Data!B:B=$B$1)),"""")"),"MIDDLE")</f>
        <v>MIDDLE</v>
      </c>
      <c r="K14" s="135">
        <f>IFERROR(__xludf.DUMMYFUNCTION("IFERROR((FILTER(Data!H:H,Data!D:D=A14,Data!B:B=$B$1)*2)+(FILTER(Data!L:L,Data!D:D=A14,Data!B:B=$B$1))+(FILTER(Data!G:G,Data!D:D=A14,Data!B:B=$B$1)*4)+(FILTER(Data!K:K,Data!D:D=A14,Data!B:B=$B$1)*2)+(((COUNTIF(FILTER(Data!N:N,Data!D:D=A14,Data!B:B=$B$1),"""&amp;"TRAVERSE"")*15)+(COUNTIF(FILTER(Data!N:N,Data!D:D=A14,Data!B:B=$B$1),""HIGH"")*10)+(COUNTIF(FILTER(Data!N:N,Data!D:D=A14,Data!B:B=$B$1),""MIDDLE"")*6)+(COUNTIF(FILTER(Data!N:N,Data!D:D=A14,Data!B:B=$B$1),""LOW"")*4))),"""")"),46.0)</f>
        <v>46</v>
      </c>
      <c r="L14" s="136" t="str">
        <f>IFERROR(__xludf.DUMMYFUNCTION("IFERROR((FILTER(Data!P:P,Data!D:D=A14,Data!B:B=$B$1)),"""")"),"")</f>
        <v/>
      </c>
      <c r="M14" s="137" t="str">
        <f>IFERROR(__xludf.DUMMYFUNCTION("IFERROR((FILTER(Data!A:A,Data!D:D=A14,Data!B:B=$B$1)),"""")"),"Mason")</f>
        <v>Mason</v>
      </c>
      <c r="T14" s="52">
        <f>IFERROR(__xludf.DUMMYFUNCTION("((COUNTIF(FILTER(Data!N:N,Data!D:D=A14,Data!B:B=$B$1),""TRAVERSE"")*15)+(COUNTIF(FILTER(Data!N:N,Data!D:D=A14,Data!B:B=B$1),""HIGH"")*10)+(COUNTIF(FILTER(Data!N:N,Data!D:D=A14,Data!B:B=$B$1),""MIDDLE"")*6)+(COUNTIF(FILTER(Data!N:N,Data!D:D=A14,Data!B:B=$B"&amp;"$1),""LOW"")*4))"),6.0)</f>
        <v>6</v>
      </c>
      <c r="V14" s="138">
        <f>IF(Data!B6='Team Parser'!$B$1, Data!D6,"")</f>
        <v>43</v>
      </c>
      <c r="W14" s="134">
        <f>IF(Data!$B6='Team Parser'!$B$1, Data!H6,"")</f>
        <v>0</v>
      </c>
      <c r="X14" s="134">
        <f>IF(Data!$B6='Team Parser'!$B$1, Data!G6,"")</f>
        <v>0</v>
      </c>
      <c r="Y14" s="134">
        <f>IF(Data!$B6='Team Parser'!$B$1, Data!L6,"")</f>
        <v>0</v>
      </c>
      <c r="Z14" s="134">
        <f>IF(Data!$B6='Team Parser'!$B$1, Data!K6,"")</f>
        <v>20</v>
      </c>
      <c r="AA14" s="134">
        <f>IF(Data!$B6='Team Parser'!$B$1, Data!M6,"")</f>
        <v>0</v>
      </c>
      <c r="AB14" s="134">
        <f>IF(Data!$B6='Team Parser'!$B$1,((Z14*2)+(Y14)+(X14*4)+(W14*2)),"")</f>
        <v>40</v>
      </c>
      <c r="AC14" s="134" t="str">
        <f>IF(Data!$B6='Team Parser'!$B$1, Data!N6,"")</f>
        <v>MIDDLE</v>
      </c>
      <c r="AD14" s="139">
        <f>IF(Data!$B6='Team Parser'!$B$1,(AB14+(COUNTIF(AC14,"TRAVERSE")*15)+(COUNTIF(AC14,"HIGH")*10)+(COUNTIF(AC14,"MIDDLE")*6)+(COUNTIF(AC14,"LOW")*4)),"")</f>
        <v>46</v>
      </c>
    </row>
    <row r="15">
      <c r="A15" s="133">
        <v>49.0</v>
      </c>
      <c r="B15" s="134">
        <f>IFERROR(__xludf.DUMMYFUNCTION("IFERROR((FILTER(Data!H:H,Data!D:D=A15,Data!B:B=$B$1)),"""")"),0.0)</f>
        <v>0</v>
      </c>
      <c r="C15" s="134">
        <f>IFERROR(__xludf.DUMMYFUNCTION("IFERROR((FILTER(Data!G:G,Data!D:D=A15,Data!B:B=$B$1)),"""")"),1.0)</f>
        <v>1</v>
      </c>
      <c r="D15" s="134">
        <f>IFERROR(__xludf.DUMMYFUNCTION("IFERROR((FILTER(Data!J:J,Data!D:D=A15,Data!B:B=$B$1)),"""")"),1.0)</f>
        <v>1</v>
      </c>
      <c r="E15" s="134">
        <f>IFERROR(__xludf.DUMMYFUNCTION("IFERROR((FILTER(Data!L:L,Data!D:D=A15,Data!B:B=$B$1)),"""")"),0.0)</f>
        <v>0</v>
      </c>
      <c r="F15" s="134">
        <f>IFERROR(__xludf.DUMMYFUNCTION("IFERROR((FILTER(Data!K:K,Data!D:D=A15,Data!B:B=$B$1)),"""")"),7.0)</f>
        <v>7</v>
      </c>
      <c r="G15" s="134">
        <f>IFERROR(__xludf.DUMMYFUNCTION("IFERROR((FILTER(Data!M:M,Data!D:D=A15,Data!B:B=$B$1)),"""")"),2.0)</f>
        <v>2</v>
      </c>
      <c r="H15" s="134">
        <f>IFERROR(__xludf.DUMMYFUNCTION("IFERROR((FILTER(Data!G:G,Data!D:D=A15,Data!B:B=$B$1)*4)+(FILTER(Data!H:H,Data!D:D=A15,Data!B:B=$B$1)*2),"""")"),4.0)</f>
        <v>4</v>
      </c>
      <c r="I15" s="15">
        <f>IFERROR(__xludf.DUMMYFUNCTION("IFERROR((FILTER(Data!K:K,Data!D:D=A15,Data!B:B=$B$1)*2)+(FILTER(Data!L:L,Data!D:D=A15,Data!B:B=$B$1)),"""")"),14.0)</f>
        <v>14</v>
      </c>
      <c r="J15" s="134" t="str">
        <f>IFERROR(__xludf.DUMMYFUNCTION("IFERROR((FILTER(Data!N:N,Data!D:D=A15,Data!B:B=$B$1)),"""")"),"LOW")</f>
        <v>LOW</v>
      </c>
      <c r="K15" s="135">
        <f>IFERROR(__xludf.DUMMYFUNCTION("IFERROR((FILTER(Data!H:H,Data!D:D=A15,Data!B:B=$B$1)*2)+(FILTER(Data!L:L,Data!D:D=A15,Data!B:B=$B$1))+(FILTER(Data!G:G,Data!D:D=A15,Data!B:B=$B$1)*4)+(FILTER(Data!K:K,Data!D:D=A15,Data!B:B=$B$1)*2)+(((COUNTIF(FILTER(Data!N:N,Data!D:D=A15,Data!B:B=$B$1),"""&amp;"TRAVERSE"")*15)+(COUNTIF(FILTER(Data!N:N,Data!D:D=A15,Data!B:B=$B$1),""HIGH"")*10)+(COUNTIF(FILTER(Data!N:N,Data!D:D=A15,Data!B:B=$B$1),""MIDDLE"")*6)+(COUNTIF(FILTER(Data!N:N,Data!D:D=A15,Data!B:B=$B$1),""LOW"")*4))),"""")"),22.0)</f>
        <v>22</v>
      </c>
      <c r="L15" s="136" t="str">
        <f>IFERROR(__xludf.DUMMYFUNCTION("IFERROR((FILTER(Data!P:P,Data!D:D=A15,Data!B:B=$B$1)),"""")"),"")</f>
        <v/>
      </c>
      <c r="M15" s="137" t="str">
        <f>IFERROR(__xludf.DUMMYFUNCTION("IFERROR((FILTER(Data!A:A,Data!D:D=A15,Data!B:B=$B$1)),"""")"),"gus")</f>
        <v>gus</v>
      </c>
      <c r="T15" s="52">
        <f>IFERROR(__xludf.DUMMYFUNCTION("((COUNTIF(FILTER(Data!N:N,Data!D:D=A15,Data!B:B=$B$1),""TRAVERSE"")*15)+(COUNTIF(FILTER(Data!N:N,Data!D:D=A15,Data!B:B=B$1),""HIGH"")*10)+(COUNTIF(FILTER(Data!N:N,Data!D:D=A15,Data!B:B=$B$1),""MIDDLE"")*6)+(COUNTIF(FILTER(Data!N:N,Data!D:D=A15,Data!B:B=$B"&amp;"$1),""LOW"")*4))"),4.0)</f>
        <v>4</v>
      </c>
      <c r="V15" s="138">
        <f>IF(Data!B7='Team Parser'!$B$1, Data!D7,"")</f>
        <v>49</v>
      </c>
      <c r="W15" s="134">
        <f>IF(Data!$B7='Team Parser'!$B$1, Data!H7,"")</f>
        <v>0</v>
      </c>
      <c r="X15" s="134">
        <f>IF(Data!$B7='Team Parser'!$B$1, Data!G7,"")</f>
        <v>1</v>
      </c>
      <c r="Y15" s="134">
        <f>IF(Data!$B7='Team Parser'!$B$1, Data!L7,"")</f>
        <v>0</v>
      </c>
      <c r="Z15" s="134">
        <f>IF(Data!$B7='Team Parser'!$B$1, Data!K7,"")</f>
        <v>7</v>
      </c>
      <c r="AA15" s="134">
        <f>IF(Data!$B7='Team Parser'!$B$1, Data!M7,"")</f>
        <v>2</v>
      </c>
      <c r="AB15" s="134">
        <f>IF(Data!$B7='Team Parser'!$B$1,((Z15*2)+(Y15)+(X15*4)+(W15*2)),"")</f>
        <v>18</v>
      </c>
      <c r="AC15" s="134" t="str">
        <f>IF(Data!$B7='Team Parser'!$B$1, Data!N7,"")</f>
        <v>LOW</v>
      </c>
      <c r="AD15" s="139">
        <f>IF(Data!$B7='Team Parser'!$B$1,(AB15+(COUNTIF(AC15,"TRAVERSE")*15)+(COUNTIF(AC15,"HIGH")*10)+(COUNTIF(AC15,"MIDDLE")*6)+(COUNTIF(AC15,"LOW")*4)),"")</f>
        <v>22</v>
      </c>
    </row>
    <row r="16">
      <c r="A16" s="133">
        <v>58.0</v>
      </c>
      <c r="B16" s="134">
        <f>IFERROR(__xludf.DUMMYFUNCTION("IFERROR((FILTER(Data!H:H,Data!D:D=A16,Data!B:B=$B$1)),"""")"),0.0)</f>
        <v>0</v>
      </c>
      <c r="C16" s="134">
        <f>IFERROR(__xludf.DUMMYFUNCTION("IFERROR((FILTER(Data!G:G,Data!D:D=A16,Data!B:B=$B$1)),"""")"),2.0)</f>
        <v>2</v>
      </c>
      <c r="D16" s="134">
        <f>IFERROR(__xludf.DUMMYFUNCTION("IFERROR((FILTER(Data!J:J,Data!D:D=A16,Data!B:B=$B$1)),"""")"),2.0)</f>
        <v>2</v>
      </c>
      <c r="E16" s="134">
        <f>IFERROR(__xludf.DUMMYFUNCTION("IFERROR((FILTER(Data!L:L,Data!D:D=A16,Data!B:B=$B$1)),"""")"),0.0)</f>
        <v>0</v>
      </c>
      <c r="F16" s="134">
        <f>IFERROR(__xludf.DUMMYFUNCTION("IFERROR((FILTER(Data!K:K,Data!D:D=A16,Data!B:B=$B$1)),"""")"),13.0)</f>
        <v>13</v>
      </c>
      <c r="G16" s="134">
        <f>IFERROR(__xludf.DUMMYFUNCTION("IFERROR((FILTER(Data!M:M,Data!D:D=A16,Data!B:B=$B$1)),"""")"),4.0)</f>
        <v>4</v>
      </c>
      <c r="H16" s="134">
        <f>IFERROR(__xludf.DUMMYFUNCTION("IFERROR((FILTER(Data!G:G,Data!D:D=A16,Data!B:B=$B$1)*4)+(FILTER(Data!H:H,Data!D:D=A16,Data!B:B=$B$1)*2),"""")"),8.0)</f>
        <v>8</v>
      </c>
      <c r="I16" s="15">
        <f>IFERROR(__xludf.DUMMYFUNCTION("IFERROR((FILTER(Data!K:K,Data!D:D=A16,Data!B:B=$B$1)*2)+(FILTER(Data!L:L,Data!D:D=A16,Data!B:B=$B$1)),"""")"),26.0)</f>
        <v>26</v>
      </c>
      <c r="J16" s="134" t="str">
        <f>IFERROR(__xludf.DUMMYFUNCTION("IFERROR((FILTER(Data!N:N,Data!D:D=A16,Data!B:B=$B$1)),"""")"),"TRAVERSE")</f>
        <v>TRAVERSE</v>
      </c>
      <c r="K16" s="135">
        <f>IFERROR(__xludf.DUMMYFUNCTION("IFERROR((FILTER(Data!H:H,Data!D:D=A16,Data!B:B=$B$1)*2)+(FILTER(Data!L:L,Data!D:D=A16,Data!B:B=$B$1))+(FILTER(Data!G:G,Data!D:D=A16,Data!B:B=$B$1)*4)+(FILTER(Data!K:K,Data!D:D=A16,Data!B:B=$B$1)*2)+(((COUNTIF(FILTER(Data!N:N,Data!D:D=A16,Data!B:B=$B$1),"""&amp;"TRAVERSE"")*15)+(COUNTIF(FILTER(Data!N:N,Data!D:D=A16,Data!B:B=$B$1),""HIGH"")*10)+(COUNTIF(FILTER(Data!N:N,Data!D:D=A16,Data!B:B=$B$1),""MIDDLE"")*6)+(COUNTIF(FILTER(Data!N:N,Data!D:D=A16,Data!B:B=$B$1),""LOW"")*4))),"""")"),49.0)</f>
        <v>49</v>
      </c>
      <c r="L16" s="136" t="str">
        <f>IFERROR(__xludf.DUMMYFUNCTION("IFERROR((FILTER(Data!P:P,Data!D:D=A16,Data!B:B=$B$1)),"""")"),"")</f>
        <v/>
      </c>
      <c r="M16" s="137" t="str">
        <f>IFERROR(__xludf.DUMMYFUNCTION("IFERROR((FILTER(Data!A:A,Data!D:D=A16,Data!B:B=$B$1)),"""")"),"Ethan")</f>
        <v>Ethan</v>
      </c>
      <c r="T16" s="52">
        <f>IFERROR(__xludf.DUMMYFUNCTION("((COUNTIF(FILTER(Data!N:N,Data!D:D=A16,Data!B:B=$B$1),""TRAVERSE"")*15)+(COUNTIF(FILTER(Data!N:N,Data!D:D=A16,Data!B:B=B$1),""HIGH"")*10)+(COUNTIF(FILTER(Data!N:N,Data!D:D=A16,Data!B:B=$B$1),""MIDDLE"")*6)+(COUNTIF(FILTER(Data!N:N,Data!D:D=A16,Data!B:B=$B"&amp;"$1),""LOW"")*4))"),15.0)</f>
        <v>15</v>
      </c>
      <c r="V16" s="138">
        <f>IF(Data!B8='Team Parser'!$B$1, Data!D8,"")</f>
        <v>58</v>
      </c>
      <c r="W16" s="134">
        <f>IF(Data!$B8='Team Parser'!$B$1, Data!H8,"")</f>
        <v>0</v>
      </c>
      <c r="X16" s="134">
        <f>IF(Data!$B8='Team Parser'!$B$1, Data!G8,"")</f>
        <v>2</v>
      </c>
      <c r="Y16" s="134">
        <f>IF(Data!$B8='Team Parser'!$B$1, Data!L8,"")</f>
        <v>0</v>
      </c>
      <c r="Z16" s="134">
        <f>IF(Data!$B8='Team Parser'!$B$1, Data!K8,"")</f>
        <v>13</v>
      </c>
      <c r="AA16" s="134">
        <f>IF(Data!$B8='Team Parser'!$B$1, Data!M8,"")</f>
        <v>4</v>
      </c>
      <c r="AB16" s="134">
        <f>IF(Data!$B8='Team Parser'!$B$1,((Z16*2)+(Y16)+(X16*4)+(W16*2)),"")</f>
        <v>34</v>
      </c>
      <c r="AC16" s="134" t="str">
        <f>IF(Data!$B8='Team Parser'!$B$1, Data!N8,"")</f>
        <v>TRAVERSE</v>
      </c>
      <c r="AD16" s="139">
        <f>IF(Data!$B8='Team Parser'!$B$1,(AB16+(COUNTIF(AC16,"TRAVERSE")*15)+(COUNTIF(AC16,"HIGH")*10)+(COUNTIF(AC16,"MIDDLE")*6)+(COUNTIF(AC16,"LOW")*4)),"")</f>
        <v>49</v>
      </c>
    </row>
    <row r="17">
      <c r="A17" s="133" t="s">
        <v>507</v>
      </c>
      <c r="B17" s="134" t="str">
        <f>IFERROR(__xludf.DUMMYFUNCTION("IFERROR((FILTER(Data!H:H,Data!D:D=A17,Data!B:B=$B$1)),"""")"),"")</f>
        <v/>
      </c>
      <c r="C17" s="134" t="str">
        <f>IFERROR(__xludf.DUMMYFUNCTION("IFERROR((FILTER(Data!G:G,Data!D:D=A17,Data!B:B=$B$1)),"""")"),"")</f>
        <v/>
      </c>
      <c r="D17" s="134" t="str">
        <f>IFERROR(__xludf.DUMMYFUNCTION("IFERROR((FILTER(Data!J:J,Data!D:D=A17,Data!B:B=$B$1)),"""")"),"")</f>
        <v/>
      </c>
      <c r="E17" s="134" t="str">
        <f>IFERROR(__xludf.DUMMYFUNCTION("IFERROR((FILTER(Data!L:L,Data!D:D=A17,Data!B:B=$B$1)),"""")"),"")</f>
        <v/>
      </c>
      <c r="F17" s="134" t="str">
        <f>IFERROR(__xludf.DUMMYFUNCTION("IFERROR((FILTER(Data!K:K,Data!D:D=A17,Data!B:B=$B$1)),"""")"),"")</f>
        <v/>
      </c>
      <c r="G17" s="134" t="str">
        <f>IFERROR(__xludf.DUMMYFUNCTION("IFERROR((FILTER(Data!M:M,Data!D:D=A17,Data!B:B=$B$1)),"""")"),"")</f>
        <v/>
      </c>
      <c r="H17" s="134" t="str">
        <f>IFERROR(__xludf.DUMMYFUNCTION("IFERROR((FILTER(Data!G:G,Data!D:D=A17,Data!B:B=$B$1)*4)+(FILTER(Data!H:H,Data!D:D=A17,Data!B:B=$B$1)*2),"""")"),"")</f>
        <v/>
      </c>
      <c r="I17" s="15" t="str">
        <f>IFERROR(__xludf.DUMMYFUNCTION("IFERROR((FILTER(Data!K:K,Data!D:D=A17,Data!B:B=$B$1)*2)+(FILTER(Data!L:L,Data!D:D=A17,Data!B:B=$B$1)),"""")"),"")</f>
        <v/>
      </c>
      <c r="J17" s="134" t="str">
        <f>IFERROR(__xludf.DUMMYFUNCTION("IFERROR((FILTER(Data!N:N,Data!D:D=A17,Data!B:B=$B$1)),"""")"),"")</f>
        <v/>
      </c>
      <c r="K17" s="135" t="str">
        <f>IFERROR(__xludf.DUMMYFUNCTION("IFERROR((FILTER(Data!H:H,Data!D:D=A17,Data!B:B=$B$1)*2)+(FILTER(Data!L:L,Data!D:D=A17,Data!B:B=$B$1))+(FILTER(Data!G:G,Data!D:D=A17,Data!B:B=$B$1)*4)+(FILTER(Data!K:K,Data!D:D=A17,Data!B:B=$B$1)*2)+(((COUNTIF(FILTER(Data!N:N,Data!D:D=A17,Data!B:B=$B$1),"""&amp;"TRAVERSE"")*15)+(COUNTIF(FILTER(Data!N:N,Data!D:D=A17,Data!B:B=$B$1),""HIGH"")*10)+(COUNTIF(FILTER(Data!N:N,Data!D:D=A17,Data!B:B=$B$1),""MIDDLE"")*6)+(COUNTIF(FILTER(Data!N:N,Data!D:D=A17,Data!B:B=$B$1),""LOW"")*4))),"""")"),"")</f>
        <v/>
      </c>
      <c r="L17" s="136" t="str">
        <f>IFERROR(__xludf.DUMMYFUNCTION("IFERROR((FILTER(Data!P:P,Data!D:D=A17,Data!B:B=$B$1)),"""")"),"")</f>
        <v/>
      </c>
      <c r="M17" s="137" t="str">
        <f>IFERROR(__xludf.DUMMYFUNCTION("IFERROR((FILTER(Data!A:A,Data!D:D=A17,Data!B:B=$B$1)),"""")"),"")</f>
        <v/>
      </c>
      <c r="T17" s="52">
        <f>IFERROR(__xludf.DUMMYFUNCTION("((COUNTIF(FILTER(Data!N:N,Data!D:D=A17,Data!B:B=$B$1),""TRAVERSE"")*15)+(COUNTIF(FILTER(Data!N:N,Data!D:D=A17,Data!B:B=B$1),""HIGH"")*10)+(COUNTIF(FILTER(Data!N:N,Data!D:D=A17,Data!B:B=$B$1),""MIDDLE"")*6)+(COUNTIF(FILTER(Data!N:N,Data!D:D=A17,Data!B:B=$B"&amp;"$1),""LOW"")*4))"),0.0)</f>
        <v>0</v>
      </c>
      <c r="V17" s="138">
        <f>IF(Data!B9='Team Parser'!$B$1, Data!D9,"")</f>
        <v>5</v>
      </c>
      <c r="W17" s="134">
        <f>IF(Data!$B9='Team Parser'!$B$1, Data!H9,"")</f>
        <v>0</v>
      </c>
      <c r="X17" s="134">
        <f>IF(Data!$B9='Team Parser'!$B$1, Data!G9,"")</f>
        <v>3</v>
      </c>
      <c r="Y17" s="134">
        <f>IF(Data!$B9='Team Parser'!$B$1, Data!L9,"")</f>
        <v>0</v>
      </c>
      <c r="Z17" s="134">
        <f>IF(Data!$B9='Team Parser'!$B$1, Data!K9,"")</f>
        <v>15</v>
      </c>
      <c r="AA17" s="134">
        <f>IF(Data!$B9='Team Parser'!$B$1, Data!M9,"")</f>
        <v>5</v>
      </c>
      <c r="AB17" s="134">
        <f>IF(Data!$B9='Team Parser'!$B$1,((Z17*2)+(Y17)+(X17*4)+(W17*2)),"")</f>
        <v>42</v>
      </c>
      <c r="AC17" s="134" t="str">
        <f>IF(Data!$B9='Team Parser'!$B$1, Data!N9,"")</f>
        <v>MIDDLE</v>
      </c>
      <c r="AD17" s="139">
        <f>IF(Data!$B9='Team Parser'!$B$1,(AB17+(COUNTIF(AC17,"TRAVERSE")*15)+(COUNTIF(AC17,"HIGH")*10)+(COUNTIF(AC17,"MIDDLE")*6)+(COUNTIF(AC17,"LOW")*4)),"")</f>
        <v>48</v>
      </c>
    </row>
    <row r="18">
      <c r="A18" s="133" t="s">
        <v>507</v>
      </c>
      <c r="B18" s="134" t="str">
        <f>IFERROR(__xludf.DUMMYFUNCTION("IFERROR((FILTER(Data!H:H,Data!D:D=A18,Data!B:B=$B$1)),"""")"),"")</f>
        <v/>
      </c>
      <c r="C18" s="134" t="str">
        <f>IFERROR(__xludf.DUMMYFUNCTION("IFERROR((FILTER(Data!G:G,Data!D:D=A18,Data!B:B=$B$1)),"""")"),"")</f>
        <v/>
      </c>
      <c r="D18" s="134" t="str">
        <f>IFERROR(__xludf.DUMMYFUNCTION("IFERROR((FILTER(Data!J:J,Data!D:D=A18,Data!B:B=$B$1)),"""")"),"")</f>
        <v/>
      </c>
      <c r="E18" s="134" t="str">
        <f>IFERROR(__xludf.DUMMYFUNCTION("IFERROR((FILTER(Data!L:L,Data!D:D=A18,Data!B:B=$B$1)),"""")"),"")</f>
        <v/>
      </c>
      <c r="F18" s="134" t="str">
        <f>IFERROR(__xludf.DUMMYFUNCTION("IFERROR((FILTER(Data!K:K,Data!D:D=A18,Data!B:B=$B$1)),"""")"),"")</f>
        <v/>
      </c>
      <c r="G18" s="134" t="str">
        <f>IFERROR(__xludf.DUMMYFUNCTION("IFERROR((FILTER(Data!M:M,Data!D:D=A18,Data!B:B=$B$1)),"""")"),"")</f>
        <v/>
      </c>
      <c r="H18" s="134" t="str">
        <f>IFERROR(__xludf.DUMMYFUNCTION("IFERROR((FILTER(Data!G:G,Data!D:D=A18,Data!B:B=$B$1)*4)+(FILTER(Data!H:H,Data!D:D=A18,Data!B:B=$B$1)*2),"""")"),"")</f>
        <v/>
      </c>
      <c r="I18" s="15" t="str">
        <f>IFERROR(__xludf.DUMMYFUNCTION("IFERROR((FILTER(Data!K:K,Data!D:D=A18,Data!B:B=$B$1)*2)+(FILTER(Data!L:L,Data!D:D=A18,Data!B:B=$B$1)),"""")"),"")</f>
        <v/>
      </c>
      <c r="J18" s="134" t="str">
        <f>IFERROR(__xludf.DUMMYFUNCTION("IFERROR((FILTER(Data!N:N,Data!D:D=A18,Data!B:B=$B$1)),"""")"),"")</f>
        <v/>
      </c>
      <c r="K18" s="135" t="str">
        <f>IFERROR(__xludf.DUMMYFUNCTION("IFERROR((FILTER(Data!H:H,Data!D:D=A18,Data!B:B=$B$1)*2)+(FILTER(Data!L:L,Data!D:D=A18,Data!B:B=$B$1))+(FILTER(Data!G:G,Data!D:D=A18,Data!B:B=$B$1)*4)+(FILTER(Data!K:K,Data!D:D=A18,Data!B:B=$B$1)*2)+(((COUNTIF(FILTER(Data!N:N,Data!D:D=A18,Data!B:B=$B$1),"""&amp;"TRAVERSE"")*15)+(COUNTIF(FILTER(Data!N:N,Data!D:D=A18,Data!B:B=$B$1),""HIGH"")*10)+(COUNTIF(FILTER(Data!N:N,Data!D:D=A18,Data!B:B=$B$1),""MIDDLE"")*6)+(COUNTIF(FILTER(Data!N:N,Data!D:D=A18,Data!B:B=$B$1),""LOW"")*4))),"""")"),"")</f>
        <v/>
      </c>
      <c r="L18" s="136" t="str">
        <f>IFERROR(__xludf.DUMMYFUNCTION("IFERROR((FILTER(Data!P:P,Data!D:D=A18,Data!B:B=$B$1)),"""")"),"")</f>
        <v/>
      </c>
      <c r="M18" s="137" t="str">
        <f>IFERROR(__xludf.DUMMYFUNCTION("IFERROR((FILTER(Data!A:A,Data!D:D=A18,Data!B:B=$B$1)),"""")"),"")</f>
        <v/>
      </c>
      <c r="T18" s="52">
        <f>IFERROR(__xludf.DUMMYFUNCTION("((COUNTIF(FILTER(Data!N:N,Data!D:D=A18,Data!B:B=$B$1),""TRAVERSE"")*15)+(COUNTIF(FILTER(Data!N:N,Data!D:D=A18,Data!B:B=B$1),""HIGH"")*10)+(COUNTIF(FILTER(Data!N:N,Data!D:D=A18,Data!B:B=$B$1),""MIDDLE"")*6)+(COUNTIF(FILTER(Data!N:N,Data!D:D=A18,Data!B:B=$B"&amp;"$1),""LOW"")*4))"),0.0)</f>
        <v>0</v>
      </c>
      <c r="V18" s="138" t="str">
        <f>IF(Data!B10='Team Parser'!$B$1, Data!D10,"")</f>
        <v/>
      </c>
      <c r="W18" s="134" t="str">
        <f>IF(Data!$B10='Team Parser'!$B$1, Data!H10,"")</f>
        <v/>
      </c>
      <c r="X18" s="134" t="str">
        <f>IF(Data!$B10='Team Parser'!$B$1, Data!G10,"")</f>
        <v/>
      </c>
      <c r="Y18" s="134" t="str">
        <f>IF(Data!$B10='Team Parser'!$B$1, Data!L10,"")</f>
        <v/>
      </c>
      <c r="Z18" s="134" t="str">
        <f>IF(Data!$B10='Team Parser'!$B$1, Data!K10,"")</f>
        <v/>
      </c>
      <c r="AA18" s="134" t="str">
        <f>IF(Data!$B10='Team Parser'!$B$1, Data!M10,"")</f>
        <v/>
      </c>
      <c r="AB18" s="134" t="str">
        <f>IF(Data!$B10='Team Parser'!$B$1,((Z18*2)+(Y18)+(X18*4)+(W18*2)),"")</f>
        <v/>
      </c>
      <c r="AC18" s="134" t="str">
        <f>IF(Data!$B10='Team Parser'!$B$1, Data!N10,"")</f>
        <v/>
      </c>
      <c r="AD18" s="139" t="str">
        <f>IF(Data!$B10='Team Parser'!$B$1,(AB18+(COUNTIF(AC18,"TRAVERSE")*15)+(COUNTIF(AC18,"HIGH")*10)+(COUNTIF(AC18,"MIDDLE")*6)+(COUNTIF(AC18,"LOW")*4)),"")</f>
        <v/>
      </c>
    </row>
    <row r="19">
      <c r="A19" s="133" t="s">
        <v>507</v>
      </c>
      <c r="B19" s="134" t="str">
        <f>IFERROR(__xludf.DUMMYFUNCTION("IFERROR((FILTER(Data!H:H,Data!D:D=A19,Data!B:B=$B$1)),"""")"),"")</f>
        <v/>
      </c>
      <c r="C19" s="134" t="str">
        <f>IFERROR(__xludf.DUMMYFUNCTION("IFERROR((FILTER(Data!G:G,Data!D:D=A19,Data!B:B=$B$1)),"""")"),"")</f>
        <v/>
      </c>
      <c r="D19" s="134" t="str">
        <f>IFERROR(__xludf.DUMMYFUNCTION("IFERROR((FILTER(Data!J:J,Data!D:D=A19,Data!B:B=$B$1)),"""")"),"")</f>
        <v/>
      </c>
      <c r="E19" s="134" t="str">
        <f>IFERROR(__xludf.DUMMYFUNCTION("IFERROR((FILTER(Data!L:L,Data!D:D=A19,Data!B:B=$B$1)),"""")"),"")</f>
        <v/>
      </c>
      <c r="F19" s="134" t="str">
        <f>IFERROR(__xludf.DUMMYFUNCTION("IFERROR((FILTER(Data!K:K,Data!D:D=A19,Data!B:B=$B$1)),"""")"),"")</f>
        <v/>
      </c>
      <c r="G19" s="134" t="str">
        <f>IFERROR(__xludf.DUMMYFUNCTION("IFERROR((FILTER(Data!M:M,Data!D:D=A19,Data!B:B=$B$1)),"""")"),"")</f>
        <v/>
      </c>
      <c r="H19" s="134" t="str">
        <f>IFERROR(__xludf.DUMMYFUNCTION("IFERROR((FILTER(Data!G:G,Data!D:D=A19,Data!B:B=$B$1)*4)+(FILTER(Data!H:H,Data!D:D=A19,Data!B:B=$B$1)*2),"""")"),"")</f>
        <v/>
      </c>
      <c r="I19" s="15" t="str">
        <f>IFERROR(__xludf.DUMMYFUNCTION("IFERROR((FILTER(Data!K:K,Data!D:D=A19,Data!B:B=$B$1)*2)+(FILTER(Data!L:L,Data!D:D=A19,Data!B:B=$B$1)),"""")"),"")</f>
        <v/>
      </c>
      <c r="J19" s="134" t="str">
        <f>IFERROR(__xludf.DUMMYFUNCTION("IFERROR((FILTER(Data!N:N,Data!D:D=A19,Data!B:B=$B$1)),"""")"),"")</f>
        <v/>
      </c>
      <c r="K19" s="135" t="str">
        <f>IFERROR(__xludf.DUMMYFUNCTION("IFERROR((FILTER(Data!H:H,Data!D:D=A19,Data!B:B=$B$1)*2)+(FILTER(Data!L:L,Data!D:D=A19,Data!B:B=$B$1))+(FILTER(Data!G:G,Data!D:D=A19,Data!B:B=$B$1)*4)+(FILTER(Data!K:K,Data!D:D=A19,Data!B:B=$B$1)*2)+(((COUNTIF(FILTER(Data!N:N,Data!D:D=A19,Data!B:B=$B$1),"""&amp;"TRAVERSE"")*15)+(COUNTIF(FILTER(Data!N:N,Data!D:D=A19,Data!B:B=$B$1),""HIGH"")*10)+(COUNTIF(FILTER(Data!N:N,Data!D:D=A19,Data!B:B=$B$1),""MIDDLE"")*6)+(COUNTIF(FILTER(Data!N:N,Data!D:D=A19,Data!B:B=$B$1),""LOW"")*4))),"""")"),"")</f>
        <v/>
      </c>
      <c r="L19" s="136" t="str">
        <f>IFERROR(__xludf.DUMMYFUNCTION("IFERROR((FILTER(Data!P:P,Data!D:D=A19,Data!B:B=$B$1)),"""")"),"")</f>
        <v/>
      </c>
      <c r="M19" s="137" t="str">
        <f>IFERROR(__xludf.DUMMYFUNCTION("IFERROR((FILTER(Data!A:A,Data!D:D=A19,Data!B:B=$B$1)),"""")"),"")</f>
        <v/>
      </c>
      <c r="T19" s="52">
        <f>IFERROR(__xludf.DUMMYFUNCTION("((COUNTIF(FILTER(Data!N:N,Data!D:D=A19,Data!B:B=$B$1),""TRAVERSE"")*15)+(COUNTIF(FILTER(Data!N:N,Data!D:D=A19,Data!B:B=B$1),""HIGH"")*10)+(COUNTIF(FILTER(Data!N:N,Data!D:D=A19,Data!B:B=$B$1),""MIDDLE"")*6)+(COUNTIF(FILTER(Data!N:N,Data!D:D=A19,Data!B:B=$B"&amp;"$1),""LOW"")*4))"),0.0)</f>
        <v>0</v>
      </c>
      <c r="V19" s="138" t="str">
        <f>IF(Data!B11='Team Parser'!$B$1, Data!D11,"")</f>
        <v/>
      </c>
      <c r="W19" s="134" t="str">
        <f>IF(Data!$B11='Team Parser'!$B$1, Data!H11,"")</f>
        <v/>
      </c>
      <c r="X19" s="134" t="str">
        <f>IF(Data!$B11='Team Parser'!$B$1, Data!G11,"")</f>
        <v/>
      </c>
      <c r="Y19" s="134" t="str">
        <f>IF(Data!$B11='Team Parser'!$B$1, Data!L11,"")</f>
        <v/>
      </c>
      <c r="Z19" s="134" t="str">
        <f>IF(Data!$B11='Team Parser'!$B$1, Data!K11,"")</f>
        <v/>
      </c>
      <c r="AA19" s="134" t="str">
        <f>IF(Data!$B11='Team Parser'!$B$1, Data!M11,"")</f>
        <v/>
      </c>
      <c r="AB19" s="134" t="str">
        <f>IF(Data!$B11='Team Parser'!$B$1,((Z19*2)+(Y19)+(X19*4)+(W19*2)),"")</f>
        <v/>
      </c>
      <c r="AC19" s="134" t="str">
        <f>IF(Data!$B11='Team Parser'!$B$1, Data!N11,"")</f>
        <v/>
      </c>
      <c r="AD19" s="139" t="str">
        <f>IF(Data!$B11='Team Parser'!$B$1,(AB19+(COUNTIF(AC19,"TRAVERSE")*15)+(COUNTIF(AC19,"HIGH")*10)+(COUNTIF(AC19,"MIDDLE")*6)+(COUNTIF(AC19,"LOW")*4)),"")</f>
        <v/>
      </c>
    </row>
    <row r="20">
      <c r="A20" s="133" t="s">
        <v>507</v>
      </c>
      <c r="B20" s="134" t="str">
        <f>IFERROR(__xludf.DUMMYFUNCTION("IFERROR((FILTER(Data!H:H,Data!D:D=A20,Data!B:B=$B$1)),"""")"),"")</f>
        <v/>
      </c>
      <c r="C20" s="134" t="str">
        <f>IFERROR(__xludf.DUMMYFUNCTION("IFERROR((FILTER(Data!G:G,Data!D:D=A20,Data!B:B=$B$1)),"""")"),"")</f>
        <v/>
      </c>
      <c r="D20" s="134" t="str">
        <f>IFERROR(__xludf.DUMMYFUNCTION("IFERROR((FILTER(Data!J:J,Data!D:D=A20,Data!B:B=$B$1)),"""")"),"")</f>
        <v/>
      </c>
      <c r="E20" s="134" t="str">
        <f>IFERROR(__xludf.DUMMYFUNCTION("IFERROR((FILTER(Data!L:L,Data!D:D=A20,Data!B:B=$B$1)),"""")"),"")</f>
        <v/>
      </c>
      <c r="F20" s="134" t="str">
        <f>IFERROR(__xludf.DUMMYFUNCTION("IFERROR((FILTER(Data!K:K,Data!D:D=A20,Data!B:B=$B$1)),"""")"),"")</f>
        <v/>
      </c>
      <c r="G20" s="134" t="str">
        <f>IFERROR(__xludf.DUMMYFUNCTION("IFERROR((FILTER(Data!M:M,Data!D:D=A20,Data!B:B=$B$1)),"""")"),"")</f>
        <v/>
      </c>
      <c r="H20" s="134" t="str">
        <f>IFERROR(__xludf.DUMMYFUNCTION("IFERROR((FILTER(Data!G:G,Data!D:D=A20,Data!B:B=$B$1)*4)+(FILTER(Data!H:H,Data!D:D=A20,Data!B:B=$B$1)*2),"""")"),"")</f>
        <v/>
      </c>
      <c r="I20" s="15" t="str">
        <f>IFERROR(__xludf.DUMMYFUNCTION("IFERROR((FILTER(Data!K:K,Data!D:D=A20,Data!B:B=$B$1)*2)+(FILTER(Data!L:L,Data!D:D=A20,Data!B:B=$B$1)),"""")"),"")</f>
        <v/>
      </c>
      <c r="J20" s="134" t="str">
        <f>IFERROR(__xludf.DUMMYFUNCTION("IFERROR((FILTER(Data!N:N,Data!D:D=A20,Data!B:B=$B$1)),"""")"),"")</f>
        <v/>
      </c>
      <c r="K20" s="135" t="str">
        <f>IFERROR(__xludf.DUMMYFUNCTION("IFERROR((FILTER(Data!H:H,Data!D:D=A20,Data!B:B=$B$1)*2)+(FILTER(Data!L:L,Data!D:D=A20,Data!B:B=$B$1))+(FILTER(Data!G:G,Data!D:D=A20,Data!B:B=$B$1)*4)+(FILTER(Data!K:K,Data!D:D=A20,Data!B:B=$B$1)*2)+(((COUNTIF(FILTER(Data!N:N,Data!D:D=A20,Data!B:B=$B$1),"""&amp;"TRAVERSE"")*15)+(COUNTIF(FILTER(Data!N:N,Data!D:D=A20,Data!B:B=$B$1),""HIGH"")*10)+(COUNTIF(FILTER(Data!N:N,Data!D:D=A20,Data!B:B=$B$1),""MIDDLE"")*6)+(COUNTIF(FILTER(Data!N:N,Data!D:D=A20,Data!B:B=$B$1),""LOW"")*4))),"""")"),"")</f>
        <v/>
      </c>
      <c r="L20" s="136" t="str">
        <f>IFERROR(__xludf.DUMMYFUNCTION("IFERROR((FILTER(Data!P:P,Data!D:D=A20,Data!B:B=$B$1)),"""")"),"")</f>
        <v/>
      </c>
      <c r="M20" s="137" t="str">
        <f>IFERROR(__xludf.DUMMYFUNCTION("IFERROR((FILTER(Data!A:A,Data!D:D=A20,Data!B:B=$B$1)),"""")"),"")</f>
        <v/>
      </c>
      <c r="T20" s="52">
        <f>IFERROR(__xludf.DUMMYFUNCTION("((COUNTIF(FILTER(Data!N:N,Data!D:D=A20,Data!B:B=$B$1),""TRAVERSE"")*15)+(COUNTIF(FILTER(Data!N:N,Data!D:D=A20,Data!B:B=B$1),""HIGH"")*10)+(COUNTIF(FILTER(Data!N:N,Data!D:D=A20,Data!B:B=$B$1),""MIDDLE"")*6)+(COUNTIF(FILTER(Data!N:N,Data!D:D=A20,Data!B:B=$B"&amp;"$1),""LOW"")*4))"),0.0)</f>
        <v>0</v>
      </c>
      <c r="V20" s="138" t="str">
        <f>IF(Data!B12='Team Parser'!$B$1, Data!D12,"")</f>
        <v/>
      </c>
      <c r="W20" s="134" t="str">
        <f>IF(Data!$B12='Team Parser'!$B$1, Data!H12,"")</f>
        <v/>
      </c>
      <c r="X20" s="134" t="str">
        <f>IF(Data!$B12='Team Parser'!$B$1, Data!G12,"")</f>
        <v/>
      </c>
      <c r="Y20" s="134" t="str">
        <f>IF(Data!$B12='Team Parser'!$B$1, Data!L12,"")</f>
        <v/>
      </c>
      <c r="Z20" s="134" t="str">
        <f>IF(Data!$B12='Team Parser'!$B$1, Data!K12,"")</f>
        <v/>
      </c>
      <c r="AA20" s="134" t="str">
        <f>IF(Data!$B12='Team Parser'!$B$1, Data!M12,"")</f>
        <v/>
      </c>
      <c r="AB20" s="134" t="str">
        <f>IF(Data!$B12='Team Parser'!$B$1,((Z20*2)+(Y20)+(X20*4)+(W20*2)),"")</f>
        <v/>
      </c>
      <c r="AC20" s="134" t="str">
        <f>IF(Data!$B12='Team Parser'!$B$1, Data!N12,"")</f>
        <v/>
      </c>
      <c r="AD20" s="139" t="str">
        <f>IF(Data!$B12='Team Parser'!$B$1,(AB20+(COUNTIF(AC20,"TRAVERSE")*15)+(COUNTIF(AC20,"HIGH")*10)+(COUNTIF(AC20,"MIDDLE")*6)+(COUNTIF(AC20,"LOW")*4)),"")</f>
        <v/>
      </c>
    </row>
    <row r="21">
      <c r="A21" s="133" t="s">
        <v>507</v>
      </c>
      <c r="B21" s="134" t="str">
        <f>IFERROR(__xludf.DUMMYFUNCTION("IFERROR((FILTER(Data!H:H,Data!D:D=A21,Data!B:B=$B$1)),"""")"),"")</f>
        <v/>
      </c>
      <c r="C21" s="134" t="str">
        <f>IFERROR(__xludf.DUMMYFUNCTION("IFERROR((FILTER(Data!G:G,Data!D:D=A21,Data!B:B=$B$1)),"""")"),"")</f>
        <v/>
      </c>
      <c r="D21" s="134" t="str">
        <f>IFERROR(__xludf.DUMMYFUNCTION("IFERROR((FILTER(Data!J:J,Data!D:D=A21,Data!B:B=$B$1)),"""")"),"")</f>
        <v/>
      </c>
      <c r="E21" s="134" t="str">
        <f>IFERROR(__xludf.DUMMYFUNCTION("IFERROR((FILTER(Data!L:L,Data!D:D=A21,Data!B:B=$B$1)),"""")"),"")</f>
        <v/>
      </c>
      <c r="F21" s="134" t="str">
        <f>IFERROR(__xludf.DUMMYFUNCTION("IFERROR((FILTER(Data!K:K,Data!D:D=A21,Data!B:B=$B$1)),"""")"),"")</f>
        <v/>
      </c>
      <c r="G21" s="134" t="str">
        <f>IFERROR(__xludf.DUMMYFUNCTION("IFERROR((FILTER(Data!M:M,Data!D:D=A21,Data!B:B=$B$1)),"""")"),"")</f>
        <v/>
      </c>
      <c r="H21" s="134" t="str">
        <f>IFERROR(__xludf.DUMMYFUNCTION("IFERROR((FILTER(Data!G:G,Data!D:D=A21,Data!B:B=$B$1)*4)+(FILTER(Data!H:H,Data!D:D=A21,Data!B:B=$B$1)*2),"""")"),"")</f>
        <v/>
      </c>
      <c r="I21" s="15" t="str">
        <f>IFERROR(__xludf.DUMMYFUNCTION("IFERROR((FILTER(Data!K:K,Data!D:D=A21,Data!B:B=$B$1)*2)+(FILTER(Data!L:L,Data!D:D=A21,Data!B:B=$B$1)),"""")"),"")</f>
        <v/>
      </c>
      <c r="J21" s="134" t="str">
        <f>IFERROR(__xludf.DUMMYFUNCTION("IFERROR((FILTER(Data!N:N,Data!D:D=A21,Data!B:B=$B$1)),"""")"),"")</f>
        <v/>
      </c>
      <c r="K21" s="135" t="str">
        <f>IFERROR(__xludf.DUMMYFUNCTION("IFERROR((FILTER(Data!H:H,Data!D:D=A21,Data!B:B=$B$1)*2)+(FILTER(Data!L:L,Data!D:D=A21,Data!B:B=$B$1))+(FILTER(Data!G:G,Data!D:D=A21,Data!B:B=$B$1)*4)+(FILTER(Data!K:K,Data!D:D=A21,Data!B:B=$B$1)*2)+(((COUNTIF(FILTER(Data!N:N,Data!D:D=A21,Data!B:B=$B$1),"""&amp;"TRAVERSE"")*15)+(COUNTIF(FILTER(Data!N:N,Data!D:D=A21,Data!B:B=$B$1),""HIGH"")*10)+(COUNTIF(FILTER(Data!N:N,Data!D:D=A21,Data!B:B=$B$1),""MIDDLE"")*6)+(COUNTIF(FILTER(Data!N:N,Data!D:D=A21,Data!B:B=$B$1),""LOW"")*4))),"""")"),"")</f>
        <v/>
      </c>
      <c r="L21" s="136" t="str">
        <f>IFERROR(__xludf.DUMMYFUNCTION("IFERROR((FILTER(Data!P:P,Data!D:D=A21,Data!B:B=$B$1)),"""")"),"")</f>
        <v/>
      </c>
      <c r="M21" s="137" t="str">
        <f>IFERROR(__xludf.DUMMYFUNCTION("IFERROR((FILTER(Data!A:A,Data!D:D=A21,Data!B:B=$B$1)),"""")"),"")</f>
        <v/>
      </c>
      <c r="T21" s="52">
        <f>IFERROR(__xludf.DUMMYFUNCTION("((COUNTIF(FILTER(Data!N:N,Data!D:D=A21,Data!B:B=$B$1),""TRAVERSE"")*15)+(COUNTIF(FILTER(Data!N:N,Data!D:D=A21,Data!B:B=B$1),""HIGH"")*10)+(COUNTIF(FILTER(Data!N:N,Data!D:D=A21,Data!B:B=$B$1),""MIDDLE"")*6)+(COUNTIF(FILTER(Data!N:N,Data!D:D=A21,Data!B:B=$B"&amp;"$1),""LOW"")*4))"),0.0)</f>
        <v>0</v>
      </c>
      <c r="V21" s="138" t="str">
        <f>IF(Data!B13='Team Parser'!$B$1, Data!D13,"")</f>
        <v/>
      </c>
      <c r="W21" s="134" t="str">
        <f>IF(Data!$B13='Team Parser'!$B$1, Data!H13,"")</f>
        <v/>
      </c>
      <c r="X21" s="134" t="str">
        <f>IF(Data!$B13='Team Parser'!$B$1, Data!G13,"")</f>
        <v/>
      </c>
      <c r="Y21" s="134" t="str">
        <f>IF(Data!$B13='Team Parser'!$B$1, Data!L13,"")</f>
        <v/>
      </c>
      <c r="Z21" s="134" t="str">
        <f>IF(Data!$B13='Team Parser'!$B$1, Data!K13,"")</f>
        <v/>
      </c>
      <c r="AA21" s="134" t="str">
        <f>IF(Data!$B13='Team Parser'!$B$1, Data!M13,"")</f>
        <v/>
      </c>
      <c r="AB21" s="134" t="str">
        <f>IF(Data!$B13='Team Parser'!$B$1,((Z21*2)+(Y21)+(X21*4)+(W21*2)),"")</f>
        <v/>
      </c>
      <c r="AC21" s="134" t="str">
        <f>IF(Data!$B13='Team Parser'!$B$1, Data!N13,"")</f>
        <v/>
      </c>
      <c r="AD21" s="139" t="str">
        <f>IF(Data!$B13='Team Parser'!$B$1,(AB21+(COUNTIF(AC21,"TRAVERSE")*15)+(COUNTIF(AC21,"HIGH")*10)+(COUNTIF(AC21,"MIDDLE")*6)+(COUNTIF(AC21,"LOW")*4)),"")</f>
        <v/>
      </c>
    </row>
    <row r="22">
      <c r="A22" s="133" t="s">
        <v>507</v>
      </c>
      <c r="B22" s="134" t="str">
        <f>IFERROR(__xludf.DUMMYFUNCTION("IFERROR((FILTER(Data!H:H,Data!D:D=A22,Data!B:B=$B$1)),"""")"),"")</f>
        <v/>
      </c>
      <c r="C22" s="134" t="str">
        <f>IFERROR(__xludf.DUMMYFUNCTION("IFERROR((FILTER(Data!G:G,Data!D:D=A22,Data!B:B=$B$1)),"""")"),"")</f>
        <v/>
      </c>
      <c r="D22" s="134" t="str">
        <f>IFERROR(__xludf.DUMMYFUNCTION("IFERROR((FILTER(Data!J:J,Data!D:D=A22,Data!B:B=$B$1)),"""")"),"")</f>
        <v/>
      </c>
      <c r="E22" s="134" t="str">
        <f>IFERROR(__xludf.DUMMYFUNCTION("IFERROR((FILTER(Data!L:L,Data!D:D=A22,Data!B:B=$B$1)),"""")"),"")</f>
        <v/>
      </c>
      <c r="F22" s="134" t="str">
        <f>IFERROR(__xludf.DUMMYFUNCTION("IFERROR((FILTER(Data!K:K,Data!D:D=A22,Data!B:B=$B$1)),"""")"),"")</f>
        <v/>
      </c>
      <c r="G22" s="134" t="str">
        <f>IFERROR(__xludf.DUMMYFUNCTION("IFERROR((FILTER(Data!M:M,Data!D:D=A22,Data!B:B=$B$1)),"""")"),"")</f>
        <v/>
      </c>
      <c r="H22" s="134" t="str">
        <f>IFERROR(__xludf.DUMMYFUNCTION("IFERROR((FILTER(Data!G:G,Data!D:D=A22,Data!B:B=$B$1)*4)+(FILTER(Data!H:H,Data!D:D=A22,Data!B:B=$B$1)*2),"""")"),"")</f>
        <v/>
      </c>
      <c r="I22" s="15" t="str">
        <f>IFERROR(__xludf.DUMMYFUNCTION("IFERROR((FILTER(Data!K:K,Data!D:D=A22,Data!B:B=$B$1)*2)+(FILTER(Data!L:L,Data!D:D=A22,Data!B:B=$B$1)),"""")"),"")</f>
        <v/>
      </c>
      <c r="J22" s="134" t="str">
        <f>IFERROR(__xludf.DUMMYFUNCTION("IFERROR((FILTER(Data!N:N,Data!D:D=A22,Data!B:B=$B$1)),"""")"),"")</f>
        <v/>
      </c>
      <c r="K22" s="135" t="str">
        <f>IFERROR(__xludf.DUMMYFUNCTION("IFERROR((FILTER(Data!H:H,Data!D:D=A22,Data!B:B=$B$1)*2)+(FILTER(Data!L:L,Data!D:D=A22,Data!B:B=$B$1))+(FILTER(Data!G:G,Data!D:D=A22,Data!B:B=$B$1)*4)+(FILTER(Data!K:K,Data!D:D=A22,Data!B:B=$B$1)*2)+(((COUNTIF(FILTER(Data!N:N,Data!D:D=A22,Data!B:B=$B$1),"""&amp;"TRAVERSE"")*15)+(COUNTIF(FILTER(Data!N:N,Data!D:D=A22,Data!B:B=$B$1),""HIGH"")*10)+(COUNTIF(FILTER(Data!N:N,Data!D:D=A22,Data!B:B=$B$1),""MIDDLE"")*6)+(COUNTIF(FILTER(Data!N:N,Data!D:D=A22,Data!B:B=$B$1),""LOW"")*4))),"""")"),"")</f>
        <v/>
      </c>
      <c r="L22" s="136" t="str">
        <f>IFERROR(__xludf.DUMMYFUNCTION("IFERROR((FILTER(Data!P:P,Data!D:D=A22,Data!B:B=$B$1)),"""")"),"")</f>
        <v/>
      </c>
      <c r="M22" s="137" t="str">
        <f>IFERROR(__xludf.DUMMYFUNCTION("IFERROR((FILTER(Data!A:A,Data!D:D=A22,Data!B:B=$B$1)),"""")"),"")</f>
        <v/>
      </c>
      <c r="T22" s="52">
        <f>IFERROR(__xludf.DUMMYFUNCTION("((COUNTIF(FILTER(Data!N:N,Data!D:D=A22,Data!B:B=$B$1),""TRAVERSE"")*15)+(COUNTIF(FILTER(Data!N:N,Data!D:D=A22,Data!B:B=B$1),""HIGH"")*10)+(COUNTIF(FILTER(Data!N:N,Data!D:D=A22,Data!B:B=$B$1),""MIDDLE"")*6)+(COUNTIF(FILTER(Data!N:N,Data!D:D=A22,Data!B:B=$B"&amp;"$1),""LOW"")*4))"),0.0)</f>
        <v>0</v>
      </c>
      <c r="V22" s="138" t="str">
        <f>IF(Data!B14='Team Parser'!$B$1, Data!D14,"")</f>
        <v/>
      </c>
      <c r="W22" s="134" t="str">
        <f>IF(Data!$B14='Team Parser'!$B$1, Data!H14,"")</f>
        <v/>
      </c>
      <c r="X22" s="134" t="str">
        <f>IF(Data!$B14='Team Parser'!$B$1, Data!G14,"")</f>
        <v/>
      </c>
      <c r="Y22" s="134" t="str">
        <f>IF(Data!$B14='Team Parser'!$B$1, Data!L14,"")</f>
        <v/>
      </c>
      <c r="Z22" s="134" t="str">
        <f>IF(Data!$B14='Team Parser'!$B$1, Data!K14,"")</f>
        <v/>
      </c>
      <c r="AA22" s="134" t="str">
        <f>IF(Data!$B14='Team Parser'!$B$1, Data!M14,"")</f>
        <v/>
      </c>
      <c r="AB22" s="134" t="str">
        <f>IF(Data!$B14='Team Parser'!$B$1,((Z22*2)+(Y22)+(X22*4)+(W22*2)),"")</f>
        <v/>
      </c>
      <c r="AC22" s="134" t="str">
        <f>IF(Data!$B14='Team Parser'!$B$1, Data!N14,"")</f>
        <v/>
      </c>
      <c r="AD22" s="139" t="str">
        <f>IF(Data!$B14='Team Parser'!$B$1,(AB22+(COUNTIF(AC22,"TRAVERSE")*15)+(COUNTIF(AC22,"HIGH")*10)+(COUNTIF(AC22,"MIDDLE")*6)+(COUNTIF(AC22,"LOW")*4)),"")</f>
        <v/>
      </c>
    </row>
    <row r="23">
      <c r="A23" s="133" t="s">
        <v>507</v>
      </c>
      <c r="B23" s="134" t="str">
        <f>IFERROR(__xludf.DUMMYFUNCTION("IFERROR((FILTER(Data!H:H,Data!D:D=A23,Data!B:B=$B$1)),"""")"),"")</f>
        <v/>
      </c>
      <c r="C23" s="134" t="str">
        <f>IFERROR(__xludf.DUMMYFUNCTION("IFERROR((FILTER(Data!G:G,Data!D:D=A23,Data!B:B=$B$1)),"""")"),"")</f>
        <v/>
      </c>
      <c r="D23" s="134" t="str">
        <f>IFERROR(__xludf.DUMMYFUNCTION("IFERROR((FILTER(Data!J:J,Data!D:D=A23,Data!B:B=$B$1)),"""")"),"")</f>
        <v/>
      </c>
      <c r="E23" s="134" t="str">
        <f>IFERROR(__xludf.DUMMYFUNCTION("IFERROR((FILTER(Data!L:L,Data!D:D=A23,Data!B:B=$B$1)),"""")"),"")</f>
        <v/>
      </c>
      <c r="F23" s="134" t="str">
        <f>IFERROR(__xludf.DUMMYFUNCTION("IFERROR((FILTER(Data!K:K,Data!D:D=A23,Data!B:B=$B$1)),"""")"),"")</f>
        <v/>
      </c>
      <c r="G23" s="134" t="str">
        <f>IFERROR(__xludf.DUMMYFUNCTION("IFERROR((FILTER(Data!M:M,Data!D:D=A23,Data!B:B=$B$1)),"""")"),"")</f>
        <v/>
      </c>
      <c r="H23" s="134" t="str">
        <f>IFERROR(__xludf.DUMMYFUNCTION("IFERROR((FILTER(Data!G:G,Data!D:D=A23,Data!B:B=$B$1)*4)+(FILTER(Data!H:H,Data!D:D=A23,Data!B:B=$B$1)*2),"""")"),"")</f>
        <v/>
      </c>
      <c r="I23" s="15" t="str">
        <f>IFERROR(__xludf.DUMMYFUNCTION("IFERROR((FILTER(Data!K:K,Data!D:D=A23,Data!B:B=$B$1)*2)+(FILTER(Data!L:L,Data!D:D=A23,Data!B:B=$B$1)),"""")"),"")</f>
        <v/>
      </c>
      <c r="J23" s="134" t="str">
        <f>IFERROR(__xludf.DUMMYFUNCTION("IFERROR((FILTER(Data!N:N,Data!D:D=A23,Data!B:B=$B$1)),"""")"),"")</f>
        <v/>
      </c>
      <c r="K23" s="135" t="str">
        <f>IFERROR(__xludf.DUMMYFUNCTION("IFERROR((FILTER(Data!H:H,Data!D:D=A23,Data!B:B=$B$1)*2)+(FILTER(Data!L:L,Data!D:D=A23,Data!B:B=$B$1))+(FILTER(Data!G:G,Data!D:D=A23,Data!B:B=$B$1)*4)+(FILTER(Data!K:K,Data!D:D=A23,Data!B:B=$B$1)*2)+(((COUNTIF(FILTER(Data!N:N,Data!D:D=A23,Data!B:B=$B$1),"""&amp;"TRAVERSE"")*15)+(COUNTIF(FILTER(Data!N:N,Data!D:D=A23,Data!B:B=$B$1),""HIGH"")*10)+(COUNTIF(FILTER(Data!N:N,Data!D:D=A23,Data!B:B=$B$1),""MIDDLE"")*6)+(COUNTIF(FILTER(Data!N:N,Data!D:D=A23,Data!B:B=$B$1),""LOW"")*4))),"""")"),"")</f>
        <v/>
      </c>
      <c r="L23" s="136" t="str">
        <f>IFERROR(__xludf.DUMMYFUNCTION("IFERROR((FILTER(Data!P:P,Data!D:D=A23,Data!B:B=$B$1)),"""")"),"")</f>
        <v/>
      </c>
      <c r="M23" s="137" t="str">
        <f>IFERROR(__xludf.DUMMYFUNCTION("IFERROR((FILTER(Data!A:A,Data!D:D=A23,Data!B:B=$B$1)),"""")"),"")</f>
        <v/>
      </c>
      <c r="T23" s="52">
        <f>IFERROR(__xludf.DUMMYFUNCTION("((COUNTIF(FILTER(Data!N:N,Data!D:D=A23,Data!B:B=$B$1),""TRAVERSE"")*15)+(COUNTIF(FILTER(Data!N:N,Data!D:D=A23,Data!B:B=B$1),""HIGH"")*10)+(COUNTIF(FILTER(Data!N:N,Data!D:D=A23,Data!B:B=$B$1),""MIDDLE"")*6)+(COUNTIF(FILTER(Data!N:N,Data!D:D=A23,Data!B:B=$B"&amp;"$1),""LOW"")*4))"),0.0)</f>
        <v>0</v>
      </c>
      <c r="V23" s="138" t="str">
        <f>IF(Data!B15='Team Parser'!$B$1, Data!D15,"")</f>
        <v/>
      </c>
      <c r="W23" s="134" t="str">
        <f>IF(Data!$B15='Team Parser'!$B$1, Data!H15,"")</f>
        <v/>
      </c>
      <c r="X23" s="134" t="str">
        <f>IF(Data!$B15='Team Parser'!$B$1, Data!G15,"")</f>
        <v/>
      </c>
      <c r="Y23" s="134" t="str">
        <f>IF(Data!$B15='Team Parser'!$B$1, Data!L15,"")</f>
        <v/>
      </c>
      <c r="Z23" s="134" t="str">
        <f>IF(Data!$B15='Team Parser'!$B$1, Data!K15,"")</f>
        <v/>
      </c>
      <c r="AA23" s="134" t="str">
        <f>IF(Data!$B15='Team Parser'!$B$1, Data!M15,"")</f>
        <v/>
      </c>
      <c r="AB23" s="134" t="str">
        <f>IF(Data!$B15='Team Parser'!$B$1,((Z23*2)+(Y23)+(X23*4)+(W23*2)),"")</f>
        <v/>
      </c>
      <c r="AC23" s="134" t="str">
        <f>IF(Data!$B15='Team Parser'!$B$1, Data!N15,"")</f>
        <v/>
      </c>
      <c r="AD23" s="139" t="str">
        <f>IF(Data!$B15='Team Parser'!$B$1,(AB23+(COUNTIF(AC23,"TRAVERSE")*15)+(COUNTIF(AC23,"HIGH")*10)+(COUNTIF(AC23,"MIDDLE")*6)+(COUNTIF(AC23,"LOW")*4)),"")</f>
        <v/>
      </c>
    </row>
    <row r="24">
      <c r="A24" s="133" t="s">
        <v>507</v>
      </c>
      <c r="B24" s="134" t="str">
        <f>IFERROR(__xludf.DUMMYFUNCTION("IFERROR((FILTER(Data!H:H,Data!D:D=A24,Data!B:B=$B$1)),"""")"),"")</f>
        <v/>
      </c>
      <c r="C24" s="134" t="str">
        <f>IFERROR(__xludf.DUMMYFUNCTION("IFERROR((FILTER(Data!G:G,Data!D:D=A24,Data!B:B=$B$1)),"""")"),"")</f>
        <v/>
      </c>
      <c r="D24" s="134" t="str">
        <f>IFERROR(__xludf.DUMMYFUNCTION("IFERROR((FILTER(Data!J:J,Data!D:D=A24,Data!B:B=$B$1)),"""")"),"")</f>
        <v/>
      </c>
      <c r="E24" s="134" t="str">
        <f>IFERROR(__xludf.DUMMYFUNCTION("IFERROR((FILTER(Data!L:L,Data!D:D=A24,Data!B:B=$B$1)),"""")"),"")</f>
        <v/>
      </c>
      <c r="F24" s="134" t="str">
        <f>IFERROR(__xludf.DUMMYFUNCTION("IFERROR((FILTER(Data!K:K,Data!D:D=A24,Data!B:B=$B$1)),"""")"),"")</f>
        <v/>
      </c>
      <c r="G24" s="134" t="str">
        <f>IFERROR(__xludf.DUMMYFUNCTION("IFERROR((FILTER(Data!M:M,Data!D:D=A24,Data!B:B=$B$1)),"""")"),"")</f>
        <v/>
      </c>
      <c r="H24" s="134" t="str">
        <f>IFERROR(__xludf.DUMMYFUNCTION("IFERROR((FILTER(Data!G:G,Data!D:D=A24,Data!B:B=$B$1)*4)+(FILTER(Data!H:H,Data!D:D=A24,Data!B:B=$B$1)*2),"""")"),"")</f>
        <v/>
      </c>
      <c r="I24" s="15" t="str">
        <f>IFERROR(__xludf.DUMMYFUNCTION("IFERROR((FILTER(Data!K:K,Data!D:D=A24,Data!B:B=$B$1)*2)+(FILTER(Data!L:L,Data!D:D=A24,Data!B:B=$B$1)),"""")"),"")</f>
        <v/>
      </c>
      <c r="J24" s="134" t="str">
        <f>IFERROR(__xludf.DUMMYFUNCTION("IFERROR((FILTER(Data!N:N,Data!D:D=A24,Data!B:B=$B$1)),"""")"),"")</f>
        <v/>
      </c>
      <c r="K24" s="135" t="str">
        <f>IFERROR(__xludf.DUMMYFUNCTION("IFERROR((FILTER(Data!H:H,Data!D:D=A24,Data!B:B=$B$1)*2)+(FILTER(Data!L:L,Data!D:D=A24,Data!B:B=$B$1))+(FILTER(Data!G:G,Data!D:D=A24,Data!B:B=$B$1)*4)+(FILTER(Data!K:K,Data!D:D=A24,Data!B:B=$B$1)*2)+(((COUNTIF(FILTER(Data!N:N,Data!D:D=A24,Data!B:B=$B$1),"""&amp;"TRAVERSE"")*15)+(COUNTIF(FILTER(Data!N:N,Data!D:D=A24,Data!B:B=$B$1),""HIGH"")*10)+(COUNTIF(FILTER(Data!N:N,Data!D:D=A24,Data!B:B=$B$1),""MIDDLE"")*6)+(COUNTIF(FILTER(Data!N:N,Data!D:D=A24,Data!B:B=$B$1),""LOW"")*4))),"""")"),"")</f>
        <v/>
      </c>
      <c r="L24" s="136" t="str">
        <f>IFERROR(__xludf.DUMMYFUNCTION("IFERROR((FILTER(Data!P:P,Data!D:D=A24,Data!B:B=$B$1)),"""")"),"")</f>
        <v/>
      </c>
      <c r="M24" s="137" t="str">
        <f>IFERROR(__xludf.DUMMYFUNCTION("IFERROR((FILTER(Data!A:A,Data!D:D=A24,Data!B:B=$B$1)),"""")"),"")</f>
        <v/>
      </c>
      <c r="N24" s="15" t="str">
        <f>IMAGE("https://en.wikipedia.org/wiki/Image")</f>
        <v/>
      </c>
      <c r="T24" s="52">
        <f>IFERROR(__xludf.DUMMYFUNCTION("((COUNTIF(FILTER(Data!N:N,Data!D:D=A24,Data!B:B=$B$1),""TRAVERSE"")*15)+(COUNTIF(FILTER(Data!N:N,Data!D:D=A24,Data!B:B=B$1),""HIGH"")*10)+(COUNTIF(FILTER(Data!N:N,Data!D:D=A24,Data!B:B=$B$1),""MIDDLE"")*6)+(COUNTIF(FILTER(Data!N:N,Data!D:D=A24,Data!B:B=$B"&amp;"$1),""LOW"")*4))"),0.0)</f>
        <v>0</v>
      </c>
      <c r="V24" s="138" t="str">
        <f>IF(Data!B16='Team Parser'!$B$1, Data!D16,"")</f>
        <v/>
      </c>
      <c r="W24" s="134" t="str">
        <f>IF(Data!$B16='Team Parser'!$B$1, Data!H16,"")</f>
        <v/>
      </c>
      <c r="X24" s="134" t="str">
        <f>IF(Data!$B16='Team Parser'!$B$1, Data!G16,"")</f>
        <v/>
      </c>
      <c r="Y24" s="134" t="str">
        <f>IF(Data!$B16='Team Parser'!$B$1, Data!L16,"")</f>
        <v/>
      </c>
      <c r="Z24" s="134" t="str">
        <f>IF(Data!$B16='Team Parser'!$B$1, Data!K16,"")</f>
        <v/>
      </c>
      <c r="AA24" s="134" t="str">
        <f>IF(Data!$B16='Team Parser'!$B$1, Data!M16,"")</f>
        <v/>
      </c>
      <c r="AB24" s="134" t="str">
        <f>IF(Data!$B16='Team Parser'!$B$1,((Z24*2)+(Y24)+(X24*4)+(W24*2)),"")</f>
        <v/>
      </c>
      <c r="AC24" s="134" t="str">
        <f>IF(Data!$B16='Team Parser'!$B$1, Data!N16,"")</f>
        <v/>
      </c>
      <c r="AD24" s="139" t="str">
        <f>IF(Data!$B16='Team Parser'!$B$1,(AB24+(COUNTIF(AC24,"TRAVERSE")*15)+(COUNTIF(AC24,"HIGH")*10)+(COUNTIF(AC24,"MIDDLE")*6)+(COUNTIF(AC24,"LOW")*4)),"")</f>
        <v/>
      </c>
    </row>
    <row r="25">
      <c r="A25" s="133" t="s">
        <v>507</v>
      </c>
      <c r="B25" s="134" t="str">
        <f>IFERROR(__xludf.DUMMYFUNCTION("IFERROR((FILTER(Data!H:H,Data!D:D=A25,Data!B:B=$B$1)),"""")"),"")</f>
        <v/>
      </c>
      <c r="C25" s="134" t="str">
        <f>IFERROR(__xludf.DUMMYFUNCTION("IFERROR((FILTER(Data!G:G,Data!D:D=A25,Data!B:B=$B$1)),"""")"),"")</f>
        <v/>
      </c>
      <c r="D25" s="134" t="str">
        <f>IFERROR(__xludf.DUMMYFUNCTION("IFERROR((FILTER(Data!J:J,Data!D:D=A25,Data!B:B=$B$1)),"""")"),"")</f>
        <v/>
      </c>
      <c r="E25" s="134" t="str">
        <f>IFERROR(__xludf.DUMMYFUNCTION("IFERROR((FILTER(Data!L:L,Data!D:D=A25,Data!B:B=$B$1)),"""")"),"")</f>
        <v/>
      </c>
      <c r="F25" s="134" t="str">
        <f>IFERROR(__xludf.DUMMYFUNCTION("IFERROR((FILTER(Data!K:K,Data!D:D=A25,Data!B:B=$B$1)),"""")"),"")</f>
        <v/>
      </c>
      <c r="G25" s="134" t="str">
        <f>IFERROR(__xludf.DUMMYFUNCTION("IFERROR((FILTER(Data!M:M,Data!D:D=A25,Data!B:B=$B$1)),"""")"),"")</f>
        <v/>
      </c>
      <c r="H25" s="134" t="str">
        <f>IFERROR(__xludf.DUMMYFUNCTION("IFERROR((FILTER(Data!G:G,Data!D:D=A25,Data!B:B=$B$1)*4)+(FILTER(Data!H:H,Data!D:D=A25,Data!B:B=$B$1)*2),"""")"),"")</f>
        <v/>
      </c>
      <c r="I25" s="15" t="str">
        <f>IFERROR(__xludf.DUMMYFUNCTION("IFERROR((FILTER(Data!K:K,Data!D:D=A25,Data!B:B=$B$1)*2)+(FILTER(Data!L:L,Data!D:D=A25,Data!B:B=$B$1)),"""")"),"")</f>
        <v/>
      </c>
      <c r="J25" s="134" t="str">
        <f>IFERROR(__xludf.DUMMYFUNCTION("IFERROR((FILTER(Data!N:N,Data!D:D=A25,Data!B:B=$B$1)),"""")"),"")</f>
        <v/>
      </c>
      <c r="K25" s="135" t="str">
        <f>IFERROR(__xludf.DUMMYFUNCTION("IFERROR((FILTER(Data!H:H,Data!D:D=A25,Data!B:B=$B$1)*2)+(FILTER(Data!L:L,Data!D:D=A25,Data!B:B=$B$1))+(FILTER(Data!G:G,Data!D:D=A25,Data!B:B=$B$1)*4)+(FILTER(Data!K:K,Data!D:D=A25,Data!B:B=$B$1)*2)+(((COUNTIF(FILTER(Data!N:N,Data!D:D=A25,Data!B:B=$B$1),"""&amp;"TRAVERSE"")*15)+(COUNTIF(FILTER(Data!N:N,Data!D:D=A25,Data!B:B=$B$1),""HIGH"")*10)+(COUNTIF(FILTER(Data!N:N,Data!D:D=A25,Data!B:B=$B$1),""MIDDLE"")*6)+(COUNTIF(FILTER(Data!N:N,Data!D:D=A25,Data!B:B=$B$1),""LOW"")*4))),"""")"),"")</f>
        <v/>
      </c>
      <c r="L25" s="136" t="str">
        <f>IFERROR(__xludf.DUMMYFUNCTION("IFERROR((FILTER(Data!P:P,Data!D:D=A25,Data!B:B=$B$1)),"""")"),"")</f>
        <v/>
      </c>
      <c r="M25" s="137" t="str">
        <f>IFERROR(__xludf.DUMMYFUNCTION("IFERROR((FILTER(Data!A:A,Data!D:D=A25,Data!B:B=$B$1)),"""")"),"")</f>
        <v/>
      </c>
      <c r="T25" s="52">
        <f>IFERROR(__xludf.DUMMYFUNCTION("((COUNTIF(FILTER(Data!N:N,Data!D:D=A25,Data!B:B=$B$1),""TRAVERSE"")*15)+(COUNTIF(FILTER(Data!N:N,Data!D:D=A25,Data!B:B=B$1),""HIGH"")*10)+(COUNTIF(FILTER(Data!N:N,Data!D:D=A25,Data!B:B=$B$1),""MIDDLE"")*6)+(COUNTIF(FILTER(Data!N:N,Data!D:D=A25,Data!B:B=$B"&amp;"$1),""LOW"")*4))"),0.0)</f>
        <v>0</v>
      </c>
      <c r="V25" s="138" t="str">
        <f>IF(Data!B17='Team Parser'!$B$1, Data!D17,"")</f>
        <v/>
      </c>
      <c r="W25" s="134" t="str">
        <f>IF(Data!$B17='Team Parser'!$B$1, Data!H17,"")</f>
        <v/>
      </c>
      <c r="X25" s="134" t="str">
        <f>IF(Data!$B17='Team Parser'!$B$1, Data!G17,"")</f>
        <v/>
      </c>
      <c r="Y25" s="134" t="str">
        <f>IF(Data!$B17='Team Parser'!$B$1, Data!L17,"")</f>
        <v/>
      </c>
      <c r="Z25" s="134" t="str">
        <f>IF(Data!$B17='Team Parser'!$B$1, Data!K17,"")</f>
        <v/>
      </c>
      <c r="AA25" s="134" t="str">
        <f>IF(Data!$B17='Team Parser'!$B$1, Data!M17,"")</f>
        <v/>
      </c>
      <c r="AB25" s="134" t="str">
        <f>IF(Data!$B17='Team Parser'!$B$1,((Z25*2)+(Y25)+(X25*4)+(W25*2)),"")</f>
        <v/>
      </c>
      <c r="AC25" s="134" t="str">
        <f>IF(Data!$B17='Team Parser'!$B$1, Data!N17,"")</f>
        <v/>
      </c>
      <c r="AD25" s="139" t="str">
        <f>IF(Data!$B17='Team Parser'!$B$1,(AB25+(COUNTIF(AC25,"TRAVERSE")*15)+(COUNTIF(AC25,"HIGH")*10)+(COUNTIF(AC25,"MIDDLE")*6)+(COUNTIF(AC25,"LOW")*4)),"")</f>
        <v/>
      </c>
    </row>
    <row r="26">
      <c r="A26" s="133" t="s">
        <v>507</v>
      </c>
      <c r="B26" s="134" t="str">
        <f>IFERROR(__xludf.DUMMYFUNCTION("IFERROR((FILTER(Data!H:H,Data!D:D=A26,Data!B:B=$B$1)),"""")"),"")</f>
        <v/>
      </c>
      <c r="C26" s="134" t="str">
        <f>IFERROR(__xludf.DUMMYFUNCTION("IFERROR((FILTER(Data!G:G,Data!D:D=A26,Data!B:B=$B$1)),"""")"),"")</f>
        <v/>
      </c>
      <c r="D26" s="134" t="str">
        <f>IFERROR(__xludf.DUMMYFUNCTION("IFERROR((FILTER(Data!J:J,Data!D:D=A26,Data!B:B=$B$1)),"""")"),"")</f>
        <v/>
      </c>
      <c r="E26" s="134" t="str">
        <f>IFERROR(__xludf.DUMMYFUNCTION("IFERROR((FILTER(Data!L:L,Data!D:D=A26,Data!B:B=$B$1)),"""")"),"")</f>
        <v/>
      </c>
      <c r="F26" s="134" t="str">
        <f>IFERROR(__xludf.DUMMYFUNCTION("IFERROR((FILTER(Data!K:K,Data!D:D=A26,Data!B:B=$B$1)),"""")"),"")</f>
        <v/>
      </c>
      <c r="G26" s="134" t="str">
        <f>IFERROR(__xludf.DUMMYFUNCTION("IFERROR((FILTER(Data!M:M,Data!D:D=A26,Data!B:B=$B$1)),"""")"),"")</f>
        <v/>
      </c>
      <c r="H26" s="134" t="str">
        <f>IFERROR(__xludf.DUMMYFUNCTION("IFERROR((FILTER(Data!G:G,Data!D:D=A26,Data!B:B=$B$1)*4)+(FILTER(Data!H:H,Data!D:D=A26,Data!B:B=$B$1)*2),"""")"),"")</f>
        <v/>
      </c>
      <c r="I26" s="15" t="str">
        <f>IFERROR(__xludf.DUMMYFUNCTION("IFERROR((FILTER(Data!K:K,Data!D:D=A26,Data!B:B=$B$1)*2)+(FILTER(Data!L:L,Data!D:D=A26,Data!B:B=$B$1)),"""")"),"")</f>
        <v/>
      </c>
      <c r="J26" s="134" t="str">
        <f>IFERROR(__xludf.DUMMYFUNCTION("IFERROR((FILTER(Data!N:N,Data!D:D=A26,Data!B:B=$B$1)),"""")"),"")</f>
        <v/>
      </c>
      <c r="K26" s="135" t="str">
        <f>IFERROR(__xludf.DUMMYFUNCTION("IFERROR((FILTER(Data!H:H,Data!D:D=A26,Data!B:B=$B$1)*2)+(FILTER(Data!L:L,Data!D:D=A26,Data!B:B=$B$1))+(FILTER(Data!G:G,Data!D:D=A26,Data!B:B=$B$1)*4)+(FILTER(Data!K:K,Data!D:D=A26,Data!B:B=$B$1)*2)+(((COUNTIF(FILTER(Data!N:N,Data!D:D=A26,Data!B:B=$B$1),"""&amp;"TRAVERSE"")*15)+(COUNTIF(FILTER(Data!N:N,Data!D:D=A26,Data!B:B=$B$1),""HIGH"")*10)+(COUNTIF(FILTER(Data!N:N,Data!D:D=A26,Data!B:B=$B$1),""MIDDLE"")*6)+(COUNTIF(FILTER(Data!N:N,Data!D:D=A26,Data!B:B=$B$1),""LOW"")*4))),"""")"),"")</f>
        <v/>
      </c>
      <c r="L26" s="136" t="str">
        <f>IFERROR(__xludf.DUMMYFUNCTION("IFERROR((FILTER(Data!P:P,Data!D:D=A26,Data!B:B=$B$1)),"""")"),"")</f>
        <v/>
      </c>
      <c r="M26" s="137" t="str">
        <f>IFERROR(__xludf.DUMMYFUNCTION("IFERROR((FILTER(Data!A:A,Data!D:D=A26,Data!B:B=$B$1)),"""")"),"")</f>
        <v/>
      </c>
      <c r="T26" s="52">
        <f>IFERROR(__xludf.DUMMYFUNCTION("((COUNTIF(FILTER(Data!N:N,Data!D:D=A26,Data!B:B=$B$1),""TRAVERSE"")*15)+(COUNTIF(FILTER(Data!N:N,Data!D:D=A26,Data!B:B=B$1),""HIGH"")*10)+(COUNTIF(FILTER(Data!N:N,Data!D:D=A26,Data!B:B=$B$1),""MIDDLE"")*6)+(COUNTIF(FILTER(Data!N:N,Data!D:D=A26,Data!B:B=$B"&amp;"$1),""LOW"")*4))"),0.0)</f>
        <v>0</v>
      </c>
      <c r="V26" s="138" t="str">
        <f>IF(Data!B18='Team Parser'!$B$1, Data!D18,"")</f>
        <v/>
      </c>
      <c r="W26" s="134" t="str">
        <f>IF(Data!$B18='Team Parser'!$B$1, Data!H18,"")</f>
        <v/>
      </c>
      <c r="X26" s="134" t="str">
        <f>IF(Data!$B18='Team Parser'!$B$1, Data!G18,"")</f>
        <v/>
      </c>
      <c r="Y26" s="134" t="str">
        <f>IF(Data!$B18='Team Parser'!$B$1, Data!L18,"")</f>
        <v/>
      </c>
      <c r="Z26" s="134" t="str">
        <f>IF(Data!$B18='Team Parser'!$B$1, Data!K18,"")</f>
        <v/>
      </c>
      <c r="AA26" s="134" t="str">
        <f>IF(Data!$B18='Team Parser'!$B$1, Data!M18,"")</f>
        <v/>
      </c>
      <c r="AB26" s="134" t="str">
        <f>IF(Data!$B18='Team Parser'!$B$1,((Z26*2)+(Y26)+(X26*4)+(W26*2)),"")</f>
        <v/>
      </c>
      <c r="AC26" s="134" t="str">
        <f>IF(Data!$B18='Team Parser'!$B$1, Data!N18,"")</f>
        <v/>
      </c>
      <c r="AD26" s="139" t="str">
        <f>IF(Data!$B18='Team Parser'!$B$1,(AB26+(COUNTIF(AC26,"TRAVERSE")*15)+(COUNTIF(AC26,"HIGH")*10)+(COUNTIF(AC26,"MIDDLE")*6)+(COUNTIF(AC26,"LOW")*4)),"")</f>
        <v/>
      </c>
    </row>
    <row r="27">
      <c r="A27" s="133" t="s">
        <v>507</v>
      </c>
      <c r="B27" s="134" t="str">
        <f>IFERROR(__xludf.DUMMYFUNCTION("IFERROR((FILTER(Data!H:H,Data!D:D=A27,Data!B:B=$B$1)),"""")"),"")</f>
        <v/>
      </c>
      <c r="C27" s="134" t="str">
        <f>IFERROR(__xludf.DUMMYFUNCTION("IFERROR((FILTER(Data!G:G,Data!D:D=A27,Data!B:B=$B$1)),"""")"),"")</f>
        <v/>
      </c>
      <c r="D27" s="134" t="str">
        <f>IFERROR(__xludf.DUMMYFUNCTION("IFERROR((FILTER(Data!J:J,Data!D:D=A27,Data!B:B=$B$1)),"""")"),"")</f>
        <v/>
      </c>
      <c r="E27" s="134" t="str">
        <f>IFERROR(__xludf.DUMMYFUNCTION("IFERROR((FILTER(Data!L:L,Data!D:D=A27,Data!B:B=$B$1)),"""")"),"")</f>
        <v/>
      </c>
      <c r="F27" s="134" t="str">
        <f>IFERROR(__xludf.DUMMYFUNCTION("IFERROR((FILTER(Data!K:K,Data!D:D=A27,Data!B:B=$B$1)),"""")"),"")</f>
        <v/>
      </c>
      <c r="G27" s="134" t="str">
        <f>IFERROR(__xludf.DUMMYFUNCTION("IFERROR((FILTER(Data!M:M,Data!D:D=A27,Data!B:B=$B$1)),"""")"),"")</f>
        <v/>
      </c>
      <c r="H27" s="134" t="str">
        <f>IFERROR(__xludf.DUMMYFUNCTION("IFERROR((FILTER(Data!G:G,Data!D:D=A27,Data!B:B=$B$1)*4)+(FILTER(Data!H:H,Data!D:D=A27,Data!B:B=$B$1)*2),"""")"),"")</f>
        <v/>
      </c>
      <c r="I27" s="15" t="str">
        <f>IFERROR(__xludf.DUMMYFUNCTION("IFERROR((FILTER(Data!K:K,Data!D:D=A27,Data!B:B=$B$1)*2)+(FILTER(Data!L:L,Data!D:D=A27,Data!B:B=$B$1)),"""")"),"")</f>
        <v/>
      </c>
      <c r="J27" s="134" t="str">
        <f>IFERROR(__xludf.DUMMYFUNCTION("IFERROR((FILTER(Data!N:N,Data!D:D=A27,Data!B:B=$B$1)),"""")"),"")</f>
        <v/>
      </c>
      <c r="K27" s="135" t="str">
        <f>IFERROR(__xludf.DUMMYFUNCTION("IFERROR((FILTER(Data!H:H,Data!D:D=A27,Data!B:B=$B$1)*2)+(FILTER(Data!L:L,Data!D:D=A27,Data!B:B=$B$1))+(FILTER(Data!G:G,Data!D:D=A27,Data!B:B=$B$1)*4)+(FILTER(Data!K:K,Data!D:D=A27,Data!B:B=$B$1)*2)+(((COUNTIF(FILTER(Data!N:N,Data!D:D=A27,Data!B:B=$B$1),"""&amp;"TRAVERSE"")*15)+(COUNTIF(FILTER(Data!N:N,Data!D:D=A27,Data!B:B=$B$1),""HIGH"")*10)+(COUNTIF(FILTER(Data!N:N,Data!D:D=A27,Data!B:B=$B$1),""MIDDLE"")*6)+(COUNTIF(FILTER(Data!N:N,Data!D:D=A27,Data!B:B=$B$1),""LOW"")*4))),"""")"),"")</f>
        <v/>
      </c>
      <c r="L27" s="136" t="str">
        <f>IFERROR(__xludf.DUMMYFUNCTION("IFERROR((FILTER(Data!P:P,Data!D:D=A27,Data!B:B=$B$1)),"""")"),"")</f>
        <v/>
      </c>
      <c r="M27" s="137" t="str">
        <f>IFERROR(__xludf.DUMMYFUNCTION("IFERROR((FILTER(Data!A:A,Data!D:D=A27,Data!B:B=$B$1)),"""")"),"")</f>
        <v/>
      </c>
      <c r="T27" s="52">
        <f>IFERROR(__xludf.DUMMYFUNCTION("((COUNTIF(FILTER(Data!N:N,Data!D:D=A27,Data!B:B=$B$1),""TRAVERSE"")*15)+(COUNTIF(FILTER(Data!N:N,Data!D:D=A27,Data!B:B=B$1),""HIGH"")*10)+(COUNTIF(FILTER(Data!N:N,Data!D:D=A27,Data!B:B=$B$1),""MIDDLE"")*6)+(COUNTIF(FILTER(Data!N:N,Data!D:D=A27,Data!B:B=$B"&amp;"$1),""LOW"")*4))"),0.0)</f>
        <v>0</v>
      </c>
      <c r="V27" s="138" t="str">
        <f>IF(Data!B19='Team Parser'!$B$1, Data!D19,"")</f>
        <v/>
      </c>
      <c r="W27" s="134" t="str">
        <f>IF(Data!$B19='Team Parser'!$B$1, Data!H19,"")</f>
        <v/>
      </c>
      <c r="X27" s="134" t="str">
        <f>IF(Data!$B19='Team Parser'!$B$1, Data!G19,"")</f>
        <v/>
      </c>
      <c r="Y27" s="134" t="str">
        <f>IF(Data!$B19='Team Parser'!$B$1, Data!L19,"")</f>
        <v/>
      </c>
      <c r="Z27" s="134" t="str">
        <f>IF(Data!$B19='Team Parser'!$B$1, Data!K19,"")</f>
        <v/>
      </c>
      <c r="AA27" s="134" t="str">
        <f>IF(Data!$B19='Team Parser'!$B$1, Data!M19,"")</f>
        <v/>
      </c>
      <c r="AB27" s="134" t="str">
        <f>IF(Data!$B19='Team Parser'!$B$1,((Z27*2)+(Y27)+(X27*4)+(W27*2)),"")</f>
        <v/>
      </c>
      <c r="AC27" s="134" t="str">
        <f>IF(Data!$B19='Team Parser'!$B$1, Data!N19,"")</f>
        <v/>
      </c>
      <c r="AD27" s="139" t="str">
        <f>IF(Data!$B19='Team Parser'!$B$1,(AB27+(COUNTIF(AC27,"TRAVERSE")*15)+(COUNTIF(AC27,"HIGH")*10)+(COUNTIF(AC27,"MIDDLE")*6)+(COUNTIF(AC27,"LOW")*4)),"")</f>
        <v/>
      </c>
    </row>
    <row r="28">
      <c r="A28" s="133" t="s">
        <v>507</v>
      </c>
      <c r="B28" s="134" t="str">
        <f>IFERROR(__xludf.DUMMYFUNCTION("IFERROR((FILTER(Data!H:H,Data!D:D=A28,Data!B:B=$B$1)),"""")"),"")</f>
        <v/>
      </c>
      <c r="C28" s="134" t="str">
        <f>IFERROR(__xludf.DUMMYFUNCTION("IFERROR((FILTER(Data!G:G,Data!D:D=A28,Data!B:B=$B$1)),"""")"),"")</f>
        <v/>
      </c>
      <c r="D28" s="134" t="str">
        <f>IFERROR(__xludf.DUMMYFUNCTION("IFERROR((FILTER(Data!J:J,Data!D:D=A28,Data!B:B=$B$1)),"""")"),"")</f>
        <v/>
      </c>
      <c r="E28" s="134" t="str">
        <f>IFERROR(__xludf.DUMMYFUNCTION("IFERROR((FILTER(Data!L:L,Data!D:D=A28,Data!B:B=$B$1)),"""")"),"")</f>
        <v/>
      </c>
      <c r="F28" s="134" t="str">
        <f>IFERROR(__xludf.DUMMYFUNCTION("IFERROR((FILTER(Data!K:K,Data!D:D=A28,Data!B:B=$B$1)),"""")"),"")</f>
        <v/>
      </c>
      <c r="G28" s="134" t="str">
        <f>IFERROR(__xludf.DUMMYFUNCTION("IFERROR((FILTER(Data!M:M,Data!D:D=A28,Data!B:B=$B$1)),"""")"),"")</f>
        <v/>
      </c>
      <c r="H28" s="134" t="str">
        <f>IFERROR(__xludf.DUMMYFUNCTION("IFERROR((FILTER(Data!G:G,Data!D:D=A28,Data!B:B=$B$1)*4)+(FILTER(Data!H:H,Data!D:D=A28,Data!B:B=$B$1)*2),"""")"),"")</f>
        <v/>
      </c>
      <c r="I28" s="15" t="str">
        <f>IFERROR(__xludf.DUMMYFUNCTION("IFERROR((FILTER(Data!K:K,Data!D:D=A28,Data!B:B=$B$1)*2)+(FILTER(Data!L:L,Data!D:D=A28,Data!B:B=$B$1)),"""")"),"")</f>
        <v/>
      </c>
      <c r="J28" s="134" t="str">
        <f>IFERROR(__xludf.DUMMYFUNCTION("IFERROR((FILTER(Data!N:N,Data!D:D=A28,Data!B:B=$B$1)),"""")"),"")</f>
        <v/>
      </c>
      <c r="K28" s="135" t="str">
        <f>IFERROR(__xludf.DUMMYFUNCTION("IFERROR((FILTER(Data!H:H,Data!D:D=A28,Data!B:B=$B$1)*2)+(FILTER(Data!L:L,Data!D:D=A28,Data!B:B=$B$1))+(FILTER(Data!G:G,Data!D:D=A28,Data!B:B=$B$1)*4)+(FILTER(Data!K:K,Data!D:D=A28,Data!B:B=$B$1)*2)+(((COUNTIF(FILTER(Data!N:N,Data!D:D=A28,Data!B:B=$B$1),"""&amp;"TRAVERSE"")*15)+(COUNTIF(FILTER(Data!N:N,Data!D:D=A28,Data!B:B=$B$1),""HIGH"")*10)+(COUNTIF(FILTER(Data!N:N,Data!D:D=A28,Data!B:B=$B$1),""MIDDLE"")*6)+(COUNTIF(FILTER(Data!N:N,Data!D:D=A28,Data!B:B=$B$1),""LOW"")*4))),"""")"),"")</f>
        <v/>
      </c>
      <c r="L28" s="136" t="str">
        <f>IFERROR(__xludf.DUMMYFUNCTION("IFERROR((FILTER(Data!P:P,Data!D:D=A28,Data!B:B=$B$1)),"""")"),"")</f>
        <v/>
      </c>
      <c r="M28" s="137" t="str">
        <f>IFERROR(__xludf.DUMMYFUNCTION("IFERROR((FILTER(Data!A:A,Data!D:D=A28,Data!B:B=$B$1)),"""")"),"")</f>
        <v/>
      </c>
      <c r="T28" s="52">
        <f>IFERROR(__xludf.DUMMYFUNCTION("((COUNTIF(FILTER(Data!N:N,Data!D:D=A28,Data!B:B=$B$1),""TRAVERSE"")*15)+(COUNTIF(FILTER(Data!N:N,Data!D:D=A28,Data!B:B=B$1),""HIGH"")*10)+(COUNTIF(FILTER(Data!N:N,Data!D:D=A28,Data!B:B=$B$1),""MIDDLE"")*6)+(COUNTIF(FILTER(Data!N:N,Data!D:D=A28,Data!B:B=$B"&amp;"$1),""LOW"")*4))"),0.0)</f>
        <v>0</v>
      </c>
      <c r="V28" s="138" t="str">
        <f>IF(Data!B20='Team Parser'!$B$1, Data!D20,"")</f>
        <v/>
      </c>
      <c r="W28" s="134" t="str">
        <f>IF(Data!$B20='Team Parser'!$B$1, Data!H20,"")</f>
        <v/>
      </c>
      <c r="X28" s="134" t="str">
        <f>IF(Data!$B20='Team Parser'!$B$1, Data!G20,"")</f>
        <v/>
      </c>
      <c r="Y28" s="134" t="str">
        <f>IF(Data!$B20='Team Parser'!$B$1, Data!L20,"")</f>
        <v/>
      </c>
      <c r="Z28" s="134" t="str">
        <f>IF(Data!$B20='Team Parser'!$B$1, Data!K20,"")</f>
        <v/>
      </c>
      <c r="AA28" s="134" t="str">
        <f>IF(Data!$B20='Team Parser'!$B$1, Data!M20,"")</f>
        <v/>
      </c>
      <c r="AB28" s="134" t="str">
        <f>IF(Data!$B20='Team Parser'!$B$1,((Z28*2)+(Y28)+(X28*4)+(W28*2)),"")</f>
        <v/>
      </c>
      <c r="AC28" s="134" t="str">
        <f>IF(Data!$B20='Team Parser'!$B$1, Data!N20,"")</f>
        <v/>
      </c>
      <c r="AD28" s="139" t="str">
        <f>IF(Data!$B20='Team Parser'!$B$1,(AB28+(COUNTIF(AC28,"TRAVERSE")*15)+(COUNTIF(AC28,"HIGH")*10)+(COUNTIF(AC28,"MIDDLE")*6)+(COUNTIF(AC28,"LOW")*4)),"")</f>
        <v/>
      </c>
    </row>
    <row r="29">
      <c r="A29" s="133" t="s">
        <v>507</v>
      </c>
      <c r="B29" s="134" t="str">
        <f>IFERROR(__xludf.DUMMYFUNCTION("IFERROR((FILTER(Data!H:H,Data!D:D=A29,Data!B:B=$B$1)),"""")"),"")</f>
        <v/>
      </c>
      <c r="C29" s="134" t="str">
        <f>IFERROR(__xludf.DUMMYFUNCTION("IFERROR((FILTER(Data!G:G,Data!D:D=A29,Data!B:B=$B$1)),"""")"),"")</f>
        <v/>
      </c>
      <c r="D29" s="134" t="str">
        <f>IFERROR(__xludf.DUMMYFUNCTION("IFERROR((FILTER(Data!J:J,Data!D:D=A29,Data!B:B=$B$1)),"""")"),"")</f>
        <v/>
      </c>
      <c r="E29" s="134" t="str">
        <f>IFERROR(__xludf.DUMMYFUNCTION("IFERROR((FILTER(Data!L:L,Data!D:D=A29,Data!B:B=$B$1)),"""")"),"")</f>
        <v/>
      </c>
      <c r="F29" s="134" t="str">
        <f>IFERROR(__xludf.DUMMYFUNCTION("IFERROR((FILTER(Data!K:K,Data!D:D=A29,Data!B:B=$B$1)),"""")"),"")</f>
        <v/>
      </c>
      <c r="G29" s="134" t="str">
        <f>IFERROR(__xludf.DUMMYFUNCTION("IFERROR((FILTER(Data!M:M,Data!D:D=A29,Data!B:B=$B$1)),"""")"),"")</f>
        <v/>
      </c>
      <c r="H29" s="134" t="str">
        <f>IFERROR(__xludf.DUMMYFUNCTION("IFERROR((FILTER(Data!G:G,Data!D:D=A29,Data!B:B=$B$1)*4)+(FILTER(Data!H:H,Data!D:D=A29,Data!B:B=$B$1)*2),"""")"),"")</f>
        <v/>
      </c>
      <c r="I29" s="15" t="str">
        <f>IFERROR(__xludf.DUMMYFUNCTION("IFERROR((FILTER(Data!K:K,Data!D:D=A29,Data!B:B=$B$1)*2)+(FILTER(Data!L:L,Data!D:D=A29,Data!B:B=$B$1)),"""")"),"")</f>
        <v/>
      </c>
      <c r="J29" s="134" t="str">
        <f>IFERROR(__xludf.DUMMYFUNCTION("IFERROR((FILTER(Data!N:N,Data!D:D=A29,Data!B:B=$B$1)),"""")"),"")</f>
        <v/>
      </c>
      <c r="K29" s="135" t="str">
        <f>IFERROR(__xludf.DUMMYFUNCTION("IFERROR((FILTER(Data!H:H,Data!D:D=A29,Data!B:B=$B$1)*2)+(FILTER(Data!L:L,Data!D:D=A29,Data!B:B=$B$1))+(FILTER(Data!G:G,Data!D:D=A29,Data!B:B=$B$1)*4)+(FILTER(Data!K:K,Data!D:D=A29,Data!B:B=$B$1)*2)+(((COUNTIF(FILTER(Data!N:N,Data!D:D=A29,Data!B:B=$B$1),"""&amp;"TRAVERSE"")*15)+(COUNTIF(FILTER(Data!N:N,Data!D:D=A29,Data!B:B=$B$1),""HIGH"")*10)+(COUNTIF(FILTER(Data!N:N,Data!D:D=A29,Data!B:B=$B$1),""MIDDLE"")*6)+(COUNTIF(FILTER(Data!N:N,Data!D:D=A29,Data!B:B=$B$1),""LOW"")*4))),"""")"),"")</f>
        <v/>
      </c>
      <c r="L29" s="136" t="str">
        <f>IFERROR(__xludf.DUMMYFUNCTION("IFERROR((FILTER(Data!P:P,Data!D:D=A29,Data!B:B=$B$1)),"""")"),"")</f>
        <v/>
      </c>
      <c r="M29" s="137" t="str">
        <f>IFERROR(__xludf.DUMMYFUNCTION("IFERROR((FILTER(Data!A:A,Data!D:D=A29,Data!B:B=$B$1)),"""")"),"")</f>
        <v/>
      </c>
      <c r="T29" s="52">
        <f>IFERROR(__xludf.DUMMYFUNCTION("((COUNTIF(FILTER(Data!N:N,Data!D:D=A29,Data!B:B=$B$1),""TRAVERSE"")*15)+(COUNTIF(FILTER(Data!N:N,Data!D:D=A29,Data!B:B=B$1),""HIGH"")*10)+(COUNTIF(FILTER(Data!N:N,Data!D:D=A29,Data!B:B=$B$1),""MIDDLE"")*6)+(COUNTIF(FILTER(Data!N:N,Data!D:D=A29,Data!B:B=$B"&amp;"$1),""LOW"")*4))"),0.0)</f>
        <v>0</v>
      </c>
      <c r="V29" s="138" t="str">
        <f>IF(Data!B21='Team Parser'!$B$1, Data!D21,"")</f>
        <v/>
      </c>
      <c r="W29" s="134" t="str">
        <f>IF(Data!$B21='Team Parser'!$B$1, Data!H21,"")</f>
        <v/>
      </c>
      <c r="X29" s="134" t="str">
        <f>IF(Data!$B21='Team Parser'!$B$1, Data!G21,"")</f>
        <v/>
      </c>
      <c r="Y29" s="134" t="str">
        <f>IF(Data!$B21='Team Parser'!$B$1, Data!L21,"")</f>
        <v/>
      </c>
      <c r="Z29" s="134" t="str">
        <f>IF(Data!$B21='Team Parser'!$B$1, Data!K21,"")</f>
        <v/>
      </c>
      <c r="AA29" s="134" t="str">
        <f>IF(Data!$B21='Team Parser'!$B$1, Data!M21,"")</f>
        <v/>
      </c>
      <c r="AB29" s="134" t="str">
        <f>IF(Data!$B21='Team Parser'!$B$1,((Z29*2)+(Y29)+(X29*4)+(W29*2)),"")</f>
        <v/>
      </c>
      <c r="AC29" s="134" t="str">
        <f>IF(Data!$B21='Team Parser'!$B$1, Data!N21,"")</f>
        <v/>
      </c>
      <c r="AD29" s="139" t="str">
        <f>IF(Data!$B21='Team Parser'!$B$1,(AB29+(COUNTIF(AC29,"TRAVERSE")*15)+(COUNTIF(AC29,"HIGH")*10)+(COUNTIF(AC29,"MIDDLE")*6)+(COUNTIF(AC29,"LOW")*4)),"")</f>
        <v/>
      </c>
    </row>
    <row r="30">
      <c r="A30" s="133" t="s">
        <v>507</v>
      </c>
      <c r="B30" s="134" t="str">
        <f>IFERROR(__xludf.DUMMYFUNCTION("IFERROR((FILTER(Data!H:H,Data!D:D=A30,Data!B:B=$B$1)),"""")"),"")</f>
        <v/>
      </c>
      <c r="C30" s="134" t="str">
        <f>IFERROR(__xludf.DUMMYFUNCTION("IFERROR((FILTER(Data!G:G,Data!D:D=A30,Data!B:B=$B$1)),"""")"),"")</f>
        <v/>
      </c>
      <c r="D30" s="134" t="str">
        <f>IFERROR(__xludf.DUMMYFUNCTION("IFERROR((FILTER(Data!J:J,Data!D:D=A30,Data!B:B=$B$1)),"""")"),"")</f>
        <v/>
      </c>
      <c r="E30" s="134" t="str">
        <f>IFERROR(__xludf.DUMMYFUNCTION("IFERROR((FILTER(Data!L:L,Data!D:D=A30,Data!B:B=$B$1)),"""")"),"")</f>
        <v/>
      </c>
      <c r="F30" s="134" t="str">
        <f>IFERROR(__xludf.DUMMYFUNCTION("IFERROR((FILTER(Data!K:K,Data!D:D=A30,Data!B:B=$B$1)),"""")"),"")</f>
        <v/>
      </c>
      <c r="G30" s="134" t="str">
        <f>IFERROR(__xludf.DUMMYFUNCTION("IFERROR((FILTER(Data!M:M,Data!D:D=A30,Data!B:B=$B$1)),"""")"),"")</f>
        <v/>
      </c>
      <c r="H30" s="134" t="str">
        <f>IFERROR(__xludf.DUMMYFUNCTION("IFERROR((FILTER(Data!G:G,Data!D:D=A30,Data!B:B=$B$1)*4)+(FILTER(Data!H:H,Data!D:D=A30,Data!B:B=$B$1)*2),"""")"),"")</f>
        <v/>
      </c>
      <c r="I30" s="15" t="str">
        <f>IFERROR(__xludf.DUMMYFUNCTION("IFERROR((FILTER(Data!K:K,Data!D:D=A30,Data!B:B=$B$1)*2)+(FILTER(Data!L:L,Data!D:D=A30,Data!B:B=$B$1)),"""")"),"")</f>
        <v/>
      </c>
      <c r="J30" s="134" t="str">
        <f>IFERROR(__xludf.DUMMYFUNCTION("IFERROR((FILTER(Data!N:N,Data!D:D=A30,Data!B:B=$B$1)),"""")"),"")</f>
        <v/>
      </c>
      <c r="K30" s="135" t="str">
        <f>IFERROR(__xludf.DUMMYFUNCTION("IFERROR((FILTER(Data!H:H,Data!D:D=A30,Data!B:B=$B$1)*2)+(FILTER(Data!L:L,Data!D:D=A30,Data!B:B=$B$1))+(FILTER(Data!G:G,Data!D:D=A30,Data!B:B=$B$1)*4)+(FILTER(Data!K:K,Data!D:D=A30,Data!B:B=$B$1)*2)+(((COUNTIF(FILTER(Data!N:N,Data!D:D=A30,Data!B:B=$B$1),"""&amp;"TRAVERSE"")*15)+(COUNTIF(FILTER(Data!N:N,Data!D:D=A30,Data!B:B=$B$1),""HIGH"")*10)+(COUNTIF(FILTER(Data!N:N,Data!D:D=A30,Data!B:B=$B$1),""MIDDLE"")*6)+(COUNTIF(FILTER(Data!N:N,Data!D:D=A30,Data!B:B=$B$1),""LOW"")*4))),"""")"),"")</f>
        <v/>
      </c>
      <c r="L30" s="136" t="str">
        <f>IFERROR(__xludf.DUMMYFUNCTION("IFERROR((FILTER(Data!P:P,Data!D:D=A30,Data!B:B=$B$1)),"""")"),"")</f>
        <v/>
      </c>
      <c r="M30" s="137" t="str">
        <f>IFERROR(__xludf.DUMMYFUNCTION("IFERROR((FILTER(Data!A:A,Data!D:D=A30,Data!B:B=$B$1)),"""")"),"")</f>
        <v/>
      </c>
      <c r="T30" s="52">
        <f>IFERROR(__xludf.DUMMYFUNCTION("((COUNTIF(FILTER(Data!N:N,Data!D:D=A30,Data!B:B=$B$1),""TRAVERSE"")*15)+(COUNTIF(FILTER(Data!N:N,Data!D:D=A30,Data!B:B=B$1),""HIGH"")*10)+(COUNTIF(FILTER(Data!N:N,Data!D:D=A30,Data!B:B=$B$1),""MIDDLE"")*6)+(COUNTIF(FILTER(Data!N:N,Data!D:D=A30,Data!B:B=$B"&amp;"$1),""LOW"")*4))"),0.0)</f>
        <v>0</v>
      </c>
      <c r="V30" s="138" t="str">
        <f>IF(Data!B22='Team Parser'!$B$1, Data!D22,"")</f>
        <v/>
      </c>
      <c r="W30" s="134" t="str">
        <f>IF(Data!$B22='Team Parser'!$B$1, Data!H22,"")</f>
        <v/>
      </c>
      <c r="X30" s="134" t="str">
        <f>IF(Data!$B22='Team Parser'!$B$1, Data!G22,"")</f>
        <v/>
      </c>
      <c r="Y30" s="134" t="str">
        <f>IF(Data!$B22='Team Parser'!$B$1, Data!L22,"")</f>
        <v/>
      </c>
      <c r="Z30" s="134" t="str">
        <f>IF(Data!$B22='Team Parser'!$B$1, Data!K22,"")</f>
        <v/>
      </c>
      <c r="AA30" s="134" t="str">
        <f>IF(Data!$B22='Team Parser'!$B$1, Data!M22,"")</f>
        <v/>
      </c>
      <c r="AB30" s="134" t="str">
        <f>IF(Data!$B22='Team Parser'!$B$1,((Z30*2)+(Y30)+(X30*4)+(W30*2)),"")</f>
        <v/>
      </c>
      <c r="AC30" s="134" t="str">
        <f>IF(Data!$B22='Team Parser'!$B$1, Data!N22,"")</f>
        <v/>
      </c>
      <c r="AD30" s="139" t="str">
        <f>IF(Data!$B22='Team Parser'!$B$1,(AB30+(COUNTIF(AC30,"TRAVERSE")*15)+(COUNTIF(AC30,"HIGH")*10)+(COUNTIF(AC30,"MIDDLE")*6)+(COUNTIF(AC30,"LOW")*4)),"")</f>
        <v/>
      </c>
    </row>
    <row r="31">
      <c r="A31" s="133" t="s">
        <v>507</v>
      </c>
      <c r="B31" s="134" t="str">
        <f>IFERROR(__xludf.DUMMYFUNCTION("IFERROR((FILTER(Data!H:H,Data!D:D=A31,Data!B:B=$B$1)),"""")"),"")</f>
        <v/>
      </c>
      <c r="C31" s="134" t="str">
        <f>IFERROR(__xludf.DUMMYFUNCTION("IFERROR((FILTER(Data!G:G,Data!D:D=A31,Data!B:B=$B$1)),"""")"),"")</f>
        <v/>
      </c>
      <c r="D31" s="134" t="str">
        <f>IFERROR(__xludf.DUMMYFUNCTION("IFERROR((FILTER(Data!J:J,Data!D:D=A31,Data!B:B=$B$1)),"""")"),"")</f>
        <v/>
      </c>
      <c r="E31" s="134" t="str">
        <f>IFERROR(__xludf.DUMMYFUNCTION("IFERROR((FILTER(Data!L:L,Data!D:D=A31,Data!B:B=$B$1)),"""")"),"")</f>
        <v/>
      </c>
      <c r="F31" s="134" t="str">
        <f>IFERROR(__xludf.DUMMYFUNCTION("IFERROR((FILTER(Data!K:K,Data!D:D=A31,Data!B:B=$B$1)),"""")"),"")</f>
        <v/>
      </c>
      <c r="G31" s="134" t="str">
        <f>IFERROR(__xludf.DUMMYFUNCTION("IFERROR((FILTER(Data!M:M,Data!D:D=A31,Data!B:B=$B$1)),"""")"),"")</f>
        <v/>
      </c>
      <c r="H31" s="134" t="str">
        <f>IFERROR(__xludf.DUMMYFUNCTION("IFERROR((FILTER(Data!G:G,Data!D:D=A31,Data!B:B=$B$1)*4)+(FILTER(Data!H:H,Data!D:D=A31,Data!B:B=$B$1)*2),"""")"),"")</f>
        <v/>
      </c>
      <c r="I31" s="15" t="str">
        <f>IFERROR(__xludf.DUMMYFUNCTION("IFERROR((FILTER(Data!K:K,Data!D:D=A31,Data!B:B=$B$1)*2)+(FILTER(Data!L:L,Data!D:D=A31,Data!B:B=$B$1)),"""")"),"")</f>
        <v/>
      </c>
      <c r="J31" s="134" t="str">
        <f>IFERROR(__xludf.DUMMYFUNCTION("IFERROR((FILTER(Data!N:N,Data!D:D=A31,Data!B:B=$B$1)),"""")"),"")</f>
        <v/>
      </c>
      <c r="K31" s="135" t="str">
        <f>IFERROR(__xludf.DUMMYFUNCTION("IFERROR((FILTER(Data!H:H,Data!D:D=A31,Data!B:B=$B$1)*2)+(FILTER(Data!L:L,Data!D:D=A31,Data!B:B=$B$1))+(FILTER(Data!G:G,Data!D:D=A31,Data!B:B=$B$1)*4)+(FILTER(Data!K:K,Data!D:D=A31,Data!B:B=$B$1)*2)+(((COUNTIF(FILTER(Data!N:N,Data!D:D=A31,Data!B:B=$B$1),"""&amp;"TRAVERSE"")*15)+(COUNTIF(FILTER(Data!N:N,Data!D:D=A31,Data!B:B=$B$1),""HIGH"")*10)+(COUNTIF(FILTER(Data!N:N,Data!D:D=A31,Data!B:B=$B$1),""MIDDLE"")*6)+(COUNTIF(FILTER(Data!N:N,Data!D:D=A31,Data!B:B=$B$1),""LOW"")*4))),"""")"),"")</f>
        <v/>
      </c>
      <c r="L31" s="136" t="str">
        <f>IFERROR(__xludf.DUMMYFUNCTION("IFERROR((FILTER(Data!P:P,Data!D:D=A31,Data!B:B=$B$1)),"""")"),"")</f>
        <v/>
      </c>
      <c r="M31" s="137" t="str">
        <f>IFERROR(__xludf.DUMMYFUNCTION("IFERROR((FILTER(Data!A:A,Data!D:D=A31,Data!B:B=$B$1)),"""")"),"")</f>
        <v/>
      </c>
      <c r="T31" s="52">
        <f>IFERROR(__xludf.DUMMYFUNCTION("((COUNTIF(FILTER(Data!N:N,Data!D:D=A31,Data!B:B=$B$1),""TRAVERSE"")*15)+(COUNTIF(FILTER(Data!N:N,Data!D:D=A31,Data!B:B=B$1),""HIGH"")*10)+(COUNTIF(FILTER(Data!N:N,Data!D:D=A31,Data!B:B=$B$1),""MIDDLE"")*6)+(COUNTIF(FILTER(Data!N:N,Data!D:D=A31,Data!B:B=$B"&amp;"$1),""LOW"")*4))"),0.0)</f>
        <v>0</v>
      </c>
      <c r="V31" s="138" t="str">
        <f>IF(Data!B23='Team Parser'!$B$1, Data!D23,"")</f>
        <v/>
      </c>
      <c r="W31" s="134" t="str">
        <f>IF(Data!$B23='Team Parser'!$B$1, Data!H23,"")</f>
        <v/>
      </c>
      <c r="X31" s="134" t="str">
        <f>IF(Data!$B23='Team Parser'!$B$1, Data!G23,"")</f>
        <v/>
      </c>
      <c r="Y31" s="134" t="str">
        <f>IF(Data!$B23='Team Parser'!$B$1, Data!L23,"")</f>
        <v/>
      </c>
      <c r="Z31" s="134" t="str">
        <f>IF(Data!$B23='Team Parser'!$B$1, Data!K23,"")</f>
        <v/>
      </c>
      <c r="AA31" s="134" t="str">
        <f>IF(Data!$B23='Team Parser'!$B$1, Data!M23,"")</f>
        <v/>
      </c>
      <c r="AB31" s="134" t="str">
        <f>IF(Data!$B23='Team Parser'!$B$1,((Z31*2)+(Y31)+(X31*4)+(W31*2)),"")</f>
        <v/>
      </c>
      <c r="AC31" s="134" t="str">
        <f>IF(Data!$B23='Team Parser'!$B$1, Data!N23,"")</f>
        <v/>
      </c>
      <c r="AD31" s="139" t="str">
        <f>IF(Data!$B23='Team Parser'!$B$1,(AB31+(COUNTIF(AC31,"TRAVERSE")*15)+(COUNTIF(AC31,"HIGH")*10)+(COUNTIF(AC31,"MIDDLE")*6)+(COUNTIF(AC31,"LOW")*4)),"")</f>
        <v/>
      </c>
    </row>
    <row r="32">
      <c r="A32" s="133" t="s">
        <v>507</v>
      </c>
      <c r="B32" s="134" t="str">
        <f>IFERROR(__xludf.DUMMYFUNCTION("IFERROR((FILTER(Data!H:H,Data!D:D=A32,Data!B:B=$B$1)),"""")"),"")</f>
        <v/>
      </c>
      <c r="C32" s="134" t="str">
        <f>IFERROR(__xludf.DUMMYFUNCTION("IFERROR((FILTER(Data!G:G,Data!D:D=A32,Data!B:B=$B$1)),"""")"),"")</f>
        <v/>
      </c>
      <c r="D32" s="134" t="str">
        <f>IFERROR(__xludf.DUMMYFUNCTION("IFERROR((FILTER(Data!J:J,Data!D:D=A32,Data!B:B=$B$1)),"""")"),"")</f>
        <v/>
      </c>
      <c r="E32" s="134" t="str">
        <f>IFERROR(__xludf.DUMMYFUNCTION("IFERROR((FILTER(Data!L:L,Data!D:D=A32,Data!B:B=$B$1)),"""")"),"")</f>
        <v/>
      </c>
      <c r="F32" s="134" t="str">
        <f>IFERROR(__xludf.DUMMYFUNCTION("IFERROR((FILTER(Data!K:K,Data!D:D=A32,Data!B:B=$B$1)),"""")"),"")</f>
        <v/>
      </c>
      <c r="G32" s="134" t="str">
        <f>IFERROR(__xludf.DUMMYFUNCTION("IFERROR((FILTER(Data!M:M,Data!D:D=A32,Data!B:B=$B$1)),"""")"),"")</f>
        <v/>
      </c>
      <c r="H32" s="134" t="str">
        <f>IFERROR(__xludf.DUMMYFUNCTION("IFERROR((FILTER(Data!G:G,Data!D:D=A32,Data!B:B=$B$1)*4)+(FILTER(Data!H:H,Data!D:D=A32,Data!B:B=$B$1)*2),"""")"),"")</f>
        <v/>
      </c>
      <c r="I32" s="15" t="str">
        <f>IFERROR(__xludf.DUMMYFUNCTION("IFERROR((FILTER(Data!K:K,Data!D:D=A32,Data!B:B=$B$1)*2)+(FILTER(Data!L:L,Data!D:D=A32,Data!B:B=$B$1)),"""")"),"")</f>
        <v/>
      </c>
      <c r="J32" s="134" t="str">
        <f>IFERROR(__xludf.DUMMYFUNCTION("IFERROR((FILTER(Data!N:N,Data!D:D=A32,Data!B:B=$B$1)),"""")"),"")</f>
        <v/>
      </c>
      <c r="K32" s="135" t="str">
        <f>IFERROR(__xludf.DUMMYFUNCTION("IFERROR((FILTER(Data!H:H,Data!D:D=A32,Data!B:B=$B$1)*2)+(FILTER(Data!L:L,Data!D:D=A32,Data!B:B=$B$1))+(FILTER(Data!G:G,Data!D:D=A32,Data!B:B=$B$1)*4)+(FILTER(Data!K:K,Data!D:D=A32,Data!B:B=$B$1)*2)+(((COUNTIF(FILTER(Data!N:N,Data!D:D=A32,Data!B:B=$B$1),"""&amp;"TRAVERSE"")*15)+(COUNTIF(FILTER(Data!N:N,Data!D:D=A32,Data!B:B=$B$1),""HIGH"")*10)+(COUNTIF(FILTER(Data!N:N,Data!D:D=A32,Data!B:B=$B$1),""MIDDLE"")*6)+(COUNTIF(FILTER(Data!N:N,Data!D:D=A32,Data!B:B=$B$1),""LOW"")*4))),"""")"),"")</f>
        <v/>
      </c>
      <c r="L32" s="136" t="str">
        <f>IFERROR(__xludf.DUMMYFUNCTION("IFERROR((FILTER(Data!P:P,Data!D:D=A32,Data!B:B=$B$1)),"""")"),"")</f>
        <v/>
      </c>
      <c r="M32" s="137" t="str">
        <f>IFERROR(__xludf.DUMMYFUNCTION("IFERROR((FILTER(Data!A:A,Data!D:D=A32,Data!B:B=$B$1)),"""")"),"")</f>
        <v/>
      </c>
      <c r="T32" s="52">
        <f>IFERROR(__xludf.DUMMYFUNCTION("((COUNTIF(FILTER(Data!N:N,Data!D:D=A32,Data!B:B=$B$1),""TRAVERSE"")*15)+(COUNTIF(FILTER(Data!N:N,Data!D:D=A32,Data!B:B=B$1),""HIGH"")*10)+(COUNTIF(FILTER(Data!N:N,Data!D:D=A32,Data!B:B=$B$1),""MIDDLE"")*6)+(COUNTIF(FILTER(Data!N:N,Data!D:D=A32,Data!B:B=$B"&amp;"$1),""LOW"")*4))"),0.0)</f>
        <v>0</v>
      </c>
      <c r="V32" s="138" t="str">
        <f>IF(Data!B24='Team Parser'!$B$1, Data!D24,"")</f>
        <v/>
      </c>
      <c r="W32" s="134" t="str">
        <f>IF(Data!$B24='Team Parser'!$B$1, Data!H24,"")</f>
        <v/>
      </c>
      <c r="X32" s="134" t="str">
        <f>IF(Data!$B24='Team Parser'!$B$1, Data!G24,"")</f>
        <v/>
      </c>
      <c r="Y32" s="134" t="str">
        <f>IF(Data!$B24='Team Parser'!$B$1, Data!L24,"")</f>
        <v/>
      </c>
      <c r="Z32" s="134" t="str">
        <f>IF(Data!$B24='Team Parser'!$B$1, Data!K24,"")</f>
        <v/>
      </c>
      <c r="AA32" s="134" t="str">
        <f>IF(Data!$B24='Team Parser'!$B$1, Data!M24,"")</f>
        <v/>
      </c>
      <c r="AB32" s="134" t="str">
        <f>IF(Data!$B24='Team Parser'!$B$1,((Z32*2)+(Y32)+(X32*4)+(W32*2)),"")</f>
        <v/>
      </c>
      <c r="AC32" s="134" t="str">
        <f>IF(Data!$B24='Team Parser'!$B$1, Data!N24,"")</f>
        <v/>
      </c>
      <c r="AD32" s="139" t="str">
        <f>IF(Data!$B24='Team Parser'!$B$1,(AB32+(COUNTIF(AC32,"TRAVERSE")*15)+(COUNTIF(AC32,"HIGH")*10)+(COUNTIF(AC32,"MIDDLE")*6)+(COUNTIF(AC32,"LOW")*4)),"")</f>
        <v/>
      </c>
    </row>
    <row r="33">
      <c r="A33" s="133" t="s">
        <v>507</v>
      </c>
      <c r="B33" s="134" t="str">
        <f>IFERROR(__xludf.DUMMYFUNCTION("IFERROR((FILTER(Data!H:H,Data!D:D=A33,Data!B:B=$B$1)),"""")"),"")</f>
        <v/>
      </c>
      <c r="C33" s="134" t="str">
        <f>IFERROR(__xludf.DUMMYFUNCTION("IFERROR((FILTER(Data!G:G,Data!D:D=A33,Data!B:B=$B$1)),"""")"),"")</f>
        <v/>
      </c>
      <c r="D33" s="134" t="str">
        <f>IFERROR(__xludf.DUMMYFUNCTION("IFERROR((FILTER(Data!J:J,Data!D:D=A33,Data!B:B=$B$1)),"""")"),"")</f>
        <v/>
      </c>
      <c r="E33" s="134" t="str">
        <f>IFERROR(__xludf.DUMMYFUNCTION("IFERROR((FILTER(Data!L:L,Data!D:D=A33,Data!B:B=$B$1)),"""")"),"")</f>
        <v/>
      </c>
      <c r="F33" s="134" t="str">
        <f>IFERROR(__xludf.DUMMYFUNCTION("IFERROR((FILTER(Data!K:K,Data!D:D=A33,Data!B:B=$B$1)),"""")"),"")</f>
        <v/>
      </c>
      <c r="G33" s="134" t="str">
        <f>IFERROR(__xludf.DUMMYFUNCTION("IFERROR((FILTER(Data!M:M,Data!D:D=A33,Data!B:B=$B$1)),"""")"),"")</f>
        <v/>
      </c>
      <c r="H33" s="134" t="str">
        <f>IFERROR(__xludf.DUMMYFUNCTION("IFERROR((FILTER(Data!G:G,Data!D:D=A33,Data!B:B=$B$1)*4)+(FILTER(Data!H:H,Data!D:D=A33,Data!B:B=$B$1)*2),"""")"),"")</f>
        <v/>
      </c>
      <c r="I33" s="15" t="str">
        <f>IFERROR(__xludf.DUMMYFUNCTION("IFERROR((FILTER(Data!K:K,Data!D:D=A33,Data!B:B=$B$1)*2)+(FILTER(Data!L:L,Data!D:D=A33,Data!B:B=$B$1)),"""")"),"")</f>
        <v/>
      </c>
      <c r="J33" s="134" t="str">
        <f>IFERROR(__xludf.DUMMYFUNCTION("IFERROR((FILTER(Data!N:N,Data!D:D=A33,Data!B:B=$B$1)),"""")"),"")</f>
        <v/>
      </c>
      <c r="K33" s="135" t="str">
        <f>IFERROR(__xludf.DUMMYFUNCTION("IFERROR((FILTER(Data!H:H,Data!D:D=A33,Data!B:B=$B$1)*2)+(FILTER(Data!L:L,Data!D:D=A33,Data!B:B=$B$1))+(FILTER(Data!G:G,Data!D:D=A33,Data!B:B=$B$1)*4)+(FILTER(Data!K:K,Data!D:D=A33,Data!B:B=$B$1)*2)+(((COUNTIF(FILTER(Data!N:N,Data!D:D=A33,Data!B:B=$B$1),"""&amp;"TRAVERSE"")*15)+(COUNTIF(FILTER(Data!N:N,Data!D:D=A33,Data!B:B=$B$1),""HIGH"")*10)+(COUNTIF(FILTER(Data!N:N,Data!D:D=A33,Data!B:B=$B$1),""MIDDLE"")*6)+(COUNTIF(FILTER(Data!N:N,Data!D:D=A33,Data!B:B=$B$1),""LOW"")*4))),"""")"),"")</f>
        <v/>
      </c>
      <c r="L33" s="136" t="str">
        <f>IFERROR(__xludf.DUMMYFUNCTION("IFERROR((FILTER(Data!P:P,Data!D:D=A33,Data!B:B=$B$1)),"""")"),"")</f>
        <v/>
      </c>
      <c r="M33" s="137" t="str">
        <f>IFERROR(__xludf.DUMMYFUNCTION("IFERROR((FILTER(Data!A:A,Data!D:D=A33,Data!B:B=$B$1)),"""")"),"")</f>
        <v/>
      </c>
      <c r="T33" s="52">
        <f>IFERROR(__xludf.DUMMYFUNCTION("((COUNTIF(FILTER(Data!N:N,Data!D:D=A33,Data!B:B=$B$1),""TRAVERSE"")*15)+(COUNTIF(FILTER(Data!N:N,Data!D:D=A33,Data!B:B=B$1),""HIGH"")*10)+(COUNTIF(FILTER(Data!N:N,Data!D:D=A33,Data!B:B=$B$1),""MIDDLE"")*6)+(COUNTIF(FILTER(Data!N:N,Data!D:D=A33,Data!B:B=$B"&amp;"$1),""LOW"")*4))"),0.0)</f>
        <v>0</v>
      </c>
      <c r="V33" s="138" t="str">
        <f>IF(Data!B25='Team Parser'!$B$1, Data!D25,"")</f>
        <v/>
      </c>
      <c r="W33" s="134" t="str">
        <f>IF(Data!$B25='Team Parser'!$B$1, Data!H25,"")</f>
        <v/>
      </c>
      <c r="X33" s="134" t="str">
        <f>IF(Data!$B25='Team Parser'!$B$1, Data!G25,"")</f>
        <v/>
      </c>
      <c r="Y33" s="134" t="str">
        <f>IF(Data!$B25='Team Parser'!$B$1, Data!L25,"")</f>
        <v/>
      </c>
      <c r="Z33" s="134" t="str">
        <f>IF(Data!$B25='Team Parser'!$B$1, Data!K25,"")</f>
        <v/>
      </c>
      <c r="AA33" s="134" t="str">
        <f>IF(Data!$B25='Team Parser'!$B$1, Data!M25,"")</f>
        <v/>
      </c>
      <c r="AB33" s="134" t="str">
        <f>IF(Data!$B25='Team Parser'!$B$1,((Z33*2)+(Y33)+(X33*4)+(W33*2)),"")</f>
        <v/>
      </c>
      <c r="AC33" s="134" t="str">
        <f>IF(Data!$B25='Team Parser'!$B$1, Data!N25,"")</f>
        <v/>
      </c>
      <c r="AD33" s="139" t="str">
        <f>IF(Data!$B25='Team Parser'!$B$1,(AB33+(COUNTIF(AC33,"TRAVERSE")*15)+(COUNTIF(AC33,"HIGH")*10)+(COUNTIF(AC33,"MIDDLE")*6)+(COUNTIF(AC33,"LOW")*4)),"")</f>
        <v/>
      </c>
    </row>
    <row r="34">
      <c r="A34" s="133" t="s">
        <v>507</v>
      </c>
      <c r="B34" s="134" t="str">
        <f>IFERROR(__xludf.DUMMYFUNCTION("IFERROR((FILTER(Data!H:H,Data!D:D=A34,Data!B:B=$B$1)),"""")"),"")</f>
        <v/>
      </c>
      <c r="C34" s="134" t="str">
        <f>IFERROR(__xludf.DUMMYFUNCTION("IFERROR((FILTER(Data!G:G,Data!D:D=A34,Data!B:B=$B$1)),"""")"),"")</f>
        <v/>
      </c>
      <c r="D34" s="134" t="str">
        <f>IFERROR(__xludf.DUMMYFUNCTION("IFERROR((FILTER(Data!J:J,Data!D:D=A34,Data!B:B=$B$1)),"""")"),"")</f>
        <v/>
      </c>
      <c r="E34" s="134" t="str">
        <f>IFERROR(__xludf.DUMMYFUNCTION("IFERROR((FILTER(Data!L:L,Data!D:D=A34,Data!B:B=$B$1)),"""")"),"")</f>
        <v/>
      </c>
      <c r="F34" s="134" t="str">
        <f>IFERROR(__xludf.DUMMYFUNCTION("IFERROR((FILTER(Data!K:K,Data!D:D=A34,Data!B:B=$B$1)),"""")"),"")</f>
        <v/>
      </c>
      <c r="G34" s="134" t="str">
        <f>IFERROR(__xludf.DUMMYFUNCTION("IFERROR((FILTER(Data!M:M,Data!D:D=A34,Data!B:B=$B$1)),"""")"),"")</f>
        <v/>
      </c>
      <c r="H34" s="134" t="str">
        <f>IFERROR(__xludf.DUMMYFUNCTION("IFERROR((FILTER(Data!G:G,Data!D:D=A34,Data!B:B=$B$1)*4)+(FILTER(Data!H:H,Data!D:D=A34,Data!B:B=$B$1)*2),"""")"),"")</f>
        <v/>
      </c>
      <c r="I34" s="15" t="str">
        <f>IFERROR(__xludf.DUMMYFUNCTION("IFERROR((FILTER(Data!K:K,Data!D:D=A34,Data!B:B=$B$1)*2)+(FILTER(Data!L:L,Data!D:D=A34,Data!B:B=$B$1)),"""")"),"")</f>
        <v/>
      </c>
      <c r="J34" s="134" t="str">
        <f>IFERROR(__xludf.DUMMYFUNCTION("IFERROR((FILTER(Data!N:N,Data!D:D=A34,Data!B:B=$B$1)),"""")"),"")</f>
        <v/>
      </c>
      <c r="K34" s="135" t="str">
        <f>IFERROR(__xludf.DUMMYFUNCTION("IFERROR((FILTER(Data!H:H,Data!D:D=A34,Data!B:B=$B$1)*2)+(FILTER(Data!L:L,Data!D:D=A34,Data!B:B=$B$1))+(FILTER(Data!G:G,Data!D:D=A34,Data!B:B=$B$1)*4)+(FILTER(Data!K:K,Data!D:D=A34,Data!B:B=$B$1)*2)+(((COUNTIF(FILTER(Data!N:N,Data!D:D=A34,Data!B:B=$B$1),"""&amp;"TRAVERSE"")*15)+(COUNTIF(FILTER(Data!N:N,Data!D:D=A34,Data!B:B=$B$1),""HIGH"")*10)+(COUNTIF(FILTER(Data!N:N,Data!D:D=A34,Data!B:B=$B$1),""MIDDLE"")*6)+(COUNTIF(FILTER(Data!N:N,Data!D:D=A34,Data!B:B=$B$1),""LOW"")*4))),"""")"),"")</f>
        <v/>
      </c>
      <c r="L34" s="136" t="str">
        <f>IFERROR(__xludf.DUMMYFUNCTION("IFERROR((FILTER(Data!P:P,Data!D:D=A34,Data!B:B=$B$1)),"""")"),"")</f>
        <v/>
      </c>
      <c r="M34" s="137" t="str">
        <f>IFERROR(__xludf.DUMMYFUNCTION("IFERROR((FILTER(Data!A:A,Data!D:D=A34,Data!B:B=$B$1)),"""")"),"")</f>
        <v/>
      </c>
      <c r="T34" s="52">
        <f>IFERROR(__xludf.DUMMYFUNCTION("((COUNTIF(FILTER(Data!N:N,Data!D:D=A34,Data!B:B=$B$1),""TRAVERSE"")*15)+(COUNTIF(FILTER(Data!N:N,Data!D:D=A34,Data!B:B=B$1),""HIGH"")*10)+(COUNTIF(FILTER(Data!N:N,Data!D:D=A34,Data!B:B=$B$1),""MIDDLE"")*6)+(COUNTIF(FILTER(Data!N:N,Data!D:D=A34,Data!B:B=$B"&amp;"$1),""LOW"")*4))"),0.0)</f>
        <v>0</v>
      </c>
      <c r="V34" s="138" t="str">
        <f>IF(Data!B26='Team Parser'!$B$1, Data!D26,"")</f>
        <v/>
      </c>
      <c r="W34" s="134" t="str">
        <f>IF(Data!$B26='Team Parser'!$B$1, Data!H26,"")</f>
        <v/>
      </c>
      <c r="X34" s="134" t="str">
        <f>IF(Data!$B26='Team Parser'!$B$1, Data!G26,"")</f>
        <v/>
      </c>
      <c r="Y34" s="134" t="str">
        <f>IF(Data!$B26='Team Parser'!$B$1, Data!L26,"")</f>
        <v/>
      </c>
      <c r="Z34" s="134" t="str">
        <f>IF(Data!$B26='Team Parser'!$B$1, Data!K26,"")</f>
        <v/>
      </c>
      <c r="AA34" s="134" t="str">
        <f>IF(Data!$B26='Team Parser'!$B$1, Data!M26,"")</f>
        <v/>
      </c>
      <c r="AB34" s="134" t="str">
        <f>IF(Data!$B26='Team Parser'!$B$1,((Z34*2)+(Y34)+(X34*4)+(W34*2)),"")</f>
        <v/>
      </c>
      <c r="AC34" s="134" t="str">
        <f>IF(Data!$B26='Team Parser'!$B$1, Data!N26,"")</f>
        <v/>
      </c>
      <c r="AD34" s="139" t="str">
        <f>IF(Data!$B26='Team Parser'!$B$1,(AB34+(COUNTIF(AC34,"TRAVERSE")*15)+(COUNTIF(AC34,"HIGH")*10)+(COUNTIF(AC34,"MIDDLE")*6)+(COUNTIF(AC34,"LOW")*4)),"")</f>
        <v/>
      </c>
    </row>
    <row r="35">
      <c r="A35" s="133" t="s">
        <v>507</v>
      </c>
      <c r="B35" s="134" t="str">
        <f>IFERROR(__xludf.DUMMYFUNCTION("IFERROR((FILTER(Data!H:H,Data!D:D=A35,Data!B:B=$B$1)),"""")"),"")</f>
        <v/>
      </c>
      <c r="C35" s="134" t="str">
        <f>IFERROR(__xludf.DUMMYFUNCTION("IFERROR((FILTER(Data!G:G,Data!D:D=A35,Data!B:B=$B$1)),"""")"),"")</f>
        <v/>
      </c>
      <c r="D35" s="134" t="str">
        <f>IFERROR(__xludf.DUMMYFUNCTION("IFERROR((FILTER(Data!J:J,Data!D:D=A35,Data!B:B=$B$1)),"""")"),"")</f>
        <v/>
      </c>
      <c r="E35" s="134" t="str">
        <f>IFERROR(__xludf.DUMMYFUNCTION("IFERROR((FILTER(Data!L:L,Data!D:D=A35,Data!B:B=$B$1)),"""")"),"")</f>
        <v/>
      </c>
      <c r="F35" s="134" t="str">
        <f>IFERROR(__xludf.DUMMYFUNCTION("IFERROR((FILTER(Data!K:K,Data!D:D=A35,Data!B:B=$B$1)),"""")"),"")</f>
        <v/>
      </c>
      <c r="G35" s="134" t="str">
        <f>IFERROR(__xludf.DUMMYFUNCTION("IFERROR((FILTER(Data!M:M,Data!D:D=A35,Data!B:B=$B$1)),"""")"),"")</f>
        <v/>
      </c>
      <c r="H35" s="134" t="str">
        <f>IFERROR(__xludf.DUMMYFUNCTION("IFERROR((FILTER(Data!G:G,Data!D:D=A35,Data!B:B=$B$1)*4)+(FILTER(Data!H:H,Data!D:D=A35,Data!B:B=$B$1)*2),"""")"),"")</f>
        <v/>
      </c>
      <c r="I35" s="15" t="str">
        <f>IFERROR(__xludf.DUMMYFUNCTION("IFERROR((FILTER(Data!K:K,Data!D:D=A35,Data!B:B=$B$1)*2)+(FILTER(Data!L:L,Data!D:D=A35,Data!B:B=$B$1)),"""")"),"")</f>
        <v/>
      </c>
      <c r="J35" s="134" t="str">
        <f>IFERROR(__xludf.DUMMYFUNCTION("IFERROR((FILTER(Data!N:N,Data!D:D=A35,Data!B:B=$B$1)),"""")"),"")</f>
        <v/>
      </c>
      <c r="K35" s="135" t="str">
        <f>IFERROR(__xludf.DUMMYFUNCTION("IFERROR((FILTER(Data!H:H,Data!D:D=A35,Data!B:B=$B$1)*2)+(FILTER(Data!L:L,Data!D:D=A35,Data!B:B=$B$1))+(FILTER(Data!G:G,Data!D:D=A35,Data!B:B=$B$1)*4)+(FILTER(Data!K:K,Data!D:D=A35,Data!B:B=$B$1)*2)+(((COUNTIF(FILTER(Data!N:N,Data!D:D=A35,Data!B:B=$B$1),"""&amp;"TRAVERSE"")*15)+(COUNTIF(FILTER(Data!N:N,Data!D:D=A35,Data!B:B=$B$1),""HIGH"")*10)+(COUNTIF(FILTER(Data!N:N,Data!D:D=A35,Data!B:B=$B$1),""MIDDLE"")*6)+(COUNTIF(FILTER(Data!N:N,Data!D:D=A35,Data!B:B=$B$1),""LOW"")*4))),"""")"),"")</f>
        <v/>
      </c>
      <c r="L35" s="136" t="str">
        <f>IFERROR(__xludf.DUMMYFUNCTION("IFERROR((FILTER(Data!P:P,Data!D:D=A35,Data!B:B=$B$1)),"""")"),"")</f>
        <v/>
      </c>
      <c r="M35" s="137" t="str">
        <f>IFERROR(__xludf.DUMMYFUNCTION("IFERROR((FILTER(Data!A:A,Data!D:D=A35,Data!B:B=$B$1)),"""")"),"")</f>
        <v/>
      </c>
      <c r="T35" s="52">
        <f>IFERROR(__xludf.DUMMYFUNCTION("((COUNTIF(FILTER(Data!N:N,Data!D:D=A35,Data!B:B=$B$1),""TRAVERSE"")*15)+(COUNTIF(FILTER(Data!N:N,Data!D:D=A35,Data!B:B=B$1),""HIGH"")*10)+(COUNTIF(FILTER(Data!N:N,Data!D:D=A35,Data!B:B=$B$1),""MIDDLE"")*6)+(COUNTIF(FILTER(Data!N:N,Data!D:D=A35,Data!B:B=$B"&amp;"$1),""LOW"")*4))"),0.0)</f>
        <v>0</v>
      </c>
      <c r="V35" s="138" t="str">
        <f>IF(Data!B27='Team Parser'!$B$1, Data!D27,"")</f>
        <v/>
      </c>
      <c r="W35" s="134" t="str">
        <f>IF(Data!$B27='Team Parser'!$B$1, Data!H27,"")</f>
        <v/>
      </c>
      <c r="X35" s="134" t="str">
        <f>IF(Data!$B27='Team Parser'!$B$1, Data!G27,"")</f>
        <v/>
      </c>
      <c r="Y35" s="134" t="str">
        <f>IF(Data!$B27='Team Parser'!$B$1, Data!L27,"")</f>
        <v/>
      </c>
      <c r="Z35" s="134" t="str">
        <f>IF(Data!$B27='Team Parser'!$B$1, Data!K27,"")</f>
        <v/>
      </c>
      <c r="AA35" s="134" t="str">
        <f>IF(Data!$B27='Team Parser'!$B$1, Data!M27,"")</f>
        <v/>
      </c>
      <c r="AB35" s="134" t="str">
        <f>IF(Data!$B27='Team Parser'!$B$1,((Z35*2)+(Y35)+(X35*4)+(W35*2)),"")</f>
        <v/>
      </c>
      <c r="AC35" s="134" t="str">
        <f>IF(Data!$B27='Team Parser'!$B$1, Data!N27,"")</f>
        <v/>
      </c>
      <c r="AD35" s="139" t="str">
        <f>IF(Data!$B27='Team Parser'!$B$1,(AB35+(COUNTIF(AC35,"TRAVERSE")*15)+(COUNTIF(AC35,"HIGH")*10)+(COUNTIF(AC35,"MIDDLE")*6)+(COUNTIF(AC35,"LOW")*4)),"")</f>
        <v/>
      </c>
    </row>
    <row r="36">
      <c r="A36" s="133" t="s">
        <v>507</v>
      </c>
      <c r="B36" s="134" t="str">
        <f>IFERROR(__xludf.DUMMYFUNCTION("IFERROR((FILTER(Data!H:H,Data!D:D=A36,Data!B:B=$B$1)),"""")"),"")</f>
        <v/>
      </c>
      <c r="C36" s="134" t="str">
        <f>IFERROR(__xludf.DUMMYFUNCTION("IFERROR((FILTER(Data!G:G,Data!D:D=A36,Data!B:B=$B$1)),"""")"),"")</f>
        <v/>
      </c>
      <c r="D36" s="134" t="str">
        <f>IFERROR(__xludf.DUMMYFUNCTION("IFERROR((FILTER(Data!J:J,Data!D:D=A36,Data!B:B=$B$1)),"""")"),"")</f>
        <v/>
      </c>
      <c r="E36" s="134" t="str">
        <f>IFERROR(__xludf.DUMMYFUNCTION("IFERROR((FILTER(Data!L:L,Data!D:D=A36,Data!B:B=$B$1)),"""")"),"")</f>
        <v/>
      </c>
      <c r="F36" s="134" t="str">
        <f>IFERROR(__xludf.DUMMYFUNCTION("IFERROR((FILTER(Data!K:K,Data!D:D=A36,Data!B:B=$B$1)),"""")"),"")</f>
        <v/>
      </c>
      <c r="G36" s="134" t="str">
        <f>IFERROR(__xludf.DUMMYFUNCTION("IFERROR((FILTER(Data!M:M,Data!D:D=A36,Data!B:B=$B$1)),"""")"),"")</f>
        <v/>
      </c>
      <c r="H36" s="134" t="str">
        <f>IFERROR(__xludf.DUMMYFUNCTION("IFERROR((FILTER(Data!G:G,Data!D:D=A36,Data!B:B=$B$1)*4)+(FILTER(Data!H:H,Data!D:D=A36,Data!B:B=$B$1)*2),"""")"),"")</f>
        <v/>
      </c>
      <c r="I36" s="15" t="str">
        <f>IFERROR(__xludf.DUMMYFUNCTION("IFERROR((FILTER(Data!K:K,Data!D:D=A36,Data!B:B=$B$1)*2)+(FILTER(Data!L:L,Data!D:D=A36,Data!B:B=$B$1)),"""")"),"")</f>
        <v/>
      </c>
      <c r="J36" s="134" t="str">
        <f>IFERROR(__xludf.DUMMYFUNCTION("IFERROR((FILTER(Data!N:N,Data!D:D=A36,Data!B:B=$B$1)),"""")"),"")</f>
        <v/>
      </c>
      <c r="K36" s="135" t="str">
        <f>IFERROR(__xludf.DUMMYFUNCTION("IFERROR((FILTER(Data!H:H,Data!D:D=A36,Data!B:B=$B$1)*2)+(FILTER(Data!L:L,Data!D:D=A36,Data!B:B=$B$1))+(FILTER(Data!G:G,Data!D:D=A36,Data!B:B=$B$1)*4)+(FILTER(Data!K:K,Data!D:D=A36,Data!B:B=$B$1)*2)+(((COUNTIF(FILTER(Data!N:N,Data!D:D=A36,Data!B:B=$B$1),"""&amp;"TRAVERSE"")*15)+(COUNTIF(FILTER(Data!N:N,Data!D:D=A36,Data!B:B=$B$1),""HIGH"")*10)+(COUNTIF(FILTER(Data!N:N,Data!D:D=A36,Data!B:B=$B$1),""MIDDLE"")*6)+(COUNTIF(FILTER(Data!N:N,Data!D:D=A36,Data!B:B=$B$1),""LOW"")*4))),"""")"),"")</f>
        <v/>
      </c>
      <c r="L36" s="136" t="str">
        <f>IFERROR(__xludf.DUMMYFUNCTION("IFERROR((FILTER(Data!P:P,Data!D:D=A36,Data!B:B=$B$1)),"""")"),"")</f>
        <v/>
      </c>
      <c r="M36" s="137" t="str">
        <f>IFERROR(__xludf.DUMMYFUNCTION("IFERROR((FILTER(Data!A:A,Data!D:D=A36,Data!B:B=$B$1)),"""")"),"")</f>
        <v/>
      </c>
      <c r="T36" s="52">
        <f>IFERROR(__xludf.DUMMYFUNCTION("((COUNTIF(FILTER(Data!N:N,Data!D:D=A36,Data!B:B=$B$1),""TRAVERSE"")*15)+(COUNTIF(FILTER(Data!N:N,Data!D:D=A36,Data!B:B=B$1),""HIGH"")*10)+(COUNTIF(FILTER(Data!N:N,Data!D:D=A36,Data!B:B=$B$1),""MIDDLE"")*6)+(COUNTIF(FILTER(Data!N:N,Data!D:D=A36,Data!B:B=$B"&amp;"$1),""LOW"")*4))"),0.0)</f>
        <v>0</v>
      </c>
      <c r="V36" s="138" t="str">
        <f>IF(Data!B28='Team Parser'!$B$1, Data!D28,"")</f>
        <v/>
      </c>
      <c r="W36" s="134" t="str">
        <f>IF(Data!$B28='Team Parser'!$B$1, Data!H28,"")</f>
        <v/>
      </c>
      <c r="X36" s="134" t="str">
        <f>IF(Data!$B28='Team Parser'!$B$1, Data!G28,"")</f>
        <v/>
      </c>
      <c r="Y36" s="134" t="str">
        <f>IF(Data!$B28='Team Parser'!$B$1, Data!L28,"")</f>
        <v/>
      </c>
      <c r="Z36" s="134" t="str">
        <f>IF(Data!$B28='Team Parser'!$B$1, Data!K28,"")</f>
        <v/>
      </c>
      <c r="AA36" s="134" t="str">
        <f>IF(Data!$B28='Team Parser'!$B$1, Data!M28,"")</f>
        <v/>
      </c>
      <c r="AB36" s="134" t="str">
        <f>IF(Data!$B28='Team Parser'!$B$1,((Z36*2)+(Y36)+(X36*4)+(W36*2)),"")</f>
        <v/>
      </c>
      <c r="AC36" s="134" t="str">
        <f>IF(Data!$B28='Team Parser'!$B$1, Data!N28,"")</f>
        <v/>
      </c>
      <c r="AD36" s="139" t="str">
        <f>IF(Data!$B28='Team Parser'!$B$1,(AB36+(COUNTIF(AC36,"TRAVERSE")*15)+(COUNTIF(AC36,"HIGH")*10)+(COUNTIF(AC36,"MIDDLE")*6)+(COUNTIF(AC36,"LOW")*4)),"")</f>
        <v/>
      </c>
    </row>
    <row r="37">
      <c r="A37" s="133" t="s">
        <v>507</v>
      </c>
      <c r="B37" s="134" t="str">
        <f>IFERROR(__xludf.DUMMYFUNCTION("IFERROR((FILTER(Data!H:H,Data!D:D=A37,Data!B:B=$B$1)),"""")"),"")</f>
        <v/>
      </c>
      <c r="C37" s="134" t="str">
        <f>IFERROR(__xludf.DUMMYFUNCTION("IFERROR((FILTER(Data!G:G,Data!D:D=A37,Data!B:B=$B$1)),"""")"),"")</f>
        <v/>
      </c>
      <c r="D37" s="134" t="str">
        <f>IFERROR(__xludf.DUMMYFUNCTION("IFERROR((FILTER(Data!J:J,Data!D:D=A37,Data!B:B=$B$1)),"""")"),"")</f>
        <v/>
      </c>
      <c r="E37" s="134" t="str">
        <f>IFERROR(__xludf.DUMMYFUNCTION("IFERROR((FILTER(Data!L:L,Data!D:D=A37,Data!B:B=$B$1)),"""")"),"")</f>
        <v/>
      </c>
      <c r="F37" s="134" t="str">
        <f>IFERROR(__xludf.DUMMYFUNCTION("IFERROR((FILTER(Data!K:K,Data!D:D=A37,Data!B:B=$B$1)),"""")"),"")</f>
        <v/>
      </c>
      <c r="G37" s="134" t="str">
        <f>IFERROR(__xludf.DUMMYFUNCTION("IFERROR((FILTER(Data!M:M,Data!D:D=A37,Data!B:B=$B$1)),"""")"),"")</f>
        <v/>
      </c>
      <c r="H37" s="134" t="str">
        <f>IFERROR(__xludf.DUMMYFUNCTION("IFERROR((FILTER(Data!G:G,Data!D:D=A37,Data!B:B=$B$1)*4)+(FILTER(Data!H:H,Data!D:D=A37,Data!B:B=$B$1)*2),"""")"),"")</f>
        <v/>
      </c>
      <c r="I37" s="15" t="str">
        <f>IFERROR(__xludf.DUMMYFUNCTION("IFERROR((FILTER(Data!K:K,Data!D:D=A37,Data!B:B=$B$1)*2)+(FILTER(Data!L:L,Data!D:D=A37,Data!B:B=$B$1)),"""")"),"")</f>
        <v/>
      </c>
      <c r="J37" s="134" t="str">
        <f>IFERROR(__xludf.DUMMYFUNCTION("IFERROR((FILTER(Data!N:N,Data!D:D=A37,Data!B:B=$B$1)),"""")"),"")</f>
        <v/>
      </c>
      <c r="K37" s="135" t="str">
        <f>IFERROR(__xludf.DUMMYFUNCTION("IFERROR((FILTER(Data!H:H,Data!D:D=A37,Data!B:B=$B$1)*2)+(FILTER(Data!L:L,Data!D:D=A37,Data!B:B=$B$1))+(FILTER(Data!G:G,Data!D:D=A37,Data!B:B=$B$1)*4)+(FILTER(Data!K:K,Data!D:D=A37,Data!B:B=$B$1)*2)+(((COUNTIF(FILTER(Data!N:N,Data!D:D=A37,Data!B:B=$B$1),"""&amp;"TRAVERSE"")*15)+(COUNTIF(FILTER(Data!N:N,Data!D:D=A37,Data!B:B=$B$1),""HIGH"")*10)+(COUNTIF(FILTER(Data!N:N,Data!D:D=A37,Data!B:B=$B$1),""MIDDLE"")*6)+(COUNTIF(FILTER(Data!N:N,Data!D:D=A37,Data!B:B=$B$1),""LOW"")*4))),"""")"),"")</f>
        <v/>
      </c>
      <c r="L37" s="136" t="str">
        <f>IFERROR(__xludf.DUMMYFUNCTION("IFERROR((FILTER(Data!P:P,Data!D:D=A37,Data!B:B=$B$1)),"""")"),"")</f>
        <v/>
      </c>
      <c r="M37" s="137" t="str">
        <f>IFERROR(__xludf.DUMMYFUNCTION("IFERROR((FILTER(Data!A:A,Data!D:D=A37,Data!B:B=$B$1)),"""")"),"")</f>
        <v/>
      </c>
      <c r="T37" s="52">
        <f>IFERROR(__xludf.DUMMYFUNCTION("((COUNTIF(FILTER(Data!N:N,Data!D:D=A37,Data!B:B=$B$1),""TRAVERSE"")*15)+(COUNTIF(FILTER(Data!N:N,Data!D:D=A37,Data!B:B=B$1),""HIGH"")*10)+(COUNTIF(FILTER(Data!N:N,Data!D:D=A37,Data!B:B=$B$1),""MIDDLE"")*6)+(COUNTIF(FILTER(Data!N:N,Data!D:D=A37,Data!B:B=$B"&amp;"$1),""LOW"")*4))"),0.0)</f>
        <v>0</v>
      </c>
      <c r="V37" s="138" t="str">
        <f>IF(Data!B29='Team Parser'!$B$1, Data!D29,"")</f>
        <v/>
      </c>
      <c r="W37" s="134" t="str">
        <f>IF(Data!$B29='Team Parser'!$B$1, Data!H29,"")</f>
        <v/>
      </c>
      <c r="X37" s="134" t="str">
        <f>IF(Data!$B29='Team Parser'!$B$1, Data!G29,"")</f>
        <v/>
      </c>
      <c r="Y37" s="134" t="str">
        <f>IF(Data!$B29='Team Parser'!$B$1, Data!L29,"")</f>
        <v/>
      </c>
      <c r="Z37" s="134" t="str">
        <f>IF(Data!$B29='Team Parser'!$B$1, Data!K29,"")</f>
        <v/>
      </c>
      <c r="AA37" s="134" t="str">
        <f>IF(Data!$B29='Team Parser'!$B$1, Data!M29,"")</f>
        <v/>
      </c>
      <c r="AB37" s="134" t="str">
        <f>IF(Data!$B29='Team Parser'!$B$1,((Z37*2)+(Y37)+(X37*4)+(W37*2)),"")</f>
        <v/>
      </c>
      <c r="AC37" s="134" t="str">
        <f>IF(Data!$B29='Team Parser'!$B$1, Data!N29,"")</f>
        <v/>
      </c>
      <c r="AD37" s="139" t="str">
        <f>IF(Data!$B29='Team Parser'!$B$1,(AB37+(COUNTIF(AC37,"TRAVERSE")*15)+(COUNTIF(AC37,"HIGH")*10)+(COUNTIF(AC37,"MIDDLE")*6)+(COUNTIF(AC37,"LOW")*4)),"")</f>
        <v/>
      </c>
    </row>
    <row r="38">
      <c r="A38" s="133" t="s">
        <v>507</v>
      </c>
      <c r="B38" s="134" t="str">
        <f>IFERROR(__xludf.DUMMYFUNCTION("IFERROR((FILTER(Data!H:H,Data!D:D=A38,Data!B:B=$B$1)),"""")"),"")</f>
        <v/>
      </c>
      <c r="C38" s="134" t="str">
        <f>IFERROR(__xludf.DUMMYFUNCTION("IFERROR((FILTER(Data!G:G,Data!D:D=A38,Data!B:B=$B$1)),"""")"),"")</f>
        <v/>
      </c>
      <c r="D38" s="134" t="str">
        <f>IFERROR(__xludf.DUMMYFUNCTION("IFERROR((FILTER(Data!J:J,Data!D:D=A38,Data!B:B=$B$1)),"""")"),"")</f>
        <v/>
      </c>
      <c r="E38" s="134" t="str">
        <f>IFERROR(__xludf.DUMMYFUNCTION("IFERROR((FILTER(Data!L:L,Data!D:D=A38,Data!B:B=$B$1)),"""")"),"")</f>
        <v/>
      </c>
      <c r="F38" s="134" t="str">
        <f>IFERROR(__xludf.DUMMYFUNCTION("IFERROR((FILTER(Data!K:K,Data!D:D=A38,Data!B:B=$B$1)),"""")"),"")</f>
        <v/>
      </c>
      <c r="G38" s="134" t="str">
        <f>IFERROR(__xludf.DUMMYFUNCTION("IFERROR((FILTER(Data!M:M,Data!D:D=A38,Data!B:B=$B$1)),"""")"),"")</f>
        <v/>
      </c>
      <c r="H38" s="134" t="str">
        <f>IFERROR(__xludf.DUMMYFUNCTION("IFERROR((FILTER(Data!G:G,Data!D:D=A38,Data!B:B=$B$1)*4)+(FILTER(Data!H:H,Data!D:D=A38,Data!B:B=$B$1)*2),"""")"),"")</f>
        <v/>
      </c>
      <c r="I38" s="15" t="str">
        <f>IFERROR(__xludf.DUMMYFUNCTION("IFERROR((FILTER(Data!K:K,Data!D:D=A38,Data!B:B=$B$1)*2)+(FILTER(Data!L:L,Data!D:D=A38,Data!B:B=$B$1)),"""")"),"")</f>
        <v/>
      </c>
      <c r="J38" s="134" t="str">
        <f>IFERROR(__xludf.DUMMYFUNCTION("IFERROR((FILTER(Data!N:N,Data!D:D=A38,Data!B:B=$B$1)),"""")"),"")</f>
        <v/>
      </c>
      <c r="K38" s="135" t="str">
        <f>IFERROR(__xludf.DUMMYFUNCTION("IFERROR((FILTER(Data!H:H,Data!D:D=A38,Data!B:B=$B$1)*2)+(FILTER(Data!L:L,Data!D:D=A38,Data!B:B=$B$1))+(FILTER(Data!G:G,Data!D:D=A38,Data!B:B=$B$1)*4)+(FILTER(Data!K:K,Data!D:D=A38,Data!B:B=$B$1)*2)+(((COUNTIF(FILTER(Data!N:N,Data!D:D=A38,Data!B:B=$B$1),"""&amp;"TRAVERSE"")*15)+(COUNTIF(FILTER(Data!N:N,Data!D:D=A38,Data!B:B=$B$1),""HIGH"")*10)+(COUNTIF(FILTER(Data!N:N,Data!D:D=A38,Data!B:B=$B$1),""MIDDLE"")*6)+(COUNTIF(FILTER(Data!N:N,Data!D:D=A38,Data!B:B=$B$1),""LOW"")*4))),"""")"),"")</f>
        <v/>
      </c>
      <c r="L38" s="136" t="str">
        <f>IFERROR(__xludf.DUMMYFUNCTION("IFERROR((FILTER(Data!P:P,Data!D:D=A38,Data!B:B=$B$1)),"""")"),"")</f>
        <v/>
      </c>
      <c r="M38" s="137" t="str">
        <f>IFERROR(__xludf.DUMMYFUNCTION("IFERROR((FILTER(Data!A:A,Data!D:D=A38,Data!B:B=$B$1)),"""")"),"")</f>
        <v/>
      </c>
      <c r="T38" s="52">
        <f>IFERROR(__xludf.DUMMYFUNCTION("((COUNTIF(FILTER(Data!N:N,Data!D:D=A38,Data!B:B=$B$1),""TRAVERSE"")*15)+(COUNTIF(FILTER(Data!N:N,Data!D:D=A38,Data!B:B=B$1),""HIGH"")*10)+(COUNTIF(FILTER(Data!N:N,Data!D:D=A38,Data!B:B=$B$1),""MIDDLE"")*6)+(COUNTIF(FILTER(Data!N:N,Data!D:D=A38,Data!B:B=$B"&amp;"$1),""LOW"")*4))"),0.0)</f>
        <v>0</v>
      </c>
      <c r="V38" s="138" t="str">
        <f>IF(Data!B30='Team Parser'!$B$1, Data!D30,"")</f>
        <v/>
      </c>
      <c r="W38" s="134" t="str">
        <f>IF(Data!$B30='Team Parser'!$B$1, Data!H30,"")</f>
        <v/>
      </c>
      <c r="X38" s="134" t="str">
        <f>IF(Data!$B30='Team Parser'!$B$1, Data!G30,"")</f>
        <v/>
      </c>
      <c r="Y38" s="134" t="str">
        <f>IF(Data!$B30='Team Parser'!$B$1, Data!L30,"")</f>
        <v/>
      </c>
      <c r="Z38" s="134" t="str">
        <f>IF(Data!$B30='Team Parser'!$B$1, Data!K30,"")</f>
        <v/>
      </c>
      <c r="AA38" s="134" t="str">
        <f>IF(Data!$B30='Team Parser'!$B$1, Data!M30,"")</f>
        <v/>
      </c>
      <c r="AB38" s="134" t="str">
        <f>IF(Data!$B30='Team Parser'!$B$1,((Z38*2)+(Y38)+(X38*4)+(W38*2)),"")</f>
        <v/>
      </c>
      <c r="AC38" s="134" t="str">
        <f>IF(Data!$B30='Team Parser'!$B$1, Data!N30,"")</f>
        <v/>
      </c>
      <c r="AD38" s="139" t="str">
        <f>IF(Data!$B30='Team Parser'!$B$1,(AB38+(COUNTIF(AC38,"TRAVERSE")*15)+(COUNTIF(AC38,"HIGH")*10)+(COUNTIF(AC38,"MIDDLE")*6)+(COUNTIF(AC38,"LOW")*4)),"")</f>
        <v/>
      </c>
    </row>
    <row r="39">
      <c r="A39" s="133" t="s">
        <v>507</v>
      </c>
      <c r="B39" s="134" t="str">
        <f>IFERROR(__xludf.DUMMYFUNCTION("IFERROR((FILTER(Data!H:H,Data!D:D=A39,Data!B:B=$B$1)),"""")"),"")</f>
        <v/>
      </c>
      <c r="C39" s="134" t="str">
        <f>IFERROR(__xludf.DUMMYFUNCTION("IFERROR((FILTER(Data!G:G,Data!D:D=A39,Data!B:B=$B$1)),"""")"),"")</f>
        <v/>
      </c>
      <c r="D39" s="134" t="str">
        <f>IFERROR(__xludf.DUMMYFUNCTION("IFERROR((FILTER(Data!J:J,Data!D:D=A39,Data!B:B=$B$1)),"""")"),"")</f>
        <v/>
      </c>
      <c r="E39" s="134" t="str">
        <f>IFERROR(__xludf.DUMMYFUNCTION("IFERROR((FILTER(Data!L:L,Data!D:D=A39,Data!B:B=$B$1)),"""")"),"")</f>
        <v/>
      </c>
      <c r="F39" s="134" t="str">
        <f>IFERROR(__xludf.DUMMYFUNCTION("IFERROR((FILTER(Data!K:K,Data!D:D=A39,Data!B:B=$B$1)),"""")"),"")</f>
        <v/>
      </c>
      <c r="G39" s="134" t="str">
        <f>IFERROR(__xludf.DUMMYFUNCTION("IFERROR((FILTER(Data!M:M,Data!D:D=A39,Data!B:B=$B$1)),"""")"),"")</f>
        <v/>
      </c>
      <c r="H39" s="134" t="str">
        <f>IFERROR(__xludf.DUMMYFUNCTION("IFERROR((FILTER(Data!G:G,Data!D:D=A39,Data!B:B=$B$1)*4)+(FILTER(Data!H:H,Data!D:D=A39,Data!B:B=$B$1)*2),"""")"),"")</f>
        <v/>
      </c>
      <c r="I39" s="15" t="str">
        <f>IFERROR(__xludf.DUMMYFUNCTION("IFERROR((FILTER(Data!K:K,Data!D:D=A39,Data!B:B=$B$1)*2)+(FILTER(Data!L:L,Data!D:D=A39,Data!B:B=$B$1)),"""")"),"")</f>
        <v/>
      </c>
      <c r="J39" s="134" t="str">
        <f>IFERROR(__xludf.DUMMYFUNCTION("IFERROR((FILTER(Data!N:N,Data!D:D=A39,Data!B:B=$B$1)),"""")"),"")</f>
        <v/>
      </c>
      <c r="K39" s="135" t="str">
        <f>IFERROR(__xludf.DUMMYFUNCTION("IFERROR((FILTER(Data!H:H,Data!D:D=A39,Data!B:B=$B$1)*2)+(FILTER(Data!L:L,Data!D:D=A39,Data!B:B=$B$1))+(FILTER(Data!G:G,Data!D:D=A39,Data!B:B=$B$1)*4)+(FILTER(Data!K:K,Data!D:D=A39,Data!B:B=$B$1)*2)+(((COUNTIF(FILTER(Data!N:N,Data!D:D=A39,Data!B:B=$B$1),"""&amp;"TRAVERSE"")*15)+(COUNTIF(FILTER(Data!N:N,Data!D:D=A39,Data!B:B=$B$1),""HIGH"")*10)+(COUNTIF(FILTER(Data!N:N,Data!D:D=A39,Data!B:B=$B$1),""MIDDLE"")*6)+(COUNTIF(FILTER(Data!N:N,Data!D:D=A39,Data!B:B=$B$1),""LOW"")*4))),"""")"),"")</f>
        <v/>
      </c>
      <c r="L39" s="136" t="str">
        <f>IFERROR(__xludf.DUMMYFUNCTION("IFERROR((FILTER(Data!P:P,Data!D:D=A39,Data!B:B=$B$1)),"""")"),"")</f>
        <v/>
      </c>
      <c r="M39" s="137" t="str">
        <f>IFERROR(__xludf.DUMMYFUNCTION("IFERROR((FILTER(Data!A:A,Data!D:D=A39,Data!B:B=$B$1)),"""")"),"")</f>
        <v/>
      </c>
      <c r="T39" s="52">
        <f>IFERROR(__xludf.DUMMYFUNCTION("((COUNTIF(FILTER(Data!N:N,Data!D:D=A39,Data!B:B=$B$1),""TRAVERSE"")*15)+(COUNTIF(FILTER(Data!N:N,Data!D:D=A39,Data!B:B=B$1),""HIGH"")*10)+(COUNTIF(FILTER(Data!N:N,Data!D:D=A39,Data!B:B=$B$1),""MIDDLE"")*6)+(COUNTIF(FILTER(Data!N:N,Data!D:D=A39,Data!B:B=$B"&amp;"$1),""LOW"")*4))"),0.0)</f>
        <v>0</v>
      </c>
      <c r="V39" s="138" t="str">
        <f>IF(Data!B31='Team Parser'!$B$1, Data!D31,"")</f>
        <v/>
      </c>
      <c r="W39" s="134" t="str">
        <f>IF(Data!$B31='Team Parser'!$B$1, Data!H31,"")</f>
        <v/>
      </c>
      <c r="X39" s="134" t="str">
        <f>IF(Data!$B31='Team Parser'!$B$1, Data!G31,"")</f>
        <v/>
      </c>
      <c r="Y39" s="134" t="str">
        <f>IF(Data!$B31='Team Parser'!$B$1, Data!L31,"")</f>
        <v/>
      </c>
      <c r="Z39" s="134" t="str">
        <f>IF(Data!$B31='Team Parser'!$B$1, Data!K31,"")</f>
        <v/>
      </c>
      <c r="AA39" s="134" t="str">
        <f>IF(Data!$B31='Team Parser'!$B$1, Data!M31,"")</f>
        <v/>
      </c>
      <c r="AB39" s="134" t="str">
        <f>IF(Data!$B31='Team Parser'!$B$1,((Z39*2)+(Y39)+(X39*4)+(W39*2)),"")</f>
        <v/>
      </c>
      <c r="AC39" s="134" t="str">
        <f>IF(Data!$B31='Team Parser'!$B$1, Data!N31,"")</f>
        <v/>
      </c>
      <c r="AD39" s="139" t="str">
        <f>IF(Data!$B31='Team Parser'!$B$1,(AB39+(COUNTIF(AC39,"TRAVERSE")*15)+(COUNTIF(AC39,"HIGH")*10)+(COUNTIF(AC39,"MIDDLE")*6)+(COUNTIF(AC39,"LOW")*4)),"")</f>
        <v/>
      </c>
    </row>
    <row r="40">
      <c r="A40" s="133" t="s">
        <v>507</v>
      </c>
      <c r="B40" s="134" t="str">
        <f>IFERROR(__xludf.DUMMYFUNCTION("IFERROR((FILTER(Data!H:H,Data!D:D=A40,Data!B:B=$B$1)),"""")"),"")</f>
        <v/>
      </c>
      <c r="C40" s="134" t="str">
        <f>IFERROR(__xludf.DUMMYFUNCTION("IFERROR((FILTER(Data!G:G,Data!D:D=A40,Data!B:B=$B$1)),"""")"),"")</f>
        <v/>
      </c>
      <c r="D40" s="134" t="str">
        <f>IFERROR(__xludf.DUMMYFUNCTION("IFERROR((FILTER(Data!J:J,Data!D:D=A40,Data!B:B=$B$1)),"""")"),"")</f>
        <v/>
      </c>
      <c r="E40" s="134" t="str">
        <f>IFERROR(__xludf.DUMMYFUNCTION("IFERROR((FILTER(Data!L:L,Data!D:D=A40,Data!B:B=$B$1)),"""")"),"")</f>
        <v/>
      </c>
      <c r="F40" s="134" t="str">
        <f>IFERROR(__xludf.DUMMYFUNCTION("IFERROR((FILTER(Data!K:K,Data!D:D=A40,Data!B:B=$B$1)),"""")"),"")</f>
        <v/>
      </c>
      <c r="G40" s="134" t="str">
        <f>IFERROR(__xludf.DUMMYFUNCTION("IFERROR((FILTER(Data!M:M,Data!D:D=A40,Data!B:B=$B$1)),"""")"),"")</f>
        <v/>
      </c>
      <c r="H40" s="134" t="str">
        <f>IFERROR(__xludf.DUMMYFUNCTION("IFERROR((FILTER(Data!G:G,Data!D:D=A40,Data!B:B=$B$1)*4)+(FILTER(Data!H:H,Data!D:D=A40,Data!B:B=$B$1)*2),"""")"),"")</f>
        <v/>
      </c>
      <c r="I40" s="15" t="str">
        <f>IFERROR(__xludf.DUMMYFUNCTION("IFERROR((FILTER(Data!K:K,Data!D:D=A40,Data!B:B=$B$1)*2)+(FILTER(Data!L:L,Data!D:D=A40,Data!B:B=$B$1)),"""")"),"")</f>
        <v/>
      </c>
      <c r="J40" s="134" t="str">
        <f>IFERROR(__xludf.DUMMYFUNCTION("IFERROR((FILTER(Data!N:N,Data!D:D=A40,Data!B:B=$B$1)),"""")"),"")</f>
        <v/>
      </c>
      <c r="K40" s="135" t="str">
        <f>IFERROR(__xludf.DUMMYFUNCTION("IFERROR((FILTER(Data!H:H,Data!D:D=A40,Data!B:B=$B$1)*2)+(FILTER(Data!L:L,Data!D:D=A40,Data!B:B=$B$1))+(FILTER(Data!G:G,Data!D:D=A40,Data!B:B=$B$1)*4)+(FILTER(Data!K:K,Data!D:D=A40,Data!B:B=$B$1)*2)+(((COUNTIF(FILTER(Data!N:N,Data!D:D=A40,Data!B:B=$B$1),"""&amp;"TRAVERSE"")*15)+(COUNTIF(FILTER(Data!N:N,Data!D:D=A40,Data!B:B=$B$1),""HIGH"")*10)+(COUNTIF(FILTER(Data!N:N,Data!D:D=A40,Data!B:B=$B$1),""MIDDLE"")*6)+(COUNTIF(FILTER(Data!N:N,Data!D:D=A40,Data!B:B=$B$1),""LOW"")*4))),"""")"),"")</f>
        <v/>
      </c>
      <c r="L40" s="136" t="str">
        <f>IFERROR(__xludf.DUMMYFUNCTION("IFERROR((FILTER(Data!P:P,Data!D:D=A40,Data!B:B=$B$1)),"""")"),"")</f>
        <v/>
      </c>
      <c r="M40" s="137" t="str">
        <f>IFERROR(__xludf.DUMMYFUNCTION("IFERROR((FILTER(Data!A:A,Data!D:D=A40,Data!B:B=$B$1)),"""")"),"")</f>
        <v/>
      </c>
      <c r="T40" s="52">
        <f>IFERROR(__xludf.DUMMYFUNCTION("((COUNTIF(FILTER(Data!N:N,Data!D:D=A40,Data!B:B=$B$1),""TRAVERSE"")*15)+(COUNTIF(FILTER(Data!N:N,Data!D:D=A40,Data!B:B=B$1),""HIGH"")*10)+(COUNTIF(FILTER(Data!N:N,Data!D:D=A40,Data!B:B=$B$1),""MIDDLE"")*6)+(COUNTIF(FILTER(Data!N:N,Data!D:D=A40,Data!B:B=$B"&amp;"$1),""LOW"")*4))"),0.0)</f>
        <v>0</v>
      </c>
      <c r="V40" s="138" t="str">
        <f>IF(Data!B32='Team Parser'!$B$1, Data!D32,"")</f>
        <v/>
      </c>
      <c r="W40" s="134" t="str">
        <f>IF(Data!$B32='Team Parser'!$B$1, Data!H32,"")</f>
        <v/>
      </c>
      <c r="X40" s="134" t="str">
        <f>IF(Data!$B32='Team Parser'!$B$1, Data!G32,"")</f>
        <v/>
      </c>
      <c r="Y40" s="134" t="str">
        <f>IF(Data!$B32='Team Parser'!$B$1, Data!L32,"")</f>
        <v/>
      </c>
      <c r="Z40" s="134" t="str">
        <f>IF(Data!$B32='Team Parser'!$B$1, Data!K32,"")</f>
        <v/>
      </c>
      <c r="AA40" s="134" t="str">
        <f>IF(Data!$B32='Team Parser'!$B$1, Data!M32,"")</f>
        <v/>
      </c>
      <c r="AB40" s="134" t="str">
        <f>IF(Data!$B32='Team Parser'!$B$1,((Z40*2)+(Y40)+(X40*4)+(W40*2)),"")</f>
        <v/>
      </c>
      <c r="AC40" s="134" t="str">
        <f>IF(Data!$B32='Team Parser'!$B$1, Data!N32,"")</f>
        <v/>
      </c>
      <c r="AD40" s="139" t="str">
        <f>IF(Data!$B32='Team Parser'!$B$1,(AB40+(COUNTIF(AC40,"TRAVERSE")*15)+(COUNTIF(AC40,"HIGH")*10)+(COUNTIF(AC40,"MIDDLE")*6)+(COUNTIF(AC40,"LOW")*4)),"")</f>
        <v/>
      </c>
    </row>
    <row r="41">
      <c r="A41" s="133" t="s">
        <v>507</v>
      </c>
      <c r="B41" s="134" t="str">
        <f>IFERROR(__xludf.DUMMYFUNCTION("IFERROR((FILTER(Data!H:H,Data!D:D=A41,Data!B:B=$B$1)),"""")"),"")</f>
        <v/>
      </c>
      <c r="C41" s="134" t="str">
        <f>IFERROR(__xludf.DUMMYFUNCTION("IFERROR((FILTER(Data!G:G,Data!D:D=A41,Data!B:B=$B$1)),"""")"),"")</f>
        <v/>
      </c>
      <c r="D41" s="134" t="str">
        <f>IFERROR(__xludf.DUMMYFUNCTION("IFERROR((FILTER(Data!J:J,Data!D:D=A41,Data!B:B=$B$1)),"""")"),"")</f>
        <v/>
      </c>
      <c r="E41" s="134" t="str">
        <f>IFERROR(__xludf.DUMMYFUNCTION("IFERROR((FILTER(Data!L:L,Data!D:D=A41,Data!B:B=$B$1)),"""")"),"")</f>
        <v/>
      </c>
      <c r="F41" s="134" t="str">
        <f>IFERROR(__xludf.DUMMYFUNCTION("IFERROR((FILTER(Data!K:K,Data!D:D=A41,Data!B:B=$B$1)),"""")"),"")</f>
        <v/>
      </c>
      <c r="G41" s="134" t="str">
        <f>IFERROR(__xludf.DUMMYFUNCTION("IFERROR((FILTER(Data!M:M,Data!D:D=A41,Data!B:B=$B$1)),"""")"),"")</f>
        <v/>
      </c>
      <c r="H41" s="134" t="str">
        <f>IFERROR(__xludf.DUMMYFUNCTION("IFERROR((FILTER(Data!G:G,Data!D:D=A41,Data!B:B=$B$1)*4)+(FILTER(Data!H:H,Data!D:D=A41,Data!B:B=$B$1)*2),"""")"),"")</f>
        <v/>
      </c>
      <c r="I41" s="15" t="str">
        <f>IFERROR(__xludf.DUMMYFUNCTION("IFERROR((FILTER(Data!K:K,Data!D:D=A41,Data!B:B=$B$1)*2)+(FILTER(Data!L:L,Data!D:D=A41,Data!B:B=$B$1)),"""")"),"")</f>
        <v/>
      </c>
      <c r="J41" s="134" t="str">
        <f>IFERROR(__xludf.DUMMYFUNCTION("IFERROR((FILTER(Data!N:N,Data!D:D=A41,Data!B:B=$B$1)),"""")"),"")</f>
        <v/>
      </c>
      <c r="K41" s="135" t="str">
        <f>IFERROR(__xludf.DUMMYFUNCTION("IFERROR((FILTER(Data!H:H,Data!D:D=A41,Data!B:B=$B$1)*2)+(FILTER(Data!L:L,Data!D:D=A41,Data!B:B=$B$1))+(FILTER(Data!G:G,Data!D:D=A41,Data!B:B=$B$1)*4)+(FILTER(Data!K:K,Data!D:D=A41,Data!B:B=$B$1)*2)+(((COUNTIF(FILTER(Data!N:N,Data!D:D=A41,Data!B:B=$B$1),"""&amp;"TRAVERSE"")*15)+(COUNTIF(FILTER(Data!N:N,Data!D:D=A41,Data!B:B=$B$1),""HIGH"")*10)+(COUNTIF(FILTER(Data!N:N,Data!D:D=A41,Data!B:B=$B$1),""MIDDLE"")*6)+(COUNTIF(FILTER(Data!N:N,Data!D:D=A41,Data!B:B=$B$1),""LOW"")*4))),"""")"),"")</f>
        <v/>
      </c>
      <c r="L41" s="136" t="str">
        <f>IFERROR(__xludf.DUMMYFUNCTION("IFERROR((FILTER(Data!P:P,Data!D:D=A41,Data!B:B=$B$1)),"""")"),"")</f>
        <v/>
      </c>
      <c r="M41" s="137" t="str">
        <f>IFERROR(__xludf.DUMMYFUNCTION("IFERROR((FILTER(Data!A:A,Data!D:D=A41,Data!B:B=$B$1)),"""")"),"")</f>
        <v/>
      </c>
      <c r="T41" s="52">
        <f>IFERROR(__xludf.DUMMYFUNCTION("((COUNTIF(FILTER(Data!N:N,Data!D:D=A41,Data!B:B=$B$1),""TRAVERSE"")*15)+(COUNTIF(FILTER(Data!N:N,Data!D:D=A41,Data!B:B=B$1),""HIGH"")*10)+(COUNTIF(FILTER(Data!N:N,Data!D:D=A41,Data!B:B=$B$1),""MIDDLE"")*6)+(COUNTIF(FILTER(Data!N:N,Data!D:D=A41,Data!B:B=$B"&amp;"$1),""LOW"")*4))"),0.0)</f>
        <v>0</v>
      </c>
      <c r="V41" s="138" t="str">
        <f>IF(Data!B33='Team Parser'!$B$1, Data!D33,"")</f>
        <v/>
      </c>
      <c r="W41" s="134" t="str">
        <f>IF(Data!$B33='Team Parser'!$B$1, Data!H33,"")</f>
        <v/>
      </c>
      <c r="X41" s="134" t="str">
        <f>IF(Data!$B33='Team Parser'!$B$1, Data!G33,"")</f>
        <v/>
      </c>
      <c r="Y41" s="134" t="str">
        <f>IF(Data!$B33='Team Parser'!$B$1, Data!L33,"")</f>
        <v/>
      </c>
      <c r="Z41" s="134" t="str">
        <f>IF(Data!$B33='Team Parser'!$B$1, Data!K33,"")</f>
        <v/>
      </c>
      <c r="AA41" s="134" t="str">
        <f>IF(Data!$B33='Team Parser'!$B$1, Data!M33,"")</f>
        <v/>
      </c>
      <c r="AB41" s="134" t="str">
        <f>IF(Data!$B33='Team Parser'!$B$1,((Z41*2)+(Y41)+(X41*4)+(W41*2)),"")</f>
        <v/>
      </c>
      <c r="AC41" s="134" t="str">
        <f>IF(Data!$B33='Team Parser'!$B$1, Data!N33,"")</f>
        <v/>
      </c>
      <c r="AD41" s="139" t="str">
        <f>IF(Data!$B33='Team Parser'!$B$1,(AB41+(COUNTIF(AC41,"TRAVERSE")*15)+(COUNTIF(AC41,"HIGH")*10)+(COUNTIF(AC41,"MIDDLE")*6)+(COUNTIF(AC41,"LOW")*4)),"")</f>
        <v/>
      </c>
    </row>
    <row r="42">
      <c r="A42" s="133" t="s">
        <v>507</v>
      </c>
      <c r="B42" s="134" t="str">
        <f>IFERROR(__xludf.DUMMYFUNCTION("IFERROR((FILTER(Data!H:H,Data!D:D=A42,Data!B:B=$B$1)),"""")"),"")</f>
        <v/>
      </c>
      <c r="C42" s="134" t="str">
        <f>IFERROR(__xludf.DUMMYFUNCTION("IFERROR((FILTER(Data!G:G,Data!D:D=A42,Data!B:B=$B$1)),"""")"),"")</f>
        <v/>
      </c>
      <c r="D42" s="134" t="str">
        <f>IFERROR(__xludf.DUMMYFUNCTION("IFERROR((FILTER(Data!J:J,Data!D:D=A42,Data!B:B=$B$1)),"""")"),"")</f>
        <v/>
      </c>
      <c r="E42" s="134" t="str">
        <f>IFERROR(__xludf.DUMMYFUNCTION("IFERROR((FILTER(Data!L:L,Data!D:D=A42,Data!B:B=$B$1)),"""")"),"")</f>
        <v/>
      </c>
      <c r="F42" s="134" t="str">
        <f>IFERROR(__xludf.DUMMYFUNCTION("IFERROR((FILTER(Data!K:K,Data!D:D=A42,Data!B:B=$B$1)),"""")"),"")</f>
        <v/>
      </c>
      <c r="G42" s="134" t="str">
        <f>IFERROR(__xludf.DUMMYFUNCTION("IFERROR((FILTER(Data!M:M,Data!D:D=A42,Data!B:B=$B$1)),"""")"),"")</f>
        <v/>
      </c>
      <c r="H42" s="134" t="str">
        <f>IFERROR(__xludf.DUMMYFUNCTION("IFERROR((FILTER(Data!G:G,Data!D:D=A42,Data!B:B=$B$1)*4)+(FILTER(Data!H:H,Data!D:D=A42,Data!B:B=$B$1)*2),"""")"),"")</f>
        <v/>
      </c>
      <c r="I42" s="15" t="str">
        <f>IFERROR(__xludf.DUMMYFUNCTION("IFERROR((FILTER(Data!K:K,Data!D:D=A42,Data!B:B=$B$1)*2)+(FILTER(Data!L:L,Data!D:D=A42,Data!B:B=$B$1)),"""")"),"")</f>
        <v/>
      </c>
      <c r="J42" s="134" t="str">
        <f>IFERROR(__xludf.DUMMYFUNCTION("IFERROR((FILTER(Data!N:N,Data!D:D=A42,Data!B:B=$B$1)),"""")"),"")</f>
        <v/>
      </c>
      <c r="K42" s="135" t="str">
        <f>IFERROR(__xludf.DUMMYFUNCTION("IFERROR((FILTER(Data!H:H,Data!D:D=A42,Data!B:B=$B$1)*2)+(FILTER(Data!L:L,Data!D:D=A42,Data!B:B=$B$1))+(FILTER(Data!G:G,Data!D:D=A42,Data!B:B=$B$1)*4)+(FILTER(Data!K:K,Data!D:D=A42,Data!B:B=$B$1)*2)+(((COUNTIF(FILTER(Data!N:N,Data!D:D=A42,Data!B:B=$B$1),"""&amp;"TRAVERSE"")*15)+(COUNTIF(FILTER(Data!N:N,Data!D:D=A42,Data!B:B=$B$1),""HIGH"")*10)+(COUNTIF(FILTER(Data!N:N,Data!D:D=A42,Data!B:B=$B$1),""MIDDLE"")*6)+(COUNTIF(FILTER(Data!N:N,Data!D:D=A42,Data!B:B=$B$1),""LOW"")*4))),"""")"),"")</f>
        <v/>
      </c>
      <c r="L42" s="136" t="str">
        <f>IFERROR(__xludf.DUMMYFUNCTION("IFERROR((FILTER(Data!P:P,Data!D:D=A42,Data!B:B=$B$1)),"""")"),"")</f>
        <v/>
      </c>
      <c r="M42" s="137" t="str">
        <f>IFERROR(__xludf.DUMMYFUNCTION("IFERROR((FILTER(Data!A:A,Data!D:D=A42,Data!B:B=$B$1)),"""")"),"")</f>
        <v/>
      </c>
      <c r="T42" s="52">
        <f>IFERROR(__xludf.DUMMYFUNCTION("((COUNTIF(FILTER(Data!N:N,Data!D:D=A42,Data!B:B=$B$1),""TRAVERSE"")*15)+(COUNTIF(FILTER(Data!N:N,Data!D:D=A42,Data!B:B=B$1),""HIGH"")*10)+(COUNTIF(FILTER(Data!N:N,Data!D:D=A42,Data!B:B=$B$1),""MIDDLE"")*6)+(COUNTIF(FILTER(Data!N:N,Data!D:D=A42,Data!B:B=$B"&amp;"$1),""LOW"")*4))"),0.0)</f>
        <v>0</v>
      </c>
      <c r="V42" s="138" t="str">
        <f>IF(Data!B34='Team Parser'!$B$1, Data!D34,"")</f>
        <v/>
      </c>
      <c r="W42" s="134" t="str">
        <f>IF(Data!$B34='Team Parser'!$B$1, Data!H34,"")</f>
        <v/>
      </c>
      <c r="X42" s="134" t="str">
        <f>IF(Data!$B34='Team Parser'!$B$1, Data!G34,"")</f>
        <v/>
      </c>
      <c r="Y42" s="134" t="str">
        <f>IF(Data!$B34='Team Parser'!$B$1, Data!L34,"")</f>
        <v/>
      </c>
      <c r="Z42" s="134" t="str">
        <f>IF(Data!$B34='Team Parser'!$B$1, Data!K34,"")</f>
        <v/>
      </c>
      <c r="AA42" s="134" t="str">
        <f>IF(Data!$B34='Team Parser'!$B$1, Data!M34,"")</f>
        <v/>
      </c>
      <c r="AB42" s="134" t="str">
        <f>IF(Data!$B34='Team Parser'!$B$1,((Z42*2)+(Y42)+(X42*4)+(W42*2)),"")</f>
        <v/>
      </c>
      <c r="AC42" s="134" t="str">
        <f>IF(Data!$B34='Team Parser'!$B$1, Data!N34,"")</f>
        <v/>
      </c>
      <c r="AD42" s="139" t="str">
        <f>IF(Data!$B34='Team Parser'!$B$1,(AB42+(COUNTIF(AC42,"TRAVERSE")*15)+(COUNTIF(AC42,"HIGH")*10)+(COUNTIF(AC42,"MIDDLE")*6)+(COUNTIF(AC42,"LOW")*4)),"")</f>
        <v/>
      </c>
    </row>
    <row r="43">
      <c r="A43" s="133" t="s">
        <v>507</v>
      </c>
      <c r="B43" s="134" t="str">
        <f>IFERROR(__xludf.DUMMYFUNCTION("IFERROR((FILTER(Data!H:H,Data!D:D=A43,Data!B:B=$B$1)),"""")"),"")</f>
        <v/>
      </c>
      <c r="C43" s="134" t="str">
        <f>IFERROR(__xludf.DUMMYFUNCTION("IFERROR((FILTER(Data!G:G,Data!D:D=A43,Data!B:B=$B$1)),"""")"),"")</f>
        <v/>
      </c>
      <c r="D43" s="134" t="str">
        <f>IFERROR(__xludf.DUMMYFUNCTION("IFERROR((FILTER(Data!J:J,Data!D:D=A43,Data!B:B=$B$1)),"""")"),"")</f>
        <v/>
      </c>
      <c r="E43" s="134" t="str">
        <f>IFERROR(__xludf.DUMMYFUNCTION("IFERROR((FILTER(Data!L:L,Data!D:D=A43,Data!B:B=$B$1)),"""")"),"")</f>
        <v/>
      </c>
      <c r="F43" s="134" t="str">
        <f>IFERROR(__xludf.DUMMYFUNCTION("IFERROR((FILTER(Data!K:K,Data!D:D=A43,Data!B:B=$B$1)),"""")"),"")</f>
        <v/>
      </c>
      <c r="G43" s="134" t="str">
        <f>IFERROR(__xludf.DUMMYFUNCTION("IFERROR((FILTER(Data!M:M,Data!D:D=A43,Data!B:B=$B$1)),"""")"),"")</f>
        <v/>
      </c>
      <c r="H43" s="134" t="str">
        <f>IFERROR(__xludf.DUMMYFUNCTION("IFERROR((FILTER(Data!G:G,Data!D:D=A43,Data!B:B=$B$1)*4)+(FILTER(Data!H:H,Data!D:D=A43,Data!B:B=$B$1)*2),"""")"),"")</f>
        <v/>
      </c>
      <c r="I43" s="15" t="str">
        <f>IFERROR(__xludf.DUMMYFUNCTION("IFERROR((FILTER(Data!K:K,Data!D:D=A43,Data!B:B=$B$1)*2)+(FILTER(Data!L:L,Data!D:D=A43,Data!B:B=$B$1)),"""")"),"")</f>
        <v/>
      </c>
      <c r="J43" s="134" t="str">
        <f>IFERROR(__xludf.DUMMYFUNCTION("IFERROR((FILTER(Data!N:N,Data!D:D=A43,Data!B:B=$B$1)),"""")"),"")</f>
        <v/>
      </c>
      <c r="K43" s="135" t="str">
        <f>IFERROR(__xludf.DUMMYFUNCTION("IFERROR((FILTER(Data!H:H,Data!D:D=A43,Data!B:B=$B$1)*2)+(FILTER(Data!L:L,Data!D:D=A43,Data!B:B=$B$1))+(FILTER(Data!G:G,Data!D:D=A43,Data!B:B=$B$1)*4)+(FILTER(Data!K:K,Data!D:D=A43,Data!B:B=$B$1)*2)+(((COUNTIF(FILTER(Data!N:N,Data!D:D=A43,Data!B:B=$B$1),"""&amp;"TRAVERSE"")*15)+(COUNTIF(FILTER(Data!N:N,Data!D:D=A43,Data!B:B=$B$1),""HIGH"")*10)+(COUNTIF(FILTER(Data!N:N,Data!D:D=A43,Data!B:B=$B$1),""MIDDLE"")*6)+(COUNTIF(FILTER(Data!N:N,Data!D:D=A43,Data!B:B=$B$1),""LOW"")*4))),"""")"),"")</f>
        <v/>
      </c>
      <c r="L43" s="136" t="str">
        <f>IFERROR(__xludf.DUMMYFUNCTION("IFERROR((FILTER(Data!P:P,Data!D:D=A43,Data!B:B=$B$1)),"""")"),"")</f>
        <v/>
      </c>
      <c r="M43" s="137" t="str">
        <f>IFERROR(__xludf.DUMMYFUNCTION("IFERROR((FILTER(Data!A:A,Data!D:D=A43,Data!B:B=$B$1)),"""")"),"")</f>
        <v/>
      </c>
      <c r="T43" s="52">
        <f>IFERROR(__xludf.DUMMYFUNCTION("((COUNTIF(FILTER(Data!N:N,Data!D:D=A43,Data!B:B=$B$1),""TRAVERSE"")*15)+(COUNTIF(FILTER(Data!N:N,Data!D:D=A43,Data!B:B=B$1),""HIGH"")*10)+(COUNTIF(FILTER(Data!N:N,Data!D:D=A43,Data!B:B=$B$1),""MIDDLE"")*6)+(COUNTIF(FILTER(Data!N:N,Data!D:D=A43,Data!B:B=$B"&amp;"$1),""LOW"")*4))"),0.0)</f>
        <v>0</v>
      </c>
      <c r="V43" s="138" t="str">
        <f>IF(Data!B35='Team Parser'!$B$1, Data!D35,"")</f>
        <v/>
      </c>
      <c r="W43" s="134" t="str">
        <f>IF(Data!$B35='Team Parser'!$B$1, Data!H35,"")</f>
        <v/>
      </c>
      <c r="X43" s="134" t="str">
        <f>IF(Data!$B35='Team Parser'!$B$1, Data!G35,"")</f>
        <v/>
      </c>
      <c r="Y43" s="134" t="str">
        <f>IF(Data!$B35='Team Parser'!$B$1, Data!L35,"")</f>
        <v/>
      </c>
      <c r="Z43" s="134" t="str">
        <f>IF(Data!$B35='Team Parser'!$B$1, Data!K35,"")</f>
        <v/>
      </c>
      <c r="AA43" s="134" t="str">
        <f>IF(Data!$B35='Team Parser'!$B$1, Data!M35,"")</f>
        <v/>
      </c>
      <c r="AB43" s="134" t="str">
        <f>IF(Data!$B35='Team Parser'!$B$1,((Z43*2)+(Y43)+(X43*4)+(W43*2)),"")</f>
        <v/>
      </c>
      <c r="AC43" s="134" t="str">
        <f>IF(Data!$B35='Team Parser'!$B$1, Data!N35,"")</f>
        <v/>
      </c>
      <c r="AD43" s="139" t="str">
        <f>IF(Data!$B35='Team Parser'!$B$1,(AB43+(COUNTIF(AC43,"TRAVERSE")*15)+(COUNTIF(AC43,"HIGH")*10)+(COUNTIF(AC43,"MIDDLE")*6)+(COUNTIF(AC43,"LOW")*4)),"")</f>
        <v/>
      </c>
    </row>
    <row r="44">
      <c r="A44" s="133" t="s">
        <v>507</v>
      </c>
      <c r="B44" s="134" t="str">
        <f>IFERROR(__xludf.DUMMYFUNCTION("IFERROR((FILTER(Data!H:H,Data!D:D=A44,Data!B:B=$B$1)),"""")"),"")</f>
        <v/>
      </c>
      <c r="C44" s="134" t="str">
        <f>IFERROR(__xludf.DUMMYFUNCTION("IFERROR((FILTER(Data!G:G,Data!D:D=A44,Data!B:B=$B$1)),"""")"),"")</f>
        <v/>
      </c>
      <c r="D44" s="134" t="str">
        <f>IFERROR(__xludf.DUMMYFUNCTION("IFERROR((FILTER(Data!J:J,Data!D:D=A44,Data!B:B=$B$1)),"""")"),"")</f>
        <v/>
      </c>
      <c r="E44" s="134" t="str">
        <f>IFERROR(__xludf.DUMMYFUNCTION("IFERROR((FILTER(Data!L:L,Data!D:D=A44,Data!B:B=$B$1)),"""")"),"")</f>
        <v/>
      </c>
      <c r="F44" s="134" t="str">
        <f>IFERROR(__xludf.DUMMYFUNCTION("IFERROR((FILTER(Data!K:K,Data!D:D=A44,Data!B:B=$B$1)),"""")"),"")</f>
        <v/>
      </c>
      <c r="G44" s="134" t="str">
        <f>IFERROR(__xludf.DUMMYFUNCTION("IFERROR((FILTER(Data!M:M,Data!D:D=A44,Data!B:B=$B$1)),"""")"),"")</f>
        <v/>
      </c>
      <c r="H44" s="134" t="str">
        <f>IFERROR(__xludf.DUMMYFUNCTION("IFERROR((FILTER(Data!G:G,Data!D:D=A44,Data!B:B=$B$1)*4)+(FILTER(Data!H:H,Data!D:D=A44,Data!B:B=$B$1)*2),"""")"),"")</f>
        <v/>
      </c>
      <c r="I44" s="15" t="str">
        <f>IFERROR(__xludf.DUMMYFUNCTION("IFERROR((FILTER(Data!K:K,Data!D:D=A44,Data!B:B=$B$1)*2)+(FILTER(Data!L:L,Data!D:D=A44,Data!B:B=$B$1)),"""")"),"")</f>
        <v/>
      </c>
      <c r="J44" s="134" t="str">
        <f>IFERROR(__xludf.DUMMYFUNCTION("IFERROR((FILTER(Data!N:N,Data!D:D=A44,Data!B:B=$B$1)),"""")"),"")</f>
        <v/>
      </c>
      <c r="K44" s="135" t="str">
        <f>IFERROR(__xludf.DUMMYFUNCTION("IFERROR((FILTER(Data!H:H,Data!D:D=A44,Data!B:B=$B$1)*2)+(FILTER(Data!L:L,Data!D:D=A44,Data!B:B=$B$1))+(FILTER(Data!G:G,Data!D:D=A44,Data!B:B=$B$1)*4)+(FILTER(Data!K:K,Data!D:D=A44,Data!B:B=$B$1)*2)+(((COUNTIF(FILTER(Data!N:N,Data!D:D=A44,Data!B:B=$B$1),"""&amp;"TRAVERSE"")*15)+(COUNTIF(FILTER(Data!N:N,Data!D:D=A44,Data!B:B=$B$1),""HIGH"")*10)+(COUNTIF(FILTER(Data!N:N,Data!D:D=A44,Data!B:B=$B$1),""MIDDLE"")*6)+(COUNTIF(FILTER(Data!N:N,Data!D:D=A44,Data!B:B=$B$1),""LOW"")*4))),"""")"),"")</f>
        <v/>
      </c>
      <c r="L44" s="136" t="str">
        <f>IFERROR(__xludf.DUMMYFUNCTION("IFERROR((FILTER(Data!P:P,Data!D:D=A44,Data!B:B=$B$1)),"""")"),"")</f>
        <v/>
      </c>
      <c r="M44" s="137" t="str">
        <f>IFERROR(__xludf.DUMMYFUNCTION("IFERROR((FILTER(Data!A:A,Data!D:D=A44,Data!B:B=$B$1)),"""")"),"")</f>
        <v/>
      </c>
      <c r="T44" s="52">
        <f>IFERROR(__xludf.DUMMYFUNCTION("((COUNTIF(FILTER(Data!N:N,Data!D:D=A44,Data!B:B=$B$1),""TRAVERSE"")*15)+(COUNTIF(FILTER(Data!N:N,Data!D:D=A44,Data!B:B=B$1),""HIGH"")*10)+(COUNTIF(FILTER(Data!N:N,Data!D:D=A44,Data!B:B=$B$1),""MIDDLE"")*6)+(COUNTIF(FILTER(Data!N:N,Data!D:D=A44,Data!B:B=$B"&amp;"$1),""LOW"")*4))"),0.0)</f>
        <v>0</v>
      </c>
      <c r="V44" s="138" t="str">
        <f>IF(Data!B36='Team Parser'!$B$1, Data!D36,"")</f>
        <v/>
      </c>
      <c r="W44" s="134" t="str">
        <f>IF(Data!$B36='Team Parser'!$B$1, Data!H36,"")</f>
        <v/>
      </c>
      <c r="X44" s="134" t="str">
        <f>IF(Data!$B36='Team Parser'!$B$1, Data!G36,"")</f>
        <v/>
      </c>
      <c r="Y44" s="134" t="str">
        <f>IF(Data!$B36='Team Parser'!$B$1, Data!L36,"")</f>
        <v/>
      </c>
      <c r="Z44" s="134" t="str">
        <f>IF(Data!$B36='Team Parser'!$B$1, Data!K36,"")</f>
        <v/>
      </c>
      <c r="AA44" s="134" t="str">
        <f>IF(Data!$B36='Team Parser'!$B$1, Data!M36,"")</f>
        <v/>
      </c>
      <c r="AB44" s="134" t="str">
        <f>IF(Data!$B36='Team Parser'!$B$1,((Z44*2)+(Y44)+(X44*4)+(W44*2)),"")</f>
        <v/>
      </c>
      <c r="AC44" s="134" t="str">
        <f>IF(Data!$B36='Team Parser'!$B$1, Data!N36,"")</f>
        <v/>
      </c>
      <c r="AD44" s="139" t="str">
        <f>IF(Data!$B36='Team Parser'!$B$1,(AB44+(COUNTIF(AC44,"TRAVERSE")*15)+(COUNTIF(AC44,"HIGH")*10)+(COUNTIF(AC44,"MIDDLE")*6)+(COUNTIF(AC44,"LOW")*4)),"")</f>
        <v/>
      </c>
    </row>
    <row r="45">
      <c r="A45" s="133" t="s">
        <v>507</v>
      </c>
      <c r="B45" s="134" t="str">
        <f>IFERROR(__xludf.DUMMYFUNCTION("IFERROR((FILTER(Data!H:H,Data!D:D=A45,Data!B:B=$B$1)),"""")"),"")</f>
        <v/>
      </c>
      <c r="C45" s="134" t="str">
        <f>IFERROR(__xludf.DUMMYFUNCTION("IFERROR((FILTER(Data!G:G,Data!D:D=A45,Data!B:B=$B$1)),"""")"),"")</f>
        <v/>
      </c>
      <c r="D45" s="134" t="str">
        <f>IFERROR(__xludf.DUMMYFUNCTION("IFERROR((FILTER(Data!J:J,Data!D:D=A45,Data!B:B=$B$1)),"""")"),"")</f>
        <v/>
      </c>
      <c r="E45" s="134" t="str">
        <f>IFERROR(__xludf.DUMMYFUNCTION("IFERROR((FILTER(Data!L:L,Data!D:D=A45,Data!B:B=$B$1)),"""")"),"")</f>
        <v/>
      </c>
      <c r="F45" s="134" t="str">
        <f>IFERROR(__xludf.DUMMYFUNCTION("IFERROR((FILTER(Data!K:K,Data!D:D=A45,Data!B:B=$B$1)),"""")"),"")</f>
        <v/>
      </c>
      <c r="G45" s="134" t="str">
        <f>IFERROR(__xludf.DUMMYFUNCTION("IFERROR((FILTER(Data!M:M,Data!D:D=A45,Data!B:B=$B$1)),"""")"),"")</f>
        <v/>
      </c>
      <c r="H45" s="134" t="str">
        <f>IFERROR(__xludf.DUMMYFUNCTION("IFERROR((FILTER(Data!G:G,Data!D:D=A45,Data!B:B=$B$1)*4)+(FILTER(Data!H:H,Data!D:D=A45,Data!B:B=$B$1)*2),"""")"),"")</f>
        <v/>
      </c>
      <c r="I45" s="15" t="str">
        <f>IFERROR(__xludf.DUMMYFUNCTION("IFERROR((FILTER(Data!K:K,Data!D:D=A45,Data!B:B=$B$1)*2)+(FILTER(Data!L:L,Data!D:D=A45,Data!B:B=$B$1)),"""")"),"")</f>
        <v/>
      </c>
      <c r="J45" s="134" t="str">
        <f>IFERROR(__xludf.DUMMYFUNCTION("IFERROR((FILTER(Data!N:N,Data!D:D=A45,Data!B:B=$B$1)),"""")"),"")</f>
        <v/>
      </c>
      <c r="K45" s="135" t="str">
        <f>IFERROR(__xludf.DUMMYFUNCTION("IFERROR((FILTER(Data!H:H,Data!D:D=A45,Data!B:B=$B$1)*2)+(FILTER(Data!L:L,Data!D:D=A45,Data!B:B=$B$1))+(FILTER(Data!G:G,Data!D:D=A45,Data!B:B=$B$1)*4)+(FILTER(Data!K:K,Data!D:D=A45,Data!B:B=$B$1)*2)+(((COUNTIF(FILTER(Data!N:N,Data!D:D=A45,Data!B:B=$B$1),"""&amp;"TRAVERSE"")*15)+(COUNTIF(FILTER(Data!N:N,Data!D:D=A45,Data!B:B=$B$1),""HIGH"")*10)+(COUNTIF(FILTER(Data!N:N,Data!D:D=A45,Data!B:B=$B$1),""MIDDLE"")*6)+(COUNTIF(FILTER(Data!N:N,Data!D:D=A45,Data!B:B=$B$1),""LOW"")*4))),"""")"),"")</f>
        <v/>
      </c>
      <c r="L45" s="136" t="str">
        <f>IFERROR(__xludf.DUMMYFUNCTION("IFERROR((FILTER(Data!P:P,Data!D:D=A45,Data!B:B=$B$1)),"""")"),"")</f>
        <v/>
      </c>
      <c r="M45" s="137" t="str">
        <f>IFERROR(__xludf.DUMMYFUNCTION("IFERROR((FILTER(Data!A:A,Data!D:D=A45,Data!B:B=$B$1)),"""")"),"")</f>
        <v/>
      </c>
      <c r="T45" s="52">
        <f>IFERROR(__xludf.DUMMYFUNCTION("((COUNTIF(FILTER(Data!N:N,Data!D:D=A45,Data!B:B=$B$1),""TRAVERSE"")*15)+(COUNTIF(FILTER(Data!N:N,Data!D:D=A45,Data!B:B=B$1),""HIGH"")*10)+(COUNTIF(FILTER(Data!N:N,Data!D:D=A45,Data!B:B=$B$1),""MIDDLE"")*6)+(COUNTIF(FILTER(Data!N:N,Data!D:D=A45,Data!B:B=$B"&amp;"$1),""LOW"")*4))"),0.0)</f>
        <v>0</v>
      </c>
      <c r="V45" s="138" t="str">
        <f>IF(Data!B37='Team Parser'!$B$1, Data!D37,"")</f>
        <v/>
      </c>
      <c r="W45" s="134" t="str">
        <f>IF(Data!$B37='Team Parser'!$B$1, Data!H37,"")</f>
        <v/>
      </c>
      <c r="X45" s="134" t="str">
        <f>IF(Data!$B37='Team Parser'!$B$1, Data!G37,"")</f>
        <v/>
      </c>
      <c r="Y45" s="134" t="str">
        <f>IF(Data!$B37='Team Parser'!$B$1, Data!L37,"")</f>
        <v/>
      </c>
      <c r="Z45" s="134" t="str">
        <f>IF(Data!$B37='Team Parser'!$B$1, Data!K37,"")</f>
        <v/>
      </c>
      <c r="AA45" s="134" t="str">
        <f>IF(Data!$B37='Team Parser'!$B$1, Data!M37,"")</f>
        <v/>
      </c>
      <c r="AB45" s="134" t="str">
        <f>IF(Data!$B37='Team Parser'!$B$1,((Z45*2)+(Y45)+(X45*4)+(W45*2)),"")</f>
        <v/>
      </c>
      <c r="AC45" s="134" t="str">
        <f>IF(Data!$B37='Team Parser'!$B$1, Data!N37,"")</f>
        <v/>
      </c>
      <c r="AD45" s="139" t="str">
        <f>IF(Data!$B37='Team Parser'!$B$1,(AB45+(COUNTIF(AC45,"TRAVERSE")*15)+(COUNTIF(AC45,"HIGH")*10)+(COUNTIF(AC45,"MIDDLE")*6)+(COUNTIF(AC45,"LOW")*4)),"")</f>
        <v/>
      </c>
    </row>
    <row r="46">
      <c r="A46" s="133" t="s">
        <v>507</v>
      </c>
      <c r="B46" s="134" t="str">
        <f>IFERROR(__xludf.DUMMYFUNCTION("IFERROR((FILTER(Data!H:H,Data!D:D=A46,Data!B:B=$B$1)),"""")"),"")</f>
        <v/>
      </c>
      <c r="C46" s="134" t="str">
        <f>IFERROR(__xludf.DUMMYFUNCTION("IFERROR((FILTER(Data!G:G,Data!D:D=A46,Data!B:B=$B$1)),"""")"),"")</f>
        <v/>
      </c>
      <c r="D46" s="134" t="str">
        <f>IFERROR(__xludf.DUMMYFUNCTION("IFERROR((FILTER(Data!J:J,Data!D:D=A46,Data!B:B=$B$1)),"""")"),"")</f>
        <v/>
      </c>
      <c r="E46" s="134" t="str">
        <f>IFERROR(__xludf.DUMMYFUNCTION("IFERROR((FILTER(Data!L:L,Data!D:D=A46,Data!B:B=$B$1)),"""")"),"")</f>
        <v/>
      </c>
      <c r="F46" s="134" t="str">
        <f>IFERROR(__xludf.DUMMYFUNCTION("IFERROR((FILTER(Data!K:K,Data!D:D=A46,Data!B:B=$B$1)),"""")"),"")</f>
        <v/>
      </c>
      <c r="G46" s="134" t="str">
        <f>IFERROR(__xludf.DUMMYFUNCTION("IFERROR((FILTER(Data!M:M,Data!D:D=A46,Data!B:B=$B$1)),"""")"),"")</f>
        <v/>
      </c>
      <c r="H46" s="134" t="str">
        <f>IFERROR(__xludf.DUMMYFUNCTION("IFERROR((FILTER(Data!G:G,Data!D:D=A46,Data!B:B=$B$1)*4)+(FILTER(Data!H:H,Data!D:D=A46,Data!B:B=$B$1)*2),"""")"),"")</f>
        <v/>
      </c>
      <c r="I46" s="15" t="str">
        <f>IFERROR(__xludf.DUMMYFUNCTION("IFERROR((FILTER(Data!K:K,Data!D:D=A46,Data!B:B=$B$1)*2)+(FILTER(Data!L:L,Data!D:D=A46,Data!B:B=$B$1)),"""")"),"")</f>
        <v/>
      </c>
      <c r="J46" s="134" t="str">
        <f>IFERROR(__xludf.DUMMYFUNCTION("IFERROR((FILTER(Data!N:N,Data!D:D=A46,Data!B:B=$B$1)),"""")"),"")</f>
        <v/>
      </c>
      <c r="K46" s="135" t="str">
        <f>IFERROR(__xludf.DUMMYFUNCTION("IFERROR((FILTER(Data!H:H,Data!D:D=A46,Data!B:B=$B$1)*2)+(FILTER(Data!L:L,Data!D:D=A46,Data!B:B=$B$1))+(FILTER(Data!G:G,Data!D:D=A46,Data!B:B=$B$1)*4)+(FILTER(Data!K:K,Data!D:D=A46,Data!B:B=$B$1)*2)+(((COUNTIF(FILTER(Data!N:N,Data!D:D=A46,Data!B:B=$B$1),"""&amp;"TRAVERSE"")*15)+(COUNTIF(FILTER(Data!N:N,Data!D:D=A46,Data!B:B=$B$1),""HIGH"")*10)+(COUNTIF(FILTER(Data!N:N,Data!D:D=A46,Data!B:B=$B$1),""MIDDLE"")*6)+(COUNTIF(FILTER(Data!N:N,Data!D:D=A46,Data!B:B=$B$1),""LOW"")*4))),"""")"),"")</f>
        <v/>
      </c>
      <c r="L46" s="136" t="str">
        <f>IFERROR(__xludf.DUMMYFUNCTION("IFERROR((FILTER(Data!P:P,Data!D:D=A46,Data!B:B=$B$1)),"""")"),"")</f>
        <v/>
      </c>
      <c r="M46" s="137" t="str">
        <f>IFERROR(__xludf.DUMMYFUNCTION("IFERROR((FILTER(Data!A:A,Data!D:D=A46,Data!B:B=$B$1)),"""")"),"")</f>
        <v/>
      </c>
      <c r="T46" s="52">
        <f>IFERROR(__xludf.DUMMYFUNCTION("((COUNTIF(FILTER(Data!N:N,Data!D:D=A46,Data!B:B=$B$1),""TRAVERSE"")*15)+(COUNTIF(FILTER(Data!N:N,Data!D:D=A46,Data!B:B=B$1),""HIGH"")*10)+(COUNTIF(FILTER(Data!N:N,Data!D:D=A46,Data!B:B=$B$1),""MIDDLE"")*6)+(COUNTIF(FILTER(Data!N:N,Data!D:D=A46,Data!B:B=$B"&amp;"$1),""LOW"")*4))"),0.0)</f>
        <v>0</v>
      </c>
      <c r="V46" s="138" t="str">
        <f>IF(Data!B38='Team Parser'!$B$1, Data!D38,"")</f>
        <v/>
      </c>
      <c r="W46" s="134" t="str">
        <f>IF(Data!$B38='Team Parser'!$B$1, Data!H38,"")</f>
        <v/>
      </c>
      <c r="X46" s="134" t="str">
        <f>IF(Data!$B38='Team Parser'!$B$1, Data!G38,"")</f>
        <v/>
      </c>
      <c r="Y46" s="134" t="str">
        <f>IF(Data!$B38='Team Parser'!$B$1, Data!L38,"")</f>
        <v/>
      </c>
      <c r="Z46" s="134" t="str">
        <f>IF(Data!$B38='Team Parser'!$B$1, Data!K38,"")</f>
        <v/>
      </c>
      <c r="AA46" s="134" t="str">
        <f>IF(Data!$B38='Team Parser'!$B$1, Data!M38,"")</f>
        <v/>
      </c>
      <c r="AB46" s="134" t="str">
        <f>IF(Data!$B38='Team Parser'!$B$1,((Z46*2)+(Y46)+(X46*4)+(W46*2)),"")</f>
        <v/>
      </c>
      <c r="AC46" s="134" t="str">
        <f>IF(Data!$B38='Team Parser'!$B$1, Data!N38,"")</f>
        <v/>
      </c>
      <c r="AD46" s="139" t="str">
        <f>IF(Data!$B38='Team Parser'!$B$1,(AB46+(COUNTIF(AC46,"TRAVERSE")*15)+(COUNTIF(AC46,"HIGH")*10)+(COUNTIF(AC46,"MIDDLE")*6)+(COUNTIF(AC46,"LOW")*4)),"")</f>
        <v/>
      </c>
    </row>
    <row r="47">
      <c r="A47" s="133" t="s">
        <v>507</v>
      </c>
      <c r="B47" s="134" t="str">
        <f>IFERROR(__xludf.DUMMYFUNCTION("IFERROR((FILTER(Data!H:H,Data!D:D=A47,Data!B:B=$B$1)),"""")"),"")</f>
        <v/>
      </c>
      <c r="C47" s="134" t="str">
        <f>IFERROR(__xludf.DUMMYFUNCTION("IFERROR((FILTER(Data!G:G,Data!D:D=A47,Data!B:B=$B$1)),"""")"),"")</f>
        <v/>
      </c>
      <c r="D47" s="134" t="str">
        <f>IFERROR(__xludf.DUMMYFUNCTION("IFERROR((FILTER(Data!J:J,Data!D:D=A47,Data!B:B=$B$1)),"""")"),"")</f>
        <v/>
      </c>
      <c r="E47" s="134" t="str">
        <f>IFERROR(__xludf.DUMMYFUNCTION("IFERROR((FILTER(Data!L:L,Data!D:D=A47,Data!B:B=$B$1)),"""")"),"")</f>
        <v/>
      </c>
      <c r="F47" s="134" t="str">
        <f>IFERROR(__xludf.DUMMYFUNCTION("IFERROR((FILTER(Data!K:K,Data!D:D=A47,Data!B:B=$B$1)),"""")"),"")</f>
        <v/>
      </c>
      <c r="G47" s="134" t="str">
        <f>IFERROR(__xludf.DUMMYFUNCTION("IFERROR((FILTER(Data!M:M,Data!D:D=A47,Data!B:B=$B$1)),"""")"),"")</f>
        <v/>
      </c>
      <c r="H47" s="134" t="str">
        <f>IFERROR(__xludf.DUMMYFUNCTION("IFERROR((FILTER(Data!G:G,Data!D:D=A47,Data!B:B=$B$1)*4)+(FILTER(Data!H:H,Data!D:D=A47,Data!B:B=$B$1)*2),"""")"),"")</f>
        <v/>
      </c>
      <c r="I47" s="15" t="str">
        <f>IFERROR(__xludf.DUMMYFUNCTION("IFERROR((FILTER(Data!K:K,Data!D:D=A47,Data!B:B=$B$1)*2)+(FILTER(Data!L:L,Data!D:D=A47,Data!B:B=$B$1)),"""")"),"")</f>
        <v/>
      </c>
      <c r="J47" s="134" t="str">
        <f>IFERROR(__xludf.DUMMYFUNCTION("IFERROR((FILTER(Data!N:N,Data!D:D=A47,Data!B:B=$B$1)),"""")"),"")</f>
        <v/>
      </c>
      <c r="K47" s="135" t="str">
        <f>IFERROR(__xludf.DUMMYFUNCTION("IFERROR((FILTER(Data!H:H,Data!D:D=A47,Data!B:B=$B$1)*2)+(FILTER(Data!L:L,Data!D:D=A47,Data!B:B=$B$1))+(FILTER(Data!G:G,Data!D:D=A47,Data!B:B=$B$1)*4)+(FILTER(Data!K:K,Data!D:D=A47,Data!B:B=$B$1)*2)+(((COUNTIF(FILTER(Data!N:N,Data!D:D=A47,Data!B:B=$B$1),"""&amp;"TRAVERSE"")*15)+(COUNTIF(FILTER(Data!N:N,Data!D:D=A47,Data!B:B=$B$1),""HIGH"")*10)+(COUNTIF(FILTER(Data!N:N,Data!D:D=A47,Data!B:B=$B$1),""MIDDLE"")*6)+(COUNTIF(FILTER(Data!N:N,Data!D:D=A47,Data!B:B=$B$1),""LOW"")*4))),"""")"),"")</f>
        <v/>
      </c>
      <c r="L47" s="136" t="str">
        <f>IFERROR(__xludf.DUMMYFUNCTION("IFERROR((FILTER(Data!P:P,Data!D:D=A47,Data!B:B=$B$1)),"""")"),"")</f>
        <v/>
      </c>
      <c r="M47" s="137" t="str">
        <f>IFERROR(__xludf.DUMMYFUNCTION("IFERROR((FILTER(Data!A:A,Data!D:D=A47,Data!B:B=$B$1)),"""")"),"")</f>
        <v/>
      </c>
      <c r="T47" s="52">
        <f>IFERROR(__xludf.DUMMYFUNCTION("((COUNTIF(FILTER(Data!N:N,Data!D:D=A47,Data!B:B=$B$1),""TRAVERSE"")*15)+(COUNTIF(FILTER(Data!N:N,Data!D:D=A47,Data!B:B=B$1),""HIGH"")*10)+(COUNTIF(FILTER(Data!N:N,Data!D:D=A47,Data!B:B=$B$1),""MIDDLE"")*6)+(COUNTIF(FILTER(Data!N:N,Data!D:D=A47,Data!B:B=$B"&amp;"$1),""LOW"")*4))"),0.0)</f>
        <v>0</v>
      </c>
      <c r="V47" s="138" t="str">
        <f>IF(Data!B39='Team Parser'!$B$1, Data!D39,"")</f>
        <v/>
      </c>
      <c r="W47" s="134" t="str">
        <f>IF(Data!$B39='Team Parser'!$B$1, Data!H39,"")</f>
        <v/>
      </c>
      <c r="X47" s="134" t="str">
        <f>IF(Data!$B39='Team Parser'!$B$1, Data!G39,"")</f>
        <v/>
      </c>
      <c r="Y47" s="134" t="str">
        <f>IF(Data!$B39='Team Parser'!$B$1, Data!L39,"")</f>
        <v/>
      </c>
      <c r="Z47" s="134" t="str">
        <f>IF(Data!$B39='Team Parser'!$B$1, Data!K39,"")</f>
        <v/>
      </c>
      <c r="AA47" s="134" t="str">
        <f>IF(Data!$B39='Team Parser'!$B$1, Data!M39,"")</f>
        <v/>
      </c>
      <c r="AB47" s="134" t="str">
        <f>IF(Data!$B39='Team Parser'!$B$1,((Z47*2)+(Y47)+(X47*4)+(W47*2)),"")</f>
        <v/>
      </c>
      <c r="AC47" s="134" t="str">
        <f>IF(Data!$B39='Team Parser'!$B$1, Data!N39,"")</f>
        <v/>
      </c>
      <c r="AD47" s="139" t="str">
        <f>IF(Data!$B39='Team Parser'!$B$1,(AB47+(COUNTIF(AC47,"TRAVERSE")*15)+(COUNTIF(AC47,"HIGH")*10)+(COUNTIF(AC47,"MIDDLE")*6)+(COUNTIF(AC47,"LOW")*4)),"")</f>
        <v/>
      </c>
    </row>
    <row r="48">
      <c r="A48" s="133" t="s">
        <v>507</v>
      </c>
      <c r="B48" s="134" t="str">
        <f>IFERROR(__xludf.DUMMYFUNCTION("IFERROR((FILTER(Data!H:H,Data!D:D=A48,Data!B:B=$B$1)),"""")"),"")</f>
        <v/>
      </c>
      <c r="C48" s="134" t="str">
        <f>IFERROR(__xludf.DUMMYFUNCTION("IFERROR((FILTER(Data!G:G,Data!D:D=A48,Data!B:B=$B$1)),"""")"),"")</f>
        <v/>
      </c>
      <c r="D48" s="134" t="str">
        <f>IFERROR(__xludf.DUMMYFUNCTION("IFERROR((FILTER(Data!J:J,Data!D:D=A48,Data!B:B=$B$1)),"""")"),"")</f>
        <v/>
      </c>
      <c r="E48" s="134" t="str">
        <f>IFERROR(__xludf.DUMMYFUNCTION("IFERROR((FILTER(Data!L:L,Data!D:D=A48,Data!B:B=$B$1)),"""")"),"")</f>
        <v/>
      </c>
      <c r="F48" s="134" t="str">
        <f>IFERROR(__xludf.DUMMYFUNCTION("IFERROR((FILTER(Data!K:K,Data!D:D=A48,Data!B:B=$B$1)),"""")"),"")</f>
        <v/>
      </c>
      <c r="G48" s="134" t="str">
        <f>IFERROR(__xludf.DUMMYFUNCTION("IFERROR((FILTER(Data!M:M,Data!D:D=A48,Data!B:B=$B$1)),"""")"),"")</f>
        <v/>
      </c>
      <c r="H48" s="134" t="str">
        <f>IFERROR(__xludf.DUMMYFUNCTION("IFERROR((FILTER(Data!G:G,Data!D:D=A48,Data!B:B=$B$1)*4)+(FILTER(Data!H:H,Data!D:D=A48,Data!B:B=$B$1)*2),"""")"),"")</f>
        <v/>
      </c>
      <c r="I48" s="15" t="str">
        <f>IFERROR(__xludf.DUMMYFUNCTION("IFERROR((FILTER(Data!K:K,Data!D:D=A48,Data!B:B=$B$1)*2)+(FILTER(Data!L:L,Data!D:D=A48,Data!B:B=$B$1)),"""")"),"")</f>
        <v/>
      </c>
      <c r="J48" s="134" t="str">
        <f>IFERROR(__xludf.DUMMYFUNCTION("IFERROR((FILTER(Data!N:N,Data!D:D=A48,Data!B:B=$B$1)),"""")"),"")</f>
        <v/>
      </c>
      <c r="K48" s="135" t="str">
        <f>IFERROR(__xludf.DUMMYFUNCTION("IFERROR((FILTER(Data!H:H,Data!D:D=A48,Data!B:B=$B$1)*2)+(FILTER(Data!L:L,Data!D:D=A48,Data!B:B=$B$1))+(FILTER(Data!G:G,Data!D:D=A48,Data!B:B=$B$1)*4)+(FILTER(Data!K:K,Data!D:D=A48,Data!B:B=$B$1)*2)+(((COUNTIF(FILTER(Data!N:N,Data!D:D=A48,Data!B:B=$B$1),"""&amp;"TRAVERSE"")*15)+(COUNTIF(FILTER(Data!N:N,Data!D:D=A48,Data!B:B=$B$1),""HIGH"")*10)+(COUNTIF(FILTER(Data!N:N,Data!D:D=A48,Data!B:B=$B$1),""MIDDLE"")*6)+(COUNTIF(FILTER(Data!N:N,Data!D:D=A48,Data!B:B=$B$1),""LOW"")*4))),"""")"),"")</f>
        <v/>
      </c>
      <c r="L48" s="136" t="str">
        <f>IFERROR(__xludf.DUMMYFUNCTION("IFERROR((FILTER(Data!P:P,Data!D:D=A48,Data!B:B=$B$1)),"""")"),"")</f>
        <v/>
      </c>
      <c r="M48" s="137" t="str">
        <f>IFERROR(__xludf.DUMMYFUNCTION("IFERROR((FILTER(Data!A:A,Data!D:D=A48,Data!B:B=$B$1)),"""")"),"")</f>
        <v/>
      </c>
      <c r="T48" s="52">
        <f>IFERROR(__xludf.DUMMYFUNCTION("((COUNTIF(FILTER(Data!N:N,Data!D:D=A48,Data!B:B=$B$1),""TRAVERSE"")*15)+(COUNTIF(FILTER(Data!N:N,Data!D:D=A48,Data!B:B=B$1),""HIGH"")*10)+(COUNTIF(FILTER(Data!N:N,Data!D:D=A48,Data!B:B=$B$1),""MIDDLE"")*6)+(COUNTIF(FILTER(Data!N:N,Data!D:D=A48,Data!B:B=$B"&amp;"$1),""LOW"")*4))"),0.0)</f>
        <v>0</v>
      </c>
      <c r="V48" s="138" t="str">
        <f>IF(Data!B40='Team Parser'!$B$1, Data!D40,"")</f>
        <v/>
      </c>
      <c r="W48" s="134" t="str">
        <f>IF(Data!$B40='Team Parser'!$B$1, Data!H40,"")</f>
        <v/>
      </c>
      <c r="X48" s="134" t="str">
        <f>IF(Data!$B40='Team Parser'!$B$1, Data!G40,"")</f>
        <v/>
      </c>
      <c r="Y48" s="134" t="str">
        <f>IF(Data!$B40='Team Parser'!$B$1, Data!L40,"")</f>
        <v/>
      </c>
      <c r="Z48" s="134" t="str">
        <f>IF(Data!$B40='Team Parser'!$B$1, Data!K40,"")</f>
        <v/>
      </c>
      <c r="AA48" s="134" t="str">
        <f>IF(Data!$B40='Team Parser'!$B$1, Data!M40,"")</f>
        <v/>
      </c>
      <c r="AB48" s="134" t="str">
        <f>IF(Data!$B40='Team Parser'!$B$1,((Z48*2)+(Y48)+(X48*4)+(W48*2)),"")</f>
        <v/>
      </c>
      <c r="AC48" s="134" t="str">
        <f>IF(Data!$B40='Team Parser'!$B$1, Data!N40,"")</f>
        <v/>
      </c>
      <c r="AD48" s="139" t="str">
        <f>IF(Data!$B40='Team Parser'!$B$1,(AB48+(COUNTIF(AC48,"TRAVERSE")*15)+(COUNTIF(AC48,"HIGH")*10)+(COUNTIF(AC48,"MIDDLE")*6)+(COUNTIF(AC48,"LOW")*4)),"")</f>
        <v/>
      </c>
    </row>
    <row r="49">
      <c r="A49" s="133" t="s">
        <v>507</v>
      </c>
      <c r="B49" s="134" t="str">
        <f>IFERROR(__xludf.DUMMYFUNCTION("IFERROR((FILTER(Data!H:H,Data!D:D=A49,Data!B:B=$B$1)),"""")"),"")</f>
        <v/>
      </c>
      <c r="C49" s="134" t="str">
        <f>IFERROR(__xludf.DUMMYFUNCTION("IFERROR((FILTER(Data!G:G,Data!D:D=A49,Data!B:B=$B$1)),"""")"),"")</f>
        <v/>
      </c>
      <c r="D49" s="134" t="str">
        <f>IFERROR(__xludf.DUMMYFUNCTION("IFERROR((FILTER(Data!J:J,Data!D:D=A49,Data!B:B=$B$1)),"""")"),"")</f>
        <v/>
      </c>
      <c r="E49" s="134" t="str">
        <f>IFERROR(__xludf.DUMMYFUNCTION("IFERROR((FILTER(Data!L:L,Data!D:D=A49,Data!B:B=$B$1)),"""")"),"")</f>
        <v/>
      </c>
      <c r="F49" s="134" t="str">
        <f>IFERROR(__xludf.DUMMYFUNCTION("IFERROR((FILTER(Data!K:K,Data!D:D=A49,Data!B:B=$B$1)),"""")"),"")</f>
        <v/>
      </c>
      <c r="G49" s="134" t="str">
        <f>IFERROR(__xludf.DUMMYFUNCTION("IFERROR((FILTER(Data!M:M,Data!D:D=A49,Data!B:B=$B$1)),"""")"),"")</f>
        <v/>
      </c>
      <c r="H49" s="134" t="str">
        <f>IFERROR(__xludf.DUMMYFUNCTION("IFERROR((FILTER(Data!G:G,Data!D:D=A49,Data!B:B=$B$1)*4)+(FILTER(Data!H:H,Data!D:D=A49,Data!B:B=$B$1)*2),"""")"),"")</f>
        <v/>
      </c>
      <c r="I49" s="15" t="str">
        <f>IFERROR(__xludf.DUMMYFUNCTION("IFERROR((FILTER(Data!K:K,Data!D:D=A49,Data!B:B=$B$1)*2)+(FILTER(Data!L:L,Data!D:D=A49,Data!B:B=$B$1)),"""")"),"")</f>
        <v/>
      </c>
      <c r="J49" s="134" t="str">
        <f>IFERROR(__xludf.DUMMYFUNCTION("IFERROR((FILTER(Data!N:N,Data!D:D=A49,Data!B:B=$B$1)),"""")"),"")</f>
        <v/>
      </c>
      <c r="K49" s="135" t="str">
        <f>IFERROR(__xludf.DUMMYFUNCTION("IFERROR((FILTER(Data!H:H,Data!D:D=A49,Data!B:B=$B$1)*2)+(FILTER(Data!L:L,Data!D:D=A49,Data!B:B=$B$1))+(FILTER(Data!G:G,Data!D:D=A49,Data!B:B=$B$1)*4)+(FILTER(Data!K:K,Data!D:D=A49,Data!B:B=$B$1)*2)+(((COUNTIF(FILTER(Data!N:N,Data!D:D=A49,Data!B:B=$B$1),"""&amp;"TRAVERSE"")*15)+(COUNTIF(FILTER(Data!N:N,Data!D:D=A49,Data!B:B=$B$1),""HIGH"")*10)+(COUNTIF(FILTER(Data!N:N,Data!D:D=A49,Data!B:B=$B$1),""MIDDLE"")*6)+(COUNTIF(FILTER(Data!N:N,Data!D:D=A49,Data!B:B=$B$1),""LOW"")*4))),"""")"),"")</f>
        <v/>
      </c>
      <c r="L49" s="136" t="str">
        <f>IFERROR(__xludf.DUMMYFUNCTION("IFERROR((FILTER(Data!P:P,Data!D:D=A49,Data!B:B=$B$1)),"""")"),"")</f>
        <v/>
      </c>
      <c r="M49" s="137" t="str">
        <f>IFERROR(__xludf.DUMMYFUNCTION("IFERROR((FILTER(Data!A:A,Data!D:D=A49,Data!B:B=$B$1)),"""")"),"")</f>
        <v/>
      </c>
      <c r="T49" s="52">
        <f>IFERROR(__xludf.DUMMYFUNCTION("((COUNTIF(FILTER(Data!N:N,Data!D:D=A49,Data!B:B=$B$1),""TRAVERSE"")*15)+(COUNTIF(FILTER(Data!N:N,Data!D:D=A49,Data!B:B=B$1),""HIGH"")*10)+(COUNTIF(FILTER(Data!N:N,Data!D:D=A49,Data!B:B=$B$1),""MIDDLE"")*6)+(COUNTIF(FILTER(Data!N:N,Data!D:D=A49,Data!B:B=$B"&amp;"$1),""LOW"")*4))"),0.0)</f>
        <v>0</v>
      </c>
      <c r="V49" s="138" t="str">
        <f>IF(Data!B41='Team Parser'!$B$1, Data!D41,"")</f>
        <v/>
      </c>
      <c r="W49" s="134" t="str">
        <f>IF(Data!$B41='Team Parser'!$B$1, Data!H41,"")</f>
        <v/>
      </c>
      <c r="X49" s="134" t="str">
        <f>IF(Data!$B41='Team Parser'!$B$1, Data!G41,"")</f>
        <v/>
      </c>
      <c r="Y49" s="134" t="str">
        <f>IF(Data!$B41='Team Parser'!$B$1, Data!L41,"")</f>
        <v/>
      </c>
      <c r="Z49" s="134" t="str">
        <f>IF(Data!$B41='Team Parser'!$B$1, Data!K41,"")</f>
        <v/>
      </c>
      <c r="AA49" s="134" t="str">
        <f>IF(Data!$B41='Team Parser'!$B$1, Data!M41,"")</f>
        <v/>
      </c>
      <c r="AB49" s="134" t="str">
        <f>IF(Data!$B41='Team Parser'!$B$1,((Z49*2)+(Y49)+(X49*4)+(W49*2)),"")</f>
        <v/>
      </c>
      <c r="AC49" s="134" t="str">
        <f>IF(Data!$B41='Team Parser'!$B$1, Data!N41,"")</f>
        <v/>
      </c>
      <c r="AD49" s="139" t="str">
        <f>IF(Data!$B41='Team Parser'!$B$1,(AB49+(COUNTIF(AC49,"TRAVERSE")*15)+(COUNTIF(AC49,"HIGH")*10)+(COUNTIF(AC49,"MIDDLE")*6)+(COUNTIF(AC49,"LOW")*4)),"")</f>
        <v/>
      </c>
    </row>
    <row r="50">
      <c r="A50" s="133" t="s">
        <v>507</v>
      </c>
      <c r="B50" s="134" t="str">
        <f>IFERROR(__xludf.DUMMYFUNCTION("IFERROR((FILTER(Data!H:H,Data!D:D=A50,Data!B:B=$B$1)),"""")"),"")</f>
        <v/>
      </c>
      <c r="C50" s="134" t="str">
        <f>IFERROR(__xludf.DUMMYFUNCTION("IFERROR((FILTER(Data!G:G,Data!D:D=A50,Data!B:B=$B$1)),"""")"),"")</f>
        <v/>
      </c>
      <c r="D50" s="134" t="str">
        <f>IFERROR(__xludf.DUMMYFUNCTION("IFERROR((FILTER(Data!J:J,Data!D:D=A50,Data!B:B=$B$1)),"""")"),"")</f>
        <v/>
      </c>
      <c r="E50" s="134" t="str">
        <f>IFERROR(__xludf.DUMMYFUNCTION("IFERROR((FILTER(Data!L:L,Data!D:D=A50,Data!B:B=$B$1)),"""")"),"")</f>
        <v/>
      </c>
      <c r="F50" s="134" t="str">
        <f>IFERROR(__xludf.DUMMYFUNCTION("IFERROR((FILTER(Data!K:K,Data!D:D=A50,Data!B:B=$B$1)),"""")"),"")</f>
        <v/>
      </c>
      <c r="G50" s="134" t="str">
        <f>IFERROR(__xludf.DUMMYFUNCTION("IFERROR((FILTER(Data!M:M,Data!D:D=A50,Data!B:B=$B$1)),"""")"),"")</f>
        <v/>
      </c>
      <c r="H50" s="134" t="str">
        <f>IFERROR(__xludf.DUMMYFUNCTION("IFERROR((FILTER(Data!G:G,Data!D:D=A50,Data!B:B=$B$1)*4)+(FILTER(Data!H:H,Data!D:D=A50,Data!B:B=$B$1)*2),"""")"),"")</f>
        <v/>
      </c>
      <c r="I50" s="15" t="str">
        <f>IFERROR(__xludf.DUMMYFUNCTION("IFERROR((FILTER(Data!K:K,Data!D:D=A50,Data!B:B=$B$1)*2)+(FILTER(Data!L:L,Data!D:D=A50,Data!B:B=$B$1)),"""")"),"")</f>
        <v/>
      </c>
      <c r="J50" s="134" t="str">
        <f>IFERROR(__xludf.DUMMYFUNCTION("IFERROR((FILTER(Data!N:N,Data!D:D=A50,Data!B:B=$B$1)),"""")"),"")</f>
        <v/>
      </c>
      <c r="K50" s="135" t="str">
        <f>IFERROR(__xludf.DUMMYFUNCTION("IFERROR((FILTER(Data!H:H,Data!D:D=A50,Data!B:B=$B$1)*2)+(FILTER(Data!L:L,Data!D:D=A50,Data!B:B=$B$1))+(FILTER(Data!G:G,Data!D:D=A50,Data!B:B=$B$1)*4)+(FILTER(Data!K:K,Data!D:D=A50,Data!B:B=$B$1)*2)+(((COUNTIF(FILTER(Data!N:N,Data!D:D=A50,Data!B:B=$B$1),"""&amp;"TRAVERSE"")*15)+(COUNTIF(FILTER(Data!N:N,Data!D:D=A50,Data!B:B=$B$1),""HIGH"")*10)+(COUNTIF(FILTER(Data!N:N,Data!D:D=A50,Data!B:B=$B$1),""MIDDLE"")*6)+(COUNTIF(FILTER(Data!N:N,Data!D:D=A50,Data!B:B=$B$1),""LOW"")*4))),"""")"),"")</f>
        <v/>
      </c>
      <c r="L50" s="136" t="str">
        <f>IFERROR(__xludf.DUMMYFUNCTION("IFERROR((FILTER(Data!P:P,Data!D:D=A50,Data!B:B=$B$1)),"""")"),"")</f>
        <v/>
      </c>
      <c r="M50" s="137" t="str">
        <f>IFERROR(__xludf.DUMMYFUNCTION("IFERROR((FILTER(Data!A:A,Data!D:D=A50,Data!B:B=$B$1)),"""")"),"")</f>
        <v/>
      </c>
      <c r="T50" s="52">
        <f>IFERROR(__xludf.DUMMYFUNCTION("((COUNTIF(FILTER(Data!N:N,Data!D:D=A50,Data!B:B=$B$1),""TRAVERSE"")*15)+(COUNTIF(FILTER(Data!N:N,Data!D:D=A50,Data!B:B=B$1),""HIGH"")*10)+(COUNTIF(FILTER(Data!N:N,Data!D:D=A50,Data!B:B=$B$1),""MIDDLE"")*6)+(COUNTIF(FILTER(Data!N:N,Data!D:D=A50,Data!B:B=$B"&amp;"$1),""LOW"")*4))"),0.0)</f>
        <v>0</v>
      </c>
      <c r="V50" s="138" t="str">
        <f>IF(Data!B42='Team Parser'!$B$1, Data!D42,"")</f>
        <v/>
      </c>
      <c r="W50" s="134" t="str">
        <f>IF(Data!$B42='Team Parser'!$B$1, Data!H42,"")</f>
        <v/>
      </c>
      <c r="X50" s="134" t="str">
        <f>IF(Data!$B42='Team Parser'!$B$1, Data!G42,"")</f>
        <v/>
      </c>
      <c r="Y50" s="134" t="str">
        <f>IF(Data!$B42='Team Parser'!$B$1, Data!L42,"")</f>
        <v/>
      </c>
      <c r="Z50" s="134" t="str">
        <f>IF(Data!$B42='Team Parser'!$B$1, Data!K42,"")</f>
        <v/>
      </c>
      <c r="AA50" s="134" t="str">
        <f>IF(Data!$B42='Team Parser'!$B$1, Data!M42,"")</f>
        <v/>
      </c>
      <c r="AB50" s="134" t="str">
        <f>IF(Data!$B42='Team Parser'!$B$1,((Z50*2)+(Y50)+(X50*4)+(W50*2)),"")</f>
        <v/>
      </c>
      <c r="AC50" s="134" t="str">
        <f>IF(Data!$B42='Team Parser'!$B$1, Data!N42,"")</f>
        <v/>
      </c>
      <c r="AD50" s="139" t="str">
        <f>IF(Data!$B42='Team Parser'!$B$1,(AB50+(COUNTIF(AC50,"TRAVERSE")*15)+(COUNTIF(AC50,"HIGH")*10)+(COUNTIF(AC50,"MIDDLE")*6)+(COUNTIF(AC50,"LOW")*4)),"")</f>
        <v/>
      </c>
    </row>
    <row r="51">
      <c r="A51" s="133" t="s">
        <v>507</v>
      </c>
      <c r="B51" s="134" t="str">
        <f>IFERROR(__xludf.DUMMYFUNCTION("IFERROR((FILTER(Data!H:H,Data!D:D=A51,Data!B:B=$B$1)),"""")"),"")</f>
        <v/>
      </c>
      <c r="C51" s="134" t="str">
        <f>IFERROR(__xludf.DUMMYFUNCTION("IFERROR((FILTER(Data!G:G,Data!D:D=A51,Data!B:B=$B$1)),"""")"),"")</f>
        <v/>
      </c>
      <c r="D51" s="134" t="str">
        <f>IFERROR(__xludf.DUMMYFUNCTION("IFERROR((FILTER(Data!J:J,Data!D:D=A51,Data!B:B=$B$1)),"""")"),"")</f>
        <v/>
      </c>
      <c r="E51" s="134" t="str">
        <f>IFERROR(__xludf.DUMMYFUNCTION("IFERROR((FILTER(Data!L:L,Data!D:D=A51,Data!B:B=$B$1)),"""")"),"")</f>
        <v/>
      </c>
      <c r="F51" s="134" t="str">
        <f>IFERROR(__xludf.DUMMYFUNCTION("IFERROR((FILTER(Data!K:K,Data!D:D=A51,Data!B:B=$B$1)),"""")"),"")</f>
        <v/>
      </c>
      <c r="G51" s="134" t="str">
        <f>IFERROR(__xludf.DUMMYFUNCTION("IFERROR((FILTER(Data!M:M,Data!D:D=A51,Data!B:B=$B$1)),"""")"),"")</f>
        <v/>
      </c>
      <c r="H51" s="134" t="str">
        <f>IFERROR(__xludf.DUMMYFUNCTION("IFERROR((FILTER(Data!G:G,Data!D:D=A51,Data!B:B=$B$1)*4)+(FILTER(Data!H:H,Data!D:D=A51,Data!B:B=$B$1)*2),"""")"),"")</f>
        <v/>
      </c>
      <c r="I51" s="15" t="str">
        <f>IFERROR(__xludf.DUMMYFUNCTION("IFERROR((FILTER(Data!K:K,Data!D:D=A51,Data!B:B=$B$1)*2)+(FILTER(Data!L:L,Data!D:D=A51,Data!B:B=$B$1)),"""")"),"")</f>
        <v/>
      </c>
      <c r="J51" s="134" t="str">
        <f>IFERROR(__xludf.DUMMYFUNCTION("IFERROR((FILTER(Data!N:N,Data!D:D=A51,Data!B:B=$B$1)),"""")"),"")</f>
        <v/>
      </c>
      <c r="K51" s="135" t="str">
        <f>IFERROR(__xludf.DUMMYFUNCTION("IFERROR((FILTER(Data!H:H,Data!D:D=A51,Data!B:B=$B$1)*2)+(FILTER(Data!L:L,Data!D:D=A51,Data!B:B=$B$1))+(FILTER(Data!G:G,Data!D:D=A51,Data!B:B=$B$1)*4)+(FILTER(Data!K:K,Data!D:D=A51,Data!B:B=$B$1)*2)+(((COUNTIF(FILTER(Data!N:N,Data!D:D=A51,Data!B:B=$B$1),"""&amp;"TRAVERSE"")*15)+(COUNTIF(FILTER(Data!N:N,Data!D:D=A51,Data!B:B=$B$1),""HIGH"")*10)+(COUNTIF(FILTER(Data!N:N,Data!D:D=A51,Data!B:B=$B$1),""MIDDLE"")*6)+(COUNTIF(FILTER(Data!N:N,Data!D:D=A51,Data!B:B=$B$1),""LOW"")*4))),"""")"),"")</f>
        <v/>
      </c>
      <c r="L51" s="136" t="str">
        <f>IFERROR(__xludf.DUMMYFUNCTION("IFERROR((FILTER(Data!P:P,Data!D:D=A51,Data!B:B=$B$1)),"""")"),"")</f>
        <v/>
      </c>
      <c r="M51" s="137" t="str">
        <f>IFERROR(__xludf.DUMMYFUNCTION("IFERROR((FILTER(Data!A:A,Data!D:D=A51,Data!B:B=$B$1)),"""")"),"")</f>
        <v/>
      </c>
      <c r="T51" s="52">
        <f>IFERROR(__xludf.DUMMYFUNCTION("((COUNTIF(FILTER(Data!N:N,Data!D:D=A51,Data!B:B=$B$1),""TRAVERSE"")*15)+(COUNTIF(FILTER(Data!N:N,Data!D:D=A51,Data!B:B=B$1),""HIGH"")*10)+(COUNTIF(FILTER(Data!N:N,Data!D:D=A51,Data!B:B=$B$1),""MIDDLE"")*6)+(COUNTIF(FILTER(Data!N:N,Data!D:D=A51,Data!B:B=$B"&amp;"$1),""LOW"")*4))"),0.0)</f>
        <v>0</v>
      </c>
      <c r="V51" s="138" t="str">
        <f>IF(Data!B43='Team Parser'!$B$1, Data!D43,"")</f>
        <v/>
      </c>
      <c r="W51" s="134" t="str">
        <f>IF(Data!$B43='Team Parser'!$B$1, Data!H43,"")</f>
        <v/>
      </c>
      <c r="X51" s="134" t="str">
        <f>IF(Data!$B43='Team Parser'!$B$1, Data!G43,"")</f>
        <v/>
      </c>
      <c r="Y51" s="134" t="str">
        <f>IF(Data!$B43='Team Parser'!$B$1, Data!L43,"")</f>
        <v/>
      </c>
      <c r="Z51" s="134" t="str">
        <f>IF(Data!$B43='Team Parser'!$B$1, Data!K43,"")</f>
        <v/>
      </c>
      <c r="AA51" s="134" t="str">
        <f>IF(Data!$B43='Team Parser'!$B$1, Data!M43,"")</f>
        <v/>
      </c>
      <c r="AB51" s="134" t="str">
        <f>IF(Data!$B43='Team Parser'!$B$1,((Z51*2)+(Y51)+(X51*4)+(W51*2)),"")</f>
        <v/>
      </c>
      <c r="AC51" s="134" t="str">
        <f>IF(Data!$B43='Team Parser'!$B$1, Data!N43,"")</f>
        <v/>
      </c>
      <c r="AD51" s="139" t="str">
        <f>IF(Data!$B43='Team Parser'!$B$1,(AB51+(COUNTIF(AC51,"TRAVERSE")*15)+(COUNTIF(AC51,"HIGH")*10)+(COUNTIF(AC51,"MIDDLE")*6)+(COUNTIF(AC51,"LOW")*4)),"")</f>
        <v/>
      </c>
    </row>
    <row r="52">
      <c r="A52" s="133" t="s">
        <v>507</v>
      </c>
      <c r="B52" s="134" t="str">
        <f>IFERROR(__xludf.DUMMYFUNCTION("IFERROR((FILTER(Data!H:H,Data!D:D=A52,Data!B:B=$B$1)),"""")"),"")</f>
        <v/>
      </c>
      <c r="C52" s="134" t="str">
        <f>IFERROR(__xludf.DUMMYFUNCTION("IFERROR((FILTER(Data!G:G,Data!D:D=A52,Data!B:B=$B$1)),"""")"),"")</f>
        <v/>
      </c>
      <c r="D52" s="134" t="str">
        <f>IFERROR(__xludf.DUMMYFUNCTION("IFERROR((FILTER(Data!J:J,Data!D:D=A52,Data!B:B=$B$1)),"""")"),"")</f>
        <v/>
      </c>
      <c r="E52" s="134" t="str">
        <f>IFERROR(__xludf.DUMMYFUNCTION("IFERROR((FILTER(Data!L:L,Data!D:D=A52,Data!B:B=$B$1)),"""")"),"")</f>
        <v/>
      </c>
      <c r="F52" s="134" t="str">
        <f>IFERROR(__xludf.DUMMYFUNCTION("IFERROR((FILTER(Data!K:K,Data!D:D=A52,Data!B:B=$B$1)),"""")"),"")</f>
        <v/>
      </c>
      <c r="G52" s="134" t="str">
        <f>IFERROR(__xludf.DUMMYFUNCTION("IFERROR((FILTER(Data!M:M,Data!D:D=A52,Data!B:B=$B$1)),"""")"),"")</f>
        <v/>
      </c>
      <c r="H52" s="134" t="str">
        <f>IFERROR(__xludf.DUMMYFUNCTION("IFERROR((FILTER(Data!G:G,Data!D:D=A52,Data!B:B=$B$1)*4)+(FILTER(Data!H:H,Data!D:D=A52,Data!B:B=$B$1)*2),"""")"),"")</f>
        <v/>
      </c>
      <c r="I52" s="15" t="str">
        <f>IFERROR(__xludf.DUMMYFUNCTION("IFERROR((FILTER(Data!K:K,Data!D:D=A52,Data!B:B=$B$1)*2)+(FILTER(Data!L:L,Data!D:D=A52,Data!B:B=$B$1)),"""")"),"")</f>
        <v/>
      </c>
      <c r="J52" s="134" t="str">
        <f>IFERROR(__xludf.DUMMYFUNCTION("IFERROR((FILTER(Data!N:N,Data!D:D=A52,Data!B:B=$B$1)),"""")"),"")</f>
        <v/>
      </c>
      <c r="K52" s="135" t="str">
        <f>IFERROR(__xludf.DUMMYFUNCTION("IFERROR((FILTER(Data!H:H,Data!D:D=A52,Data!B:B=$B$1)*2)+(FILTER(Data!L:L,Data!D:D=A52,Data!B:B=$B$1))+(FILTER(Data!G:G,Data!D:D=A52,Data!B:B=$B$1)*4)+(FILTER(Data!K:K,Data!D:D=A52,Data!B:B=$B$1)*2)+(((COUNTIF(FILTER(Data!N:N,Data!D:D=A52,Data!B:B=$B$1),"""&amp;"TRAVERSE"")*15)+(COUNTIF(FILTER(Data!N:N,Data!D:D=A52,Data!B:B=$B$1),""HIGH"")*10)+(COUNTIF(FILTER(Data!N:N,Data!D:D=A52,Data!B:B=$B$1),""MIDDLE"")*6)+(COUNTIF(FILTER(Data!N:N,Data!D:D=A52,Data!B:B=$B$1),""LOW"")*4))),"""")"),"")</f>
        <v/>
      </c>
      <c r="L52" s="136" t="str">
        <f>IFERROR(__xludf.DUMMYFUNCTION("IFERROR((FILTER(Data!P:P,Data!D:D=A52,Data!B:B=$B$1)),"""")"),"")</f>
        <v/>
      </c>
      <c r="M52" s="137" t="str">
        <f>IFERROR(__xludf.DUMMYFUNCTION("IFERROR((FILTER(Data!A:A,Data!D:D=A52,Data!B:B=$B$1)),"""")"),"")</f>
        <v/>
      </c>
      <c r="T52" s="52">
        <f>IFERROR(__xludf.DUMMYFUNCTION("((COUNTIF(FILTER(Data!N:N,Data!D:D=A52,Data!B:B=$B$1),""TRAVERSE"")*15)+(COUNTIF(FILTER(Data!N:N,Data!D:D=A52,Data!B:B=B$1),""HIGH"")*10)+(COUNTIF(FILTER(Data!N:N,Data!D:D=A52,Data!B:B=$B$1),""MIDDLE"")*6)+(COUNTIF(FILTER(Data!N:N,Data!D:D=A52,Data!B:B=$B"&amp;"$1),""LOW"")*4))"),0.0)</f>
        <v>0</v>
      </c>
      <c r="V52" s="138" t="str">
        <f>IF(Data!B44='Team Parser'!$B$1, Data!D44,"")</f>
        <v/>
      </c>
      <c r="W52" s="134" t="str">
        <f>IF(Data!$B44='Team Parser'!$B$1, Data!H44,"")</f>
        <v/>
      </c>
      <c r="X52" s="134" t="str">
        <f>IF(Data!$B44='Team Parser'!$B$1, Data!G44,"")</f>
        <v/>
      </c>
      <c r="Y52" s="134" t="str">
        <f>IF(Data!$B44='Team Parser'!$B$1, Data!L44,"")</f>
        <v/>
      </c>
      <c r="Z52" s="134" t="str">
        <f>IF(Data!$B44='Team Parser'!$B$1, Data!K44,"")</f>
        <v/>
      </c>
      <c r="AA52" s="134" t="str">
        <f>IF(Data!$B44='Team Parser'!$B$1, Data!M44,"")</f>
        <v/>
      </c>
      <c r="AB52" s="134" t="str">
        <f>IF(Data!$B44='Team Parser'!$B$1,((Z52*2)+(Y52)+(X52*4)+(W52*2)),"")</f>
        <v/>
      </c>
      <c r="AC52" s="134" t="str">
        <f>IF(Data!$B44='Team Parser'!$B$1, Data!N44,"")</f>
        <v/>
      </c>
      <c r="AD52" s="139" t="str">
        <f>IF(Data!$B44='Team Parser'!$B$1,(AB52+(COUNTIF(AC52,"TRAVERSE")*15)+(COUNTIF(AC52,"HIGH")*10)+(COUNTIF(AC52,"MIDDLE")*6)+(COUNTIF(AC52,"LOW")*4)),"")</f>
        <v/>
      </c>
    </row>
    <row r="53">
      <c r="A53" s="133" t="s">
        <v>507</v>
      </c>
      <c r="B53" s="134" t="str">
        <f>IFERROR(__xludf.DUMMYFUNCTION("IFERROR((FILTER(Data!H:H,Data!D:D=A53,Data!B:B=$B$1)),"""")"),"")</f>
        <v/>
      </c>
      <c r="C53" s="134" t="str">
        <f>IFERROR(__xludf.DUMMYFUNCTION("IFERROR((FILTER(Data!G:G,Data!D:D=A53,Data!B:B=$B$1)),"""")"),"")</f>
        <v/>
      </c>
      <c r="D53" s="134" t="str">
        <f>IFERROR(__xludf.DUMMYFUNCTION("IFERROR((FILTER(Data!J:J,Data!D:D=A53,Data!B:B=$B$1)),"""")"),"")</f>
        <v/>
      </c>
      <c r="E53" s="134" t="str">
        <f>IFERROR(__xludf.DUMMYFUNCTION("IFERROR((FILTER(Data!L:L,Data!D:D=A53,Data!B:B=$B$1)),"""")"),"")</f>
        <v/>
      </c>
      <c r="F53" s="134" t="str">
        <f>IFERROR(__xludf.DUMMYFUNCTION("IFERROR((FILTER(Data!K:K,Data!D:D=A53,Data!B:B=$B$1)),"""")"),"")</f>
        <v/>
      </c>
      <c r="G53" s="134" t="str">
        <f>IFERROR(__xludf.DUMMYFUNCTION("IFERROR((FILTER(Data!M:M,Data!D:D=A53,Data!B:B=$B$1)),"""")"),"")</f>
        <v/>
      </c>
      <c r="H53" s="134" t="str">
        <f>IFERROR(__xludf.DUMMYFUNCTION("IFERROR((FILTER(Data!G:G,Data!D:D=A53,Data!B:B=$B$1)*4)+(FILTER(Data!H:H,Data!D:D=A53,Data!B:B=$B$1)*2),"""")"),"")</f>
        <v/>
      </c>
      <c r="I53" s="15" t="str">
        <f>IFERROR(__xludf.DUMMYFUNCTION("IFERROR((FILTER(Data!K:K,Data!D:D=A53,Data!B:B=$B$1)*2)+(FILTER(Data!L:L,Data!D:D=A53,Data!B:B=$B$1)),"""")"),"")</f>
        <v/>
      </c>
      <c r="J53" s="134" t="str">
        <f>IFERROR(__xludf.DUMMYFUNCTION("IFERROR((FILTER(Data!N:N,Data!D:D=A53,Data!B:B=$B$1)),"""")"),"")</f>
        <v/>
      </c>
      <c r="K53" s="135" t="str">
        <f>IFERROR(__xludf.DUMMYFUNCTION("IFERROR((FILTER(Data!H:H,Data!D:D=A53,Data!B:B=$B$1)*2)+(FILTER(Data!L:L,Data!D:D=A53,Data!B:B=$B$1))+(FILTER(Data!G:G,Data!D:D=A53,Data!B:B=$B$1)*4)+(FILTER(Data!K:K,Data!D:D=A53,Data!B:B=$B$1)*2)+(((COUNTIF(FILTER(Data!N:N,Data!D:D=A53,Data!B:B=$B$1),"""&amp;"TRAVERSE"")*15)+(COUNTIF(FILTER(Data!N:N,Data!D:D=A53,Data!B:B=$B$1),""HIGH"")*10)+(COUNTIF(FILTER(Data!N:N,Data!D:D=A53,Data!B:B=$B$1),""MIDDLE"")*6)+(COUNTIF(FILTER(Data!N:N,Data!D:D=A53,Data!B:B=$B$1),""LOW"")*4))),"""")"),"")</f>
        <v/>
      </c>
      <c r="L53" s="136" t="str">
        <f>IFERROR(__xludf.DUMMYFUNCTION("IFERROR((FILTER(Data!P:P,Data!D:D=A53,Data!B:B=$B$1)),"""")"),"")</f>
        <v/>
      </c>
      <c r="M53" s="137" t="str">
        <f>IFERROR(__xludf.DUMMYFUNCTION("IFERROR((FILTER(Data!A:A,Data!D:D=A53,Data!B:B=$B$1)),"""")"),"")</f>
        <v/>
      </c>
      <c r="T53" s="52">
        <f>IFERROR(__xludf.DUMMYFUNCTION("((COUNTIF(FILTER(Data!N:N,Data!D:D=A53,Data!B:B=$B$1),""TRAVERSE"")*15)+(COUNTIF(FILTER(Data!N:N,Data!D:D=A53,Data!B:B=B$1),""HIGH"")*10)+(COUNTIF(FILTER(Data!N:N,Data!D:D=A53,Data!B:B=$B$1),""MIDDLE"")*6)+(COUNTIF(FILTER(Data!N:N,Data!D:D=A53,Data!B:B=$B"&amp;"$1),""LOW"")*4))"),0.0)</f>
        <v>0</v>
      </c>
      <c r="V53" s="138" t="str">
        <f>IF(Data!B45='Team Parser'!$B$1, Data!D45,"")</f>
        <v/>
      </c>
      <c r="W53" s="134" t="str">
        <f>IF(Data!$B45='Team Parser'!$B$1, Data!H45,"")</f>
        <v/>
      </c>
      <c r="X53" s="134" t="str">
        <f>IF(Data!$B45='Team Parser'!$B$1, Data!G45,"")</f>
        <v/>
      </c>
      <c r="Y53" s="134" t="str">
        <f>IF(Data!$B45='Team Parser'!$B$1, Data!L45,"")</f>
        <v/>
      </c>
      <c r="Z53" s="134" t="str">
        <f>IF(Data!$B45='Team Parser'!$B$1, Data!K45,"")</f>
        <v/>
      </c>
      <c r="AA53" s="134" t="str">
        <f>IF(Data!$B45='Team Parser'!$B$1, Data!M45,"")</f>
        <v/>
      </c>
      <c r="AB53" s="134" t="str">
        <f>IF(Data!$B45='Team Parser'!$B$1,((Z53*2)+(Y53)+(X53*4)+(W53*2)),"")</f>
        <v/>
      </c>
      <c r="AC53" s="134" t="str">
        <f>IF(Data!$B45='Team Parser'!$B$1, Data!N45,"")</f>
        <v/>
      </c>
      <c r="AD53" s="139" t="str">
        <f>IF(Data!$B45='Team Parser'!$B$1,(AB53+(COUNTIF(AC53,"TRAVERSE")*15)+(COUNTIF(AC53,"HIGH")*10)+(COUNTIF(AC53,"MIDDLE")*6)+(COUNTIF(AC53,"LOW")*4)),"")</f>
        <v/>
      </c>
    </row>
    <row r="54">
      <c r="A54" s="133" t="s">
        <v>507</v>
      </c>
      <c r="B54" s="134" t="str">
        <f>IFERROR(__xludf.DUMMYFUNCTION("IFERROR((FILTER(Data!H:H,Data!D:D=A54,Data!B:B=$B$1)),"""")"),"")</f>
        <v/>
      </c>
      <c r="C54" s="134" t="str">
        <f>IFERROR(__xludf.DUMMYFUNCTION("IFERROR((FILTER(Data!G:G,Data!D:D=A54,Data!B:B=$B$1)),"""")"),"")</f>
        <v/>
      </c>
      <c r="D54" s="134" t="str">
        <f>IFERROR(__xludf.DUMMYFUNCTION("IFERROR((FILTER(Data!J:J,Data!D:D=A54,Data!B:B=$B$1)),"""")"),"")</f>
        <v/>
      </c>
      <c r="E54" s="134" t="str">
        <f>IFERROR(__xludf.DUMMYFUNCTION("IFERROR((FILTER(Data!L:L,Data!D:D=A54,Data!B:B=$B$1)),"""")"),"")</f>
        <v/>
      </c>
      <c r="F54" s="134" t="str">
        <f>IFERROR(__xludf.DUMMYFUNCTION("IFERROR((FILTER(Data!K:K,Data!D:D=A54,Data!B:B=$B$1)),"""")"),"")</f>
        <v/>
      </c>
      <c r="G54" s="134" t="str">
        <f>IFERROR(__xludf.DUMMYFUNCTION("IFERROR((FILTER(Data!M:M,Data!D:D=A54,Data!B:B=$B$1)),"""")"),"")</f>
        <v/>
      </c>
      <c r="H54" s="134" t="str">
        <f>IFERROR(__xludf.DUMMYFUNCTION("IFERROR((FILTER(Data!G:G,Data!D:D=A54,Data!B:B=$B$1)*4)+(FILTER(Data!H:H,Data!D:D=A54,Data!B:B=$B$1)*2),"""")"),"")</f>
        <v/>
      </c>
      <c r="I54" s="15" t="str">
        <f>IFERROR(__xludf.DUMMYFUNCTION("IFERROR((FILTER(Data!K:K,Data!D:D=A54,Data!B:B=$B$1)*2)+(FILTER(Data!L:L,Data!D:D=A54,Data!B:B=$B$1)),"""")"),"")</f>
        <v/>
      </c>
      <c r="J54" s="134" t="str">
        <f>IFERROR(__xludf.DUMMYFUNCTION("IFERROR((FILTER(Data!N:N,Data!D:D=A54,Data!B:B=$B$1)),"""")"),"")</f>
        <v/>
      </c>
      <c r="K54" s="135" t="str">
        <f>IFERROR(__xludf.DUMMYFUNCTION("IFERROR((FILTER(Data!H:H,Data!D:D=A54,Data!B:B=$B$1)*2)+(FILTER(Data!L:L,Data!D:D=A54,Data!B:B=$B$1))+(FILTER(Data!G:G,Data!D:D=A54,Data!B:B=$B$1)*4)+(FILTER(Data!K:K,Data!D:D=A54,Data!B:B=$B$1)*2)+(((COUNTIF(FILTER(Data!N:N,Data!D:D=A54,Data!B:B=$B$1),"""&amp;"TRAVERSE"")*15)+(COUNTIF(FILTER(Data!N:N,Data!D:D=A54,Data!B:B=$B$1),""HIGH"")*10)+(COUNTIF(FILTER(Data!N:N,Data!D:D=A54,Data!B:B=$B$1),""MIDDLE"")*6)+(COUNTIF(FILTER(Data!N:N,Data!D:D=A54,Data!B:B=$B$1),""LOW"")*4))),"""")"),"")</f>
        <v/>
      </c>
      <c r="L54" s="136" t="str">
        <f>IFERROR(__xludf.DUMMYFUNCTION("IFERROR((FILTER(Data!P:P,Data!D:D=A54,Data!B:B=$B$1)),"""")"),"")</f>
        <v/>
      </c>
      <c r="M54" s="137" t="str">
        <f>IFERROR(__xludf.DUMMYFUNCTION("IFERROR((FILTER(Data!A:A,Data!D:D=A54,Data!B:B=$B$1)),"""")"),"")</f>
        <v/>
      </c>
      <c r="T54" s="52">
        <f>IFERROR(__xludf.DUMMYFUNCTION("((COUNTIF(FILTER(Data!N:N,Data!D:D=A54,Data!B:B=$B$1),""TRAVERSE"")*15)+(COUNTIF(FILTER(Data!N:N,Data!D:D=A54,Data!B:B=B$1),""HIGH"")*10)+(COUNTIF(FILTER(Data!N:N,Data!D:D=A54,Data!B:B=$B$1),""MIDDLE"")*6)+(COUNTIF(FILTER(Data!N:N,Data!D:D=A54,Data!B:B=$B"&amp;"$1),""LOW"")*4))"),0.0)</f>
        <v>0</v>
      </c>
      <c r="V54" s="138" t="str">
        <f>IF(Data!B46='Team Parser'!$B$1, Data!D46,"")</f>
        <v/>
      </c>
      <c r="W54" s="134" t="str">
        <f>IF(Data!$B46='Team Parser'!$B$1, Data!H46,"")</f>
        <v/>
      </c>
      <c r="X54" s="134" t="str">
        <f>IF(Data!$B46='Team Parser'!$B$1, Data!G46,"")</f>
        <v/>
      </c>
      <c r="Y54" s="134" t="str">
        <f>IF(Data!$B46='Team Parser'!$B$1, Data!L46,"")</f>
        <v/>
      </c>
      <c r="Z54" s="134" t="str">
        <f>IF(Data!$B46='Team Parser'!$B$1, Data!K46,"")</f>
        <v/>
      </c>
      <c r="AA54" s="134" t="str">
        <f>IF(Data!$B46='Team Parser'!$B$1, Data!M46,"")</f>
        <v/>
      </c>
      <c r="AB54" s="134" t="str">
        <f>IF(Data!$B46='Team Parser'!$B$1,((Z54*2)+(Y54)+(X54*4)+(W54*2)),"")</f>
        <v/>
      </c>
      <c r="AC54" s="134" t="str">
        <f>IF(Data!$B46='Team Parser'!$B$1, Data!N46,"")</f>
        <v/>
      </c>
      <c r="AD54" s="139" t="str">
        <f>IF(Data!$B46='Team Parser'!$B$1,(AB54+(COUNTIF(AC54,"TRAVERSE")*15)+(COUNTIF(AC54,"HIGH")*10)+(COUNTIF(AC54,"MIDDLE")*6)+(COUNTIF(AC54,"LOW")*4)),"")</f>
        <v/>
      </c>
    </row>
    <row r="55">
      <c r="A55" s="133" t="s">
        <v>507</v>
      </c>
      <c r="B55" s="134" t="str">
        <f>IFERROR(__xludf.DUMMYFUNCTION("IFERROR((FILTER(Data!H:H,Data!D:D=A55,Data!B:B=$B$1)),"""")"),"")</f>
        <v/>
      </c>
      <c r="C55" s="134" t="str">
        <f>IFERROR(__xludf.DUMMYFUNCTION("IFERROR((FILTER(Data!G:G,Data!D:D=A55,Data!B:B=$B$1)),"""")"),"")</f>
        <v/>
      </c>
      <c r="D55" s="134" t="str">
        <f>IFERROR(__xludf.DUMMYFUNCTION("IFERROR((FILTER(Data!J:J,Data!D:D=A55,Data!B:B=$B$1)),"""")"),"")</f>
        <v/>
      </c>
      <c r="E55" s="134" t="str">
        <f>IFERROR(__xludf.DUMMYFUNCTION("IFERROR((FILTER(Data!L:L,Data!D:D=A55,Data!B:B=$B$1)),"""")"),"")</f>
        <v/>
      </c>
      <c r="F55" s="134" t="str">
        <f>IFERROR(__xludf.DUMMYFUNCTION("IFERROR((FILTER(Data!K:K,Data!D:D=A55,Data!B:B=$B$1)),"""")"),"")</f>
        <v/>
      </c>
      <c r="G55" s="134" t="str">
        <f>IFERROR(__xludf.DUMMYFUNCTION("IFERROR((FILTER(Data!M:M,Data!D:D=A55,Data!B:B=$B$1)),"""")"),"")</f>
        <v/>
      </c>
      <c r="H55" s="134" t="str">
        <f>IFERROR(__xludf.DUMMYFUNCTION("IFERROR((FILTER(Data!G:G,Data!D:D=A55,Data!B:B=$B$1)*4)+(FILTER(Data!H:H,Data!D:D=A55,Data!B:B=$B$1)*2),"""")"),"")</f>
        <v/>
      </c>
      <c r="I55" s="15" t="str">
        <f>IFERROR(__xludf.DUMMYFUNCTION("IFERROR((FILTER(Data!K:K,Data!D:D=A55,Data!B:B=$B$1)*2)+(FILTER(Data!L:L,Data!D:D=A55,Data!B:B=$B$1)),"""")"),"")</f>
        <v/>
      </c>
      <c r="J55" s="134" t="str">
        <f>IFERROR(__xludf.DUMMYFUNCTION("IFERROR((FILTER(Data!N:N,Data!D:D=A55,Data!B:B=$B$1)),"""")"),"")</f>
        <v/>
      </c>
      <c r="K55" s="135" t="str">
        <f>IFERROR(__xludf.DUMMYFUNCTION("IFERROR((FILTER(Data!H:H,Data!D:D=A55,Data!B:B=$B$1)*2)+(FILTER(Data!L:L,Data!D:D=A55,Data!B:B=$B$1))+(FILTER(Data!G:G,Data!D:D=A55,Data!B:B=$B$1)*4)+(FILTER(Data!K:K,Data!D:D=A55,Data!B:B=$B$1)*2)+(((COUNTIF(FILTER(Data!N:N,Data!D:D=A55,Data!B:B=$B$1),"""&amp;"TRAVERSE"")*15)+(COUNTIF(FILTER(Data!N:N,Data!D:D=A55,Data!B:B=$B$1),""HIGH"")*10)+(COUNTIF(FILTER(Data!N:N,Data!D:D=A55,Data!B:B=$B$1),""MIDDLE"")*6)+(COUNTIF(FILTER(Data!N:N,Data!D:D=A55,Data!B:B=$B$1),""LOW"")*4))),"""")"),"")</f>
        <v/>
      </c>
      <c r="L55" s="136" t="str">
        <f>IFERROR(__xludf.DUMMYFUNCTION("IFERROR((FILTER(Data!P:P,Data!D:D=A55,Data!B:B=$B$1)),"""")"),"")</f>
        <v/>
      </c>
      <c r="M55" s="137" t="str">
        <f>IFERROR(__xludf.DUMMYFUNCTION("IFERROR((FILTER(Data!A:A,Data!D:D=A55,Data!B:B=$B$1)),"""")"),"")</f>
        <v/>
      </c>
      <c r="T55" s="52">
        <f>IFERROR(__xludf.DUMMYFUNCTION("((COUNTIF(FILTER(Data!N:N,Data!D:D=A55,Data!B:B=$B$1),""TRAVERSE"")*15)+(COUNTIF(FILTER(Data!N:N,Data!D:D=A55,Data!B:B=B$1),""HIGH"")*10)+(COUNTIF(FILTER(Data!N:N,Data!D:D=A55,Data!B:B=$B$1),""MIDDLE"")*6)+(COUNTIF(FILTER(Data!N:N,Data!D:D=A55,Data!B:B=$B"&amp;"$1),""LOW"")*4))"),0.0)</f>
        <v>0</v>
      </c>
      <c r="V55" s="138" t="str">
        <f>IF(Data!B47='Team Parser'!$B$1, Data!D47,"")</f>
        <v/>
      </c>
      <c r="W55" s="134" t="str">
        <f>IF(Data!$B47='Team Parser'!$B$1, Data!H47,"")</f>
        <v/>
      </c>
      <c r="X55" s="134" t="str">
        <f>IF(Data!$B47='Team Parser'!$B$1, Data!G47,"")</f>
        <v/>
      </c>
      <c r="Y55" s="134" t="str">
        <f>IF(Data!$B47='Team Parser'!$B$1, Data!L47,"")</f>
        <v/>
      </c>
      <c r="Z55" s="134" t="str">
        <f>IF(Data!$B47='Team Parser'!$B$1, Data!K47,"")</f>
        <v/>
      </c>
      <c r="AA55" s="134" t="str">
        <f>IF(Data!$B47='Team Parser'!$B$1, Data!M47,"")</f>
        <v/>
      </c>
      <c r="AB55" s="134" t="str">
        <f>IF(Data!$B47='Team Parser'!$B$1,((Z55*2)+(Y55)+(X55*4)+(W55*2)),"")</f>
        <v/>
      </c>
      <c r="AC55" s="134" t="str">
        <f>IF(Data!$B47='Team Parser'!$B$1, Data!N47,"")</f>
        <v/>
      </c>
      <c r="AD55" s="139" t="str">
        <f>IF(Data!$B47='Team Parser'!$B$1,(AB55+(COUNTIF(AC55,"TRAVERSE")*15)+(COUNTIF(AC55,"HIGH")*10)+(COUNTIF(AC55,"MIDDLE")*6)+(COUNTIF(AC55,"LOW")*4)),"")</f>
        <v/>
      </c>
    </row>
    <row r="56">
      <c r="A56" s="133" t="s">
        <v>507</v>
      </c>
      <c r="B56" s="134" t="str">
        <f>IFERROR(__xludf.DUMMYFUNCTION("IFERROR((FILTER(Data!H:H,Data!D:D=A56,Data!B:B=$B$1)),"""")"),"")</f>
        <v/>
      </c>
      <c r="C56" s="134" t="str">
        <f>IFERROR(__xludf.DUMMYFUNCTION("IFERROR((FILTER(Data!G:G,Data!D:D=A56,Data!B:B=$B$1)),"""")"),"")</f>
        <v/>
      </c>
      <c r="D56" s="134" t="str">
        <f>IFERROR(__xludf.DUMMYFUNCTION("IFERROR((FILTER(Data!J:J,Data!D:D=A56,Data!B:B=$B$1)),"""")"),"")</f>
        <v/>
      </c>
      <c r="E56" s="134" t="str">
        <f>IFERROR(__xludf.DUMMYFUNCTION("IFERROR((FILTER(Data!L:L,Data!D:D=A56,Data!B:B=$B$1)),"""")"),"")</f>
        <v/>
      </c>
      <c r="F56" s="134" t="str">
        <f>IFERROR(__xludf.DUMMYFUNCTION("IFERROR((FILTER(Data!K:K,Data!D:D=A56,Data!B:B=$B$1)),"""")"),"")</f>
        <v/>
      </c>
      <c r="G56" s="134" t="str">
        <f>IFERROR(__xludf.DUMMYFUNCTION("IFERROR((FILTER(Data!M:M,Data!D:D=A56,Data!B:B=$B$1)),"""")"),"")</f>
        <v/>
      </c>
      <c r="H56" s="134" t="str">
        <f>IFERROR(__xludf.DUMMYFUNCTION("IFERROR((FILTER(Data!G:G,Data!D:D=A56,Data!B:B=$B$1)*4)+(FILTER(Data!H:H,Data!D:D=A56,Data!B:B=$B$1)*2),"""")"),"")</f>
        <v/>
      </c>
      <c r="I56" s="15" t="str">
        <f>IFERROR(__xludf.DUMMYFUNCTION("IFERROR((FILTER(Data!K:K,Data!D:D=A56,Data!B:B=$B$1)*2)+(FILTER(Data!L:L,Data!D:D=A56,Data!B:B=$B$1)),"""")"),"")</f>
        <v/>
      </c>
      <c r="J56" s="134" t="str">
        <f>IFERROR(__xludf.DUMMYFUNCTION("IFERROR((FILTER(Data!N:N,Data!D:D=A56,Data!B:B=$B$1)),"""")"),"")</f>
        <v/>
      </c>
      <c r="K56" s="135" t="str">
        <f>IFERROR(__xludf.DUMMYFUNCTION("IFERROR((FILTER(Data!H:H,Data!D:D=A56,Data!B:B=$B$1)*2)+(FILTER(Data!L:L,Data!D:D=A56,Data!B:B=$B$1))+(FILTER(Data!G:G,Data!D:D=A56,Data!B:B=$B$1)*4)+(FILTER(Data!K:K,Data!D:D=A56,Data!B:B=$B$1)*2)+(((COUNTIF(FILTER(Data!N:N,Data!D:D=A56,Data!B:B=$B$1),"""&amp;"TRAVERSE"")*15)+(COUNTIF(FILTER(Data!N:N,Data!D:D=A56,Data!B:B=$B$1),""HIGH"")*10)+(COUNTIF(FILTER(Data!N:N,Data!D:D=A56,Data!B:B=$B$1),""MIDDLE"")*6)+(COUNTIF(FILTER(Data!N:N,Data!D:D=A56,Data!B:B=$B$1),""LOW"")*4))),"""")"),"")</f>
        <v/>
      </c>
      <c r="L56" s="136" t="str">
        <f>IFERROR(__xludf.DUMMYFUNCTION("IFERROR((FILTER(Data!P:P,Data!D:D=A56,Data!B:B=$B$1)),"""")"),"")</f>
        <v/>
      </c>
      <c r="M56" s="137" t="str">
        <f>IFERROR(__xludf.DUMMYFUNCTION("IFERROR((FILTER(Data!A:A,Data!D:D=A56,Data!B:B=$B$1)),"""")"),"")</f>
        <v/>
      </c>
      <c r="T56" s="52">
        <f>IFERROR(__xludf.DUMMYFUNCTION("((COUNTIF(FILTER(Data!N:N,Data!D:D=A56,Data!B:B=$B$1),""TRAVERSE"")*15)+(COUNTIF(FILTER(Data!N:N,Data!D:D=A56,Data!B:B=B$1),""HIGH"")*10)+(COUNTIF(FILTER(Data!N:N,Data!D:D=A56,Data!B:B=$B$1),""MIDDLE"")*6)+(COUNTIF(FILTER(Data!N:N,Data!D:D=A56,Data!B:B=$B"&amp;"$1),""LOW"")*4))"),0.0)</f>
        <v>0</v>
      </c>
      <c r="V56" s="138" t="str">
        <f>IF(Data!B48='Team Parser'!$B$1, Data!D48,"")</f>
        <v/>
      </c>
      <c r="W56" s="134" t="str">
        <f>IF(Data!$B48='Team Parser'!$B$1, Data!H48,"")</f>
        <v/>
      </c>
      <c r="X56" s="134" t="str">
        <f>IF(Data!$B48='Team Parser'!$B$1, Data!G48,"")</f>
        <v/>
      </c>
      <c r="Y56" s="134" t="str">
        <f>IF(Data!$B48='Team Parser'!$B$1, Data!L48,"")</f>
        <v/>
      </c>
      <c r="Z56" s="134" t="str">
        <f>IF(Data!$B48='Team Parser'!$B$1, Data!K48,"")</f>
        <v/>
      </c>
      <c r="AA56" s="134" t="str">
        <f>IF(Data!$B48='Team Parser'!$B$1, Data!M48,"")</f>
        <v/>
      </c>
      <c r="AB56" s="134" t="str">
        <f>IF(Data!$B48='Team Parser'!$B$1,((Z56*2)+(Y56)+(X56*4)+(W56*2)),"")</f>
        <v/>
      </c>
      <c r="AC56" s="134" t="str">
        <f>IF(Data!$B48='Team Parser'!$B$1, Data!N48,"")</f>
        <v/>
      </c>
      <c r="AD56" s="139" t="str">
        <f>IF(Data!$B48='Team Parser'!$B$1,(AB56+(COUNTIF(AC56,"TRAVERSE")*15)+(COUNTIF(AC56,"HIGH")*10)+(COUNTIF(AC56,"MIDDLE")*6)+(COUNTIF(AC56,"LOW")*4)),"")</f>
        <v/>
      </c>
    </row>
    <row r="57">
      <c r="A57" s="133" t="s">
        <v>507</v>
      </c>
      <c r="B57" s="134" t="str">
        <f>IFERROR(__xludf.DUMMYFUNCTION("IFERROR((FILTER(Data!H:H,Data!D:D=A57,Data!B:B=$B$1)),"""")"),"")</f>
        <v/>
      </c>
      <c r="C57" s="134" t="str">
        <f>IFERROR(__xludf.DUMMYFUNCTION("IFERROR((FILTER(Data!G:G,Data!D:D=A57,Data!B:B=$B$1)),"""")"),"")</f>
        <v/>
      </c>
      <c r="D57" s="134" t="str">
        <f>IFERROR(__xludf.DUMMYFUNCTION("IFERROR((FILTER(Data!J:J,Data!D:D=A57,Data!B:B=$B$1)),"""")"),"")</f>
        <v/>
      </c>
      <c r="E57" s="134" t="str">
        <f>IFERROR(__xludf.DUMMYFUNCTION("IFERROR((FILTER(Data!L:L,Data!D:D=A57,Data!B:B=$B$1)),"""")"),"")</f>
        <v/>
      </c>
      <c r="F57" s="134" t="str">
        <f>IFERROR(__xludf.DUMMYFUNCTION("IFERROR((FILTER(Data!K:K,Data!D:D=A57,Data!B:B=$B$1)),"""")"),"")</f>
        <v/>
      </c>
      <c r="G57" s="134" t="str">
        <f>IFERROR(__xludf.DUMMYFUNCTION("IFERROR((FILTER(Data!M:M,Data!D:D=A57,Data!B:B=$B$1)),"""")"),"")</f>
        <v/>
      </c>
      <c r="H57" s="134" t="str">
        <f>IFERROR(__xludf.DUMMYFUNCTION("IFERROR((FILTER(Data!G:G,Data!D:D=A57,Data!B:B=$B$1)*4)+(FILTER(Data!H:H,Data!D:D=A57,Data!B:B=$B$1)*2),"""")"),"")</f>
        <v/>
      </c>
      <c r="I57" s="15" t="str">
        <f>IFERROR(__xludf.DUMMYFUNCTION("IFERROR((FILTER(Data!K:K,Data!D:D=A57,Data!B:B=$B$1)*2)+(FILTER(Data!L:L,Data!D:D=A57,Data!B:B=$B$1)),"""")"),"")</f>
        <v/>
      </c>
      <c r="J57" s="134" t="str">
        <f>IFERROR(__xludf.DUMMYFUNCTION("IFERROR((FILTER(Data!N:N,Data!D:D=A57,Data!B:B=$B$1)),"""")"),"")</f>
        <v/>
      </c>
      <c r="K57" s="135" t="str">
        <f>IFERROR(__xludf.DUMMYFUNCTION("IFERROR((FILTER(Data!H:H,Data!D:D=A57,Data!B:B=$B$1)*2)+(FILTER(Data!L:L,Data!D:D=A57,Data!B:B=$B$1))+(FILTER(Data!G:G,Data!D:D=A57,Data!B:B=$B$1)*4)+(FILTER(Data!K:K,Data!D:D=A57,Data!B:B=$B$1)*2)+(((COUNTIF(FILTER(Data!N:N,Data!D:D=A57,Data!B:B=$B$1),"""&amp;"TRAVERSE"")*15)+(COUNTIF(FILTER(Data!N:N,Data!D:D=A57,Data!B:B=$B$1),""HIGH"")*10)+(COUNTIF(FILTER(Data!N:N,Data!D:D=A57,Data!B:B=$B$1),""MIDDLE"")*6)+(COUNTIF(FILTER(Data!N:N,Data!D:D=A57,Data!B:B=$B$1),""LOW"")*4))),"""")"),"")</f>
        <v/>
      </c>
      <c r="L57" s="136" t="str">
        <f>IFERROR(__xludf.DUMMYFUNCTION("IFERROR((FILTER(Data!P:P,Data!D:D=A57,Data!B:B=$B$1)),"""")"),"")</f>
        <v/>
      </c>
      <c r="M57" s="137" t="str">
        <f>IFERROR(__xludf.DUMMYFUNCTION("IFERROR((FILTER(Data!A:A,Data!D:D=A57,Data!B:B=$B$1)),"""")"),"")</f>
        <v/>
      </c>
      <c r="T57" s="52">
        <f>IFERROR(__xludf.DUMMYFUNCTION("((COUNTIF(FILTER(Data!N:N,Data!D:D=A57,Data!B:B=$B$1),""TRAVERSE"")*15)+(COUNTIF(FILTER(Data!N:N,Data!D:D=A57,Data!B:B=B$1),""HIGH"")*10)+(COUNTIF(FILTER(Data!N:N,Data!D:D=A57,Data!B:B=$B$1),""MIDDLE"")*6)+(COUNTIF(FILTER(Data!N:N,Data!D:D=A57,Data!B:B=$B"&amp;"$1),""LOW"")*4))"),0.0)</f>
        <v>0</v>
      </c>
      <c r="V57" s="138" t="str">
        <f>IF(Data!B49='Team Parser'!$B$1, Data!D49,"")</f>
        <v/>
      </c>
      <c r="W57" s="134" t="str">
        <f>IF(Data!$B49='Team Parser'!$B$1, Data!H49,"")</f>
        <v/>
      </c>
      <c r="X57" s="134" t="str">
        <f>IF(Data!$B49='Team Parser'!$B$1, Data!G49,"")</f>
        <v/>
      </c>
      <c r="Y57" s="134" t="str">
        <f>IF(Data!$B49='Team Parser'!$B$1, Data!L49,"")</f>
        <v/>
      </c>
      <c r="Z57" s="134" t="str">
        <f>IF(Data!$B49='Team Parser'!$B$1, Data!K49,"")</f>
        <v/>
      </c>
      <c r="AA57" s="134" t="str">
        <f>IF(Data!$B49='Team Parser'!$B$1, Data!M49,"")</f>
        <v/>
      </c>
      <c r="AB57" s="134" t="str">
        <f>IF(Data!$B49='Team Parser'!$B$1,((Z57*2)+(Y57)+(X57*4)+(W57*2)),"")</f>
        <v/>
      </c>
      <c r="AC57" s="134" t="str">
        <f>IF(Data!$B49='Team Parser'!$B$1, Data!N49,"")</f>
        <v/>
      </c>
      <c r="AD57" s="139" t="str">
        <f>IF(Data!$B49='Team Parser'!$B$1,(AB57+(COUNTIF(AC57,"TRAVERSE")*15)+(COUNTIF(AC57,"HIGH")*10)+(COUNTIF(AC57,"MIDDLE")*6)+(COUNTIF(AC57,"LOW")*4)),"")</f>
        <v/>
      </c>
    </row>
    <row r="58">
      <c r="A58" s="133" t="s">
        <v>507</v>
      </c>
      <c r="B58" s="134" t="str">
        <f>IFERROR(__xludf.DUMMYFUNCTION("IFERROR((FILTER(Data!H:H,Data!D:D=A58,Data!B:B=$B$1)),"""")"),"")</f>
        <v/>
      </c>
      <c r="C58" s="134" t="str">
        <f>IFERROR(__xludf.DUMMYFUNCTION("IFERROR((FILTER(Data!G:G,Data!D:D=A58,Data!B:B=$B$1)),"""")"),"")</f>
        <v/>
      </c>
      <c r="D58" s="134" t="str">
        <f>IFERROR(__xludf.DUMMYFUNCTION("IFERROR((FILTER(Data!J:J,Data!D:D=A58,Data!B:B=$B$1)),"""")"),"")</f>
        <v/>
      </c>
      <c r="E58" s="134" t="str">
        <f>IFERROR(__xludf.DUMMYFUNCTION("IFERROR((FILTER(Data!L:L,Data!D:D=A58,Data!B:B=$B$1)),"""")"),"")</f>
        <v/>
      </c>
      <c r="F58" s="134" t="str">
        <f>IFERROR(__xludf.DUMMYFUNCTION("IFERROR((FILTER(Data!K:K,Data!D:D=A58,Data!B:B=$B$1)),"""")"),"")</f>
        <v/>
      </c>
      <c r="G58" s="134" t="str">
        <f>IFERROR(__xludf.DUMMYFUNCTION("IFERROR((FILTER(Data!M:M,Data!D:D=A58,Data!B:B=$B$1)),"""")"),"")</f>
        <v/>
      </c>
      <c r="H58" s="134" t="str">
        <f>IFERROR(__xludf.DUMMYFUNCTION("IFERROR((FILTER(Data!G:G,Data!D:D=A58,Data!B:B=$B$1)*4)+(FILTER(Data!H:H,Data!D:D=A58,Data!B:B=$B$1)*2),"""")"),"")</f>
        <v/>
      </c>
      <c r="I58" s="15" t="str">
        <f>IFERROR(__xludf.DUMMYFUNCTION("IFERROR((FILTER(Data!K:K,Data!D:D=A58,Data!B:B=$B$1)*2)+(FILTER(Data!L:L,Data!D:D=A58,Data!B:B=$B$1)),"""")"),"")</f>
        <v/>
      </c>
      <c r="J58" s="134" t="str">
        <f>IFERROR(__xludf.DUMMYFUNCTION("IFERROR((FILTER(Data!N:N,Data!D:D=A58,Data!B:B=$B$1)),"""")"),"")</f>
        <v/>
      </c>
      <c r="K58" s="135" t="str">
        <f>IFERROR(__xludf.DUMMYFUNCTION("IFERROR((FILTER(Data!H:H,Data!D:D=A58,Data!B:B=$B$1)*2)+(FILTER(Data!L:L,Data!D:D=A58,Data!B:B=$B$1))+(FILTER(Data!G:G,Data!D:D=A58,Data!B:B=$B$1)*4)+(FILTER(Data!K:K,Data!D:D=A58,Data!B:B=$B$1)*2)+(((COUNTIF(FILTER(Data!N:N,Data!D:D=A58,Data!B:B=$B$1),"""&amp;"TRAVERSE"")*15)+(COUNTIF(FILTER(Data!N:N,Data!D:D=A58,Data!B:B=$B$1),""HIGH"")*10)+(COUNTIF(FILTER(Data!N:N,Data!D:D=A58,Data!B:B=$B$1),""MIDDLE"")*6)+(COUNTIF(FILTER(Data!N:N,Data!D:D=A58,Data!B:B=$B$1),""LOW"")*4))),"""")"),"")</f>
        <v/>
      </c>
      <c r="L58" s="136" t="str">
        <f>IFERROR(__xludf.DUMMYFUNCTION("IFERROR((FILTER(Data!P:P,Data!D:D=A58,Data!B:B=$B$1)),"""")"),"")</f>
        <v/>
      </c>
      <c r="M58" s="137" t="str">
        <f>IFERROR(__xludf.DUMMYFUNCTION("IFERROR((FILTER(Data!A:A,Data!D:D=A58,Data!B:B=$B$1)),"""")"),"")</f>
        <v/>
      </c>
      <c r="T58" s="52">
        <f>IFERROR(__xludf.DUMMYFUNCTION("((COUNTIF(FILTER(Data!N:N,Data!D:D=A58,Data!B:B=$B$1),""TRAVERSE"")*15)+(COUNTIF(FILTER(Data!N:N,Data!D:D=A58,Data!B:B=B$1),""HIGH"")*10)+(COUNTIF(FILTER(Data!N:N,Data!D:D=A58,Data!B:B=$B$1),""MIDDLE"")*6)+(COUNTIF(FILTER(Data!N:N,Data!D:D=A58,Data!B:B=$B"&amp;"$1),""LOW"")*4))"),0.0)</f>
        <v>0</v>
      </c>
      <c r="V58" s="138" t="str">
        <f>IF(Data!B50='Team Parser'!$B$1, Data!D50,"")</f>
        <v/>
      </c>
      <c r="W58" s="134" t="str">
        <f>IF(Data!$B50='Team Parser'!$B$1, Data!H50,"")</f>
        <v/>
      </c>
      <c r="X58" s="134" t="str">
        <f>IF(Data!$B50='Team Parser'!$B$1, Data!G50,"")</f>
        <v/>
      </c>
      <c r="Y58" s="134" t="str">
        <f>IF(Data!$B50='Team Parser'!$B$1, Data!L50,"")</f>
        <v/>
      </c>
      <c r="Z58" s="134" t="str">
        <f>IF(Data!$B50='Team Parser'!$B$1, Data!K50,"")</f>
        <v/>
      </c>
      <c r="AA58" s="134" t="str">
        <f>IF(Data!$B50='Team Parser'!$B$1, Data!M50,"")</f>
        <v/>
      </c>
      <c r="AB58" s="134" t="str">
        <f>IF(Data!$B50='Team Parser'!$B$1,((Z58*2)+(Y58)+(X58*4)+(W58*2)),"")</f>
        <v/>
      </c>
      <c r="AC58" s="134" t="str">
        <f>IF(Data!$B50='Team Parser'!$B$1, Data!N50,"")</f>
        <v/>
      </c>
      <c r="AD58" s="139" t="str">
        <f>IF(Data!$B50='Team Parser'!$B$1,(AB58+(COUNTIF(AC58,"TRAVERSE")*15)+(COUNTIF(AC58,"HIGH")*10)+(COUNTIF(AC58,"MIDDLE")*6)+(COUNTIF(AC58,"LOW")*4)),"")</f>
        <v/>
      </c>
    </row>
    <row r="59">
      <c r="A59" s="133" t="s">
        <v>507</v>
      </c>
      <c r="B59" s="134" t="str">
        <f>IFERROR(__xludf.DUMMYFUNCTION("IFERROR((FILTER(Data!H:H,Data!D:D=A59,Data!B:B=$B$1)),"""")"),"")</f>
        <v/>
      </c>
      <c r="C59" s="134" t="str">
        <f>IFERROR(__xludf.DUMMYFUNCTION("IFERROR((FILTER(Data!G:G,Data!D:D=A59,Data!B:B=$B$1)),"""")"),"")</f>
        <v/>
      </c>
      <c r="D59" s="134" t="str">
        <f>IFERROR(__xludf.DUMMYFUNCTION("IFERROR((FILTER(Data!J:J,Data!D:D=A59,Data!B:B=$B$1)),"""")"),"")</f>
        <v/>
      </c>
      <c r="E59" s="134" t="str">
        <f>IFERROR(__xludf.DUMMYFUNCTION("IFERROR((FILTER(Data!L:L,Data!D:D=A59,Data!B:B=$B$1)),"""")"),"")</f>
        <v/>
      </c>
      <c r="F59" s="134" t="str">
        <f>IFERROR(__xludf.DUMMYFUNCTION("IFERROR((FILTER(Data!K:K,Data!D:D=A59,Data!B:B=$B$1)),"""")"),"")</f>
        <v/>
      </c>
      <c r="G59" s="134" t="str">
        <f>IFERROR(__xludf.DUMMYFUNCTION("IFERROR((FILTER(Data!M:M,Data!D:D=A59,Data!B:B=$B$1)),"""")"),"")</f>
        <v/>
      </c>
      <c r="H59" s="134" t="str">
        <f>IFERROR(__xludf.DUMMYFUNCTION("IFERROR((FILTER(Data!G:G,Data!D:D=A59,Data!B:B=$B$1)*4)+(FILTER(Data!H:H,Data!D:D=A59,Data!B:B=$B$1)*2),"""")"),"")</f>
        <v/>
      </c>
      <c r="I59" s="15" t="str">
        <f>IFERROR(__xludf.DUMMYFUNCTION("IFERROR((FILTER(Data!K:K,Data!D:D=A59,Data!B:B=$B$1)*2)+(FILTER(Data!L:L,Data!D:D=A59,Data!B:B=$B$1)),"""")"),"")</f>
        <v/>
      </c>
      <c r="J59" s="134" t="str">
        <f>IFERROR(__xludf.DUMMYFUNCTION("IFERROR((FILTER(Data!N:N,Data!D:D=A59,Data!B:B=$B$1)),"""")"),"")</f>
        <v/>
      </c>
      <c r="K59" s="135" t="str">
        <f>IFERROR(__xludf.DUMMYFUNCTION("IFERROR((FILTER(Data!H:H,Data!D:D=A59,Data!B:B=$B$1)*2)+(FILTER(Data!L:L,Data!D:D=A59,Data!B:B=$B$1))+(FILTER(Data!G:G,Data!D:D=A59,Data!B:B=$B$1)*4)+(FILTER(Data!K:K,Data!D:D=A59,Data!B:B=$B$1)*2)+(((COUNTIF(FILTER(Data!N:N,Data!D:D=A59,Data!B:B=$B$1),"""&amp;"TRAVERSE"")*15)+(COUNTIF(FILTER(Data!N:N,Data!D:D=A59,Data!B:B=$B$1),""HIGH"")*10)+(COUNTIF(FILTER(Data!N:N,Data!D:D=A59,Data!B:B=$B$1),""MIDDLE"")*6)+(COUNTIF(FILTER(Data!N:N,Data!D:D=A59,Data!B:B=$B$1),""LOW"")*4))),"""")"),"")</f>
        <v/>
      </c>
      <c r="L59" s="136" t="str">
        <f>IFERROR(__xludf.DUMMYFUNCTION("IFERROR((FILTER(Data!P:P,Data!D:D=A59,Data!B:B=$B$1)),"""")"),"")</f>
        <v/>
      </c>
      <c r="M59" s="137" t="str">
        <f>IFERROR(__xludf.DUMMYFUNCTION("IFERROR((FILTER(Data!A:A,Data!D:D=A59,Data!B:B=$B$1)),"""")"),"")</f>
        <v/>
      </c>
      <c r="T59" s="52">
        <f>IFERROR(__xludf.DUMMYFUNCTION("((COUNTIF(FILTER(Data!N:N,Data!D:D=A59,Data!B:B=$B$1),""TRAVERSE"")*15)+(COUNTIF(FILTER(Data!N:N,Data!D:D=A59,Data!B:B=B$1),""HIGH"")*10)+(COUNTIF(FILTER(Data!N:N,Data!D:D=A59,Data!B:B=$B$1),""MIDDLE"")*6)+(COUNTIF(FILTER(Data!N:N,Data!D:D=A59,Data!B:B=$B"&amp;"$1),""LOW"")*4))"),0.0)</f>
        <v>0</v>
      </c>
      <c r="V59" s="138" t="str">
        <f>IF(Data!B51='Team Parser'!$B$1, Data!D51,"")</f>
        <v/>
      </c>
      <c r="W59" s="134" t="str">
        <f>IF(Data!$B51='Team Parser'!$B$1, Data!H51,"")</f>
        <v/>
      </c>
      <c r="X59" s="134" t="str">
        <f>IF(Data!$B51='Team Parser'!$B$1, Data!G51,"")</f>
        <v/>
      </c>
      <c r="Y59" s="134" t="str">
        <f>IF(Data!$B51='Team Parser'!$B$1, Data!L51,"")</f>
        <v/>
      </c>
      <c r="Z59" s="134" t="str">
        <f>IF(Data!$B51='Team Parser'!$B$1, Data!K51,"")</f>
        <v/>
      </c>
      <c r="AA59" s="134" t="str">
        <f>IF(Data!$B51='Team Parser'!$B$1, Data!M51,"")</f>
        <v/>
      </c>
      <c r="AB59" s="134" t="str">
        <f>IF(Data!$B51='Team Parser'!$B$1,((Z59*2)+(Y59)+(X59*4)+(W59*2)),"")</f>
        <v/>
      </c>
      <c r="AC59" s="134" t="str">
        <f>IF(Data!$B51='Team Parser'!$B$1, Data!N51,"")</f>
        <v/>
      </c>
      <c r="AD59" s="139" t="str">
        <f>IF(Data!$B51='Team Parser'!$B$1,(AB59+(COUNTIF(AC59,"TRAVERSE")*15)+(COUNTIF(AC59,"HIGH")*10)+(COUNTIF(AC59,"MIDDLE")*6)+(COUNTIF(AC59,"LOW")*4)),"")</f>
        <v/>
      </c>
    </row>
    <row r="60">
      <c r="A60" s="133" t="s">
        <v>507</v>
      </c>
      <c r="B60" s="134" t="str">
        <f>IFERROR(__xludf.DUMMYFUNCTION("IFERROR((FILTER(Data!H:H,Data!D:D=A60,Data!B:B=$B$1)),"""")"),"")</f>
        <v/>
      </c>
      <c r="C60" s="134" t="str">
        <f>IFERROR(__xludf.DUMMYFUNCTION("IFERROR((FILTER(Data!G:G,Data!D:D=A60,Data!B:B=$B$1)),"""")"),"")</f>
        <v/>
      </c>
      <c r="D60" s="134" t="str">
        <f>IFERROR(__xludf.DUMMYFUNCTION("IFERROR((FILTER(Data!J:J,Data!D:D=A60,Data!B:B=$B$1)),"""")"),"")</f>
        <v/>
      </c>
      <c r="E60" s="134" t="str">
        <f>IFERROR(__xludf.DUMMYFUNCTION("IFERROR((FILTER(Data!L:L,Data!D:D=A60,Data!B:B=$B$1)),"""")"),"")</f>
        <v/>
      </c>
      <c r="F60" s="134" t="str">
        <f>IFERROR(__xludf.DUMMYFUNCTION("IFERROR((FILTER(Data!K:K,Data!D:D=A60,Data!B:B=$B$1)),"""")"),"")</f>
        <v/>
      </c>
      <c r="G60" s="134" t="str">
        <f>IFERROR(__xludf.DUMMYFUNCTION("IFERROR((FILTER(Data!M:M,Data!D:D=A60,Data!B:B=$B$1)),"""")"),"")</f>
        <v/>
      </c>
      <c r="H60" s="134" t="str">
        <f>IFERROR(__xludf.DUMMYFUNCTION("IFERROR((FILTER(Data!G:G,Data!D:D=A60,Data!B:B=$B$1)*4)+(FILTER(Data!H:H,Data!D:D=A60,Data!B:B=$B$1)*2),"""")"),"")</f>
        <v/>
      </c>
      <c r="I60" s="15" t="str">
        <f>IFERROR(__xludf.DUMMYFUNCTION("IFERROR((FILTER(Data!K:K,Data!D:D=A60,Data!B:B=$B$1)*2)+(FILTER(Data!L:L,Data!D:D=A60,Data!B:B=$B$1)),"""")"),"")</f>
        <v/>
      </c>
      <c r="J60" s="134" t="str">
        <f>IFERROR(__xludf.DUMMYFUNCTION("IFERROR((FILTER(Data!N:N,Data!D:D=A60,Data!B:B=$B$1)),"""")"),"")</f>
        <v/>
      </c>
      <c r="K60" s="135" t="str">
        <f>IFERROR(__xludf.DUMMYFUNCTION("IFERROR((FILTER(Data!H:H,Data!D:D=A60,Data!B:B=$B$1)*2)+(FILTER(Data!L:L,Data!D:D=A60,Data!B:B=$B$1))+(FILTER(Data!G:G,Data!D:D=A60,Data!B:B=$B$1)*4)+(FILTER(Data!K:K,Data!D:D=A60,Data!B:B=$B$1)*2)+(((COUNTIF(FILTER(Data!N:N,Data!D:D=A60,Data!B:B=$B$1),"""&amp;"TRAVERSE"")*15)+(COUNTIF(FILTER(Data!N:N,Data!D:D=A60,Data!B:B=$B$1),""HIGH"")*10)+(COUNTIF(FILTER(Data!N:N,Data!D:D=A60,Data!B:B=$B$1),""MIDDLE"")*6)+(COUNTIF(FILTER(Data!N:N,Data!D:D=A60,Data!B:B=$B$1),""LOW"")*4))),"""")"),"")</f>
        <v/>
      </c>
      <c r="L60" s="136" t="str">
        <f>IFERROR(__xludf.DUMMYFUNCTION("IFERROR((FILTER(Data!P:P,Data!D:D=A60,Data!B:B=$B$1)),"""")"),"")</f>
        <v/>
      </c>
      <c r="M60" s="137" t="str">
        <f>IFERROR(__xludf.DUMMYFUNCTION("IFERROR((FILTER(Data!A:A,Data!D:D=A60,Data!B:B=$B$1)),"""")"),"")</f>
        <v/>
      </c>
      <c r="T60" s="52">
        <f>IFERROR(__xludf.DUMMYFUNCTION("((COUNTIF(FILTER(Data!N:N,Data!D:D=A60,Data!B:B=$B$1),""TRAVERSE"")*15)+(COUNTIF(FILTER(Data!N:N,Data!D:D=A60,Data!B:B=B$1),""HIGH"")*10)+(COUNTIF(FILTER(Data!N:N,Data!D:D=A60,Data!B:B=$B$1),""MIDDLE"")*6)+(COUNTIF(FILTER(Data!N:N,Data!D:D=A60,Data!B:B=$B"&amp;"$1),""LOW"")*4))"),0.0)</f>
        <v>0</v>
      </c>
      <c r="V60" s="138" t="str">
        <f>IF(Data!B52='Team Parser'!$B$1, Data!D52,"")</f>
        <v/>
      </c>
      <c r="W60" s="134" t="str">
        <f>IF(Data!$B52='Team Parser'!$B$1, Data!H52,"")</f>
        <v/>
      </c>
      <c r="X60" s="134" t="str">
        <f>IF(Data!$B52='Team Parser'!$B$1, Data!G52,"")</f>
        <v/>
      </c>
      <c r="Y60" s="134" t="str">
        <f>IF(Data!$B52='Team Parser'!$B$1, Data!L52,"")</f>
        <v/>
      </c>
      <c r="Z60" s="134" t="str">
        <f>IF(Data!$B52='Team Parser'!$B$1, Data!K52,"")</f>
        <v/>
      </c>
      <c r="AA60" s="134" t="str">
        <f>IF(Data!$B52='Team Parser'!$B$1, Data!M52,"")</f>
        <v/>
      </c>
      <c r="AB60" s="134" t="str">
        <f>IF(Data!$B52='Team Parser'!$B$1,((Z60*2)+(Y60)+(X60*4)+(W60*2)),"")</f>
        <v/>
      </c>
      <c r="AC60" s="134" t="str">
        <f>IF(Data!$B52='Team Parser'!$B$1, Data!N52,"")</f>
        <v/>
      </c>
      <c r="AD60" s="139" t="str">
        <f>IF(Data!$B52='Team Parser'!$B$1,(AB60+(COUNTIF(AC60,"TRAVERSE")*15)+(COUNTIF(AC60,"HIGH")*10)+(COUNTIF(AC60,"MIDDLE")*6)+(COUNTIF(AC60,"LOW")*4)),"")</f>
        <v/>
      </c>
    </row>
    <row r="61">
      <c r="A61" s="133" t="s">
        <v>507</v>
      </c>
      <c r="B61" s="134" t="str">
        <f>IFERROR(__xludf.DUMMYFUNCTION("IFERROR((FILTER(Data!H:H,Data!D:D=A61,Data!B:B=$B$1)),"""")"),"")</f>
        <v/>
      </c>
      <c r="C61" s="134" t="str">
        <f>IFERROR(__xludf.DUMMYFUNCTION("IFERROR((FILTER(Data!G:G,Data!D:D=A61,Data!B:B=$B$1)),"""")"),"")</f>
        <v/>
      </c>
      <c r="D61" s="134" t="str">
        <f>IFERROR(__xludf.DUMMYFUNCTION("IFERROR((FILTER(Data!J:J,Data!D:D=A61,Data!B:B=$B$1)),"""")"),"")</f>
        <v/>
      </c>
      <c r="E61" s="134" t="str">
        <f>IFERROR(__xludf.DUMMYFUNCTION("IFERROR((FILTER(Data!L:L,Data!D:D=A61,Data!B:B=$B$1)),"""")"),"")</f>
        <v/>
      </c>
      <c r="F61" s="134" t="str">
        <f>IFERROR(__xludf.DUMMYFUNCTION("IFERROR((FILTER(Data!K:K,Data!D:D=A61,Data!B:B=$B$1)),"""")"),"")</f>
        <v/>
      </c>
      <c r="G61" s="134" t="str">
        <f>IFERROR(__xludf.DUMMYFUNCTION("IFERROR((FILTER(Data!M:M,Data!D:D=A61,Data!B:B=$B$1)),"""")"),"")</f>
        <v/>
      </c>
      <c r="H61" s="134" t="str">
        <f>IFERROR(__xludf.DUMMYFUNCTION("IFERROR((FILTER(Data!G:G,Data!D:D=A61,Data!B:B=$B$1)*4)+(FILTER(Data!H:H,Data!D:D=A61,Data!B:B=$B$1)*2),"""")"),"")</f>
        <v/>
      </c>
      <c r="I61" s="15" t="str">
        <f>IFERROR(__xludf.DUMMYFUNCTION("IFERROR((FILTER(Data!K:K,Data!D:D=A61,Data!B:B=$B$1)*2)+(FILTER(Data!L:L,Data!D:D=A61,Data!B:B=$B$1)),"""")"),"")</f>
        <v/>
      </c>
      <c r="J61" s="134" t="str">
        <f>IFERROR(__xludf.DUMMYFUNCTION("IFERROR((FILTER(Data!N:N,Data!D:D=A61,Data!B:B=$B$1)),"""")"),"")</f>
        <v/>
      </c>
      <c r="K61" s="135" t="str">
        <f>IFERROR(__xludf.DUMMYFUNCTION("IFERROR((FILTER(Data!H:H,Data!D:D=A61,Data!B:B=$B$1)*2)+(FILTER(Data!L:L,Data!D:D=A61,Data!B:B=$B$1))+(FILTER(Data!G:G,Data!D:D=A61,Data!B:B=$B$1)*4)+(FILTER(Data!K:K,Data!D:D=A61,Data!B:B=$B$1)*2)+(((COUNTIF(FILTER(Data!N:N,Data!D:D=A61,Data!B:B=$B$1),"""&amp;"TRAVERSE"")*15)+(COUNTIF(FILTER(Data!N:N,Data!D:D=A61,Data!B:B=$B$1),""HIGH"")*10)+(COUNTIF(FILTER(Data!N:N,Data!D:D=A61,Data!B:B=$B$1),""MIDDLE"")*6)+(COUNTIF(FILTER(Data!N:N,Data!D:D=A61,Data!B:B=$B$1),""LOW"")*4))),"""")"),"")</f>
        <v/>
      </c>
      <c r="L61" s="136" t="str">
        <f>IFERROR(__xludf.DUMMYFUNCTION("IFERROR((FILTER(Data!P:P,Data!D:D=A61,Data!B:B=$B$1)),"""")"),"")</f>
        <v/>
      </c>
      <c r="M61" s="137" t="str">
        <f>IFERROR(__xludf.DUMMYFUNCTION("IFERROR((FILTER(Data!A:A,Data!D:D=A61,Data!B:B=$B$1)),"""")"),"")</f>
        <v/>
      </c>
      <c r="T61" s="52">
        <f>IFERROR(__xludf.DUMMYFUNCTION("((COUNTIF(FILTER(Data!N:N,Data!D:D=A61,Data!B:B=$B$1),""TRAVERSE"")*15)+(COUNTIF(FILTER(Data!N:N,Data!D:D=A61,Data!B:B=B$1),""HIGH"")*10)+(COUNTIF(FILTER(Data!N:N,Data!D:D=A61,Data!B:B=$B$1),""MIDDLE"")*6)+(COUNTIF(FILTER(Data!N:N,Data!D:D=A61,Data!B:B=$B"&amp;"$1),""LOW"")*4))"),0.0)</f>
        <v>0</v>
      </c>
      <c r="V61" s="138" t="str">
        <f>IF(Data!B53='Team Parser'!$B$1, Data!D53,"")</f>
        <v/>
      </c>
      <c r="W61" s="134" t="str">
        <f>IF(Data!$B53='Team Parser'!$B$1, Data!H53,"")</f>
        <v/>
      </c>
      <c r="X61" s="134" t="str">
        <f>IF(Data!$B53='Team Parser'!$B$1, Data!G53,"")</f>
        <v/>
      </c>
      <c r="Y61" s="134" t="str">
        <f>IF(Data!$B53='Team Parser'!$B$1, Data!L53,"")</f>
        <v/>
      </c>
      <c r="Z61" s="134" t="str">
        <f>IF(Data!$B53='Team Parser'!$B$1, Data!K53,"")</f>
        <v/>
      </c>
      <c r="AA61" s="134" t="str">
        <f>IF(Data!$B53='Team Parser'!$B$1, Data!M53,"")</f>
        <v/>
      </c>
      <c r="AB61" s="134" t="str">
        <f>IF(Data!$B53='Team Parser'!$B$1,((Z61*2)+(Y61)+(X61*4)+(W61*2)),"")</f>
        <v/>
      </c>
      <c r="AC61" s="134" t="str">
        <f>IF(Data!$B53='Team Parser'!$B$1, Data!N53,"")</f>
        <v/>
      </c>
      <c r="AD61" s="139" t="str">
        <f>IF(Data!$B53='Team Parser'!$B$1,(AB61+(COUNTIF(AC61,"TRAVERSE")*15)+(COUNTIF(AC61,"HIGH")*10)+(COUNTIF(AC61,"MIDDLE")*6)+(COUNTIF(AC61,"LOW")*4)),"")</f>
        <v/>
      </c>
    </row>
    <row r="62">
      <c r="A62" s="133" t="s">
        <v>507</v>
      </c>
      <c r="B62" s="134" t="str">
        <f>IFERROR(__xludf.DUMMYFUNCTION("IFERROR((FILTER(Data!H:H,Data!D:D=A62,Data!B:B=$B$1)),"""")"),"")</f>
        <v/>
      </c>
      <c r="C62" s="134" t="str">
        <f>IFERROR(__xludf.DUMMYFUNCTION("IFERROR((FILTER(Data!G:G,Data!D:D=A62,Data!B:B=$B$1)),"""")"),"")</f>
        <v/>
      </c>
      <c r="D62" s="134" t="str">
        <f>IFERROR(__xludf.DUMMYFUNCTION("IFERROR((FILTER(Data!J:J,Data!D:D=A62,Data!B:B=$B$1)),"""")"),"")</f>
        <v/>
      </c>
      <c r="E62" s="134" t="str">
        <f>IFERROR(__xludf.DUMMYFUNCTION("IFERROR((FILTER(Data!L:L,Data!D:D=A62,Data!B:B=$B$1)),"""")"),"")</f>
        <v/>
      </c>
      <c r="F62" s="134" t="str">
        <f>IFERROR(__xludf.DUMMYFUNCTION("IFERROR((FILTER(Data!K:K,Data!D:D=A62,Data!B:B=$B$1)),"""")"),"")</f>
        <v/>
      </c>
      <c r="G62" s="134" t="str">
        <f>IFERROR(__xludf.DUMMYFUNCTION("IFERROR((FILTER(Data!M:M,Data!D:D=A62,Data!B:B=$B$1)),"""")"),"")</f>
        <v/>
      </c>
      <c r="H62" s="134" t="str">
        <f>IFERROR(__xludf.DUMMYFUNCTION("IFERROR((FILTER(Data!G:G,Data!D:D=A62,Data!B:B=$B$1)*4)+(FILTER(Data!H:H,Data!D:D=A62,Data!B:B=$B$1)*2),"""")"),"")</f>
        <v/>
      </c>
      <c r="I62" s="15" t="str">
        <f>IFERROR(__xludf.DUMMYFUNCTION("IFERROR((FILTER(Data!K:K,Data!D:D=A62,Data!B:B=$B$1)*2)+(FILTER(Data!L:L,Data!D:D=A62,Data!B:B=$B$1)),"""")"),"")</f>
        <v/>
      </c>
      <c r="J62" s="134" t="str">
        <f>IFERROR(__xludf.DUMMYFUNCTION("IFERROR((FILTER(Data!N:N,Data!D:D=A62,Data!B:B=$B$1)),"""")"),"")</f>
        <v/>
      </c>
      <c r="K62" s="135" t="str">
        <f>IFERROR(__xludf.DUMMYFUNCTION("IFERROR((FILTER(Data!H:H,Data!D:D=A62,Data!B:B=$B$1)*2)+(FILTER(Data!L:L,Data!D:D=A62,Data!B:B=$B$1))+(FILTER(Data!G:G,Data!D:D=A62,Data!B:B=$B$1)*4)+(FILTER(Data!K:K,Data!D:D=A62,Data!B:B=$B$1)*2)+(((COUNTIF(FILTER(Data!N:N,Data!D:D=A62,Data!B:B=$B$1),"""&amp;"TRAVERSE"")*15)+(COUNTIF(FILTER(Data!N:N,Data!D:D=A62,Data!B:B=$B$1),""HIGH"")*10)+(COUNTIF(FILTER(Data!N:N,Data!D:D=A62,Data!B:B=$B$1),""MIDDLE"")*6)+(COUNTIF(FILTER(Data!N:N,Data!D:D=A62,Data!B:B=$B$1),""LOW"")*4))),"""")"),"")</f>
        <v/>
      </c>
      <c r="L62" s="136" t="str">
        <f>IFERROR(__xludf.DUMMYFUNCTION("IFERROR((FILTER(Data!P:P,Data!D:D=A62,Data!B:B=$B$1)),"""")"),"")</f>
        <v/>
      </c>
      <c r="M62" s="137" t="str">
        <f>IFERROR(__xludf.DUMMYFUNCTION("IFERROR((FILTER(Data!A:A,Data!D:D=A62,Data!B:B=$B$1)),"""")"),"")</f>
        <v/>
      </c>
      <c r="T62" s="52">
        <f>IFERROR(__xludf.DUMMYFUNCTION("((COUNTIF(FILTER(Data!N:N,Data!D:D=A62,Data!B:B=$B$1),""TRAVERSE"")*15)+(COUNTIF(FILTER(Data!N:N,Data!D:D=A62,Data!B:B=B$1),""HIGH"")*10)+(COUNTIF(FILTER(Data!N:N,Data!D:D=A62,Data!B:B=$B$1),""MIDDLE"")*6)+(COUNTIF(FILTER(Data!N:N,Data!D:D=A62,Data!B:B=$B"&amp;"$1),""LOW"")*4))"),0.0)</f>
        <v>0</v>
      </c>
      <c r="V62" s="138" t="str">
        <f>IF(Data!B54='Team Parser'!$B$1, Data!D54,"")</f>
        <v/>
      </c>
      <c r="W62" s="134" t="str">
        <f>IF(Data!$B54='Team Parser'!$B$1, Data!H54,"")</f>
        <v/>
      </c>
      <c r="X62" s="134" t="str">
        <f>IF(Data!$B54='Team Parser'!$B$1, Data!G54,"")</f>
        <v/>
      </c>
      <c r="Y62" s="134" t="str">
        <f>IF(Data!$B54='Team Parser'!$B$1, Data!L54,"")</f>
        <v/>
      </c>
      <c r="Z62" s="134" t="str">
        <f>IF(Data!$B54='Team Parser'!$B$1, Data!K54,"")</f>
        <v/>
      </c>
      <c r="AA62" s="134" t="str">
        <f>IF(Data!$B54='Team Parser'!$B$1, Data!M54,"")</f>
        <v/>
      </c>
      <c r="AB62" s="134" t="str">
        <f>IF(Data!$B54='Team Parser'!$B$1,((Z62*2)+(Y62)+(X62*4)+(W62*2)),"")</f>
        <v/>
      </c>
      <c r="AC62" s="134" t="str">
        <f>IF(Data!$B54='Team Parser'!$B$1, Data!N54,"")</f>
        <v/>
      </c>
      <c r="AD62" s="139" t="str">
        <f>IF(Data!$B54='Team Parser'!$B$1,(AB62+(COUNTIF(AC62,"TRAVERSE")*15)+(COUNTIF(AC62,"HIGH")*10)+(COUNTIF(AC62,"MIDDLE")*6)+(COUNTIF(AC62,"LOW")*4)),"")</f>
        <v/>
      </c>
    </row>
    <row r="63">
      <c r="A63" s="133" t="s">
        <v>507</v>
      </c>
      <c r="B63" s="134" t="str">
        <f>IFERROR(__xludf.DUMMYFUNCTION("IFERROR((FILTER(Data!H:H,Data!D:D=A63,Data!B:B=$B$1)),"""")"),"")</f>
        <v/>
      </c>
      <c r="C63" s="134" t="str">
        <f>IFERROR(__xludf.DUMMYFUNCTION("IFERROR((FILTER(Data!G:G,Data!D:D=A63,Data!B:B=$B$1)),"""")"),"")</f>
        <v/>
      </c>
      <c r="D63" s="134" t="str">
        <f>IFERROR(__xludf.DUMMYFUNCTION("IFERROR((FILTER(Data!J:J,Data!D:D=A63,Data!B:B=$B$1)),"""")"),"")</f>
        <v/>
      </c>
      <c r="E63" s="134" t="str">
        <f>IFERROR(__xludf.DUMMYFUNCTION("IFERROR((FILTER(Data!L:L,Data!D:D=A63,Data!B:B=$B$1)),"""")"),"")</f>
        <v/>
      </c>
      <c r="F63" s="134" t="str">
        <f>IFERROR(__xludf.DUMMYFUNCTION("IFERROR((FILTER(Data!K:K,Data!D:D=A63,Data!B:B=$B$1)),"""")"),"")</f>
        <v/>
      </c>
      <c r="G63" s="134" t="str">
        <f>IFERROR(__xludf.DUMMYFUNCTION("IFERROR((FILTER(Data!M:M,Data!D:D=A63,Data!B:B=$B$1)),"""")"),"")</f>
        <v/>
      </c>
      <c r="H63" s="134" t="str">
        <f>IFERROR(__xludf.DUMMYFUNCTION("IFERROR((FILTER(Data!G:G,Data!D:D=A63,Data!B:B=$B$1)*4)+(FILTER(Data!H:H,Data!D:D=A63,Data!B:B=$B$1)*2),"""")"),"")</f>
        <v/>
      </c>
      <c r="I63" s="15" t="str">
        <f>IFERROR(__xludf.DUMMYFUNCTION("IFERROR((FILTER(Data!K:K,Data!D:D=A63,Data!B:B=$B$1)*2)+(FILTER(Data!L:L,Data!D:D=A63,Data!B:B=$B$1)),"""")"),"")</f>
        <v/>
      </c>
      <c r="J63" s="134" t="str">
        <f>IFERROR(__xludf.DUMMYFUNCTION("IFERROR((FILTER(Data!N:N,Data!D:D=A63,Data!B:B=$B$1)),"""")"),"")</f>
        <v/>
      </c>
      <c r="K63" s="135" t="str">
        <f>IFERROR(__xludf.DUMMYFUNCTION("IFERROR((FILTER(Data!H:H,Data!D:D=A63,Data!B:B=$B$1)*2)+(FILTER(Data!L:L,Data!D:D=A63,Data!B:B=$B$1))+(FILTER(Data!G:G,Data!D:D=A63,Data!B:B=$B$1)*4)+(FILTER(Data!K:K,Data!D:D=A63,Data!B:B=$B$1)*2)+(((COUNTIF(FILTER(Data!N:N,Data!D:D=A63,Data!B:B=$B$1),"""&amp;"TRAVERSE"")*15)+(COUNTIF(FILTER(Data!N:N,Data!D:D=A63,Data!B:B=$B$1),""HIGH"")*10)+(COUNTIF(FILTER(Data!N:N,Data!D:D=A63,Data!B:B=$B$1),""MIDDLE"")*6)+(COUNTIF(FILTER(Data!N:N,Data!D:D=A63,Data!B:B=$B$1),""LOW"")*4))),"""")"),"")</f>
        <v/>
      </c>
      <c r="L63" s="136" t="str">
        <f>IFERROR(__xludf.DUMMYFUNCTION("IFERROR((FILTER(Data!P:P,Data!D:D=A63,Data!B:B=$B$1)),"""")"),"")</f>
        <v/>
      </c>
      <c r="M63" s="137" t="str">
        <f>IFERROR(__xludf.DUMMYFUNCTION("IFERROR((FILTER(Data!A:A,Data!D:D=A63,Data!B:B=$B$1)),"""")"),"")</f>
        <v/>
      </c>
      <c r="T63" s="52">
        <f>IFERROR(__xludf.DUMMYFUNCTION("((COUNTIF(FILTER(Data!N:N,Data!D:D=A63,Data!B:B=$B$1),""TRAVERSE"")*15)+(COUNTIF(FILTER(Data!N:N,Data!D:D=A63,Data!B:B=B$1),""HIGH"")*10)+(COUNTIF(FILTER(Data!N:N,Data!D:D=A63,Data!B:B=$B$1),""MIDDLE"")*6)+(COUNTIF(FILTER(Data!N:N,Data!D:D=A63,Data!B:B=$B"&amp;"$1),""LOW"")*4))"),0.0)</f>
        <v>0</v>
      </c>
      <c r="V63" s="138" t="str">
        <f>IF(Data!B55='Team Parser'!$B$1, Data!D55,"")</f>
        <v/>
      </c>
      <c r="W63" s="134" t="str">
        <f>IF(Data!$B55='Team Parser'!$B$1, Data!H55,"")</f>
        <v/>
      </c>
      <c r="X63" s="134" t="str">
        <f>IF(Data!$B55='Team Parser'!$B$1, Data!G55,"")</f>
        <v/>
      </c>
      <c r="Y63" s="134" t="str">
        <f>IF(Data!$B55='Team Parser'!$B$1, Data!L55,"")</f>
        <v/>
      </c>
      <c r="Z63" s="134" t="str">
        <f>IF(Data!$B55='Team Parser'!$B$1, Data!K55,"")</f>
        <v/>
      </c>
      <c r="AA63" s="134" t="str">
        <f>IF(Data!$B55='Team Parser'!$B$1, Data!M55,"")</f>
        <v/>
      </c>
      <c r="AB63" s="134" t="str">
        <f>IF(Data!$B55='Team Parser'!$B$1,((Z63*2)+(Y63)+(X63*4)+(W63*2)),"")</f>
        <v/>
      </c>
      <c r="AC63" s="134" t="str">
        <f>IF(Data!$B55='Team Parser'!$B$1, Data!N55,"")</f>
        <v/>
      </c>
      <c r="AD63" s="139" t="str">
        <f>IF(Data!$B55='Team Parser'!$B$1,(AB63+(COUNTIF(AC63,"TRAVERSE")*15)+(COUNTIF(AC63,"HIGH")*10)+(COUNTIF(AC63,"MIDDLE")*6)+(COUNTIF(AC63,"LOW")*4)),"")</f>
        <v/>
      </c>
    </row>
    <row r="64">
      <c r="A64" s="133" t="s">
        <v>507</v>
      </c>
      <c r="B64" s="134" t="str">
        <f>IFERROR(__xludf.DUMMYFUNCTION("IFERROR((FILTER(Data!H:H,Data!D:D=A64,Data!B:B=$B$1)),"""")"),"")</f>
        <v/>
      </c>
      <c r="C64" s="134" t="str">
        <f>IFERROR(__xludf.DUMMYFUNCTION("IFERROR((FILTER(Data!G:G,Data!D:D=A64,Data!B:B=$B$1)),"""")"),"")</f>
        <v/>
      </c>
      <c r="D64" s="134" t="str">
        <f>IFERROR(__xludf.DUMMYFUNCTION("IFERROR((FILTER(Data!J:J,Data!D:D=A64,Data!B:B=$B$1)),"""")"),"")</f>
        <v/>
      </c>
      <c r="E64" s="134" t="str">
        <f>IFERROR(__xludf.DUMMYFUNCTION("IFERROR((FILTER(Data!L:L,Data!D:D=A64,Data!B:B=$B$1)),"""")"),"")</f>
        <v/>
      </c>
      <c r="F64" s="134" t="str">
        <f>IFERROR(__xludf.DUMMYFUNCTION("IFERROR((FILTER(Data!K:K,Data!D:D=A64,Data!B:B=$B$1)),"""")"),"")</f>
        <v/>
      </c>
      <c r="G64" s="134" t="str">
        <f>IFERROR(__xludf.DUMMYFUNCTION("IFERROR((FILTER(Data!M:M,Data!D:D=A64,Data!B:B=$B$1)),"""")"),"")</f>
        <v/>
      </c>
      <c r="H64" s="134" t="str">
        <f>IFERROR(__xludf.DUMMYFUNCTION("IFERROR((FILTER(Data!G:G,Data!D:D=A64,Data!B:B=$B$1)*4)+(FILTER(Data!H:H,Data!D:D=A64,Data!B:B=$B$1)*2),"""")"),"")</f>
        <v/>
      </c>
      <c r="I64" s="15" t="str">
        <f>IFERROR(__xludf.DUMMYFUNCTION("IFERROR((FILTER(Data!K:K,Data!D:D=A64,Data!B:B=$B$1)*2)+(FILTER(Data!L:L,Data!D:D=A64,Data!B:B=$B$1)),"""")"),"")</f>
        <v/>
      </c>
      <c r="J64" s="134" t="str">
        <f>IFERROR(__xludf.DUMMYFUNCTION("IFERROR((FILTER(Data!N:N,Data!D:D=A64,Data!B:B=$B$1)),"""")"),"")</f>
        <v/>
      </c>
      <c r="K64" s="135" t="str">
        <f>IFERROR(__xludf.DUMMYFUNCTION("IFERROR((FILTER(Data!H:H,Data!D:D=A64,Data!B:B=$B$1)*2)+(FILTER(Data!L:L,Data!D:D=A64,Data!B:B=$B$1))+(FILTER(Data!G:G,Data!D:D=A64,Data!B:B=$B$1)*4)+(FILTER(Data!K:K,Data!D:D=A64,Data!B:B=$B$1)*2)+(((COUNTIF(FILTER(Data!N:N,Data!D:D=A64,Data!B:B=$B$1),"""&amp;"TRAVERSE"")*15)+(COUNTIF(FILTER(Data!N:N,Data!D:D=A64,Data!B:B=$B$1),""HIGH"")*10)+(COUNTIF(FILTER(Data!N:N,Data!D:D=A64,Data!B:B=$B$1),""MIDDLE"")*6)+(COUNTIF(FILTER(Data!N:N,Data!D:D=A64,Data!B:B=$B$1),""LOW"")*4))),"""")"),"")</f>
        <v/>
      </c>
      <c r="L64" s="136" t="str">
        <f>IFERROR(__xludf.DUMMYFUNCTION("IFERROR((FILTER(Data!P:P,Data!D:D=A64,Data!B:B=$B$1)),"""")"),"")</f>
        <v/>
      </c>
      <c r="M64" s="137" t="str">
        <f>IFERROR(__xludf.DUMMYFUNCTION("IFERROR((FILTER(Data!A:A,Data!D:D=A64,Data!B:B=$B$1)),"""")"),"")</f>
        <v/>
      </c>
      <c r="T64" s="52">
        <f>IFERROR(__xludf.DUMMYFUNCTION("((COUNTIF(FILTER(Data!N:N,Data!D:D=A64,Data!B:B=$B$1),""TRAVERSE"")*15)+(COUNTIF(FILTER(Data!N:N,Data!D:D=A64,Data!B:B=B$1),""HIGH"")*10)+(COUNTIF(FILTER(Data!N:N,Data!D:D=A64,Data!B:B=$B$1),""MIDDLE"")*6)+(COUNTIF(FILTER(Data!N:N,Data!D:D=A64,Data!B:B=$B"&amp;"$1),""LOW"")*4))"),0.0)</f>
        <v>0</v>
      </c>
      <c r="V64" s="138" t="str">
        <f>IF(Data!B56='Team Parser'!$B$1, Data!D56,"")</f>
        <v/>
      </c>
      <c r="W64" s="134" t="str">
        <f>IF(Data!$B56='Team Parser'!$B$1, Data!H56,"")</f>
        <v/>
      </c>
      <c r="X64" s="134" t="str">
        <f>IF(Data!$B56='Team Parser'!$B$1, Data!G56,"")</f>
        <v/>
      </c>
      <c r="Y64" s="134" t="str">
        <f>IF(Data!$B56='Team Parser'!$B$1, Data!L56,"")</f>
        <v/>
      </c>
      <c r="Z64" s="134" t="str">
        <f>IF(Data!$B56='Team Parser'!$B$1, Data!K56,"")</f>
        <v/>
      </c>
      <c r="AA64" s="134" t="str">
        <f>IF(Data!$B56='Team Parser'!$B$1, Data!M56,"")</f>
        <v/>
      </c>
      <c r="AB64" s="134" t="str">
        <f>IF(Data!$B56='Team Parser'!$B$1,((Z64*2)+(Y64)+(X64*4)+(W64*2)),"")</f>
        <v/>
      </c>
      <c r="AC64" s="134" t="str">
        <f>IF(Data!$B56='Team Parser'!$B$1, Data!N56,"")</f>
        <v/>
      </c>
      <c r="AD64" s="139" t="str">
        <f>IF(Data!$B56='Team Parser'!$B$1,(AB64+(COUNTIF(AC64,"TRAVERSE")*15)+(COUNTIF(AC64,"HIGH")*10)+(COUNTIF(AC64,"MIDDLE")*6)+(COUNTIF(AC64,"LOW")*4)),"")</f>
        <v/>
      </c>
    </row>
    <row r="65">
      <c r="A65" s="133" t="s">
        <v>507</v>
      </c>
      <c r="B65" s="134" t="str">
        <f>IFERROR(__xludf.DUMMYFUNCTION("IFERROR((FILTER(Data!H:H,Data!D:D=A65,Data!B:B=$B$1)),"""")"),"")</f>
        <v/>
      </c>
      <c r="C65" s="134" t="str">
        <f>IFERROR(__xludf.DUMMYFUNCTION("IFERROR((FILTER(Data!G:G,Data!D:D=A65,Data!B:B=$B$1)),"""")"),"")</f>
        <v/>
      </c>
      <c r="D65" s="134" t="str">
        <f>IFERROR(__xludf.DUMMYFUNCTION("IFERROR((FILTER(Data!J:J,Data!D:D=A65,Data!B:B=$B$1)),"""")"),"")</f>
        <v/>
      </c>
      <c r="E65" s="134" t="str">
        <f>IFERROR(__xludf.DUMMYFUNCTION("IFERROR((FILTER(Data!L:L,Data!D:D=A65,Data!B:B=$B$1)),"""")"),"")</f>
        <v/>
      </c>
      <c r="F65" s="134" t="str">
        <f>IFERROR(__xludf.DUMMYFUNCTION("IFERROR((FILTER(Data!K:K,Data!D:D=A65,Data!B:B=$B$1)),"""")"),"")</f>
        <v/>
      </c>
      <c r="G65" s="134" t="str">
        <f>IFERROR(__xludf.DUMMYFUNCTION("IFERROR((FILTER(Data!M:M,Data!D:D=A65,Data!B:B=$B$1)),"""")"),"")</f>
        <v/>
      </c>
      <c r="H65" s="134" t="str">
        <f>IFERROR(__xludf.DUMMYFUNCTION("IFERROR((FILTER(Data!G:G,Data!D:D=A65,Data!B:B=$B$1)*4)+(FILTER(Data!H:H,Data!D:D=A65,Data!B:B=$B$1)*2),"""")"),"")</f>
        <v/>
      </c>
      <c r="I65" s="15" t="str">
        <f>IFERROR(__xludf.DUMMYFUNCTION("IFERROR((FILTER(Data!K:K,Data!D:D=A65,Data!B:B=$B$1)*2)+(FILTER(Data!L:L,Data!D:D=A65,Data!B:B=$B$1)),"""")"),"")</f>
        <v/>
      </c>
      <c r="J65" s="134" t="str">
        <f>IFERROR(__xludf.DUMMYFUNCTION("IFERROR((FILTER(Data!N:N,Data!D:D=A65,Data!B:B=$B$1)),"""")"),"")</f>
        <v/>
      </c>
      <c r="K65" s="135" t="str">
        <f>IFERROR(__xludf.DUMMYFUNCTION("IFERROR((FILTER(Data!H:H,Data!D:D=A65,Data!B:B=$B$1)*2)+(FILTER(Data!L:L,Data!D:D=A65,Data!B:B=$B$1))+(FILTER(Data!G:G,Data!D:D=A65,Data!B:B=$B$1)*4)+(FILTER(Data!K:K,Data!D:D=A65,Data!B:B=$B$1)*2)+(((COUNTIF(FILTER(Data!N:N,Data!D:D=A65,Data!B:B=$B$1),"""&amp;"TRAVERSE"")*15)+(COUNTIF(FILTER(Data!N:N,Data!D:D=A65,Data!B:B=$B$1),""HIGH"")*10)+(COUNTIF(FILTER(Data!N:N,Data!D:D=A65,Data!B:B=$B$1),""MIDDLE"")*6)+(COUNTIF(FILTER(Data!N:N,Data!D:D=A65,Data!B:B=$B$1),""LOW"")*4))),"""")"),"")</f>
        <v/>
      </c>
      <c r="L65" s="136" t="str">
        <f>IFERROR(__xludf.DUMMYFUNCTION("IFERROR((FILTER(Data!P:P,Data!D:D=A65,Data!B:B=$B$1)),"""")"),"")</f>
        <v/>
      </c>
      <c r="M65" s="137" t="str">
        <f>IFERROR(__xludf.DUMMYFUNCTION("IFERROR((FILTER(Data!A:A,Data!D:D=A65,Data!B:B=$B$1)),"""")"),"")</f>
        <v/>
      </c>
      <c r="T65" s="52">
        <f>IFERROR(__xludf.DUMMYFUNCTION("((COUNTIF(FILTER(Data!N:N,Data!D:D=A65,Data!B:B=$B$1),""TRAVERSE"")*15)+(COUNTIF(FILTER(Data!N:N,Data!D:D=A65,Data!B:B=B$1),""HIGH"")*10)+(COUNTIF(FILTER(Data!N:N,Data!D:D=A65,Data!B:B=$B$1),""MIDDLE"")*6)+(COUNTIF(FILTER(Data!N:N,Data!D:D=A65,Data!B:B=$B"&amp;"$1),""LOW"")*4))"),0.0)</f>
        <v>0</v>
      </c>
      <c r="V65" s="138" t="str">
        <f>IF(Data!B57='Team Parser'!$B$1, Data!D57,"")</f>
        <v/>
      </c>
      <c r="W65" s="134" t="str">
        <f>IF(Data!$B57='Team Parser'!$B$1, Data!H57,"")</f>
        <v/>
      </c>
      <c r="X65" s="134" t="str">
        <f>IF(Data!$B57='Team Parser'!$B$1, Data!G57,"")</f>
        <v/>
      </c>
      <c r="Y65" s="134" t="str">
        <f>IF(Data!$B57='Team Parser'!$B$1, Data!L57,"")</f>
        <v/>
      </c>
      <c r="Z65" s="134" t="str">
        <f>IF(Data!$B57='Team Parser'!$B$1, Data!K57,"")</f>
        <v/>
      </c>
      <c r="AA65" s="134" t="str">
        <f>IF(Data!$B57='Team Parser'!$B$1, Data!M57,"")</f>
        <v/>
      </c>
      <c r="AB65" s="134" t="str">
        <f>IF(Data!$B57='Team Parser'!$B$1,((Z65*2)+(Y65)+(X65*4)+(W65*2)),"")</f>
        <v/>
      </c>
      <c r="AC65" s="134" t="str">
        <f>IF(Data!$B57='Team Parser'!$B$1, Data!N57,"")</f>
        <v/>
      </c>
      <c r="AD65" s="139" t="str">
        <f>IF(Data!$B57='Team Parser'!$B$1,(AB65+(COUNTIF(AC65,"TRAVERSE")*15)+(COUNTIF(AC65,"HIGH")*10)+(COUNTIF(AC65,"MIDDLE")*6)+(COUNTIF(AC65,"LOW")*4)),"")</f>
        <v/>
      </c>
    </row>
    <row r="66">
      <c r="A66" s="133" t="s">
        <v>507</v>
      </c>
      <c r="B66" s="134" t="str">
        <f>IFERROR(__xludf.DUMMYFUNCTION("IFERROR((FILTER(Data!H:H,Data!D:D=A66,Data!B:B=$B$1)),"""")"),"")</f>
        <v/>
      </c>
      <c r="C66" s="134" t="str">
        <f>IFERROR(__xludf.DUMMYFUNCTION("IFERROR((FILTER(Data!G:G,Data!D:D=A66,Data!B:B=$B$1)),"""")"),"")</f>
        <v/>
      </c>
      <c r="D66" s="134" t="str">
        <f>IFERROR(__xludf.DUMMYFUNCTION("IFERROR((FILTER(Data!J:J,Data!D:D=A66,Data!B:B=$B$1)),"""")"),"")</f>
        <v/>
      </c>
      <c r="E66" s="134" t="str">
        <f>IFERROR(__xludf.DUMMYFUNCTION("IFERROR((FILTER(Data!L:L,Data!D:D=A66,Data!B:B=$B$1)),"""")"),"")</f>
        <v/>
      </c>
      <c r="F66" s="134" t="str">
        <f>IFERROR(__xludf.DUMMYFUNCTION("IFERROR((FILTER(Data!K:K,Data!D:D=A66,Data!B:B=$B$1)),"""")"),"")</f>
        <v/>
      </c>
      <c r="G66" s="134" t="str">
        <f>IFERROR(__xludf.DUMMYFUNCTION("IFERROR((FILTER(Data!M:M,Data!D:D=A66,Data!B:B=$B$1)),"""")"),"")</f>
        <v/>
      </c>
      <c r="H66" s="134" t="str">
        <f>IFERROR(__xludf.DUMMYFUNCTION("IFERROR((FILTER(Data!G:G,Data!D:D=A66,Data!B:B=$B$1)*4)+(FILTER(Data!H:H,Data!D:D=A66,Data!B:B=$B$1)*2),"""")"),"")</f>
        <v/>
      </c>
      <c r="I66" s="15" t="str">
        <f>IFERROR(__xludf.DUMMYFUNCTION("IFERROR((FILTER(Data!K:K,Data!D:D=A66,Data!B:B=$B$1)*2)+(FILTER(Data!L:L,Data!D:D=A66,Data!B:B=$B$1)),"""")"),"")</f>
        <v/>
      </c>
      <c r="J66" s="134" t="str">
        <f>IFERROR(__xludf.DUMMYFUNCTION("IFERROR((FILTER(Data!N:N,Data!D:D=A66,Data!B:B=$B$1)),"""")"),"")</f>
        <v/>
      </c>
      <c r="K66" s="135" t="str">
        <f>IFERROR(__xludf.DUMMYFUNCTION("IFERROR((FILTER(Data!H:H,Data!D:D=A66,Data!B:B=$B$1)*2)+(FILTER(Data!L:L,Data!D:D=A66,Data!B:B=$B$1))+(FILTER(Data!G:G,Data!D:D=A66,Data!B:B=$B$1)*4)+(FILTER(Data!K:K,Data!D:D=A66,Data!B:B=$B$1)*2)+(((COUNTIF(FILTER(Data!N:N,Data!D:D=A66,Data!B:B=$B$1),"""&amp;"TRAVERSE"")*15)+(COUNTIF(FILTER(Data!N:N,Data!D:D=A66,Data!B:B=$B$1),""HIGH"")*10)+(COUNTIF(FILTER(Data!N:N,Data!D:D=A66,Data!B:B=$B$1),""MIDDLE"")*6)+(COUNTIF(FILTER(Data!N:N,Data!D:D=A66,Data!B:B=$B$1),""LOW"")*4))),"""")"),"")</f>
        <v/>
      </c>
      <c r="L66" s="136" t="str">
        <f>IFERROR(__xludf.DUMMYFUNCTION("IFERROR((FILTER(Data!P:P,Data!D:D=A66,Data!B:B=$B$1)),"""")"),"")</f>
        <v/>
      </c>
      <c r="M66" s="137" t="str">
        <f>IFERROR(__xludf.DUMMYFUNCTION("IFERROR((FILTER(Data!A:A,Data!D:D=A66,Data!B:B=$B$1)),"""")"),"")</f>
        <v/>
      </c>
      <c r="T66" s="52">
        <f>IFERROR(__xludf.DUMMYFUNCTION("((COUNTIF(FILTER(Data!N:N,Data!D:D=A66,Data!B:B=$B$1),""TRAVERSE"")*15)+(COUNTIF(FILTER(Data!N:N,Data!D:D=A66,Data!B:B=B$1),""HIGH"")*10)+(COUNTIF(FILTER(Data!N:N,Data!D:D=A66,Data!B:B=$B$1),""MIDDLE"")*6)+(COUNTIF(FILTER(Data!N:N,Data!D:D=A66,Data!B:B=$B"&amp;"$1),""LOW"")*4))"),0.0)</f>
        <v>0</v>
      </c>
      <c r="V66" s="138" t="str">
        <f>IF(Data!B58='Team Parser'!$B$1, Data!D58,"")</f>
        <v/>
      </c>
      <c r="W66" s="134" t="str">
        <f>IF(Data!$B58='Team Parser'!$B$1, Data!H58,"")</f>
        <v/>
      </c>
      <c r="X66" s="134" t="str">
        <f>IF(Data!$B58='Team Parser'!$B$1, Data!G58,"")</f>
        <v/>
      </c>
      <c r="Y66" s="134" t="str">
        <f>IF(Data!$B58='Team Parser'!$B$1, Data!L58,"")</f>
        <v/>
      </c>
      <c r="Z66" s="134" t="str">
        <f>IF(Data!$B58='Team Parser'!$B$1, Data!K58,"")</f>
        <v/>
      </c>
      <c r="AA66" s="134" t="str">
        <f>IF(Data!$B58='Team Parser'!$B$1, Data!M58,"")</f>
        <v/>
      </c>
      <c r="AB66" s="134" t="str">
        <f>IF(Data!$B58='Team Parser'!$B$1,((Z66*2)+(Y66)+(X66*4)+(W66*2)),"")</f>
        <v/>
      </c>
      <c r="AC66" s="134" t="str">
        <f>IF(Data!$B58='Team Parser'!$B$1, Data!N58,"")</f>
        <v/>
      </c>
      <c r="AD66" s="139" t="str">
        <f>IF(Data!$B58='Team Parser'!$B$1,(AB66+(COUNTIF(AC66,"TRAVERSE")*15)+(COUNTIF(AC66,"HIGH")*10)+(COUNTIF(AC66,"MIDDLE")*6)+(COUNTIF(AC66,"LOW")*4)),"")</f>
        <v/>
      </c>
    </row>
    <row r="67">
      <c r="A67" s="133" t="s">
        <v>507</v>
      </c>
      <c r="B67" s="134" t="str">
        <f>IFERROR(__xludf.DUMMYFUNCTION("IFERROR((FILTER(Data!H:H,Data!D:D=A67,Data!B:B=$B$1)),"""")"),"")</f>
        <v/>
      </c>
      <c r="C67" s="134" t="str">
        <f>IFERROR(__xludf.DUMMYFUNCTION("IFERROR((FILTER(Data!G:G,Data!D:D=A67,Data!B:B=$B$1)),"""")"),"")</f>
        <v/>
      </c>
      <c r="D67" s="134" t="str">
        <f>IFERROR(__xludf.DUMMYFUNCTION("IFERROR((FILTER(Data!J:J,Data!D:D=A67,Data!B:B=$B$1)),"""")"),"")</f>
        <v/>
      </c>
      <c r="E67" s="134" t="str">
        <f>IFERROR(__xludf.DUMMYFUNCTION("IFERROR((FILTER(Data!L:L,Data!D:D=A67,Data!B:B=$B$1)),"""")"),"")</f>
        <v/>
      </c>
      <c r="F67" s="134" t="str">
        <f>IFERROR(__xludf.DUMMYFUNCTION("IFERROR((FILTER(Data!K:K,Data!D:D=A67,Data!B:B=$B$1)),"""")"),"")</f>
        <v/>
      </c>
      <c r="G67" s="134" t="str">
        <f>IFERROR(__xludf.DUMMYFUNCTION("IFERROR((FILTER(Data!M:M,Data!D:D=A67,Data!B:B=$B$1)),"""")"),"")</f>
        <v/>
      </c>
      <c r="H67" s="134" t="str">
        <f>IFERROR(__xludf.DUMMYFUNCTION("IFERROR((FILTER(Data!G:G,Data!D:D=A67,Data!B:B=$B$1)*4)+(FILTER(Data!H:H,Data!D:D=A67,Data!B:B=$B$1)*2),"""")"),"")</f>
        <v/>
      </c>
      <c r="I67" s="15" t="str">
        <f>IFERROR(__xludf.DUMMYFUNCTION("IFERROR((FILTER(Data!K:K,Data!D:D=A67,Data!B:B=$B$1)*2)+(FILTER(Data!L:L,Data!D:D=A67,Data!B:B=$B$1)),"""")"),"")</f>
        <v/>
      </c>
      <c r="J67" s="134" t="str">
        <f>IFERROR(__xludf.DUMMYFUNCTION("IFERROR((FILTER(Data!N:N,Data!D:D=A67,Data!B:B=$B$1)),"""")"),"")</f>
        <v/>
      </c>
      <c r="K67" s="135" t="str">
        <f>IFERROR(__xludf.DUMMYFUNCTION("IFERROR((FILTER(Data!H:H,Data!D:D=A67,Data!B:B=$B$1)*2)+(FILTER(Data!L:L,Data!D:D=A67,Data!B:B=$B$1))+(FILTER(Data!G:G,Data!D:D=A67,Data!B:B=$B$1)*4)+(FILTER(Data!K:K,Data!D:D=A67,Data!B:B=$B$1)*2)+(((COUNTIF(FILTER(Data!N:N,Data!D:D=A67,Data!B:B=$B$1),"""&amp;"TRAVERSE"")*15)+(COUNTIF(FILTER(Data!N:N,Data!D:D=A67,Data!B:B=$B$1),""HIGH"")*10)+(COUNTIF(FILTER(Data!N:N,Data!D:D=A67,Data!B:B=$B$1),""MIDDLE"")*6)+(COUNTIF(FILTER(Data!N:N,Data!D:D=A67,Data!B:B=$B$1),""LOW"")*4))),"""")"),"")</f>
        <v/>
      </c>
      <c r="L67" s="136" t="str">
        <f>IFERROR(__xludf.DUMMYFUNCTION("IFERROR((FILTER(Data!P:P,Data!D:D=A67,Data!B:B=$B$1)),"""")"),"")</f>
        <v/>
      </c>
      <c r="M67" s="137" t="str">
        <f>IFERROR(__xludf.DUMMYFUNCTION("IFERROR((FILTER(Data!A:A,Data!D:D=A67,Data!B:B=$B$1)),"""")"),"")</f>
        <v/>
      </c>
      <c r="T67" s="52">
        <f>IFERROR(__xludf.DUMMYFUNCTION("((COUNTIF(FILTER(Data!N:N,Data!D:D=A67,Data!B:B=$B$1),""TRAVERSE"")*15)+(COUNTIF(FILTER(Data!N:N,Data!D:D=A67,Data!B:B=B$1),""HIGH"")*10)+(COUNTIF(FILTER(Data!N:N,Data!D:D=A67,Data!B:B=$B$1),""MIDDLE"")*6)+(COUNTIF(FILTER(Data!N:N,Data!D:D=A67,Data!B:B=$B"&amp;"$1),""LOW"")*4))"),0.0)</f>
        <v>0</v>
      </c>
      <c r="V67" s="138" t="str">
        <f>IF(Data!B59='Team Parser'!$B$1, Data!D59,"")</f>
        <v/>
      </c>
      <c r="W67" s="134" t="str">
        <f>IF(Data!$B59='Team Parser'!$B$1, Data!H59,"")</f>
        <v/>
      </c>
      <c r="X67" s="134" t="str">
        <f>IF(Data!$B59='Team Parser'!$B$1, Data!G59,"")</f>
        <v/>
      </c>
      <c r="Y67" s="134" t="str">
        <f>IF(Data!$B59='Team Parser'!$B$1, Data!L59,"")</f>
        <v/>
      </c>
      <c r="Z67" s="134" t="str">
        <f>IF(Data!$B59='Team Parser'!$B$1, Data!K59,"")</f>
        <v/>
      </c>
      <c r="AA67" s="134" t="str">
        <f>IF(Data!$B59='Team Parser'!$B$1, Data!M59,"")</f>
        <v/>
      </c>
      <c r="AB67" s="134" t="str">
        <f>IF(Data!$B59='Team Parser'!$B$1,((Z67*2)+(Y67)+(X67*4)+(W67*2)),"")</f>
        <v/>
      </c>
      <c r="AC67" s="134" t="str">
        <f>IF(Data!$B59='Team Parser'!$B$1, Data!N59,"")</f>
        <v/>
      </c>
      <c r="AD67" s="139" t="str">
        <f>IF(Data!$B59='Team Parser'!$B$1,(AB67+(COUNTIF(AC67,"TRAVERSE")*15)+(COUNTIF(AC67,"HIGH")*10)+(COUNTIF(AC67,"MIDDLE")*6)+(COUNTIF(AC67,"LOW")*4)),"")</f>
        <v/>
      </c>
    </row>
    <row r="68">
      <c r="A68" s="133" t="s">
        <v>507</v>
      </c>
      <c r="B68" s="134" t="str">
        <f>IFERROR(__xludf.DUMMYFUNCTION("IFERROR((FILTER(Data!H:H,Data!D:D=A68,Data!B:B=$B$1)),"""")"),"")</f>
        <v/>
      </c>
      <c r="C68" s="134" t="str">
        <f>IFERROR(__xludf.DUMMYFUNCTION("IFERROR((FILTER(Data!G:G,Data!D:D=A68,Data!B:B=$B$1)),"""")"),"")</f>
        <v/>
      </c>
      <c r="D68" s="134" t="str">
        <f>IFERROR(__xludf.DUMMYFUNCTION("IFERROR((FILTER(Data!J:J,Data!D:D=A68,Data!B:B=$B$1)),"""")"),"")</f>
        <v/>
      </c>
      <c r="E68" s="134" t="str">
        <f>IFERROR(__xludf.DUMMYFUNCTION("IFERROR((FILTER(Data!L:L,Data!D:D=A68,Data!B:B=$B$1)),"""")"),"")</f>
        <v/>
      </c>
      <c r="F68" s="134" t="str">
        <f>IFERROR(__xludf.DUMMYFUNCTION("IFERROR((FILTER(Data!K:K,Data!D:D=A68,Data!B:B=$B$1)),"""")"),"")</f>
        <v/>
      </c>
      <c r="G68" s="134" t="str">
        <f>IFERROR(__xludf.DUMMYFUNCTION("IFERROR((FILTER(Data!M:M,Data!D:D=A68,Data!B:B=$B$1)),"""")"),"")</f>
        <v/>
      </c>
      <c r="H68" s="134" t="str">
        <f>IFERROR(__xludf.DUMMYFUNCTION("IFERROR((FILTER(Data!G:G,Data!D:D=A68,Data!B:B=$B$1)*4)+(FILTER(Data!H:H,Data!D:D=A68,Data!B:B=$B$1)*2),"""")"),"")</f>
        <v/>
      </c>
      <c r="I68" s="15" t="str">
        <f>IFERROR(__xludf.DUMMYFUNCTION("IFERROR((FILTER(Data!K:K,Data!D:D=A68,Data!B:B=$B$1)*2)+(FILTER(Data!L:L,Data!D:D=A68,Data!B:B=$B$1)),"""")"),"")</f>
        <v/>
      </c>
      <c r="J68" s="134" t="str">
        <f>IFERROR(__xludf.DUMMYFUNCTION("IFERROR((FILTER(Data!N:N,Data!D:D=A68,Data!B:B=$B$1)),"""")"),"")</f>
        <v/>
      </c>
      <c r="K68" s="135" t="str">
        <f>IFERROR(__xludf.DUMMYFUNCTION("IFERROR((FILTER(Data!H:H,Data!D:D=A68,Data!B:B=$B$1)*2)+(FILTER(Data!L:L,Data!D:D=A68,Data!B:B=$B$1))+(FILTER(Data!G:G,Data!D:D=A68,Data!B:B=$B$1)*4)+(FILTER(Data!K:K,Data!D:D=A68,Data!B:B=$B$1)*2)+(((COUNTIF(FILTER(Data!N:N,Data!D:D=A68,Data!B:B=$B$1),"""&amp;"TRAVERSE"")*15)+(COUNTIF(FILTER(Data!N:N,Data!D:D=A68,Data!B:B=$B$1),""HIGH"")*10)+(COUNTIF(FILTER(Data!N:N,Data!D:D=A68,Data!B:B=$B$1),""MIDDLE"")*6)+(COUNTIF(FILTER(Data!N:N,Data!D:D=A68,Data!B:B=$B$1),""LOW"")*4))),"""")"),"")</f>
        <v/>
      </c>
      <c r="L68" s="136" t="str">
        <f>IFERROR(__xludf.DUMMYFUNCTION("IFERROR((FILTER(Data!P:P,Data!D:D=A68,Data!B:B=$B$1)),"""")"),"")</f>
        <v/>
      </c>
      <c r="M68" s="137" t="str">
        <f>IFERROR(__xludf.DUMMYFUNCTION("IFERROR((FILTER(Data!A:A,Data!D:D=A68,Data!B:B=$B$1)),"""")"),"")</f>
        <v/>
      </c>
      <c r="T68" s="52">
        <f>IFERROR(__xludf.DUMMYFUNCTION("((COUNTIF(FILTER(Data!N:N,Data!D:D=A68,Data!B:B=$B$1),""TRAVERSE"")*15)+(COUNTIF(FILTER(Data!N:N,Data!D:D=A68,Data!B:B=B$1),""HIGH"")*10)+(COUNTIF(FILTER(Data!N:N,Data!D:D=A68,Data!B:B=$B$1),""MIDDLE"")*6)+(COUNTIF(FILTER(Data!N:N,Data!D:D=A68,Data!B:B=$B"&amp;"$1),""LOW"")*4))"),0.0)</f>
        <v>0</v>
      </c>
      <c r="V68" s="138" t="str">
        <f>IF(Data!B60='Team Parser'!$B$1, Data!D60,"")</f>
        <v/>
      </c>
      <c r="W68" s="134" t="str">
        <f>IF(Data!$B60='Team Parser'!$B$1, Data!H60,"")</f>
        <v/>
      </c>
      <c r="X68" s="134" t="str">
        <f>IF(Data!$B60='Team Parser'!$B$1, Data!G60,"")</f>
        <v/>
      </c>
      <c r="Y68" s="134" t="str">
        <f>IF(Data!$B60='Team Parser'!$B$1, Data!L60,"")</f>
        <v/>
      </c>
      <c r="Z68" s="134" t="str">
        <f>IF(Data!$B60='Team Parser'!$B$1, Data!K60,"")</f>
        <v/>
      </c>
      <c r="AA68" s="134" t="str">
        <f>IF(Data!$B60='Team Parser'!$B$1, Data!M60,"")</f>
        <v/>
      </c>
      <c r="AB68" s="134" t="str">
        <f>IF(Data!$B60='Team Parser'!$B$1,((Z68*2)+(Y68)+(X68*4)+(W68*2)),"")</f>
        <v/>
      </c>
      <c r="AC68" s="134" t="str">
        <f>IF(Data!$B60='Team Parser'!$B$1, Data!N60,"")</f>
        <v/>
      </c>
      <c r="AD68" s="139" t="str">
        <f>IF(Data!$B60='Team Parser'!$B$1,(AB68+(COUNTIF(AC68,"TRAVERSE")*15)+(COUNTIF(AC68,"HIGH")*10)+(COUNTIF(AC68,"MIDDLE")*6)+(COUNTIF(AC68,"LOW")*4)),"")</f>
        <v/>
      </c>
    </row>
    <row r="69">
      <c r="A69" s="133" t="s">
        <v>507</v>
      </c>
      <c r="B69" s="134" t="str">
        <f>IFERROR(__xludf.DUMMYFUNCTION("IFERROR((FILTER(Data!H:H,Data!D:D=A69,Data!B:B=$B$1)),"""")"),"")</f>
        <v/>
      </c>
      <c r="C69" s="134" t="str">
        <f>IFERROR(__xludf.DUMMYFUNCTION("IFERROR((FILTER(Data!G:G,Data!D:D=A69,Data!B:B=$B$1)),"""")"),"")</f>
        <v/>
      </c>
      <c r="D69" s="134" t="str">
        <f>IFERROR(__xludf.DUMMYFUNCTION("IFERROR((FILTER(Data!J:J,Data!D:D=A69,Data!B:B=$B$1)),"""")"),"")</f>
        <v/>
      </c>
      <c r="E69" s="134" t="str">
        <f>IFERROR(__xludf.DUMMYFUNCTION("IFERROR((FILTER(Data!L:L,Data!D:D=A69,Data!B:B=$B$1)),"""")"),"")</f>
        <v/>
      </c>
      <c r="F69" s="134" t="str">
        <f>IFERROR(__xludf.DUMMYFUNCTION("IFERROR((FILTER(Data!K:K,Data!D:D=A69,Data!B:B=$B$1)),"""")"),"")</f>
        <v/>
      </c>
      <c r="G69" s="134" t="str">
        <f>IFERROR(__xludf.DUMMYFUNCTION("IFERROR((FILTER(Data!M:M,Data!D:D=A69,Data!B:B=$B$1)),"""")"),"")</f>
        <v/>
      </c>
      <c r="H69" s="134" t="str">
        <f>IFERROR(__xludf.DUMMYFUNCTION("IFERROR((FILTER(Data!G:G,Data!D:D=A69,Data!B:B=$B$1)*4)+(FILTER(Data!H:H,Data!D:D=A69,Data!B:B=$B$1)*2),"""")"),"")</f>
        <v/>
      </c>
      <c r="I69" s="15" t="str">
        <f>IFERROR(__xludf.DUMMYFUNCTION("IFERROR((FILTER(Data!K:K,Data!D:D=A69,Data!B:B=$B$1)*2)+(FILTER(Data!L:L,Data!D:D=A69,Data!B:B=$B$1)),"""")"),"")</f>
        <v/>
      </c>
      <c r="J69" s="134" t="str">
        <f>IFERROR(__xludf.DUMMYFUNCTION("IFERROR((FILTER(Data!N:N,Data!D:D=A69,Data!B:B=$B$1)),"""")"),"")</f>
        <v/>
      </c>
      <c r="K69" s="135" t="str">
        <f>IFERROR(__xludf.DUMMYFUNCTION("IFERROR((FILTER(Data!H:H,Data!D:D=A69,Data!B:B=$B$1)*2)+(FILTER(Data!L:L,Data!D:D=A69,Data!B:B=$B$1))+(FILTER(Data!G:G,Data!D:D=A69,Data!B:B=$B$1)*4)+(FILTER(Data!K:K,Data!D:D=A69,Data!B:B=$B$1)*2)+(((COUNTIF(FILTER(Data!N:N,Data!D:D=A69,Data!B:B=$B$1),"""&amp;"TRAVERSE"")*15)+(COUNTIF(FILTER(Data!N:N,Data!D:D=A69,Data!B:B=$B$1),""HIGH"")*10)+(COUNTIF(FILTER(Data!N:N,Data!D:D=A69,Data!B:B=$B$1),""MIDDLE"")*6)+(COUNTIF(FILTER(Data!N:N,Data!D:D=A69,Data!B:B=$B$1),""LOW"")*4))),"""")"),"")</f>
        <v/>
      </c>
      <c r="L69" s="136" t="str">
        <f>IFERROR(__xludf.DUMMYFUNCTION("IFERROR((FILTER(Data!P:P,Data!D:D=A69,Data!B:B=$B$1)),"""")"),"")</f>
        <v/>
      </c>
      <c r="M69" s="137" t="str">
        <f>IFERROR(__xludf.DUMMYFUNCTION("IFERROR((FILTER(Data!A:A,Data!D:D=A69,Data!B:B=$B$1)),"""")"),"")</f>
        <v/>
      </c>
      <c r="T69" s="52">
        <f>IFERROR(__xludf.DUMMYFUNCTION("((COUNTIF(FILTER(Data!N:N,Data!D:D=A69,Data!B:B=$B$1),""TRAVERSE"")*15)+(COUNTIF(FILTER(Data!N:N,Data!D:D=A69,Data!B:B=B$1),""HIGH"")*10)+(COUNTIF(FILTER(Data!N:N,Data!D:D=A69,Data!B:B=$B$1),""MIDDLE"")*6)+(COUNTIF(FILTER(Data!N:N,Data!D:D=A69,Data!B:B=$B"&amp;"$1),""LOW"")*4))"),0.0)</f>
        <v>0</v>
      </c>
      <c r="V69" s="138" t="str">
        <f>IF(Data!B61='Team Parser'!$B$1, Data!D61,"")</f>
        <v/>
      </c>
      <c r="W69" s="134" t="str">
        <f>IF(Data!$B61='Team Parser'!$B$1, Data!H61,"")</f>
        <v/>
      </c>
      <c r="X69" s="134" t="str">
        <f>IF(Data!$B61='Team Parser'!$B$1, Data!G61,"")</f>
        <v/>
      </c>
      <c r="Y69" s="134" t="str">
        <f>IF(Data!$B61='Team Parser'!$B$1, Data!L61,"")</f>
        <v/>
      </c>
      <c r="Z69" s="134" t="str">
        <f>IF(Data!$B61='Team Parser'!$B$1, Data!K61,"")</f>
        <v/>
      </c>
      <c r="AA69" s="134" t="str">
        <f>IF(Data!$B61='Team Parser'!$B$1, Data!M61,"")</f>
        <v/>
      </c>
      <c r="AB69" s="134" t="str">
        <f>IF(Data!$B61='Team Parser'!$B$1,((Z69*2)+(Y69)+(X69*4)+(W69*2)),"")</f>
        <v/>
      </c>
      <c r="AC69" s="134" t="str">
        <f>IF(Data!$B61='Team Parser'!$B$1, Data!N61,"")</f>
        <v/>
      </c>
      <c r="AD69" s="139" t="str">
        <f>IF(Data!$B61='Team Parser'!$B$1,(AB69+(COUNTIF(AC69,"TRAVERSE")*15)+(COUNTIF(AC69,"HIGH")*10)+(COUNTIF(AC69,"MIDDLE")*6)+(COUNTIF(AC69,"LOW")*4)),"")</f>
        <v/>
      </c>
    </row>
    <row r="70">
      <c r="A70" s="133" t="s">
        <v>507</v>
      </c>
      <c r="B70" s="134" t="str">
        <f>IFERROR(__xludf.DUMMYFUNCTION("IFERROR((FILTER(Data!H:H,Data!D:D=A70,Data!B:B=$B$1)),"""")"),"")</f>
        <v/>
      </c>
      <c r="C70" s="134" t="str">
        <f>IFERROR(__xludf.DUMMYFUNCTION("IFERROR((FILTER(Data!G:G,Data!D:D=A70,Data!B:B=$B$1)),"""")"),"")</f>
        <v/>
      </c>
      <c r="D70" s="134" t="str">
        <f>IFERROR(__xludf.DUMMYFUNCTION("IFERROR((FILTER(Data!J:J,Data!D:D=A70,Data!B:B=$B$1)),"""")"),"")</f>
        <v/>
      </c>
      <c r="E70" s="134" t="str">
        <f>IFERROR(__xludf.DUMMYFUNCTION("IFERROR((FILTER(Data!L:L,Data!D:D=A70,Data!B:B=$B$1)),"""")"),"")</f>
        <v/>
      </c>
      <c r="F70" s="134" t="str">
        <f>IFERROR(__xludf.DUMMYFUNCTION("IFERROR((FILTER(Data!K:K,Data!D:D=A70,Data!B:B=$B$1)),"""")"),"")</f>
        <v/>
      </c>
      <c r="G70" s="134" t="str">
        <f>IFERROR(__xludf.DUMMYFUNCTION("IFERROR((FILTER(Data!M:M,Data!D:D=A70,Data!B:B=$B$1)),"""")"),"")</f>
        <v/>
      </c>
      <c r="H70" s="134" t="str">
        <f>IFERROR(__xludf.DUMMYFUNCTION("IFERROR((FILTER(Data!G:G,Data!D:D=A70,Data!B:B=$B$1)*4)+(FILTER(Data!H:H,Data!D:D=A70,Data!B:B=$B$1)*2),"""")"),"")</f>
        <v/>
      </c>
      <c r="I70" s="15" t="str">
        <f>IFERROR(__xludf.DUMMYFUNCTION("IFERROR((FILTER(Data!K:K,Data!D:D=A70,Data!B:B=$B$1)*2)+(FILTER(Data!L:L,Data!D:D=A70,Data!B:B=$B$1)),"""")"),"")</f>
        <v/>
      </c>
      <c r="J70" s="134" t="str">
        <f>IFERROR(__xludf.DUMMYFUNCTION("IFERROR((FILTER(Data!N:N,Data!D:D=A70,Data!B:B=$B$1)),"""")"),"")</f>
        <v/>
      </c>
      <c r="K70" s="135" t="str">
        <f>IFERROR(__xludf.DUMMYFUNCTION("IFERROR((FILTER(Data!H:H,Data!D:D=A70,Data!B:B=$B$1)*2)+(FILTER(Data!L:L,Data!D:D=A70,Data!B:B=$B$1))+(FILTER(Data!G:G,Data!D:D=A70,Data!B:B=$B$1)*4)+(FILTER(Data!K:K,Data!D:D=A70,Data!B:B=$B$1)*2)+(((COUNTIF(FILTER(Data!N:N,Data!D:D=A70,Data!B:B=$B$1),"""&amp;"TRAVERSE"")*15)+(COUNTIF(FILTER(Data!N:N,Data!D:D=A70,Data!B:B=$B$1),""HIGH"")*10)+(COUNTIF(FILTER(Data!N:N,Data!D:D=A70,Data!B:B=$B$1),""MIDDLE"")*6)+(COUNTIF(FILTER(Data!N:N,Data!D:D=A70,Data!B:B=$B$1),""LOW"")*4))),"""")"),"")</f>
        <v/>
      </c>
      <c r="L70" s="136" t="str">
        <f>IFERROR(__xludf.DUMMYFUNCTION("IFERROR((FILTER(Data!P:P,Data!D:D=A70,Data!B:B=$B$1)),"""")"),"")</f>
        <v/>
      </c>
      <c r="M70" s="137" t="str">
        <f>IFERROR(__xludf.DUMMYFUNCTION("IFERROR((FILTER(Data!A:A,Data!D:D=A70,Data!B:B=$B$1)),"""")"),"")</f>
        <v/>
      </c>
      <c r="T70" s="52">
        <f>IFERROR(__xludf.DUMMYFUNCTION("((COUNTIF(FILTER(Data!N:N,Data!D:D=A70,Data!B:B=$B$1),""TRAVERSE"")*15)+(COUNTIF(FILTER(Data!N:N,Data!D:D=A70,Data!B:B=B$1),""HIGH"")*10)+(COUNTIF(FILTER(Data!N:N,Data!D:D=A70,Data!B:B=$B$1),""MIDDLE"")*6)+(COUNTIF(FILTER(Data!N:N,Data!D:D=A70,Data!B:B=$B"&amp;"$1),""LOW"")*4))"),0.0)</f>
        <v>0</v>
      </c>
      <c r="V70" s="138" t="str">
        <f>IF(Data!B62='Team Parser'!$B$1, Data!D62,"")</f>
        <v/>
      </c>
      <c r="W70" s="134" t="str">
        <f>IF(Data!$B62='Team Parser'!$B$1, Data!H62,"")</f>
        <v/>
      </c>
      <c r="X70" s="134" t="str">
        <f>IF(Data!$B62='Team Parser'!$B$1, Data!G62,"")</f>
        <v/>
      </c>
      <c r="Y70" s="134" t="str">
        <f>IF(Data!$B62='Team Parser'!$B$1, Data!L62,"")</f>
        <v/>
      </c>
      <c r="Z70" s="134" t="str">
        <f>IF(Data!$B62='Team Parser'!$B$1, Data!K62,"")</f>
        <v/>
      </c>
      <c r="AA70" s="134" t="str">
        <f>IF(Data!$B62='Team Parser'!$B$1, Data!M62,"")</f>
        <v/>
      </c>
      <c r="AB70" s="134" t="str">
        <f>IF(Data!$B62='Team Parser'!$B$1,((Z70*2)+(Y70)+(X70*4)+(W70*2)),"")</f>
        <v/>
      </c>
      <c r="AC70" s="134" t="str">
        <f>IF(Data!$B62='Team Parser'!$B$1, Data!N62,"")</f>
        <v/>
      </c>
      <c r="AD70" s="139" t="str">
        <f>IF(Data!$B62='Team Parser'!$B$1,(AB70+(COUNTIF(AC70,"TRAVERSE")*15)+(COUNTIF(AC70,"HIGH")*10)+(COUNTIF(AC70,"MIDDLE")*6)+(COUNTIF(AC70,"LOW")*4)),"")</f>
        <v/>
      </c>
    </row>
    <row r="71">
      <c r="A71" s="133" t="s">
        <v>507</v>
      </c>
      <c r="B71" s="134" t="str">
        <f>IFERROR(__xludf.DUMMYFUNCTION("IFERROR((FILTER(Data!H:H,Data!D:D=A71,Data!B:B=$B$1)),"""")"),"")</f>
        <v/>
      </c>
      <c r="C71" s="134" t="str">
        <f>IFERROR(__xludf.DUMMYFUNCTION("IFERROR((FILTER(Data!G:G,Data!D:D=A71,Data!B:B=$B$1)),"""")"),"")</f>
        <v/>
      </c>
      <c r="D71" s="134" t="str">
        <f>IFERROR(__xludf.DUMMYFUNCTION("IFERROR((FILTER(Data!J:J,Data!D:D=A71,Data!B:B=$B$1)),"""")"),"")</f>
        <v/>
      </c>
      <c r="E71" s="134" t="str">
        <f>IFERROR(__xludf.DUMMYFUNCTION("IFERROR((FILTER(Data!L:L,Data!D:D=A71,Data!B:B=$B$1)),"""")"),"")</f>
        <v/>
      </c>
      <c r="F71" s="134" t="str">
        <f>IFERROR(__xludf.DUMMYFUNCTION("IFERROR((FILTER(Data!K:K,Data!D:D=A71,Data!B:B=$B$1)),"""")"),"")</f>
        <v/>
      </c>
      <c r="G71" s="134" t="str">
        <f>IFERROR(__xludf.DUMMYFUNCTION("IFERROR((FILTER(Data!M:M,Data!D:D=A71,Data!B:B=$B$1)),"""")"),"")</f>
        <v/>
      </c>
      <c r="H71" s="134" t="str">
        <f>IFERROR(__xludf.DUMMYFUNCTION("IFERROR((FILTER(Data!G:G,Data!D:D=A71,Data!B:B=$B$1)*4)+(FILTER(Data!H:H,Data!D:D=A71,Data!B:B=$B$1)*2),"""")"),"")</f>
        <v/>
      </c>
      <c r="I71" s="15" t="str">
        <f>IFERROR(__xludf.DUMMYFUNCTION("IFERROR((FILTER(Data!K:K,Data!D:D=A71,Data!B:B=$B$1)*2)+(FILTER(Data!L:L,Data!D:D=A71,Data!B:B=$B$1)),"""")"),"")</f>
        <v/>
      </c>
      <c r="J71" s="134" t="str">
        <f>IFERROR(__xludf.DUMMYFUNCTION("IFERROR((FILTER(Data!N:N,Data!D:D=A71,Data!B:B=$B$1)),"""")"),"")</f>
        <v/>
      </c>
      <c r="K71" s="135" t="str">
        <f>IFERROR(__xludf.DUMMYFUNCTION("IFERROR((FILTER(Data!H:H,Data!D:D=A71,Data!B:B=$B$1)*2)+(FILTER(Data!L:L,Data!D:D=A71,Data!B:B=$B$1))+(FILTER(Data!G:G,Data!D:D=A71,Data!B:B=$B$1)*4)+(FILTER(Data!K:K,Data!D:D=A71,Data!B:B=$B$1)*2)+(((COUNTIF(FILTER(Data!N:N,Data!D:D=A71,Data!B:B=$B$1),"""&amp;"TRAVERSE"")*15)+(COUNTIF(FILTER(Data!N:N,Data!D:D=A71,Data!B:B=$B$1),""HIGH"")*10)+(COUNTIF(FILTER(Data!N:N,Data!D:D=A71,Data!B:B=$B$1),""MIDDLE"")*6)+(COUNTIF(FILTER(Data!N:N,Data!D:D=A71,Data!B:B=$B$1),""LOW"")*4))),"""")"),"")</f>
        <v/>
      </c>
      <c r="L71" s="136" t="str">
        <f>IFERROR(__xludf.DUMMYFUNCTION("IFERROR((FILTER(Data!P:P,Data!D:D=A71,Data!B:B=$B$1)),"""")"),"")</f>
        <v/>
      </c>
      <c r="M71" s="137" t="str">
        <f>IFERROR(__xludf.DUMMYFUNCTION("IFERROR((FILTER(Data!A:A,Data!D:D=A71,Data!B:B=$B$1)),"""")"),"")</f>
        <v/>
      </c>
      <c r="T71" s="52">
        <f>IFERROR(__xludf.DUMMYFUNCTION("((COUNTIF(FILTER(Data!N:N,Data!D:D=A71,Data!B:B=$B$1),""TRAVERSE"")*15)+(COUNTIF(FILTER(Data!N:N,Data!D:D=A71,Data!B:B=B$1),""HIGH"")*10)+(COUNTIF(FILTER(Data!N:N,Data!D:D=A71,Data!B:B=$B$1),""MIDDLE"")*6)+(COUNTIF(FILTER(Data!N:N,Data!D:D=A71,Data!B:B=$B"&amp;"$1),""LOW"")*4))"),0.0)</f>
        <v>0</v>
      </c>
      <c r="V71" s="138" t="str">
        <f>IF(Data!B63='Team Parser'!$B$1, Data!D63,"")</f>
        <v/>
      </c>
      <c r="W71" s="134" t="str">
        <f>IF(Data!$B63='Team Parser'!$B$1, Data!H63,"")</f>
        <v/>
      </c>
      <c r="X71" s="134" t="str">
        <f>IF(Data!$B63='Team Parser'!$B$1, Data!G63,"")</f>
        <v/>
      </c>
      <c r="Y71" s="134" t="str">
        <f>IF(Data!$B63='Team Parser'!$B$1, Data!L63,"")</f>
        <v/>
      </c>
      <c r="Z71" s="134" t="str">
        <f>IF(Data!$B63='Team Parser'!$B$1, Data!K63,"")</f>
        <v/>
      </c>
      <c r="AA71" s="134" t="str">
        <f>IF(Data!$B63='Team Parser'!$B$1, Data!M63,"")</f>
        <v/>
      </c>
      <c r="AB71" s="134" t="str">
        <f>IF(Data!$B63='Team Parser'!$B$1,((Z71*2)+(Y71)+(X71*4)+(W71*2)),"")</f>
        <v/>
      </c>
      <c r="AC71" s="134" t="str">
        <f>IF(Data!$B63='Team Parser'!$B$1, Data!N63,"")</f>
        <v/>
      </c>
      <c r="AD71" s="139" t="str">
        <f>IF(Data!$B63='Team Parser'!$B$1,(AB71+(COUNTIF(AC71,"TRAVERSE")*15)+(COUNTIF(AC71,"HIGH")*10)+(COUNTIF(AC71,"MIDDLE")*6)+(COUNTIF(AC71,"LOW")*4)),"")</f>
        <v/>
      </c>
    </row>
    <row r="72">
      <c r="A72" s="133" t="s">
        <v>507</v>
      </c>
      <c r="B72" s="134" t="str">
        <f>IFERROR(__xludf.DUMMYFUNCTION("IFERROR((FILTER(Data!H:H,Data!D:D=A72,Data!B:B=$B$1)),"""")"),"")</f>
        <v/>
      </c>
      <c r="C72" s="134" t="str">
        <f>IFERROR(__xludf.DUMMYFUNCTION("IFERROR((FILTER(Data!G:G,Data!D:D=A72,Data!B:B=$B$1)),"""")"),"")</f>
        <v/>
      </c>
      <c r="D72" s="134" t="str">
        <f>IFERROR(__xludf.DUMMYFUNCTION("IFERROR((FILTER(Data!J:J,Data!D:D=A72,Data!B:B=$B$1)),"""")"),"")</f>
        <v/>
      </c>
      <c r="E72" s="134" t="str">
        <f>IFERROR(__xludf.DUMMYFUNCTION("IFERROR((FILTER(Data!L:L,Data!D:D=A72,Data!B:B=$B$1)),"""")"),"")</f>
        <v/>
      </c>
      <c r="F72" s="134" t="str">
        <f>IFERROR(__xludf.DUMMYFUNCTION("IFERROR((FILTER(Data!K:K,Data!D:D=A72,Data!B:B=$B$1)),"""")"),"")</f>
        <v/>
      </c>
      <c r="G72" s="134" t="str">
        <f>IFERROR(__xludf.DUMMYFUNCTION("IFERROR((FILTER(Data!M:M,Data!D:D=A72,Data!B:B=$B$1)),"""")"),"")</f>
        <v/>
      </c>
      <c r="H72" s="134" t="str">
        <f>IFERROR(__xludf.DUMMYFUNCTION("IFERROR((FILTER(Data!G:G,Data!D:D=A72,Data!B:B=$B$1)*4)+(FILTER(Data!H:H,Data!D:D=A72,Data!B:B=$B$1)*2),"""")"),"")</f>
        <v/>
      </c>
      <c r="I72" s="15" t="str">
        <f>IFERROR(__xludf.DUMMYFUNCTION("IFERROR((FILTER(Data!K:K,Data!D:D=A72,Data!B:B=$B$1)*2)+(FILTER(Data!L:L,Data!D:D=A72,Data!B:B=$B$1)),"""")"),"")</f>
        <v/>
      </c>
      <c r="J72" s="134" t="str">
        <f>IFERROR(__xludf.DUMMYFUNCTION("IFERROR((FILTER(Data!N:N,Data!D:D=A72,Data!B:B=$B$1)),"""")"),"")</f>
        <v/>
      </c>
      <c r="K72" s="135" t="str">
        <f>IFERROR(__xludf.DUMMYFUNCTION("IFERROR((FILTER(Data!H:H,Data!D:D=A72,Data!B:B=$B$1)*2)+(FILTER(Data!L:L,Data!D:D=A72,Data!B:B=$B$1))+(FILTER(Data!G:G,Data!D:D=A72,Data!B:B=$B$1)*4)+(FILTER(Data!K:K,Data!D:D=A72,Data!B:B=$B$1)*2)+(((COUNTIF(FILTER(Data!N:N,Data!D:D=A72,Data!B:B=$B$1),"""&amp;"TRAVERSE"")*15)+(COUNTIF(FILTER(Data!N:N,Data!D:D=A72,Data!B:B=$B$1),""HIGH"")*10)+(COUNTIF(FILTER(Data!N:N,Data!D:D=A72,Data!B:B=$B$1),""MIDDLE"")*6)+(COUNTIF(FILTER(Data!N:N,Data!D:D=A72,Data!B:B=$B$1),""LOW"")*4))),"""")"),"")</f>
        <v/>
      </c>
      <c r="L72" s="136" t="str">
        <f>IFERROR(__xludf.DUMMYFUNCTION("IFERROR((FILTER(Data!P:P,Data!D:D=A72,Data!B:B=$B$1)),"""")"),"")</f>
        <v/>
      </c>
      <c r="M72" s="137" t="str">
        <f>IFERROR(__xludf.DUMMYFUNCTION("IFERROR((FILTER(Data!A:A,Data!D:D=A72,Data!B:B=$B$1)),"""")"),"")</f>
        <v/>
      </c>
      <c r="T72" s="52">
        <f>IFERROR(__xludf.DUMMYFUNCTION("((COUNTIF(FILTER(Data!N:N,Data!D:D=A72,Data!B:B=$B$1),""TRAVERSE"")*15)+(COUNTIF(FILTER(Data!N:N,Data!D:D=A72,Data!B:B=B$1),""HIGH"")*10)+(COUNTIF(FILTER(Data!N:N,Data!D:D=A72,Data!B:B=$B$1),""MIDDLE"")*6)+(COUNTIF(FILTER(Data!N:N,Data!D:D=A72,Data!B:B=$B"&amp;"$1),""LOW"")*4))"),0.0)</f>
        <v>0</v>
      </c>
      <c r="V72" s="138" t="str">
        <f>IF(Data!B64='Team Parser'!$B$1, Data!D64,"")</f>
        <v/>
      </c>
      <c r="W72" s="134" t="str">
        <f>IF(Data!$B64='Team Parser'!$B$1, Data!H64,"")</f>
        <v/>
      </c>
      <c r="X72" s="134" t="str">
        <f>IF(Data!$B64='Team Parser'!$B$1, Data!G64,"")</f>
        <v/>
      </c>
      <c r="Y72" s="134" t="str">
        <f>IF(Data!$B64='Team Parser'!$B$1, Data!L64,"")</f>
        <v/>
      </c>
      <c r="Z72" s="134" t="str">
        <f>IF(Data!$B64='Team Parser'!$B$1, Data!K64,"")</f>
        <v/>
      </c>
      <c r="AA72" s="134" t="str">
        <f>IF(Data!$B64='Team Parser'!$B$1, Data!M64,"")</f>
        <v/>
      </c>
      <c r="AB72" s="134" t="str">
        <f>IF(Data!$B64='Team Parser'!$B$1,((Z72*2)+(Y72)+(X72*4)+(W72*2)),"")</f>
        <v/>
      </c>
      <c r="AC72" s="134" t="str">
        <f>IF(Data!$B64='Team Parser'!$B$1, Data!N64,"")</f>
        <v/>
      </c>
      <c r="AD72" s="139" t="str">
        <f>IF(Data!$B64='Team Parser'!$B$1,(AB72+(COUNTIF(AC72,"TRAVERSE")*15)+(COUNTIF(AC72,"HIGH")*10)+(COUNTIF(AC72,"MIDDLE")*6)+(COUNTIF(AC72,"LOW")*4)),"")</f>
        <v/>
      </c>
    </row>
    <row r="73">
      <c r="A73" s="133" t="s">
        <v>507</v>
      </c>
      <c r="B73" s="134" t="str">
        <f>IFERROR(__xludf.DUMMYFUNCTION("IFERROR((FILTER(Data!H:H,Data!D:D=A73,Data!B:B=$B$1)),"""")"),"")</f>
        <v/>
      </c>
      <c r="C73" s="134" t="str">
        <f>IFERROR(__xludf.DUMMYFUNCTION("IFERROR((FILTER(Data!G:G,Data!D:D=A73,Data!B:B=$B$1)),"""")"),"")</f>
        <v/>
      </c>
      <c r="D73" s="134" t="str">
        <f>IFERROR(__xludf.DUMMYFUNCTION("IFERROR((FILTER(Data!J:J,Data!D:D=A73,Data!B:B=$B$1)),"""")"),"")</f>
        <v/>
      </c>
      <c r="E73" s="134" t="str">
        <f>IFERROR(__xludf.DUMMYFUNCTION("IFERROR((FILTER(Data!L:L,Data!D:D=A73,Data!B:B=$B$1)),"""")"),"")</f>
        <v/>
      </c>
      <c r="F73" s="134" t="str">
        <f>IFERROR(__xludf.DUMMYFUNCTION("IFERROR((FILTER(Data!K:K,Data!D:D=A73,Data!B:B=$B$1)),"""")"),"")</f>
        <v/>
      </c>
      <c r="G73" s="134" t="str">
        <f>IFERROR(__xludf.DUMMYFUNCTION("IFERROR((FILTER(Data!M:M,Data!D:D=A73,Data!B:B=$B$1)),"""")"),"")</f>
        <v/>
      </c>
      <c r="H73" s="134" t="str">
        <f>IFERROR(__xludf.DUMMYFUNCTION("IFERROR((FILTER(Data!G:G,Data!D:D=A73,Data!B:B=$B$1)*4)+(FILTER(Data!H:H,Data!D:D=A73,Data!B:B=$B$1)*2),"""")"),"")</f>
        <v/>
      </c>
      <c r="I73" s="15" t="str">
        <f>IFERROR(__xludf.DUMMYFUNCTION("IFERROR((FILTER(Data!K:K,Data!D:D=A73,Data!B:B=$B$1)*2)+(FILTER(Data!L:L,Data!D:D=A73,Data!B:B=$B$1)),"""")"),"")</f>
        <v/>
      </c>
      <c r="J73" s="134" t="str">
        <f>IFERROR(__xludf.DUMMYFUNCTION("IFERROR((FILTER(Data!N:N,Data!D:D=A73,Data!B:B=$B$1)),"""")"),"")</f>
        <v/>
      </c>
      <c r="K73" s="135" t="str">
        <f>IFERROR(__xludf.DUMMYFUNCTION("IFERROR((FILTER(Data!H:H,Data!D:D=A73,Data!B:B=$B$1)*2)+(FILTER(Data!L:L,Data!D:D=A73,Data!B:B=$B$1))+(FILTER(Data!G:G,Data!D:D=A73,Data!B:B=$B$1)*4)+(FILTER(Data!K:K,Data!D:D=A73,Data!B:B=$B$1)*2)+(((COUNTIF(FILTER(Data!N:N,Data!D:D=A73,Data!B:B=$B$1),"""&amp;"TRAVERSE"")*15)+(COUNTIF(FILTER(Data!N:N,Data!D:D=A73,Data!B:B=$B$1),""HIGH"")*10)+(COUNTIF(FILTER(Data!N:N,Data!D:D=A73,Data!B:B=$B$1),""MIDDLE"")*6)+(COUNTIF(FILTER(Data!N:N,Data!D:D=A73,Data!B:B=$B$1),""LOW"")*4))),"""")"),"")</f>
        <v/>
      </c>
      <c r="L73" s="136" t="str">
        <f>IFERROR(__xludf.DUMMYFUNCTION("IFERROR((FILTER(Data!P:P,Data!D:D=A73,Data!B:B=$B$1)),"""")"),"")</f>
        <v/>
      </c>
      <c r="M73" s="137" t="str">
        <f>IFERROR(__xludf.DUMMYFUNCTION("IFERROR((FILTER(Data!A:A,Data!D:D=A73,Data!B:B=$B$1)),"""")"),"")</f>
        <v/>
      </c>
      <c r="T73" s="52">
        <f>IFERROR(__xludf.DUMMYFUNCTION("((COUNTIF(FILTER(Data!N:N,Data!D:D=A73,Data!B:B=$B$1),""TRAVERSE"")*15)+(COUNTIF(FILTER(Data!N:N,Data!D:D=A73,Data!B:B=B$1),""HIGH"")*10)+(COUNTIF(FILTER(Data!N:N,Data!D:D=A73,Data!B:B=$B$1),""MIDDLE"")*6)+(COUNTIF(FILTER(Data!N:N,Data!D:D=A73,Data!B:B=$B"&amp;"$1),""LOW"")*4))"),0.0)</f>
        <v>0</v>
      </c>
      <c r="V73" s="138" t="str">
        <f>IF(Data!B65='Team Parser'!$B$1, Data!D65,"")</f>
        <v/>
      </c>
      <c r="W73" s="134" t="str">
        <f>IF(Data!$B65='Team Parser'!$B$1, Data!H65,"")</f>
        <v/>
      </c>
      <c r="X73" s="134" t="str">
        <f>IF(Data!$B65='Team Parser'!$B$1, Data!G65,"")</f>
        <v/>
      </c>
      <c r="Y73" s="134" t="str">
        <f>IF(Data!$B65='Team Parser'!$B$1, Data!L65,"")</f>
        <v/>
      </c>
      <c r="Z73" s="134" t="str">
        <f>IF(Data!$B65='Team Parser'!$B$1, Data!K65,"")</f>
        <v/>
      </c>
      <c r="AA73" s="134" t="str">
        <f>IF(Data!$B65='Team Parser'!$B$1, Data!M65,"")</f>
        <v/>
      </c>
      <c r="AB73" s="134" t="str">
        <f>IF(Data!$B65='Team Parser'!$B$1,((Z73*2)+(Y73)+(X73*4)+(W73*2)),"")</f>
        <v/>
      </c>
      <c r="AC73" s="134" t="str">
        <f>IF(Data!$B65='Team Parser'!$B$1, Data!N65,"")</f>
        <v/>
      </c>
      <c r="AD73" s="139" t="str">
        <f>IF(Data!$B65='Team Parser'!$B$1,(AB73+(COUNTIF(AC73,"TRAVERSE")*15)+(COUNTIF(AC73,"HIGH")*10)+(COUNTIF(AC73,"MIDDLE")*6)+(COUNTIF(AC73,"LOW")*4)),"")</f>
        <v/>
      </c>
    </row>
    <row r="74">
      <c r="A74" s="133" t="s">
        <v>507</v>
      </c>
      <c r="B74" s="134" t="str">
        <f>IFERROR(__xludf.DUMMYFUNCTION("IFERROR((FILTER(Data!H:H,Data!D:D=A74,Data!B:B=$B$1)),"""")"),"")</f>
        <v/>
      </c>
      <c r="C74" s="134" t="str">
        <f>IFERROR(__xludf.DUMMYFUNCTION("IFERROR((FILTER(Data!G:G,Data!D:D=A74,Data!B:B=$B$1)),"""")"),"")</f>
        <v/>
      </c>
      <c r="D74" s="134" t="str">
        <f>IFERROR(__xludf.DUMMYFUNCTION("IFERROR((FILTER(Data!J:J,Data!D:D=A74,Data!B:B=$B$1)),"""")"),"")</f>
        <v/>
      </c>
      <c r="E74" s="134" t="str">
        <f>IFERROR(__xludf.DUMMYFUNCTION("IFERROR((FILTER(Data!L:L,Data!D:D=A74,Data!B:B=$B$1)),"""")"),"")</f>
        <v/>
      </c>
      <c r="F74" s="134" t="str">
        <f>IFERROR(__xludf.DUMMYFUNCTION("IFERROR((FILTER(Data!K:K,Data!D:D=A74,Data!B:B=$B$1)),"""")"),"")</f>
        <v/>
      </c>
      <c r="G74" s="134" t="str">
        <f>IFERROR(__xludf.DUMMYFUNCTION("IFERROR((FILTER(Data!M:M,Data!D:D=A74,Data!B:B=$B$1)),"""")"),"")</f>
        <v/>
      </c>
      <c r="H74" s="134" t="str">
        <f>IFERROR(__xludf.DUMMYFUNCTION("IFERROR((FILTER(Data!G:G,Data!D:D=A74,Data!B:B=$B$1)*4)+(FILTER(Data!H:H,Data!D:D=A74,Data!B:B=$B$1)*2),"""")"),"")</f>
        <v/>
      </c>
      <c r="I74" s="15" t="str">
        <f>IFERROR(__xludf.DUMMYFUNCTION("IFERROR((FILTER(Data!K:K,Data!D:D=A74,Data!B:B=$B$1)*2)+(FILTER(Data!L:L,Data!D:D=A74,Data!B:B=$B$1)),"""")"),"")</f>
        <v/>
      </c>
      <c r="J74" s="134" t="str">
        <f>IFERROR(__xludf.DUMMYFUNCTION("IFERROR((FILTER(Data!N:N,Data!D:D=A74,Data!B:B=$B$1)),"""")"),"")</f>
        <v/>
      </c>
      <c r="K74" s="135" t="str">
        <f>IFERROR(__xludf.DUMMYFUNCTION("IFERROR((FILTER(Data!H:H,Data!D:D=A74,Data!B:B=$B$1)*2)+(FILTER(Data!L:L,Data!D:D=A74,Data!B:B=$B$1))+(FILTER(Data!G:G,Data!D:D=A74,Data!B:B=$B$1)*4)+(FILTER(Data!K:K,Data!D:D=A74,Data!B:B=$B$1)*2)+(((COUNTIF(FILTER(Data!N:N,Data!D:D=A74,Data!B:B=$B$1),"""&amp;"TRAVERSE"")*15)+(COUNTIF(FILTER(Data!N:N,Data!D:D=A74,Data!B:B=$B$1),""HIGH"")*10)+(COUNTIF(FILTER(Data!N:N,Data!D:D=A74,Data!B:B=$B$1),""MIDDLE"")*6)+(COUNTIF(FILTER(Data!N:N,Data!D:D=A74,Data!B:B=$B$1),""LOW"")*4))),"""")"),"")</f>
        <v/>
      </c>
      <c r="L74" s="136" t="str">
        <f>IFERROR(__xludf.DUMMYFUNCTION("IFERROR((FILTER(Data!P:P,Data!D:D=A74,Data!B:B=$B$1)),"""")"),"")</f>
        <v/>
      </c>
      <c r="M74" s="137" t="str">
        <f>IFERROR(__xludf.DUMMYFUNCTION("IFERROR((FILTER(Data!A:A,Data!D:D=A74,Data!B:B=$B$1)),"""")"),"")</f>
        <v/>
      </c>
      <c r="T74" s="52">
        <f>IFERROR(__xludf.DUMMYFUNCTION("((COUNTIF(FILTER(Data!N:N,Data!D:D=A74,Data!B:B=$B$1),""TRAVERSE"")*15)+(COUNTIF(FILTER(Data!N:N,Data!D:D=A74,Data!B:B=B$1),""HIGH"")*10)+(COUNTIF(FILTER(Data!N:N,Data!D:D=A74,Data!B:B=$B$1),""MIDDLE"")*6)+(COUNTIF(FILTER(Data!N:N,Data!D:D=A74,Data!B:B=$B"&amp;"$1),""LOW"")*4))"),0.0)</f>
        <v>0</v>
      </c>
      <c r="V74" s="138" t="str">
        <f>IF(Data!B66='Team Parser'!$B$1, Data!D66,"")</f>
        <v/>
      </c>
      <c r="W74" s="134" t="str">
        <f>IF(Data!$B66='Team Parser'!$B$1, Data!H66,"")</f>
        <v/>
      </c>
      <c r="X74" s="134" t="str">
        <f>IF(Data!$B66='Team Parser'!$B$1, Data!G66,"")</f>
        <v/>
      </c>
      <c r="Y74" s="134" t="str">
        <f>IF(Data!$B66='Team Parser'!$B$1, Data!L66,"")</f>
        <v/>
      </c>
      <c r="Z74" s="134" t="str">
        <f>IF(Data!$B66='Team Parser'!$B$1, Data!K66,"")</f>
        <v/>
      </c>
      <c r="AA74" s="134" t="str">
        <f>IF(Data!$B66='Team Parser'!$B$1, Data!M66,"")</f>
        <v/>
      </c>
      <c r="AB74" s="134" t="str">
        <f>IF(Data!$B66='Team Parser'!$B$1,((Z74*2)+(Y74)+(X74*4)+(W74*2)),"")</f>
        <v/>
      </c>
      <c r="AC74" s="134" t="str">
        <f>IF(Data!$B66='Team Parser'!$B$1, Data!N66,"")</f>
        <v/>
      </c>
      <c r="AD74" s="139" t="str">
        <f>IF(Data!$B66='Team Parser'!$B$1,(AB74+(COUNTIF(AC74,"TRAVERSE")*15)+(COUNTIF(AC74,"HIGH")*10)+(COUNTIF(AC74,"MIDDLE")*6)+(COUNTIF(AC74,"LOW")*4)),"")</f>
        <v/>
      </c>
    </row>
    <row r="75">
      <c r="A75" s="133" t="s">
        <v>507</v>
      </c>
      <c r="B75" s="134" t="str">
        <f>IFERROR(__xludf.DUMMYFUNCTION("IFERROR((FILTER(Data!H:H,Data!D:D=A75,Data!B:B=$B$1)),"""")"),"")</f>
        <v/>
      </c>
      <c r="C75" s="134" t="str">
        <f>IFERROR(__xludf.DUMMYFUNCTION("IFERROR((FILTER(Data!G:G,Data!D:D=A75,Data!B:B=$B$1)),"""")"),"")</f>
        <v/>
      </c>
      <c r="D75" s="134" t="str">
        <f>IFERROR(__xludf.DUMMYFUNCTION("IFERROR((FILTER(Data!J:J,Data!D:D=A75,Data!B:B=$B$1)),"""")"),"")</f>
        <v/>
      </c>
      <c r="E75" s="134" t="str">
        <f>IFERROR(__xludf.DUMMYFUNCTION("IFERROR((FILTER(Data!L:L,Data!D:D=A75,Data!B:B=$B$1)),"""")"),"")</f>
        <v/>
      </c>
      <c r="F75" s="134" t="str">
        <f>IFERROR(__xludf.DUMMYFUNCTION("IFERROR((FILTER(Data!K:K,Data!D:D=A75,Data!B:B=$B$1)),"""")"),"")</f>
        <v/>
      </c>
      <c r="G75" s="134" t="str">
        <f>IFERROR(__xludf.DUMMYFUNCTION("IFERROR((FILTER(Data!M:M,Data!D:D=A75,Data!B:B=$B$1)),"""")"),"")</f>
        <v/>
      </c>
      <c r="H75" s="134" t="str">
        <f>IFERROR(__xludf.DUMMYFUNCTION("IFERROR((FILTER(Data!G:G,Data!D:D=A75,Data!B:B=$B$1)*4)+(FILTER(Data!H:H,Data!D:D=A75,Data!B:B=$B$1)*2),"""")"),"")</f>
        <v/>
      </c>
      <c r="I75" s="15" t="str">
        <f>IFERROR(__xludf.DUMMYFUNCTION("IFERROR((FILTER(Data!K:K,Data!D:D=A75,Data!B:B=$B$1)*2)+(FILTER(Data!L:L,Data!D:D=A75,Data!B:B=$B$1)),"""")"),"")</f>
        <v/>
      </c>
      <c r="J75" s="134" t="str">
        <f>IFERROR(__xludf.DUMMYFUNCTION("IFERROR((FILTER(Data!N:N,Data!D:D=A75,Data!B:B=$B$1)),"""")"),"")</f>
        <v/>
      </c>
      <c r="K75" s="135" t="str">
        <f>IFERROR(__xludf.DUMMYFUNCTION("IFERROR((FILTER(Data!H:H,Data!D:D=A75,Data!B:B=$B$1)*2)+(FILTER(Data!L:L,Data!D:D=A75,Data!B:B=$B$1))+(FILTER(Data!G:G,Data!D:D=A75,Data!B:B=$B$1)*4)+(FILTER(Data!K:K,Data!D:D=A75,Data!B:B=$B$1)*2)+(((COUNTIF(FILTER(Data!N:N,Data!D:D=A75,Data!B:B=$B$1),"""&amp;"TRAVERSE"")*15)+(COUNTIF(FILTER(Data!N:N,Data!D:D=A75,Data!B:B=$B$1),""HIGH"")*10)+(COUNTIF(FILTER(Data!N:N,Data!D:D=A75,Data!B:B=$B$1),""MIDDLE"")*6)+(COUNTIF(FILTER(Data!N:N,Data!D:D=A75,Data!B:B=$B$1),""LOW"")*4))),"""")"),"")</f>
        <v/>
      </c>
      <c r="L75" s="136" t="str">
        <f>IFERROR(__xludf.DUMMYFUNCTION("IFERROR((FILTER(Data!P:P,Data!D:D=A75,Data!B:B=$B$1)),"""")"),"")</f>
        <v/>
      </c>
      <c r="M75" s="137" t="str">
        <f>IFERROR(__xludf.DUMMYFUNCTION("IFERROR((FILTER(Data!A:A,Data!D:D=A75,Data!B:B=$B$1)),"""")"),"")</f>
        <v/>
      </c>
      <c r="T75" s="52">
        <f>IFERROR(__xludf.DUMMYFUNCTION("((COUNTIF(FILTER(Data!N:N,Data!D:D=A75,Data!B:B=$B$1),""TRAVERSE"")*15)+(COUNTIF(FILTER(Data!N:N,Data!D:D=A75,Data!B:B=B$1),""HIGH"")*10)+(COUNTIF(FILTER(Data!N:N,Data!D:D=A75,Data!B:B=$B$1),""MIDDLE"")*6)+(COUNTIF(FILTER(Data!N:N,Data!D:D=A75,Data!B:B=$B"&amp;"$1),""LOW"")*4))"),0.0)</f>
        <v>0</v>
      </c>
      <c r="V75" s="138" t="str">
        <f>IF(Data!B67='Team Parser'!$B$1, Data!D67,"")</f>
        <v/>
      </c>
      <c r="W75" s="134" t="str">
        <f>IF(Data!$B67='Team Parser'!$B$1, Data!H67,"")</f>
        <v/>
      </c>
      <c r="X75" s="134" t="str">
        <f>IF(Data!$B67='Team Parser'!$B$1, Data!G67,"")</f>
        <v/>
      </c>
      <c r="Y75" s="134" t="str">
        <f>IF(Data!$B67='Team Parser'!$B$1, Data!L67,"")</f>
        <v/>
      </c>
      <c r="Z75" s="134" t="str">
        <f>IF(Data!$B67='Team Parser'!$B$1, Data!K67,"")</f>
        <v/>
      </c>
      <c r="AA75" s="134" t="str">
        <f>IF(Data!$B67='Team Parser'!$B$1, Data!M67,"")</f>
        <v/>
      </c>
      <c r="AB75" s="134" t="str">
        <f>IF(Data!$B67='Team Parser'!$B$1,((Z75*2)+(Y75)+(X75*4)+(W75*2)),"")</f>
        <v/>
      </c>
      <c r="AC75" s="134" t="str">
        <f>IF(Data!$B67='Team Parser'!$B$1, Data!N67,"")</f>
        <v/>
      </c>
      <c r="AD75" s="139" t="str">
        <f>IF(Data!$B67='Team Parser'!$B$1,(AB75+(COUNTIF(AC75,"TRAVERSE")*15)+(COUNTIF(AC75,"HIGH")*10)+(COUNTIF(AC75,"MIDDLE")*6)+(COUNTIF(AC75,"LOW")*4)),"")</f>
        <v/>
      </c>
    </row>
    <row r="76">
      <c r="A76" s="133" t="s">
        <v>507</v>
      </c>
      <c r="B76" s="134" t="str">
        <f>IFERROR(__xludf.DUMMYFUNCTION("IFERROR((FILTER(Data!H:H,Data!D:D=A76,Data!B:B=$B$1)),"""")"),"")</f>
        <v/>
      </c>
      <c r="C76" s="134" t="str">
        <f>IFERROR(__xludf.DUMMYFUNCTION("IFERROR((FILTER(Data!G:G,Data!D:D=A76,Data!B:B=$B$1)),"""")"),"")</f>
        <v/>
      </c>
      <c r="D76" s="134" t="str">
        <f>IFERROR(__xludf.DUMMYFUNCTION("IFERROR((FILTER(Data!J:J,Data!D:D=A76,Data!B:B=$B$1)),"""")"),"")</f>
        <v/>
      </c>
      <c r="E76" s="134" t="str">
        <f>IFERROR(__xludf.DUMMYFUNCTION("IFERROR((FILTER(Data!L:L,Data!D:D=A76,Data!B:B=$B$1)),"""")"),"")</f>
        <v/>
      </c>
      <c r="F76" s="134" t="str">
        <f>IFERROR(__xludf.DUMMYFUNCTION("IFERROR((FILTER(Data!K:K,Data!D:D=A76,Data!B:B=$B$1)),"""")"),"")</f>
        <v/>
      </c>
      <c r="G76" s="134" t="str">
        <f>IFERROR(__xludf.DUMMYFUNCTION("IFERROR((FILTER(Data!M:M,Data!D:D=A76,Data!B:B=$B$1)),"""")"),"")</f>
        <v/>
      </c>
      <c r="H76" s="134" t="str">
        <f>IFERROR(__xludf.DUMMYFUNCTION("IFERROR((FILTER(Data!G:G,Data!D:D=A76,Data!B:B=$B$1)*4)+(FILTER(Data!H:H,Data!D:D=A76,Data!B:B=$B$1)*2),"""")"),"")</f>
        <v/>
      </c>
      <c r="I76" s="15" t="str">
        <f>IFERROR(__xludf.DUMMYFUNCTION("IFERROR((FILTER(Data!K:K,Data!D:D=A76,Data!B:B=$B$1)*2)+(FILTER(Data!L:L,Data!D:D=A76,Data!B:B=$B$1)),"""")"),"")</f>
        <v/>
      </c>
      <c r="J76" s="134" t="str">
        <f>IFERROR(__xludf.DUMMYFUNCTION("IFERROR((FILTER(Data!N:N,Data!D:D=A76,Data!B:B=$B$1)),"""")"),"")</f>
        <v/>
      </c>
      <c r="K76" s="135" t="str">
        <f>IFERROR(__xludf.DUMMYFUNCTION("IFERROR((FILTER(Data!H:H,Data!D:D=A76,Data!B:B=$B$1)*2)+(FILTER(Data!L:L,Data!D:D=A76,Data!B:B=$B$1))+(FILTER(Data!G:G,Data!D:D=A76,Data!B:B=$B$1)*4)+(FILTER(Data!K:K,Data!D:D=A76,Data!B:B=$B$1)*2)+(((COUNTIF(FILTER(Data!N:N,Data!D:D=A76,Data!B:B=$B$1),"""&amp;"TRAVERSE"")*15)+(COUNTIF(FILTER(Data!N:N,Data!D:D=A76,Data!B:B=$B$1),""HIGH"")*10)+(COUNTIF(FILTER(Data!N:N,Data!D:D=A76,Data!B:B=$B$1),""MIDDLE"")*6)+(COUNTIF(FILTER(Data!N:N,Data!D:D=A76,Data!B:B=$B$1),""LOW"")*4))),"""")"),"")</f>
        <v/>
      </c>
      <c r="L76" s="136" t="str">
        <f>IFERROR(__xludf.DUMMYFUNCTION("IFERROR((FILTER(Data!P:P,Data!D:D=A76,Data!B:B=$B$1)),"""")"),"")</f>
        <v/>
      </c>
      <c r="M76" s="137" t="str">
        <f>IFERROR(__xludf.DUMMYFUNCTION("IFERROR((FILTER(Data!A:A,Data!D:D=A76,Data!B:B=$B$1)),"""")"),"")</f>
        <v/>
      </c>
      <c r="T76" s="52">
        <f>IFERROR(__xludf.DUMMYFUNCTION("((COUNTIF(FILTER(Data!N:N,Data!D:D=A76,Data!B:B=$B$1),""TRAVERSE"")*15)+(COUNTIF(FILTER(Data!N:N,Data!D:D=A76,Data!B:B=B$1),""HIGH"")*10)+(COUNTIF(FILTER(Data!N:N,Data!D:D=A76,Data!B:B=$B$1),""MIDDLE"")*6)+(COUNTIF(FILTER(Data!N:N,Data!D:D=A76,Data!B:B=$B"&amp;"$1),""LOW"")*4))"),0.0)</f>
        <v>0</v>
      </c>
      <c r="V76" s="138" t="str">
        <f>IF(Data!B68='Team Parser'!$B$1, Data!D68,"")</f>
        <v/>
      </c>
      <c r="W76" s="134" t="str">
        <f>IF(Data!$B68='Team Parser'!$B$1, Data!H68,"")</f>
        <v/>
      </c>
      <c r="X76" s="134" t="str">
        <f>IF(Data!$B68='Team Parser'!$B$1, Data!G68,"")</f>
        <v/>
      </c>
      <c r="Y76" s="134" t="str">
        <f>IF(Data!$B68='Team Parser'!$B$1, Data!L68,"")</f>
        <v/>
      </c>
      <c r="Z76" s="134" t="str">
        <f>IF(Data!$B68='Team Parser'!$B$1, Data!K68,"")</f>
        <v/>
      </c>
      <c r="AA76" s="134" t="str">
        <f>IF(Data!$B68='Team Parser'!$B$1, Data!M68,"")</f>
        <v/>
      </c>
      <c r="AB76" s="134" t="str">
        <f>IF(Data!$B68='Team Parser'!$B$1,((Z76*2)+(Y76)+(X76*4)+(W76*2)),"")</f>
        <v/>
      </c>
      <c r="AC76" s="134" t="str">
        <f>IF(Data!$B68='Team Parser'!$B$1, Data!N68,"")</f>
        <v/>
      </c>
      <c r="AD76" s="139" t="str">
        <f>IF(Data!$B68='Team Parser'!$B$1,(AB76+(COUNTIF(AC76,"TRAVERSE")*15)+(COUNTIF(AC76,"HIGH")*10)+(COUNTIF(AC76,"MIDDLE")*6)+(COUNTIF(AC76,"LOW")*4)),"")</f>
        <v/>
      </c>
    </row>
    <row r="77">
      <c r="A77" s="133" t="s">
        <v>507</v>
      </c>
      <c r="B77" s="134" t="str">
        <f>IFERROR(__xludf.DUMMYFUNCTION("IFERROR((FILTER(Data!H:H,Data!D:D=A77,Data!B:B=$B$1)),"""")"),"")</f>
        <v/>
      </c>
      <c r="C77" s="134" t="str">
        <f>IFERROR(__xludf.DUMMYFUNCTION("IFERROR((FILTER(Data!G:G,Data!D:D=A77,Data!B:B=$B$1)),"""")"),"")</f>
        <v/>
      </c>
      <c r="D77" s="134" t="str">
        <f>IFERROR(__xludf.DUMMYFUNCTION("IFERROR((FILTER(Data!J:J,Data!D:D=A77,Data!B:B=$B$1)),"""")"),"")</f>
        <v/>
      </c>
      <c r="E77" s="134" t="str">
        <f>IFERROR(__xludf.DUMMYFUNCTION("IFERROR((FILTER(Data!L:L,Data!D:D=A77,Data!B:B=$B$1)),"""")"),"")</f>
        <v/>
      </c>
      <c r="F77" s="134" t="str">
        <f>IFERROR(__xludf.DUMMYFUNCTION("IFERROR((FILTER(Data!K:K,Data!D:D=A77,Data!B:B=$B$1)),"""")"),"")</f>
        <v/>
      </c>
      <c r="G77" s="134" t="str">
        <f>IFERROR(__xludf.DUMMYFUNCTION("IFERROR((FILTER(Data!M:M,Data!D:D=A77,Data!B:B=$B$1)),"""")"),"")</f>
        <v/>
      </c>
      <c r="H77" s="134" t="str">
        <f>IFERROR(__xludf.DUMMYFUNCTION("IFERROR((FILTER(Data!G:G,Data!D:D=A77,Data!B:B=$B$1)*4)+(FILTER(Data!H:H,Data!D:D=A77,Data!B:B=$B$1)*2),"""")"),"")</f>
        <v/>
      </c>
      <c r="I77" s="15" t="str">
        <f>IFERROR(__xludf.DUMMYFUNCTION("IFERROR((FILTER(Data!K:K,Data!D:D=A77,Data!B:B=$B$1)*2)+(FILTER(Data!L:L,Data!D:D=A77,Data!B:B=$B$1)),"""")"),"")</f>
        <v/>
      </c>
      <c r="J77" s="134" t="str">
        <f>IFERROR(__xludf.DUMMYFUNCTION("IFERROR((FILTER(Data!N:N,Data!D:D=A77,Data!B:B=$B$1)),"""")"),"")</f>
        <v/>
      </c>
      <c r="K77" s="135" t="str">
        <f>IFERROR(__xludf.DUMMYFUNCTION("IFERROR((FILTER(Data!H:H,Data!D:D=A77,Data!B:B=$B$1)*2)+(FILTER(Data!L:L,Data!D:D=A77,Data!B:B=$B$1))+(FILTER(Data!G:G,Data!D:D=A77,Data!B:B=$B$1)*4)+(FILTER(Data!K:K,Data!D:D=A77,Data!B:B=$B$1)*2)+(((COUNTIF(FILTER(Data!N:N,Data!D:D=A77,Data!B:B=$B$1),"""&amp;"TRAVERSE"")*15)+(COUNTIF(FILTER(Data!N:N,Data!D:D=A77,Data!B:B=$B$1),""HIGH"")*10)+(COUNTIF(FILTER(Data!N:N,Data!D:D=A77,Data!B:B=$B$1),""MIDDLE"")*6)+(COUNTIF(FILTER(Data!N:N,Data!D:D=A77,Data!B:B=$B$1),""LOW"")*4))),"""")"),"")</f>
        <v/>
      </c>
      <c r="L77" s="136" t="str">
        <f>IFERROR(__xludf.DUMMYFUNCTION("IFERROR((FILTER(Data!P:P,Data!D:D=A77,Data!B:B=$B$1)),"""")"),"")</f>
        <v/>
      </c>
      <c r="M77" s="137" t="str">
        <f>IFERROR(__xludf.DUMMYFUNCTION("IFERROR((FILTER(Data!A:A,Data!D:D=A77,Data!B:B=$B$1)),"""")"),"")</f>
        <v/>
      </c>
      <c r="T77" s="52">
        <f>IFERROR(__xludf.DUMMYFUNCTION("((COUNTIF(FILTER(Data!N:N,Data!D:D=A77,Data!B:B=$B$1),""TRAVERSE"")*15)+(COUNTIF(FILTER(Data!N:N,Data!D:D=A77,Data!B:B=B$1),""HIGH"")*10)+(COUNTIF(FILTER(Data!N:N,Data!D:D=A77,Data!B:B=$B$1),""MIDDLE"")*6)+(COUNTIF(FILTER(Data!N:N,Data!D:D=A77,Data!B:B=$B"&amp;"$1),""LOW"")*4))"),0.0)</f>
        <v>0</v>
      </c>
      <c r="V77" s="138" t="str">
        <f>IF(Data!B69='Team Parser'!$B$1, Data!D69,"")</f>
        <v/>
      </c>
      <c r="W77" s="134" t="str">
        <f>IF(Data!$B69='Team Parser'!$B$1, Data!H69,"")</f>
        <v/>
      </c>
      <c r="X77" s="134" t="str">
        <f>IF(Data!$B69='Team Parser'!$B$1, Data!G69,"")</f>
        <v/>
      </c>
      <c r="Y77" s="134" t="str">
        <f>IF(Data!$B69='Team Parser'!$B$1, Data!L69,"")</f>
        <v/>
      </c>
      <c r="Z77" s="134" t="str">
        <f>IF(Data!$B69='Team Parser'!$B$1, Data!K69,"")</f>
        <v/>
      </c>
      <c r="AA77" s="134" t="str">
        <f>IF(Data!$B69='Team Parser'!$B$1, Data!M69,"")</f>
        <v/>
      </c>
      <c r="AB77" s="134" t="str">
        <f>IF(Data!$B69='Team Parser'!$B$1,((Z77*2)+(Y77)+(X77*4)+(W77*2)),"")</f>
        <v/>
      </c>
      <c r="AC77" s="134" t="str">
        <f>IF(Data!$B69='Team Parser'!$B$1, Data!N69,"")</f>
        <v/>
      </c>
      <c r="AD77" s="139" t="str">
        <f>IF(Data!$B69='Team Parser'!$B$1,(AB77+(COUNTIF(AC77,"TRAVERSE")*15)+(COUNTIF(AC77,"HIGH")*10)+(COUNTIF(AC77,"MIDDLE")*6)+(COUNTIF(AC77,"LOW")*4)),"")</f>
        <v/>
      </c>
    </row>
    <row r="78">
      <c r="A78" s="133" t="s">
        <v>507</v>
      </c>
      <c r="B78" s="134" t="str">
        <f>IFERROR(__xludf.DUMMYFUNCTION("IFERROR((FILTER(Data!H:H,Data!D:D=A78,Data!B:B=$B$1)),"""")"),"")</f>
        <v/>
      </c>
      <c r="C78" s="134" t="str">
        <f>IFERROR(__xludf.DUMMYFUNCTION("IFERROR((FILTER(Data!G:G,Data!D:D=A78,Data!B:B=$B$1)),"""")"),"")</f>
        <v/>
      </c>
      <c r="D78" s="134" t="str">
        <f>IFERROR(__xludf.DUMMYFUNCTION("IFERROR((FILTER(Data!J:J,Data!D:D=A78,Data!B:B=$B$1)),"""")"),"")</f>
        <v/>
      </c>
      <c r="E78" s="134" t="str">
        <f>IFERROR(__xludf.DUMMYFUNCTION("IFERROR((FILTER(Data!L:L,Data!D:D=A78,Data!B:B=$B$1)),"""")"),"")</f>
        <v/>
      </c>
      <c r="F78" s="134" t="str">
        <f>IFERROR(__xludf.DUMMYFUNCTION("IFERROR((FILTER(Data!K:K,Data!D:D=A78,Data!B:B=$B$1)),"""")"),"")</f>
        <v/>
      </c>
      <c r="G78" s="134" t="str">
        <f>IFERROR(__xludf.DUMMYFUNCTION("IFERROR((FILTER(Data!M:M,Data!D:D=A78,Data!B:B=$B$1)),"""")"),"")</f>
        <v/>
      </c>
      <c r="H78" s="134" t="str">
        <f>IFERROR(__xludf.DUMMYFUNCTION("IFERROR((FILTER(Data!G:G,Data!D:D=A78,Data!B:B=$B$1)*4)+(FILTER(Data!H:H,Data!D:D=A78,Data!B:B=$B$1)*2),"""")"),"")</f>
        <v/>
      </c>
      <c r="I78" s="15" t="str">
        <f>IFERROR(__xludf.DUMMYFUNCTION("IFERROR((FILTER(Data!K:K,Data!D:D=A78,Data!B:B=$B$1)*2)+(FILTER(Data!L:L,Data!D:D=A78,Data!B:B=$B$1)),"""")"),"")</f>
        <v/>
      </c>
      <c r="J78" s="134" t="str">
        <f>IFERROR(__xludf.DUMMYFUNCTION("IFERROR((FILTER(Data!N:N,Data!D:D=A78,Data!B:B=$B$1)),"""")"),"")</f>
        <v/>
      </c>
      <c r="K78" s="135" t="str">
        <f>IFERROR(__xludf.DUMMYFUNCTION("IFERROR((FILTER(Data!H:H,Data!D:D=A78,Data!B:B=$B$1)*2)+(FILTER(Data!L:L,Data!D:D=A78,Data!B:B=$B$1))+(FILTER(Data!G:G,Data!D:D=A78,Data!B:B=$B$1)*4)+(FILTER(Data!K:K,Data!D:D=A78,Data!B:B=$B$1)*2)+(((COUNTIF(FILTER(Data!N:N,Data!D:D=A78,Data!B:B=$B$1),"""&amp;"TRAVERSE"")*15)+(COUNTIF(FILTER(Data!N:N,Data!D:D=A78,Data!B:B=$B$1),""HIGH"")*10)+(COUNTIF(FILTER(Data!N:N,Data!D:D=A78,Data!B:B=$B$1),""MIDDLE"")*6)+(COUNTIF(FILTER(Data!N:N,Data!D:D=A78,Data!B:B=$B$1),""LOW"")*4))),"""")"),"")</f>
        <v/>
      </c>
      <c r="L78" s="136" t="str">
        <f>IFERROR(__xludf.DUMMYFUNCTION("IFERROR((FILTER(Data!P:P,Data!D:D=A78,Data!B:B=$B$1)),"""")"),"")</f>
        <v/>
      </c>
      <c r="M78" s="137" t="str">
        <f>IFERROR(__xludf.DUMMYFUNCTION("IFERROR((FILTER(Data!A:A,Data!D:D=A78,Data!B:B=$B$1)),"""")"),"")</f>
        <v/>
      </c>
      <c r="T78" s="52">
        <f>IFERROR(__xludf.DUMMYFUNCTION("((COUNTIF(FILTER(Data!N:N,Data!D:D=A78,Data!B:B=$B$1),""TRAVERSE"")*15)+(COUNTIF(FILTER(Data!N:N,Data!D:D=A78,Data!B:B=B$1),""HIGH"")*10)+(COUNTIF(FILTER(Data!N:N,Data!D:D=A78,Data!B:B=$B$1),""MIDDLE"")*6)+(COUNTIF(FILTER(Data!N:N,Data!D:D=A78,Data!B:B=$B"&amp;"$1),""LOW"")*4))"),0.0)</f>
        <v>0</v>
      </c>
      <c r="V78" s="138" t="str">
        <f>IF(Data!B70='Team Parser'!$B$1, Data!D70,"")</f>
        <v/>
      </c>
      <c r="W78" s="134" t="str">
        <f>IF(Data!$B70='Team Parser'!$B$1, Data!H70,"")</f>
        <v/>
      </c>
      <c r="X78" s="134" t="str">
        <f>IF(Data!$B70='Team Parser'!$B$1, Data!G70,"")</f>
        <v/>
      </c>
      <c r="Y78" s="134" t="str">
        <f>IF(Data!$B70='Team Parser'!$B$1, Data!L70,"")</f>
        <v/>
      </c>
      <c r="Z78" s="134" t="str">
        <f>IF(Data!$B70='Team Parser'!$B$1, Data!K70,"")</f>
        <v/>
      </c>
      <c r="AA78" s="134" t="str">
        <f>IF(Data!$B70='Team Parser'!$B$1, Data!M70,"")</f>
        <v/>
      </c>
      <c r="AB78" s="134" t="str">
        <f>IF(Data!$B70='Team Parser'!$B$1,((Z78*2)+(Y78)+(X78*4)+(W78*2)),"")</f>
        <v/>
      </c>
      <c r="AC78" s="134" t="str">
        <f>IF(Data!$B70='Team Parser'!$B$1, Data!N70,"")</f>
        <v/>
      </c>
      <c r="AD78" s="139" t="str">
        <f>IF(Data!$B70='Team Parser'!$B$1,(AB78+(COUNTIF(AC78,"TRAVERSE")*15)+(COUNTIF(AC78,"HIGH")*10)+(COUNTIF(AC78,"MIDDLE")*6)+(COUNTIF(AC78,"LOW")*4)),"")</f>
        <v/>
      </c>
    </row>
    <row r="79">
      <c r="A79" s="133" t="s">
        <v>507</v>
      </c>
      <c r="B79" s="134" t="str">
        <f>IFERROR(__xludf.DUMMYFUNCTION("IFERROR((FILTER(Data!H:H,Data!D:D=A79,Data!B:B=$B$1)),"""")"),"")</f>
        <v/>
      </c>
      <c r="C79" s="134" t="str">
        <f>IFERROR(__xludf.DUMMYFUNCTION("IFERROR((FILTER(Data!G:G,Data!D:D=A79,Data!B:B=$B$1)),"""")"),"")</f>
        <v/>
      </c>
      <c r="D79" s="134" t="str">
        <f>IFERROR(__xludf.DUMMYFUNCTION("IFERROR((FILTER(Data!J:J,Data!D:D=A79,Data!B:B=$B$1)),"""")"),"")</f>
        <v/>
      </c>
      <c r="E79" s="134" t="str">
        <f>IFERROR(__xludf.DUMMYFUNCTION("IFERROR((FILTER(Data!L:L,Data!D:D=A79,Data!B:B=$B$1)),"""")"),"")</f>
        <v/>
      </c>
      <c r="F79" s="134" t="str">
        <f>IFERROR(__xludf.DUMMYFUNCTION("IFERROR((FILTER(Data!K:K,Data!D:D=A79,Data!B:B=$B$1)),"""")"),"")</f>
        <v/>
      </c>
      <c r="G79" s="134" t="str">
        <f>IFERROR(__xludf.DUMMYFUNCTION("IFERROR((FILTER(Data!M:M,Data!D:D=A79,Data!B:B=$B$1)),"""")"),"")</f>
        <v/>
      </c>
      <c r="H79" s="134" t="str">
        <f>IFERROR(__xludf.DUMMYFUNCTION("IFERROR((FILTER(Data!G:G,Data!D:D=A79,Data!B:B=$B$1)*4)+(FILTER(Data!H:H,Data!D:D=A79,Data!B:B=$B$1)*2),"""")"),"")</f>
        <v/>
      </c>
      <c r="I79" s="15" t="str">
        <f>IFERROR(__xludf.DUMMYFUNCTION("IFERROR((FILTER(Data!K:K,Data!D:D=A79,Data!B:B=$B$1)*2)+(FILTER(Data!L:L,Data!D:D=A79,Data!B:B=$B$1)),"""")"),"")</f>
        <v/>
      </c>
      <c r="J79" s="134" t="str">
        <f>IFERROR(__xludf.DUMMYFUNCTION("IFERROR((FILTER(Data!N:N,Data!D:D=A79,Data!B:B=$B$1)),"""")"),"")</f>
        <v/>
      </c>
      <c r="K79" s="135" t="str">
        <f>IFERROR(__xludf.DUMMYFUNCTION("IFERROR((FILTER(Data!H:H,Data!D:D=A79,Data!B:B=$B$1)*2)+(FILTER(Data!L:L,Data!D:D=A79,Data!B:B=$B$1))+(FILTER(Data!G:G,Data!D:D=A79,Data!B:B=$B$1)*4)+(FILTER(Data!K:K,Data!D:D=A79,Data!B:B=$B$1)*2)+(((COUNTIF(FILTER(Data!N:N,Data!D:D=A79,Data!B:B=$B$1),"""&amp;"TRAVERSE"")*15)+(COUNTIF(FILTER(Data!N:N,Data!D:D=A79,Data!B:B=$B$1),""HIGH"")*10)+(COUNTIF(FILTER(Data!N:N,Data!D:D=A79,Data!B:B=$B$1),""MIDDLE"")*6)+(COUNTIF(FILTER(Data!N:N,Data!D:D=A79,Data!B:B=$B$1),""LOW"")*4))),"""")"),"")</f>
        <v/>
      </c>
      <c r="L79" s="136" t="str">
        <f>IFERROR(__xludf.DUMMYFUNCTION("IFERROR((FILTER(Data!P:P,Data!D:D=A79,Data!B:B=$B$1)),"""")"),"")</f>
        <v/>
      </c>
      <c r="M79" s="137" t="str">
        <f>IFERROR(__xludf.DUMMYFUNCTION("IFERROR((FILTER(Data!A:A,Data!D:D=A79,Data!B:B=$B$1)),"""")"),"")</f>
        <v/>
      </c>
      <c r="T79" s="52">
        <f>IFERROR(__xludf.DUMMYFUNCTION("((COUNTIF(FILTER(Data!N:N,Data!D:D=A79,Data!B:B=$B$1),""TRAVERSE"")*15)+(COUNTIF(FILTER(Data!N:N,Data!D:D=A79,Data!B:B=B$1),""HIGH"")*10)+(COUNTIF(FILTER(Data!N:N,Data!D:D=A79,Data!B:B=$B$1),""MIDDLE"")*6)+(COUNTIF(FILTER(Data!N:N,Data!D:D=A79,Data!B:B=$B"&amp;"$1),""LOW"")*4))"),0.0)</f>
        <v>0</v>
      </c>
      <c r="V79" s="138" t="str">
        <f>IF(Data!B71='Team Parser'!$B$1, Data!D71,"")</f>
        <v/>
      </c>
      <c r="W79" s="134" t="str">
        <f>IF(Data!$B71='Team Parser'!$B$1, Data!H71,"")</f>
        <v/>
      </c>
      <c r="X79" s="134" t="str">
        <f>IF(Data!$B71='Team Parser'!$B$1, Data!G71,"")</f>
        <v/>
      </c>
      <c r="Y79" s="134" t="str">
        <f>IF(Data!$B71='Team Parser'!$B$1, Data!L71,"")</f>
        <v/>
      </c>
      <c r="Z79" s="134" t="str">
        <f>IF(Data!$B71='Team Parser'!$B$1, Data!K71,"")</f>
        <v/>
      </c>
      <c r="AA79" s="134" t="str">
        <f>IF(Data!$B71='Team Parser'!$B$1, Data!M71,"")</f>
        <v/>
      </c>
      <c r="AB79" s="134" t="str">
        <f>IF(Data!$B71='Team Parser'!$B$1,((Z79*2)+(Y79)+(X79*4)+(W79*2)),"")</f>
        <v/>
      </c>
      <c r="AC79" s="134" t="str">
        <f>IF(Data!$B71='Team Parser'!$B$1, Data!N71,"")</f>
        <v/>
      </c>
      <c r="AD79" s="139" t="str">
        <f>IF(Data!$B71='Team Parser'!$B$1,(AB79+(COUNTIF(AC79,"TRAVERSE")*15)+(COUNTIF(AC79,"HIGH")*10)+(COUNTIF(AC79,"MIDDLE")*6)+(COUNTIF(AC79,"LOW")*4)),"")</f>
        <v/>
      </c>
    </row>
    <row r="80">
      <c r="A80" s="133" t="s">
        <v>507</v>
      </c>
      <c r="B80" s="134" t="str">
        <f>IFERROR(__xludf.DUMMYFUNCTION("IFERROR((FILTER(Data!H:H,Data!D:D=A80,Data!B:B=$B$1)),"""")"),"")</f>
        <v/>
      </c>
      <c r="C80" s="134" t="str">
        <f>IFERROR(__xludf.DUMMYFUNCTION("IFERROR((FILTER(Data!G:G,Data!D:D=A80,Data!B:B=$B$1)),"""")"),"")</f>
        <v/>
      </c>
      <c r="D80" s="134" t="str">
        <f>IFERROR(__xludf.DUMMYFUNCTION("IFERROR((FILTER(Data!J:J,Data!D:D=A80,Data!B:B=$B$1)),"""")"),"")</f>
        <v/>
      </c>
      <c r="E80" s="134" t="str">
        <f>IFERROR(__xludf.DUMMYFUNCTION("IFERROR((FILTER(Data!L:L,Data!D:D=A80,Data!B:B=$B$1)),"""")"),"")</f>
        <v/>
      </c>
      <c r="F80" s="134" t="str">
        <f>IFERROR(__xludf.DUMMYFUNCTION("IFERROR((FILTER(Data!K:K,Data!D:D=A80,Data!B:B=$B$1)),"""")"),"")</f>
        <v/>
      </c>
      <c r="G80" s="134" t="str">
        <f>IFERROR(__xludf.DUMMYFUNCTION("IFERROR((FILTER(Data!M:M,Data!D:D=A80,Data!B:B=$B$1)),"""")"),"")</f>
        <v/>
      </c>
      <c r="H80" s="134" t="str">
        <f>IFERROR(__xludf.DUMMYFUNCTION("IFERROR((FILTER(Data!G:G,Data!D:D=A80,Data!B:B=$B$1)*4)+(FILTER(Data!H:H,Data!D:D=A80,Data!B:B=$B$1)*2),"""")"),"")</f>
        <v/>
      </c>
      <c r="I80" s="15" t="str">
        <f>IFERROR(__xludf.DUMMYFUNCTION("IFERROR((FILTER(Data!K:K,Data!D:D=A80,Data!B:B=$B$1)*2)+(FILTER(Data!L:L,Data!D:D=A80,Data!B:B=$B$1)),"""")"),"")</f>
        <v/>
      </c>
      <c r="J80" s="134" t="str">
        <f>IFERROR(__xludf.DUMMYFUNCTION("IFERROR((FILTER(Data!N:N,Data!D:D=A80,Data!B:B=$B$1)),"""")"),"")</f>
        <v/>
      </c>
      <c r="K80" s="135" t="str">
        <f>IFERROR(__xludf.DUMMYFUNCTION("IFERROR((FILTER(Data!H:H,Data!D:D=A80,Data!B:B=$B$1)*2)+(FILTER(Data!L:L,Data!D:D=A80,Data!B:B=$B$1))+(FILTER(Data!G:G,Data!D:D=A80,Data!B:B=$B$1)*4)+(FILTER(Data!K:K,Data!D:D=A80,Data!B:B=$B$1)*2)+(((COUNTIF(FILTER(Data!N:N,Data!D:D=A80,Data!B:B=$B$1),"""&amp;"TRAVERSE"")*15)+(COUNTIF(FILTER(Data!N:N,Data!D:D=A80,Data!B:B=$B$1),""HIGH"")*10)+(COUNTIF(FILTER(Data!N:N,Data!D:D=A80,Data!B:B=$B$1),""MIDDLE"")*6)+(COUNTIF(FILTER(Data!N:N,Data!D:D=A80,Data!B:B=$B$1),""LOW"")*4))),"""")"),"")</f>
        <v/>
      </c>
      <c r="L80" s="136" t="str">
        <f>IFERROR(__xludf.DUMMYFUNCTION("IFERROR((FILTER(Data!P:P,Data!D:D=A80,Data!B:B=$B$1)),"""")"),"")</f>
        <v/>
      </c>
      <c r="M80" s="137" t="str">
        <f>IFERROR(__xludf.DUMMYFUNCTION("IFERROR((FILTER(Data!A:A,Data!D:D=A80,Data!B:B=$B$1)),"""")"),"")</f>
        <v/>
      </c>
      <c r="T80" s="52">
        <f>IFERROR(__xludf.DUMMYFUNCTION("((COUNTIF(FILTER(Data!N:N,Data!D:D=A80,Data!B:B=$B$1),""TRAVERSE"")*15)+(COUNTIF(FILTER(Data!N:N,Data!D:D=A80,Data!B:B=B$1),""HIGH"")*10)+(COUNTIF(FILTER(Data!N:N,Data!D:D=A80,Data!B:B=$B$1),""MIDDLE"")*6)+(COUNTIF(FILTER(Data!N:N,Data!D:D=A80,Data!B:B=$B"&amp;"$1),""LOW"")*4))"),0.0)</f>
        <v>0</v>
      </c>
      <c r="V80" s="138" t="str">
        <f>IF(Data!B72='Team Parser'!$B$1, Data!D72,"")</f>
        <v/>
      </c>
      <c r="W80" s="134" t="str">
        <f>IF(Data!$B72='Team Parser'!$B$1, Data!H72,"")</f>
        <v/>
      </c>
      <c r="X80" s="134" t="str">
        <f>IF(Data!$B72='Team Parser'!$B$1, Data!G72,"")</f>
        <v/>
      </c>
      <c r="Y80" s="134" t="str">
        <f>IF(Data!$B72='Team Parser'!$B$1, Data!L72,"")</f>
        <v/>
      </c>
      <c r="Z80" s="134" t="str">
        <f>IF(Data!$B72='Team Parser'!$B$1, Data!K72,"")</f>
        <v/>
      </c>
      <c r="AA80" s="134" t="str">
        <f>IF(Data!$B72='Team Parser'!$B$1, Data!M72,"")</f>
        <v/>
      </c>
      <c r="AB80" s="134" t="str">
        <f>IF(Data!$B72='Team Parser'!$B$1,((Z80*2)+(Y80)+(X80*4)+(W80*2)),"")</f>
        <v/>
      </c>
      <c r="AC80" s="134" t="str">
        <f>IF(Data!$B72='Team Parser'!$B$1, Data!N72,"")</f>
        <v/>
      </c>
      <c r="AD80" s="139" t="str">
        <f>IF(Data!$B72='Team Parser'!$B$1,(AB80+(COUNTIF(AC80,"TRAVERSE")*15)+(COUNTIF(AC80,"HIGH")*10)+(COUNTIF(AC80,"MIDDLE")*6)+(COUNTIF(AC80,"LOW")*4)),"")</f>
        <v/>
      </c>
    </row>
    <row r="81">
      <c r="A81" s="133" t="s">
        <v>507</v>
      </c>
      <c r="B81" s="134" t="str">
        <f>IFERROR(__xludf.DUMMYFUNCTION("IFERROR((FILTER(Data!H:H,Data!D:D=A81,Data!B:B=$B$1)),"""")"),"")</f>
        <v/>
      </c>
      <c r="C81" s="134" t="str">
        <f>IFERROR(__xludf.DUMMYFUNCTION("IFERROR((FILTER(Data!G:G,Data!D:D=A81,Data!B:B=$B$1)),"""")"),"")</f>
        <v/>
      </c>
      <c r="D81" s="134" t="str">
        <f>IFERROR(__xludf.DUMMYFUNCTION("IFERROR((FILTER(Data!J:J,Data!D:D=A81,Data!B:B=$B$1)),"""")"),"")</f>
        <v/>
      </c>
      <c r="E81" s="134" t="str">
        <f>IFERROR(__xludf.DUMMYFUNCTION("IFERROR((FILTER(Data!L:L,Data!D:D=A81,Data!B:B=$B$1)),"""")"),"")</f>
        <v/>
      </c>
      <c r="F81" s="134" t="str">
        <f>IFERROR(__xludf.DUMMYFUNCTION("IFERROR((FILTER(Data!K:K,Data!D:D=A81,Data!B:B=$B$1)),"""")"),"")</f>
        <v/>
      </c>
      <c r="G81" s="134" t="str">
        <f>IFERROR(__xludf.DUMMYFUNCTION("IFERROR((FILTER(Data!M:M,Data!D:D=A81,Data!B:B=$B$1)),"""")"),"")</f>
        <v/>
      </c>
      <c r="H81" s="134" t="str">
        <f>IFERROR(__xludf.DUMMYFUNCTION("IFERROR((FILTER(Data!G:G,Data!D:D=A81,Data!B:B=$B$1)*4)+(FILTER(Data!H:H,Data!D:D=A81,Data!B:B=$B$1)*2),"""")"),"")</f>
        <v/>
      </c>
      <c r="I81" s="15" t="str">
        <f>IFERROR(__xludf.DUMMYFUNCTION("IFERROR((FILTER(Data!K:K,Data!D:D=A81,Data!B:B=$B$1)*2)+(FILTER(Data!L:L,Data!D:D=A81,Data!B:B=$B$1)),"""")"),"")</f>
        <v/>
      </c>
      <c r="J81" s="134" t="str">
        <f>IFERROR(__xludf.DUMMYFUNCTION("IFERROR((FILTER(Data!N:N,Data!D:D=A81,Data!B:B=$B$1)),"""")"),"")</f>
        <v/>
      </c>
      <c r="K81" s="135" t="str">
        <f>IFERROR(__xludf.DUMMYFUNCTION("IFERROR((FILTER(Data!H:H,Data!D:D=A81,Data!B:B=$B$1)*2)+(FILTER(Data!L:L,Data!D:D=A81,Data!B:B=$B$1))+(FILTER(Data!G:G,Data!D:D=A81,Data!B:B=$B$1)*4)+(FILTER(Data!K:K,Data!D:D=A81,Data!B:B=$B$1)*2)+(((COUNTIF(FILTER(Data!N:N,Data!D:D=A81,Data!B:B=$B$1),"""&amp;"TRAVERSE"")*15)+(COUNTIF(FILTER(Data!N:N,Data!D:D=A81,Data!B:B=$B$1),""HIGH"")*10)+(COUNTIF(FILTER(Data!N:N,Data!D:D=A81,Data!B:B=$B$1),""MIDDLE"")*6)+(COUNTIF(FILTER(Data!N:N,Data!D:D=A81,Data!B:B=$B$1),""LOW"")*4))),"""")"),"")</f>
        <v/>
      </c>
      <c r="L81" s="136" t="str">
        <f>IFERROR(__xludf.DUMMYFUNCTION("IFERROR((FILTER(Data!P:P,Data!D:D=A81,Data!B:B=$B$1)),"""")"),"")</f>
        <v/>
      </c>
      <c r="M81" s="137" t="str">
        <f>IFERROR(__xludf.DUMMYFUNCTION("IFERROR((FILTER(Data!A:A,Data!D:D=A81,Data!B:B=$B$1)),"""")"),"")</f>
        <v/>
      </c>
      <c r="T81" s="52">
        <f>IFERROR(__xludf.DUMMYFUNCTION("((COUNTIF(FILTER(Data!N:N,Data!D:D=A81,Data!B:B=$B$1),""TRAVERSE"")*15)+(COUNTIF(FILTER(Data!N:N,Data!D:D=A81,Data!B:B=B$1),""HIGH"")*10)+(COUNTIF(FILTER(Data!N:N,Data!D:D=A81,Data!B:B=$B$1),""MIDDLE"")*6)+(COUNTIF(FILTER(Data!N:N,Data!D:D=A81,Data!B:B=$B"&amp;"$1),""LOW"")*4))"),0.0)</f>
        <v>0</v>
      </c>
      <c r="V81" s="138" t="str">
        <f>IF(Data!B73='Team Parser'!$B$1, Data!D73,"")</f>
        <v/>
      </c>
      <c r="W81" s="134" t="str">
        <f>IF(Data!$B73='Team Parser'!$B$1, Data!H73,"")</f>
        <v/>
      </c>
      <c r="X81" s="134" t="str">
        <f>IF(Data!$B73='Team Parser'!$B$1, Data!G73,"")</f>
        <v/>
      </c>
      <c r="Y81" s="134" t="str">
        <f>IF(Data!$B73='Team Parser'!$B$1, Data!L73,"")</f>
        <v/>
      </c>
      <c r="Z81" s="134" t="str">
        <f>IF(Data!$B73='Team Parser'!$B$1, Data!K73,"")</f>
        <v/>
      </c>
      <c r="AA81" s="134" t="str">
        <f>IF(Data!$B73='Team Parser'!$B$1, Data!M73,"")</f>
        <v/>
      </c>
      <c r="AB81" s="134" t="str">
        <f>IF(Data!$B73='Team Parser'!$B$1,((Z81*2)+(Y81)+(X81*4)+(W81*2)),"")</f>
        <v/>
      </c>
      <c r="AC81" s="134" t="str">
        <f>IF(Data!$B73='Team Parser'!$B$1, Data!N73,"")</f>
        <v/>
      </c>
      <c r="AD81" s="139" t="str">
        <f>IF(Data!$B73='Team Parser'!$B$1,(AB81+(COUNTIF(AC81,"TRAVERSE")*15)+(COUNTIF(AC81,"HIGH")*10)+(COUNTIF(AC81,"MIDDLE")*6)+(COUNTIF(AC81,"LOW")*4)),"")</f>
        <v/>
      </c>
    </row>
    <row r="82">
      <c r="A82" s="133" t="s">
        <v>507</v>
      </c>
      <c r="B82" s="134" t="str">
        <f>IFERROR(__xludf.DUMMYFUNCTION("IFERROR((FILTER(Data!H:H,Data!D:D=A82,Data!B:B=$B$1)),"""")"),"")</f>
        <v/>
      </c>
      <c r="C82" s="134" t="str">
        <f>IFERROR(__xludf.DUMMYFUNCTION("IFERROR((FILTER(Data!G:G,Data!D:D=A82,Data!B:B=$B$1)),"""")"),"")</f>
        <v/>
      </c>
      <c r="D82" s="134" t="str">
        <f>IFERROR(__xludf.DUMMYFUNCTION("IFERROR((FILTER(Data!J:J,Data!D:D=A82,Data!B:B=$B$1)),"""")"),"")</f>
        <v/>
      </c>
      <c r="E82" s="134" t="str">
        <f>IFERROR(__xludf.DUMMYFUNCTION("IFERROR((FILTER(Data!L:L,Data!D:D=A82,Data!B:B=$B$1)),"""")"),"")</f>
        <v/>
      </c>
      <c r="F82" s="134" t="str">
        <f>IFERROR(__xludf.DUMMYFUNCTION("IFERROR((FILTER(Data!K:K,Data!D:D=A82,Data!B:B=$B$1)),"""")"),"")</f>
        <v/>
      </c>
      <c r="G82" s="134" t="str">
        <f>IFERROR(__xludf.DUMMYFUNCTION("IFERROR((FILTER(Data!M:M,Data!D:D=A82,Data!B:B=$B$1)),"""")"),"")</f>
        <v/>
      </c>
      <c r="H82" s="134" t="str">
        <f>IFERROR(__xludf.DUMMYFUNCTION("IFERROR((FILTER(Data!G:G,Data!D:D=A82,Data!B:B=$B$1)*4)+(FILTER(Data!H:H,Data!D:D=A82,Data!B:B=$B$1)*2),"""")"),"")</f>
        <v/>
      </c>
      <c r="I82" s="15" t="str">
        <f>IFERROR(__xludf.DUMMYFUNCTION("IFERROR((FILTER(Data!K:K,Data!D:D=A82,Data!B:B=$B$1)*2)+(FILTER(Data!L:L,Data!D:D=A82,Data!B:B=$B$1)),"""")"),"")</f>
        <v/>
      </c>
      <c r="J82" s="134" t="str">
        <f>IFERROR(__xludf.DUMMYFUNCTION("IFERROR((FILTER(Data!N:N,Data!D:D=A82,Data!B:B=$B$1)),"""")"),"")</f>
        <v/>
      </c>
      <c r="K82" s="135" t="str">
        <f>IFERROR(__xludf.DUMMYFUNCTION("IFERROR((FILTER(Data!H:H,Data!D:D=A82,Data!B:B=$B$1)*2)+(FILTER(Data!L:L,Data!D:D=A82,Data!B:B=$B$1))+(FILTER(Data!G:G,Data!D:D=A82,Data!B:B=$B$1)*4)+(FILTER(Data!K:K,Data!D:D=A82,Data!B:B=$B$1)*2)+(((COUNTIF(FILTER(Data!N:N,Data!D:D=A82,Data!B:B=$B$1),"""&amp;"TRAVERSE"")*15)+(COUNTIF(FILTER(Data!N:N,Data!D:D=A82,Data!B:B=$B$1),""HIGH"")*10)+(COUNTIF(FILTER(Data!N:N,Data!D:D=A82,Data!B:B=$B$1),""MIDDLE"")*6)+(COUNTIF(FILTER(Data!N:N,Data!D:D=A82,Data!B:B=$B$1),""LOW"")*4))),"""")"),"")</f>
        <v/>
      </c>
      <c r="L82" s="136" t="str">
        <f>IFERROR(__xludf.DUMMYFUNCTION("IFERROR((FILTER(Data!P:P,Data!D:D=A82,Data!B:B=$B$1)),"""")"),"")</f>
        <v/>
      </c>
      <c r="M82" s="137" t="str">
        <f>IFERROR(__xludf.DUMMYFUNCTION("IFERROR((FILTER(Data!A:A,Data!D:D=A82,Data!B:B=$B$1)),"""")"),"")</f>
        <v/>
      </c>
      <c r="T82" s="52">
        <f>IFERROR(__xludf.DUMMYFUNCTION("((COUNTIF(FILTER(Data!N:N,Data!D:D=A82,Data!B:B=$B$1),""TRAVERSE"")*15)+(COUNTIF(FILTER(Data!N:N,Data!D:D=A82,Data!B:B=B$1),""HIGH"")*10)+(COUNTIF(FILTER(Data!N:N,Data!D:D=A82,Data!B:B=$B$1),""MIDDLE"")*6)+(COUNTIF(FILTER(Data!N:N,Data!D:D=A82,Data!B:B=$B"&amp;"$1),""LOW"")*4))"),0.0)</f>
        <v>0</v>
      </c>
      <c r="V82" s="138" t="str">
        <f>IF(Data!B74='Team Parser'!$B$1, Data!D74,"")</f>
        <v/>
      </c>
      <c r="W82" s="134" t="str">
        <f>IF(Data!$B74='Team Parser'!$B$1, Data!H74,"")</f>
        <v/>
      </c>
      <c r="X82" s="134" t="str">
        <f>IF(Data!$B74='Team Parser'!$B$1, Data!G74,"")</f>
        <v/>
      </c>
      <c r="Y82" s="134" t="str">
        <f>IF(Data!$B74='Team Parser'!$B$1, Data!L74,"")</f>
        <v/>
      </c>
      <c r="Z82" s="134" t="str">
        <f>IF(Data!$B74='Team Parser'!$B$1, Data!K74,"")</f>
        <v/>
      </c>
      <c r="AA82" s="134" t="str">
        <f>IF(Data!$B74='Team Parser'!$B$1, Data!M74,"")</f>
        <v/>
      </c>
      <c r="AB82" s="134" t="str">
        <f>IF(Data!$B74='Team Parser'!$B$1,((Z82*2)+(Y82)+(X82*4)+(W82*2)),"")</f>
        <v/>
      </c>
      <c r="AC82" s="134" t="str">
        <f>IF(Data!$B74='Team Parser'!$B$1, Data!N74,"")</f>
        <v/>
      </c>
      <c r="AD82" s="139" t="str">
        <f>IF(Data!$B74='Team Parser'!$B$1,(AB82+(COUNTIF(AC82,"TRAVERSE")*15)+(COUNTIF(AC82,"HIGH")*10)+(COUNTIF(AC82,"MIDDLE")*6)+(COUNTIF(AC82,"LOW")*4)),"")</f>
        <v/>
      </c>
    </row>
    <row r="83">
      <c r="A83" s="133" t="s">
        <v>507</v>
      </c>
      <c r="B83" s="134" t="str">
        <f>IFERROR(__xludf.DUMMYFUNCTION("IFERROR((FILTER(Data!H:H,Data!D:D=A83,Data!B:B=$B$1)),"""")"),"")</f>
        <v/>
      </c>
      <c r="C83" s="134" t="str">
        <f>IFERROR(__xludf.DUMMYFUNCTION("IFERROR((FILTER(Data!G:G,Data!D:D=A83,Data!B:B=$B$1)),"""")"),"")</f>
        <v/>
      </c>
      <c r="D83" s="134" t="str">
        <f>IFERROR(__xludf.DUMMYFUNCTION("IFERROR((FILTER(Data!J:J,Data!D:D=A83,Data!B:B=$B$1)),"""")"),"")</f>
        <v/>
      </c>
      <c r="E83" s="134" t="str">
        <f>IFERROR(__xludf.DUMMYFUNCTION("IFERROR((FILTER(Data!L:L,Data!D:D=A83,Data!B:B=$B$1)),"""")"),"")</f>
        <v/>
      </c>
      <c r="F83" s="134" t="str">
        <f>IFERROR(__xludf.DUMMYFUNCTION("IFERROR((FILTER(Data!K:K,Data!D:D=A83,Data!B:B=$B$1)),"""")"),"")</f>
        <v/>
      </c>
      <c r="G83" s="134" t="str">
        <f>IFERROR(__xludf.DUMMYFUNCTION("IFERROR((FILTER(Data!M:M,Data!D:D=A83,Data!B:B=$B$1)),"""")"),"")</f>
        <v/>
      </c>
      <c r="H83" s="134" t="str">
        <f>IFERROR(__xludf.DUMMYFUNCTION("IFERROR((FILTER(Data!G:G,Data!D:D=A83,Data!B:B=$B$1)*4)+(FILTER(Data!H:H,Data!D:D=A83,Data!B:B=$B$1)*2),"""")"),"")</f>
        <v/>
      </c>
      <c r="I83" s="15" t="str">
        <f>IFERROR(__xludf.DUMMYFUNCTION("IFERROR((FILTER(Data!K:K,Data!D:D=A83,Data!B:B=$B$1)*2)+(FILTER(Data!L:L,Data!D:D=A83,Data!B:B=$B$1)),"""")"),"")</f>
        <v/>
      </c>
      <c r="J83" s="134" t="str">
        <f>IFERROR(__xludf.DUMMYFUNCTION("IFERROR((FILTER(Data!N:N,Data!D:D=A83,Data!B:B=$B$1)),"""")"),"")</f>
        <v/>
      </c>
      <c r="K83" s="135" t="str">
        <f>IFERROR(__xludf.DUMMYFUNCTION("IFERROR((FILTER(Data!H:H,Data!D:D=A83,Data!B:B=$B$1)*2)+(FILTER(Data!L:L,Data!D:D=A83,Data!B:B=$B$1))+(FILTER(Data!G:G,Data!D:D=A83,Data!B:B=$B$1)*4)+(FILTER(Data!K:K,Data!D:D=A83,Data!B:B=$B$1)*2)+(((COUNTIF(FILTER(Data!N:N,Data!D:D=A83,Data!B:B=$B$1),"""&amp;"TRAVERSE"")*15)+(COUNTIF(FILTER(Data!N:N,Data!D:D=A83,Data!B:B=$B$1),""HIGH"")*10)+(COUNTIF(FILTER(Data!N:N,Data!D:D=A83,Data!B:B=$B$1),""MIDDLE"")*6)+(COUNTIF(FILTER(Data!N:N,Data!D:D=A83,Data!B:B=$B$1),""LOW"")*4))),"""")"),"")</f>
        <v/>
      </c>
      <c r="L83" s="136" t="str">
        <f>IFERROR(__xludf.DUMMYFUNCTION("IFERROR((FILTER(Data!P:P,Data!D:D=A83,Data!B:B=$B$1)),"""")"),"")</f>
        <v/>
      </c>
      <c r="M83" s="137" t="str">
        <f>IFERROR(__xludf.DUMMYFUNCTION("IFERROR((FILTER(Data!A:A,Data!D:D=A83,Data!B:B=$B$1)),"""")"),"")</f>
        <v/>
      </c>
      <c r="T83" s="52">
        <f>IFERROR(__xludf.DUMMYFUNCTION("((COUNTIF(FILTER(Data!N:N,Data!D:D=A83,Data!B:B=$B$1),""TRAVERSE"")*15)+(COUNTIF(FILTER(Data!N:N,Data!D:D=A83,Data!B:B=B$1),""HIGH"")*10)+(COUNTIF(FILTER(Data!N:N,Data!D:D=A83,Data!B:B=$B$1),""MIDDLE"")*6)+(COUNTIF(FILTER(Data!N:N,Data!D:D=A83,Data!B:B=$B"&amp;"$1),""LOW"")*4))"),0.0)</f>
        <v>0</v>
      </c>
      <c r="V83" s="138" t="str">
        <f>IF(Data!B75='Team Parser'!$B$1, Data!D75,"")</f>
        <v/>
      </c>
      <c r="W83" s="134" t="str">
        <f>IF(Data!$B75='Team Parser'!$B$1, Data!H75,"")</f>
        <v/>
      </c>
      <c r="X83" s="134" t="str">
        <f>IF(Data!$B75='Team Parser'!$B$1, Data!G75,"")</f>
        <v/>
      </c>
      <c r="Y83" s="134" t="str">
        <f>IF(Data!$B75='Team Parser'!$B$1, Data!L75,"")</f>
        <v/>
      </c>
      <c r="Z83" s="134" t="str">
        <f>IF(Data!$B75='Team Parser'!$B$1, Data!K75,"")</f>
        <v/>
      </c>
      <c r="AA83" s="134" t="str">
        <f>IF(Data!$B75='Team Parser'!$B$1, Data!M75,"")</f>
        <v/>
      </c>
      <c r="AB83" s="134" t="str">
        <f>IF(Data!$B75='Team Parser'!$B$1,((Z83*2)+(Y83)+(X83*4)+(W83*2)),"")</f>
        <v/>
      </c>
      <c r="AC83" s="134" t="str">
        <f>IF(Data!$B75='Team Parser'!$B$1, Data!N75,"")</f>
        <v/>
      </c>
      <c r="AD83" s="139" t="str">
        <f>IF(Data!$B75='Team Parser'!$B$1,(AB83+(COUNTIF(AC83,"TRAVERSE")*15)+(COUNTIF(AC83,"HIGH")*10)+(COUNTIF(AC83,"MIDDLE")*6)+(COUNTIF(AC83,"LOW")*4)),"")</f>
        <v/>
      </c>
    </row>
    <row r="84">
      <c r="A84" s="133" t="s">
        <v>507</v>
      </c>
      <c r="B84" s="134" t="str">
        <f>IFERROR(__xludf.DUMMYFUNCTION("IFERROR((FILTER(Data!H:H,Data!D:D=A84,Data!B:B=$B$1)),"""")"),"")</f>
        <v/>
      </c>
      <c r="C84" s="134" t="str">
        <f>IFERROR(__xludf.DUMMYFUNCTION("IFERROR((FILTER(Data!G:G,Data!D:D=A84,Data!B:B=$B$1)),"""")"),"")</f>
        <v/>
      </c>
      <c r="D84" s="134" t="str">
        <f>IFERROR(__xludf.DUMMYFUNCTION("IFERROR((FILTER(Data!J:J,Data!D:D=A84,Data!B:B=$B$1)),"""")"),"")</f>
        <v/>
      </c>
      <c r="E84" s="134" t="str">
        <f>IFERROR(__xludf.DUMMYFUNCTION("IFERROR((FILTER(Data!L:L,Data!D:D=A84,Data!B:B=$B$1)),"""")"),"")</f>
        <v/>
      </c>
      <c r="F84" s="134" t="str">
        <f>IFERROR(__xludf.DUMMYFUNCTION("IFERROR((FILTER(Data!K:K,Data!D:D=A84,Data!B:B=$B$1)),"""")"),"")</f>
        <v/>
      </c>
      <c r="G84" s="134" t="str">
        <f>IFERROR(__xludf.DUMMYFUNCTION("IFERROR((FILTER(Data!M:M,Data!D:D=A84,Data!B:B=$B$1)),"""")"),"")</f>
        <v/>
      </c>
      <c r="H84" s="134" t="str">
        <f>IFERROR(__xludf.DUMMYFUNCTION("IFERROR((FILTER(Data!G:G,Data!D:D=A84,Data!B:B=$B$1)*4)+(FILTER(Data!H:H,Data!D:D=A84,Data!B:B=$B$1)*2),"""")"),"")</f>
        <v/>
      </c>
      <c r="I84" s="15" t="str">
        <f>IFERROR(__xludf.DUMMYFUNCTION("IFERROR((FILTER(Data!K:K,Data!D:D=A84,Data!B:B=$B$1)*2)+(FILTER(Data!L:L,Data!D:D=A84,Data!B:B=$B$1)),"""")"),"")</f>
        <v/>
      </c>
      <c r="J84" s="134" t="str">
        <f>IFERROR(__xludf.DUMMYFUNCTION("IFERROR((FILTER(Data!N:N,Data!D:D=A84,Data!B:B=$B$1)),"""")"),"")</f>
        <v/>
      </c>
      <c r="K84" s="135" t="str">
        <f>IFERROR(__xludf.DUMMYFUNCTION("IFERROR((FILTER(Data!H:H,Data!D:D=A84,Data!B:B=$B$1)*2)+(FILTER(Data!L:L,Data!D:D=A84,Data!B:B=$B$1))+(FILTER(Data!G:G,Data!D:D=A84,Data!B:B=$B$1)*4)+(FILTER(Data!K:K,Data!D:D=A84,Data!B:B=$B$1)*2)+(((COUNTIF(FILTER(Data!N:N,Data!D:D=A84,Data!B:B=$B$1),"""&amp;"TRAVERSE"")*15)+(COUNTIF(FILTER(Data!N:N,Data!D:D=A84,Data!B:B=$B$1),""HIGH"")*10)+(COUNTIF(FILTER(Data!N:N,Data!D:D=A84,Data!B:B=$B$1),""MIDDLE"")*6)+(COUNTIF(FILTER(Data!N:N,Data!D:D=A84,Data!B:B=$B$1),""LOW"")*4))),"""")"),"")</f>
        <v/>
      </c>
      <c r="L84" s="136" t="str">
        <f>IFERROR(__xludf.DUMMYFUNCTION("IFERROR((FILTER(Data!P:P,Data!D:D=A84,Data!B:B=$B$1)),"""")"),"")</f>
        <v/>
      </c>
      <c r="M84" s="137" t="str">
        <f>IFERROR(__xludf.DUMMYFUNCTION("IFERROR((FILTER(Data!A:A,Data!D:D=A84,Data!B:B=$B$1)),"""")"),"")</f>
        <v/>
      </c>
      <c r="T84" s="52">
        <f>IFERROR(__xludf.DUMMYFUNCTION("((COUNTIF(FILTER(Data!N:N,Data!D:D=A84,Data!B:B=$B$1),""TRAVERSE"")*15)+(COUNTIF(FILTER(Data!N:N,Data!D:D=A84,Data!B:B=B$1),""HIGH"")*10)+(COUNTIF(FILTER(Data!N:N,Data!D:D=A84,Data!B:B=$B$1),""MIDDLE"")*6)+(COUNTIF(FILTER(Data!N:N,Data!D:D=A84,Data!B:B=$B"&amp;"$1),""LOW"")*4))"),0.0)</f>
        <v>0</v>
      </c>
      <c r="V84" s="138" t="str">
        <f>IF(Data!B76='Team Parser'!$B$1, Data!D76,"")</f>
        <v/>
      </c>
      <c r="W84" s="134" t="str">
        <f>IF(Data!$B76='Team Parser'!$B$1, Data!H76,"")</f>
        <v/>
      </c>
      <c r="X84" s="134" t="str">
        <f>IF(Data!$B76='Team Parser'!$B$1, Data!G76,"")</f>
        <v/>
      </c>
      <c r="Y84" s="134" t="str">
        <f>IF(Data!$B76='Team Parser'!$B$1, Data!L76,"")</f>
        <v/>
      </c>
      <c r="Z84" s="134" t="str">
        <f>IF(Data!$B76='Team Parser'!$B$1, Data!K76,"")</f>
        <v/>
      </c>
      <c r="AA84" s="134" t="str">
        <f>IF(Data!$B76='Team Parser'!$B$1, Data!M76,"")</f>
        <v/>
      </c>
      <c r="AB84" s="134" t="str">
        <f>IF(Data!$B76='Team Parser'!$B$1,((Z84*2)+(Y84)+(X84*4)+(W84*2)),"")</f>
        <v/>
      </c>
      <c r="AC84" s="134" t="str">
        <f>IF(Data!$B76='Team Parser'!$B$1, Data!N76,"")</f>
        <v/>
      </c>
      <c r="AD84" s="139" t="str">
        <f>IF(Data!$B76='Team Parser'!$B$1,(AB84+(COUNTIF(AC84,"TRAVERSE")*15)+(COUNTIF(AC84,"HIGH")*10)+(COUNTIF(AC84,"MIDDLE")*6)+(COUNTIF(AC84,"LOW")*4)),"")</f>
        <v/>
      </c>
    </row>
    <row r="85">
      <c r="A85" s="133" t="s">
        <v>507</v>
      </c>
      <c r="B85" s="134" t="str">
        <f>IFERROR(__xludf.DUMMYFUNCTION("IFERROR((FILTER(Data!H:H,Data!D:D=A85,Data!B:B=$B$1)),"""")"),"")</f>
        <v/>
      </c>
      <c r="C85" s="134" t="str">
        <f>IFERROR(__xludf.DUMMYFUNCTION("IFERROR((FILTER(Data!G:G,Data!D:D=A85,Data!B:B=$B$1)),"""")"),"")</f>
        <v/>
      </c>
      <c r="D85" s="134" t="str">
        <f>IFERROR(__xludf.DUMMYFUNCTION("IFERROR((FILTER(Data!J:J,Data!D:D=A85,Data!B:B=$B$1)),"""")"),"")</f>
        <v/>
      </c>
      <c r="E85" s="134" t="str">
        <f>IFERROR(__xludf.DUMMYFUNCTION("IFERROR((FILTER(Data!L:L,Data!D:D=A85,Data!B:B=$B$1)),"""")"),"")</f>
        <v/>
      </c>
      <c r="F85" s="134" t="str">
        <f>IFERROR(__xludf.DUMMYFUNCTION("IFERROR((FILTER(Data!K:K,Data!D:D=A85,Data!B:B=$B$1)),"""")"),"")</f>
        <v/>
      </c>
      <c r="G85" s="134" t="str">
        <f>IFERROR(__xludf.DUMMYFUNCTION("IFERROR((FILTER(Data!M:M,Data!D:D=A85,Data!B:B=$B$1)),"""")"),"")</f>
        <v/>
      </c>
      <c r="H85" s="134" t="str">
        <f>IFERROR(__xludf.DUMMYFUNCTION("IFERROR((FILTER(Data!G:G,Data!D:D=A85,Data!B:B=$B$1)*4)+(FILTER(Data!H:H,Data!D:D=A85,Data!B:B=$B$1)*2),"""")"),"")</f>
        <v/>
      </c>
      <c r="I85" s="15" t="str">
        <f>IFERROR(__xludf.DUMMYFUNCTION("IFERROR((FILTER(Data!K:K,Data!D:D=A85,Data!B:B=$B$1)*2)+(FILTER(Data!L:L,Data!D:D=A85,Data!B:B=$B$1)),"""")"),"")</f>
        <v/>
      </c>
      <c r="J85" s="134" t="str">
        <f>IFERROR(__xludf.DUMMYFUNCTION("IFERROR((FILTER(Data!N:N,Data!D:D=A85,Data!B:B=$B$1)),"""")"),"")</f>
        <v/>
      </c>
      <c r="K85" s="135" t="str">
        <f>IFERROR(__xludf.DUMMYFUNCTION("IFERROR((FILTER(Data!H:H,Data!D:D=A85,Data!B:B=$B$1)*2)+(FILTER(Data!L:L,Data!D:D=A85,Data!B:B=$B$1))+(FILTER(Data!G:G,Data!D:D=A85,Data!B:B=$B$1)*4)+(FILTER(Data!K:K,Data!D:D=A85,Data!B:B=$B$1)*2)+(((COUNTIF(FILTER(Data!N:N,Data!D:D=A85,Data!B:B=$B$1),"""&amp;"TRAVERSE"")*15)+(COUNTIF(FILTER(Data!N:N,Data!D:D=A85,Data!B:B=$B$1),""HIGH"")*10)+(COUNTIF(FILTER(Data!N:N,Data!D:D=A85,Data!B:B=$B$1),""MIDDLE"")*6)+(COUNTIF(FILTER(Data!N:N,Data!D:D=A85,Data!B:B=$B$1),""LOW"")*4))),"""")"),"")</f>
        <v/>
      </c>
      <c r="L85" s="136" t="str">
        <f>IFERROR(__xludf.DUMMYFUNCTION("IFERROR((FILTER(Data!P:P,Data!D:D=A85,Data!B:B=$B$1)),"""")"),"")</f>
        <v/>
      </c>
      <c r="M85" s="137" t="str">
        <f>IFERROR(__xludf.DUMMYFUNCTION("IFERROR((FILTER(Data!A:A,Data!D:D=A85,Data!B:B=$B$1)),"""")"),"")</f>
        <v/>
      </c>
      <c r="T85" s="52">
        <f>IFERROR(__xludf.DUMMYFUNCTION("((COUNTIF(FILTER(Data!N:N,Data!D:D=A85,Data!B:B=$B$1),""TRAVERSE"")*15)+(COUNTIF(FILTER(Data!N:N,Data!D:D=A85,Data!B:B=B$1),""HIGH"")*10)+(COUNTIF(FILTER(Data!N:N,Data!D:D=A85,Data!B:B=$B$1),""MIDDLE"")*6)+(COUNTIF(FILTER(Data!N:N,Data!D:D=A85,Data!B:B=$B"&amp;"$1),""LOW"")*4))"),0.0)</f>
        <v>0</v>
      </c>
      <c r="V85" s="138" t="str">
        <f>IF(Data!B77='Team Parser'!$B$1, Data!D77,"")</f>
        <v/>
      </c>
      <c r="W85" s="134" t="str">
        <f>IF(Data!$B77='Team Parser'!$B$1, Data!H77,"")</f>
        <v/>
      </c>
      <c r="X85" s="134" t="str">
        <f>IF(Data!$B77='Team Parser'!$B$1, Data!G77,"")</f>
        <v/>
      </c>
      <c r="Y85" s="134" t="str">
        <f>IF(Data!$B77='Team Parser'!$B$1, Data!L77,"")</f>
        <v/>
      </c>
      <c r="Z85" s="134" t="str">
        <f>IF(Data!$B77='Team Parser'!$B$1, Data!K77,"")</f>
        <v/>
      </c>
      <c r="AA85" s="134" t="str">
        <f>IF(Data!$B77='Team Parser'!$B$1, Data!M77,"")</f>
        <v/>
      </c>
      <c r="AB85" s="134" t="str">
        <f>IF(Data!$B77='Team Parser'!$B$1,((Z85*2)+(Y85)+(X85*4)+(W85*2)),"")</f>
        <v/>
      </c>
      <c r="AC85" s="134" t="str">
        <f>IF(Data!$B77='Team Parser'!$B$1, Data!N77,"")</f>
        <v/>
      </c>
      <c r="AD85" s="139" t="str">
        <f>IF(Data!$B77='Team Parser'!$B$1,(AB85+(COUNTIF(AC85,"TRAVERSE")*15)+(COUNTIF(AC85,"HIGH")*10)+(COUNTIF(AC85,"MIDDLE")*6)+(COUNTIF(AC85,"LOW")*4)),"")</f>
        <v/>
      </c>
    </row>
    <row r="86">
      <c r="A86" s="133" t="s">
        <v>507</v>
      </c>
      <c r="B86" s="134" t="str">
        <f>IFERROR(__xludf.DUMMYFUNCTION("IFERROR((FILTER(Data!H:H,Data!D:D=A86,Data!B:B=$B$1)),"""")"),"")</f>
        <v/>
      </c>
      <c r="C86" s="134" t="str">
        <f>IFERROR(__xludf.DUMMYFUNCTION("IFERROR((FILTER(Data!G:G,Data!D:D=A86,Data!B:B=$B$1)),"""")"),"")</f>
        <v/>
      </c>
      <c r="D86" s="134" t="str">
        <f>IFERROR(__xludf.DUMMYFUNCTION("IFERROR((FILTER(Data!J:J,Data!D:D=A86,Data!B:B=$B$1)),"""")"),"")</f>
        <v/>
      </c>
      <c r="E86" s="134" t="str">
        <f>IFERROR(__xludf.DUMMYFUNCTION("IFERROR((FILTER(Data!L:L,Data!D:D=A86,Data!B:B=$B$1)),"""")"),"")</f>
        <v/>
      </c>
      <c r="F86" s="134" t="str">
        <f>IFERROR(__xludf.DUMMYFUNCTION("IFERROR((FILTER(Data!K:K,Data!D:D=A86,Data!B:B=$B$1)),"""")"),"")</f>
        <v/>
      </c>
      <c r="G86" s="134" t="str">
        <f>IFERROR(__xludf.DUMMYFUNCTION("IFERROR((FILTER(Data!M:M,Data!D:D=A86,Data!B:B=$B$1)),"""")"),"")</f>
        <v/>
      </c>
      <c r="H86" s="134" t="str">
        <f>IFERROR(__xludf.DUMMYFUNCTION("IFERROR((FILTER(Data!G:G,Data!D:D=A86,Data!B:B=$B$1)*4)+(FILTER(Data!H:H,Data!D:D=A86,Data!B:B=$B$1)*2),"""")"),"")</f>
        <v/>
      </c>
      <c r="I86" s="15" t="str">
        <f>IFERROR(__xludf.DUMMYFUNCTION("IFERROR((FILTER(Data!K:K,Data!D:D=A86,Data!B:B=$B$1)*2)+(FILTER(Data!L:L,Data!D:D=A86,Data!B:B=$B$1)),"""")"),"")</f>
        <v/>
      </c>
      <c r="J86" s="134" t="str">
        <f>IFERROR(__xludf.DUMMYFUNCTION("IFERROR((FILTER(Data!N:N,Data!D:D=A86,Data!B:B=$B$1)),"""")"),"")</f>
        <v/>
      </c>
      <c r="K86" s="135" t="str">
        <f>IFERROR(__xludf.DUMMYFUNCTION("IFERROR((FILTER(Data!H:H,Data!D:D=A86,Data!B:B=$B$1)*2)+(FILTER(Data!L:L,Data!D:D=A86,Data!B:B=$B$1))+(FILTER(Data!G:G,Data!D:D=A86,Data!B:B=$B$1)*4)+(FILTER(Data!K:K,Data!D:D=A86,Data!B:B=$B$1)*2)+(((COUNTIF(FILTER(Data!N:N,Data!D:D=A86,Data!B:B=$B$1),"""&amp;"TRAVERSE"")*15)+(COUNTIF(FILTER(Data!N:N,Data!D:D=A86,Data!B:B=$B$1),""HIGH"")*10)+(COUNTIF(FILTER(Data!N:N,Data!D:D=A86,Data!B:B=$B$1),""MIDDLE"")*6)+(COUNTIF(FILTER(Data!N:N,Data!D:D=A86,Data!B:B=$B$1),""LOW"")*4))),"""")"),"")</f>
        <v/>
      </c>
      <c r="L86" s="136" t="str">
        <f>IFERROR(__xludf.DUMMYFUNCTION("IFERROR((FILTER(Data!P:P,Data!D:D=A86,Data!B:B=$B$1)),"""")"),"")</f>
        <v/>
      </c>
      <c r="M86" s="137" t="str">
        <f>IFERROR(__xludf.DUMMYFUNCTION("IFERROR((FILTER(Data!A:A,Data!D:D=A86,Data!B:B=$B$1)),"""")"),"")</f>
        <v/>
      </c>
      <c r="T86" s="52">
        <f>IFERROR(__xludf.DUMMYFUNCTION("((COUNTIF(FILTER(Data!N:N,Data!D:D=A86,Data!B:B=$B$1),""TRAVERSE"")*15)+(COUNTIF(FILTER(Data!N:N,Data!D:D=A86,Data!B:B=B$1),""HIGH"")*10)+(COUNTIF(FILTER(Data!N:N,Data!D:D=A86,Data!B:B=$B$1),""MIDDLE"")*6)+(COUNTIF(FILTER(Data!N:N,Data!D:D=A86,Data!B:B=$B"&amp;"$1),""LOW"")*4))"),0.0)</f>
        <v>0</v>
      </c>
      <c r="V86" s="138" t="str">
        <f>IF(Data!B78='Team Parser'!$B$1, Data!D78,"")</f>
        <v/>
      </c>
      <c r="W86" s="134" t="str">
        <f>IF(Data!$B78='Team Parser'!$B$1, Data!H78,"")</f>
        <v/>
      </c>
      <c r="X86" s="134" t="str">
        <f>IF(Data!$B78='Team Parser'!$B$1, Data!G78,"")</f>
        <v/>
      </c>
      <c r="Y86" s="134" t="str">
        <f>IF(Data!$B78='Team Parser'!$B$1, Data!L78,"")</f>
        <v/>
      </c>
      <c r="Z86" s="134" t="str">
        <f>IF(Data!$B78='Team Parser'!$B$1, Data!K78,"")</f>
        <v/>
      </c>
      <c r="AA86" s="134" t="str">
        <f>IF(Data!$B78='Team Parser'!$B$1, Data!M78,"")</f>
        <v/>
      </c>
      <c r="AB86" s="134" t="str">
        <f>IF(Data!$B78='Team Parser'!$B$1,((Z86*2)+(Y86)+(X86*4)+(W86*2)),"")</f>
        <v/>
      </c>
      <c r="AC86" s="134" t="str">
        <f>IF(Data!$B78='Team Parser'!$B$1, Data!N78,"")</f>
        <v/>
      </c>
      <c r="AD86" s="139" t="str">
        <f>IF(Data!$B78='Team Parser'!$B$1,(AB86+(COUNTIF(AC86,"TRAVERSE")*15)+(COUNTIF(AC86,"HIGH")*10)+(COUNTIF(AC86,"MIDDLE")*6)+(COUNTIF(AC86,"LOW")*4)),"")</f>
        <v/>
      </c>
    </row>
    <row r="87">
      <c r="A87" s="133" t="s">
        <v>507</v>
      </c>
      <c r="B87" s="134" t="str">
        <f>IFERROR(__xludf.DUMMYFUNCTION("IFERROR((FILTER(Data!H:H,Data!D:D=A87,Data!B:B=$B$1)),"""")"),"")</f>
        <v/>
      </c>
      <c r="C87" s="134" t="str">
        <f>IFERROR(__xludf.DUMMYFUNCTION("IFERROR((FILTER(Data!G:G,Data!D:D=A87,Data!B:B=$B$1)),"""")"),"")</f>
        <v/>
      </c>
      <c r="D87" s="134" t="str">
        <f>IFERROR(__xludf.DUMMYFUNCTION("IFERROR((FILTER(Data!J:J,Data!D:D=A87,Data!B:B=$B$1)),"""")"),"")</f>
        <v/>
      </c>
      <c r="E87" s="134" t="str">
        <f>IFERROR(__xludf.DUMMYFUNCTION("IFERROR((FILTER(Data!L:L,Data!D:D=A87,Data!B:B=$B$1)),"""")"),"")</f>
        <v/>
      </c>
      <c r="F87" s="134" t="str">
        <f>IFERROR(__xludf.DUMMYFUNCTION("IFERROR((FILTER(Data!K:K,Data!D:D=A87,Data!B:B=$B$1)),"""")"),"")</f>
        <v/>
      </c>
      <c r="G87" s="134" t="str">
        <f>IFERROR(__xludf.DUMMYFUNCTION("IFERROR((FILTER(Data!M:M,Data!D:D=A87,Data!B:B=$B$1)),"""")"),"")</f>
        <v/>
      </c>
      <c r="H87" s="134" t="str">
        <f>IFERROR(__xludf.DUMMYFUNCTION("IFERROR((FILTER(Data!G:G,Data!D:D=A87,Data!B:B=$B$1)*4)+(FILTER(Data!H:H,Data!D:D=A87,Data!B:B=$B$1)*2),"""")"),"")</f>
        <v/>
      </c>
      <c r="I87" s="15" t="str">
        <f>IFERROR(__xludf.DUMMYFUNCTION("IFERROR((FILTER(Data!K:K,Data!D:D=A87,Data!B:B=$B$1)*2)+(FILTER(Data!L:L,Data!D:D=A87,Data!B:B=$B$1)),"""")"),"")</f>
        <v/>
      </c>
      <c r="J87" s="134" t="str">
        <f>IFERROR(__xludf.DUMMYFUNCTION("IFERROR((FILTER(Data!N:N,Data!D:D=A87,Data!B:B=$B$1)),"""")"),"")</f>
        <v/>
      </c>
      <c r="K87" s="135" t="str">
        <f>IFERROR(__xludf.DUMMYFUNCTION("IFERROR((FILTER(Data!H:H,Data!D:D=A87,Data!B:B=$B$1)*2)+(FILTER(Data!L:L,Data!D:D=A87,Data!B:B=$B$1))+(FILTER(Data!G:G,Data!D:D=A87,Data!B:B=$B$1)*4)+(FILTER(Data!K:K,Data!D:D=A87,Data!B:B=$B$1)*2)+(((COUNTIF(FILTER(Data!N:N,Data!D:D=A87,Data!B:B=$B$1),"""&amp;"TRAVERSE"")*15)+(COUNTIF(FILTER(Data!N:N,Data!D:D=A87,Data!B:B=$B$1),""HIGH"")*10)+(COUNTIF(FILTER(Data!N:N,Data!D:D=A87,Data!B:B=$B$1),""MIDDLE"")*6)+(COUNTIF(FILTER(Data!N:N,Data!D:D=A87,Data!B:B=$B$1),""LOW"")*4))),"""")"),"")</f>
        <v/>
      </c>
      <c r="L87" s="136" t="str">
        <f>IFERROR(__xludf.DUMMYFUNCTION("IFERROR((FILTER(Data!P:P,Data!D:D=A87,Data!B:B=$B$1)),"""")"),"")</f>
        <v/>
      </c>
      <c r="M87" s="137" t="str">
        <f>IFERROR(__xludf.DUMMYFUNCTION("IFERROR((FILTER(Data!A:A,Data!D:D=A87,Data!B:B=$B$1)),"""")"),"")</f>
        <v/>
      </c>
      <c r="T87" s="52">
        <f>IFERROR(__xludf.DUMMYFUNCTION("((COUNTIF(FILTER(Data!N:N,Data!D:D=A87,Data!B:B=$B$1),""TRAVERSE"")*15)+(COUNTIF(FILTER(Data!N:N,Data!D:D=A87,Data!B:B=B$1),""HIGH"")*10)+(COUNTIF(FILTER(Data!N:N,Data!D:D=A87,Data!B:B=$B$1),""MIDDLE"")*6)+(COUNTIF(FILTER(Data!N:N,Data!D:D=A87,Data!B:B=$B"&amp;"$1),""LOW"")*4))"),0.0)</f>
        <v>0</v>
      </c>
      <c r="V87" s="138" t="str">
        <f>IF(Data!B79='Team Parser'!$B$1, Data!D79,"")</f>
        <v/>
      </c>
      <c r="W87" s="134" t="str">
        <f>IF(Data!$B79='Team Parser'!$B$1, Data!H79,"")</f>
        <v/>
      </c>
      <c r="X87" s="134" t="str">
        <f>IF(Data!$B79='Team Parser'!$B$1, Data!G79,"")</f>
        <v/>
      </c>
      <c r="Y87" s="134" t="str">
        <f>IF(Data!$B79='Team Parser'!$B$1, Data!L79,"")</f>
        <v/>
      </c>
      <c r="Z87" s="134" t="str">
        <f>IF(Data!$B79='Team Parser'!$B$1, Data!K79,"")</f>
        <v/>
      </c>
      <c r="AA87" s="134" t="str">
        <f>IF(Data!$B79='Team Parser'!$B$1, Data!M79,"")</f>
        <v/>
      </c>
      <c r="AB87" s="134" t="str">
        <f>IF(Data!$B79='Team Parser'!$B$1,((Z87*2)+(Y87)+(X87*4)+(W87*2)),"")</f>
        <v/>
      </c>
      <c r="AC87" s="134" t="str">
        <f>IF(Data!$B79='Team Parser'!$B$1, Data!N79,"")</f>
        <v/>
      </c>
      <c r="AD87" s="139" t="str">
        <f>IF(Data!$B79='Team Parser'!$B$1,(AB87+(COUNTIF(AC87,"TRAVERSE")*15)+(COUNTIF(AC87,"HIGH")*10)+(COUNTIF(AC87,"MIDDLE")*6)+(COUNTIF(AC87,"LOW")*4)),"")</f>
        <v/>
      </c>
    </row>
    <row r="88">
      <c r="A88" s="133" t="s">
        <v>507</v>
      </c>
      <c r="B88" s="134" t="str">
        <f>IFERROR(__xludf.DUMMYFUNCTION("IFERROR((FILTER(Data!H:H,Data!D:D=A88,Data!B:B=$B$1)),"""")"),"")</f>
        <v/>
      </c>
      <c r="C88" s="134" t="str">
        <f>IFERROR(__xludf.DUMMYFUNCTION("IFERROR((FILTER(Data!G:G,Data!D:D=A88,Data!B:B=$B$1)),"""")"),"")</f>
        <v/>
      </c>
      <c r="D88" s="134" t="str">
        <f>IFERROR(__xludf.DUMMYFUNCTION("IFERROR((FILTER(Data!J:J,Data!D:D=A88,Data!B:B=$B$1)),"""")"),"")</f>
        <v/>
      </c>
      <c r="E88" s="134" t="str">
        <f>IFERROR(__xludf.DUMMYFUNCTION("IFERROR((FILTER(Data!L:L,Data!D:D=A88,Data!B:B=$B$1)),"""")"),"")</f>
        <v/>
      </c>
      <c r="F88" s="134" t="str">
        <f>IFERROR(__xludf.DUMMYFUNCTION("IFERROR((FILTER(Data!K:K,Data!D:D=A88,Data!B:B=$B$1)),"""")"),"")</f>
        <v/>
      </c>
      <c r="G88" s="134" t="str">
        <f>IFERROR(__xludf.DUMMYFUNCTION("IFERROR((FILTER(Data!M:M,Data!D:D=A88,Data!B:B=$B$1)),"""")"),"")</f>
        <v/>
      </c>
      <c r="H88" s="134" t="str">
        <f>IFERROR(__xludf.DUMMYFUNCTION("IFERROR((FILTER(Data!G:G,Data!D:D=A88,Data!B:B=$B$1)*4)+(FILTER(Data!H:H,Data!D:D=A88,Data!B:B=$B$1)*2),"""")"),"")</f>
        <v/>
      </c>
      <c r="I88" s="15" t="str">
        <f>IFERROR(__xludf.DUMMYFUNCTION("IFERROR((FILTER(Data!K:K,Data!D:D=A88,Data!B:B=$B$1)*2)+(FILTER(Data!L:L,Data!D:D=A88,Data!B:B=$B$1)),"""")"),"")</f>
        <v/>
      </c>
      <c r="J88" s="134" t="str">
        <f>IFERROR(__xludf.DUMMYFUNCTION("IFERROR((FILTER(Data!N:N,Data!D:D=A88,Data!B:B=$B$1)),"""")"),"")</f>
        <v/>
      </c>
      <c r="K88" s="135" t="str">
        <f>IFERROR(__xludf.DUMMYFUNCTION("IFERROR((FILTER(Data!H:H,Data!D:D=A88,Data!B:B=$B$1)*2)+(FILTER(Data!L:L,Data!D:D=A88,Data!B:B=$B$1))+(FILTER(Data!G:G,Data!D:D=A88,Data!B:B=$B$1)*4)+(FILTER(Data!K:K,Data!D:D=A88,Data!B:B=$B$1)*2)+(((COUNTIF(FILTER(Data!N:N,Data!D:D=A88,Data!B:B=$B$1),"""&amp;"TRAVERSE"")*15)+(COUNTIF(FILTER(Data!N:N,Data!D:D=A88,Data!B:B=$B$1),""HIGH"")*10)+(COUNTIF(FILTER(Data!N:N,Data!D:D=A88,Data!B:B=$B$1),""MIDDLE"")*6)+(COUNTIF(FILTER(Data!N:N,Data!D:D=A88,Data!B:B=$B$1),""LOW"")*4))),"""")"),"")</f>
        <v/>
      </c>
      <c r="L88" s="136" t="str">
        <f>IFERROR(__xludf.DUMMYFUNCTION("IFERROR((FILTER(Data!P:P,Data!D:D=A88,Data!B:B=$B$1)),"""")"),"")</f>
        <v/>
      </c>
      <c r="M88" s="137" t="str">
        <f>IFERROR(__xludf.DUMMYFUNCTION("IFERROR((FILTER(Data!A:A,Data!D:D=A88,Data!B:B=$B$1)),"""")"),"")</f>
        <v/>
      </c>
      <c r="T88" s="52">
        <f>IFERROR(__xludf.DUMMYFUNCTION("((COUNTIF(FILTER(Data!N:N,Data!D:D=A88,Data!B:B=$B$1),""TRAVERSE"")*15)+(COUNTIF(FILTER(Data!N:N,Data!D:D=A88,Data!B:B=B$1),""HIGH"")*10)+(COUNTIF(FILTER(Data!N:N,Data!D:D=A88,Data!B:B=$B$1),""MIDDLE"")*6)+(COUNTIF(FILTER(Data!N:N,Data!D:D=A88,Data!B:B=$B"&amp;"$1),""LOW"")*4))"),0.0)</f>
        <v>0</v>
      </c>
      <c r="V88" s="138" t="str">
        <f>IF(Data!B80='Team Parser'!$B$1, Data!D80,"")</f>
        <v/>
      </c>
      <c r="W88" s="134" t="str">
        <f>IF(Data!$B80='Team Parser'!$B$1, Data!H80,"")</f>
        <v/>
      </c>
      <c r="X88" s="134" t="str">
        <f>IF(Data!$B80='Team Parser'!$B$1, Data!G80,"")</f>
        <v/>
      </c>
      <c r="Y88" s="134" t="str">
        <f>IF(Data!$B80='Team Parser'!$B$1, Data!L80,"")</f>
        <v/>
      </c>
      <c r="Z88" s="134" t="str">
        <f>IF(Data!$B80='Team Parser'!$B$1, Data!K80,"")</f>
        <v/>
      </c>
      <c r="AA88" s="134" t="str">
        <f>IF(Data!$B80='Team Parser'!$B$1, Data!M80,"")</f>
        <v/>
      </c>
      <c r="AB88" s="134" t="str">
        <f>IF(Data!$B80='Team Parser'!$B$1,((Z88*2)+(Y88)+(X88*4)+(W88*2)),"")</f>
        <v/>
      </c>
      <c r="AC88" s="134" t="str">
        <f>IF(Data!$B80='Team Parser'!$B$1, Data!N80,"")</f>
        <v/>
      </c>
      <c r="AD88" s="139" t="str">
        <f>IF(Data!$B80='Team Parser'!$B$1,(AB88+(COUNTIF(AC88,"TRAVERSE")*15)+(COUNTIF(AC88,"HIGH")*10)+(COUNTIF(AC88,"MIDDLE")*6)+(COUNTIF(AC88,"LOW")*4)),"")</f>
        <v/>
      </c>
    </row>
    <row r="89">
      <c r="A89" s="133" t="s">
        <v>507</v>
      </c>
      <c r="B89" s="134" t="str">
        <f>IFERROR(__xludf.DUMMYFUNCTION("IFERROR((FILTER(Data!H:H,Data!D:D=A89,Data!B:B=$B$1)),"""")"),"")</f>
        <v/>
      </c>
      <c r="C89" s="134" t="str">
        <f>IFERROR(__xludf.DUMMYFUNCTION("IFERROR((FILTER(Data!G:G,Data!D:D=A89,Data!B:B=$B$1)),"""")"),"")</f>
        <v/>
      </c>
      <c r="D89" s="134" t="str">
        <f>IFERROR(__xludf.DUMMYFUNCTION("IFERROR((FILTER(Data!J:J,Data!D:D=A89,Data!B:B=$B$1)),"""")"),"")</f>
        <v/>
      </c>
      <c r="E89" s="134" t="str">
        <f>IFERROR(__xludf.DUMMYFUNCTION("IFERROR((FILTER(Data!L:L,Data!D:D=A89,Data!B:B=$B$1)),"""")"),"")</f>
        <v/>
      </c>
      <c r="F89" s="134" t="str">
        <f>IFERROR(__xludf.DUMMYFUNCTION("IFERROR((FILTER(Data!K:K,Data!D:D=A89,Data!B:B=$B$1)),"""")"),"")</f>
        <v/>
      </c>
      <c r="G89" s="134" t="str">
        <f>IFERROR(__xludf.DUMMYFUNCTION("IFERROR((FILTER(Data!M:M,Data!D:D=A89,Data!B:B=$B$1)),"""")"),"")</f>
        <v/>
      </c>
      <c r="H89" s="134" t="str">
        <f>IFERROR(__xludf.DUMMYFUNCTION("IFERROR((FILTER(Data!G:G,Data!D:D=A89,Data!B:B=$B$1)*4)+(FILTER(Data!H:H,Data!D:D=A89,Data!B:B=$B$1)*2),"""")"),"")</f>
        <v/>
      </c>
      <c r="I89" s="15" t="str">
        <f>IFERROR(__xludf.DUMMYFUNCTION("IFERROR((FILTER(Data!K:K,Data!D:D=A89,Data!B:B=$B$1)*2)+(FILTER(Data!L:L,Data!D:D=A89,Data!B:B=$B$1)),"""")"),"")</f>
        <v/>
      </c>
      <c r="J89" s="134" t="str">
        <f>IFERROR(__xludf.DUMMYFUNCTION("IFERROR((FILTER(Data!N:N,Data!D:D=A89,Data!B:B=$B$1)),"""")"),"")</f>
        <v/>
      </c>
      <c r="K89" s="135" t="str">
        <f>IFERROR(__xludf.DUMMYFUNCTION("IFERROR((FILTER(Data!H:H,Data!D:D=A89,Data!B:B=$B$1)*2)+(FILTER(Data!L:L,Data!D:D=A89,Data!B:B=$B$1))+(FILTER(Data!G:G,Data!D:D=A89,Data!B:B=$B$1)*4)+(FILTER(Data!K:K,Data!D:D=A89,Data!B:B=$B$1)*2)+(((COUNTIF(FILTER(Data!N:N,Data!D:D=A89,Data!B:B=$B$1),"""&amp;"TRAVERSE"")*15)+(COUNTIF(FILTER(Data!N:N,Data!D:D=A89,Data!B:B=$B$1),""HIGH"")*10)+(COUNTIF(FILTER(Data!N:N,Data!D:D=A89,Data!B:B=$B$1),""MIDDLE"")*6)+(COUNTIF(FILTER(Data!N:N,Data!D:D=A89,Data!B:B=$B$1),""LOW"")*4))),"""")"),"")</f>
        <v/>
      </c>
      <c r="L89" s="136" t="str">
        <f>IFERROR(__xludf.DUMMYFUNCTION("IFERROR((FILTER(Data!P:P,Data!D:D=A89,Data!B:B=$B$1)),"""")"),"")</f>
        <v/>
      </c>
      <c r="M89" s="137" t="str">
        <f>IFERROR(__xludf.DUMMYFUNCTION("IFERROR((FILTER(Data!A:A,Data!D:D=A89,Data!B:B=$B$1)),"""")"),"")</f>
        <v/>
      </c>
      <c r="T89" s="52">
        <f>IFERROR(__xludf.DUMMYFUNCTION("((COUNTIF(FILTER(Data!N:N,Data!D:D=A89,Data!B:B=$B$1),""TRAVERSE"")*15)+(COUNTIF(FILTER(Data!N:N,Data!D:D=A89,Data!B:B=B$1),""HIGH"")*10)+(COUNTIF(FILTER(Data!N:N,Data!D:D=A89,Data!B:B=$B$1),""MIDDLE"")*6)+(COUNTIF(FILTER(Data!N:N,Data!D:D=A89,Data!B:B=$B"&amp;"$1),""LOW"")*4))"),0.0)</f>
        <v>0</v>
      </c>
      <c r="V89" s="138" t="str">
        <f>IF(Data!B81='Team Parser'!$B$1, Data!D81,"")</f>
        <v/>
      </c>
      <c r="W89" s="134" t="str">
        <f>IF(Data!$B81='Team Parser'!$B$1, Data!H81,"")</f>
        <v/>
      </c>
      <c r="X89" s="134" t="str">
        <f>IF(Data!$B81='Team Parser'!$B$1, Data!G81,"")</f>
        <v/>
      </c>
      <c r="Y89" s="134" t="str">
        <f>IF(Data!$B81='Team Parser'!$B$1, Data!L81,"")</f>
        <v/>
      </c>
      <c r="Z89" s="134" t="str">
        <f>IF(Data!$B81='Team Parser'!$B$1, Data!K81,"")</f>
        <v/>
      </c>
      <c r="AA89" s="134" t="str">
        <f>IF(Data!$B81='Team Parser'!$B$1, Data!M81,"")</f>
        <v/>
      </c>
      <c r="AB89" s="134" t="str">
        <f>IF(Data!$B81='Team Parser'!$B$1,((Z89*2)+(Y89)+(X89*4)+(W89*2)),"")</f>
        <v/>
      </c>
      <c r="AC89" s="134" t="str">
        <f>IF(Data!$B81='Team Parser'!$B$1, Data!N81,"")</f>
        <v/>
      </c>
      <c r="AD89" s="139" t="str">
        <f>IF(Data!$B81='Team Parser'!$B$1,(AB89+(COUNTIF(AC89,"TRAVERSE")*15)+(COUNTIF(AC89,"HIGH")*10)+(COUNTIF(AC89,"MIDDLE")*6)+(COUNTIF(AC89,"LOW")*4)),"")</f>
        <v/>
      </c>
    </row>
    <row r="90">
      <c r="A90" s="133" t="s">
        <v>507</v>
      </c>
      <c r="B90" s="134" t="str">
        <f>IFERROR(__xludf.DUMMYFUNCTION("IFERROR((FILTER(Data!H:H,Data!D:D=A90,Data!B:B=$B$1)),"""")"),"")</f>
        <v/>
      </c>
      <c r="C90" s="134" t="str">
        <f>IFERROR(__xludf.DUMMYFUNCTION("IFERROR((FILTER(Data!G:G,Data!D:D=A90,Data!B:B=$B$1)),"""")"),"")</f>
        <v/>
      </c>
      <c r="D90" s="134" t="str">
        <f>IFERROR(__xludf.DUMMYFUNCTION("IFERROR((FILTER(Data!J:J,Data!D:D=A90,Data!B:B=$B$1)),"""")"),"")</f>
        <v/>
      </c>
      <c r="E90" s="134" t="str">
        <f>IFERROR(__xludf.DUMMYFUNCTION("IFERROR((FILTER(Data!L:L,Data!D:D=A90,Data!B:B=$B$1)),"""")"),"")</f>
        <v/>
      </c>
      <c r="F90" s="134" t="str">
        <f>IFERROR(__xludf.DUMMYFUNCTION("IFERROR((FILTER(Data!K:K,Data!D:D=A90,Data!B:B=$B$1)),"""")"),"")</f>
        <v/>
      </c>
      <c r="G90" s="134" t="str">
        <f>IFERROR(__xludf.DUMMYFUNCTION("IFERROR((FILTER(Data!M:M,Data!D:D=A90,Data!B:B=$B$1)),"""")"),"")</f>
        <v/>
      </c>
      <c r="H90" s="134" t="str">
        <f>IFERROR(__xludf.DUMMYFUNCTION("IFERROR((FILTER(Data!G:G,Data!D:D=A90,Data!B:B=$B$1)*4)+(FILTER(Data!H:H,Data!D:D=A90,Data!B:B=$B$1)*2),"""")"),"")</f>
        <v/>
      </c>
      <c r="I90" s="15" t="str">
        <f>IFERROR(__xludf.DUMMYFUNCTION("IFERROR((FILTER(Data!K:K,Data!D:D=A90,Data!B:B=$B$1)*2)+(FILTER(Data!L:L,Data!D:D=A90,Data!B:B=$B$1)),"""")"),"")</f>
        <v/>
      </c>
      <c r="J90" s="134" t="str">
        <f>IFERROR(__xludf.DUMMYFUNCTION("IFERROR((FILTER(Data!N:N,Data!D:D=A90,Data!B:B=$B$1)),"""")"),"")</f>
        <v/>
      </c>
      <c r="K90" s="135" t="str">
        <f>IFERROR(__xludf.DUMMYFUNCTION("IFERROR((FILTER(Data!H:H,Data!D:D=A90,Data!B:B=$B$1)*2)+(FILTER(Data!L:L,Data!D:D=A90,Data!B:B=$B$1))+(FILTER(Data!G:G,Data!D:D=A90,Data!B:B=$B$1)*4)+(FILTER(Data!K:K,Data!D:D=A90,Data!B:B=$B$1)*2)+(((COUNTIF(FILTER(Data!N:N,Data!D:D=A90,Data!B:B=$B$1),"""&amp;"TRAVERSE"")*15)+(COUNTIF(FILTER(Data!N:N,Data!D:D=A90,Data!B:B=$B$1),""HIGH"")*10)+(COUNTIF(FILTER(Data!N:N,Data!D:D=A90,Data!B:B=$B$1),""MIDDLE"")*6)+(COUNTIF(FILTER(Data!N:N,Data!D:D=A90,Data!B:B=$B$1),""LOW"")*4))),"""")"),"")</f>
        <v/>
      </c>
      <c r="L90" s="136" t="str">
        <f>IFERROR(__xludf.DUMMYFUNCTION("IFERROR((FILTER(Data!P:P,Data!D:D=A90,Data!B:B=$B$1)),"""")"),"")</f>
        <v/>
      </c>
      <c r="M90" s="137" t="str">
        <f>IFERROR(__xludf.DUMMYFUNCTION("IFERROR((FILTER(Data!A:A,Data!D:D=A90,Data!B:B=$B$1)),"""")"),"")</f>
        <v/>
      </c>
      <c r="T90" s="52">
        <f>IFERROR(__xludf.DUMMYFUNCTION("((COUNTIF(FILTER(Data!N:N,Data!D:D=A90,Data!B:B=$B$1),""TRAVERSE"")*15)+(COUNTIF(FILTER(Data!N:N,Data!D:D=A90,Data!B:B=B$1),""HIGH"")*10)+(COUNTIF(FILTER(Data!N:N,Data!D:D=A90,Data!B:B=$B$1),""MIDDLE"")*6)+(COUNTIF(FILTER(Data!N:N,Data!D:D=A90,Data!B:B=$B"&amp;"$1),""LOW"")*4))"),0.0)</f>
        <v>0</v>
      </c>
      <c r="V90" s="138" t="str">
        <f>IF(Data!B82='Team Parser'!$B$1, Data!D82,"")</f>
        <v/>
      </c>
      <c r="W90" s="134" t="str">
        <f>IF(Data!$B82='Team Parser'!$B$1, Data!H82,"")</f>
        <v/>
      </c>
      <c r="X90" s="134" t="str">
        <f>IF(Data!$B82='Team Parser'!$B$1, Data!G82,"")</f>
        <v/>
      </c>
      <c r="Y90" s="134" t="str">
        <f>IF(Data!$B82='Team Parser'!$B$1, Data!L82,"")</f>
        <v/>
      </c>
      <c r="Z90" s="134" t="str">
        <f>IF(Data!$B82='Team Parser'!$B$1, Data!K82,"")</f>
        <v/>
      </c>
      <c r="AA90" s="134" t="str">
        <f>IF(Data!$B82='Team Parser'!$B$1, Data!M82,"")</f>
        <v/>
      </c>
      <c r="AB90" s="134" t="str">
        <f>IF(Data!$B82='Team Parser'!$B$1,((Z90*2)+(Y90)+(X90*4)+(W90*2)),"")</f>
        <v/>
      </c>
      <c r="AC90" s="134" t="str">
        <f>IF(Data!$B82='Team Parser'!$B$1, Data!N82,"")</f>
        <v/>
      </c>
      <c r="AD90" s="139" t="str">
        <f>IF(Data!$B82='Team Parser'!$B$1,(AB90+(COUNTIF(AC90,"TRAVERSE")*15)+(COUNTIF(AC90,"HIGH")*10)+(COUNTIF(AC90,"MIDDLE")*6)+(COUNTIF(AC90,"LOW")*4)),"")</f>
        <v/>
      </c>
    </row>
    <row r="91">
      <c r="A91" s="133" t="s">
        <v>507</v>
      </c>
      <c r="B91" s="134" t="str">
        <f>IFERROR(__xludf.DUMMYFUNCTION("IFERROR((FILTER(Data!H:H,Data!D:D=A91,Data!B:B=$B$1)),"""")"),"")</f>
        <v/>
      </c>
      <c r="C91" s="134" t="str">
        <f>IFERROR(__xludf.DUMMYFUNCTION("IFERROR((FILTER(Data!G:G,Data!D:D=A91,Data!B:B=$B$1)),"""")"),"")</f>
        <v/>
      </c>
      <c r="D91" s="134" t="str">
        <f>IFERROR(__xludf.DUMMYFUNCTION("IFERROR((FILTER(Data!J:J,Data!D:D=A91,Data!B:B=$B$1)),"""")"),"")</f>
        <v/>
      </c>
      <c r="E91" s="134" t="str">
        <f>IFERROR(__xludf.DUMMYFUNCTION("IFERROR((FILTER(Data!L:L,Data!D:D=A91,Data!B:B=$B$1)),"""")"),"")</f>
        <v/>
      </c>
      <c r="F91" s="134" t="str">
        <f>IFERROR(__xludf.DUMMYFUNCTION("IFERROR((FILTER(Data!K:K,Data!D:D=A91,Data!B:B=$B$1)),"""")"),"")</f>
        <v/>
      </c>
      <c r="G91" s="134" t="str">
        <f>IFERROR(__xludf.DUMMYFUNCTION("IFERROR((FILTER(Data!M:M,Data!D:D=A91,Data!B:B=$B$1)),"""")"),"")</f>
        <v/>
      </c>
      <c r="H91" s="134" t="str">
        <f>IFERROR(__xludf.DUMMYFUNCTION("IFERROR((FILTER(Data!G:G,Data!D:D=A91,Data!B:B=$B$1)*4)+(FILTER(Data!H:H,Data!D:D=A91,Data!B:B=$B$1)*2),"""")"),"")</f>
        <v/>
      </c>
      <c r="I91" s="15" t="str">
        <f>IFERROR(__xludf.DUMMYFUNCTION("IFERROR((FILTER(Data!K:K,Data!D:D=A91,Data!B:B=$B$1)*2)+(FILTER(Data!L:L,Data!D:D=A91,Data!B:B=$B$1)),"""")"),"")</f>
        <v/>
      </c>
      <c r="J91" s="134" t="str">
        <f>IFERROR(__xludf.DUMMYFUNCTION("IFERROR((FILTER(Data!N:N,Data!D:D=A91,Data!B:B=$B$1)),"""")"),"")</f>
        <v/>
      </c>
      <c r="K91" s="135" t="str">
        <f>IFERROR(__xludf.DUMMYFUNCTION("IFERROR((FILTER(Data!H:H,Data!D:D=A91,Data!B:B=$B$1)*2)+(FILTER(Data!L:L,Data!D:D=A91,Data!B:B=$B$1))+(FILTER(Data!G:G,Data!D:D=A91,Data!B:B=$B$1)*4)+(FILTER(Data!K:K,Data!D:D=A91,Data!B:B=$B$1)*2)+(((COUNTIF(FILTER(Data!N:N,Data!D:D=A91,Data!B:B=$B$1),"""&amp;"TRAVERSE"")*15)+(COUNTIF(FILTER(Data!N:N,Data!D:D=A91,Data!B:B=$B$1),""HIGH"")*10)+(COUNTIF(FILTER(Data!N:N,Data!D:D=A91,Data!B:B=$B$1),""MIDDLE"")*6)+(COUNTIF(FILTER(Data!N:N,Data!D:D=A91,Data!B:B=$B$1),""LOW"")*4))),"""")"),"")</f>
        <v/>
      </c>
      <c r="L91" s="136" t="str">
        <f>IFERROR(__xludf.DUMMYFUNCTION("IFERROR((FILTER(Data!P:P,Data!D:D=A91,Data!B:B=$B$1)),"""")"),"")</f>
        <v/>
      </c>
      <c r="M91" s="137" t="str">
        <f>IFERROR(__xludf.DUMMYFUNCTION("IFERROR((FILTER(Data!A:A,Data!D:D=A91,Data!B:B=$B$1)),"""")"),"")</f>
        <v/>
      </c>
      <c r="T91" s="52">
        <f>IFERROR(__xludf.DUMMYFUNCTION("((COUNTIF(FILTER(Data!N:N,Data!D:D=A91,Data!B:B=$B$1),""TRAVERSE"")*15)+(COUNTIF(FILTER(Data!N:N,Data!D:D=A91,Data!B:B=B$1),""HIGH"")*10)+(COUNTIF(FILTER(Data!N:N,Data!D:D=A91,Data!B:B=$B$1),""MIDDLE"")*6)+(COUNTIF(FILTER(Data!N:N,Data!D:D=A91,Data!B:B=$B"&amp;"$1),""LOW"")*4))"),0.0)</f>
        <v>0</v>
      </c>
      <c r="V91" s="138" t="str">
        <f>IF(Data!B83='Team Parser'!$B$1, Data!D83,"")</f>
        <v/>
      </c>
      <c r="W91" s="134" t="str">
        <f>IF(Data!$B83='Team Parser'!$B$1, Data!H83,"")</f>
        <v/>
      </c>
      <c r="X91" s="134" t="str">
        <f>IF(Data!$B83='Team Parser'!$B$1, Data!G83,"")</f>
        <v/>
      </c>
      <c r="Y91" s="134" t="str">
        <f>IF(Data!$B83='Team Parser'!$B$1, Data!L83,"")</f>
        <v/>
      </c>
      <c r="Z91" s="134" t="str">
        <f>IF(Data!$B83='Team Parser'!$B$1, Data!K83,"")</f>
        <v/>
      </c>
      <c r="AA91" s="134" t="str">
        <f>IF(Data!$B83='Team Parser'!$B$1, Data!M83,"")</f>
        <v/>
      </c>
      <c r="AB91" s="134" t="str">
        <f>IF(Data!$B83='Team Parser'!$B$1,((Z91*2)+(Y91)+(X91*4)+(W91*2)),"")</f>
        <v/>
      </c>
      <c r="AC91" s="134" t="str">
        <f>IF(Data!$B83='Team Parser'!$B$1, Data!N83,"")</f>
        <v/>
      </c>
      <c r="AD91" s="139" t="str">
        <f>IF(Data!$B83='Team Parser'!$B$1,(AB91+(COUNTIF(AC91,"TRAVERSE")*15)+(COUNTIF(AC91,"HIGH")*10)+(COUNTIF(AC91,"MIDDLE")*6)+(COUNTIF(AC91,"LOW")*4)),"")</f>
        <v/>
      </c>
    </row>
    <row r="92">
      <c r="A92" s="133" t="s">
        <v>507</v>
      </c>
      <c r="B92" s="134" t="str">
        <f>IFERROR(__xludf.DUMMYFUNCTION("IFERROR((FILTER(Data!H:H,Data!D:D=A92,Data!B:B=$B$1)),"""")"),"")</f>
        <v/>
      </c>
      <c r="C92" s="134" t="str">
        <f>IFERROR(__xludf.DUMMYFUNCTION("IFERROR((FILTER(Data!G:G,Data!D:D=A92,Data!B:B=$B$1)),"""")"),"")</f>
        <v/>
      </c>
      <c r="D92" s="134" t="str">
        <f>IFERROR(__xludf.DUMMYFUNCTION("IFERROR((FILTER(Data!J:J,Data!D:D=A92,Data!B:B=$B$1)),"""")"),"")</f>
        <v/>
      </c>
      <c r="E92" s="134" t="str">
        <f>IFERROR(__xludf.DUMMYFUNCTION("IFERROR((FILTER(Data!L:L,Data!D:D=A92,Data!B:B=$B$1)),"""")"),"")</f>
        <v/>
      </c>
      <c r="F92" s="134" t="str">
        <f>IFERROR(__xludf.DUMMYFUNCTION("IFERROR((FILTER(Data!K:K,Data!D:D=A92,Data!B:B=$B$1)),"""")"),"")</f>
        <v/>
      </c>
      <c r="G92" s="134" t="str">
        <f>IFERROR(__xludf.DUMMYFUNCTION("IFERROR((FILTER(Data!M:M,Data!D:D=A92,Data!B:B=$B$1)),"""")"),"")</f>
        <v/>
      </c>
      <c r="H92" s="134" t="str">
        <f>IFERROR(__xludf.DUMMYFUNCTION("IFERROR((FILTER(Data!G:G,Data!D:D=A92,Data!B:B=$B$1)*4)+(FILTER(Data!H:H,Data!D:D=A92,Data!B:B=$B$1)*2),"""")"),"")</f>
        <v/>
      </c>
      <c r="I92" s="15" t="str">
        <f>IFERROR(__xludf.DUMMYFUNCTION("IFERROR((FILTER(Data!K:K,Data!D:D=A92,Data!B:B=$B$1)*2)+(FILTER(Data!L:L,Data!D:D=A92,Data!B:B=$B$1)),"""")"),"")</f>
        <v/>
      </c>
      <c r="J92" s="134" t="str">
        <f>IFERROR(__xludf.DUMMYFUNCTION("IFERROR((FILTER(Data!N:N,Data!D:D=A92,Data!B:B=$B$1)),"""")"),"")</f>
        <v/>
      </c>
      <c r="K92" s="135" t="str">
        <f>IFERROR(__xludf.DUMMYFUNCTION("IFERROR((FILTER(Data!H:H,Data!D:D=A92,Data!B:B=$B$1)*2)+(FILTER(Data!L:L,Data!D:D=A92,Data!B:B=$B$1))+(FILTER(Data!G:G,Data!D:D=A92,Data!B:B=$B$1)*4)+(FILTER(Data!K:K,Data!D:D=A92,Data!B:B=$B$1)*2)+(((COUNTIF(FILTER(Data!N:N,Data!D:D=A92,Data!B:B=$B$1),"""&amp;"TRAVERSE"")*15)+(COUNTIF(FILTER(Data!N:N,Data!D:D=A92,Data!B:B=$B$1),""HIGH"")*10)+(COUNTIF(FILTER(Data!N:N,Data!D:D=A92,Data!B:B=$B$1),""MIDDLE"")*6)+(COUNTIF(FILTER(Data!N:N,Data!D:D=A92,Data!B:B=$B$1),""LOW"")*4))),"""")"),"")</f>
        <v/>
      </c>
      <c r="L92" s="136" t="str">
        <f>IFERROR(__xludf.DUMMYFUNCTION("IFERROR((FILTER(Data!P:P,Data!D:D=A92,Data!B:B=$B$1)),"""")"),"")</f>
        <v/>
      </c>
      <c r="M92" s="137" t="str">
        <f>IFERROR(__xludf.DUMMYFUNCTION("IFERROR((FILTER(Data!A:A,Data!D:D=A92,Data!B:B=$B$1)),"""")"),"")</f>
        <v/>
      </c>
      <c r="T92" s="52">
        <f>IFERROR(__xludf.DUMMYFUNCTION("((COUNTIF(FILTER(Data!N:N,Data!D:D=A92,Data!B:B=$B$1),""TRAVERSE"")*15)+(COUNTIF(FILTER(Data!N:N,Data!D:D=A92,Data!B:B=B$1),""HIGH"")*10)+(COUNTIF(FILTER(Data!N:N,Data!D:D=A92,Data!B:B=$B$1),""MIDDLE"")*6)+(COUNTIF(FILTER(Data!N:N,Data!D:D=A92,Data!B:B=$B"&amp;"$1),""LOW"")*4))"),0.0)</f>
        <v>0</v>
      </c>
      <c r="V92" s="138" t="str">
        <f>IF(Data!B84='Team Parser'!$B$1, Data!D84,"")</f>
        <v/>
      </c>
      <c r="W92" s="134" t="str">
        <f>IF(Data!$B84='Team Parser'!$B$1, Data!H84,"")</f>
        <v/>
      </c>
      <c r="X92" s="134" t="str">
        <f>IF(Data!$B84='Team Parser'!$B$1, Data!G84,"")</f>
        <v/>
      </c>
      <c r="Y92" s="134" t="str">
        <f>IF(Data!$B84='Team Parser'!$B$1, Data!L84,"")</f>
        <v/>
      </c>
      <c r="Z92" s="134" t="str">
        <f>IF(Data!$B84='Team Parser'!$B$1, Data!K84,"")</f>
        <v/>
      </c>
      <c r="AA92" s="134" t="str">
        <f>IF(Data!$B84='Team Parser'!$B$1, Data!M84,"")</f>
        <v/>
      </c>
      <c r="AB92" s="134" t="str">
        <f>IF(Data!$B84='Team Parser'!$B$1,((Z92*2)+(Y92)+(X92*4)+(W92*2)),"")</f>
        <v/>
      </c>
      <c r="AC92" s="134" t="str">
        <f>IF(Data!$B84='Team Parser'!$B$1, Data!N84,"")</f>
        <v/>
      </c>
      <c r="AD92" s="139" t="str">
        <f>IF(Data!$B84='Team Parser'!$B$1,(AB92+(COUNTIF(AC92,"TRAVERSE")*15)+(COUNTIF(AC92,"HIGH")*10)+(COUNTIF(AC92,"MIDDLE")*6)+(COUNTIF(AC92,"LOW")*4)),"")</f>
        <v/>
      </c>
    </row>
    <row r="93">
      <c r="A93" s="133" t="s">
        <v>507</v>
      </c>
      <c r="B93" s="134" t="str">
        <f>IFERROR(__xludf.DUMMYFUNCTION("IFERROR((FILTER(Data!H:H,Data!D:D=A93,Data!B:B=$B$1)),"""")"),"")</f>
        <v/>
      </c>
      <c r="C93" s="134" t="str">
        <f>IFERROR(__xludf.DUMMYFUNCTION("IFERROR((FILTER(Data!G:G,Data!D:D=A93,Data!B:B=$B$1)),"""")"),"")</f>
        <v/>
      </c>
      <c r="D93" s="134" t="str">
        <f>IFERROR(__xludf.DUMMYFUNCTION("IFERROR((FILTER(Data!J:J,Data!D:D=A93,Data!B:B=$B$1)),"""")"),"")</f>
        <v/>
      </c>
      <c r="E93" s="134" t="str">
        <f>IFERROR(__xludf.DUMMYFUNCTION("IFERROR((FILTER(Data!L:L,Data!D:D=A93,Data!B:B=$B$1)),"""")"),"")</f>
        <v/>
      </c>
      <c r="F93" s="134" t="str">
        <f>IFERROR(__xludf.DUMMYFUNCTION("IFERROR((FILTER(Data!K:K,Data!D:D=A93,Data!B:B=$B$1)),"""")"),"")</f>
        <v/>
      </c>
      <c r="G93" s="134" t="str">
        <f>IFERROR(__xludf.DUMMYFUNCTION("IFERROR((FILTER(Data!M:M,Data!D:D=A93,Data!B:B=$B$1)),"""")"),"")</f>
        <v/>
      </c>
      <c r="H93" s="134" t="str">
        <f>IFERROR(__xludf.DUMMYFUNCTION("IFERROR((FILTER(Data!G:G,Data!D:D=A93,Data!B:B=$B$1)*4)+(FILTER(Data!H:H,Data!D:D=A93,Data!B:B=$B$1)*2),"""")"),"")</f>
        <v/>
      </c>
      <c r="I93" s="15" t="str">
        <f>IFERROR(__xludf.DUMMYFUNCTION("IFERROR((FILTER(Data!K:K,Data!D:D=A93,Data!B:B=$B$1)*2)+(FILTER(Data!L:L,Data!D:D=A93,Data!B:B=$B$1)),"""")"),"")</f>
        <v/>
      </c>
      <c r="J93" s="134" t="str">
        <f>IFERROR(__xludf.DUMMYFUNCTION("IFERROR((FILTER(Data!N:N,Data!D:D=A93,Data!B:B=$B$1)),"""")"),"")</f>
        <v/>
      </c>
      <c r="K93" s="135" t="str">
        <f>IFERROR(__xludf.DUMMYFUNCTION("IFERROR((FILTER(Data!H:H,Data!D:D=A93,Data!B:B=$B$1)*2)+(FILTER(Data!L:L,Data!D:D=A93,Data!B:B=$B$1))+(FILTER(Data!G:G,Data!D:D=A93,Data!B:B=$B$1)*4)+(FILTER(Data!K:K,Data!D:D=A93,Data!B:B=$B$1)*2)+(((COUNTIF(FILTER(Data!N:N,Data!D:D=A93,Data!B:B=$B$1),"""&amp;"TRAVERSE"")*15)+(COUNTIF(FILTER(Data!N:N,Data!D:D=A93,Data!B:B=$B$1),""HIGH"")*10)+(COUNTIF(FILTER(Data!N:N,Data!D:D=A93,Data!B:B=$B$1),""MIDDLE"")*6)+(COUNTIF(FILTER(Data!N:N,Data!D:D=A93,Data!B:B=$B$1),""LOW"")*4))),"""")"),"")</f>
        <v/>
      </c>
      <c r="L93" s="136" t="str">
        <f>IFERROR(__xludf.DUMMYFUNCTION("IFERROR((FILTER(Data!P:P,Data!D:D=A93,Data!B:B=$B$1)),"""")"),"")</f>
        <v/>
      </c>
      <c r="M93" s="137" t="str">
        <f>IFERROR(__xludf.DUMMYFUNCTION("IFERROR((FILTER(Data!A:A,Data!D:D=A93,Data!B:B=$B$1)),"""")"),"")</f>
        <v/>
      </c>
      <c r="T93" s="52">
        <f>IFERROR(__xludf.DUMMYFUNCTION("((COUNTIF(FILTER(Data!N:N,Data!D:D=A93,Data!B:B=$B$1),""TRAVERSE"")*15)+(COUNTIF(FILTER(Data!N:N,Data!D:D=A93,Data!B:B=B$1),""HIGH"")*10)+(COUNTIF(FILTER(Data!N:N,Data!D:D=A93,Data!B:B=$B$1),""MIDDLE"")*6)+(COUNTIF(FILTER(Data!N:N,Data!D:D=A93,Data!B:B=$B"&amp;"$1),""LOW"")*4))"),0.0)</f>
        <v>0</v>
      </c>
      <c r="V93" s="138" t="str">
        <f>IF(Data!B85='Team Parser'!$B$1, Data!D85,"")</f>
        <v/>
      </c>
      <c r="W93" s="134" t="str">
        <f>IF(Data!$B85='Team Parser'!$B$1, Data!H85,"")</f>
        <v/>
      </c>
      <c r="X93" s="134" t="str">
        <f>IF(Data!$B85='Team Parser'!$B$1, Data!G85,"")</f>
        <v/>
      </c>
      <c r="Y93" s="134" t="str">
        <f>IF(Data!$B85='Team Parser'!$B$1, Data!L85,"")</f>
        <v/>
      </c>
      <c r="Z93" s="134" t="str">
        <f>IF(Data!$B85='Team Parser'!$B$1, Data!K85,"")</f>
        <v/>
      </c>
      <c r="AA93" s="134" t="str">
        <f>IF(Data!$B85='Team Parser'!$B$1, Data!M85,"")</f>
        <v/>
      </c>
      <c r="AB93" s="134" t="str">
        <f>IF(Data!$B85='Team Parser'!$B$1,((Z93*2)+(Y93)+(X93*4)+(W93*2)),"")</f>
        <v/>
      </c>
      <c r="AC93" s="134" t="str">
        <f>IF(Data!$B85='Team Parser'!$B$1, Data!N85,"")</f>
        <v/>
      </c>
      <c r="AD93" s="139" t="str">
        <f>IF(Data!$B85='Team Parser'!$B$1,(AB93+(COUNTIF(AC93,"TRAVERSE")*15)+(COUNTIF(AC93,"HIGH")*10)+(COUNTIF(AC93,"MIDDLE")*6)+(COUNTIF(AC93,"LOW")*4)),"")</f>
        <v/>
      </c>
    </row>
    <row r="94">
      <c r="A94" s="133" t="s">
        <v>507</v>
      </c>
      <c r="B94" s="134" t="str">
        <f>IFERROR(__xludf.DUMMYFUNCTION("IFERROR((FILTER(Data!H:H,Data!D:D=A94,Data!B:B=$B$1)),"""")"),"")</f>
        <v/>
      </c>
      <c r="C94" s="134" t="str">
        <f>IFERROR(__xludf.DUMMYFUNCTION("IFERROR((FILTER(Data!G:G,Data!D:D=A94,Data!B:B=$B$1)),"""")"),"")</f>
        <v/>
      </c>
      <c r="D94" s="134" t="str">
        <f>IFERROR(__xludf.DUMMYFUNCTION("IFERROR((FILTER(Data!J:J,Data!D:D=A94,Data!B:B=$B$1)),"""")"),"")</f>
        <v/>
      </c>
      <c r="E94" s="134" t="str">
        <f>IFERROR(__xludf.DUMMYFUNCTION("IFERROR((FILTER(Data!L:L,Data!D:D=A94,Data!B:B=$B$1)),"""")"),"")</f>
        <v/>
      </c>
      <c r="F94" s="134" t="str">
        <f>IFERROR(__xludf.DUMMYFUNCTION("IFERROR((FILTER(Data!K:K,Data!D:D=A94,Data!B:B=$B$1)),"""")"),"")</f>
        <v/>
      </c>
      <c r="G94" s="134" t="str">
        <f>IFERROR(__xludf.DUMMYFUNCTION("IFERROR((FILTER(Data!M:M,Data!D:D=A94,Data!B:B=$B$1)),"""")"),"")</f>
        <v/>
      </c>
      <c r="H94" s="134" t="str">
        <f>IFERROR(__xludf.DUMMYFUNCTION("IFERROR((FILTER(Data!G:G,Data!D:D=A94,Data!B:B=$B$1)*4)+(FILTER(Data!H:H,Data!D:D=A94,Data!B:B=$B$1)*2),"""")"),"")</f>
        <v/>
      </c>
      <c r="I94" s="15" t="str">
        <f>IFERROR(__xludf.DUMMYFUNCTION("IFERROR((FILTER(Data!K:K,Data!D:D=A94,Data!B:B=$B$1)*2)+(FILTER(Data!L:L,Data!D:D=A94,Data!B:B=$B$1)),"""")"),"")</f>
        <v/>
      </c>
      <c r="J94" s="134" t="str">
        <f>IFERROR(__xludf.DUMMYFUNCTION("IFERROR((FILTER(Data!N:N,Data!D:D=A94,Data!B:B=$B$1)),"""")"),"")</f>
        <v/>
      </c>
      <c r="K94" s="135" t="str">
        <f>IFERROR(__xludf.DUMMYFUNCTION("IFERROR((FILTER(Data!H:H,Data!D:D=A94,Data!B:B=$B$1)*2)+(FILTER(Data!L:L,Data!D:D=A94,Data!B:B=$B$1))+(FILTER(Data!G:G,Data!D:D=A94,Data!B:B=$B$1)*4)+(FILTER(Data!K:K,Data!D:D=A94,Data!B:B=$B$1)*2)+(((COUNTIF(FILTER(Data!N:N,Data!D:D=A94,Data!B:B=$B$1),"""&amp;"TRAVERSE"")*15)+(COUNTIF(FILTER(Data!N:N,Data!D:D=A94,Data!B:B=$B$1),""HIGH"")*10)+(COUNTIF(FILTER(Data!N:N,Data!D:D=A94,Data!B:B=$B$1),""MIDDLE"")*6)+(COUNTIF(FILTER(Data!N:N,Data!D:D=A94,Data!B:B=$B$1),""LOW"")*4))),"""")"),"")</f>
        <v/>
      </c>
      <c r="L94" s="136" t="str">
        <f>IFERROR(__xludf.DUMMYFUNCTION("IFERROR((FILTER(Data!P:P,Data!D:D=A94,Data!B:B=$B$1)),"""")"),"")</f>
        <v/>
      </c>
      <c r="M94" s="137" t="str">
        <f>IFERROR(__xludf.DUMMYFUNCTION("IFERROR((FILTER(Data!A:A,Data!D:D=A94,Data!B:B=$B$1)),"""")"),"")</f>
        <v/>
      </c>
      <c r="T94" s="52">
        <f>IFERROR(__xludf.DUMMYFUNCTION("((COUNTIF(FILTER(Data!N:N,Data!D:D=A94,Data!B:B=$B$1),""TRAVERSE"")*15)+(COUNTIF(FILTER(Data!N:N,Data!D:D=A94,Data!B:B=B$1),""HIGH"")*10)+(COUNTIF(FILTER(Data!N:N,Data!D:D=A94,Data!B:B=$B$1),""MIDDLE"")*6)+(COUNTIF(FILTER(Data!N:N,Data!D:D=A94,Data!B:B=$B"&amp;"$1),""LOW"")*4))"),0.0)</f>
        <v>0</v>
      </c>
      <c r="V94" s="138" t="str">
        <f>IF(Data!B86='Team Parser'!$B$1, Data!D86,"")</f>
        <v/>
      </c>
      <c r="W94" s="134" t="str">
        <f>IF(Data!$B86='Team Parser'!$B$1, Data!H86,"")</f>
        <v/>
      </c>
      <c r="X94" s="134" t="str">
        <f>IF(Data!$B86='Team Parser'!$B$1, Data!G86,"")</f>
        <v/>
      </c>
      <c r="Y94" s="134" t="str">
        <f>IF(Data!$B86='Team Parser'!$B$1, Data!L86,"")</f>
        <v/>
      </c>
      <c r="Z94" s="134" t="str">
        <f>IF(Data!$B86='Team Parser'!$B$1, Data!K86,"")</f>
        <v/>
      </c>
      <c r="AA94" s="134" t="str">
        <f>IF(Data!$B86='Team Parser'!$B$1, Data!M86,"")</f>
        <v/>
      </c>
      <c r="AB94" s="134" t="str">
        <f>IF(Data!$B86='Team Parser'!$B$1,((Z94*2)+(Y94)+(X94*4)+(W94*2)),"")</f>
        <v/>
      </c>
      <c r="AC94" s="134" t="str">
        <f>IF(Data!$B86='Team Parser'!$B$1, Data!N86,"")</f>
        <v/>
      </c>
      <c r="AD94" s="139" t="str">
        <f>IF(Data!$B86='Team Parser'!$B$1,(AB94+(COUNTIF(AC94,"TRAVERSE")*15)+(COUNTIF(AC94,"HIGH")*10)+(COUNTIF(AC94,"MIDDLE")*6)+(COUNTIF(AC94,"LOW")*4)),"")</f>
        <v/>
      </c>
    </row>
    <row r="95">
      <c r="A95" s="133" t="s">
        <v>507</v>
      </c>
      <c r="B95" s="134" t="str">
        <f>IFERROR(__xludf.DUMMYFUNCTION("IFERROR((FILTER(Data!H:H,Data!D:D=A95,Data!B:B=$B$1)),"""")"),"")</f>
        <v/>
      </c>
      <c r="C95" s="134" t="str">
        <f>IFERROR(__xludf.DUMMYFUNCTION("IFERROR((FILTER(Data!G:G,Data!D:D=A95,Data!B:B=$B$1)),"""")"),"")</f>
        <v/>
      </c>
      <c r="D95" s="134" t="str">
        <f>IFERROR(__xludf.DUMMYFUNCTION("IFERROR((FILTER(Data!J:J,Data!D:D=A95,Data!B:B=$B$1)),"""")"),"")</f>
        <v/>
      </c>
      <c r="E95" s="134" t="str">
        <f>IFERROR(__xludf.DUMMYFUNCTION("IFERROR((FILTER(Data!L:L,Data!D:D=A95,Data!B:B=$B$1)),"""")"),"")</f>
        <v/>
      </c>
      <c r="F95" s="134" t="str">
        <f>IFERROR(__xludf.DUMMYFUNCTION("IFERROR((FILTER(Data!K:K,Data!D:D=A95,Data!B:B=$B$1)),"""")"),"")</f>
        <v/>
      </c>
      <c r="G95" s="134" t="str">
        <f>IFERROR(__xludf.DUMMYFUNCTION("IFERROR((FILTER(Data!M:M,Data!D:D=A95,Data!B:B=$B$1)),"""")"),"")</f>
        <v/>
      </c>
      <c r="H95" s="134" t="str">
        <f>IFERROR(__xludf.DUMMYFUNCTION("IFERROR((FILTER(Data!G:G,Data!D:D=A95,Data!B:B=$B$1)*4)+(FILTER(Data!H:H,Data!D:D=A95,Data!B:B=$B$1)*2),"""")"),"")</f>
        <v/>
      </c>
      <c r="I95" s="15" t="str">
        <f>IFERROR(__xludf.DUMMYFUNCTION("IFERROR((FILTER(Data!K:K,Data!D:D=A95,Data!B:B=$B$1)*2)+(FILTER(Data!L:L,Data!D:D=A95,Data!B:B=$B$1)),"""")"),"")</f>
        <v/>
      </c>
      <c r="J95" s="134" t="str">
        <f>IFERROR(__xludf.DUMMYFUNCTION("IFERROR((FILTER(Data!N:N,Data!D:D=A95,Data!B:B=$B$1)),"""")"),"")</f>
        <v/>
      </c>
      <c r="K95" s="135" t="str">
        <f>IFERROR(__xludf.DUMMYFUNCTION("IFERROR((FILTER(Data!H:H,Data!D:D=A95,Data!B:B=$B$1)*2)+(FILTER(Data!L:L,Data!D:D=A95,Data!B:B=$B$1))+(FILTER(Data!G:G,Data!D:D=A95,Data!B:B=$B$1)*4)+(FILTER(Data!K:K,Data!D:D=A95,Data!B:B=$B$1)*2)+(((COUNTIF(FILTER(Data!N:N,Data!D:D=A95,Data!B:B=$B$1),"""&amp;"TRAVERSE"")*15)+(COUNTIF(FILTER(Data!N:N,Data!D:D=A95,Data!B:B=$B$1),""HIGH"")*10)+(COUNTIF(FILTER(Data!N:N,Data!D:D=A95,Data!B:B=$B$1),""MIDDLE"")*6)+(COUNTIF(FILTER(Data!N:N,Data!D:D=A95,Data!B:B=$B$1),""LOW"")*4))),"""")"),"")</f>
        <v/>
      </c>
      <c r="L95" s="136" t="str">
        <f>IFERROR(__xludf.DUMMYFUNCTION("IFERROR((FILTER(Data!P:P,Data!D:D=A95,Data!B:B=$B$1)),"""")"),"")</f>
        <v/>
      </c>
      <c r="M95" s="137" t="str">
        <f>IFERROR(__xludf.DUMMYFUNCTION("IFERROR((FILTER(Data!A:A,Data!D:D=A95,Data!B:B=$B$1)),"""")"),"")</f>
        <v/>
      </c>
      <c r="T95" s="52">
        <f>IFERROR(__xludf.DUMMYFUNCTION("((COUNTIF(FILTER(Data!N:N,Data!D:D=A95,Data!B:B=$B$1),""TRAVERSE"")*15)+(COUNTIF(FILTER(Data!N:N,Data!D:D=A95,Data!B:B=B$1),""HIGH"")*10)+(COUNTIF(FILTER(Data!N:N,Data!D:D=A95,Data!B:B=$B$1),""MIDDLE"")*6)+(COUNTIF(FILTER(Data!N:N,Data!D:D=A95,Data!B:B=$B"&amp;"$1),""LOW"")*4))"),0.0)</f>
        <v>0</v>
      </c>
      <c r="V95" s="138" t="str">
        <f>IF(Data!B87='Team Parser'!$B$1, Data!D87,"")</f>
        <v/>
      </c>
      <c r="W95" s="134" t="str">
        <f>IF(Data!$B87='Team Parser'!$B$1, Data!H87,"")</f>
        <v/>
      </c>
      <c r="X95" s="134" t="str">
        <f>IF(Data!$B87='Team Parser'!$B$1, Data!G87,"")</f>
        <v/>
      </c>
      <c r="Y95" s="134" t="str">
        <f>IF(Data!$B87='Team Parser'!$B$1, Data!L87,"")</f>
        <v/>
      </c>
      <c r="Z95" s="134" t="str">
        <f>IF(Data!$B87='Team Parser'!$B$1, Data!K87,"")</f>
        <v/>
      </c>
      <c r="AA95" s="134" t="str">
        <f>IF(Data!$B87='Team Parser'!$B$1, Data!M87,"")</f>
        <v/>
      </c>
      <c r="AB95" s="134" t="str">
        <f>IF(Data!$B87='Team Parser'!$B$1,((Z95*2)+(Y95)+(X95*4)+(W95*2)),"")</f>
        <v/>
      </c>
      <c r="AC95" s="134" t="str">
        <f>IF(Data!$B87='Team Parser'!$B$1, Data!N87,"")</f>
        <v/>
      </c>
      <c r="AD95" s="139" t="str">
        <f>IF(Data!$B87='Team Parser'!$B$1,(AB95+(COUNTIF(AC95,"TRAVERSE")*15)+(COUNTIF(AC95,"HIGH")*10)+(COUNTIF(AC95,"MIDDLE")*6)+(COUNTIF(AC95,"LOW")*4)),"")</f>
        <v/>
      </c>
    </row>
    <row r="96">
      <c r="A96" s="133" t="s">
        <v>507</v>
      </c>
      <c r="B96" s="134" t="str">
        <f>IFERROR(__xludf.DUMMYFUNCTION("IFERROR((FILTER(Data!H:H,Data!D:D=A96,Data!B:B=$B$1)),"""")"),"")</f>
        <v/>
      </c>
      <c r="C96" s="134" t="str">
        <f>IFERROR(__xludf.DUMMYFUNCTION("IFERROR((FILTER(Data!G:G,Data!D:D=A96,Data!B:B=$B$1)),"""")"),"")</f>
        <v/>
      </c>
      <c r="D96" s="134" t="str">
        <f>IFERROR(__xludf.DUMMYFUNCTION("IFERROR((FILTER(Data!J:J,Data!D:D=A96,Data!B:B=$B$1)),"""")"),"")</f>
        <v/>
      </c>
      <c r="E96" s="134" t="str">
        <f>IFERROR(__xludf.DUMMYFUNCTION("IFERROR((FILTER(Data!L:L,Data!D:D=A96,Data!B:B=$B$1)),"""")"),"")</f>
        <v/>
      </c>
      <c r="F96" s="134" t="str">
        <f>IFERROR(__xludf.DUMMYFUNCTION("IFERROR((FILTER(Data!K:K,Data!D:D=A96,Data!B:B=$B$1)),"""")"),"")</f>
        <v/>
      </c>
      <c r="G96" s="134" t="str">
        <f>IFERROR(__xludf.DUMMYFUNCTION("IFERROR((FILTER(Data!M:M,Data!D:D=A96,Data!B:B=$B$1)),"""")"),"")</f>
        <v/>
      </c>
      <c r="H96" s="134" t="str">
        <f>IFERROR(__xludf.DUMMYFUNCTION("IFERROR((FILTER(Data!G:G,Data!D:D=A96,Data!B:B=$B$1)*4)+(FILTER(Data!H:H,Data!D:D=A96,Data!B:B=$B$1)*2),"""")"),"")</f>
        <v/>
      </c>
      <c r="I96" s="15" t="str">
        <f>IFERROR(__xludf.DUMMYFUNCTION("IFERROR((FILTER(Data!K:K,Data!D:D=A96,Data!B:B=$B$1)*2)+(FILTER(Data!L:L,Data!D:D=A96,Data!B:B=$B$1)),"""")"),"")</f>
        <v/>
      </c>
      <c r="J96" s="134" t="str">
        <f>IFERROR(__xludf.DUMMYFUNCTION("IFERROR((FILTER(Data!N:N,Data!D:D=A96,Data!B:B=$B$1)),"""")"),"")</f>
        <v/>
      </c>
      <c r="K96" s="135" t="str">
        <f>IFERROR(__xludf.DUMMYFUNCTION("IFERROR((FILTER(Data!H:H,Data!D:D=A96,Data!B:B=$B$1)*2)+(FILTER(Data!L:L,Data!D:D=A96,Data!B:B=$B$1))+(FILTER(Data!G:G,Data!D:D=A96,Data!B:B=$B$1)*4)+(FILTER(Data!K:K,Data!D:D=A96,Data!B:B=$B$1)*2)+(((COUNTIF(FILTER(Data!N:N,Data!D:D=A96,Data!B:B=$B$1),"""&amp;"TRAVERSE"")*15)+(COUNTIF(FILTER(Data!N:N,Data!D:D=A96,Data!B:B=$B$1),""HIGH"")*10)+(COUNTIF(FILTER(Data!N:N,Data!D:D=A96,Data!B:B=$B$1),""MIDDLE"")*6)+(COUNTIF(FILTER(Data!N:N,Data!D:D=A96,Data!B:B=$B$1),""LOW"")*4))),"""")"),"")</f>
        <v/>
      </c>
      <c r="L96" s="136" t="str">
        <f>IFERROR(__xludf.DUMMYFUNCTION("IFERROR((FILTER(Data!P:P,Data!D:D=A96,Data!B:B=$B$1)),"""")"),"")</f>
        <v/>
      </c>
      <c r="M96" s="137" t="str">
        <f>IFERROR(__xludf.DUMMYFUNCTION("IFERROR((FILTER(Data!A:A,Data!D:D=A96,Data!B:B=$B$1)),"""")"),"")</f>
        <v/>
      </c>
      <c r="T96" s="52">
        <f>IFERROR(__xludf.DUMMYFUNCTION("((COUNTIF(FILTER(Data!N:N,Data!D:D=A96,Data!B:B=$B$1),""TRAVERSE"")*15)+(COUNTIF(FILTER(Data!N:N,Data!D:D=A96,Data!B:B=B$1),""HIGH"")*10)+(COUNTIF(FILTER(Data!N:N,Data!D:D=A96,Data!B:B=$B$1),""MIDDLE"")*6)+(COUNTIF(FILTER(Data!N:N,Data!D:D=A96,Data!B:B=$B"&amp;"$1),""LOW"")*4))"),0.0)</f>
        <v>0</v>
      </c>
      <c r="V96" s="138" t="str">
        <f>IF(Data!B88='Team Parser'!$B$1, Data!D88,"")</f>
        <v/>
      </c>
      <c r="W96" s="134" t="str">
        <f>IF(Data!$B88='Team Parser'!$B$1, Data!H88,"")</f>
        <v/>
      </c>
      <c r="X96" s="134" t="str">
        <f>IF(Data!$B88='Team Parser'!$B$1, Data!G88,"")</f>
        <v/>
      </c>
      <c r="Y96" s="134" t="str">
        <f>IF(Data!$B88='Team Parser'!$B$1, Data!L88,"")</f>
        <v/>
      </c>
      <c r="Z96" s="134" t="str">
        <f>IF(Data!$B88='Team Parser'!$B$1, Data!K88,"")</f>
        <v/>
      </c>
      <c r="AA96" s="134" t="str">
        <f>IF(Data!$B88='Team Parser'!$B$1, Data!M88,"")</f>
        <v/>
      </c>
      <c r="AB96" s="134" t="str">
        <f>IF(Data!$B88='Team Parser'!$B$1,((Z96*2)+(Y96)+(X96*4)+(W96*2)),"")</f>
        <v/>
      </c>
      <c r="AC96" s="134" t="str">
        <f>IF(Data!$B88='Team Parser'!$B$1, Data!N88,"")</f>
        <v/>
      </c>
      <c r="AD96" s="139" t="str">
        <f>IF(Data!$B88='Team Parser'!$B$1,(AB96+(COUNTIF(AC96,"TRAVERSE")*15)+(COUNTIF(AC96,"HIGH")*10)+(COUNTIF(AC96,"MIDDLE")*6)+(COUNTIF(AC96,"LOW")*4)),"")</f>
        <v/>
      </c>
    </row>
    <row r="97">
      <c r="A97" s="133" t="s">
        <v>507</v>
      </c>
      <c r="B97" s="134" t="str">
        <f>IFERROR(__xludf.DUMMYFUNCTION("IFERROR((FILTER(Data!H:H,Data!D:D=A97,Data!B:B=$B$1)),"""")"),"")</f>
        <v/>
      </c>
      <c r="C97" s="134" t="str">
        <f>IFERROR(__xludf.DUMMYFUNCTION("IFERROR((FILTER(Data!G:G,Data!D:D=A97,Data!B:B=$B$1)),"""")"),"")</f>
        <v/>
      </c>
      <c r="D97" s="134" t="str">
        <f>IFERROR(__xludf.DUMMYFUNCTION("IFERROR((FILTER(Data!J:J,Data!D:D=A97,Data!B:B=$B$1)),"""")"),"")</f>
        <v/>
      </c>
      <c r="E97" s="134" t="str">
        <f>IFERROR(__xludf.DUMMYFUNCTION("IFERROR((FILTER(Data!L:L,Data!D:D=A97,Data!B:B=$B$1)),"""")"),"")</f>
        <v/>
      </c>
      <c r="F97" s="134" t="str">
        <f>IFERROR(__xludf.DUMMYFUNCTION("IFERROR((FILTER(Data!K:K,Data!D:D=A97,Data!B:B=$B$1)),"""")"),"")</f>
        <v/>
      </c>
      <c r="G97" s="134" t="str">
        <f>IFERROR(__xludf.DUMMYFUNCTION("IFERROR((FILTER(Data!M:M,Data!D:D=A97,Data!B:B=$B$1)),"""")"),"")</f>
        <v/>
      </c>
      <c r="H97" s="134" t="str">
        <f>IFERROR(__xludf.DUMMYFUNCTION("IFERROR((FILTER(Data!G:G,Data!D:D=A97,Data!B:B=$B$1)*4)+(FILTER(Data!H:H,Data!D:D=A97,Data!B:B=$B$1)*2),"""")"),"")</f>
        <v/>
      </c>
      <c r="I97" s="15" t="str">
        <f>IFERROR(__xludf.DUMMYFUNCTION("IFERROR((FILTER(Data!K:K,Data!D:D=A97,Data!B:B=$B$1)*2)+(FILTER(Data!L:L,Data!D:D=A97,Data!B:B=$B$1)),"""")"),"")</f>
        <v/>
      </c>
      <c r="J97" s="134" t="str">
        <f>IFERROR(__xludf.DUMMYFUNCTION("IFERROR((FILTER(Data!N:N,Data!D:D=A97,Data!B:B=$B$1)),"""")"),"")</f>
        <v/>
      </c>
      <c r="K97" s="135" t="str">
        <f>IFERROR(__xludf.DUMMYFUNCTION("IFERROR((FILTER(Data!H:H,Data!D:D=A97,Data!B:B=$B$1)*2)+(FILTER(Data!L:L,Data!D:D=A97,Data!B:B=$B$1))+(FILTER(Data!G:G,Data!D:D=A97,Data!B:B=$B$1)*4)+(FILTER(Data!K:K,Data!D:D=A97,Data!B:B=$B$1)*2)+(((COUNTIF(FILTER(Data!N:N,Data!D:D=A97,Data!B:B=$B$1),"""&amp;"TRAVERSE"")*15)+(COUNTIF(FILTER(Data!N:N,Data!D:D=A97,Data!B:B=$B$1),""HIGH"")*10)+(COUNTIF(FILTER(Data!N:N,Data!D:D=A97,Data!B:B=$B$1),""MIDDLE"")*6)+(COUNTIF(FILTER(Data!N:N,Data!D:D=A97,Data!B:B=$B$1),""LOW"")*4))),"""")"),"")</f>
        <v/>
      </c>
      <c r="L97" s="136" t="str">
        <f>IFERROR(__xludf.DUMMYFUNCTION("IFERROR((FILTER(Data!P:P,Data!D:D=A97,Data!B:B=$B$1)),"""")"),"")</f>
        <v/>
      </c>
      <c r="M97" s="137" t="str">
        <f>IFERROR(__xludf.DUMMYFUNCTION("IFERROR((FILTER(Data!A:A,Data!D:D=A97,Data!B:B=$B$1)),"""")"),"")</f>
        <v/>
      </c>
      <c r="T97" s="52">
        <f>IFERROR(__xludf.DUMMYFUNCTION("((COUNTIF(FILTER(Data!N:N,Data!D:D=A97,Data!B:B=$B$1),""TRAVERSE"")*15)+(COUNTIF(FILTER(Data!N:N,Data!D:D=A97,Data!B:B=B$1),""HIGH"")*10)+(COUNTIF(FILTER(Data!N:N,Data!D:D=A97,Data!B:B=$B$1),""MIDDLE"")*6)+(COUNTIF(FILTER(Data!N:N,Data!D:D=A97,Data!B:B=$B"&amp;"$1),""LOW"")*4))"),0.0)</f>
        <v>0</v>
      </c>
      <c r="V97" s="138" t="str">
        <f>IF(Data!B89='Team Parser'!$B$1, Data!D89,"")</f>
        <v/>
      </c>
      <c r="W97" s="134" t="str">
        <f>IF(Data!$B89='Team Parser'!$B$1, Data!H89,"")</f>
        <v/>
      </c>
      <c r="X97" s="134" t="str">
        <f>IF(Data!$B89='Team Parser'!$B$1, Data!G89,"")</f>
        <v/>
      </c>
      <c r="Y97" s="134" t="str">
        <f>IF(Data!$B89='Team Parser'!$B$1, Data!L89,"")</f>
        <v/>
      </c>
      <c r="Z97" s="134" t="str">
        <f>IF(Data!$B89='Team Parser'!$B$1, Data!K89,"")</f>
        <v/>
      </c>
      <c r="AA97" s="134" t="str">
        <f>IF(Data!$B89='Team Parser'!$B$1, Data!M89,"")</f>
        <v/>
      </c>
      <c r="AB97" s="134" t="str">
        <f>IF(Data!$B89='Team Parser'!$B$1,((Z97*2)+(Y97)+(X97*4)+(W97*2)),"")</f>
        <v/>
      </c>
      <c r="AC97" s="134" t="str">
        <f>IF(Data!$B89='Team Parser'!$B$1, Data!N89,"")</f>
        <v/>
      </c>
      <c r="AD97" s="139" t="str">
        <f>IF(Data!$B89='Team Parser'!$B$1,(AB97+(COUNTIF(AC97,"TRAVERSE")*15)+(COUNTIF(AC97,"HIGH")*10)+(COUNTIF(AC97,"MIDDLE")*6)+(COUNTIF(AC97,"LOW")*4)),"")</f>
        <v/>
      </c>
    </row>
    <row r="98">
      <c r="A98" s="133" t="s">
        <v>507</v>
      </c>
      <c r="B98" s="134" t="str">
        <f>IFERROR(__xludf.DUMMYFUNCTION("IFERROR((FILTER(Data!H:H,Data!D:D=A98,Data!B:B=$B$1)),"""")"),"")</f>
        <v/>
      </c>
      <c r="C98" s="134" t="str">
        <f>IFERROR(__xludf.DUMMYFUNCTION("IFERROR((FILTER(Data!G:G,Data!D:D=A98,Data!B:B=$B$1)),"""")"),"")</f>
        <v/>
      </c>
      <c r="D98" s="134" t="str">
        <f>IFERROR(__xludf.DUMMYFUNCTION("IFERROR((FILTER(Data!J:J,Data!D:D=A98,Data!B:B=$B$1)),"""")"),"")</f>
        <v/>
      </c>
      <c r="E98" s="134" t="str">
        <f>IFERROR(__xludf.DUMMYFUNCTION("IFERROR((FILTER(Data!L:L,Data!D:D=A98,Data!B:B=$B$1)),"""")"),"")</f>
        <v/>
      </c>
      <c r="F98" s="134" t="str">
        <f>IFERROR(__xludf.DUMMYFUNCTION("IFERROR((FILTER(Data!K:K,Data!D:D=A98,Data!B:B=$B$1)),"""")"),"")</f>
        <v/>
      </c>
      <c r="G98" s="134" t="str">
        <f>IFERROR(__xludf.DUMMYFUNCTION("IFERROR((FILTER(Data!M:M,Data!D:D=A98,Data!B:B=$B$1)),"""")"),"")</f>
        <v/>
      </c>
      <c r="H98" s="134" t="str">
        <f>IFERROR(__xludf.DUMMYFUNCTION("IFERROR((FILTER(Data!G:G,Data!D:D=A98,Data!B:B=$B$1)*4)+(FILTER(Data!H:H,Data!D:D=A98,Data!B:B=$B$1)*2),"""")"),"")</f>
        <v/>
      </c>
      <c r="I98" s="15" t="str">
        <f>IFERROR(__xludf.DUMMYFUNCTION("IFERROR((FILTER(Data!K:K,Data!D:D=A98,Data!B:B=$B$1)*2)+(FILTER(Data!L:L,Data!D:D=A98,Data!B:B=$B$1)),"""")"),"")</f>
        <v/>
      </c>
      <c r="J98" s="134" t="str">
        <f>IFERROR(__xludf.DUMMYFUNCTION("IFERROR((FILTER(Data!N:N,Data!D:D=A98,Data!B:B=$B$1)),"""")"),"")</f>
        <v/>
      </c>
      <c r="K98" s="135" t="str">
        <f>IFERROR(__xludf.DUMMYFUNCTION("IFERROR((FILTER(Data!H:H,Data!D:D=A98,Data!B:B=$B$1)*2)+(FILTER(Data!L:L,Data!D:D=A98,Data!B:B=$B$1))+(FILTER(Data!G:G,Data!D:D=A98,Data!B:B=$B$1)*4)+(FILTER(Data!K:K,Data!D:D=A98,Data!B:B=$B$1)*2)+(((COUNTIF(FILTER(Data!N:N,Data!D:D=A98,Data!B:B=$B$1),"""&amp;"TRAVERSE"")*15)+(COUNTIF(FILTER(Data!N:N,Data!D:D=A98,Data!B:B=$B$1),""HIGH"")*10)+(COUNTIF(FILTER(Data!N:N,Data!D:D=A98,Data!B:B=$B$1),""MIDDLE"")*6)+(COUNTIF(FILTER(Data!N:N,Data!D:D=A98,Data!B:B=$B$1),""LOW"")*4))),"""")"),"")</f>
        <v/>
      </c>
      <c r="L98" s="136" t="str">
        <f>IFERROR(__xludf.DUMMYFUNCTION("IFERROR((FILTER(Data!P:P,Data!D:D=A98,Data!B:B=$B$1)),"""")"),"")</f>
        <v/>
      </c>
      <c r="M98" s="137" t="str">
        <f>IFERROR(__xludf.DUMMYFUNCTION("IFERROR((FILTER(Data!A:A,Data!D:D=A98,Data!B:B=$B$1)),"""")"),"")</f>
        <v/>
      </c>
      <c r="T98" s="52">
        <f>IFERROR(__xludf.DUMMYFUNCTION("((COUNTIF(FILTER(Data!N:N,Data!D:D=A98,Data!B:B=$B$1),""TRAVERSE"")*15)+(COUNTIF(FILTER(Data!N:N,Data!D:D=A98,Data!B:B=B$1),""HIGH"")*10)+(COUNTIF(FILTER(Data!N:N,Data!D:D=A98,Data!B:B=$B$1),""MIDDLE"")*6)+(COUNTIF(FILTER(Data!N:N,Data!D:D=A98,Data!B:B=$B"&amp;"$1),""LOW"")*4))"),0.0)</f>
        <v>0</v>
      </c>
      <c r="V98" s="138" t="str">
        <f>IF(Data!B90='Team Parser'!$B$1, Data!D90,"")</f>
        <v/>
      </c>
      <c r="W98" s="134" t="str">
        <f>IF(Data!$B90='Team Parser'!$B$1, Data!H90,"")</f>
        <v/>
      </c>
      <c r="X98" s="134" t="str">
        <f>IF(Data!$B90='Team Parser'!$B$1, Data!G90,"")</f>
        <v/>
      </c>
      <c r="Y98" s="134" t="str">
        <f>IF(Data!$B90='Team Parser'!$B$1, Data!L90,"")</f>
        <v/>
      </c>
      <c r="Z98" s="134" t="str">
        <f>IF(Data!$B90='Team Parser'!$B$1, Data!K90,"")</f>
        <v/>
      </c>
      <c r="AA98" s="134" t="str">
        <f>IF(Data!$B90='Team Parser'!$B$1, Data!M90,"")</f>
        <v/>
      </c>
      <c r="AB98" s="134" t="str">
        <f>IF(Data!$B90='Team Parser'!$B$1,((Z98*2)+(Y98)+(X98*4)+(W98*2)),"")</f>
        <v/>
      </c>
      <c r="AC98" s="134" t="str">
        <f>IF(Data!$B90='Team Parser'!$B$1, Data!N90,"")</f>
        <v/>
      </c>
      <c r="AD98" s="139" t="str">
        <f>IF(Data!$B90='Team Parser'!$B$1,(AB98+(COUNTIF(AC98,"TRAVERSE")*15)+(COUNTIF(AC98,"HIGH")*10)+(COUNTIF(AC98,"MIDDLE")*6)+(COUNTIF(AC98,"LOW")*4)),"")</f>
        <v/>
      </c>
    </row>
    <row r="99">
      <c r="A99" s="133" t="s">
        <v>507</v>
      </c>
      <c r="B99" s="134" t="str">
        <f>IFERROR(__xludf.DUMMYFUNCTION("IFERROR((FILTER(Data!H:H,Data!D:D=A99,Data!B:B=$B$1)),"""")"),"")</f>
        <v/>
      </c>
      <c r="C99" s="134" t="str">
        <f>IFERROR(__xludf.DUMMYFUNCTION("IFERROR((FILTER(Data!G:G,Data!D:D=A99,Data!B:B=$B$1)),"""")"),"")</f>
        <v/>
      </c>
      <c r="D99" s="134" t="str">
        <f>IFERROR(__xludf.DUMMYFUNCTION("IFERROR((FILTER(Data!J:J,Data!D:D=A99,Data!B:B=$B$1)),"""")"),"")</f>
        <v/>
      </c>
      <c r="E99" s="134" t="str">
        <f>IFERROR(__xludf.DUMMYFUNCTION("IFERROR((FILTER(Data!L:L,Data!D:D=A99,Data!B:B=$B$1)),"""")"),"")</f>
        <v/>
      </c>
      <c r="F99" s="134" t="str">
        <f>IFERROR(__xludf.DUMMYFUNCTION("IFERROR((FILTER(Data!K:K,Data!D:D=A99,Data!B:B=$B$1)),"""")"),"")</f>
        <v/>
      </c>
      <c r="G99" s="134" t="str">
        <f>IFERROR(__xludf.DUMMYFUNCTION("IFERROR((FILTER(Data!M:M,Data!D:D=A99,Data!B:B=$B$1)),"""")"),"")</f>
        <v/>
      </c>
      <c r="H99" s="134" t="str">
        <f>IFERROR(__xludf.DUMMYFUNCTION("IFERROR((FILTER(Data!G:G,Data!D:D=A99,Data!B:B=$B$1)*4)+(FILTER(Data!H:H,Data!D:D=A99,Data!B:B=$B$1)*2),"""")"),"")</f>
        <v/>
      </c>
      <c r="I99" s="15" t="str">
        <f>IFERROR(__xludf.DUMMYFUNCTION("IFERROR((FILTER(Data!K:K,Data!D:D=A99,Data!B:B=$B$1)*2)+(FILTER(Data!L:L,Data!D:D=A99,Data!B:B=$B$1)),"""")"),"")</f>
        <v/>
      </c>
      <c r="J99" s="134" t="str">
        <f>IFERROR(__xludf.DUMMYFUNCTION("IFERROR((FILTER(Data!N:N,Data!D:D=A99,Data!B:B=$B$1)),"""")"),"")</f>
        <v/>
      </c>
      <c r="K99" s="135" t="str">
        <f>IFERROR(__xludf.DUMMYFUNCTION("IFERROR((FILTER(Data!H:H,Data!D:D=A99,Data!B:B=$B$1)*2)+(FILTER(Data!L:L,Data!D:D=A99,Data!B:B=$B$1))+(FILTER(Data!G:G,Data!D:D=A99,Data!B:B=$B$1)*4)+(FILTER(Data!K:K,Data!D:D=A99,Data!B:B=$B$1)*2)+(((COUNTIF(FILTER(Data!N:N,Data!D:D=A99,Data!B:B=$B$1),"""&amp;"TRAVERSE"")*15)+(COUNTIF(FILTER(Data!N:N,Data!D:D=A99,Data!B:B=$B$1),""HIGH"")*10)+(COUNTIF(FILTER(Data!N:N,Data!D:D=A99,Data!B:B=$B$1),""MIDDLE"")*6)+(COUNTIF(FILTER(Data!N:N,Data!D:D=A99,Data!B:B=$B$1),""LOW"")*4))),"""")"),"")</f>
        <v/>
      </c>
      <c r="L99" s="136" t="str">
        <f>IFERROR(__xludf.DUMMYFUNCTION("IFERROR((FILTER(Data!P:P,Data!D:D=A99,Data!B:B=$B$1)),"""")"),"")</f>
        <v/>
      </c>
      <c r="M99" s="137" t="str">
        <f>IFERROR(__xludf.DUMMYFUNCTION("IFERROR((FILTER(Data!A:A,Data!D:D=A99,Data!B:B=$B$1)),"""")"),"")</f>
        <v/>
      </c>
      <c r="T99" s="52">
        <f>IFERROR(__xludf.DUMMYFUNCTION("((COUNTIF(FILTER(Data!N:N,Data!D:D=A99,Data!B:B=$B$1),""TRAVERSE"")*15)+(COUNTIF(FILTER(Data!N:N,Data!D:D=A99,Data!B:B=B$1),""HIGH"")*10)+(COUNTIF(FILTER(Data!N:N,Data!D:D=A99,Data!B:B=$B$1),""MIDDLE"")*6)+(COUNTIF(FILTER(Data!N:N,Data!D:D=A99,Data!B:B=$B"&amp;"$1),""LOW"")*4))"),0.0)</f>
        <v>0</v>
      </c>
      <c r="V99" s="138" t="str">
        <f>IF(Data!B91='Team Parser'!$B$1, Data!D91,"")</f>
        <v/>
      </c>
      <c r="W99" s="134" t="str">
        <f>IF(Data!$B91='Team Parser'!$B$1, Data!H91,"")</f>
        <v/>
      </c>
      <c r="X99" s="134" t="str">
        <f>IF(Data!$B91='Team Parser'!$B$1, Data!G91,"")</f>
        <v/>
      </c>
      <c r="Y99" s="134" t="str">
        <f>IF(Data!$B91='Team Parser'!$B$1, Data!L91,"")</f>
        <v/>
      </c>
      <c r="Z99" s="134" t="str">
        <f>IF(Data!$B91='Team Parser'!$B$1, Data!K91,"")</f>
        <v/>
      </c>
      <c r="AA99" s="134" t="str">
        <f>IF(Data!$B91='Team Parser'!$B$1, Data!M91,"")</f>
        <v/>
      </c>
      <c r="AB99" s="134" t="str">
        <f>IF(Data!$B91='Team Parser'!$B$1,((Z99*2)+(Y99)+(X99*4)+(W99*2)),"")</f>
        <v/>
      </c>
      <c r="AC99" s="134" t="str">
        <f>IF(Data!$B91='Team Parser'!$B$1, Data!N91,"")</f>
        <v/>
      </c>
      <c r="AD99" s="139" t="str">
        <f>IF(Data!$B91='Team Parser'!$B$1,(AB99+(COUNTIF(AC99,"TRAVERSE")*15)+(COUNTIF(AC99,"HIGH")*10)+(COUNTIF(AC99,"MIDDLE")*6)+(COUNTIF(AC99,"LOW")*4)),"")</f>
        <v/>
      </c>
    </row>
    <row r="100">
      <c r="A100" s="133" t="s">
        <v>507</v>
      </c>
      <c r="B100" s="134" t="str">
        <f>IFERROR(__xludf.DUMMYFUNCTION("IFERROR((FILTER(Data!H:H,Data!D:D=A100,Data!B:B=$B$1)),"""")"),"")</f>
        <v/>
      </c>
      <c r="C100" s="134" t="str">
        <f>IFERROR(__xludf.DUMMYFUNCTION("IFERROR((FILTER(Data!G:G,Data!D:D=A100,Data!B:B=$B$1)),"""")"),"")</f>
        <v/>
      </c>
      <c r="D100" s="134" t="str">
        <f>IFERROR(__xludf.DUMMYFUNCTION("IFERROR((FILTER(Data!J:J,Data!D:D=A100,Data!B:B=$B$1)),"""")"),"")</f>
        <v/>
      </c>
      <c r="E100" s="134" t="str">
        <f>IFERROR(__xludf.DUMMYFUNCTION("IFERROR((FILTER(Data!L:L,Data!D:D=A100,Data!B:B=$B$1)),"""")"),"")</f>
        <v/>
      </c>
      <c r="F100" s="134" t="str">
        <f>IFERROR(__xludf.DUMMYFUNCTION("IFERROR((FILTER(Data!K:K,Data!D:D=A100,Data!B:B=$B$1)),"""")"),"")</f>
        <v/>
      </c>
      <c r="G100" s="134" t="str">
        <f>IFERROR(__xludf.DUMMYFUNCTION("IFERROR((FILTER(Data!M:M,Data!D:D=A100,Data!B:B=$B$1)),"""")"),"")</f>
        <v/>
      </c>
      <c r="H100" s="134" t="str">
        <f>IFERROR(__xludf.DUMMYFUNCTION("IFERROR((FILTER(Data!G:G,Data!D:D=A100,Data!B:B=$B$1)*4)+(FILTER(Data!H:H,Data!D:D=A100,Data!B:B=$B$1)*2),"""")"),"")</f>
        <v/>
      </c>
      <c r="I100" s="15" t="str">
        <f>IFERROR(__xludf.DUMMYFUNCTION("IFERROR((FILTER(Data!K:K,Data!D:D=A100,Data!B:B=$B$1)*2)+(FILTER(Data!L:L,Data!D:D=A100,Data!B:B=$B$1)),"""")"),"")</f>
        <v/>
      </c>
      <c r="J100" s="134" t="str">
        <f>IFERROR(__xludf.DUMMYFUNCTION("IFERROR((FILTER(Data!N:N,Data!D:D=A100,Data!B:B=$B$1)),"""")"),"")</f>
        <v/>
      </c>
      <c r="K100" s="135" t="str">
        <f>IFERROR(__xludf.DUMMYFUNCTION("IFERROR((FILTER(Data!H:H,Data!D:D=A100,Data!B:B=$B$1)*2)+(FILTER(Data!L:L,Data!D:D=A100,Data!B:B=$B$1))+(FILTER(Data!G:G,Data!D:D=A100,Data!B:B=$B$1)*4)+(FILTER(Data!K:K,Data!D:D=A100,Data!B:B=$B$1)*2)+(((COUNTIF(FILTER(Data!N:N,Data!D:D=A100,Data!B:B=$B$"&amp;"1),""TRAVERSE"")*15)+(COUNTIF(FILTER(Data!N:N,Data!D:D=A100,Data!B:B=$B$1),""HIGH"")*10)+(COUNTIF(FILTER(Data!N:N,Data!D:D=A100,Data!B:B=$B$1),""MIDDLE"")*6)+(COUNTIF(FILTER(Data!N:N,Data!D:D=A100,Data!B:B=$B$1),""LOW"")*4))),"""")"),"")</f>
        <v/>
      </c>
      <c r="L100" s="136" t="str">
        <f>IFERROR(__xludf.DUMMYFUNCTION("IFERROR((FILTER(Data!P:P,Data!D:D=A100,Data!B:B=$B$1)),"""")"),"")</f>
        <v/>
      </c>
      <c r="M100" s="137" t="str">
        <f>IFERROR(__xludf.DUMMYFUNCTION("IFERROR((FILTER(Data!A:A,Data!D:D=A100,Data!B:B=$B$1)),"""")"),"")</f>
        <v/>
      </c>
      <c r="T100" s="52">
        <f>IFERROR(__xludf.DUMMYFUNCTION("((COUNTIF(FILTER(Data!N:N,Data!D:D=A100,Data!B:B=$B$1),""TRAVERSE"")*15)+(COUNTIF(FILTER(Data!N:N,Data!D:D=A100,Data!B:B=B$1),""HIGH"")*10)+(COUNTIF(FILTER(Data!N:N,Data!D:D=A100,Data!B:B=$B$1),""MIDDLE"")*6)+(COUNTIF(FILTER(Data!N:N,Data!D:D=A100,Data!B:"&amp;"B=$B$1),""LOW"")*4))"),0.0)</f>
        <v>0</v>
      </c>
      <c r="V100" s="138" t="str">
        <f>IF(Data!B92='Team Parser'!$B$1, Data!D92,"")</f>
        <v/>
      </c>
      <c r="W100" s="134" t="str">
        <f>IF(Data!$B92='Team Parser'!$B$1, Data!H92,"")</f>
        <v/>
      </c>
      <c r="X100" s="134" t="str">
        <f>IF(Data!$B92='Team Parser'!$B$1, Data!G92,"")</f>
        <v/>
      </c>
      <c r="Y100" s="134" t="str">
        <f>IF(Data!$B92='Team Parser'!$B$1, Data!L92,"")</f>
        <v/>
      </c>
      <c r="Z100" s="134" t="str">
        <f>IF(Data!$B92='Team Parser'!$B$1, Data!K92,"")</f>
        <v/>
      </c>
      <c r="AA100" s="134" t="str">
        <f>IF(Data!$B92='Team Parser'!$B$1, Data!M92,"")</f>
        <v/>
      </c>
      <c r="AB100" s="134" t="str">
        <f>IF(Data!$B92='Team Parser'!$B$1,((Z100*2)+(Y100)+(X100*4)+(W100*2)),"")</f>
        <v/>
      </c>
      <c r="AC100" s="134" t="str">
        <f>IF(Data!$B92='Team Parser'!$B$1, Data!N92,"")</f>
        <v/>
      </c>
      <c r="AD100" s="139" t="str">
        <f>IF(Data!$B92='Team Parser'!$B$1,(AB100+(COUNTIF(AC100,"TRAVERSE")*15)+(COUNTIF(AC100,"HIGH")*10)+(COUNTIF(AC100,"MIDDLE")*6)+(COUNTIF(AC100,"LOW")*4)),"")</f>
        <v/>
      </c>
    </row>
    <row r="101">
      <c r="A101" s="133" t="s">
        <v>507</v>
      </c>
      <c r="B101" s="134" t="str">
        <f>IFERROR(__xludf.DUMMYFUNCTION("IFERROR((FILTER(Data!H:H,Data!D:D=A101,Data!B:B=$B$1)),"""")"),"")</f>
        <v/>
      </c>
      <c r="C101" s="134" t="str">
        <f>IFERROR(__xludf.DUMMYFUNCTION("IFERROR((FILTER(Data!G:G,Data!D:D=A101,Data!B:B=$B$1)),"""")"),"")</f>
        <v/>
      </c>
      <c r="D101" s="134" t="str">
        <f>IFERROR(__xludf.DUMMYFUNCTION("IFERROR((FILTER(Data!J:J,Data!D:D=A101,Data!B:B=$B$1)),"""")"),"")</f>
        <v/>
      </c>
      <c r="E101" s="134" t="str">
        <f>IFERROR(__xludf.DUMMYFUNCTION("IFERROR((FILTER(Data!L:L,Data!D:D=A101,Data!B:B=$B$1)),"""")"),"")</f>
        <v/>
      </c>
      <c r="F101" s="134" t="str">
        <f>IFERROR(__xludf.DUMMYFUNCTION("IFERROR((FILTER(Data!K:K,Data!D:D=A101,Data!B:B=$B$1)),"""")"),"")</f>
        <v/>
      </c>
      <c r="G101" s="134" t="str">
        <f>IFERROR(__xludf.DUMMYFUNCTION("IFERROR((FILTER(Data!M:M,Data!D:D=A101,Data!B:B=$B$1)),"""")"),"")</f>
        <v/>
      </c>
      <c r="H101" s="134" t="str">
        <f>IFERROR(__xludf.DUMMYFUNCTION("IFERROR((FILTER(Data!G:G,Data!D:D=A101,Data!B:B=$B$1)*4)+(FILTER(Data!H:H,Data!D:D=A101,Data!B:B=$B$1)*2),"""")"),"")</f>
        <v/>
      </c>
      <c r="I101" s="15" t="str">
        <f>IFERROR(__xludf.DUMMYFUNCTION("IFERROR((FILTER(Data!K:K,Data!D:D=A101,Data!B:B=$B$1)*2)+(FILTER(Data!L:L,Data!D:D=A101,Data!B:B=$B$1)),"""")"),"")</f>
        <v/>
      </c>
      <c r="J101" s="134" t="str">
        <f>IFERROR(__xludf.DUMMYFUNCTION("IFERROR((FILTER(Data!N:N,Data!D:D=A101,Data!B:B=$B$1)),"""")"),"")</f>
        <v/>
      </c>
      <c r="K101" s="135" t="str">
        <f>IFERROR(__xludf.DUMMYFUNCTION("IFERROR((FILTER(Data!H:H,Data!D:D=A101,Data!B:B=$B$1)*2)+(FILTER(Data!L:L,Data!D:D=A101,Data!B:B=$B$1))+(FILTER(Data!G:G,Data!D:D=A101,Data!B:B=$B$1)*4)+(FILTER(Data!K:K,Data!D:D=A101,Data!B:B=$B$1)*2)+(((COUNTIF(FILTER(Data!N:N,Data!D:D=A101,Data!B:B=$B$"&amp;"1),""TRAVERSE"")*15)+(COUNTIF(FILTER(Data!N:N,Data!D:D=A101,Data!B:B=$B$1),""HIGH"")*10)+(COUNTIF(FILTER(Data!N:N,Data!D:D=A101,Data!B:B=$B$1),""MIDDLE"")*6)+(COUNTIF(FILTER(Data!N:N,Data!D:D=A101,Data!B:B=$B$1),""LOW"")*4))),"""")"),"")</f>
        <v/>
      </c>
      <c r="L101" s="136" t="str">
        <f>IFERROR(__xludf.DUMMYFUNCTION("IFERROR((FILTER(Data!P:P,Data!D:D=A101,Data!B:B=$B$1)),"""")"),"")</f>
        <v/>
      </c>
      <c r="M101" s="137" t="str">
        <f>IFERROR(__xludf.DUMMYFUNCTION("IFERROR((FILTER(Data!A:A,Data!D:D=A101,Data!B:B=$B$1)),"""")"),"")</f>
        <v/>
      </c>
      <c r="T101" s="52">
        <f>IFERROR(__xludf.DUMMYFUNCTION("((COUNTIF(FILTER(Data!N:N,Data!D:D=A101,Data!B:B=$B$1),""TRAVERSE"")*15)+(COUNTIF(FILTER(Data!N:N,Data!D:D=A101,Data!B:B=B$1),""HIGH"")*10)+(COUNTIF(FILTER(Data!N:N,Data!D:D=A101,Data!B:B=$B$1),""MIDDLE"")*6)+(COUNTIF(FILTER(Data!N:N,Data!D:D=A101,Data!B:"&amp;"B=$B$1),""LOW"")*4))"),0.0)</f>
        <v>0</v>
      </c>
      <c r="V101" s="138" t="str">
        <f>IF(Data!B93='Team Parser'!$B$1, Data!D93,"")</f>
        <v/>
      </c>
      <c r="W101" s="134" t="str">
        <f>IF(Data!$B93='Team Parser'!$B$1, Data!H93,"")</f>
        <v/>
      </c>
      <c r="X101" s="134" t="str">
        <f>IF(Data!$B93='Team Parser'!$B$1, Data!G93,"")</f>
        <v/>
      </c>
      <c r="Y101" s="134" t="str">
        <f>IF(Data!$B93='Team Parser'!$B$1, Data!L93,"")</f>
        <v/>
      </c>
      <c r="Z101" s="134" t="str">
        <f>IF(Data!$B93='Team Parser'!$B$1, Data!K93,"")</f>
        <v/>
      </c>
      <c r="AA101" s="134" t="str">
        <f>IF(Data!$B93='Team Parser'!$B$1, Data!M93,"")</f>
        <v/>
      </c>
      <c r="AB101" s="134" t="str">
        <f>IF(Data!$B93='Team Parser'!$B$1,((Z101*2)+(Y101)+(X101*4)+(W101*2)),"")</f>
        <v/>
      </c>
      <c r="AC101" s="134" t="str">
        <f>IF(Data!$B93='Team Parser'!$B$1, Data!N93,"")</f>
        <v/>
      </c>
      <c r="AD101" s="139" t="str">
        <f>IF(Data!$B93='Team Parser'!$B$1,(AB101+(COUNTIF(AC101,"TRAVERSE")*15)+(COUNTIF(AC101,"HIGH")*10)+(COUNTIF(AC101,"MIDDLE")*6)+(COUNTIF(AC101,"LOW")*4)),"")</f>
        <v/>
      </c>
    </row>
    <row r="102">
      <c r="A102" s="133" t="s">
        <v>507</v>
      </c>
      <c r="B102" s="134" t="str">
        <f>IFERROR(__xludf.DUMMYFUNCTION("IFERROR((FILTER(Data!H:H,Data!D:D=A102,Data!B:B=$B$1)),"""")"),"")</f>
        <v/>
      </c>
      <c r="C102" s="134" t="str">
        <f>IFERROR(__xludf.DUMMYFUNCTION("IFERROR((FILTER(Data!G:G,Data!D:D=A102,Data!B:B=$B$1)),"""")"),"")</f>
        <v/>
      </c>
      <c r="D102" s="134" t="str">
        <f>IFERROR(__xludf.DUMMYFUNCTION("IFERROR((FILTER(Data!J:J,Data!D:D=A102,Data!B:B=$B$1)),"""")"),"")</f>
        <v/>
      </c>
      <c r="E102" s="134" t="str">
        <f>IFERROR(__xludf.DUMMYFUNCTION("IFERROR((FILTER(Data!L:L,Data!D:D=A102,Data!B:B=$B$1)),"""")"),"")</f>
        <v/>
      </c>
      <c r="F102" s="134" t="str">
        <f>IFERROR(__xludf.DUMMYFUNCTION("IFERROR((FILTER(Data!K:K,Data!D:D=A102,Data!B:B=$B$1)),"""")"),"")</f>
        <v/>
      </c>
      <c r="G102" s="134" t="str">
        <f>IFERROR(__xludf.DUMMYFUNCTION("IFERROR((FILTER(Data!M:M,Data!D:D=A102,Data!B:B=$B$1)),"""")"),"")</f>
        <v/>
      </c>
      <c r="H102" s="134" t="str">
        <f>IFERROR(__xludf.DUMMYFUNCTION("IFERROR((FILTER(Data!G:G,Data!D:D=A102,Data!B:B=$B$1)*4)+(FILTER(Data!H:H,Data!D:D=A102,Data!B:B=$B$1)*2),"""")"),"")</f>
        <v/>
      </c>
      <c r="I102" s="15" t="str">
        <f>IFERROR(__xludf.DUMMYFUNCTION("IFERROR((FILTER(Data!K:K,Data!D:D=A102,Data!B:B=$B$1)*2)+(FILTER(Data!L:L,Data!D:D=A102,Data!B:B=$B$1)),"""")"),"")</f>
        <v/>
      </c>
      <c r="J102" s="134" t="str">
        <f>IFERROR(__xludf.DUMMYFUNCTION("IFERROR((FILTER(Data!N:N,Data!D:D=A102,Data!B:B=$B$1)),"""")"),"")</f>
        <v/>
      </c>
      <c r="K102" s="135" t="str">
        <f>IFERROR(__xludf.DUMMYFUNCTION("IFERROR((FILTER(Data!H:H,Data!D:D=A102,Data!B:B=$B$1)*2)+(FILTER(Data!L:L,Data!D:D=A102,Data!B:B=$B$1))+(FILTER(Data!G:G,Data!D:D=A102,Data!B:B=$B$1)*4)+(FILTER(Data!K:K,Data!D:D=A102,Data!B:B=$B$1)*2)+(((COUNTIF(FILTER(Data!N:N,Data!D:D=A102,Data!B:B=$B$"&amp;"1),""TRAVERSE"")*15)+(COUNTIF(FILTER(Data!N:N,Data!D:D=A102,Data!B:B=$B$1),""HIGH"")*10)+(COUNTIF(FILTER(Data!N:N,Data!D:D=A102,Data!B:B=$B$1),""MIDDLE"")*6)+(COUNTIF(FILTER(Data!N:N,Data!D:D=A102,Data!B:B=$B$1),""LOW"")*4))),"""")"),"")</f>
        <v/>
      </c>
      <c r="L102" s="136" t="str">
        <f>IFERROR(__xludf.DUMMYFUNCTION("IFERROR((FILTER(Data!P:P,Data!D:D=A102,Data!B:B=$B$1)),"""")"),"")</f>
        <v/>
      </c>
      <c r="M102" s="137" t="str">
        <f>IFERROR(__xludf.DUMMYFUNCTION("IFERROR((FILTER(Data!A:A,Data!D:D=A102,Data!B:B=$B$1)),"""")"),"")</f>
        <v/>
      </c>
      <c r="T102" s="52">
        <f>IFERROR(__xludf.DUMMYFUNCTION("((COUNTIF(FILTER(Data!N:N,Data!D:D=A102,Data!B:B=$B$1),""TRAVERSE"")*15)+(COUNTIF(FILTER(Data!N:N,Data!D:D=A102,Data!B:B=B$1),""HIGH"")*10)+(COUNTIF(FILTER(Data!N:N,Data!D:D=A102,Data!B:B=$B$1),""MIDDLE"")*6)+(COUNTIF(FILTER(Data!N:N,Data!D:D=A102,Data!B:"&amp;"B=$B$1),""LOW"")*4))"),0.0)</f>
        <v>0</v>
      </c>
      <c r="V102" s="138" t="str">
        <f>IF(Data!B94='Team Parser'!$B$1, Data!D94,"")</f>
        <v/>
      </c>
      <c r="W102" s="134" t="str">
        <f>IF(Data!$B94='Team Parser'!$B$1, Data!H94,"")</f>
        <v/>
      </c>
      <c r="X102" s="134" t="str">
        <f>IF(Data!$B94='Team Parser'!$B$1, Data!G94,"")</f>
        <v/>
      </c>
      <c r="Y102" s="134" t="str">
        <f>IF(Data!$B94='Team Parser'!$B$1, Data!L94,"")</f>
        <v/>
      </c>
      <c r="Z102" s="134" t="str">
        <f>IF(Data!$B94='Team Parser'!$B$1, Data!K94,"")</f>
        <v/>
      </c>
      <c r="AA102" s="134" t="str">
        <f>IF(Data!$B94='Team Parser'!$B$1, Data!M94,"")</f>
        <v/>
      </c>
      <c r="AB102" s="134" t="str">
        <f>IF(Data!$B94='Team Parser'!$B$1,((Z102*2)+(Y102)+(X102*4)+(W102*2)),"")</f>
        <v/>
      </c>
      <c r="AC102" s="134" t="str">
        <f>IF(Data!$B94='Team Parser'!$B$1, Data!N94,"")</f>
        <v/>
      </c>
      <c r="AD102" s="139" t="str">
        <f>IF(Data!$B94='Team Parser'!$B$1,(AB102+(COUNTIF(AC102,"TRAVERSE")*15)+(COUNTIF(AC102,"HIGH")*10)+(COUNTIF(AC102,"MIDDLE")*6)+(COUNTIF(AC102,"LOW")*4)),"")</f>
        <v/>
      </c>
    </row>
    <row r="103">
      <c r="A103" s="133" t="s">
        <v>507</v>
      </c>
      <c r="B103" s="134" t="str">
        <f>IFERROR(__xludf.DUMMYFUNCTION("IFERROR((FILTER(Data!H:H,Data!D:D=A103,Data!B:B=$B$1)),"""")"),"")</f>
        <v/>
      </c>
      <c r="C103" s="134" t="str">
        <f>IFERROR(__xludf.DUMMYFUNCTION("IFERROR((FILTER(Data!G:G,Data!D:D=A103,Data!B:B=$B$1)),"""")"),"")</f>
        <v/>
      </c>
      <c r="D103" s="134" t="str">
        <f>IFERROR(__xludf.DUMMYFUNCTION("IFERROR((FILTER(Data!J:J,Data!D:D=A103,Data!B:B=$B$1)),"""")"),"")</f>
        <v/>
      </c>
      <c r="E103" s="134" t="str">
        <f>IFERROR(__xludf.DUMMYFUNCTION("IFERROR((FILTER(Data!L:L,Data!D:D=A103,Data!B:B=$B$1)),"""")"),"")</f>
        <v/>
      </c>
      <c r="F103" s="134" t="str">
        <f>IFERROR(__xludf.DUMMYFUNCTION("IFERROR((FILTER(Data!K:K,Data!D:D=A103,Data!B:B=$B$1)),"""")"),"")</f>
        <v/>
      </c>
      <c r="G103" s="134" t="str">
        <f>IFERROR(__xludf.DUMMYFUNCTION("IFERROR((FILTER(Data!M:M,Data!D:D=A103,Data!B:B=$B$1)),"""")"),"")</f>
        <v/>
      </c>
      <c r="H103" s="134" t="str">
        <f>IFERROR(__xludf.DUMMYFUNCTION("IFERROR((FILTER(Data!G:G,Data!D:D=A103,Data!B:B=$B$1)*4)+(FILTER(Data!H:H,Data!D:D=A103,Data!B:B=$B$1)*2),"""")"),"")</f>
        <v/>
      </c>
      <c r="I103" s="15" t="str">
        <f>IFERROR(__xludf.DUMMYFUNCTION("IFERROR((FILTER(Data!K:K,Data!D:D=A103,Data!B:B=$B$1)*2)+(FILTER(Data!L:L,Data!D:D=A103,Data!B:B=$B$1)),"""")"),"")</f>
        <v/>
      </c>
      <c r="J103" s="134" t="str">
        <f>IFERROR(__xludf.DUMMYFUNCTION("IFERROR((FILTER(Data!N:N,Data!D:D=A103,Data!B:B=$B$1)),"""")"),"")</f>
        <v/>
      </c>
      <c r="K103" s="135" t="str">
        <f>IFERROR(__xludf.DUMMYFUNCTION("IFERROR((FILTER(Data!H:H,Data!D:D=A103,Data!B:B=$B$1)*2)+(FILTER(Data!L:L,Data!D:D=A103,Data!B:B=$B$1))+(FILTER(Data!G:G,Data!D:D=A103,Data!B:B=$B$1)*4)+(FILTER(Data!K:K,Data!D:D=A103,Data!B:B=$B$1)*2)+(((COUNTIF(FILTER(Data!N:N,Data!D:D=A103,Data!B:B=$B$"&amp;"1),""TRAVERSE"")*15)+(COUNTIF(FILTER(Data!N:N,Data!D:D=A103,Data!B:B=$B$1),""HIGH"")*10)+(COUNTIF(FILTER(Data!N:N,Data!D:D=A103,Data!B:B=$B$1),""MIDDLE"")*6)+(COUNTIF(FILTER(Data!N:N,Data!D:D=A103,Data!B:B=$B$1),""LOW"")*4))),"""")"),"")</f>
        <v/>
      </c>
      <c r="L103" s="136" t="str">
        <f>IFERROR(__xludf.DUMMYFUNCTION("IFERROR((FILTER(Data!P:P,Data!D:D=A103,Data!B:B=$B$1)),"""")"),"")</f>
        <v/>
      </c>
      <c r="M103" s="137" t="str">
        <f>IFERROR(__xludf.DUMMYFUNCTION("IFERROR((FILTER(Data!A:A,Data!D:D=A103,Data!B:B=$B$1)),"""")"),"")</f>
        <v/>
      </c>
      <c r="T103" s="52">
        <f>IFERROR(__xludf.DUMMYFUNCTION("((COUNTIF(FILTER(Data!N:N,Data!D:D=A103,Data!B:B=$B$1),""TRAVERSE"")*15)+(COUNTIF(FILTER(Data!N:N,Data!D:D=A103,Data!B:B=B$1),""HIGH"")*10)+(COUNTIF(FILTER(Data!N:N,Data!D:D=A103,Data!B:B=$B$1),""MIDDLE"")*6)+(COUNTIF(FILTER(Data!N:N,Data!D:D=A103,Data!B:"&amp;"B=$B$1),""LOW"")*4))"),0.0)</f>
        <v>0</v>
      </c>
      <c r="V103" s="138" t="str">
        <f>IF(Data!B95='Team Parser'!$B$1, Data!D95,"")</f>
        <v/>
      </c>
      <c r="W103" s="134" t="str">
        <f>IF(Data!$B95='Team Parser'!$B$1, Data!H95,"")</f>
        <v/>
      </c>
      <c r="X103" s="134" t="str">
        <f>IF(Data!$B95='Team Parser'!$B$1, Data!G95,"")</f>
        <v/>
      </c>
      <c r="Y103" s="134" t="str">
        <f>IF(Data!$B95='Team Parser'!$B$1, Data!L95,"")</f>
        <v/>
      </c>
      <c r="Z103" s="134" t="str">
        <f>IF(Data!$B95='Team Parser'!$B$1, Data!K95,"")</f>
        <v/>
      </c>
      <c r="AA103" s="134" t="str">
        <f>IF(Data!$B95='Team Parser'!$B$1, Data!M95,"")</f>
        <v/>
      </c>
      <c r="AB103" s="134" t="str">
        <f>IF(Data!$B95='Team Parser'!$B$1,((Z103*2)+(Y103)+(X103*4)+(W103*2)),"")</f>
        <v/>
      </c>
      <c r="AC103" s="134" t="str">
        <f>IF(Data!$B95='Team Parser'!$B$1, Data!N95,"")</f>
        <v/>
      </c>
      <c r="AD103" s="139" t="str">
        <f>IF(Data!$B95='Team Parser'!$B$1,(AB103+(COUNTIF(AC103,"TRAVERSE")*15)+(COUNTIF(AC103,"HIGH")*10)+(COUNTIF(AC103,"MIDDLE")*6)+(COUNTIF(AC103,"LOW")*4)),"")</f>
        <v/>
      </c>
    </row>
    <row r="104">
      <c r="A104" s="133" t="s">
        <v>507</v>
      </c>
      <c r="B104" s="134" t="str">
        <f>IFERROR(__xludf.DUMMYFUNCTION("IFERROR((FILTER(Data!H:H,Data!D:D=A104,Data!B:B=$B$1)),"""")"),"")</f>
        <v/>
      </c>
      <c r="C104" s="134" t="str">
        <f>IFERROR(__xludf.DUMMYFUNCTION("IFERROR((FILTER(Data!G:G,Data!D:D=A104,Data!B:B=$B$1)),"""")"),"")</f>
        <v/>
      </c>
      <c r="D104" s="134" t="str">
        <f>IFERROR(__xludf.DUMMYFUNCTION("IFERROR((FILTER(Data!J:J,Data!D:D=A104,Data!B:B=$B$1)),"""")"),"")</f>
        <v/>
      </c>
      <c r="E104" s="134" t="str">
        <f>IFERROR(__xludf.DUMMYFUNCTION("IFERROR((FILTER(Data!L:L,Data!D:D=A104,Data!B:B=$B$1)),"""")"),"")</f>
        <v/>
      </c>
      <c r="F104" s="134" t="str">
        <f>IFERROR(__xludf.DUMMYFUNCTION("IFERROR((FILTER(Data!K:K,Data!D:D=A104,Data!B:B=$B$1)),"""")"),"")</f>
        <v/>
      </c>
      <c r="G104" s="134" t="str">
        <f>IFERROR(__xludf.DUMMYFUNCTION("IFERROR((FILTER(Data!M:M,Data!D:D=A104,Data!B:B=$B$1)),"""")"),"")</f>
        <v/>
      </c>
      <c r="H104" s="134" t="str">
        <f>IFERROR(__xludf.DUMMYFUNCTION("IFERROR((FILTER(Data!G:G,Data!D:D=A104,Data!B:B=$B$1)*4)+(FILTER(Data!H:H,Data!D:D=A104,Data!B:B=$B$1)*2),"""")"),"")</f>
        <v/>
      </c>
      <c r="I104" s="15" t="str">
        <f>IFERROR(__xludf.DUMMYFUNCTION("IFERROR((FILTER(Data!K:K,Data!D:D=A104,Data!B:B=$B$1)*2)+(FILTER(Data!L:L,Data!D:D=A104,Data!B:B=$B$1)),"""")"),"")</f>
        <v/>
      </c>
      <c r="J104" s="134" t="str">
        <f>IFERROR(__xludf.DUMMYFUNCTION("IFERROR((FILTER(Data!N:N,Data!D:D=A104,Data!B:B=$B$1)),"""")"),"")</f>
        <v/>
      </c>
      <c r="K104" s="135" t="str">
        <f>IFERROR(__xludf.DUMMYFUNCTION("IFERROR((FILTER(Data!H:H,Data!D:D=A104,Data!B:B=$B$1)*2)+(FILTER(Data!L:L,Data!D:D=A104,Data!B:B=$B$1))+(FILTER(Data!G:G,Data!D:D=A104,Data!B:B=$B$1)*4)+(FILTER(Data!K:K,Data!D:D=A104,Data!B:B=$B$1)*2)+(((COUNTIF(FILTER(Data!N:N,Data!D:D=A104,Data!B:B=$B$"&amp;"1),""TRAVERSE"")*15)+(COUNTIF(FILTER(Data!N:N,Data!D:D=A104,Data!B:B=$B$1),""HIGH"")*10)+(COUNTIF(FILTER(Data!N:N,Data!D:D=A104,Data!B:B=$B$1),""MIDDLE"")*6)+(COUNTIF(FILTER(Data!N:N,Data!D:D=A104,Data!B:B=$B$1),""LOW"")*4))),"""")"),"")</f>
        <v/>
      </c>
      <c r="L104" s="136" t="str">
        <f>IFERROR(__xludf.DUMMYFUNCTION("IFERROR((FILTER(Data!P:P,Data!D:D=A104,Data!B:B=$B$1)),"""")"),"")</f>
        <v/>
      </c>
      <c r="M104" s="137" t="str">
        <f>IFERROR(__xludf.DUMMYFUNCTION("IFERROR((FILTER(Data!A:A,Data!D:D=A104,Data!B:B=$B$1)),"""")"),"")</f>
        <v/>
      </c>
      <c r="T104" s="52">
        <f>IFERROR(__xludf.DUMMYFUNCTION("((COUNTIF(FILTER(Data!N:N,Data!D:D=A104,Data!B:B=$B$1),""TRAVERSE"")*15)+(COUNTIF(FILTER(Data!N:N,Data!D:D=A104,Data!B:B=B$1),""HIGH"")*10)+(COUNTIF(FILTER(Data!N:N,Data!D:D=A104,Data!B:B=$B$1),""MIDDLE"")*6)+(COUNTIF(FILTER(Data!N:N,Data!D:D=A104,Data!B:"&amp;"B=$B$1),""LOW"")*4))"),0.0)</f>
        <v>0</v>
      </c>
      <c r="V104" s="138" t="str">
        <f>IF(Data!B96='Team Parser'!$B$1, Data!D96,"")</f>
        <v/>
      </c>
      <c r="W104" s="134" t="str">
        <f>IF(Data!$B96='Team Parser'!$B$1, Data!H96,"")</f>
        <v/>
      </c>
      <c r="X104" s="134" t="str">
        <f>IF(Data!$B96='Team Parser'!$B$1, Data!G96,"")</f>
        <v/>
      </c>
      <c r="Y104" s="134" t="str">
        <f>IF(Data!$B96='Team Parser'!$B$1, Data!L96,"")</f>
        <v/>
      </c>
      <c r="Z104" s="134" t="str">
        <f>IF(Data!$B96='Team Parser'!$B$1, Data!K96,"")</f>
        <v/>
      </c>
      <c r="AA104" s="134" t="str">
        <f>IF(Data!$B96='Team Parser'!$B$1, Data!M96,"")</f>
        <v/>
      </c>
      <c r="AB104" s="134" t="str">
        <f>IF(Data!$B96='Team Parser'!$B$1,((Z104*2)+(Y104)+(X104*4)+(W104*2)),"")</f>
        <v/>
      </c>
      <c r="AC104" s="134" t="str">
        <f>IF(Data!$B96='Team Parser'!$B$1, Data!N96,"")</f>
        <v/>
      </c>
      <c r="AD104" s="139" t="str">
        <f>IF(Data!$B96='Team Parser'!$B$1,(AB104+(COUNTIF(AC104,"TRAVERSE")*15)+(COUNTIF(AC104,"HIGH")*10)+(COUNTIF(AC104,"MIDDLE")*6)+(COUNTIF(AC104,"LOW")*4)),"")</f>
        <v/>
      </c>
    </row>
    <row r="105">
      <c r="A105" s="133" t="s">
        <v>507</v>
      </c>
      <c r="B105" s="134" t="str">
        <f>IFERROR(__xludf.DUMMYFUNCTION("IFERROR((FILTER(Data!H:H,Data!D:D=A105,Data!B:B=$B$1)),"""")"),"")</f>
        <v/>
      </c>
      <c r="C105" s="134" t="str">
        <f>IFERROR(__xludf.DUMMYFUNCTION("IFERROR((FILTER(Data!G:G,Data!D:D=A105,Data!B:B=$B$1)),"""")"),"")</f>
        <v/>
      </c>
      <c r="D105" s="134" t="str">
        <f>IFERROR(__xludf.DUMMYFUNCTION("IFERROR((FILTER(Data!J:J,Data!D:D=A105,Data!B:B=$B$1)),"""")"),"")</f>
        <v/>
      </c>
      <c r="E105" s="134" t="str">
        <f>IFERROR(__xludf.DUMMYFUNCTION("IFERROR((FILTER(Data!L:L,Data!D:D=A105,Data!B:B=$B$1)),"""")"),"")</f>
        <v/>
      </c>
      <c r="F105" s="134" t="str">
        <f>IFERROR(__xludf.DUMMYFUNCTION("IFERROR((FILTER(Data!K:K,Data!D:D=A105,Data!B:B=$B$1)),"""")"),"")</f>
        <v/>
      </c>
      <c r="G105" s="134" t="str">
        <f>IFERROR(__xludf.DUMMYFUNCTION("IFERROR((FILTER(Data!M:M,Data!D:D=A105,Data!B:B=$B$1)),"""")"),"")</f>
        <v/>
      </c>
      <c r="H105" s="134" t="str">
        <f>IFERROR(__xludf.DUMMYFUNCTION("IFERROR((FILTER(Data!G:G,Data!D:D=A105,Data!B:B=$B$1)*4)+(FILTER(Data!H:H,Data!D:D=A105,Data!B:B=$B$1)*2),"""")"),"")</f>
        <v/>
      </c>
      <c r="I105" s="15" t="str">
        <f>IFERROR(__xludf.DUMMYFUNCTION("IFERROR((FILTER(Data!K:K,Data!D:D=A105,Data!B:B=$B$1)*2)+(FILTER(Data!L:L,Data!D:D=A105,Data!B:B=$B$1)),"""")"),"")</f>
        <v/>
      </c>
      <c r="J105" s="134" t="str">
        <f>IFERROR(__xludf.DUMMYFUNCTION("IFERROR((FILTER(Data!N:N,Data!D:D=A105,Data!B:B=$B$1)),"""")"),"")</f>
        <v/>
      </c>
      <c r="K105" s="135" t="str">
        <f>IFERROR(__xludf.DUMMYFUNCTION("IFERROR((FILTER(Data!H:H,Data!D:D=A105,Data!B:B=$B$1)*2)+(FILTER(Data!L:L,Data!D:D=A105,Data!B:B=$B$1))+(FILTER(Data!G:G,Data!D:D=A105,Data!B:B=$B$1)*4)+(FILTER(Data!K:K,Data!D:D=A105,Data!B:B=$B$1)*2)+(((COUNTIF(FILTER(Data!N:N,Data!D:D=A105,Data!B:B=$B$"&amp;"1),""TRAVERSE"")*15)+(COUNTIF(FILTER(Data!N:N,Data!D:D=A105,Data!B:B=$B$1),""HIGH"")*10)+(COUNTIF(FILTER(Data!N:N,Data!D:D=A105,Data!B:B=$B$1),""MIDDLE"")*6)+(COUNTIF(FILTER(Data!N:N,Data!D:D=A105,Data!B:B=$B$1),""LOW"")*4))),"""")"),"")</f>
        <v/>
      </c>
      <c r="L105" s="136" t="str">
        <f>IFERROR(__xludf.DUMMYFUNCTION("IFERROR((FILTER(Data!P:P,Data!D:D=A105,Data!B:B=$B$1)),"""")"),"")</f>
        <v/>
      </c>
      <c r="M105" s="137" t="str">
        <f>IFERROR(__xludf.DUMMYFUNCTION("IFERROR((FILTER(Data!A:A,Data!D:D=A105,Data!B:B=$B$1)),"""")"),"")</f>
        <v/>
      </c>
      <c r="T105" s="52">
        <f>IFERROR(__xludf.DUMMYFUNCTION("((COUNTIF(FILTER(Data!N:N,Data!D:D=A105,Data!B:B=$B$1),""TRAVERSE"")*15)+(COUNTIF(FILTER(Data!N:N,Data!D:D=A105,Data!B:B=B$1),""HIGH"")*10)+(COUNTIF(FILTER(Data!N:N,Data!D:D=A105,Data!B:B=$B$1),""MIDDLE"")*6)+(COUNTIF(FILTER(Data!N:N,Data!D:D=A105,Data!B:"&amp;"B=$B$1),""LOW"")*4))"),0.0)</f>
        <v>0</v>
      </c>
      <c r="V105" s="138" t="str">
        <f>IF(Data!B97='Team Parser'!$B$1, Data!D97,"")</f>
        <v/>
      </c>
      <c r="W105" s="134" t="str">
        <f>IF(Data!$B97='Team Parser'!$B$1, Data!H97,"")</f>
        <v/>
      </c>
      <c r="X105" s="134" t="str">
        <f>IF(Data!$B97='Team Parser'!$B$1, Data!G97,"")</f>
        <v/>
      </c>
      <c r="Y105" s="134" t="str">
        <f>IF(Data!$B97='Team Parser'!$B$1, Data!L97,"")</f>
        <v/>
      </c>
      <c r="Z105" s="134" t="str">
        <f>IF(Data!$B97='Team Parser'!$B$1, Data!K97,"")</f>
        <v/>
      </c>
      <c r="AA105" s="134" t="str">
        <f>IF(Data!$B97='Team Parser'!$B$1, Data!M97,"")</f>
        <v/>
      </c>
      <c r="AB105" s="134" t="str">
        <f>IF(Data!$B97='Team Parser'!$B$1,((Z105*2)+(Y105)+(X105*4)+(W105*2)),"")</f>
        <v/>
      </c>
      <c r="AC105" s="134" t="str">
        <f>IF(Data!$B97='Team Parser'!$B$1, Data!N97,"")</f>
        <v/>
      </c>
      <c r="AD105" s="139" t="str">
        <f>IF(Data!$B97='Team Parser'!$B$1,(AB105+(COUNTIF(AC105,"TRAVERSE")*15)+(COUNTIF(AC105,"HIGH")*10)+(COUNTIF(AC105,"MIDDLE")*6)+(COUNTIF(AC105,"LOW")*4)),"")</f>
        <v/>
      </c>
    </row>
    <row r="106">
      <c r="A106" s="133" t="s">
        <v>507</v>
      </c>
      <c r="B106" s="134" t="str">
        <f>IFERROR(__xludf.DUMMYFUNCTION("IFERROR((FILTER(Data!H:H,Data!D:D=A106,Data!B:B=$B$1)),"""")"),"")</f>
        <v/>
      </c>
      <c r="C106" s="134" t="str">
        <f>IFERROR(__xludf.DUMMYFUNCTION("IFERROR((FILTER(Data!G:G,Data!D:D=A106,Data!B:B=$B$1)),"""")"),"")</f>
        <v/>
      </c>
      <c r="D106" s="134" t="str">
        <f>IFERROR(__xludf.DUMMYFUNCTION("IFERROR((FILTER(Data!J:J,Data!D:D=A106,Data!B:B=$B$1)),"""")"),"")</f>
        <v/>
      </c>
      <c r="E106" s="134" t="str">
        <f>IFERROR(__xludf.DUMMYFUNCTION("IFERROR((FILTER(Data!L:L,Data!D:D=A106,Data!B:B=$B$1)),"""")"),"")</f>
        <v/>
      </c>
      <c r="F106" s="134" t="str">
        <f>IFERROR(__xludf.DUMMYFUNCTION("IFERROR((FILTER(Data!K:K,Data!D:D=A106,Data!B:B=$B$1)),"""")"),"")</f>
        <v/>
      </c>
      <c r="G106" s="134" t="str">
        <f>IFERROR(__xludf.DUMMYFUNCTION("IFERROR((FILTER(Data!M:M,Data!D:D=A106,Data!B:B=$B$1)),"""")"),"")</f>
        <v/>
      </c>
      <c r="H106" s="134" t="str">
        <f>IFERROR(__xludf.DUMMYFUNCTION("IFERROR((FILTER(Data!G:G,Data!D:D=A106,Data!B:B=$B$1)*4)+(FILTER(Data!H:H,Data!D:D=A106,Data!B:B=$B$1)*2),"""")"),"")</f>
        <v/>
      </c>
      <c r="I106" s="15" t="str">
        <f>IFERROR(__xludf.DUMMYFUNCTION("IFERROR((FILTER(Data!K:K,Data!D:D=A106,Data!B:B=$B$1)*2)+(FILTER(Data!L:L,Data!D:D=A106,Data!B:B=$B$1)),"""")"),"")</f>
        <v/>
      </c>
      <c r="J106" s="134" t="str">
        <f>IFERROR(__xludf.DUMMYFUNCTION("IFERROR((FILTER(Data!N:N,Data!D:D=A106,Data!B:B=$B$1)),"""")"),"")</f>
        <v/>
      </c>
      <c r="K106" s="135" t="str">
        <f>IFERROR(__xludf.DUMMYFUNCTION("IFERROR((FILTER(Data!H:H,Data!D:D=A106,Data!B:B=$B$1)*2)+(FILTER(Data!L:L,Data!D:D=A106,Data!B:B=$B$1))+(FILTER(Data!G:G,Data!D:D=A106,Data!B:B=$B$1)*4)+(FILTER(Data!K:K,Data!D:D=A106,Data!B:B=$B$1)*2)+(((COUNTIF(FILTER(Data!N:N,Data!D:D=A106,Data!B:B=$B$"&amp;"1),""TRAVERSE"")*15)+(COUNTIF(FILTER(Data!N:N,Data!D:D=A106,Data!B:B=$B$1),""HIGH"")*10)+(COUNTIF(FILTER(Data!N:N,Data!D:D=A106,Data!B:B=$B$1),""MIDDLE"")*6)+(COUNTIF(FILTER(Data!N:N,Data!D:D=A106,Data!B:B=$B$1),""LOW"")*4))),"""")"),"")</f>
        <v/>
      </c>
      <c r="L106" s="136" t="str">
        <f>IFERROR(__xludf.DUMMYFUNCTION("IFERROR((FILTER(Data!P:P,Data!D:D=A106,Data!B:B=$B$1)),"""")"),"")</f>
        <v/>
      </c>
      <c r="M106" s="137" t="str">
        <f>IFERROR(__xludf.DUMMYFUNCTION("IFERROR((FILTER(Data!A:A,Data!D:D=A106,Data!B:B=$B$1)),"""")"),"")</f>
        <v/>
      </c>
      <c r="T106" s="52">
        <f>IFERROR(__xludf.DUMMYFUNCTION("((COUNTIF(FILTER(Data!N:N,Data!D:D=A106,Data!B:B=$B$1),""TRAVERSE"")*15)+(COUNTIF(FILTER(Data!N:N,Data!D:D=A106,Data!B:B=B$1),""HIGH"")*10)+(COUNTIF(FILTER(Data!N:N,Data!D:D=A106,Data!B:B=$B$1),""MIDDLE"")*6)+(COUNTIF(FILTER(Data!N:N,Data!D:D=A106,Data!B:"&amp;"B=$B$1),""LOW"")*4))"),0.0)</f>
        <v>0</v>
      </c>
      <c r="V106" s="138" t="str">
        <f>IF(Data!B98='Team Parser'!$B$1, Data!D98,"")</f>
        <v/>
      </c>
      <c r="W106" s="134" t="str">
        <f>IF(Data!$B98='Team Parser'!$B$1, Data!H98,"")</f>
        <v/>
      </c>
      <c r="X106" s="134" t="str">
        <f>IF(Data!$B98='Team Parser'!$B$1, Data!G98,"")</f>
        <v/>
      </c>
      <c r="Y106" s="134" t="str">
        <f>IF(Data!$B98='Team Parser'!$B$1, Data!L98,"")</f>
        <v/>
      </c>
      <c r="Z106" s="134" t="str">
        <f>IF(Data!$B98='Team Parser'!$B$1, Data!K98,"")</f>
        <v/>
      </c>
      <c r="AA106" s="134" t="str">
        <f>IF(Data!$B98='Team Parser'!$B$1, Data!M98,"")</f>
        <v/>
      </c>
      <c r="AB106" s="134" t="str">
        <f>IF(Data!$B98='Team Parser'!$B$1,((Z106*2)+(Y106)+(X106*4)+(W106*2)),"")</f>
        <v/>
      </c>
      <c r="AC106" s="134" t="str">
        <f>IF(Data!$B98='Team Parser'!$B$1, Data!N98,"")</f>
        <v/>
      </c>
      <c r="AD106" s="139" t="str">
        <f>IF(Data!$B98='Team Parser'!$B$1,(AB106+(COUNTIF(AC106,"TRAVERSE")*15)+(COUNTIF(AC106,"HIGH")*10)+(COUNTIF(AC106,"MIDDLE")*6)+(COUNTIF(AC106,"LOW")*4)),"")</f>
        <v/>
      </c>
    </row>
    <row r="107">
      <c r="A107" s="133" t="s">
        <v>507</v>
      </c>
      <c r="B107" s="134" t="str">
        <f>IFERROR(__xludf.DUMMYFUNCTION("IFERROR((FILTER(Data!H:H,Data!D:D=A107,Data!B:B=$B$1)),"""")"),"")</f>
        <v/>
      </c>
      <c r="C107" s="134" t="str">
        <f>IFERROR(__xludf.DUMMYFUNCTION("IFERROR((FILTER(Data!G:G,Data!D:D=A107,Data!B:B=$B$1)),"""")"),"")</f>
        <v/>
      </c>
      <c r="D107" s="134" t="str">
        <f>IFERROR(__xludf.DUMMYFUNCTION("IFERROR((FILTER(Data!J:J,Data!D:D=A107,Data!B:B=$B$1)),"""")"),"")</f>
        <v/>
      </c>
      <c r="E107" s="134" t="str">
        <f>IFERROR(__xludf.DUMMYFUNCTION("IFERROR((FILTER(Data!L:L,Data!D:D=A107,Data!B:B=$B$1)),"""")"),"")</f>
        <v/>
      </c>
      <c r="F107" s="134" t="str">
        <f>IFERROR(__xludf.DUMMYFUNCTION("IFERROR((FILTER(Data!K:K,Data!D:D=A107,Data!B:B=$B$1)),"""")"),"")</f>
        <v/>
      </c>
      <c r="G107" s="134" t="str">
        <f>IFERROR(__xludf.DUMMYFUNCTION("IFERROR((FILTER(Data!M:M,Data!D:D=A107,Data!B:B=$B$1)),"""")"),"")</f>
        <v/>
      </c>
      <c r="H107" s="134" t="str">
        <f>IFERROR(__xludf.DUMMYFUNCTION("IFERROR((FILTER(Data!G:G,Data!D:D=A107,Data!B:B=$B$1)*4)+(FILTER(Data!H:H,Data!D:D=A107,Data!B:B=$B$1)*2),"""")"),"")</f>
        <v/>
      </c>
      <c r="I107" s="15" t="str">
        <f>IFERROR(__xludf.DUMMYFUNCTION("IFERROR((FILTER(Data!K:K,Data!D:D=A107,Data!B:B=$B$1)*2)+(FILTER(Data!L:L,Data!D:D=A107,Data!B:B=$B$1)),"""")"),"")</f>
        <v/>
      </c>
      <c r="J107" s="134" t="str">
        <f>IFERROR(__xludf.DUMMYFUNCTION("IFERROR((FILTER(Data!N:N,Data!D:D=A107,Data!B:B=$B$1)),"""")"),"")</f>
        <v/>
      </c>
      <c r="K107" s="135" t="str">
        <f>IFERROR(__xludf.DUMMYFUNCTION("IFERROR((FILTER(Data!H:H,Data!D:D=A107,Data!B:B=$B$1)*2)+(FILTER(Data!L:L,Data!D:D=A107,Data!B:B=$B$1))+(FILTER(Data!G:G,Data!D:D=A107,Data!B:B=$B$1)*4)+(FILTER(Data!K:K,Data!D:D=A107,Data!B:B=$B$1)*2)+(((COUNTIF(FILTER(Data!N:N,Data!D:D=A107,Data!B:B=$B$"&amp;"1),""TRAVERSE"")*15)+(COUNTIF(FILTER(Data!N:N,Data!D:D=A107,Data!B:B=$B$1),""HIGH"")*10)+(COUNTIF(FILTER(Data!N:N,Data!D:D=A107,Data!B:B=$B$1),""MIDDLE"")*6)+(COUNTIF(FILTER(Data!N:N,Data!D:D=A107,Data!B:B=$B$1),""LOW"")*4))),"""")"),"")</f>
        <v/>
      </c>
      <c r="L107" s="136" t="str">
        <f>IFERROR(__xludf.DUMMYFUNCTION("IFERROR((FILTER(Data!P:P,Data!D:D=A107,Data!B:B=$B$1)),"""")"),"")</f>
        <v/>
      </c>
      <c r="M107" s="137" t="str">
        <f>IFERROR(__xludf.DUMMYFUNCTION("IFERROR((FILTER(Data!A:A,Data!D:D=A107,Data!B:B=$B$1)),"""")"),"")</f>
        <v/>
      </c>
      <c r="T107" s="52">
        <f>IFERROR(__xludf.DUMMYFUNCTION("((COUNTIF(FILTER(Data!N:N,Data!D:D=A107,Data!B:B=$B$1),""TRAVERSE"")*15)+(COUNTIF(FILTER(Data!N:N,Data!D:D=A107,Data!B:B=B$1),""HIGH"")*10)+(COUNTIF(FILTER(Data!N:N,Data!D:D=A107,Data!B:B=$B$1),""MIDDLE"")*6)+(COUNTIF(FILTER(Data!N:N,Data!D:D=A107,Data!B:"&amp;"B=$B$1),""LOW"")*4))"),0.0)</f>
        <v>0</v>
      </c>
      <c r="V107" s="138" t="str">
        <f>IF(Data!B99='Team Parser'!$B$1, Data!D99,"")</f>
        <v/>
      </c>
      <c r="W107" s="134" t="str">
        <f>IF(Data!$B99='Team Parser'!$B$1, Data!H99,"")</f>
        <v/>
      </c>
      <c r="X107" s="134" t="str">
        <f>IF(Data!$B99='Team Parser'!$B$1, Data!G99,"")</f>
        <v/>
      </c>
      <c r="Y107" s="134" t="str">
        <f>IF(Data!$B99='Team Parser'!$B$1, Data!L99,"")</f>
        <v/>
      </c>
      <c r="Z107" s="134" t="str">
        <f>IF(Data!$B99='Team Parser'!$B$1, Data!K99,"")</f>
        <v/>
      </c>
      <c r="AA107" s="134" t="str">
        <f>IF(Data!$B99='Team Parser'!$B$1, Data!M99,"")</f>
        <v/>
      </c>
      <c r="AB107" s="134" t="str">
        <f>IF(Data!$B99='Team Parser'!$B$1,((Z107*2)+(Y107)+(X107*4)+(W107*2)),"")</f>
        <v/>
      </c>
      <c r="AC107" s="134" t="str">
        <f>IF(Data!$B99='Team Parser'!$B$1, Data!N99,"")</f>
        <v/>
      </c>
      <c r="AD107" s="139" t="str">
        <f>IF(Data!$B99='Team Parser'!$B$1,(AB107+(COUNTIF(AC107,"TRAVERSE")*15)+(COUNTIF(AC107,"HIGH")*10)+(COUNTIF(AC107,"MIDDLE")*6)+(COUNTIF(AC107,"LOW")*4)),"")</f>
        <v/>
      </c>
    </row>
    <row r="108">
      <c r="A108" s="133" t="s">
        <v>507</v>
      </c>
      <c r="B108" s="134" t="str">
        <f>IFERROR(__xludf.DUMMYFUNCTION("IFERROR((FILTER(Data!H:H,Data!D:D=A108,Data!B:B=$B$1)),"""")"),"")</f>
        <v/>
      </c>
      <c r="C108" s="134" t="str">
        <f>IFERROR(__xludf.DUMMYFUNCTION("IFERROR((FILTER(Data!G:G,Data!D:D=A108,Data!B:B=$B$1)),"""")"),"")</f>
        <v/>
      </c>
      <c r="D108" s="134" t="str">
        <f>IFERROR(__xludf.DUMMYFUNCTION("IFERROR((FILTER(Data!J:J,Data!D:D=A108,Data!B:B=$B$1)),"""")"),"")</f>
        <v/>
      </c>
      <c r="E108" s="134" t="str">
        <f>IFERROR(__xludf.DUMMYFUNCTION("IFERROR((FILTER(Data!L:L,Data!D:D=A108,Data!B:B=$B$1)),"""")"),"")</f>
        <v/>
      </c>
      <c r="F108" s="134" t="str">
        <f>IFERROR(__xludf.DUMMYFUNCTION("IFERROR((FILTER(Data!K:K,Data!D:D=A108,Data!B:B=$B$1)),"""")"),"")</f>
        <v/>
      </c>
      <c r="G108" s="134" t="str">
        <f>IFERROR(__xludf.DUMMYFUNCTION("IFERROR((FILTER(Data!M:M,Data!D:D=A108,Data!B:B=$B$1)),"""")"),"")</f>
        <v/>
      </c>
      <c r="H108" s="134" t="str">
        <f>IFERROR(__xludf.DUMMYFUNCTION("IFERROR((FILTER(Data!G:G,Data!D:D=A108,Data!B:B=$B$1)*4)+(FILTER(Data!H:H,Data!D:D=A108,Data!B:B=$B$1)*2),"""")"),"")</f>
        <v/>
      </c>
      <c r="I108" s="15" t="str">
        <f>IFERROR(__xludf.DUMMYFUNCTION("IFERROR((FILTER(Data!K:K,Data!D:D=A108,Data!B:B=$B$1)*2)+(FILTER(Data!L:L,Data!D:D=A108,Data!B:B=$B$1)),"""")"),"")</f>
        <v/>
      </c>
      <c r="J108" s="134" t="str">
        <f>IFERROR(__xludf.DUMMYFUNCTION("IFERROR((FILTER(Data!N:N,Data!D:D=A108,Data!B:B=$B$1)),"""")"),"")</f>
        <v/>
      </c>
      <c r="K108" s="135" t="str">
        <f>IFERROR(__xludf.DUMMYFUNCTION("IFERROR((FILTER(Data!H:H,Data!D:D=A108,Data!B:B=$B$1)*2)+(FILTER(Data!L:L,Data!D:D=A108,Data!B:B=$B$1))+(FILTER(Data!G:G,Data!D:D=A108,Data!B:B=$B$1)*4)+(FILTER(Data!K:K,Data!D:D=A108,Data!B:B=$B$1)*2)+(((COUNTIF(FILTER(Data!N:N,Data!D:D=A108,Data!B:B=$B$"&amp;"1),""TRAVERSE"")*15)+(COUNTIF(FILTER(Data!N:N,Data!D:D=A108,Data!B:B=$B$1),""HIGH"")*10)+(COUNTIF(FILTER(Data!N:N,Data!D:D=A108,Data!B:B=$B$1),""MIDDLE"")*6)+(COUNTIF(FILTER(Data!N:N,Data!D:D=A108,Data!B:B=$B$1),""LOW"")*4))),"""")"),"")</f>
        <v/>
      </c>
      <c r="L108" s="136" t="str">
        <f>IFERROR(__xludf.DUMMYFUNCTION("IFERROR((FILTER(Data!P:P,Data!D:D=A108,Data!B:B=$B$1)),"""")"),"")</f>
        <v/>
      </c>
      <c r="M108" s="137" t="str">
        <f>IFERROR(__xludf.DUMMYFUNCTION("IFERROR((FILTER(Data!A:A,Data!D:D=A108,Data!B:B=$B$1)),"""")"),"")</f>
        <v/>
      </c>
      <c r="T108" s="52">
        <f>IFERROR(__xludf.DUMMYFUNCTION("((COUNTIF(FILTER(Data!N:N,Data!D:D=A108,Data!B:B=$B$1),""TRAVERSE"")*15)+(COUNTIF(FILTER(Data!N:N,Data!D:D=A108,Data!B:B=B$1),""HIGH"")*10)+(COUNTIF(FILTER(Data!N:N,Data!D:D=A108,Data!B:B=$B$1),""MIDDLE"")*6)+(COUNTIF(FILTER(Data!N:N,Data!D:D=A108,Data!B:"&amp;"B=$B$1),""LOW"")*4))"),0.0)</f>
        <v>0</v>
      </c>
      <c r="V108" s="138" t="str">
        <f>IF(Data!B100='Team Parser'!$B$1, Data!D100,"")</f>
        <v/>
      </c>
      <c r="W108" s="134" t="str">
        <f>IF(Data!$B100='Team Parser'!$B$1, Data!H100,"")</f>
        <v/>
      </c>
      <c r="X108" s="134" t="str">
        <f>IF(Data!$B100='Team Parser'!$B$1, Data!G100,"")</f>
        <v/>
      </c>
      <c r="Y108" s="134" t="str">
        <f>IF(Data!$B100='Team Parser'!$B$1, Data!L100,"")</f>
        <v/>
      </c>
      <c r="Z108" s="134" t="str">
        <f>IF(Data!$B100='Team Parser'!$B$1, Data!K100,"")</f>
        <v/>
      </c>
      <c r="AA108" s="134" t="str">
        <f>IF(Data!$B100='Team Parser'!$B$1, Data!M100,"")</f>
        <v/>
      </c>
      <c r="AB108" s="134" t="str">
        <f>IF(Data!$B100='Team Parser'!$B$1,((Z108*2)+(Y108)+(X108*4)+(W108*2)),"")</f>
        <v/>
      </c>
      <c r="AC108" s="134" t="str">
        <f>IF(Data!$B100='Team Parser'!$B$1, Data!N100,"")</f>
        <v/>
      </c>
      <c r="AD108" s="139" t="str">
        <f>IF(Data!$B100='Team Parser'!$B$1,(AB108+(COUNTIF(AC108,"TRAVERSE")*15)+(COUNTIF(AC108,"HIGH")*10)+(COUNTIF(AC108,"MIDDLE")*6)+(COUNTIF(AC108,"LOW")*4)),"")</f>
        <v/>
      </c>
    </row>
    <row r="109">
      <c r="A109" s="133" t="s">
        <v>507</v>
      </c>
      <c r="B109" s="134" t="str">
        <f>IFERROR(__xludf.DUMMYFUNCTION("IFERROR((FILTER(Data!H:H,Data!D:D=A109,Data!B:B=$B$1)),"""")"),"")</f>
        <v/>
      </c>
      <c r="C109" s="134" t="str">
        <f>IFERROR(__xludf.DUMMYFUNCTION("IFERROR((FILTER(Data!G:G,Data!D:D=A109,Data!B:B=$B$1)),"""")"),"")</f>
        <v/>
      </c>
      <c r="D109" s="134" t="str">
        <f>IFERROR(__xludf.DUMMYFUNCTION("IFERROR((FILTER(Data!J:J,Data!D:D=A109,Data!B:B=$B$1)),"""")"),"")</f>
        <v/>
      </c>
      <c r="E109" s="134" t="str">
        <f>IFERROR(__xludf.DUMMYFUNCTION("IFERROR((FILTER(Data!L:L,Data!D:D=A109,Data!B:B=$B$1)),"""")"),"")</f>
        <v/>
      </c>
      <c r="F109" s="134" t="str">
        <f>IFERROR(__xludf.DUMMYFUNCTION("IFERROR((FILTER(Data!K:K,Data!D:D=A109,Data!B:B=$B$1)),"""")"),"")</f>
        <v/>
      </c>
      <c r="G109" s="134" t="str">
        <f>IFERROR(__xludf.DUMMYFUNCTION("IFERROR((FILTER(Data!M:M,Data!D:D=A109,Data!B:B=$B$1)),"""")"),"")</f>
        <v/>
      </c>
      <c r="H109" s="134" t="str">
        <f>IFERROR(__xludf.DUMMYFUNCTION("IFERROR((FILTER(Data!G:G,Data!D:D=A109,Data!B:B=$B$1)*4)+(FILTER(Data!H:H,Data!D:D=A109,Data!B:B=$B$1)*2),"""")"),"")</f>
        <v/>
      </c>
      <c r="I109" s="15" t="str">
        <f>IFERROR(__xludf.DUMMYFUNCTION("IFERROR((FILTER(Data!K:K,Data!D:D=A109,Data!B:B=$B$1)*2)+(FILTER(Data!L:L,Data!D:D=A109,Data!B:B=$B$1)),"""")"),"")</f>
        <v/>
      </c>
      <c r="J109" s="134" t="str">
        <f>IFERROR(__xludf.DUMMYFUNCTION("IFERROR((FILTER(Data!N:N,Data!D:D=A109,Data!B:B=$B$1)),"""")"),"")</f>
        <v/>
      </c>
      <c r="K109" s="135" t="str">
        <f>IFERROR(__xludf.DUMMYFUNCTION("IFERROR((FILTER(Data!H:H,Data!D:D=A109,Data!B:B=$B$1)*2)+(FILTER(Data!L:L,Data!D:D=A109,Data!B:B=$B$1))+(FILTER(Data!G:G,Data!D:D=A109,Data!B:B=$B$1)*4)+(FILTER(Data!K:K,Data!D:D=A109,Data!B:B=$B$1)*2)+(((COUNTIF(FILTER(Data!N:N,Data!D:D=A109,Data!B:B=$B$"&amp;"1),""TRAVERSE"")*15)+(COUNTIF(FILTER(Data!N:N,Data!D:D=A109,Data!B:B=$B$1),""HIGH"")*10)+(COUNTIF(FILTER(Data!N:N,Data!D:D=A109,Data!B:B=$B$1),""MIDDLE"")*6)+(COUNTIF(FILTER(Data!N:N,Data!D:D=A109,Data!B:B=$B$1),""LOW"")*4))),"""")"),"")</f>
        <v/>
      </c>
      <c r="L109" s="136" t="str">
        <f>IFERROR(__xludf.DUMMYFUNCTION("IFERROR((FILTER(Data!P:P,Data!D:D=A109,Data!B:B=$B$1)),"""")"),"")</f>
        <v/>
      </c>
      <c r="M109" s="137" t="str">
        <f>IFERROR(__xludf.DUMMYFUNCTION("IFERROR((FILTER(Data!A:A,Data!D:D=A109,Data!B:B=$B$1)),"""")"),"")</f>
        <v/>
      </c>
      <c r="T109" s="52">
        <f>IFERROR(__xludf.DUMMYFUNCTION("((COUNTIF(FILTER(Data!N:N,Data!D:D=A109,Data!B:B=$B$1),""TRAVERSE"")*15)+(COUNTIF(FILTER(Data!N:N,Data!D:D=A109,Data!B:B=B$1),""HIGH"")*10)+(COUNTIF(FILTER(Data!N:N,Data!D:D=A109,Data!B:B=$B$1),""MIDDLE"")*6)+(COUNTIF(FILTER(Data!N:N,Data!D:D=A109,Data!B:"&amp;"B=$B$1),""LOW"")*4))"),0.0)</f>
        <v>0</v>
      </c>
      <c r="V109" s="138" t="str">
        <f>IF(Data!B101='Team Parser'!$B$1, Data!D101,"")</f>
        <v/>
      </c>
      <c r="W109" s="134" t="str">
        <f>IF(Data!$B101='Team Parser'!$B$1, Data!H101,"")</f>
        <v/>
      </c>
      <c r="X109" s="134" t="str">
        <f>IF(Data!$B101='Team Parser'!$B$1, Data!G101,"")</f>
        <v/>
      </c>
      <c r="Y109" s="134" t="str">
        <f>IF(Data!$B101='Team Parser'!$B$1, Data!L101,"")</f>
        <v/>
      </c>
      <c r="Z109" s="134" t="str">
        <f>IF(Data!$B101='Team Parser'!$B$1, Data!K101,"")</f>
        <v/>
      </c>
      <c r="AA109" s="134" t="str">
        <f>IF(Data!$B101='Team Parser'!$B$1, Data!M101,"")</f>
        <v/>
      </c>
      <c r="AB109" s="134" t="str">
        <f>IF(Data!$B101='Team Parser'!$B$1,((Z109*2)+(Y109)+(X109*4)+(W109*2)),"")</f>
        <v/>
      </c>
      <c r="AC109" s="134" t="str">
        <f>IF(Data!$B101='Team Parser'!$B$1, Data!N101,"")</f>
        <v/>
      </c>
      <c r="AD109" s="139" t="str">
        <f>IF(Data!$B101='Team Parser'!$B$1,(AB109+(COUNTIF(AC109,"TRAVERSE")*15)+(COUNTIF(AC109,"HIGH")*10)+(COUNTIF(AC109,"MIDDLE")*6)+(COUNTIF(AC109,"LOW")*4)),"")</f>
        <v/>
      </c>
    </row>
    <row r="110">
      <c r="A110" s="133" t="s">
        <v>507</v>
      </c>
      <c r="B110" s="134" t="str">
        <f>IFERROR(__xludf.DUMMYFUNCTION("IFERROR((FILTER(Data!H:H,Data!D:D=A110,Data!B:B=$B$1)),"""")"),"")</f>
        <v/>
      </c>
      <c r="C110" s="134" t="str">
        <f>IFERROR(__xludf.DUMMYFUNCTION("IFERROR((FILTER(Data!G:G,Data!D:D=A110,Data!B:B=$B$1)),"""")"),"")</f>
        <v/>
      </c>
      <c r="D110" s="134" t="str">
        <f>IFERROR(__xludf.DUMMYFUNCTION("IFERROR((FILTER(Data!J:J,Data!D:D=A110,Data!B:B=$B$1)),"""")"),"")</f>
        <v/>
      </c>
      <c r="E110" s="134" t="str">
        <f>IFERROR(__xludf.DUMMYFUNCTION("IFERROR((FILTER(Data!L:L,Data!D:D=A110,Data!B:B=$B$1)),"""")"),"")</f>
        <v/>
      </c>
      <c r="F110" s="134" t="str">
        <f>IFERROR(__xludf.DUMMYFUNCTION("IFERROR((FILTER(Data!K:K,Data!D:D=A110,Data!B:B=$B$1)),"""")"),"")</f>
        <v/>
      </c>
      <c r="G110" s="134" t="str">
        <f>IFERROR(__xludf.DUMMYFUNCTION("IFERROR((FILTER(Data!M:M,Data!D:D=A110,Data!B:B=$B$1)),"""")"),"")</f>
        <v/>
      </c>
      <c r="H110" s="134" t="str">
        <f>IFERROR(__xludf.DUMMYFUNCTION("IFERROR((FILTER(Data!G:G,Data!D:D=A110,Data!B:B=$B$1)*4)+(FILTER(Data!H:H,Data!D:D=A110,Data!B:B=$B$1)*2),"""")"),"")</f>
        <v/>
      </c>
      <c r="I110" s="15" t="str">
        <f>IFERROR(__xludf.DUMMYFUNCTION("IFERROR((FILTER(Data!K:K,Data!D:D=A110,Data!B:B=$B$1)*2)+(FILTER(Data!L:L,Data!D:D=A110,Data!B:B=$B$1)),"""")"),"")</f>
        <v/>
      </c>
      <c r="J110" s="134" t="str">
        <f>IFERROR(__xludf.DUMMYFUNCTION("IFERROR((FILTER(Data!N:N,Data!D:D=A110,Data!B:B=$B$1)),"""")"),"")</f>
        <v/>
      </c>
      <c r="K110" s="135" t="str">
        <f>IFERROR(__xludf.DUMMYFUNCTION("IFERROR((FILTER(Data!H:H,Data!D:D=A110,Data!B:B=$B$1)*2)+(FILTER(Data!L:L,Data!D:D=A110,Data!B:B=$B$1))+(FILTER(Data!G:G,Data!D:D=A110,Data!B:B=$B$1)*4)+(FILTER(Data!K:K,Data!D:D=A110,Data!B:B=$B$1)*2)+(((COUNTIF(FILTER(Data!N:N,Data!D:D=A110,Data!B:B=$B$"&amp;"1),""TRAVERSE"")*15)+(COUNTIF(FILTER(Data!N:N,Data!D:D=A110,Data!B:B=$B$1),""HIGH"")*10)+(COUNTIF(FILTER(Data!N:N,Data!D:D=A110,Data!B:B=$B$1),""MIDDLE"")*6)+(COUNTIF(FILTER(Data!N:N,Data!D:D=A110,Data!B:B=$B$1),""LOW"")*4))),"""")"),"")</f>
        <v/>
      </c>
      <c r="L110" s="136" t="str">
        <f>IFERROR(__xludf.DUMMYFUNCTION("IFERROR((FILTER(Data!P:P,Data!D:D=A110,Data!B:B=$B$1)),"""")"),"")</f>
        <v/>
      </c>
      <c r="M110" s="137" t="str">
        <f>IFERROR(__xludf.DUMMYFUNCTION("IFERROR((FILTER(Data!A:A,Data!D:D=A110,Data!B:B=$B$1)),"""")"),"")</f>
        <v/>
      </c>
      <c r="T110" s="52">
        <f>IFERROR(__xludf.DUMMYFUNCTION("((COUNTIF(FILTER(Data!N:N,Data!D:D=A110,Data!B:B=$B$1),""TRAVERSE"")*15)+(COUNTIF(FILTER(Data!N:N,Data!D:D=A110,Data!B:B=B$1),""HIGH"")*10)+(COUNTIF(FILTER(Data!N:N,Data!D:D=A110,Data!B:B=$B$1),""MIDDLE"")*6)+(COUNTIF(FILTER(Data!N:N,Data!D:D=A110,Data!B:"&amp;"B=$B$1),""LOW"")*4))"),0.0)</f>
        <v>0</v>
      </c>
      <c r="V110" s="138" t="str">
        <f>IF(Data!B102='Team Parser'!$B$1, Data!D102,"")</f>
        <v/>
      </c>
      <c r="W110" s="134" t="str">
        <f>IF(Data!$B102='Team Parser'!$B$1, Data!H102,"")</f>
        <v/>
      </c>
      <c r="X110" s="134" t="str">
        <f>IF(Data!$B102='Team Parser'!$B$1, Data!G102,"")</f>
        <v/>
      </c>
      <c r="Y110" s="134" t="str">
        <f>IF(Data!$B102='Team Parser'!$B$1, Data!L102,"")</f>
        <v/>
      </c>
      <c r="Z110" s="134" t="str">
        <f>IF(Data!$B102='Team Parser'!$B$1, Data!K102,"")</f>
        <v/>
      </c>
      <c r="AA110" s="134" t="str">
        <f>IF(Data!$B102='Team Parser'!$B$1, Data!M102,"")</f>
        <v/>
      </c>
      <c r="AB110" s="134" t="str">
        <f>IF(Data!$B102='Team Parser'!$B$1,((Z110*2)+(Y110)+(X110*4)+(W110*2)),"")</f>
        <v/>
      </c>
      <c r="AC110" s="134" t="str">
        <f>IF(Data!$B102='Team Parser'!$B$1, Data!N102,"")</f>
        <v/>
      </c>
      <c r="AD110" s="139" t="str">
        <f>IF(Data!$B102='Team Parser'!$B$1,(AB110+(COUNTIF(AC110,"TRAVERSE")*15)+(COUNTIF(AC110,"HIGH")*10)+(COUNTIF(AC110,"MIDDLE")*6)+(COUNTIF(AC110,"LOW")*4)),"")</f>
        <v/>
      </c>
    </row>
    <row r="111">
      <c r="A111" s="133" t="s">
        <v>507</v>
      </c>
      <c r="B111" s="134" t="str">
        <f>IFERROR(__xludf.DUMMYFUNCTION("IFERROR((FILTER(Data!H:H,Data!D:D=A111,Data!B:B=$B$1)),"""")"),"")</f>
        <v/>
      </c>
      <c r="C111" s="134" t="str">
        <f>IFERROR(__xludf.DUMMYFUNCTION("IFERROR((FILTER(Data!G:G,Data!D:D=A111,Data!B:B=$B$1)),"""")"),"")</f>
        <v/>
      </c>
      <c r="D111" s="134" t="str">
        <f>IFERROR(__xludf.DUMMYFUNCTION("IFERROR((FILTER(Data!J:J,Data!D:D=A111,Data!B:B=$B$1)),"""")"),"")</f>
        <v/>
      </c>
      <c r="E111" s="134" t="str">
        <f>IFERROR(__xludf.DUMMYFUNCTION("IFERROR((FILTER(Data!L:L,Data!D:D=A111,Data!B:B=$B$1)),"""")"),"")</f>
        <v/>
      </c>
      <c r="F111" s="134" t="str">
        <f>IFERROR(__xludf.DUMMYFUNCTION("IFERROR((FILTER(Data!K:K,Data!D:D=A111,Data!B:B=$B$1)),"""")"),"")</f>
        <v/>
      </c>
      <c r="G111" s="134" t="str">
        <f>IFERROR(__xludf.DUMMYFUNCTION("IFERROR((FILTER(Data!M:M,Data!D:D=A111,Data!B:B=$B$1)),"""")"),"")</f>
        <v/>
      </c>
      <c r="H111" s="134" t="str">
        <f>IFERROR(__xludf.DUMMYFUNCTION("IFERROR((FILTER(Data!G:G,Data!D:D=A111,Data!B:B=$B$1)*4)+(FILTER(Data!H:H,Data!D:D=A111,Data!B:B=$B$1)*2),"""")"),"")</f>
        <v/>
      </c>
      <c r="I111" s="15" t="str">
        <f>IFERROR(__xludf.DUMMYFUNCTION("IFERROR((FILTER(Data!K:K,Data!D:D=A111,Data!B:B=$B$1)*2)+(FILTER(Data!L:L,Data!D:D=A111,Data!B:B=$B$1)),"""")"),"")</f>
        <v/>
      </c>
      <c r="J111" s="134" t="str">
        <f>IFERROR(__xludf.DUMMYFUNCTION("IFERROR((FILTER(Data!N:N,Data!D:D=A111,Data!B:B=$B$1)),"""")"),"")</f>
        <v/>
      </c>
      <c r="K111" s="135" t="str">
        <f>IFERROR(__xludf.DUMMYFUNCTION("IFERROR((FILTER(Data!H:H,Data!D:D=A111,Data!B:B=$B$1)*2)+(FILTER(Data!L:L,Data!D:D=A111,Data!B:B=$B$1))+(FILTER(Data!G:G,Data!D:D=A111,Data!B:B=$B$1)*4)+(FILTER(Data!K:K,Data!D:D=A111,Data!B:B=$B$1)*2)+(((COUNTIF(FILTER(Data!N:N,Data!D:D=A111,Data!B:B=$B$"&amp;"1),""TRAVERSE"")*15)+(COUNTIF(FILTER(Data!N:N,Data!D:D=A111,Data!B:B=$B$1),""HIGH"")*10)+(COUNTIF(FILTER(Data!N:N,Data!D:D=A111,Data!B:B=$B$1),""MIDDLE"")*6)+(COUNTIF(FILTER(Data!N:N,Data!D:D=A111,Data!B:B=$B$1),""LOW"")*4))),"""")"),"")</f>
        <v/>
      </c>
      <c r="L111" s="136" t="str">
        <f>IFERROR(__xludf.DUMMYFUNCTION("IFERROR((FILTER(Data!P:P,Data!D:D=A111,Data!B:B=$B$1)),"""")"),"")</f>
        <v/>
      </c>
      <c r="M111" s="137" t="str">
        <f>IFERROR(__xludf.DUMMYFUNCTION("IFERROR((FILTER(Data!A:A,Data!D:D=A111,Data!B:B=$B$1)),"""")"),"")</f>
        <v/>
      </c>
      <c r="T111" s="52">
        <f>IFERROR(__xludf.DUMMYFUNCTION("((COUNTIF(FILTER(Data!N:N,Data!D:D=A111,Data!B:B=$B$1),""TRAVERSE"")*15)+(COUNTIF(FILTER(Data!N:N,Data!D:D=A111,Data!B:B=B$1),""HIGH"")*10)+(COUNTIF(FILTER(Data!N:N,Data!D:D=A111,Data!B:B=$B$1),""MIDDLE"")*6)+(COUNTIF(FILTER(Data!N:N,Data!D:D=A111,Data!B:"&amp;"B=$B$1),""LOW"")*4))"),0.0)</f>
        <v>0</v>
      </c>
      <c r="V111" s="138" t="str">
        <f>IF(Data!B103='Team Parser'!$B$1, Data!D103,"")</f>
        <v/>
      </c>
      <c r="W111" s="134" t="str">
        <f>IF(Data!$B103='Team Parser'!$B$1, Data!H103,"")</f>
        <v/>
      </c>
      <c r="X111" s="134" t="str">
        <f>IF(Data!$B103='Team Parser'!$B$1, Data!G103,"")</f>
        <v/>
      </c>
      <c r="Y111" s="134" t="str">
        <f>IF(Data!$B103='Team Parser'!$B$1, Data!L103,"")</f>
        <v/>
      </c>
      <c r="Z111" s="134" t="str">
        <f>IF(Data!$B103='Team Parser'!$B$1, Data!K103,"")</f>
        <v/>
      </c>
      <c r="AA111" s="134" t="str">
        <f>IF(Data!$B103='Team Parser'!$B$1, Data!M103,"")</f>
        <v/>
      </c>
      <c r="AB111" s="134" t="str">
        <f>IF(Data!$B103='Team Parser'!$B$1,((Z111*2)+(Y111)+(X111*4)+(W111*2)),"")</f>
        <v/>
      </c>
      <c r="AC111" s="134" t="str">
        <f>IF(Data!$B103='Team Parser'!$B$1, Data!N103,"")</f>
        <v/>
      </c>
      <c r="AD111" s="139" t="str">
        <f>IF(Data!$B103='Team Parser'!$B$1,(AB111+(COUNTIF(AC111,"TRAVERSE")*15)+(COUNTIF(AC111,"HIGH")*10)+(COUNTIF(AC111,"MIDDLE")*6)+(COUNTIF(AC111,"LOW")*4)),"")</f>
        <v/>
      </c>
    </row>
    <row r="112">
      <c r="A112" s="133" t="s">
        <v>507</v>
      </c>
      <c r="B112" s="134" t="str">
        <f>IFERROR(__xludf.DUMMYFUNCTION("IFERROR((FILTER(Data!H:H,Data!D:D=A112,Data!B:B=$B$1)),"""")"),"")</f>
        <v/>
      </c>
      <c r="C112" s="134" t="str">
        <f>IFERROR(__xludf.DUMMYFUNCTION("IFERROR((FILTER(Data!G:G,Data!D:D=A112,Data!B:B=$B$1)),"""")"),"")</f>
        <v/>
      </c>
      <c r="D112" s="134" t="str">
        <f>IFERROR(__xludf.DUMMYFUNCTION("IFERROR((FILTER(Data!J:J,Data!D:D=A112,Data!B:B=$B$1)),"""")"),"")</f>
        <v/>
      </c>
      <c r="E112" s="134" t="str">
        <f>IFERROR(__xludf.DUMMYFUNCTION("IFERROR((FILTER(Data!L:L,Data!D:D=A112,Data!B:B=$B$1)),"""")"),"")</f>
        <v/>
      </c>
      <c r="F112" s="134" t="str">
        <f>IFERROR(__xludf.DUMMYFUNCTION("IFERROR((FILTER(Data!K:K,Data!D:D=A112,Data!B:B=$B$1)),"""")"),"")</f>
        <v/>
      </c>
      <c r="G112" s="134" t="str">
        <f>IFERROR(__xludf.DUMMYFUNCTION("IFERROR((FILTER(Data!M:M,Data!D:D=A112,Data!B:B=$B$1)),"""")"),"")</f>
        <v/>
      </c>
      <c r="H112" s="134" t="str">
        <f>IFERROR(__xludf.DUMMYFUNCTION("IFERROR((FILTER(Data!G:G,Data!D:D=A112,Data!B:B=$B$1)*4)+(FILTER(Data!H:H,Data!D:D=A112,Data!B:B=$B$1)*2),"""")"),"")</f>
        <v/>
      </c>
      <c r="I112" s="15" t="str">
        <f>IFERROR(__xludf.DUMMYFUNCTION("IFERROR((FILTER(Data!K:K,Data!D:D=A112,Data!B:B=$B$1)*2)+(FILTER(Data!L:L,Data!D:D=A112,Data!B:B=$B$1)),"""")"),"")</f>
        <v/>
      </c>
      <c r="J112" s="134" t="str">
        <f>IFERROR(__xludf.DUMMYFUNCTION("IFERROR((FILTER(Data!N:N,Data!D:D=A112,Data!B:B=$B$1)),"""")"),"")</f>
        <v/>
      </c>
      <c r="K112" s="135" t="str">
        <f>IFERROR(__xludf.DUMMYFUNCTION("IFERROR((FILTER(Data!H:H,Data!D:D=A112,Data!B:B=$B$1)*2)+(FILTER(Data!L:L,Data!D:D=A112,Data!B:B=$B$1))+(FILTER(Data!G:G,Data!D:D=A112,Data!B:B=$B$1)*4)+(FILTER(Data!K:K,Data!D:D=A112,Data!B:B=$B$1)*2)+(((COUNTIF(FILTER(Data!N:N,Data!D:D=A112,Data!B:B=$B$"&amp;"1),""TRAVERSE"")*15)+(COUNTIF(FILTER(Data!N:N,Data!D:D=A112,Data!B:B=$B$1),""HIGH"")*10)+(COUNTIF(FILTER(Data!N:N,Data!D:D=A112,Data!B:B=$B$1),""MIDDLE"")*6)+(COUNTIF(FILTER(Data!N:N,Data!D:D=A112,Data!B:B=$B$1),""LOW"")*4))),"""")"),"")</f>
        <v/>
      </c>
      <c r="L112" s="136" t="str">
        <f>IFERROR(__xludf.DUMMYFUNCTION("IFERROR((FILTER(Data!P:P,Data!D:D=A112,Data!B:B=$B$1)),"""")"),"")</f>
        <v/>
      </c>
      <c r="M112" s="137" t="str">
        <f>IFERROR(__xludf.DUMMYFUNCTION("IFERROR((FILTER(Data!A:A,Data!D:D=A112,Data!B:B=$B$1)),"""")"),"")</f>
        <v/>
      </c>
      <c r="T112" s="52">
        <f>IFERROR(__xludf.DUMMYFUNCTION("((COUNTIF(FILTER(Data!N:N,Data!D:D=A112,Data!B:B=$B$1),""TRAVERSE"")*15)+(COUNTIF(FILTER(Data!N:N,Data!D:D=A112,Data!B:B=B$1),""HIGH"")*10)+(COUNTIF(FILTER(Data!N:N,Data!D:D=A112,Data!B:B=$B$1),""MIDDLE"")*6)+(COUNTIF(FILTER(Data!N:N,Data!D:D=A112,Data!B:"&amp;"B=$B$1),""LOW"")*4))"),0.0)</f>
        <v>0</v>
      </c>
      <c r="V112" s="138" t="str">
        <f>IF(Data!B104='Team Parser'!$B$1, Data!D104,"")</f>
        <v/>
      </c>
      <c r="W112" s="134" t="str">
        <f>IF(Data!$B104='Team Parser'!$B$1, Data!H104,"")</f>
        <v/>
      </c>
      <c r="X112" s="134" t="str">
        <f>IF(Data!$B104='Team Parser'!$B$1, Data!G104,"")</f>
        <v/>
      </c>
      <c r="Y112" s="134" t="str">
        <f>IF(Data!$B104='Team Parser'!$B$1, Data!L104,"")</f>
        <v/>
      </c>
      <c r="Z112" s="134" t="str">
        <f>IF(Data!$B104='Team Parser'!$B$1, Data!K104,"")</f>
        <v/>
      </c>
      <c r="AA112" s="134" t="str">
        <f>IF(Data!$B104='Team Parser'!$B$1, Data!M104,"")</f>
        <v/>
      </c>
      <c r="AB112" s="134" t="str">
        <f>IF(Data!$B104='Team Parser'!$B$1,((Z112*2)+(Y112)+(X112*4)+(W112*2)),"")</f>
        <v/>
      </c>
      <c r="AC112" s="134" t="str">
        <f>IF(Data!$B104='Team Parser'!$B$1, Data!N104,"")</f>
        <v/>
      </c>
      <c r="AD112" s="139" t="str">
        <f>IF(Data!$B104='Team Parser'!$B$1,(AB112+(COUNTIF(AC112,"TRAVERSE")*15)+(COUNTIF(AC112,"HIGH")*10)+(COUNTIF(AC112,"MIDDLE")*6)+(COUNTIF(AC112,"LOW")*4)),"")</f>
        <v/>
      </c>
    </row>
    <row r="113">
      <c r="A113" s="133" t="s">
        <v>507</v>
      </c>
      <c r="B113" s="134" t="str">
        <f>IFERROR(__xludf.DUMMYFUNCTION("IFERROR((FILTER(Data!H:H,Data!D:D=A113,Data!B:B=$B$1)),"""")"),"")</f>
        <v/>
      </c>
      <c r="C113" s="134" t="str">
        <f>IFERROR(__xludf.DUMMYFUNCTION("IFERROR((FILTER(Data!G:G,Data!D:D=A113,Data!B:B=$B$1)),"""")"),"")</f>
        <v/>
      </c>
      <c r="D113" s="134" t="str">
        <f>IFERROR(__xludf.DUMMYFUNCTION("IFERROR((FILTER(Data!J:J,Data!D:D=A113,Data!B:B=$B$1)),"""")"),"")</f>
        <v/>
      </c>
      <c r="E113" s="134" t="str">
        <f>IFERROR(__xludf.DUMMYFUNCTION("IFERROR((FILTER(Data!L:L,Data!D:D=A113,Data!B:B=$B$1)),"""")"),"")</f>
        <v/>
      </c>
      <c r="F113" s="134" t="str">
        <f>IFERROR(__xludf.DUMMYFUNCTION("IFERROR((FILTER(Data!K:K,Data!D:D=A113,Data!B:B=$B$1)),"""")"),"")</f>
        <v/>
      </c>
      <c r="G113" s="134" t="str">
        <f>IFERROR(__xludf.DUMMYFUNCTION("IFERROR((FILTER(Data!M:M,Data!D:D=A113,Data!B:B=$B$1)),"""")"),"")</f>
        <v/>
      </c>
      <c r="H113" s="134" t="str">
        <f>IFERROR(__xludf.DUMMYFUNCTION("IFERROR((FILTER(Data!G:G,Data!D:D=A113,Data!B:B=$B$1)*4)+(FILTER(Data!H:H,Data!D:D=A113,Data!B:B=$B$1)*2),"""")"),"")</f>
        <v/>
      </c>
      <c r="I113" s="15" t="str">
        <f>IFERROR(__xludf.DUMMYFUNCTION("IFERROR((FILTER(Data!K:K,Data!D:D=A113,Data!B:B=$B$1)*2)+(FILTER(Data!L:L,Data!D:D=A113,Data!B:B=$B$1)),"""")"),"")</f>
        <v/>
      </c>
      <c r="J113" s="134" t="str">
        <f>IFERROR(__xludf.DUMMYFUNCTION("IFERROR((FILTER(Data!N:N,Data!D:D=A113,Data!B:B=$B$1)),"""")"),"")</f>
        <v/>
      </c>
      <c r="K113" s="135" t="str">
        <f>IFERROR(__xludf.DUMMYFUNCTION("IFERROR((FILTER(Data!H:H,Data!D:D=A113,Data!B:B=$B$1)*2)+(FILTER(Data!L:L,Data!D:D=A113,Data!B:B=$B$1))+(FILTER(Data!G:G,Data!D:D=A113,Data!B:B=$B$1)*4)+(FILTER(Data!K:K,Data!D:D=A113,Data!B:B=$B$1)*2)+(((COUNTIF(FILTER(Data!N:N,Data!D:D=A113,Data!B:B=$B$"&amp;"1),""TRAVERSE"")*15)+(COUNTIF(FILTER(Data!N:N,Data!D:D=A113,Data!B:B=$B$1),""HIGH"")*10)+(COUNTIF(FILTER(Data!N:N,Data!D:D=A113,Data!B:B=$B$1),""MIDDLE"")*6)+(COUNTIF(FILTER(Data!N:N,Data!D:D=A113,Data!B:B=$B$1),""LOW"")*4))),"""")"),"")</f>
        <v/>
      </c>
      <c r="L113" s="136" t="str">
        <f>IFERROR(__xludf.DUMMYFUNCTION("IFERROR((FILTER(Data!P:P,Data!D:D=A113,Data!B:B=$B$1)),"""")"),"")</f>
        <v/>
      </c>
      <c r="M113" s="137" t="str">
        <f>IFERROR(__xludf.DUMMYFUNCTION("IFERROR((FILTER(Data!A:A,Data!D:D=A113,Data!B:B=$B$1)),"""")"),"")</f>
        <v/>
      </c>
      <c r="T113" s="52">
        <f>IFERROR(__xludf.DUMMYFUNCTION("((COUNTIF(FILTER(Data!N:N,Data!D:D=A113,Data!B:B=$B$1),""TRAVERSE"")*15)+(COUNTIF(FILTER(Data!N:N,Data!D:D=A113,Data!B:B=B$1),""HIGH"")*10)+(COUNTIF(FILTER(Data!N:N,Data!D:D=A113,Data!B:B=$B$1),""MIDDLE"")*6)+(COUNTIF(FILTER(Data!N:N,Data!D:D=A113,Data!B:"&amp;"B=$B$1),""LOW"")*4))"),0.0)</f>
        <v>0</v>
      </c>
      <c r="V113" s="138" t="str">
        <f>IF(Data!B105='Team Parser'!$B$1, Data!D105,"")</f>
        <v/>
      </c>
      <c r="W113" s="134" t="str">
        <f>IF(Data!$B105='Team Parser'!$B$1, Data!H105,"")</f>
        <v/>
      </c>
      <c r="X113" s="134" t="str">
        <f>IF(Data!$B105='Team Parser'!$B$1, Data!G105,"")</f>
        <v/>
      </c>
      <c r="Y113" s="134" t="str">
        <f>IF(Data!$B105='Team Parser'!$B$1, Data!L105,"")</f>
        <v/>
      </c>
      <c r="Z113" s="134" t="str">
        <f>IF(Data!$B105='Team Parser'!$B$1, Data!K105,"")</f>
        <v/>
      </c>
      <c r="AA113" s="134" t="str">
        <f>IF(Data!$B105='Team Parser'!$B$1, Data!M105,"")</f>
        <v/>
      </c>
      <c r="AB113" s="134" t="str">
        <f>IF(Data!$B105='Team Parser'!$B$1,((Z113*2)+(Y113)+(X113*4)+(W113*2)),"")</f>
        <v/>
      </c>
      <c r="AC113" s="134" t="str">
        <f>IF(Data!$B105='Team Parser'!$B$1, Data!N105,"")</f>
        <v/>
      </c>
      <c r="AD113" s="139" t="str">
        <f>IF(Data!$B105='Team Parser'!$B$1,(AB113+(COUNTIF(AC113,"TRAVERSE")*15)+(COUNTIF(AC113,"HIGH")*10)+(COUNTIF(AC113,"MIDDLE")*6)+(COUNTIF(AC113,"LOW")*4)),"")</f>
        <v/>
      </c>
    </row>
    <row r="114">
      <c r="A114" s="133" t="s">
        <v>507</v>
      </c>
      <c r="B114" s="134" t="str">
        <f>IFERROR(__xludf.DUMMYFUNCTION("IFERROR((FILTER(Data!H:H,Data!D:D=A114,Data!B:B=$B$1)),"""")"),"")</f>
        <v/>
      </c>
      <c r="C114" s="134" t="str">
        <f>IFERROR(__xludf.DUMMYFUNCTION("IFERROR((FILTER(Data!G:G,Data!D:D=A114,Data!B:B=$B$1)),"""")"),"")</f>
        <v/>
      </c>
      <c r="D114" s="134" t="str">
        <f>IFERROR(__xludf.DUMMYFUNCTION("IFERROR((FILTER(Data!J:J,Data!D:D=A114,Data!B:B=$B$1)),"""")"),"")</f>
        <v/>
      </c>
      <c r="E114" s="134" t="str">
        <f>IFERROR(__xludf.DUMMYFUNCTION("IFERROR((FILTER(Data!L:L,Data!D:D=A114,Data!B:B=$B$1)),"""")"),"")</f>
        <v/>
      </c>
      <c r="F114" s="134" t="str">
        <f>IFERROR(__xludf.DUMMYFUNCTION("IFERROR((FILTER(Data!K:K,Data!D:D=A114,Data!B:B=$B$1)),"""")"),"")</f>
        <v/>
      </c>
      <c r="G114" s="134" t="str">
        <f>IFERROR(__xludf.DUMMYFUNCTION("IFERROR((FILTER(Data!M:M,Data!D:D=A114,Data!B:B=$B$1)),"""")"),"")</f>
        <v/>
      </c>
      <c r="H114" s="134" t="str">
        <f>IFERROR(__xludf.DUMMYFUNCTION("IFERROR((FILTER(Data!G:G,Data!D:D=A114,Data!B:B=$B$1)*4)+(FILTER(Data!H:H,Data!D:D=A114,Data!B:B=$B$1)*2),"""")"),"")</f>
        <v/>
      </c>
      <c r="I114" s="15" t="str">
        <f>IFERROR(__xludf.DUMMYFUNCTION("IFERROR((FILTER(Data!K:K,Data!D:D=A114,Data!B:B=$B$1)*2)+(FILTER(Data!L:L,Data!D:D=A114,Data!B:B=$B$1)),"""")"),"")</f>
        <v/>
      </c>
      <c r="J114" s="134" t="str">
        <f>IFERROR(__xludf.DUMMYFUNCTION("IFERROR((FILTER(Data!N:N,Data!D:D=A114,Data!B:B=$B$1)),"""")"),"")</f>
        <v/>
      </c>
      <c r="K114" s="135" t="str">
        <f>IFERROR(__xludf.DUMMYFUNCTION("IFERROR((FILTER(Data!H:H,Data!D:D=A114,Data!B:B=$B$1)*2)+(FILTER(Data!L:L,Data!D:D=A114,Data!B:B=$B$1))+(FILTER(Data!G:G,Data!D:D=A114,Data!B:B=$B$1)*4)+(FILTER(Data!K:K,Data!D:D=A114,Data!B:B=$B$1)*2)+(((COUNTIF(FILTER(Data!N:N,Data!D:D=A114,Data!B:B=$B$"&amp;"1),""TRAVERSE"")*15)+(COUNTIF(FILTER(Data!N:N,Data!D:D=A114,Data!B:B=$B$1),""HIGH"")*10)+(COUNTIF(FILTER(Data!N:N,Data!D:D=A114,Data!B:B=$B$1),""MIDDLE"")*6)+(COUNTIF(FILTER(Data!N:N,Data!D:D=A114,Data!B:B=$B$1),""LOW"")*4))),"""")"),"")</f>
        <v/>
      </c>
      <c r="L114" s="136" t="str">
        <f>IFERROR(__xludf.DUMMYFUNCTION("IFERROR((FILTER(Data!P:P,Data!D:D=A114,Data!B:B=$B$1)),"""")"),"")</f>
        <v/>
      </c>
      <c r="M114" s="137" t="str">
        <f>IFERROR(__xludf.DUMMYFUNCTION("IFERROR((FILTER(Data!A:A,Data!D:D=A114,Data!B:B=$B$1)),"""")"),"")</f>
        <v/>
      </c>
      <c r="T114" s="52">
        <f>IFERROR(__xludf.DUMMYFUNCTION("((COUNTIF(FILTER(Data!N:N,Data!D:D=A114,Data!B:B=$B$1),""TRAVERSE"")*15)+(COUNTIF(FILTER(Data!N:N,Data!D:D=A114,Data!B:B=B$1),""HIGH"")*10)+(COUNTIF(FILTER(Data!N:N,Data!D:D=A114,Data!B:B=$B$1),""MIDDLE"")*6)+(COUNTIF(FILTER(Data!N:N,Data!D:D=A114,Data!B:"&amp;"B=$B$1),""LOW"")*4))"),0.0)</f>
        <v>0</v>
      </c>
      <c r="V114" s="138" t="str">
        <f>IF(Data!B106='Team Parser'!$B$1, Data!D106,"")</f>
        <v/>
      </c>
      <c r="W114" s="134" t="str">
        <f>IF(Data!$B106='Team Parser'!$B$1, Data!H106,"")</f>
        <v/>
      </c>
      <c r="X114" s="134" t="str">
        <f>IF(Data!$B106='Team Parser'!$B$1, Data!G106,"")</f>
        <v/>
      </c>
      <c r="Y114" s="134" t="str">
        <f>IF(Data!$B106='Team Parser'!$B$1, Data!L106,"")</f>
        <v/>
      </c>
      <c r="Z114" s="134" t="str">
        <f>IF(Data!$B106='Team Parser'!$B$1, Data!K106,"")</f>
        <v/>
      </c>
      <c r="AA114" s="134" t="str">
        <f>IF(Data!$B106='Team Parser'!$B$1, Data!M106,"")</f>
        <v/>
      </c>
      <c r="AB114" s="134" t="str">
        <f>IF(Data!$B106='Team Parser'!$B$1,((Z114*2)+(Y114)+(X114*4)+(W114*2)),"")</f>
        <v/>
      </c>
      <c r="AC114" s="134" t="str">
        <f>IF(Data!$B106='Team Parser'!$B$1, Data!N106,"")</f>
        <v/>
      </c>
      <c r="AD114" s="139" t="str">
        <f>IF(Data!$B106='Team Parser'!$B$1,(AB114+(COUNTIF(AC114,"TRAVERSE")*15)+(COUNTIF(AC114,"HIGH")*10)+(COUNTIF(AC114,"MIDDLE")*6)+(COUNTIF(AC114,"LOW")*4)),"")</f>
        <v/>
      </c>
    </row>
    <row r="115">
      <c r="A115" s="133" t="s">
        <v>507</v>
      </c>
      <c r="B115" s="134" t="str">
        <f>IFERROR(__xludf.DUMMYFUNCTION("IFERROR((FILTER(Data!H:H,Data!D:D=A115,Data!B:B=$B$1)),"""")"),"")</f>
        <v/>
      </c>
      <c r="C115" s="134" t="str">
        <f>IFERROR(__xludf.DUMMYFUNCTION("IFERROR((FILTER(Data!G:G,Data!D:D=A115,Data!B:B=$B$1)),"""")"),"")</f>
        <v/>
      </c>
      <c r="D115" s="134" t="str">
        <f>IFERROR(__xludf.DUMMYFUNCTION("IFERROR((FILTER(Data!J:J,Data!D:D=A115,Data!B:B=$B$1)),"""")"),"")</f>
        <v/>
      </c>
      <c r="E115" s="134" t="str">
        <f>IFERROR(__xludf.DUMMYFUNCTION("IFERROR((FILTER(Data!L:L,Data!D:D=A115,Data!B:B=$B$1)),"""")"),"")</f>
        <v/>
      </c>
      <c r="F115" s="134" t="str">
        <f>IFERROR(__xludf.DUMMYFUNCTION("IFERROR((FILTER(Data!K:K,Data!D:D=A115,Data!B:B=$B$1)),"""")"),"")</f>
        <v/>
      </c>
      <c r="G115" s="134" t="str">
        <f>IFERROR(__xludf.DUMMYFUNCTION("IFERROR((FILTER(Data!M:M,Data!D:D=A115,Data!B:B=$B$1)),"""")"),"")</f>
        <v/>
      </c>
      <c r="H115" s="134" t="str">
        <f>IFERROR(__xludf.DUMMYFUNCTION("IFERROR((FILTER(Data!G:G,Data!D:D=A115,Data!B:B=$B$1)*4)+(FILTER(Data!H:H,Data!D:D=A115,Data!B:B=$B$1)*2),"""")"),"")</f>
        <v/>
      </c>
      <c r="I115" s="15" t="str">
        <f>IFERROR(__xludf.DUMMYFUNCTION("IFERROR((FILTER(Data!K:K,Data!D:D=A115,Data!B:B=$B$1)*2)+(FILTER(Data!L:L,Data!D:D=A115,Data!B:B=$B$1)),"""")"),"")</f>
        <v/>
      </c>
      <c r="J115" s="134" t="str">
        <f>IFERROR(__xludf.DUMMYFUNCTION("IFERROR((FILTER(Data!N:N,Data!D:D=A115,Data!B:B=$B$1)),"""")"),"")</f>
        <v/>
      </c>
      <c r="K115" s="135" t="str">
        <f>IFERROR(__xludf.DUMMYFUNCTION("IFERROR((FILTER(Data!H:H,Data!D:D=A115,Data!B:B=$B$1)*2)+(FILTER(Data!L:L,Data!D:D=A115,Data!B:B=$B$1))+(FILTER(Data!G:G,Data!D:D=A115,Data!B:B=$B$1)*4)+(FILTER(Data!K:K,Data!D:D=A115,Data!B:B=$B$1)*2)+(((COUNTIF(FILTER(Data!N:N,Data!D:D=A115,Data!B:B=$B$"&amp;"1),""TRAVERSE"")*15)+(COUNTIF(FILTER(Data!N:N,Data!D:D=A115,Data!B:B=$B$1),""HIGH"")*10)+(COUNTIF(FILTER(Data!N:N,Data!D:D=A115,Data!B:B=$B$1),""MIDDLE"")*6)+(COUNTIF(FILTER(Data!N:N,Data!D:D=A115,Data!B:B=$B$1),""LOW"")*4))),"""")"),"")</f>
        <v/>
      </c>
      <c r="L115" s="136" t="str">
        <f>IFERROR(__xludf.DUMMYFUNCTION("IFERROR((FILTER(Data!P:P,Data!D:D=A115,Data!B:B=$B$1)),"""")"),"")</f>
        <v/>
      </c>
      <c r="M115" s="137" t="str">
        <f>IFERROR(__xludf.DUMMYFUNCTION("IFERROR((FILTER(Data!A:A,Data!D:D=A115,Data!B:B=$B$1)),"""")"),"")</f>
        <v/>
      </c>
      <c r="T115" s="52">
        <f>IFERROR(__xludf.DUMMYFUNCTION("((COUNTIF(FILTER(Data!N:N,Data!D:D=A115,Data!B:B=$B$1),""TRAVERSE"")*15)+(COUNTIF(FILTER(Data!N:N,Data!D:D=A115,Data!B:B=B$1),""HIGH"")*10)+(COUNTIF(FILTER(Data!N:N,Data!D:D=A115,Data!B:B=$B$1),""MIDDLE"")*6)+(COUNTIF(FILTER(Data!N:N,Data!D:D=A115,Data!B:"&amp;"B=$B$1),""LOW"")*4))"),0.0)</f>
        <v>0</v>
      </c>
      <c r="V115" s="138" t="str">
        <f>IF(Data!B107='Team Parser'!$B$1, Data!D107,"")</f>
        <v/>
      </c>
      <c r="W115" s="134" t="str">
        <f>IF(Data!$B107='Team Parser'!$B$1, Data!H107,"")</f>
        <v/>
      </c>
      <c r="X115" s="134" t="str">
        <f>IF(Data!$B107='Team Parser'!$B$1, Data!G107,"")</f>
        <v/>
      </c>
      <c r="Y115" s="134" t="str">
        <f>IF(Data!$B107='Team Parser'!$B$1, Data!L107,"")</f>
        <v/>
      </c>
      <c r="Z115" s="134" t="str">
        <f>IF(Data!$B107='Team Parser'!$B$1, Data!K107,"")</f>
        <v/>
      </c>
      <c r="AA115" s="134" t="str">
        <f>IF(Data!$B107='Team Parser'!$B$1, Data!M107,"")</f>
        <v/>
      </c>
      <c r="AB115" s="134" t="str">
        <f>IF(Data!$B107='Team Parser'!$B$1,((Z115*2)+(Y115)+(X115*4)+(W115*2)),"")</f>
        <v/>
      </c>
      <c r="AC115" s="134" t="str">
        <f>IF(Data!$B107='Team Parser'!$B$1, Data!N107,"")</f>
        <v/>
      </c>
      <c r="AD115" s="139" t="str">
        <f>IF(Data!$B107='Team Parser'!$B$1,(AB115+(COUNTIF(AC115,"TRAVERSE")*15)+(COUNTIF(AC115,"HIGH")*10)+(COUNTIF(AC115,"MIDDLE")*6)+(COUNTIF(AC115,"LOW")*4)),"")</f>
        <v/>
      </c>
    </row>
    <row r="116">
      <c r="A116" s="133" t="s">
        <v>507</v>
      </c>
      <c r="B116" s="134" t="str">
        <f>IFERROR(__xludf.DUMMYFUNCTION("IFERROR((FILTER(Data!H:H,Data!D:D=A116,Data!B:B=$B$1)),"""")"),"")</f>
        <v/>
      </c>
      <c r="C116" s="134" t="str">
        <f>IFERROR(__xludf.DUMMYFUNCTION("IFERROR((FILTER(Data!G:G,Data!D:D=A116,Data!B:B=$B$1)),"""")"),"")</f>
        <v/>
      </c>
      <c r="D116" s="134" t="str">
        <f>IFERROR(__xludf.DUMMYFUNCTION("IFERROR((FILTER(Data!J:J,Data!D:D=A116,Data!B:B=$B$1)),"""")"),"")</f>
        <v/>
      </c>
      <c r="E116" s="134" t="str">
        <f>IFERROR(__xludf.DUMMYFUNCTION("IFERROR((FILTER(Data!L:L,Data!D:D=A116,Data!B:B=$B$1)),"""")"),"")</f>
        <v/>
      </c>
      <c r="F116" s="134" t="str">
        <f>IFERROR(__xludf.DUMMYFUNCTION("IFERROR((FILTER(Data!K:K,Data!D:D=A116,Data!B:B=$B$1)),"""")"),"")</f>
        <v/>
      </c>
      <c r="G116" s="134" t="str">
        <f>IFERROR(__xludf.DUMMYFUNCTION("IFERROR((FILTER(Data!M:M,Data!D:D=A116,Data!B:B=$B$1)),"""")"),"")</f>
        <v/>
      </c>
      <c r="H116" s="134" t="str">
        <f>IFERROR(__xludf.DUMMYFUNCTION("IFERROR((FILTER(Data!G:G,Data!D:D=A116,Data!B:B=$B$1)*4)+(FILTER(Data!H:H,Data!D:D=A116,Data!B:B=$B$1)*2),"""")"),"")</f>
        <v/>
      </c>
      <c r="I116" s="15" t="str">
        <f>IFERROR(__xludf.DUMMYFUNCTION("IFERROR((FILTER(Data!K:K,Data!D:D=A116,Data!B:B=$B$1)*2)+(FILTER(Data!L:L,Data!D:D=A116,Data!B:B=$B$1)),"""")"),"")</f>
        <v/>
      </c>
      <c r="J116" s="134" t="str">
        <f>IFERROR(__xludf.DUMMYFUNCTION("IFERROR((FILTER(Data!N:N,Data!D:D=A116,Data!B:B=$B$1)),"""")"),"")</f>
        <v/>
      </c>
      <c r="K116" s="135" t="str">
        <f>IFERROR(__xludf.DUMMYFUNCTION("IFERROR((FILTER(Data!H:H,Data!D:D=A116,Data!B:B=$B$1)*2)+(FILTER(Data!L:L,Data!D:D=A116,Data!B:B=$B$1))+(FILTER(Data!G:G,Data!D:D=A116,Data!B:B=$B$1)*4)+(FILTER(Data!K:K,Data!D:D=A116,Data!B:B=$B$1)*2)+(((COUNTIF(FILTER(Data!N:N,Data!D:D=A116,Data!B:B=$B$"&amp;"1),""TRAVERSE"")*15)+(COUNTIF(FILTER(Data!N:N,Data!D:D=A116,Data!B:B=$B$1),""HIGH"")*10)+(COUNTIF(FILTER(Data!N:N,Data!D:D=A116,Data!B:B=$B$1),""MIDDLE"")*6)+(COUNTIF(FILTER(Data!N:N,Data!D:D=A116,Data!B:B=$B$1),""LOW"")*4))),"""")"),"")</f>
        <v/>
      </c>
      <c r="L116" s="136" t="str">
        <f>IFERROR(__xludf.DUMMYFUNCTION("IFERROR((FILTER(Data!P:P,Data!D:D=A116,Data!B:B=$B$1)),"""")"),"")</f>
        <v/>
      </c>
      <c r="M116" s="137" t="str">
        <f>IFERROR(__xludf.DUMMYFUNCTION("IFERROR((FILTER(Data!A:A,Data!D:D=A116,Data!B:B=$B$1)),"""")"),"")</f>
        <v/>
      </c>
      <c r="T116" s="52">
        <f>IFERROR(__xludf.DUMMYFUNCTION("((COUNTIF(FILTER(Data!N:N,Data!D:D=A116,Data!B:B=$B$1),""TRAVERSE"")*15)+(COUNTIF(FILTER(Data!N:N,Data!D:D=A116,Data!B:B=B$1),""HIGH"")*10)+(COUNTIF(FILTER(Data!N:N,Data!D:D=A116,Data!B:B=$B$1),""MIDDLE"")*6)+(COUNTIF(FILTER(Data!N:N,Data!D:D=A116,Data!B:"&amp;"B=$B$1),""LOW"")*4))"),0.0)</f>
        <v>0</v>
      </c>
      <c r="V116" s="138" t="str">
        <f>IF(Data!B108='Team Parser'!$B$1, Data!D108,"")</f>
        <v/>
      </c>
      <c r="W116" s="134" t="str">
        <f>IF(Data!$B108='Team Parser'!$B$1, Data!H108,"")</f>
        <v/>
      </c>
      <c r="X116" s="134" t="str">
        <f>IF(Data!$B108='Team Parser'!$B$1, Data!G108,"")</f>
        <v/>
      </c>
      <c r="Y116" s="134" t="str">
        <f>IF(Data!$B108='Team Parser'!$B$1, Data!L108,"")</f>
        <v/>
      </c>
      <c r="Z116" s="134" t="str">
        <f>IF(Data!$B108='Team Parser'!$B$1, Data!K108,"")</f>
        <v/>
      </c>
      <c r="AA116" s="134" t="str">
        <f>IF(Data!$B108='Team Parser'!$B$1, Data!M108,"")</f>
        <v/>
      </c>
      <c r="AB116" s="134" t="str">
        <f>IF(Data!$B108='Team Parser'!$B$1,((Z116*2)+(Y116)+(X116*4)+(W116*2)),"")</f>
        <v/>
      </c>
      <c r="AC116" s="134" t="str">
        <f>IF(Data!$B108='Team Parser'!$B$1, Data!N108,"")</f>
        <v/>
      </c>
      <c r="AD116" s="139" t="str">
        <f>IF(Data!$B108='Team Parser'!$B$1,(AB116+(COUNTIF(AC116,"TRAVERSE")*15)+(COUNTIF(AC116,"HIGH")*10)+(COUNTIF(AC116,"MIDDLE")*6)+(COUNTIF(AC116,"LOW")*4)),"")</f>
        <v/>
      </c>
    </row>
    <row r="117">
      <c r="A117" s="133" t="s">
        <v>507</v>
      </c>
      <c r="B117" s="134" t="str">
        <f>IFERROR(__xludf.DUMMYFUNCTION("IFERROR((FILTER(Data!H:H,Data!D:D=A117,Data!B:B=$B$1)),"""")"),"")</f>
        <v/>
      </c>
      <c r="C117" s="134" t="str">
        <f>IFERROR(__xludf.DUMMYFUNCTION("IFERROR((FILTER(Data!G:G,Data!D:D=A117,Data!B:B=$B$1)),"""")"),"")</f>
        <v/>
      </c>
      <c r="D117" s="134" t="str">
        <f>IFERROR(__xludf.DUMMYFUNCTION("IFERROR((FILTER(Data!J:J,Data!D:D=A117,Data!B:B=$B$1)),"""")"),"")</f>
        <v/>
      </c>
      <c r="E117" s="134" t="str">
        <f>IFERROR(__xludf.DUMMYFUNCTION("IFERROR((FILTER(Data!L:L,Data!D:D=A117,Data!B:B=$B$1)),"""")"),"")</f>
        <v/>
      </c>
      <c r="F117" s="134" t="str">
        <f>IFERROR(__xludf.DUMMYFUNCTION("IFERROR((FILTER(Data!K:K,Data!D:D=A117,Data!B:B=$B$1)),"""")"),"")</f>
        <v/>
      </c>
      <c r="G117" s="134" t="str">
        <f>IFERROR(__xludf.DUMMYFUNCTION("IFERROR((FILTER(Data!M:M,Data!D:D=A117,Data!B:B=$B$1)),"""")"),"")</f>
        <v/>
      </c>
      <c r="H117" s="134" t="str">
        <f>IFERROR(__xludf.DUMMYFUNCTION("IFERROR((FILTER(Data!G:G,Data!D:D=A117,Data!B:B=$B$1)*4)+(FILTER(Data!H:H,Data!D:D=A117,Data!B:B=$B$1)*2),"""")"),"")</f>
        <v/>
      </c>
      <c r="I117" s="15" t="str">
        <f>IFERROR(__xludf.DUMMYFUNCTION("IFERROR((FILTER(Data!K:K,Data!D:D=A117,Data!B:B=$B$1)*2)+(FILTER(Data!L:L,Data!D:D=A117,Data!B:B=$B$1)),"""")"),"")</f>
        <v/>
      </c>
      <c r="J117" s="134" t="str">
        <f>IFERROR(__xludf.DUMMYFUNCTION("IFERROR((FILTER(Data!N:N,Data!D:D=A117,Data!B:B=$B$1)),"""")"),"")</f>
        <v/>
      </c>
      <c r="K117" s="135" t="str">
        <f>IFERROR(__xludf.DUMMYFUNCTION("IFERROR((FILTER(Data!H:H,Data!D:D=A117,Data!B:B=$B$1)*2)+(FILTER(Data!L:L,Data!D:D=A117,Data!B:B=$B$1))+(FILTER(Data!G:G,Data!D:D=A117,Data!B:B=$B$1)*4)+(FILTER(Data!K:K,Data!D:D=A117,Data!B:B=$B$1)*2)+(((COUNTIF(FILTER(Data!N:N,Data!D:D=A117,Data!B:B=$B$"&amp;"1),""TRAVERSE"")*15)+(COUNTIF(FILTER(Data!N:N,Data!D:D=A117,Data!B:B=$B$1),""HIGH"")*10)+(COUNTIF(FILTER(Data!N:N,Data!D:D=A117,Data!B:B=$B$1),""MIDDLE"")*6)+(COUNTIF(FILTER(Data!N:N,Data!D:D=A117,Data!B:B=$B$1),""LOW"")*4))),"""")"),"")</f>
        <v/>
      </c>
      <c r="L117" s="136" t="str">
        <f>IFERROR(__xludf.DUMMYFUNCTION("IFERROR((FILTER(Data!P:P,Data!D:D=A117,Data!B:B=$B$1)),"""")"),"")</f>
        <v/>
      </c>
      <c r="M117" s="137" t="str">
        <f>IFERROR(__xludf.DUMMYFUNCTION("IFERROR((FILTER(Data!A:A,Data!D:D=A117,Data!B:B=$B$1)),"""")"),"")</f>
        <v/>
      </c>
      <c r="T117" s="52">
        <f>IFERROR(__xludf.DUMMYFUNCTION("((COUNTIF(FILTER(Data!N:N,Data!D:D=A117,Data!B:B=$B$1),""TRAVERSE"")*15)+(COUNTIF(FILTER(Data!N:N,Data!D:D=A117,Data!B:B=B$1),""HIGH"")*10)+(COUNTIF(FILTER(Data!N:N,Data!D:D=A117,Data!B:B=$B$1),""MIDDLE"")*6)+(COUNTIF(FILTER(Data!N:N,Data!D:D=A117,Data!B:"&amp;"B=$B$1),""LOW"")*4))"),0.0)</f>
        <v>0</v>
      </c>
      <c r="V117" s="138" t="str">
        <f>IF(Data!B109='Team Parser'!$B$1, Data!D109,"")</f>
        <v/>
      </c>
      <c r="W117" s="134" t="str">
        <f>IF(Data!$B109='Team Parser'!$B$1, Data!H109,"")</f>
        <v/>
      </c>
      <c r="X117" s="134" t="str">
        <f>IF(Data!$B109='Team Parser'!$B$1, Data!G109,"")</f>
        <v/>
      </c>
      <c r="Y117" s="134" t="str">
        <f>IF(Data!$B109='Team Parser'!$B$1, Data!L109,"")</f>
        <v/>
      </c>
      <c r="Z117" s="134" t="str">
        <f>IF(Data!$B109='Team Parser'!$B$1, Data!K109,"")</f>
        <v/>
      </c>
      <c r="AA117" s="134" t="str">
        <f>IF(Data!$B109='Team Parser'!$B$1, Data!M109,"")</f>
        <v/>
      </c>
      <c r="AB117" s="134" t="str">
        <f>IF(Data!$B109='Team Parser'!$B$1,((Z117*2)+(Y117)+(X117*4)+(W117*2)),"")</f>
        <v/>
      </c>
      <c r="AC117" s="134" t="str">
        <f>IF(Data!$B109='Team Parser'!$B$1, Data!N109,"")</f>
        <v/>
      </c>
      <c r="AD117" s="139" t="str">
        <f>IF(Data!$B109='Team Parser'!$B$1,(AB117+(COUNTIF(AC117,"TRAVERSE")*15)+(COUNTIF(AC117,"HIGH")*10)+(COUNTIF(AC117,"MIDDLE")*6)+(COUNTIF(AC117,"LOW")*4)),"")</f>
        <v/>
      </c>
    </row>
    <row r="118">
      <c r="A118" s="133" t="s">
        <v>507</v>
      </c>
      <c r="B118" s="134" t="str">
        <f>IFERROR(__xludf.DUMMYFUNCTION("IFERROR((FILTER(Data!H:H,Data!D:D=A118,Data!B:B=$B$1)),"""")"),"")</f>
        <v/>
      </c>
      <c r="C118" s="134" t="str">
        <f>IFERROR(__xludf.DUMMYFUNCTION("IFERROR((FILTER(Data!G:G,Data!D:D=A118,Data!B:B=$B$1)),"""")"),"")</f>
        <v/>
      </c>
      <c r="D118" s="134" t="str">
        <f>IFERROR(__xludf.DUMMYFUNCTION("IFERROR((FILTER(Data!J:J,Data!D:D=A118,Data!B:B=$B$1)),"""")"),"")</f>
        <v/>
      </c>
      <c r="E118" s="134" t="str">
        <f>IFERROR(__xludf.DUMMYFUNCTION("IFERROR((FILTER(Data!L:L,Data!D:D=A118,Data!B:B=$B$1)),"""")"),"")</f>
        <v/>
      </c>
      <c r="F118" s="134" t="str">
        <f>IFERROR(__xludf.DUMMYFUNCTION("IFERROR((FILTER(Data!K:K,Data!D:D=A118,Data!B:B=$B$1)),"""")"),"")</f>
        <v/>
      </c>
      <c r="G118" s="134" t="str">
        <f>IFERROR(__xludf.DUMMYFUNCTION("IFERROR((FILTER(Data!M:M,Data!D:D=A118,Data!B:B=$B$1)),"""")"),"")</f>
        <v/>
      </c>
      <c r="H118" s="134" t="str">
        <f>IFERROR(__xludf.DUMMYFUNCTION("IFERROR((FILTER(Data!G:G,Data!D:D=A118,Data!B:B=$B$1)*4)+(FILTER(Data!H:H,Data!D:D=A118,Data!B:B=$B$1)*2),"""")"),"")</f>
        <v/>
      </c>
      <c r="I118" s="15" t="str">
        <f>IFERROR(__xludf.DUMMYFUNCTION("IFERROR((FILTER(Data!K:K,Data!D:D=A118,Data!B:B=$B$1)*2)+(FILTER(Data!L:L,Data!D:D=A118,Data!B:B=$B$1)),"""")"),"")</f>
        <v/>
      </c>
      <c r="J118" s="134" t="str">
        <f>IFERROR(__xludf.DUMMYFUNCTION("IFERROR((FILTER(Data!N:N,Data!D:D=A118,Data!B:B=$B$1)),"""")"),"")</f>
        <v/>
      </c>
      <c r="K118" s="135" t="str">
        <f>IFERROR(__xludf.DUMMYFUNCTION("IFERROR((FILTER(Data!H:H,Data!D:D=A118,Data!B:B=$B$1)*2)+(FILTER(Data!L:L,Data!D:D=A118,Data!B:B=$B$1))+(FILTER(Data!G:G,Data!D:D=A118,Data!B:B=$B$1)*4)+(FILTER(Data!K:K,Data!D:D=A118,Data!B:B=$B$1)*2)+(((COUNTIF(FILTER(Data!N:N,Data!D:D=A118,Data!B:B=$B$"&amp;"1),""TRAVERSE"")*15)+(COUNTIF(FILTER(Data!N:N,Data!D:D=A118,Data!B:B=$B$1),""HIGH"")*10)+(COUNTIF(FILTER(Data!N:N,Data!D:D=A118,Data!B:B=$B$1),""MIDDLE"")*6)+(COUNTIF(FILTER(Data!N:N,Data!D:D=A118,Data!B:B=$B$1),""LOW"")*4))),"""")"),"")</f>
        <v/>
      </c>
      <c r="L118" s="136" t="str">
        <f>IFERROR(__xludf.DUMMYFUNCTION("IFERROR((FILTER(Data!P:P,Data!D:D=A118,Data!B:B=$B$1)),"""")"),"")</f>
        <v/>
      </c>
      <c r="M118" s="137" t="str">
        <f>IFERROR(__xludf.DUMMYFUNCTION("IFERROR((FILTER(Data!A:A,Data!D:D=A118,Data!B:B=$B$1)),"""")"),"")</f>
        <v/>
      </c>
      <c r="T118" s="52">
        <f>IFERROR(__xludf.DUMMYFUNCTION("((COUNTIF(FILTER(Data!N:N,Data!D:D=A118,Data!B:B=$B$1),""TRAVERSE"")*15)+(COUNTIF(FILTER(Data!N:N,Data!D:D=A118,Data!B:B=B$1),""HIGH"")*10)+(COUNTIF(FILTER(Data!N:N,Data!D:D=A118,Data!B:B=$B$1),""MIDDLE"")*6)+(COUNTIF(FILTER(Data!N:N,Data!D:D=A118,Data!B:"&amp;"B=$B$1),""LOW"")*4))"),0.0)</f>
        <v>0</v>
      </c>
      <c r="V118" s="138" t="str">
        <f>IF(Data!B110='Team Parser'!$B$1, Data!D110,"")</f>
        <v/>
      </c>
      <c r="W118" s="134" t="str">
        <f>IF(Data!$B110='Team Parser'!$B$1, Data!H110,"")</f>
        <v/>
      </c>
      <c r="X118" s="134" t="str">
        <f>IF(Data!$B110='Team Parser'!$B$1, Data!G110,"")</f>
        <v/>
      </c>
      <c r="Y118" s="134" t="str">
        <f>IF(Data!$B110='Team Parser'!$B$1, Data!L110,"")</f>
        <v/>
      </c>
      <c r="Z118" s="134" t="str">
        <f>IF(Data!$B110='Team Parser'!$B$1, Data!K110,"")</f>
        <v/>
      </c>
      <c r="AA118" s="134" t="str">
        <f>IF(Data!$B110='Team Parser'!$B$1, Data!M110,"")</f>
        <v/>
      </c>
      <c r="AB118" s="134" t="str">
        <f>IF(Data!$B110='Team Parser'!$B$1,((Z118*2)+(Y118)+(X118*4)+(W118*2)),"")</f>
        <v/>
      </c>
      <c r="AC118" s="134" t="str">
        <f>IF(Data!$B110='Team Parser'!$B$1, Data!N110,"")</f>
        <v/>
      </c>
      <c r="AD118" s="139" t="str">
        <f>IF(Data!$B110='Team Parser'!$B$1,(AB118+(COUNTIF(AC118,"TRAVERSE")*15)+(COUNTIF(AC118,"HIGH")*10)+(COUNTIF(AC118,"MIDDLE")*6)+(COUNTIF(AC118,"LOW")*4)),"")</f>
        <v/>
      </c>
    </row>
    <row r="119">
      <c r="A119" s="133" t="s">
        <v>507</v>
      </c>
      <c r="B119" s="134" t="str">
        <f>IFERROR(__xludf.DUMMYFUNCTION("IFERROR((FILTER(Data!H:H,Data!D:D=A119,Data!B:B=$B$1)),"""")"),"")</f>
        <v/>
      </c>
      <c r="C119" s="134" t="str">
        <f>IFERROR(__xludf.DUMMYFUNCTION("IFERROR((FILTER(Data!G:G,Data!D:D=A119,Data!B:B=$B$1)),"""")"),"")</f>
        <v/>
      </c>
      <c r="D119" s="134" t="str">
        <f>IFERROR(__xludf.DUMMYFUNCTION("IFERROR((FILTER(Data!J:J,Data!D:D=A119,Data!B:B=$B$1)),"""")"),"")</f>
        <v/>
      </c>
      <c r="E119" s="134" t="str">
        <f>IFERROR(__xludf.DUMMYFUNCTION("IFERROR((FILTER(Data!L:L,Data!D:D=A119,Data!B:B=$B$1)),"""")"),"")</f>
        <v/>
      </c>
      <c r="F119" s="134" t="str">
        <f>IFERROR(__xludf.DUMMYFUNCTION("IFERROR((FILTER(Data!K:K,Data!D:D=A119,Data!B:B=$B$1)),"""")"),"")</f>
        <v/>
      </c>
      <c r="G119" s="134" t="str">
        <f>IFERROR(__xludf.DUMMYFUNCTION("IFERROR((FILTER(Data!M:M,Data!D:D=A119,Data!B:B=$B$1)),"""")"),"")</f>
        <v/>
      </c>
      <c r="H119" s="134" t="str">
        <f>IFERROR(__xludf.DUMMYFUNCTION("IFERROR((FILTER(Data!G:G,Data!D:D=A119,Data!B:B=$B$1)*4)+(FILTER(Data!H:H,Data!D:D=A119,Data!B:B=$B$1)*2),"""")"),"")</f>
        <v/>
      </c>
      <c r="I119" s="15" t="str">
        <f>IFERROR(__xludf.DUMMYFUNCTION("IFERROR((FILTER(Data!K:K,Data!D:D=A119,Data!B:B=$B$1)*2)+(FILTER(Data!L:L,Data!D:D=A119,Data!B:B=$B$1)),"""")"),"")</f>
        <v/>
      </c>
      <c r="J119" s="134" t="str">
        <f>IFERROR(__xludf.DUMMYFUNCTION("IFERROR((FILTER(Data!N:N,Data!D:D=A119,Data!B:B=$B$1)),"""")"),"")</f>
        <v/>
      </c>
      <c r="K119" s="135" t="str">
        <f>IFERROR(__xludf.DUMMYFUNCTION("IFERROR((FILTER(Data!H:H,Data!D:D=A119,Data!B:B=$B$1)*2)+(FILTER(Data!L:L,Data!D:D=A119,Data!B:B=$B$1))+(FILTER(Data!G:G,Data!D:D=A119,Data!B:B=$B$1)*4)+(FILTER(Data!K:K,Data!D:D=A119,Data!B:B=$B$1)*2)+(((COUNTIF(FILTER(Data!N:N,Data!D:D=A119,Data!B:B=$B$"&amp;"1),""TRAVERSE"")*15)+(COUNTIF(FILTER(Data!N:N,Data!D:D=A119,Data!B:B=$B$1),""HIGH"")*10)+(COUNTIF(FILTER(Data!N:N,Data!D:D=A119,Data!B:B=$B$1),""MIDDLE"")*6)+(COUNTIF(FILTER(Data!N:N,Data!D:D=A119,Data!B:B=$B$1),""LOW"")*4))),"""")"),"")</f>
        <v/>
      </c>
      <c r="L119" s="136" t="str">
        <f>IFERROR(__xludf.DUMMYFUNCTION("IFERROR((FILTER(Data!P:P,Data!D:D=A119,Data!B:B=$B$1)),"""")"),"")</f>
        <v/>
      </c>
      <c r="M119" s="137" t="str">
        <f>IFERROR(__xludf.DUMMYFUNCTION("IFERROR((FILTER(Data!A:A,Data!D:D=A119,Data!B:B=$B$1)),"""")"),"")</f>
        <v/>
      </c>
      <c r="T119" s="52">
        <f>IFERROR(__xludf.DUMMYFUNCTION("((COUNTIF(FILTER(Data!N:N,Data!D:D=A119,Data!B:B=$B$1),""TRAVERSE"")*15)+(COUNTIF(FILTER(Data!N:N,Data!D:D=A119,Data!B:B=B$1),""HIGH"")*10)+(COUNTIF(FILTER(Data!N:N,Data!D:D=A119,Data!B:B=$B$1),""MIDDLE"")*6)+(COUNTIF(FILTER(Data!N:N,Data!D:D=A119,Data!B:"&amp;"B=$B$1),""LOW"")*4))"),0.0)</f>
        <v>0</v>
      </c>
      <c r="V119" s="138" t="str">
        <f>IF(Data!B111='Team Parser'!$B$1, Data!D111,"")</f>
        <v/>
      </c>
      <c r="W119" s="134" t="str">
        <f>IF(Data!$B111='Team Parser'!$B$1, Data!H111,"")</f>
        <v/>
      </c>
      <c r="X119" s="134" t="str">
        <f>IF(Data!$B111='Team Parser'!$B$1, Data!G111,"")</f>
        <v/>
      </c>
      <c r="Y119" s="134" t="str">
        <f>IF(Data!$B111='Team Parser'!$B$1, Data!L111,"")</f>
        <v/>
      </c>
      <c r="Z119" s="134" t="str">
        <f>IF(Data!$B111='Team Parser'!$B$1, Data!K111,"")</f>
        <v/>
      </c>
      <c r="AA119" s="134" t="str">
        <f>IF(Data!$B111='Team Parser'!$B$1, Data!M111,"")</f>
        <v/>
      </c>
      <c r="AB119" s="134" t="str">
        <f>IF(Data!$B111='Team Parser'!$B$1,((Z119*2)+(Y119)+(X119*4)+(W119*2)),"")</f>
        <v/>
      </c>
      <c r="AC119" s="134" t="str">
        <f>IF(Data!$B111='Team Parser'!$B$1, Data!N111,"")</f>
        <v/>
      </c>
      <c r="AD119" s="139" t="str">
        <f>IF(Data!$B111='Team Parser'!$B$1,(AB119+(COUNTIF(AC119,"TRAVERSE")*15)+(COUNTIF(AC119,"HIGH")*10)+(COUNTIF(AC119,"MIDDLE")*6)+(COUNTIF(AC119,"LOW")*4)),"")</f>
        <v/>
      </c>
    </row>
    <row r="120">
      <c r="A120" s="133" t="s">
        <v>507</v>
      </c>
      <c r="B120" s="134" t="str">
        <f>IFERROR(__xludf.DUMMYFUNCTION("IFERROR((FILTER(Data!H:H,Data!D:D=A120,Data!B:B=$B$1)),"""")"),"")</f>
        <v/>
      </c>
      <c r="C120" s="134" t="str">
        <f>IFERROR(__xludf.DUMMYFUNCTION("IFERROR((FILTER(Data!G:G,Data!D:D=A120,Data!B:B=$B$1)),"""")"),"")</f>
        <v/>
      </c>
      <c r="D120" s="134" t="str">
        <f>IFERROR(__xludf.DUMMYFUNCTION("IFERROR((FILTER(Data!J:J,Data!D:D=A120,Data!B:B=$B$1)),"""")"),"")</f>
        <v/>
      </c>
      <c r="E120" s="134" t="str">
        <f>IFERROR(__xludf.DUMMYFUNCTION("IFERROR((FILTER(Data!L:L,Data!D:D=A120,Data!B:B=$B$1)),"""")"),"")</f>
        <v/>
      </c>
      <c r="F120" s="134" t="str">
        <f>IFERROR(__xludf.DUMMYFUNCTION("IFERROR((FILTER(Data!K:K,Data!D:D=A120,Data!B:B=$B$1)),"""")"),"")</f>
        <v/>
      </c>
      <c r="G120" s="134" t="str">
        <f>IFERROR(__xludf.DUMMYFUNCTION("IFERROR((FILTER(Data!M:M,Data!D:D=A120,Data!B:B=$B$1)),"""")"),"")</f>
        <v/>
      </c>
      <c r="H120" s="134" t="str">
        <f>IFERROR(__xludf.DUMMYFUNCTION("IFERROR((FILTER(Data!G:G,Data!D:D=A120,Data!B:B=$B$1)*4)+(FILTER(Data!H:H,Data!D:D=A120,Data!B:B=$B$1)*2),"""")"),"")</f>
        <v/>
      </c>
      <c r="I120" s="15" t="str">
        <f>IFERROR(__xludf.DUMMYFUNCTION("IFERROR((FILTER(Data!K:K,Data!D:D=A120,Data!B:B=$B$1)*2)+(FILTER(Data!L:L,Data!D:D=A120,Data!B:B=$B$1)),"""")"),"")</f>
        <v/>
      </c>
      <c r="J120" s="134" t="str">
        <f>IFERROR(__xludf.DUMMYFUNCTION("IFERROR((FILTER(Data!N:N,Data!D:D=A120,Data!B:B=$B$1)),"""")"),"")</f>
        <v/>
      </c>
      <c r="K120" s="135" t="str">
        <f>IFERROR(__xludf.DUMMYFUNCTION("IFERROR((FILTER(Data!H:H,Data!D:D=A120,Data!B:B=$B$1)*2)+(FILTER(Data!L:L,Data!D:D=A120,Data!B:B=$B$1))+(FILTER(Data!G:G,Data!D:D=A120,Data!B:B=$B$1)*4)+(FILTER(Data!K:K,Data!D:D=A120,Data!B:B=$B$1)*2)+(((COUNTIF(FILTER(Data!N:N,Data!D:D=A120,Data!B:B=$B$"&amp;"1),""TRAVERSE"")*15)+(COUNTIF(FILTER(Data!N:N,Data!D:D=A120,Data!B:B=$B$1),""HIGH"")*10)+(COUNTIF(FILTER(Data!N:N,Data!D:D=A120,Data!B:B=$B$1),""MIDDLE"")*6)+(COUNTIF(FILTER(Data!N:N,Data!D:D=A120,Data!B:B=$B$1),""LOW"")*4))),"""")"),"")</f>
        <v/>
      </c>
      <c r="L120" s="136" t="str">
        <f>IFERROR(__xludf.DUMMYFUNCTION("IFERROR((FILTER(Data!P:P,Data!D:D=A120,Data!B:B=$B$1)),"""")"),"")</f>
        <v/>
      </c>
      <c r="M120" s="137" t="str">
        <f>IFERROR(__xludf.DUMMYFUNCTION("IFERROR((FILTER(Data!A:A,Data!D:D=A120,Data!B:B=$B$1)),"""")"),"")</f>
        <v/>
      </c>
      <c r="T120" s="52">
        <f>IFERROR(__xludf.DUMMYFUNCTION("((COUNTIF(FILTER(Data!N:N,Data!D:D=A120,Data!B:B=$B$1),""TRAVERSE"")*15)+(COUNTIF(FILTER(Data!N:N,Data!D:D=A120,Data!B:B=B$1),""HIGH"")*10)+(COUNTIF(FILTER(Data!N:N,Data!D:D=A120,Data!B:B=$B$1),""MIDDLE"")*6)+(COUNTIF(FILTER(Data!N:N,Data!D:D=A120,Data!B:"&amp;"B=$B$1),""LOW"")*4))"),0.0)</f>
        <v>0</v>
      </c>
      <c r="V120" s="138" t="str">
        <f>IF(Data!B112='Team Parser'!$B$1, Data!D112,"")</f>
        <v/>
      </c>
      <c r="W120" s="134" t="str">
        <f>IF(Data!$B112='Team Parser'!$B$1, Data!H112,"")</f>
        <v/>
      </c>
      <c r="X120" s="134" t="str">
        <f>IF(Data!$B112='Team Parser'!$B$1, Data!G112,"")</f>
        <v/>
      </c>
      <c r="Y120" s="134" t="str">
        <f>IF(Data!$B112='Team Parser'!$B$1, Data!L112,"")</f>
        <v/>
      </c>
      <c r="Z120" s="134" t="str">
        <f>IF(Data!$B112='Team Parser'!$B$1, Data!K112,"")</f>
        <v/>
      </c>
      <c r="AA120" s="134" t="str">
        <f>IF(Data!$B112='Team Parser'!$B$1, Data!M112,"")</f>
        <v/>
      </c>
      <c r="AB120" s="134" t="str">
        <f>IF(Data!$B112='Team Parser'!$B$1,((Z120*2)+(Y120)+(X120*4)+(W120*2)),"")</f>
        <v/>
      </c>
      <c r="AC120" s="134" t="str">
        <f>IF(Data!$B112='Team Parser'!$B$1, Data!N112,"")</f>
        <v/>
      </c>
      <c r="AD120" s="139" t="str">
        <f>IF(Data!$B112='Team Parser'!$B$1,(AB120+(COUNTIF(AC120,"TRAVERSE")*15)+(COUNTIF(AC120,"HIGH")*10)+(COUNTIF(AC120,"MIDDLE")*6)+(COUNTIF(AC120,"LOW")*4)),"")</f>
        <v/>
      </c>
    </row>
    <row r="121">
      <c r="A121" s="133" t="s">
        <v>507</v>
      </c>
      <c r="B121" s="134" t="str">
        <f>IFERROR(__xludf.DUMMYFUNCTION("IFERROR((FILTER(Data!H:H,Data!D:D=A121,Data!B:B=$B$1)),"""")"),"")</f>
        <v/>
      </c>
      <c r="C121" s="134" t="str">
        <f>IFERROR(__xludf.DUMMYFUNCTION("IFERROR((FILTER(Data!G:G,Data!D:D=A121,Data!B:B=$B$1)),"""")"),"")</f>
        <v/>
      </c>
      <c r="D121" s="134" t="str">
        <f>IFERROR(__xludf.DUMMYFUNCTION("IFERROR((FILTER(Data!J:J,Data!D:D=A121,Data!B:B=$B$1)),"""")"),"")</f>
        <v/>
      </c>
      <c r="E121" s="134" t="str">
        <f>IFERROR(__xludf.DUMMYFUNCTION("IFERROR((FILTER(Data!L:L,Data!D:D=A121,Data!B:B=$B$1)),"""")"),"")</f>
        <v/>
      </c>
      <c r="F121" s="134" t="str">
        <f>IFERROR(__xludf.DUMMYFUNCTION("IFERROR((FILTER(Data!K:K,Data!D:D=A121,Data!B:B=$B$1)),"""")"),"")</f>
        <v/>
      </c>
      <c r="G121" s="134" t="str">
        <f>IFERROR(__xludf.DUMMYFUNCTION("IFERROR((FILTER(Data!M:M,Data!D:D=A121,Data!B:B=$B$1)),"""")"),"")</f>
        <v/>
      </c>
      <c r="H121" s="134" t="str">
        <f>IFERROR(__xludf.DUMMYFUNCTION("IFERROR((FILTER(Data!G:G,Data!D:D=A121,Data!B:B=$B$1)*4)+(FILTER(Data!H:H,Data!D:D=A121,Data!B:B=$B$1)*2),"""")"),"")</f>
        <v/>
      </c>
      <c r="I121" s="15" t="str">
        <f>IFERROR(__xludf.DUMMYFUNCTION("IFERROR((FILTER(Data!K:K,Data!D:D=A121,Data!B:B=$B$1)*2)+(FILTER(Data!L:L,Data!D:D=A121,Data!B:B=$B$1)),"""")"),"")</f>
        <v/>
      </c>
      <c r="J121" s="134" t="str">
        <f>IFERROR(__xludf.DUMMYFUNCTION("IFERROR((FILTER(Data!N:N,Data!D:D=A121,Data!B:B=$B$1)),"""")"),"")</f>
        <v/>
      </c>
      <c r="K121" s="135" t="str">
        <f>IFERROR(__xludf.DUMMYFUNCTION("IFERROR((FILTER(Data!H:H,Data!D:D=A121,Data!B:B=$B$1)*2)+(FILTER(Data!L:L,Data!D:D=A121,Data!B:B=$B$1))+(FILTER(Data!G:G,Data!D:D=A121,Data!B:B=$B$1)*4)+(FILTER(Data!K:K,Data!D:D=A121,Data!B:B=$B$1)*2)+(((COUNTIF(FILTER(Data!N:N,Data!D:D=A121,Data!B:B=$B$"&amp;"1),""TRAVERSE"")*15)+(COUNTIF(FILTER(Data!N:N,Data!D:D=A121,Data!B:B=$B$1),""HIGH"")*10)+(COUNTIF(FILTER(Data!N:N,Data!D:D=A121,Data!B:B=$B$1),""MIDDLE"")*6)+(COUNTIF(FILTER(Data!N:N,Data!D:D=A121,Data!B:B=$B$1),""LOW"")*4))),"""")"),"")</f>
        <v/>
      </c>
      <c r="L121" s="136" t="str">
        <f>IFERROR(__xludf.DUMMYFUNCTION("IFERROR((FILTER(Data!P:P,Data!D:D=A121,Data!B:B=$B$1)),"""")"),"")</f>
        <v/>
      </c>
      <c r="M121" s="137" t="str">
        <f>IFERROR(__xludf.DUMMYFUNCTION("IFERROR((FILTER(Data!A:A,Data!D:D=A121,Data!B:B=$B$1)),"""")"),"")</f>
        <v/>
      </c>
      <c r="T121" s="52">
        <f>IFERROR(__xludf.DUMMYFUNCTION("((COUNTIF(FILTER(Data!N:N,Data!D:D=A121,Data!B:B=$B$1),""TRAVERSE"")*15)+(COUNTIF(FILTER(Data!N:N,Data!D:D=A121,Data!B:B=B$1),""HIGH"")*10)+(COUNTIF(FILTER(Data!N:N,Data!D:D=A121,Data!B:B=$B$1),""MIDDLE"")*6)+(COUNTIF(FILTER(Data!N:N,Data!D:D=A121,Data!B:"&amp;"B=$B$1),""LOW"")*4))"),0.0)</f>
        <v>0</v>
      </c>
      <c r="V121" s="138" t="str">
        <f>IF(Data!B113='Team Parser'!$B$1, Data!D113,"")</f>
        <v/>
      </c>
      <c r="W121" s="134" t="str">
        <f>IF(Data!$B113='Team Parser'!$B$1, Data!H113,"")</f>
        <v/>
      </c>
      <c r="X121" s="134" t="str">
        <f>IF(Data!$B113='Team Parser'!$B$1, Data!G113,"")</f>
        <v/>
      </c>
      <c r="Y121" s="134" t="str">
        <f>IF(Data!$B113='Team Parser'!$B$1, Data!L113,"")</f>
        <v/>
      </c>
      <c r="Z121" s="134" t="str">
        <f>IF(Data!$B113='Team Parser'!$B$1, Data!K113,"")</f>
        <v/>
      </c>
      <c r="AA121" s="134" t="str">
        <f>IF(Data!$B113='Team Parser'!$B$1, Data!M113,"")</f>
        <v/>
      </c>
      <c r="AB121" s="134" t="str">
        <f>IF(Data!$B113='Team Parser'!$B$1,((Z121*2)+(Y121)+(X121*4)+(W121*2)),"")</f>
        <v/>
      </c>
      <c r="AC121" s="134" t="str">
        <f>IF(Data!$B113='Team Parser'!$B$1, Data!N113,"")</f>
        <v/>
      </c>
      <c r="AD121" s="139" t="str">
        <f>IF(Data!$B113='Team Parser'!$B$1,(AB121+(COUNTIF(AC121,"TRAVERSE")*15)+(COUNTIF(AC121,"HIGH")*10)+(COUNTIF(AC121,"MIDDLE")*6)+(COUNTIF(AC121,"LOW")*4)),"")</f>
        <v/>
      </c>
    </row>
    <row r="122">
      <c r="A122" s="133" t="s">
        <v>507</v>
      </c>
      <c r="B122" s="134" t="str">
        <f>IFERROR(__xludf.DUMMYFUNCTION("IFERROR((FILTER(Data!H:H,Data!D:D=A122,Data!B:B=$B$1)),"""")"),"")</f>
        <v/>
      </c>
      <c r="C122" s="134" t="str">
        <f>IFERROR(__xludf.DUMMYFUNCTION("IFERROR((FILTER(Data!G:G,Data!D:D=A122,Data!B:B=$B$1)),"""")"),"")</f>
        <v/>
      </c>
      <c r="D122" s="134" t="str">
        <f>IFERROR(__xludf.DUMMYFUNCTION("IFERROR((FILTER(Data!J:J,Data!D:D=A122,Data!B:B=$B$1)),"""")"),"")</f>
        <v/>
      </c>
      <c r="E122" s="134" t="str">
        <f>IFERROR(__xludf.DUMMYFUNCTION("IFERROR((FILTER(Data!L:L,Data!D:D=A122,Data!B:B=$B$1)),"""")"),"")</f>
        <v/>
      </c>
      <c r="F122" s="134" t="str">
        <f>IFERROR(__xludf.DUMMYFUNCTION("IFERROR((FILTER(Data!K:K,Data!D:D=A122,Data!B:B=$B$1)),"""")"),"")</f>
        <v/>
      </c>
      <c r="G122" s="134" t="str">
        <f>IFERROR(__xludf.DUMMYFUNCTION("IFERROR((FILTER(Data!M:M,Data!D:D=A122,Data!B:B=$B$1)),"""")"),"")</f>
        <v/>
      </c>
      <c r="H122" s="134" t="str">
        <f>IFERROR(__xludf.DUMMYFUNCTION("IFERROR((FILTER(Data!G:G,Data!D:D=A122,Data!B:B=$B$1)*4)+(FILTER(Data!H:H,Data!D:D=A122,Data!B:B=$B$1)*2),"""")"),"")</f>
        <v/>
      </c>
      <c r="I122" s="15" t="str">
        <f>IFERROR(__xludf.DUMMYFUNCTION("IFERROR((FILTER(Data!K:K,Data!D:D=A122,Data!B:B=$B$1)*2)+(FILTER(Data!L:L,Data!D:D=A122,Data!B:B=$B$1)),"""")"),"")</f>
        <v/>
      </c>
      <c r="J122" s="134" t="str">
        <f>IFERROR(__xludf.DUMMYFUNCTION("IFERROR((FILTER(Data!N:N,Data!D:D=A122,Data!B:B=$B$1)),"""")"),"")</f>
        <v/>
      </c>
      <c r="K122" s="135" t="str">
        <f>IFERROR(__xludf.DUMMYFUNCTION("IFERROR((FILTER(Data!H:H,Data!D:D=A122,Data!B:B=$B$1)*2)+(FILTER(Data!L:L,Data!D:D=A122,Data!B:B=$B$1))+(FILTER(Data!G:G,Data!D:D=A122,Data!B:B=$B$1)*4)+(FILTER(Data!K:K,Data!D:D=A122,Data!B:B=$B$1)*2)+(((COUNTIF(FILTER(Data!N:N,Data!D:D=A122,Data!B:B=$B$"&amp;"1),""TRAVERSE"")*15)+(COUNTIF(FILTER(Data!N:N,Data!D:D=A122,Data!B:B=$B$1),""HIGH"")*10)+(COUNTIF(FILTER(Data!N:N,Data!D:D=A122,Data!B:B=$B$1),""MIDDLE"")*6)+(COUNTIF(FILTER(Data!N:N,Data!D:D=A122,Data!B:B=$B$1),""LOW"")*4))),"""")"),"")</f>
        <v/>
      </c>
      <c r="L122" s="136" t="str">
        <f>IFERROR(__xludf.DUMMYFUNCTION("IFERROR((FILTER(Data!P:P,Data!D:D=A122,Data!B:B=$B$1)),"""")"),"")</f>
        <v/>
      </c>
      <c r="M122" s="137" t="str">
        <f>IFERROR(__xludf.DUMMYFUNCTION("IFERROR((FILTER(Data!A:A,Data!D:D=A122,Data!B:B=$B$1)),"""")"),"")</f>
        <v/>
      </c>
      <c r="T122" s="52">
        <f>IFERROR(__xludf.DUMMYFUNCTION("((COUNTIF(FILTER(Data!N:N,Data!D:D=A122,Data!B:B=$B$1),""TRAVERSE"")*15)+(COUNTIF(FILTER(Data!N:N,Data!D:D=A122,Data!B:B=B$1),""HIGH"")*10)+(COUNTIF(FILTER(Data!N:N,Data!D:D=A122,Data!B:B=$B$1),""MIDDLE"")*6)+(COUNTIF(FILTER(Data!N:N,Data!D:D=A122,Data!B:"&amp;"B=$B$1),""LOW"")*4))"),0.0)</f>
        <v>0</v>
      </c>
      <c r="V122" s="138" t="str">
        <f>IF(Data!B114='Team Parser'!$B$1, Data!D114,"")</f>
        <v/>
      </c>
      <c r="W122" s="134" t="str">
        <f>IF(Data!$B114='Team Parser'!$B$1, Data!H114,"")</f>
        <v/>
      </c>
      <c r="X122" s="134" t="str">
        <f>IF(Data!$B114='Team Parser'!$B$1, Data!G114,"")</f>
        <v/>
      </c>
      <c r="Y122" s="134" t="str">
        <f>IF(Data!$B114='Team Parser'!$B$1, Data!L114,"")</f>
        <v/>
      </c>
      <c r="Z122" s="134" t="str">
        <f>IF(Data!$B114='Team Parser'!$B$1, Data!K114,"")</f>
        <v/>
      </c>
      <c r="AA122" s="134" t="str">
        <f>IF(Data!$B114='Team Parser'!$B$1, Data!M114,"")</f>
        <v/>
      </c>
      <c r="AB122" s="134" t="str">
        <f>IF(Data!$B114='Team Parser'!$B$1,((Z122*2)+(Y122)+(X122*4)+(W122*2)),"")</f>
        <v/>
      </c>
      <c r="AC122" s="134" t="str">
        <f>IF(Data!$B114='Team Parser'!$B$1, Data!N114,"")</f>
        <v/>
      </c>
      <c r="AD122" s="139" t="str">
        <f>IF(Data!$B114='Team Parser'!$B$1,(AB122+(COUNTIF(AC122,"TRAVERSE")*15)+(COUNTIF(AC122,"HIGH")*10)+(COUNTIF(AC122,"MIDDLE")*6)+(COUNTIF(AC122,"LOW")*4)),"")</f>
        <v/>
      </c>
    </row>
    <row r="123">
      <c r="A123" s="133" t="s">
        <v>507</v>
      </c>
      <c r="B123" s="134" t="str">
        <f>IFERROR(__xludf.DUMMYFUNCTION("IFERROR((FILTER(Data!H:H,Data!D:D=A123,Data!B:B=$B$1)),"""")"),"")</f>
        <v/>
      </c>
      <c r="C123" s="134" t="str">
        <f>IFERROR(__xludf.DUMMYFUNCTION("IFERROR((FILTER(Data!G:G,Data!D:D=A123,Data!B:B=$B$1)),"""")"),"")</f>
        <v/>
      </c>
      <c r="D123" s="134" t="str">
        <f>IFERROR(__xludf.DUMMYFUNCTION("IFERROR((FILTER(Data!J:J,Data!D:D=A123,Data!B:B=$B$1)),"""")"),"")</f>
        <v/>
      </c>
      <c r="E123" s="134" t="str">
        <f>IFERROR(__xludf.DUMMYFUNCTION("IFERROR((FILTER(Data!L:L,Data!D:D=A123,Data!B:B=$B$1)),"""")"),"")</f>
        <v/>
      </c>
      <c r="F123" s="134" t="str">
        <f>IFERROR(__xludf.DUMMYFUNCTION("IFERROR((FILTER(Data!K:K,Data!D:D=A123,Data!B:B=$B$1)),"""")"),"")</f>
        <v/>
      </c>
      <c r="G123" s="134" t="str">
        <f>IFERROR(__xludf.DUMMYFUNCTION("IFERROR((FILTER(Data!M:M,Data!D:D=A123,Data!B:B=$B$1)),"""")"),"")</f>
        <v/>
      </c>
      <c r="H123" s="134" t="str">
        <f>IFERROR(__xludf.DUMMYFUNCTION("IFERROR((FILTER(Data!G:G,Data!D:D=A123,Data!B:B=$B$1)*4)+(FILTER(Data!H:H,Data!D:D=A123,Data!B:B=$B$1)*2),"""")"),"")</f>
        <v/>
      </c>
      <c r="I123" s="15" t="str">
        <f>IFERROR(__xludf.DUMMYFUNCTION("IFERROR((FILTER(Data!K:K,Data!D:D=A123,Data!B:B=$B$1)*2)+(FILTER(Data!L:L,Data!D:D=A123,Data!B:B=$B$1)),"""")"),"")</f>
        <v/>
      </c>
      <c r="J123" s="134" t="str">
        <f>IFERROR(__xludf.DUMMYFUNCTION("IFERROR((FILTER(Data!N:N,Data!D:D=A123,Data!B:B=$B$1)),"""")"),"")</f>
        <v/>
      </c>
      <c r="K123" s="135" t="str">
        <f>IFERROR(__xludf.DUMMYFUNCTION("IFERROR((FILTER(Data!H:H,Data!D:D=A123,Data!B:B=$B$1)*2)+(FILTER(Data!L:L,Data!D:D=A123,Data!B:B=$B$1))+(FILTER(Data!G:G,Data!D:D=A123,Data!B:B=$B$1)*4)+(FILTER(Data!K:K,Data!D:D=A123,Data!B:B=$B$1)*2)+(((COUNTIF(FILTER(Data!N:N,Data!D:D=A123,Data!B:B=$B$"&amp;"1),""TRAVERSE"")*15)+(COUNTIF(FILTER(Data!N:N,Data!D:D=A123,Data!B:B=$B$1),""HIGH"")*10)+(COUNTIF(FILTER(Data!N:N,Data!D:D=A123,Data!B:B=$B$1),""MIDDLE"")*6)+(COUNTIF(FILTER(Data!N:N,Data!D:D=A123,Data!B:B=$B$1),""LOW"")*4))),"""")"),"")</f>
        <v/>
      </c>
      <c r="L123" s="136" t="str">
        <f>IFERROR(__xludf.DUMMYFUNCTION("IFERROR((FILTER(Data!P:P,Data!D:D=A123,Data!B:B=$B$1)),"""")"),"")</f>
        <v/>
      </c>
      <c r="M123" s="137" t="str">
        <f>IFERROR(__xludf.DUMMYFUNCTION("IFERROR((FILTER(Data!A:A,Data!D:D=A123,Data!B:B=$B$1)),"""")"),"")</f>
        <v/>
      </c>
      <c r="T123" s="52">
        <f>IFERROR(__xludf.DUMMYFUNCTION("((COUNTIF(FILTER(Data!N:N,Data!D:D=A123,Data!B:B=$B$1),""TRAVERSE"")*15)+(COUNTIF(FILTER(Data!N:N,Data!D:D=A123,Data!B:B=B$1),""HIGH"")*10)+(COUNTIF(FILTER(Data!N:N,Data!D:D=A123,Data!B:B=$B$1),""MIDDLE"")*6)+(COUNTIF(FILTER(Data!N:N,Data!D:D=A123,Data!B:"&amp;"B=$B$1),""LOW"")*4))"),0.0)</f>
        <v>0</v>
      </c>
      <c r="V123" s="138" t="str">
        <f>IF(Data!B115='Team Parser'!$B$1, Data!D115,"")</f>
        <v/>
      </c>
      <c r="W123" s="134" t="str">
        <f>IF(Data!$B115='Team Parser'!$B$1, Data!H115,"")</f>
        <v/>
      </c>
      <c r="X123" s="134" t="str">
        <f>IF(Data!$B115='Team Parser'!$B$1, Data!G115,"")</f>
        <v/>
      </c>
      <c r="Y123" s="134" t="str">
        <f>IF(Data!$B115='Team Parser'!$B$1, Data!L115,"")</f>
        <v/>
      </c>
      <c r="Z123" s="134" t="str">
        <f>IF(Data!$B115='Team Parser'!$B$1, Data!K115,"")</f>
        <v/>
      </c>
      <c r="AA123" s="134" t="str">
        <f>IF(Data!$B115='Team Parser'!$B$1, Data!M115,"")</f>
        <v/>
      </c>
      <c r="AB123" s="134" t="str">
        <f>IF(Data!$B115='Team Parser'!$B$1,((Z123*2)+(Y123)+(X123*4)+(W123*2)),"")</f>
        <v/>
      </c>
      <c r="AC123" s="134" t="str">
        <f>IF(Data!$B115='Team Parser'!$B$1, Data!N115,"")</f>
        <v/>
      </c>
      <c r="AD123" s="139" t="str">
        <f>IF(Data!$B115='Team Parser'!$B$1,(AB123+(COUNTIF(AC123,"TRAVERSE")*15)+(COUNTIF(AC123,"HIGH")*10)+(COUNTIF(AC123,"MIDDLE")*6)+(COUNTIF(AC123,"LOW")*4)),"")</f>
        <v/>
      </c>
    </row>
    <row r="124">
      <c r="A124" s="133" t="s">
        <v>507</v>
      </c>
      <c r="B124" s="134" t="str">
        <f>IFERROR(__xludf.DUMMYFUNCTION("IFERROR((FILTER(Data!H:H,Data!D:D=A124,Data!B:B=$B$1)),"""")"),"")</f>
        <v/>
      </c>
      <c r="C124" s="134" t="str">
        <f>IFERROR(__xludf.DUMMYFUNCTION("IFERROR((FILTER(Data!G:G,Data!D:D=A124,Data!B:B=$B$1)),"""")"),"")</f>
        <v/>
      </c>
      <c r="D124" s="134" t="str">
        <f>IFERROR(__xludf.DUMMYFUNCTION("IFERROR((FILTER(Data!J:J,Data!D:D=A124,Data!B:B=$B$1)),"""")"),"")</f>
        <v/>
      </c>
      <c r="E124" s="134" t="str">
        <f>IFERROR(__xludf.DUMMYFUNCTION("IFERROR((FILTER(Data!L:L,Data!D:D=A124,Data!B:B=$B$1)),"""")"),"")</f>
        <v/>
      </c>
      <c r="F124" s="134" t="str">
        <f>IFERROR(__xludf.DUMMYFUNCTION("IFERROR((FILTER(Data!K:K,Data!D:D=A124,Data!B:B=$B$1)),"""")"),"")</f>
        <v/>
      </c>
      <c r="G124" s="134" t="str">
        <f>IFERROR(__xludf.DUMMYFUNCTION("IFERROR((FILTER(Data!M:M,Data!D:D=A124,Data!B:B=$B$1)),"""")"),"")</f>
        <v/>
      </c>
      <c r="H124" s="134" t="str">
        <f>IFERROR(__xludf.DUMMYFUNCTION("IFERROR((FILTER(Data!G:G,Data!D:D=A124,Data!B:B=$B$1)*4)+(FILTER(Data!H:H,Data!D:D=A124,Data!B:B=$B$1)*2),"""")"),"")</f>
        <v/>
      </c>
      <c r="I124" s="15" t="str">
        <f>IFERROR(__xludf.DUMMYFUNCTION("IFERROR((FILTER(Data!K:K,Data!D:D=A124,Data!B:B=$B$1)*2)+(FILTER(Data!L:L,Data!D:D=A124,Data!B:B=$B$1)),"""")"),"")</f>
        <v/>
      </c>
      <c r="J124" s="134" t="str">
        <f>IFERROR(__xludf.DUMMYFUNCTION("IFERROR((FILTER(Data!N:N,Data!D:D=A124,Data!B:B=$B$1)),"""")"),"")</f>
        <v/>
      </c>
      <c r="K124" s="135" t="str">
        <f>IFERROR(__xludf.DUMMYFUNCTION("IFERROR((FILTER(Data!H:H,Data!D:D=A124,Data!B:B=$B$1)*2)+(FILTER(Data!L:L,Data!D:D=A124,Data!B:B=$B$1))+(FILTER(Data!G:G,Data!D:D=A124,Data!B:B=$B$1)*4)+(FILTER(Data!K:K,Data!D:D=A124,Data!B:B=$B$1)*2)+(((COUNTIF(FILTER(Data!N:N,Data!D:D=A124,Data!B:B=$B$"&amp;"1),""TRAVERSE"")*15)+(COUNTIF(FILTER(Data!N:N,Data!D:D=A124,Data!B:B=$B$1),""HIGH"")*10)+(COUNTIF(FILTER(Data!N:N,Data!D:D=A124,Data!B:B=$B$1),""MIDDLE"")*6)+(COUNTIF(FILTER(Data!N:N,Data!D:D=A124,Data!B:B=$B$1),""LOW"")*4))),"""")"),"")</f>
        <v/>
      </c>
      <c r="L124" s="136" t="str">
        <f>IFERROR(__xludf.DUMMYFUNCTION("IFERROR((FILTER(Data!P:P,Data!D:D=A124,Data!B:B=$B$1)),"""")"),"")</f>
        <v/>
      </c>
      <c r="M124" s="137" t="str">
        <f>IFERROR(__xludf.DUMMYFUNCTION("IFERROR((FILTER(Data!A:A,Data!D:D=A124,Data!B:B=$B$1)),"""")"),"")</f>
        <v/>
      </c>
      <c r="T124" s="52">
        <f>IFERROR(__xludf.DUMMYFUNCTION("((COUNTIF(FILTER(Data!N:N,Data!D:D=A124,Data!B:B=$B$1),""TRAVERSE"")*15)+(COUNTIF(FILTER(Data!N:N,Data!D:D=A124,Data!B:B=B$1),""HIGH"")*10)+(COUNTIF(FILTER(Data!N:N,Data!D:D=A124,Data!B:B=$B$1),""MIDDLE"")*6)+(COUNTIF(FILTER(Data!N:N,Data!D:D=A124,Data!B:"&amp;"B=$B$1),""LOW"")*4))"),0.0)</f>
        <v>0</v>
      </c>
      <c r="V124" s="138" t="str">
        <f>IF(Data!B116='Team Parser'!$B$1, Data!D116,"")</f>
        <v/>
      </c>
      <c r="W124" s="134" t="str">
        <f>IF(Data!$B116='Team Parser'!$B$1, Data!H116,"")</f>
        <v/>
      </c>
      <c r="X124" s="134" t="str">
        <f>IF(Data!$B116='Team Parser'!$B$1, Data!G116,"")</f>
        <v/>
      </c>
      <c r="Y124" s="134" t="str">
        <f>IF(Data!$B116='Team Parser'!$B$1, Data!L116,"")</f>
        <v/>
      </c>
      <c r="Z124" s="134" t="str">
        <f>IF(Data!$B116='Team Parser'!$B$1, Data!K116,"")</f>
        <v/>
      </c>
      <c r="AA124" s="134" t="str">
        <f>IF(Data!$B116='Team Parser'!$B$1, Data!M116,"")</f>
        <v/>
      </c>
      <c r="AB124" s="134" t="str">
        <f>IF(Data!$B116='Team Parser'!$B$1,((Z124*2)+(Y124)+(X124*4)+(W124*2)),"")</f>
        <v/>
      </c>
      <c r="AC124" s="134" t="str">
        <f>IF(Data!$B116='Team Parser'!$B$1, Data!N116,"")</f>
        <v/>
      </c>
      <c r="AD124" s="139" t="str">
        <f>IF(Data!$B116='Team Parser'!$B$1,(AB124+(COUNTIF(AC124,"TRAVERSE")*15)+(COUNTIF(AC124,"HIGH")*10)+(COUNTIF(AC124,"MIDDLE")*6)+(COUNTIF(AC124,"LOW")*4)),"")</f>
        <v/>
      </c>
    </row>
    <row r="125">
      <c r="A125" s="133" t="s">
        <v>507</v>
      </c>
      <c r="B125" s="134" t="str">
        <f>IFERROR(__xludf.DUMMYFUNCTION("IFERROR((FILTER(Data!H:H,Data!D:D=A125,Data!B:B=$B$1)),"""")"),"")</f>
        <v/>
      </c>
      <c r="C125" s="134" t="str">
        <f>IFERROR(__xludf.DUMMYFUNCTION("IFERROR((FILTER(Data!G:G,Data!D:D=A125,Data!B:B=$B$1)),"""")"),"")</f>
        <v/>
      </c>
      <c r="D125" s="134" t="str">
        <f>IFERROR(__xludf.DUMMYFUNCTION("IFERROR((FILTER(Data!J:J,Data!D:D=A125,Data!B:B=$B$1)),"""")"),"")</f>
        <v/>
      </c>
      <c r="E125" s="134" t="str">
        <f>IFERROR(__xludf.DUMMYFUNCTION("IFERROR((FILTER(Data!L:L,Data!D:D=A125,Data!B:B=$B$1)),"""")"),"")</f>
        <v/>
      </c>
      <c r="F125" s="134" t="str">
        <f>IFERROR(__xludf.DUMMYFUNCTION("IFERROR((FILTER(Data!K:K,Data!D:D=A125,Data!B:B=$B$1)),"""")"),"")</f>
        <v/>
      </c>
      <c r="G125" s="134" t="str">
        <f>IFERROR(__xludf.DUMMYFUNCTION("IFERROR((FILTER(Data!M:M,Data!D:D=A125,Data!B:B=$B$1)),"""")"),"")</f>
        <v/>
      </c>
      <c r="H125" s="134" t="str">
        <f>IFERROR(__xludf.DUMMYFUNCTION("IFERROR((FILTER(Data!G:G,Data!D:D=A125,Data!B:B=$B$1)*4)+(FILTER(Data!H:H,Data!D:D=A125,Data!B:B=$B$1)*2),"""")"),"")</f>
        <v/>
      </c>
      <c r="I125" s="15" t="str">
        <f>IFERROR(__xludf.DUMMYFUNCTION("IFERROR((FILTER(Data!K:K,Data!D:D=A125,Data!B:B=$B$1)*2)+(FILTER(Data!L:L,Data!D:D=A125,Data!B:B=$B$1)),"""")"),"")</f>
        <v/>
      </c>
      <c r="J125" s="134" t="str">
        <f>IFERROR(__xludf.DUMMYFUNCTION("IFERROR((FILTER(Data!N:N,Data!D:D=A125,Data!B:B=$B$1)),"""")"),"")</f>
        <v/>
      </c>
      <c r="K125" s="135" t="str">
        <f>IFERROR(__xludf.DUMMYFUNCTION("IFERROR((FILTER(Data!H:H,Data!D:D=A125,Data!B:B=$B$1)*2)+(FILTER(Data!L:L,Data!D:D=A125,Data!B:B=$B$1))+(FILTER(Data!G:G,Data!D:D=A125,Data!B:B=$B$1)*4)+(FILTER(Data!K:K,Data!D:D=A125,Data!B:B=$B$1)*2)+(((COUNTIF(FILTER(Data!N:N,Data!D:D=A125,Data!B:B=$B$"&amp;"1),""TRAVERSE"")*15)+(COUNTIF(FILTER(Data!N:N,Data!D:D=A125,Data!B:B=$B$1),""HIGH"")*10)+(COUNTIF(FILTER(Data!N:N,Data!D:D=A125,Data!B:B=$B$1),""MIDDLE"")*6)+(COUNTIF(FILTER(Data!N:N,Data!D:D=A125,Data!B:B=$B$1),""LOW"")*4))),"""")"),"")</f>
        <v/>
      </c>
      <c r="L125" s="136" t="str">
        <f>IFERROR(__xludf.DUMMYFUNCTION("IFERROR((FILTER(Data!P:P,Data!D:D=A125,Data!B:B=$B$1)),"""")"),"")</f>
        <v/>
      </c>
      <c r="M125" s="137" t="str">
        <f>IFERROR(__xludf.DUMMYFUNCTION("IFERROR((FILTER(Data!A:A,Data!D:D=A125,Data!B:B=$B$1)),"""")"),"")</f>
        <v/>
      </c>
      <c r="T125" s="52">
        <f>IFERROR(__xludf.DUMMYFUNCTION("((COUNTIF(FILTER(Data!N:N,Data!D:D=A125,Data!B:B=$B$1),""TRAVERSE"")*15)+(COUNTIF(FILTER(Data!N:N,Data!D:D=A125,Data!B:B=B$1),""HIGH"")*10)+(COUNTIF(FILTER(Data!N:N,Data!D:D=A125,Data!B:B=$B$1),""MIDDLE"")*6)+(COUNTIF(FILTER(Data!N:N,Data!D:D=A125,Data!B:"&amp;"B=$B$1),""LOW"")*4))"),0.0)</f>
        <v>0</v>
      </c>
      <c r="V125" s="138" t="str">
        <f>IF(Data!B117='Team Parser'!$B$1, Data!D117,"")</f>
        <v/>
      </c>
      <c r="W125" s="134" t="str">
        <f>IF(Data!$B117='Team Parser'!$B$1, Data!H117,"")</f>
        <v/>
      </c>
      <c r="X125" s="134" t="str">
        <f>IF(Data!$B117='Team Parser'!$B$1, Data!G117,"")</f>
        <v/>
      </c>
      <c r="Y125" s="134" t="str">
        <f>IF(Data!$B117='Team Parser'!$B$1, Data!L117,"")</f>
        <v/>
      </c>
      <c r="Z125" s="134" t="str">
        <f>IF(Data!$B117='Team Parser'!$B$1, Data!K117,"")</f>
        <v/>
      </c>
      <c r="AA125" s="134" t="str">
        <f>IF(Data!$B117='Team Parser'!$B$1, Data!M117,"")</f>
        <v/>
      </c>
      <c r="AB125" s="134" t="str">
        <f>IF(Data!$B117='Team Parser'!$B$1,((Z125*2)+(Y125)+(X125*4)+(W125*2)),"")</f>
        <v/>
      </c>
      <c r="AC125" s="134" t="str">
        <f>IF(Data!$B117='Team Parser'!$B$1, Data!N117,"")</f>
        <v/>
      </c>
      <c r="AD125" s="139" t="str">
        <f>IF(Data!$B117='Team Parser'!$B$1,(AB125+(COUNTIF(AC125,"TRAVERSE")*15)+(COUNTIF(AC125,"HIGH")*10)+(COUNTIF(AC125,"MIDDLE")*6)+(COUNTIF(AC125,"LOW")*4)),"")</f>
        <v/>
      </c>
    </row>
    <row r="126">
      <c r="A126" s="133" t="s">
        <v>507</v>
      </c>
      <c r="B126" s="134" t="str">
        <f>IFERROR(__xludf.DUMMYFUNCTION("IFERROR((FILTER(Data!H:H,Data!D:D=A126,Data!B:B=$B$1)),"""")"),"")</f>
        <v/>
      </c>
      <c r="C126" s="134" t="str">
        <f>IFERROR(__xludf.DUMMYFUNCTION("IFERROR((FILTER(Data!G:G,Data!D:D=A126,Data!B:B=$B$1)),"""")"),"")</f>
        <v/>
      </c>
      <c r="D126" s="134" t="str">
        <f>IFERROR(__xludf.DUMMYFUNCTION("IFERROR((FILTER(Data!J:J,Data!D:D=A126,Data!B:B=$B$1)),"""")"),"")</f>
        <v/>
      </c>
      <c r="E126" s="134" t="str">
        <f>IFERROR(__xludf.DUMMYFUNCTION("IFERROR((FILTER(Data!L:L,Data!D:D=A126,Data!B:B=$B$1)),"""")"),"")</f>
        <v/>
      </c>
      <c r="F126" s="134" t="str">
        <f>IFERROR(__xludf.DUMMYFUNCTION("IFERROR((FILTER(Data!K:K,Data!D:D=A126,Data!B:B=$B$1)),"""")"),"")</f>
        <v/>
      </c>
      <c r="G126" s="134" t="str">
        <f>IFERROR(__xludf.DUMMYFUNCTION("IFERROR((FILTER(Data!M:M,Data!D:D=A126,Data!B:B=$B$1)),"""")"),"")</f>
        <v/>
      </c>
      <c r="H126" s="134" t="str">
        <f>IFERROR(__xludf.DUMMYFUNCTION("IFERROR((FILTER(Data!G:G,Data!D:D=A126,Data!B:B=$B$1)*4)+(FILTER(Data!H:H,Data!D:D=A126,Data!B:B=$B$1)*2),"""")"),"")</f>
        <v/>
      </c>
      <c r="I126" s="15" t="str">
        <f>IFERROR(__xludf.DUMMYFUNCTION("IFERROR((FILTER(Data!K:K,Data!D:D=A126,Data!B:B=$B$1)*2)+(FILTER(Data!L:L,Data!D:D=A126,Data!B:B=$B$1)),"""")"),"")</f>
        <v/>
      </c>
      <c r="J126" s="134" t="str">
        <f>IFERROR(__xludf.DUMMYFUNCTION("IFERROR((FILTER(Data!N:N,Data!D:D=A126,Data!B:B=$B$1)),"""")"),"")</f>
        <v/>
      </c>
      <c r="K126" s="135" t="str">
        <f>IFERROR(__xludf.DUMMYFUNCTION("IFERROR((FILTER(Data!H:H,Data!D:D=A126,Data!B:B=$B$1)*2)+(FILTER(Data!L:L,Data!D:D=A126,Data!B:B=$B$1))+(FILTER(Data!G:G,Data!D:D=A126,Data!B:B=$B$1)*4)+(FILTER(Data!K:K,Data!D:D=A126,Data!B:B=$B$1)*2)+(((COUNTIF(FILTER(Data!N:N,Data!D:D=A126,Data!B:B=$B$"&amp;"1),""TRAVERSE"")*15)+(COUNTIF(FILTER(Data!N:N,Data!D:D=A126,Data!B:B=$B$1),""HIGH"")*10)+(COUNTIF(FILTER(Data!N:N,Data!D:D=A126,Data!B:B=$B$1),""MIDDLE"")*6)+(COUNTIF(FILTER(Data!N:N,Data!D:D=A126,Data!B:B=$B$1),""LOW"")*4))),"""")"),"")</f>
        <v/>
      </c>
      <c r="L126" s="136" t="str">
        <f>IFERROR(__xludf.DUMMYFUNCTION("IFERROR((FILTER(Data!P:P,Data!D:D=A126,Data!B:B=$B$1)),"""")"),"")</f>
        <v/>
      </c>
      <c r="M126" s="137" t="str">
        <f>IFERROR(__xludf.DUMMYFUNCTION("IFERROR((FILTER(Data!A:A,Data!D:D=A126,Data!B:B=$B$1)),"""")"),"")</f>
        <v/>
      </c>
      <c r="T126" s="52">
        <f>IFERROR(__xludf.DUMMYFUNCTION("((COUNTIF(FILTER(Data!N:N,Data!D:D=A126,Data!B:B=$B$1),""TRAVERSE"")*15)+(COUNTIF(FILTER(Data!N:N,Data!D:D=A126,Data!B:B=B$1),""HIGH"")*10)+(COUNTIF(FILTER(Data!N:N,Data!D:D=A126,Data!B:B=$B$1),""MIDDLE"")*6)+(COUNTIF(FILTER(Data!N:N,Data!D:D=A126,Data!B:"&amp;"B=$B$1),""LOW"")*4))"),0.0)</f>
        <v>0</v>
      </c>
      <c r="V126" s="138" t="str">
        <f>IF(Data!B118='Team Parser'!$B$1, Data!D118,"")</f>
        <v/>
      </c>
      <c r="W126" s="134" t="str">
        <f>IF(Data!$B118='Team Parser'!$B$1, Data!H118,"")</f>
        <v/>
      </c>
      <c r="X126" s="134" t="str">
        <f>IF(Data!$B118='Team Parser'!$B$1, Data!G118,"")</f>
        <v/>
      </c>
      <c r="Y126" s="134" t="str">
        <f>IF(Data!$B118='Team Parser'!$B$1, Data!L118,"")</f>
        <v/>
      </c>
      <c r="Z126" s="134" t="str">
        <f>IF(Data!$B118='Team Parser'!$B$1, Data!K118,"")</f>
        <v/>
      </c>
      <c r="AA126" s="134" t="str">
        <f>IF(Data!$B118='Team Parser'!$B$1, Data!M118,"")</f>
        <v/>
      </c>
      <c r="AB126" s="134" t="str">
        <f>IF(Data!$B118='Team Parser'!$B$1,((Z126*2)+(Y126)+(X126*4)+(W126*2)),"")</f>
        <v/>
      </c>
      <c r="AC126" s="134" t="str">
        <f>IF(Data!$B118='Team Parser'!$B$1, Data!N118,"")</f>
        <v/>
      </c>
      <c r="AD126" s="139" t="str">
        <f>IF(Data!$B118='Team Parser'!$B$1,(AB126+(COUNTIF(AC126,"TRAVERSE")*15)+(COUNTIF(AC126,"HIGH")*10)+(COUNTIF(AC126,"MIDDLE")*6)+(COUNTIF(AC126,"LOW")*4)),"")</f>
        <v/>
      </c>
    </row>
    <row r="127">
      <c r="A127" s="133" t="s">
        <v>507</v>
      </c>
      <c r="B127" s="134" t="str">
        <f>IFERROR(__xludf.DUMMYFUNCTION("IFERROR((FILTER(Data!H:H,Data!D:D=A127,Data!B:B=$B$1)),"""")"),"")</f>
        <v/>
      </c>
      <c r="C127" s="134" t="str">
        <f>IFERROR(__xludf.DUMMYFUNCTION("IFERROR((FILTER(Data!G:G,Data!D:D=A127,Data!B:B=$B$1)),"""")"),"")</f>
        <v/>
      </c>
      <c r="D127" s="134" t="str">
        <f>IFERROR(__xludf.DUMMYFUNCTION("IFERROR((FILTER(Data!J:J,Data!D:D=A127,Data!B:B=$B$1)),"""")"),"")</f>
        <v/>
      </c>
      <c r="E127" s="134" t="str">
        <f>IFERROR(__xludf.DUMMYFUNCTION("IFERROR((FILTER(Data!L:L,Data!D:D=A127,Data!B:B=$B$1)),"""")"),"")</f>
        <v/>
      </c>
      <c r="F127" s="134" t="str">
        <f>IFERROR(__xludf.DUMMYFUNCTION("IFERROR((FILTER(Data!K:K,Data!D:D=A127,Data!B:B=$B$1)),"""")"),"")</f>
        <v/>
      </c>
      <c r="G127" s="134" t="str">
        <f>IFERROR(__xludf.DUMMYFUNCTION("IFERROR((FILTER(Data!M:M,Data!D:D=A127,Data!B:B=$B$1)),"""")"),"")</f>
        <v/>
      </c>
      <c r="H127" s="134" t="str">
        <f>IFERROR(__xludf.DUMMYFUNCTION("IFERROR((FILTER(Data!G:G,Data!D:D=A127,Data!B:B=$B$1)*4)+(FILTER(Data!H:H,Data!D:D=A127,Data!B:B=$B$1)*2),"""")"),"")</f>
        <v/>
      </c>
      <c r="I127" s="15" t="str">
        <f>IFERROR(__xludf.DUMMYFUNCTION("IFERROR((FILTER(Data!K:K,Data!D:D=A127,Data!B:B=$B$1)*2)+(FILTER(Data!L:L,Data!D:D=A127,Data!B:B=$B$1)),"""")"),"")</f>
        <v/>
      </c>
      <c r="J127" s="134" t="str">
        <f>IFERROR(__xludf.DUMMYFUNCTION("IFERROR((FILTER(Data!N:N,Data!D:D=A127,Data!B:B=$B$1)),"""")"),"")</f>
        <v/>
      </c>
      <c r="K127" s="135" t="str">
        <f>IFERROR(__xludf.DUMMYFUNCTION("IFERROR((FILTER(Data!H:H,Data!D:D=A127,Data!B:B=$B$1)*2)+(FILTER(Data!L:L,Data!D:D=A127,Data!B:B=$B$1))+(FILTER(Data!G:G,Data!D:D=A127,Data!B:B=$B$1)*4)+(FILTER(Data!K:K,Data!D:D=A127,Data!B:B=$B$1)*2)+(((COUNTIF(FILTER(Data!N:N,Data!D:D=A127,Data!B:B=$B$"&amp;"1),""TRAVERSE"")*15)+(COUNTIF(FILTER(Data!N:N,Data!D:D=A127,Data!B:B=$B$1),""HIGH"")*10)+(COUNTIF(FILTER(Data!N:N,Data!D:D=A127,Data!B:B=$B$1),""MIDDLE"")*6)+(COUNTIF(FILTER(Data!N:N,Data!D:D=A127,Data!B:B=$B$1),""LOW"")*4))),"""")"),"")</f>
        <v/>
      </c>
      <c r="L127" s="136" t="str">
        <f>IFERROR(__xludf.DUMMYFUNCTION("IFERROR((FILTER(Data!P:P,Data!D:D=A127,Data!B:B=$B$1)),"""")"),"")</f>
        <v/>
      </c>
      <c r="M127" s="137" t="str">
        <f>IFERROR(__xludf.DUMMYFUNCTION("IFERROR((FILTER(Data!A:A,Data!D:D=A127,Data!B:B=$B$1)),"""")"),"")</f>
        <v/>
      </c>
      <c r="T127" s="52">
        <f>IFERROR(__xludf.DUMMYFUNCTION("((COUNTIF(FILTER(Data!N:N,Data!D:D=A127,Data!B:B=$B$1),""TRAVERSE"")*15)+(COUNTIF(FILTER(Data!N:N,Data!D:D=A127,Data!B:B=B$1),""HIGH"")*10)+(COUNTIF(FILTER(Data!N:N,Data!D:D=A127,Data!B:B=$B$1),""MIDDLE"")*6)+(COUNTIF(FILTER(Data!N:N,Data!D:D=A127,Data!B:"&amp;"B=$B$1),""LOW"")*4))"),0.0)</f>
        <v>0</v>
      </c>
      <c r="V127" s="138" t="str">
        <f>IF(Data!B119='Team Parser'!$B$1, Data!D119,"")</f>
        <v/>
      </c>
      <c r="W127" s="134" t="str">
        <f>IF(Data!$B119='Team Parser'!$B$1, Data!H119,"")</f>
        <v/>
      </c>
      <c r="X127" s="134" t="str">
        <f>IF(Data!$B119='Team Parser'!$B$1, Data!G119,"")</f>
        <v/>
      </c>
      <c r="Y127" s="134" t="str">
        <f>IF(Data!$B119='Team Parser'!$B$1, Data!L119,"")</f>
        <v/>
      </c>
      <c r="Z127" s="134" t="str">
        <f>IF(Data!$B119='Team Parser'!$B$1, Data!K119,"")</f>
        <v/>
      </c>
      <c r="AA127" s="134" t="str">
        <f>IF(Data!$B119='Team Parser'!$B$1, Data!M119,"")</f>
        <v/>
      </c>
      <c r="AB127" s="134" t="str">
        <f>IF(Data!$B119='Team Parser'!$B$1,((Z127*2)+(Y127)+(X127*4)+(W127*2)),"")</f>
        <v/>
      </c>
      <c r="AC127" s="134" t="str">
        <f>IF(Data!$B119='Team Parser'!$B$1, Data!N119,"")</f>
        <v/>
      </c>
      <c r="AD127" s="139" t="str">
        <f>IF(Data!$B119='Team Parser'!$B$1,(AB127+(COUNTIF(AC127,"TRAVERSE")*15)+(COUNTIF(AC127,"HIGH")*10)+(COUNTIF(AC127,"MIDDLE")*6)+(COUNTIF(AC127,"LOW")*4)),"")</f>
        <v/>
      </c>
    </row>
    <row r="128">
      <c r="A128" s="133" t="s">
        <v>507</v>
      </c>
      <c r="B128" s="134" t="str">
        <f>IFERROR(__xludf.DUMMYFUNCTION("IFERROR((FILTER(Data!H:H,Data!D:D=A128,Data!B:B=$B$1)),"""")"),"")</f>
        <v/>
      </c>
      <c r="C128" s="134" t="str">
        <f>IFERROR(__xludf.DUMMYFUNCTION("IFERROR((FILTER(Data!G:G,Data!D:D=A128,Data!B:B=$B$1)),"""")"),"")</f>
        <v/>
      </c>
      <c r="D128" s="134" t="str">
        <f>IFERROR(__xludf.DUMMYFUNCTION("IFERROR((FILTER(Data!J:J,Data!D:D=A128,Data!B:B=$B$1)),"""")"),"")</f>
        <v/>
      </c>
      <c r="E128" s="134" t="str">
        <f>IFERROR(__xludf.DUMMYFUNCTION("IFERROR((FILTER(Data!L:L,Data!D:D=A128,Data!B:B=$B$1)),"""")"),"")</f>
        <v/>
      </c>
      <c r="F128" s="134" t="str">
        <f>IFERROR(__xludf.DUMMYFUNCTION("IFERROR((FILTER(Data!K:K,Data!D:D=A128,Data!B:B=$B$1)),"""")"),"")</f>
        <v/>
      </c>
      <c r="G128" s="134" t="str">
        <f>IFERROR(__xludf.DUMMYFUNCTION("IFERROR((FILTER(Data!M:M,Data!D:D=A128,Data!B:B=$B$1)),"""")"),"")</f>
        <v/>
      </c>
      <c r="H128" s="134" t="str">
        <f>IFERROR(__xludf.DUMMYFUNCTION("IFERROR((FILTER(Data!G:G,Data!D:D=A128,Data!B:B=$B$1)*4)+(FILTER(Data!H:H,Data!D:D=A128,Data!B:B=$B$1)*2),"""")"),"")</f>
        <v/>
      </c>
      <c r="I128" s="15" t="str">
        <f>IFERROR(__xludf.DUMMYFUNCTION("IFERROR((FILTER(Data!K:K,Data!D:D=A128,Data!B:B=$B$1)*2)+(FILTER(Data!L:L,Data!D:D=A128,Data!B:B=$B$1)),"""")"),"")</f>
        <v/>
      </c>
      <c r="J128" s="134" t="str">
        <f>IFERROR(__xludf.DUMMYFUNCTION("IFERROR((FILTER(Data!N:N,Data!D:D=A128,Data!B:B=$B$1)),"""")"),"")</f>
        <v/>
      </c>
      <c r="K128" s="135" t="str">
        <f>IFERROR(__xludf.DUMMYFUNCTION("IFERROR((FILTER(Data!H:H,Data!D:D=A128,Data!B:B=$B$1)*2)+(FILTER(Data!L:L,Data!D:D=A128,Data!B:B=$B$1))+(FILTER(Data!G:G,Data!D:D=A128,Data!B:B=$B$1)*4)+(FILTER(Data!K:K,Data!D:D=A128,Data!B:B=$B$1)*2)+(((COUNTIF(FILTER(Data!N:N,Data!D:D=A128,Data!B:B=$B$"&amp;"1),""TRAVERSE"")*15)+(COUNTIF(FILTER(Data!N:N,Data!D:D=A128,Data!B:B=$B$1),""HIGH"")*10)+(COUNTIF(FILTER(Data!N:N,Data!D:D=A128,Data!B:B=$B$1),""MIDDLE"")*6)+(COUNTIF(FILTER(Data!N:N,Data!D:D=A128,Data!B:B=$B$1),""LOW"")*4))),"""")"),"")</f>
        <v/>
      </c>
      <c r="L128" s="136" t="str">
        <f>IFERROR(__xludf.DUMMYFUNCTION("IFERROR((FILTER(Data!P:P,Data!D:D=A128,Data!B:B=$B$1)),"""")"),"")</f>
        <v/>
      </c>
      <c r="M128" s="137" t="str">
        <f>IFERROR(__xludf.DUMMYFUNCTION("IFERROR((FILTER(Data!A:A,Data!D:D=A128,Data!B:B=$B$1)),"""")"),"")</f>
        <v/>
      </c>
      <c r="T128" s="52">
        <f>IFERROR(__xludf.DUMMYFUNCTION("((COUNTIF(FILTER(Data!N:N,Data!D:D=A128,Data!B:B=$B$1),""TRAVERSE"")*15)+(COUNTIF(FILTER(Data!N:N,Data!D:D=A128,Data!B:B=B$1),""HIGH"")*10)+(COUNTIF(FILTER(Data!N:N,Data!D:D=A128,Data!B:B=$B$1),""MIDDLE"")*6)+(COUNTIF(FILTER(Data!N:N,Data!D:D=A128,Data!B:"&amp;"B=$B$1),""LOW"")*4))"),0.0)</f>
        <v>0</v>
      </c>
      <c r="V128" s="138" t="str">
        <f>IF(Data!B120='Team Parser'!$B$1, Data!D120,"")</f>
        <v/>
      </c>
      <c r="W128" s="134" t="str">
        <f>IF(Data!$B120='Team Parser'!$B$1, Data!H120,"")</f>
        <v/>
      </c>
      <c r="X128" s="134" t="str">
        <f>IF(Data!$B120='Team Parser'!$B$1, Data!G120,"")</f>
        <v/>
      </c>
      <c r="Y128" s="134" t="str">
        <f>IF(Data!$B120='Team Parser'!$B$1, Data!L120,"")</f>
        <v/>
      </c>
      <c r="Z128" s="134" t="str">
        <f>IF(Data!$B120='Team Parser'!$B$1, Data!K120,"")</f>
        <v/>
      </c>
      <c r="AA128" s="134" t="str">
        <f>IF(Data!$B120='Team Parser'!$B$1, Data!M120,"")</f>
        <v/>
      </c>
      <c r="AB128" s="134" t="str">
        <f>IF(Data!$B120='Team Parser'!$B$1,((Z128*2)+(Y128)+(X128*4)+(W128*2)),"")</f>
        <v/>
      </c>
      <c r="AC128" s="134" t="str">
        <f>IF(Data!$B120='Team Parser'!$B$1, Data!N120,"")</f>
        <v/>
      </c>
      <c r="AD128" s="139" t="str">
        <f>IF(Data!$B120='Team Parser'!$B$1,(AB128+(COUNTIF(AC128,"TRAVERSE")*15)+(COUNTIF(AC128,"HIGH")*10)+(COUNTIF(AC128,"MIDDLE")*6)+(COUNTIF(AC128,"LOW")*4)),"")</f>
        <v/>
      </c>
    </row>
    <row r="129">
      <c r="A129" s="133" t="s">
        <v>507</v>
      </c>
      <c r="B129" s="134" t="str">
        <f>IFERROR(__xludf.DUMMYFUNCTION("IFERROR((FILTER(Data!H:H,Data!D:D=A129,Data!B:B=$B$1)),"""")"),"")</f>
        <v/>
      </c>
      <c r="C129" s="134" t="str">
        <f>IFERROR(__xludf.DUMMYFUNCTION("IFERROR((FILTER(Data!G:G,Data!D:D=A129,Data!B:B=$B$1)),"""")"),"")</f>
        <v/>
      </c>
      <c r="D129" s="134" t="str">
        <f>IFERROR(__xludf.DUMMYFUNCTION("IFERROR((FILTER(Data!J:J,Data!D:D=A129,Data!B:B=$B$1)),"""")"),"")</f>
        <v/>
      </c>
      <c r="E129" s="134" t="str">
        <f>IFERROR(__xludf.DUMMYFUNCTION("IFERROR((FILTER(Data!L:L,Data!D:D=A129,Data!B:B=$B$1)),"""")"),"")</f>
        <v/>
      </c>
      <c r="F129" s="134" t="str">
        <f>IFERROR(__xludf.DUMMYFUNCTION("IFERROR((FILTER(Data!K:K,Data!D:D=A129,Data!B:B=$B$1)),"""")"),"")</f>
        <v/>
      </c>
      <c r="G129" s="134" t="str">
        <f>IFERROR(__xludf.DUMMYFUNCTION("IFERROR((FILTER(Data!M:M,Data!D:D=A129,Data!B:B=$B$1)),"""")"),"")</f>
        <v/>
      </c>
      <c r="H129" s="134" t="str">
        <f>IFERROR(__xludf.DUMMYFUNCTION("IFERROR((FILTER(Data!G:G,Data!D:D=A129,Data!B:B=$B$1)*4)+(FILTER(Data!H:H,Data!D:D=A129,Data!B:B=$B$1)*2),"""")"),"")</f>
        <v/>
      </c>
      <c r="I129" s="15" t="str">
        <f>IFERROR(__xludf.DUMMYFUNCTION("IFERROR((FILTER(Data!K:K,Data!D:D=A129,Data!B:B=$B$1)*2)+(FILTER(Data!L:L,Data!D:D=A129,Data!B:B=$B$1)),"""")"),"")</f>
        <v/>
      </c>
      <c r="J129" s="134" t="str">
        <f>IFERROR(__xludf.DUMMYFUNCTION("IFERROR((FILTER(Data!N:N,Data!D:D=A129,Data!B:B=$B$1)),"""")"),"")</f>
        <v/>
      </c>
      <c r="K129" s="135" t="str">
        <f>IFERROR(__xludf.DUMMYFUNCTION("IFERROR((FILTER(Data!H:H,Data!D:D=A129,Data!B:B=$B$1)*2)+(FILTER(Data!L:L,Data!D:D=A129,Data!B:B=$B$1))+(FILTER(Data!G:G,Data!D:D=A129,Data!B:B=$B$1)*4)+(FILTER(Data!K:K,Data!D:D=A129,Data!B:B=$B$1)*2)+(((COUNTIF(FILTER(Data!N:N,Data!D:D=A129,Data!B:B=$B$"&amp;"1),""TRAVERSE"")*15)+(COUNTIF(FILTER(Data!N:N,Data!D:D=A129,Data!B:B=$B$1),""HIGH"")*10)+(COUNTIF(FILTER(Data!N:N,Data!D:D=A129,Data!B:B=$B$1),""MIDDLE"")*6)+(COUNTIF(FILTER(Data!N:N,Data!D:D=A129,Data!B:B=$B$1),""LOW"")*4))),"""")"),"")</f>
        <v/>
      </c>
      <c r="L129" s="136" t="str">
        <f>IFERROR(__xludf.DUMMYFUNCTION("IFERROR((FILTER(Data!P:P,Data!D:D=A129,Data!B:B=$B$1)),"""")"),"")</f>
        <v/>
      </c>
      <c r="M129" s="137" t="str">
        <f>IFERROR(__xludf.DUMMYFUNCTION("IFERROR((FILTER(Data!A:A,Data!D:D=A129,Data!B:B=$B$1)),"""")"),"")</f>
        <v/>
      </c>
      <c r="T129" s="52">
        <f>IFERROR(__xludf.DUMMYFUNCTION("((COUNTIF(FILTER(Data!N:N,Data!D:D=A129,Data!B:B=$B$1),""TRAVERSE"")*15)+(COUNTIF(FILTER(Data!N:N,Data!D:D=A129,Data!B:B=B$1),""HIGH"")*10)+(COUNTIF(FILTER(Data!N:N,Data!D:D=A129,Data!B:B=$B$1),""MIDDLE"")*6)+(COUNTIF(FILTER(Data!N:N,Data!D:D=A129,Data!B:"&amp;"B=$B$1),""LOW"")*4))"),0.0)</f>
        <v>0</v>
      </c>
      <c r="V129" s="138" t="str">
        <f>IF(Data!B121='Team Parser'!$B$1, Data!D121,"")</f>
        <v/>
      </c>
      <c r="W129" s="134" t="str">
        <f>IF(Data!$B121='Team Parser'!$B$1, Data!H121,"")</f>
        <v/>
      </c>
      <c r="X129" s="134" t="str">
        <f>IF(Data!$B121='Team Parser'!$B$1, Data!G121,"")</f>
        <v/>
      </c>
      <c r="Y129" s="134" t="str">
        <f>IF(Data!$B121='Team Parser'!$B$1, Data!L121,"")</f>
        <v/>
      </c>
      <c r="Z129" s="134" t="str">
        <f>IF(Data!$B121='Team Parser'!$B$1, Data!K121,"")</f>
        <v/>
      </c>
      <c r="AA129" s="134" t="str">
        <f>IF(Data!$B121='Team Parser'!$B$1, Data!M121,"")</f>
        <v/>
      </c>
      <c r="AB129" s="134" t="str">
        <f>IF(Data!$B121='Team Parser'!$B$1,((Z129*2)+(Y129)+(X129*4)+(W129*2)),"")</f>
        <v/>
      </c>
      <c r="AC129" s="134" t="str">
        <f>IF(Data!$B121='Team Parser'!$B$1, Data!N121,"")</f>
        <v/>
      </c>
      <c r="AD129" s="139" t="str">
        <f>IF(Data!$B121='Team Parser'!$B$1,(AB129+(COUNTIF(AC129,"TRAVERSE")*15)+(COUNTIF(AC129,"HIGH")*10)+(COUNTIF(AC129,"MIDDLE")*6)+(COUNTIF(AC129,"LOW")*4)),"")</f>
        <v/>
      </c>
    </row>
    <row r="130">
      <c r="A130" s="133" t="s">
        <v>507</v>
      </c>
      <c r="B130" s="134" t="str">
        <f>IFERROR(__xludf.DUMMYFUNCTION("IFERROR((FILTER(Data!H:H,Data!D:D=A130,Data!B:B=$B$1)),"""")"),"")</f>
        <v/>
      </c>
      <c r="C130" s="134" t="str">
        <f>IFERROR(__xludf.DUMMYFUNCTION("IFERROR((FILTER(Data!G:G,Data!D:D=A130,Data!B:B=$B$1)),"""")"),"")</f>
        <v/>
      </c>
      <c r="D130" s="134" t="str">
        <f>IFERROR(__xludf.DUMMYFUNCTION("IFERROR((FILTER(Data!J:J,Data!D:D=A130,Data!B:B=$B$1)),"""")"),"")</f>
        <v/>
      </c>
      <c r="E130" s="134" t="str">
        <f>IFERROR(__xludf.DUMMYFUNCTION("IFERROR((FILTER(Data!L:L,Data!D:D=A130,Data!B:B=$B$1)),"""")"),"")</f>
        <v/>
      </c>
      <c r="F130" s="134" t="str">
        <f>IFERROR(__xludf.DUMMYFUNCTION("IFERROR((FILTER(Data!K:K,Data!D:D=A130,Data!B:B=$B$1)),"""")"),"")</f>
        <v/>
      </c>
      <c r="G130" s="134" t="str">
        <f>IFERROR(__xludf.DUMMYFUNCTION("IFERROR((FILTER(Data!M:M,Data!D:D=A130,Data!B:B=$B$1)),"""")"),"")</f>
        <v/>
      </c>
      <c r="H130" s="134" t="str">
        <f>IFERROR(__xludf.DUMMYFUNCTION("IFERROR((FILTER(Data!G:G,Data!D:D=A130,Data!B:B=$B$1)*4)+(FILTER(Data!H:H,Data!D:D=A130,Data!B:B=$B$1)*2),"""")"),"")</f>
        <v/>
      </c>
      <c r="I130" s="15" t="str">
        <f>IFERROR(__xludf.DUMMYFUNCTION("IFERROR((FILTER(Data!K:K,Data!D:D=A130,Data!B:B=$B$1)*2)+(FILTER(Data!L:L,Data!D:D=A130,Data!B:B=$B$1)),"""")"),"")</f>
        <v/>
      </c>
      <c r="J130" s="134" t="str">
        <f>IFERROR(__xludf.DUMMYFUNCTION("IFERROR((FILTER(Data!N:N,Data!D:D=A130,Data!B:B=$B$1)),"""")"),"")</f>
        <v/>
      </c>
      <c r="K130" s="135" t="str">
        <f>IFERROR(__xludf.DUMMYFUNCTION("IFERROR((FILTER(Data!H:H,Data!D:D=A130,Data!B:B=$B$1)*2)+(FILTER(Data!L:L,Data!D:D=A130,Data!B:B=$B$1))+(FILTER(Data!G:G,Data!D:D=A130,Data!B:B=$B$1)*4)+(FILTER(Data!K:K,Data!D:D=A130,Data!B:B=$B$1)*2)+(((COUNTIF(FILTER(Data!N:N,Data!D:D=A130,Data!B:B=$B$"&amp;"1),""TRAVERSE"")*15)+(COUNTIF(FILTER(Data!N:N,Data!D:D=A130,Data!B:B=$B$1),""HIGH"")*10)+(COUNTIF(FILTER(Data!N:N,Data!D:D=A130,Data!B:B=$B$1),""MIDDLE"")*6)+(COUNTIF(FILTER(Data!N:N,Data!D:D=A130,Data!B:B=$B$1),""LOW"")*4))),"""")"),"")</f>
        <v/>
      </c>
      <c r="L130" s="136" t="str">
        <f>IFERROR(__xludf.DUMMYFUNCTION("IFERROR((FILTER(Data!P:P,Data!D:D=A130,Data!B:B=$B$1)),"""")"),"")</f>
        <v/>
      </c>
      <c r="M130" s="137" t="str">
        <f>IFERROR(__xludf.DUMMYFUNCTION("IFERROR((FILTER(Data!A:A,Data!D:D=A130,Data!B:B=$B$1)),"""")"),"")</f>
        <v/>
      </c>
      <c r="T130" s="52">
        <f>IFERROR(__xludf.DUMMYFUNCTION("((COUNTIF(FILTER(Data!N:N,Data!D:D=A130,Data!B:B=$B$1),""TRAVERSE"")*15)+(COUNTIF(FILTER(Data!N:N,Data!D:D=A130,Data!B:B=B$1),""HIGH"")*10)+(COUNTIF(FILTER(Data!N:N,Data!D:D=A130,Data!B:B=$B$1),""MIDDLE"")*6)+(COUNTIF(FILTER(Data!N:N,Data!D:D=A130,Data!B:"&amp;"B=$B$1),""LOW"")*4))"),0.0)</f>
        <v>0</v>
      </c>
      <c r="V130" s="138" t="str">
        <f>IF(Data!B122='Team Parser'!$B$1, Data!D122,"")</f>
        <v/>
      </c>
      <c r="W130" s="134" t="str">
        <f>IF(Data!$B122='Team Parser'!$B$1, Data!H122,"")</f>
        <v/>
      </c>
      <c r="X130" s="134" t="str">
        <f>IF(Data!$B122='Team Parser'!$B$1, Data!G122,"")</f>
        <v/>
      </c>
      <c r="Y130" s="134" t="str">
        <f>IF(Data!$B122='Team Parser'!$B$1, Data!L122,"")</f>
        <v/>
      </c>
      <c r="Z130" s="134" t="str">
        <f>IF(Data!$B122='Team Parser'!$B$1, Data!K122,"")</f>
        <v/>
      </c>
      <c r="AA130" s="134" t="str">
        <f>IF(Data!$B122='Team Parser'!$B$1, Data!M122,"")</f>
        <v/>
      </c>
      <c r="AB130" s="134" t="str">
        <f>IF(Data!$B122='Team Parser'!$B$1,((Z130*2)+(Y130)+(X130*4)+(W130*2)),"")</f>
        <v/>
      </c>
      <c r="AC130" s="134" t="str">
        <f>IF(Data!$B122='Team Parser'!$B$1, Data!N122,"")</f>
        <v/>
      </c>
      <c r="AD130" s="139" t="str">
        <f>IF(Data!$B122='Team Parser'!$B$1,(AB130+(COUNTIF(AC130,"TRAVERSE")*15)+(COUNTIF(AC130,"HIGH")*10)+(COUNTIF(AC130,"MIDDLE")*6)+(COUNTIF(AC130,"LOW")*4)),"")</f>
        <v/>
      </c>
    </row>
    <row r="131">
      <c r="A131" s="133" t="s">
        <v>507</v>
      </c>
      <c r="B131" s="134" t="str">
        <f>IFERROR(__xludf.DUMMYFUNCTION("IFERROR((FILTER(Data!H:H,Data!D:D=A131,Data!B:B=$B$1)),"""")"),"")</f>
        <v/>
      </c>
      <c r="C131" s="134" t="str">
        <f>IFERROR(__xludf.DUMMYFUNCTION("IFERROR((FILTER(Data!G:G,Data!D:D=A131,Data!B:B=$B$1)),"""")"),"")</f>
        <v/>
      </c>
      <c r="D131" s="134" t="str">
        <f>IFERROR(__xludf.DUMMYFUNCTION("IFERROR((FILTER(Data!J:J,Data!D:D=A131,Data!B:B=$B$1)),"""")"),"")</f>
        <v/>
      </c>
      <c r="E131" s="134" t="str">
        <f>IFERROR(__xludf.DUMMYFUNCTION("IFERROR((FILTER(Data!L:L,Data!D:D=A131,Data!B:B=$B$1)),"""")"),"")</f>
        <v/>
      </c>
      <c r="F131" s="134" t="str">
        <f>IFERROR(__xludf.DUMMYFUNCTION("IFERROR((FILTER(Data!K:K,Data!D:D=A131,Data!B:B=$B$1)),"""")"),"")</f>
        <v/>
      </c>
      <c r="G131" s="134" t="str">
        <f>IFERROR(__xludf.DUMMYFUNCTION("IFERROR((FILTER(Data!M:M,Data!D:D=A131,Data!B:B=$B$1)),"""")"),"")</f>
        <v/>
      </c>
      <c r="H131" s="134" t="str">
        <f>IFERROR(__xludf.DUMMYFUNCTION("IFERROR((FILTER(Data!G:G,Data!D:D=A131,Data!B:B=$B$1)*4)+(FILTER(Data!H:H,Data!D:D=A131,Data!B:B=$B$1)*2),"""")"),"")</f>
        <v/>
      </c>
      <c r="I131" s="15" t="str">
        <f>IFERROR(__xludf.DUMMYFUNCTION("IFERROR((FILTER(Data!K:K,Data!D:D=A131,Data!B:B=$B$1)*2)+(FILTER(Data!L:L,Data!D:D=A131,Data!B:B=$B$1)),"""")"),"")</f>
        <v/>
      </c>
      <c r="J131" s="134" t="str">
        <f>IFERROR(__xludf.DUMMYFUNCTION("IFERROR((FILTER(Data!N:N,Data!D:D=A131,Data!B:B=$B$1)),"""")"),"")</f>
        <v/>
      </c>
      <c r="K131" s="135" t="str">
        <f>IFERROR(__xludf.DUMMYFUNCTION("IFERROR((FILTER(Data!H:H,Data!D:D=A131,Data!B:B=$B$1)*2)+(FILTER(Data!L:L,Data!D:D=A131,Data!B:B=$B$1))+(FILTER(Data!G:G,Data!D:D=A131,Data!B:B=$B$1)*4)+(FILTER(Data!K:K,Data!D:D=A131,Data!B:B=$B$1)*2)+(((COUNTIF(FILTER(Data!N:N,Data!D:D=A131,Data!B:B=$B$"&amp;"1),""TRAVERSE"")*15)+(COUNTIF(FILTER(Data!N:N,Data!D:D=A131,Data!B:B=$B$1),""HIGH"")*10)+(COUNTIF(FILTER(Data!N:N,Data!D:D=A131,Data!B:B=$B$1),""MIDDLE"")*6)+(COUNTIF(FILTER(Data!N:N,Data!D:D=A131,Data!B:B=$B$1),""LOW"")*4))),"""")"),"")</f>
        <v/>
      </c>
      <c r="L131" s="136" t="str">
        <f>IFERROR(__xludf.DUMMYFUNCTION("IFERROR((FILTER(Data!P:P,Data!D:D=A131,Data!B:B=$B$1)),"""")"),"")</f>
        <v/>
      </c>
      <c r="M131" s="137" t="str">
        <f>IFERROR(__xludf.DUMMYFUNCTION("IFERROR((FILTER(Data!A:A,Data!D:D=A131,Data!B:B=$B$1)),"""")"),"")</f>
        <v/>
      </c>
      <c r="T131" s="52">
        <f>IFERROR(__xludf.DUMMYFUNCTION("((COUNTIF(FILTER(Data!N:N,Data!D:D=A131,Data!B:B=$B$1),""TRAVERSE"")*15)+(COUNTIF(FILTER(Data!N:N,Data!D:D=A131,Data!B:B=B$1),""HIGH"")*10)+(COUNTIF(FILTER(Data!N:N,Data!D:D=A131,Data!B:B=$B$1),""MIDDLE"")*6)+(COUNTIF(FILTER(Data!N:N,Data!D:D=A131,Data!B:"&amp;"B=$B$1),""LOW"")*4))"),0.0)</f>
        <v>0</v>
      </c>
      <c r="V131" s="138" t="str">
        <f>IF(Data!B123='Team Parser'!$B$1, Data!D123,"")</f>
        <v/>
      </c>
      <c r="W131" s="134" t="str">
        <f>IF(Data!$B123='Team Parser'!$B$1, Data!H123,"")</f>
        <v/>
      </c>
      <c r="X131" s="134" t="str">
        <f>IF(Data!$B123='Team Parser'!$B$1, Data!G123,"")</f>
        <v/>
      </c>
      <c r="Y131" s="134" t="str">
        <f>IF(Data!$B123='Team Parser'!$B$1, Data!L123,"")</f>
        <v/>
      </c>
      <c r="Z131" s="134" t="str">
        <f>IF(Data!$B123='Team Parser'!$B$1, Data!K123,"")</f>
        <v/>
      </c>
      <c r="AA131" s="134" t="str">
        <f>IF(Data!$B123='Team Parser'!$B$1, Data!M123,"")</f>
        <v/>
      </c>
      <c r="AB131" s="134" t="str">
        <f>IF(Data!$B123='Team Parser'!$B$1,((Z131*2)+(Y131)+(X131*4)+(W131*2)),"")</f>
        <v/>
      </c>
      <c r="AC131" s="134" t="str">
        <f>IF(Data!$B123='Team Parser'!$B$1, Data!N123,"")</f>
        <v/>
      </c>
      <c r="AD131" s="139" t="str">
        <f>IF(Data!$B123='Team Parser'!$B$1,(AB131+(COUNTIF(AC131,"TRAVERSE")*15)+(COUNTIF(AC131,"HIGH")*10)+(COUNTIF(AC131,"MIDDLE")*6)+(COUNTIF(AC131,"LOW")*4)),"")</f>
        <v/>
      </c>
    </row>
    <row r="132">
      <c r="A132" s="133" t="s">
        <v>507</v>
      </c>
      <c r="B132" s="134" t="str">
        <f>IFERROR(__xludf.DUMMYFUNCTION("IFERROR((FILTER(Data!H:H,Data!D:D=A132,Data!B:B=$B$1)),"""")"),"")</f>
        <v/>
      </c>
      <c r="C132" s="134" t="str">
        <f>IFERROR(__xludf.DUMMYFUNCTION("IFERROR((FILTER(Data!G:G,Data!D:D=A132,Data!B:B=$B$1)),"""")"),"")</f>
        <v/>
      </c>
      <c r="D132" s="134" t="str">
        <f>IFERROR(__xludf.DUMMYFUNCTION("IFERROR((FILTER(Data!J:J,Data!D:D=A132,Data!B:B=$B$1)),"""")"),"")</f>
        <v/>
      </c>
      <c r="E132" s="134" t="str">
        <f>IFERROR(__xludf.DUMMYFUNCTION("IFERROR((FILTER(Data!L:L,Data!D:D=A132,Data!B:B=$B$1)),"""")"),"")</f>
        <v/>
      </c>
      <c r="F132" s="134" t="str">
        <f>IFERROR(__xludf.DUMMYFUNCTION("IFERROR((FILTER(Data!K:K,Data!D:D=A132,Data!B:B=$B$1)),"""")"),"")</f>
        <v/>
      </c>
      <c r="G132" s="134" t="str">
        <f>IFERROR(__xludf.DUMMYFUNCTION("IFERROR((FILTER(Data!M:M,Data!D:D=A132,Data!B:B=$B$1)),"""")"),"")</f>
        <v/>
      </c>
      <c r="H132" s="134" t="str">
        <f>IFERROR(__xludf.DUMMYFUNCTION("IFERROR((FILTER(Data!G:G,Data!D:D=A132,Data!B:B=$B$1)*4)+(FILTER(Data!H:H,Data!D:D=A132,Data!B:B=$B$1)*2),"""")"),"")</f>
        <v/>
      </c>
      <c r="I132" s="15" t="str">
        <f>IFERROR(__xludf.DUMMYFUNCTION("IFERROR((FILTER(Data!K:K,Data!D:D=A132,Data!B:B=$B$1)*2)+(FILTER(Data!L:L,Data!D:D=A132,Data!B:B=$B$1)),"""")"),"")</f>
        <v/>
      </c>
      <c r="J132" s="134" t="str">
        <f>IFERROR(__xludf.DUMMYFUNCTION("IFERROR((FILTER(Data!N:N,Data!D:D=A132,Data!B:B=$B$1)),"""")"),"")</f>
        <v/>
      </c>
      <c r="K132" s="135" t="str">
        <f>IFERROR(__xludf.DUMMYFUNCTION("IFERROR((FILTER(Data!H:H,Data!D:D=A132,Data!B:B=$B$1)*2)+(FILTER(Data!L:L,Data!D:D=A132,Data!B:B=$B$1))+(FILTER(Data!G:G,Data!D:D=A132,Data!B:B=$B$1)*4)+(FILTER(Data!K:K,Data!D:D=A132,Data!B:B=$B$1)*2)+(((COUNTIF(FILTER(Data!N:N,Data!D:D=A132,Data!B:B=$B$"&amp;"1),""TRAVERSE"")*15)+(COUNTIF(FILTER(Data!N:N,Data!D:D=A132,Data!B:B=$B$1),""HIGH"")*10)+(COUNTIF(FILTER(Data!N:N,Data!D:D=A132,Data!B:B=$B$1),""MIDDLE"")*6)+(COUNTIF(FILTER(Data!N:N,Data!D:D=A132,Data!B:B=$B$1),""LOW"")*4))),"""")"),"")</f>
        <v/>
      </c>
      <c r="L132" s="136" t="str">
        <f>IFERROR(__xludf.DUMMYFUNCTION("IFERROR((FILTER(Data!P:P,Data!D:D=A132,Data!B:B=$B$1)),"""")"),"")</f>
        <v/>
      </c>
      <c r="M132" s="137" t="str">
        <f>IFERROR(__xludf.DUMMYFUNCTION("IFERROR((FILTER(Data!A:A,Data!D:D=A132,Data!B:B=$B$1)),"""")"),"")</f>
        <v/>
      </c>
      <c r="T132" s="52">
        <f>IFERROR(__xludf.DUMMYFUNCTION("((COUNTIF(FILTER(Data!N:N,Data!D:D=A132,Data!B:B=$B$1),""TRAVERSE"")*15)+(COUNTIF(FILTER(Data!N:N,Data!D:D=A132,Data!B:B=B$1),""HIGH"")*10)+(COUNTIF(FILTER(Data!N:N,Data!D:D=A132,Data!B:B=$B$1),""MIDDLE"")*6)+(COUNTIF(FILTER(Data!N:N,Data!D:D=A132,Data!B:"&amp;"B=$B$1),""LOW"")*4))"),0.0)</f>
        <v>0</v>
      </c>
      <c r="V132" s="138" t="str">
        <f>IF(Data!B124='Team Parser'!$B$1, Data!D124,"")</f>
        <v/>
      </c>
      <c r="W132" s="134" t="str">
        <f>IF(Data!$B124='Team Parser'!$B$1, Data!H124,"")</f>
        <v/>
      </c>
      <c r="X132" s="134" t="str">
        <f>IF(Data!$B124='Team Parser'!$B$1, Data!G124,"")</f>
        <v/>
      </c>
      <c r="Y132" s="134" t="str">
        <f>IF(Data!$B124='Team Parser'!$B$1, Data!L124,"")</f>
        <v/>
      </c>
      <c r="Z132" s="134" t="str">
        <f>IF(Data!$B124='Team Parser'!$B$1, Data!K124,"")</f>
        <v/>
      </c>
      <c r="AA132" s="134" t="str">
        <f>IF(Data!$B124='Team Parser'!$B$1, Data!M124,"")</f>
        <v/>
      </c>
      <c r="AB132" s="134" t="str">
        <f>IF(Data!$B124='Team Parser'!$B$1,((Z132*2)+(Y132)+(X132*4)+(W132*2)),"")</f>
        <v/>
      </c>
      <c r="AC132" s="134" t="str">
        <f>IF(Data!$B124='Team Parser'!$B$1, Data!N124,"")</f>
        <v/>
      </c>
      <c r="AD132" s="139" t="str">
        <f>IF(Data!$B124='Team Parser'!$B$1,(AB132+(COUNTIF(AC132,"TRAVERSE")*15)+(COUNTIF(AC132,"HIGH")*10)+(COUNTIF(AC132,"MIDDLE")*6)+(COUNTIF(AC132,"LOW")*4)),"")</f>
        <v/>
      </c>
    </row>
    <row r="133">
      <c r="A133" s="133" t="s">
        <v>507</v>
      </c>
      <c r="B133" s="134" t="str">
        <f>IFERROR(__xludf.DUMMYFUNCTION("IFERROR((FILTER(Data!H:H,Data!D:D=A133,Data!B:B=$B$1)),"""")"),"")</f>
        <v/>
      </c>
      <c r="C133" s="134" t="str">
        <f>IFERROR(__xludf.DUMMYFUNCTION("IFERROR((FILTER(Data!G:G,Data!D:D=A133,Data!B:B=$B$1)),"""")"),"")</f>
        <v/>
      </c>
      <c r="D133" s="134" t="str">
        <f>IFERROR(__xludf.DUMMYFUNCTION("IFERROR((FILTER(Data!J:J,Data!D:D=A133,Data!B:B=$B$1)),"""")"),"")</f>
        <v/>
      </c>
      <c r="E133" s="134" t="str">
        <f>IFERROR(__xludf.DUMMYFUNCTION("IFERROR((FILTER(Data!L:L,Data!D:D=A133,Data!B:B=$B$1)),"""")"),"")</f>
        <v/>
      </c>
      <c r="F133" s="134" t="str">
        <f>IFERROR(__xludf.DUMMYFUNCTION("IFERROR((FILTER(Data!K:K,Data!D:D=A133,Data!B:B=$B$1)),"""")"),"")</f>
        <v/>
      </c>
      <c r="G133" s="134" t="str">
        <f>IFERROR(__xludf.DUMMYFUNCTION("IFERROR((FILTER(Data!M:M,Data!D:D=A133,Data!B:B=$B$1)),"""")"),"")</f>
        <v/>
      </c>
      <c r="H133" s="134" t="str">
        <f>IFERROR(__xludf.DUMMYFUNCTION("IFERROR((FILTER(Data!G:G,Data!D:D=A133,Data!B:B=$B$1)*4)+(FILTER(Data!H:H,Data!D:D=A133,Data!B:B=$B$1)*2),"""")"),"")</f>
        <v/>
      </c>
      <c r="I133" s="15" t="str">
        <f>IFERROR(__xludf.DUMMYFUNCTION("IFERROR((FILTER(Data!K:K,Data!D:D=A133,Data!B:B=$B$1)*2)+(FILTER(Data!L:L,Data!D:D=A133,Data!B:B=$B$1)),"""")"),"")</f>
        <v/>
      </c>
      <c r="J133" s="134" t="str">
        <f>IFERROR(__xludf.DUMMYFUNCTION("IFERROR((FILTER(Data!N:N,Data!D:D=A133,Data!B:B=$B$1)),"""")"),"")</f>
        <v/>
      </c>
      <c r="K133" s="135" t="str">
        <f>IFERROR(__xludf.DUMMYFUNCTION("IFERROR((FILTER(Data!H:H,Data!D:D=A133,Data!B:B=$B$1)*2)+(FILTER(Data!L:L,Data!D:D=A133,Data!B:B=$B$1))+(FILTER(Data!G:G,Data!D:D=A133,Data!B:B=$B$1)*4)+(FILTER(Data!K:K,Data!D:D=A133,Data!B:B=$B$1)*2)+(((COUNTIF(FILTER(Data!N:N,Data!D:D=A133,Data!B:B=$B$"&amp;"1),""TRAVERSE"")*15)+(COUNTIF(FILTER(Data!N:N,Data!D:D=A133,Data!B:B=$B$1),""HIGH"")*10)+(COUNTIF(FILTER(Data!N:N,Data!D:D=A133,Data!B:B=$B$1),""MIDDLE"")*6)+(COUNTIF(FILTER(Data!N:N,Data!D:D=A133,Data!B:B=$B$1),""LOW"")*4))),"""")"),"")</f>
        <v/>
      </c>
      <c r="L133" s="136" t="str">
        <f>IFERROR(__xludf.DUMMYFUNCTION("IFERROR((FILTER(Data!P:P,Data!D:D=A133,Data!B:B=$B$1)),"""")"),"")</f>
        <v/>
      </c>
      <c r="M133" s="137" t="str">
        <f>IFERROR(__xludf.DUMMYFUNCTION("IFERROR((FILTER(Data!A:A,Data!D:D=A133,Data!B:B=$B$1)),"""")"),"")</f>
        <v/>
      </c>
      <c r="T133" s="52">
        <f>IFERROR(__xludf.DUMMYFUNCTION("((COUNTIF(FILTER(Data!N:N,Data!D:D=A133,Data!B:B=$B$1),""TRAVERSE"")*15)+(COUNTIF(FILTER(Data!N:N,Data!D:D=A133,Data!B:B=B$1),""HIGH"")*10)+(COUNTIF(FILTER(Data!N:N,Data!D:D=A133,Data!B:B=$B$1),""MIDDLE"")*6)+(COUNTIF(FILTER(Data!N:N,Data!D:D=A133,Data!B:"&amp;"B=$B$1),""LOW"")*4))"),0.0)</f>
        <v>0</v>
      </c>
      <c r="V133" s="138" t="str">
        <f>IF(Data!B125='Team Parser'!$B$1, Data!D125,"")</f>
        <v/>
      </c>
      <c r="W133" s="134" t="str">
        <f>IF(Data!$B125='Team Parser'!$B$1, Data!H125,"")</f>
        <v/>
      </c>
      <c r="X133" s="134" t="str">
        <f>IF(Data!$B125='Team Parser'!$B$1, Data!G125,"")</f>
        <v/>
      </c>
      <c r="Y133" s="134" t="str">
        <f>IF(Data!$B125='Team Parser'!$B$1, Data!L125,"")</f>
        <v/>
      </c>
      <c r="Z133" s="134" t="str">
        <f>IF(Data!$B125='Team Parser'!$B$1, Data!K125,"")</f>
        <v/>
      </c>
      <c r="AA133" s="134" t="str">
        <f>IF(Data!$B125='Team Parser'!$B$1, Data!M125,"")</f>
        <v/>
      </c>
      <c r="AB133" s="134" t="str">
        <f>IF(Data!$B125='Team Parser'!$B$1,((Z133*2)+(Y133)+(X133*4)+(W133*2)),"")</f>
        <v/>
      </c>
      <c r="AC133" s="134" t="str">
        <f>IF(Data!$B125='Team Parser'!$B$1, Data!N125,"")</f>
        <v/>
      </c>
      <c r="AD133" s="139" t="str">
        <f>IF(Data!$B125='Team Parser'!$B$1,(AB133+(COUNTIF(AC133,"TRAVERSE")*15)+(COUNTIF(AC133,"HIGH")*10)+(COUNTIF(AC133,"MIDDLE")*6)+(COUNTIF(AC133,"LOW")*4)),"")</f>
        <v/>
      </c>
    </row>
    <row r="134">
      <c r="A134" s="133" t="s">
        <v>507</v>
      </c>
      <c r="B134" s="134" t="str">
        <f>IFERROR(__xludf.DUMMYFUNCTION("IFERROR((FILTER(Data!H:H,Data!D:D=A134,Data!B:B=$B$1)),"""")"),"")</f>
        <v/>
      </c>
      <c r="C134" s="134" t="str">
        <f>IFERROR(__xludf.DUMMYFUNCTION("IFERROR((FILTER(Data!G:G,Data!D:D=A134,Data!B:B=$B$1)),"""")"),"")</f>
        <v/>
      </c>
      <c r="D134" s="134" t="str">
        <f>IFERROR(__xludf.DUMMYFUNCTION("IFERROR((FILTER(Data!J:J,Data!D:D=A134,Data!B:B=$B$1)),"""")"),"")</f>
        <v/>
      </c>
      <c r="E134" s="134" t="str">
        <f>IFERROR(__xludf.DUMMYFUNCTION("IFERROR((FILTER(Data!L:L,Data!D:D=A134,Data!B:B=$B$1)),"""")"),"")</f>
        <v/>
      </c>
      <c r="F134" s="134" t="str">
        <f>IFERROR(__xludf.DUMMYFUNCTION("IFERROR((FILTER(Data!K:K,Data!D:D=A134,Data!B:B=$B$1)),"""")"),"")</f>
        <v/>
      </c>
      <c r="G134" s="134" t="str">
        <f>IFERROR(__xludf.DUMMYFUNCTION("IFERROR((FILTER(Data!M:M,Data!D:D=A134,Data!B:B=$B$1)),"""")"),"")</f>
        <v/>
      </c>
      <c r="H134" s="134" t="str">
        <f>IFERROR(__xludf.DUMMYFUNCTION("IFERROR((FILTER(Data!G:G,Data!D:D=A134,Data!B:B=$B$1)*4)+(FILTER(Data!H:H,Data!D:D=A134,Data!B:B=$B$1)*2),"""")"),"")</f>
        <v/>
      </c>
      <c r="I134" s="15" t="str">
        <f>IFERROR(__xludf.DUMMYFUNCTION("IFERROR((FILTER(Data!K:K,Data!D:D=A134,Data!B:B=$B$1)*2)+(FILTER(Data!L:L,Data!D:D=A134,Data!B:B=$B$1)),"""")"),"")</f>
        <v/>
      </c>
      <c r="J134" s="134" t="str">
        <f>IFERROR(__xludf.DUMMYFUNCTION("IFERROR((FILTER(Data!N:N,Data!D:D=A134,Data!B:B=$B$1)),"""")"),"")</f>
        <v/>
      </c>
      <c r="K134" s="135" t="str">
        <f>IFERROR(__xludf.DUMMYFUNCTION("IFERROR((FILTER(Data!H:H,Data!D:D=A134,Data!B:B=$B$1)*2)+(FILTER(Data!L:L,Data!D:D=A134,Data!B:B=$B$1))+(FILTER(Data!G:G,Data!D:D=A134,Data!B:B=$B$1)*4)+(FILTER(Data!K:K,Data!D:D=A134,Data!B:B=$B$1)*2)+(((COUNTIF(FILTER(Data!N:N,Data!D:D=A134,Data!B:B=$B$"&amp;"1),""TRAVERSE"")*15)+(COUNTIF(FILTER(Data!N:N,Data!D:D=A134,Data!B:B=$B$1),""HIGH"")*10)+(COUNTIF(FILTER(Data!N:N,Data!D:D=A134,Data!B:B=$B$1),""MIDDLE"")*6)+(COUNTIF(FILTER(Data!N:N,Data!D:D=A134,Data!B:B=$B$1),""LOW"")*4))),"""")"),"")</f>
        <v/>
      </c>
      <c r="L134" s="136" t="str">
        <f>IFERROR(__xludf.DUMMYFUNCTION("IFERROR((FILTER(Data!P:P,Data!D:D=A134,Data!B:B=$B$1)),"""")"),"")</f>
        <v/>
      </c>
      <c r="M134" s="137" t="str">
        <f>IFERROR(__xludf.DUMMYFUNCTION("IFERROR((FILTER(Data!A:A,Data!D:D=A134,Data!B:B=$B$1)),"""")"),"")</f>
        <v/>
      </c>
      <c r="T134" s="52">
        <f>IFERROR(__xludf.DUMMYFUNCTION("((COUNTIF(FILTER(Data!N:N,Data!D:D=A134,Data!B:B=$B$1),""TRAVERSE"")*15)+(COUNTIF(FILTER(Data!N:N,Data!D:D=A134,Data!B:B=B$1),""HIGH"")*10)+(COUNTIF(FILTER(Data!N:N,Data!D:D=A134,Data!B:B=$B$1),""MIDDLE"")*6)+(COUNTIF(FILTER(Data!N:N,Data!D:D=A134,Data!B:"&amp;"B=$B$1),""LOW"")*4))"),0.0)</f>
        <v>0</v>
      </c>
      <c r="V134" s="138" t="str">
        <f>IF(Data!B126='Team Parser'!$B$1, Data!D126,"")</f>
        <v/>
      </c>
      <c r="W134" s="134" t="str">
        <f>IF(Data!$B126='Team Parser'!$B$1, Data!H126,"")</f>
        <v/>
      </c>
      <c r="X134" s="134" t="str">
        <f>IF(Data!$B126='Team Parser'!$B$1, Data!G126,"")</f>
        <v/>
      </c>
      <c r="Y134" s="134" t="str">
        <f>IF(Data!$B126='Team Parser'!$B$1, Data!L126,"")</f>
        <v/>
      </c>
      <c r="Z134" s="134" t="str">
        <f>IF(Data!$B126='Team Parser'!$B$1, Data!K126,"")</f>
        <v/>
      </c>
      <c r="AA134" s="134" t="str">
        <f>IF(Data!$B126='Team Parser'!$B$1, Data!M126,"")</f>
        <v/>
      </c>
      <c r="AB134" s="134" t="str">
        <f>IF(Data!$B126='Team Parser'!$B$1,((Z134*2)+(Y134)+(X134*4)+(W134*2)),"")</f>
        <v/>
      </c>
      <c r="AC134" s="134" t="str">
        <f>IF(Data!$B126='Team Parser'!$B$1, Data!N126,"")</f>
        <v/>
      </c>
      <c r="AD134" s="139" t="str">
        <f>IF(Data!$B126='Team Parser'!$B$1,(AB134+(COUNTIF(AC134,"TRAVERSE")*15)+(COUNTIF(AC134,"HIGH")*10)+(COUNTIF(AC134,"MIDDLE")*6)+(COUNTIF(AC134,"LOW")*4)),"")</f>
        <v/>
      </c>
    </row>
    <row r="135">
      <c r="A135" s="133" t="s">
        <v>507</v>
      </c>
      <c r="B135" s="134" t="str">
        <f>IFERROR(__xludf.DUMMYFUNCTION("IFERROR((FILTER(Data!H:H,Data!D:D=A135,Data!B:B=$B$1)),"""")"),"")</f>
        <v/>
      </c>
      <c r="C135" s="134" t="str">
        <f>IFERROR(__xludf.DUMMYFUNCTION("IFERROR((FILTER(Data!G:G,Data!D:D=A135,Data!B:B=$B$1)),"""")"),"")</f>
        <v/>
      </c>
      <c r="D135" s="134" t="str">
        <f>IFERROR(__xludf.DUMMYFUNCTION("IFERROR((FILTER(Data!J:J,Data!D:D=A135,Data!B:B=$B$1)),"""")"),"")</f>
        <v/>
      </c>
      <c r="E135" s="134" t="str">
        <f>IFERROR(__xludf.DUMMYFUNCTION("IFERROR((FILTER(Data!L:L,Data!D:D=A135,Data!B:B=$B$1)),"""")"),"")</f>
        <v/>
      </c>
      <c r="F135" s="134" t="str">
        <f>IFERROR(__xludf.DUMMYFUNCTION("IFERROR((FILTER(Data!K:K,Data!D:D=A135,Data!B:B=$B$1)),"""")"),"")</f>
        <v/>
      </c>
      <c r="G135" s="134" t="str">
        <f>IFERROR(__xludf.DUMMYFUNCTION("IFERROR((FILTER(Data!M:M,Data!D:D=A135,Data!B:B=$B$1)),"""")"),"")</f>
        <v/>
      </c>
      <c r="H135" s="134" t="str">
        <f>IFERROR(__xludf.DUMMYFUNCTION("IFERROR((FILTER(Data!G:G,Data!D:D=A135,Data!B:B=$B$1)*4)+(FILTER(Data!H:H,Data!D:D=A135,Data!B:B=$B$1)*2),"""")"),"")</f>
        <v/>
      </c>
      <c r="I135" s="15" t="str">
        <f>IFERROR(__xludf.DUMMYFUNCTION("IFERROR((FILTER(Data!K:K,Data!D:D=A135,Data!B:B=$B$1)*2)+(FILTER(Data!L:L,Data!D:D=A135,Data!B:B=$B$1)),"""")"),"")</f>
        <v/>
      </c>
      <c r="J135" s="134" t="str">
        <f>IFERROR(__xludf.DUMMYFUNCTION("IFERROR((FILTER(Data!N:N,Data!D:D=A135,Data!B:B=$B$1)),"""")"),"")</f>
        <v/>
      </c>
      <c r="K135" s="135" t="str">
        <f>IFERROR(__xludf.DUMMYFUNCTION("IFERROR((FILTER(Data!H:H,Data!D:D=A135,Data!B:B=$B$1)*2)+(FILTER(Data!L:L,Data!D:D=A135,Data!B:B=$B$1))+(FILTER(Data!G:G,Data!D:D=A135,Data!B:B=$B$1)*4)+(FILTER(Data!K:K,Data!D:D=A135,Data!B:B=$B$1)*2)+(((COUNTIF(FILTER(Data!N:N,Data!D:D=A135,Data!B:B=$B$"&amp;"1),""TRAVERSE"")*15)+(COUNTIF(FILTER(Data!N:N,Data!D:D=A135,Data!B:B=$B$1),""HIGH"")*10)+(COUNTIF(FILTER(Data!N:N,Data!D:D=A135,Data!B:B=$B$1),""MIDDLE"")*6)+(COUNTIF(FILTER(Data!N:N,Data!D:D=A135,Data!B:B=$B$1),""LOW"")*4))),"""")"),"")</f>
        <v/>
      </c>
      <c r="L135" s="136" t="str">
        <f>IFERROR(__xludf.DUMMYFUNCTION("IFERROR((FILTER(Data!P:P,Data!D:D=A135,Data!B:B=$B$1)),"""")"),"")</f>
        <v/>
      </c>
      <c r="M135" s="137" t="str">
        <f>IFERROR(__xludf.DUMMYFUNCTION("IFERROR((FILTER(Data!A:A,Data!D:D=A135,Data!B:B=$B$1)),"""")"),"")</f>
        <v/>
      </c>
      <c r="T135" s="52">
        <f>IFERROR(__xludf.DUMMYFUNCTION("((COUNTIF(FILTER(Data!N:N,Data!D:D=A135,Data!B:B=$B$1),""TRAVERSE"")*15)+(COUNTIF(FILTER(Data!N:N,Data!D:D=A135,Data!B:B=B$1),""HIGH"")*10)+(COUNTIF(FILTER(Data!N:N,Data!D:D=A135,Data!B:B=$B$1),""MIDDLE"")*6)+(COUNTIF(FILTER(Data!N:N,Data!D:D=A135,Data!B:"&amp;"B=$B$1),""LOW"")*4))"),0.0)</f>
        <v>0</v>
      </c>
      <c r="V135" s="138" t="str">
        <f>IF(Data!B127='Team Parser'!$B$1, Data!D127,"")</f>
        <v/>
      </c>
      <c r="W135" s="134" t="str">
        <f>IF(Data!$B127='Team Parser'!$B$1, Data!H127,"")</f>
        <v/>
      </c>
      <c r="X135" s="134" t="str">
        <f>IF(Data!$B127='Team Parser'!$B$1, Data!G127,"")</f>
        <v/>
      </c>
      <c r="Y135" s="134" t="str">
        <f>IF(Data!$B127='Team Parser'!$B$1, Data!L127,"")</f>
        <v/>
      </c>
      <c r="Z135" s="134" t="str">
        <f>IF(Data!$B127='Team Parser'!$B$1, Data!K127,"")</f>
        <v/>
      </c>
      <c r="AA135" s="134" t="str">
        <f>IF(Data!$B127='Team Parser'!$B$1, Data!M127,"")</f>
        <v/>
      </c>
      <c r="AB135" s="134" t="str">
        <f>IF(Data!$B127='Team Parser'!$B$1,((Z135*2)+(Y135)+(X135*4)+(W135*2)),"")</f>
        <v/>
      </c>
      <c r="AC135" s="134" t="str">
        <f>IF(Data!$B127='Team Parser'!$B$1, Data!N127,"")</f>
        <v/>
      </c>
      <c r="AD135" s="139" t="str">
        <f>IF(Data!$B127='Team Parser'!$B$1,(AB135+(COUNTIF(AC135,"TRAVERSE")*15)+(COUNTIF(AC135,"HIGH")*10)+(COUNTIF(AC135,"MIDDLE")*6)+(COUNTIF(AC135,"LOW")*4)),"")</f>
        <v/>
      </c>
    </row>
    <row r="136">
      <c r="A136" s="133" t="s">
        <v>507</v>
      </c>
      <c r="B136" s="134" t="str">
        <f>IFERROR(__xludf.DUMMYFUNCTION("IFERROR((FILTER(Data!H:H,Data!D:D=A136,Data!B:B=$B$1)),"""")"),"")</f>
        <v/>
      </c>
      <c r="C136" s="134" t="str">
        <f>IFERROR(__xludf.DUMMYFUNCTION("IFERROR((FILTER(Data!G:G,Data!D:D=A136,Data!B:B=$B$1)),"""")"),"")</f>
        <v/>
      </c>
      <c r="D136" s="134" t="str">
        <f>IFERROR(__xludf.DUMMYFUNCTION("IFERROR((FILTER(Data!J:J,Data!D:D=A136,Data!B:B=$B$1)),"""")"),"")</f>
        <v/>
      </c>
      <c r="E136" s="134" t="str">
        <f>IFERROR(__xludf.DUMMYFUNCTION("IFERROR((FILTER(Data!L:L,Data!D:D=A136,Data!B:B=$B$1)),"""")"),"")</f>
        <v/>
      </c>
      <c r="F136" s="134" t="str">
        <f>IFERROR(__xludf.DUMMYFUNCTION("IFERROR((FILTER(Data!K:K,Data!D:D=A136,Data!B:B=$B$1)),"""")"),"")</f>
        <v/>
      </c>
      <c r="G136" s="134" t="str">
        <f>IFERROR(__xludf.DUMMYFUNCTION("IFERROR((FILTER(Data!M:M,Data!D:D=A136,Data!B:B=$B$1)),"""")"),"")</f>
        <v/>
      </c>
      <c r="H136" s="134" t="str">
        <f>IFERROR(__xludf.DUMMYFUNCTION("IFERROR((FILTER(Data!G:G,Data!D:D=A136,Data!B:B=$B$1)*4)+(FILTER(Data!H:H,Data!D:D=A136,Data!B:B=$B$1)*2),"""")"),"")</f>
        <v/>
      </c>
      <c r="I136" s="15" t="str">
        <f>IFERROR(__xludf.DUMMYFUNCTION("IFERROR((FILTER(Data!K:K,Data!D:D=A136,Data!B:B=$B$1)*2)+(FILTER(Data!L:L,Data!D:D=A136,Data!B:B=$B$1)),"""")"),"")</f>
        <v/>
      </c>
      <c r="J136" s="134" t="str">
        <f>IFERROR(__xludf.DUMMYFUNCTION("IFERROR((FILTER(Data!N:N,Data!D:D=A136,Data!B:B=$B$1)),"""")"),"")</f>
        <v/>
      </c>
      <c r="K136" s="135" t="str">
        <f>IFERROR(__xludf.DUMMYFUNCTION("IFERROR((FILTER(Data!H:H,Data!D:D=A136,Data!B:B=$B$1)*2)+(FILTER(Data!L:L,Data!D:D=A136,Data!B:B=$B$1))+(FILTER(Data!G:G,Data!D:D=A136,Data!B:B=$B$1)*4)+(FILTER(Data!K:K,Data!D:D=A136,Data!B:B=$B$1)*2)+(((COUNTIF(FILTER(Data!N:N,Data!D:D=A136,Data!B:B=$B$"&amp;"1),""TRAVERSE"")*15)+(COUNTIF(FILTER(Data!N:N,Data!D:D=A136,Data!B:B=$B$1),""HIGH"")*10)+(COUNTIF(FILTER(Data!N:N,Data!D:D=A136,Data!B:B=$B$1),""MIDDLE"")*6)+(COUNTIF(FILTER(Data!N:N,Data!D:D=A136,Data!B:B=$B$1),""LOW"")*4))),"""")"),"")</f>
        <v/>
      </c>
      <c r="L136" s="136" t="str">
        <f>IFERROR(__xludf.DUMMYFUNCTION("IFERROR((FILTER(Data!P:P,Data!D:D=A136,Data!B:B=$B$1)),"""")"),"")</f>
        <v/>
      </c>
      <c r="M136" s="137" t="str">
        <f>IFERROR(__xludf.DUMMYFUNCTION("IFERROR((FILTER(Data!A:A,Data!D:D=A136,Data!B:B=$B$1)),"""")"),"")</f>
        <v/>
      </c>
      <c r="T136" s="52">
        <f>IFERROR(__xludf.DUMMYFUNCTION("((COUNTIF(FILTER(Data!N:N,Data!D:D=A136,Data!B:B=$B$1),""TRAVERSE"")*15)+(COUNTIF(FILTER(Data!N:N,Data!D:D=A136,Data!B:B=B$1),""HIGH"")*10)+(COUNTIF(FILTER(Data!N:N,Data!D:D=A136,Data!B:B=$B$1),""MIDDLE"")*6)+(COUNTIF(FILTER(Data!N:N,Data!D:D=A136,Data!B:"&amp;"B=$B$1),""LOW"")*4))"),0.0)</f>
        <v>0</v>
      </c>
      <c r="V136" s="138" t="str">
        <f>IF(Data!B128='Team Parser'!$B$1, Data!D128,"")</f>
        <v/>
      </c>
      <c r="W136" s="134" t="str">
        <f>IF(Data!$B128='Team Parser'!$B$1, Data!H128,"")</f>
        <v/>
      </c>
      <c r="X136" s="134" t="str">
        <f>IF(Data!$B128='Team Parser'!$B$1, Data!G128,"")</f>
        <v/>
      </c>
      <c r="Y136" s="134" t="str">
        <f>IF(Data!$B128='Team Parser'!$B$1, Data!L128,"")</f>
        <v/>
      </c>
      <c r="Z136" s="134" t="str">
        <f>IF(Data!$B128='Team Parser'!$B$1, Data!K128,"")</f>
        <v/>
      </c>
      <c r="AA136" s="134" t="str">
        <f>IF(Data!$B128='Team Parser'!$B$1, Data!M128,"")</f>
        <v/>
      </c>
      <c r="AB136" s="134" t="str">
        <f>IF(Data!$B128='Team Parser'!$B$1,((Z136*2)+(Y136)+(X136*4)+(W136*2)),"")</f>
        <v/>
      </c>
      <c r="AC136" s="134" t="str">
        <f>IF(Data!$B128='Team Parser'!$B$1, Data!N128,"")</f>
        <v/>
      </c>
      <c r="AD136" s="139" t="str">
        <f>IF(Data!$B128='Team Parser'!$B$1,(AB136+(COUNTIF(AC136,"TRAVERSE")*15)+(COUNTIF(AC136,"HIGH")*10)+(COUNTIF(AC136,"MIDDLE")*6)+(COUNTIF(AC136,"LOW")*4)),"")</f>
        <v/>
      </c>
    </row>
    <row r="137">
      <c r="A137" s="133" t="s">
        <v>507</v>
      </c>
      <c r="B137" s="134" t="str">
        <f>IFERROR(__xludf.DUMMYFUNCTION("IFERROR((FILTER(Data!H:H,Data!D:D=A137,Data!B:B=$B$1)),"""")"),"")</f>
        <v/>
      </c>
      <c r="C137" s="134" t="str">
        <f>IFERROR(__xludf.DUMMYFUNCTION("IFERROR((FILTER(Data!G:G,Data!D:D=A137,Data!B:B=$B$1)),"""")"),"")</f>
        <v/>
      </c>
      <c r="D137" s="134" t="str">
        <f>IFERROR(__xludf.DUMMYFUNCTION("IFERROR((FILTER(Data!J:J,Data!D:D=A137,Data!B:B=$B$1)),"""")"),"")</f>
        <v/>
      </c>
      <c r="E137" s="134" t="str">
        <f>IFERROR(__xludf.DUMMYFUNCTION("IFERROR((FILTER(Data!L:L,Data!D:D=A137,Data!B:B=$B$1)),"""")"),"")</f>
        <v/>
      </c>
      <c r="F137" s="134" t="str">
        <f>IFERROR(__xludf.DUMMYFUNCTION("IFERROR((FILTER(Data!K:K,Data!D:D=A137,Data!B:B=$B$1)),"""")"),"")</f>
        <v/>
      </c>
      <c r="G137" s="134" t="str">
        <f>IFERROR(__xludf.DUMMYFUNCTION("IFERROR((FILTER(Data!M:M,Data!D:D=A137,Data!B:B=$B$1)),"""")"),"")</f>
        <v/>
      </c>
      <c r="H137" s="134" t="str">
        <f>IFERROR(__xludf.DUMMYFUNCTION("IFERROR((FILTER(Data!G:G,Data!D:D=A137,Data!B:B=$B$1)*4)+(FILTER(Data!H:H,Data!D:D=A137,Data!B:B=$B$1)*2),"""")"),"")</f>
        <v/>
      </c>
      <c r="I137" s="15" t="str">
        <f>IFERROR(__xludf.DUMMYFUNCTION("IFERROR((FILTER(Data!K:K,Data!D:D=A137,Data!B:B=$B$1)*2)+(FILTER(Data!L:L,Data!D:D=A137,Data!B:B=$B$1)),"""")"),"")</f>
        <v/>
      </c>
      <c r="J137" s="134" t="str">
        <f>IFERROR(__xludf.DUMMYFUNCTION("IFERROR((FILTER(Data!N:N,Data!D:D=A137,Data!B:B=$B$1)),"""")"),"")</f>
        <v/>
      </c>
      <c r="K137" s="135" t="str">
        <f>IFERROR(__xludf.DUMMYFUNCTION("IFERROR((FILTER(Data!H:H,Data!D:D=A137,Data!B:B=$B$1)*2)+(FILTER(Data!L:L,Data!D:D=A137,Data!B:B=$B$1))+(FILTER(Data!G:G,Data!D:D=A137,Data!B:B=$B$1)*4)+(FILTER(Data!K:K,Data!D:D=A137,Data!B:B=$B$1)*2)+(((COUNTIF(FILTER(Data!N:N,Data!D:D=A137,Data!B:B=$B$"&amp;"1),""TRAVERSE"")*15)+(COUNTIF(FILTER(Data!N:N,Data!D:D=A137,Data!B:B=$B$1),""HIGH"")*10)+(COUNTIF(FILTER(Data!N:N,Data!D:D=A137,Data!B:B=$B$1),""MIDDLE"")*6)+(COUNTIF(FILTER(Data!N:N,Data!D:D=A137,Data!B:B=$B$1),""LOW"")*4))),"""")"),"")</f>
        <v/>
      </c>
      <c r="L137" s="136" t="str">
        <f>IFERROR(__xludf.DUMMYFUNCTION("IFERROR((FILTER(Data!P:P,Data!D:D=A137,Data!B:B=$B$1)),"""")"),"")</f>
        <v/>
      </c>
      <c r="M137" s="137" t="str">
        <f>IFERROR(__xludf.DUMMYFUNCTION("IFERROR((FILTER(Data!A:A,Data!D:D=A137,Data!B:B=$B$1)),"""")"),"")</f>
        <v/>
      </c>
      <c r="T137" s="52">
        <f>IFERROR(__xludf.DUMMYFUNCTION("((COUNTIF(FILTER(Data!N:N,Data!D:D=A137,Data!B:B=$B$1),""TRAVERSE"")*15)+(COUNTIF(FILTER(Data!N:N,Data!D:D=A137,Data!B:B=B$1),""HIGH"")*10)+(COUNTIF(FILTER(Data!N:N,Data!D:D=A137,Data!B:B=$B$1),""MIDDLE"")*6)+(COUNTIF(FILTER(Data!N:N,Data!D:D=A137,Data!B:"&amp;"B=$B$1),""LOW"")*4))"),0.0)</f>
        <v>0</v>
      </c>
      <c r="V137" s="138" t="str">
        <f>IF(Data!B129='Team Parser'!$B$1, Data!D129,"")</f>
        <v/>
      </c>
      <c r="W137" s="134" t="str">
        <f>IF(Data!$B129='Team Parser'!$B$1, Data!H129,"")</f>
        <v/>
      </c>
      <c r="X137" s="134" t="str">
        <f>IF(Data!$B129='Team Parser'!$B$1, Data!G129,"")</f>
        <v/>
      </c>
      <c r="Y137" s="134" t="str">
        <f>IF(Data!$B129='Team Parser'!$B$1, Data!L129,"")</f>
        <v/>
      </c>
      <c r="Z137" s="134" t="str">
        <f>IF(Data!$B129='Team Parser'!$B$1, Data!K129,"")</f>
        <v/>
      </c>
      <c r="AA137" s="134" t="str">
        <f>IF(Data!$B129='Team Parser'!$B$1, Data!M129,"")</f>
        <v/>
      </c>
      <c r="AB137" s="134" t="str">
        <f>IF(Data!$B129='Team Parser'!$B$1,((Z137*2)+(Y137)+(X137*4)+(W137*2)),"")</f>
        <v/>
      </c>
      <c r="AC137" s="134" t="str">
        <f>IF(Data!$B129='Team Parser'!$B$1, Data!N129,"")</f>
        <v/>
      </c>
      <c r="AD137" s="139" t="str">
        <f>IF(Data!$B129='Team Parser'!$B$1,(AB137+(COUNTIF(AC137,"TRAVERSE")*15)+(COUNTIF(AC137,"HIGH")*10)+(COUNTIF(AC137,"MIDDLE")*6)+(COUNTIF(AC137,"LOW")*4)),"")</f>
        <v/>
      </c>
    </row>
    <row r="138">
      <c r="A138" s="133" t="s">
        <v>507</v>
      </c>
      <c r="B138" s="134" t="str">
        <f>IFERROR(__xludf.DUMMYFUNCTION("IFERROR((FILTER(Data!H:H,Data!D:D=A138,Data!B:B=$B$1)),"""")"),"")</f>
        <v/>
      </c>
      <c r="C138" s="134" t="str">
        <f>IFERROR(__xludf.DUMMYFUNCTION("IFERROR((FILTER(Data!G:G,Data!D:D=A138,Data!B:B=$B$1)),"""")"),"")</f>
        <v/>
      </c>
      <c r="D138" s="134" t="str">
        <f>IFERROR(__xludf.DUMMYFUNCTION("IFERROR((FILTER(Data!J:J,Data!D:D=A138,Data!B:B=$B$1)),"""")"),"")</f>
        <v/>
      </c>
      <c r="E138" s="134" t="str">
        <f>IFERROR(__xludf.DUMMYFUNCTION("IFERROR((FILTER(Data!L:L,Data!D:D=A138,Data!B:B=$B$1)),"""")"),"")</f>
        <v/>
      </c>
      <c r="F138" s="134" t="str">
        <f>IFERROR(__xludf.DUMMYFUNCTION("IFERROR((FILTER(Data!K:K,Data!D:D=A138,Data!B:B=$B$1)),"""")"),"")</f>
        <v/>
      </c>
      <c r="G138" s="134" t="str">
        <f>IFERROR(__xludf.DUMMYFUNCTION("IFERROR((FILTER(Data!M:M,Data!D:D=A138,Data!B:B=$B$1)),"""")"),"")</f>
        <v/>
      </c>
      <c r="H138" s="134" t="str">
        <f>IFERROR(__xludf.DUMMYFUNCTION("IFERROR((FILTER(Data!G:G,Data!D:D=A138,Data!B:B=$B$1)*4)+(FILTER(Data!H:H,Data!D:D=A138,Data!B:B=$B$1)*2),"""")"),"")</f>
        <v/>
      </c>
      <c r="I138" s="15" t="str">
        <f>IFERROR(__xludf.DUMMYFUNCTION("IFERROR((FILTER(Data!K:K,Data!D:D=A138,Data!B:B=$B$1)*2)+(FILTER(Data!L:L,Data!D:D=A138,Data!B:B=$B$1)),"""")"),"")</f>
        <v/>
      </c>
      <c r="J138" s="134" t="str">
        <f>IFERROR(__xludf.DUMMYFUNCTION("IFERROR((FILTER(Data!N:N,Data!D:D=A138,Data!B:B=$B$1)),"""")"),"")</f>
        <v/>
      </c>
      <c r="K138" s="135" t="str">
        <f>IFERROR(__xludf.DUMMYFUNCTION("IFERROR((FILTER(Data!H:H,Data!D:D=A138,Data!B:B=$B$1)*2)+(FILTER(Data!L:L,Data!D:D=A138,Data!B:B=$B$1))+(FILTER(Data!G:G,Data!D:D=A138,Data!B:B=$B$1)*4)+(FILTER(Data!K:K,Data!D:D=A138,Data!B:B=$B$1)*2)+(((COUNTIF(FILTER(Data!N:N,Data!D:D=A138,Data!B:B=$B$"&amp;"1),""TRAVERSE"")*15)+(COUNTIF(FILTER(Data!N:N,Data!D:D=A138,Data!B:B=$B$1),""HIGH"")*10)+(COUNTIF(FILTER(Data!N:N,Data!D:D=A138,Data!B:B=$B$1),""MIDDLE"")*6)+(COUNTIF(FILTER(Data!N:N,Data!D:D=A138,Data!B:B=$B$1),""LOW"")*4))),"""")"),"")</f>
        <v/>
      </c>
      <c r="L138" s="136" t="str">
        <f>IFERROR(__xludf.DUMMYFUNCTION("IFERROR((FILTER(Data!P:P,Data!D:D=A138,Data!B:B=$B$1)),"""")"),"")</f>
        <v/>
      </c>
      <c r="M138" s="137" t="str">
        <f>IFERROR(__xludf.DUMMYFUNCTION("IFERROR((FILTER(Data!A:A,Data!D:D=A138,Data!B:B=$B$1)),"""")"),"")</f>
        <v/>
      </c>
      <c r="T138" s="52">
        <f>IFERROR(__xludf.DUMMYFUNCTION("((COUNTIF(FILTER(Data!N:N,Data!D:D=A138,Data!B:B=$B$1),""TRAVERSE"")*15)+(COUNTIF(FILTER(Data!N:N,Data!D:D=A138,Data!B:B=B$1),""HIGH"")*10)+(COUNTIF(FILTER(Data!N:N,Data!D:D=A138,Data!B:B=$B$1),""MIDDLE"")*6)+(COUNTIF(FILTER(Data!N:N,Data!D:D=A138,Data!B:"&amp;"B=$B$1),""LOW"")*4))"),0.0)</f>
        <v>0</v>
      </c>
      <c r="V138" s="138" t="str">
        <f>IF(Data!B130='Team Parser'!$B$1, Data!D130,"")</f>
        <v/>
      </c>
      <c r="W138" s="134" t="str">
        <f>IF(Data!$B130='Team Parser'!$B$1, Data!H130,"")</f>
        <v/>
      </c>
      <c r="X138" s="134" t="str">
        <f>IF(Data!$B130='Team Parser'!$B$1, Data!G130,"")</f>
        <v/>
      </c>
      <c r="Y138" s="134" t="str">
        <f>IF(Data!$B130='Team Parser'!$B$1, Data!L130,"")</f>
        <v/>
      </c>
      <c r="Z138" s="134" t="str">
        <f>IF(Data!$B130='Team Parser'!$B$1, Data!K130,"")</f>
        <v/>
      </c>
      <c r="AA138" s="134" t="str">
        <f>IF(Data!$B130='Team Parser'!$B$1, Data!M130,"")</f>
        <v/>
      </c>
      <c r="AB138" s="134" t="str">
        <f>IF(Data!$B130='Team Parser'!$B$1,((Z138*2)+(Y138)+(X138*4)+(W138*2)),"")</f>
        <v/>
      </c>
      <c r="AC138" s="134" t="str">
        <f>IF(Data!$B130='Team Parser'!$B$1, Data!N130,"")</f>
        <v/>
      </c>
      <c r="AD138" s="139" t="str">
        <f>IF(Data!$B130='Team Parser'!$B$1,(AB138+(COUNTIF(AC138,"TRAVERSE")*15)+(COUNTIF(AC138,"HIGH")*10)+(COUNTIF(AC138,"MIDDLE")*6)+(COUNTIF(AC138,"LOW")*4)),"")</f>
        <v/>
      </c>
    </row>
    <row r="139">
      <c r="A139" s="133" t="s">
        <v>507</v>
      </c>
      <c r="B139" s="134" t="str">
        <f>IFERROR(__xludf.DUMMYFUNCTION("IFERROR((FILTER(Data!H:H,Data!D:D=A139,Data!B:B=$B$1)),"""")"),"")</f>
        <v/>
      </c>
      <c r="C139" s="134" t="str">
        <f>IFERROR(__xludf.DUMMYFUNCTION("IFERROR((FILTER(Data!G:G,Data!D:D=A139,Data!B:B=$B$1)),"""")"),"")</f>
        <v/>
      </c>
      <c r="D139" s="134" t="str">
        <f>IFERROR(__xludf.DUMMYFUNCTION("IFERROR((FILTER(Data!J:J,Data!D:D=A139,Data!B:B=$B$1)),"""")"),"")</f>
        <v/>
      </c>
      <c r="E139" s="134" t="str">
        <f>IFERROR(__xludf.DUMMYFUNCTION("IFERROR((FILTER(Data!L:L,Data!D:D=A139,Data!B:B=$B$1)),"""")"),"")</f>
        <v/>
      </c>
      <c r="F139" s="134" t="str">
        <f>IFERROR(__xludf.DUMMYFUNCTION("IFERROR((FILTER(Data!K:K,Data!D:D=A139,Data!B:B=$B$1)),"""")"),"")</f>
        <v/>
      </c>
      <c r="G139" s="134" t="str">
        <f>IFERROR(__xludf.DUMMYFUNCTION("IFERROR((FILTER(Data!M:M,Data!D:D=A139,Data!B:B=$B$1)),"""")"),"")</f>
        <v/>
      </c>
      <c r="H139" s="134" t="str">
        <f>IFERROR(__xludf.DUMMYFUNCTION("IFERROR((FILTER(Data!G:G,Data!D:D=A139,Data!B:B=$B$1)*4)+(FILTER(Data!H:H,Data!D:D=A139,Data!B:B=$B$1)*2),"""")"),"")</f>
        <v/>
      </c>
      <c r="I139" s="15" t="str">
        <f>IFERROR(__xludf.DUMMYFUNCTION("IFERROR((FILTER(Data!K:K,Data!D:D=A139,Data!B:B=$B$1)*2)+(FILTER(Data!L:L,Data!D:D=A139,Data!B:B=$B$1)),"""")"),"")</f>
        <v/>
      </c>
      <c r="J139" s="134" t="str">
        <f>IFERROR(__xludf.DUMMYFUNCTION("IFERROR((FILTER(Data!N:N,Data!D:D=A139,Data!B:B=$B$1)),"""")"),"")</f>
        <v/>
      </c>
      <c r="K139" s="135" t="str">
        <f>IFERROR(__xludf.DUMMYFUNCTION("IFERROR((FILTER(Data!H:H,Data!D:D=A139,Data!B:B=$B$1)*2)+(FILTER(Data!L:L,Data!D:D=A139,Data!B:B=$B$1))+(FILTER(Data!G:G,Data!D:D=A139,Data!B:B=$B$1)*4)+(FILTER(Data!K:K,Data!D:D=A139,Data!B:B=$B$1)*2)+(((COUNTIF(FILTER(Data!N:N,Data!D:D=A139,Data!B:B=$B$"&amp;"1),""TRAVERSE"")*15)+(COUNTIF(FILTER(Data!N:N,Data!D:D=A139,Data!B:B=$B$1),""HIGH"")*10)+(COUNTIF(FILTER(Data!N:N,Data!D:D=A139,Data!B:B=$B$1),""MIDDLE"")*6)+(COUNTIF(FILTER(Data!N:N,Data!D:D=A139,Data!B:B=$B$1),""LOW"")*4))),"""")"),"")</f>
        <v/>
      </c>
      <c r="L139" s="136" t="str">
        <f>IFERROR(__xludf.DUMMYFUNCTION("IFERROR((FILTER(Data!P:P,Data!D:D=A139,Data!B:B=$B$1)),"""")"),"")</f>
        <v/>
      </c>
      <c r="M139" s="137" t="str">
        <f>IFERROR(__xludf.DUMMYFUNCTION("IFERROR((FILTER(Data!A:A,Data!D:D=A139,Data!B:B=$B$1)),"""")"),"")</f>
        <v/>
      </c>
      <c r="T139" s="52">
        <f>IFERROR(__xludf.DUMMYFUNCTION("((COUNTIF(FILTER(Data!N:N,Data!D:D=A139,Data!B:B=$B$1),""TRAVERSE"")*15)+(COUNTIF(FILTER(Data!N:N,Data!D:D=A139,Data!B:B=B$1),""HIGH"")*10)+(COUNTIF(FILTER(Data!N:N,Data!D:D=A139,Data!B:B=$B$1),""MIDDLE"")*6)+(COUNTIF(FILTER(Data!N:N,Data!D:D=A139,Data!B:"&amp;"B=$B$1),""LOW"")*4))"),0.0)</f>
        <v>0</v>
      </c>
      <c r="V139" s="138" t="str">
        <f>IF(Data!B131='Team Parser'!$B$1, Data!D131,"")</f>
        <v/>
      </c>
      <c r="W139" s="134" t="str">
        <f>IF(Data!$B131='Team Parser'!$B$1, Data!H131,"")</f>
        <v/>
      </c>
      <c r="X139" s="134" t="str">
        <f>IF(Data!$B131='Team Parser'!$B$1, Data!G131,"")</f>
        <v/>
      </c>
      <c r="Y139" s="134" t="str">
        <f>IF(Data!$B131='Team Parser'!$B$1, Data!L131,"")</f>
        <v/>
      </c>
      <c r="Z139" s="134" t="str">
        <f>IF(Data!$B131='Team Parser'!$B$1, Data!K131,"")</f>
        <v/>
      </c>
      <c r="AA139" s="134" t="str">
        <f>IF(Data!$B131='Team Parser'!$B$1, Data!M131,"")</f>
        <v/>
      </c>
      <c r="AB139" s="134" t="str">
        <f>IF(Data!$B131='Team Parser'!$B$1,((Z139*2)+(Y139)+(X139*4)+(W139*2)),"")</f>
        <v/>
      </c>
      <c r="AC139" s="134" t="str">
        <f>IF(Data!$B131='Team Parser'!$B$1, Data!N131,"")</f>
        <v/>
      </c>
      <c r="AD139" s="139" t="str">
        <f>IF(Data!$B131='Team Parser'!$B$1,(AB139+(COUNTIF(AC139,"TRAVERSE")*15)+(COUNTIF(AC139,"HIGH")*10)+(COUNTIF(AC139,"MIDDLE")*6)+(COUNTIF(AC139,"LOW")*4)),"")</f>
        <v/>
      </c>
    </row>
    <row r="140">
      <c r="A140" s="133" t="s">
        <v>507</v>
      </c>
      <c r="B140" s="134" t="str">
        <f>IFERROR(__xludf.DUMMYFUNCTION("IFERROR((FILTER(Data!H:H,Data!D:D=A140,Data!B:B=$B$1)),"""")"),"")</f>
        <v/>
      </c>
      <c r="C140" s="134" t="str">
        <f>IFERROR(__xludf.DUMMYFUNCTION("IFERROR((FILTER(Data!G:G,Data!D:D=A140,Data!B:B=$B$1)),"""")"),"")</f>
        <v/>
      </c>
      <c r="D140" s="134" t="str">
        <f>IFERROR(__xludf.DUMMYFUNCTION("IFERROR((FILTER(Data!J:J,Data!D:D=A140,Data!B:B=$B$1)),"""")"),"")</f>
        <v/>
      </c>
      <c r="E140" s="134" t="str">
        <f>IFERROR(__xludf.DUMMYFUNCTION("IFERROR((FILTER(Data!L:L,Data!D:D=A140,Data!B:B=$B$1)),"""")"),"")</f>
        <v/>
      </c>
      <c r="F140" s="134" t="str">
        <f>IFERROR(__xludf.DUMMYFUNCTION("IFERROR((FILTER(Data!K:K,Data!D:D=A140,Data!B:B=$B$1)),"""")"),"")</f>
        <v/>
      </c>
      <c r="G140" s="134" t="str">
        <f>IFERROR(__xludf.DUMMYFUNCTION("IFERROR((FILTER(Data!M:M,Data!D:D=A140,Data!B:B=$B$1)),"""")"),"")</f>
        <v/>
      </c>
      <c r="H140" s="134" t="str">
        <f>IFERROR(__xludf.DUMMYFUNCTION("IFERROR((FILTER(Data!G:G,Data!D:D=A140,Data!B:B=$B$1)*4)+(FILTER(Data!H:H,Data!D:D=A140,Data!B:B=$B$1)*2),"""")"),"")</f>
        <v/>
      </c>
      <c r="I140" s="15" t="str">
        <f>IFERROR(__xludf.DUMMYFUNCTION("IFERROR((FILTER(Data!K:K,Data!D:D=A140,Data!B:B=$B$1)*2)+(FILTER(Data!L:L,Data!D:D=A140,Data!B:B=$B$1)),"""")"),"")</f>
        <v/>
      </c>
      <c r="J140" s="134" t="str">
        <f>IFERROR(__xludf.DUMMYFUNCTION("IFERROR((FILTER(Data!N:N,Data!D:D=A140,Data!B:B=$B$1)),"""")"),"")</f>
        <v/>
      </c>
      <c r="K140" s="135" t="str">
        <f>IFERROR(__xludf.DUMMYFUNCTION("IFERROR((FILTER(Data!H:H,Data!D:D=A140,Data!B:B=$B$1)*2)+(FILTER(Data!L:L,Data!D:D=A140,Data!B:B=$B$1))+(FILTER(Data!G:G,Data!D:D=A140,Data!B:B=$B$1)*4)+(FILTER(Data!K:K,Data!D:D=A140,Data!B:B=$B$1)*2)+(((COUNTIF(FILTER(Data!N:N,Data!D:D=A140,Data!B:B=$B$"&amp;"1),""TRAVERSE"")*15)+(COUNTIF(FILTER(Data!N:N,Data!D:D=A140,Data!B:B=$B$1),""HIGH"")*10)+(COUNTIF(FILTER(Data!N:N,Data!D:D=A140,Data!B:B=$B$1),""MIDDLE"")*6)+(COUNTIF(FILTER(Data!N:N,Data!D:D=A140,Data!B:B=$B$1),""LOW"")*4))),"""")"),"")</f>
        <v/>
      </c>
      <c r="L140" s="136" t="str">
        <f>IFERROR(__xludf.DUMMYFUNCTION("IFERROR((FILTER(Data!P:P,Data!D:D=A140,Data!B:B=$B$1)),"""")"),"")</f>
        <v/>
      </c>
      <c r="M140" s="137" t="str">
        <f>IFERROR(__xludf.DUMMYFUNCTION("IFERROR((FILTER(Data!A:A,Data!D:D=A140,Data!B:B=$B$1)),"""")"),"")</f>
        <v/>
      </c>
      <c r="T140" s="52">
        <f>IFERROR(__xludf.DUMMYFUNCTION("((COUNTIF(FILTER(Data!N:N,Data!D:D=A140,Data!B:B=$B$1),""TRAVERSE"")*15)+(COUNTIF(FILTER(Data!N:N,Data!D:D=A140,Data!B:B=B$1),""HIGH"")*10)+(COUNTIF(FILTER(Data!N:N,Data!D:D=A140,Data!B:B=$B$1),""MIDDLE"")*6)+(COUNTIF(FILTER(Data!N:N,Data!D:D=A140,Data!B:"&amp;"B=$B$1),""LOW"")*4))"),0.0)</f>
        <v>0</v>
      </c>
      <c r="V140" s="138" t="str">
        <f>IF(Data!B132='Team Parser'!$B$1, Data!D132,"")</f>
        <v/>
      </c>
      <c r="W140" s="134" t="str">
        <f>IF(Data!$B132='Team Parser'!$B$1, Data!H132,"")</f>
        <v/>
      </c>
      <c r="X140" s="134" t="str">
        <f>IF(Data!$B132='Team Parser'!$B$1, Data!G132,"")</f>
        <v/>
      </c>
      <c r="Y140" s="134" t="str">
        <f>IF(Data!$B132='Team Parser'!$B$1, Data!L132,"")</f>
        <v/>
      </c>
      <c r="Z140" s="134" t="str">
        <f>IF(Data!$B132='Team Parser'!$B$1, Data!K132,"")</f>
        <v/>
      </c>
      <c r="AA140" s="134" t="str">
        <f>IF(Data!$B132='Team Parser'!$B$1, Data!M132,"")</f>
        <v/>
      </c>
      <c r="AB140" s="134" t="str">
        <f>IF(Data!$B132='Team Parser'!$B$1,((Z140*2)+(Y140)+(X140*4)+(W140*2)),"")</f>
        <v/>
      </c>
      <c r="AC140" s="134" t="str">
        <f>IF(Data!$B132='Team Parser'!$B$1, Data!N132,"")</f>
        <v/>
      </c>
      <c r="AD140" s="139" t="str">
        <f>IF(Data!$B132='Team Parser'!$B$1,(AB140+(COUNTIF(AC140,"TRAVERSE")*15)+(COUNTIF(AC140,"HIGH")*10)+(COUNTIF(AC140,"MIDDLE")*6)+(COUNTIF(AC140,"LOW")*4)),"")</f>
        <v/>
      </c>
    </row>
    <row r="141">
      <c r="A141" s="133" t="s">
        <v>507</v>
      </c>
      <c r="B141" s="134" t="str">
        <f>IFERROR(__xludf.DUMMYFUNCTION("IFERROR((FILTER(Data!H:H,Data!D:D=A141,Data!B:B=$B$1)),"""")"),"")</f>
        <v/>
      </c>
      <c r="C141" s="134" t="str">
        <f>IFERROR(__xludf.DUMMYFUNCTION("IFERROR((FILTER(Data!G:G,Data!D:D=A141,Data!B:B=$B$1)),"""")"),"")</f>
        <v/>
      </c>
      <c r="D141" s="134" t="str">
        <f>IFERROR(__xludf.DUMMYFUNCTION("IFERROR((FILTER(Data!J:J,Data!D:D=A141,Data!B:B=$B$1)),"""")"),"")</f>
        <v/>
      </c>
      <c r="E141" s="134" t="str">
        <f>IFERROR(__xludf.DUMMYFUNCTION("IFERROR((FILTER(Data!L:L,Data!D:D=A141,Data!B:B=$B$1)),"""")"),"")</f>
        <v/>
      </c>
      <c r="F141" s="134" t="str">
        <f>IFERROR(__xludf.DUMMYFUNCTION("IFERROR((FILTER(Data!K:K,Data!D:D=A141,Data!B:B=$B$1)),"""")"),"")</f>
        <v/>
      </c>
      <c r="G141" s="134" t="str">
        <f>IFERROR(__xludf.DUMMYFUNCTION("IFERROR((FILTER(Data!M:M,Data!D:D=A141,Data!B:B=$B$1)),"""")"),"")</f>
        <v/>
      </c>
      <c r="H141" s="134" t="str">
        <f>IFERROR(__xludf.DUMMYFUNCTION("IFERROR((FILTER(Data!G:G,Data!D:D=A141,Data!B:B=$B$1)*4)+(FILTER(Data!H:H,Data!D:D=A141,Data!B:B=$B$1)*2),"""")"),"")</f>
        <v/>
      </c>
      <c r="I141" s="15" t="str">
        <f>IFERROR(__xludf.DUMMYFUNCTION("IFERROR((FILTER(Data!K:K,Data!D:D=A141,Data!B:B=$B$1)*2)+(FILTER(Data!L:L,Data!D:D=A141,Data!B:B=$B$1)),"""")"),"")</f>
        <v/>
      </c>
      <c r="J141" s="134" t="str">
        <f>IFERROR(__xludf.DUMMYFUNCTION("IFERROR((FILTER(Data!N:N,Data!D:D=A141,Data!B:B=$B$1)),"""")"),"")</f>
        <v/>
      </c>
      <c r="K141" s="135" t="str">
        <f>IFERROR(__xludf.DUMMYFUNCTION("IFERROR((FILTER(Data!H:H,Data!D:D=A141,Data!B:B=$B$1)*2)+(FILTER(Data!L:L,Data!D:D=A141,Data!B:B=$B$1))+(FILTER(Data!G:G,Data!D:D=A141,Data!B:B=$B$1)*4)+(FILTER(Data!K:K,Data!D:D=A141,Data!B:B=$B$1)*2)+(((COUNTIF(FILTER(Data!N:N,Data!D:D=A141,Data!B:B=$B$"&amp;"1),""TRAVERSE"")*15)+(COUNTIF(FILTER(Data!N:N,Data!D:D=A141,Data!B:B=$B$1),""HIGH"")*10)+(COUNTIF(FILTER(Data!N:N,Data!D:D=A141,Data!B:B=$B$1),""MIDDLE"")*6)+(COUNTIF(FILTER(Data!N:N,Data!D:D=A141,Data!B:B=$B$1),""LOW"")*4))),"""")"),"")</f>
        <v/>
      </c>
      <c r="L141" s="136" t="str">
        <f>IFERROR(__xludf.DUMMYFUNCTION("IFERROR((FILTER(Data!P:P,Data!D:D=A141,Data!B:B=$B$1)),"""")"),"")</f>
        <v/>
      </c>
      <c r="M141" s="137" t="str">
        <f>IFERROR(__xludf.DUMMYFUNCTION("IFERROR((FILTER(Data!A:A,Data!D:D=A141,Data!B:B=$B$1)),"""")"),"")</f>
        <v/>
      </c>
      <c r="T141" s="52">
        <f>IFERROR(__xludf.DUMMYFUNCTION("((COUNTIF(FILTER(Data!N:N,Data!D:D=A141,Data!B:B=$B$1),""TRAVERSE"")*15)+(COUNTIF(FILTER(Data!N:N,Data!D:D=A141,Data!B:B=B$1),""HIGH"")*10)+(COUNTIF(FILTER(Data!N:N,Data!D:D=A141,Data!B:B=$B$1),""MIDDLE"")*6)+(COUNTIF(FILTER(Data!N:N,Data!D:D=A141,Data!B:"&amp;"B=$B$1),""LOW"")*4))"),0.0)</f>
        <v>0</v>
      </c>
      <c r="V141" s="138" t="str">
        <f>IF(Data!B133='Team Parser'!$B$1, Data!D133,"")</f>
        <v/>
      </c>
      <c r="W141" s="134" t="str">
        <f>IF(Data!$B133='Team Parser'!$B$1, Data!H133,"")</f>
        <v/>
      </c>
      <c r="X141" s="134" t="str">
        <f>IF(Data!$B133='Team Parser'!$B$1, Data!G133,"")</f>
        <v/>
      </c>
      <c r="Y141" s="134" t="str">
        <f>IF(Data!$B133='Team Parser'!$B$1, Data!L133,"")</f>
        <v/>
      </c>
      <c r="Z141" s="134" t="str">
        <f>IF(Data!$B133='Team Parser'!$B$1, Data!K133,"")</f>
        <v/>
      </c>
      <c r="AA141" s="134" t="str">
        <f>IF(Data!$B133='Team Parser'!$B$1, Data!M133,"")</f>
        <v/>
      </c>
      <c r="AB141" s="134" t="str">
        <f>IF(Data!$B133='Team Parser'!$B$1,((Z141*2)+(Y141)+(X141*4)+(W141*2)),"")</f>
        <v/>
      </c>
      <c r="AC141" s="134" t="str">
        <f>IF(Data!$B133='Team Parser'!$B$1, Data!N133,"")</f>
        <v/>
      </c>
      <c r="AD141" s="139" t="str">
        <f>IF(Data!$B133='Team Parser'!$B$1,(AB141+(COUNTIF(AC141,"TRAVERSE")*15)+(COUNTIF(AC141,"HIGH")*10)+(COUNTIF(AC141,"MIDDLE")*6)+(COUNTIF(AC141,"LOW")*4)),"")</f>
        <v/>
      </c>
    </row>
    <row r="142">
      <c r="A142" s="133" t="s">
        <v>507</v>
      </c>
      <c r="B142" s="134" t="str">
        <f>IFERROR(__xludf.DUMMYFUNCTION("IFERROR((FILTER(Data!H:H,Data!D:D=A142,Data!B:B=$B$1)),"""")"),"")</f>
        <v/>
      </c>
      <c r="C142" s="134" t="str">
        <f>IFERROR(__xludf.DUMMYFUNCTION("IFERROR((FILTER(Data!G:G,Data!D:D=A142,Data!B:B=$B$1)),"""")"),"")</f>
        <v/>
      </c>
      <c r="D142" s="134" t="str">
        <f>IFERROR(__xludf.DUMMYFUNCTION("IFERROR((FILTER(Data!J:J,Data!D:D=A142,Data!B:B=$B$1)),"""")"),"")</f>
        <v/>
      </c>
      <c r="E142" s="134" t="str">
        <f>IFERROR(__xludf.DUMMYFUNCTION("IFERROR((FILTER(Data!L:L,Data!D:D=A142,Data!B:B=$B$1)),"""")"),"")</f>
        <v/>
      </c>
      <c r="F142" s="134" t="str">
        <f>IFERROR(__xludf.DUMMYFUNCTION("IFERROR((FILTER(Data!K:K,Data!D:D=A142,Data!B:B=$B$1)),"""")"),"")</f>
        <v/>
      </c>
      <c r="G142" s="134" t="str">
        <f>IFERROR(__xludf.DUMMYFUNCTION("IFERROR((FILTER(Data!M:M,Data!D:D=A142,Data!B:B=$B$1)),"""")"),"")</f>
        <v/>
      </c>
      <c r="H142" s="134" t="str">
        <f>IFERROR(__xludf.DUMMYFUNCTION("IFERROR((FILTER(Data!G:G,Data!D:D=A142,Data!B:B=$B$1)*4)+(FILTER(Data!H:H,Data!D:D=A142,Data!B:B=$B$1)*2),"""")"),"")</f>
        <v/>
      </c>
      <c r="I142" s="15" t="str">
        <f>IFERROR(__xludf.DUMMYFUNCTION("IFERROR((FILTER(Data!K:K,Data!D:D=A142,Data!B:B=$B$1)*2)+(FILTER(Data!L:L,Data!D:D=A142,Data!B:B=$B$1)),"""")"),"")</f>
        <v/>
      </c>
      <c r="J142" s="134" t="str">
        <f>IFERROR(__xludf.DUMMYFUNCTION("IFERROR((FILTER(Data!N:N,Data!D:D=A142,Data!B:B=$B$1)),"""")"),"")</f>
        <v/>
      </c>
      <c r="K142" s="135" t="str">
        <f>IFERROR(__xludf.DUMMYFUNCTION("IFERROR((FILTER(Data!H:H,Data!D:D=A142,Data!B:B=$B$1)*2)+(FILTER(Data!L:L,Data!D:D=A142,Data!B:B=$B$1))+(FILTER(Data!G:G,Data!D:D=A142,Data!B:B=$B$1)*4)+(FILTER(Data!K:K,Data!D:D=A142,Data!B:B=$B$1)*2)+(((COUNTIF(FILTER(Data!N:N,Data!D:D=A142,Data!B:B=$B$"&amp;"1),""TRAVERSE"")*15)+(COUNTIF(FILTER(Data!N:N,Data!D:D=A142,Data!B:B=$B$1),""HIGH"")*10)+(COUNTIF(FILTER(Data!N:N,Data!D:D=A142,Data!B:B=$B$1),""MIDDLE"")*6)+(COUNTIF(FILTER(Data!N:N,Data!D:D=A142,Data!B:B=$B$1),""LOW"")*4))),"""")"),"")</f>
        <v/>
      </c>
      <c r="L142" s="136" t="str">
        <f>IFERROR(__xludf.DUMMYFUNCTION("IFERROR((FILTER(Data!P:P,Data!D:D=A142,Data!B:B=$B$1)),"""")"),"")</f>
        <v/>
      </c>
      <c r="M142" s="137" t="str">
        <f>IFERROR(__xludf.DUMMYFUNCTION("IFERROR((FILTER(Data!A:A,Data!D:D=A142,Data!B:B=$B$1)),"""")"),"")</f>
        <v/>
      </c>
      <c r="T142" s="52">
        <f>IFERROR(__xludf.DUMMYFUNCTION("((COUNTIF(FILTER(Data!N:N,Data!D:D=A142,Data!B:B=$B$1),""TRAVERSE"")*15)+(COUNTIF(FILTER(Data!N:N,Data!D:D=A142,Data!B:B=B$1),""HIGH"")*10)+(COUNTIF(FILTER(Data!N:N,Data!D:D=A142,Data!B:B=$B$1),""MIDDLE"")*6)+(COUNTIF(FILTER(Data!N:N,Data!D:D=A142,Data!B:"&amp;"B=$B$1),""LOW"")*4))"),0.0)</f>
        <v>0</v>
      </c>
      <c r="V142" s="138" t="str">
        <f>IF(Data!B134='Team Parser'!$B$1, Data!D134,"")</f>
        <v/>
      </c>
      <c r="W142" s="134" t="str">
        <f>IF(Data!$B134='Team Parser'!$B$1, Data!H134,"")</f>
        <v/>
      </c>
      <c r="X142" s="134" t="str">
        <f>IF(Data!$B134='Team Parser'!$B$1, Data!G134,"")</f>
        <v/>
      </c>
      <c r="Y142" s="134" t="str">
        <f>IF(Data!$B134='Team Parser'!$B$1, Data!L134,"")</f>
        <v/>
      </c>
      <c r="Z142" s="134" t="str">
        <f>IF(Data!$B134='Team Parser'!$B$1, Data!K134,"")</f>
        <v/>
      </c>
      <c r="AA142" s="134" t="str">
        <f>IF(Data!$B134='Team Parser'!$B$1, Data!M134,"")</f>
        <v/>
      </c>
      <c r="AB142" s="134" t="str">
        <f>IF(Data!$B134='Team Parser'!$B$1,((Z142*2)+(Y142)+(X142*4)+(W142*2)),"")</f>
        <v/>
      </c>
      <c r="AC142" s="134" t="str">
        <f>IF(Data!$B134='Team Parser'!$B$1, Data!N134,"")</f>
        <v/>
      </c>
      <c r="AD142" s="139" t="str">
        <f>IF(Data!$B134='Team Parser'!$B$1,(AB142+(COUNTIF(AC142,"TRAVERSE")*15)+(COUNTIF(AC142,"HIGH")*10)+(COUNTIF(AC142,"MIDDLE")*6)+(COUNTIF(AC142,"LOW")*4)),"")</f>
        <v/>
      </c>
    </row>
    <row r="143">
      <c r="A143" s="133" t="s">
        <v>507</v>
      </c>
      <c r="B143" s="134" t="str">
        <f>IFERROR(__xludf.DUMMYFUNCTION("IFERROR((FILTER(Data!H:H,Data!D:D=A143,Data!B:B=$B$1)),"""")"),"")</f>
        <v/>
      </c>
      <c r="C143" s="134" t="str">
        <f>IFERROR(__xludf.DUMMYFUNCTION("IFERROR((FILTER(Data!G:G,Data!D:D=A143,Data!B:B=$B$1)),"""")"),"")</f>
        <v/>
      </c>
      <c r="D143" s="134" t="str">
        <f>IFERROR(__xludf.DUMMYFUNCTION("IFERROR((FILTER(Data!J:J,Data!D:D=A143,Data!B:B=$B$1)),"""")"),"")</f>
        <v/>
      </c>
      <c r="E143" s="134" t="str">
        <f>IFERROR(__xludf.DUMMYFUNCTION("IFERROR((FILTER(Data!L:L,Data!D:D=A143,Data!B:B=$B$1)),"""")"),"")</f>
        <v/>
      </c>
      <c r="F143" s="134" t="str">
        <f>IFERROR(__xludf.DUMMYFUNCTION("IFERROR((FILTER(Data!K:K,Data!D:D=A143,Data!B:B=$B$1)),"""")"),"")</f>
        <v/>
      </c>
      <c r="G143" s="134" t="str">
        <f>IFERROR(__xludf.DUMMYFUNCTION("IFERROR((FILTER(Data!M:M,Data!D:D=A143,Data!B:B=$B$1)),"""")"),"")</f>
        <v/>
      </c>
      <c r="H143" s="134" t="str">
        <f>IFERROR(__xludf.DUMMYFUNCTION("IFERROR((FILTER(Data!G:G,Data!D:D=A143,Data!B:B=$B$1)*4)+(FILTER(Data!H:H,Data!D:D=A143,Data!B:B=$B$1)*2),"""")"),"")</f>
        <v/>
      </c>
      <c r="I143" s="15" t="str">
        <f>IFERROR(__xludf.DUMMYFUNCTION("IFERROR((FILTER(Data!K:K,Data!D:D=A143,Data!B:B=$B$1)*2)+(FILTER(Data!L:L,Data!D:D=A143,Data!B:B=$B$1)),"""")"),"")</f>
        <v/>
      </c>
      <c r="J143" s="134" t="str">
        <f>IFERROR(__xludf.DUMMYFUNCTION("IFERROR((FILTER(Data!N:N,Data!D:D=A143,Data!B:B=$B$1)),"""")"),"")</f>
        <v/>
      </c>
      <c r="K143" s="135" t="str">
        <f>IFERROR(__xludf.DUMMYFUNCTION("IFERROR((FILTER(Data!H:H,Data!D:D=A143,Data!B:B=$B$1)*2)+(FILTER(Data!L:L,Data!D:D=A143,Data!B:B=$B$1))+(FILTER(Data!G:G,Data!D:D=A143,Data!B:B=$B$1)*4)+(FILTER(Data!K:K,Data!D:D=A143,Data!B:B=$B$1)*2)+(((COUNTIF(FILTER(Data!N:N,Data!D:D=A143,Data!B:B=$B$"&amp;"1),""TRAVERSE"")*15)+(COUNTIF(FILTER(Data!N:N,Data!D:D=A143,Data!B:B=$B$1),""HIGH"")*10)+(COUNTIF(FILTER(Data!N:N,Data!D:D=A143,Data!B:B=$B$1),""MIDDLE"")*6)+(COUNTIF(FILTER(Data!N:N,Data!D:D=A143,Data!B:B=$B$1),""LOW"")*4))),"""")"),"")</f>
        <v/>
      </c>
      <c r="L143" s="136" t="str">
        <f>IFERROR(__xludf.DUMMYFUNCTION("IFERROR((FILTER(Data!P:P,Data!D:D=A143,Data!B:B=$B$1)),"""")"),"")</f>
        <v/>
      </c>
      <c r="M143" s="137" t="str">
        <f>IFERROR(__xludf.DUMMYFUNCTION("IFERROR((FILTER(Data!A:A,Data!D:D=A143,Data!B:B=$B$1)),"""")"),"")</f>
        <v/>
      </c>
      <c r="T143" s="52">
        <f>IFERROR(__xludf.DUMMYFUNCTION("((COUNTIF(FILTER(Data!N:N,Data!D:D=A143,Data!B:B=$B$1),""TRAVERSE"")*15)+(COUNTIF(FILTER(Data!N:N,Data!D:D=A143,Data!B:B=B$1),""HIGH"")*10)+(COUNTIF(FILTER(Data!N:N,Data!D:D=A143,Data!B:B=$B$1),""MIDDLE"")*6)+(COUNTIF(FILTER(Data!N:N,Data!D:D=A143,Data!B:"&amp;"B=$B$1),""LOW"")*4))"),0.0)</f>
        <v>0</v>
      </c>
      <c r="V143" s="138" t="str">
        <f>IF(Data!B135='Team Parser'!$B$1, Data!D135,"")</f>
        <v/>
      </c>
      <c r="W143" s="134" t="str">
        <f>IF(Data!$B135='Team Parser'!$B$1, Data!H135,"")</f>
        <v/>
      </c>
      <c r="X143" s="134" t="str">
        <f>IF(Data!$B135='Team Parser'!$B$1, Data!G135,"")</f>
        <v/>
      </c>
      <c r="Y143" s="134" t="str">
        <f>IF(Data!$B135='Team Parser'!$B$1, Data!L135,"")</f>
        <v/>
      </c>
      <c r="Z143" s="134" t="str">
        <f>IF(Data!$B135='Team Parser'!$B$1, Data!K135,"")</f>
        <v/>
      </c>
      <c r="AA143" s="134" t="str">
        <f>IF(Data!$B135='Team Parser'!$B$1, Data!M135,"")</f>
        <v/>
      </c>
      <c r="AB143" s="134" t="str">
        <f>IF(Data!$B135='Team Parser'!$B$1,((Z143*2)+(Y143)+(X143*4)+(W143*2)),"")</f>
        <v/>
      </c>
      <c r="AC143" s="134" t="str">
        <f>IF(Data!$B135='Team Parser'!$B$1, Data!N135,"")</f>
        <v/>
      </c>
      <c r="AD143" s="139" t="str">
        <f>IF(Data!$B135='Team Parser'!$B$1,(AB143+(COUNTIF(AC143,"TRAVERSE")*15)+(COUNTIF(AC143,"HIGH")*10)+(COUNTIF(AC143,"MIDDLE")*6)+(COUNTIF(AC143,"LOW")*4)),"")</f>
        <v/>
      </c>
    </row>
    <row r="144">
      <c r="A144" s="133" t="s">
        <v>507</v>
      </c>
      <c r="B144" s="134" t="str">
        <f>IFERROR(__xludf.DUMMYFUNCTION("IFERROR((FILTER(Data!H:H,Data!D:D=A144,Data!B:B=$B$1)),"""")"),"")</f>
        <v/>
      </c>
      <c r="C144" s="134" t="str">
        <f>IFERROR(__xludf.DUMMYFUNCTION("IFERROR((FILTER(Data!G:G,Data!D:D=A144,Data!B:B=$B$1)),"""")"),"")</f>
        <v/>
      </c>
      <c r="D144" s="134" t="str">
        <f>IFERROR(__xludf.DUMMYFUNCTION("IFERROR((FILTER(Data!J:J,Data!D:D=A144,Data!B:B=$B$1)),"""")"),"")</f>
        <v/>
      </c>
      <c r="E144" s="134" t="str">
        <f>IFERROR(__xludf.DUMMYFUNCTION("IFERROR((FILTER(Data!L:L,Data!D:D=A144,Data!B:B=$B$1)),"""")"),"")</f>
        <v/>
      </c>
      <c r="F144" s="134" t="str">
        <f>IFERROR(__xludf.DUMMYFUNCTION("IFERROR((FILTER(Data!K:K,Data!D:D=A144,Data!B:B=$B$1)),"""")"),"")</f>
        <v/>
      </c>
      <c r="G144" s="134" t="str">
        <f>IFERROR(__xludf.DUMMYFUNCTION("IFERROR((FILTER(Data!M:M,Data!D:D=A144,Data!B:B=$B$1)),"""")"),"")</f>
        <v/>
      </c>
      <c r="H144" s="134" t="str">
        <f>IFERROR(__xludf.DUMMYFUNCTION("IFERROR((FILTER(Data!G:G,Data!D:D=A144,Data!B:B=$B$1)*4)+(FILTER(Data!H:H,Data!D:D=A144,Data!B:B=$B$1)*2),"""")"),"")</f>
        <v/>
      </c>
      <c r="I144" s="15" t="str">
        <f>IFERROR(__xludf.DUMMYFUNCTION("IFERROR((FILTER(Data!K:K,Data!D:D=A144,Data!B:B=$B$1)*2)+(FILTER(Data!L:L,Data!D:D=A144,Data!B:B=$B$1)),"""")"),"")</f>
        <v/>
      </c>
      <c r="J144" s="134" t="str">
        <f>IFERROR(__xludf.DUMMYFUNCTION("IFERROR((FILTER(Data!N:N,Data!D:D=A144,Data!B:B=$B$1)),"""")"),"")</f>
        <v/>
      </c>
      <c r="K144" s="135" t="str">
        <f>IFERROR(__xludf.DUMMYFUNCTION("IFERROR((FILTER(Data!H:H,Data!D:D=A144,Data!B:B=$B$1)*2)+(FILTER(Data!L:L,Data!D:D=A144,Data!B:B=$B$1))+(FILTER(Data!G:G,Data!D:D=A144,Data!B:B=$B$1)*4)+(FILTER(Data!K:K,Data!D:D=A144,Data!B:B=$B$1)*2)+(((COUNTIF(FILTER(Data!N:N,Data!D:D=A144,Data!B:B=$B$"&amp;"1),""TRAVERSE"")*15)+(COUNTIF(FILTER(Data!N:N,Data!D:D=A144,Data!B:B=$B$1),""HIGH"")*10)+(COUNTIF(FILTER(Data!N:N,Data!D:D=A144,Data!B:B=$B$1),""MIDDLE"")*6)+(COUNTIF(FILTER(Data!N:N,Data!D:D=A144,Data!B:B=$B$1),""LOW"")*4))),"""")"),"")</f>
        <v/>
      </c>
      <c r="L144" s="136" t="str">
        <f>IFERROR(__xludf.DUMMYFUNCTION("IFERROR((FILTER(Data!P:P,Data!D:D=A144,Data!B:B=$B$1)),"""")"),"")</f>
        <v/>
      </c>
      <c r="M144" s="137" t="str">
        <f>IFERROR(__xludf.DUMMYFUNCTION("IFERROR((FILTER(Data!A:A,Data!D:D=A144,Data!B:B=$B$1)),"""")"),"")</f>
        <v/>
      </c>
      <c r="T144" s="52">
        <f>IFERROR(__xludf.DUMMYFUNCTION("((COUNTIF(FILTER(Data!N:N,Data!D:D=A144,Data!B:B=$B$1),""TRAVERSE"")*15)+(COUNTIF(FILTER(Data!N:N,Data!D:D=A144,Data!B:B=B$1),""HIGH"")*10)+(COUNTIF(FILTER(Data!N:N,Data!D:D=A144,Data!B:B=$B$1),""MIDDLE"")*6)+(COUNTIF(FILTER(Data!N:N,Data!D:D=A144,Data!B:"&amp;"B=$B$1),""LOW"")*4))"),0.0)</f>
        <v>0</v>
      </c>
      <c r="V144" s="138" t="str">
        <f>IF(Data!B136='Team Parser'!$B$1, Data!D136,"")</f>
        <v/>
      </c>
      <c r="W144" s="134" t="str">
        <f>IF(Data!$B136='Team Parser'!$B$1, Data!H136,"")</f>
        <v/>
      </c>
      <c r="X144" s="134" t="str">
        <f>IF(Data!$B136='Team Parser'!$B$1, Data!G136,"")</f>
        <v/>
      </c>
      <c r="Y144" s="134" t="str">
        <f>IF(Data!$B136='Team Parser'!$B$1, Data!L136,"")</f>
        <v/>
      </c>
      <c r="Z144" s="134" t="str">
        <f>IF(Data!$B136='Team Parser'!$B$1, Data!K136,"")</f>
        <v/>
      </c>
      <c r="AA144" s="134" t="str">
        <f>IF(Data!$B136='Team Parser'!$B$1, Data!M136,"")</f>
        <v/>
      </c>
      <c r="AB144" s="134" t="str">
        <f>IF(Data!$B136='Team Parser'!$B$1,((Z144*2)+(Y144)+(X144*4)+(W144*2)),"")</f>
        <v/>
      </c>
      <c r="AC144" s="134" t="str">
        <f>IF(Data!$B136='Team Parser'!$B$1, Data!N136,"")</f>
        <v/>
      </c>
      <c r="AD144" s="139" t="str">
        <f>IF(Data!$B136='Team Parser'!$B$1,(AB144+(COUNTIF(AC144,"TRAVERSE")*15)+(COUNTIF(AC144,"HIGH")*10)+(COUNTIF(AC144,"MIDDLE")*6)+(COUNTIF(AC144,"LOW")*4)),"")</f>
        <v/>
      </c>
    </row>
    <row r="145">
      <c r="A145" s="133" t="s">
        <v>507</v>
      </c>
      <c r="B145" s="134" t="str">
        <f>IFERROR(__xludf.DUMMYFUNCTION("IFERROR((FILTER(Data!H:H,Data!D:D=A145,Data!B:B=$B$1)),"""")"),"")</f>
        <v/>
      </c>
      <c r="C145" s="134" t="str">
        <f>IFERROR(__xludf.DUMMYFUNCTION("IFERROR((FILTER(Data!G:G,Data!D:D=A145,Data!B:B=$B$1)),"""")"),"")</f>
        <v/>
      </c>
      <c r="D145" s="134" t="str">
        <f>IFERROR(__xludf.DUMMYFUNCTION("IFERROR((FILTER(Data!J:J,Data!D:D=A145,Data!B:B=$B$1)),"""")"),"")</f>
        <v/>
      </c>
      <c r="E145" s="134" t="str">
        <f>IFERROR(__xludf.DUMMYFUNCTION("IFERROR((FILTER(Data!L:L,Data!D:D=A145,Data!B:B=$B$1)),"""")"),"")</f>
        <v/>
      </c>
      <c r="F145" s="134" t="str">
        <f>IFERROR(__xludf.DUMMYFUNCTION("IFERROR((FILTER(Data!K:K,Data!D:D=A145,Data!B:B=$B$1)),"""")"),"")</f>
        <v/>
      </c>
      <c r="G145" s="134" t="str">
        <f>IFERROR(__xludf.DUMMYFUNCTION("IFERROR((FILTER(Data!M:M,Data!D:D=A145,Data!B:B=$B$1)),"""")"),"")</f>
        <v/>
      </c>
      <c r="H145" s="134" t="str">
        <f>IFERROR(__xludf.DUMMYFUNCTION("IFERROR((FILTER(Data!G:G,Data!D:D=A145,Data!B:B=$B$1)*4)+(FILTER(Data!H:H,Data!D:D=A145,Data!B:B=$B$1)*2),"""")"),"")</f>
        <v/>
      </c>
      <c r="I145" s="15" t="str">
        <f>IFERROR(__xludf.DUMMYFUNCTION("IFERROR((FILTER(Data!K:K,Data!D:D=A145,Data!B:B=$B$1)*2)+(FILTER(Data!L:L,Data!D:D=A145,Data!B:B=$B$1)),"""")"),"")</f>
        <v/>
      </c>
      <c r="J145" s="134" t="str">
        <f>IFERROR(__xludf.DUMMYFUNCTION("IFERROR((FILTER(Data!N:N,Data!D:D=A145,Data!B:B=$B$1)),"""")"),"")</f>
        <v/>
      </c>
      <c r="K145" s="135" t="str">
        <f>IFERROR(__xludf.DUMMYFUNCTION("IFERROR((FILTER(Data!H:H,Data!D:D=A145,Data!B:B=$B$1)*2)+(FILTER(Data!L:L,Data!D:D=A145,Data!B:B=$B$1))+(FILTER(Data!G:G,Data!D:D=A145,Data!B:B=$B$1)*4)+(FILTER(Data!K:K,Data!D:D=A145,Data!B:B=$B$1)*2)+(((COUNTIF(FILTER(Data!N:N,Data!D:D=A145,Data!B:B=$B$"&amp;"1),""TRAVERSE"")*15)+(COUNTIF(FILTER(Data!N:N,Data!D:D=A145,Data!B:B=$B$1),""HIGH"")*10)+(COUNTIF(FILTER(Data!N:N,Data!D:D=A145,Data!B:B=$B$1),""MIDDLE"")*6)+(COUNTIF(FILTER(Data!N:N,Data!D:D=A145,Data!B:B=$B$1),""LOW"")*4))),"""")"),"")</f>
        <v/>
      </c>
      <c r="L145" s="136" t="str">
        <f>IFERROR(__xludf.DUMMYFUNCTION("IFERROR((FILTER(Data!P:P,Data!D:D=A145,Data!B:B=$B$1)),"""")"),"")</f>
        <v/>
      </c>
      <c r="M145" s="137" t="str">
        <f>IFERROR(__xludf.DUMMYFUNCTION("IFERROR((FILTER(Data!A:A,Data!D:D=A145,Data!B:B=$B$1)),"""")"),"")</f>
        <v/>
      </c>
      <c r="T145" s="52">
        <f>IFERROR(__xludf.DUMMYFUNCTION("((COUNTIF(FILTER(Data!N:N,Data!D:D=A145,Data!B:B=$B$1),""TRAVERSE"")*15)+(COUNTIF(FILTER(Data!N:N,Data!D:D=A145,Data!B:B=B$1),""HIGH"")*10)+(COUNTIF(FILTER(Data!N:N,Data!D:D=A145,Data!B:B=$B$1),""MIDDLE"")*6)+(COUNTIF(FILTER(Data!N:N,Data!D:D=A145,Data!B:"&amp;"B=$B$1),""LOW"")*4))"),0.0)</f>
        <v>0</v>
      </c>
      <c r="V145" s="138" t="str">
        <f>IF(Data!B137='Team Parser'!$B$1, Data!D137,"")</f>
        <v/>
      </c>
      <c r="W145" s="134" t="str">
        <f>IF(Data!$B137='Team Parser'!$B$1, Data!H137,"")</f>
        <v/>
      </c>
      <c r="X145" s="134" t="str">
        <f>IF(Data!$B137='Team Parser'!$B$1, Data!G137,"")</f>
        <v/>
      </c>
      <c r="Y145" s="134" t="str">
        <f>IF(Data!$B137='Team Parser'!$B$1, Data!L137,"")</f>
        <v/>
      </c>
      <c r="Z145" s="134" t="str">
        <f>IF(Data!$B137='Team Parser'!$B$1, Data!K137,"")</f>
        <v/>
      </c>
      <c r="AA145" s="134" t="str">
        <f>IF(Data!$B137='Team Parser'!$B$1, Data!M137,"")</f>
        <v/>
      </c>
      <c r="AB145" s="134" t="str">
        <f>IF(Data!$B137='Team Parser'!$B$1,((Z145*2)+(Y145)+(X145*4)+(W145*2)),"")</f>
        <v/>
      </c>
      <c r="AC145" s="134" t="str">
        <f>IF(Data!$B137='Team Parser'!$B$1, Data!N137,"")</f>
        <v/>
      </c>
      <c r="AD145" s="139" t="str">
        <f>IF(Data!$B137='Team Parser'!$B$1,(AB145+(COUNTIF(AC145,"TRAVERSE")*15)+(COUNTIF(AC145,"HIGH")*10)+(COUNTIF(AC145,"MIDDLE")*6)+(COUNTIF(AC145,"LOW")*4)),"")</f>
        <v/>
      </c>
    </row>
    <row r="146">
      <c r="A146" s="133" t="s">
        <v>507</v>
      </c>
      <c r="B146" s="134" t="str">
        <f>IFERROR(__xludf.DUMMYFUNCTION("IFERROR((FILTER(Data!H:H,Data!D:D=A146,Data!B:B=$B$1)),"""")"),"")</f>
        <v/>
      </c>
      <c r="C146" s="134" t="str">
        <f>IFERROR(__xludf.DUMMYFUNCTION("IFERROR((FILTER(Data!G:G,Data!D:D=A146,Data!B:B=$B$1)),"""")"),"")</f>
        <v/>
      </c>
      <c r="D146" s="134" t="str">
        <f>IFERROR(__xludf.DUMMYFUNCTION("IFERROR((FILTER(Data!J:J,Data!D:D=A146,Data!B:B=$B$1)),"""")"),"")</f>
        <v/>
      </c>
      <c r="E146" s="134" t="str">
        <f>IFERROR(__xludf.DUMMYFUNCTION("IFERROR((FILTER(Data!L:L,Data!D:D=A146,Data!B:B=$B$1)),"""")"),"")</f>
        <v/>
      </c>
      <c r="F146" s="134" t="str">
        <f>IFERROR(__xludf.DUMMYFUNCTION("IFERROR((FILTER(Data!K:K,Data!D:D=A146,Data!B:B=$B$1)),"""")"),"")</f>
        <v/>
      </c>
      <c r="G146" s="134" t="str">
        <f>IFERROR(__xludf.DUMMYFUNCTION("IFERROR((FILTER(Data!M:M,Data!D:D=A146,Data!B:B=$B$1)),"""")"),"")</f>
        <v/>
      </c>
      <c r="H146" s="134" t="str">
        <f>IFERROR(__xludf.DUMMYFUNCTION("IFERROR((FILTER(Data!G:G,Data!D:D=A146,Data!B:B=$B$1)*4)+(FILTER(Data!H:H,Data!D:D=A146,Data!B:B=$B$1)*2),"""")"),"")</f>
        <v/>
      </c>
      <c r="I146" s="15" t="str">
        <f>IFERROR(__xludf.DUMMYFUNCTION("IFERROR((FILTER(Data!K:K,Data!D:D=A146,Data!B:B=$B$1)*2)+(FILTER(Data!L:L,Data!D:D=A146,Data!B:B=$B$1)),"""")"),"")</f>
        <v/>
      </c>
      <c r="J146" s="134" t="str">
        <f>IFERROR(__xludf.DUMMYFUNCTION("IFERROR((FILTER(Data!N:N,Data!D:D=A146,Data!B:B=$B$1)),"""")"),"")</f>
        <v/>
      </c>
      <c r="K146" s="135" t="str">
        <f>IFERROR(__xludf.DUMMYFUNCTION("IFERROR((FILTER(Data!H:H,Data!D:D=A146,Data!B:B=$B$1)*2)+(FILTER(Data!L:L,Data!D:D=A146,Data!B:B=$B$1))+(FILTER(Data!G:G,Data!D:D=A146,Data!B:B=$B$1)*4)+(FILTER(Data!K:K,Data!D:D=A146,Data!B:B=$B$1)*2)+(((COUNTIF(FILTER(Data!N:N,Data!D:D=A146,Data!B:B=$B$"&amp;"1),""TRAVERSE"")*15)+(COUNTIF(FILTER(Data!N:N,Data!D:D=A146,Data!B:B=$B$1),""HIGH"")*10)+(COUNTIF(FILTER(Data!N:N,Data!D:D=A146,Data!B:B=$B$1),""MIDDLE"")*6)+(COUNTIF(FILTER(Data!N:N,Data!D:D=A146,Data!B:B=$B$1),""LOW"")*4))),"""")"),"")</f>
        <v/>
      </c>
      <c r="L146" s="136" t="str">
        <f>IFERROR(__xludf.DUMMYFUNCTION("IFERROR((FILTER(Data!P:P,Data!D:D=A146,Data!B:B=$B$1)),"""")"),"")</f>
        <v/>
      </c>
      <c r="M146" s="137" t="str">
        <f>IFERROR(__xludf.DUMMYFUNCTION("IFERROR((FILTER(Data!A:A,Data!D:D=A146,Data!B:B=$B$1)),"""")"),"")</f>
        <v/>
      </c>
      <c r="T146" s="52">
        <f>IFERROR(__xludf.DUMMYFUNCTION("((COUNTIF(FILTER(Data!N:N,Data!D:D=A146,Data!B:B=$B$1),""TRAVERSE"")*15)+(COUNTIF(FILTER(Data!N:N,Data!D:D=A146,Data!B:B=B$1),""HIGH"")*10)+(COUNTIF(FILTER(Data!N:N,Data!D:D=A146,Data!B:B=$B$1),""MIDDLE"")*6)+(COUNTIF(FILTER(Data!N:N,Data!D:D=A146,Data!B:"&amp;"B=$B$1),""LOW"")*4))"),0.0)</f>
        <v>0</v>
      </c>
      <c r="V146" s="138" t="str">
        <f>IF(Data!B138='Team Parser'!$B$1, Data!D138,"")</f>
        <v/>
      </c>
      <c r="W146" s="134" t="str">
        <f>IF(Data!$B138='Team Parser'!$B$1, Data!H138,"")</f>
        <v/>
      </c>
      <c r="X146" s="134" t="str">
        <f>IF(Data!$B138='Team Parser'!$B$1, Data!G138,"")</f>
        <v/>
      </c>
      <c r="Y146" s="134" t="str">
        <f>IF(Data!$B138='Team Parser'!$B$1, Data!L138,"")</f>
        <v/>
      </c>
      <c r="Z146" s="134" t="str">
        <f>IF(Data!$B138='Team Parser'!$B$1, Data!K138,"")</f>
        <v/>
      </c>
      <c r="AA146" s="134" t="str">
        <f>IF(Data!$B138='Team Parser'!$B$1, Data!M138,"")</f>
        <v/>
      </c>
      <c r="AB146" s="134" t="str">
        <f>IF(Data!$B138='Team Parser'!$B$1,((Z146*2)+(Y146)+(X146*4)+(W146*2)),"")</f>
        <v/>
      </c>
      <c r="AC146" s="134" t="str">
        <f>IF(Data!$B138='Team Parser'!$B$1, Data!N138,"")</f>
        <v/>
      </c>
      <c r="AD146" s="139" t="str">
        <f>IF(Data!$B138='Team Parser'!$B$1,(AB146+(COUNTIF(AC146,"TRAVERSE")*15)+(COUNTIF(AC146,"HIGH")*10)+(COUNTIF(AC146,"MIDDLE")*6)+(COUNTIF(AC146,"LOW")*4)),"")</f>
        <v/>
      </c>
    </row>
    <row r="147">
      <c r="A147" s="133" t="s">
        <v>507</v>
      </c>
      <c r="B147" s="134" t="str">
        <f>IFERROR(__xludf.DUMMYFUNCTION("IFERROR((FILTER(Data!H:H,Data!D:D=A147,Data!B:B=$B$1)),"""")"),"")</f>
        <v/>
      </c>
      <c r="C147" s="134" t="str">
        <f>IFERROR(__xludf.DUMMYFUNCTION("IFERROR((FILTER(Data!G:G,Data!D:D=A147,Data!B:B=$B$1)),"""")"),"")</f>
        <v/>
      </c>
      <c r="D147" s="134" t="str">
        <f>IFERROR(__xludf.DUMMYFUNCTION("IFERROR((FILTER(Data!J:J,Data!D:D=A147,Data!B:B=$B$1)),"""")"),"")</f>
        <v/>
      </c>
      <c r="E147" s="134" t="str">
        <f>IFERROR(__xludf.DUMMYFUNCTION("IFERROR((FILTER(Data!L:L,Data!D:D=A147,Data!B:B=$B$1)),"""")"),"")</f>
        <v/>
      </c>
      <c r="F147" s="134" t="str">
        <f>IFERROR(__xludf.DUMMYFUNCTION("IFERROR((FILTER(Data!K:K,Data!D:D=A147,Data!B:B=$B$1)),"""")"),"")</f>
        <v/>
      </c>
      <c r="G147" s="134" t="str">
        <f>IFERROR(__xludf.DUMMYFUNCTION("IFERROR((FILTER(Data!M:M,Data!D:D=A147,Data!B:B=$B$1)),"""")"),"")</f>
        <v/>
      </c>
      <c r="H147" s="134" t="str">
        <f>IFERROR(__xludf.DUMMYFUNCTION("IFERROR((FILTER(Data!G:G,Data!D:D=A147,Data!B:B=$B$1)*4)+(FILTER(Data!H:H,Data!D:D=A147,Data!B:B=$B$1)*2),"""")"),"")</f>
        <v/>
      </c>
      <c r="I147" s="15" t="str">
        <f>IFERROR(__xludf.DUMMYFUNCTION("IFERROR((FILTER(Data!K:K,Data!D:D=A147,Data!B:B=$B$1)*2)+(FILTER(Data!L:L,Data!D:D=A147,Data!B:B=$B$1)),"""")"),"")</f>
        <v/>
      </c>
      <c r="J147" s="134" t="str">
        <f>IFERROR(__xludf.DUMMYFUNCTION("IFERROR((FILTER(Data!N:N,Data!D:D=A147,Data!B:B=$B$1)),"""")"),"")</f>
        <v/>
      </c>
      <c r="K147" s="135" t="str">
        <f>IFERROR(__xludf.DUMMYFUNCTION("IFERROR((FILTER(Data!H:H,Data!D:D=A147,Data!B:B=$B$1)*2)+(FILTER(Data!L:L,Data!D:D=A147,Data!B:B=$B$1))+(FILTER(Data!G:G,Data!D:D=A147,Data!B:B=$B$1)*4)+(FILTER(Data!K:K,Data!D:D=A147,Data!B:B=$B$1)*2)+(((COUNTIF(FILTER(Data!N:N,Data!D:D=A147,Data!B:B=$B$"&amp;"1),""TRAVERSE"")*15)+(COUNTIF(FILTER(Data!N:N,Data!D:D=A147,Data!B:B=$B$1),""HIGH"")*10)+(COUNTIF(FILTER(Data!N:N,Data!D:D=A147,Data!B:B=$B$1),""MIDDLE"")*6)+(COUNTIF(FILTER(Data!N:N,Data!D:D=A147,Data!B:B=$B$1),""LOW"")*4))),"""")"),"")</f>
        <v/>
      </c>
      <c r="L147" s="136" t="str">
        <f>IFERROR(__xludf.DUMMYFUNCTION("IFERROR((FILTER(Data!P:P,Data!D:D=A147,Data!B:B=$B$1)),"""")"),"")</f>
        <v/>
      </c>
      <c r="M147" s="137" t="str">
        <f>IFERROR(__xludf.DUMMYFUNCTION("IFERROR((FILTER(Data!A:A,Data!D:D=A147,Data!B:B=$B$1)),"""")"),"")</f>
        <v/>
      </c>
      <c r="T147" s="52">
        <f>IFERROR(__xludf.DUMMYFUNCTION("((COUNTIF(FILTER(Data!N:N,Data!D:D=A147,Data!B:B=$B$1),""TRAVERSE"")*15)+(COUNTIF(FILTER(Data!N:N,Data!D:D=A147,Data!B:B=B$1),""HIGH"")*10)+(COUNTIF(FILTER(Data!N:N,Data!D:D=A147,Data!B:B=$B$1),""MIDDLE"")*6)+(COUNTIF(FILTER(Data!N:N,Data!D:D=A147,Data!B:"&amp;"B=$B$1),""LOW"")*4))"),0.0)</f>
        <v>0</v>
      </c>
      <c r="V147" s="138" t="str">
        <f>IF(Data!B139='Team Parser'!$B$1, Data!D139,"")</f>
        <v/>
      </c>
      <c r="W147" s="134" t="str">
        <f>IF(Data!$B139='Team Parser'!$B$1, Data!H139,"")</f>
        <v/>
      </c>
      <c r="X147" s="134" t="str">
        <f>IF(Data!$B139='Team Parser'!$B$1, Data!G139,"")</f>
        <v/>
      </c>
      <c r="Y147" s="134" t="str">
        <f>IF(Data!$B139='Team Parser'!$B$1, Data!L139,"")</f>
        <v/>
      </c>
      <c r="Z147" s="134" t="str">
        <f>IF(Data!$B139='Team Parser'!$B$1, Data!K139,"")</f>
        <v/>
      </c>
      <c r="AA147" s="134" t="str">
        <f>IF(Data!$B139='Team Parser'!$B$1, Data!M139,"")</f>
        <v/>
      </c>
      <c r="AB147" s="134" t="str">
        <f>IF(Data!$B139='Team Parser'!$B$1,((Z147*2)+(Y147)+(X147*4)+(W147*2)),"")</f>
        <v/>
      </c>
      <c r="AC147" s="134" t="str">
        <f>IF(Data!$B139='Team Parser'!$B$1, Data!N139,"")</f>
        <v/>
      </c>
      <c r="AD147" s="139" t="str">
        <f>IF(Data!$B139='Team Parser'!$B$1,(AB147+(COUNTIF(AC147,"TRAVERSE")*15)+(COUNTIF(AC147,"HIGH")*10)+(COUNTIF(AC147,"MIDDLE")*6)+(COUNTIF(AC147,"LOW")*4)),"")</f>
        <v/>
      </c>
    </row>
    <row r="148">
      <c r="A148" s="133" t="s">
        <v>507</v>
      </c>
      <c r="B148" s="134" t="str">
        <f>IFERROR(__xludf.DUMMYFUNCTION("IFERROR((FILTER(Data!H:H,Data!D:D=A148,Data!B:B=$B$1)),"""")"),"")</f>
        <v/>
      </c>
      <c r="C148" s="134" t="str">
        <f>IFERROR(__xludf.DUMMYFUNCTION("IFERROR((FILTER(Data!G:G,Data!D:D=A148,Data!B:B=$B$1)),"""")"),"")</f>
        <v/>
      </c>
      <c r="D148" s="134" t="str">
        <f>IFERROR(__xludf.DUMMYFUNCTION("IFERROR((FILTER(Data!J:J,Data!D:D=A148,Data!B:B=$B$1)),"""")"),"")</f>
        <v/>
      </c>
      <c r="E148" s="134" t="str">
        <f>IFERROR(__xludf.DUMMYFUNCTION("IFERROR((FILTER(Data!L:L,Data!D:D=A148,Data!B:B=$B$1)),"""")"),"")</f>
        <v/>
      </c>
      <c r="F148" s="134" t="str">
        <f>IFERROR(__xludf.DUMMYFUNCTION("IFERROR((FILTER(Data!K:K,Data!D:D=A148,Data!B:B=$B$1)),"""")"),"")</f>
        <v/>
      </c>
      <c r="G148" s="134" t="str">
        <f>IFERROR(__xludf.DUMMYFUNCTION("IFERROR((FILTER(Data!M:M,Data!D:D=A148,Data!B:B=$B$1)),"""")"),"")</f>
        <v/>
      </c>
      <c r="H148" s="134" t="str">
        <f>IFERROR(__xludf.DUMMYFUNCTION("IFERROR((FILTER(Data!G:G,Data!D:D=A148,Data!B:B=$B$1)*4)+(FILTER(Data!H:H,Data!D:D=A148,Data!B:B=$B$1)*2),"""")"),"")</f>
        <v/>
      </c>
      <c r="I148" s="15" t="str">
        <f>IFERROR(__xludf.DUMMYFUNCTION("IFERROR((FILTER(Data!K:K,Data!D:D=A148,Data!B:B=$B$1)*2)+(FILTER(Data!L:L,Data!D:D=A148,Data!B:B=$B$1)),"""")"),"")</f>
        <v/>
      </c>
      <c r="J148" s="134" t="str">
        <f>IFERROR(__xludf.DUMMYFUNCTION("IFERROR((FILTER(Data!N:N,Data!D:D=A148,Data!B:B=$B$1)),"""")"),"")</f>
        <v/>
      </c>
      <c r="K148" s="135" t="str">
        <f>IFERROR(__xludf.DUMMYFUNCTION("IFERROR((FILTER(Data!H:H,Data!D:D=A148,Data!B:B=$B$1)*2)+(FILTER(Data!L:L,Data!D:D=A148,Data!B:B=$B$1))+(FILTER(Data!G:G,Data!D:D=A148,Data!B:B=$B$1)*4)+(FILTER(Data!K:K,Data!D:D=A148,Data!B:B=$B$1)*2)+(((COUNTIF(FILTER(Data!N:N,Data!D:D=A148,Data!B:B=$B$"&amp;"1),""TRAVERSE"")*15)+(COUNTIF(FILTER(Data!N:N,Data!D:D=A148,Data!B:B=$B$1),""HIGH"")*10)+(COUNTIF(FILTER(Data!N:N,Data!D:D=A148,Data!B:B=$B$1),""MIDDLE"")*6)+(COUNTIF(FILTER(Data!N:N,Data!D:D=A148,Data!B:B=$B$1),""LOW"")*4))),"""")"),"")</f>
        <v/>
      </c>
      <c r="L148" s="136" t="str">
        <f>IFERROR(__xludf.DUMMYFUNCTION("IFERROR((FILTER(Data!P:P,Data!D:D=A148,Data!B:B=$B$1)),"""")"),"")</f>
        <v/>
      </c>
      <c r="M148" s="137" t="str">
        <f>IFERROR(__xludf.DUMMYFUNCTION("IFERROR((FILTER(Data!A:A,Data!D:D=A148,Data!B:B=$B$1)),"""")"),"")</f>
        <v/>
      </c>
      <c r="T148" s="52">
        <f>IFERROR(__xludf.DUMMYFUNCTION("((COUNTIF(FILTER(Data!N:N,Data!D:D=A148,Data!B:B=$B$1),""TRAVERSE"")*15)+(COUNTIF(FILTER(Data!N:N,Data!D:D=A148,Data!B:B=B$1),""HIGH"")*10)+(COUNTIF(FILTER(Data!N:N,Data!D:D=A148,Data!B:B=$B$1),""MIDDLE"")*6)+(COUNTIF(FILTER(Data!N:N,Data!D:D=A148,Data!B:"&amp;"B=$B$1),""LOW"")*4))"),0.0)</f>
        <v>0</v>
      </c>
      <c r="V148" s="138" t="str">
        <f>IF(Data!B140='Team Parser'!$B$1, Data!D140,"")</f>
        <v/>
      </c>
      <c r="W148" s="134" t="str">
        <f>IF(Data!$B140='Team Parser'!$B$1, Data!H140,"")</f>
        <v/>
      </c>
      <c r="X148" s="134" t="str">
        <f>IF(Data!$B140='Team Parser'!$B$1, Data!G140,"")</f>
        <v/>
      </c>
      <c r="Y148" s="134" t="str">
        <f>IF(Data!$B140='Team Parser'!$B$1, Data!L140,"")</f>
        <v/>
      </c>
      <c r="Z148" s="134" t="str">
        <f>IF(Data!$B140='Team Parser'!$B$1, Data!K140,"")</f>
        <v/>
      </c>
      <c r="AA148" s="134" t="str">
        <f>IF(Data!$B140='Team Parser'!$B$1, Data!M140,"")</f>
        <v/>
      </c>
      <c r="AB148" s="134" t="str">
        <f>IF(Data!$B140='Team Parser'!$B$1,((Z148*2)+(Y148)+(X148*4)+(W148*2)),"")</f>
        <v/>
      </c>
      <c r="AC148" s="134" t="str">
        <f>IF(Data!$B140='Team Parser'!$B$1, Data!N140,"")</f>
        <v/>
      </c>
      <c r="AD148" s="139" t="str">
        <f>IF(Data!$B140='Team Parser'!$B$1,(AB148+(COUNTIF(AC148,"TRAVERSE")*15)+(COUNTIF(AC148,"HIGH")*10)+(COUNTIF(AC148,"MIDDLE")*6)+(COUNTIF(AC148,"LOW")*4)),"")</f>
        <v/>
      </c>
    </row>
    <row r="149">
      <c r="A149" s="133" t="s">
        <v>507</v>
      </c>
      <c r="B149" s="134" t="str">
        <f>IFERROR(__xludf.DUMMYFUNCTION("IFERROR((FILTER(Data!H:H,Data!D:D=A149,Data!B:B=$B$1)),"""")"),"")</f>
        <v/>
      </c>
      <c r="C149" s="134" t="str">
        <f>IFERROR(__xludf.DUMMYFUNCTION("IFERROR((FILTER(Data!G:G,Data!D:D=A149,Data!B:B=$B$1)),"""")"),"")</f>
        <v/>
      </c>
      <c r="D149" s="134" t="str">
        <f>IFERROR(__xludf.DUMMYFUNCTION("IFERROR((FILTER(Data!J:J,Data!D:D=A149,Data!B:B=$B$1)),"""")"),"")</f>
        <v/>
      </c>
      <c r="E149" s="134" t="str">
        <f>IFERROR(__xludf.DUMMYFUNCTION("IFERROR((FILTER(Data!L:L,Data!D:D=A149,Data!B:B=$B$1)),"""")"),"")</f>
        <v/>
      </c>
      <c r="F149" s="134" t="str">
        <f>IFERROR(__xludf.DUMMYFUNCTION("IFERROR((FILTER(Data!K:K,Data!D:D=A149,Data!B:B=$B$1)),"""")"),"")</f>
        <v/>
      </c>
      <c r="G149" s="134" t="str">
        <f>IFERROR(__xludf.DUMMYFUNCTION("IFERROR((FILTER(Data!M:M,Data!D:D=A149,Data!B:B=$B$1)),"""")"),"")</f>
        <v/>
      </c>
      <c r="H149" s="134" t="str">
        <f>IFERROR(__xludf.DUMMYFUNCTION("IFERROR((FILTER(Data!G:G,Data!D:D=A149,Data!B:B=$B$1)*4)+(FILTER(Data!H:H,Data!D:D=A149,Data!B:B=$B$1)*2),"""")"),"")</f>
        <v/>
      </c>
      <c r="I149" s="15" t="str">
        <f>IFERROR(__xludf.DUMMYFUNCTION("IFERROR((FILTER(Data!K:K,Data!D:D=A149,Data!B:B=$B$1)*2)+(FILTER(Data!L:L,Data!D:D=A149,Data!B:B=$B$1)),"""")"),"")</f>
        <v/>
      </c>
      <c r="J149" s="134" t="str">
        <f>IFERROR(__xludf.DUMMYFUNCTION("IFERROR((FILTER(Data!N:N,Data!D:D=A149,Data!B:B=$B$1)),"""")"),"")</f>
        <v/>
      </c>
      <c r="K149" s="135" t="str">
        <f>IFERROR(__xludf.DUMMYFUNCTION("IFERROR((FILTER(Data!H:H,Data!D:D=A149,Data!B:B=$B$1)*2)+(FILTER(Data!L:L,Data!D:D=A149,Data!B:B=$B$1))+(FILTER(Data!G:G,Data!D:D=A149,Data!B:B=$B$1)*4)+(FILTER(Data!K:K,Data!D:D=A149,Data!B:B=$B$1)*2)+(((COUNTIF(FILTER(Data!N:N,Data!D:D=A149,Data!B:B=$B$"&amp;"1),""TRAVERSE"")*15)+(COUNTIF(FILTER(Data!N:N,Data!D:D=A149,Data!B:B=$B$1),""HIGH"")*10)+(COUNTIF(FILTER(Data!N:N,Data!D:D=A149,Data!B:B=$B$1),""MIDDLE"")*6)+(COUNTIF(FILTER(Data!N:N,Data!D:D=A149,Data!B:B=$B$1),""LOW"")*4))),"""")"),"")</f>
        <v/>
      </c>
      <c r="L149" s="136" t="str">
        <f>IFERROR(__xludf.DUMMYFUNCTION("IFERROR((FILTER(Data!P:P,Data!D:D=A149,Data!B:B=$B$1)),"""")"),"")</f>
        <v/>
      </c>
      <c r="M149" s="137" t="str">
        <f>IFERROR(__xludf.DUMMYFUNCTION("IFERROR((FILTER(Data!A:A,Data!D:D=A149,Data!B:B=$B$1)),"""")"),"")</f>
        <v/>
      </c>
      <c r="T149" s="52">
        <f>IFERROR(__xludf.DUMMYFUNCTION("((COUNTIF(FILTER(Data!N:N,Data!D:D=A149,Data!B:B=$B$1),""TRAVERSE"")*15)+(COUNTIF(FILTER(Data!N:N,Data!D:D=A149,Data!B:B=B$1),""HIGH"")*10)+(COUNTIF(FILTER(Data!N:N,Data!D:D=A149,Data!B:B=$B$1),""MIDDLE"")*6)+(COUNTIF(FILTER(Data!N:N,Data!D:D=A149,Data!B:"&amp;"B=$B$1),""LOW"")*4))"),0.0)</f>
        <v>0</v>
      </c>
      <c r="V149" s="138" t="str">
        <f>IF(Data!B141='Team Parser'!$B$1, Data!D141,"")</f>
        <v/>
      </c>
      <c r="W149" s="134" t="str">
        <f>IF(Data!$B141='Team Parser'!$B$1, Data!H141,"")</f>
        <v/>
      </c>
      <c r="X149" s="134" t="str">
        <f>IF(Data!$B141='Team Parser'!$B$1, Data!G141,"")</f>
        <v/>
      </c>
      <c r="Y149" s="134" t="str">
        <f>IF(Data!$B141='Team Parser'!$B$1, Data!L141,"")</f>
        <v/>
      </c>
      <c r="Z149" s="134" t="str">
        <f>IF(Data!$B141='Team Parser'!$B$1, Data!K141,"")</f>
        <v/>
      </c>
      <c r="AA149" s="134" t="str">
        <f>IF(Data!$B141='Team Parser'!$B$1, Data!M141,"")</f>
        <v/>
      </c>
      <c r="AB149" s="134" t="str">
        <f>IF(Data!$B141='Team Parser'!$B$1,((Z149*2)+(Y149)+(X149*4)+(W149*2)),"")</f>
        <v/>
      </c>
      <c r="AC149" s="134" t="str">
        <f>IF(Data!$B141='Team Parser'!$B$1, Data!N141,"")</f>
        <v/>
      </c>
      <c r="AD149" s="139" t="str">
        <f>IF(Data!$B141='Team Parser'!$B$1,(AB149+(COUNTIF(AC149,"TRAVERSE")*15)+(COUNTIF(AC149,"HIGH")*10)+(COUNTIF(AC149,"MIDDLE")*6)+(COUNTIF(AC149,"LOW")*4)),"")</f>
        <v/>
      </c>
    </row>
    <row r="150">
      <c r="A150" s="133" t="s">
        <v>507</v>
      </c>
      <c r="B150" s="134" t="str">
        <f>IFERROR(__xludf.DUMMYFUNCTION("IFERROR((FILTER(Data!H:H,Data!D:D=A150,Data!B:B=$B$1)),"""")"),"")</f>
        <v/>
      </c>
      <c r="C150" s="134" t="str">
        <f>IFERROR(__xludf.DUMMYFUNCTION("IFERROR((FILTER(Data!G:G,Data!D:D=A150,Data!B:B=$B$1)),"""")"),"")</f>
        <v/>
      </c>
      <c r="D150" s="134" t="str">
        <f>IFERROR(__xludf.DUMMYFUNCTION("IFERROR((FILTER(Data!J:J,Data!D:D=A150,Data!B:B=$B$1)),"""")"),"")</f>
        <v/>
      </c>
      <c r="E150" s="134" t="str">
        <f>IFERROR(__xludf.DUMMYFUNCTION("IFERROR((FILTER(Data!L:L,Data!D:D=A150,Data!B:B=$B$1)),"""")"),"")</f>
        <v/>
      </c>
      <c r="F150" s="134" t="str">
        <f>IFERROR(__xludf.DUMMYFUNCTION("IFERROR((FILTER(Data!K:K,Data!D:D=A150,Data!B:B=$B$1)),"""")"),"")</f>
        <v/>
      </c>
      <c r="G150" s="134" t="str">
        <f>IFERROR(__xludf.DUMMYFUNCTION("IFERROR((FILTER(Data!M:M,Data!D:D=A150,Data!B:B=$B$1)),"""")"),"")</f>
        <v/>
      </c>
      <c r="H150" s="134" t="str">
        <f>IFERROR(__xludf.DUMMYFUNCTION("IFERROR((FILTER(Data!G:G,Data!D:D=A150,Data!B:B=$B$1)*4)+(FILTER(Data!H:H,Data!D:D=A150,Data!B:B=$B$1)*2),"""")"),"")</f>
        <v/>
      </c>
      <c r="I150" s="15" t="str">
        <f>IFERROR(__xludf.DUMMYFUNCTION("IFERROR((FILTER(Data!K:K,Data!D:D=A150,Data!B:B=$B$1)*2)+(FILTER(Data!L:L,Data!D:D=A150,Data!B:B=$B$1)),"""")"),"")</f>
        <v/>
      </c>
      <c r="J150" s="134" t="str">
        <f>IFERROR(__xludf.DUMMYFUNCTION("IFERROR((FILTER(Data!N:N,Data!D:D=A150,Data!B:B=$B$1)),"""")"),"")</f>
        <v/>
      </c>
      <c r="K150" s="135" t="str">
        <f>IFERROR(__xludf.DUMMYFUNCTION("IFERROR((FILTER(Data!H:H,Data!D:D=A150,Data!B:B=$B$1)*2)+(FILTER(Data!L:L,Data!D:D=A150,Data!B:B=$B$1))+(FILTER(Data!G:G,Data!D:D=A150,Data!B:B=$B$1)*4)+(FILTER(Data!K:K,Data!D:D=A150,Data!B:B=$B$1)*2)+(((COUNTIF(FILTER(Data!N:N,Data!D:D=A150,Data!B:B=$B$"&amp;"1),""TRAVERSE"")*15)+(COUNTIF(FILTER(Data!N:N,Data!D:D=A150,Data!B:B=$B$1),""HIGH"")*10)+(COUNTIF(FILTER(Data!N:N,Data!D:D=A150,Data!B:B=$B$1),""MIDDLE"")*6)+(COUNTIF(FILTER(Data!N:N,Data!D:D=A150,Data!B:B=$B$1),""LOW"")*4))),"""")"),"")</f>
        <v/>
      </c>
      <c r="L150" s="136" t="str">
        <f>IFERROR(__xludf.DUMMYFUNCTION("IFERROR((FILTER(Data!P:P,Data!D:D=A150,Data!B:B=$B$1)),"""")"),"")</f>
        <v/>
      </c>
      <c r="M150" s="137" t="str">
        <f>IFERROR(__xludf.DUMMYFUNCTION("IFERROR((FILTER(Data!A:A,Data!D:D=A150,Data!B:B=$B$1)),"""")"),"")</f>
        <v/>
      </c>
      <c r="T150" s="52">
        <f>IFERROR(__xludf.DUMMYFUNCTION("((COUNTIF(FILTER(Data!N:N,Data!D:D=A150,Data!B:B=$B$1),""TRAVERSE"")*15)+(COUNTIF(FILTER(Data!N:N,Data!D:D=A150,Data!B:B=B$1),""HIGH"")*10)+(COUNTIF(FILTER(Data!N:N,Data!D:D=A150,Data!B:B=$B$1),""MIDDLE"")*6)+(COUNTIF(FILTER(Data!N:N,Data!D:D=A150,Data!B:"&amp;"B=$B$1),""LOW"")*4))"),0.0)</f>
        <v>0</v>
      </c>
      <c r="V150" s="138" t="str">
        <f>IF(Data!B142='Team Parser'!$B$1, Data!D142,"")</f>
        <v/>
      </c>
      <c r="W150" s="134" t="str">
        <f>IF(Data!$B142='Team Parser'!$B$1, Data!H142,"")</f>
        <v/>
      </c>
      <c r="X150" s="134" t="str">
        <f>IF(Data!$B142='Team Parser'!$B$1, Data!G142,"")</f>
        <v/>
      </c>
      <c r="Y150" s="134" t="str">
        <f>IF(Data!$B142='Team Parser'!$B$1, Data!L142,"")</f>
        <v/>
      </c>
      <c r="Z150" s="134" t="str">
        <f>IF(Data!$B142='Team Parser'!$B$1, Data!K142,"")</f>
        <v/>
      </c>
      <c r="AA150" s="134" t="str">
        <f>IF(Data!$B142='Team Parser'!$B$1, Data!M142,"")</f>
        <v/>
      </c>
      <c r="AB150" s="134" t="str">
        <f>IF(Data!$B142='Team Parser'!$B$1,((Z150*2)+(Y150)+(X150*4)+(W150*2)),"")</f>
        <v/>
      </c>
      <c r="AC150" s="134" t="str">
        <f>IF(Data!$B142='Team Parser'!$B$1, Data!N142,"")</f>
        <v/>
      </c>
      <c r="AD150" s="139" t="str">
        <f>IF(Data!$B142='Team Parser'!$B$1,(AB150+(COUNTIF(AC150,"TRAVERSE")*15)+(COUNTIF(AC150,"HIGH")*10)+(COUNTIF(AC150,"MIDDLE")*6)+(COUNTIF(AC150,"LOW")*4)),"")</f>
        <v/>
      </c>
    </row>
    <row r="151">
      <c r="A151" s="133" t="s">
        <v>507</v>
      </c>
      <c r="B151" s="134" t="str">
        <f>IFERROR(__xludf.DUMMYFUNCTION("IFERROR((FILTER(Data!H:H,Data!D:D=A151,Data!B:B=$B$1)),"""")"),"")</f>
        <v/>
      </c>
      <c r="C151" s="134" t="str">
        <f>IFERROR(__xludf.DUMMYFUNCTION("IFERROR((FILTER(Data!G:G,Data!D:D=A151,Data!B:B=$B$1)),"""")"),"")</f>
        <v/>
      </c>
      <c r="D151" s="134" t="str">
        <f>IFERROR(__xludf.DUMMYFUNCTION("IFERROR((FILTER(Data!J:J,Data!D:D=A151,Data!B:B=$B$1)),"""")"),"")</f>
        <v/>
      </c>
      <c r="E151" s="134" t="str">
        <f>IFERROR(__xludf.DUMMYFUNCTION("IFERROR((FILTER(Data!L:L,Data!D:D=A151,Data!B:B=$B$1)),"""")"),"")</f>
        <v/>
      </c>
      <c r="F151" s="134" t="str">
        <f>IFERROR(__xludf.DUMMYFUNCTION("IFERROR((FILTER(Data!K:K,Data!D:D=A151,Data!B:B=$B$1)),"""")"),"")</f>
        <v/>
      </c>
      <c r="G151" s="134" t="str">
        <f>IFERROR(__xludf.DUMMYFUNCTION("IFERROR((FILTER(Data!M:M,Data!D:D=A151,Data!B:B=$B$1)),"""")"),"")</f>
        <v/>
      </c>
      <c r="H151" s="134" t="str">
        <f>IFERROR(__xludf.DUMMYFUNCTION("IFERROR((FILTER(Data!G:G,Data!D:D=A151,Data!B:B=$B$1)*4)+(FILTER(Data!H:H,Data!D:D=A151,Data!B:B=$B$1)*2),"""")"),"")</f>
        <v/>
      </c>
      <c r="I151" s="15" t="str">
        <f>IFERROR(__xludf.DUMMYFUNCTION("IFERROR((FILTER(Data!K:K,Data!D:D=A151,Data!B:B=$B$1)*2)+(FILTER(Data!L:L,Data!D:D=A151,Data!B:B=$B$1)),"""")"),"")</f>
        <v/>
      </c>
      <c r="J151" s="134" t="str">
        <f>IFERROR(__xludf.DUMMYFUNCTION("IFERROR((FILTER(Data!N:N,Data!D:D=A151,Data!B:B=$B$1)),"""")"),"")</f>
        <v/>
      </c>
      <c r="K151" s="135" t="str">
        <f>IFERROR(__xludf.DUMMYFUNCTION("IFERROR((FILTER(Data!H:H,Data!D:D=A151,Data!B:B=$B$1)*2)+(FILTER(Data!L:L,Data!D:D=A151,Data!B:B=$B$1))+(FILTER(Data!G:G,Data!D:D=A151,Data!B:B=$B$1)*4)+(FILTER(Data!K:K,Data!D:D=A151,Data!B:B=$B$1)*2)+(((COUNTIF(FILTER(Data!N:N,Data!D:D=A151,Data!B:B=$B$"&amp;"1),""TRAVERSE"")*15)+(COUNTIF(FILTER(Data!N:N,Data!D:D=A151,Data!B:B=$B$1),""HIGH"")*10)+(COUNTIF(FILTER(Data!N:N,Data!D:D=A151,Data!B:B=$B$1),""MIDDLE"")*6)+(COUNTIF(FILTER(Data!N:N,Data!D:D=A151,Data!B:B=$B$1),""LOW"")*4))),"""")"),"")</f>
        <v/>
      </c>
      <c r="L151" s="136" t="str">
        <f>IFERROR(__xludf.DUMMYFUNCTION("IFERROR((FILTER(Data!P:P,Data!D:D=A151,Data!B:B=$B$1)),"""")"),"")</f>
        <v/>
      </c>
      <c r="M151" s="137" t="str">
        <f>IFERROR(__xludf.DUMMYFUNCTION("IFERROR((FILTER(Data!A:A,Data!D:D=A151,Data!B:B=$B$1)),"""")"),"")</f>
        <v/>
      </c>
      <c r="T151" s="52">
        <f>IFERROR(__xludf.DUMMYFUNCTION("((COUNTIF(FILTER(Data!N:N,Data!D:D=A151,Data!B:B=$B$1),""TRAVERSE"")*15)+(COUNTIF(FILTER(Data!N:N,Data!D:D=A151,Data!B:B=B$1),""HIGH"")*10)+(COUNTIF(FILTER(Data!N:N,Data!D:D=A151,Data!B:B=$B$1),""MIDDLE"")*6)+(COUNTIF(FILTER(Data!N:N,Data!D:D=A151,Data!B:"&amp;"B=$B$1),""LOW"")*4))"),0.0)</f>
        <v>0</v>
      </c>
      <c r="V151" s="138" t="str">
        <f>IF(Data!B143='Team Parser'!$B$1, Data!D143,"")</f>
        <v/>
      </c>
      <c r="W151" s="134" t="str">
        <f>IF(Data!$B143='Team Parser'!$B$1, Data!H143,"")</f>
        <v/>
      </c>
      <c r="X151" s="134" t="str">
        <f>IF(Data!$B143='Team Parser'!$B$1, Data!G143,"")</f>
        <v/>
      </c>
      <c r="Y151" s="134" t="str">
        <f>IF(Data!$B143='Team Parser'!$B$1, Data!L143,"")</f>
        <v/>
      </c>
      <c r="Z151" s="134" t="str">
        <f>IF(Data!$B143='Team Parser'!$B$1, Data!K143,"")</f>
        <v/>
      </c>
      <c r="AA151" s="134" t="str">
        <f>IF(Data!$B143='Team Parser'!$B$1, Data!M143,"")</f>
        <v/>
      </c>
      <c r="AB151" s="134" t="str">
        <f>IF(Data!$B143='Team Parser'!$B$1,((Z151*2)+(Y151)+(X151*4)+(W151*2)),"")</f>
        <v/>
      </c>
      <c r="AC151" s="134" t="str">
        <f>IF(Data!$B143='Team Parser'!$B$1, Data!N143,"")</f>
        <v/>
      </c>
      <c r="AD151" s="139" t="str">
        <f>IF(Data!$B143='Team Parser'!$B$1,(AB151+(COUNTIF(AC151,"TRAVERSE")*15)+(COUNTIF(AC151,"HIGH")*10)+(COUNTIF(AC151,"MIDDLE")*6)+(COUNTIF(AC151,"LOW")*4)),"")</f>
        <v/>
      </c>
    </row>
    <row r="152">
      <c r="A152" s="133" t="s">
        <v>507</v>
      </c>
      <c r="B152" s="134" t="str">
        <f>IFERROR(__xludf.DUMMYFUNCTION("IFERROR((FILTER(Data!H:H,Data!D:D=A152,Data!B:B=$B$1)),"""")"),"")</f>
        <v/>
      </c>
      <c r="C152" s="134" t="str">
        <f>IFERROR(__xludf.DUMMYFUNCTION("IFERROR((FILTER(Data!G:G,Data!D:D=A152,Data!B:B=$B$1)),"""")"),"")</f>
        <v/>
      </c>
      <c r="D152" s="134" t="str">
        <f>IFERROR(__xludf.DUMMYFUNCTION("IFERROR((FILTER(Data!J:J,Data!D:D=A152,Data!B:B=$B$1)),"""")"),"")</f>
        <v/>
      </c>
      <c r="E152" s="134" t="str">
        <f>IFERROR(__xludf.DUMMYFUNCTION("IFERROR((FILTER(Data!L:L,Data!D:D=A152,Data!B:B=$B$1)),"""")"),"")</f>
        <v/>
      </c>
      <c r="F152" s="134" t="str">
        <f>IFERROR(__xludf.DUMMYFUNCTION("IFERROR((FILTER(Data!K:K,Data!D:D=A152,Data!B:B=$B$1)),"""")"),"")</f>
        <v/>
      </c>
      <c r="G152" s="134" t="str">
        <f>IFERROR(__xludf.DUMMYFUNCTION("IFERROR((FILTER(Data!M:M,Data!D:D=A152,Data!B:B=$B$1)),"""")"),"")</f>
        <v/>
      </c>
      <c r="H152" s="134" t="str">
        <f>IFERROR(__xludf.DUMMYFUNCTION("IFERROR((FILTER(Data!G:G,Data!D:D=A152,Data!B:B=$B$1)*4)+(FILTER(Data!H:H,Data!D:D=A152,Data!B:B=$B$1)*2),"""")"),"")</f>
        <v/>
      </c>
      <c r="I152" s="15" t="str">
        <f>IFERROR(__xludf.DUMMYFUNCTION("IFERROR((FILTER(Data!K:K,Data!D:D=A152,Data!B:B=$B$1)*2)+(FILTER(Data!L:L,Data!D:D=A152,Data!B:B=$B$1)),"""")"),"")</f>
        <v/>
      </c>
      <c r="J152" s="134" t="str">
        <f>IFERROR(__xludf.DUMMYFUNCTION("IFERROR((FILTER(Data!N:N,Data!D:D=A152,Data!B:B=$B$1)),"""")"),"")</f>
        <v/>
      </c>
      <c r="K152" s="135" t="str">
        <f>IFERROR(__xludf.DUMMYFUNCTION("IFERROR((FILTER(Data!H:H,Data!D:D=A152,Data!B:B=$B$1)*2)+(FILTER(Data!L:L,Data!D:D=A152,Data!B:B=$B$1))+(FILTER(Data!G:G,Data!D:D=A152,Data!B:B=$B$1)*4)+(FILTER(Data!K:K,Data!D:D=A152,Data!B:B=$B$1)*2)+(((COUNTIF(FILTER(Data!N:N,Data!D:D=A152,Data!B:B=$B$"&amp;"1),""TRAVERSE"")*15)+(COUNTIF(FILTER(Data!N:N,Data!D:D=A152,Data!B:B=$B$1),""HIGH"")*10)+(COUNTIF(FILTER(Data!N:N,Data!D:D=A152,Data!B:B=$B$1),""MIDDLE"")*6)+(COUNTIF(FILTER(Data!N:N,Data!D:D=A152,Data!B:B=$B$1),""LOW"")*4))),"""")"),"")</f>
        <v/>
      </c>
      <c r="L152" s="136" t="str">
        <f>IFERROR(__xludf.DUMMYFUNCTION("IFERROR((FILTER(Data!P:P,Data!D:D=A152,Data!B:B=$B$1)),"""")"),"")</f>
        <v/>
      </c>
      <c r="M152" s="137" t="str">
        <f>IFERROR(__xludf.DUMMYFUNCTION("IFERROR((FILTER(Data!A:A,Data!D:D=A152,Data!B:B=$B$1)),"""")"),"")</f>
        <v/>
      </c>
      <c r="T152" s="52">
        <f>IFERROR(__xludf.DUMMYFUNCTION("((COUNTIF(FILTER(Data!N:N,Data!D:D=A152,Data!B:B=$B$1),""TRAVERSE"")*15)+(COUNTIF(FILTER(Data!N:N,Data!D:D=A152,Data!B:B=B$1),""HIGH"")*10)+(COUNTIF(FILTER(Data!N:N,Data!D:D=A152,Data!B:B=$B$1),""MIDDLE"")*6)+(COUNTIF(FILTER(Data!N:N,Data!D:D=A152,Data!B:"&amp;"B=$B$1),""LOW"")*4))"),0.0)</f>
        <v>0</v>
      </c>
      <c r="V152" s="138" t="str">
        <f>IF(Data!B144='Team Parser'!$B$1, Data!D144,"")</f>
        <v/>
      </c>
      <c r="W152" s="134" t="str">
        <f>IF(Data!$B144='Team Parser'!$B$1, Data!H144,"")</f>
        <v/>
      </c>
      <c r="X152" s="134" t="str">
        <f>IF(Data!$B144='Team Parser'!$B$1, Data!G144,"")</f>
        <v/>
      </c>
      <c r="Y152" s="134" t="str">
        <f>IF(Data!$B144='Team Parser'!$B$1, Data!L144,"")</f>
        <v/>
      </c>
      <c r="Z152" s="134" t="str">
        <f>IF(Data!$B144='Team Parser'!$B$1, Data!K144,"")</f>
        <v/>
      </c>
      <c r="AA152" s="134" t="str">
        <f>IF(Data!$B144='Team Parser'!$B$1, Data!M144,"")</f>
        <v/>
      </c>
      <c r="AB152" s="134" t="str">
        <f>IF(Data!$B144='Team Parser'!$B$1,((Z152*2)+(Y152)+(X152*4)+(W152*2)),"")</f>
        <v/>
      </c>
      <c r="AC152" s="134" t="str">
        <f>IF(Data!$B144='Team Parser'!$B$1, Data!N144,"")</f>
        <v/>
      </c>
      <c r="AD152" s="139" t="str">
        <f>IF(Data!$B144='Team Parser'!$B$1,(AB152+(COUNTIF(AC152,"TRAVERSE")*15)+(COUNTIF(AC152,"HIGH")*10)+(COUNTIF(AC152,"MIDDLE")*6)+(COUNTIF(AC152,"LOW")*4)),"")</f>
        <v/>
      </c>
    </row>
    <row r="153">
      <c r="A153" s="133" t="s">
        <v>507</v>
      </c>
      <c r="B153" s="134" t="str">
        <f>IFERROR(__xludf.DUMMYFUNCTION("IFERROR((FILTER(Data!H:H,Data!D:D=A153,Data!B:B=$B$1)),"""")"),"")</f>
        <v/>
      </c>
      <c r="C153" s="134" t="str">
        <f>IFERROR(__xludf.DUMMYFUNCTION("IFERROR((FILTER(Data!G:G,Data!D:D=A153,Data!B:B=$B$1)),"""")"),"")</f>
        <v/>
      </c>
      <c r="D153" s="134" t="str">
        <f>IFERROR(__xludf.DUMMYFUNCTION("IFERROR((FILTER(Data!J:J,Data!D:D=A153,Data!B:B=$B$1)),"""")"),"")</f>
        <v/>
      </c>
      <c r="E153" s="134" t="str">
        <f>IFERROR(__xludf.DUMMYFUNCTION("IFERROR((FILTER(Data!L:L,Data!D:D=A153,Data!B:B=$B$1)),"""")"),"")</f>
        <v/>
      </c>
      <c r="F153" s="134" t="str">
        <f>IFERROR(__xludf.DUMMYFUNCTION("IFERROR((FILTER(Data!K:K,Data!D:D=A153,Data!B:B=$B$1)),"""")"),"")</f>
        <v/>
      </c>
      <c r="G153" s="134" t="str">
        <f>IFERROR(__xludf.DUMMYFUNCTION("IFERROR((FILTER(Data!M:M,Data!D:D=A153,Data!B:B=$B$1)),"""")"),"")</f>
        <v/>
      </c>
      <c r="H153" s="134" t="str">
        <f>IFERROR(__xludf.DUMMYFUNCTION("IFERROR((FILTER(Data!G:G,Data!D:D=A153,Data!B:B=$B$1)*4)+(FILTER(Data!H:H,Data!D:D=A153,Data!B:B=$B$1)*2),"""")"),"")</f>
        <v/>
      </c>
      <c r="I153" s="15" t="str">
        <f>IFERROR(__xludf.DUMMYFUNCTION("IFERROR((FILTER(Data!K:K,Data!D:D=A153,Data!B:B=$B$1)*2)+(FILTER(Data!L:L,Data!D:D=A153,Data!B:B=$B$1)),"""")"),"")</f>
        <v/>
      </c>
      <c r="J153" s="134" t="str">
        <f>IFERROR(__xludf.DUMMYFUNCTION("IFERROR((FILTER(Data!N:N,Data!D:D=A153,Data!B:B=$B$1)),"""")"),"")</f>
        <v/>
      </c>
      <c r="K153" s="135" t="str">
        <f>IFERROR(__xludf.DUMMYFUNCTION("IFERROR((FILTER(Data!H:H,Data!D:D=A153,Data!B:B=$B$1)*2)+(FILTER(Data!L:L,Data!D:D=A153,Data!B:B=$B$1))+(FILTER(Data!G:G,Data!D:D=A153,Data!B:B=$B$1)*4)+(FILTER(Data!K:K,Data!D:D=A153,Data!B:B=$B$1)*2)+(((COUNTIF(FILTER(Data!N:N,Data!D:D=A153,Data!B:B=$B$"&amp;"1),""TRAVERSE"")*15)+(COUNTIF(FILTER(Data!N:N,Data!D:D=A153,Data!B:B=$B$1),""HIGH"")*10)+(COUNTIF(FILTER(Data!N:N,Data!D:D=A153,Data!B:B=$B$1),""MIDDLE"")*6)+(COUNTIF(FILTER(Data!N:N,Data!D:D=A153,Data!B:B=$B$1),""LOW"")*4))),"""")"),"")</f>
        <v/>
      </c>
      <c r="L153" s="136" t="str">
        <f>IFERROR(__xludf.DUMMYFUNCTION("IFERROR((FILTER(Data!P:P,Data!D:D=A153,Data!B:B=$B$1)),"""")"),"")</f>
        <v/>
      </c>
      <c r="M153" s="137" t="str">
        <f>IFERROR(__xludf.DUMMYFUNCTION("IFERROR((FILTER(Data!A:A,Data!D:D=A153,Data!B:B=$B$1)),"""")"),"")</f>
        <v/>
      </c>
      <c r="T153" s="52">
        <f>IFERROR(__xludf.DUMMYFUNCTION("((COUNTIF(FILTER(Data!N:N,Data!D:D=A153,Data!B:B=$B$1),""TRAVERSE"")*15)+(COUNTIF(FILTER(Data!N:N,Data!D:D=A153,Data!B:B=B$1),""HIGH"")*10)+(COUNTIF(FILTER(Data!N:N,Data!D:D=A153,Data!B:B=$B$1),""MIDDLE"")*6)+(COUNTIF(FILTER(Data!N:N,Data!D:D=A153,Data!B:"&amp;"B=$B$1),""LOW"")*4))"),0.0)</f>
        <v>0</v>
      </c>
      <c r="V153" s="138" t="str">
        <f>IF(Data!B145='Team Parser'!$B$1, Data!D145,"")</f>
        <v/>
      </c>
      <c r="W153" s="134" t="str">
        <f>IF(Data!$B145='Team Parser'!$B$1, Data!H145,"")</f>
        <v/>
      </c>
      <c r="X153" s="134" t="str">
        <f>IF(Data!$B145='Team Parser'!$B$1, Data!G145,"")</f>
        <v/>
      </c>
      <c r="Y153" s="134" t="str">
        <f>IF(Data!$B145='Team Parser'!$B$1, Data!L145,"")</f>
        <v/>
      </c>
      <c r="Z153" s="134" t="str">
        <f>IF(Data!$B145='Team Parser'!$B$1, Data!K145,"")</f>
        <v/>
      </c>
      <c r="AA153" s="134" t="str">
        <f>IF(Data!$B145='Team Parser'!$B$1, Data!M145,"")</f>
        <v/>
      </c>
      <c r="AB153" s="134" t="str">
        <f>IF(Data!$B145='Team Parser'!$B$1,((Z153*2)+(Y153)+(X153*4)+(W153*2)),"")</f>
        <v/>
      </c>
      <c r="AC153" s="134" t="str">
        <f>IF(Data!$B145='Team Parser'!$B$1, Data!N145,"")</f>
        <v/>
      </c>
      <c r="AD153" s="139" t="str">
        <f>IF(Data!$B145='Team Parser'!$B$1,(AB153+(COUNTIF(AC153,"TRAVERSE")*15)+(COUNTIF(AC153,"HIGH")*10)+(COUNTIF(AC153,"MIDDLE")*6)+(COUNTIF(AC153,"LOW")*4)),"")</f>
        <v/>
      </c>
    </row>
    <row r="154">
      <c r="A154" s="133" t="s">
        <v>507</v>
      </c>
      <c r="B154" s="134" t="str">
        <f>IFERROR(__xludf.DUMMYFUNCTION("IFERROR((FILTER(Data!H:H,Data!D:D=A154,Data!B:B=$B$1)),"""")"),"")</f>
        <v/>
      </c>
      <c r="C154" s="134" t="str">
        <f>IFERROR(__xludf.DUMMYFUNCTION("IFERROR((FILTER(Data!G:G,Data!D:D=A154,Data!B:B=$B$1)),"""")"),"")</f>
        <v/>
      </c>
      <c r="D154" s="134" t="str">
        <f>IFERROR(__xludf.DUMMYFUNCTION("IFERROR((FILTER(Data!J:J,Data!D:D=A154,Data!B:B=$B$1)),"""")"),"")</f>
        <v/>
      </c>
      <c r="E154" s="134" t="str">
        <f>IFERROR(__xludf.DUMMYFUNCTION("IFERROR((FILTER(Data!L:L,Data!D:D=A154,Data!B:B=$B$1)),"""")"),"")</f>
        <v/>
      </c>
      <c r="F154" s="134" t="str">
        <f>IFERROR(__xludf.DUMMYFUNCTION("IFERROR((FILTER(Data!K:K,Data!D:D=A154,Data!B:B=$B$1)),"""")"),"")</f>
        <v/>
      </c>
      <c r="G154" s="134" t="str">
        <f>IFERROR(__xludf.DUMMYFUNCTION("IFERROR((FILTER(Data!M:M,Data!D:D=A154,Data!B:B=$B$1)),"""")"),"")</f>
        <v/>
      </c>
      <c r="H154" s="134" t="str">
        <f>IFERROR(__xludf.DUMMYFUNCTION("IFERROR((FILTER(Data!G:G,Data!D:D=A154,Data!B:B=$B$1)*4)+(FILTER(Data!H:H,Data!D:D=A154,Data!B:B=$B$1)*2),"""")"),"")</f>
        <v/>
      </c>
      <c r="I154" s="15" t="str">
        <f>IFERROR(__xludf.DUMMYFUNCTION("IFERROR((FILTER(Data!K:K,Data!D:D=A154,Data!B:B=$B$1)*2)+(FILTER(Data!L:L,Data!D:D=A154,Data!B:B=$B$1)),"""")"),"")</f>
        <v/>
      </c>
      <c r="J154" s="134" t="str">
        <f>IFERROR(__xludf.DUMMYFUNCTION("IFERROR((FILTER(Data!N:N,Data!D:D=A154,Data!B:B=$B$1)),"""")"),"")</f>
        <v/>
      </c>
      <c r="K154" s="135" t="str">
        <f>IFERROR(__xludf.DUMMYFUNCTION("IFERROR((FILTER(Data!H:H,Data!D:D=A154,Data!B:B=$B$1)*2)+(FILTER(Data!L:L,Data!D:D=A154,Data!B:B=$B$1))+(FILTER(Data!G:G,Data!D:D=A154,Data!B:B=$B$1)*4)+(FILTER(Data!K:K,Data!D:D=A154,Data!B:B=$B$1)*2)+(((COUNTIF(FILTER(Data!N:N,Data!D:D=A154,Data!B:B=$B$"&amp;"1),""TRAVERSE"")*15)+(COUNTIF(FILTER(Data!N:N,Data!D:D=A154,Data!B:B=$B$1),""HIGH"")*10)+(COUNTIF(FILTER(Data!N:N,Data!D:D=A154,Data!B:B=$B$1),""MIDDLE"")*6)+(COUNTIF(FILTER(Data!N:N,Data!D:D=A154,Data!B:B=$B$1),""LOW"")*4))),"""")"),"")</f>
        <v/>
      </c>
      <c r="L154" s="136" t="str">
        <f>IFERROR(__xludf.DUMMYFUNCTION("IFERROR((FILTER(Data!P:P,Data!D:D=A154,Data!B:B=$B$1)),"""")"),"")</f>
        <v/>
      </c>
      <c r="M154" s="137" t="str">
        <f>IFERROR(__xludf.DUMMYFUNCTION("IFERROR((FILTER(Data!A:A,Data!D:D=A154,Data!B:B=$B$1)),"""")"),"")</f>
        <v/>
      </c>
      <c r="T154" s="52">
        <f>IFERROR(__xludf.DUMMYFUNCTION("((COUNTIF(FILTER(Data!N:N,Data!D:D=A154,Data!B:B=$B$1),""TRAVERSE"")*15)+(COUNTIF(FILTER(Data!N:N,Data!D:D=A154,Data!B:B=B$1),""HIGH"")*10)+(COUNTIF(FILTER(Data!N:N,Data!D:D=A154,Data!B:B=$B$1),""MIDDLE"")*6)+(COUNTIF(FILTER(Data!N:N,Data!D:D=A154,Data!B:"&amp;"B=$B$1),""LOW"")*4))"),0.0)</f>
        <v>0</v>
      </c>
      <c r="V154" s="138" t="str">
        <f>IF(Data!B146='Team Parser'!$B$1, Data!D146,"")</f>
        <v/>
      </c>
      <c r="W154" s="134" t="str">
        <f>IF(Data!$B146='Team Parser'!$B$1, Data!H146,"")</f>
        <v/>
      </c>
      <c r="X154" s="134" t="str">
        <f>IF(Data!$B146='Team Parser'!$B$1, Data!G146,"")</f>
        <v/>
      </c>
      <c r="Y154" s="134" t="str">
        <f>IF(Data!$B146='Team Parser'!$B$1, Data!L146,"")</f>
        <v/>
      </c>
      <c r="Z154" s="134" t="str">
        <f>IF(Data!$B146='Team Parser'!$B$1, Data!K146,"")</f>
        <v/>
      </c>
      <c r="AA154" s="134" t="str">
        <f>IF(Data!$B146='Team Parser'!$B$1, Data!M146,"")</f>
        <v/>
      </c>
      <c r="AB154" s="134" t="str">
        <f>IF(Data!$B146='Team Parser'!$B$1,((Z154*2)+(Y154)+(X154*4)+(W154*2)),"")</f>
        <v/>
      </c>
      <c r="AC154" s="134" t="str">
        <f>IF(Data!$B146='Team Parser'!$B$1, Data!N146,"")</f>
        <v/>
      </c>
      <c r="AD154" s="139" t="str">
        <f>IF(Data!$B146='Team Parser'!$B$1,(AB154+(COUNTIF(AC154,"TRAVERSE")*15)+(COUNTIF(AC154,"HIGH")*10)+(COUNTIF(AC154,"MIDDLE")*6)+(COUNTIF(AC154,"LOW")*4)),"")</f>
        <v/>
      </c>
    </row>
    <row r="155">
      <c r="A155" s="133" t="s">
        <v>507</v>
      </c>
      <c r="B155" s="134" t="str">
        <f>IFERROR(__xludf.DUMMYFUNCTION("IFERROR((FILTER(Data!H:H,Data!D:D=A155,Data!B:B=$B$1)),"""")"),"")</f>
        <v/>
      </c>
      <c r="C155" s="134" t="str">
        <f>IFERROR(__xludf.DUMMYFUNCTION("IFERROR((FILTER(Data!G:G,Data!D:D=A155,Data!B:B=$B$1)),"""")"),"")</f>
        <v/>
      </c>
      <c r="D155" s="134" t="str">
        <f>IFERROR(__xludf.DUMMYFUNCTION("IFERROR((FILTER(Data!J:J,Data!D:D=A155,Data!B:B=$B$1)),"""")"),"")</f>
        <v/>
      </c>
      <c r="E155" s="134" t="str">
        <f>IFERROR(__xludf.DUMMYFUNCTION("IFERROR((FILTER(Data!L:L,Data!D:D=A155,Data!B:B=$B$1)),"""")"),"")</f>
        <v/>
      </c>
      <c r="F155" s="134" t="str">
        <f>IFERROR(__xludf.DUMMYFUNCTION("IFERROR((FILTER(Data!K:K,Data!D:D=A155,Data!B:B=$B$1)),"""")"),"")</f>
        <v/>
      </c>
      <c r="G155" s="134" t="str">
        <f>IFERROR(__xludf.DUMMYFUNCTION("IFERROR((FILTER(Data!M:M,Data!D:D=A155,Data!B:B=$B$1)),"""")"),"")</f>
        <v/>
      </c>
      <c r="H155" s="134" t="str">
        <f>IFERROR(__xludf.DUMMYFUNCTION("IFERROR((FILTER(Data!G:G,Data!D:D=A155,Data!B:B=$B$1)*4)+(FILTER(Data!H:H,Data!D:D=A155,Data!B:B=$B$1)*2),"""")"),"")</f>
        <v/>
      </c>
      <c r="I155" s="15" t="str">
        <f>IFERROR(__xludf.DUMMYFUNCTION("IFERROR((FILTER(Data!K:K,Data!D:D=A155,Data!B:B=$B$1)*2)+(FILTER(Data!L:L,Data!D:D=A155,Data!B:B=$B$1)),"""")"),"")</f>
        <v/>
      </c>
      <c r="J155" s="134" t="str">
        <f>IFERROR(__xludf.DUMMYFUNCTION("IFERROR((FILTER(Data!N:N,Data!D:D=A155,Data!B:B=$B$1)),"""")"),"")</f>
        <v/>
      </c>
      <c r="K155" s="135" t="str">
        <f>IFERROR(__xludf.DUMMYFUNCTION("IFERROR((FILTER(Data!H:H,Data!D:D=A155,Data!B:B=$B$1)*2)+(FILTER(Data!L:L,Data!D:D=A155,Data!B:B=$B$1))+(FILTER(Data!G:G,Data!D:D=A155,Data!B:B=$B$1)*4)+(FILTER(Data!K:K,Data!D:D=A155,Data!B:B=$B$1)*2)+(((COUNTIF(FILTER(Data!N:N,Data!D:D=A155,Data!B:B=$B$"&amp;"1),""TRAVERSE"")*15)+(COUNTIF(FILTER(Data!N:N,Data!D:D=A155,Data!B:B=$B$1),""HIGH"")*10)+(COUNTIF(FILTER(Data!N:N,Data!D:D=A155,Data!B:B=$B$1),""MIDDLE"")*6)+(COUNTIF(FILTER(Data!N:N,Data!D:D=A155,Data!B:B=$B$1),""LOW"")*4))),"""")"),"")</f>
        <v/>
      </c>
      <c r="L155" s="136" t="str">
        <f>IFERROR(__xludf.DUMMYFUNCTION("IFERROR((FILTER(Data!P:P,Data!D:D=A155,Data!B:B=$B$1)),"""")"),"")</f>
        <v/>
      </c>
      <c r="M155" s="137" t="str">
        <f>IFERROR(__xludf.DUMMYFUNCTION("IFERROR((FILTER(Data!A:A,Data!D:D=A155,Data!B:B=$B$1)),"""")"),"")</f>
        <v/>
      </c>
      <c r="T155" s="52">
        <f>IFERROR(__xludf.DUMMYFUNCTION("((COUNTIF(FILTER(Data!N:N,Data!D:D=A155,Data!B:B=$B$1),""TRAVERSE"")*15)+(COUNTIF(FILTER(Data!N:N,Data!D:D=A155,Data!B:B=B$1),""HIGH"")*10)+(COUNTIF(FILTER(Data!N:N,Data!D:D=A155,Data!B:B=$B$1),""MIDDLE"")*6)+(COUNTIF(FILTER(Data!N:N,Data!D:D=A155,Data!B:"&amp;"B=$B$1),""LOW"")*4))"),0.0)</f>
        <v>0</v>
      </c>
      <c r="V155" s="138" t="str">
        <f>IF(Data!B147='Team Parser'!$B$1, Data!D147,"")</f>
        <v/>
      </c>
      <c r="W155" s="134" t="str">
        <f>IF(Data!$B147='Team Parser'!$B$1, Data!H147,"")</f>
        <v/>
      </c>
      <c r="X155" s="134" t="str">
        <f>IF(Data!$B147='Team Parser'!$B$1, Data!G147,"")</f>
        <v/>
      </c>
      <c r="Y155" s="134" t="str">
        <f>IF(Data!$B147='Team Parser'!$B$1, Data!L147,"")</f>
        <v/>
      </c>
      <c r="Z155" s="134" t="str">
        <f>IF(Data!$B147='Team Parser'!$B$1, Data!K147,"")</f>
        <v/>
      </c>
      <c r="AA155" s="134" t="str">
        <f>IF(Data!$B147='Team Parser'!$B$1, Data!M147,"")</f>
        <v/>
      </c>
      <c r="AB155" s="134" t="str">
        <f>IF(Data!$B147='Team Parser'!$B$1,((Z155*2)+(Y155)+(X155*4)+(W155*2)),"")</f>
        <v/>
      </c>
      <c r="AC155" s="134" t="str">
        <f>IF(Data!$B147='Team Parser'!$B$1, Data!N147,"")</f>
        <v/>
      </c>
      <c r="AD155" s="139" t="str">
        <f>IF(Data!$B147='Team Parser'!$B$1,(AB155+(COUNTIF(AC155,"TRAVERSE")*15)+(COUNTIF(AC155,"HIGH")*10)+(COUNTIF(AC155,"MIDDLE")*6)+(COUNTIF(AC155,"LOW")*4)),"")</f>
        <v/>
      </c>
    </row>
    <row r="156">
      <c r="A156" s="133" t="s">
        <v>507</v>
      </c>
      <c r="B156" s="134" t="str">
        <f>IFERROR(__xludf.DUMMYFUNCTION("IFERROR((FILTER(Data!H:H,Data!D:D=A156,Data!B:B=$B$1)),"""")"),"")</f>
        <v/>
      </c>
      <c r="C156" s="134" t="str">
        <f>IFERROR(__xludf.DUMMYFUNCTION("IFERROR((FILTER(Data!G:G,Data!D:D=A156,Data!B:B=$B$1)),"""")"),"")</f>
        <v/>
      </c>
      <c r="D156" s="134" t="str">
        <f>IFERROR(__xludf.DUMMYFUNCTION("IFERROR((FILTER(Data!J:J,Data!D:D=A156,Data!B:B=$B$1)),"""")"),"")</f>
        <v/>
      </c>
      <c r="E156" s="134" t="str">
        <f>IFERROR(__xludf.DUMMYFUNCTION("IFERROR((FILTER(Data!L:L,Data!D:D=A156,Data!B:B=$B$1)),"""")"),"")</f>
        <v/>
      </c>
      <c r="F156" s="134" t="str">
        <f>IFERROR(__xludf.DUMMYFUNCTION("IFERROR((FILTER(Data!K:K,Data!D:D=A156,Data!B:B=$B$1)),"""")"),"")</f>
        <v/>
      </c>
      <c r="G156" s="134" t="str">
        <f>IFERROR(__xludf.DUMMYFUNCTION("IFERROR((FILTER(Data!M:M,Data!D:D=A156,Data!B:B=$B$1)),"""")"),"")</f>
        <v/>
      </c>
      <c r="H156" s="134" t="str">
        <f>IFERROR(__xludf.DUMMYFUNCTION("IFERROR((FILTER(Data!G:G,Data!D:D=A156,Data!B:B=$B$1)*4)+(FILTER(Data!H:H,Data!D:D=A156,Data!B:B=$B$1)*2),"""")"),"")</f>
        <v/>
      </c>
      <c r="I156" s="15" t="str">
        <f>IFERROR(__xludf.DUMMYFUNCTION("IFERROR((FILTER(Data!K:K,Data!D:D=A156,Data!B:B=$B$1)*2)+(FILTER(Data!L:L,Data!D:D=A156,Data!B:B=$B$1)),"""")"),"")</f>
        <v/>
      </c>
      <c r="J156" s="134" t="str">
        <f>IFERROR(__xludf.DUMMYFUNCTION("IFERROR((FILTER(Data!N:N,Data!D:D=A156,Data!B:B=$B$1)),"""")"),"")</f>
        <v/>
      </c>
      <c r="K156" s="135" t="str">
        <f>IFERROR(__xludf.DUMMYFUNCTION("IFERROR((FILTER(Data!H:H,Data!D:D=A156,Data!B:B=$B$1)*2)+(FILTER(Data!L:L,Data!D:D=A156,Data!B:B=$B$1))+(FILTER(Data!G:G,Data!D:D=A156,Data!B:B=$B$1)*4)+(FILTER(Data!K:K,Data!D:D=A156,Data!B:B=$B$1)*2)+(((COUNTIF(FILTER(Data!N:N,Data!D:D=A156,Data!B:B=$B$"&amp;"1),""TRAVERSE"")*15)+(COUNTIF(FILTER(Data!N:N,Data!D:D=A156,Data!B:B=$B$1),""HIGH"")*10)+(COUNTIF(FILTER(Data!N:N,Data!D:D=A156,Data!B:B=$B$1),""MIDDLE"")*6)+(COUNTIF(FILTER(Data!N:N,Data!D:D=A156,Data!B:B=$B$1),""LOW"")*4))),"""")"),"")</f>
        <v/>
      </c>
      <c r="L156" s="136" t="str">
        <f>IFERROR(__xludf.DUMMYFUNCTION("IFERROR((FILTER(Data!P:P,Data!D:D=A156,Data!B:B=$B$1)),"""")"),"")</f>
        <v/>
      </c>
      <c r="M156" s="137" t="str">
        <f>IFERROR(__xludf.DUMMYFUNCTION("IFERROR((FILTER(Data!A:A,Data!D:D=A156,Data!B:B=$B$1)),"""")"),"")</f>
        <v/>
      </c>
      <c r="T156" s="52">
        <f>IFERROR(__xludf.DUMMYFUNCTION("((COUNTIF(FILTER(Data!N:N,Data!D:D=A156,Data!B:B=$B$1),""TRAVERSE"")*15)+(COUNTIF(FILTER(Data!N:N,Data!D:D=A156,Data!B:B=B$1),""HIGH"")*10)+(COUNTIF(FILTER(Data!N:N,Data!D:D=A156,Data!B:B=$B$1),""MIDDLE"")*6)+(COUNTIF(FILTER(Data!N:N,Data!D:D=A156,Data!B:"&amp;"B=$B$1),""LOW"")*4))"),0.0)</f>
        <v>0</v>
      </c>
      <c r="V156" s="138" t="str">
        <f>IF(Data!B148='Team Parser'!$B$1, Data!D148,"")</f>
        <v/>
      </c>
      <c r="W156" s="134" t="str">
        <f>IF(Data!$B148='Team Parser'!$B$1, Data!H148,"")</f>
        <v/>
      </c>
      <c r="X156" s="134" t="str">
        <f>IF(Data!$B148='Team Parser'!$B$1, Data!G148,"")</f>
        <v/>
      </c>
      <c r="Y156" s="134" t="str">
        <f>IF(Data!$B148='Team Parser'!$B$1, Data!L148,"")</f>
        <v/>
      </c>
      <c r="Z156" s="134" t="str">
        <f>IF(Data!$B148='Team Parser'!$B$1, Data!K148,"")</f>
        <v/>
      </c>
      <c r="AA156" s="134" t="str">
        <f>IF(Data!$B148='Team Parser'!$B$1, Data!M148,"")</f>
        <v/>
      </c>
      <c r="AB156" s="134" t="str">
        <f>IF(Data!$B148='Team Parser'!$B$1,((Z156*2)+(Y156)+(X156*4)+(W156*2)),"")</f>
        <v/>
      </c>
      <c r="AC156" s="134" t="str">
        <f>IF(Data!$B148='Team Parser'!$B$1, Data!N148,"")</f>
        <v/>
      </c>
      <c r="AD156" s="139" t="str">
        <f>IF(Data!$B148='Team Parser'!$B$1,(AB156+(COUNTIF(AC156,"TRAVERSE")*15)+(COUNTIF(AC156,"HIGH")*10)+(COUNTIF(AC156,"MIDDLE")*6)+(COUNTIF(AC156,"LOW")*4)),"")</f>
        <v/>
      </c>
    </row>
    <row r="157">
      <c r="A157" s="133" t="s">
        <v>507</v>
      </c>
      <c r="B157" s="134" t="str">
        <f>IFERROR(__xludf.DUMMYFUNCTION("IFERROR((FILTER(Data!H:H,Data!D:D=A157,Data!B:B=$B$1)),"""")"),"")</f>
        <v/>
      </c>
      <c r="C157" s="134" t="str">
        <f>IFERROR(__xludf.DUMMYFUNCTION("IFERROR((FILTER(Data!G:G,Data!D:D=A157,Data!B:B=$B$1)),"""")"),"")</f>
        <v/>
      </c>
      <c r="D157" s="134" t="str">
        <f>IFERROR(__xludf.DUMMYFUNCTION("IFERROR((FILTER(Data!J:J,Data!D:D=A157,Data!B:B=$B$1)),"""")"),"")</f>
        <v/>
      </c>
      <c r="E157" s="134" t="str">
        <f>IFERROR(__xludf.DUMMYFUNCTION("IFERROR((FILTER(Data!L:L,Data!D:D=A157,Data!B:B=$B$1)),"""")"),"")</f>
        <v/>
      </c>
      <c r="F157" s="134" t="str">
        <f>IFERROR(__xludf.DUMMYFUNCTION("IFERROR((FILTER(Data!K:K,Data!D:D=A157,Data!B:B=$B$1)),"""")"),"")</f>
        <v/>
      </c>
      <c r="G157" s="134" t="str">
        <f>IFERROR(__xludf.DUMMYFUNCTION("IFERROR((FILTER(Data!M:M,Data!D:D=A157,Data!B:B=$B$1)),"""")"),"")</f>
        <v/>
      </c>
      <c r="H157" s="134" t="str">
        <f>IFERROR(__xludf.DUMMYFUNCTION("IFERROR((FILTER(Data!G:G,Data!D:D=A157,Data!B:B=$B$1)*4)+(FILTER(Data!H:H,Data!D:D=A157,Data!B:B=$B$1)*2),"""")"),"")</f>
        <v/>
      </c>
      <c r="I157" s="15" t="str">
        <f>IFERROR(__xludf.DUMMYFUNCTION("IFERROR((FILTER(Data!K:K,Data!D:D=A157,Data!B:B=$B$1)*2)+(FILTER(Data!L:L,Data!D:D=A157,Data!B:B=$B$1)),"""")"),"")</f>
        <v/>
      </c>
      <c r="J157" s="134" t="str">
        <f>IFERROR(__xludf.DUMMYFUNCTION("IFERROR((FILTER(Data!N:N,Data!D:D=A157,Data!B:B=$B$1)),"""")"),"")</f>
        <v/>
      </c>
      <c r="K157" s="135" t="str">
        <f>IFERROR(__xludf.DUMMYFUNCTION("IFERROR((FILTER(Data!H:H,Data!D:D=A157,Data!B:B=$B$1)*2)+(FILTER(Data!L:L,Data!D:D=A157,Data!B:B=$B$1))+(FILTER(Data!G:G,Data!D:D=A157,Data!B:B=$B$1)*4)+(FILTER(Data!K:K,Data!D:D=A157,Data!B:B=$B$1)*2)+(((COUNTIF(FILTER(Data!N:N,Data!D:D=A157,Data!B:B=$B$"&amp;"1),""TRAVERSE"")*15)+(COUNTIF(FILTER(Data!N:N,Data!D:D=A157,Data!B:B=$B$1),""HIGH"")*10)+(COUNTIF(FILTER(Data!N:N,Data!D:D=A157,Data!B:B=$B$1),""MIDDLE"")*6)+(COUNTIF(FILTER(Data!N:N,Data!D:D=A157,Data!B:B=$B$1),""LOW"")*4))),"""")"),"")</f>
        <v/>
      </c>
      <c r="L157" s="136" t="str">
        <f>IFERROR(__xludf.DUMMYFUNCTION("IFERROR((FILTER(Data!P:P,Data!D:D=A157,Data!B:B=$B$1)),"""")"),"")</f>
        <v/>
      </c>
      <c r="M157" s="137" t="str">
        <f>IFERROR(__xludf.DUMMYFUNCTION("IFERROR((FILTER(Data!A:A,Data!D:D=A157,Data!B:B=$B$1)),"""")"),"")</f>
        <v/>
      </c>
      <c r="T157" s="52">
        <f>IFERROR(__xludf.DUMMYFUNCTION("((COUNTIF(FILTER(Data!N:N,Data!D:D=A157,Data!B:B=$B$1),""TRAVERSE"")*15)+(COUNTIF(FILTER(Data!N:N,Data!D:D=A157,Data!B:B=B$1),""HIGH"")*10)+(COUNTIF(FILTER(Data!N:N,Data!D:D=A157,Data!B:B=$B$1),""MIDDLE"")*6)+(COUNTIF(FILTER(Data!N:N,Data!D:D=A157,Data!B:"&amp;"B=$B$1),""LOW"")*4))"),0.0)</f>
        <v>0</v>
      </c>
      <c r="V157" s="138" t="str">
        <f>IF(Data!B149='Team Parser'!$B$1, Data!D149,"")</f>
        <v/>
      </c>
      <c r="W157" s="134" t="str">
        <f>IF(Data!$B149='Team Parser'!$B$1, Data!H149,"")</f>
        <v/>
      </c>
      <c r="X157" s="134" t="str">
        <f>IF(Data!$B149='Team Parser'!$B$1, Data!G149,"")</f>
        <v/>
      </c>
      <c r="Y157" s="134" t="str">
        <f>IF(Data!$B149='Team Parser'!$B$1, Data!L149,"")</f>
        <v/>
      </c>
      <c r="Z157" s="134" t="str">
        <f>IF(Data!$B149='Team Parser'!$B$1, Data!K149,"")</f>
        <v/>
      </c>
      <c r="AA157" s="134" t="str">
        <f>IF(Data!$B149='Team Parser'!$B$1, Data!M149,"")</f>
        <v/>
      </c>
      <c r="AB157" s="134" t="str">
        <f>IF(Data!$B149='Team Parser'!$B$1,((Z157*2)+(Y157)+(X157*4)+(W157*2)),"")</f>
        <v/>
      </c>
      <c r="AC157" s="134" t="str">
        <f>IF(Data!$B149='Team Parser'!$B$1, Data!N149,"")</f>
        <v/>
      </c>
      <c r="AD157" s="139" t="str">
        <f>IF(Data!$B149='Team Parser'!$B$1,(AB157+(COUNTIF(AC157,"TRAVERSE")*15)+(COUNTIF(AC157,"HIGH")*10)+(COUNTIF(AC157,"MIDDLE")*6)+(COUNTIF(AC157,"LOW")*4)),"")</f>
        <v/>
      </c>
    </row>
    <row r="158">
      <c r="A158" s="133" t="s">
        <v>507</v>
      </c>
      <c r="B158" s="134" t="str">
        <f>IFERROR(__xludf.DUMMYFUNCTION("IFERROR((FILTER(Data!H:H,Data!D:D=A158,Data!B:B=$B$1)),"""")"),"")</f>
        <v/>
      </c>
      <c r="C158" s="134" t="str">
        <f>IFERROR(__xludf.DUMMYFUNCTION("IFERROR((FILTER(Data!G:G,Data!D:D=A158,Data!B:B=$B$1)),"""")"),"")</f>
        <v/>
      </c>
      <c r="D158" s="134" t="str">
        <f>IFERROR(__xludf.DUMMYFUNCTION("IFERROR((FILTER(Data!J:J,Data!D:D=A158,Data!B:B=$B$1)),"""")"),"")</f>
        <v/>
      </c>
      <c r="E158" s="134" t="str">
        <f>IFERROR(__xludf.DUMMYFUNCTION("IFERROR((FILTER(Data!L:L,Data!D:D=A158,Data!B:B=$B$1)),"""")"),"")</f>
        <v/>
      </c>
      <c r="F158" s="134" t="str">
        <f>IFERROR(__xludf.DUMMYFUNCTION("IFERROR((FILTER(Data!K:K,Data!D:D=A158,Data!B:B=$B$1)),"""")"),"")</f>
        <v/>
      </c>
      <c r="G158" s="134" t="str">
        <f>IFERROR(__xludf.DUMMYFUNCTION("IFERROR((FILTER(Data!M:M,Data!D:D=A158,Data!B:B=$B$1)),"""")"),"")</f>
        <v/>
      </c>
      <c r="H158" s="134" t="str">
        <f>IFERROR(__xludf.DUMMYFUNCTION("IFERROR((FILTER(Data!G:G,Data!D:D=A158,Data!B:B=$B$1)*4)+(FILTER(Data!H:H,Data!D:D=A158,Data!B:B=$B$1)*2),"""")"),"")</f>
        <v/>
      </c>
      <c r="I158" s="15" t="str">
        <f>IFERROR(__xludf.DUMMYFUNCTION("IFERROR((FILTER(Data!K:K,Data!D:D=A158,Data!B:B=$B$1)*2)+(FILTER(Data!L:L,Data!D:D=A158,Data!B:B=$B$1)),"""")"),"")</f>
        <v/>
      </c>
      <c r="J158" s="134" t="str">
        <f>IFERROR(__xludf.DUMMYFUNCTION("IFERROR((FILTER(Data!N:N,Data!D:D=A158,Data!B:B=$B$1)),"""")"),"")</f>
        <v/>
      </c>
      <c r="K158" s="135" t="str">
        <f>IFERROR(__xludf.DUMMYFUNCTION("IFERROR((FILTER(Data!H:H,Data!D:D=A158,Data!B:B=$B$1)*2)+(FILTER(Data!L:L,Data!D:D=A158,Data!B:B=$B$1))+(FILTER(Data!G:G,Data!D:D=A158,Data!B:B=$B$1)*4)+(FILTER(Data!K:K,Data!D:D=A158,Data!B:B=$B$1)*2)+(((COUNTIF(FILTER(Data!N:N,Data!D:D=A158,Data!B:B=$B$"&amp;"1),""TRAVERSE"")*15)+(COUNTIF(FILTER(Data!N:N,Data!D:D=A158,Data!B:B=$B$1),""HIGH"")*10)+(COUNTIF(FILTER(Data!N:N,Data!D:D=A158,Data!B:B=$B$1),""MIDDLE"")*6)+(COUNTIF(FILTER(Data!N:N,Data!D:D=A158,Data!B:B=$B$1),""LOW"")*4))),"""")"),"")</f>
        <v/>
      </c>
      <c r="L158" s="136" t="str">
        <f>IFERROR(__xludf.DUMMYFUNCTION("IFERROR((FILTER(Data!P:P,Data!D:D=A158,Data!B:B=$B$1)),"""")"),"")</f>
        <v/>
      </c>
      <c r="M158" s="137" t="str">
        <f>IFERROR(__xludf.DUMMYFUNCTION("IFERROR((FILTER(Data!A:A,Data!D:D=A158,Data!B:B=$B$1)),"""")"),"")</f>
        <v/>
      </c>
      <c r="T158" s="52">
        <f>IFERROR(__xludf.DUMMYFUNCTION("((COUNTIF(FILTER(Data!N:N,Data!D:D=A158,Data!B:B=$B$1),""TRAVERSE"")*15)+(COUNTIF(FILTER(Data!N:N,Data!D:D=A158,Data!B:B=B$1),""HIGH"")*10)+(COUNTIF(FILTER(Data!N:N,Data!D:D=A158,Data!B:B=$B$1),""MIDDLE"")*6)+(COUNTIF(FILTER(Data!N:N,Data!D:D=A158,Data!B:"&amp;"B=$B$1),""LOW"")*4))"),0.0)</f>
        <v>0</v>
      </c>
      <c r="V158" s="138" t="str">
        <f>IF(Data!B150='Team Parser'!$B$1, Data!D150,"")</f>
        <v/>
      </c>
      <c r="W158" s="134" t="str">
        <f>IF(Data!$B150='Team Parser'!$B$1, Data!H150,"")</f>
        <v/>
      </c>
      <c r="X158" s="134" t="str">
        <f>IF(Data!$B150='Team Parser'!$B$1, Data!G150,"")</f>
        <v/>
      </c>
      <c r="Y158" s="134" t="str">
        <f>IF(Data!$B150='Team Parser'!$B$1, Data!L150,"")</f>
        <v/>
      </c>
      <c r="Z158" s="134" t="str">
        <f>IF(Data!$B150='Team Parser'!$B$1, Data!K150,"")</f>
        <v/>
      </c>
      <c r="AA158" s="134" t="str">
        <f>IF(Data!$B150='Team Parser'!$B$1, Data!M150,"")</f>
        <v/>
      </c>
      <c r="AB158" s="134" t="str">
        <f>IF(Data!$B150='Team Parser'!$B$1,((Z158*2)+(Y158)+(X158*4)+(W158*2)),"")</f>
        <v/>
      </c>
      <c r="AC158" s="134" t="str">
        <f>IF(Data!$B150='Team Parser'!$B$1, Data!N150,"")</f>
        <v/>
      </c>
      <c r="AD158" s="139" t="str">
        <f>IF(Data!$B150='Team Parser'!$B$1,(AB158+(COUNTIF(AC158,"TRAVERSE")*15)+(COUNTIF(AC158,"HIGH")*10)+(COUNTIF(AC158,"MIDDLE")*6)+(COUNTIF(AC158,"LOW")*4)),"")</f>
        <v/>
      </c>
    </row>
    <row r="159">
      <c r="A159" s="133" t="s">
        <v>507</v>
      </c>
      <c r="B159" s="134" t="str">
        <f>IFERROR(__xludf.DUMMYFUNCTION("IFERROR((FILTER(Data!H:H,Data!D:D=A159,Data!B:B=$B$1)),"""")"),"")</f>
        <v/>
      </c>
      <c r="C159" s="134" t="str">
        <f>IFERROR(__xludf.DUMMYFUNCTION("IFERROR((FILTER(Data!G:G,Data!D:D=A159,Data!B:B=$B$1)),"""")"),"")</f>
        <v/>
      </c>
      <c r="D159" s="134" t="str">
        <f>IFERROR(__xludf.DUMMYFUNCTION("IFERROR((FILTER(Data!J:J,Data!D:D=A159,Data!B:B=$B$1)),"""")"),"")</f>
        <v/>
      </c>
      <c r="E159" s="134" t="str">
        <f>IFERROR(__xludf.DUMMYFUNCTION("IFERROR((FILTER(Data!L:L,Data!D:D=A159,Data!B:B=$B$1)),"""")"),"")</f>
        <v/>
      </c>
      <c r="F159" s="134" t="str">
        <f>IFERROR(__xludf.DUMMYFUNCTION("IFERROR((FILTER(Data!K:K,Data!D:D=A159,Data!B:B=$B$1)),"""")"),"")</f>
        <v/>
      </c>
      <c r="G159" s="134" t="str">
        <f>IFERROR(__xludf.DUMMYFUNCTION("IFERROR((FILTER(Data!M:M,Data!D:D=A159,Data!B:B=$B$1)),"""")"),"")</f>
        <v/>
      </c>
      <c r="H159" s="134" t="str">
        <f>IFERROR(__xludf.DUMMYFUNCTION("IFERROR((FILTER(Data!G:G,Data!D:D=A159,Data!B:B=$B$1)*4)+(FILTER(Data!H:H,Data!D:D=A159,Data!B:B=$B$1)*2),"""")"),"")</f>
        <v/>
      </c>
      <c r="I159" s="15" t="str">
        <f>IFERROR(__xludf.DUMMYFUNCTION("IFERROR((FILTER(Data!K:K,Data!D:D=A159,Data!B:B=$B$1)*2)+(FILTER(Data!L:L,Data!D:D=A159,Data!B:B=$B$1)),"""")"),"")</f>
        <v/>
      </c>
      <c r="J159" s="134" t="str">
        <f>IFERROR(__xludf.DUMMYFUNCTION("IFERROR((FILTER(Data!N:N,Data!D:D=A159,Data!B:B=$B$1)),"""")"),"")</f>
        <v/>
      </c>
      <c r="K159" s="135" t="str">
        <f>IFERROR(__xludf.DUMMYFUNCTION("IFERROR((FILTER(Data!H:H,Data!D:D=A159,Data!B:B=$B$1)*2)+(FILTER(Data!L:L,Data!D:D=A159,Data!B:B=$B$1))+(FILTER(Data!G:G,Data!D:D=A159,Data!B:B=$B$1)*4)+(FILTER(Data!K:K,Data!D:D=A159,Data!B:B=$B$1)*2)+(((COUNTIF(FILTER(Data!N:N,Data!D:D=A159,Data!B:B=$B$"&amp;"1),""TRAVERSE"")*15)+(COUNTIF(FILTER(Data!N:N,Data!D:D=A159,Data!B:B=$B$1),""HIGH"")*10)+(COUNTIF(FILTER(Data!N:N,Data!D:D=A159,Data!B:B=$B$1),""MIDDLE"")*6)+(COUNTIF(FILTER(Data!N:N,Data!D:D=A159,Data!B:B=$B$1),""LOW"")*4))),"""")"),"")</f>
        <v/>
      </c>
      <c r="L159" s="136" t="str">
        <f>IFERROR(__xludf.DUMMYFUNCTION("IFERROR((FILTER(Data!P:P,Data!D:D=A159,Data!B:B=$B$1)),"""")"),"")</f>
        <v/>
      </c>
      <c r="M159" s="137" t="str">
        <f>IFERROR(__xludf.DUMMYFUNCTION("IFERROR((FILTER(Data!A:A,Data!D:D=A159,Data!B:B=$B$1)),"""")"),"")</f>
        <v/>
      </c>
      <c r="T159" s="52">
        <f>IFERROR(__xludf.DUMMYFUNCTION("((COUNTIF(FILTER(Data!N:N,Data!D:D=A159,Data!B:B=$B$1),""TRAVERSE"")*15)+(COUNTIF(FILTER(Data!N:N,Data!D:D=A159,Data!B:B=B$1),""HIGH"")*10)+(COUNTIF(FILTER(Data!N:N,Data!D:D=A159,Data!B:B=$B$1),""MIDDLE"")*6)+(COUNTIF(FILTER(Data!N:N,Data!D:D=A159,Data!B:"&amp;"B=$B$1),""LOW"")*4))"),0.0)</f>
        <v>0</v>
      </c>
      <c r="V159" s="138" t="str">
        <f>IF(Data!B151='Team Parser'!$B$1, Data!D151,"")</f>
        <v/>
      </c>
      <c r="W159" s="134" t="str">
        <f>IF(Data!$B151='Team Parser'!$B$1, Data!H151,"")</f>
        <v/>
      </c>
      <c r="X159" s="134" t="str">
        <f>IF(Data!$B151='Team Parser'!$B$1, Data!G151,"")</f>
        <v/>
      </c>
      <c r="Y159" s="134" t="str">
        <f>IF(Data!$B151='Team Parser'!$B$1, Data!L151,"")</f>
        <v/>
      </c>
      <c r="Z159" s="134" t="str">
        <f>IF(Data!$B151='Team Parser'!$B$1, Data!K151,"")</f>
        <v/>
      </c>
      <c r="AA159" s="134" t="str">
        <f>IF(Data!$B151='Team Parser'!$B$1, Data!M151,"")</f>
        <v/>
      </c>
      <c r="AB159" s="134" t="str">
        <f>IF(Data!$B151='Team Parser'!$B$1,((Z159*2)+(Y159)+(X159*4)+(W159*2)),"")</f>
        <v/>
      </c>
      <c r="AC159" s="134" t="str">
        <f>IF(Data!$B151='Team Parser'!$B$1, Data!N151,"")</f>
        <v/>
      </c>
      <c r="AD159" s="139" t="str">
        <f>IF(Data!$B151='Team Parser'!$B$1,(AB159+(COUNTIF(AC159,"TRAVERSE")*15)+(COUNTIF(AC159,"HIGH")*10)+(COUNTIF(AC159,"MIDDLE")*6)+(COUNTIF(AC159,"LOW")*4)),"")</f>
        <v/>
      </c>
    </row>
    <row r="160">
      <c r="A160" s="133" t="s">
        <v>507</v>
      </c>
      <c r="B160" s="134" t="str">
        <f>IFERROR(__xludf.DUMMYFUNCTION("IFERROR((FILTER(Data!H:H,Data!D:D=A160,Data!B:B=$B$1)),"""")"),"")</f>
        <v/>
      </c>
      <c r="C160" s="134" t="str">
        <f>IFERROR(__xludf.DUMMYFUNCTION("IFERROR((FILTER(Data!G:G,Data!D:D=A160,Data!B:B=$B$1)),"""")"),"")</f>
        <v/>
      </c>
      <c r="D160" s="134" t="str">
        <f>IFERROR(__xludf.DUMMYFUNCTION("IFERROR((FILTER(Data!J:J,Data!D:D=A160,Data!B:B=$B$1)),"""")"),"")</f>
        <v/>
      </c>
      <c r="E160" s="134" t="str">
        <f>IFERROR(__xludf.DUMMYFUNCTION("IFERROR((FILTER(Data!L:L,Data!D:D=A160,Data!B:B=$B$1)),"""")"),"")</f>
        <v/>
      </c>
      <c r="F160" s="134" t="str">
        <f>IFERROR(__xludf.DUMMYFUNCTION("IFERROR((FILTER(Data!K:K,Data!D:D=A160,Data!B:B=$B$1)),"""")"),"")</f>
        <v/>
      </c>
      <c r="G160" s="134" t="str">
        <f>IFERROR(__xludf.DUMMYFUNCTION("IFERROR((FILTER(Data!M:M,Data!D:D=A160,Data!B:B=$B$1)),"""")"),"")</f>
        <v/>
      </c>
      <c r="H160" s="134" t="str">
        <f>IFERROR(__xludf.DUMMYFUNCTION("IFERROR((FILTER(Data!G:G,Data!D:D=A160,Data!B:B=$B$1)*4)+(FILTER(Data!H:H,Data!D:D=A160,Data!B:B=$B$1)*2),"""")"),"")</f>
        <v/>
      </c>
      <c r="I160" s="15" t="str">
        <f>IFERROR(__xludf.DUMMYFUNCTION("IFERROR((FILTER(Data!K:K,Data!D:D=A160,Data!B:B=$B$1)*2)+(FILTER(Data!L:L,Data!D:D=A160,Data!B:B=$B$1)),"""")"),"")</f>
        <v/>
      </c>
      <c r="J160" s="134" t="str">
        <f>IFERROR(__xludf.DUMMYFUNCTION("IFERROR((FILTER(Data!N:N,Data!D:D=A160,Data!B:B=$B$1)),"""")"),"")</f>
        <v/>
      </c>
      <c r="K160" s="135" t="str">
        <f>IFERROR(__xludf.DUMMYFUNCTION("IFERROR((FILTER(Data!H:H,Data!D:D=A160,Data!B:B=$B$1)*2)+(FILTER(Data!L:L,Data!D:D=A160,Data!B:B=$B$1))+(FILTER(Data!G:G,Data!D:D=A160,Data!B:B=$B$1)*4)+(FILTER(Data!K:K,Data!D:D=A160,Data!B:B=$B$1)*2)+(((COUNTIF(FILTER(Data!N:N,Data!D:D=A160,Data!B:B=$B$"&amp;"1),""TRAVERSE"")*15)+(COUNTIF(FILTER(Data!N:N,Data!D:D=A160,Data!B:B=$B$1),""HIGH"")*10)+(COUNTIF(FILTER(Data!N:N,Data!D:D=A160,Data!B:B=$B$1),""MIDDLE"")*6)+(COUNTIF(FILTER(Data!N:N,Data!D:D=A160,Data!B:B=$B$1),""LOW"")*4))),"""")"),"")</f>
        <v/>
      </c>
      <c r="L160" s="136" t="str">
        <f>IFERROR(__xludf.DUMMYFUNCTION("IFERROR((FILTER(Data!P:P,Data!D:D=A160,Data!B:B=$B$1)),"""")"),"")</f>
        <v/>
      </c>
      <c r="M160" s="137" t="str">
        <f>IFERROR(__xludf.DUMMYFUNCTION("IFERROR((FILTER(Data!A:A,Data!D:D=A160,Data!B:B=$B$1)),"""")"),"")</f>
        <v/>
      </c>
      <c r="T160" s="52">
        <f>IFERROR(__xludf.DUMMYFUNCTION("((COUNTIF(FILTER(Data!N:N,Data!D:D=A160,Data!B:B=$B$1),""TRAVERSE"")*15)+(COUNTIF(FILTER(Data!N:N,Data!D:D=A160,Data!B:B=B$1),""HIGH"")*10)+(COUNTIF(FILTER(Data!N:N,Data!D:D=A160,Data!B:B=$B$1),""MIDDLE"")*6)+(COUNTIF(FILTER(Data!N:N,Data!D:D=A160,Data!B:"&amp;"B=$B$1),""LOW"")*4))"),0.0)</f>
        <v>0</v>
      </c>
      <c r="V160" s="138" t="str">
        <f>IF(Data!B152='Team Parser'!$B$1, Data!D152,"")</f>
        <v/>
      </c>
      <c r="W160" s="134" t="str">
        <f>IF(Data!$B152='Team Parser'!$B$1, Data!H152,"")</f>
        <v/>
      </c>
      <c r="X160" s="134" t="str">
        <f>IF(Data!$B152='Team Parser'!$B$1, Data!G152,"")</f>
        <v/>
      </c>
      <c r="Y160" s="134" t="str">
        <f>IF(Data!$B152='Team Parser'!$B$1, Data!L152,"")</f>
        <v/>
      </c>
      <c r="Z160" s="134" t="str">
        <f>IF(Data!$B152='Team Parser'!$B$1, Data!K152,"")</f>
        <v/>
      </c>
      <c r="AA160" s="134" t="str">
        <f>IF(Data!$B152='Team Parser'!$B$1, Data!M152,"")</f>
        <v/>
      </c>
      <c r="AB160" s="134" t="str">
        <f>IF(Data!$B152='Team Parser'!$B$1,((Z160*2)+(Y160)+(X160*4)+(W160*2)),"")</f>
        <v/>
      </c>
      <c r="AC160" s="134" t="str">
        <f>IF(Data!$B152='Team Parser'!$B$1, Data!N152,"")</f>
        <v/>
      </c>
      <c r="AD160" s="139" t="str">
        <f>IF(Data!$B152='Team Parser'!$B$1,(AB160+(COUNTIF(AC160,"TRAVERSE")*15)+(COUNTIF(AC160,"HIGH")*10)+(COUNTIF(AC160,"MIDDLE")*6)+(COUNTIF(AC160,"LOW")*4)),"")</f>
        <v/>
      </c>
    </row>
    <row r="161">
      <c r="A161" s="133" t="s">
        <v>507</v>
      </c>
      <c r="B161" s="134" t="str">
        <f>IFERROR(__xludf.DUMMYFUNCTION("IFERROR((FILTER(Data!H:H,Data!D:D=A161,Data!B:B=$B$1)),"""")"),"")</f>
        <v/>
      </c>
      <c r="C161" s="134" t="str">
        <f>IFERROR(__xludf.DUMMYFUNCTION("IFERROR((FILTER(Data!G:G,Data!D:D=A161,Data!B:B=$B$1)),"""")"),"")</f>
        <v/>
      </c>
      <c r="D161" s="134" t="str">
        <f>IFERROR(__xludf.DUMMYFUNCTION("IFERROR((FILTER(Data!J:J,Data!D:D=A161,Data!B:B=$B$1)),"""")"),"")</f>
        <v/>
      </c>
      <c r="E161" s="134" t="str">
        <f>IFERROR(__xludf.DUMMYFUNCTION("IFERROR((FILTER(Data!L:L,Data!D:D=A161,Data!B:B=$B$1)),"""")"),"")</f>
        <v/>
      </c>
      <c r="F161" s="134" t="str">
        <f>IFERROR(__xludf.DUMMYFUNCTION("IFERROR((FILTER(Data!K:K,Data!D:D=A161,Data!B:B=$B$1)),"""")"),"")</f>
        <v/>
      </c>
      <c r="G161" s="134" t="str">
        <f>IFERROR(__xludf.DUMMYFUNCTION("IFERROR((FILTER(Data!M:M,Data!D:D=A161,Data!B:B=$B$1)),"""")"),"")</f>
        <v/>
      </c>
      <c r="H161" s="134" t="str">
        <f>IFERROR(__xludf.DUMMYFUNCTION("IFERROR((FILTER(Data!G:G,Data!D:D=A161,Data!B:B=$B$1)*4)+(FILTER(Data!H:H,Data!D:D=A161,Data!B:B=$B$1)*2),"""")"),"")</f>
        <v/>
      </c>
      <c r="I161" s="15" t="str">
        <f>IFERROR(__xludf.DUMMYFUNCTION("IFERROR((FILTER(Data!K:K,Data!D:D=A161,Data!B:B=$B$1)*2)+(FILTER(Data!L:L,Data!D:D=A161,Data!B:B=$B$1)),"""")"),"")</f>
        <v/>
      </c>
      <c r="J161" s="134" t="str">
        <f>IFERROR(__xludf.DUMMYFUNCTION("IFERROR((FILTER(Data!N:N,Data!D:D=A161,Data!B:B=$B$1)),"""")"),"")</f>
        <v/>
      </c>
      <c r="K161" s="135" t="str">
        <f>IFERROR(__xludf.DUMMYFUNCTION("IFERROR((FILTER(Data!H:H,Data!D:D=A161,Data!B:B=$B$1)*2)+(FILTER(Data!L:L,Data!D:D=A161,Data!B:B=$B$1))+(FILTER(Data!G:G,Data!D:D=A161,Data!B:B=$B$1)*4)+(FILTER(Data!K:K,Data!D:D=A161,Data!B:B=$B$1)*2)+(((COUNTIF(FILTER(Data!N:N,Data!D:D=A161,Data!B:B=$B$"&amp;"1),""TRAVERSE"")*15)+(COUNTIF(FILTER(Data!N:N,Data!D:D=A161,Data!B:B=$B$1),""HIGH"")*10)+(COUNTIF(FILTER(Data!N:N,Data!D:D=A161,Data!B:B=$B$1),""MIDDLE"")*6)+(COUNTIF(FILTER(Data!N:N,Data!D:D=A161,Data!B:B=$B$1),""LOW"")*4))),"""")"),"")</f>
        <v/>
      </c>
      <c r="L161" s="136" t="str">
        <f>IFERROR(__xludf.DUMMYFUNCTION("IFERROR((FILTER(Data!P:P,Data!D:D=A161,Data!B:B=$B$1)),"""")"),"")</f>
        <v/>
      </c>
      <c r="M161" s="137" t="str">
        <f>IFERROR(__xludf.DUMMYFUNCTION("IFERROR((FILTER(Data!A:A,Data!D:D=A161,Data!B:B=$B$1)),"""")"),"")</f>
        <v/>
      </c>
      <c r="T161" s="52">
        <f>IFERROR(__xludf.DUMMYFUNCTION("((COUNTIF(FILTER(Data!N:N,Data!D:D=A161,Data!B:B=$B$1),""TRAVERSE"")*15)+(COUNTIF(FILTER(Data!N:N,Data!D:D=A161,Data!B:B=B$1),""HIGH"")*10)+(COUNTIF(FILTER(Data!N:N,Data!D:D=A161,Data!B:B=$B$1),""MIDDLE"")*6)+(COUNTIF(FILTER(Data!N:N,Data!D:D=A161,Data!B:"&amp;"B=$B$1),""LOW"")*4))"),0.0)</f>
        <v>0</v>
      </c>
      <c r="V161" s="138" t="str">
        <f>IF(Data!B153='Team Parser'!$B$1, Data!D153,"")</f>
        <v/>
      </c>
      <c r="W161" s="134" t="str">
        <f>IF(Data!$B153='Team Parser'!$B$1, Data!H153,"")</f>
        <v/>
      </c>
      <c r="X161" s="134" t="str">
        <f>IF(Data!$B153='Team Parser'!$B$1, Data!G153,"")</f>
        <v/>
      </c>
      <c r="Y161" s="134" t="str">
        <f>IF(Data!$B153='Team Parser'!$B$1, Data!L153,"")</f>
        <v/>
      </c>
      <c r="Z161" s="134" t="str">
        <f>IF(Data!$B153='Team Parser'!$B$1, Data!K153,"")</f>
        <v/>
      </c>
      <c r="AA161" s="134" t="str">
        <f>IF(Data!$B153='Team Parser'!$B$1, Data!M153,"")</f>
        <v/>
      </c>
      <c r="AB161" s="134" t="str">
        <f>IF(Data!$B153='Team Parser'!$B$1,((Z161*2)+(Y161)+(X161*4)+(W161*2)),"")</f>
        <v/>
      </c>
      <c r="AC161" s="134" t="str">
        <f>IF(Data!$B153='Team Parser'!$B$1, Data!N153,"")</f>
        <v/>
      </c>
      <c r="AD161" s="139" t="str">
        <f>IF(Data!$B153='Team Parser'!$B$1,(AB161+(COUNTIF(AC161,"TRAVERSE")*15)+(COUNTIF(AC161,"HIGH")*10)+(COUNTIF(AC161,"MIDDLE")*6)+(COUNTIF(AC161,"LOW")*4)),"")</f>
        <v/>
      </c>
    </row>
    <row r="162">
      <c r="A162" s="133" t="s">
        <v>507</v>
      </c>
      <c r="B162" s="134" t="str">
        <f>IFERROR(__xludf.DUMMYFUNCTION("IFERROR((FILTER(Data!H:H,Data!D:D=A162,Data!B:B=$B$1)),"""")"),"")</f>
        <v/>
      </c>
      <c r="C162" s="134" t="str">
        <f>IFERROR(__xludf.DUMMYFUNCTION("IFERROR((FILTER(Data!G:G,Data!D:D=A162,Data!B:B=$B$1)),"""")"),"")</f>
        <v/>
      </c>
      <c r="D162" s="134" t="str">
        <f>IFERROR(__xludf.DUMMYFUNCTION("IFERROR((FILTER(Data!J:J,Data!D:D=A162,Data!B:B=$B$1)),"""")"),"")</f>
        <v/>
      </c>
      <c r="E162" s="134" t="str">
        <f>IFERROR(__xludf.DUMMYFUNCTION("IFERROR((FILTER(Data!L:L,Data!D:D=A162,Data!B:B=$B$1)),"""")"),"")</f>
        <v/>
      </c>
      <c r="F162" s="134" t="str">
        <f>IFERROR(__xludf.DUMMYFUNCTION("IFERROR((FILTER(Data!K:K,Data!D:D=A162,Data!B:B=$B$1)),"""")"),"")</f>
        <v/>
      </c>
      <c r="G162" s="134" t="str">
        <f>IFERROR(__xludf.DUMMYFUNCTION("IFERROR((FILTER(Data!M:M,Data!D:D=A162,Data!B:B=$B$1)),"""")"),"")</f>
        <v/>
      </c>
      <c r="H162" s="134" t="str">
        <f>IFERROR(__xludf.DUMMYFUNCTION("IFERROR((FILTER(Data!G:G,Data!D:D=A162,Data!B:B=$B$1)*4)+(FILTER(Data!H:H,Data!D:D=A162,Data!B:B=$B$1)*2),"""")"),"")</f>
        <v/>
      </c>
      <c r="I162" s="15" t="str">
        <f>IFERROR(__xludf.DUMMYFUNCTION("IFERROR((FILTER(Data!K:K,Data!D:D=A162,Data!B:B=$B$1)*2)+(FILTER(Data!L:L,Data!D:D=A162,Data!B:B=$B$1)),"""")"),"")</f>
        <v/>
      </c>
      <c r="J162" s="134" t="str">
        <f>IFERROR(__xludf.DUMMYFUNCTION("IFERROR((FILTER(Data!N:N,Data!D:D=A162,Data!B:B=$B$1)),"""")"),"")</f>
        <v/>
      </c>
      <c r="K162" s="135" t="str">
        <f>IFERROR(__xludf.DUMMYFUNCTION("IFERROR((FILTER(Data!H:H,Data!D:D=A162,Data!B:B=$B$1)*2)+(FILTER(Data!L:L,Data!D:D=A162,Data!B:B=$B$1))+(FILTER(Data!G:G,Data!D:D=A162,Data!B:B=$B$1)*4)+(FILTER(Data!K:K,Data!D:D=A162,Data!B:B=$B$1)*2)+(((COUNTIF(FILTER(Data!N:N,Data!D:D=A162,Data!B:B=$B$"&amp;"1),""TRAVERSE"")*15)+(COUNTIF(FILTER(Data!N:N,Data!D:D=A162,Data!B:B=$B$1),""HIGH"")*10)+(COUNTIF(FILTER(Data!N:N,Data!D:D=A162,Data!B:B=$B$1),""MIDDLE"")*6)+(COUNTIF(FILTER(Data!N:N,Data!D:D=A162,Data!B:B=$B$1),""LOW"")*4))),"""")"),"")</f>
        <v/>
      </c>
      <c r="L162" s="136" t="str">
        <f>IFERROR(__xludf.DUMMYFUNCTION("IFERROR((FILTER(Data!P:P,Data!D:D=A162,Data!B:B=$B$1)),"""")"),"")</f>
        <v/>
      </c>
      <c r="M162" s="137" t="str">
        <f>IFERROR(__xludf.DUMMYFUNCTION("IFERROR((FILTER(Data!A:A,Data!D:D=A162,Data!B:B=$B$1)),"""")"),"")</f>
        <v/>
      </c>
      <c r="T162" s="52">
        <f>IFERROR(__xludf.DUMMYFUNCTION("((COUNTIF(FILTER(Data!N:N,Data!D:D=A162,Data!B:B=$B$1),""TRAVERSE"")*15)+(COUNTIF(FILTER(Data!N:N,Data!D:D=A162,Data!B:B=B$1),""HIGH"")*10)+(COUNTIF(FILTER(Data!N:N,Data!D:D=A162,Data!B:B=$B$1),""MIDDLE"")*6)+(COUNTIF(FILTER(Data!N:N,Data!D:D=A162,Data!B:"&amp;"B=$B$1),""LOW"")*4))"),0.0)</f>
        <v>0</v>
      </c>
      <c r="V162" s="138" t="str">
        <f>IF(Data!B154='Team Parser'!$B$1, Data!D154,"")</f>
        <v/>
      </c>
      <c r="W162" s="134" t="str">
        <f>IF(Data!$B154='Team Parser'!$B$1, Data!H154,"")</f>
        <v/>
      </c>
      <c r="X162" s="134" t="str">
        <f>IF(Data!$B154='Team Parser'!$B$1, Data!G154,"")</f>
        <v/>
      </c>
      <c r="Y162" s="134" t="str">
        <f>IF(Data!$B154='Team Parser'!$B$1, Data!L154,"")</f>
        <v/>
      </c>
      <c r="Z162" s="134" t="str">
        <f>IF(Data!$B154='Team Parser'!$B$1, Data!K154,"")</f>
        <v/>
      </c>
      <c r="AA162" s="134" t="str">
        <f>IF(Data!$B154='Team Parser'!$B$1, Data!M154,"")</f>
        <v/>
      </c>
      <c r="AB162" s="134" t="str">
        <f>IF(Data!$B154='Team Parser'!$B$1,((Z162*2)+(Y162)+(X162*4)+(W162*2)),"")</f>
        <v/>
      </c>
      <c r="AC162" s="134" t="str">
        <f>IF(Data!$B154='Team Parser'!$B$1, Data!N154,"")</f>
        <v/>
      </c>
      <c r="AD162" s="139" t="str">
        <f>IF(Data!$B154='Team Parser'!$B$1,(AB162+(COUNTIF(AC162,"TRAVERSE")*15)+(COUNTIF(AC162,"HIGH")*10)+(COUNTIF(AC162,"MIDDLE")*6)+(COUNTIF(AC162,"LOW")*4)),"")</f>
        <v/>
      </c>
    </row>
    <row r="163">
      <c r="A163" s="133" t="s">
        <v>507</v>
      </c>
      <c r="B163" s="134" t="str">
        <f>IFERROR(__xludf.DUMMYFUNCTION("IFERROR((FILTER(Data!H:H,Data!D:D=A163,Data!B:B=$B$1)),"""")"),"")</f>
        <v/>
      </c>
      <c r="C163" s="134" t="str">
        <f>IFERROR(__xludf.DUMMYFUNCTION("IFERROR((FILTER(Data!G:G,Data!D:D=A163,Data!B:B=$B$1)),"""")"),"")</f>
        <v/>
      </c>
      <c r="D163" s="134" t="str">
        <f>IFERROR(__xludf.DUMMYFUNCTION("IFERROR((FILTER(Data!J:J,Data!D:D=A163,Data!B:B=$B$1)),"""")"),"")</f>
        <v/>
      </c>
      <c r="E163" s="134" t="str">
        <f>IFERROR(__xludf.DUMMYFUNCTION("IFERROR((FILTER(Data!L:L,Data!D:D=A163,Data!B:B=$B$1)),"""")"),"")</f>
        <v/>
      </c>
      <c r="F163" s="134" t="str">
        <f>IFERROR(__xludf.DUMMYFUNCTION("IFERROR((FILTER(Data!K:K,Data!D:D=A163,Data!B:B=$B$1)),"""")"),"")</f>
        <v/>
      </c>
      <c r="G163" s="134" t="str">
        <f>IFERROR(__xludf.DUMMYFUNCTION("IFERROR((FILTER(Data!M:M,Data!D:D=A163,Data!B:B=$B$1)),"""")"),"")</f>
        <v/>
      </c>
      <c r="H163" s="134" t="str">
        <f>IFERROR(__xludf.DUMMYFUNCTION("IFERROR((FILTER(Data!G:G,Data!D:D=A163,Data!B:B=$B$1)*4)+(FILTER(Data!H:H,Data!D:D=A163,Data!B:B=$B$1)*2),"""")"),"")</f>
        <v/>
      </c>
      <c r="I163" s="15" t="str">
        <f>IFERROR(__xludf.DUMMYFUNCTION("IFERROR((FILTER(Data!K:K,Data!D:D=A163,Data!B:B=$B$1)*2)+(FILTER(Data!L:L,Data!D:D=A163,Data!B:B=$B$1)),"""")"),"")</f>
        <v/>
      </c>
      <c r="J163" s="134" t="str">
        <f>IFERROR(__xludf.DUMMYFUNCTION("IFERROR((FILTER(Data!N:N,Data!D:D=A163,Data!B:B=$B$1)),"""")"),"")</f>
        <v/>
      </c>
      <c r="K163" s="135" t="str">
        <f>IFERROR(__xludf.DUMMYFUNCTION("IFERROR((FILTER(Data!H:H,Data!D:D=A163,Data!B:B=$B$1)*2)+(FILTER(Data!L:L,Data!D:D=A163,Data!B:B=$B$1))+(FILTER(Data!G:G,Data!D:D=A163,Data!B:B=$B$1)*4)+(FILTER(Data!K:K,Data!D:D=A163,Data!B:B=$B$1)*2)+(((COUNTIF(FILTER(Data!N:N,Data!D:D=A163,Data!B:B=$B$"&amp;"1),""TRAVERSE"")*15)+(COUNTIF(FILTER(Data!N:N,Data!D:D=A163,Data!B:B=$B$1),""HIGH"")*10)+(COUNTIF(FILTER(Data!N:N,Data!D:D=A163,Data!B:B=$B$1),""MIDDLE"")*6)+(COUNTIF(FILTER(Data!N:N,Data!D:D=A163,Data!B:B=$B$1),""LOW"")*4))),"""")"),"")</f>
        <v/>
      </c>
      <c r="L163" s="136" t="str">
        <f>IFERROR(__xludf.DUMMYFUNCTION("IFERROR((FILTER(Data!P:P,Data!D:D=A163,Data!B:B=$B$1)),"""")"),"")</f>
        <v/>
      </c>
      <c r="M163" s="137" t="str">
        <f>IFERROR(__xludf.DUMMYFUNCTION("IFERROR((FILTER(Data!A:A,Data!D:D=A163,Data!B:B=$B$1)),"""")"),"")</f>
        <v/>
      </c>
      <c r="T163" s="52">
        <f>IFERROR(__xludf.DUMMYFUNCTION("((COUNTIF(FILTER(Data!N:N,Data!D:D=A163,Data!B:B=$B$1),""TRAVERSE"")*15)+(COUNTIF(FILTER(Data!N:N,Data!D:D=A163,Data!B:B=B$1),""HIGH"")*10)+(COUNTIF(FILTER(Data!N:N,Data!D:D=A163,Data!B:B=$B$1),""MIDDLE"")*6)+(COUNTIF(FILTER(Data!N:N,Data!D:D=A163,Data!B:"&amp;"B=$B$1),""LOW"")*4))"),0.0)</f>
        <v>0</v>
      </c>
      <c r="V163" s="138" t="str">
        <f>IF(Data!B155='Team Parser'!$B$1, Data!D155,"")</f>
        <v/>
      </c>
      <c r="W163" s="134" t="str">
        <f>IF(Data!$B155='Team Parser'!$B$1, Data!H155,"")</f>
        <v/>
      </c>
      <c r="X163" s="134" t="str">
        <f>IF(Data!$B155='Team Parser'!$B$1, Data!G155,"")</f>
        <v/>
      </c>
      <c r="Y163" s="134" t="str">
        <f>IF(Data!$B155='Team Parser'!$B$1, Data!L155,"")</f>
        <v/>
      </c>
      <c r="Z163" s="134" t="str">
        <f>IF(Data!$B155='Team Parser'!$B$1, Data!K155,"")</f>
        <v/>
      </c>
      <c r="AA163" s="134" t="str">
        <f>IF(Data!$B155='Team Parser'!$B$1, Data!M155,"")</f>
        <v/>
      </c>
      <c r="AB163" s="134" t="str">
        <f>IF(Data!$B155='Team Parser'!$B$1,((Z163*2)+(Y163)+(X163*4)+(W163*2)),"")</f>
        <v/>
      </c>
      <c r="AC163" s="134" t="str">
        <f>IF(Data!$B155='Team Parser'!$B$1, Data!N155,"")</f>
        <v/>
      </c>
      <c r="AD163" s="139" t="str">
        <f>IF(Data!$B155='Team Parser'!$B$1,(AB163+(COUNTIF(AC163,"TRAVERSE")*15)+(COUNTIF(AC163,"HIGH")*10)+(COUNTIF(AC163,"MIDDLE")*6)+(COUNTIF(AC163,"LOW")*4)),"")</f>
        <v/>
      </c>
    </row>
    <row r="164">
      <c r="A164" s="133" t="s">
        <v>507</v>
      </c>
      <c r="B164" s="134" t="str">
        <f>IFERROR(__xludf.DUMMYFUNCTION("IFERROR((FILTER(Data!H:H,Data!D:D=A164,Data!B:B=$B$1)),"""")"),"")</f>
        <v/>
      </c>
      <c r="C164" s="134" t="str">
        <f>IFERROR(__xludf.DUMMYFUNCTION("IFERROR((FILTER(Data!G:G,Data!D:D=A164,Data!B:B=$B$1)),"""")"),"")</f>
        <v/>
      </c>
      <c r="D164" s="134" t="str">
        <f>IFERROR(__xludf.DUMMYFUNCTION("IFERROR((FILTER(Data!J:J,Data!D:D=A164,Data!B:B=$B$1)),"""")"),"")</f>
        <v/>
      </c>
      <c r="E164" s="134" t="str">
        <f>IFERROR(__xludf.DUMMYFUNCTION("IFERROR((FILTER(Data!L:L,Data!D:D=A164,Data!B:B=$B$1)),"""")"),"")</f>
        <v/>
      </c>
      <c r="F164" s="134" t="str">
        <f>IFERROR(__xludf.DUMMYFUNCTION("IFERROR((FILTER(Data!K:K,Data!D:D=A164,Data!B:B=$B$1)),"""")"),"")</f>
        <v/>
      </c>
      <c r="G164" s="134" t="str">
        <f>IFERROR(__xludf.DUMMYFUNCTION("IFERROR((FILTER(Data!M:M,Data!D:D=A164,Data!B:B=$B$1)),"""")"),"")</f>
        <v/>
      </c>
      <c r="H164" s="134" t="str">
        <f>IFERROR(__xludf.DUMMYFUNCTION("IFERROR((FILTER(Data!G:G,Data!D:D=A164,Data!B:B=$B$1)*4)+(FILTER(Data!H:H,Data!D:D=A164,Data!B:B=$B$1)*2),"""")"),"")</f>
        <v/>
      </c>
      <c r="I164" s="15" t="str">
        <f>IFERROR(__xludf.DUMMYFUNCTION("IFERROR((FILTER(Data!K:K,Data!D:D=A164,Data!B:B=$B$1)*2)+(FILTER(Data!L:L,Data!D:D=A164,Data!B:B=$B$1)),"""")"),"")</f>
        <v/>
      </c>
      <c r="J164" s="134" t="str">
        <f>IFERROR(__xludf.DUMMYFUNCTION("IFERROR((FILTER(Data!N:N,Data!D:D=A164,Data!B:B=$B$1)),"""")"),"")</f>
        <v/>
      </c>
      <c r="K164" s="135" t="str">
        <f>IFERROR(__xludf.DUMMYFUNCTION("IFERROR((FILTER(Data!H:H,Data!D:D=A164,Data!B:B=$B$1)*2)+(FILTER(Data!L:L,Data!D:D=A164,Data!B:B=$B$1))+(FILTER(Data!G:G,Data!D:D=A164,Data!B:B=$B$1)*4)+(FILTER(Data!K:K,Data!D:D=A164,Data!B:B=$B$1)*2)+(((COUNTIF(FILTER(Data!N:N,Data!D:D=A164,Data!B:B=$B$"&amp;"1),""TRAVERSE"")*15)+(COUNTIF(FILTER(Data!N:N,Data!D:D=A164,Data!B:B=$B$1),""HIGH"")*10)+(COUNTIF(FILTER(Data!N:N,Data!D:D=A164,Data!B:B=$B$1),""MIDDLE"")*6)+(COUNTIF(FILTER(Data!N:N,Data!D:D=A164,Data!B:B=$B$1),""LOW"")*4))),"""")"),"")</f>
        <v/>
      </c>
      <c r="L164" s="136" t="str">
        <f>IFERROR(__xludf.DUMMYFUNCTION("IFERROR((FILTER(Data!P:P,Data!D:D=A164,Data!B:B=$B$1)),"""")"),"")</f>
        <v/>
      </c>
      <c r="M164" s="137" t="str">
        <f>IFERROR(__xludf.DUMMYFUNCTION("IFERROR((FILTER(Data!A:A,Data!D:D=A164,Data!B:B=$B$1)),"""")"),"")</f>
        <v/>
      </c>
      <c r="T164" s="52">
        <f>IFERROR(__xludf.DUMMYFUNCTION("((COUNTIF(FILTER(Data!N:N,Data!D:D=A164,Data!B:B=$B$1),""TRAVERSE"")*15)+(COUNTIF(FILTER(Data!N:N,Data!D:D=A164,Data!B:B=B$1),""HIGH"")*10)+(COUNTIF(FILTER(Data!N:N,Data!D:D=A164,Data!B:B=$B$1),""MIDDLE"")*6)+(COUNTIF(FILTER(Data!N:N,Data!D:D=A164,Data!B:"&amp;"B=$B$1),""LOW"")*4))"),0.0)</f>
        <v>0</v>
      </c>
      <c r="V164" s="138" t="str">
        <f>IF(Data!B156='Team Parser'!$B$1, Data!D156,"")</f>
        <v/>
      </c>
      <c r="W164" s="134" t="str">
        <f>IF(Data!$B156='Team Parser'!$B$1, Data!H156,"")</f>
        <v/>
      </c>
      <c r="X164" s="134" t="str">
        <f>IF(Data!$B156='Team Parser'!$B$1, Data!G156,"")</f>
        <v/>
      </c>
      <c r="Y164" s="134" t="str">
        <f>IF(Data!$B156='Team Parser'!$B$1, Data!L156,"")</f>
        <v/>
      </c>
      <c r="Z164" s="134" t="str">
        <f>IF(Data!$B156='Team Parser'!$B$1, Data!K156,"")</f>
        <v/>
      </c>
      <c r="AA164" s="134" t="str">
        <f>IF(Data!$B156='Team Parser'!$B$1, Data!M156,"")</f>
        <v/>
      </c>
      <c r="AB164" s="134" t="str">
        <f>IF(Data!$B156='Team Parser'!$B$1,((Z164*2)+(Y164)+(X164*4)+(W164*2)),"")</f>
        <v/>
      </c>
      <c r="AC164" s="134" t="str">
        <f>IF(Data!$B156='Team Parser'!$B$1, Data!N156,"")</f>
        <v/>
      </c>
      <c r="AD164" s="139" t="str">
        <f>IF(Data!$B156='Team Parser'!$B$1,(AB164+(COUNTIF(AC164,"TRAVERSE")*15)+(COUNTIF(AC164,"HIGH")*10)+(COUNTIF(AC164,"MIDDLE")*6)+(COUNTIF(AC164,"LOW")*4)),"")</f>
        <v/>
      </c>
    </row>
    <row r="165">
      <c r="A165" s="133" t="s">
        <v>507</v>
      </c>
      <c r="B165" s="134" t="str">
        <f>IFERROR(__xludf.DUMMYFUNCTION("IFERROR((FILTER(Data!H:H,Data!D:D=A165,Data!B:B=$B$1)),"""")"),"")</f>
        <v/>
      </c>
      <c r="C165" s="134" t="str">
        <f>IFERROR(__xludf.DUMMYFUNCTION("IFERROR((FILTER(Data!G:G,Data!D:D=A165,Data!B:B=$B$1)),"""")"),"")</f>
        <v/>
      </c>
      <c r="D165" s="134" t="str">
        <f>IFERROR(__xludf.DUMMYFUNCTION("IFERROR((FILTER(Data!J:J,Data!D:D=A165,Data!B:B=$B$1)),"""")"),"")</f>
        <v/>
      </c>
      <c r="E165" s="134" t="str">
        <f>IFERROR(__xludf.DUMMYFUNCTION("IFERROR((FILTER(Data!L:L,Data!D:D=A165,Data!B:B=$B$1)),"""")"),"")</f>
        <v/>
      </c>
      <c r="F165" s="134" t="str">
        <f>IFERROR(__xludf.DUMMYFUNCTION("IFERROR((FILTER(Data!K:K,Data!D:D=A165,Data!B:B=$B$1)),"""")"),"")</f>
        <v/>
      </c>
      <c r="G165" s="134" t="str">
        <f>IFERROR(__xludf.DUMMYFUNCTION("IFERROR((FILTER(Data!M:M,Data!D:D=A165,Data!B:B=$B$1)),"""")"),"")</f>
        <v/>
      </c>
      <c r="H165" s="134" t="str">
        <f>IFERROR(__xludf.DUMMYFUNCTION("IFERROR((FILTER(Data!G:G,Data!D:D=A165,Data!B:B=$B$1)*4)+(FILTER(Data!H:H,Data!D:D=A165,Data!B:B=$B$1)*2),"""")"),"")</f>
        <v/>
      </c>
      <c r="I165" s="15" t="str">
        <f>IFERROR(__xludf.DUMMYFUNCTION("IFERROR((FILTER(Data!K:K,Data!D:D=A165,Data!B:B=$B$1)*2)+(FILTER(Data!L:L,Data!D:D=A165,Data!B:B=$B$1)),"""")"),"")</f>
        <v/>
      </c>
      <c r="J165" s="134" t="str">
        <f>IFERROR(__xludf.DUMMYFUNCTION("IFERROR((FILTER(Data!N:N,Data!D:D=A165,Data!B:B=$B$1)),"""")"),"")</f>
        <v/>
      </c>
      <c r="K165" s="135" t="str">
        <f>IFERROR(__xludf.DUMMYFUNCTION("IFERROR((FILTER(Data!H:H,Data!D:D=A165,Data!B:B=$B$1)*2)+(FILTER(Data!L:L,Data!D:D=A165,Data!B:B=$B$1))+(FILTER(Data!G:G,Data!D:D=A165,Data!B:B=$B$1)*4)+(FILTER(Data!K:K,Data!D:D=A165,Data!B:B=$B$1)*2)+(((COUNTIF(FILTER(Data!N:N,Data!D:D=A165,Data!B:B=$B$"&amp;"1),""TRAVERSE"")*15)+(COUNTIF(FILTER(Data!N:N,Data!D:D=A165,Data!B:B=$B$1),""HIGH"")*10)+(COUNTIF(FILTER(Data!N:N,Data!D:D=A165,Data!B:B=$B$1),""MIDDLE"")*6)+(COUNTIF(FILTER(Data!N:N,Data!D:D=A165,Data!B:B=$B$1),""LOW"")*4))),"""")"),"")</f>
        <v/>
      </c>
      <c r="L165" s="136" t="str">
        <f>IFERROR(__xludf.DUMMYFUNCTION("IFERROR((FILTER(Data!P:P,Data!D:D=A165,Data!B:B=$B$1)),"""")"),"")</f>
        <v/>
      </c>
      <c r="M165" s="137" t="str">
        <f>IFERROR(__xludf.DUMMYFUNCTION("IFERROR((FILTER(Data!A:A,Data!D:D=A165,Data!B:B=$B$1)),"""")"),"")</f>
        <v/>
      </c>
      <c r="T165" s="52">
        <f>IFERROR(__xludf.DUMMYFUNCTION("((COUNTIF(FILTER(Data!N:N,Data!D:D=A165,Data!B:B=$B$1),""TRAVERSE"")*15)+(COUNTIF(FILTER(Data!N:N,Data!D:D=A165,Data!B:B=B$1),""HIGH"")*10)+(COUNTIF(FILTER(Data!N:N,Data!D:D=A165,Data!B:B=$B$1),""MIDDLE"")*6)+(COUNTIF(FILTER(Data!N:N,Data!D:D=A165,Data!B:"&amp;"B=$B$1),""LOW"")*4))"),0.0)</f>
        <v>0</v>
      </c>
      <c r="V165" s="138" t="str">
        <f>IF(Data!B157='Team Parser'!$B$1, Data!D157,"")</f>
        <v/>
      </c>
      <c r="W165" s="134" t="str">
        <f>IF(Data!$B157='Team Parser'!$B$1, Data!H157,"")</f>
        <v/>
      </c>
      <c r="X165" s="134" t="str">
        <f>IF(Data!$B157='Team Parser'!$B$1, Data!G157,"")</f>
        <v/>
      </c>
      <c r="Y165" s="134" t="str">
        <f>IF(Data!$B157='Team Parser'!$B$1, Data!L157,"")</f>
        <v/>
      </c>
      <c r="Z165" s="134" t="str">
        <f>IF(Data!$B157='Team Parser'!$B$1, Data!K157,"")</f>
        <v/>
      </c>
      <c r="AA165" s="134" t="str">
        <f>IF(Data!$B157='Team Parser'!$B$1, Data!M157,"")</f>
        <v/>
      </c>
      <c r="AB165" s="134" t="str">
        <f>IF(Data!$B157='Team Parser'!$B$1,((Z165*2)+(Y165)+(X165*4)+(W165*2)),"")</f>
        <v/>
      </c>
      <c r="AC165" s="134" t="str">
        <f>IF(Data!$B157='Team Parser'!$B$1, Data!N157,"")</f>
        <v/>
      </c>
      <c r="AD165" s="139" t="str">
        <f>IF(Data!$B157='Team Parser'!$B$1,(AB165+(COUNTIF(AC165,"TRAVERSE")*15)+(COUNTIF(AC165,"HIGH")*10)+(COUNTIF(AC165,"MIDDLE")*6)+(COUNTIF(AC165,"LOW")*4)),"")</f>
        <v/>
      </c>
    </row>
    <row r="166">
      <c r="A166" s="133" t="s">
        <v>507</v>
      </c>
      <c r="B166" s="134" t="str">
        <f>IFERROR(__xludf.DUMMYFUNCTION("IFERROR((FILTER(Data!H:H,Data!D:D=A166,Data!B:B=$B$1)),"""")"),"")</f>
        <v/>
      </c>
      <c r="C166" s="134" t="str">
        <f>IFERROR(__xludf.DUMMYFUNCTION("IFERROR((FILTER(Data!G:G,Data!D:D=A166,Data!B:B=$B$1)),"""")"),"")</f>
        <v/>
      </c>
      <c r="D166" s="134" t="str">
        <f>IFERROR(__xludf.DUMMYFUNCTION("IFERROR((FILTER(Data!J:J,Data!D:D=A166,Data!B:B=$B$1)),"""")"),"")</f>
        <v/>
      </c>
      <c r="E166" s="134" t="str">
        <f>IFERROR(__xludf.DUMMYFUNCTION("IFERROR((FILTER(Data!L:L,Data!D:D=A166,Data!B:B=$B$1)),"""")"),"")</f>
        <v/>
      </c>
      <c r="F166" s="134" t="str">
        <f>IFERROR(__xludf.DUMMYFUNCTION("IFERROR((FILTER(Data!K:K,Data!D:D=A166,Data!B:B=$B$1)),"""")"),"")</f>
        <v/>
      </c>
      <c r="G166" s="134" t="str">
        <f>IFERROR(__xludf.DUMMYFUNCTION("IFERROR((FILTER(Data!M:M,Data!D:D=A166,Data!B:B=$B$1)),"""")"),"")</f>
        <v/>
      </c>
      <c r="H166" s="134" t="str">
        <f>IFERROR(__xludf.DUMMYFUNCTION("IFERROR((FILTER(Data!G:G,Data!D:D=A166,Data!B:B=$B$1)*4)+(FILTER(Data!H:H,Data!D:D=A166,Data!B:B=$B$1)*2),"""")"),"")</f>
        <v/>
      </c>
      <c r="I166" s="15" t="str">
        <f>IFERROR(__xludf.DUMMYFUNCTION("IFERROR((FILTER(Data!K:K,Data!D:D=A166,Data!B:B=$B$1)*2)+(FILTER(Data!L:L,Data!D:D=A166,Data!B:B=$B$1)),"""")"),"")</f>
        <v/>
      </c>
      <c r="J166" s="134" t="str">
        <f>IFERROR(__xludf.DUMMYFUNCTION("IFERROR((FILTER(Data!N:N,Data!D:D=A166,Data!B:B=$B$1)),"""")"),"")</f>
        <v/>
      </c>
      <c r="K166" s="135" t="str">
        <f>IFERROR(__xludf.DUMMYFUNCTION("IFERROR((FILTER(Data!H:H,Data!D:D=A166,Data!B:B=$B$1)*2)+(FILTER(Data!L:L,Data!D:D=A166,Data!B:B=$B$1))+(FILTER(Data!G:G,Data!D:D=A166,Data!B:B=$B$1)*4)+(FILTER(Data!K:K,Data!D:D=A166,Data!B:B=$B$1)*2)+(((COUNTIF(FILTER(Data!N:N,Data!D:D=A166,Data!B:B=$B$"&amp;"1),""TRAVERSE"")*15)+(COUNTIF(FILTER(Data!N:N,Data!D:D=A166,Data!B:B=$B$1),""HIGH"")*10)+(COUNTIF(FILTER(Data!N:N,Data!D:D=A166,Data!B:B=$B$1),""MIDDLE"")*6)+(COUNTIF(FILTER(Data!N:N,Data!D:D=A166,Data!B:B=$B$1),""LOW"")*4))),"""")"),"")</f>
        <v/>
      </c>
      <c r="L166" s="136" t="str">
        <f>IFERROR(__xludf.DUMMYFUNCTION("IFERROR((FILTER(Data!P:P,Data!D:D=A166,Data!B:B=$B$1)),"""")"),"")</f>
        <v/>
      </c>
      <c r="M166" s="137" t="str">
        <f>IFERROR(__xludf.DUMMYFUNCTION("IFERROR((FILTER(Data!A:A,Data!D:D=A166,Data!B:B=$B$1)),"""")"),"")</f>
        <v/>
      </c>
      <c r="T166" s="52">
        <f>IFERROR(__xludf.DUMMYFUNCTION("((COUNTIF(FILTER(Data!N:N,Data!D:D=A166,Data!B:B=$B$1),""TRAVERSE"")*15)+(COUNTIF(FILTER(Data!N:N,Data!D:D=A166,Data!B:B=B$1),""HIGH"")*10)+(COUNTIF(FILTER(Data!N:N,Data!D:D=A166,Data!B:B=$B$1),""MIDDLE"")*6)+(COUNTIF(FILTER(Data!N:N,Data!D:D=A166,Data!B:"&amp;"B=$B$1),""LOW"")*4))"),0.0)</f>
        <v>0</v>
      </c>
      <c r="V166" s="138" t="str">
        <f>IF(Data!B158='Team Parser'!$B$1, Data!D158,"")</f>
        <v/>
      </c>
      <c r="W166" s="134" t="str">
        <f>IF(Data!$B158='Team Parser'!$B$1, Data!H158,"")</f>
        <v/>
      </c>
      <c r="X166" s="134" t="str">
        <f>IF(Data!$B158='Team Parser'!$B$1, Data!G158,"")</f>
        <v/>
      </c>
      <c r="Y166" s="134" t="str">
        <f>IF(Data!$B158='Team Parser'!$B$1, Data!L158,"")</f>
        <v/>
      </c>
      <c r="Z166" s="134" t="str">
        <f>IF(Data!$B158='Team Parser'!$B$1, Data!K158,"")</f>
        <v/>
      </c>
      <c r="AA166" s="134" t="str">
        <f>IF(Data!$B158='Team Parser'!$B$1, Data!M158,"")</f>
        <v/>
      </c>
      <c r="AB166" s="134" t="str">
        <f>IF(Data!$B158='Team Parser'!$B$1,((Z166*2)+(Y166)+(X166*4)+(W166*2)),"")</f>
        <v/>
      </c>
      <c r="AC166" s="134" t="str">
        <f>IF(Data!$B158='Team Parser'!$B$1, Data!N158,"")</f>
        <v/>
      </c>
      <c r="AD166" s="139" t="str">
        <f>IF(Data!$B158='Team Parser'!$B$1,(AB166+(COUNTIF(AC166,"TRAVERSE")*15)+(COUNTIF(AC166,"HIGH")*10)+(COUNTIF(AC166,"MIDDLE")*6)+(COUNTIF(AC166,"LOW")*4)),"")</f>
        <v/>
      </c>
    </row>
    <row r="167">
      <c r="A167" s="133" t="s">
        <v>507</v>
      </c>
      <c r="B167" s="134" t="str">
        <f>IFERROR(__xludf.DUMMYFUNCTION("IFERROR((FILTER(Data!H:H,Data!D:D=A167,Data!B:B=$B$1)),"""")"),"")</f>
        <v/>
      </c>
      <c r="C167" s="134" t="str">
        <f>IFERROR(__xludf.DUMMYFUNCTION("IFERROR((FILTER(Data!G:G,Data!D:D=A167,Data!B:B=$B$1)),"""")"),"")</f>
        <v/>
      </c>
      <c r="D167" s="134" t="str">
        <f>IFERROR(__xludf.DUMMYFUNCTION("IFERROR((FILTER(Data!J:J,Data!D:D=A167,Data!B:B=$B$1)),"""")"),"")</f>
        <v/>
      </c>
      <c r="E167" s="134" t="str">
        <f>IFERROR(__xludf.DUMMYFUNCTION("IFERROR((FILTER(Data!L:L,Data!D:D=A167,Data!B:B=$B$1)),"""")"),"")</f>
        <v/>
      </c>
      <c r="F167" s="134" t="str">
        <f>IFERROR(__xludf.DUMMYFUNCTION("IFERROR((FILTER(Data!K:K,Data!D:D=A167,Data!B:B=$B$1)),"""")"),"")</f>
        <v/>
      </c>
      <c r="G167" s="134" t="str">
        <f>IFERROR(__xludf.DUMMYFUNCTION("IFERROR((FILTER(Data!M:M,Data!D:D=A167,Data!B:B=$B$1)),"""")"),"")</f>
        <v/>
      </c>
      <c r="H167" s="134" t="str">
        <f>IFERROR(__xludf.DUMMYFUNCTION("IFERROR((FILTER(Data!G:G,Data!D:D=A167,Data!B:B=$B$1)*4)+(FILTER(Data!H:H,Data!D:D=A167,Data!B:B=$B$1)*2),"""")"),"")</f>
        <v/>
      </c>
      <c r="I167" s="15" t="str">
        <f>IFERROR(__xludf.DUMMYFUNCTION("IFERROR((FILTER(Data!K:K,Data!D:D=A167,Data!B:B=$B$1)*2)+(FILTER(Data!L:L,Data!D:D=A167,Data!B:B=$B$1)),"""")"),"")</f>
        <v/>
      </c>
      <c r="J167" s="134" t="str">
        <f>IFERROR(__xludf.DUMMYFUNCTION("IFERROR((FILTER(Data!N:N,Data!D:D=A167,Data!B:B=$B$1)),"""")"),"")</f>
        <v/>
      </c>
      <c r="K167" s="135" t="str">
        <f>IFERROR(__xludf.DUMMYFUNCTION("IFERROR((FILTER(Data!H:H,Data!D:D=A167,Data!B:B=$B$1)*2)+(FILTER(Data!L:L,Data!D:D=A167,Data!B:B=$B$1))+(FILTER(Data!G:G,Data!D:D=A167,Data!B:B=$B$1)*4)+(FILTER(Data!K:K,Data!D:D=A167,Data!B:B=$B$1)*2)+(((COUNTIF(FILTER(Data!N:N,Data!D:D=A167,Data!B:B=$B$"&amp;"1),""TRAVERSE"")*15)+(COUNTIF(FILTER(Data!N:N,Data!D:D=A167,Data!B:B=$B$1),""HIGH"")*10)+(COUNTIF(FILTER(Data!N:N,Data!D:D=A167,Data!B:B=$B$1),""MIDDLE"")*6)+(COUNTIF(FILTER(Data!N:N,Data!D:D=A167,Data!B:B=$B$1),""LOW"")*4))),"""")"),"")</f>
        <v/>
      </c>
      <c r="L167" s="136" t="str">
        <f>IFERROR(__xludf.DUMMYFUNCTION("IFERROR((FILTER(Data!P:P,Data!D:D=A167,Data!B:B=$B$1)),"""")"),"")</f>
        <v/>
      </c>
      <c r="M167" s="137" t="str">
        <f>IFERROR(__xludf.DUMMYFUNCTION("IFERROR((FILTER(Data!A:A,Data!D:D=A167,Data!B:B=$B$1)),"""")"),"")</f>
        <v/>
      </c>
      <c r="T167" s="52">
        <f>IFERROR(__xludf.DUMMYFUNCTION("((COUNTIF(FILTER(Data!N:N,Data!D:D=A167,Data!B:B=$B$1),""TRAVERSE"")*15)+(COUNTIF(FILTER(Data!N:N,Data!D:D=A167,Data!B:B=B$1),""HIGH"")*10)+(COUNTIF(FILTER(Data!N:N,Data!D:D=A167,Data!B:B=$B$1),""MIDDLE"")*6)+(COUNTIF(FILTER(Data!N:N,Data!D:D=A167,Data!B:"&amp;"B=$B$1),""LOW"")*4))"),0.0)</f>
        <v>0</v>
      </c>
      <c r="V167" s="138" t="str">
        <f>IF(Data!B159='Team Parser'!$B$1, Data!D159,"")</f>
        <v/>
      </c>
      <c r="W167" s="134" t="str">
        <f>IF(Data!$B159='Team Parser'!$B$1, Data!H159,"")</f>
        <v/>
      </c>
      <c r="X167" s="134" t="str">
        <f>IF(Data!$B159='Team Parser'!$B$1, Data!G159,"")</f>
        <v/>
      </c>
      <c r="Y167" s="134" t="str">
        <f>IF(Data!$B159='Team Parser'!$B$1, Data!L159,"")</f>
        <v/>
      </c>
      <c r="Z167" s="134" t="str">
        <f>IF(Data!$B159='Team Parser'!$B$1, Data!K159,"")</f>
        <v/>
      </c>
      <c r="AA167" s="134" t="str">
        <f>IF(Data!$B159='Team Parser'!$B$1, Data!M159,"")</f>
        <v/>
      </c>
      <c r="AB167" s="134" t="str">
        <f>IF(Data!$B159='Team Parser'!$B$1,((Z167*2)+(Y167)+(X167*4)+(W167*2)),"")</f>
        <v/>
      </c>
      <c r="AC167" s="134" t="str">
        <f>IF(Data!$B159='Team Parser'!$B$1, Data!N159,"")</f>
        <v/>
      </c>
      <c r="AD167" s="139" t="str">
        <f>IF(Data!$B159='Team Parser'!$B$1,(AB167+(COUNTIF(AC167,"TRAVERSE")*15)+(COUNTIF(AC167,"HIGH")*10)+(COUNTIF(AC167,"MIDDLE")*6)+(COUNTIF(AC167,"LOW")*4)),"")</f>
        <v/>
      </c>
    </row>
    <row r="168">
      <c r="A168" s="133" t="s">
        <v>507</v>
      </c>
      <c r="B168" s="134" t="str">
        <f>IFERROR(__xludf.DUMMYFUNCTION("IFERROR((FILTER(Data!H:H,Data!D:D=A168,Data!B:B=$B$1)),"""")"),"")</f>
        <v/>
      </c>
      <c r="C168" s="134" t="str">
        <f>IFERROR(__xludf.DUMMYFUNCTION("IFERROR((FILTER(Data!G:G,Data!D:D=A168,Data!B:B=$B$1)),"""")"),"")</f>
        <v/>
      </c>
      <c r="D168" s="134" t="str">
        <f>IFERROR(__xludf.DUMMYFUNCTION("IFERROR((FILTER(Data!J:J,Data!D:D=A168,Data!B:B=$B$1)),"""")"),"")</f>
        <v/>
      </c>
      <c r="E168" s="134" t="str">
        <f>IFERROR(__xludf.DUMMYFUNCTION("IFERROR((FILTER(Data!L:L,Data!D:D=A168,Data!B:B=$B$1)),"""")"),"")</f>
        <v/>
      </c>
      <c r="F168" s="134" t="str">
        <f>IFERROR(__xludf.DUMMYFUNCTION("IFERROR((FILTER(Data!K:K,Data!D:D=A168,Data!B:B=$B$1)),"""")"),"")</f>
        <v/>
      </c>
      <c r="G168" s="134" t="str">
        <f>IFERROR(__xludf.DUMMYFUNCTION("IFERROR((FILTER(Data!M:M,Data!D:D=A168,Data!B:B=$B$1)),"""")"),"")</f>
        <v/>
      </c>
      <c r="H168" s="134" t="str">
        <f>IFERROR(__xludf.DUMMYFUNCTION("IFERROR((FILTER(Data!G:G,Data!D:D=A168,Data!B:B=$B$1)*4)+(FILTER(Data!H:H,Data!D:D=A168,Data!B:B=$B$1)*2),"""")"),"")</f>
        <v/>
      </c>
      <c r="I168" s="15" t="str">
        <f>IFERROR(__xludf.DUMMYFUNCTION("IFERROR((FILTER(Data!K:K,Data!D:D=A168,Data!B:B=$B$1)*2)+(FILTER(Data!L:L,Data!D:D=A168,Data!B:B=$B$1)),"""")"),"")</f>
        <v/>
      </c>
      <c r="J168" s="134" t="str">
        <f>IFERROR(__xludf.DUMMYFUNCTION("IFERROR((FILTER(Data!N:N,Data!D:D=A168,Data!B:B=$B$1)),"""")"),"")</f>
        <v/>
      </c>
      <c r="K168" s="135" t="str">
        <f>IFERROR(__xludf.DUMMYFUNCTION("IFERROR((FILTER(Data!H:H,Data!D:D=A168,Data!B:B=$B$1)*2)+(FILTER(Data!L:L,Data!D:D=A168,Data!B:B=$B$1))+(FILTER(Data!G:G,Data!D:D=A168,Data!B:B=$B$1)*4)+(FILTER(Data!K:K,Data!D:D=A168,Data!B:B=$B$1)*2)+(((COUNTIF(FILTER(Data!N:N,Data!D:D=A168,Data!B:B=$B$"&amp;"1),""TRAVERSE"")*15)+(COUNTIF(FILTER(Data!N:N,Data!D:D=A168,Data!B:B=$B$1),""HIGH"")*10)+(COUNTIF(FILTER(Data!N:N,Data!D:D=A168,Data!B:B=$B$1),""MIDDLE"")*6)+(COUNTIF(FILTER(Data!N:N,Data!D:D=A168,Data!B:B=$B$1),""LOW"")*4))),"""")"),"")</f>
        <v/>
      </c>
      <c r="L168" s="136" t="str">
        <f>IFERROR(__xludf.DUMMYFUNCTION("IFERROR((FILTER(Data!P:P,Data!D:D=A168,Data!B:B=$B$1)),"""")"),"")</f>
        <v/>
      </c>
      <c r="M168" s="137" t="str">
        <f>IFERROR(__xludf.DUMMYFUNCTION("IFERROR((FILTER(Data!A:A,Data!D:D=A168,Data!B:B=$B$1)),"""")"),"")</f>
        <v/>
      </c>
      <c r="T168" s="52">
        <f>IFERROR(__xludf.DUMMYFUNCTION("((COUNTIF(FILTER(Data!N:N,Data!D:D=A168,Data!B:B=$B$1),""TRAVERSE"")*15)+(COUNTIF(FILTER(Data!N:N,Data!D:D=A168,Data!B:B=B$1),""HIGH"")*10)+(COUNTIF(FILTER(Data!N:N,Data!D:D=A168,Data!B:B=$B$1),""MIDDLE"")*6)+(COUNTIF(FILTER(Data!N:N,Data!D:D=A168,Data!B:"&amp;"B=$B$1),""LOW"")*4))"),0.0)</f>
        <v>0</v>
      </c>
      <c r="V168" s="138" t="str">
        <f>IF(Data!B160='Team Parser'!$B$1, Data!D160,"")</f>
        <v/>
      </c>
      <c r="W168" s="134" t="str">
        <f>IF(Data!$B160='Team Parser'!$B$1, Data!H160,"")</f>
        <v/>
      </c>
      <c r="X168" s="134" t="str">
        <f>IF(Data!$B160='Team Parser'!$B$1, Data!G160,"")</f>
        <v/>
      </c>
      <c r="Y168" s="134" t="str">
        <f>IF(Data!$B160='Team Parser'!$B$1, Data!L160,"")</f>
        <v/>
      </c>
      <c r="Z168" s="134" t="str">
        <f>IF(Data!$B160='Team Parser'!$B$1, Data!K160,"")</f>
        <v/>
      </c>
      <c r="AA168" s="134" t="str">
        <f>IF(Data!$B160='Team Parser'!$B$1, Data!M160,"")</f>
        <v/>
      </c>
      <c r="AB168" s="134" t="str">
        <f>IF(Data!$B160='Team Parser'!$B$1,((Z168*2)+(Y168)+(X168*4)+(W168*2)),"")</f>
        <v/>
      </c>
      <c r="AC168" s="134" t="str">
        <f>IF(Data!$B160='Team Parser'!$B$1, Data!N160,"")</f>
        <v/>
      </c>
      <c r="AD168" s="139" t="str">
        <f>IF(Data!$B160='Team Parser'!$B$1,(AB168+(COUNTIF(AC168,"TRAVERSE")*15)+(COUNTIF(AC168,"HIGH")*10)+(COUNTIF(AC168,"MIDDLE")*6)+(COUNTIF(AC168,"LOW")*4)),"")</f>
        <v/>
      </c>
    </row>
    <row r="169">
      <c r="A169" s="133" t="s">
        <v>507</v>
      </c>
      <c r="B169" s="134" t="str">
        <f>IFERROR(__xludf.DUMMYFUNCTION("IFERROR((FILTER(Data!H:H,Data!D:D=A169,Data!B:B=$B$1)),"""")"),"")</f>
        <v/>
      </c>
      <c r="C169" s="134" t="str">
        <f>IFERROR(__xludf.DUMMYFUNCTION("IFERROR((FILTER(Data!G:G,Data!D:D=A169,Data!B:B=$B$1)),"""")"),"")</f>
        <v/>
      </c>
      <c r="D169" s="134" t="str">
        <f>IFERROR(__xludf.DUMMYFUNCTION("IFERROR((FILTER(Data!J:J,Data!D:D=A169,Data!B:B=$B$1)),"""")"),"")</f>
        <v/>
      </c>
      <c r="E169" s="134" t="str">
        <f>IFERROR(__xludf.DUMMYFUNCTION("IFERROR((FILTER(Data!L:L,Data!D:D=A169,Data!B:B=$B$1)),"""")"),"")</f>
        <v/>
      </c>
      <c r="F169" s="134" t="str">
        <f>IFERROR(__xludf.DUMMYFUNCTION("IFERROR((FILTER(Data!K:K,Data!D:D=A169,Data!B:B=$B$1)),"""")"),"")</f>
        <v/>
      </c>
      <c r="G169" s="134" t="str">
        <f>IFERROR(__xludf.DUMMYFUNCTION("IFERROR((FILTER(Data!M:M,Data!D:D=A169,Data!B:B=$B$1)),"""")"),"")</f>
        <v/>
      </c>
      <c r="H169" s="134" t="str">
        <f>IFERROR(__xludf.DUMMYFUNCTION("IFERROR((FILTER(Data!G:G,Data!D:D=A169,Data!B:B=$B$1)*4)+(FILTER(Data!H:H,Data!D:D=A169,Data!B:B=$B$1)*2),"""")"),"")</f>
        <v/>
      </c>
      <c r="I169" s="15" t="str">
        <f>IFERROR(__xludf.DUMMYFUNCTION("IFERROR((FILTER(Data!K:K,Data!D:D=A169,Data!B:B=$B$1)*2)+(FILTER(Data!L:L,Data!D:D=A169,Data!B:B=$B$1)),"""")"),"")</f>
        <v/>
      </c>
      <c r="J169" s="134" t="str">
        <f>IFERROR(__xludf.DUMMYFUNCTION("IFERROR((FILTER(Data!N:N,Data!D:D=A169,Data!B:B=$B$1)),"""")"),"")</f>
        <v/>
      </c>
      <c r="K169" s="135" t="str">
        <f>IFERROR(__xludf.DUMMYFUNCTION("IFERROR((FILTER(Data!H:H,Data!D:D=A169,Data!B:B=$B$1)*2)+(FILTER(Data!L:L,Data!D:D=A169,Data!B:B=$B$1))+(FILTER(Data!G:G,Data!D:D=A169,Data!B:B=$B$1)*4)+(FILTER(Data!K:K,Data!D:D=A169,Data!B:B=$B$1)*2)+(((COUNTIF(FILTER(Data!N:N,Data!D:D=A169,Data!B:B=$B$"&amp;"1),""TRAVERSE"")*15)+(COUNTIF(FILTER(Data!N:N,Data!D:D=A169,Data!B:B=$B$1),""HIGH"")*10)+(COUNTIF(FILTER(Data!N:N,Data!D:D=A169,Data!B:B=$B$1),""MIDDLE"")*6)+(COUNTIF(FILTER(Data!N:N,Data!D:D=A169,Data!B:B=$B$1),""LOW"")*4))),"""")"),"")</f>
        <v/>
      </c>
      <c r="L169" s="136" t="str">
        <f>IFERROR(__xludf.DUMMYFUNCTION("IFERROR((FILTER(Data!P:P,Data!D:D=A169,Data!B:B=$B$1)),"""")"),"")</f>
        <v/>
      </c>
      <c r="M169" s="137" t="str">
        <f>IFERROR(__xludf.DUMMYFUNCTION("IFERROR((FILTER(Data!A:A,Data!D:D=A169,Data!B:B=$B$1)),"""")"),"")</f>
        <v/>
      </c>
      <c r="T169" s="52">
        <f>IFERROR(__xludf.DUMMYFUNCTION("((COUNTIF(FILTER(Data!N:N,Data!D:D=A169,Data!B:B=$B$1),""TRAVERSE"")*15)+(COUNTIF(FILTER(Data!N:N,Data!D:D=A169,Data!B:B=B$1),""HIGH"")*10)+(COUNTIF(FILTER(Data!N:N,Data!D:D=A169,Data!B:B=$B$1),""MIDDLE"")*6)+(COUNTIF(FILTER(Data!N:N,Data!D:D=A169,Data!B:"&amp;"B=$B$1),""LOW"")*4))"),0.0)</f>
        <v>0</v>
      </c>
      <c r="V169" s="138" t="str">
        <f>IF(Data!B161='Team Parser'!$B$1, Data!D161,"")</f>
        <v/>
      </c>
      <c r="W169" s="134" t="str">
        <f>IF(Data!$B161='Team Parser'!$B$1, Data!H161,"")</f>
        <v/>
      </c>
      <c r="X169" s="134" t="str">
        <f>IF(Data!$B161='Team Parser'!$B$1, Data!G161,"")</f>
        <v/>
      </c>
      <c r="Y169" s="134" t="str">
        <f>IF(Data!$B161='Team Parser'!$B$1, Data!L161,"")</f>
        <v/>
      </c>
      <c r="Z169" s="134" t="str">
        <f>IF(Data!$B161='Team Parser'!$B$1, Data!K161,"")</f>
        <v/>
      </c>
      <c r="AA169" s="134" t="str">
        <f>IF(Data!$B161='Team Parser'!$B$1, Data!M161,"")</f>
        <v/>
      </c>
      <c r="AB169" s="134" t="str">
        <f>IF(Data!$B161='Team Parser'!$B$1,((Z169*2)+(Y169)+(X169*4)+(W169*2)),"")</f>
        <v/>
      </c>
      <c r="AC169" s="134" t="str">
        <f>IF(Data!$B161='Team Parser'!$B$1, Data!N161,"")</f>
        <v/>
      </c>
      <c r="AD169" s="139" t="str">
        <f>IF(Data!$B161='Team Parser'!$B$1,(AB169+(COUNTIF(AC169,"TRAVERSE")*15)+(COUNTIF(AC169,"HIGH")*10)+(COUNTIF(AC169,"MIDDLE")*6)+(COUNTIF(AC169,"LOW")*4)),"")</f>
        <v/>
      </c>
    </row>
    <row r="170">
      <c r="A170" s="133" t="s">
        <v>507</v>
      </c>
      <c r="B170" s="134" t="str">
        <f>IFERROR(__xludf.DUMMYFUNCTION("IFERROR((FILTER(Data!H:H,Data!D:D=A170,Data!B:B=$B$1)),"""")"),"")</f>
        <v/>
      </c>
      <c r="C170" s="134" t="str">
        <f>IFERROR(__xludf.DUMMYFUNCTION("IFERROR((FILTER(Data!G:G,Data!D:D=A170,Data!B:B=$B$1)),"""")"),"")</f>
        <v/>
      </c>
      <c r="D170" s="134" t="str">
        <f>IFERROR(__xludf.DUMMYFUNCTION("IFERROR((FILTER(Data!J:J,Data!D:D=A170,Data!B:B=$B$1)),"""")"),"")</f>
        <v/>
      </c>
      <c r="E170" s="134" t="str">
        <f>IFERROR(__xludf.DUMMYFUNCTION("IFERROR((FILTER(Data!L:L,Data!D:D=A170,Data!B:B=$B$1)),"""")"),"")</f>
        <v/>
      </c>
      <c r="F170" s="134" t="str">
        <f>IFERROR(__xludf.DUMMYFUNCTION("IFERROR((FILTER(Data!K:K,Data!D:D=A170,Data!B:B=$B$1)),"""")"),"")</f>
        <v/>
      </c>
      <c r="G170" s="134" t="str">
        <f>IFERROR(__xludf.DUMMYFUNCTION("IFERROR((FILTER(Data!M:M,Data!D:D=A170,Data!B:B=$B$1)),"""")"),"")</f>
        <v/>
      </c>
      <c r="H170" s="134" t="str">
        <f>IFERROR(__xludf.DUMMYFUNCTION("IFERROR((FILTER(Data!G:G,Data!D:D=A170,Data!B:B=$B$1)*4)+(FILTER(Data!H:H,Data!D:D=A170,Data!B:B=$B$1)*2),"""")"),"")</f>
        <v/>
      </c>
      <c r="I170" s="15" t="str">
        <f>IFERROR(__xludf.DUMMYFUNCTION("IFERROR((FILTER(Data!K:K,Data!D:D=A170,Data!B:B=$B$1)*2)+(FILTER(Data!L:L,Data!D:D=A170,Data!B:B=$B$1)),"""")"),"")</f>
        <v/>
      </c>
      <c r="J170" s="134" t="str">
        <f>IFERROR(__xludf.DUMMYFUNCTION("IFERROR((FILTER(Data!N:N,Data!D:D=A170,Data!B:B=$B$1)),"""")"),"")</f>
        <v/>
      </c>
      <c r="K170" s="135" t="str">
        <f>IFERROR(__xludf.DUMMYFUNCTION("IFERROR((FILTER(Data!H:H,Data!D:D=A170,Data!B:B=$B$1)*2)+(FILTER(Data!L:L,Data!D:D=A170,Data!B:B=$B$1))+(FILTER(Data!G:G,Data!D:D=A170,Data!B:B=$B$1)*4)+(FILTER(Data!K:K,Data!D:D=A170,Data!B:B=$B$1)*2)+(((COUNTIF(FILTER(Data!N:N,Data!D:D=A170,Data!B:B=$B$"&amp;"1),""TRAVERSE"")*15)+(COUNTIF(FILTER(Data!N:N,Data!D:D=A170,Data!B:B=$B$1),""HIGH"")*10)+(COUNTIF(FILTER(Data!N:N,Data!D:D=A170,Data!B:B=$B$1),""MIDDLE"")*6)+(COUNTIF(FILTER(Data!N:N,Data!D:D=A170,Data!B:B=$B$1),""LOW"")*4))),"""")"),"")</f>
        <v/>
      </c>
      <c r="L170" s="136" t="str">
        <f>IFERROR(__xludf.DUMMYFUNCTION("IFERROR((FILTER(Data!P:P,Data!D:D=A170,Data!B:B=$B$1)),"""")"),"")</f>
        <v/>
      </c>
      <c r="M170" s="137" t="str">
        <f>IFERROR(__xludf.DUMMYFUNCTION("IFERROR((FILTER(Data!A:A,Data!D:D=A170,Data!B:B=$B$1)),"""")"),"")</f>
        <v/>
      </c>
      <c r="T170" s="52">
        <f>IFERROR(__xludf.DUMMYFUNCTION("((COUNTIF(FILTER(Data!N:N,Data!D:D=A170,Data!B:B=$B$1),""TRAVERSE"")*15)+(COUNTIF(FILTER(Data!N:N,Data!D:D=A170,Data!B:B=B$1),""HIGH"")*10)+(COUNTIF(FILTER(Data!N:N,Data!D:D=A170,Data!B:B=$B$1),""MIDDLE"")*6)+(COUNTIF(FILTER(Data!N:N,Data!D:D=A170,Data!B:"&amp;"B=$B$1),""LOW"")*4))"),0.0)</f>
        <v>0</v>
      </c>
      <c r="V170" s="138" t="str">
        <f>IF(Data!B162='Team Parser'!$B$1, Data!D162,"")</f>
        <v/>
      </c>
      <c r="W170" s="134" t="str">
        <f>IF(Data!$B162='Team Parser'!$B$1, Data!H162,"")</f>
        <v/>
      </c>
      <c r="X170" s="134" t="str">
        <f>IF(Data!$B162='Team Parser'!$B$1, Data!G162,"")</f>
        <v/>
      </c>
      <c r="Y170" s="134" t="str">
        <f>IF(Data!$B162='Team Parser'!$B$1, Data!L162,"")</f>
        <v/>
      </c>
      <c r="Z170" s="134" t="str">
        <f>IF(Data!$B162='Team Parser'!$B$1, Data!K162,"")</f>
        <v/>
      </c>
      <c r="AA170" s="134" t="str">
        <f>IF(Data!$B162='Team Parser'!$B$1, Data!M162,"")</f>
        <v/>
      </c>
      <c r="AB170" s="134" t="str">
        <f>IF(Data!$B162='Team Parser'!$B$1,((Z170*2)+(Y170)+(X170*4)+(W170*2)),"")</f>
        <v/>
      </c>
      <c r="AC170" s="134" t="str">
        <f>IF(Data!$B162='Team Parser'!$B$1, Data!N162,"")</f>
        <v/>
      </c>
      <c r="AD170" s="139" t="str">
        <f>IF(Data!$B162='Team Parser'!$B$1,(AB170+(COUNTIF(AC170,"TRAVERSE")*15)+(COUNTIF(AC170,"HIGH")*10)+(COUNTIF(AC170,"MIDDLE")*6)+(COUNTIF(AC170,"LOW")*4)),"")</f>
        <v/>
      </c>
    </row>
    <row r="171">
      <c r="A171" s="133" t="s">
        <v>507</v>
      </c>
      <c r="B171" s="134" t="str">
        <f>IFERROR(__xludf.DUMMYFUNCTION("IFERROR((FILTER(Data!H:H,Data!D:D=A171,Data!B:B=$B$1)),"""")"),"")</f>
        <v/>
      </c>
      <c r="C171" s="134" t="str">
        <f>IFERROR(__xludf.DUMMYFUNCTION("IFERROR((FILTER(Data!G:G,Data!D:D=A171,Data!B:B=$B$1)),"""")"),"")</f>
        <v/>
      </c>
      <c r="D171" s="134" t="str">
        <f>IFERROR(__xludf.DUMMYFUNCTION("IFERROR((FILTER(Data!J:J,Data!D:D=A171,Data!B:B=$B$1)),"""")"),"")</f>
        <v/>
      </c>
      <c r="E171" s="134" t="str">
        <f>IFERROR(__xludf.DUMMYFUNCTION("IFERROR((FILTER(Data!L:L,Data!D:D=A171,Data!B:B=$B$1)),"""")"),"")</f>
        <v/>
      </c>
      <c r="F171" s="134" t="str">
        <f>IFERROR(__xludf.DUMMYFUNCTION("IFERROR((FILTER(Data!K:K,Data!D:D=A171,Data!B:B=$B$1)),"""")"),"")</f>
        <v/>
      </c>
      <c r="G171" s="134" t="str">
        <f>IFERROR(__xludf.DUMMYFUNCTION("IFERROR((FILTER(Data!M:M,Data!D:D=A171,Data!B:B=$B$1)),"""")"),"")</f>
        <v/>
      </c>
      <c r="H171" s="134" t="str">
        <f>IFERROR(__xludf.DUMMYFUNCTION("IFERROR((FILTER(Data!G:G,Data!D:D=A171,Data!B:B=$B$1)*4)+(FILTER(Data!H:H,Data!D:D=A171,Data!B:B=$B$1)*2),"""")"),"")</f>
        <v/>
      </c>
      <c r="I171" s="15" t="str">
        <f>IFERROR(__xludf.DUMMYFUNCTION("IFERROR((FILTER(Data!K:K,Data!D:D=A171,Data!B:B=$B$1)*2)+(FILTER(Data!L:L,Data!D:D=A171,Data!B:B=$B$1)),"""")"),"")</f>
        <v/>
      </c>
      <c r="J171" s="134" t="str">
        <f>IFERROR(__xludf.DUMMYFUNCTION("IFERROR((FILTER(Data!N:N,Data!D:D=A171,Data!B:B=$B$1)),"""")"),"")</f>
        <v/>
      </c>
      <c r="K171" s="135" t="str">
        <f>IFERROR(__xludf.DUMMYFUNCTION("IFERROR((FILTER(Data!H:H,Data!D:D=A171,Data!B:B=$B$1)*2)+(FILTER(Data!L:L,Data!D:D=A171,Data!B:B=$B$1))+(FILTER(Data!G:G,Data!D:D=A171,Data!B:B=$B$1)*4)+(FILTER(Data!K:K,Data!D:D=A171,Data!B:B=$B$1)*2)+(((COUNTIF(FILTER(Data!N:N,Data!D:D=A171,Data!B:B=$B$"&amp;"1),""TRAVERSE"")*15)+(COUNTIF(FILTER(Data!N:N,Data!D:D=A171,Data!B:B=$B$1),""HIGH"")*10)+(COUNTIF(FILTER(Data!N:N,Data!D:D=A171,Data!B:B=$B$1),""MIDDLE"")*6)+(COUNTIF(FILTER(Data!N:N,Data!D:D=A171,Data!B:B=$B$1),""LOW"")*4))),"""")"),"")</f>
        <v/>
      </c>
      <c r="L171" s="136" t="str">
        <f>IFERROR(__xludf.DUMMYFUNCTION("IFERROR((FILTER(Data!P:P,Data!D:D=A171,Data!B:B=$B$1)),"""")"),"")</f>
        <v/>
      </c>
      <c r="M171" s="137" t="str">
        <f>IFERROR(__xludf.DUMMYFUNCTION("IFERROR((FILTER(Data!A:A,Data!D:D=A171,Data!B:B=$B$1)),"""")"),"")</f>
        <v/>
      </c>
      <c r="T171" s="52">
        <f>IFERROR(__xludf.DUMMYFUNCTION("((COUNTIF(FILTER(Data!N:N,Data!D:D=A171,Data!B:B=$B$1),""TRAVERSE"")*15)+(COUNTIF(FILTER(Data!N:N,Data!D:D=A171,Data!B:B=B$1),""HIGH"")*10)+(COUNTIF(FILTER(Data!N:N,Data!D:D=A171,Data!B:B=$B$1),""MIDDLE"")*6)+(COUNTIF(FILTER(Data!N:N,Data!D:D=A171,Data!B:"&amp;"B=$B$1),""LOW"")*4))"),0.0)</f>
        <v>0</v>
      </c>
      <c r="V171" s="138" t="str">
        <f>IF(Data!B163='Team Parser'!$B$1, Data!D163,"")</f>
        <v/>
      </c>
      <c r="W171" s="134" t="str">
        <f>IF(Data!$B163='Team Parser'!$B$1, Data!H163,"")</f>
        <v/>
      </c>
      <c r="X171" s="134" t="str">
        <f>IF(Data!$B163='Team Parser'!$B$1, Data!G163,"")</f>
        <v/>
      </c>
      <c r="Y171" s="134" t="str">
        <f>IF(Data!$B163='Team Parser'!$B$1, Data!L163,"")</f>
        <v/>
      </c>
      <c r="Z171" s="134" t="str">
        <f>IF(Data!$B163='Team Parser'!$B$1, Data!K163,"")</f>
        <v/>
      </c>
      <c r="AA171" s="134" t="str">
        <f>IF(Data!$B163='Team Parser'!$B$1, Data!M163,"")</f>
        <v/>
      </c>
      <c r="AB171" s="134" t="str">
        <f>IF(Data!$B163='Team Parser'!$B$1,((Z171*2)+(Y171)+(X171*4)+(W171*2)),"")</f>
        <v/>
      </c>
      <c r="AC171" s="134" t="str">
        <f>IF(Data!$B163='Team Parser'!$B$1, Data!N163,"")</f>
        <v/>
      </c>
      <c r="AD171" s="139" t="str">
        <f>IF(Data!$B163='Team Parser'!$B$1,(AB171+(COUNTIF(AC171,"TRAVERSE")*15)+(COUNTIF(AC171,"HIGH")*10)+(COUNTIF(AC171,"MIDDLE")*6)+(COUNTIF(AC171,"LOW")*4)),"")</f>
        <v/>
      </c>
    </row>
    <row r="172">
      <c r="A172" s="133" t="s">
        <v>507</v>
      </c>
      <c r="B172" s="134" t="str">
        <f>IFERROR(__xludf.DUMMYFUNCTION("IFERROR((FILTER(Data!H:H,Data!D:D=A172,Data!B:B=$B$1)),"""")"),"")</f>
        <v/>
      </c>
      <c r="C172" s="134" t="str">
        <f>IFERROR(__xludf.DUMMYFUNCTION("IFERROR((FILTER(Data!G:G,Data!D:D=A172,Data!B:B=$B$1)),"""")"),"")</f>
        <v/>
      </c>
      <c r="D172" s="134" t="str">
        <f>IFERROR(__xludf.DUMMYFUNCTION("IFERROR((FILTER(Data!J:J,Data!D:D=A172,Data!B:B=$B$1)),"""")"),"")</f>
        <v/>
      </c>
      <c r="E172" s="134" t="str">
        <f>IFERROR(__xludf.DUMMYFUNCTION("IFERROR((FILTER(Data!L:L,Data!D:D=A172,Data!B:B=$B$1)),"""")"),"")</f>
        <v/>
      </c>
      <c r="F172" s="134" t="str">
        <f>IFERROR(__xludf.DUMMYFUNCTION("IFERROR((FILTER(Data!K:K,Data!D:D=A172,Data!B:B=$B$1)),"""")"),"")</f>
        <v/>
      </c>
      <c r="G172" s="134" t="str">
        <f>IFERROR(__xludf.DUMMYFUNCTION("IFERROR((FILTER(Data!M:M,Data!D:D=A172,Data!B:B=$B$1)),"""")"),"")</f>
        <v/>
      </c>
      <c r="H172" s="134" t="str">
        <f>IFERROR(__xludf.DUMMYFUNCTION("IFERROR((FILTER(Data!G:G,Data!D:D=A172,Data!B:B=$B$1)*4)+(FILTER(Data!H:H,Data!D:D=A172,Data!B:B=$B$1)*2),"""")"),"")</f>
        <v/>
      </c>
      <c r="I172" s="15" t="str">
        <f>IFERROR(__xludf.DUMMYFUNCTION("IFERROR((FILTER(Data!K:K,Data!D:D=A172,Data!B:B=$B$1)*2)+(FILTER(Data!L:L,Data!D:D=A172,Data!B:B=$B$1)),"""")"),"")</f>
        <v/>
      </c>
      <c r="J172" s="134" t="str">
        <f>IFERROR(__xludf.DUMMYFUNCTION("IFERROR((FILTER(Data!N:N,Data!D:D=A172,Data!B:B=$B$1)),"""")"),"")</f>
        <v/>
      </c>
      <c r="K172" s="135" t="str">
        <f>IFERROR(__xludf.DUMMYFUNCTION("IFERROR((FILTER(Data!H:H,Data!D:D=A172,Data!B:B=$B$1)*2)+(FILTER(Data!L:L,Data!D:D=A172,Data!B:B=$B$1))+(FILTER(Data!G:G,Data!D:D=A172,Data!B:B=$B$1)*4)+(FILTER(Data!K:K,Data!D:D=A172,Data!B:B=$B$1)*2)+(((COUNTIF(FILTER(Data!N:N,Data!D:D=A172,Data!B:B=$B$"&amp;"1),""TRAVERSE"")*15)+(COUNTIF(FILTER(Data!N:N,Data!D:D=A172,Data!B:B=$B$1),""HIGH"")*10)+(COUNTIF(FILTER(Data!N:N,Data!D:D=A172,Data!B:B=$B$1),""MIDDLE"")*6)+(COUNTIF(FILTER(Data!N:N,Data!D:D=A172,Data!B:B=$B$1),""LOW"")*4))),"""")"),"")</f>
        <v/>
      </c>
      <c r="L172" s="136" t="str">
        <f>IFERROR(__xludf.DUMMYFUNCTION("IFERROR((FILTER(Data!P:P,Data!D:D=A172,Data!B:B=$B$1)),"""")"),"")</f>
        <v/>
      </c>
      <c r="M172" s="137" t="str">
        <f>IFERROR(__xludf.DUMMYFUNCTION("IFERROR((FILTER(Data!A:A,Data!D:D=A172,Data!B:B=$B$1)),"""")"),"")</f>
        <v/>
      </c>
      <c r="T172" s="52">
        <f>IFERROR(__xludf.DUMMYFUNCTION("((COUNTIF(FILTER(Data!N:N,Data!D:D=A172,Data!B:B=$B$1),""TRAVERSE"")*15)+(COUNTIF(FILTER(Data!N:N,Data!D:D=A172,Data!B:B=B$1),""HIGH"")*10)+(COUNTIF(FILTER(Data!N:N,Data!D:D=A172,Data!B:B=$B$1),""MIDDLE"")*6)+(COUNTIF(FILTER(Data!N:N,Data!D:D=A172,Data!B:"&amp;"B=$B$1),""LOW"")*4))"),0.0)</f>
        <v>0</v>
      </c>
      <c r="V172" s="138" t="str">
        <f>IF(Data!B164='Team Parser'!$B$1, Data!D164,"")</f>
        <v/>
      </c>
      <c r="W172" s="134" t="str">
        <f>IF(Data!$B164='Team Parser'!$B$1, Data!H164,"")</f>
        <v/>
      </c>
      <c r="X172" s="134" t="str">
        <f>IF(Data!$B164='Team Parser'!$B$1, Data!G164,"")</f>
        <v/>
      </c>
      <c r="Y172" s="134" t="str">
        <f>IF(Data!$B164='Team Parser'!$B$1, Data!L164,"")</f>
        <v/>
      </c>
      <c r="Z172" s="134" t="str">
        <f>IF(Data!$B164='Team Parser'!$B$1, Data!K164,"")</f>
        <v/>
      </c>
      <c r="AA172" s="134" t="str">
        <f>IF(Data!$B164='Team Parser'!$B$1, Data!M164,"")</f>
        <v/>
      </c>
      <c r="AB172" s="134" t="str">
        <f>IF(Data!$B164='Team Parser'!$B$1,((Z172*2)+(Y172)+(X172*4)+(W172*2)),"")</f>
        <v/>
      </c>
      <c r="AC172" s="134" t="str">
        <f>IF(Data!$B164='Team Parser'!$B$1, Data!N164,"")</f>
        <v/>
      </c>
      <c r="AD172" s="139" t="str">
        <f>IF(Data!$B164='Team Parser'!$B$1,(AB172+(COUNTIF(AC172,"TRAVERSE")*15)+(COUNTIF(AC172,"HIGH")*10)+(COUNTIF(AC172,"MIDDLE")*6)+(COUNTIF(AC172,"LOW")*4)),"")</f>
        <v/>
      </c>
    </row>
    <row r="173">
      <c r="A173" s="133" t="s">
        <v>507</v>
      </c>
      <c r="B173" s="134" t="str">
        <f>IFERROR(__xludf.DUMMYFUNCTION("IFERROR((FILTER(Data!H:H,Data!D:D=A173,Data!B:B=$B$1)),"""")"),"")</f>
        <v/>
      </c>
      <c r="C173" s="134" t="str">
        <f>IFERROR(__xludf.DUMMYFUNCTION("IFERROR((FILTER(Data!G:G,Data!D:D=A173,Data!B:B=$B$1)),"""")"),"")</f>
        <v/>
      </c>
      <c r="D173" s="134" t="str">
        <f>IFERROR(__xludf.DUMMYFUNCTION("IFERROR((FILTER(Data!J:J,Data!D:D=A173,Data!B:B=$B$1)),"""")"),"")</f>
        <v/>
      </c>
      <c r="E173" s="134" t="str">
        <f>IFERROR(__xludf.DUMMYFUNCTION("IFERROR((FILTER(Data!L:L,Data!D:D=A173,Data!B:B=$B$1)),"""")"),"")</f>
        <v/>
      </c>
      <c r="F173" s="134" t="str">
        <f>IFERROR(__xludf.DUMMYFUNCTION("IFERROR((FILTER(Data!K:K,Data!D:D=A173,Data!B:B=$B$1)),"""")"),"")</f>
        <v/>
      </c>
      <c r="G173" s="134" t="str">
        <f>IFERROR(__xludf.DUMMYFUNCTION("IFERROR((FILTER(Data!M:M,Data!D:D=A173,Data!B:B=$B$1)),"""")"),"")</f>
        <v/>
      </c>
      <c r="H173" s="134" t="str">
        <f>IFERROR(__xludf.DUMMYFUNCTION("IFERROR((FILTER(Data!G:G,Data!D:D=A173,Data!B:B=$B$1)*4)+(FILTER(Data!H:H,Data!D:D=A173,Data!B:B=$B$1)*2),"""")"),"")</f>
        <v/>
      </c>
      <c r="I173" s="15" t="str">
        <f>IFERROR(__xludf.DUMMYFUNCTION("IFERROR((FILTER(Data!K:K,Data!D:D=A173,Data!B:B=$B$1)*2)+(FILTER(Data!L:L,Data!D:D=A173,Data!B:B=$B$1)),"""")"),"")</f>
        <v/>
      </c>
      <c r="J173" s="134" t="str">
        <f>IFERROR(__xludf.DUMMYFUNCTION("IFERROR((FILTER(Data!N:N,Data!D:D=A173,Data!B:B=$B$1)),"""")"),"")</f>
        <v/>
      </c>
      <c r="K173" s="135" t="str">
        <f>IFERROR(__xludf.DUMMYFUNCTION("IFERROR((FILTER(Data!H:H,Data!D:D=A173,Data!B:B=$B$1)*2)+(FILTER(Data!L:L,Data!D:D=A173,Data!B:B=$B$1))+(FILTER(Data!G:G,Data!D:D=A173,Data!B:B=$B$1)*4)+(FILTER(Data!K:K,Data!D:D=A173,Data!B:B=$B$1)*2)+(((COUNTIF(FILTER(Data!N:N,Data!D:D=A173,Data!B:B=$B$"&amp;"1),""TRAVERSE"")*15)+(COUNTIF(FILTER(Data!N:N,Data!D:D=A173,Data!B:B=$B$1),""HIGH"")*10)+(COUNTIF(FILTER(Data!N:N,Data!D:D=A173,Data!B:B=$B$1),""MIDDLE"")*6)+(COUNTIF(FILTER(Data!N:N,Data!D:D=A173,Data!B:B=$B$1),""LOW"")*4))),"""")"),"")</f>
        <v/>
      </c>
      <c r="L173" s="136" t="str">
        <f>IFERROR(__xludf.DUMMYFUNCTION("IFERROR((FILTER(Data!P:P,Data!D:D=A173,Data!B:B=$B$1)),"""")"),"")</f>
        <v/>
      </c>
      <c r="M173" s="137" t="str">
        <f>IFERROR(__xludf.DUMMYFUNCTION("IFERROR((FILTER(Data!A:A,Data!D:D=A173,Data!B:B=$B$1)),"""")"),"")</f>
        <v/>
      </c>
      <c r="T173" s="52">
        <f>IFERROR(__xludf.DUMMYFUNCTION("((COUNTIF(FILTER(Data!N:N,Data!D:D=A173,Data!B:B=$B$1),""TRAVERSE"")*15)+(COUNTIF(FILTER(Data!N:N,Data!D:D=A173,Data!B:B=B$1),""HIGH"")*10)+(COUNTIF(FILTER(Data!N:N,Data!D:D=A173,Data!B:B=$B$1),""MIDDLE"")*6)+(COUNTIF(FILTER(Data!N:N,Data!D:D=A173,Data!B:"&amp;"B=$B$1),""LOW"")*4))"),0.0)</f>
        <v>0</v>
      </c>
      <c r="V173" s="138" t="str">
        <f>IF(Data!B165='Team Parser'!$B$1, Data!D165,"")</f>
        <v/>
      </c>
      <c r="W173" s="134" t="str">
        <f>IF(Data!$B165='Team Parser'!$B$1, Data!H165,"")</f>
        <v/>
      </c>
      <c r="X173" s="134" t="str">
        <f>IF(Data!$B165='Team Parser'!$B$1, Data!G165,"")</f>
        <v/>
      </c>
      <c r="Y173" s="134" t="str">
        <f>IF(Data!$B165='Team Parser'!$B$1, Data!L165,"")</f>
        <v/>
      </c>
      <c r="Z173" s="134" t="str">
        <f>IF(Data!$B165='Team Parser'!$B$1, Data!K165,"")</f>
        <v/>
      </c>
      <c r="AA173" s="134" t="str">
        <f>IF(Data!$B165='Team Parser'!$B$1, Data!M165,"")</f>
        <v/>
      </c>
      <c r="AB173" s="134" t="str">
        <f>IF(Data!$B165='Team Parser'!$B$1,((Z173*2)+(Y173)+(X173*4)+(W173*2)),"")</f>
        <v/>
      </c>
      <c r="AC173" s="134" t="str">
        <f>IF(Data!$B165='Team Parser'!$B$1, Data!N165,"")</f>
        <v/>
      </c>
      <c r="AD173" s="139" t="str">
        <f>IF(Data!$B165='Team Parser'!$B$1,(AB173+(COUNTIF(AC173,"TRAVERSE")*15)+(COUNTIF(AC173,"HIGH")*10)+(COUNTIF(AC173,"MIDDLE")*6)+(COUNTIF(AC173,"LOW")*4)),"")</f>
        <v/>
      </c>
    </row>
    <row r="174">
      <c r="A174" s="133" t="s">
        <v>507</v>
      </c>
      <c r="B174" s="134" t="str">
        <f>IFERROR(__xludf.DUMMYFUNCTION("IFERROR((FILTER(Data!H:H,Data!D:D=A174,Data!B:B=$B$1)),"""")"),"")</f>
        <v/>
      </c>
      <c r="C174" s="134" t="str">
        <f>IFERROR(__xludf.DUMMYFUNCTION("IFERROR((FILTER(Data!G:G,Data!D:D=A174,Data!B:B=$B$1)),"""")"),"")</f>
        <v/>
      </c>
      <c r="D174" s="134" t="str">
        <f>IFERROR(__xludf.DUMMYFUNCTION("IFERROR((FILTER(Data!J:J,Data!D:D=A174,Data!B:B=$B$1)),"""")"),"")</f>
        <v/>
      </c>
      <c r="E174" s="134" t="str">
        <f>IFERROR(__xludf.DUMMYFUNCTION("IFERROR((FILTER(Data!L:L,Data!D:D=A174,Data!B:B=$B$1)),"""")"),"")</f>
        <v/>
      </c>
      <c r="F174" s="134" t="str">
        <f>IFERROR(__xludf.DUMMYFUNCTION("IFERROR((FILTER(Data!K:K,Data!D:D=A174,Data!B:B=$B$1)),"""")"),"")</f>
        <v/>
      </c>
      <c r="G174" s="134" t="str">
        <f>IFERROR(__xludf.DUMMYFUNCTION("IFERROR((FILTER(Data!M:M,Data!D:D=A174,Data!B:B=$B$1)),"""")"),"")</f>
        <v/>
      </c>
      <c r="H174" s="134" t="str">
        <f>IFERROR(__xludf.DUMMYFUNCTION("IFERROR((FILTER(Data!G:G,Data!D:D=A174,Data!B:B=$B$1)*4)+(FILTER(Data!H:H,Data!D:D=A174,Data!B:B=$B$1)*2),"""")"),"")</f>
        <v/>
      </c>
      <c r="I174" s="15" t="str">
        <f>IFERROR(__xludf.DUMMYFUNCTION("IFERROR((FILTER(Data!K:K,Data!D:D=A174,Data!B:B=$B$1)*2)+(FILTER(Data!L:L,Data!D:D=A174,Data!B:B=$B$1)),"""")"),"")</f>
        <v/>
      </c>
      <c r="J174" s="134" t="str">
        <f>IFERROR(__xludf.DUMMYFUNCTION("IFERROR((FILTER(Data!N:N,Data!D:D=A174,Data!B:B=$B$1)),"""")"),"")</f>
        <v/>
      </c>
      <c r="K174" s="135" t="str">
        <f>IFERROR(__xludf.DUMMYFUNCTION("IFERROR((FILTER(Data!H:H,Data!D:D=A174,Data!B:B=$B$1)*2)+(FILTER(Data!L:L,Data!D:D=A174,Data!B:B=$B$1))+(FILTER(Data!G:G,Data!D:D=A174,Data!B:B=$B$1)*4)+(FILTER(Data!K:K,Data!D:D=A174,Data!B:B=$B$1)*2)+(((COUNTIF(FILTER(Data!N:N,Data!D:D=A174,Data!B:B=$B$"&amp;"1),""TRAVERSE"")*15)+(COUNTIF(FILTER(Data!N:N,Data!D:D=A174,Data!B:B=$B$1),""HIGH"")*10)+(COUNTIF(FILTER(Data!N:N,Data!D:D=A174,Data!B:B=$B$1),""MIDDLE"")*6)+(COUNTIF(FILTER(Data!N:N,Data!D:D=A174,Data!B:B=$B$1),""LOW"")*4))),"""")"),"")</f>
        <v/>
      </c>
      <c r="L174" s="136" t="str">
        <f>IFERROR(__xludf.DUMMYFUNCTION("IFERROR((FILTER(Data!P:P,Data!D:D=A174,Data!B:B=$B$1)),"""")"),"")</f>
        <v/>
      </c>
      <c r="M174" s="137" t="str">
        <f>IFERROR(__xludf.DUMMYFUNCTION("IFERROR((FILTER(Data!A:A,Data!D:D=A174,Data!B:B=$B$1)),"""")"),"")</f>
        <v/>
      </c>
      <c r="T174" s="52">
        <f>IFERROR(__xludf.DUMMYFUNCTION("((COUNTIF(FILTER(Data!N:N,Data!D:D=A174,Data!B:B=$B$1),""TRAVERSE"")*15)+(COUNTIF(FILTER(Data!N:N,Data!D:D=A174,Data!B:B=B$1),""HIGH"")*10)+(COUNTIF(FILTER(Data!N:N,Data!D:D=A174,Data!B:B=$B$1),""MIDDLE"")*6)+(COUNTIF(FILTER(Data!N:N,Data!D:D=A174,Data!B:"&amp;"B=$B$1),""LOW"")*4))"),0.0)</f>
        <v>0</v>
      </c>
      <c r="V174" s="138" t="str">
        <f>IF(Data!B166='Team Parser'!$B$1, Data!D166,"")</f>
        <v/>
      </c>
      <c r="W174" s="134" t="str">
        <f>IF(Data!$B166='Team Parser'!$B$1, Data!H166,"")</f>
        <v/>
      </c>
      <c r="X174" s="134" t="str">
        <f>IF(Data!$B166='Team Parser'!$B$1, Data!G166,"")</f>
        <v/>
      </c>
      <c r="Y174" s="134" t="str">
        <f>IF(Data!$B166='Team Parser'!$B$1, Data!L166,"")</f>
        <v/>
      </c>
      <c r="Z174" s="134" t="str">
        <f>IF(Data!$B166='Team Parser'!$B$1, Data!K166,"")</f>
        <v/>
      </c>
      <c r="AA174" s="134" t="str">
        <f>IF(Data!$B166='Team Parser'!$B$1, Data!M166,"")</f>
        <v/>
      </c>
      <c r="AB174" s="134" t="str">
        <f>IF(Data!$B166='Team Parser'!$B$1,((Z174*2)+(Y174)+(X174*4)+(W174*2)),"")</f>
        <v/>
      </c>
      <c r="AC174" s="134" t="str">
        <f>IF(Data!$B166='Team Parser'!$B$1, Data!N166,"")</f>
        <v/>
      </c>
      <c r="AD174" s="139" t="str">
        <f>IF(Data!$B166='Team Parser'!$B$1,(AB174+(COUNTIF(AC174,"TRAVERSE")*15)+(COUNTIF(AC174,"HIGH")*10)+(COUNTIF(AC174,"MIDDLE")*6)+(COUNTIF(AC174,"LOW")*4)),"")</f>
        <v/>
      </c>
    </row>
    <row r="175">
      <c r="A175" s="133" t="s">
        <v>507</v>
      </c>
      <c r="B175" s="134" t="str">
        <f>IFERROR(__xludf.DUMMYFUNCTION("IFERROR((FILTER(Data!H:H,Data!D:D=A175,Data!B:B=$B$1)),"""")"),"")</f>
        <v/>
      </c>
      <c r="C175" s="134" t="str">
        <f>IFERROR(__xludf.DUMMYFUNCTION("IFERROR((FILTER(Data!G:G,Data!D:D=A175,Data!B:B=$B$1)),"""")"),"")</f>
        <v/>
      </c>
      <c r="D175" s="134" t="str">
        <f>IFERROR(__xludf.DUMMYFUNCTION("IFERROR((FILTER(Data!J:J,Data!D:D=A175,Data!B:B=$B$1)),"""")"),"")</f>
        <v/>
      </c>
      <c r="E175" s="134" t="str">
        <f>IFERROR(__xludf.DUMMYFUNCTION("IFERROR((FILTER(Data!L:L,Data!D:D=A175,Data!B:B=$B$1)),"""")"),"")</f>
        <v/>
      </c>
      <c r="F175" s="134" t="str">
        <f>IFERROR(__xludf.DUMMYFUNCTION("IFERROR((FILTER(Data!K:K,Data!D:D=A175,Data!B:B=$B$1)),"""")"),"")</f>
        <v/>
      </c>
      <c r="G175" s="134" t="str">
        <f>IFERROR(__xludf.DUMMYFUNCTION("IFERROR((FILTER(Data!M:M,Data!D:D=A175,Data!B:B=$B$1)),"""")"),"")</f>
        <v/>
      </c>
      <c r="H175" s="134" t="str">
        <f>IFERROR(__xludf.DUMMYFUNCTION("IFERROR((FILTER(Data!G:G,Data!D:D=A175,Data!B:B=$B$1)*4)+(FILTER(Data!H:H,Data!D:D=A175,Data!B:B=$B$1)*2),"""")"),"")</f>
        <v/>
      </c>
      <c r="I175" s="15" t="str">
        <f>IFERROR(__xludf.DUMMYFUNCTION("IFERROR((FILTER(Data!K:K,Data!D:D=A175,Data!B:B=$B$1)*2)+(FILTER(Data!L:L,Data!D:D=A175,Data!B:B=$B$1)),"""")"),"")</f>
        <v/>
      </c>
      <c r="J175" s="134" t="str">
        <f>IFERROR(__xludf.DUMMYFUNCTION("IFERROR((FILTER(Data!N:N,Data!D:D=A175,Data!B:B=$B$1)),"""")"),"")</f>
        <v/>
      </c>
      <c r="K175" s="135" t="str">
        <f>IFERROR(__xludf.DUMMYFUNCTION("IFERROR((FILTER(Data!H:H,Data!D:D=A175,Data!B:B=$B$1)*2)+(FILTER(Data!L:L,Data!D:D=A175,Data!B:B=$B$1))+(FILTER(Data!G:G,Data!D:D=A175,Data!B:B=$B$1)*4)+(FILTER(Data!K:K,Data!D:D=A175,Data!B:B=$B$1)*2)+(((COUNTIF(FILTER(Data!N:N,Data!D:D=A175,Data!B:B=$B$"&amp;"1),""TRAVERSE"")*15)+(COUNTIF(FILTER(Data!N:N,Data!D:D=A175,Data!B:B=$B$1),""HIGH"")*10)+(COUNTIF(FILTER(Data!N:N,Data!D:D=A175,Data!B:B=$B$1),""MIDDLE"")*6)+(COUNTIF(FILTER(Data!N:N,Data!D:D=A175,Data!B:B=$B$1),""LOW"")*4))),"""")"),"")</f>
        <v/>
      </c>
      <c r="L175" s="136" t="str">
        <f>IFERROR(__xludf.DUMMYFUNCTION("IFERROR((FILTER(Data!P:P,Data!D:D=A175,Data!B:B=$B$1)),"""")"),"")</f>
        <v/>
      </c>
      <c r="M175" s="137" t="str">
        <f>IFERROR(__xludf.DUMMYFUNCTION("IFERROR((FILTER(Data!A:A,Data!D:D=A175,Data!B:B=$B$1)),"""")"),"")</f>
        <v/>
      </c>
      <c r="T175" s="52">
        <f>IFERROR(__xludf.DUMMYFUNCTION("((COUNTIF(FILTER(Data!N:N,Data!D:D=A175,Data!B:B=$B$1),""TRAVERSE"")*15)+(COUNTIF(FILTER(Data!N:N,Data!D:D=A175,Data!B:B=B$1),""HIGH"")*10)+(COUNTIF(FILTER(Data!N:N,Data!D:D=A175,Data!B:B=$B$1),""MIDDLE"")*6)+(COUNTIF(FILTER(Data!N:N,Data!D:D=A175,Data!B:"&amp;"B=$B$1),""LOW"")*4))"),0.0)</f>
        <v>0</v>
      </c>
      <c r="V175" s="138" t="str">
        <f>IF(Data!B167='Team Parser'!$B$1, Data!D167,"")</f>
        <v/>
      </c>
      <c r="W175" s="134" t="str">
        <f>IF(Data!$B167='Team Parser'!$B$1, Data!H167,"")</f>
        <v/>
      </c>
      <c r="X175" s="134" t="str">
        <f>IF(Data!$B167='Team Parser'!$B$1, Data!G167,"")</f>
        <v/>
      </c>
      <c r="Y175" s="134" t="str">
        <f>IF(Data!$B167='Team Parser'!$B$1, Data!L167,"")</f>
        <v/>
      </c>
      <c r="Z175" s="134" t="str">
        <f>IF(Data!$B167='Team Parser'!$B$1, Data!K167,"")</f>
        <v/>
      </c>
      <c r="AA175" s="134" t="str">
        <f>IF(Data!$B167='Team Parser'!$B$1, Data!M167,"")</f>
        <v/>
      </c>
      <c r="AB175" s="134" t="str">
        <f>IF(Data!$B167='Team Parser'!$B$1,((Z175*2)+(Y175)+(X175*4)+(W175*2)),"")</f>
        <v/>
      </c>
      <c r="AC175" s="134" t="str">
        <f>IF(Data!$B167='Team Parser'!$B$1, Data!N167,"")</f>
        <v/>
      </c>
      <c r="AD175" s="139" t="str">
        <f>IF(Data!$B167='Team Parser'!$B$1,(AB175+(COUNTIF(AC175,"TRAVERSE")*15)+(COUNTIF(AC175,"HIGH")*10)+(COUNTIF(AC175,"MIDDLE")*6)+(COUNTIF(AC175,"LOW")*4)),"")</f>
        <v/>
      </c>
    </row>
    <row r="176">
      <c r="A176" s="133" t="s">
        <v>507</v>
      </c>
      <c r="B176" s="134" t="str">
        <f>IFERROR(__xludf.DUMMYFUNCTION("IFERROR((FILTER(Data!H:H,Data!D:D=A176,Data!B:B=$B$1)),"""")"),"")</f>
        <v/>
      </c>
      <c r="C176" s="134" t="str">
        <f>IFERROR(__xludf.DUMMYFUNCTION("IFERROR((FILTER(Data!G:G,Data!D:D=A176,Data!B:B=$B$1)),"""")"),"")</f>
        <v/>
      </c>
      <c r="D176" s="134" t="str">
        <f>IFERROR(__xludf.DUMMYFUNCTION("IFERROR((FILTER(Data!J:J,Data!D:D=A176,Data!B:B=$B$1)),"""")"),"")</f>
        <v/>
      </c>
      <c r="E176" s="134" t="str">
        <f>IFERROR(__xludf.DUMMYFUNCTION("IFERROR((FILTER(Data!L:L,Data!D:D=A176,Data!B:B=$B$1)),"""")"),"")</f>
        <v/>
      </c>
      <c r="F176" s="134" t="str">
        <f>IFERROR(__xludf.DUMMYFUNCTION("IFERROR((FILTER(Data!K:K,Data!D:D=A176,Data!B:B=$B$1)),"""")"),"")</f>
        <v/>
      </c>
      <c r="G176" s="134" t="str">
        <f>IFERROR(__xludf.DUMMYFUNCTION("IFERROR((FILTER(Data!M:M,Data!D:D=A176,Data!B:B=$B$1)),"""")"),"")</f>
        <v/>
      </c>
      <c r="H176" s="134" t="str">
        <f>IFERROR(__xludf.DUMMYFUNCTION("IFERROR((FILTER(Data!G:G,Data!D:D=A176,Data!B:B=$B$1)*4)+(FILTER(Data!H:H,Data!D:D=A176,Data!B:B=$B$1)*2),"""")"),"")</f>
        <v/>
      </c>
      <c r="I176" s="15" t="str">
        <f>IFERROR(__xludf.DUMMYFUNCTION("IFERROR((FILTER(Data!K:K,Data!D:D=A176,Data!B:B=$B$1)*2)+(FILTER(Data!L:L,Data!D:D=A176,Data!B:B=$B$1)),"""")"),"")</f>
        <v/>
      </c>
      <c r="J176" s="134" t="str">
        <f>IFERROR(__xludf.DUMMYFUNCTION("IFERROR((FILTER(Data!N:N,Data!D:D=A176,Data!B:B=$B$1)),"""")"),"")</f>
        <v/>
      </c>
      <c r="K176" s="135" t="str">
        <f>IFERROR(__xludf.DUMMYFUNCTION("IFERROR((FILTER(Data!H:H,Data!D:D=A176,Data!B:B=$B$1)*2)+(FILTER(Data!L:L,Data!D:D=A176,Data!B:B=$B$1))+(FILTER(Data!G:G,Data!D:D=A176,Data!B:B=$B$1)*4)+(FILTER(Data!K:K,Data!D:D=A176,Data!B:B=$B$1)*2)+(((COUNTIF(FILTER(Data!N:N,Data!D:D=A176,Data!B:B=$B$"&amp;"1),""TRAVERSE"")*15)+(COUNTIF(FILTER(Data!N:N,Data!D:D=A176,Data!B:B=$B$1),""HIGH"")*10)+(COUNTIF(FILTER(Data!N:N,Data!D:D=A176,Data!B:B=$B$1),""MIDDLE"")*6)+(COUNTIF(FILTER(Data!N:N,Data!D:D=A176,Data!B:B=$B$1),""LOW"")*4))),"""")"),"")</f>
        <v/>
      </c>
      <c r="L176" s="136" t="str">
        <f>IFERROR(__xludf.DUMMYFUNCTION("IFERROR((FILTER(Data!P:P,Data!D:D=A176,Data!B:B=$B$1)),"""")"),"")</f>
        <v/>
      </c>
      <c r="M176" s="137" t="str">
        <f>IFERROR(__xludf.DUMMYFUNCTION("IFERROR((FILTER(Data!A:A,Data!D:D=A176,Data!B:B=$B$1)),"""")"),"")</f>
        <v/>
      </c>
      <c r="T176" s="52">
        <f>IFERROR(__xludf.DUMMYFUNCTION("((COUNTIF(FILTER(Data!N:N,Data!D:D=A176,Data!B:B=$B$1),""TRAVERSE"")*15)+(COUNTIF(FILTER(Data!N:N,Data!D:D=A176,Data!B:B=B$1),""HIGH"")*10)+(COUNTIF(FILTER(Data!N:N,Data!D:D=A176,Data!B:B=$B$1),""MIDDLE"")*6)+(COUNTIF(FILTER(Data!N:N,Data!D:D=A176,Data!B:"&amp;"B=$B$1),""LOW"")*4))"),0.0)</f>
        <v>0</v>
      </c>
      <c r="V176" s="138" t="str">
        <f>IF(Data!B168='Team Parser'!$B$1, Data!D168,"")</f>
        <v/>
      </c>
      <c r="W176" s="134" t="str">
        <f>IF(Data!$B168='Team Parser'!$B$1, Data!H168,"")</f>
        <v/>
      </c>
      <c r="X176" s="134" t="str">
        <f>IF(Data!$B168='Team Parser'!$B$1, Data!G168,"")</f>
        <v/>
      </c>
      <c r="Y176" s="134" t="str">
        <f>IF(Data!$B168='Team Parser'!$B$1, Data!L168,"")</f>
        <v/>
      </c>
      <c r="Z176" s="134" t="str">
        <f>IF(Data!$B168='Team Parser'!$B$1, Data!K168,"")</f>
        <v/>
      </c>
      <c r="AA176" s="134" t="str">
        <f>IF(Data!$B168='Team Parser'!$B$1, Data!M168,"")</f>
        <v/>
      </c>
      <c r="AB176" s="134" t="str">
        <f>IF(Data!$B168='Team Parser'!$B$1,((Z176*2)+(Y176)+(X176*4)+(W176*2)),"")</f>
        <v/>
      </c>
      <c r="AC176" s="134" t="str">
        <f>IF(Data!$B168='Team Parser'!$B$1, Data!N168,"")</f>
        <v/>
      </c>
      <c r="AD176" s="139" t="str">
        <f>IF(Data!$B168='Team Parser'!$B$1,(AB176+(COUNTIF(AC176,"TRAVERSE")*15)+(COUNTIF(AC176,"HIGH")*10)+(COUNTIF(AC176,"MIDDLE")*6)+(COUNTIF(AC176,"LOW")*4)),"")</f>
        <v/>
      </c>
    </row>
    <row r="177">
      <c r="A177" s="133" t="s">
        <v>507</v>
      </c>
      <c r="B177" s="134" t="str">
        <f>IFERROR(__xludf.DUMMYFUNCTION("IFERROR((FILTER(Data!H:H,Data!D:D=A177,Data!B:B=$B$1)),"""")"),"")</f>
        <v/>
      </c>
      <c r="C177" s="134" t="str">
        <f>IFERROR(__xludf.DUMMYFUNCTION("IFERROR((FILTER(Data!G:G,Data!D:D=A177,Data!B:B=$B$1)),"""")"),"")</f>
        <v/>
      </c>
      <c r="D177" s="134" t="str">
        <f>IFERROR(__xludf.DUMMYFUNCTION("IFERROR((FILTER(Data!J:J,Data!D:D=A177,Data!B:B=$B$1)),"""")"),"")</f>
        <v/>
      </c>
      <c r="E177" s="134" t="str">
        <f>IFERROR(__xludf.DUMMYFUNCTION("IFERROR((FILTER(Data!L:L,Data!D:D=A177,Data!B:B=$B$1)),"""")"),"")</f>
        <v/>
      </c>
      <c r="F177" s="134" t="str">
        <f>IFERROR(__xludf.DUMMYFUNCTION("IFERROR((FILTER(Data!K:K,Data!D:D=A177,Data!B:B=$B$1)),"""")"),"")</f>
        <v/>
      </c>
      <c r="G177" s="134" t="str">
        <f>IFERROR(__xludf.DUMMYFUNCTION("IFERROR((FILTER(Data!M:M,Data!D:D=A177,Data!B:B=$B$1)),"""")"),"")</f>
        <v/>
      </c>
      <c r="H177" s="134" t="str">
        <f>IFERROR(__xludf.DUMMYFUNCTION("IFERROR((FILTER(Data!G:G,Data!D:D=A177,Data!B:B=$B$1)*4)+(FILTER(Data!H:H,Data!D:D=A177,Data!B:B=$B$1)*2),"""")"),"")</f>
        <v/>
      </c>
      <c r="I177" s="15" t="str">
        <f>IFERROR(__xludf.DUMMYFUNCTION("IFERROR((FILTER(Data!K:K,Data!D:D=A177,Data!B:B=$B$1)*2)+(FILTER(Data!L:L,Data!D:D=A177,Data!B:B=$B$1)),"""")"),"")</f>
        <v/>
      </c>
      <c r="J177" s="134" t="str">
        <f>IFERROR(__xludf.DUMMYFUNCTION("IFERROR((FILTER(Data!N:N,Data!D:D=A177,Data!B:B=$B$1)),"""")"),"")</f>
        <v/>
      </c>
      <c r="K177" s="135" t="str">
        <f>IFERROR(__xludf.DUMMYFUNCTION("IFERROR((FILTER(Data!H:H,Data!D:D=A177,Data!B:B=$B$1)*2)+(FILTER(Data!L:L,Data!D:D=A177,Data!B:B=$B$1))+(FILTER(Data!G:G,Data!D:D=A177,Data!B:B=$B$1)*4)+(FILTER(Data!K:K,Data!D:D=A177,Data!B:B=$B$1)*2)+(((COUNTIF(FILTER(Data!N:N,Data!D:D=A177,Data!B:B=$B$"&amp;"1),""TRAVERSE"")*15)+(COUNTIF(FILTER(Data!N:N,Data!D:D=A177,Data!B:B=$B$1),""HIGH"")*10)+(COUNTIF(FILTER(Data!N:N,Data!D:D=A177,Data!B:B=$B$1),""MIDDLE"")*6)+(COUNTIF(FILTER(Data!N:N,Data!D:D=A177,Data!B:B=$B$1),""LOW"")*4))),"""")"),"")</f>
        <v/>
      </c>
      <c r="L177" s="136" t="str">
        <f>IFERROR(__xludf.DUMMYFUNCTION("IFERROR((FILTER(Data!P:P,Data!D:D=A177,Data!B:B=$B$1)),"""")"),"")</f>
        <v/>
      </c>
      <c r="M177" s="137" t="str">
        <f>IFERROR(__xludf.DUMMYFUNCTION("IFERROR((FILTER(Data!A:A,Data!D:D=A177,Data!B:B=$B$1)),"""")"),"")</f>
        <v/>
      </c>
      <c r="T177" s="52">
        <f>IFERROR(__xludf.DUMMYFUNCTION("((COUNTIF(FILTER(Data!N:N,Data!D:D=A177,Data!B:B=$B$1),""TRAVERSE"")*15)+(COUNTIF(FILTER(Data!N:N,Data!D:D=A177,Data!B:B=B$1),""HIGH"")*10)+(COUNTIF(FILTER(Data!N:N,Data!D:D=A177,Data!B:B=$B$1),""MIDDLE"")*6)+(COUNTIF(FILTER(Data!N:N,Data!D:D=A177,Data!B:"&amp;"B=$B$1),""LOW"")*4))"),0.0)</f>
        <v>0</v>
      </c>
      <c r="V177" s="138" t="str">
        <f>IF(Data!B169='Team Parser'!$B$1, Data!D169,"")</f>
        <v/>
      </c>
      <c r="W177" s="134" t="str">
        <f>IF(Data!$B169='Team Parser'!$B$1, Data!H169,"")</f>
        <v/>
      </c>
      <c r="X177" s="134" t="str">
        <f>IF(Data!$B169='Team Parser'!$B$1, Data!G169,"")</f>
        <v/>
      </c>
      <c r="Y177" s="134" t="str">
        <f>IF(Data!$B169='Team Parser'!$B$1, Data!L169,"")</f>
        <v/>
      </c>
      <c r="Z177" s="134" t="str">
        <f>IF(Data!$B169='Team Parser'!$B$1, Data!K169,"")</f>
        <v/>
      </c>
      <c r="AA177" s="134" t="str">
        <f>IF(Data!$B169='Team Parser'!$B$1, Data!M169,"")</f>
        <v/>
      </c>
      <c r="AB177" s="134" t="str">
        <f>IF(Data!$B169='Team Parser'!$B$1,((Z177*2)+(Y177)+(X177*4)+(W177*2)),"")</f>
        <v/>
      </c>
      <c r="AC177" s="134" t="str">
        <f>IF(Data!$B169='Team Parser'!$B$1, Data!N169,"")</f>
        <v/>
      </c>
      <c r="AD177" s="139" t="str">
        <f>IF(Data!$B169='Team Parser'!$B$1,(AB177+(COUNTIF(AC177,"TRAVERSE")*15)+(COUNTIF(AC177,"HIGH")*10)+(COUNTIF(AC177,"MIDDLE")*6)+(COUNTIF(AC177,"LOW")*4)),"")</f>
        <v/>
      </c>
    </row>
    <row r="178">
      <c r="A178" s="133" t="s">
        <v>507</v>
      </c>
      <c r="B178" s="134" t="str">
        <f>IFERROR(__xludf.DUMMYFUNCTION("IFERROR((FILTER(Data!H:H,Data!D:D=A178,Data!B:B=$B$1)),"""")"),"")</f>
        <v/>
      </c>
      <c r="C178" s="134" t="str">
        <f>IFERROR(__xludf.DUMMYFUNCTION("IFERROR((FILTER(Data!G:G,Data!D:D=A178,Data!B:B=$B$1)),"""")"),"")</f>
        <v/>
      </c>
      <c r="D178" s="134" t="str">
        <f>IFERROR(__xludf.DUMMYFUNCTION("IFERROR((FILTER(Data!J:J,Data!D:D=A178,Data!B:B=$B$1)),"""")"),"")</f>
        <v/>
      </c>
      <c r="E178" s="134" t="str">
        <f>IFERROR(__xludf.DUMMYFUNCTION("IFERROR((FILTER(Data!L:L,Data!D:D=A178,Data!B:B=$B$1)),"""")"),"")</f>
        <v/>
      </c>
      <c r="F178" s="134" t="str">
        <f>IFERROR(__xludf.DUMMYFUNCTION("IFERROR((FILTER(Data!K:K,Data!D:D=A178,Data!B:B=$B$1)),"""")"),"")</f>
        <v/>
      </c>
      <c r="G178" s="134" t="str">
        <f>IFERROR(__xludf.DUMMYFUNCTION("IFERROR((FILTER(Data!M:M,Data!D:D=A178,Data!B:B=$B$1)),"""")"),"")</f>
        <v/>
      </c>
      <c r="H178" s="134" t="str">
        <f>IFERROR(__xludf.DUMMYFUNCTION("IFERROR((FILTER(Data!G:G,Data!D:D=A178,Data!B:B=$B$1)*4)+(FILTER(Data!H:H,Data!D:D=A178,Data!B:B=$B$1)*2),"""")"),"")</f>
        <v/>
      </c>
      <c r="I178" s="15" t="str">
        <f>IFERROR(__xludf.DUMMYFUNCTION("IFERROR((FILTER(Data!K:K,Data!D:D=A178,Data!B:B=$B$1)*2)+(FILTER(Data!L:L,Data!D:D=A178,Data!B:B=$B$1)),"""")"),"")</f>
        <v/>
      </c>
      <c r="J178" s="134" t="str">
        <f>IFERROR(__xludf.DUMMYFUNCTION("IFERROR((FILTER(Data!N:N,Data!D:D=A178,Data!B:B=$B$1)),"""")"),"")</f>
        <v/>
      </c>
      <c r="K178" s="135" t="str">
        <f>IFERROR(__xludf.DUMMYFUNCTION("IFERROR((FILTER(Data!H:H,Data!D:D=A178,Data!B:B=$B$1)*2)+(FILTER(Data!L:L,Data!D:D=A178,Data!B:B=$B$1))+(FILTER(Data!G:G,Data!D:D=A178,Data!B:B=$B$1)*4)+(FILTER(Data!K:K,Data!D:D=A178,Data!B:B=$B$1)*2)+(((COUNTIF(FILTER(Data!N:N,Data!D:D=A178,Data!B:B=$B$"&amp;"1),""TRAVERSE"")*15)+(COUNTIF(FILTER(Data!N:N,Data!D:D=A178,Data!B:B=$B$1),""HIGH"")*10)+(COUNTIF(FILTER(Data!N:N,Data!D:D=A178,Data!B:B=$B$1),""MIDDLE"")*6)+(COUNTIF(FILTER(Data!N:N,Data!D:D=A178,Data!B:B=$B$1),""LOW"")*4))),"""")"),"")</f>
        <v/>
      </c>
      <c r="L178" s="136" t="str">
        <f>IFERROR(__xludf.DUMMYFUNCTION("IFERROR((FILTER(Data!P:P,Data!D:D=A178,Data!B:B=$B$1)),"""")"),"")</f>
        <v/>
      </c>
      <c r="M178" s="137" t="str">
        <f>IFERROR(__xludf.DUMMYFUNCTION("IFERROR((FILTER(Data!A:A,Data!D:D=A178,Data!B:B=$B$1)),"""")"),"")</f>
        <v/>
      </c>
      <c r="T178" s="52">
        <f>IFERROR(__xludf.DUMMYFUNCTION("((COUNTIF(FILTER(Data!N:N,Data!D:D=A178,Data!B:B=$B$1),""TRAVERSE"")*15)+(COUNTIF(FILTER(Data!N:N,Data!D:D=A178,Data!B:B=B$1),""HIGH"")*10)+(COUNTIF(FILTER(Data!N:N,Data!D:D=A178,Data!B:B=$B$1),""MIDDLE"")*6)+(COUNTIF(FILTER(Data!N:N,Data!D:D=A178,Data!B:"&amp;"B=$B$1),""LOW"")*4))"),0.0)</f>
        <v>0</v>
      </c>
      <c r="V178" s="138" t="str">
        <f>IF(Data!B170='Team Parser'!$B$1, Data!D170,"")</f>
        <v/>
      </c>
      <c r="W178" s="134" t="str">
        <f>IF(Data!$B170='Team Parser'!$B$1, Data!H170,"")</f>
        <v/>
      </c>
      <c r="X178" s="134" t="str">
        <f>IF(Data!$B170='Team Parser'!$B$1, Data!G170,"")</f>
        <v/>
      </c>
      <c r="Y178" s="134" t="str">
        <f>IF(Data!$B170='Team Parser'!$B$1, Data!L170,"")</f>
        <v/>
      </c>
      <c r="Z178" s="134" t="str">
        <f>IF(Data!$B170='Team Parser'!$B$1, Data!K170,"")</f>
        <v/>
      </c>
      <c r="AA178" s="134" t="str">
        <f>IF(Data!$B170='Team Parser'!$B$1, Data!M170,"")</f>
        <v/>
      </c>
      <c r="AB178" s="134" t="str">
        <f>IF(Data!$B170='Team Parser'!$B$1,((Z178*2)+(Y178)+(X178*4)+(W178*2)),"")</f>
        <v/>
      </c>
      <c r="AC178" s="134" t="str">
        <f>IF(Data!$B170='Team Parser'!$B$1, Data!N170,"")</f>
        <v/>
      </c>
      <c r="AD178" s="139" t="str">
        <f>IF(Data!$B170='Team Parser'!$B$1,(AB178+(COUNTIF(AC178,"TRAVERSE")*15)+(COUNTIF(AC178,"HIGH")*10)+(COUNTIF(AC178,"MIDDLE")*6)+(COUNTIF(AC178,"LOW")*4)),"")</f>
        <v/>
      </c>
    </row>
    <row r="179">
      <c r="A179" s="133" t="s">
        <v>507</v>
      </c>
      <c r="B179" s="134" t="str">
        <f>IFERROR(__xludf.DUMMYFUNCTION("IFERROR((FILTER(Data!H:H,Data!D:D=A179,Data!B:B=$B$1)),"""")"),"")</f>
        <v/>
      </c>
      <c r="C179" s="134" t="str">
        <f>IFERROR(__xludf.DUMMYFUNCTION("IFERROR((FILTER(Data!G:G,Data!D:D=A179,Data!B:B=$B$1)),"""")"),"")</f>
        <v/>
      </c>
      <c r="D179" s="134" t="str">
        <f>IFERROR(__xludf.DUMMYFUNCTION("IFERROR((FILTER(Data!J:J,Data!D:D=A179,Data!B:B=$B$1)),"""")"),"")</f>
        <v/>
      </c>
      <c r="E179" s="134" t="str">
        <f>IFERROR(__xludf.DUMMYFUNCTION("IFERROR((FILTER(Data!L:L,Data!D:D=A179,Data!B:B=$B$1)),"""")"),"")</f>
        <v/>
      </c>
      <c r="F179" s="134" t="str">
        <f>IFERROR(__xludf.DUMMYFUNCTION("IFERROR((FILTER(Data!K:K,Data!D:D=A179,Data!B:B=$B$1)),"""")"),"")</f>
        <v/>
      </c>
      <c r="G179" s="134" t="str">
        <f>IFERROR(__xludf.DUMMYFUNCTION("IFERROR((FILTER(Data!M:M,Data!D:D=A179,Data!B:B=$B$1)),"""")"),"")</f>
        <v/>
      </c>
      <c r="H179" s="134" t="str">
        <f>IFERROR(__xludf.DUMMYFUNCTION("IFERROR((FILTER(Data!G:G,Data!D:D=A179,Data!B:B=$B$1)*4)+(FILTER(Data!H:H,Data!D:D=A179,Data!B:B=$B$1)*2),"""")"),"")</f>
        <v/>
      </c>
      <c r="I179" s="15" t="str">
        <f>IFERROR(__xludf.DUMMYFUNCTION("IFERROR((FILTER(Data!K:K,Data!D:D=A179,Data!B:B=$B$1)*2)+(FILTER(Data!L:L,Data!D:D=A179,Data!B:B=$B$1)),"""")"),"")</f>
        <v/>
      </c>
      <c r="J179" s="134" t="str">
        <f>IFERROR(__xludf.DUMMYFUNCTION("IFERROR((FILTER(Data!N:N,Data!D:D=A179,Data!B:B=$B$1)),"""")"),"")</f>
        <v/>
      </c>
      <c r="K179" s="135" t="str">
        <f>IFERROR(__xludf.DUMMYFUNCTION("IFERROR((FILTER(Data!H:H,Data!D:D=A179,Data!B:B=$B$1)*2)+(FILTER(Data!L:L,Data!D:D=A179,Data!B:B=$B$1))+(FILTER(Data!G:G,Data!D:D=A179,Data!B:B=$B$1)*4)+(FILTER(Data!K:K,Data!D:D=A179,Data!B:B=$B$1)*2)+(((COUNTIF(FILTER(Data!N:N,Data!D:D=A179,Data!B:B=$B$"&amp;"1),""TRAVERSE"")*15)+(COUNTIF(FILTER(Data!N:N,Data!D:D=A179,Data!B:B=$B$1),""HIGH"")*10)+(COUNTIF(FILTER(Data!N:N,Data!D:D=A179,Data!B:B=$B$1),""MIDDLE"")*6)+(COUNTIF(FILTER(Data!N:N,Data!D:D=A179,Data!B:B=$B$1),""LOW"")*4))),"""")"),"")</f>
        <v/>
      </c>
      <c r="L179" s="136" t="str">
        <f>IFERROR(__xludf.DUMMYFUNCTION("IFERROR((FILTER(Data!P:P,Data!D:D=A179,Data!B:B=$B$1)),"""")"),"")</f>
        <v/>
      </c>
      <c r="M179" s="137" t="str">
        <f>IFERROR(__xludf.DUMMYFUNCTION("IFERROR((FILTER(Data!A:A,Data!D:D=A179,Data!B:B=$B$1)),"""")"),"")</f>
        <v/>
      </c>
      <c r="T179" s="52">
        <f>IFERROR(__xludf.DUMMYFUNCTION("((COUNTIF(FILTER(Data!N:N,Data!D:D=A179,Data!B:B=$B$1),""TRAVERSE"")*15)+(COUNTIF(FILTER(Data!N:N,Data!D:D=A179,Data!B:B=B$1),""HIGH"")*10)+(COUNTIF(FILTER(Data!N:N,Data!D:D=A179,Data!B:B=$B$1),""MIDDLE"")*6)+(COUNTIF(FILTER(Data!N:N,Data!D:D=A179,Data!B:"&amp;"B=$B$1),""LOW"")*4))"),0.0)</f>
        <v>0</v>
      </c>
      <c r="V179" s="138" t="str">
        <f>IF(Data!B171='Team Parser'!$B$1, Data!D171,"")</f>
        <v/>
      </c>
      <c r="W179" s="134" t="str">
        <f>IF(Data!$B171='Team Parser'!$B$1, Data!H171,"")</f>
        <v/>
      </c>
      <c r="X179" s="134" t="str">
        <f>IF(Data!$B171='Team Parser'!$B$1, Data!G171,"")</f>
        <v/>
      </c>
      <c r="Y179" s="134" t="str">
        <f>IF(Data!$B171='Team Parser'!$B$1, Data!L171,"")</f>
        <v/>
      </c>
      <c r="Z179" s="134" t="str">
        <f>IF(Data!$B171='Team Parser'!$B$1, Data!K171,"")</f>
        <v/>
      </c>
      <c r="AA179" s="134" t="str">
        <f>IF(Data!$B171='Team Parser'!$B$1, Data!M171,"")</f>
        <v/>
      </c>
      <c r="AB179" s="134" t="str">
        <f>IF(Data!$B171='Team Parser'!$B$1,((Z179*2)+(Y179)+(X179*4)+(W179*2)),"")</f>
        <v/>
      </c>
      <c r="AC179" s="134" t="str">
        <f>IF(Data!$B171='Team Parser'!$B$1, Data!N171,"")</f>
        <v/>
      </c>
      <c r="AD179" s="139" t="str">
        <f>IF(Data!$B171='Team Parser'!$B$1,(AB179+(COUNTIF(AC179,"TRAVERSE")*15)+(COUNTIF(AC179,"HIGH")*10)+(COUNTIF(AC179,"MIDDLE")*6)+(COUNTIF(AC179,"LOW")*4)),"")</f>
        <v/>
      </c>
    </row>
    <row r="180">
      <c r="A180" s="133" t="s">
        <v>507</v>
      </c>
      <c r="B180" s="134" t="str">
        <f>IFERROR(__xludf.DUMMYFUNCTION("IFERROR((FILTER(Data!H:H,Data!D:D=A180,Data!B:B=$B$1)),"""")"),"")</f>
        <v/>
      </c>
      <c r="C180" s="134" t="str">
        <f>IFERROR(__xludf.DUMMYFUNCTION("IFERROR((FILTER(Data!G:G,Data!D:D=A180,Data!B:B=$B$1)),"""")"),"")</f>
        <v/>
      </c>
      <c r="D180" s="134" t="str">
        <f>IFERROR(__xludf.DUMMYFUNCTION("IFERROR((FILTER(Data!J:J,Data!D:D=A180,Data!B:B=$B$1)),"""")"),"")</f>
        <v/>
      </c>
      <c r="E180" s="134" t="str">
        <f>IFERROR(__xludf.DUMMYFUNCTION("IFERROR((FILTER(Data!L:L,Data!D:D=A180,Data!B:B=$B$1)),"""")"),"")</f>
        <v/>
      </c>
      <c r="F180" s="134" t="str">
        <f>IFERROR(__xludf.DUMMYFUNCTION("IFERROR((FILTER(Data!K:K,Data!D:D=A180,Data!B:B=$B$1)),"""")"),"")</f>
        <v/>
      </c>
      <c r="G180" s="134" t="str">
        <f>IFERROR(__xludf.DUMMYFUNCTION("IFERROR((FILTER(Data!M:M,Data!D:D=A180,Data!B:B=$B$1)),"""")"),"")</f>
        <v/>
      </c>
      <c r="H180" s="134" t="str">
        <f>IFERROR(__xludf.DUMMYFUNCTION("IFERROR((FILTER(Data!G:G,Data!D:D=A180,Data!B:B=$B$1)*4)+(FILTER(Data!H:H,Data!D:D=A180,Data!B:B=$B$1)*2),"""")"),"")</f>
        <v/>
      </c>
      <c r="I180" s="15" t="str">
        <f>IFERROR(__xludf.DUMMYFUNCTION("IFERROR((FILTER(Data!K:K,Data!D:D=A180,Data!B:B=$B$1)*2)+(FILTER(Data!L:L,Data!D:D=A180,Data!B:B=$B$1)),"""")"),"")</f>
        <v/>
      </c>
      <c r="J180" s="134" t="str">
        <f>IFERROR(__xludf.DUMMYFUNCTION("IFERROR((FILTER(Data!N:N,Data!D:D=A180,Data!B:B=$B$1)),"""")"),"")</f>
        <v/>
      </c>
      <c r="K180" s="135" t="str">
        <f>IFERROR(__xludf.DUMMYFUNCTION("IFERROR((FILTER(Data!H:H,Data!D:D=A180,Data!B:B=$B$1)*2)+(FILTER(Data!L:L,Data!D:D=A180,Data!B:B=$B$1))+(FILTER(Data!G:G,Data!D:D=A180,Data!B:B=$B$1)*4)+(FILTER(Data!K:K,Data!D:D=A180,Data!B:B=$B$1)*2)+(((COUNTIF(FILTER(Data!N:N,Data!D:D=A180,Data!B:B=$B$"&amp;"1),""TRAVERSE"")*15)+(COUNTIF(FILTER(Data!N:N,Data!D:D=A180,Data!B:B=$B$1),""HIGH"")*10)+(COUNTIF(FILTER(Data!N:N,Data!D:D=A180,Data!B:B=$B$1),""MIDDLE"")*6)+(COUNTIF(FILTER(Data!N:N,Data!D:D=A180,Data!B:B=$B$1),""LOW"")*4))),"""")"),"")</f>
        <v/>
      </c>
      <c r="L180" s="136" t="str">
        <f>IFERROR(__xludf.DUMMYFUNCTION("IFERROR((FILTER(Data!P:P,Data!D:D=A180,Data!B:B=$B$1)),"""")"),"")</f>
        <v/>
      </c>
      <c r="M180" s="137" t="str">
        <f>IFERROR(__xludf.DUMMYFUNCTION("IFERROR((FILTER(Data!A:A,Data!D:D=A180,Data!B:B=$B$1)),"""")"),"")</f>
        <v/>
      </c>
      <c r="T180" s="52">
        <f>IFERROR(__xludf.DUMMYFUNCTION("((COUNTIF(FILTER(Data!N:N,Data!D:D=A180,Data!B:B=$B$1),""TRAVERSE"")*15)+(COUNTIF(FILTER(Data!N:N,Data!D:D=A180,Data!B:B=B$1),""HIGH"")*10)+(COUNTIF(FILTER(Data!N:N,Data!D:D=A180,Data!B:B=$B$1),""MIDDLE"")*6)+(COUNTIF(FILTER(Data!N:N,Data!D:D=A180,Data!B:"&amp;"B=$B$1),""LOW"")*4))"),0.0)</f>
        <v>0</v>
      </c>
      <c r="V180" s="138" t="str">
        <f>IF(Data!B172='Team Parser'!$B$1, Data!D172,"")</f>
        <v/>
      </c>
      <c r="W180" s="134" t="str">
        <f>IF(Data!$B172='Team Parser'!$B$1, Data!H172,"")</f>
        <v/>
      </c>
      <c r="X180" s="134" t="str">
        <f>IF(Data!$B172='Team Parser'!$B$1, Data!G172,"")</f>
        <v/>
      </c>
      <c r="Y180" s="134" t="str">
        <f>IF(Data!$B172='Team Parser'!$B$1, Data!L172,"")</f>
        <v/>
      </c>
      <c r="Z180" s="134" t="str">
        <f>IF(Data!$B172='Team Parser'!$B$1, Data!K172,"")</f>
        <v/>
      </c>
      <c r="AA180" s="134" t="str">
        <f>IF(Data!$B172='Team Parser'!$B$1, Data!M172,"")</f>
        <v/>
      </c>
      <c r="AB180" s="134" t="str">
        <f>IF(Data!$B172='Team Parser'!$B$1,((Z180*2)+(Y180)+(X180*4)+(W180*2)),"")</f>
        <v/>
      </c>
      <c r="AC180" s="134" t="str">
        <f>IF(Data!$B172='Team Parser'!$B$1, Data!N172,"")</f>
        <v/>
      </c>
      <c r="AD180" s="139" t="str">
        <f>IF(Data!$B172='Team Parser'!$B$1,(AB180+(COUNTIF(AC180,"TRAVERSE")*15)+(COUNTIF(AC180,"HIGH")*10)+(COUNTIF(AC180,"MIDDLE")*6)+(COUNTIF(AC180,"LOW")*4)),"")</f>
        <v/>
      </c>
    </row>
    <row r="181">
      <c r="A181" s="133" t="s">
        <v>507</v>
      </c>
      <c r="B181" s="134" t="str">
        <f>IFERROR(__xludf.DUMMYFUNCTION("IFERROR((FILTER(Data!H:H,Data!D:D=A181,Data!B:B=$B$1)),"""")"),"")</f>
        <v/>
      </c>
      <c r="C181" s="134" t="str">
        <f>IFERROR(__xludf.DUMMYFUNCTION("IFERROR((FILTER(Data!G:G,Data!D:D=A181,Data!B:B=$B$1)),"""")"),"")</f>
        <v/>
      </c>
      <c r="D181" s="134" t="str">
        <f>IFERROR(__xludf.DUMMYFUNCTION("IFERROR((FILTER(Data!J:J,Data!D:D=A181,Data!B:B=$B$1)),"""")"),"")</f>
        <v/>
      </c>
      <c r="E181" s="134" t="str">
        <f>IFERROR(__xludf.DUMMYFUNCTION("IFERROR((FILTER(Data!L:L,Data!D:D=A181,Data!B:B=$B$1)),"""")"),"")</f>
        <v/>
      </c>
      <c r="F181" s="134" t="str">
        <f>IFERROR(__xludf.DUMMYFUNCTION("IFERROR((FILTER(Data!K:K,Data!D:D=A181,Data!B:B=$B$1)),"""")"),"")</f>
        <v/>
      </c>
      <c r="G181" s="134" t="str">
        <f>IFERROR(__xludf.DUMMYFUNCTION("IFERROR((FILTER(Data!M:M,Data!D:D=A181,Data!B:B=$B$1)),"""")"),"")</f>
        <v/>
      </c>
      <c r="H181" s="134" t="str">
        <f>IFERROR(__xludf.DUMMYFUNCTION("IFERROR((FILTER(Data!G:G,Data!D:D=A181,Data!B:B=$B$1)*4)+(FILTER(Data!H:H,Data!D:D=A181,Data!B:B=$B$1)*2),"""")"),"")</f>
        <v/>
      </c>
      <c r="I181" s="15" t="str">
        <f>IFERROR(__xludf.DUMMYFUNCTION("IFERROR((FILTER(Data!K:K,Data!D:D=A181,Data!B:B=$B$1)*2)+(FILTER(Data!L:L,Data!D:D=A181,Data!B:B=$B$1)),"""")"),"")</f>
        <v/>
      </c>
      <c r="J181" s="134" t="str">
        <f>IFERROR(__xludf.DUMMYFUNCTION("IFERROR((FILTER(Data!N:N,Data!D:D=A181,Data!B:B=$B$1)),"""")"),"")</f>
        <v/>
      </c>
      <c r="K181" s="135" t="str">
        <f>IFERROR(__xludf.DUMMYFUNCTION("IFERROR((FILTER(Data!H:H,Data!D:D=A181,Data!B:B=$B$1)*2)+(FILTER(Data!L:L,Data!D:D=A181,Data!B:B=$B$1))+(FILTER(Data!G:G,Data!D:D=A181,Data!B:B=$B$1)*4)+(FILTER(Data!K:K,Data!D:D=A181,Data!B:B=$B$1)*2)+(((COUNTIF(FILTER(Data!N:N,Data!D:D=A181,Data!B:B=$B$"&amp;"1),""TRAVERSE"")*15)+(COUNTIF(FILTER(Data!N:N,Data!D:D=A181,Data!B:B=$B$1),""HIGH"")*10)+(COUNTIF(FILTER(Data!N:N,Data!D:D=A181,Data!B:B=$B$1),""MIDDLE"")*6)+(COUNTIF(FILTER(Data!N:N,Data!D:D=A181,Data!B:B=$B$1),""LOW"")*4))),"""")"),"")</f>
        <v/>
      </c>
      <c r="L181" s="136" t="str">
        <f>IFERROR(__xludf.DUMMYFUNCTION("IFERROR((FILTER(Data!P:P,Data!D:D=A181,Data!B:B=$B$1)),"""")"),"")</f>
        <v/>
      </c>
      <c r="M181" s="137" t="str">
        <f>IFERROR(__xludf.DUMMYFUNCTION("IFERROR((FILTER(Data!A:A,Data!D:D=A181,Data!B:B=$B$1)),"""")"),"")</f>
        <v/>
      </c>
      <c r="T181" s="52">
        <f>IFERROR(__xludf.DUMMYFUNCTION("((COUNTIF(FILTER(Data!N:N,Data!D:D=A181,Data!B:B=$B$1),""TRAVERSE"")*15)+(COUNTIF(FILTER(Data!N:N,Data!D:D=A181,Data!B:B=B$1),""HIGH"")*10)+(COUNTIF(FILTER(Data!N:N,Data!D:D=A181,Data!B:B=$B$1),""MIDDLE"")*6)+(COUNTIF(FILTER(Data!N:N,Data!D:D=A181,Data!B:"&amp;"B=$B$1),""LOW"")*4))"),0.0)</f>
        <v>0</v>
      </c>
      <c r="V181" s="138" t="str">
        <f>IF(Data!B173='Team Parser'!$B$1, Data!D173,"")</f>
        <v/>
      </c>
      <c r="W181" s="134" t="str">
        <f>IF(Data!$B173='Team Parser'!$B$1, Data!H173,"")</f>
        <v/>
      </c>
      <c r="X181" s="134" t="str">
        <f>IF(Data!$B173='Team Parser'!$B$1, Data!G173,"")</f>
        <v/>
      </c>
      <c r="Y181" s="134" t="str">
        <f>IF(Data!$B173='Team Parser'!$B$1, Data!L173,"")</f>
        <v/>
      </c>
      <c r="Z181" s="134" t="str">
        <f>IF(Data!$B173='Team Parser'!$B$1, Data!K173,"")</f>
        <v/>
      </c>
      <c r="AA181" s="134" t="str">
        <f>IF(Data!$B173='Team Parser'!$B$1, Data!M173,"")</f>
        <v/>
      </c>
      <c r="AB181" s="134" t="str">
        <f>IF(Data!$B173='Team Parser'!$B$1,((Z181*2)+(Y181)+(X181*4)+(W181*2)),"")</f>
        <v/>
      </c>
      <c r="AC181" s="134" t="str">
        <f>IF(Data!$B173='Team Parser'!$B$1, Data!N173,"")</f>
        <v/>
      </c>
      <c r="AD181" s="139" t="str">
        <f>IF(Data!$B173='Team Parser'!$B$1,(AB181+(COUNTIF(AC181,"TRAVERSE")*15)+(COUNTIF(AC181,"HIGH")*10)+(COUNTIF(AC181,"MIDDLE")*6)+(COUNTIF(AC181,"LOW")*4)),"")</f>
        <v/>
      </c>
    </row>
    <row r="182">
      <c r="A182" s="133" t="s">
        <v>507</v>
      </c>
      <c r="B182" s="134" t="str">
        <f>IFERROR(__xludf.DUMMYFUNCTION("IFERROR((FILTER(Data!H:H,Data!D:D=A182,Data!B:B=$B$1)),"""")"),"")</f>
        <v/>
      </c>
      <c r="C182" s="134" t="str">
        <f>IFERROR(__xludf.DUMMYFUNCTION("IFERROR((FILTER(Data!G:G,Data!D:D=A182,Data!B:B=$B$1)),"""")"),"")</f>
        <v/>
      </c>
      <c r="D182" s="134" t="str">
        <f>IFERROR(__xludf.DUMMYFUNCTION("IFERROR((FILTER(Data!J:J,Data!D:D=A182,Data!B:B=$B$1)),"""")"),"")</f>
        <v/>
      </c>
      <c r="E182" s="134" t="str">
        <f>IFERROR(__xludf.DUMMYFUNCTION("IFERROR((FILTER(Data!L:L,Data!D:D=A182,Data!B:B=$B$1)),"""")"),"")</f>
        <v/>
      </c>
      <c r="F182" s="134" t="str">
        <f>IFERROR(__xludf.DUMMYFUNCTION("IFERROR((FILTER(Data!K:K,Data!D:D=A182,Data!B:B=$B$1)),"""")"),"")</f>
        <v/>
      </c>
      <c r="G182" s="134" t="str">
        <f>IFERROR(__xludf.DUMMYFUNCTION("IFERROR((FILTER(Data!M:M,Data!D:D=A182,Data!B:B=$B$1)),"""")"),"")</f>
        <v/>
      </c>
      <c r="H182" s="134" t="str">
        <f>IFERROR(__xludf.DUMMYFUNCTION("IFERROR((FILTER(Data!G:G,Data!D:D=A182,Data!B:B=$B$1)*4)+(FILTER(Data!H:H,Data!D:D=A182,Data!B:B=$B$1)*2),"""")"),"")</f>
        <v/>
      </c>
      <c r="I182" s="15" t="str">
        <f>IFERROR(__xludf.DUMMYFUNCTION("IFERROR((FILTER(Data!K:K,Data!D:D=A182,Data!B:B=$B$1)*2)+(FILTER(Data!L:L,Data!D:D=A182,Data!B:B=$B$1)),"""")"),"")</f>
        <v/>
      </c>
      <c r="J182" s="134" t="str">
        <f>IFERROR(__xludf.DUMMYFUNCTION("IFERROR((FILTER(Data!N:N,Data!D:D=A182,Data!B:B=$B$1)),"""")"),"")</f>
        <v/>
      </c>
      <c r="K182" s="135" t="str">
        <f>IFERROR(__xludf.DUMMYFUNCTION("IFERROR((FILTER(Data!H:H,Data!D:D=A182,Data!B:B=$B$1)*2)+(FILTER(Data!L:L,Data!D:D=A182,Data!B:B=$B$1))+(FILTER(Data!G:G,Data!D:D=A182,Data!B:B=$B$1)*4)+(FILTER(Data!K:K,Data!D:D=A182,Data!B:B=$B$1)*2)+(((COUNTIF(FILTER(Data!N:N,Data!D:D=A182,Data!B:B=$B$"&amp;"1),""TRAVERSE"")*15)+(COUNTIF(FILTER(Data!N:N,Data!D:D=A182,Data!B:B=$B$1),""HIGH"")*10)+(COUNTIF(FILTER(Data!N:N,Data!D:D=A182,Data!B:B=$B$1),""MIDDLE"")*6)+(COUNTIF(FILTER(Data!N:N,Data!D:D=A182,Data!B:B=$B$1),""LOW"")*4))),"""")"),"")</f>
        <v/>
      </c>
      <c r="L182" s="136" t="str">
        <f>IFERROR(__xludf.DUMMYFUNCTION("IFERROR((FILTER(Data!P:P,Data!D:D=A182,Data!B:B=$B$1)),"""")"),"")</f>
        <v/>
      </c>
      <c r="M182" s="137" t="str">
        <f>IFERROR(__xludf.DUMMYFUNCTION("IFERROR((FILTER(Data!A:A,Data!D:D=A182,Data!B:B=$B$1)),"""")"),"")</f>
        <v/>
      </c>
      <c r="T182" s="52">
        <f>IFERROR(__xludf.DUMMYFUNCTION("((COUNTIF(FILTER(Data!N:N,Data!D:D=A182,Data!B:B=$B$1),""TRAVERSE"")*15)+(COUNTIF(FILTER(Data!N:N,Data!D:D=A182,Data!B:B=B$1),""HIGH"")*10)+(COUNTIF(FILTER(Data!N:N,Data!D:D=A182,Data!B:B=$B$1),""MIDDLE"")*6)+(COUNTIF(FILTER(Data!N:N,Data!D:D=A182,Data!B:"&amp;"B=$B$1),""LOW"")*4))"),0.0)</f>
        <v>0</v>
      </c>
      <c r="V182" s="138" t="str">
        <f>IF(Data!B174='Team Parser'!$B$1, Data!D174,"")</f>
        <v/>
      </c>
      <c r="W182" s="134" t="str">
        <f>IF(Data!$B174='Team Parser'!$B$1, Data!H174,"")</f>
        <v/>
      </c>
      <c r="X182" s="134" t="str">
        <f>IF(Data!$B174='Team Parser'!$B$1, Data!G174,"")</f>
        <v/>
      </c>
      <c r="Y182" s="134" t="str">
        <f>IF(Data!$B174='Team Parser'!$B$1, Data!L174,"")</f>
        <v/>
      </c>
      <c r="Z182" s="134" t="str">
        <f>IF(Data!$B174='Team Parser'!$B$1, Data!K174,"")</f>
        <v/>
      </c>
      <c r="AA182" s="134" t="str">
        <f>IF(Data!$B174='Team Parser'!$B$1, Data!M174,"")</f>
        <v/>
      </c>
      <c r="AB182" s="134" t="str">
        <f>IF(Data!$B174='Team Parser'!$B$1,((Z182*2)+(Y182)+(X182*4)+(W182*2)),"")</f>
        <v/>
      </c>
      <c r="AC182" s="134" t="str">
        <f>IF(Data!$B174='Team Parser'!$B$1, Data!N174,"")</f>
        <v/>
      </c>
      <c r="AD182" s="139" t="str">
        <f>IF(Data!$B174='Team Parser'!$B$1,(AB182+(COUNTIF(AC182,"TRAVERSE")*15)+(COUNTIF(AC182,"HIGH")*10)+(COUNTIF(AC182,"MIDDLE")*6)+(COUNTIF(AC182,"LOW")*4)),"")</f>
        <v/>
      </c>
    </row>
    <row r="183">
      <c r="A183" s="133" t="s">
        <v>507</v>
      </c>
      <c r="B183" s="134" t="str">
        <f>IFERROR(__xludf.DUMMYFUNCTION("IFERROR((FILTER(Data!H:H,Data!D:D=A183,Data!B:B=$B$1)),"""")"),"")</f>
        <v/>
      </c>
      <c r="C183" s="134" t="str">
        <f>IFERROR(__xludf.DUMMYFUNCTION("IFERROR((FILTER(Data!G:G,Data!D:D=A183,Data!B:B=$B$1)),"""")"),"")</f>
        <v/>
      </c>
      <c r="D183" s="134" t="str">
        <f>IFERROR(__xludf.DUMMYFUNCTION("IFERROR((FILTER(Data!J:J,Data!D:D=A183,Data!B:B=$B$1)),"""")"),"")</f>
        <v/>
      </c>
      <c r="E183" s="134" t="str">
        <f>IFERROR(__xludf.DUMMYFUNCTION("IFERROR((FILTER(Data!L:L,Data!D:D=A183,Data!B:B=$B$1)),"""")"),"")</f>
        <v/>
      </c>
      <c r="F183" s="134" t="str">
        <f>IFERROR(__xludf.DUMMYFUNCTION("IFERROR((FILTER(Data!K:K,Data!D:D=A183,Data!B:B=$B$1)),"""")"),"")</f>
        <v/>
      </c>
      <c r="G183" s="134" t="str">
        <f>IFERROR(__xludf.DUMMYFUNCTION("IFERROR((FILTER(Data!M:M,Data!D:D=A183,Data!B:B=$B$1)),"""")"),"")</f>
        <v/>
      </c>
      <c r="H183" s="134" t="str">
        <f>IFERROR(__xludf.DUMMYFUNCTION("IFERROR((FILTER(Data!G:G,Data!D:D=A183,Data!B:B=$B$1)*4)+(FILTER(Data!H:H,Data!D:D=A183,Data!B:B=$B$1)*2),"""")"),"")</f>
        <v/>
      </c>
      <c r="I183" s="15" t="str">
        <f>IFERROR(__xludf.DUMMYFUNCTION("IFERROR((FILTER(Data!K:K,Data!D:D=A183,Data!B:B=$B$1)*2)+(FILTER(Data!L:L,Data!D:D=A183,Data!B:B=$B$1)),"""")"),"")</f>
        <v/>
      </c>
      <c r="J183" s="134" t="str">
        <f>IFERROR(__xludf.DUMMYFUNCTION("IFERROR((FILTER(Data!N:N,Data!D:D=A183,Data!B:B=$B$1)),"""")"),"")</f>
        <v/>
      </c>
      <c r="K183" s="135" t="str">
        <f>IFERROR(__xludf.DUMMYFUNCTION("IFERROR((FILTER(Data!H:H,Data!D:D=A183,Data!B:B=$B$1)*2)+(FILTER(Data!L:L,Data!D:D=A183,Data!B:B=$B$1))+(FILTER(Data!G:G,Data!D:D=A183,Data!B:B=$B$1)*4)+(FILTER(Data!K:K,Data!D:D=A183,Data!B:B=$B$1)*2)+(((COUNTIF(FILTER(Data!N:N,Data!D:D=A183,Data!B:B=$B$"&amp;"1),""TRAVERSE"")*15)+(COUNTIF(FILTER(Data!N:N,Data!D:D=A183,Data!B:B=$B$1),""HIGH"")*10)+(COUNTIF(FILTER(Data!N:N,Data!D:D=A183,Data!B:B=$B$1),""MIDDLE"")*6)+(COUNTIF(FILTER(Data!N:N,Data!D:D=A183,Data!B:B=$B$1),""LOW"")*4))),"""")"),"")</f>
        <v/>
      </c>
      <c r="L183" s="136" t="str">
        <f>IFERROR(__xludf.DUMMYFUNCTION("IFERROR((FILTER(Data!P:P,Data!D:D=A183,Data!B:B=$B$1)),"""")"),"")</f>
        <v/>
      </c>
      <c r="M183" s="137" t="str">
        <f>IFERROR(__xludf.DUMMYFUNCTION("IFERROR((FILTER(Data!A:A,Data!D:D=A183,Data!B:B=$B$1)),"""")"),"")</f>
        <v/>
      </c>
      <c r="T183" s="52">
        <f>IFERROR(__xludf.DUMMYFUNCTION("((COUNTIF(FILTER(Data!N:N,Data!D:D=A183,Data!B:B=$B$1),""TRAVERSE"")*15)+(COUNTIF(FILTER(Data!N:N,Data!D:D=A183,Data!B:B=B$1),""HIGH"")*10)+(COUNTIF(FILTER(Data!N:N,Data!D:D=A183,Data!B:B=$B$1),""MIDDLE"")*6)+(COUNTIF(FILTER(Data!N:N,Data!D:D=A183,Data!B:"&amp;"B=$B$1),""LOW"")*4))"),0.0)</f>
        <v>0</v>
      </c>
      <c r="V183" s="138" t="str">
        <f>IF(Data!B175='Team Parser'!$B$1, Data!D175,"")</f>
        <v/>
      </c>
      <c r="W183" s="134" t="str">
        <f>IF(Data!$B175='Team Parser'!$B$1, Data!H175,"")</f>
        <v/>
      </c>
      <c r="X183" s="134" t="str">
        <f>IF(Data!$B175='Team Parser'!$B$1, Data!G175,"")</f>
        <v/>
      </c>
      <c r="Y183" s="134" t="str">
        <f>IF(Data!$B175='Team Parser'!$B$1, Data!L175,"")</f>
        <v/>
      </c>
      <c r="Z183" s="134" t="str">
        <f>IF(Data!$B175='Team Parser'!$B$1, Data!K175,"")</f>
        <v/>
      </c>
      <c r="AA183" s="134" t="str">
        <f>IF(Data!$B175='Team Parser'!$B$1, Data!M175,"")</f>
        <v/>
      </c>
      <c r="AB183" s="134" t="str">
        <f>IF(Data!$B175='Team Parser'!$B$1,((Z183*2)+(Y183)+(X183*4)+(W183*2)),"")</f>
        <v/>
      </c>
      <c r="AC183" s="134" t="str">
        <f>IF(Data!$B175='Team Parser'!$B$1, Data!N175,"")</f>
        <v/>
      </c>
      <c r="AD183" s="139" t="str">
        <f>IF(Data!$B175='Team Parser'!$B$1,(AB183+(COUNTIF(AC183,"TRAVERSE")*15)+(COUNTIF(AC183,"HIGH")*10)+(COUNTIF(AC183,"MIDDLE")*6)+(COUNTIF(AC183,"LOW")*4)),"")</f>
        <v/>
      </c>
    </row>
    <row r="184">
      <c r="A184" s="133" t="s">
        <v>507</v>
      </c>
      <c r="B184" s="134" t="str">
        <f>IFERROR(__xludf.DUMMYFUNCTION("IFERROR((FILTER(Data!H:H,Data!D:D=A184,Data!B:B=$B$1)),"""")"),"")</f>
        <v/>
      </c>
      <c r="C184" s="134" t="str">
        <f>IFERROR(__xludf.DUMMYFUNCTION("IFERROR((FILTER(Data!G:G,Data!D:D=A184,Data!B:B=$B$1)),"""")"),"")</f>
        <v/>
      </c>
      <c r="D184" s="134" t="str">
        <f>IFERROR(__xludf.DUMMYFUNCTION("IFERROR((FILTER(Data!J:J,Data!D:D=A184,Data!B:B=$B$1)),"""")"),"")</f>
        <v/>
      </c>
      <c r="E184" s="134" t="str">
        <f>IFERROR(__xludf.DUMMYFUNCTION("IFERROR((FILTER(Data!L:L,Data!D:D=A184,Data!B:B=$B$1)),"""")"),"")</f>
        <v/>
      </c>
      <c r="F184" s="134" t="str">
        <f>IFERROR(__xludf.DUMMYFUNCTION("IFERROR((FILTER(Data!K:K,Data!D:D=A184,Data!B:B=$B$1)),"""")"),"")</f>
        <v/>
      </c>
      <c r="G184" s="134" t="str">
        <f>IFERROR(__xludf.DUMMYFUNCTION("IFERROR((FILTER(Data!M:M,Data!D:D=A184,Data!B:B=$B$1)),"""")"),"")</f>
        <v/>
      </c>
      <c r="H184" s="134" t="str">
        <f>IFERROR(__xludf.DUMMYFUNCTION("IFERROR((FILTER(Data!G:G,Data!D:D=A184,Data!B:B=$B$1)*4)+(FILTER(Data!H:H,Data!D:D=A184,Data!B:B=$B$1)*2),"""")"),"")</f>
        <v/>
      </c>
      <c r="I184" s="15" t="str">
        <f>IFERROR(__xludf.DUMMYFUNCTION("IFERROR((FILTER(Data!K:K,Data!D:D=A184,Data!B:B=$B$1)*2)+(FILTER(Data!L:L,Data!D:D=A184,Data!B:B=$B$1)),"""")"),"")</f>
        <v/>
      </c>
      <c r="J184" s="134" t="str">
        <f>IFERROR(__xludf.DUMMYFUNCTION("IFERROR((FILTER(Data!N:N,Data!D:D=A184,Data!B:B=$B$1)),"""")"),"")</f>
        <v/>
      </c>
      <c r="K184" s="135" t="str">
        <f>IFERROR(__xludf.DUMMYFUNCTION("IFERROR((FILTER(Data!H:H,Data!D:D=A184,Data!B:B=$B$1)*2)+(FILTER(Data!L:L,Data!D:D=A184,Data!B:B=$B$1))+(FILTER(Data!G:G,Data!D:D=A184,Data!B:B=$B$1)*4)+(FILTER(Data!K:K,Data!D:D=A184,Data!B:B=$B$1)*2)+(((COUNTIF(FILTER(Data!N:N,Data!D:D=A184,Data!B:B=$B$"&amp;"1),""TRAVERSE"")*15)+(COUNTIF(FILTER(Data!N:N,Data!D:D=A184,Data!B:B=$B$1),""HIGH"")*10)+(COUNTIF(FILTER(Data!N:N,Data!D:D=A184,Data!B:B=$B$1),""MIDDLE"")*6)+(COUNTIF(FILTER(Data!N:N,Data!D:D=A184,Data!B:B=$B$1),""LOW"")*4))),"""")"),"")</f>
        <v/>
      </c>
      <c r="L184" s="136" t="str">
        <f>IFERROR(__xludf.DUMMYFUNCTION("IFERROR((FILTER(Data!P:P,Data!D:D=A184,Data!B:B=$B$1)),"""")"),"")</f>
        <v/>
      </c>
      <c r="M184" s="137" t="str">
        <f>IFERROR(__xludf.DUMMYFUNCTION("IFERROR((FILTER(Data!A:A,Data!D:D=A184,Data!B:B=$B$1)),"""")"),"")</f>
        <v/>
      </c>
      <c r="T184" s="52">
        <f>IFERROR(__xludf.DUMMYFUNCTION("((COUNTIF(FILTER(Data!N:N,Data!D:D=A184,Data!B:B=$B$1),""TRAVERSE"")*15)+(COUNTIF(FILTER(Data!N:N,Data!D:D=A184,Data!B:B=B$1),""HIGH"")*10)+(COUNTIF(FILTER(Data!N:N,Data!D:D=A184,Data!B:B=$B$1),""MIDDLE"")*6)+(COUNTIF(FILTER(Data!N:N,Data!D:D=A184,Data!B:"&amp;"B=$B$1),""LOW"")*4))"),0.0)</f>
        <v>0</v>
      </c>
      <c r="V184" s="138" t="str">
        <f>IF(Data!B176='Team Parser'!$B$1, Data!D176,"")</f>
        <v/>
      </c>
      <c r="W184" s="134" t="str">
        <f>IF(Data!$B176='Team Parser'!$B$1, Data!H176,"")</f>
        <v/>
      </c>
      <c r="X184" s="134" t="str">
        <f>IF(Data!$B176='Team Parser'!$B$1, Data!G176,"")</f>
        <v/>
      </c>
      <c r="Y184" s="134" t="str">
        <f>IF(Data!$B176='Team Parser'!$B$1, Data!L176,"")</f>
        <v/>
      </c>
      <c r="Z184" s="134" t="str">
        <f>IF(Data!$B176='Team Parser'!$B$1, Data!K176,"")</f>
        <v/>
      </c>
      <c r="AA184" s="134" t="str">
        <f>IF(Data!$B176='Team Parser'!$B$1, Data!M176,"")</f>
        <v/>
      </c>
      <c r="AB184" s="134" t="str">
        <f>IF(Data!$B176='Team Parser'!$B$1,((Z184*2)+(Y184)+(X184*4)+(W184*2)),"")</f>
        <v/>
      </c>
      <c r="AC184" s="134" t="str">
        <f>IF(Data!$B176='Team Parser'!$B$1, Data!N176,"")</f>
        <v/>
      </c>
      <c r="AD184" s="139" t="str">
        <f>IF(Data!$B176='Team Parser'!$B$1,(AB184+(COUNTIF(AC184,"TRAVERSE")*15)+(COUNTIF(AC184,"HIGH")*10)+(COUNTIF(AC184,"MIDDLE")*6)+(COUNTIF(AC184,"LOW")*4)),"")</f>
        <v/>
      </c>
    </row>
    <row r="185">
      <c r="A185" s="133" t="s">
        <v>507</v>
      </c>
      <c r="B185" s="134" t="str">
        <f>IFERROR(__xludf.DUMMYFUNCTION("IFERROR((FILTER(Data!H:H,Data!D:D=A185,Data!B:B=$B$1)),"""")"),"")</f>
        <v/>
      </c>
      <c r="C185" s="134" t="str">
        <f>IFERROR(__xludf.DUMMYFUNCTION("IFERROR((FILTER(Data!G:G,Data!D:D=A185,Data!B:B=$B$1)),"""")"),"")</f>
        <v/>
      </c>
      <c r="D185" s="134" t="str">
        <f>IFERROR(__xludf.DUMMYFUNCTION("IFERROR((FILTER(Data!J:J,Data!D:D=A185,Data!B:B=$B$1)),"""")"),"")</f>
        <v/>
      </c>
      <c r="E185" s="134" t="str">
        <f>IFERROR(__xludf.DUMMYFUNCTION("IFERROR((FILTER(Data!L:L,Data!D:D=A185,Data!B:B=$B$1)),"""")"),"")</f>
        <v/>
      </c>
      <c r="F185" s="134" t="str">
        <f>IFERROR(__xludf.DUMMYFUNCTION("IFERROR((FILTER(Data!K:K,Data!D:D=A185,Data!B:B=$B$1)),"""")"),"")</f>
        <v/>
      </c>
      <c r="G185" s="134" t="str">
        <f>IFERROR(__xludf.DUMMYFUNCTION("IFERROR((FILTER(Data!M:M,Data!D:D=A185,Data!B:B=$B$1)),"""")"),"")</f>
        <v/>
      </c>
      <c r="H185" s="134" t="str">
        <f>IFERROR(__xludf.DUMMYFUNCTION("IFERROR((FILTER(Data!G:G,Data!D:D=A185,Data!B:B=$B$1)*4)+(FILTER(Data!H:H,Data!D:D=A185,Data!B:B=$B$1)*2),"""")"),"")</f>
        <v/>
      </c>
      <c r="I185" s="15" t="str">
        <f>IFERROR(__xludf.DUMMYFUNCTION("IFERROR((FILTER(Data!K:K,Data!D:D=A185,Data!B:B=$B$1)*2)+(FILTER(Data!L:L,Data!D:D=A185,Data!B:B=$B$1)),"""")"),"")</f>
        <v/>
      </c>
      <c r="J185" s="134" t="str">
        <f>IFERROR(__xludf.DUMMYFUNCTION("IFERROR((FILTER(Data!N:N,Data!D:D=A185,Data!B:B=$B$1)),"""")"),"")</f>
        <v/>
      </c>
      <c r="K185" s="135" t="str">
        <f>IFERROR(__xludf.DUMMYFUNCTION("IFERROR((FILTER(Data!H:H,Data!D:D=A185,Data!B:B=$B$1)*2)+(FILTER(Data!L:L,Data!D:D=A185,Data!B:B=$B$1))+(FILTER(Data!G:G,Data!D:D=A185,Data!B:B=$B$1)*4)+(FILTER(Data!K:K,Data!D:D=A185,Data!B:B=$B$1)*2)+(((COUNTIF(FILTER(Data!N:N,Data!D:D=A185,Data!B:B=$B$"&amp;"1),""TRAVERSE"")*15)+(COUNTIF(FILTER(Data!N:N,Data!D:D=A185,Data!B:B=$B$1),""HIGH"")*10)+(COUNTIF(FILTER(Data!N:N,Data!D:D=A185,Data!B:B=$B$1),""MIDDLE"")*6)+(COUNTIF(FILTER(Data!N:N,Data!D:D=A185,Data!B:B=$B$1),""LOW"")*4))),"""")"),"")</f>
        <v/>
      </c>
      <c r="L185" s="136" t="str">
        <f>IFERROR(__xludf.DUMMYFUNCTION("IFERROR((FILTER(Data!P:P,Data!D:D=A185,Data!B:B=$B$1)),"""")"),"")</f>
        <v/>
      </c>
      <c r="M185" s="137" t="str">
        <f>IFERROR(__xludf.DUMMYFUNCTION("IFERROR((FILTER(Data!A:A,Data!D:D=A185,Data!B:B=$B$1)),"""")"),"")</f>
        <v/>
      </c>
      <c r="T185" s="52">
        <f>IFERROR(__xludf.DUMMYFUNCTION("((COUNTIF(FILTER(Data!N:N,Data!D:D=A185,Data!B:B=$B$1),""TRAVERSE"")*15)+(COUNTIF(FILTER(Data!N:N,Data!D:D=A185,Data!B:B=B$1),""HIGH"")*10)+(COUNTIF(FILTER(Data!N:N,Data!D:D=A185,Data!B:B=$B$1),""MIDDLE"")*6)+(COUNTIF(FILTER(Data!N:N,Data!D:D=A185,Data!B:"&amp;"B=$B$1),""LOW"")*4))"),0.0)</f>
        <v>0</v>
      </c>
      <c r="V185" s="138" t="str">
        <f>IF(Data!B177='Team Parser'!$B$1, Data!D177,"")</f>
        <v/>
      </c>
      <c r="W185" s="134" t="str">
        <f>IF(Data!$B177='Team Parser'!$B$1, Data!H177,"")</f>
        <v/>
      </c>
      <c r="X185" s="134" t="str">
        <f>IF(Data!$B177='Team Parser'!$B$1, Data!G177,"")</f>
        <v/>
      </c>
      <c r="Y185" s="134" t="str">
        <f>IF(Data!$B177='Team Parser'!$B$1, Data!L177,"")</f>
        <v/>
      </c>
      <c r="Z185" s="134" t="str">
        <f>IF(Data!$B177='Team Parser'!$B$1, Data!K177,"")</f>
        <v/>
      </c>
      <c r="AA185" s="134" t="str">
        <f>IF(Data!$B177='Team Parser'!$B$1, Data!M177,"")</f>
        <v/>
      </c>
      <c r="AB185" s="134" t="str">
        <f>IF(Data!$B177='Team Parser'!$B$1,((Z185*2)+(Y185)+(X185*4)+(W185*2)),"")</f>
        <v/>
      </c>
      <c r="AC185" s="134" t="str">
        <f>IF(Data!$B177='Team Parser'!$B$1, Data!N177,"")</f>
        <v/>
      </c>
      <c r="AD185" s="139" t="str">
        <f>IF(Data!$B177='Team Parser'!$B$1,(AB185+(COUNTIF(AC185,"TRAVERSE")*15)+(COUNTIF(AC185,"HIGH")*10)+(COUNTIF(AC185,"MIDDLE")*6)+(COUNTIF(AC185,"LOW")*4)),"")</f>
        <v/>
      </c>
    </row>
    <row r="186">
      <c r="A186" s="133" t="s">
        <v>507</v>
      </c>
      <c r="B186" s="134" t="str">
        <f>IFERROR(__xludf.DUMMYFUNCTION("IFERROR((FILTER(Data!H:H,Data!D:D=A186,Data!B:B=$B$1)),"""")"),"")</f>
        <v/>
      </c>
      <c r="C186" s="134" t="str">
        <f>IFERROR(__xludf.DUMMYFUNCTION("IFERROR((FILTER(Data!G:G,Data!D:D=A186,Data!B:B=$B$1)),"""")"),"")</f>
        <v/>
      </c>
      <c r="D186" s="134" t="str">
        <f>IFERROR(__xludf.DUMMYFUNCTION("IFERROR((FILTER(Data!J:J,Data!D:D=A186,Data!B:B=$B$1)),"""")"),"")</f>
        <v/>
      </c>
      <c r="E186" s="134" t="str">
        <f>IFERROR(__xludf.DUMMYFUNCTION("IFERROR((FILTER(Data!L:L,Data!D:D=A186,Data!B:B=$B$1)),"""")"),"")</f>
        <v/>
      </c>
      <c r="F186" s="134" t="str">
        <f>IFERROR(__xludf.DUMMYFUNCTION("IFERROR((FILTER(Data!K:K,Data!D:D=A186,Data!B:B=$B$1)),"""")"),"")</f>
        <v/>
      </c>
      <c r="G186" s="134" t="str">
        <f>IFERROR(__xludf.DUMMYFUNCTION("IFERROR((FILTER(Data!M:M,Data!D:D=A186,Data!B:B=$B$1)),"""")"),"")</f>
        <v/>
      </c>
      <c r="H186" s="134" t="str">
        <f>IFERROR(__xludf.DUMMYFUNCTION("IFERROR((FILTER(Data!G:G,Data!D:D=A186,Data!B:B=$B$1)*4)+(FILTER(Data!H:H,Data!D:D=A186,Data!B:B=$B$1)*2),"""")"),"")</f>
        <v/>
      </c>
      <c r="I186" s="15" t="str">
        <f>IFERROR(__xludf.DUMMYFUNCTION("IFERROR((FILTER(Data!K:K,Data!D:D=A186,Data!B:B=$B$1)*2)+(FILTER(Data!L:L,Data!D:D=A186,Data!B:B=$B$1)),"""")"),"")</f>
        <v/>
      </c>
      <c r="J186" s="134" t="str">
        <f>IFERROR(__xludf.DUMMYFUNCTION("IFERROR((FILTER(Data!N:N,Data!D:D=A186,Data!B:B=$B$1)),"""")"),"")</f>
        <v/>
      </c>
      <c r="K186" s="135" t="str">
        <f>IFERROR(__xludf.DUMMYFUNCTION("IFERROR((FILTER(Data!H:H,Data!D:D=A186,Data!B:B=$B$1)*2)+(FILTER(Data!L:L,Data!D:D=A186,Data!B:B=$B$1))+(FILTER(Data!G:G,Data!D:D=A186,Data!B:B=$B$1)*4)+(FILTER(Data!K:K,Data!D:D=A186,Data!B:B=$B$1)*2)+(((COUNTIF(FILTER(Data!N:N,Data!D:D=A186,Data!B:B=$B$"&amp;"1),""TRAVERSE"")*15)+(COUNTIF(FILTER(Data!N:N,Data!D:D=A186,Data!B:B=$B$1),""HIGH"")*10)+(COUNTIF(FILTER(Data!N:N,Data!D:D=A186,Data!B:B=$B$1),""MIDDLE"")*6)+(COUNTIF(FILTER(Data!N:N,Data!D:D=A186,Data!B:B=$B$1),""LOW"")*4))),"""")"),"")</f>
        <v/>
      </c>
      <c r="L186" s="136" t="str">
        <f>IFERROR(__xludf.DUMMYFUNCTION("IFERROR((FILTER(Data!P:P,Data!D:D=A186,Data!B:B=$B$1)),"""")"),"")</f>
        <v/>
      </c>
      <c r="M186" s="137" t="str">
        <f>IFERROR(__xludf.DUMMYFUNCTION("IFERROR((FILTER(Data!A:A,Data!D:D=A186,Data!B:B=$B$1)),"""")"),"")</f>
        <v/>
      </c>
      <c r="T186" s="52">
        <f>IFERROR(__xludf.DUMMYFUNCTION("((COUNTIF(FILTER(Data!N:N,Data!D:D=A186,Data!B:B=$B$1),""TRAVERSE"")*15)+(COUNTIF(FILTER(Data!N:N,Data!D:D=A186,Data!B:B=B$1),""HIGH"")*10)+(COUNTIF(FILTER(Data!N:N,Data!D:D=A186,Data!B:B=$B$1),""MIDDLE"")*6)+(COUNTIF(FILTER(Data!N:N,Data!D:D=A186,Data!B:"&amp;"B=$B$1),""LOW"")*4))"),0.0)</f>
        <v>0</v>
      </c>
      <c r="V186" s="138" t="str">
        <f>IF(Data!B178='Team Parser'!$B$1, Data!D178,"")</f>
        <v/>
      </c>
      <c r="W186" s="134" t="str">
        <f>IF(Data!$B178='Team Parser'!$B$1, Data!H178,"")</f>
        <v/>
      </c>
      <c r="X186" s="134" t="str">
        <f>IF(Data!$B178='Team Parser'!$B$1, Data!G178,"")</f>
        <v/>
      </c>
      <c r="Y186" s="134" t="str">
        <f>IF(Data!$B178='Team Parser'!$B$1, Data!L178,"")</f>
        <v/>
      </c>
      <c r="Z186" s="134" t="str">
        <f>IF(Data!$B178='Team Parser'!$B$1, Data!K178,"")</f>
        <v/>
      </c>
      <c r="AA186" s="134" t="str">
        <f>IF(Data!$B178='Team Parser'!$B$1, Data!M178,"")</f>
        <v/>
      </c>
      <c r="AB186" s="134" t="str">
        <f>IF(Data!$B178='Team Parser'!$B$1,((Z186*2)+(Y186)+(X186*4)+(W186*2)),"")</f>
        <v/>
      </c>
      <c r="AC186" s="134" t="str">
        <f>IF(Data!$B178='Team Parser'!$B$1, Data!N178,"")</f>
        <v/>
      </c>
      <c r="AD186" s="139" t="str">
        <f>IF(Data!$B178='Team Parser'!$B$1,(AB186+(COUNTIF(AC186,"TRAVERSE")*15)+(COUNTIF(AC186,"HIGH")*10)+(COUNTIF(AC186,"MIDDLE")*6)+(COUNTIF(AC186,"LOW")*4)),"")</f>
        <v/>
      </c>
    </row>
    <row r="187">
      <c r="A187" s="133" t="s">
        <v>507</v>
      </c>
      <c r="B187" s="134" t="str">
        <f>IFERROR(__xludf.DUMMYFUNCTION("IFERROR((FILTER(Data!H:H,Data!D:D=A187,Data!B:B=$B$1)),"""")"),"")</f>
        <v/>
      </c>
      <c r="C187" s="134" t="str">
        <f>IFERROR(__xludf.DUMMYFUNCTION("IFERROR((FILTER(Data!G:G,Data!D:D=A187,Data!B:B=$B$1)),"""")"),"")</f>
        <v/>
      </c>
      <c r="D187" s="134" t="str">
        <f>IFERROR(__xludf.DUMMYFUNCTION("IFERROR((FILTER(Data!J:J,Data!D:D=A187,Data!B:B=$B$1)),"""")"),"")</f>
        <v/>
      </c>
      <c r="E187" s="134" t="str">
        <f>IFERROR(__xludf.DUMMYFUNCTION("IFERROR((FILTER(Data!L:L,Data!D:D=A187,Data!B:B=$B$1)),"""")"),"")</f>
        <v/>
      </c>
      <c r="F187" s="134" t="str">
        <f>IFERROR(__xludf.DUMMYFUNCTION("IFERROR((FILTER(Data!K:K,Data!D:D=A187,Data!B:B=$B$1)),"""")"),"")</f>
        <v/>
      </c>
      <c r="G187" s="134" t="str">
        <f>IFERROR(__xludf.DUMMYFUNCTION("IFERROR((FILTER(Data!M:M,Data!D:D=A187,Data!B:B=$B$1)),"""")"),"")</f>
        <v/>
      </c>
      <c r="H187" s="134" t="str">
        <f>IFERROR(__xludf.DUMMYFUNCTION("IFERROR((FILTER(Data!G:G,Data!D:D=A187,Data!B:B=$B$1)*4)+(FILTER(Data!H:H,Data!D:D=A187,Data!B:B=$B$1)*2),"""")"),"")</f>
        <v/>
      </c>
      <c r="I187" s="15" t="str">
        <f>IFERROR(__xludf.DUMMYFUNCTION("IFERROR((FILTER(Data!K:K,Data!D:D=A187,Data!B:B=$B$1)*2)+(FILTER(Data!L:L,Data!D:D=A187,Data!B:B=$B$1)),"""")"),"")</f>
        <v/>
      </c>
      <c r="J187" s="134" t="str">
        <f>IFERROR(__xludf.DUMMYFUNCTION("IFERROR((FILTER(Data!N:N,Data!D:D=A187,Data!B:B=$B$1)),"""")"),"")</f>
        <v/>
      </c>
      <c r="K187" s="135" t="str">
        <f>IFERROR(__xludf.DUMMYFUNCTION("IFERROR((FILTER(Data!H:H,Data!D:D=A187,Data!B:B=$B$1)*2)+(FILTER(Data!L:L,Data!D:D=A187,Data!B:B=$B$1))+(FILTER(Data!G:G,Data!D:D=A187,Data!B:B=$B$1)*4)+(FILTER(Data!K:K,Data!D:D=A187,Data!B:B=$B$1)*2)+(((COUNTIF(FILTER(Data!N:N,Data!D:D=A187,Data!B:B=$B$"&amp;"1),""TRAVERSE"")*15)+(COUNTIF(FILTER(Data!N:N,Data!D:D=A187,Data!B:B=$B$1),""HIGH"")*10)+(COUNTIF(FILTER(Data!N:N,Data!D:D=A187,Data!B:B=$B$1),""MIDDLE"")*6)+(COUNTIF(FILTER(Data!N:N,Data!D:D=A187,Data!B:B=$B$1),""LOW"")*4))),"""")"),"")</f>
        <v/>
      </c>
      <c r="L187" s="136" t="str">
        <f>IFERROR(__xludf.DUMMYFUNCTION("IFERROR((FILTER(Data!P:P,Data!D:D=A187,Data!B:B=$B$1)),"""")"),"")</f>
        <v/>
      </c>
      <c r="M187" s="137" t="str">
        <f>IFERROR(__xludf.DUMMYFUNCTION("IFERROR((FILTER(Data!A:A,Data!D:D=A187,Data!B:B=$B$1)),"""")"),"")</f>
        <v/>
      </c>
      <c r="T187" s="52">
        <f>IFERROR(__xludf.DUMMYFUNCTION("((COUNTIF(FILTER(Data!N:N,Data!D:D=A187,Data!B:B=$B$1),""TRAVERSE"")*15)+(COUNTIF(FILTER(Data!N:N,Data!D:D=A187,Data!B:B=B$1),""HIGH"")*10)+(COUNTIF(FILTER(Data!N:N,Data!D:D=A187,Data!B:B=$B$1),""MIDDLE"")*6)+(COUNTIF(FILTER(Data!N:N,Data!D:D=A187,Data!B:"&amp;"B=$B$1),""LOW"")*4))"),0.0)</f>
        <v>0</v>
      </c>
      <c r="V187" s="138" t="str">
        <f>IF(Data!B179='Team Parser'!$B$1, Data!D179,"")</f>
        <v/>
      </c>
      <c r="W187" s="134" t="str">
        <f>IF(Data!$B179='Team Parser'!$B$1, Data!H179,"")</f>
        <v/>
      </c>
      <c r="X187" s="134" t="str">
        <f>IF(Data!$B179='Team Parser'!$B$1, Data!G179,"")</f>
        <v/>
      </c>
      <c r="Y187" s="134" t="str">
        <f>IF(Data!$B179='Team Parser'!$B$1, Data!L179,"")</f>
        <v/>
      </c>
      <c r="Z187" s="134" t="str">
        <f>IF(Data!$B179='Team Parser'!$B$1, Data!K179,"")</f>
        <v/>
      </c>
      <c r="AA187" s="134" t="str">
        <f>IF(Data!$B179='Team Parser'!$B$1, Data!M179,"")</f>
        <v/>
      </c>
      <c r="AB187" s="134" t="str">
        <f>IF(Data!$B179='Team Parser'!$B$1,((Z187*2)+(Y187)+(X187*4)+(W187*2)),"")</f>
        <v/>
      </c>
      <c r="AC187" s="134" t="str">
        <f>IF(Data!$B179='Team Parser'!$B$1, Data!N179,"")</f>
        <v/>
      </c>
      <c r="AD187" s="139" t="str">
        <f>IF(Data!$B179='Team Parser'!$B$1,(AB187+(COUNTIF(AC187,"TRAVERSE")*15)+(COUNTIF(AC187,"HIGH")*10)+(COUNTIF(AC187,"MIDDLE")*6)+(COUNTIF(AC187,"LOW")*4)),"")</f>
        <v/>
      </c>
    </row>
    <row r="188">
      <c r="A188" s="133" t="s">
        <v>507</v>
      </c>
      <c r="B188" s="134" t="str">
        <f>IFERROR(__xludf.DUMMYFUNCTION("IFERROR((FILTER(Data!H:H,Data!D:D=A188,Data!B:B=$B$1)),"""")"),"")</f>
        <v/>
      </c>
      <c r="C188" s="134" t="str">
        <f>IFERROR(__xludf.DUMMYFUNCTION("IFERROR((FILTER(Data!G:G,Data!D:D=A188,Data!B:B=$B$1)),"""")"),"")</f>
        <v/>
      </c>
      <c r="D188" s="134" t="str">
        <f>IFERROR(__xludf.DUMMYFUNCTION("IFERROR((FILTER(Data!J:J,Data!D:D=A188,Data!B:B=$B$1)),"""")"),"")</f>
        <v/>
      </c>
      <c r="E188" s="134" t="str">
        <f>IFERROR(__xludf.DUMMYFUNCTION("IFERROR((FILTER(Data!L:L,Data!D:D=A188,Data!B:B=$B$1)),"""")"),"")</f>
        <v/>
      </c>
      <c r="F188" s="134" t="str">
        <f>IFERROR(__xludf.DUMMYFUNCTION("IFERROR((FILTER(Data!K:K,Data!D:D=A188,Data!B:B=$B$1)),"""")"),"")</f>
        <v/>
      </c>
      <c r="G188" s="134" t="str">
        <f>IFERROR(__xludf.DUMMYFUNCTION("IFERROR((FILTER(Data!M:M,Data!D:D=A188,Data!B:B=$B$1)),"""")"),"")</f>
        <v/>
      </c>
      <c r="H188" s="134" t="str">
        <f>IFERROR(__xludf.DUMMYFUNCTION("IFERROR((FILTER(Data!G:G,Data!D:D=A188,Data!B:B=$B$1)*4)+(FILTER(Data!H:H,Data!D:D=A188,Data!B:B=$B$1)*2),"""")"),"")</f>
        <v/>
      </c>
      <c r="I188" s="15" t="str">
        <f>IFERROR(__xludf.DUMMYFUNCTION("IFERROR((FILTER(Data!K:K,Data!D:D=A188,Data!B:B=$B$1)*2)+(FILTER(Data!L:L,Data!D:D=A188,Data!B:B=$B$1)),"""")"),"")</f>
        <v/>
      </c>
      <c r="J188" s="134" t="str">
        <f>IFERROR(__xludf.DUMMYFUNCTION("IFERROR((FILTER(Data!N:N,Data!D:D=A188,Data!B:B=$B$1)),"""")"),"")</f>
        <v/>
      </c>
      <c r="K188" s="135" t="str">
        <f>IFERROR(__xludf.DUMMYFUNCTION("IFERROR((FILTER(Data!H:H,Data!D:D=A188,Data!B:B=$B$1)*2)+(FILTER(Data!L:L,Data!D:D=A188,Data!B:B=$B$1))+(FILTER(Data!G:G,Data!D:D=A188,Data!B:B=$B$1)*4)+(FILTER(Data!K:K,Data!D:D=A188,Data!B:B=$B$1)*2)+(((COUNTIF(FILTER(Data!N:N,Data!D:D=A188,Data!B:B=$B$"&amp;"1),""TRAVERSE"")*15)+(COUNTIF(FILTER(Data!N:N,Data!D:D=A188,Data!B:B=$B$1),""HIGH"")*10)+(COUNTIF(FILTER(Data!N:N,Data!D:D=A188,Data!B:B=$B$1),""MIDDLE"")*6)+(COUNTIF(FILTER(Data!N:N,Data!D:D=A188,Data!B:B=$B$1),""LOW"")*4))),"""")"),"")</f>
        <v/>
      </c>
      <c r="L188" s="136" t="str">
        <f>IFERROR(__xludf.DUMMYFUNCTION("IFERROR((FILTER(Data!P:P,Data!D:D=A188,Data!B:B=$B$1)),"""")"),"")</f>
        <v/>
      </c>
      <c r="M188" s="137" t="str">
        <f>IFERROR(__xludf.DUMMYFUNCTION("IFERROR((FILTER(Data!A:A,Data!D:D=A188,Data!B:B=$B$1)),"""")"),"")</f>
        <v/>
      </c>
      <c r="T188" s="52">
        <f>IFERROR(__xludf.DUMMYFUNCTION("((COUNTIF(FILTER(Data!N:N,Data!D:D=A188,Data!B:B=$B$1),""TRAVERSE"")*15)+(COUNTIF(FILTER(Data!N:N,Data!D:D=A188,Data!B:B=B$1),""HIGH"")*10)+(COUNTIF(FILTER(Data!N:N,Data!D:D=A188,Data!B:B=$B$1),""MIDDLE"")*6)+(COUNTIF(FILTER(Data!N:N,Data!D:D=A188,Data!B:"&amp;"B=$B$1),""LOW"")*4))"),0.0)</f>
        <v>0</v>
      </c>
      <c r="V188" s="138" t="str">
        <f>IF(Data!B180='Team Parser'!$B$1, Data!D180,"")</f>
        <v/>
      </c>
      <c r="W188" s="134" t="str">
        <f>IF(Data!$B180='Team Parser'!$B$1, Data!H180,"")</f>
        <v/>
      </c>
      <c r="X188" s="134" t="str">
        <f>IF(Data!$B180='Team Parser'!$B$1, Data!G180,"")</f>
        <v/>
      </c>
      <c r="Y188" s="134" t="str">
        <f>IF(Data!$B180='Team Parser'!$B$1, Data!L180,"")</f>
        <v/>
      </c>
      <c r="Z188" s="134" t="str">
        <f>IF(Data!$B180='Team Parser'!$B$1, Data!K180,"")</f>
        <v/>
      </c>
      <c r="AA188" s="134" t="str">
        <f>IF(Data!$B180='Team Parser'!$B$1, Data!M180,"")</f>
        <v/>
      </c>
      <c r="AB188" s="134" t="str">
        <f>IF(Data!$B180='Team Parser'!$B$1,((Z188*2)+(Y188)+(X188*4)+(W188*2)),"")</f>
        <v/>
      </c>
      <c r="AC188" s="134" t="str">
        <f>IF(Data!$B180='Team Parser'!$B$1, Data!N180,"")</f>
        <v/>
      </c>
      <c r="AD188" s="139" t="str">
        <f>IF(Data!$B180='Team Parser'!$B$1,(AB188+(COUNTIF(AC188,"TRAVERSE")*15)+(COUNTIF(AC188,"HIGH")*10)+(COUNTIF(AC188,"MIDDLE")*6)+(COUNTIF(AC188,"LOW")*4)),"")</f>
        <v/>
      </c>
    </row>
    <row r="189">
      <c r="A189" s="133" t="s">
        <v>507</v>
      </c>
      <c r="B189" s="134" t="str">
        <f>IFERROR(__xludf.DUMMYFUNCTION("IFERROR((FILTER(Data!H:H,Data!D:D=A189,Data!B:B=$B$1)),"""")"),"")</f>
        <v/>
      </c>
      <c r="C189" s="134" t="str">
        <f>IFERROR(__xludf.DUMMYFUNCTION("IFERROR((FILTER(Data!G:G,Data!D:D=A189,Data!B:B=$B$1)),"""")"),"")</f>
        <v/>
      </c>
      <c r="D189" s="134" t="str">
        <f>IFERROR(__xludf.DUMMYFUNCTION("IFERROR((FILTER(Data!J:J,Data!D:D=A189,Data!B:B=$B$1)),"""")"),"")</f>
        <v/>
      </c>
      <c r="E189" s="134" t="str">
        <f>IFERROR(__xludf.DUMMYFUNCTION("IFERROR((FILTER(Data!L:L,Data!D:D=A189,Data!B:B=$B$1)),"""")"),"")</f>
        <v/>
      </c>
      <c r="F189" s="134" t="str">
        <f>IFERROR(__xludf.DUMMYFUNCTION("IFERROR((FILTER(Data!K:K,Data!D:D=A189,Data!B:B=$B$1)),"""")"),"")</f>
        <v/>
      </c>
      <c r="G189" s="134" t="str">
        <f>IFERROR(__xludf.DUMMYFUNCTION("IFERROR((FILTER(Data!M:M,Data!D:D=A189,Data!B:B=$B$1)),"""")"),"")</f>
        <v/>
      </c>
      <c r="H189" s="134" t="str">
        <f>IFERROR(__xludf.DUMMYFUNCTION("IFERROR((FILTER(Data!G:G,Data!D:D=A189,Data!B:B=$B$1)*4)+(FILTER(Data!H:H,Data!D:D=A189,Data!B:B=$B$1)*2),"""")"),"")</f>
        <v/>
      </c>
      <c r="I189" s="15" t="str">
        <f>IFERROR(__xludf.DUMMYFUNCTION("IFERROR((FILTER(Data!K:K,Data!D:D=A189,Data!B:B=$B$1)*2)+(FILTER(Data!L:L,Data!D:D=A189,Data!B:B=$B$1)),"""")"),"")</f>
        <v/>
      </c>
      <c r="J189" s="134" t="str">
        <f>IFERROR(__xludf.DUMMYFUNCTION("IFERROR((FILTER(Data!N:N,Data!D:D=A189,Data!B:B=$B$1)),"""")"),"")</f>
        <v/>
      </c>
      <c r="K189" s="135" t="str">
        <f>IFERROR(__xludf.DUMMYFUNCTION("IFERROR((FILTER(Data!H:H,Data!D:D=A189,Data!B:B=$B$1)*2)+(FILTER(Data!L:L,Data!D:D=A189,Data!B:B=$B$1))+(FILTER(Data!G:G,Data!D:D=A189,Data!B:B=$B$1)*4)+(FILTER(Data!K:K,Data!D:D=A189,Data!B:B=$B$1)*2)+(((COUNTIF(FILTER(Data!N:N,Data!D:D=A189,Data!B:B=$B$"&amp;"1),""TRAVERSE"")*15)+(COUNTIF(FILTER(Data!N:N,Data!D:D=A189,Data!B:B=$B$1),""HIGH"")*10)+(COUNTIF(FILTER(Data!N:N,Data!D:D=A189,Data!B:B=$B$1),""MIDDLE"")*6)+(COUNTIF(FILTER(Data!N:N,Data!D:D=A189,Data!B:B=$B$1),""LOW"")*4))),"""")"),"")</f>
        <v/>
      </c>
      <c r="L189" s="136" t="str">
        <f>IFERROR(__xludf.DUMMYFUNCTION("IFERROR((FILTER(Data!P:P,Data!D:D=A189,Data!B:B=$B$1)),"""")"),"")</f>
        <v/>
      </c>
      <c r="M189" s="137" t="str">
        <f>IFERROR(__xludf.DUMMYFUNCTION("IFERROR((FILTER(Data!A:A,Data!D:D=A189,Data!B:B=$B$1)),"""")"),"")</f>
        <v/>
      </c>
      <c r="T189" s="52">
        <f>IFERROR(__xludf.DUMMYFUNCTION("((COUNTIF(FILTER(Data!N:N,Data!D:D=A189,Data!B:B=$B$1),""TRAVERSE"")*15)+(COUNTIF(FILTER(Data!N:N,Data!D:D=A189,Data!B:B=B$1),""HIGH"")*10)+(COUNTIF(FILTER(Data!N:N,Data!D:D=A189,Data!B:B=$B$1),""MIDDLE"")*6)+(COUNTIF(FILTER(Data!N:N,Data!D:D=A189,Data!B:"&amp;"B=$B$1),""LOW"")*4))"),0.0)</f>
        <v>0</v>
      </c>
      <c r="V189" s="138" t="str">
        <f>IF(Data!B181='Team Parser'!$B$1, Data!D181,"")</f>
        <v/>
      </c>
      <c r="W189" s="134" t="str">
        <f>IF(Data!$B181='Team Parser'!$B$1, Data!H181,"")</f>
        <v/>
      </c>
      <c r="X189" s="134" t="str">
        <f>IF(Data!$B181='Team Parser'!$B$1, Data!G181,"")</f>
        <v/>
      </c>
      <c r="Y189" s="134" t="str">
        <f>IF(Data!$B181='Team Parser'!$B$1, Data!L181,"")</f>
        <v/>
      </c>
      <c r="Z189" s="134" t="str">
        <f>IF(Data!$B181='Team Parser'!$B$1, Data!K181,"")</f>
        <v/>
      </c>
      <c r="AA189" s="134" t="str">
        <f>IF(Data!$B181='Team Parser'!$B$1, Data!M181,"")</f>
        <v/>
      </c>
      <c r="AB189" s="134" t="str">
        <f>IF(Data!$B181='Team Parser'!$B$1,((Z189*2)+(Y189)+(X189*4)+(W189*2)),"")</f>
        <v/>
      </c>
      <c r="AC189" s="134" t="str">
        <f>IF(Data!$B181='Team Parser'!$B$1, Data!N181,"")</f>
        <v/>
      </c>
      <c r="AD189" s="139" t="str">
        <f>IF(Data!$B181='Team Parser'!$B$1,(AB189+(COUNTIF(AC189,"TRAVERSE")*15)+(COUNTIF(AC189,"HIGH")*10)+(COUNTIF(AC189,"MIDDLE")*6)+(COUNTIF(AC189,"LOW")*4)),"")</f>
        <v/>
      </c>
    </row>
    <row r="190">
      <c r="A190" s="133" t="s">
        <v>507</v>
      </c>
      <c r="B190" s="134" t="str">
        <f>IFERROR(__xludf.DUMMYFUNCTION("IFERROR((FILTER(Data!H:H,Data!D:D=A190,Data!B:B=$B$1)),"""")"),"")</f>
        <v/>
      </c>
      <c r="C190" s="134" t="str">
        <f>IFERROR(__xludf.DUMMYFUNCTION("IFERROR((FILTER(Data!G:G,Data!D:D=A190,Data!B:B=$B$1)),"""")"),"")</f>
        <v/>
      </c>
      <c r="D190" s="134" t="str">
        <f>IFERROR(__xludf.DUMMYFUNCTION("IFERROR((FILTER(Data!J:J,Data!D:D=A190,Data!B:B=$B$1)),"""")"),"")</f>
        <v/>
      </c>
      <c r="E190" s="134" t="str">
        <f>IFERROR(__xludf.DUMMYFUNCTION("IFERROR((FILTER(Data!L:L,Data!D:D=A190,Data!B:B=$B$1)),"""")"),"")</f>
        <v/>
      </c>
      <c r="F190" s="134" t="str">
        <f>IFERROR(__xludf.DUMMYFUNCTION("IFERROR((FILTER(Data!K:K,Data!D:D=A190,Data!B:B=$B$1)),"""")"),"")</f>
        <v/>
      </c>
      <c r="G190" s="134" t="str">
        <f>IFERROR(__xludf.DUMMYFUNCTION("IFERROR((FILTER(Data!M:M,Data!D:D=A190,Data!B:B=$B$1)),"""")"),"")</f>
        <v/>
      </c>
      <c r="H190" s="134" t="str">
        <f>IFERROR(__xludf.DUMMYFUNCTION("IFERROR((FILTER(Data!G:G,Data!D:D=A190,Data!B:B=$B$1)*4)+(FILTER(Data!H:H,Data!D:D=A190,Data!B:B=$B$1)*2),"""")"),"")</f>
        <v/>
      </c>
      <c r="I190" s="15" t="str">
        <f>IFERROR(__xludf.DUMMYFUNCTION("IFERROR((FILTER(Data!K:K,Data!D:D=A190,Data!B:B=$B$1)*2)+(FILTER(Data!L:L,Data!D:D=A190,Data!B:B=$B$1)),"""")"),"")</f>
        <v/>
      </c>
      <c r="J190" s="134" t="str">
        <f>IFERROR(__xludf.DUMMYFUNCTION("IFERROR((FILTER(Data!N:N,Data!D:D=A190,Data!B:B=$B$1)),"""")"),"")</f>
        <v/>
      </c>
      <c r="K190" s="135" t="str">
        <f>IFERROR(__xludf.DUMMYFUNCTION("IFERROR((FILTER(Data!H:H,Data!D:D=A190,Data!B:B=$B$1)*2)+(FILTER(Data!L:L,Data!D:D=A190,Data!B:B=$B$1))+(FILTER(Data!G:G,Data!D:D=A190,Data!B:B=$B$1)*4)+(FILTER(Data!K:K,Data!D:D=A190,Data!B:B=$B$1)*2)+(((COUNTIF(FILTER(Data!N:N,Data!D:D=A190,Data!B:B=$B$"&amp;"1),""TRAVERSE"")*15)+(COUNTIF(FILTER(Data!N:N,Data!D:D=A190,Data!B:B=$B$1),""HIGH"")*10)+(COUNTIF(FILTER(Data!N:N,Data!D:D=A190,Data!B:B=$B$1),""MIDDLE"")*6)+(COUNTIF(FILTER(Data!N:N,Data!D:D=A190,Data!B:B=$B$1),""LOW"")*4))),"""")"),"")</f>
        <v/>
      </c>
      <c r="L190" s="136" t="str">
        <f>IFERROR(__xludf.DUMMYFUNCTION("IFERROR((FILTER(Data!P:P,Data!D:D=A190,Data!B:B=$B$1)),"""")"),"")</f>
        <v/>
      </c>
      <c r="M190" s="137" t="str">
        <f>IFERROR(__xludf.DUMMYFUNCTION("IFERROR((FILTER(Data!A:A,Data!D:D=A190,Data!B:B=$B$1)),"""")"),"")</f>
        <v/>
      </c>
      <c r="T190" s="52">
        <f>IFERROR(__xludf.DUMMYFUNCTION("((COUNTIF(FILTER(Data!N:N,Data!D:D=A190,Data!B:B=$B$1),""TRAVERSE"")*15)+(COUNTIF(FILTER(Data!N:N,Data!D:D=A190,Data!B:B=B$1),""HIGH"")*10)+(COUNTIF(FILTER(Data!N:N,Data!D:D=A190,Data!B:B=$B$1),""MIDDLE"")*6)+(COUNTIF(FILTER(Data!N:N,Data!D:D=A190,Data!B:"&amp;"B=$B$1),""LOW"")*4))"),0.0)</f>
        <v>0</v>
      </c>
      <c r="V190" s="138" t="str">
        <f>IF(Data!B182='Team Parser'!$B$1, Data!D182,"")</f>
        <v/>
      </c>
      <c r="W190" s="134" t="str">
        <f>IF(Data!$B182='Team Parser'!$B$1, Data!H182,"")</f>
        <v/>
      </c>
      <c r="X190" s="134" t="str">
        <f>IF(Data!$B182='Team Parser'!$B$1, Data!G182,"")</f>
        <v/>
      </c>
      <c r="Y190" s="134" t="str">
        <f>IF(Data!$B182='Team Parser'!$B$1, Data!L182,"")</f>
        <v/>
      </c>
      <c r="Z190" s="134" t="str">
        <f>IF(Data!$B182='Team Parser'!$B$1, Data!K182,"")</f>
        <v/>
      </c>
      <c r="AA190" s="134" t="str">
        <f>IF(Data!$B182='Team Parser'!$B$1, Data!M182,"")</f>
        <v/>
      </c>
      <c r="AB190" s="134" t="str">
        <f>IF(Data!$B182='Team Parser'!$B$1,((Z190*2)+(Y190)+(X190*4)+(W190*2)),"")</f>
        <v/>
      </c>
      <c r="AC190" s="134" t="str">
        <f>IF(Data!$B182='Team Parser'!$B$1, Data!N182,"")</f>
        <v/>
      </c>
      <c r="AD190" s="139" t="str">
        <f>IF(Data!$B182='Team Parser'!$B$1,(AB190+(COUNTIF(AC190,"TRAVERSE")*15)+(COUNTIF(AC190,"HIGH")*10)+(COUNTIF(AC190,"MIDDLE")*6)+(COUNTIF(AC190,"LOW")*4)),"")</f>
        <v/>
      </c>
    </row>
    <row r="191">
      <c r="A191" s="133" t="s">
        <v>507</v>
      </c>
      <c r="B191" s="134" t="str">
        <f>IFERROR(__xludf.DUMMYFUNCTION("IFERROR((FILTER(Data!H:H,Data!D:D=A191,Data!B:B=$B$1)),"""")"),"")</f>
        <v/>
      </c>
      <c r="C191" s="134" t="str">
        <f>IFERROR(__xludf.DUMMYFUNCTION("IFERROR((FILTER(Data!G:G,Data!D:D=A191,Data!B:B=$B$1)),"""")"),"")</f>
        <v/>
      </c>
      <c r="D191" s="134" t="str">
        <f>IFERROR(__xludf.DUMMYFUNCTION("IFERROR((FILTER(Data!J:J,Data!D:D=A191,Data!B:B=$B$1)),"""")"),"")</f>
        <v/>
      </c>
      <c r="E191" s="134" t="str">
        <f>IFERROR(__xludf.DUMMYFUNCTION("IFERROR((FILTER(Data!L:L,Data!D:D=A191,Data!B:B=$B$1)),"""")"),"")</f>
        <v/>
      </c>
      <c r="F191" s="134" t="str">
        <f>IFERROR(__xludf.DUMMYFUNCTION("IFERROR((FILTER(Data!K:K,Data!D:D=A191,Data!B:B=$B$1)),"""")"),"")</f>
        <v/>
      </c>
      <c r="G191" s="134" t="str">
        <f>IFERROR(__xludf.DUMMYFUNCTION("IFERROR((FILTER(Data!M:M,Data!D:D=A191,Data!B:B=$B$1)),"""")"),"")</f>
        <v/>
      </c>
      <c r="H191" s="134" t="str">
        <f>IFERROR(__xludf.DUMMYFUNCTION("IFERROR((FILTER(Data!G:G,Data!D:D=A191,Data!B:B=$B$1)*4)+(FILTER(Data!H:H,Data!D:D=A191,Data!B:B=$B$1)*2),"""")"),"")</f>
        <v/>
      </c>
      <c r="I191" s="15" t="str">
        <f>IFERROR(__xludf.DUMMYFUNCTION("IFERROR((FILTER(Data!K:K,Data!D:D=A191,Data!B:B=$B$1)*2)+(FILTER(Data!L:L,Data!D:D=A191,Data!B:B=$B$1)),"""")"),"")</f>
        <v/>
      </c>
      <c r="J191" s="134" t="str">
        <f>IFERROR(__xludf.DUMMYFUNCTION("IFERROR((FILTER(Data!N:N,Data!D:D=A191,Data!B:B=$B$1)),"""")"),"")</f>
        <v/>
      </c>
      <c r="K191" s="135" t="str">
        <f>IFERROR(__xludf.DUMMYFUNCTION("IFERROR((FILTER(Data!H:H,Data!D:D=A191,Data!B:B=$B$1)*2)+(FILTER(Data!L:L,Data!D:D=A191,Data!B:B=$B$1))+(FILTER(Data!G:G,Data!D:D=A191,Data!B:B=$B$1)*4)+(FILTER(Data!K:K,Data!D:D=A191,Data!B:B=$B$1)*2)+(((COUNTIF(FILTER(Data!N:N,Data!D:D=A191,Data!B:B=$B$"&amp;"1),""TRAVERSE"")*15)+(COUNTIF(FILTER(Data!N:N,Data!D:D=A191,Data!B:B=$B$1),""HIGH"")*10)+(COUNTIF(FILTER(Data!N:N,Data!D:D=A191,Data!B:B=$B$1),""MIDDLE"")*6)+(COUNTIF(FILTER(Data!N:N,Data!D:D=A191,Data!B:B=$B$1),""LOW"")*4))),"""")"),"")</f>
        <v/>
      </c>
      <c r="L191" s="136" t="str">
        <f>IFERROR(__xludf.DUMMYFUNCTION("IFERROR((FILTER(Data!P:P,Data!D:D=A191,Data!B:B=$B$1)),"""")"),"")</f>
        <v/>
      </c>
      <c r="M191" s="137" t="str">
        <f>IFERROR(__xludf.DUMMYFUNCTION("IFERROR((FILTER(Data!A:A,Data!D:D=A191,Data!B:B=$B$1)),"""")"),"")</f>
        <v/>
      </c>
      <c r="T191" s="52">
        <f>IFERROR(__xludf.DUMMYFUNCTION("((COUNTIF(FILTER(Data!N:N,Data!D:D=A191,Data!B:B=$B$1),""TRAVERSE"")*15)+(COUNTIF(FILTER(Data!N:N,Data!D:D=A191,Data!B:B=B$1),""HIGH"")*10)+(COUNTIF(FILTER(Data!N:N,Data!D:D=A191,Data!B:B=$B$1),""MIDDLE"")*6)+(COUNTIF(FILTER(Data!N:N,Data!D:D=A191,Data!B:"&amp;"B=$B$1),""LOW"")*4))"),0.0)</f>
        <v>0</v>
      </c>
      <c r="V191" s="138" t="str">
        <f>IF(Data!B183='Team Parser'!$B$1, Data!D183,"")</f>
        <v/>
      </c>
      <c r="W191" s="134" t="str">
        <f>IF(Data!$B183='Team Parser'!$B$1, Data!H183,"")</f>
        <v/>
      </c>
      <c r="X191" s="134" t="str">
        <f>IF(Data!$B183='Team Parser'!$B$1, Data!G183,"")</f>
        <v/>
      </c>
      <c r="Y191" s="134" t="str">
        <f>IF(Data!$B183='Team Parser'!$B$1, Data!L183,"")</f>
        <v/>
      </c>
      <c r="Z191" s="134" t="str">
        <f>IF(Data!$B183='Team Parser'!$B$1, Data!K183,"")</f>
        <v/>
      </c>
      <c r="AA191" s="134" t="str">
        <f>IF(Data!$B183='Team Parser'!$B$1, Data!M183,"")</f>
        <v/>
      </c>
      <c r="AB191" s="134" t="str">
        <f>IF(Data!$B183='Team Parser'!$B$1,((Z191*2)+(Y191)+(X191*4)+(W191*2)),"")</f>
        <v/>
      </c>
      <c r="AC191" s="134" t="str">
        <f>IF(Data!$B183='Team Parser'!$B$1, Data!N183,"")</f>
        <v/>
      </c>
      <c r="AD191" s="139" t="str">
        <f>IF(Data!$B183='Team Parser'!$B$1,(AB191+(COUNTIF(AC191,"TRAVERSE")*15)+(COUNTIF(AC191,"HIGH")*10)+(COUNTIF(AC191,"MIDDLE")*6)+(COUNTIF(AC191,"LOW")*4)),"")</f>
        <v/>
      </c>
    </row>
    <row r="192">
      <c r="A192" s="133" t="s">
        <v>507</v>
      </c>
      <c r="B192" s="134" t="str">
        <f>IFERROR(__xludf.DUMMYFUNCTION("IFERROR((FILTER(Data!H:H,Data!D:D=A192,Data!B:B=$B$1)),"""")"),"")</f>
        <v/>
      </c>
      <c r="C192" s="134" t="str">
        <f>IFERROR(__xludf.DUMMYFUNCTION("IFERROR((FILTER(Data!G:G,Data!D:D=A192,Data!B:B=$B$1)),"""")"),"")</f>
        <v/>
      </c>
      <c r="D192" s="134" t="str">
        <f>IFERROR(__xludf.DUMMYFUNCTION("IFERROR((FILTER(Data!J:J,Data!D:D=A192,Data!B:B=$B$1)),"""")"),"")</f>
        <v/>
      </c>
      <c r="E192" s="134" t="str">
        <f>IFERROR(__xludf.DUMMYFUNCTION("IFERROR((FILTER(Data!L:L,Data!D:D=A192,Data!B:B=$B$1)),"""")"),"")</f>
        <v/>
      </c>
      <c r="F192" s="134" t="str">
        <f>IFERROR(__xludf.DUMMYFUNCTION("IFERROR((FILTER(Data!K:K,Data!D:D=A192,Data!B:B=$B$1)),"""")"),"")</f>
        <v/>
      </c>
      <c r="G192" s="134" t="str">
        <f>IFERROR(__xludf.DUMMYFUNCTION("IFERROR((FILTER(Data!M:M,Data!D:D=A192,Data!B:B=$B$1)),"""")"),"")</f>
        <v/>
      </c>
      <c r="H192" s="134" t="str">
        <f>IFERROR(__xludf.DUMMYFUNCTION("IFERROR((FILTER(Data!G:G,Data!D:D=A192,Data!B:B=$B$1)*4)+(FILTER(Data!H:H,Data!D:D=A192,Data!B:B=$B$1)*2),"""")"),"")</f>
        <v/>
      </c>
      <c r="I192" s="15" t="str">
        <f>IFERROR(__xludf.DUMMYFUNCTION("IFERROR((FILTER(Data!K:K,Data!D:D=A192,Data!B:B=$B$1)*2)+(FILTER(Data!L:L,Data!D:D=A192,Data!B:B=$B$1)),"""")"),"")</f>
        <v/>
      </c>
      <c r="J192" s="134" t="str">
        <f>IFERROR(__xludf.DUMMYFUNCTION("IFERROR((FILTER(Data!N:N,Data!D:D=A192,Data!B:B=$B$1)),"""")"),"")</f>
        <v/>
      </c>
      <c r="K192" s="135" t="str">
        <f>IFERROR(__xludf.DUMMYFUNCTION("IFERROR((FILTER(Data!H:H,Data!D:D=A192,Data!B:B=$B$1)*2)+(FILTER(Data!L:L,Data!D:D=A192,Data!B:B=$B$1))+(FILTER(Data!G:G,Data!D:D=A192,Data!B:B=$B$1)*4)+(FILTER(Data!K:K,Data!D:D=A192,Data!B:B=$B$1)*2)+(((COUNTIF(FILTER(Data!N:N,Data!D:D=A192,Data!B:B=$B$"&amp;"1),""TRAVERSE"")*15)+(COUNTIF(FILTER(Data!N:N,Data!D:D=A192,Data!B:B=$B$1),""HIGH"")*10)+(COUNTIF(FILTER(Data!N:N,Data!D:D=A192,Data!B:B=$B$1),""MIDDLE"")*6)+(COUNTIF(FILTER(Data!N:N,Data!D:D=A192,Data!B:B=$B$1),""LOW"")*4))),"""")"),"")</f>
        <v/>
      </c>
      <c r="L192" s="136" t="str">
        <f>IFERROR(__xludf.DUMMYFUNCTION("IFERROR((FILTER(Data!P:P,Data!D:D=A192,Data!B:B=$B$1)),"""")"),"")</f>
        <v/>
      </c>
      <c r="M192" s="137" t="str">
        <f>IFERROR(__xludf.DUMMYFUNCTION("IFERROR((FILTER(Data!A:A,Data!D:D=A192,Data!B:B=$B$1)),"""")"),"")</f>
        <v/>
      </c>
      <c r="T192" s="52">
        <f>IFERROR(__xludf.DUMMYFUNCTION("((COUNTIF(FILTER(Data!N:N,Data!D:D=A192,Data!B:B=$B$1),""TRAVERSE"")*15)+(COUNTIF(FILTER(Data!N:N,Data!D:D=A192,Data!B:B=B$1),""HIGH"")*10)+(COUNTIF(FILTER(Data!N:N,Data!D:D=A192,Data!B:B=$B$1),""MIDDLE"")*6)+(COUNTIF(FILTER(Data!N:N,Data!D:D=A192,Data!B:"&amp;"B=$B$1),""LOW"")*4))"),0.0)</f>
        <v>0</v>
      </c>
      <c r="V192" s="138" t="str">
        <f>IF(Data!B184='Team Parser'!$B$1, Data!D184,"")</f>
        <v/>
      </c>
      <c r="W192" s="134" t="str">
        <f>IF(Data!$B184='Team Parser'!$B$1, Data!H184,"")</f>
        <v/>
      </c>
      <c r="X192" s="134" t="str">
        <f>IF(Data!$B184='Team Parser'!$B$1, Data!G184,"")</f>
        <v/>
      </c>
      <c r="Y192" s="134" t="str">
        <f>IF(Data!$B184='Team Parser'!$B$1, Data!L184,"")</f>
        <v/>
      </c>
      <c r="Z192" s="134" t="str">
        <f>IF(Data!$B184='Team Parser'!$B$1, Data!K184,"")</f>
        <v/>
      </c>
      <c r="AA192" s="134" t="str">
        <f>IF(Data!$B184='Team Parser'!$B$1, Data!M184,"")</f>
        <v/>
      </c>
      <c r="AB192" s="134" t="str">
        <f>IF(Data!$B184='Team Parser'!$B$1,((Z192*2)+(Y192)+(X192*4)+(W192*2)),"")</f>
        <v/>
      </c>
      <c r="AC192" s="134" t="str">
        <f>IF(Data!$B184='Team Parser'!$B$1, Data!N184,"")</f>
        <v/>
      </c>
      <c r="AD192" s="139" t="str">
        <f>IF(Data!$B184='Team Parser'!$B$1,(AB192+(COUNTIF(AC192,"TRAVERSE")*15)+(COUNTIF(AC192,"HIGH")*10)+(COUNTIF(AC192,"MIDDLE")*6)+(COUNTIF(AC192,"LOW")*4)),"")</f>
        <v/>
      </c>
    </row>
    <row r="193">
      <c r="A193" s="133" t="s">
        <v>507</v>
      </c>
      <c r="B193" s="134" t="str">
        <f>IFERROR(__xludf.DUMMYFUNCTION("IFERROR((FILTER(Data!H:H,Data!D:D=A193,Data!B:B=$B$1)),"""")"),"")</f>
        <v/>
      </c>
      <c r="C193" s="134" t="str">
        <f>IFERROR(__xludf.DUMMYFUNCTION("IFERROR((FILTER(Data!G:G,Data!D:D=A193,Data!B:B=$B$1)),"""")"),"")</f>
        <v/>
      </c>
      <c r="D193" s="134" t="str">
        <f>IFERROR(__xludf.DUMMYFUNCTION("IFERROR((FILTER(Data!J:J,Data!D:D=A193,Data!B:B=$B$1)),"""")"),"")</f>
        <v/>
      </c>
      <c r="E193" s="134" t="str">
        <f>IFERROR(__xludf.DUMMYFUNCTION("IFERROR((FILTER(Data!L:L,Data!D:D=A193,Data!B:B=$B$1)),"""")"),"")</f>
        <v/>
      </c>
      <c r="F193" s="134" t="str">
        <f>IFERROR(__xludf.DUMMYFUNCTION("IFERROR((FILTER(Data!K:K,Data!D:D=A193,Data!B:B=$B$1)),"""")"),"")</f>
        <v/>
      </c>
      <c r="G193" s="134" t="str">
        <f>IFERROR(__xludf.DUMMYFUNCTION("IFERROR((FILTER(Data!M:M,Data!D:D=A193,Data!B:B=$B$1)),"""")"),"")</f>
        <v/>
      </c>
      <c r="H193" s="134" t="str">
        <f>IFERROR(__xludf.DUMMYFUNCTION("IFERROR((FILTER(Data!G:G,Data!D:D=A193,Data!B:B=$B$1)*4)+(FILTER(Data!H:H,Data!D:D=A193,Data!B:B=$B$1)*2),"""")"),"")</f>
        <v/>
      </c>
      <c r="I193" s="15" t="str">
        <f>IFERROR(__xludf.DUMMYFUNCTION("IFERROR((FILTER(Data!K:K,Data!D:D=A193,Data!B:B=$B$1)*2)+(FILTER(Data!L:L,Data!D:D=A193,Data!B:B=$B$1)),"""")"),"")</f>
        <v/>
      </c>
      <c r="J193" s="134" t="str">
        <f>IFERROR(__xludf.DUMMYFUNCTION("IFERROR((FILTER(Data!N:N,Data!D:D=A193,Data!B:B=$B$1)),"""")"),"")</f>
        <v/>
      </c>
      <c r="K193" s="135" t="str">
        <f>IFERROR(__xludf.DUMMYFUNCTION("IFERROR((FILTER(Data!H:H,Data!D:D=A193,Data!B:B=$B$1)*2)+(FILTER(Data!L:L,Data!D:D=A193,Data!B:B=$B$1))+(FILTER(Data!G:G,Data!D:D=A193,Data!B:B=$B$1)*4)+(FILTER(Data!K:K,Data!D:D=A193,Data!B:B=$B$1)*2)+(((COUNTIF(FILTER(Data!N:N,Data!D:D=A193,Data!B:B=$B$"&amp;"1),""TRAVERSE"")*15)+(COUNTIF(FILTER(Data!N:N,Data!D:D=A193,Data!B:B=$B$1),""HIGH"")*10)+(COUNTIF(FILTER(Data!N:N,Data!D:D=A193,Data!B:B=$B$1),""MIDDLE"")*6)+(COUNTIF(FILTER(Data!N:N,Data!D:D=A193,Data!B:B=$B$1),""LOW"")*4))),"""")"),"")</f>
        <v/>
      </c>
      <c r="L193" s="136" t="str">
        <f>IFERROR(__xludf.DUMMYFUNCTION("IFERROR((FILTER(Data!P:P,Data!D:D=A193,Data!B:B=$B$1)),"""")"),"")</f>
        <v/>
      </c>
      <c r="M193" s="137" t="str">
        <f>IFERROR(__xludf.DUMMYFUNCTION("IFERROR((FILTER(Data!A:A,Data!D:D=A193,Data!B:B=$B$1)),"""")"),"")</f>
        <v/>
      </c>
      <c r="T193" s="52">
        <f>IFERROR(__xludf.DUMMYFUNCTION("((COUNTIF(FILTER(Data!N:N,Data!D:D=A193,Data!B:B=$B$1),""TRAVERSE"")*15)+(COUNTIF(FILTER(Data!N:N,Data!D:D=A193,Data!B:B=B$1),""HIGH"")*10)+(COUNTIF(FILTER(Data!N:N,Data!D:D=A193,Data!B:B=$B$1),""MIDDLE"")*6)+(COUNTIF(FILTER(Data!N:N,Data!D:D=A193,Data!B:"&amp;"B=$B$1),""LOW"")*4))"),0.0)</f>
        <v>0</v>
      </c>
      <c r="V193" s="138" t="str">
        <f>IF(Data!B185='Team Parser'!$B$1, Data!D185,"")</f>
        <v/>
      </c>
      <c r="W193" s="134" t="str">
        <f>IF(Data!$B185='Team Parser'!$B$1, Data!H185,"")</f>
        <v/>
      </c>
      <c r="X193" s="134" t="str">
        <f>IF(Data!$B185='Team Parser'!$B$1, Data!G185,"")</f>
        <v/>
      </c>
      <c r="Y193" s="134" t="str">
        <f>IF(Data!$B185='Team Parser'!$B$1, Data!L185,"")</f>
        <v/>
      </c>
      <c r="Z193" s="134" t="str">
        <f>IF(Data!$B185='Team Parser'!$B$1, Data!K185,"")</f>
        <v/>
      </c>
      <c r="AA193" s="134" t="str">
        <f>IF(Data!$B185='Team Parser'!$B$1, Data!M185,"")</f>
        <v/>
      </c>
      <c r="AB193" s="134" t="str">
        <f>IF(Data!$B185='Team Parser'!$B$1,((Z193*2)+(Y193)+(X193*4)+(W193*2)),"")</f>
        <v/>
      </c>
      <c r="AC193" s="134" t="str">
        <f>IF(Data!$B185='Team Parser'!$B$1, Data!N185,"")</f>
        <v/>
      </c>
      <c r="AD193" s="139" t="str">
        <f>IF(Data!$B185='Team Parser'!$B$1,(AB193+(COUNTIF(AC193,"TRAVERSE")*15)+(COUNTIF(AC193,"HIGH")*10)+(COUNTIF(AC193,"MIDDLE")*6)+(COUNTIF(AC193,"LOW")*4)),"")</f>
        <v/>
      </c>
    </row>
    <row r="194">
      <c r="A194" s="133" t="s">
        <v>507</v>
      </c>
      <c r="B194" s="134" t="str">
        <f>IFERROR(__xludf.DUMMYFUNCTION("IFERROR((FILTER(Data!H:H,Data!D:D=A194,Data!B:B=$B$1)),"""")"),"")</f>
        <v/>
      </c>
      <c r="C194" s="134" t="str">
        <f>IFERROR(__xludf.DUMMYFUNCTION("IFERROR((FILTER(Data!G:G,Data!D:D=A194,Data!B:B=$B$1)),"""")"),"")</f>
        <v/>
      </c>
      <c r="D194" s="134" t="str">
        <f>IFERROR(__xludf.DUMMYFUNCTION("IFERROR((FILTER(Data!J:J,Data!D:D=A194,Data!B:B=$B$1)),"""")"),"")</f>
        <v/>
      </c>
      <c r="E194" s="134" t="str">
        <f>IFERROR(__xludf.DUMMYFUNCTION("IFERROR((FILTER(Data!L:L,Data!D:D=A194,Data!B:B=$B$1)),"""")"),"")</f>
        <v/>
      </c>
      <c r="F194" s="134" t="str">
        <f>IFERROR(__xludf.DUMMYFUNCTION("IFERROR((FILTER(Data!K:K,Data!D:D=A194,Data!B:B=$B$1)),"""")"),"")</f>
        <v/>
      </c>
      <c r="G194" s="134" t="str">
        <f>IFERROR(__xludf.DUMMYFUNCTION("IFERROR((FILTER(Data!M:M,Data!D:D=A194,Data!B:B=$B$1)),"""")"),"")</f>
        <v/>
      </c>
      <c r="H194" s="134" t="str">
        <f>IFERROR(__xludf.DUMMYFUNCTION("IFERROR((FILTER(Data!G:G,Data!D:D=A194,Data!B:B=$B$1)*4)+(FILTER(Data!H:H,Data!D:D=A194,Data!B:B=$B$1)*2),"""")"),"")</f>
        <v/>
      </c>
      <c r="I194" s="15" t="str">
        <f>IFERROR(__xludf.DUMMYFUNCTION("IFERROR((FILTER(Data!K:K,Data!D:D=A194,Data!B:B=$B$1)*2)+(FILTER(Data!L:L,Data!D:D=A194,Data!B:B=$B$1)),"""")"),"")</f>
        <v/>
      </c>
      <c r="J194" s="134" t="str">
        <f>IFERROR(__xludf.DUMMYFUNCTION("IFERROR((FILTER(Data!N:N,Data!D:D=A194,Data!B:B=$B$1)),"""")"),"")</f>
        <v/>
      </c>
      <c r="K194" s="135" t="str">
        <f>IFERROR(__xludf.DUMMYFUNCTION("IFERROR((FILTER(Data!H:H,Data!D:D=A194,Data!B:B=$B$1)*2)+(FILTER(Data!L:L,Data!D:D=A194,Data!B:B=$B$1))+(FILTER(Data!G:G,Data!D:D=A194,Data!B:B=$B$1)*4)+(FILTER(Data!K:K,Data!D:D=A194,Data!B:B=$B$1)*2)+(((COUNTIF(FILTER(Data!N:N,Data!D:D=A194,Data!B:B=$B$"&amp;"1),""TRAVERSE"")*15)+(COUNTIF(FILTER(Data!N:N,Data!D:D=A194,Data!B:B=$B$1),""HIGH"")*10)+(COUNTIF(FILTER(Data!N:N,Data!D:D=A194,Data!B:B=$B$1),""MIDDLE"")*6)+(COUNTIF(FILTER(Data!N:N,Data!D:D=A194,Data!B:B=$B$1),""LOW"")*4))),"""")"),"")</f>
        <v/>
      </c>
      <c r="L194" s="136" t="str">
        <f>IFERROR(__xludf.DUMMYFUNCTION("IFERROR((FILTER(Data!P:P,Data!D:D=A194,Data!B:B=$B$1)),"""")"),"")</f>
        <v/>
      </c>
      <c r="M194" s="137" t="str">
        <f>IFERROR(__xludf.DUMMYFUNCTION("IFERROR((FILTER(Data!A:A,Data!D:D=A194,Data!B:B=$B$1)),"""")"),"")</f>
        <v/>
      </c>
      <c r="T194" s="52">
        <f>IFERROR(__xludf.DUMMYFUNCTION("((COUNTIF(FILTER(Data!N:N,Data!D:D=A194,Data!B:B=$B$1),""TRAVERSE"")*15)+(COUNTIF(FILTER(Data!N:N,Data!D:D=A194,Data!B:B=B$1),""HIGH"")*10)+(COUNTIF(FILTER(Data!N:N,Data!D:D=A194,Data!B:B=$B$1),""MIDDLE"")*6)+(COUNTIF(FILTER(Data!N:N,Data!D:D=A194,Data!B:"&amp;"B=$B$1),""LOW"")*4))"),0.0)</f>
        <v>0</v>
      </c>
      <c r="V194" s="138" t="str">
        <f>IF(Data!B186='Team Parser'!$B$1, Data!D186,"")</f>
        <v/>
      </c>
      <c r="W194" s="134" t="str">
        <f>IF(Data!$B186='Team Parser'!$B$1, Data!H186,"")</f>
        <v/>
      </c>
      <c r="X194" s="134" t="str">
        <f>IF(Data!$B186='Team Parser'!$B$1, Data!G186,"")</f>
        <v/>
      </c>
      <c r="Y194" s="134" t="str">
        <f>IF(Data!$B186='Team Parser'!$B$1, Data!L186,"")</f>
        <v/>
      </c>
      <c r="Z194" s="134" t="str">
        <f>IF(Data!$B186='Team Parser'!$B$1, Data!K186,"")</f>
        <v/>
      </c>
      <c r="AA194" s="134" t="str">
        <f>IF(Data!$B186='Team Parser'!$B$1, Data!M186,"")</f>
        <v/>
      </c>
      <c r="AB194" s="134" t="str">
        <f>IF(Data!$B186='Team Parser'!$B$1,((Z194*2)+(Y194)+(X194*4)+(W194*2)),"")</f>
        <v/>
      </c>
      <c r="AC194" s="134" t="str">
        <f>IF(Data!$B186='Team Parser'!$B$1, Data!N186,"")</f>
        <v/>
      </c>
      <c r="AD194" s="139" t="str">
        <f>IF(Data!$B186='Team Parser'!$B$1,(AB194+(COUNTIF(AC194,"TRAVERSE")*15)+(COUNTIF(AC194,"HIGH")*10)+(COUNTIF(AC194,"MIDDLE")*6)+(COUNTIF(AC194,"LOW")*4)),"")</f>
        <v/>
      </c>
    </row>
    <row r="195">
      <c r="A195" s="133" t="s">
        <v>507</v>
      </c>
      <c r="B195" s="134" t="str">
        <f>IFERROR(__xludf.DUMMYFUNCTION("IFERROR((FILTER(Data!H:H,Data!D:D=A195,Data!B:B=$B$1)),"""")"),"")</f>
        <v/>
      </c>
      <c r="C195" s="134" t="str">
        <f>IFERROR(__xludf.DUMMYFUNCTION("IFERROR((FILTER(Data!G:G,Data!D:D=A195,Data!B:B=$B$1)),"""")"),"")</f>
        <v/>
      </c>
      <c r="D195" s="134" t="str">
        <f>IFERROR(__xludf.DUMMYFUNCTION("IFERROR((FILTER(Data!J:J,Data!D:D=A195,Data!B:B=$B$1)),"""")"),"")</f>
        <v/>
      </c>
      <c r="E195" s="134" t="str">
        <f>IFERROR(__xludf.DUMMYFUNCTION("IFERROR((FILTER(Data!L:L,Data!D:D=A195,Data!B:B=$B$1)),"""")"),"")</f>
        <v/>
      </c>
      <c r="F195" s="134" t="str">
        <f>IFERROR(__xludf.DUMMYFUNCTION("IFERROR((FILTER(Data!K:K,Data!D:D=A195,Data!B:B=$B$1)),"""")"),"")</f>
        <v/>
      </c>
      <c r="G195" s="134" t="str">
        <f>IFERROR(__xludf.DUMMYFUNCTION("IFERROR((FILTER(Data!M:M,Data!D:D=A195,Data!B:B=$B$1)),"""")"),"")</f>
        <v/>
      </c>
      <c r="H195" s="134" t="str">
        <f>IFERROR(__xludf.DUMMYFUNCTION("IFERROR((FILTER(Data!G:G,Data!D:D=A195,Data!B:B=$B$1)*4)+(FILTER(Data!H:H,Data!D:D=A195,Data!B:B=$B$1)*2),"""")"),"")</f>
        <v/>
      </c>
      <c r="I195" s="15" t="str">
        <f>IFERROR(__xludf.DUMMYFUNCTION("IFERROR((FILTER(Data!K:K,Data!D:D=A195,Data!B:B=$B$1)*2)+(FILTER(Data!L:L,Data!D:D=A195,Data!B:B=$B$1)),"""")"),"")</f>
        <v/>
      </c>
      <c r="J195" s="134" t="str">
        <f>IFERROR(__xludf.DUMMYFUNCTION("IFERROR((FILTER(Data!N:N,Data!D:D=A195,Data!B:B=$B$1)),"""")"),"")</f>
        <v/>
      </c>
      <c r="K195" s="135" t="str">
        <f>IFERROR(__xludf.DUMMYFUNCTION("IFERROR((FILTER(Data!H:H,Data!D:D=A195,Data!B:B=$B$1)*2)+(FILTER(Data!L:L,Data!D:D=A195,Data!B:B=$B$1))+(FILTER(Data!G:G,Data!D:D=A195,Data!B:B=$B$1)*4)+(FILTER(Data!K:K,Data!D:D=A195,Data!B:B=$B$1)*2)+(((COUNTIF(FILTER(Data!N:N,Data!D:D=A195,Data!B:B=$B$"&amp;"1),""TRAVERSE"")*15)+(COUNTIF(FILTER(Data!N:N,Data!D:D=A195,Data!B:B=$B$1),""HIGH"")*10)+(COUNTIF(FILTER(Data!N:N,Data!D:D=A195,Data!B:B=$B$1),""MIDDLE"")*6)+(COUNTIF(FILTER(Data!N:N,Data!D:D=A195,Data!B:B=$B$1),""LOW"")*4))),"""")"),"")</f>
        <v/>
      </c>
      <c r="L195" s="136" t="str">
        <f>IFERROR(__xludf.DUMMYFUNCTION("IFERROR((FILTER(Data!P:P,Data!D:D=A195,Data!B:B=$B$1)),"""")"),"")</f>
        <v/>
      </c>
      <c r="M195" s="137" t="str">
        <f>IFERROR(__xludf.DUMMYFUNCTION("IFERROR((FILTER(Data!A:A,Data!D:D=A195,Data!B:B=$B$1)),"""")"),"")</f>
        <v/>
      </c>
      <c r="T195" s="52">
        <f>IFERROR(__xludf.DUMMYFUNCTION("((COUNTIF(FILTER(Data!N:N,Data!D:D=A195,Data!B:B=$B$1),""TRAVERSE"")*15)+(COUNTIF(FILTER(Data!N:N,Data!D:D=A195,Data!B:B=B$1),""HIGH"")*10)+(COUNTIF(FILTER(Data!N:N,Data!D:D=A195,Data!B:B=$B$1),""MIDDLE"")*6)+(COUNTIF(FILTER(Data!N:N,Data!D:D=A195,Data!B:"&amp;"B=$B$1),""LOW"")*4))"),0.0)</f>
        <v>0</v>
      </c>
      <c r="V195" s="138" t="str">
        <f>IF(Data!B187='Team Parser'!$B$1, Data!D187,"")</f>
        <v/>
      </c>
      <c r="W195" s="134" t="str">
        <f>IF(Data!$B187='Team Parser'!$B$1, Data!H187,"")</f>
        <v/>
      </c>
      <c r="X195" s="134" t="str">
        <f>IF(Data!$B187='Team Parser'!$B$1, Data!G187,"")</f>
        <v/>
      </c>
      <c r="Y195" s="134" t="str">
        <f>IF(Data!$B187='Team Parser'!$B$1, Data!L187,"")</f>
        <v/>
      </c>
      <c r="Z195" s="134" t="str">
        <f>IF(Data!$B187='Team Parser'!$B$1, Data!K187,"")</f>
        <v/>
      </c>
      <c r="AA195" s="134" t="str">
        <f>IF(Data!$B187='Team Parser'!$B$1, Data!M187,"")</f>
        <v/>
      </c>
      <c r="AB195" s="134" t="str">
        <f>IF(Data!$B187='Team Parser'!$B$1,((Z195*2)+(Y195)+(X195*4)+(W195*2)),"")</f>
        <v/>
      </c>
      <c r="AC195" s="134" t="str">
        <f>IF(Data!$B187='Team Parser'!$B$1, Data!N187,"")</f>
        <v/>
      </c>
      <c r="AD195" s="139" t="str">
        <f>IF(Data!$B187='Team Parser'!$B$1,(AB195+(COUNTIF(AC195,"TRAVERSE")*15)+(COUNTIF(AC195,"HIGH")*10)+(COUNTIF(AC195,"MIDDLE")*6)+(COUNTIF(AC195,"LOW")*4)),"")</f>
        <v/>
      </c>
    </row>
    <row r="196">
      <c r="A196" s="133" t="s">
        <v>507</v>
      </c>
      <c r="B196" s="134" t="str">
        <f>IFERROR(__xludf.DUMMYFUNCTION("IFERROR((FILTER(Data!H:H,Data!D:D=A196,Data!B:B=$B$1)),"""")"),"")</f>
        <v/>
      </c>
      <c r="C196" s="134" t="str">
        <f>IFERROR(__xludf.DUMMYFUNCTION("IFERROR((FILTER(Data!G:G,Data!D:D=A196,Data!B:B=$B$1)),"""")"),"")</f>
        <v/>
      </c>
      <c r="D196" s="134" t="str">
        <f>IFERROR(__xludf.DUMMYFUNCTION("IFERROR((FILTER(Data!J:J,Data!D:D=A196,Data!B:B=$B$1)),"""")"),"")</f>
        <v/>
      </c>
      <c r="E196" s="134" t="str">
        <f>IFERROR(__xludf.DUMMYFUNCTION("IFERROR((FILTER(Data!L:L,Data!D:D=A196,Data!B:B=$B$1)),"""")"),"")</f>
        <v/>
      </c>
      <c r="F196" s="134" t="str">
        <f>IFERROR(__xludf.DUMMYFUNCTION("IFERROR((FILTER(Data!K:K,Data!D:D=A196,Data!B:B=$B$1)),"""")"),"")</f>
        <v/>
      </c>
      <c r="G196" s="134" t="str">
        <f>IFERROR(__xludf.DUMMYFUNCTION("IFERROR((FILTER(Data!M:M,Data!D:D=A196,Data!B:B=$B$1)),"""")"),"")</f>
        <v/>
      </c>
      <c r="H196" s="134" t="str">
        <f>IFERROR(__xludf.DUMMYFUNCTION("IFERROR((FILTER(Data!G:G,Data!D:D=A196,Data!B:B=$B$1)*4)+(FILTER(Data!H:H,Data!D:D=A196,Data!B:B=$B$1)*2),"""")"),"")</f>
        <v/>
      </c>
      <c r="I196" s="15" t="str">
        <f>IFERROR(__xludf.DUMMYFUNCTION("IFERROR((FILTER(Data!K:K,Data!D:D=A196,Data!B:B=$B$1)*2)+(FILTER(Data!L:L,Data!D:D=A196,Data!B:B=$B$1)),"""")"),"")</f>
        <v/>
      </c>
      <c r="J196" s="134" t="str">
        <f>IFERROR(__xludf.DUMMYFUNCTION("IFERROR((FILTER(Data!N:N,Data!D:D=A196,Data!B:B=$B$1)),"""")"),"")</f>
        <v/>
      </c>
      <c r="K196" s="135" t="str">
        <f>IFERROR(__xludf.DUMMYFUNCTION("IFERROR((FILTER(Data!H:H,Data!D:D=A196,Data!B:B=$B$1)*2)+(FILTER(Data!L:L,Data!D:D=A196,Data!B:B=$B$1))+(FILTER(Data!G:G,Data!D:D=A196,Data!B:B=$B$1)*4)+(FILTER(Data!K:K,Data!D:D=A196,Data!B:B=$B$1)*2)+(((COUNTIF(FILTER(Data!N:N,Data!D:D=A196,Data!B:B=$B$"&amp;"1),""TRAVERSE"")*15)+(COUNTIF(FILTER(Data!N:N,Data!D:D=A196,Data!B:B=$B$1),""HIGH"")*10)+(COUNTIF(FILTER(Data!N:N,Data!D:D=A196,Data!B:B=$B$1),""MIDDLE"")*6)+(COUNTIF(FILTER(Data!N:N,Data!D:D=A196,Data!B:B=$B$1),""LOW"")*4))),"""")"),"")</f>
        <v/>
      </c>
      <c r="L196" s="136" t="str">
        <f>IFERROR(__xludf.DUMMYFUNCTION("IFERROR((FILTER(Data!P:P,Data!D:D=A196,Data!B:B=$B$1)),"""")"),"")</f>
        <v/>
      </c>
      <c r="M196" s="137" t="str">
        <f>IFERROR(__xludf.DUMMYFUNCTION("IFERROR((FILTER(Data!A:A,Data!D:D=A196,Data!B:B=$B$1)),"""")"),"")</f>
        <v/>
      </c>
      <c r="T196" s="52">
        <f>IFERROR(__xludf.DUMMYFUNCTION("((COUNTIF(FILTER(Data!N:N,Data!D:D=A196,Data!B:B=$B$1),""TRAVERSE"")*15)+(COUNTIF(FILTER(Data!N:N,Data!D:D=A196,Data!B:B=B$1),""HIGH"")*10)+(COUNTIF(FILTER(Data!N:N,Data!D:D=A196,Data!B:B=$B$1),""MIDDLE"")*6)+(COUNTIF(FILTER(Data!N:N,Data!D:D=A196,Data!B:"&amp;"B=$B$1),""LOW"")*4))"),0.0)</f>
        <v>0</v>
      </c>
      <c r="V196" s="138" t="str">
        <f>IF(Data!B188='Team Parser'!$B$1, Data!D188,"")</f>
        <v/>
      </c>
      <c r="W196" s="134" t="str">
        <f>IF(Data!$B188='Team Parser'!$B$1, Data!H188,"")</f>
        <v/>
      </c>
      <c r="X196" s="134" t="str">
        <f>IF(Data!$B188='Team Parser'!$B$1, Data!G188,"")</f>
        <v/>
      </c>
      <c r="Y196" s="134" t="str">
        <f>IF(Data!$B188='Team Parser'!$B$1, Data!L188,"")</f>
        <v/>
      </c>
      <c r="Z196" s="134" t="str">
        <f>IF(Data!$B188='Team Parser'!$B$1, Data!K188,"")</f>
        <v/>
      </c>
      <c r="AA196" s="134" t="str">
        <f>IF(Data!$B188='Team Parser'!$B$1, Data!M188,"")</f>
        <v/>
      </c>
      <c r="AB196" s="134" t="str">
        <f>IF(Data!$B188='Team Parser'!$B$1,((Z196*2)+(Y196)+(X196*4)+(W196*2)),"")</f>
        <v/>
      </c>
      <c r="AC196" s="134" t="str">
        <f>IF(Data!$B188='Team Parser'!$B$1, Data!N188,"")</f>
        <v/>
      </c>
      <c r="AD196" s="139" t="str">
        <f>IF(Data!$B188='Team Parser'!$B$1,(AB196+(COUNTIF(AC196,"TRAVERSE")*15)+(COUNTIF(AC196,"HIGH")*10)+(COUNTIF(AC196,"MIDDLE")*6)+(COUNTIF(AC196,"LOW")*4)),"")</f>
        <v/>
      </c>
    </row>
    <row r="197">
      <c r="A197" s="133" t="s">
        <v>507</v>
      </c>
      <c r="B197" s="134" t="str">
        <f>IFERROR(__xludf.DUMMYFUNCTION("IFERROR((FILTER(Data!H:H,Data!D:D=A197,Data!B:B=$B$1)),"""")"),"")</f>
        <v/>
      </c>
      <c r="C197" s="134" t="str">
        <f>IFERROR(__xludf.DUMMYFUNCTION("IFERROR((FILTER(Data!G:G,Data!D:D=A197,Data!B:B=$B$1)),"""")"),"")</f>
        <v/>
      </c>
      <c r="D197" s="134" t="str">
        <f>IFERROR(__xludf.DUMMYFUNCTION("IFERROR((FILTER(Data!J:J,Data!D:D=A197,Data!B:B=$B$1)),"""")"),"")</f>
        <v/>
      </c>
      <c r="E197" s="134" t="str">
        <f>IFERROR(__xludf.DUMMYFUNCTION("IFERROR((FILTER(Data!L:L,Data!D:D=A197,Data!B:B=$B$1)),"""")"),"")</f>
        <v/>
      </c>
      <c r="F197" s="134" t="str">
        <f>IFERROR(__xludf.DUMMYFUNCTION("IFERROR((FILTER(Data!K:K,Data!D:D=A197,Data!B:B=$B$1)),"""")"),"")</f>
        <v/>
      </c>
      <c r="G197" s="134" t="str">
        <f>IFERROR(__xludf.DUMMYFUNCTION("IFERROR((FILTER(Data!M:M,Data!D:D=A197,Data!B:B=$B$1)),"""")"),"")</f>
        <v/>
      </c>
      <c r="H197" s="134" t="str">
        <f>IFERROR(__xludf.DUMMYFUNCTION("IFERROR((FILTER(Data!G:G,Data!D:D=A197,Data!B:B=$B$1)*4)+(FILTER(Data!H:H,Data!D:D=A197,Data!B:B=$B$1)*2),"""")"),"")</f>
        <v/>
      </c>
      <c r="I197" s="15" t="str">
        <f>IFERROR(__xludf.DUMMYFUNCTION("IFERROR((FILTER(Data!K:K,Data!D:D=A197,Data!B:B=$B$1)*2)+(FILTER(Data!L:L,Data!D:D=A197,Data!B:B=$B$1)),"""")"),"")</f>
        <v/>
      </c>
      <c r="J197" s="134" t="str">
        <f>IFERROR(__xludf.DUMMYFUNCTION("IFERROR((FILTER(Data!N:N,Data!D:D=A197,Data!B:B=$B$1)),"""")"),"")</f>
        <v/>
      </c>
      <c r="K197" s="135" t="str">
        <f>IFERROR(__xludf.DUMMYFUNCTION("IFERROR((FILTER(Data!H:H,Data!D:D=A197,Data!B:B=$B$1)*2)+(FILTER(Data!L:L,Data!D:D=A197,Data!B:B=$B$1))+(FILTER(Data!G:G,Data!D:D=A197,Data!B:B=$B$1)*4)+(FILTER(Data!K:K,Data!D:D=A197,Data!B:B=$B$1)*2)+(((COUNTIF(FILTER(Data!N:N,Data!D:D=A197,Data!B:B=$B$"&amp;"1),""TRAVERSE"")*15)+(COUNTIF(FILTER(Data!N:N,Data!D:D=A197,Data!B:B=$B$1),""HIGH"")*10)+(COUNTIF(FILTER(Data!N:N,Data!D:D=A197,Data!B:B=$B$1),""MIDDLE"")*6)+(COUNTIF(FILTER(Data!N:N,Data!D:D=A197,Data!B:B=$B$1),""LOW"")*4))),"""")"),"")</f>
        <v/>
      </c>
      <c r="L197" s="136" t="str">
        <f>IFERROR(__xludf.DUMMYFUNCTION("IFERROR((FILTER(Data!P:P,Data!D:D=A197,Data!B:B=$B$1)),"""")"),"")</f>
        <v/>
      </c>
      <c r="M197" s="137" t="str">
        <f>IFERROR(__xludf.DUMMYFUNCTION("IFERROR((FILTER(Data!A:A,Data!D:D=A197,Data!B:B=$B$1)),"""")"),"")</f>
        <v/>
      </c>
      <c r="T197" s="52">
        <f>IFERROR(__xludf.DUMMYFUNCTION("((COUNTIF(FILTER(Data!N:N,Data!D:D=A197,Data!B:B=$B$1),""TRAVERSE"")*15)+(COUNTIF(FILTER(Data!N:N,Data!D:D=A197,Data!B:B=B$1),""HIGH"")*10)+(COUNTIF(FILTER(Data!N:N,Data!D:D=A197,Data!B:B=$B$1),""MIDDLE"")*6)+(COUNTIF(FILTER(Data!N:N,Data!D:D=A197,Data!B:"&amp;"B=$B$1),""LOW"")*4))"),0.0)</f>
        <v>0</v>
      </c>
      <c r="V197" s="138" t="str">
        <f>IF(Data!B189='Team Parser'!$B$1, Data!D189,"")</f>
        <v/>
      </c>
      <c r="W197" s="134" t="str">
        <f>IF(Data!$B189='Team Parser'!$B$1, Data!H189,"")</f>
        <v/>
      </c>
      <c r="X197" s="134" t="str">
        <f>IF(Data!$B189='Team Parser'!$B$1, Data!G189,"")</f>
        <v/>
      </c>
      <c r="Y197" s="134" t="str">
        <f>IF(Data!$B189='Team Parser'!$B$1, Data!L189,"")</f>
        <v/>
      </c>
      <c r="Z197" s="134" t="str">
        <f>IF(Data!$B189='Team Parser'!$B$1, Data!K189,"")</f>
        <v/>
      </c>
      <c r="AA197" s="134" t="str">
        <f>IF(Data!$B189='Team Parser'!$B$1, Data!M189,"")</f>
        <v/>
      </c>
      <c r="AB197" s="134" t="str">
        <f>IF(Data!$B189='Team Parser'!$B$1,((Z197*2)+(Y197)+(X197*4)+(W197*2)),"")</f>
        <v/>
      </c>
      <c r="AC197" s="134" t="str">
        <f>IF(Data!$B189='Team Parser'!$B$1, Data!N189,"")</f>
        <v/>
      </c>
      <c r="AD197" s="139" t="str">
        <f>IF(Data!$B189='Team Parser'!$B$1,(AB197+(COUNTIF(AC197,"TRAVERSE")*15)+(COUNTIF(AC197,"HIGH")*10)+(COUNTIF(AC197,"MIDDLE")*6)+(COUNTIF(AC197,"LOW")*4)),"")</f>
        <v/>
      </c>
    </row>
    <row r="198">
      <c r="A198" s="133" t="s">
        <v>507</v>
      </c>
      <c r="B198" s="134" t="str">
        <f>IFERROR(__xludf.DUMMYFUNCTION("IFERROR((FILTER(Data!H:H,Data!D:D=A198,Data!B:B=$B$1)),"""")"),"")</f>
        <v/>
      </c>
      <c r="C198" s="134" t="str">
        <f>IFERROR(__xludf.DUMMYFUNCTION("IFERROR((FILTER(Data!G:G,Data!D:D=A198,Data!B:B=$B$1)),"""")"),"")</f>
        <v/>
      </c>
      <c r="D198" s="134" t="str">
        <f>IFERROR(__xludf.DUMMYFUNCTION("IFERROR((FILTER(Data!J:J,Data!D:D=A198,Data!B:B=$B$1)),"""")"),"")</f>
        <v/>
      </c>
      <c r="E198" s="134" t="str">
        <f>IFERROR(__xludf.DUMMYFUNCTION("IFERROR((FILTER(Data!L:L,Data!D:D=A198,Data!B:B=$B$1)),"""")"),"")</f>
        <v/>
      </c>
      <c r="F198" s="134" t="str">
        <f>IFERROR(__xludf.DUMMYFUNCTION("IFERROR((FILTER(Data!K:K,Data!D:D=A198,Data!B:B=$B$1)),"""")"),"")</f>
        <v/>
      </c>
      <c r="G198" s="134" t="str">
        <f>IFERROR(__xludf.DUMMYFUNCTION("IFERROR((FILTER(Data!M:M,Data!D:D=A198,Data!B:B=$B$1)),"""")"),"")</f>
        <v/>
      </c>
      <c r="H198" s="134" t="str">
        <f>IFERROR(__xludf.DUMMYFUNCTION("IFERROR((FILTER(Data!G:G,Data!D:D=A198,Data!B:B=$B$1)*4)+(FILTER(Data!H:H,Data!D:D=A198,Data!B:B=$B$1)*2),"""")"),"")</f>
        <v/>
      </c>
      <c r="I198" s="15" t="str">
        <f>IFERROR(__xludf.DUMMYFUNCTION("IFERROR((FILTER(Data!K:K,Data!D:D=A198,Data!B:B=$B$1)*2)+(FILTER(Data!L:L,Data!D:D=A198,Data!B:B=$B$1)),"""")"),"")</f>
        <v/>
      </c>
      <c r="J198" s="134" t="str">
        <f>IFERROR(__xludf.DUMMYFUNCTION("IFERROR((FILTER(Data!N:N,Data!D:D=A198,Data!B:B=$B$1)),"""")"),"")</f>
        <v/>
      </c>
      <c r="K198" s="135" t="str">
        <f>IFERROR(__xludf.DUMMYFUNCTION("IFERROR((FILTER(Data!H:H,Data!D:D=A198,Data!B:B=$B$1)*2)+(FILTER(Data!L:L,Data!D:D=A198,Data!B:B=$B$1))+(FILTER(Data!G:G,Data!D:D=A198,Data!B:B=$B$1)*4)+(FILTER(Data!K:K,Data!D:D=A198,Data!B:B=$B$1)*2)+(((COUNTIF(FILTER(Data!N:N,Data!D:D=A198,Data!B:B=$B$"&amp;"1),""TRAVERSE"")*15)+(COUNTIF(FILTER(Data!N:N,Data!D:D=A198,Data!B:B=$B$1),""HIGH"")*10)+(COUNTIF(FILTER(Data!N:N,Data!D:D=A198,Data!B:B=$B$1),""MIDDLE"")*6)+(COUNTIF(FILTER(Data!N:N,Data!D:D=A198,Data!B:B=$B$1),""LOW"")*4))),"""")"),"")</f>
        <v/>
      </c>
      <c r="L198" s="136" t="str">
        <f>IFERROR(__xludf.DUMMYFUNCTION("IFERROR((FILTER(Data!P:P,Data!D:D=A198,Data!B:B=$B$1)),"""")"),"")</f>
        <v/>
      </c>
      <c r="M198" s="137" t="str">
        <f>IFERROR(__xludf.DUMMYFUNCTION("IFERROR((FILTER(Data!A:A,Data!D:D=A198,Data!B:B=$B$1)),"""")"),"")</f>
        <v/>
      </c>
      <c r="T198" s="52">
        <f>IFERROR(__xludf.DUMMYFUNCTION("((COUNTIF(FILTER(Data!N:N,Data!D:D=A198,Data!B:B=$B$1),""TRAVERSE"")*15)+(COUNTIF(FILTER(Data!N:N,Data!D:D=A198,Data!B:B=B$1),""HIGH"")*10)+(COUNTIF(FILTER(Data!N:N,Data!D:D=A198,Data!B:B=$B$1),""MIDDLE"")*6)+(COUNTIF(FILTER(Data!N:N,Data!D:D=A198,Data!B:"&amp;"B=$B$1),""LOW"")*4))"),0.0)</f>
        <v>0</v>
      </c>
      <c r="V198" s="138" t="str">
        <f>IF(Data!B190='Team Parser'!$B$1, Data!D190,"")</f>
        <v/>
      </c>
      <c r="W198" s="134" t="str">
        <f>IF(Data!$B190='Team Parser'!$B$1, Data!H190,"")</f>
        <v/>
      </c>
      <c r="X198" s="134" t="str">
        <f>IF(Data!$B190='Team Parser'!$B$1, Data!G190,"")</f>
        <v/>
      </c>
      <c r="Y198" s="134" t="str">
        <f>IF(Data!$B190='Team Parser'!$B$1, Data!L190,"")</f>
        <v/>
      </c>
      <c r="Z198" s="134" t="str">
        <f>IF(Data!$B190='Team Parser'!$B$1, Data!K190,"")</f>
        <v/>
      </c>
      <c r="AA198" s="134" t="str">
        <f>IF(Data!$B190='Team Parser'!$B$1, Data!M190,"")</f>
        <v/>
      </c>
      <c r="AB198" s="134" t="str">
        <f>IF(Data!$B190='Team Parser'!$B$1,((Z198*2)+(Y198)+(X198*4)+(W198*2)),"")</f>
        <v/>
      </c>
      <c r="AC198" s="134" t="str">
        <f>IF(Data!$B190='Team Parser'!$B$1, Data!N190,"")</f>
        <v/>
      </c>
      <c r="AD198" s="139" t="str">
        <f>IF(Data!$B190='Team Parser'!$B$1,(AB198+(COUNTIF(AC198,"TRAVERSE")*15)+(COUNTIF(AC198,"HIGH")*10)+(COUNTIF(AC198,"MIDDLE")*6)+(COUNTIF(AC198,"LOW")*4)),"")</f>
        <v/>
      </c>
    </row>
    <row r="199">
      <c r="A199" s="133" t="s">
        <v>507</v>
      </c>
      <c r="B199" s="134" t="str">
        <f>IFERROR(__xludf.DUMMYFUNCTION("IFERROR((FILTER(Data!H:H,Data!D:D=A199,Data!B:B=$B$1)),"""")"),"")</f>
        <v/>
      </c>
      <c r="C199" s="134" t="str">
        <f>IFERROR(__xludf.DUMMYFUNCTION("IFERROR((FILTER(Data!G:G,Data!D:D=A199,Data!B:B=$B$1)),"""")"),"")</f>
        <v/>
      </c>
      <c r="D199" s="134" t="str">
        <f>IFERROR(__xludf.DUMMYFUNCTION("IFERROR((FILTER(Data!J:J,Data!D:D=A199,Data!B:B=$B$1)),"""")"),"")</f>
        <v/>
      </c>
      <c r="E199" s="134" t="str">
        <f>IFERROR(__xludf.DUMMYFUNCTION("IFERROR((FILTER(Data!L:L,Data!D:D=A199,Data!B:B=$B$1)),"""")"),"")</f>
        <v/>
      </c>
      <c r="F199" s="134" t="str">
        <f>IFERROR(__xludf.DUMMYFUNCTION("IFERROR((FILTER(Data!K:K,Data!D:D=A199,Data!B:B=$B$1)),"""")"),"")</f>
        <v/>
      </c>
      <c r="G199" s="134" t="str">
        <f>IFERROR(__xludf.DUMMYFUNCTION("IFERROR((FILTER(Data!M:M,Data!D:D=A199,Data!B:B=$B$1)),"""")"),"")</f>
        <v/>
      </c>
      <c r="H199" s="134" t="str">
        <f>IFERROR(__xludf.DUMMYFUNCTION("IFERROR((FILTER(Data!G:G,Data!D:D=A199,Data!B:B=$B$1)*4)+(FILTER(Data!H:H,Data!D:D=A199,Data!B:B=$B$1)*2),"""")"),"")</f>
        <v/>
      </c>
      <c r="I199" s="15" t="str">
        <f>IFERROR(__xludf.DUMMYFUNCTION("IFERROR((FILTER(Data!K:K,Data!D:D=A199,Data!B:B=$B$1)*2)+(FILTER(Data!L:L,Data!D:D=A199,Data!B:B=$B$1)),"""")"),"")</f>
        <v/>
      </c>
      <c r="J199" s="134" t="str">
        <f>IFERROR(__xludf.DUMMYFUNCTION("IFERROR((FILTER(Data!N:N,Data!D:D=A199,Data!B:B=$B$1)),"""")"),"")</f>
        <v/>
      </c>
      <c r="K199" s="135" t="str">
        <f>IFERROR(__xludf.DUMMYFUNCTION("IFERROR((FILTER(Data!H:H,Data!D:D=A199,Data!B:B=$B$1)*2)+(FILTER(Data!L:L,Data!D:D=A199,Data!B:B=$B$1))+(FILTER(Data!G:G,Data!D:D=A199,Data!B:B=$B$1)*4)+(FILTER(Data!K:K,Data!D:D=A199,Data!B:B=$B$1)*2)+(((COUNTIF(FILTER(Data!N:N,Data!D:D=A199,Data!B:B=$B$"&amp;"1),""TRAVERSE"")*15)+(COUNTIF(FILTER(Data!N:N,Data!D:D=A199,Data!B:B=$B$1),""HIGH"")*10)+(COUNTIF(FILTER(Data!N:N,Data!D:D=A199,Data!B:B=$B$1),""MIDDLE"")*6)+(COUNTIF(FILTER(Data!N:N,Data!D:D=A199,Data!B:B=$B$1),""LOW"")*4))),"""")"),"")</f>
        <v/>
      </c>
      <c r="L199" s="136" t="str">
        <f>IFERROR(__xludf.DUMMYFUNCTION("IFERROR((FILTER(Data!P:P,Data!D:D=A199,Data!B:B=$B$1)),"""")"),"")</f>
        <v/>
      </c>
      <c r="M199" s="137" t="str">
        <f>IFERROR(__xludf.DUMMYFUNCTION("IFERROR((FILTER(Data!A:A,Data!D:D=A199,Data!B:B=$B$1)),"""")"),"")</f>
        <v/>
      </c>
      <c r="T199" s="52">
        <f>IFERROR(__xludf.DUMMYFUNCTION("((COUNTIF(FILTER(Data!N:N,Data!D:D=A199,Data!B:B=$B$1),""TRAVERSE"")*15)+(COUNTIF(FILTER(Data!N:N,Data!D:D=A199,Data!B:B=B$1),""HIGH"")*10)+(COUNTIF(FILTER(Data!N:N,Data!D:D=A199,Data!B:B=$B$1),""MIDDLE"")*6)+(COUNTIF(FILTER(Data!N:N,Data!D:D=A199,Data!B:"&amp;"B=$B$1),""LOW"")*4))"),0.0)</f>
        <v>0</v>
      </c>
      <c r="V199" s="138" t="str">
        <f>IF(Data!B191='Team Parser'!$B$1, Data!D191,"")</f>
        <v/>
      </c>
      <c r="W199" s="134" t="str">
        <f>IF(Data!$B191='Team Parser'!$B$1, Data!H191,"")</f>
        <v/>
      </c>
      <c r="X199" s="134" t="str">
        <f>IF(Data!$B191='Team Parser'!$B$1, Data!G191,"")</f>
        <v/>
      </c>
      <c r="Y199" s="134" t="str">
        <f>IF(Data!$B191='Team Parser'!$B$1, Data!L191,"")</f>
        <v/>
      </c>
      <c r="Z199" s="134" t="str">
        <f>IF(Data!$B191='Team Parser'!$B$1, Data!K191,"")</f>
        <v/>
      </c>
      <c r="AA199" s="134" t="str">
        <f>IF(Data!$B191='Team Parser'!$B$1, Data!M191,"")</f>
        <v/>
      </c>
      <c r="AB199" s="134" t="str">
        <f>IF(Data!$B191='Team Parser'!$B$1,((Z199*2)+(Y199)+(X199*4)+(W199*2)),"")</f>
        <v/>
      </c>
      <c r="AC199" s="134" t="str">
        <f>IF(Data!$B191='Team Parser'!$B$1, Data!N191,"")</f>
        <v/>
      </c>
      <c r="AD199" s="139" t="str">
        <f>IF(Data!$B191='Team Parser'!$B$1,(AB199+(COUNTIF(AC199,"TRAVERSE")*15)+(COUNTIF(AC199,"HIGH")*10)+(COUNTIF(AC199,"MIDDLE")*6)+(COUNTIF(AC199,"LOW")*4)),"")</f>
        <v/>
      </c>
    </row>
    <row r="200">
      <c r="A200" s="133" t="s">
        <v>507</v>
      </c>
      <c r="B200" s="134" t="str">
        <f>IFERROR(__xludf.DUMMYFUNCTION("IFERROR((FILTER(Data!H:H,Data!D:D=A200,Data!B:B=$B$1)),"""")"),"")</f>
        <v/>
      </c>
      <c r="C200" s="134" t="str">
        <f>IFERROR(__xludf.DUMMYFUNCTION("IFERROR((FILTER(Data!G:G,Data!D:D=A200,Data!B:B=$B$1)),"""")"),"")</f>
        <v/>
      </c>
      <c r="D200" s="134" t="str">
        <f>IFERROR(__xludf.DUMMYFUNCTION("IFERROR((FILTER(Data!J:J,Data!D:D=A200,Data!B:B=$B$1)),"""")"),"")</f>
        <v/>
      </c>
      <c r="E200" s="134" t="str">
        <f>IFERROR(__xludf.DUMMYFUNCTION("IFERROR((FILTER(Data!L:L,Data!D:D=A200,Data!B:B=$B$1)),"""")"),"")</f>
        <v/>
      </c>
      <c r="F200" s="134" t="str">
        <f>IFERROR(__xludf.DUMMYFUNCTION("IFERROR((FILTER(Data!K:K,Data!D:D=A200,Data!B:B=$B$1)),"""")"),"")</f>
        <v/>
      </c>
      <c r="G200" s="134" t="str">
        <f>IFERROR(__xludf.DUMMYFUNCTION("IFERROR((FILTER(Data!M:M,Data!D:D=A200,Data!B:B=$B$1)),"""")"),"")</f>
        <v/>
      </c>
      <c r="H200" s="134" t="str">
        <f>IFERROR(__xludf.DUMMYFUNCTION("IFERROR((FILTER(Data!G:G,Data!D:D=A200,Data!B:B=$B$1)*4)+(FILTER(Data!H:H,Data!D:D=A200,Data!B:B=$B$1)*2),"""")"),"")</f>
        <v/>
      </c>
      <c r="I200" s="15" t="str">
        <f>IFERROR(__xludf.DUMMYFUNCTION("IFERROR((FILTER(Data!K:K,Data!D:D=A200,Data!B:B=$B$1)*2)+(FILTER(Data!L:L,Data!D:D=A200,Data!B:B=$B$1)),"""")"),"")</f>
        <v/>
      </c>
      <c r="J200" s="134" t="str">
        <f>IFERROR(__xludf.DUMMYFUNCTION("IFERROR((FILTER(Data!N:N,Data!D:D=A200,Data!B:B=$B$1)),"""")"),"")</f>
        <v/>
      </c>
      <c r="K200" s="135" t="str">
        <f>IFERROR(__xludf.DUMMYFUNCTION("IFERROR((FILTER(Data!H:H,Data!D:D=A200,Data!B:B=$B$1)*2)+(FILTER(Data!L:L,Data!D:D=A200,Data!B:B=$B$1))+(FILTER(Data!G:G,Data!D:D=A200,Data!B:B=$B$1)*4)+(FILTER(Data!K:K,Data!D:D=A200,Data!B:B=$B$1)*2)+(((COUNTIF(FILTER(Data!N:N,Data!D:D=A200,Data!B:B=$B$"&amp;"1),""TRAVERSE"")*15)+(COUNTIF(FILTER(Data!N:N,Data!D:D=A200,Data!B:B=$B$1),""HIGH"")*10)+(COUNTIF(FILTER(Data!N:N,Data!D:D=A200,Data!B:B=$B$1),""MIDDLE"")*6)+(COUNTIF(FILTER(Data!N:N,Data!D:D=A200,Data!B:B=$B$1),""LOW"")*4))),"""")"),"")</f>
        <v/>
      </c>
      <c r="L200" s="136" t="str">
        <f>IFERROR(__xludf.DUMMYFUNCTION("IFERROR((FILTER(Data!P:P,Data!D:D=A200,Data!B:B=$B$1)),"""")"),"")</f>
        <v/>
      </c>
      <c r="M200" s="137" t="str">
        <f>IFERROR(__xludf.DUMMYFUNCTION("IFERROR((FILTER(Data!A:A,Data!D:D=A200,Data!B:B=$B$1)),"""")"),"")</f>
        <v/>
      </c>
      <c r="T200" s="52">
        <f>IFERROR(__xludf.DUMMYFUNCTION("((COUNTIF(FILTER(Data!N:N,Data!D:D=A200,Data!B:B=$B$1),""TRAVERSE"")*15)+(COUNTIF(FILTER(Data!N:N,Data!D:D=A200,Data!B:B=B$1),""HIGH"")*10)+(COUNTIF(FILTER(Data!N:N,Data!D:D=A200,Data!B:B=$B$1),""MIDDLE"")*6)+(COUNTIF(FILTER(Data!N:N,Data!D:D=A200,Data!B:"&amp;"B=$B$1),""LOW"")*4))"),0.0)</f>
        <v>0</v>
      </c>
      <c r="V200" s="138" t="str">
        <f>IF(Data!B192='Team Parser'!$B$1, Data!D192,"")</f>
        <v/>
      </c>
      <c r="W200" s="134" t="str">
        <f>IF(Data!$B192='Team Parser'!$B$1, Data!H192,"")</f>
        <v/>
      </c>
      <c r="X200" s="134" t="str">
        <f>IF(Data!$B192='Team Parser'!$B$1, Data!G192,"")</f>
        <v/>
      </c>
      <c r="Y200" s="134" t="str">
        <f>IF(Data!$B192='Team Parser'!$B$1, Data!L192,"")</f>
        <v/>
      </c>
      <c r="Z200" s="134" t="str">
        <f>IF(Data!$B192='Team Parser'!$B$1, Data!K192,"")</f>
        <v/>
      </c>
      <c r="AA200" s="134" t="str">
        <f>IF(Data!$B192='Team Parser'!$B$1, Data!M192,"")</f>
        <v/>
      </c>
      <c r="AB200" s="134" t="str">
        <f>IF(Data!$B192='Team Parser'!$B$1,((Z200*2)+(Y200)+(X200*4)+(W200*2)),"")</f>
        <v/>
      </c>
      <c r="AC200" s="134" t="str">
        <f>IF(Data!$B192='Team Parser'!$B$1, Data!N192,"")</f>
        <v/>
      </c>
      <c r="AD200" s="139" t="str">
        <f>IF(Data!$B192='Team Parser'!$B$1,(AB200+(COUNTIF(AC200,"TRAVERSE")*15)+(COUNTIF(AC200,"HIGH")*10)+(COUNTIF(AC200,"MIDDLE")*6)+(COUNTIF(AC200,"LOW")*4)),"")</f>
        <v/>
      </c>
    </row>
    <row r="201">
      <c r="A201" s="133" t="s">
        <v>507</v>
      </c>
      <c r="B201" s="134" t="str">
        <f>IFERROR(__xludf.DUMMYFUNCTION("IFERROR((FILTER(Data!H:H,Data!D:D=A201,Data!B:B=$B$1)),"""")"),"")</f>
        <v/>
      </c>
      <c r="C201" s="134" t="str">
        <f>IFERROR(__xludf.DUMMYFUNCTION("IFERROR((FILTER(Data!G:G,Data!D:D=A201,Data!B:B=$B$1)),"""")"),"")</f>
        <v/>
      </c>
      <c r="D201" s="134" t="str">
        <f>IFERROR(__xludf.DUMMYFUNCTION("IFERROR((FILTER(Data!J:J,Data!D:D=A201,Data!B:B=$B$1)),"""")"),"")</f>
        <v/>
      </c>
      <c r="E201" s="134" t="str">
        <f>IFERROR(__xludf.DUMMYFUNCTION("IFERROR((FILTER(Data!L:L,Data!D:D=A201,Data!B:B=$B$1)),"""")"),"")</f>
        <v/>
      </c>
      <c r="F201" s="134" t="str">
        <f>IFERROR(__xludf.DUMMYFUNCTION("IFERROR((FILTER(Data!K:K,Data!D:D=A201,Data!B:B=$B$1)),"""")"),"")</f>
        <v/>
      </c>
      <c r="G201" s="134" t="str">
        <f>IFERROR(__xludf.DUMMYFUNCTION("IFERROR((FILTER(Data!M:M,Data!D:D=A201,Data!B:B=$B$1)),"""")"),"")</f>
        <v/>
      </c>
      <c r="H201" s="134" t="str">
        <f>IFERROR(__xludf.DUMMYFUNCTION("IFERROR((FILTER(Data!G:G,Data!D:D=A201,Data!B:B=$B$1)*4)+(FILTER(Data!H:H,Data!D:D=A201,Data!B:B=$B$1)*2),"""")"),"")</f>
        <v/>
      </c>
      <c r="I201" s="15" t="str">
        <f>IFERROR(__xludf.DUMMYFUNCTION("IFERROR((FILTER(Data!K:K,Data!D:D=A201,Data!B:B=$B$1)*2)+(FILTER(Data!L:L,Data!D:D=A201,Data!B:B=$B$1)),"""")"),"")</f>
        <v/>
      </c>
      <c r="J201" s="134" t="str">
        <f>IFERROR(__xludf.DUMMYFUNCTION("IFERROR((FILTER(Data!N:N,Data!D:D=A201,Data!B:B=$B$1)),"""")"),"")</f>
        <v/>
      </c>
      <c r="K201" s="135" t="str">
        <f>IFERROR(__xludf.DUMMYFUNCTION("IFERROR((FILTER(Data!H:H,Data!D:D=A201,Data!B:B=$B$1)*2)+(FILTER(Data!L:L,Data!D:D=A201,Data!B:B=$B$1))+(FILTER(Data!G:G,Data!D:D=A201,Data!B:B=$B$1)*4)+(FILTER(Data!K:K,Data!D:D=A201,Data!B:B=$B$1)*2)+(((COUNTIF(FILTER(Data!N:N,Data!D:D=A201,Data!B:B=$B$"&amp;"1),""TRAVERSE"")*15)+(COUNTIF(FILTER(Data!N:N,Data!D:D=A201,Data!B:B=$B$1),""HIGH"")*10)+(COUNTIF(FILTER(Data!N:N,Data!D:D=A201,Data!B:B=$B$1),""MIDDLE"")*6)+(COUNTIF(FILTER(Data!N:N,Data!D:D=A201,Data!B:B=$B$1),""LOW"")*4))),"""")"),"")</f>
        <v/>
      </c>
      <c r="L201" s="136" t="str">
        <f>IFERROR(__xludf.DUMMYFUNCTION("IFERROR((FILTER(Data!P:P,Data!D:D=A201,Data!B:B=$B$1)),"""")"),"")</f>
        <v/>
      </c>
      <c r="M201" s="137" t="str">
        <f>IFERROR(__xludf.DUMMYFUNCTION("IFERROR((FILTER(Data!A:A,Data!D:D=A201,Data!B:B=$B$1)),"""")"),"")</f>
        <v/>
      </c>
      <c r="T201" s="52">
        <f>IFERROR(__xludf.DUMMYFUNCTION("((COUNTIF(FILTER(Data!N:N,Data!D:D=A201,Data!B:B=$B$1),""TRAVERSE"")*15)+(COUNTIF(FILTER(Data!N:N,Data!D:D=A201,Data!B:B=B$1),""HIGH"")*10)+(COUNTIF(FILTER(Data!N:N,Data!D:D=A201,Data!B:B=$B$1),""MIDDLE"")*6)+(COUNTIF(FILTER(Data!N:N,Data!D:D=A201,Data!B:"&amp;"B=$B$1),""LOW"")*4))"),0.0)</f>
        <v>0</v>
      </c>
      <c r="V201" s="138" t="str">
        <f>IF(Data!B193='Team Parser'!$B$1, Data!D193,"")</f>
        <v/>
      </c>
      <c r="W201" s="134" t="str">
        <f>IF(Data!$B193='Team Parser'!$B$1, Data!H193,"")</f>
        <v/>
      </c>
      <c r="X201" s="134" t="str">
        <f>IF(Data!$B193='Team Parser'!$B$1, Data!G193,"")</f>
        <v/>
      </c>
      <c r="Y201" s="134" t="str">
        <f>IF(Data!$B193='Team Parser'!$B$1, Data!L193,"")</f>
        <v/>
      </c>
      <c r="Z201" s="134" t="str">
        <f>IF(Data!$B193='Team Parser'!$B$1, Data!K193,"")</f>
        <v/>
      </c>
      <c r="AA201" s="134" t="str">
        <f>IF(Data!$B193='Team Parser'!$B$1, Data!M193,"")</f>
        <v/>
      </c>
      <c r="AB201" s="134" t="str">
        <f>IF(Data!$B193='Team Parser'!$B$1,((Z201*2)+(Y201)+(X201*4)+(W201*2)),"")</f>
        <v/>
      </c>
      <c r="AC201" s="134" t="str">
        <f>IF(Data!$B193='Team Parser'!$B$1, Data!N193,"")</f>
        <v/>
      </c>
      <c r="AD201" s="139" t="str">
        <f>IF(Data!$B193='Team Parser'!$B$1,(AB201+(COUNTIF(AC201,"TRAVERSE")*15)+(COUNTIF(AC201,"HIGH")*10)+(COUNTIF(AC201,"MIDDLE")*6)+(COUNTIF(AC201,"LOW")*4)),"")</f>
        <v/>
      </c>
    </row>
    <row r="202">
      <c r="A202" s="133" t="s">
        <v>507</v>
      </c>
      <c r="B202" s="134" t="str">
        <f>IFERROR(__xludf.DUMMYFUNCTION("IFERROR((FILTER(Data!H:H,Data!D:D=A202,Data!B:B=$B$1)),"""")"),"")</f>
        <v/>
      </c>
      <c r="C202" s="134" t="str">
        <f>IFERROR(__xludf.DUMMYFUNCTION("IFERROR((FILTER(Data!G:G,Data!D:D=A202,Data!B:B=$B$1)),"""")"),"")</f>
        <v/>
      </c>
      <c r="D202" s="134" t="str">
        <f>IFERROR(__xludf.DUMMYFUNCTION("IFERROR((FILTER(Data!J:J,Data!D:D=A202,Data!B:B=$B$1)),"""")"),"")</f>
        <v/>
      </c>
      <c r="E202" s="134" t="str">
        <f>IFERROR(__xludf.DUMMYFUNCTION("IFERROR((FILTER(Data!L:L,Data!D:D=A202,Data!B:B=$B$1)),"""")"),"")</f>
        <v/>
      </c>
      <c r="F202" s="134" t="str">
        <f>IFERROR(__xludf.DUMMYFUNCTION("IFERROR((FILTER(Data!K:K,Data!D:D=A202,Data!B:B=$B$1)),"""")"),"")</f>
        <v/>
      </c>
      <c r="G202" s="134" t="str">
        <f>IFERROR(__xludf.DUMMYFUNCTION("IFERROR((FILTER(Data!M:M,Data!D:D=A202,Data!B:B=$B$1)),"""")"),"")</f>
        <v/>
      </c>
      <c r="H202" s="134" t="str">
        <f>IFERROR(__xludf.DUMMYFUNCTION("IFERROR((FILTER(Data!G:G,Data!D:D=A202,Data!B:B=$B$1)*4)+(FILTER(Data!H:H,Data!D:D=A202,Data!B:B=$B$1)*2),"""")"),"")</f>
        <v/>
      </c>
      <c r="I202" s="15" t="str">
        <f>IFERROR(__xludf.DUMMYFUNCTION("IFERROR((FILTER(Data!K:K,Data!D:D=A202,Data!B:B=$B$1)*2)+(FILTER(Data!L:L,Data!D:D=A202,Data!B:B=$B$1)),"""")"),"")</f>
        <v/>
      </c>
      <c r="J202" s="134" t="str">
        <f>IFERROR(__xludf.DUMMYFUNCTION("IFERROR((FILTER(Data!N:N,Data!D:D=A202,Data!B:B=$B$1)),"""")"),"")</f>
        <v/>
      </c>
      <c r="K202" s="135" t="str">
        <f>IFERROR(__xludf.DUMMYFUNCTION("IFERROR((FILTER(Data!H:H,Data!D:D=A202,Data!B:B=$B$1)*2)+(FILTER(Data!L:L,Data!D:D=A202,Data!B:B=$B$1))+(FILTER(Data!G:G,Data!D:D=A202,Data!B:B=$B$1)*4)+(FILTER(Data!K:K,Data!D:D=A202,Data!B:B=$B$1)*2)+(((COUNTIF(FILTER(Data!N:N,Data!D:D=A202,Data!B:B=$B$"&amp;"1),""TRAVERSE"")*15)+(COUNTIF(FILTER(Data!N:N,Data!D:D=A202,Data!B:B=$B$1),""HIGH"")*10)+(COUNTIF(FILTER(Data!N:N,Data!D:D=A202,Data!B:B=$B$1),""MIDDLE"")*6)+(COUNTIF(FILTER(Data!N:N,Data!D:D=A202,Data!B:B=$B$1),""LOW"")*4))),"""")"),"")</f>
        <v/>
      </c>
      <c r="L202" s="136" t="str">
        <f>IFERROR(__xludf.DUMMYFUNCTION("IFERROR((FILTER(Data!P:P,Data!D:D=A202,Data!B:B=$B$1)),"""")"),"")</f>
        <v/>
      </c>
      <c r="M202" s="137" t="str">
        <f>IFERROR(__xludf.DUMMYFUNCTION("IFERROR((FILTER(Data!A:A,Data!D:D=A202,Data!B:B=$B$1)),"""")"),"")</f>
        <v/>
      </c>
      <c r="T202" s="52">
        <f>IFERROR(__xludf.DUMMYFUNCTION("((COUNTIF(FILTER(Data!N:N,Data!D:D=A202,Data!B:B=$B$1),""TRAVERSE"")*15)+(COUNTIF(FILTER(Data!N:N,Data!D:D=A202,Data!B:B=B$1),""HIGH"")*10)+(COUNTIF(FILTER(Data!N:N,Data!D:D=A202,Data!B:B=$B$1),""MIDDLE"")*6)+(COUNTIF(FILTER(Data!N:N,Data!D:D=A202,Data!B:"&amp;"B=$B$1),""LOW"")*4))"),0.0)</f>
        <v>0</v>
      </c>
      <c r="V202" s="138" t="str">
        <f>IF(Data!B194='Team Parser'!$B$1, Data!D194,"")</f>
        <v/>
      </c>
      <c r="W202" s="134" t="str">
        <f>IF(Data!$B194='Team Parser'!$B$1, Data!H194,"")</f>
        <v/>
      </c>
      <c r="X202" s="134" t="str">
        <f>IF(Data!$B194='Team Parser'!$B$1, Data!G194,"")</f>
        <v/>
      </c>
      <c r="Y202" s="134" t="str">
        <f>IF(Data!$B194='Team Parser'!$B$1, Data!L194,"")</f>
        <v/>
      </c>
      <c r="Z202" s="134" t="str">
        <f>IF(Data!$B194='Team Parser'!$B$1, Data!K194,"")</f>
        <v/>
      </c>
      <c r="AA202" s="134" t="str">
        <f>IF(Data!$B194='Team Parser'!$B$1, Data!M194,"")</f>
        <v/>
      </c>
      <c r="AB202" s="134" t="str">
        <f>IF(Data!$B194='Team Parser'!$B$1,((Z202*2)+(Y202)+(X202*4)+(W202*2)),"")</f>
        <v/>
      </c>
      <c r="AC202" s="134" t="str">
        <f>IF(Data!$B194='Team Parser'!$B$1, Data!N194,"")</f>
        <v/>
      </c>
      <c r="AD202" s="139" t="str">
        <f>IF(Data!$B194='Team Parser'!$B$1,(AB202+(COUNTIF(AC202,"TRAVERSE")*15)+(COUNTIF(AC202,"HIGH")*10)+(COUNTIF(AC202,"MIDDLE")*6)+(COUNTIF(AC202,"LOW")*4)),"")</f>
        <v/>
      </c>
    </row>
    <row r="203">
      <c r="A203" s="133" t="s">
        <v>507</v>
      </c>
      <c r="B203" s="134" t="str">
        <f>IFERROR(__xludf.DUMMYFUNCTION("IFERROR((FILTER(Data!H:H,Data!D:D=A203,Data!B:B=$B$1)),"""")"),"")</f>
        <v/>
      </c>
      <c r="C203" s="134" t="str">
        <f>IFERROR(__xludf.DUMMYFUNCTION("IFERROR((FILTER(Data!G:G,Data!D:D=A203,Data!B:B=$B$1)),"""")"),"")</f>
        <v/>
      </c>
      <c r="D203" s="134" t="str">
        <f>IFERROR(__xludf.DUMMYFUNCTION("IFERROR((FILTER(Data!J:J,Data!D:D=A203,Data!B:B=$B$1)),"""")"),"")</f>
        <v/>
      </c>
      <c r="E203" s="134" t="str">
        <f>IFERROR(__xludf.DUMMYFUNCTION("IFERROR((FILTER(Data!L:L,Data!D:D=A203,Data!B:B=$B$1)),"""")"),"")</f>
        <v/>
      </c>
      <c r="F203" s="134" t="str">
        <f>IFERROR(__xludf.DUMMYFUNCTION("IFERROR((FILTER(Data!K:K,Data!D:D=A203,Data!B:B=$B$1)),"""")"),"")</f>
        <v/>
      </c>
      <c r="G203" s="134" t="str">
        <f>IFERROR(__xludf.DUMMYFUNCTION("IFERROR((FILTER(Data!M:M,Data!D:D=A203,Data!B:B=$B$1)),"""")"),"")</f>
        <v/>
      </c>
      <c r="H203" s="134" t="str">
        <f>IFERROR(__xludf.DUMMYFUNCTION("IFERROR((FILTER(Data!G:G,Data!D:D=A203,Data!B:B=$B$1)*4)+(FILTER(Data!H:H,Data!D:D=A203,Data!B:B=$B$1)*2),"""")"),"")</f>
        <v/>
      </c>
      <c r="I203" s="15" t="str">
        <f>IFERROR(__xludf.DUMMYFUNCTION("IFERROR((FILTER(Data!K:K,Data!D:D=A203,Data!B:B=$B$1)*2)+(FILTER(Data!L:L,Data!D:D=A203,Data!B:B=$B$1)),"""")"),"")</f>
        <v/>
      </c>
      <c r="J203" s="134" t="str">
        <f>IFERROR(__xludf.DUMMYFUNCTION("IFERROR((FILTER(Data!N:N,Data!D:D=A203,Data!B:B=$B$1)),"""")"),"")</f>
        <v/>
      </c>
      <c r="K203" s="135" t="str">
        <f>IFERROR(__xludf.DUMMYFUNCTION("IFERROR((FILTER(Data!H:H,Data!D:D=A203,Data!B:B=$B$1)*2)+(FILTER(Data!L:L,Data!D:D=A203,Data!B:B=$B$1))+(FILTER(Data!G:G,Data!D:D=A203,Data!B:B=$B$1)*4)+(FILTER(Data!K:K,Data!D:D=A203,Data!B:B=$B$1)*2)+(((COUNTIF(FILTER(Data!N:N,Data!D:D=A203,Data!B:B=$B$"&amp;"1),""TRAVERSE"")*15)+(COUNTIF(FILTER(Data!N:N,Data!D:D=A203,Data!B:B=$B$1),""HIGH"")*10)+(COUNTIF(FILTER(Data!N:N,Data!D:D=A203,Data!B:B=$B$1),""MIDDLE"")*6)+(COUNTIF(FILTER(Data!N:N,Data!D:D=A203,Data!B:B=$B$1),""LOW"")*4))),"""")"),"")</f>
        <v/>
      </c>
      <c r="L203" s="136" t="str">
        <f>IFERROR(__xludf.DUMMYFUNCTION("IFERROR((FILTER(Data!P:P,Data!D:D=A203,Data!B:B=$B$1)),"""")"),"")</f>
        <v/>
      </c>
      <c r="M203" s="137" t="str">
        <f>IFERROR(__xludf.DUMMYFUNCTION("IFERROR((FILTER(Data!A:A,Data!D:D=A203,Data!B:B=$B$1)),"""")"),"")</f>
        <v/>
      </c>
      <c r="T203" s="52">
        <f>IFERROR(__xludf.DUMMYFUNCTION("((COUNTIF(FILTER(Data!N:N,Data!D:D=A203,Data!B:B=$B$1),""TRAVERSE"")*15)+(COUNTIF(FILTER(Data!N:N,Data!D:D=A203,Data!B:B=B$1),""HIGH"")*10)+(COUNTIF(FILTER(Data!N:N,Data!D:D=A203,Data!B:B=$B$1),""MIDDLE"")*6)+(COUNTIF(FILTER(Data!N:N,Data!D:D=A203,Data!B:"&amp;"B=$B$1),""LOW"")*4))"),0.0)</f>
        <v>0</v>
      </c>
      <c r="V203" s="138" t="str">
        <f>IF(Data!B195='Team Parser'!$B$1, Data!D195,"")</f>
        <v/>
      </c>
      <c r="W203" s="134" t="str">
        <f>IF(Data!$B195='Team Parser'!$B$1, Data!H195,"")</f>
        <v/>
      </c>
      <c r="X203" s="134" t="str">
        <f>IF(Data!$B195='Team Parser'!$B$1, Data!G195,"")</f>
        <v/>
      </c>
      <c r="Y203" s="134" t="str">
        <f>IF(Data!$B195='Team Parser'!$B$1, Data!L195,"")</f>
        <v/>
      </c>
      <c r="Z203" s="134" t="str">
        <f>IF(Data!$B195='Team Parser'!$B$1, Data!K195,"")</f>
        <v/>
      </c>
      <c r="AA203" s="134" t="str">
        <f>IF(Data!$B195='Team Parser'!$B$1, Data!M195,"")</f>
        <v/>
      </c>
      <c r="AB203" s="134" t="str">
        <f>IF(Data!$B195='Team Parser'!$B$1,((Z203*2)+(Y203)+(X203*4)+(W203*2)),"")</f>
        <v/>
      </c>
      <c r="AC203" s="134" t="str">
        <f>IF(Data!$B195='Team Parser'!$B$1, Data!N195,"")</f>
        <v/>
      </c>
      <c r="AD203" s="139" t="str">
        <f>IF(Data!$B195='Team Parser'!$B$1,(AB203+(COUNTIF(AC203,"TRAVERSE")*15)+(COUNTIF(AC203,"HIGH")*10)+(COUNTIF(AC203,"MIDDLE")*6)+(COUNTIF(AC203,"LOW")*4)),"")</f>
        <v/>
      </c>
    </row>
    <row r="204">
      <c r="A204" s="133" t="s">
        <v>507</v>
      </c>
      <c r="B204" s="134" t="str">
        <f>IFERROR(__xludf.DUMMYFUNCTION("IFERROR((FILTER(Data!H:H,Data!D:D=A204,Data!B:B=$B$1)),"""")"),"")</f>
        <v/>
      </c>
      <c r="C204" s="134" t="str">
        <f>IFERROR(__xludf.DUMMYFUNCTION("IFERROR((FILTER(Data!G:G,Data!D:D=A204,Data!B:B=$B$1)),"""")"),"")</f>
        <v/>
      </c>
      <c r="D204" s="134" t="str">
        <f>IFERROR(__xludf.DUMMYFUNCTION("IFERROR((FILTER(Data!J:J,Data!D:D=A204,Data!B:B=$B$1)),"""")"),"")</f>
        <v/>
      </c>
      <c r="E204" s="134" t="str">
        <f>IFERROR(__xludf.DUMMYFUNCTION("IFERROR((FILTER(Data!L:L,Data!D:D=A204,Data!B:B=$B$1)),"""")"),"")</f>
        <v/>
      </c>
      <c r="F204" s="134" t="str">
        <f>IFERROR(__xludf.DUMMYFUNCTION("IFERROR((FILTER(Data!K:K,Data!D:D=A204,Data!B:B=$B$1)),"""")"),"")</f>
        <v/>
      </c>
      <c r="G204" s="134" t="str">
        <f>IFERROR(__xludf.DUMMYFUNCTION("IFERROR((FILTER(Data!M:M,Data!D:D=A204,Data!B:B=$B$1)),"""")"),"")</f>
        <v/>
      </c>
      <c r="H204" s="134" t="str">
        <f>IFERROR(__xludf.DUMMYFUNCTION("IFERROR((FILTER(Data!G:G,Data!D:D=A204,Data!B:B=$B$1)*4)+(FILTER(Data!H:H,Data!D:D=A204,Data!B:B=$B$1)*2),"""")"),"")</f>
        <v/>
      </c>
      <c r="I204" s="15" t="str">
        <f>IFERROR(__xludf.DUMMYFUNCTION("IFERROR((FILTER(Data!K:K,Data!D:D=A204,Data!B:B=$B$1)*2)+(FILTER(Data!L:L,Data!D:D=A204,Data!B:B=$B$1)),"""")"),"")</f>
        <v/>
      </c>
      <c r="J204" s="134" t="str">
        <f>IFERROR(__xludf.DUMMYFUNCTION("IFERROR((FILTER(Data!N:N,Data!D:D=A204,Data!B:B=$B$1)),"""")"),"")</f>
        <v/>
      </c>
      <c r="K204" s="135" t="str">
        <f>IFERROR(__xludf.DUMMYFUNCTION("IFERROR((FILTER(Data!H:H,Data!D:D=A204,Data!B:B=$B$1)*2)+(FILTER(Data!L:L,Data!D:D=A204,Data!B:B=$B$1))+(FILTER(Data!G:G,Data!D:D=A204,Data!B:B=$B$1)*4)+(FILTER(Data!K:K,Data!D:D=A204,Data!B:B=$B$1)*2)+(((COUNTIF(FILTER(Data!N:N,Data!D:D=A204,Data!B:B=$B$"&amp;"1),""TRAVERSE"")*15)+(COUNTIF(FILTER(Data!N:N,Data!D:D=A204,Data!B:B=$B$1),""HIGH"")*10)+(COUNTIF(FILTER(Data!N:N,Data!D:D=A204,Data!B:B=$B$1),""MIDDLE"")*6)+(COUNTIF(FILTER(Data!N:N,Data!D:D=A204,Data!B:B=$B$1),""LOW"")*4))),"""")"),"")</f>
        <v/>
      </c>
      <c r="L204" s="136" t="str">
        <f>IFERROR(__xludf.DUMMYFUNCTION("IFERROR((FILTER(Data!P:P,Data!D:D=A204,Data!B:B=$B$1)),"""")"),"")</f>
        <v/>
      </c>
      <c r="M204" s="137" t="str">
        <f>IFERROR(__xludf.DUMMYFUNCTION("IFERROR((FILTER(Data!A:A,Data!D:D=A204,Data!B:B=$B$1)),"""")"),"")</f>
        <v/>
      </c>
      <c r="T204" s="52">
        <f>IFERROR(__xludf.DUMMYFUNCTION("((COUNTIF(FILTER(Data!N:N,Data!D:D=A204,Data!B:B=$B$1),""TRAVERSE"")*15)+(COUNTIF(FILTER(Data!N:N,Data!D:D=A204,Data!B:B=B$1),""HIGH"")*10)+(COUNTIF(FILTER(Data!N:N,Data!D:D=A204,Data!B:B=$B$1),""MIDDLE"")*6)+(COUNTIF(FILTER(Data!N:N,Data!D:D=A204,Data!B:"&amp;"B=$B$1),""LOW"")*4))"),0.0)</f>
        <v>0</v>
      </c>
      <c r="V204" s="138" t="str">
        <f>IF(Data!B196='Team Parser'!$B$1, Data!D196,"")</f>
        <v/>
      </c>
      <c r="W204" s="134" t="str">
        <f>IF(Data!$B196='Team Parser'!$B$1, Data!H196,"")</f>
        <v/>
      </c>
      <c r="X204" s="134" t="str">
        <f>IF(Data!$B196='Team Parser'!$B$1, Data!G196,"")</f>
        <v/>
      </c>
      <c r="Y204" s="134" t="str">
        <f>IF(Data!$B196='Team Parser'!$B$1, Data!L196,"")</f>
        <v/>
      </c>
      <c r="Z204" s="134" t="str">
        <f>IF(Data!$B196='Team Parser'!$B$1, Data!K196,"")</f>
        <v/>
      </c>
      <c r="AA204" s="134" t="str">
        <f>IF(Data!$B196='Team Parser'!$B$1, Data!M196,"")</f>
        <v/>
      </c>
      <c r="AB204" s="134" t="str">
        <f>IF(Data!$B196='Team Parser'!$B$1,((Z204*2)+(Y204)+(X204*4)+(W204*2)),"")</f>
        <v/>
      </c>
      <c r="AC204" s="134" t="str">
        <f>IF(Data!$B196='Team Parser'!$B$1, Data!N196,"")</f>
        <v/>
      </c>
      <c r="AD204" s="139" t="str">
        <f>IF(Data!$B196='Team Parser'!$B$1,(AB204+(COUNTIF(AC204,"TRAVERSE")*15)+(COUNTIF(AC204,"HIGH")*10)+(COUNTIF(AC204,"MIDDLE")*6)+(COUNTIF(AC204,"LOW")*4)),"")</f>
        <v/>
      </c>
    </row>
    <row r="205">
      <c r="A205" s="133" t="s">
        <v>507</v>
      </c>
      <c r="B205" s="134" t="str">
        <f>IFERROR(__xludf.DUMMYFUNCTION("IFERROR((FILTER(Data!H:H,Data!D:D=A205,Data!B:B=$B$1)),"""")"),"")</f>
        <v/>
      </c>
      <c r="C205" s="134" t="str">
        <f>IFERROR(__xludf.DUMMYFUNCTION("IFERROR((FILTER(Data!G:G,Data!D:D=A205,Data!B:B=$B$1)),"""")"),"")</f>
        <v/>
      </c>
      <c r="D205" s="134" t="str">
        <f>IFERROR(__xludf.DUMMYFUNCTION("IFERROR((FILTER(Data!J:J,Data!D:D=A205,Data!B:B=$B$1)),"""")"),"")</f>
        <v/>
      </c>
      <c r="E205" s="134" t="str">
        <f>IFERROR(__xludf.DUMMYFUNCTION("IFERROR((FILTER(Data!L:L,Data!D:D=A205,Data!B:B=$B$1)),"""")"),"")</f>
        <v/>
      </c>
      <c r="F205" s="134" t="str">
        <f>IFERROR(__xludf.DUMMYFUNCTION("IFERROR((FILTER(Data!K:K,Data!D:D=A205,Data!B:B=$B$1)),"""")"),"")</f>
        <v/>
      </c>
      <c r="G205" s="134" t="str">
        <f>IFERROR(__xludf.DUMMYFUNCTION("IFERROR((FILTER(Data!M:M,Data!D:D=A205,Data!B:B=$B$1)),"""")"),"")</f>
        <v/>
      </c>
      <c r="H205" s="134" t="str">
        <f>IFERROR(__xludf.DUMMYFUNCTION("IFERROR((FILTER(Data!G:G,Data!D:D=A205,Data!B:B=$B$1)*4)+(FILTER(Data!H:H,Data!D:D=A205,Data!B:B=$B$1)*2),"""")"),"")</f>
        <v/>
      </c>
      <c r="I205" s="15" t="str">
        <f>IFERROR(__xludf.DUMMYFUNCTION("IFERROR((FILTER(Data!K:K,Data!D:D=A205,Data!B:B=$B$1)*2)+(FILTER(Data!L:L,Data!D:D=A205,Data!B:B=$B$1)),"""")"),"")</f>
        <v/>
      </c>
      <c r="J205" s="134" t="str">
        <f>IFERROR(__xludf.DUMMYFUNCTION("IFERROR((FILTER(Data!N:N,Data!D:D=A205,Data!B:B=$B$1)),"""")"),"")</f>
        <v/>
      </c>
      <c r="K205" s="135" t="str">
        <f>IFERROR(__xludf.DUMMYFUNCTION("IFERROR((FILTER(Data!H:H,Data!D:D=A205,Data!B:B=$B$1)*2)+(FILTER(Data!L:L,Data!D:D=A205,Data!B:B=$B$1))+(FILTER(Data!G:G,Data!D:D=A205,Data!B:B=$B$1)*4)+(FILTER(Data!K:K,Data!D:D=A205,Data!B:B=$B$1)*2)+(((COUNTIF(FILTER(Data!N:N,Data!D:D=A205,Data!B:B=$B$"&amp;"1),""TRAVERSE"")*15)+(COUNTIF(FILTER(Data!N:N,Data!D:D=A205,Data!B:B=$B$1),""HIGH"")*10)+(COUNTIF(FILTER(Data!N:N,Data!D:D=A205,Data!B:B=$B$1),""MIDDLE"")*6)+(COUNTIF(FILTER(Data!N:N,Data!D:D=A205,Data!B:B=$B$1),""LOW"")*4))),"""")"),"")</f>
        <v/>
      </c>
      <c r="L205" s="136" t="str">
        <f>IFERROR(__xludf.DUMMYFUNCTION("IFERROR((FILTER(Data!P:P,Data!D:D=A205,Data!B:B=$B$1)),"""")"),"")</f>
        <v/>
      </c>
      <c r="M205" s="137" t="str">
        <f>IFERROR(__xludf.DUMMYFUNCTION("IFERROR((FILTER(Data!A:A,Data!D:D=A205,Data!B:B=$B$1)),"""")"),"")</f>
        <v/>
      </c>
      <c r="T205" s="52">
        <f>IFERROR(__xludf.DUMMYFUNCTION("((COUNTIF(FILTER(Data!N:N,Data!D:D=A205,Data!B:B=$B$1),""TRAVERSE"")*15)+(COUNTIF(FILTER(Data!N:N,Data!D:D=A205,Data!B:B=B$1),""HIGH"")*10)+(COUNTIF(FILTER(Data!N:N,Data!D:D=A205,Data!B:B=$B$1),""MIDDLE"")*6)+(COUNTIF(FILTER(Data!N:N,Data!D:D=A205,Data!B:"&amp;"B=$B$1),""LOW"")*4))"),0.0)</f>
        <v>0</v>
      </c>
      <c r="V205" s="138" t="str">
        <f>IF(Data!B197='Team Parser'!$B$1, Data!D197,"")</f>
        <v/>
      </c>
      <c r="W205" s="134" t="str">
        <f>IF(Data!$B197='Team Parser'!$B$1, Data!H197,"")</f>
        <v/>
      </c>
      <c r="X205" s="134" t="str">
        <f>IF(Data!$B197='Team Parser'!$B$1, Data!G197,"")</f>
        <v/>
      </c>
      <c r="Y205" s="134" t="str">
        <f>IF(Data!$B197='Team Parser'!$B$1, Data!L197,"")</f>
        <v/>
      </c>
      <c r="Z205" s="134" t="str">
        <f>IF(Data!$B197='Team Parser'!$B$1, Data!K197,"")</f>
        <v/>
      </c>
      <c r="AA205" s="134" t="str">
        <f>IF(Data!$B197='Team Parser'!$B$1, Data!M197,"")</f>
        <v/>
      </c>
      <c r="AB205" s="134" t="str">
        <f>IF(Data!$B197='Team Parser'!$B$1,((Z205*2)+(Y205)+(X205*4)+(W205*2)),"")</f>
        <v/>
      </c>
      <c r="AC205" s="134" t="str">
        <f>IF(Data!$B197='Team Parser'!$B$1, Data!N197,"")</f>
        <v/>
      </c>
      <c r="AD205" s="139" t="str">
        <f>IF(Data!$B197='Team Parser'!$B$1,(AB205+(COUNTIF(AC205,"TRAVERSE")*15)+(COUNTIF(AC205,"HIGH")*10)+(COUNTIF(AC205,"MIDDLE")*6)+(COUNTIF(AC205,"LOW")*4)),"")</f>
        <v/>
      </c>
    </row>
    <row r="206">
      <c r="A206" s="133" t="s">
        <v>507</v>
      </c>
      <c r="B206" s="134" t="str">
        <f>IFERROR(__xludf.DUMMYFUNCTION("IFERROR((FILTER(Data!H:H,Data!D:D=A206,Data!B:B=$B$1)),"""")"),"")</f>
        <v/>
      </c>
      <c r="C206" s="134" t="str">
        <f>IFERROR(__xludf.DUMMYFUNCTION("IFERROR((FILTER(Data!G:G,Data!D:D=A206,Data!B:B=$B$1)),"""")"),"")</f>
        <v/>
      </c>
      <c r="D206" s="134" t="str">
        <f>IFERROR(__xludf.DUMMYFUNCTION("IFERROR((FILTER(Data!J:J,Data!D:D=A206,Data!B:B=$B$1)),"""")"),"")</f>
        <v/>
      </c>
      <c r="E206" s="134" t="str">
        <f>IFERROR(__xludf.DUMMYFUNCTION("IFERROR((FILTER(Data!L:L,Data!D:D=A206,Data!B:B=$B$1)),"""")"),"")</f>
        <v/>
      </c>
      <c r="F206" s="134" t="str">
        <f>IFERROR(__xludf.DUMMYFUNCTION("IFERROR((FILTER(Data!K:K,Data!D:D=A206,Data!B:B=$B$1)),"""")"),"")</f>
        <v/>
      </c>
      <c r="G206" s="134" t="str">
        <f>IFERROR(__xludf.DUMMYFUNCTION("IFERROR((FILTER(Data!M:M,Data!D:D=A206,Data!B:B=$B$1)),"""")"),"")</f>
        <v/>
      </c>
      <c r="H206" s="134" t="str">
        <f>IFERROR(__xludf.DUMMYFUNCTION("IFERROR((FILTER(Data!G:G,Data!D:D=A206,Data!B:B=$B$1)*4)+(FILTER(Data!H:H,Data!D:D=A206,Data!B:B=$B$1)*2),"""")"),"")</f>
        <v/>
      </c>
      <c r="I206" s="15" t="str">
        <f>IFERROR(__xludf.DUMMYFUNCTION("IFERROR((FILTER(Data!K:K,Data!D:D=A206,Data!B:B=$B$1)*2)+(FILTER(Data!L:L,Data!D:D=A206,Data!B:B=$B$1)),"""")"),"")</f>
        <v/>
      </c>
      <c r="J206" s="134" t="str">
        <f>IFERROR(__xludf.DUMMYFUNCTION("IFERROR((FILTER(Data!N:N,Data!D:D=A206,Data!B:B=$B$1)),"""")"),"")</f>
        <v/>
      </c>
      <c r="K206" s="135" t="str">
        <f>IFERROR(__xludf.DUMMYFUNCTION("IFERROR((FILTER(Data!H:H,Data!D:D=A206,Data!B:B=$B$1)*2)+(FILTER(Data!L:L,Data!D:D=A206,Data!B:B=$B$1))+(FILTER(Data!G:G,Data!D:D=A206,Data!B:B=$B$1)*4)+(FILTER(Data!K:K,Data!D:D=A206,Data!B:B=$B$1)*2)+(((COUNTIF(FILTER(Data!N:N,Data!D:D=A206,Data!B:B=$B$"&amp;"1),""TRAVERSE"")*15)+(COUNTIF(FILTER(Data!N:N,Data!D:D=A206,Data!B:B=$B$1),""HIGH"")*10)+(COUNTIF(FILTER(Data!N:N,Data!D:D=A206,Data!B:B=$B$1),""MIDDLE"")*6)+(COUNTIF(FILTER(Data!N:N,Data!D:D=A206,Data!B:B=$B$1),""LOW"")*4))),"""")"),"")</f>
        <v/>
      </c>
      <c r="L206" s="136" t="str">
        <f>IFERROR(__xludf.DUMMYFUNCTION("IFERROR((FILTER(Data!P:P,Data!D:D=A206,Data!B:B=$B$1)),"""")"),"")</f>
        <v/>
      </c>
      <c r="M206" s="137" t="str">
        <f>IFERROR(__xludf.DUMMYFUNCTION("IFERROR((FILTER(Data!A:A,Data!D:D=A206,Data!B:B=$B$1)),"""")"),"")</f>
        <v/>
      </c>
      <c r="T206" s="52">
        <f>IFERROR(__xludf.DUMMYFUNCTION("((COUNTIF(FILTER(Data!N:N,Data!D:D=A206,Data!B:B=$B$1),""TRAVERSE"")*15)+(COUNTIF(FILTER(Data!N:N,Data!D:D=A206,Data!B:B=B$1),""HIGH"")*10)+(COUNTIF(FILTER(Data!N:N,Data!D:D=A206,Data!B:B=$B$1),""MIDDLE"")*6)+(COUNTIF(FILTER(Data!N:N,Data!D:D=A206,Data!B:"&amp;"B=$B$1),""LOW"")*4))"),0.0)</f>
        <v>0</v>
      </c>
      <c r="V206" s="138" t="str">
        <f>IF(Data!B198='Team Parser'!$B$1, Data!D198,"")</f>
        <v/>
      </c>
      <c r="W206" s="134" t="str">
        <f>IF(Data!$B198='Team Parser'!$B$1, Data!H198,"")</f>
        <v/>
      </c>
      <c r="X206" s="134" t="str">
        <f>IF(Data!$B198='Team Parser'!$B$1, Data!G198,"")</f>
        <v/>
      </c>
      <c r="Y206" s="134" t="str">
        <f>IF(Data!$B198='Team Parser'!$B$1, Data!L198,"")</f>
        <v/>
      </c>
      <c r="Z206" s="134" t="str">
        <f>IF(Data!$B198='Team Parser'!$B$1, Data!K198,"")</f>
        <v/>
      </c>
      <c r="AA206" s="134" t="str">
        <f>IF(Data!$B198='Team Parser'!$B$1, Data!M198,"")</f>
        <v/>
      </c>
      <c r="AB206" s="134" t="str">
        <f>IF(Data!$B198='Team Parser'!$B$1,((Z206*2)+(Y206)+(X206*4)+(W206*2)),"")</f>
        <v/>
      </c>
      <c r="AC206" s="134" t="str">
        <f>IF(Data!$B198='Team Parser'!$B$1, Data!N198,"")</f>
        <v/>
      </c>
      <c r="AD206" s="139" t="str">
        <f>IF(Data!$B198='Team Parser'!$B$1,(AB206+(COUNTIF(AC206,"TRAVERSE")*15)+(COUNTIF(AC206,"HIGH")*10)+(COUNTIF(AC206,"MIDDLE")*6)+(COUNTIF(AC206,"LOW")*4)),"")</f>
        <v/>
      </c>
    </row>
    <row r="207">
      <c r="A207" s="133" t="s">
        <v>507</v>
      </c>
      <c r="B207" s="134" t="str">
        <f>IFERROR(__xludf.DUMMYFUNCTION("IFERROR((FILTER(Data!H:H,Data!D:D=A207,Data!B:B=$B$1)),"""")"),"")</f>
        <v/>
      </c>
      <c r="C207" s="134" t="str">
        <f>IFERROR(__xludf.DUMMYFUNCTION("IFERROR((FILTER(Data!G:G,Data!D:D=A207,Data!B:B=$B$1)),"""")"),"")</f>
        <v/>
      </c>
      <c r="D207" s="134" t="str">
        <f>IFERROR(__xludf.DUMMYFUNCTION("IFERROR((FILTER(Data!J:J,Data!D:D=A207,Data!B:B=$B$1)),"""")"),"")</f>
        <v/>
      </c>
      <c r="E207" s="134" t="str">
        <f>IFERROR(__xludf.DUMMYFUNCTION("IFERROR((FILTER(Data!L:L,Data!D:D=A207,Data!B:B=$B$1)),"""")"),"")</f>
        <v/>
      </c>
      <c r="F207" s="134" t="str">
        <f>IFERROR(__xludf.DUMMYFUNCTION("IFERROR((FILTER(Data!K:K,Data!D:D=A207,Data!B:B=$B$1)),"""")"),"")</f>
        <v/>
      </c>
      <c r="G207" s="134" t="str">
        <f>IFERROR(__xludf.DUMMYFUNCTION("IFERROR((FILTER(Data!M:M,Data!D:D=A207,Data!B:B=$B$1)),"""")"),"")</f>
        <v/>
      </c>
      <c r="H207" s="134" t="str">
        <f>IFERROR(__xludf.DUMMYFUNCTION("IFERROR((FILTER(Data!G:G,Data!D:D=A207,Data!B:B=$B$1)*4)+(FILTER(Data!H:H,Data!D:D=A207,Data!B:B=$B$1)*2),"""")"),"")</f>
        <v/>
      </c>
      <c r="I207" s="15" t="str">
        <f>IFERROR(__xludf.DUMMYFUNCTION("IFERROR((FILTER(Data!K:K,Data!D:D=A207,Data!B:B=$B$1)*2)+(FILTER(Data!L:L,Data!D:D=A207,Data!B:B=$B$1)),"""")"),"")</f>
        <v/>
      </c>
      <c r="J207" s="134" t="str">
        <f>IFERROR(__xludf.DUMMYFUNCTION("IFERROR((FILTER(Data!N:N,Data!D:D=A207,Data!B:B=$B$1)),"""")"),"")</f>
        <v/>
      </c>
      <c r="K207" s="135" t="str">
        <f>IFERROR(__xludf.DUMMYFUNCTION("IFERROR((FILTER(Data!H:H,Data!D:D=A207,Data!B:B=$B$1)*2)+(FILTER(Data!L:L,Data!D:D=A207,Data!B:B=$B$1))+(FILTER(Data!G:G,Data!D:D=A207,Data!B:B=$B$1)*4)+(FILTER(Data!K:K,Data!D:D=A207,Data!B:B=$B$1)*2)+(((COUNTIF(FILTER(Data!N:N,Data!D:D=A207,Data!B:B=$B$"&amp;"1),""TRAVERSE"")*15)+(COUNTIF(FILTER(Data!N:N,Data!D:D=A207,Data!B:B=$B$1),""HIGH"")*10)+(COUNTIF(FILTER(Data!N:N,Data!D:D=A207,Data!B:B=$B$1),""MIDDLE"")*6)+(COUNTIF(FILTER(Data!N:N,Data!D:D=A207,Data!B:B=$B$1),""LOW"")*4))),"""")"),"")</f>
        <v/>
      </c>
      <c r="L207" s="136" t="str">
        <f>IFERROR(__xludf.DUMMYFUNCTION("IFERROR((FILTER(Data!P:P,Data!D:D=A207,Data!B:B=$B$1)),"""")"),"")</f>
        <v/>
      </c>
      <c r="M207" s="137" t="str">
        <f>IFERROR(__xludf.DUMMYFUNCTION("IFERROR((FILTER(Data!A:A,Data!D:D=A207,Data!B:B=$B$1)),"""")"),"")</f>
        <v/>
      </c>
      <c r="T207" s="52">
        <f>IFERROR(__xludf.DUMMYFUNCTION("((COUNTIF(FILTER(Data!N:N,Data!D:D=A207,Data!B:B=$B$1),""TRAVERSE"")*15)+(COUNTIF(FILTER(Data!N:N,Data!D:D=A207,Data!B:B=B$1),""HIGH"")*10)+(COUNTIF(FILTER(Data!N:N,Data!D:D=A207,Data!B:B=$B$1),""MIDDLE"")*6)+(COUNTIF(FILTER(Data!N:N,Data!D:D=A207,Data!B:"&amp;"B=$B$1),""LOW"")*4))"),0.0)</f>
        <v>0</v>
      </c>
      <c r="V207" s="138" t="str">
        <f>IF(Data!B199='Team Parser'!$B$1, Data!D199,"")</f>
        <v/>
      </c>
      <c r="W207" s="134" t="str">
        <f>IF(Data!$B199='Team Parser'!$B$1, Data!H199,"")</f>
        <v/>
      </c>
      <c r="X207" s="134" t="str">
        <f>IF(Data!$B199='Team Parser'!$B$1, Data!G199,"")</f>
        <v/>
      </c>
      <c r="Y207" s="134" t="str">
        <f>IF(Data!$B199='Team Parser'!$B$1, Data!L199,"")</f>
        <v/>
      </c>
      <c r="Z207" s="134" t="str">
        <f>IF(Data!$B199='Team Parser'!$B$1, Data!K199,"")</f>
        <v/>
      </c>
      <c r="AA207" s="134" t="str">
        <f>IF(Data!$B199='Team Parser'!$B$1, Data!M199,"")</f>
        <v/>
      </c>
      <c r="AB207" s="134" t="str">
        <f>IF(Data!$B199='Team Parser'!$B$1,((Z207*2)+(Y207)+(X207*4)+(W207*2)),"")</f>
        <v/>
      </c>
      <c r="AC207" s="134" t="str">
        <f>IF(Data!$B199='Team Parser'!$B$1, Data!N199,"")</f>
        <v/>
      </c>
      <c r="AD207" s="139" t="str">
        <f>IF(Data!$B199='Team Parser'!$B$1,(AB207+(COUNTIF(AC207,"TRAVERSE")*15)+(COUNTIF(AC207,"HIGH")*10)+(COUNTIF(AC207,"MIDDLE")*6)+(COUNTIF(AC207,"LOW")*4)),"")</f>
        <v/>
      </c>
    </row>
    <row r="208">
      <c r="A208" s="133" t="s">
        <v>507</v>
      </c>
      <c r="B208" s="134" t="str">
        <f>IFERROR(__xludf.DUMMYFUNCTION("IFERROR((FILTER(Data!H:H,Data!D:D=A208,Data!B:B=$B$1)),"""")"),"")</f>
        <v/>
      </c>
      <c r="C208" s="134" t="str">
        <f>IFERROR(__xludf.DUMMYFUNCTION("IFERROR((FILTER(Data!G:G,Data!D:D=A208,Data!B:B=$B$1)),"""")"),"")</f>
        <v/>
      </c>
      <c r="D208" s="134" t="str">
        <f>IFERROR(__xludf.DUMMYFUNCTION("IFERROR((FILTER(Data!J:J,Data!D:D=A208,Data!B:B=$B$1)),"""")"),"")</f>
        <v/>
      </c>
      <c r="E208" s="134" t="str">
        <f>IFERROR(__xludf.DUMMYFUNCTION("IFERROR((FILTER(Data!L:L,Data!D:D=A208,Data!B:B=$B$1)),"""")"),"")</f>
        <v/>
      </c>
      <c r="F208" s="134" t="str">
        <f>IFERROR(__xludf.DUMMYFUNCTION("IFERROR((FILTER(Data!K:K,Data!D:D=A208,Data!B:B=$B$1)),"""")"),"")</f>
        <v/>
      </c>
      <c r="G208" s="134" t="str">
        <f>IFERROR(__xludf.DUMMYFUNCTION("IFERROR((FILTER(Data!M:M,Data!D:D=A208,Data!B:B=$B$1)),"""")"),"")</f>
        <v/>
      </c>
      <c r="H208" s="134" t="str">
        <f>IFERROR(__xludf.DUMMYFUNCTION("IFERROR((FILTER(Data!G:G,Data!D:D=A208,Data!B:B=$B$1)*4)+(FILTER(Data!H:H,Data!D:D=A208,Data!B:B=$B$1)*2),"""")"),"")</f>
        <v/>
      </c>
      <c r="I208" s="15" t="str">
        <f>IFERROR(__xludf.DUMMYFUNCTION("IFERROR((FILTER(Data!K:K,Data!D:D=A208,Data!B:B=$B$1)*2)+(FILTER(Data!L:L,Data!D:D=A208,Data!B:B=$B$1)),"""")"),"")</f>
        <v/>
      </c>
      <c r="J208" s="134" t="str">
        <f>IFERROR(__xludf.DUMMYFUNCTION("IFERROR((FILTER(Data!N:N,Data!D:D=A208,Data!B:B=$B$1)),"""")"),"")</f>
        <v/>
      </c>
      <c r="K208" s="135" t="str">
        <f>IFERROR(__xludf.DUMMYFUNCTION("IFERROR((FILTER(Data!H:H,Data!D:D=A208,Data!B:B=$B$1)*2)+(FILTER(Data!L:L,Data!D:D=A208,Data!B:B=$B$1))+(FILTER(Data!G:G,Data!D:D=A208,Data!B:B=$B$1)*4)+(FILTER(Data!K:K,Data!D:D=A208,Data!B:B=$B$1)*2)+(((COUNTIF(FILTER(Data!N:N,Data!D:D=A208,Data!B:B=$B$"&amp;"1),""TRAVERSE"")*15)+(COUNTIF(FILTER(Data!N:N,Data!D:D=A208,Data!B:B=$B$1),""HIGH"")*10)+(COUNTIF(FILTER(Data!N:N,Data!D:D=A208,Data!B:B=$B$1),""MIDDLE"")*6)+(COUNTIF(FILTER(Data!N:N,Data!D:D=A208,Data!B:B=$B$1),""LOW"")*4))),"""")"),"")</f>
        <v/>
      </c>
      <c r="L208" s="136" t="str">
        <f>IFERROR(__xludf.DUMMYFUNCTION("IFERROR((FILTER(Data!P:P,Data!D:D=A208,Data!B:B=$B$1)),"""")"),"")</f>
        <v/>
      </c>
      <c r="M208" s="137" t="str">
        <f>IFERROR(__xludf.DUMMYFUNCTION("IFERROR((FILTER(Data!A:A,Data!D:D=A208,Data!B:B=$B$1)),"""")"),"")</f>
        <v/>
      </c>
      <c r="T208" s="52">
        <f>IFERROR(__xludf.DUMMYFUNCTION("((COUNTIF(FILTER(Data!N:N,Data!D:D=A208,Data!B:B=$B$1),""TRAVERSE"")*15)+(COUNTIF(FILTER(Data!N:N,Data!D:D=A208,Data!B:B=B$1),""HIGH"")*10)+(COUNTIF(FILTER(Data!N:N,Data!D:D=A208,Data!B:B=$B$1),""MIDDLE"")*6)+(COUNTIF(FILTER(Data!N:N,Data!D:D=A208,Data!B:"&amp;"B=$B$1),""LOW"")*4))"),0.0)</f>
        <v>0</v>
      </c>
      <c r="V208" s="138" t="str">
        <f>IF(Data!B200='Team Parser'!$B$1, Data!D200,"")</f>
        <v/>
      </c>
      <c r="W208" s="134" t="str">
        <f>IF(Data!$B200='Team Parser'!$B$1, Data!H200,"")</f>
        <v/>
      </c>
      <c r="X208" s="134" t="str">
        <f>IF(Data!$B200='Team Parser'!$B$1, Data!G200,"")</f>
        <v/>
      </c>
      <c r="Y208" s="134" t="str">
        <f>IF(Data!$B200='Team Parser'!$B$1, Data!L200,"")</f>
        <v/>
      </c>
      <c r="Z208" s="134" t="str">
        <f>IF(Data!$B200='Team Parser'!$B$1, Data!K200,"")</f>
        <v/>
      </c>
      <c r="AA208" s="134" t="str">
        <f>IF(Data!$B200='Team Parser'!$B$1, Data!M200,"")</f>
        <v/>
      </c>
      <c r="AB208" s="134" t="str">
        <f>IF(Data!$B200='Team Parser'!$B$1,((Z208*2)+(Y208)+(X208*4)+(W208*2)),"")</f>
        <v/>
      </c>
      <c r="AC208" s="134" t="str">
        <f>IF(Data!$B200='Team Parser'!$B$1, Data!N200,"")</f>
        <v/>
      </c>
      <c r="AD208" s="139" t="str">
        <f>IF(Data!$B200='Team Parser'!$B$1,(AB208+(COUNTIF(AC208,"TRAVERSE")*15)+(COUNTIF(AC208,"HIGH")*10)+(COUNTIF(AC208,"MIDDLE")*6)+(COUNTIF(AC208,"LOW")*4)),"")</f>
        <v/>
      </c>
    </row>
    <row r="209">
      <c r="A209" s="141" t="s">
        <v>507</v>
      </c>
      <c r="B209" s="134" t="str">
        <f>IFERROR(__xludf.DUMMYFUNCTION("IFERROR((FILTER(Data!H:H,Data!D:D=A209,Data!B:B=$B$1)),"""")"),"")</f>
        <v/>
      </c>
      <c r="C209" s="134" t="str">
        <f>IFERROR(__xludf.DUMMYFUNCTION("IFERROR((FILTER(Data!G:G,Data!D:D=A209,Data!B:B=$B$1)),"""")"),"")</f>
        <v/>
      </c>
      <c r="D209" s="134" t="str">
        <f>IFERROR(__xludf.DUMMYFUNCTION("IFERROR((FILTER(Data!J:J,Data!D:D=A209,Data!B:B=$B$1)),"""")"),"")</f>
        <v/>
      </c>
      <c r="E209" s="134" t="str">
        <f>IFERROR(__xludf.DUMMYFUNCTION("IFERROR((FILTER(Data!L:L,Data!D:D=A209,Data!B:B=$B$1)),"""")"),"")</f>
        <v/>
      </c>
      <c r="F209" s="134" t="str">
        <f>IFERROR(__xludf.DUMMYFUNCTION("IFERROR((FILTER(Data!K:K,Data!D:D=A209,Data!B:B=$B$1)),"""")"),"")</f>
        <v/>
      </c>
      <c r="G209" s="134" t="str">
        <f>IFERROR(__xludf.DUMMYFUNCTION("IFERROR((FILTER(Data!M:M,Data!D:D=A209,Data!B:B=$B$1)),"""")"),"")</f>
        <v/>
      </c>
      <c r="H209" s="134" t="str">
        <f>IFERROR(__xludf.DUMMYFUNCTION("IFERROR((FILTER(Data!G:G,Data!D:D=A209,Data!B:B=$B$1)*4)+(FILTER(Data!H:H,Data!D:D=A209,Data!B:B=$B$1)*2),"""")"),"")</f>
        <v/>
      </c>
      <c r="I209" s="15" t="str">
        <f>IFERROR(__xludf.DUMMYFUNCTION("IFERROR((FILTER(Data!K:K,Data!D:D=A209,Data!B:B=$B$1)*2)+(FILTER(Data!L:L,Data!D:D=A209,Data!B:B=$B$1)),"""")"),"")</f>
        <v/>
      </c>
      <c r="J209" s="134" t="str">
        <f>IFERROR(__xludf.DUMMYFUNCTION("IFERROR((FILTER(Data!N:N,Data!D:D=A209,Data!B:B=$B$1)),"""")"),"")</f>
        <v/>
      </c>
      <c r="K209" s="135" t="str">
        <f>IFERROR(__xludf.DUMMYFUNCTION("IFERROR((FILTER(Data!H:H,Data!D:D=A209,Data!B:B=$B$1)*2)+(FILTER(Data!L:L,Data!D:D=A209,Data!B:B=$B$1))+(FILTER(Data!G:G,Data!D:D=A209,Data!B:B=$B$1)*4)+(FILTER(Data!K:K,Data!D:D=A209,Data!B:B=$B$1)*2)+(((COUNTIF(FILTER(Data!N:N,Data!D:D=A209,Data!B:B=$B$"&amp;"1),""TRAVERSE"")*15)+(COUNTIF(FILTER(Data!N:N,Data!D:D=A209,Data!B:B=$B$1),""HIGH"")*10)+(COUNTIF(FILTER(Data!N:N,Data!D:D=A209,Data!B:B=$B$1),""MIDDLE"")*6)+(COUNTIF(FILTER(Data!N:N,Data!D:D=A209,Data!B:B=$B$1),""LOW"")*4))),"""")"),"")</f>
        <v/>
      </c>
      <c r="L209" s="136" t="str">
        <f>IFERROR(__xludf.DUMMYFUNCTION("IFERROR((FILTER(Data!P:P,Data!D:D=A209,Data!B:B=$B$1)),"""")"),"")</f>
        <v/>
      </c>
      <c r="M209" s="137" t="str">
        <f>IFERROR(__xludf.DUMMYFUNCTION("IFERROR((FILTER(Data!A:A,Data!D:D=A209,Data!B:B=$B$1)),"""")"),"")</f>
        <v/>
      </c>
      <c r="T209" s="52">
        <f>IFERROR(__xludf.DUMMYFUNCTION("((COUNTIF(FILTER(Data!N:N,Data!D:D=A209,Data!B:B=$B$1),""TRAVERSE"")*15)+(COUNTIF(FILTER(Data!N:N,Data!D:D=A209,Data!B:B=B$1),""HIGH"")*10)+(COUNTIF(FILTER(Data!N:N,Data!D:D=A209,Data!B:B=$B$1),""MIDDLE"")*6)+(COUNTIF(FILTER(Data!N:N,Data!D:D=A209,Data!B:"&amp;"B=$B$1),""LOW"")*4))"),0.0)</f>
        <v>0</v>
      </c>
      <c r="V209" s="138" t="str">
        <f>IF(Data!B201='Team Parser'!$B$1, Data!D201,"")</f>
        <v/>
      </c>
      <c r="W209" s="134" t="str">
        <f>IF(Data!$B201='Team Parser'!$B$1, Data!H201,"")</f>
        <v/>
      </c>
      <c r="X209" s="134" t="str">
        <f>IF(Data!$B201='Team Parser'!$B$1, Data!G201,"")</f>
        <v/>
      </c>
      <c r="Y209" s="134" t="str">
        <f>IF(Data!$B201='Team Parser'!$B$1, Data!L201,"")</f>
        <v/>
      </c>
      <c r="Z209" s="134" t="str">
        <f>IF(Data!$B201='Team Parser'!$B$1, Data!K201,"")</f>
        <v/>
      </c>
      <c r="AA209" s="134" t="str">
        <f>IF(Data!$B201='Team Parser'!$B$1, Data!M201,"")</f>
        <v/>
      </c>
      <c r="AB209" s="134" t="str">
        <f>IF(Data!$B201='Team Parser'!$B$1,((Z209*2)+(Y209)+(X209*4)+(W209*2)),"")</f>
        <v/>
      </c>
      <c r="AC209" s="134" t="str">
        <f>IF(Data!$B201='Team Parser'!$B$1, Data!N201,"")</f>
        <v/>
      </c>
      <c r="AD209" s="139" t="str">
        <f>IF(Data!$B201='Team Parser'!$B$1,(AB209+(COUNTIF(AC209,"TRAVERSE")*15)+(COUNTIF(AC209,"HIGH")*10)+(COUNTIF(AC209,"MIDDLE")*6)+(COUNTIF(AC209,"LOW")*4)),"")</f>
        <v/>
      </c>
    </row>
    <row r="210">
      <c r="A210" s="141" t="s">
        <v>507</v>
      </c>
      <c r="B210" s="134" t="str">
        <f>IFERROR(__xludf.DUMMYFUNCTION("IFERROR((FILTER(Data!H:H,Data!D:D=A210,Data!B:B=$B$1)),"""")"),"")</f>
        <v/>
      </c>
      <c r="C210" s="134" t="str">
        <f>IFERROR(__xludf.DUMMYFUNCTION("IFERROR((FILTER(Data!G:G,Data!D:D=A210,Data!B:B=$B$1)),"""")"),"")</f>
        <v/>
      </c>
      <c r="D210" s="134" t="str">
        <f>IFERROR(__xludf.DUMMYFUNCTION("IFERROR((FILTER(Data!J:J,Data!D:D=A210,Data!B:B=$B$1)),"""")"),"")</f>
        <v/>
      </c>
      <c r="E210" s="134" t="str">
        <f>IFERROR(__xludf.DUMMYFUNCTION("IFERROR((FILTER(Data!L:L,Data!D:D=A210,Data!B:B=$B$1)),"""")"),"")</f>
        <v/>
      </c>
      <c r="F210" s="134" t="str">
        <f>IFERROR(__xludf.DUMMYFUNCTION("IFERROR((FILTER(Data!K:K,Data!D:D=A210,Data!B:B=$B$1)),"""")"),"")</f>
        <v/>
      </c>
      <c r="G210" s="134" t="str">
        <f>IFERROR(__xludf.DUMMYFUNCTION("IFERROR((FILTER(Data!M:M,Data!D:D=A210,Data!B:B=$B$1)),"""")"),"")</f>
        <v/>
      </c>
      <c r="H210" s="134" t="str">
        <f>IFERROR(__xludf.DUMMYFUNCTION("IFERROR((FILTER(Data!G:G,Data!D:D=A210,Data!B:B=$B$1)*4)+(FILTER(Data!H:H,Data!D:D=A210,Data!B:B=$B$1)*2),"""")"),"")</f>
        <v/>
      </c>
      <c r="I210" s="15" t="str">
        <f>IFERROR(__xludf.DUMMYFUNCTION("IFERROR((FILTER(Data!K:K,Data!D:D=A210,Data!B:B=$B$1)*2)+(FILTER(Data!L:L,Data!D:D=A210,Data!B:B=$B$1)),"""")"),"")</f>
        <v/>
      </c>
      <c r="J210" s="134" t="str">
        <f>IFERROR(__xludf.DUMMYFUNCTION("IFERROR((FILTER(Data!N:N,Data!D:D=A210,Data!B:B=$B$1)),"""")"),"")</f>
        <v/>
      </c>
      <c r="K210" s="135" t="str">
        <f>IFERROR(__xludf.DUMMYFUNCTION("IFERROR((FILTER(Data!H:H,Data!D:D=A210,Data!B:B=$B$1)*2)+(FILTER(Data!L:L,Data!D:D=A210,Data!B:B=$B$1))+(FILTER(Data!G:G,Data!D:D=A210,Data!B:B=$B$1)*4)+(FILTER(Data!K:K,Data!D:D=A210,Data!B:B=$B$1)*2)+(((COUNTIF(FILTER(Data!N:N,Data!D:D=A210,Data!B:B=$B$"&amp;"1),""TRAVERSE"")*15)+(COUNTIF(FILTER(Data!N:N,Data!D:D=A210,Data!B:B=$B$1),""HIGH"")*10)+(COUNTIF(FILTER(Data!N:N,Data!D:D=A210,Data!B:B=$B$1),""MIDDLE"")*6)+(COUNTIF(FILTER(Data!N:N,Data!D:D=A210,Data!B:B=$B$1),""LOW"")*4))),"""")"),"")</f>
        <v/>
      </c>
      <c r="L210" s="136" t="str">
        <f>IFERROR(__xludf.DUMMYFUNCTION("IFERROR((FILTER(Data!P:P,Data!D:D=A210,Data!B:B=$B$1)),"""")"),"")</f>
        <v/>
      </c>
      <c r="M210" s="137" t="str">
        <f>IFERROR(__xludf.DUMMYFUNCTION("IFERROR((FILTER(Data!A:A,Data!D:D=A210,Data!B:B=$B$1)),"""")"),"")</f>
        <v/>
      </c>
      <c r="T210" s="52">
        <f>IFERROR(__xludf.DUMMYFUNCTION("((COUNTIF(FILTER(Data!N:N,Data!D:D=A210,Data!B:B=$B$1),""TRAVERSE"")*15)+(COUNTIF(FILTER(Data!N:N,Data!D:D=A210,Data!B:B=B$1),""HIGH"")*10)+(COUNTIF(FILTER(Data!N:N,Data!D:D=A210,Data!B:B=$B$1),""MIDDLE"")*6)+(COUNTIF(FILTER(Data!N:N,Data!D:D=A210,Data!B:"&amp;"B=$B$1),""LOW"")*4))"),0.0)</f>
        <v>0</v>
      </c>
      <c r="V210" s="138" t="str">
        <f>IF(Data!B202='Team Parser'!$B$1, Data!D202,"")</f>
        <v/>
      </c>
      <c r="W210" s="134" t="str">
        <f>IF(Data!$B202='Team Parser'!$B$1, Data!H202,"")</f>
        <v/>
      </c>
      <c r="X210" s="134" t="str">
        <f>IF(Data!$B202='Team Parser'!$B$1, Data!G202,"")</f>
        <v/>
      </c>
      <c r="Y210" s="134" t="str">
        <f>IF(Data!$B202='Team Parser'!$B$1, Data!L202,"")</f>
        <v/>
      </c>
      <c r="Z210" s="134" t="str">
        <f>IF(Data!$B202='Team Parser'!$B$1, Data!K202,"")</f>
        <v/>
      </c>
      <c r="AA210" s="134" t="str">
        <f>IF(Data!$B202='Team Parser'!$B$1, Data!M202,"")</f>
        <v/>
      </c>
      <c r="AB210" s="134" t="str">
        <f>IF(Data!$B202='Team Parser'!$B$1,((Z210*2)+(Y210)+(X210*4)+(W210*2)),"")</f>
        <v/>
      </c>
      <c r="AC210" s="134" t="str">
        <f>IF(Data!$B202='Team Parser'!$B$1, Data!N202,"")</f>
        <v/>
      </c>
      <c r="AD210" s="139" t="str">
        <f>IF(Data!$B202='Team Parser'!$B$1,(AB210+(COUNTIF(AC210,"TRAVERSE")*15)+(COUNTIF(AC210,"HIGH")*10)+(COUNTIF(AC210,"MIDDLE")*6)+(COUNTIF(AC210,"LOW")*4)),"")</f>
        <v/>
      </c>
    </row>
    <row r="211">
      <c r="A211" s="141" t="s">
        <v>507</v>
      </c>
      <c r="B211" s="134" t="str">
        <f>IFERROR(__xludf.DUMMYFUNCTION("IFERROR((FILTER(Data!H:H,Data!D:D=A211,Data!B:B=$B$1)),"""")"),"")</f>
        <v/>
      </c>
      <c r="C211" s="134" t="str">
        <f>IFERROR(__xludf.DUMMYFUNCTION("IFERROR((FILTER(Data!G:G,Data!D:D=A211,Data!B:B=$B$1)),"""")"),"")</f>
        <v/>
      </c>
      <c r="D211" s="134" t="str">
        <f>IFERROR(__xludf.DUMMYFUNCTION("IFERROR((FILTER(Data!J:J,Data!D:D=A211,Data!B:B=$B$1)),"""")"),"")</f>
        <v/>
      </c>
      <c r="E211" s="134" t="str">
        <f>IFERROR(__xludf.DUMMYFUNCTION("IFERROR((FILTER(Data!L:L,Data!D:D=A211,Data!B:B=$B$1)),"""")"),"")</f>
        <v/>
      </c>
      <c r="F211" s="134" t="str">
        <f>IFERROR(__xludf.DUMMYFUNCTION("IFERROR((FILTER(Data!K:K,Data!D:D=A211,Data!B:B=$B$1)),"""")"),"")</f>
        <v/>
      </c>
      <c r="G211" s="134" t="str">
        <f>IFERROR(__xludf.DUMMYFUNCTION("IFERROR((FILTER(Data!M:M,Data!D:D=A211,Data!B:B=$B$1)),"""")"),"")</f>
        <v/>
      </c>
      <c r="H211" s="134" t="str">
        <f>IFERROR(__xludf.DUMMYFUNCTION("IFERROR((FILTER(Data!G:G,Data!D:D=A211,Data!B:B=$B$1)*4)+(FILTER(Data!H:H,Data!D:D=A211,Data!B:B=$B$1)*2),"""")"),"")</f>
        <v/>
      </c>
      <c r="I211" s="15" t="str">
        <f>IFERROR(__xludf.DUMMYFUNCTION("IFERROR((FILTER(Data!K:K,Data!D:D=A211,Data!B:B=$B$1)*2)+(FILTER(Data!L:L,Data!D:D=A211,Data!B:B=$B$1)),"""")"),"")</f>
        <v/>
      </c>
      <c r="J211" s="134" t="str">
        <f>IFERROR(__xludf.DUMMYFUNCTION("IFERROR((FILTER(Data!N:N,Data!D:D=A211,Data!B:B=$B$1)),"""")"),"")</f>
        <v/>
      </c>
      <c r="K211" s="135" t="str">
        <f>IFERROR(__xludf.DUMMYFUNCTION("IFERROR((FILTER(Data!H:H,Data!D:D=A211,Data!B:B=$B$1)*2)+(FILTER(Data!L:L,Data!D:D=A211,Data!B:B=$B$1))+(FILTER(Data!G:G,Data!D:D=A211,Data!B:B=$B$1)*4)+(FILTER(Data!K:K,Data!D:D=A211,Data!B:B=$B$1)*2)+(((COUNTIF(FILTER(Data!N:N,Data!D:D=A211,Data!B:B=$B$"&amp;"1),""TRAVERSE"")*15)+(COUNTIF(FILTER(Data!N:N,Data!D:D=A211,Data!B:B=$B$1),""HIGH"")*10)+(COUNTIF(FILTER(Data!N:N,Data!D:D=A211,Data!B:B=$B$1),""MIDDLE"")*6)+(COUNTIF(FILTER(Data!N:N,Data!D:D=A211,Data!B:B=$B$1),""LOW"")*4))),"""")"),"")</f>
        <v/>
      </c>
      <c r="L211" s="136" t="str">
        <f>IFERROR(__xludf.DUMMYFUNCTION("IFERROR((FILTER(Data!P:P,Data!D:D=A211,Data!B:B=$B$1)),"""")"),"")</f>
        <v/>
      </c>
      <c r="M211" s="137" t="str">
        <f>IFERROR(__xludf.DUMMYFUNCTION("IFERROR((FILTER(Data!A:A,Data!D:D=A211,Data!B:B=$B$1)),"""")"),"")</f>
        <v/>
      </c>
      <c r="T211" s="52">
        <f>IFERROR(__xludf.DUMMYFUNCTION("((COUNTIF(FILTER(Data!N:N,Data!D:D=A211,Data!B:B=$B$1),""TRAVERSE"")*15)+(COUNTIF(FILTER(Data!N:N,Data!D:D=A211,Data!B:B=B$1),""HIGH"")*10)+(COUNTIF(FILTER(Data!N:N,Data!D:D=A211,Data!B:B=$B$1),""MIDDLE"")*6)+(COUNTIF(FILTER(Data!N:N,Data!D:D=A211,Data!B:"&amp;"B=$B$1),""LOW"")*4))"),0.0)</f>
        <v>0</v>
      </c>
      <c r="V211" s="138" t="str">
        <f>IF(Data!B203='Team Parser'!$B$1, Data!D203,"")</f>
        <v/>
      </c>
      <c r="W211" s="134" t="str">
        <f>IF(Data!$B203='Team Parser'!$B$1, Data!H203,"")</f>
        <v/>
      </c>
      <c r="X211" s="134" t="str">
        <f>IF(Data!$B203='Team Parser'!$B$1, Data!G203,"")</f>
        <v/>
      </c>
      <c r="Y211" s="134" t="str">
        <f>IF(Data!$B203='Team Parser'!$B$1, Data!L203,"")</f>
        <v/>
      </c>
      <c r="Z211" s="134" t="str">
        <f>IF(Data!$B203='Team Parser'!$B$1, Data!K203,"")</f>
        <v/>
      </c>
      <c r="AA211" s="134" t="str">
        <f>IF(Data!$B203='Team Parser'!$B$1, Data!M203,"")</f>
        <v/>
      </c>
      <c r="AB211" s="134" t="str">
        <f>IF(Data!$B203='Team Parser'!$B$1,((Z211*2)+(Y211)+(X211*4)+(W211*2)),"")</f>
        <v/>
      </c>
      <c r="AC211" s="134" t="str">
        <f>IF(Data!$B203='Team Parser'!$B$1, Data!N203,"")</f>
        <v/>
      </c>
      <c r="AD211" s="139" t="str">
        <f>IF(Data!$B203='Team Parser'!$B$1,(AB211+(COUNTIF(AC211,"TRAVERSE")*15)+(COUNTIF(AC211,"HIGH")*10)+(COUNTIF(AC211,"MIDDLE")*6)+(COUNTIF(AC211,"LOW")*4)),"")</f>
        <v/>
      </c>
    </row>
    <row r="212">
      <c r="A212" s="141" t="s">
        <v>507</v>
      </c>
      <c r="B212" s="134" t="str">
        <f>IFERROR(__xludf.DUMMYFUNCTION("IFERROR((FILTER(Data!H:H,Data!D:D=A212,Data!B:B=$B$1)),"""")"),"")</f>
        <v/>
      </c>
      <c r="C212" s="134" t="str">
        <f>IFERROR(__xludf.DUMMYFUNCTION("IFERROR((FILTER(Data!G:G,Data!D:D=A212,Data!B:B=$B$1)),"""")"),"")</f>
        <v/>
      </c>
      <c r="D212" s="134" t="str">
        <f>IFERROR(__xludf.DUMMYFUNCTION("IFERROR((FILTER(Data!J:J,Data!D:D=A212,Data!B:B=$B$1)),"""")"),"")</f>
        <v/>
      </c>
      <c r="E212" s="134" t="str">
        <f>IFERROR(__xludf.DUMMYFUNCTION("IFERROR((FILTER(Data!L:L,Data!D:D=A212,Data!B:B=$B$1)),"""")"),"")</f>
        <v/>
      </c>
      <c r="F212" s="134" t="str">
        <f>IFERROR(__xludf.DUMMYFUNCTION("IFERROR((FILTER(Data!K:K,Data!D:D=A212,Data!B:B=$B$1)),"""")"),"")</f>
        <v/>
      </c>
      <c r="G212" s="134" t="str">
        <f>IFERROR(__xludf.DUMMYFUNCTION("IFERROR((FILTER(Data!M:M,Data!D:D=A212,Data!B:B=$B$1)),"""")"),"")</f>
        <v/>
      </c>
      <c r="H212" s="134" t="str">
        <f>IFERROR(__xludf.DUMMYFUNCTION("IFERROR((FILTER(Data!G:G,Data!D:D=A212,Data!B:B=$B$1)*4)+(FILTER(Data!H:H,Data!D:D=A212,Data!B:B=$B$1)*2),"""")"),"")</f>
        <v/>
      </c>
      <c r="I212" s="15" t="str">
        <f>IFERROR(__xludf.DUMMYFUNCTION("IFERROR((FILTER(Data!K:K,Data!D:D=A212,Data!B:B=$B$1)*2)+(FILTER(Data!L:L,Data!D:D=A212,Data!B:B=$B$1)),"""")"),"")</f>
        <v/>
      </c>
      <c r="J212" s="134" t="str">
        <f>IFERROR(__xludf.DUMMYFUNCTION("IFERROR((FILTER(Data!N:N,Data!D:D=A212,Data!B:B=$B$1)),"""")"),"")</f>
        <v/>
      </c>
      <c r="K212" s="135" t="str">
        <f>IFERROR(__xludf.DUMMYFUNCTION("IFERROR((FILTER(Data!H:H,Data!D:D=A212,Data!B:B=$B$1)*2)+(FILTER(Data!L:L,Data!D:D=A212,Data!B:B=$B$1))+(FILTER(Data!G:G,Data!D:D=A212,Data!B:B=$B$1)*4)+(FILTER(Data!K:K,Data!D:D=A212,Data!B:B=$B$1)*2)+(((COUNTIF(FILTER(Data!N:N,Data!D:D=A212,Data!B:B=$B$"&amp;"1),""TRAVERSE"")*15)+(COUNTIF(FILTER(Data!N:N,Data!D:D=A212,Data!B:B=$B$1),""HIGH"")*10)+(COUNTIF(FILTER(Data!N:N,Data!D:D=A212,Data!B:B=$B$1),""MIDDLE"")*6)+(COUNTIF(FILTER(Data!N:N,Data!D:D=A212,Data!B:B=$B$1),""LOW"")*4))),"""")"),"")</f>
        <v/>
      </c>
      <c r="L212" s="136" t="str">
        <f>IFERROR(__xludf.DUMMYFUNCTION("IFERROR((FILTER(Data!P:P,Data!D:D=A212,Data!B:B=$B$1)),"""")"),"")</f>
        <v/>
      </c>
      <c r="M212" s="137" t="str">
        <f>IFERROR(__xludf.DUMMYFUNCTION("IFERROR((FILTER(Data!A:A,Data!D:D=A212,Data!B:B=$B$1)),"""")"),"")</f>
        <v/>
      </c>
      <c r="T212" s="52">
        <f>IFERROR(__xludf.DUMMYFUNCTION("((COUNTIF(FILTER(Data!N:N,Data!D:D=A212,Data!B:B=$B$1),""TRAVERSE"")*15)+(COUNTIF(FILTER(Data!N:N,Data!D:D=A212,Data!B:B=B$1),""HIGH"")*10)+(COUNTIF(FILTER(Data!N:N,Data!D:D=A212,Data!B:B=$B$1),""MIDDLE"")*6)+(COUNTIF(FILTER(Data!N:N,Data!D:D=A212,Data!B:"&amp;"B=$B$1),""LOW"")*4))"),0.0)</f>
        <v>0</v>
      </c>
      <c r="V212" s="138" t="str">
        <f>IF(Data!B204='Team Parser'!$B$1, Data!D204,"")</f>
        <v/>
      </c>
      <c r="W212" s="134" t="str">
        <f>IF(Data!$B204='Team Parser'!$B$1, Data!H204,"")</f>
        <v/>
      </c>
      <c r="X212" s="134" t="str">
        <f>IF(Data!$B204='Team Parser'!$B$1, Data!G204,"")</f>
        <v/>
      </c>
      <c r="Y212" s="134" t="str">
        <f>IF(Data!$B204='Team Parser'!$B$1, Data!L204,"")</f>
        <v/>
      </c>
      <c r="Z212" s="134" t="str">
        <f>IF(Data!$B204='Team Parser'!$B$1, Data!K204,"")</f>
        <v/>
      </c>
      <c r="AA212" s="134" t="str">
        <f>IF(Data!$B204='Team Parser'!$B$1, Data!M204,"")</f>
        <v/>
      </c>
      <c r="AB212" s="134" t="str">
        <f>IF(Data!$B204='Team Parser'!$B$1,((Z212*2)+(Y212)+(X212*4)+(W212*2)),"")</f>
        <v/>
      </c>
      <c r="AC212" s="134" t="str">
        <f>IF(Data!$B204='Team Parser'!$B$1, Data!N204,"")</f>
        <v/>
      </c>
      <c r="AD212" s="139" t="str">
        <f>IF(Data!$B204='Team Parser'!$B$1,(AB212+(COUNTIF(AC212,"TRAVERSE")*15)+(COUNTIF(AC212,"HIGH")*10)+(COUNTIF(AC212,"MIDDLE")*6)+(COUNTIF(AC212,"LOW")*4)),"")</f>
        <v/>
      </c>
    </row>
    <row r="213">
      <c r="A213" s="141" t="s">
        <v>507</v>
      </c>
      <c r="B213" s="134" t="str">
        <f>IFERROR(__xludf.DUMMYFUNCTION("IFERROR((FILTER(Data!H:H,Data!D:D=A213,Data!B:B=$B$1)),"""")"),"")</f>
        <v/>
      </c>
      <c r="C213" s="134" t="str">
        <f>IFERROR(__xludf.DUMMYFUNCTION("IFERROR((FILTER(Data!G:G,Data!D:D=A213,Data!B:B=$B$1)),"""")"),"")</f>
        <v/>
      </c>
      <c r="D213" s="134" t="str">
        <f>IFERROR(__xludf.DUMMYFUNCTION("IFERROR((FILTER(Data!J:J,Data!D:D=A213,Data!B:B=$B$1)),"""")"),"")</f>
        <v/>
      </c>
      <c r="E213" s="134" t="str">
        <f>IFERROR(__xludf.DUMMYFUNCTION("IFERROR((FILTER(Data!L:L,Data!D:D=A213,Data!B:B=$B$1)),"""")"),"")</f>
        <v/>
      </c>
      <c r="F213" s="134" t="str">
        <f>IFERROR(__xludf.DUMMYFUNCTION("IFERROR((FILTER(Data!K:K,Data!D:D=A213,Data!B:B=$B$1)),"""")"),"")</f>
        <v/>
      </c>
      <c r="G213" s="134" t="str">
        <f>IFERROR(__xludf.DUMMYFUNCTION("IFERROR((FILTER(Data!M:M,Data!D:D=A213,Data!B:B=$B$1)),"""")"),"")</f>
        <v/>
      </c>
      <c r="H213" s="134" t="str">
        <f>IFERROR(__xludf.DUMMYFUNCTION("IFERROR((FILTER(Data!G:G,Data!D:D=A213,Data!B:B=$B$1)*4)+(FILTER(Data!H:H,Data!D:D=A213,Data!B:B=$B$1)*2),"""")"),"")</f>
        <v/>
      </c>
      <c r="I213" s="15" t="str">
        <f>IFERROR(__xludf.DUMMYFUNCTION("IFERROR((FILTER(Data!K:K,Data!D:D=A213,Data!B:B=$B$1)*2)+(FILTER(Data!L:L,Data!D:D=A213,Data!B:B=$B$1)),"""")"),"")</f>
        <v/>
      </c>
      <c r="J213" s="134" t="str">
        <f>IFERROR(__xludf.DUMMYFUNCTION("IFERROR((FILTER(Data!N:N,Data!D:D=A213,Data!B:B=$B$1)),"""")"),"")</f>
        <v/>
      </c>
      <c r="K213" s="135" t="str">
        <f>IFERROR(__xludf.DUMMYFUNCTION("IFERROR((FILTER(Data!H:H,Data!D:D=A213,Data!B:B=$B$1)*2)+(FILTER(Data!L:L,Data!D:D=A213,Data!B:B=$B$1))+(FILTER(Data!G:G,Data!D:D=A213,Data!B:B=$B$1)*4)+(FILTER(Data!K:K,Data!D:D=A213,Data!B:B=$B$1)*2)+(((COUNTIF(FILTER(Data!N:N,Data!D:D=A213,Data!B:B=$B$"&amp;"1),""TRAVERSE"")*15)+(COUNTIF(FILTER(Data!N:N,Data!D:D=A213,Data!B:B=$B$1),""HIGH"")*10)+(COUNTIF(FILTER(Data!N:N,Data!D:D=A213,Data!B:B=$B$1),""MIDDLE"")*6)+(COUNTIF(FILTER(Data!N:N,Data!D:D=A213,Data!B:B=$B$1),""LOW"")*4))),"""")"),"")</f>
        <v/>
      </c>
      <c r="L213" s="136" t="str">
        <f>IFERROR(__xludf.DUMMYFUNCTION("IFERROR((FILTER(Data!P:P,Data!D:D=A213,Data!B:B=$B$1)),"""")"),"")</f>
        <v/>
      </c>
      <c r="M213" s="137" t="str">
        <f>IFERROR(__xludf.DUMMYFUNCTION("IFERROR((FILTER(Data!A:A,Data!D:D=A213,Data!B:B=$B$1)),"""")"),"")</f>
        <v/>
      </c>
      <c r="T213" s="52">
        <f>IFERROR(__xludf.DUMMYFUNCTION("((COUNTIF(FILTER(Data!N:N,Data!D:D=A213,Data!B:B=$B$1),""TRAVERSE"")*15)+(COUNTIF(FILTER(Data!N:N,Data!D:D=A213,Data!B:B=B$1),""HIGH"")*10)+(COUNTIF(FILTER(Data!N:N,Data!D:D=A213,Data!B:B=$B$1),""MIDDLE"")*6)+(COUNTIF(FILTER(Data!N:N,Data!D:D=A213,Data!B:"&amp;"B=$B$1),""LOW"")*4))"),0.0)</f>
        <v>0</v>
      </c>
      <c r="V213" s="138" t="str">
        <f>IF(Data!B205='Team Parser'!$B$1, Data!D205,"")</f>
        <v/>
      </c>
      <c r="W213" s="134" t="str">
        <f>IF(Data!$B205='Team Parser'!$B$1, Data!H205,"")</f>
        <v/>
      </c>
      <c r="X213" s="134" t="str">
        <f>IF(Data!$B205='Team Parser'!$B$1, Data!G205,"")</f>
        <v/>
      </c>
      <c r="Y213" s="134" t="str">
        <f>IF(Data!$B205='Team Parser'!$B$1, Data!L205,"")</f>
        <v/>
      </c>
      <c r="Z213" s="134" t="str">
        <f>IF(Data!$B205='Team Parser'!$B$1, Data!K205,"")</f>
        <v/>
      </c>
      <c r="AA213" s="134" t="str">
        <f>IF(Data!$B205='Team Parser'!$B$1, Data!M205,"")</f>
        <v/>
      </c>
      <c r="AB213" s="134" t="str">
        <f>IF(Data!$B205='Team Parser'!$B$1,((Z213*2)+(Y213)+(X213*4)+(W213*2)),"")</f>
        <v/>
      </c>
      <c r="AC213" s="134" t="str">
        <f>IF(Data!$B205='Team Parser'!$B$1, Data!N205,"")</f>
        <v/>
      </c>
      <c r="AD213" s="139" t="str">
        <f>IF(Data!$B205='Team Parser'!$B$1,(AB213+(COUNTIF(AC213,"TRAVERSE")*15)+(COUNTIF(AC213,"HIGH")*10)+(COUNTIF(AC213,"MIDDLE")*6)+(COUNTIF(AC213,"LOW")*4)),"")</f>
        <v/>
      </c>
    </row>
    <row r="214">
      <c r="A214" s="141" t="s">
        <v>507</v>
      </c>
      <c r="B214" s="134" t="str">
        <f>IFERROR(__xludf.DUMMYFUNCTION("IFERROR((FILTER(Data!H:H,Data!D:D=A214,Data!B:B=$B$1)),"""")"),"")</f>
        <v/>
      </c>
      <c r="C214" s="134" t="str">
        <f>IFERROR(__xludf.DUMMYFUNCTION("IFERROR((FILTER(Data!G:G,Data!D:D=A214,Data!B:B=$B$1)),"""")"),"")</f>
        <v/>
      </c>
      <c r="D214" s="134" t="str">
        <f>IFERROR(__xludf.DUMMYFUNCTION("IFERROR((FILTER(Data!J:J,Data!D:D=A214,Data!B:B=$B$1)),"""")"),"")</f>
        <v/>
      </c>
      <c r="E214" s="134" t="str">
        <f>IFERROR(__xludf.DUMMYFUNCTION("IFERROR((FILTER(Data!L:L,Data!D:D=A214,Data!B:B=$B$1)),"""")"),"")</f>
        <v/>
      </c>
      <c r="F214" s="134" t="str">
        <f>IFERROR(__xludf.DUMMYFUNCTION("IFERROR((FILTER(Data!K:K,Data!D:D=A214,Data!B:B=$B$1)),"""")"),"")</f>
        <v/>
      </c>
      <c r="G214" s="134" t="str">
        <f>IFERROR(__xludf.DUMMYFUNCTION("IFERROR((FILTER(Data!M:M,Data!D:D=A214,Data!B:B=$B$1)),"""")"),"")</f>
        <v/>
      </c>
      <c r="H214" s="134" t="str">
        <f>IFERROR(__xludf.DUMMYFUNCTION("IFERROR((FILTER(Data!G:G,Data!D:D=A214,Data!B:B=$B$1)*4)+(FILTER(Data!H:H,Data!D:D=A214,Data!B:B=$B$1)*2),"""")"),"")</f>
        <v/>
      </c>
      <c r="I214" s="15" t="str">
        <f>IFERROR(__xludf.DUMMYFUNCTION("IFERROR((FILTER(Data!K:K,Data!D:D=A214,Data!B:B=$B$1)*2)+(FILTER(Data!L:L,Data!D:D=A214,Data!B:B=$B$1)),"""")"),"")</f>
        <v/>
      </c>
      <c r="J214" s="134" t="str">
        <f>IFERROR(__xludf.DUMMYFUNCTION("IFERROR((FILTER(Data!N:N,Data!D:D=A214,Data!B:B=$B$1)),"""")"),"")</f>
        <v/>
      </c>
      <c r="K214" s="135" t="str">
        <f>IFERROR(__xludf.DUMMYFUNCTION("IFERROR((FILTER(Data!H:H,Data!D:D=A214,Data!B:B=$B$1)*2)+(FILTER(Data!L:L,Data!D:D=A214,Data!B:B=$B$1))+(FILTER(Data!G:G,Data!D:D=A214,Data!B:B=$B$1)*4)+(FILTER(Data!K:K,Data!D:D=A214,Data!B:B=$B$1)*2)+(((COUNTIF(FILTER(Data!N:N,Data!D:D=A214,Data!B:B=$B$"&amp;"1),""TRAVERSE"")*15)+(COUNTIF(FILTER(Data!N:N,Data!D:D=A214,Data!B:B=$B$1),""HIGH"")*10)+(COUNTIF(FILTER(Data!N:N,Data!D:D=A214,Data!B:B=$B$1),""MIDDLE"")*6)+(COUNTIF(FILTER(Data!N:N,Data!D:D=A214,Data!B:B=$B$1),""LOW"")*4))),"""")"),"")</f>
        <v/>
      </c>
      <c r="L214" s="136" t="str">
        <f>IFERROR(__xludf.DUMMYFUNCTION("IFERROR((FILTER(Data!P:P,Data!D:D=A214,Data!B:B=$B$1)),"""")"),"")</f>
        <v/>
      </c>
      <c r="M214" s="137" t="str">
        <f>IFERROR(__xludf.DUMMYFUNCTION("IFERROR((FILTER(Data!A:A,Data!D:D=A214,Data!B:B=$B$1)),"""")"),"")</f>
        <v/>
      </c>
      <c r="T214" s="52">
        <f>IFERROR(__xludf.DUMMYFUNCTION("((COUNTIF(FILTER(Data!N:N,Data!D:D=A214,Data!B:B=$B$1),""TRAVERSE"")*15)+(COUNTIF(FILTER(Data!N:N,Data!D:D=A214,Data!B:B=B$1),""HIGH"")*10)+(COUNTIF(FILTER(Data!N:N,Data!D:D=A214,Data!B:B=$B$1),""MIDDLE"")*6)+(COUNTIF(FILTER(Data!N:N,Data!D:D=A214,Data!B:"&amp;"B=$B$1),""LOW"")*4))"),0.0)</f>
        <v>0</v>
      </c>
      <c r="V214" s="138" t="str">
        <f>IF(Data!B206='Team Parser'!$B$1, Data!D206,"")</f>
        <v/>
      </c>
      <c r="W214" s="134" t="str">
        <f>IF(Data!$B206='Team Parser'!$B$1, Data!H206,"")</f>
        <v/>
      </c>
      <c r="X214" s="134" t="str">
        <f>IF(Data!$B206='Team Parser'!$B$1, Data!G206,"")</f>
        <v/>
      </c>
      <c r="Y214" s="134" t="str">
        <f>IF(Data!$B206='Team Parser'!$B$1, Data!L206,"")</f>
        <v/>
      </c>
      <c r="Z214" s="134" t="str">
        <f>IF(Data!$B206='Team Parser'!$B$1, Data!K206,"")</f>
        <v/>
      </c>
      <c r="AA214" s="134" t="str">
        <f>IF(Data!$B206='Team Parser'!$B$1, Data!M206,"")</f>
        <v/>
      </c>
      <c r="AB214" s="134" t="str">
        <f>IF(Data!$B206='Team Parser'!$B$1,((Z214*2)+(Y214)+(X214*4)+(W214*2)),"")</f>
        <v/>
      </c>
      <c r="AC214" s="134" t="str">
        <f>IF(Data!$B206='Team Parser'!$B$1, Data!N206,"")</f>
        <v/>
      </c>
      <c r="AD214" s="139" t="str">
        <f>IF(Data!$B206='Team Parser'!$B$1,(AB214+(COUNTIF(AC214,"TRAVERSE")*15)+(COUNTIF(AC214,"HIGH")*10)+(COUNTIF(AC214,"MIDDLE")*6)+(COUNTIF(AC214,"LOW")*4)),"")</f>
        <v/>
      </c>
    </row>
    <row r="215">
      <c r="A215" s="141" t="s">
        <v>507</v>
      </c>
      <c r="B215" s="134" t="str">
        <f>IFERROR(__xludf.DUMMYFUNCTION("IFERROR((FILTER(Data!H:H,Data!D:D=A215,Data!B:B=$B$1)),"""")"),"")</f>
        <v/>
      </c>
      <c r="C215" s="134" t="str">
        <f>IFERROR(__xludf.DUMMYFUNCTION("IFERROR((FILTER(Data!G:G,Data!D:D=A215,Data!B:B=$B$1)),"""")"),"")</f>
        <v/>
      </c>
      <c r="D215" s="134" t="str">
        <f>IFERROR(__xludf.DUMMYFUNCTION("IFERROR((FILTER(Data!J:J,Data!D:D=A215,Data!B:B=$B$1)),"""")"),"")</f>
        <v/>
      </c>
      <c r="E215" s="134" t="str">
        <f>IFERROR(__xludf.DUMMYFUNCTION("IFERROR((FILTER(Data!L:L,Data!D:D=A215,Data!B:B=$B$1)),"""")"),"")</f>
        <v/>
      </c>
      <c r="F215" s="134" t="str">
        <f>IFERROR(__xludf.DUMMYFUNCTION("IFERROR((FILTER(Data!K:K,Data!D:D=A215,Data!B:B=$B$1)),"""")"),"")</f>
        <v/>
      </c>
      <c r="G215" s="134" t="str">
        <f>IFERROR(__xludf.DUMMYFUNCTION("IFERROR((FILTER(Data!M:M,Data!D:D=A215,Data!B:B=$B$1)),"""")"),"")</f>
        <v/>
      </c>
      <c r="H215" s="134" t="str">
        <f>IFERROR(__xludf.DUMMYFUNCTION("IFERROR((FILTER(Data!G:G,Data!D:D=A215,Data!B:B=$B$1)*4)+(FILTER(Data!H:H,Data!D:D=A215,Data!B:B=$B$1)*2),"""")"),"")</f>
        <v/>
      </c>
      <c r="I215" s="15" t="str">
        <f>IFERROR(__xludf.DUMMYFUNCTION("IFERROR((FILTER(Data!K:K,Data!D:D=A215,Data!B:B=$B$1)*2)+(FILTER(Data!L:L,Data!D:D=A215,Data!B:B=$B$1)),"""")"),"")</f>
        <v/>
      </c>
      <c r="J215" s="134" t="str">
        <f>IFERROR(__xludf.DUMMYFUNCTION("IFERROR((FILTER(Data!N:N,Data!D:D=A215,Data!B:B=$B$1)),"""")"),"")</f>
        <v/>
      </c>
      <c r="K215" s="135" t="str">
        <f>IFERROR(__xludf.DUMMYFUNCTION("IFERROR((FILTER(Data!H:H,Data!D:D=A215,Data!B:B=$B$1)*2)+(FILTER(Data!L:L,Data!D:D=A215,Data!B:B=$B$1))+(FILTER(Data!G:G,Data!D:D=A215,Data!B:B=$B$1)*4)+(FILTER(Data!K:K,Data!D:D=A215,Data!B:B=$B$1)*2)+(((COUNTIF(FILTER(Data!N:N,Data!D:D=A215,Data!B:B=$B$"&amp;"1),""TRAVERSE"")*15)+(COUNTIF(FILTER(Data!N:N,Data!D:D=A215,Data!B:B=$B$1),""HIGH"")*10)+(COUNTIF(FILTER(Data!N:N,Data!D:D=A215,Data!B:B=$B$1),""MIDDLE"")*6)+(COUNTIF(FILTER(Data!N:N,Data!D:D=A215,Data!B:B=$B$1),""LOW"")*4))),"""")"),"")</f>
        <v/>
      </c>
      <c r="L215" s="136" t="str">
        <f>IFERROR(__xludf.DUMMYFUNCTION("IFERROR((FILTER(Data!P:P,Data!D:D=A215,Data!B:B=$B$1)),"""")"),"")</f>
        <v/>
      </c>
      <c r="M215" s="137" t="str">
        <f>IFERROR(__xludf.DUMMYFUNCTION("IFERROR((FILTER(Data!A:A,Data!D:D=A215,Data!B:B=$B$1)),"""")"),"")</f>
        <v/>
      </c>
      <c r="T215" s="52">
        <f>IFERROR(__xludf.DUMMYFUNCTION("((COUNTIF(FILTER(Data!N:N,Data!D:D=A215,Data!B:B=$B$1),""TRAVERSE"")*15)+(COUNTIF(FILTER(Data!N:N,Data!D:D=A215,Data!B:B=B$1),""HIGH"")*10)+(COUNTIF(FILTER(Data!N:N,Data!D:D=A215,Data!B:B=$B$1),""MIDDLE"")*6)+(COUNTIF(FILTER(Data!N:N,Data!D:D=A215,Data!B:"&amp;"B=$B$1),""LOW"")*4))"),0.0)</f>
        <v>0</v>
      </c>
      <c r="V215" s="138" t="str">
        <f>IF(Data!B207='Team Parser'!$B$1, Data!D207,"")</f>
        <v/>
      </c>
      <c r="W215" s="134" t="str">
        <f>IF(Data!$B207='Team Parser'!$B$1, Data!H207,"")</f>
        <v/>
      </c>
      <c r="X215" s="134" t="str">
        <f>IF(Data!$B207='Team Parser'!$B$1, Data!G207,"")</f>
        <v/>
      </c>
      <c r="Y215" s="134" t="str">
        <f>IF(Data!$B207='Team Parser'!$B$1, Data!L207,"")</f>
        <v/>
      </c>
      <c r="Z215" s="134" t="str">
        <f>IF(Data!$B207='Team Parser'!$B$1, Data!K207,"")</f>
        <v/>
      </c>
      <c r="AA215" s="134" t="str">
        <f>IF(Data!$B207='Team Parser'!$B$1, Data!M207,"")</f>
        <v/>
      </c>
      <c r="AB215" s="134" t="str">
        <f>IF(Data!$B207='Team Parser'!$B$1,((Z215*2)+(Y215)+(X215*4)+(W215*2)),"")</f>
        <v/>
      </c>
      <c r="AC215" s="134" t="str">
        <f>IF(Data!$B207='Team Parser'!$B$1, Data!N207,"")</f>
        <v/>
      </c>
      <c r="AD215" s="139" t="str">
        <f>IF(Data!$B207='Team Parser'!$B$1,(AB215+(COUNTIF(AC215,"TRAVERSE")*15)+(COUNTIF(AC215,"HIGH")*10)+(COUNTIF(AC215,"MIDDLE")*6)+(COUNTIF(AC215,"LOW")*4)),"")</f>
        <v/>
      </c>
    </row>
    <row r="216">
      <c r="A216" s="141" t="s">
        <v>507</v>
      </c>
      <c r="B216" s="134" t="str">
        <f>IFERROR(__xludf.DUMMYFUNCTION("IFERROR((FILTER(Data!H:H,Data!D:D=A216,Data!B:B=$B$1)),"""")"),"")</f>
        <v/>
      </c>
      <c r="C216" s="134" t="str">
        <f>IFERROR(__xludf.DUMMYFUNCTION("IFERROR((FILTER(Data!G:G,Data!D:D=A216,Data!B:B=$B$1)),"""")"),"")</f>
        <v/>
      </c>
      <c r="D216" s="134" t="str">
        <f>IFERROR(__xludf.DUMMYFUNCTION("IFERROR((FILTER(Data!J:J,Data!D:D=A216,Data!B:B=$B$1)),"""")"),"")</f>
        <v/>
      </c>
      <c r="E216" s="134" t="str">
        <f>IFERROR(__xludf.DUMMYFUNCTION("IFERROR((FILTER(Data!L:L,Data!D:D=A216,Data!B:B=$B$1)),"""")"),"")</f>
        <v/>
      </c>
      <c r="F216" s="134" t="str">
        <f>IFERROR(__xludf.DUMMYFUNCTION("IFERROR((FILTER(Data!K:K,Data!D:D=A216,Data!B:B=$B$1)),"""")"),"")</f>
        <v/>
      </c>
      <c r="G216" s="134" t="str">
        <f>IFERROR(__xludf.DUMMYFUNCTION("IFERROR((FILTER(Data!M:M,Data!D:D=A216,Data!B:B=$B$1)),"""")"),"")</f>
        <v/>
      </c>
      <c r="H216" s="134" t="str">
        <f>IFERROR(__xludf.DUMMYFUNCTION("IFERROR((FILTER(Data!G:G,Data!D:D=A216,Data!B:B=$B$1)*4)+(FILTER(Data!H:H,Data!D:D=A216,Data!B:B=$B$1)*2),"""")"),"")</f>
        <v/>
      </c>
      <c r="I216" s="15" t="str">
        <f>IFERROR(__xludf.DUMMYFUNCTION("IFERROR((FILTER(Data!K:K,Data!D:D=A216,Data!B:B=$B$1)*2)+(FILTER(Data!L:L,Data!D:D=A216,Data!B:B=$B$1)),"""")"),"")</f>
        <v/>
      </c>
      <c r="J216" s="134" t="str">
        <f>IFERROR(__xludf.DUMMYFUNCTION("IFERROR((FILTER(Data!N:N,Data!D:D=A216,Data!B:B=$B$1)),"""")"),"")</f>
        <v/>
      </c>
      <c r="K216" s="135" t="str">
        <f>IFERROR(__xludf.DUMMYFUNCTION("IFERROR((FILTER(Data!H:H,Data!D:D=A216,Data!B:B=$B$1)*2)+(FILTER(Data!L:L,Data!D:D=A216,Data!B:B=$B$1))+(FILTER(Data!G:G,Data!D:D=A216,Data!B:B=$B$1)*4)+(FILTER(Data!K:K,Data!D:D=A216,Data!B:B=$B$1)*2)+(((COUNTIF(FILTER(Data!N:N,Data!D:D=A216,Data!B:B=$B$"&amp;"1),""TRAVERSE"")*15)+(COUNTIF(FILTER(Data!N:N,Data!D:D=A216,Data!B:B=$B$1),""HIGH"")*10)+(COUNTIF(FILTER(Data!N:N,Data!D:D=A216,Data!B:B=$B$1),""MIDDLE"")*6)+(COUNTIF(FILTER(Data!N:N,Data!D:D=A216,Data!B:B=$B$1),""LOW"")*4))),"""")"),"")</f>
        <v/>
      </c>
      <c r="L216" s="136" t="str">
        <f>IFERROR(__xludf.DUMMYFUNCTION("IFERROR((FILTER(Data!P:P,Data!D:D=A216,Data!B:B=$B$1)),"""")"),"")</f>
        <v/>
      </c>
      <c r="M216" s="137" t="str">
        <f>IFERROR(__xludf.DUMMYFUNCTION("IFERROR((FILTER(Data!A:A,Data!D:D=A216,Data!B:B=$B$1)),"""")"),"")</f>
        <v/>
      </c>
      <c r="T216" s="52">
        <f>IFERROR(__xludf.DUMMYFUNCTION("((COUNTIF(FILTER(Data!N:N,Data!D:D=A216,Data!B:B=$B$1),""TRAVERSE"")*15)+(COUNTIF(FILTER(Data!N:N,Data!D:D=A216,Data!B:B=B$1),""HIGH"")*10)+(COUNTIF(FILTER(Data!N:N,Data!D:D=A216,Data!B:B=$B$1),""MIDDLE"")*6)+(COUNTIF(FILTER(Data!N:N,Data!D:D=A216,Data!B:"&amp;"B=$B$1),""LOW"")*4))"),0.0)</f>
        <v>0</v>
      </c>
      <c r="V216" s="138" t="str">
        <f>IF(Data!B208='Team Parser'!$B$1, Data!D208,"")</f>
        <v/>
      </c>
      <c r="W216" s="134" t="str">
        <f>IF(Data!$B208='Team Parser'!$B$1, Data!H208,"")</f>
        <v/>
      </c>
      <c r="X216" s="134" t="str">
        <f>IF(Data!$B208='Team Parser'!$B$1, Data!G208,"")</f>
        <v/>
      </c>
      <c r="Y216" s="134" t="str">
        <f>IF(Data!$B208='Team Parser'!$B$1, Data!L208,"")</f>
        <v/>
      </c>
      <c r="Z216" s="134" t="str">
        <f>IF(Data!$B208='Team Parser'!$B$1, Data!K208,"")</f>
        <v/>
      </c>
      <c r="AA216" s="134" t="str">
        <f>IF(Data!$B208='Team Parser'!$B$1, Data!M208,"")</f>
        <v/>
      </c>
      <c r="AB216" s="134" t="str">
        <f>IF(Data!$B208='Team Parser'!$B$1,((Z216*2)+(Y216)+(X216*4)+(W216*2)),"")</f>
        <v/>
      </c>
      <c r="AC216" s="134" t="str">
        <f>IF(Data!$B208='Team Parser'!$B$1, Data!N208,"")</f>
        <v/>
      </c>
      <c r="AD216" s="139" t="str">
        <f>IF(Data!$B208='Team Parser'!$B$1,(AB216+(COUNTIF(AC216,"TRAVERSE")*15)+(COUNTIF(AC216,"HIGH")*10)+(COUNTIF(AC216,"MIDDLE")*6)+(COUNTIF(AC216,"LOW")*4)),"")</f>
        <v/>
      </c>
    </row>
    <row r="217">
      <c r="A217" s="141" t="s">
        <v>507</v>
      </c>
      <c r="B217" s="134" t="str">
        <f>IFERROR(__xludf.DUMMYFUNCTION("IFERROR((FILTER(Data!H:H,Data!D:D=A217,Data!B:B=$B$1)),"""")"),"")</f>
        <v/>
      </c>
      <c r="C217" s="134" t="str">
        <f>IFERROR(__xludf.DUMMYFUNCTION("IFERROR((FILTER(Data!G:G,Data!D:D=A217,Data!B:B=$B$1)),"""")"),"")</f>
        <v/>
      </c>
      <c r="D217" s="134" t="str">
        <f>IFERROR(__xludf.DUMMYFUNCTION("IFERROR((FILTER(Data!J:J,Data!D:D=A217,Data!B:B=$B$1)),"""")"),"")</f>
        <v/>
      </c>
      <c r="E217" s="134" t="str">
        <f>IFERROR(__xludf.DUMMYFUNCTION("IFERROR((FILTER(Data!L:L,Data!D:D=A217,Data!B:B=$B$1)),"""")"),"")</f>
        <v/>
      </c>
      <c r="F217" s="134" t="str">
        <f>IFERROR(__xludf.DUMMYFUNCTION("IFERROR((FILTER(Data!K:K,Data!D:D=A217,Data!B:B=$B$1)),"""")"),"")</f>
        <v/>
      </c>
      <c r="G217" s="134" t="str">
        <f>IFERROR(__xludf.DUMMYFUNCTION("IFERROR((FILTER(Data!M:M,Data!D:D=A217,Data!B:B=$B$1)),"""")"),"")</f>
        <v/>
      </c>
      <c r="H217" s="134" t="str">
        <f>IFERROR(__xludf.DUMMYFUNCTION("IFERROR((FILTER(Data!G:G,Data!D:D=A217,Data!B:B=$B$1)*4)+(FILTER(Data!H:H,Data!D:D=A217,Data!B:B=$B$1)*2),"""")"),"")</f>
        <v/>
      </c>
      <c r="I217" s="15" t="str">
        <f>IFERROR(__xludf.DUMMYFUNCTION("IFERROR((FILTER(Data!K:K,Data!D:D=A217,Data!B:B=$B$1)*2)+(FILTER(Data!L:L,Data!D:D=A217,Data!B:B=$B$1)),"""")"),"")</f>
        <v/>
      </c>
      <c r="J217" s="134" t="str">
        <f>IFERROR(__xludf.DUMMYFUNCTION("IFERROR((FILTER(Data!N:N,Data!D:D=A217,Data!B:B=$B$1)),"""")"),"")</f>
        <v/>
      </c>
      <c r="K217" s="135" t="str">
        <f>IFERROR(__xludf.DUMMYFUNCTION("IFERROR((FILTER(Data!H:H,Data!D:D=A217,Data!B:B=$B$1)*2)+(FILTER(Data!L:L,Data!D:D=A217,Data!B:B=$B$1))+(FILTER(Data!G:G,Data!D:D=A217,Data!B:B=$B$1)*4)+(FILTER(Data!K:K,Data!D:D=A217,Data!B:B=$B$1)*2)+(((COUNTIF(FILTER(Data!N:N,Data!D:D=A217,Data!B:B=$B$"&amp;"1),""TRAVERSE"")*15)+(COUNTIF(FILTER(Data!N:N,Data!D:D=A217,Data!B:B=$B$1),""HIGH"")*10)+(COUNTIF(FILTER(Data!N:N,Data!D:D=A217,Data!B:B=$B$1),""MIDDLE"")*6)+(COUNTIF(FILTER(Data!N:N,Data!D:D=A217,Data!B:B=$B$1),""LOW"")*4))),"""")"),"")</f>
        <v/>
      </c>
      <c r="L217" s="136" t="str">
        <f>IFERROR(__xludf.DUMMYFUNCTION("IFERROR((FILTER(Data!P:P,Data!D:D=A217,Data!B:B=$B$1)),"""")"),"")</f>
        <v/>
      </c>
      <c r="M217" s="137" t="str">
        <f>IFERROR(__xludf.DUMMYFUNCTION("IFERROR((FILTER(Data!A:A,Data!D:D=A217,Data!B:B=$B$1)),"""")"),"")</f>
        <v/>
      </c>
      <c r="T217" s="52">
        <f>IFERROR(__xludf.DUMMYFUNCTION("((COUNTIF(FILTER(Data!N:N,Data!D:D=A217,Data!B:B=$B$1),""TRAVERSE"")*15)+(COUNTIF(FILTER(Data!N:N,Data!D:D=A217,Data!B:B=B$1),""HIGH"")*10)+(COUNTIF(FILTER(Data!N:N,Data!D:D=A217,Data!B:B=$B$1),""MIDDLE"")*6)+(COUNTIF(FILTER(Data!N:N,Data!D:D=A217,Data!B:"&amp;"B=$B$1),""LOW"")*4))"),0.0)</f>
        <v>0</v>
      </c>
      <c r="V217" s="138" t="str">
        <f>IF(Data!B209='Team Parser'!$B$1, Data!D209,"")</f>
        <v/>
      </c>
      <c r="W217" s="134" t="str">
        <f>IF(Data!$B209='Team Parser'!$B$1, Data!H209,"")</f>
        <v/>
      </c>
      <c r="X217" s="134" t="str">
        <f>IF(Data!$B209='Team Parser'!$B$1, Data!G209,"")</f>
        <v/>
      </c>
      <c r="Y217" s="134" t="str">
        <f>IF(Data!$B209='Team Parser'!$B$1, Data!L209,"")</f>
        <v/>
      </c>
      <c r="Z217" s="134" t="str">
        <f>IF(Data!$B209='Team Parser'!$B$1, Data!K209,"")</f>
        <v/>
      </c>
      <c r="AA217" s="134" t="str">
        <f>IF(Data!$B209='Team Parser'!$B$1, Data!M209,"")</f>
        <v/>
      </c>
      <c r="AB217" s="134" t="str">
        <f>IF(Data!$B209='Team Parser'!$B$1,((Z217*2)+(Y217)+(X217*4)+(W217*2)),"")</f>
        <v/>
      </c>
      <c r="AC217" s="134" t="str">
        <f>IF(Data!$B209='Team Parser'!$B$1, Data!N209,"")</f>
        <v/>
      </c>
      <c r="AD217" s="139" t="str">
        <f>IF(Data!$B209='Team Parser'!$B$1,(AB217+(COUNTIF(AC217,"TRAVERSE")*15)+(COUNTIF(AC217,"HIGH")*10)+(COUNTIF(AC217,"MIDDLE")*6)+(COUNTIF(AC217,"LOW")*4)),"")</f>
        <v/>
      </c>
    </row>
    <row r="218">
      <c r="A218" s="141" t="s">
        <v>507</v>
      </c>
      <c r="B218" s="134" t="str">
        <f>IFERROR(__xludf.DUMMYFUNCTION("IFERROR((FILTER(Data!H:H,Data!D:D=A218,Data!B:B=$B$1)),"""")"),"")</f>
        <v/>
      </c>
      <c r="C218" s="134" t="str">
        <f>IFERROR(__xludf.DUMMYFUNCTION("IFERROR((FILTER(Data!G:G,Data!D:D=A218,Data!B:B=$B$1)),"""")"),"")</f>
        <v/>
      </c>
      <c r="D218" s="134" t="str">
        <f>IFERROR(__xludf.DUMMYFUNCTION("IFERROR((FILTER(Data!J:J,Data!D:D=A218,Data!B:B=$B$1)),"""")"),"")</f>
        <v/>
      </c>
      <c r="E218" s="134" t="str">
        <f>IFERROR(__xludf.DUMMYFUNCTION("IFERROR((FILTER(Data!L:L,Data!D:D=A218,Data!B:B=$B$1)),"""")"),"")</f>
        <v/>
      </c>
      <c r="F218" s="134" t="str">
        <f>IFERROR(__xludf.DUMMYFUNCTION("IFERROR((FILTER(Data!K:K,Data!D:D=A218,Data!B:B=$B$1)),"""")"),"")</f>
        <v/>
      </c>
      <c r="G218" s="134" t="str">
        <f>IFERROR(__xludf.DUMMYFUNCTION("IFERROR((FILTER(Data!M:M,Data!D:D=A218,Data!B:B=$B$1)),"""")"),"")</f>
        <v/>
      </c>
      <c r="H218" s="134" t="str">
        <f>IFERROR(__xludf.DUMMYFUNCTION("IFERROR((FILTER(Data!G:G,Data!D:D=A218,Data!B:B=$B$1)*4)+(FILTER(Data!H:H,Data!D:D=A218,Data!B:B=$B$1)*2),"""")"),"")</f>
        <v/>
      </c>
      <c r="I218" s="15" t="str">
        <f>IFERROR(__xludf.DUMMYFUNCTION("IFERROR((FILTER(Data!K:K,Data!D:D=A218,Data!B:B=$B$1)*2)+(FILTER(Data!L:L,Data!D:D=A218,Data!B:B=$B$1)),"""")"),"")</f>
        <v/>
      </c>
      <c r="J218" s="134" t="str">
        <f>IFERROR(__xludf.DUMMYFUNCTION("IFERROR((FILTER(Data!N:N,Data!D:D=A218,Data!B:B=$B$1)),"""")"),"")</f>
        <v/>
      </c>
      <c r="K218" s="135" t="str">
        <f>IFERROR(__xludf.DUMMYFUNCTION("IFERROR((FILTER(Data!H:H,Data!D:D=A218,Data!B:B=$B$1)*2)+(FILTER(Data!L:L,Data!D:D=A218,Data!B:B=$B$1))+(FILTER(Data!G:G,Data!D:D=A218,Data!B:B=$B$1)*4)+(FILTER(Data!K:K,Data!D:D=A218,Data!B:B=$B$1)*2)+(((COUNTIF(FILTER(Data!N:N,Data!D:D=A218,Data!B:B=$B$"&amp;"1),""TRAVERSE"")*15)+(COUNTIF(FILTER(Data!N:N,Data!D:D=A218,Data!B:B=$B$1),""HIGH"")*10)+(COUNTIF(FILTER(Data!N:N,Data!D:D=A218,Data!B:B=$B$1),""MIDDLE"")*6)+(COUNTIF(FILTER(Data!N:N,Data!D:D=A218,Data!B:B=$B$1),""LOW"")*4))),"""")"),"")</f>
        <v/>
      </c>
      <c r="L218" s="136" t="str">
        <f>IFERROR(__xludf.DUMMYFUNCTION("IFERROR((FILTER(Data!P:P,Data!D:D=A218,Data!B:B=$B$1)),"""")"),"")</f>
        <v/>
      </c>
      <c r="M218" s="137" t="str">
        <f>IFERROR(__xludf.DUMMYFUNCTION("IFERROR((FILTER(Data!A:A,Data!D:D=A218,Data!B:B=$B$1)),"""")"),"")</f>
        <v/>
      </c>
      <c r="T218" s="52">
        <f>IFERROR(__xludf.DUMMYFUNCTION("((COUNTIF(FILTER(Data!N:N,Data!D:D=A218,Data!B:B=$B$1),""TRAVERSE"")*15)+(COUNTIF(FILTER(Data!N:N,Data!D:D=A218,Data!B:B=B$1),""HIGH"")*10)+(COUNTIF(FILTER(Data!N:N,Data!D:D=A218,Data!B:B=$B$1),""MIDDLE"")*6)+(COUNTIF(FILTER(Data!N:N,Data!D:D=A218,Data!B:"&amp;"B=$B$1),""LOW"")*4))"),0.0)</f>
        <v>0</v>
      </c>
      <c r="V218" s="138" t="str">
        <f>IF(Data!B210='Team Parser'!$B$1, Data!D210,"")</f>
        <v/>
      </c>
      <c r="W218" s="134" t="str">
        <f>IF(Data!$B210='Team Parser'!$B$1, Data!H210,"")</f>
        <v/>
      </c>
      <c r="X218" s="134" t="str">
        <f>IF(Data!$B210='Team Parser'!$B$1, Data!G210,"")</f>
        <v/>
      </c>
      <c r="Y218" s="134" t="str">
        <f>IF(Data!$B210='Team Parser'!$B$1, Data!L210,"")</f>
        <v/>
      </c>
      <c r="Z218" s="134" t="str">
        <f>IF(Data!$B210='Team Parser'!$B$1, Data!K210,"")</f>
        <v/>
      </c>
      <c r="AA218" s="134" t="str">
        <f>IF(Data!$B210='Team Parser'!$B$1, Data!M210,"")</f>
        <v/>
      </c>
      <c r="AB218" s="134" t="str">
        <f>IF(Data!$B210='Team Parser'!$B$1,((Z218*2)+(Y218)+(X218*4)+(W218*2)),"")</f>
        <v/>
      </c>
      <c r="AC218" s="134" t="str">
        <f>IF(Data!$B210='Team Parser'!$B$1, Data!N210,"")</f>
        <v/>
      </c>
      <c r="AD218" s="139" t="str">
        <f>IF(Data!$B210='Team Parser'!$B$1,(AB218+(COUNTIF(AC218,"TRAVERSE")*15)+(COUNTIF(AC218,"HIGH")*10)+(COUNTIF(AC218,"MIDDLE")*6)+(COUNTIF(AC218,"LOW")*4)),"")</f>
        <v/>
      </c>
    </row>
    <row r="219">
      <c r="A219" s="141" t="s">
        <v>507</v>
      </c>
      <c r="B219" s="134" t="str">
        <f>IFERROR(__xludf.DUMMYFUNCTION("IFERROR((FILTER(Data!H:H,Data!D:D=A219,Data!B:B=$B$1)),"""")"),"")</f>
        <v/>
      </c>
      <c r="C219" s="134" t="str">
        <f>IFERROR(__xludf.DUMMYFUNCTION("IFERROR((FILTER(Data!G:G,Data!D:D=A219,Data!B:B=$B$1)),"""")"),"")</f>
        <v/>
      </c>
      <c r="D219" s="134" t="str">
        <f>IFERROR(__xludf.DUMMYFUNCTION("IFERROR((FILTER(Data!J:J,Data!D:D=A219,Data!B:B=$B$1)),"""")"),"")</f>
        <v/>
      </c>
      <c r="E219" s="134" t="str">
        <f>IFERROR(__xludf.DUMMYFUNCTION("IFERROR((FILTER(Data!L:L,Data!D:D=A219,Data!B:B=$B$1)),"""")"),"")</f>
        <v/>
      </c>
      <c r="F219" s="134" t="str">
        <f>IFERROR(__xludf.DUMMYFUNCTION("IFERROR((FILTER(Data!K:K,Data!D:D=A219,Data!B:B=$B$1)),"""")"),"")</f>
        <v/>
      </c>
      <c r="G219" s="134" t="str">
        <f>IFERROR(__xludf.DUMMYFUNCTION("IFERROR((FILTER(Data!M:M,Data!D:D=A219,Data!B:B=$B$1)),"""")"),"")</f>
        <v/>
      </c>
      <c r="H219" s="134" t="str">
        <f>IFERROR(__xludf.DUMMYFUNCTION("IFERROR((FILTER(Data!G:G,Data!D:D=A219,Data!B:B=$B$1)*4)+(FILTER(Data!H:H,Data!D:D=A219,Data!B:B=$B$1)*2),"""")"),"")</f>
        <v/>
      </c>
      <c r="I219" s="15" t="str">
        <f>IFERROR(__xludf.DUMMYFUNCTION("IFERROR((FILTER(Data!K:K,Data!D:D=A219,Data!B:B=$B$1)*2)+(FILTER(Data!L:L,Data!D:D=A219,Data!B:B=$B$1)),"""")"),"")</f>
        <v/>
      </c>
      <c r="J219" s="134" t="str">
        <f>IFERROR(__xludf.DUMMYFUNCTION("IFERROR((FILTER(Data!N:N,Data!D:D=A219,Data!B:B=$B$1)),"""")"),"")</f>
        <v/>
      </c>
      <c r="K219" s="135" t="str">
        <f>IFERROR(__xludf.DUMMYFUNCTION("IFERROR((FILTER(Data!H:H,Data!D:D=A219,Data!B:B=$B$1)*2)+(FILTER(Data!L:L,Data!D:D=A219,Data!B:B=$B$1))+(FILTER(Data!G:G,Data!D:D=A219,Data!B:B=$B$1)*4)+(FILTER(Data!K:K,Data!D:D=A219,Data!B:B=$B$1)*2)+(((COUNTIF(FILTER(Data!N:N,Data!D:D=A219,Data!B:B=$B$"&amp;"1),""TRAVERSE"")*15)+(COUNTIF(FILTER(Data!N:N,Data!D:D=A219,Data!B:B=$B$1),""HIGH"")*10)+(COUNTIF(FILTER(Data!N:N,Data!D:D=A219,Data!B:B=$B$1),""MIDDLE"")*6)+(COUNTIF(FILTER(Data!N:N,Data!D:D=A219,Data!B:B=$B$1),""LOW"")*4))),"""")"),"")</f>
        <v/>
      </c>
      <c r="L219" s="136" t="str">
        <f>IFERROR(__xludf.DUMMYFUNCTION("IFERROR((FILTER(Data!P:P,Data!D:D=A219,Data!B:B=$B$1)),"""")"),"")</f>
        <v/>
      </c>
      <c r="M219" s="137" t="str">
        <f>IFERROR(__xludf.DUMMYFUNCTION("IFERROR((FILTER(Data!A:A,Data!D:D=A219,Data!B:B=$B$1)),"""")"),"")</f>
        <v/>
      </c>
      <c r="T219" s="52">
        <f>IFERROR(__xludf.DUMMYFUNCTION("((COUNTIF(FILTER(Data!N:N,Data!D:D=A219,Data!B:B=$B$1),""TRAVERSE"")*15)+(COUNTIF(FILTER(Data!N:N,Data!D:D=A219,Data!B:B=B$1),""HIGH"")*10)+(COUNTIF(FILTER(Data!N:N,Data!D:D=A219,Data!B:B=$B$1),""MIDDLE"")*6)+(COUNTIF(FILTER(Data!N:N,Data!D:D=A219,Data!B:"&amp;"B=$B$1),""LOW"")*4))"),0.0)</f>
        <v>0</v>
      </c>
      <c r="V219" s="138" t="str">
        <f>IF(Data!B211='Team Parser'!$B$1, Data!D211,"")</f>
        <v/>
      </c>
      <c r="W219" s="134" t="str">
        <f>IF(Data!$B211='Team Parser'!$B$1, Data!H211,"")</f>
        <v/>
      </c>
      <c r="X219" s="134" t="str">
        <f>IF(Data!$B211='Team Parser'!$B$1, Data!G211,"")</f>
        <v/>
      </c>
      <c r="Y219" s="134" t="str">
        <f>IF(Data!$B211='Team Parser'!$B$1, Data!L211,"")</f>
        <v/>
      </c>
      <c r="Z219" s="134" t="str">
        <f>IF(Data!$B211='Team Parser'!$B$1, Data!K211,"")</f>
        <v/>
      </c>
      <c r="AA219" s="134" t="str">
        <f>IF(Data!$B211='Team Parser'!$B$1, Data!M211,"")</f>
        <v/>
      </c>
      <c r="AB219" s="134" t="str">
        <f>IF(Data!$B211='Team Parser'!$B$1,((Z219*2)+(Y219)+(X219*4)+(W219*2)),"")</f>
        <v/>
      </c>
      <c r="AC219" s="134" t="str">
        <f>IF(Data!$B211='Team Parser'!$B$1, Data!N211,"")</f>
        <v/>
      </c>
      <c r="AD219" s="139" t="str">
        <f>IF(Data!$B211='Team Parser'!$B$1,(AB219+(COUNTIF(AC219,"TRAVERSE")*15)+(COUNTIF(AC219,"HIGH")*10)+(COUNTIF(AC219,"MIDDLE")*6)+(COUNTIF(AC219,"LOW")*4)),"")</f>
        <v/>
      </c>
    </row>
    <row r="220">
      <c r="A220" s="141" t="s">
        <v>507</v>
      </c>
      <c r="B220" s="134" t="str">
        <f>IFERROR(__xludf.DUMMYFUNCTION("IFERROR((FILTER(Data!H:H,Data!D:D=A220,Data!B:B=$B$1)),"""")"),"")</f>
        <v/>
      </c>
      <c r="C220" s="134" t="str">
        <f>IFERROR(__xludf.DUMMYFUNCTION("IFERROR((FILTER(Data!G:G,Data!D:D=A220,Data!B:B=$B$1)),"""")"),"")</f>
        <v/>
      </c>
      <c r="D220" s="134" t="str">
        <f>IFERROR(__xludf.DUMMYFUNCTION("IFERROR((FILTER(Data!J:J,Data!D:D=A220,Data!B:B=$B$1)),"""")"),"")</f>
        <v/>
      </c>
      <c r="E220" s="134" t="str">
        <f>IFERROR(__xludf.DUMMYFUNCTION("IFERROR((FILTER(Data!L:L,Data!D:D=A220,Data!B:B=$B$1)),"""")"),"")</f>
        <v/>
      </c>
      <c r="F220" s="134" t="str">
        <f>IFERROR(__xludf.DUMMYFUNCTION("IFERROR((FILTER(Data!K:K,Data!D:D=A220,Data!B:B=$B$1)),"""")"),"")</f>
        <v/>
      </c>
      <c r="G220" s="134" t="str">
        <f>IFERROR(__xludf.DUMMYFUNCTION("IFERROR((FILTER(Data!M:M,Data!D:D=A220,Data!B:B=$B$1)),"""")"),"")</f>
        <v/>
      </c>
      <c r="H220" s="134" t="str">
        <f>IFERROR(__xludf.DUMMYFUNCTION("IFERROR((FILTER(Data!G:G,Data!D:D=A220,Data!B:B=$B$1)*4)+(FILTER(Data!H:H,Data!D:D=A220,Data!B:B=$B$1)*2),"""")"),"")</f>
        <v/>
      </c>
      <c r="I220" s="15" t="str">
        <f>IFERROR(__xludf.DUMMYFUNCTION("IFERROR((FILTER(Data!K:K,Data!D:D=A220,Data!B:B=$B$1)*2)+(FILTER(Data!L:L,Data!D:D=A220,Data!B:B=$B$1)),"""")"),"")</f>
        <v/>
      </c>
      <c r="J220" s="134" t="str">
        <f>IFERROR(__xludf.DUMMYFUNCTION("IFERROR((FILTER(Data!N:N,Data!D:D=A220,Data!B:B=$B$1)),"""")"),"")</f>
        <v/>
      </c>
      <c r="K220" s="135" t="str">
        <f>IFERROR(__xludf.DUMMYFUNCTION("IFERROR((FILTER(Data!H:H,Data!D:D=A220,Data!B:B=$B$1)*2)+(FILTER(Data!L:L,Data!D:D=A220,Data!B:B=$B$1))+(FILTER(Data!G:G,Data!D:D=A220,Data!B:B=$B$1)*4)+(FILTER(Data!K:K,Data!D:D=A220,Data!B:B=$B$1)*2)+(((COUNTIF(FILTER(Data!N:N,Data!D:D=A220,Data!B:B=$B$"&amp;"1),""TRAVERSE"")*15)+(COUNTIF(FILTER(Data!N:N,Data!D:D=A220,Data!B:B=$B$1),""HIGH"")*10)+(COUNTIF(FILTER(Data!N:N,Data!D:D=A220,Data!B:B=$B$1),""MIDDLE"")*6)+(COUNTIF(FILTER(Data!N:N,Data!D:D=A220,Data!B:B=$B$1),""LOW"")*4))),"""")"),"")</f>
        <v/>
      </c>
      <c r="L220" s="136" t="str">
        <f>IFERROR(__xludf.DUMMYFUNCTION("IFERROR((FILTER(Data!P:P,Data!D:D=A220,Data!B:B=$B$1)),"""")"),"")</f>
        <v/>
      </c>
      <c r="M220" s="137" t="str">
        <f>IFERROR(__xludf.DUMMYFUNCTION("IFERROR((FILTER(Data!A:A,Data!D:D=A220,Data!B:B=$B$1)),"""")"),"")</f>
        <v/>
      </c>
      <c r="T220" s="52">
        <f>IFERROR(__xludf.DUMMYFUNCTION("((COUNTIF(FILTER(Data!N:N,Data!D:D=A220,Data!B:B=$B$1),""TRAVERSE"")*15)+(COUNTIF(FILTER(Data!N:N,Data!D:D=A220,Data!B:B=B$1),""HIGH"")*10)+(COUNTIF(FILTER(Data!N:N,Data!D:D=A220,Data!B:B=$B$1),""MIDDLE"")*6)+(COUNTIF(FILTER(Data!N:N,Data!D:D=A220,Data!B:"&amp;"B=$B$1),""LOW"")*4))"),0.0)</f>
        <v>0</v>
      </c>
      <c r="V220" s="138" t="str">
        <f>IF(Data!B212='Team Parser'!$B$1, Data!D212,"")</f>
        <v/>
      </c>
      <c r="W220" s="134" t="str">
        <f>IF(Data!$B212='Team Parser'!$B$1, Data!H212,"")</f>
        <v/>
      </c>
      <c r="X220" s="134" t="str">
        <f>IF(Data!$B212='Team Parser'!$B$1, Data!G212,"")</f>
        <v/>
      </c>
      <c r="Y220" s="134" t="str">
        <f>IF(Data!$B212='Team Parser'!$B$1, Data!L212,"")</f>
        <v/>
      </c>
      <c r="Z220" s="134" t="str">
        <f>IF(Data!$B212='Team Parser'!$B$1, Data!K212,"")</f>
        <v/>
      </c>
      <c r="AA220" s="134" t="str">
        <f>IF(Data!$B212='Team Parser'!$B$1, Data!M212,"")</f>
        <v/>
      </c>
      <c r="AB220" s="134" t="str">
        <f>IF(Data!$B212='Team Parser'!$B$1,((Z220*2)+(Y220)+(X220*4)+(W220*2)),"")</f>
        <v/>
      </c>
      <c r="AC220" s="134" t="str">
        <f>IF(Data!$B212='Team Parser'!$B$1, Data!N212,"")</f>
        <v/>
      </c>
      <c r="AD220" s="139" t="str">
        <f>IF(Data!$B212='Team Parser'!$B$1,(AB220+(COUNTIF(AC220,"TRAVERSE")*15)+(COUNTIF(AC220,"HIGH")*10)+(COUNTIF(AC220,"MIDDLE")*6)+(COUNTIF(AC220,"LOW")*4)),"")</f>
        <v/>
      </c>
    </row>
    <row r="221">
      <c r="A221" s="141" t="s">
        <v>507</v>
      </c>
      <c r="B221" s="134" t="str">
        <f>IFERROR(__xludf.DUMMYFUNCTION("IFERROR((FILTER(Data!H:H,Data!D:D=A221,Data!B:B=$B$1)),"""")"),"")</f>
        <v/>
      </c>
      <c r="C221" s="134" t="str">
        <f>IFERROR(__xludf.DUMMYFUNCTION("IFERROR((FILTER(Data!G:G,Data!D:D=A221,Data!B:B=$B$1)),"""")"),"")</f>
        <v/>
      </c>
      <c r="D221" s="134" t="str">
        <f>IFERROR(__xludf.DUMMYFUNCTION("IFERROR((FILTER(Data!J:J,Data!D:D=A221,Data!B:B=$B$1)),"""")"),"")</f>
        <v/>
      </c>
      <c r="E221" s="134" t="str">
        <f>IFERROR(__xludf.DUMMYFUNCTION("IFERROR((FILTER(Data!L:L,Data!D:D=A221,Data!B:B=$B$1)),"""")"),"")</f>
        <v/>
      </c>
      <c r="F221" s="134" t="str">
        <f>IFERROR(__xludf.DUMMYFUNCTION("IFERROR((FILTER(Data!K:K,Data!D:D=A221,Data!B:B=$B$1)),"""")"),"")</f>
        <v/>
      </c>
      <c r="G221" s="134" t="str">
        <f>IFERROR(__xludf.DUMMYFUNCTION("IFERROR((FILTER(Data!M:M,Data!D:D=A221,Data!B:B=$B$1)),"""")"),"")</f>
        <v/>
      </c>
      <c r="H221" s="134" t="str">
        <f>IFERROR(__xludf.DUMMYFUNCTION("IFERROR((FILTER(Data!G:G,Data!D:D=A221,Data!B:B=$B$1)*4)+(FILTER(Data!H:H,Data!D:D=A221,Data!B:B=$B$1)*2),"""")"),"")</f>
        <v/>
      </c>
      <c r="I221" s="15" t="str">
        <f>IFERROR(__xludf.DUMMYFUNCTION("IFERROR((FILTER(Data!K:K,Data!D:D=A221,Data!B:B=$B$1)*2)+(FILTER(Data!L:L,Data!D:D=A221,Data!B:B=$B$1)),"""")"),"")</f>
        <v/>
      </c>
      <c r="J221" s="134" t="str">
        <f>IFERROR(__xludf.DUMMYFUNCTION("IFERROR((FILTER(Data!N:N,Data!D:D=A221,Data!B:B=$B$1)),"""")"),"")</f>
        <v/>
      </c>
      <c r="K221" s="135" t="str">
        <f>IFERROR(__xludf.DUMMYFUNCTION("IFERROR((FILTER(Data!H:H,Data!D:D=A221,Data!B:B=$B$1)*2)+(FILTER(Data!L:L,Data!D:D=A221,Data!B:B=$B$1))+(FILTER(Data!G:G,Data!D:D=A221,Data!B:B=$B$1)*4)+(FILTER(Data!K:K,Data!D:D=A221,Data!B:B=$B$1)*2)+(((COUNTIF(FILTER(Data!N:N,Data!D:D=A221,Data!B:B=$B$"&amp;"1),""TRAVERSE"")*15)+(COUNTIF(FILTER(Data!N:N,Data!D:D=A221,Data!B:B=$B$1),""HIGH"")*10)+(COUNTIF(FILTER(Data!N:N,Data!D:D=A221,Data!B:B=$B$1),""MIDDLE"")*6)+(COUNTIF(FILTER(Data!N:N,Data!D:D=A221,Data!B:B=$B$1),""LOW"")*4))),"""")"),"")</f>
        <v/>
      </c>
      <c r="L221" s="136" t="str">
        <f>IFERROR(__xludf.DUMMYFUNCTION("IFERROR((FILTER(Data!P:P,Data!D:D=A221,Data!B:B=$B$1)),"""")"),"")</f>
        <v/>
      </c>
      <c r="M221" s="137" t="str">
        <f>IFERROR(__xludf.DUMMYFUNCTION("IFERROR((FILTER(Data!A:A,Data!D:D=A221,Data!B:B=$B$1)),"""")"),"")</f>
        <v/>
      </c>
      <c r="T221" s="52">
        <f>IFERROR(__xludf.DUMMYFUNCTION("((COUNTIF(FILTER(Data!N:N,Data!D:D=A221,Data!B:B=$B$1),""TRAVERSE"")*15)+(COUNTIF(FILTER(Data!N:N,Data!D:D=A221,Data!B:B=B$1),""HIGH"")*10)+(COUNTIF(FILTER(Data!N:N,Data!D:D=A221,Data!B:B=$B$1),""MIDDLE"")*6)+(COUNTIF(FILTER(Data!N:N,Data!D:D=A221,Data!B:"&amp;"B=$B$1),""LOW"")*4))"),0.0)</f>
        <v>0</v>
      </c>
      <c r="V221" s="138" t="str">
        <f>IF(Data!B213='Team Parser'!$B$1, Data!D213,"")</f>
        <v/>
      </c>
      <c r="W221" s="134" t="str">
        <f>IF(Data!$B213='Team Parser'!$B$1, Data!H213,"")</f>
        <v/>
      </c>
      <c r="X221" s="134" t="str">
        <f>IF(Data!$B213='Team Parser'!$B$1, Data!G213,"")</f>
        <v/>
      </c>
      <c r="Y221" s="134" t="str">
        <f>IF(Data!$B213='Team Parser'!$B$1, Data!L213,"")</f>
        <v/>
      </c>
      <c r="Z221" s="134" t="str">
        <f>IF(Data!$B213='Team Parser'!$B$1, Data!K213,"")</f>
        <v/>
      </c>
      <c r="AA221" s="134" t="str">
        <f>IF(Data!$B213='Team Parser'!$B$1, Data!M213,"")</f>
        <v/>
      </c>
      <c r="AB221" s="134" t="str">
        <f>IF(Data!$B213='Team Parser'!$B$1,((Z221*2)+(Y221)+(X221*4)+(W221*2)),"")</f>
        <v/>
      </c>
      <c r="AC221" s="134" t="str">
        <f>IF(Data!$B213='Team Parser'!$B$1, Data!N213,"")</f>
        <v/>
      </c>
      <c r="AD221" s="139" t="str">
        <f>IF(Data!$B213='Team Parser'!$B$1,(AB221+(COUNTIF(AC221,"TRAVERSE")*15)+(COUNTIF(AC221,"HIGH")*10)+(COUNTIF(AC221,"MIDDLE")*6)+(COUNTIF(AC221,"LOW")*4)),"")</f>
        <v/>
      </c>
    </row>
    <row r="222">
      <c r="A222" s="141" t="s">
        <v>507</v>
      </c>
      <c r="B222" s="134" t="str">
        <f>IFERROR(__xludf.DUMMYFUNCTION("IFERROR((FILTER(Data!H:H,Data!D:D=A222,Data!B:B=$B$1)),"""")"),"")</f>
        <v/>
      </c>
      <c r="C222" s="134" t="str">
        <f>IFERROR(__xludf.DUMMYFUNCTION("IFERROR((FILTER(Data!G:G,Data!D:D=A222,Data!B:B=$B$1)),"""")"),"")</f>
        <v/>
      </c>
      <c r="D222" s="134" t="str">
        <f>IFERROR(__xludf.DUMMYFUNCTION("IFERROR((FILTER(Data!J:J,Data!D:D=A222,Data!B:B=$B$1)),"""")"),"")</f>
        <v/>
      </c>
      <c r="E222" s="134" t="str">
        <f>IFERROR(__xludf.DUMMYFUNCTION("IFERROR((FILTER(Data!L:L,Data!D:D=A222,Data!B:B=$B$1)),"""")"),"")</f>
        <v/>
      </c>
      <c r="F222" s="134" t="str">
        <f>IFERROR(__xludf.DUMMYFUNCTION("IFERROR((FILTER(Data!K:K,Data!D:D=A222,Data!B:B=$B$1)),"""")"),"")</f>
        <v/>
      </c>
      <c r="G222" s="134" t="str">
        <f>IFERROR(__xludf.DUMMYFUNCTION("IFERROR((FILTER(Data!M:M,Data!D:D=A222,Data!B:B=$B$1)),"""")"),"")</f>
        <v/>
      </c>
      <c r="H222" s="134" t="str">
        <f>IFERROR(__xludf.DUMMYFUNCTION("IFERROR((FILTER(Data!G:G,Data!D:D=A222,Data!B:B=$B$1)*4)+(FILTER(Data!H:H,Data!D:D=A222,Data!B:B=$B$1)*2),"""")"),"")</f>
        <v/>
      </c>
      <c r="I222" s="15" t="str">
        <f>IFERROR(__xludf.DUMMYFUNCTION("IFERROR((FILTER(Data!K:K,Data!D:D=A222,Data!B:B=$B$1)*2)+(FILTER(Data!L:L,Data!D:D=A222,Data!B:B=$B$1)),"""")"),"")</f>
        <v/>
      </c>
      <c r="J222" s="134" t="str">
        <f>IFERROR(__xludf.DUMMYFUNCTION("IFERROR((FILTER(Data!N:N,Data!D:D=A222,Data!B:B=$B$1)),"""")"),"")</f>
        <v/>
      </c>
      <c r="K222" s="135" t="str">
        <f>IFERROR(__xludf.DUMMYFUNCTION("IFERROR((FILTER(Data!H:H,Data!D:D=A222,Data!B:B=$B$1)*2)+(FILTER(Data!L:L,Data!D:D=A222,Data!B:B=$B$1))+(FILTER(Data!G:G,Data!D:D=A222,Data!B:B=$B$1)*4)+(FILTER(Data!K:K,Data!D:D=A222,Data!B:B=$B$1)*2)+(((COUNTIF(FILTER(Data!N:N,Data!D:D=A222,Data!B:B=$B$"&amp;"1),""TRAVERSE"")*15)+(COUNTIF(FILTER(Data!N:N,Data!D:D=A222,Data!B:B=$B$1),""HIGH"")*10)+(COUNTIF(FILTER(Data!N:N,Data!D:D=A222,Data!B:B=$B$1),""MIDDLE"")*6)+(COUNTIF(FILTER(Data!N:N,Data!D:D=A222,Data!B:B=$B$1),""LOW"")*4))),"""")"),"")</f>
        <v/>
      </c>
      <c r="L222" s="136" t="str">
        <f>IFERROR(__xludf.DUMMYFUNCTION("IFERROR((FILTER(Data!P:P,Data!D:D=A222,Data!B:B=$B$1)),"""")"),"")</f>
        <v/>
      </c>
      <c r="M222" s="137" t="str">
        <f>IFERROR(__xludf.DUMMYFUNCTION("IFERROR((FILTER(Data!A:A,Data!D:D=A222,Data!B:B=$B$1)),"""")"),"")</f>
        <v/>
      </c>
      <c r="T222" s="52">
        <f>IFERROR(__xludf.DUMMYFUNCTION("((COUNTIF(FILTER(Data!N:N,Data!D:D=A222,Data!B:B=$B$1),""TRAVERSE"")*15)+(COUNTIF(FILTER(Data!N:N,Data!D:D=A222,Data!B:B=B$1),""HIGH"")*10)+(COUNTIF(FILTER(Data!N:N,Data!D:D=A222,Data!B:B=$B$1),""MIDDLE"")*6)+(COUNTIF(FILTER(Data!N:N,Data!D:D=A222,Data!B:"&amp;"B=$B$1),""LOW"")*4))"),0.0)</f>
        <v>0</v>
      </c>
      <c r="V222" s="138" t="str">
        <f>IF(Data!B214='Team Parser'!$B$1, Data!D214,"")</f>
        <v/>
      </c>
      <c r="W222" s="134" t="str">
        <f>IF(Data!$B214='Team Parser'!$B$1, Data!H214,"")</f>
        <v/>
      </c>
      <c r="X222" s="134" t="str">
        <f>IF(Data!$B214='Team Parser'!$B$1, Data!G214,"")</f>
        <v/>
      </c>
      <c r="Y222" s="134" t="str">
        <f>IF(Data!$B214='Team Parser'!$B$1, Data!L214,"")</f>
        <v/>
      </c>
      <c r="Z222" s="134" t="str">
        <f>IF(Data!$B214='Team Parser'!$B$1, Data!K214,"")</f>
        <v/>
      </c>
      <c r="AA222" s="134" t="str">
        <f>IF(Data!$B214='Team Parser'!$B$1, Data!M214,"")</f>
        <v/>
      </c>
      <c r="AB222" s="134" t="str">
        <f>IF(Data!$B214='Team Parser'!$B$1,((Z222*2)+(Y222)+(X222*4)+(W222*2)),"")</f>
        <v/>
      </c>
      <c r="AC222" s="134" t="str">
        <f>IF(Data!$B214='Team Parser'!$B$1, Data!N214,"")</f>
        <v/>
      </c>
      <c r="AD222" s="139" t="str">
        <f>IF(Data!$B214='Team Parser'!$B$1,(AB222+(COUNTIF(AC222,"TRAVERSE")*15)+(COUNTIF(AC222,"HIGH")*10)+(COUNTIF(AC222,"MIDDLE")*6)+(COUNTIF(AC222,"LOW")*4)),"")</f>
        <v/>
      </c>
    </row>
    <row r="223">
      <c r="A223" s="141" t="s">
        <v>507</v>
      </c>
      <c r="B223" s="134" t="str">
        <f>IFERROR(__xludf.DUMMYFUNCTION("IFERROR((FILTER(Data!H:H,Data!D:D=A223,Data!B:B=$B$1)),"""")"),"")</f>
        <v/>
      </c>
      <c r="C223" s="134" t="str">
        <f>IFERROR(__xludf.DUMMYFUNCTION("IFERROR((FILTER(Data!G:G,Data!D:D=A223,Data!B:B=$B$1)),"""")"),"")</f>
        <v/>
      </c>
      <c r="D223" s="134" t="str">
        <f>IFERROR(__xludf.DUMMYFUNCTION("IFERROR((FILTER(Data!J:J,Data!D:D=A223,Data!B:B=$B$1)),"""")"),"")</f>
        <v/>
      </c>
      <c r="E223" s="134" t="str">
        <f>IFERROR(__xludf.DUMMYFUNCTION("IFERROR((FILTER(Data!L:L,Data!D:D=A223,Data!B:B=$B$1)),"""")"),"")</f>
        <v/>
      </c>
      <c r="F223" s="134" t="str">
        <f>IFERROR(__xludf.DUMMYFUNCTION("IFERROR((FILTER(Data!K:K,Data!D:D=A223,Data!B:B=$B$1)),"""")"),"")</f>
        <v/>
      </c>
      <c r="G223" s="134" t="str">
        <f>IFERROR(__xludf.DUMMYFUNCTION("IFERROR((FILTER(Data!M:M,Data!D:D=A223,Data!B:B=$B$1)),"""")"),"")</f>
        <v/>
      </c>
      <c r="H223" s="134" t="str">
        <f>IFERROR(__xludf.DUMMYFUNCTION("IFERROR((FILTER(Data!G:G,Data!D:D=A223,Data!B:B=$B$1)*4)+(FILTER(Data!H:H,Data!D:D=A223,Data!B:B=$B$1)*2),"""")"),"")</f>
        <v/>
      </c>
      <c r="I223" s="15" t="str">
        <f>IFERROR(__xludf.DUMMYFUNCTION("IFERROR((FILTER(Data!K:K,Data!D:D=A223,Data!B:B=$B$1)*2)+(FILTER(Data!L:L,Data!D:D=A223,Data!B:B=$B$1)),"""")"),"")</f>
        <v/>
      </c>
      <c r="J223" s="134" t="str">
        <f>IFERROR(__xludf.DUMMYFUNCTION("IFERROR((FILTER(Data!N:N,Data!D:D=A223,Data!B:B=$B$1)),"""")"),"")</f>
        <v/>
      </c>
      <c r="K223" s="135" t="str">
        <f>IFERROR(__xludf.DUMMYFUNCTION("IFERROR((FILTER(Data!H:H,Data!D:D=A223,Data!B:B=$B$1)*2)+(FILTER(Data!L:L,Data!D:D=A223,Data!B:B=$B$1))+(FILTER(Data!G:G,Data!D:D=A223,Data!B:B=$B$1)*4)+(FILTER(Data!K:K,Data!D:D=A223,Data!B:B=$B$1)*2)+(((COUNTIF(FILTER(Data!N:N,Data!D:D=A223,Data!B:B=$B$"&amp;"1),""TRAVERSE"")*15)+(COUNTIF(FILTER(Data!N:N,Data!D:D=A223,Data!B:B=$B$1),""HIGH"")*10)+(COUNTIF(FILTER(Data!N:N,Data!D:D=A223,Data!B:B=$B$1),""MIDDLE"")*6)+(COUNTIF(FILTER(Data!N:N,Data!D:D=A223,Data!B:B=$B$1),""LOW"")*4))),"""")"),"")</f>
        <v/>
      </c>
      <c r="L223" s="136" t="str">
        <f>IFERROR(__xludf.DUMMYFUNCTION("IFERROR((FILTER(Data!P:P,Data!D:D=A223,Data!B:B=$B$1)),"""")"),"")</f>
        <v/>
      </c>
      <c r="M223" s="137" t="str">
        <f>IFERROR(__xludf.DUMMYFUNCTION("IFERROR((FILTER(Data!A:A,Data!D:D=A223,Data!B:B=$B$1)),"""")"),"")</f>
        <v/>
      </c>
      <c r="T223" s="52">
        <f>IFERROR(__xludf.DUMMYFUNCTION("((COUNTIF(FILTER(Data!N:N,Data!D:D=A223,Data!B:B=$B$1),""TRAVERSE"")*15)+(COUNTIF(FILTER(Data!N:N,Data!D:D=A223,Data!B:B=B$1),""HIGH"")*10)+(COUNTIF(FILTER(Data!N:N,Data!D:D=A223,Data!B:B=$B$1),""MIDDLE"")*6)+(COUNTIF(FILTER(Data!N:N,Data!D:D=A223,Data!B:"&amp;"B=$B$1),""LOW"")*4))"),0.0)</f>
        <v>0</v>
      </c>
      <c r="V223" s="138" t="str">
        <f>IF(Data!B215='Team Parser'!$B$1, Data!D215,"")</f>
        <v/>
      </c>
      <c r="W223" s="134" t="str">
        <f>IF(Data!$B215='Team Parser'!$B$1, Data!H215,"")</f>
        <v/>
      </c>
      <c r="X223" s="134" t="str">
        <f>IF(Data!$B215='Team Parser'!$B$1, Data!G215,"")</f>
        <v/>
      </c>
      <c r="Y223" s="134" t="str">
        <f>IF(Data!$B215='Team Parser'!$B$1, Data!L215,"")</f>
        <v/>
      </c>
      <c r="Z223" s="134" t="str">
        <f>IF(Data!$B215='Team Parser'!$B$1, Data!K215,"")</f>
        <v/>
      </c>
      <c r="AA223" s="134" t="str">
        <f>IF(Data!$B215='Team Parser'!$B$1, Data!M215,"")</f>
        <v/>
      </c>
      <c r="AB223" s="134" t="str">
        <f>IF(Data!$B215='Team Parser'!$B$1,((Z223*2)+(Y223)+(X223*4)+(W223*2)),"")</f>
        <v/>
      </c>
      <c r="AC223" s="134" t="str">
        <f>IF(Data!$B215='Team Parser'!$B$1, Data!N215,"")</f>
        <v/>
      </c>
      <c r="AD223" s="139" t="str">
        <f>IF(Data!$B215='Team Parser'!$B$1,(AB223+(COUNTIF(AC223,"TRAVERSE")*15)+(COUNTIF(AC223,"HIGH")*10)+(COUNTIF(AC223,"MIDDLE")*6)+(COUNTIF(AC223,"LOW")*4)),"")</f>
        <v/>
      </c>
    </row>
    <row r="224">
      <c r="A224" s="141" t="s">
        <v>507</v>
      </c>
      <c r="B224" s="134" t="str">
        <f>IFERROR(__xludf.DUMMYFUNCTION("IFERROR((FILTER(Data!H:H,Data!D:D=A224,Data!B:B=$B$1)),"""")"),"")</f>
        <v/>
      </c>
      <c r="C224" s="134" t="str">
        <f>IFERROR(__xludf.DUMMYFUNCTION("IFERROR((FILTER(Data!G:G,Data!D:D=A224,Data!B:B=$B$1)),"""")"),"")</f>
        <v/>
      </c>
      <c r="D224" s="134" t="str">
        <f>IFERROR(__xludf.DUMMYFUNCTION("IFERROR((FILTER(Data!J:J,Data!D:D=A224,Data!B:B=$B$1)),"""")"),"")</f>
        <v/>
      </c>
      <c r="E224" s="134" t="str">
        <f>IFERROR(__xludf.DUMMYFUNCTION("IFERROR((FILTER(Data!L:L,Data!D:D=A224,Data!B:B=$B$1)),"""")"),"")</f>
        <v/>
      </c>
      <c r="F224" s="134" t="str">
        <f>IFERROR(__xludf.DUMMYFUNCTION("IFERROR((FILTER(Data!K:K,Data!D:D=A224,Data!B:B=$B$1)),"""")"),"")</f>
        <v/>
      </c>
      <c r="G224" s="134" t="str">
        <f>IFERROR(__xludf.DUMMYFUNCTION("IFERROR((FILTER(Data!M:M,Data!D:D=A224,Data!B:B=$B$1)),"""")"),"")</f>
        <v/>
      </c>
      <c r="H224" s="134" t="str">
        <f>IFERROR(__xludf.DUMMYFUNCTION("IFERROR((FILTER(Data!G:G,Data!D:D=A224,Data!B:B=$B$1)*4)+(FILTER(Data!H:H,Data!D:D=A224,Data!B:B=$B$1)*2),"""")"),"")</f>
        <v/>
      </c>
      <c r="I224" s="15" t="str">
        <f>IFERROR(__xludf.DUMMYFUNCTION("IFERROR((FILTER(Data!K:K,Data!D:D=A224,Data!B:B=$B$1)*2)+(FILTER(Data!L:L,Data!D:D=A224,Data!B:B=$B$1)),"""")"),"")</f>
        <v/>
      </c>
      <c r="J224" s="134" t="str">
        <f>IFERROR(__xludf.DUMMYFUNCTION("IFERROR((FILTER(Data!N:N,Data!D:D=A224,Data!B:B=$B$1)),"""")"),"")</f>
        <v/>
      </c>
      <c r="K224" s="135" t="str">
        <f>IFERROR(__xludf.DUMMYFUNCTION("IFERROR((FILTER(Data!H:H,Data!D:D=A224,Data!B:B=$B$1)*2)+(FILTER(Data!L:L,Data!D:D=A224,Data!B:B=$B$1))+(FILTER(Data!G:G,Data!D:D=A224,Data!B:B=$B$1)*4)+(FILTER(Data!K:K,Data!D:D=A224,Data!B:B=$B$1)*2)+(((COUNTIF(FILTER(Data!N:N,Data!D:D=A224,Data!B:B=$B$"&amp;"1),""TRAVERSE"")*15)+(COUNTIF(FILTER(Data!N:N,Data!D:D=A224,Data!B:B=$B$1),""HIGH"")*10)+(COUNTIF(FILTER(Data!N:N,Data!D:D=A224,Data!B:B=$B$1),""MIDDLE"")*6)+(COUNTIF(FILTER(Data!N:N,Data!D:D=A224,Data!B:B=$B$1),""LOW"")*4))),"""")"),"")</f>
        <v/>
      </c>
      <c r="L224" s="136" t="str">
        <f>IFERROR(__xludf.DUMMYFUNCTION("IFERROR((FILTER(Data!P:P,Data!D:D=A224,Data!B:B=$B$1)),"""")"),"")</f>
        <v/>
      </c>
      <c r="M224" s="137" t="str">
        <f>IFERROR(__xludf.DUMMYFUNCTION("IFERROR((FILTER(Data!A:A,Data!D:D=A224,Data!B:B=$B$1)),"""")"),"")</f>
        <v/>
      </c>
      <c r="T224" s="52">
        <f>IFERROR(__xludf.DUMMYFUNCTION("((COUNTIF(FILTER(Data!N:N,Data!D:D=A224,Data!B:B=$B$1),""TRAVERSE"")*15)+(COUNTIF(FILTER(Data!N:N,Data!D:D=A224,Data!B:B=B$1),""HIGH"")*10)+(COUNTIF(FILTER(Data!N:N,Data!D:D=A224,Data!B:B=$B$1),""MIDDLE"")*6)+(COUNTIF(FILTER(Data!N:N,Data!D:D=A224,Data!B:"&amp;"B=$B$1),""LOW"")*4))"),0.0)</f>
        <v>0</v>
      </c>
      <c r="V224" s="138" t="str">
        <f>IF(Data!B216='Team Parser'!$B$1, Data!D216,"")</f>
        <v/>
      </c>
      <c r="W224" s="134" t="str">
        <f>IF(Data!$B216='Team Parser'!$B$1, Data!H216,"")</f>
        <v/>
      </c>
      <c r="X224" s="134" t="str">
        <f>IF(Data!$B216='Team Parser'!$B$1, Data!G216,"")</f>
        <v/>
      </c>
      <c r="Y224" s="134" t="str">
        <f>IF(Data!$B216='Team Parser'!$B$1, Data!L216,"")</f>
        <v/>
      </c>
      <c r="Z224" s="134" t="str">
        <f>IF(Data!$B216='Team Parser'!$B$1, Data!K216,"")</f>
        <v/>
      </c>
      <c r="AA224" s="134" t="str">
        <f>IF(Data!$B216='Team Parser'!$B$1, Data!M216,"")</f>
        <v/>
      </c>
      <c r="AB224" s="134" t="str">
        <f>IF(Data!$B216='Team Parser'!$B$1,((Z224*2)+(Y224)+(X224*4)+(W224*2)),"")</f>
        <v/>
      </c>
      <c r="AC224" s="134" t="str">
        <f>IF(Data!$B216='Team Parser'!$B$1, Data!N216,"")</f>
        <v/>
      </c>
      <c r="AD224" s="139" t="str">
        <f>IF(Data!$B216='Team Parser'!$B$1,(AB224+(COUNTIF(AC224,"TRAVERSE")*15)+(COUNTIF(AC224,"HIGH")*10)+(COUNTIF(AC224,"MIDDLE")*6)+(COUNTIF(AC224,"LOW")*4)),"")</f>
        <v/>
      </c>
    </row>
    <row r="225">
      <c r="A225" s="141" t="s">
        <v>507</v>
      </c>
      <c r="B225" s="134" t="str">
        <f>IFERROR(__xludf.DUMMYFUNCTION("IFERROR((FILTER(Data!H:H,Data!D:D=A225,Data!B:B=$B$1)),"""")"),"")</f>
        <v/>
      </c>
      <c r="C225" s="134" t="str">
        <f>IFERROR(__xludf.DUMMYFUNCTION("IFERROR((FILTER(Data!G:G,Data!D:D=A225,Data!B:B=$B$1)),"""")"),"")</f>
        <v/>
      </c>
      <c r="D225" s="134" t="str">
        <f>IFERROR(__xludf.DUMMYFUNCTION("IFERROR((FILTER(Data!J:J,Data!D:D=A225,Data!B:B=$B$1)),"""")"),"")</f>
        <v/>
      </c>
      <c r="E225" s="134" t="str">
        <f>IFERROR(__xludf.DUMMYFUNCTION("IFERROR((FILTER(Data!L:L,Data!D:D=A225,Data!B:B=$B$1)),"""")"),"")</f>
        <v/>
      </c>
      <c r="F225" s="134" t="str">
        <f>IFERROR(__xludf.DUMMYFUNCTION("IFERROR((FILTER(Data!K:K,Data!D:D=A225,Data!B:B=$B$1)),"""")"),"")</f>
        <v/>
      </c>
      <c r="G225" s="134" t="str">
        <f>IFERROR(__xludf.DUMMYFUNCTION("IFERROR((FILTER(Data!M:M,Data!D:D=A225,Data!B:B=$B$1)),"""")"),"")</f>
        <v/>
      </c>
      <c r="H225" s="134" t="str">
        <f>IFERROR(__xludf.DUMMYFUNCTION("IFERROR((FILTER(Data!G:G,Data!D:D=A225,Data!B:B=$B$1)*4)+(FILTER(Data!H:H,Data!D:D=A225,Data!B:B=$B$1)*2),"""")"),"")</f>
        <v/>
      </c>
      <c r="I225" s="15" t="str">
        <f>IFERROR(__xludf.DUMMYFUNCTION("IFERROR((FILTER(Data!K:K,Data!D:D=A225,Data!B:B=$B$1)*2)+(FILTER(Data!L:L,Data!D:D=A225,Data!B:B=$B$1)),"""")"),"")</f>
        <v/>
      </c>
      <c r="J225" s="134" t="str">
        <f>IFERROR(__xludf.DUMMYFUNCTION("IFERROR((FILTER(Data!N:N,Data!D:D=A225,Data!B:B=$B$1)),"""")"),"")</f>
        <v/>
      </c>
      <c r="K225" s="135" t="str">
        <f>IFERROR(__xludf.DUMMYFUNCTION("IFERROR((FILTER(Data!H:H,Data!D:D=A225,Data!B:B=$B$1)*2)+(FILTER(Data!L:L,Data!D:D=A225,Data!B:B=$B$1))+(FILTER(Data!G:G,Data!D:D=A225,Data!B:B=$B$1)*4)+(FILTER(Data!K:K,Data!D:D=A225,Data!B:B=$B$1)*2)+(((COUNTIF(FILTER(Data!N:N,Data!D:D=A225,Data!B:B=$B$"&amp;"1),""TRAVERSE"")*15)+(COUNTIF(FILTER(Data!N:N,Data!D:D=A225,Data!B:B=$B$1),""HIGH"")*10)+(COUNTIF(FILTER(Data!N:N,Data!D:D=A225,Data!B:B=$B$1),""MIDDLE"")*6)+(COUNTIF(FILTER(Data!N:N,Data!D:D=A225,Data!B:B=$B$1),""LOW"")*4))),"""")"),"")</f>
        <v/>
      </c>
      <c r="L225" s="136" t="str">
        <f>IFERROR(__xludf.DUMMYFUNCTION("IFERROR((FILTER(Data!P:P,Data!D:D=A225,Data!B:B=$B$1)),"""")"),"")</f>
        <v/>
      </c>
      <c r="M225" s="137" t="str">
        <f>IFERROR(__xludf.DUMMYFUNCTION("IFERROR((FILTER(Data!A:A,Data!D:D=A225,Data!B:B=$B$1)),"""")"),"")</f>
        <v/>
      </c>
      <c r="T225" s="52">
        <f>IFERROR(__xludf.DUMMYFUNCTION("((COUNTIF(FILTER(Data!N:N,Data!D:D=A225,Data!B:B=$B$1),""TRAVERSE"")*15)+(COUNTIF(FILTER(Data!N:N,Data!D:D=A225,Data!B:B=B$1),""HIGH"")*10)+(COUNTIF(FILTER(Data!N:N,Data!D:D=A225,Data!B:B=$B$1),""MIDDLE"")*6)+(COUNTIF(FILTER(Data!N:N,Data!D:D=A225,Data!B:"&amp;"B=$B$1),""LOW"")*4))"),0.0)</f>
        <v>0</v>
      </c>
      <c r="V225" s="138" t="str">
        <f>IF(Data!B217='Team Parser'!$B$1, Data!D217,"")</f>
        <v/>
      </c>
      <c r="W225" s="134" t="str">
        <f>IF(Data!$B217='Team Parser'!$B$1, Data!H217,"")</f>
        <v/>
      </c>
      <c r="X225" s="134" t="str">
        <f>IF(Data!$B217='Team Parser'!$B$1, Data!G217,"")</f>
        <v/>
      </c>
      <c r="Y225" s="134" t="str">
        <f>IF(Data!$B217='Team Parser'!$B$1, Data!L217,"")</f>
        <v/>
      </c>
      <c r="Z225" s="134" t="str">
        <f>IF(Data!$B217='Team Parser'!$B$1, Data!K217,"")</f>
        <v/>
      </c>
      <c r="AA225" s="134" t="str">
        <f>IF(Data!$B217='Team Parser'!$B$1, Data!M217,"")</f>
        <v/>
      </c>
      <c r="AB225" s="134" t="str">
        <f>IF(Data!$B217='Team Parser'!$B$1,((Z225*2)+(Y225)+(X225*4)+(W225*2)),"")</f>
        <v/>
      </c>
      <c r="AC225" s="134" t="str">
        <f>IF(Data!$B217='Team Parser'!$B$1, Data!N217,"")</f>
        <v/>
      </c>
      <c r="AD225" s="139" t="str">
        <f>IF(Data!$B217='Team Parser'!$B$1,(AB225+(COUNTIF(AC225,"TRAVERSE")*15)+(COUNTIF(AC225,"HIGH")*10)+(COUNTIF(AC225,"MIDDLE")*6)+(COUNTIF(AC225,"LOW")*4)),"")</f>
        <v/>
      </c>
    </row>
    <row r="226">
      <c r="A226" s="141" t="s">
        <v>507</v>
      </c>
      <c r="B226" s="134" t="str">
        <f>IFERROR(__xludf.DUMMYFUNCTION("IFERROR((FILTER(Data!H:H,Data!D:D=A226,Data!B:B=$B$1)),"""")"),"")</f>
        <v/>
      </c>
      <c r="C226" s="134" t="str">
        <f>IFERROR(__xludf.DUMMYFUNCTION("IFERROR((FILTER(Data!G:G,Data!D:D=A226,Data!B:B=$B$1)),"""")"),"")</f>
        <v/>
      </c>
      <c r="D226" s="134" t="str">
        <f>IFERROR(__xludf.DUMMYFUNCTION("IFERROR((FILTER(Data!J:J,Data!D:D=A226,Data!B:B=$B$1)),"""")"),"")</f>
        <v/>
      </c>
      <c r="E226" s="134" t="str">
        <f>IFERROR(__xludf.DUMMYFUNCTION("IFERROR((FILTER(Data!L:L,Data!D:D=A226,Data!B:B=$B$1)),"""")"),"")</f>
        <v/>
      </c>
      <c r="F226" s="134" t="str">
        <f>IFERROR(__xludf.DUMMYFUNCTION("IFERROR((FILTER(Data!K:K,Data!D:D=A226,Data!B:B=$B$1)),"""")"),"")</f>
        <v/>
      </c>
      <c r="G226" s="134" t="str">
        <f>IFERROR(__xludf.DUMMYFUNCTION("IFERROR((FILTER(Data!M:M,Data!D:D=A226,Data!B:B=$B$1)),"""")"),"")</f>
        <v/>
      </c>
      <c r="H226" s="134" t="str">
        <f>IFERROR(__xludf.DUMMYFUNCTION("IFERROR((FILTER(Data!G:G,Data!D:D=A226,Data!B:B=$B$1)*4)+(FILTER(Data!H:H,Data!D:D=A226,Data!B:B=$B$1)*2),"""")"),"")</f>
        <v/>
      </c>
      <c r="I226" s="15" t="str">
        <f>IFERROR(__xludf.DUMMYFUNCTION("IFERROR((FILTER(Data!K:K,Data!D:D=A226,Data!B:B=$B$1)*2)+(FILTER(Data!L:L,Data!D:D=A226,Data!B:B=$B$1)),"""")"),"")</f>
        <v/>
      </c>
      <c r="J226" s="134" t="str">
        <f>IFERROR(__xludf.DUMMYFUNCTION("IFERROR((FILTER(Data!N:N,Data!D:D=A226,Data!B:B=$B$1)),"""")"),"")</f>
        <v/>
      </c>
      <c r="K226" s="135" t="str">
        <f>IFERROR(__xludf.DUMMYFUNCTION("IFERROR((FILTER(Data!H:H,Data!D:D=A226,Data!B:B=$B$1)*2)+(FILTER(Data!L:L,Data!D:D=A226,Data!B:B=$B$1))+(FILTER(Data!G:G,Data!D:D=A226,Data!B:B=$B$1)*4)+(FILTER(Data!K:K,Data!D:D=A226,Data!B:B=$B$1)*2)+(((COUNTIF(FILTER(Data!N:N,Data!D:D=A226,Data!B:B=$B$"&amp;"1),""TRAVERSE"")*15)+(COUNTIF(FILTER(Data!N:N,Data!D:D=A226,Data!B:B=$B$1),""HIGH"")*10)+(COUNTIF(FILTER(Data!N:N,Data!D:D=A226,Data!B:B=$B$1),""MIDDLE"")*6)+(COUNTIF(FILTER(Data!N:N,Data!D:D=A226,Data!B:B=$B$1),""LOW"")*4))),"""")"),"")</f>
        <v/>
      </c>
      <c r="L226" s="136" t="str">
        <f>IFERROR(__xludf.DUMMYFUNCTION("IFERROR((FILTER(Data!P:P,Data!D:D=A226,Data!B:B=$B$1)),"""")"),"")</f>
        <v/>
      </c>
      <c r="M226" s="137" t="str">
        <f>IFERROR(__xludf.DUMMYFUNCTION("IFERROR((FILTER(Data!A:A,Data!D:D=A226,Data!B:B=$B$1)),"""")"),"")</f>
        <v/>
      </c>
      <c r="T226" s="52">
        <f>IFERROR(__xludf.DUMMYFUNCTION("((COUNTIF(FILTER(Data!N:N,Data!D:D=A226,Data!B:B=$B$1),""TRAVERSE"")*15)+(COUNTIF(FILTER(Data!N:N,Data!D:D=A226,Data!B:B=B$1),""HIGH"")*10)+(COUNTIF(FILTER(Data!N:N,Data!D:D=A226,Data!B:B=$B$1),""MIDDLE"")*6)+(COUNTIF(FILTER(Data!N:N,Data!D:D=A226,Data!B:"&amp;"B=$B$1),""LOW"")*4))"),0.0)</f>
        <v>0</v>
      </c>
      <c r="V226" s="138" t="str">
        <f>IF(Data!B218='Team Parser'!$B$1, Data!D218,"")</f>
        <v/>
      </c>
      <c r="W226" s="134" t="str">
        <f>IF(Data!$B218='Team Parser'!$B$1, Data!H218,"")</f>
        <v/>
      </c>
      <c r="X226" s="134" t="str">
        <f>IF(Data!$B218='Team Parser'!$B$1, Data!G218,"")</f>
        <v/>
      </c>
      <c r="Y226" s="134" t="str">
        <f>IF(Data!$B218='Team Parser'!$B$1, Data!L218,"")</f>
        <v/>
      </c>
      <c r="Z226" s="134" t="str">
        <f>IF(Data!$B218='Team Parser'!$B$1, Data!K218,"")</f>
        <v/>
      </c>
      <c r="AA226" s="134" t="str">
        <f>IF(Data!$B218='Team Parser'!$B$1, Data!M218,"")</f>
        <v/>
      </c>
      <c r="AB226" s="134" t="str">
        <f>IF(Data!$B218='Team Parser'!$B$1,((Z226*2)+(Y226)+(X226*4)+(W226*2)),"")</f>
        <v/>
      </c>
      <c r="AC226" s="134" t="str">
        <f>IF(Data!$B218='Team Parser'!$B$1, Data!N218,"")</f>
        <v/>
      </c>
      <c r="AD226" s="139" t="str">
        <f>IF(Data!$B218='Team Parser'!$B$1,(AB226+(COUNTIF(AC226,"TRAVERSE")*15)+(COUNTIF(AC226,"HIGH")*10)+(COUNTIF(AC226,"MIDDLE")*6)+(COUNTIF(AC226,"LOW")*4)),"")</f>
        <v/>
      </c>
    </row>
    <row r="227">
      <c r="A227" s="141" t="s">
        <v>507</v>
      </c>
      <c r="B227" s="134" t="str">
        <f>IFERROR(__xludf.DUMMYFUNCTION("IFERROR((FILTER(Data!H:H,Data!D:D=A227,Data!B:B=$B$1)),"""")"),"")</f>
        <v/>
      </c>
      <c r="C227" s="134" t="str">
        <f>IFERROR(__xludf.DUMMYFUNCTION("IFERROR((FILTER(Data!G:G,Data!D:D=A227,Data!B:B=$B$1)),"""")"),"")</f>
        <v/>
      </c>
      <c r="D227" s="134" t="str">
        <f>IFERROR(__xludf.DUMMYFUNCTION("IFERROR((FILTER(Data!J:J,Data!D:D=A227,Data!B:B=$B$1)),"""")"),"")</f>
        <v/>
      </c>
      <c r="E227" s="134" t="str">
        <f>IFERROR(__xludf.DUMMYFUNCTION("IFERROR((FILTER(Data!L:L,Data!D:D=A227,Data!B:B=$B$1)),"""")"),"")</f>
        <v/>
      </c>
      <c r="F227" s="134" t="str">
        <f>IFERROR(__xludf.DUMMYFUNCTION("IFERROR((FILTER(Data!K:K,Data!D:D=A227,Data!B:B=$B$1)),"""")"),"")</f>
        <v/>
      </c>
      <c r="G227" s="134" t="str">
        <f>IFERROR(__xludf.DUMMYFUNCTION("IFERROR((FILTER(Data!M:M,Data!D:D=A227,Data!B:B=$B$1)),"""")"),"")</f>
        <v/>
      </c>
      <c r="H227" s="134" t="str">
        <f>IFERROR(__xludf.DUMMYFUNCTION("IFERROR((FILTER(Data!G:G,Data!D:D=A227,Data!B:B=$B$1)*4)+(FILTER(Data!H:H,Data!D:D=A227,Data!B:B=$B$1)*2),"""")"),"")</f>
        <v/>
      </c>
      <c r="I227" s="15" t="str">
        <f>IFERROR(__xludf.DUMMYFUNCTION("IFERROR((FILTER(Data!K:K,Data!D:D=A227,Data!B:B=$B$1)*2)+(FILTER(Data!L:L,Data!D:D=A227,Data!B:B=$B$1)),"""")"),"")</f>
        <v/>
      </c>
      <c r="J227" s="134" t="str">
        <f>IFERROR(__xludf.DUMMYFUNCTION("IFERROR((FILTER(Data!N:N,Data!D:D=A227,Data!B:B=$B$1)),"""")"),"")</f>
        <v/>
      </c>
      <c r="K227" s="135" t="str">
        <f>IFERROR(__xludf.DUMMYFUNCTION("IFERROR((FILTER(Data!H:H,Data!D:D=A227,Data!B:B=$B$1)*2)+(FILTER(Data!L:L,Data!D:D=A227,Data!B:B=$B$1))+(FILTER(Data!G:G,Data!D:D=A227,Data!B:B=$B$1)*4)+(FILTER(Data!K:K,Data!D:D=A227,Data!B:B=$B$1)*2)+(((COUNTIF(FILTER(Data!N:N,Data!D:D=A227,Data!B:B=$B$"&amp;"1),""TRAVERSE"")*15)+(COUNTIF(FILTER(Data!N:N,Data!D:D=A227,Data!B:B=$B$1),""HIGH"")*10)+(COUNTIF(FILTER(Data!N:N,Data!D:D=A227,Data!B:B=$B$1),""MIDDLE"")*6)+(COUNTIF(FILTER(Data!N:N,Data!D:D=A227,Data!B:B=$B$1),""LOW"")*4))),"""")"),"")</f>
        <v/>
      </c>
      <c r="L227" s="136" t="str">
        <f>IFERROR(__xludf.DUMMYFUNCTION("IFERROR((FILTER(Data!P:P,Data!D:D=A227,Data!B:B=$B$1)),"""")"),"")</f>
        <v/>
      </c>
      <c r="M227" s="137" t="str">
        <f>IFERROR(__xludf.DUMMYFUNCTION("IFERROR((FILTER(Data!A:A,Data!D:D=A227,Data!B:B=$B$1)),"""")"),"")</f>
        <v/>
      </c>
      <c r="T227" s="52">
        <f>IFERROR(__xludf.DUMMYFUNCTION("((COUNTIF(FILTER(Data!N:N,Data!D:D=A227,Data!B:B=$B$1),""TRAVERSE"")*15)+(COUNTIF(FILTER(Data!N:N,Data!D:D=A227,Data!B:B=B$1),""HIGH"")*10)+(COUNTIF(FILTER(Data!N:N,Data!D:D=A227,Data!B:B=$B$1),""MIDDLE"")*6)+(COUNTIF(FILTER(Data!N:N,Data!D:D=A227,Data!B:"&amp;"B=$B$1),""LOW"")*4))"),0.0)</f>
        <v>0</v>
      </c>
      <c r="V227" s="138" t="str">
        <f>IF(Data!B219='Team Parser'!$B$1, Data!D219,"")</f>
        <v/>
      </c>
      <c r="W227" s="134" t="str">
        <f>IF(Data!$B219='Team Parser'!$B$1, Data!H219,"")</f>
        <v/>
      </c>
      <c r="X227" s="134" t="str">
        <f>IF(Data!$B219='Team Parser'!$B$1, Data!G219,"")</f>
        <v/>
      </c>
      <c r="Y227" s="134" t="str">
        <f>IF(Data!$B219='Team Parser'!$B$1, Data!L219,"")</f>
        <v/>
      </c>
      <c r="Z227" s="134" t="str">
        <f>IF(Data!$B219='Team Parser'!$B$1, Data!K219,"")</f>
        <v/>
      </c>
      <c r="AA227" s="134" t="str">
        <f>IF(Data!$B219='Team Parser'!$B$1, Data!M219,"")</f>
        <v/>
      </c>
      <c r="AB227" s="134" t="str">
        <f>IF(Data!$B219='Team Parser'!$B$1,((Z227*2)+(Y227)+(X227*4)+(W227*2)),"")</f>
        <v/>
      </c>
      <c r="AC227" s="134" t="str">
        <f>IF(Data!$B219='Team Parser'!$B$1, Data!N219,"")</f>
        <v/>
      </c>
      <c r="AD227" s="139" t="str">
        <f>IF(Data!$B219='Team Parser'!$B$1,(AB227+(COUNTIF(AC227,"TRAVERSE")*15)+(COUNTIF(AC227,"HIGH")*10)+(COUNTIF(AC227,"MIDDLE")*6)+(COUNTIF(AC227,"LOW")*4)),"")</f>
        <v/>
      </c>
    </row>
    <row r="228">
      <c r="A228" s="141" t="s">
        <v>507</v>
      </c>
      <c r="B228" s="134" t="str">
        <f>IFERROR(__xludf.DUMMYFUNCTION("IFERROR((FILTER(Data!H:H,Data!D:D=A228,Data!B:B=$B$1)),"""")"),"")</f>
        <v/>
      </c>
      <c r="C228" s="134" t="str">
        <f>IFERROR(__xludf.DUMMYFUNCTION("IFERROR((FILTER(Data!G:G,Data!D:D=A228,Data!B:B=$B$1)),"""")"),"")</f>
        <v/>
      </c>
      <c r="D228" s="134" t="str">
        <f>IFERROR(__xludf.DUMMYFUNCTION("IFERROR((FILTER(Data!J:J,Data!D:D=A228,Data!B:B=$B$1)),"""")"),"")</f>
        <v/>
      </c>
      <c r="E228" s="134" t="str">
        <f>IFERROR(__xludf.DUMMYFUNCTION("IFERROR((FILTER(Data!L:L,Data!D:D=A228,Data!B:B=$B$1)),"""")"),"")</f>
        <v/>
      </c>
      <c r="F228" s="134" t="str">
        <f>IFERROR(__xludf.DUMMYFUNCTION("IFERROR((FILTER(Data!K:K,Data!D:D=A228,Data!B:B=$B$1)),"""")"),"")</f>
        <v/>
      </c>
      <c r="G228" s="134" t="str">
        <f>IFERROR(__xludf.DUMMYFUNCTION("IFERROR((FILTER(Data!M:M,Data!D:D=A228,Data!B:B=$B$1)),"""")"),"")</f>
        <v/>
      </c>
      <c r="H228" s="134" t="str">
        <f>IFERROR(__xludf.DUMMYFUNCTION("IFERROR((FILTER(Data!G:G,Data!D:D=A228,Data!B:B=$B$1)*4)+(FILTER(Data!H:H,Data!D:D=A228,Data!B:B=$B$1)*2),"""")"),"")</f>
        <v/>
      </c>
      <c r="I228" s="15" t="str">
        <f>IFERROR(__xludf.DUMMYFUNCTION("IFERROR((FILTER(Data!K:K,Data!D:D=A228,Data!B:B=$B$1)*2)+(FILTER(Data!L:L,Data!D:D=A228,Data!B:B=$B$1)),"""")"),"")</f>
        <v/>
      </c>
      <c r="J228" s="134" t="str">
        <f>IFERROR(__xludf.DUMMYFUNCTION("IFERROR((FILTER(Data!N:N,Data!D:D=A228,Data!B:B=$B$1)),"""")"),"")</f>
        <v/>
      </c>
      <c r="K228" s="135" t="str">
        <f>IFERROR(__xludf.DUMMYFUNCTION("IFERROR((FILTER(Data!H:H,Data!D:D=A228,Data!B:B=$B$1)*2)+(FILTER(Data!L:L,Data!D:D=A228,Data!B:B=$B$1))+(FILTER(Data!G:G,Data!D:D=A228,Data!B:B=$B$1)*4)+(FILTER(Data!K:K,Data!D:D=A228,Data!B:B=$B$1)*2)+(((COUNTIF(FILTER(Data!N:N,Data!D:D=A228,Data!B:B=$B$"&amp;"1),""TRAVERSE"")*15)+(COUNTIF(FILTER(Data!N:N,Data!D:D=A228,Data!B:B=$B$1),""HIGH"")*10)+(COUNTIF(FILTER(Data!N:N,Data!D:D=A228,Data!B:B=$B$1),""MIDDLE"")*6)+(COUNTIF(FILTER(Data!N:N,Data!D:D=A228,Data!B:B=$B$1),""LOW"")*4))),"""")"),"")</f>
        <v/>
      </c>
      <c r="L228" s="136" t="str">
        <f>IFERROR(__xludf.DUMMYFUNCTION("IFERROR((FILTER(Data!P:P,Data!D:D=A228,Data!B:B=$B$1)),"""")"),"")</f>
        <v/>
      </c>
      <c r="M228" s="137" t="str">
        <f>IFERROR(__xludf.DUMMYFUNCTION("IFERROR((FILTER(Data!A:A,Data!D:D=A228,Data!B:B=$B$1)),"""")"),"")</f>
        <v/>
      </c>
      <c r="T228" s="52">
        <f>IFERROR(__xludf.DUMMYFUNCTION("((COUNTIF(FILTER(Data!N:N,Data!D:D=A228,Data!B:B=$B$1),""TRAVERSE"")*15)+(COUNTIF(FILTER(Data!N:N,Data!D:D=A228,Data!B:B=B$1),""HIGH"")*10)+(COUNTIF(FILTER(Data!N:N,Data!D:D=A228,Data!B:B=$B$1),""MIDDLE"")*6)+(COUNTIF(FILTER(Data!N:N,Data!D:D=A228,Data!B:"&amp;"B=$B$1),""LOW"")*4))"),0.0)</f>
        <v>0</v>
      </c>
      <c r="V228" s="138" t="str">
        <f>IF(Data!B220='Team Parser'!$B$1, Data!D220,"")</f>
        <v/>
      </c>
      <c r="W228" s="134" t="str">
        <f>IF(Data!$B220='Team Parser'!$B$1, Data!H220,"")</f>
        <v/>
      </c>
      <c r="X228" s="134" t="str">
        <f>IF(Data!$B220='Team Parser'!$B$1, Data!G220,"")</f>
        <v/>
      </c>
      <c r="Y228" s="134" t="str">
        <f>IF(Data!$B220='Team Parser'!$B$1, Data!L220,"")</f>
        <v/>
      </c>
      <c r="Z228" s="134" t="str">
        <f>IF(Data!$B220='Team Parser'!$B$1, Data!K220,"")</f>
        <v/>
      </c>
      <c r="AA228" s="134" t="str">
        <f>IF(Data!$B220='Team Parser'!$B$1, Data!M220,"")</f>
        <v/>
      </c>
      <c r="AB228" s="134" t="str">
        <f>IF(Data!$B220='Team Parser'!$B$1,((Z228*2)+(Y228)+(X228*4)+(W228*2)),"")</f>
        <v/>
      </c>
      <c r="AC228" s="134" t="str">
        <f>IF(Data!$B220='Team Parser'!$B$1, Data!N220,"")</f>
        <v/>
      </c>
      <c r="AD228" s="139" t="str">
        <f>IF(Data!$B220='Team Parser'!$B$1,(AB228+(COUNTIF(AC228,"TRAVERSE")*15)+(COUNTIF(AC228,"HIGH")*10)+(COUNTIF(AC228,"MIDDLE")*6)+(COUNTIF(AC228,"LOW")*4)),"")</f>
        <v/>
      </c>
    </row>
    <row r="229">
      <c r="A229" s="141" t="s">
        <v>507</v>
      </c>
      <c r="B229" s="134" t="str">
        <f>IFERROR(__xludf.DUMMYFUNCTION("IFERROR((FILTER(Data!H:H,Data!D:D=A229,Data!B:B=$B$1)),"""")"),"")</f>
        <v/>
      </c>
      <c r="C229" s="134" t="str">
        <f>IFERROR(__xludf.DUMMYFUNCTION("IFERROR((FILTER(Data!G:G,Data!D:D=A229,Data!B:B=$B$1)),"""")"),"")</f>
        <v/>
      </c>
      <c r="D229" s="134" t="str">
        <f>IFERROR(__xludf.DUMMYFUNCTION("IFERROR((FILTER(Data!J:J,Data!D:D=A229,Data!B:B=$B$1)),"""")"),"")</f>
        <v/>
      </c>
      <c r="E229" s="134" t="str">
        <f>IFERROR(__xludf.DUMMYFUNCTION("IFERROR((FILTER(Data!L:L,Data!D:D=A229,Data!B:B=$B$1)),"""")"),"")</f>
        <v/>
      </c>
      <c r="F229" s="134" t="str">
        <f>IFERROR(__xludf.DUMMYFUNCTION("IFERROR((FILTER(Data!K:K,Data!D:D=A229,Data!B:B=$B$1)),"""")"),"")</f>
        <v/>
      </c>
      <c r="G229" s="134" t="str">
        <f>IFERROR(__xludf.DUMMYFUNCTION("IFERROR((FILTER(Data!M:M,Data!D:D=A229,Data!B:B=$B$1)),"""")"),"")</f>
        <v/>
      </c>
      <c r="H229" s="134" t="str">
        <f>IFERROR(__xludf.DUMMYFUNCTION("IFERROR((FILTER(Data!G:G,Data!D:D=A229,Data!B:B=$B$1)*4)+(FILTER(Data!H:H,Data!D:D=A229,Data!B:B=$B$1)*2),"""")"),"")</f>
        <v/>
      </c>
      <c r="I229" s="15" t="str">
        <f>IFERROR(__xludf.DUMMYFUNCTION("IFERROR((FILTER(Data!K:K,Data!D:D=A229,Data!B:B=$B$1)*2)+(FILTER(Data!L:L,Data!D:D=A229,Data!B:B=$B$1)),"""")"),"")</f>
        <v/>
      </c>
      <c r="J229" s="134" t="str">
        <f>IFERROR(__xludf.DUMMYFUNCTION("IFERROR((FILTER(Data!N:N,Data!D:D=A229,Data!B:B=$B$1)),"""")"),"")</f>
        <v/>
      </c>
      <c r="K229" s="135" t="str">
        <f>IFERROR(__xludf.DUMMYFUNCTION("IFERROR((FILTER(Data!H:H,Data!D:D=A229,Data!B:B=$B$1)*2)+(FILTER(Data!L:L,Data!D:D=A229,Data!B:B=$B$1))+(FILTER(Data!G:G,Data!D:D=A229,Data!B:B=$B$1)*4)+(FILTER(Data!K:K,Data!D:D=A229,Data!B:B=$B$1)*2)+(((COUNTIF(FILTER(Data!N:N,Data!D:D=A229,Data!B:B=$B$"&amp;"1),""TRAVERSE"")*15)+(COUNTIF(FILTER(Data!N:N,Data!D:D=A229,Data!B:B=$B$1),""HIGH"")*10)+(COUNTIF(FILTER(Data!N:N,Data!D:D=A229,Data!B:B=$B$1),""MIDDLE"")*6)+(COUNTIF(FILTER(Data!N:N,Data!D:D=A229,Data!B:B=$B$1),""LOW"")*4))),"""")"),"")</f>
        <v/>
      </c>
      <c r="L229" s="136" t="str">
        <f>IFERROR(__xludf.DUMMYFUNCTION("IFERROR((FILTER(Data!P:P,Data!D:D=A229,Data!B:B=$B$1)),"""")"),"")</f>
        <v/>
      </c>
      <c r="M229" s="137" t="str">
        <f>IFERROR(__xludf.DUMMYFUNCTION("IFERROR((FILTER(Data!A:A,Data!D:D=A229,Data!B:B=$B$1)),"""")"),"")</f>
        <v/>
      </c>
      <c r="T229" s="52">
        <f>IFERROR(__xludf.DUMMYFUNCTION("((COUNTIF(FILTER(Data!N:N,Data!D:D=A229,Data!B:B=$B$1),""TRAVERSE"")*15)+(COUNTIF(FILTER(Data!N:N,Data!D:D=A229,Data!B:B=B$1),""HIGH"")*10)+(COUNTIF(FILTER(Data!N:N,Data!D:D=A229,Data!B:B=$B$1),""MIDDLE"")*6)+(COUNTIF(FILTER(Data!N:N,Data!D:D=A229,Data!B:"&amp;"B=$B$1),""LOW"")*4))"),0.0)</f>
        <v>0</v>
      </c>
      <c r="V229" s="138" t="str">
        <f>IF(Data!B221='Team Parser'!$B$1, Data!D221,"")</f>
        <v/>
      </c>
      <c r="W229" s="134" t="str">
        <f>IF(Data!$B221='Team Parser'!$B$1, Data!H221,"")</f>
        <v/>
      </c>
      <c r="X229" s="134" t="str">
        <f>IF(Data!$B221='Team Parser'!$B$1, Data!G221,"")</f>
        <v/>
      </c>
      <c r="Y229" s="134" t="str">
        <f>IF(Data!$B221='Team Parser'!$B$1, Data!L221,"")</f>
        <v/>
      </c>
      <c r="Z229" s="134" t="str">
        <f>IF(Data!$B221='Team Parser'!$B$1, Data!K221,"")</f>
        <v/>
      </c>
      <c r="AA229" s="134" t="str">
        <f>IF(Data!$B221='Team Parser'!$B$1, Data!M221,"")</f>
        <v/>
      </c>
      <c r="AB229" s="134" t="str">
        <f>IF(Data!$B221='Team Parser'!$B$1,((Z229*2)+(Y229)+(X229*4)+(W229*2)),"")</f>
        <v/>
      </c>
      <c r="AC229" s="134" t="str">
        <f>IF(Data!$B221='Team Parser'!$B$1, Data!N221,"")</f>
        <v/>
      </c>
      <c r="AD229" s="139" t="str">
        <f>IF(Data!$B221='Team Parser'!$B$1,(AB229+(COUNTIF(AC229,"TRAVERSE")*15)+(COUNTIF(AC229,"HIGH")*10)+(COUNTIF(AC229,"MIDDLE")*6)+(COUNTIF(AC229,"LOW")*4)),"")</f>
        <v/>
      </c>
    </row>
    <row r="230">
      <c r="A230" s="141" t="s">
        <v>507</v>
      </c>
      <c r="B230" s="134" t="str">
        <f>IFERROR(__xludf.DUMMYFUNCTION("IFERROR((FILTER(Data!H:H,Data!D:D=A230,Data!B:B=$B$1)),"""")"),"")</f>
        <v/>
      </c>
      <c r="C230" s="134" t="str">
        <f>IFERROR(__xludf.DUMMYFUNCTION("IFERROR((FILTER(Data!G:G,Data!D:D=A230,Data!B:B=$B$1)),"""")"),"")</f>
        <v/>
      </c>
      <c r="D230" s="134" t="str">
        <f>IFERROR(__xludf.DUMMYFUNCTION("IFERROR((FILTER(Data!J:J,Data!D:D=A230,Data!B:B=$B$1)),"""")"),"")</f>
        <v/>
      </c>
      <c r="E230" s="134" t="str">
        <f>IFERROR(__xludf.DUMMYFUNCTION("IFERROR((FILTER(Data!L:L,Data!D:D=A230,Data!B:B=$B$1)),"""")"),"")</f>
        <v/>
      </c>
      <c r="F230" s="134" t="str">
        <f>IFERROR(__xludf.DUMMYFUNCTION("IFERROR((FILTER(Data!K:K,Data!D:D=A230,Data!B:B=$B$1)),"""")"),"")</f>
        <v/>
      </c>
      <c r="G230" s="134" t="str">
        <f>IFERROR(__xludf.DUMMYFUNCTION("IFERROR((FILTER(Data!M:M,Data!D:D=A230,Data!B:B=$B$1)),"""")"),"")</f>
        <v/>
      </c>
      <c r="H230" s="134" t="str">
        <f>IFERROR(__xludf.DUMMYFUNCTION("IFERROR((FILTER(Data!G:G,Data!D:D=A230,Data!B:B=$B$1)*4)+(FILTER(Data!H:H,Data!D:D=A230,Data!B:B=$B$1)*2),"""")"),"")</f>
        <v/>
      </c>
      <c r="I230" s="15" t="str">
        <f>IFERROR(__xludf.DUMMYFUNCTION("IFERROR((FILTER(Data!K:K,Data!D:D=A230,Data!B:B=$B$1)*2)+(FILTER(Data!L:L,Data!D:D=A230,Data!B:B=$B$1)),"""")"),"")</f>
        <v/>
      </c>
      <c r="J230" s="134" t="str">
        <f>IFERROR(__xludf.DUMMYFUNCTION("IFERROR((FILTER(Data!N:N,Data!D:D=A230,Data!B:B=$B$1)),"""")"),"")</f>
        <v/>
      </c>
      <c r="K230" s="135" t="str">
        <f>IFERROR(__xludf.DUMMYFUNCTION("IFERROR((FILTER(Data!H:H,Data!D:D=A230,Data!B:B=$B$1)*2)+(FILTER(Data!L:L,Data!D:D=A230,Data!B:B=$B$1))+(FILTER(Data!G:G,Data!D:D=A230,Data!B:B=$B$1)*4)+(FILTER(Data!K:K,Data!D:D=A230,Data!B:B=$B$1)*2)+(((COUNTIF(FILTER(Data!N:N,Data!D:D=A230,Data!B:B=$B$"&amp;"1),""TRAVERSE"")*15)+(COUNTIF(FILTER(Data!N:N,Data!D:D=A230,Data!B:B=$B$1),""HIGH"")*10)+(COUNTIF(FILTER(Data!N:N,Data!D:D=A230,Data!B:B=$B$1),""MIDDLE"")*6)+(COUNTIF(FILTER(Data!N:N,Data!D:D=A230,Data!B:B=$B$1),""LOW"")*4))),"""")"),"")</f>
        <v/>
      </c>
      <c r="L230" s="136" t="str">
        <f>IFERROR(__xludf.DUMMYFUNCTION("IFERROR((FILTER(Data!P:P,Data!D:D=A230,Data!B:B=$B$1)),"""")"),"")</f>
        <v/>
      </c>
      <c r="M230" s="137" t="str">
        <f>IFERROR(__xludf.DUMMYFUNCTION("IFERROR((FILTER(Data!A:A,Data!D:D=A230,Data!B:B=$B$1)),"""")"),"")</f>
        <v/>
      </c>
      <c r="T230" s="52">
        <f>IFERROR(__xludf.DUMMYFUNCTION("((COUNTIF(FILTER(Data!N:N,Data!D:D=A230,Data!B:B=$B$1),""TRAVERSE"")*15)+(COUNTIF(FILTER(Data!N:N,Data!D:D=A230,Data!B:B=B$1),""HIGH"")*10)+(COUNTIF(FILTER(Data!N:N,Data!D:D=A230,Data!B:B=$B$1),""MIDDLE"")*6)+(COUNTIF(FILTER(Data!N:N,Data!D:D=A230,Data!B:"&amp;"B=$B$1),""LOW"")*4))"),0.0)</f>
        <v>0</v>
      </c>
      <c r="V230" s="138" t="str">
        <f>IF(Data!B222='Team Parser'!$B$1, Data!D222,"")</f>
        <v/>
      </c>
      <c r="W230" s="134" t="str">
        <f>IF(Data!$B222='Team Parser'!$B$1, Data!H222,"")</f>
        <v/>
      </c>
      <c r="X230" s="134" t="str">
        <f>IF(Data!$B222='Team Parser'!$B$1, Data!G222,"")</f>
        <v/>
      </c>
      <c r="Y230" s="134" t="str">
        <f>IF(Data!$B222='Team Parser'!$B$1, Data!L222,"")</f>
        <v/>
      </c>
      <c r="Z230" s="134" t="str">
        <f>IF(Data!$B222='Team Parser'!$B$1, Data!K222,"")</f>
        <v/>
      </c>
      <c r="AA230" s="134" t="str">
        <f>IF(Data!$B222='Team Parser'!$B$1, Data!M222,"")</f>
        <v/>
      </c>
      <c r="AB230" s="134" t="str">
        <f>IF(Data!$B222='Team Parser'!$B$1,((Z230*2)+(Y230)+(X230*4)+(W230*2)),"")</f>
        <v/>
      </c>
      <c r="AC230" s="134" t="str">
        <f>IF(Data!$B222='Team Parser'!$B$1, Data!N222,"")</f>
        <v/>
      </c>
      <c r="AD230" s="139" t="str">
        <f>IF(Data!$B222='Team Parser'!$B$1,(AB230+(COUNTIF(AC230,"TRAVERSE")*15)+(COUNTIF(AC230,"HIGH")*10)+(COUNTIF(AC230,"MIDDLE")*6)+(COUNTIF(AC230,"LOW")*4)),"")</f>
        <v/>
      </c>
    </row>
    <row r="231">
      <c r="A231" s="141" t="s">
        <v>507</v>
      </c>
      <c r="B231" s="134" t="str">
        <f>IFERROR(__xludf.DUMMYFUNCTION("IFERROR((FILTER(Data!H:H,Data!D:D=A231,Data!B:B=$B$1)),"""")"),"")</f>
        <v/>
      </c>
      <c r="C231" s="134" t="str">
        <f>IFERROR(__xludf.DUMMYFUNCTION("IFERROR((FILTER(Data!G:G,Data!D:D=A231,Data!B:B=$B$1)),"""")"),"")</f>
        <v/>
      </c>
      <c r="D231" s="134" t="str">
        <f>IFERROR(__xludf.DUMMYFUNCTION("IFERROR((FILTER(Data!J:J,Data!D:D=A231,Data!B:B=$B$1)),"""")"),"")</f>
        <v/>
      </c>
      <c r="E231" s="134" t="str">
        <f>IFERROR(__xludf.DUMMYFUNCTION("IFERROR((FILTER(Data!L:L,Data!D:D=A231,Data!B:B=$B$1)),"""")"),"")</f>
        <v/>
      </c>
      <c r="F231" s="134" t="str">
        <f>IFERROR(__xludf.DUMMYFUNCTION("IFERROR((FILTER(Data!K:K,Data!D:D=A231,Data!B:B=$B$1)),"""")"),"")</f>
        <v/>
      </c>
      <c r="G231" s="134" t="str">
        <f>IFERROR(__xludf.DUMMYFUNCTION("IFERROR((FILTER(Data!M:M,Data!D:D=A231,Data!B:B=$B$1)),"""")"),"")</f>
        <v/>
      </c>
      <c r="H231" s="134" t="str">
        <f>IFERROR(__xludf.DUMMYFUNCTION("IFERROR((FILTER(Data!G:G,Data!D:D=A231,Data!B:B=$B$1)*4)+(FILTER(Data!H:H,Data!D:D=A231,Data!B:B=$B$1)*2),"""")"),"")</f>
        <v/>
      </c>
      <c r="I231" s="15" t="str">
        <f>IFERROR(__xludf.DUMMYFUNCTION("IFERROR((FILTER(Data!K:K,Data!D:D=A231,Data!B:B=$B$1)*2)+(FILTER(Data!L:L,Data!D:D=A231,Data!B:B=$B$1)),"""")"),"")</f>
        <v/>
      </c>
      <c r="J231" s="134" t="str">
        <f>IFERROR(__xludf.DUMMYFUNCTION("IFERROR((FILTER(Data!N:N,Data!D:D=A231,Data!B:B=$B$1)),"""")"),"")</f>
        <v/>
      </c>
      <c r="K231" s="135" t="str">
        <f>IFERROR(__xludf.DUMMYFUNCTION("IFERROR((FILTER(Data!H:H,Data!D:D=A231,Data!B:B=$B$1)*2)+(FILTER(Data!L:L,Data!D:D=A231,Data!B:B=$B$1))+(FILTER(Data!G:G,Data!D:D=A231,Data!B:B=$B$1)*4)+(FILTER(Data!K:K,Data!D:D=A231,Data!B:B=$B$1)*2)+(((COUNTIF(FILTER(Data!N:N,Data!D:D=A231,Data!B:B=$B$"&amp;"1),""TRAVERSE"")*15)+(COUNTIF(FILTER(Data!N:N,Data!D:D=A231,Data!B:B=$B$1),""HIGH"")*10)+(COUNTIF(FILTER(Data!N:N,Data!D:D=A231,Data!B:B=$B$1),""MIDDLE"")*6)+(COUNTIF(FILTER(Data!N:N,Data!D:D=A231,Data!B:B=$B$1),""LOW"")*4))),"""")"),"")</f>
        <v/>
      </c>
      <c r="L231" s="136" t="str">
        <f>IFERROR(__xludf.DUMMYFUNCTION("IFERROR((FILTER(Data!P:P,Data!D:D=A231,Data!B:B=$B$1)),"""")"),"")</f>
        <v/>
      </c>
      <c r="M231" s="137" t="str">
        <f>IFERROR(__xludf.DUMMYFUNCTION("IFERROR((FILTER(Data!A:A,Data!D:D=A231,Data!B:B=$B$1)),"""")"),"")</f>
        <v/>
      </c>
      <c r="T231" s="52">
        <f>IFERROR(__xludf.DUMMYFUNCTION("((COUNTIF(FILTER(Data!N:N,Data!D:D=A231,Data!B:B=$B$1),""TRAVERSE"")*15)+(COUNTIF(FILTER(Data!N:N,Data!D:D=A231,Data!B:B=B$1),""HIGH"")*10)+(COUNTIF(FILTER(Data!N:N,Data!D:D=A231,Data!B:B=$B$1),""MIDDLE"")*6)+(COUNTIF(FILTER(Data!N:N,Data!D:D=A231,Data!B:"&amp;"B=$B$1),""LOW"")*4))"),0.0)</f>
        <v>0</v>
      </c>
      <c r="V231" s="138" t="str">
        <f>IF(Data!B223='Team Parser'!$B$1, Data!D223,"")</f>
        <v/>
      </c>
      <c r="W231" s="134" t="str">
        <f>IF(Data!$B223='Team Parser'!$B$1, Data!H223,"")</f>
        <v/>
      </c>
      <c r="X231" s="134" t="str">
        <f>IF(Data!$B223='Team Parser'!$B$1, Data!G223,"")</f>
        <v/>
      </c>
      <c r="Y231" s="134" t="str">
        <f>IF(Data!$B223='Team Parser'!$B$1, Data!L223,"")</f>
        <v/>
      </c>
      <c r="Z231" s="134" t="str">
        <f>IF(Data!$B223='Team Parser'!$B$1, Data!K223,"")</f>
        <v/>
      </c>
      <c r="AA231" s="134" t="str">
        <f>IF(Data!$B223='Team Parser'!$B$1, Data!M223,"")</f>
        <v/>
      </c>
      <c r="AB231" s="134" t="str">
        <f>IF(Data!$B223='Team Parser'!$B$1,((Z231*2)+(Y231)+(X231*4)+(W231*2)),"")</f>
        <v/>
      </c>
      <c r="AC231" s="134" t="str">
        <f>IF(Data!$B223='Team Parser'!$B$1, Data!N223,"")</f>
        <v/>
      </c>
      <c r="AD231" s="139" t="str">
        <f>IF(Data!$B223='Team Parser'!$B$1,(AB231+(COUNTIF(AC231,"TRAVERSE")*15)+(COUNTIF(AC231,"HIGH")*10)+(COUNTIF(AC231,"MIDDLE")*6)+(COUNTIF(AC231,"LOW")*4)),"")</f>
        <v/>
      </c>
    </row>
    <row r="232">
      <c r="A232" s="141" t="s">
        <v>507</v>
      </c>
      <c r="B232" s="134" t="str">
        <f>IFERROR(__xludf.DUMMYFUNCTION("IFERROR((FILTER(Data!H:H,Data!D:D=A232,Data!B:B=$B$1)),"""")"),"")</f>
        <v/>
      </c>
      <c r="C232" s="134" t="str">
        <f>IFERROR(__xludf.DUMMYFUNCTION("IFERROR((FILTER(Data!G:G,Data!D:D=A232,Data!B:B=$B$1)),"""")"),"")</f>
        <v/>
      </c>
      <c r="D232" s="134" t="str">
        <f>IFERROR(__xludf.DUMMYFUNCTION("IFERROR((FILTER(Data!J:J,Data!D:D=A232,Data!B:B=$B$1)),"""")"),"")</f>
        <v/>
      </c>
      <c r="E232" s="134" t="str">
        <f>IFERROR(__xludf.DUMMYFUNCTION("IFERROR((FILTER(Data!L:L,Data!D:D=A232,Data!B:B=$B$1)),"""")"),"")</f>
        <v/>
      </c>
      <c r="F232" s="134" t="str">
        <f>IFERROR(__xludf.DUMMYFUNCTION("IFERROR((FILTER(Data!K:K,Data!D:D=A232,Data!B:B=$B$1)),"""")"),"")</f>
        <v/>
      </c>
      <c r="G232" s="134" t="str">
        <f>IFERROR(__xludf.DUMMYFUNCTION("IFERROR((FILTER(Data!M:M,Data!D:D=A232,Data!B:B=$B$1)),"""")"),"")</f>
        <v/>
      </c>
      <c r="H232" s="134" t="str">
        <f>IFERROR(__xludf.DUMMYFUNCTION("IFERROR((FILTER(Data!G:G,Data!D:D=A232,Data!B:B=$B$1)*4)+(FILTER(Data!H:H,Data!D:D=A232,Data!B:B=$B$1)*2),"""")"),"")</f>
        <v/>
      </c>
      <c r="I232" s="15" t="str">
        <f>IFERROR(__xludf.DUMMYFUNCTION("IFERROR((FILTER(Data!K:K,Data!D:D=A232,Data!B:B=$B$1)*2)+(FILTER(Data!L:L,Data!D:D=A232,Data!B:B=$B$1)),"""")"),"")</f>
        <v/>
      </c>
      <c r="J232" s="134" t="str">
        <f>IFERROR(__xludf.DUMMYFUNCTION("IFERROR((FILTER(Data!N:N,Data!D:D=A232,Data!B:B=$B$1)),"""")"),"")</f>
        <v/>
      </c>
      <c r="K232" s="135" t="str">
        <f>IFERROR(__xludf.DUMMYFUNCTION("IFERROR((FILTER(Data!H:H,Data!D:D=A232,Data!B:B=$B$1)*2)+(FILTER(Data!L:L,Data!D:D=A232,Data!B:B=$B$1))+(FILTER(Data!G:G,Data!D:D=A232,Data!B:B=$B$1)*4)+(FILTER(Data!K:K,Data!D:D=A232,Data!B:B=$B$1)*2)+(((COUNTIF(FILTER(Data!N:N,Data!D:D=A232,Data!B:B=$B$"&amp;"1),""TRAVERSE"")*15)+(COUNTIF(FILTER(Data!N:N,Data!D:D=A232,Data!B:B=$B$1),""HIGH"")*10)+(COUNTIF(FILTER(Data!N:N,Data!D:D=A232,Data!B:B=$B$1),""MIDDLE"")*6)+(COUNTIF(FILTER(Data!N:N,Data!D:D=A232,Data!B:B=$B$1),""LOW"")*4))),"""")"),"")</f>
        <v/>
      </c>
      <c r="L232" s="136" t="str">
        <f>IFERROR(__xludf.DUMMYFUNCTION("IFERROR((FILTER(Data!P:P,Data!D:D=A232,Data!B:B=$B$1)),"""")"),"")</f>
        <v/>
      </c>
      <c r="M232" s="137" t="str">
        <f>IFERROR(__xludf.DUMMYFUNCTION("IFERROR((FILTER(Data!A:A,Data!D:D=A232,Data!B:B=$B$1)),"""")"),"")</f>
        <v/>
      </c>
      <c r="T232" s="52">
        <f>IFERROR(__xludf.DUMMYFUNCTION("((COUNTIF(FILTER(Data!N:N,Data!D:D=A232,Data!B:B=$B$1),""TRAVERSE"")*15)+(COUNTIF(FILTER(Data!N:N,Data!D:D=A232,Data!B:B=B$1),""HIGH"")*10)+(COUNTIF(FILTER(Data!N:N,Data!D:D=A232,Data!B:B=$B$1),""MIDDLE"")*6)+(COUNTIF(FILTER(Data!N:N,Data!D:D=A232,Data!B:"&amp;"B=$B$1),""LOW"")*4))"),0.0)</f>
        <v>0</v>
      </c>
      <c r="V232" s="138" t="str">
        <f>IF(Data!B224='Team Parser'!$B$1, Data!D224,"")</f>
        <v/>
      </c>
      <c r="W232" s="134" t="str">
        <f>IF(Data!$B224='Team Parser'!$B$1, Data!H224,"")</f>
        <v/>
      </c>
      <c r="X232" s="134" t="str">
        <f>IF(Data!$B224='Team Parser'!$B$1, Data!G224,"")</f>
        <v/>
      </c>
      <c r="Y232" s="134" t="str">
        <f>IF(Data!$B224='Team Parser'!$B$1, Data!L224,"")</f>
        <v/>
      </c>
      <c r="Z232" s="134" t="str">
        <f>IF(Data!$B224='Team Parser'!$B$1, Data!K224,"")</f>
        <v/>
      </c>
      <c r="AA232" s="134" t="str">
        <f>IF(Data!$B224='Team Parser'!$B$1, Data!M224,"")</f>
        <v/>
      </c>
      <c r="AB232" s="134" t="str">
        <f>IF(Data!$B224='Team Parser'!$B$1,((Z232*2)+(Y232)+(X232*4)+(W232*2)),"")</f>
        <v/>
      </c>
      <c r="AC232" s="134" t="str">
        <f>IF(Data!$B224='Team Parser'!$B$1, Data!N224,"")</f>
        <v/>
      </c>
      <c r="AD232" s="139" t="str">
        <f>IF(Data!$B224='Team Parser'!$B$1,(AB232+(COUNTIF(AC232,"TRAVERSE")*15)+(COUNTIF(AC232,"HIGH")*10)+(COUNTIF(AC232,"MIDDLE")*6)+(COUNTIF(AC232,"LOW")*4)),"")</f>
        <v/>
      </c>
    </row>
    <row r="233">
      <c r="A233" s="141" t="s">
        <v>507</v>
      </c>
      <c r="B233" s="134" t="str">
        <f>IFERROR(__xludf.DUMMYFUNCTION("IFERROR((FILTER(Data!H:H,Data!D:D=A233,Data!B:B=$B$1)),"""")"),"")</f>
        <v/>
      </c>
      <c r="C233" s="134" t="str">
        <f>IFERROR(__xludf.DUMMYFUNCTION("IFERROR((FILTER(Data!G:G,Data!D:D=A233,Data!B:B=$B$1)),"""")"),"")</f>
        <v/>
      </c>
      <c r="D233" s="134" t="str">
        <f>IFERROR(__xludf.DUMMYFUNCTION("IFERROR((FILTER(Data!J:J,Data!D:D=A233,Data!B:B=$B$1)),"""")"),"")</f>
        <v/>
      </c>
      <c r="E233" s="134" t="str">
        <f>IFERROR(__xludf.DUMMYFUNCTION("IFERROR((FILTER(Data!L:L,Data!D:D=A233,Data!B:B=$B$1)),"""")"),"")</f>
        <v/>
      </c>
      <c r="F233" s="134" t="str">
        <f>IFERROR(__xludf.DUMMYFUNCTION("IFERROR((FILTER(Data!K:K,Data!D:D=A233,Data!B:B=$B$1)),"""")"),"")</f>
        <v/>
      </c>
      <c r="G233" s="134" t="str">
        <f>IFERROR(__xludf.DUMMYFUNCTION("IFERROR((FILTER(Data!M:M,Data!D:D=A233,Data!B:B=$B$1)),"""")"),"")</f>
        <v/>
      </c>
      <c r="H233" s="134" t="str">
        <f>IFERROR(__xludf.DUMMYFUNCTION("IFERROR((FILTER(Data!G:G,Data!D:D=A233,Data!B:B=$B$1)*4)+(FILTER(Data!H:H,Data!D:D=A233,Data!B:B=$B$1)*2),"""")"),"")</f>
        <v/>
      </c>
      <c r="I233" s="15" t="str">
        <f>IFERROR(__xludf.DUMMYFUNCTION("IFERROR((FILTER(Data!K:K,Data!D:D=A233,Data!B:B=$B$1)*2)+(FILTER(Data!L:L,Data!D:D=A233,Data!B:B=$B$1)),"""")"),"")</f>
        <v/>
      </c>
      <c r="J233" s="134" t="str">
        <f>IFERROR(__xludf.DUMMYFUNCTION("IFERROR((FILTER(Data!N:N,Data!D:D=A233,Data!B:B=$B$1)),"""")"),"")</f>
        <v/>
      </c>
      <c r="K233" s="135" t="str">
        <f>IFERROR(__xludf.DUMMYFUNCTION("IFERROR((FILTER(Data!H:H,Data!D:D=A233,Data!B:B=$B$1)*2)+(FILTER(Data!L:L,Data!D:D=A233,Data!B:B=$B$1))+(FILTER(Data!G:G,Data!D:D=A233,Data!B:B=$B$1)*4)+(FILTER(Data!K:K,Data!D:D=A233,Data!B:B=$B$1)*2)+(((COUNTIF(FILTER(Data!N:N,Data!D:D=A233,Data!B:B=$B$"&amp;"1),""TRAVERSE"")*15)+(COUNTIF(FILTER(Data!N:N,Data!D:D=A233,Data!B:B=$B$1),""HIGH"")*10)+(COUNTIF(FILTER(Data!N:N,Data!D:D=A233,Data!B:B=$B$1),""MIDDLE"")*6)+(COUNTIF(FILTER(Data!N:N,Data!D:D=A233,Data!B:B=$B$1),""LOW"")*4))),"""")"),"")</f>
        <v/>
      </c>
      <c r="L233" s="136" t="str">
        <f>IFERROR(__xludf.DUMMYFUNCTION("IFERROR((FILTER(Data!P:P,Data!D:D=A233,Data!B:B=$B$1)),"""")"),"")</f>
        <v/>
      </c>
      <c r="M233" s="137" t="str">
        <f>IFERROR(__xludf.DUMMYFUNCTION("IFERROR((FILTER(Data!A:A,Data!D:D=A233,Data!B:B=$B$1)),"""")"),"")</f>
        <v/>
      </c>
      <c r="T233" s="52">
        <f>IFERROR(__xludf.DUMMYFUNCTION("((COUNTIF(FILTER(Data!N:N,Data!D:D=A233,Data!B:B=$B$1),""TRAVERSE"")*15)+(COUNTIF(FILTER(Data!N:N,Data!D:D=A233,Data!B:B=B$1),""HIGH"")*10)+(COUNTIF(FILTER(Data!N:N,Data!D:D=A233,Data!B:B=$B$1),""MIDDLE"")*6)+(COUNTIF(FILTER(Data!N:N,Data!D:D=A233,Data!B:"&amp;"B=$B$1),""LOW"")*4))"),0.0)</f>
        <v>0</v>
      </c>
      <c r="V233" s="138" t="str">
        <f>IF(Data!B225='Team Parser'!$B$1, Data!D225,"")</f>
        <v/>
      </c>
      <c r="W233" s="134" t="str">
        <f>IF(Data!$B225='Team Parser'!$B$1, Data!H225,"")</f>
        <v/>
      </c>
      <c r="X233" s="134" t="str">
        <f>IF(Data!$B225='Team Parser'!$B$1, Data!G225,"")</f>
        <v/>
      </c>
      <c r="Y233" s="134" t="str">
        <f>IF(Data!$B225='Team Parser'!$B$1, Data!L225,"")</f>
        <v/>
      </c>
      <c r="Z233" s="134" t="str">
        <f>IF(Data!$B225='Team Parser'!$B$1, Data!K225,"")</f>
        <v/>
      </c>
      <c r="AA233" s="134" t="str">
        <f>IF(Data!$B225='Team Parser'!$B$1, Data!M225,"")</f>
        <v/>
      </c>
      <c r="AB233" s="134" t="str">
        <f>IF(Data!$B225='Team Parser'!$B$1,((Z233*2)+(Y233)+(X233*4)+(W233*2)),"")</f>
        <v/>
      </c>
      <c r="AC233" s="134" t="str">
        <f>IF(Data!$B225='Team Parser'!$B$1, Data!N225,"")</f>
        <v/>
      </c>
      <c r="AD233" s="139" t="str">
        <f>IF(Data!$B225='Team Parser'!$B$1,(AB233+(COUNTIF(AC233,"TRAVERSE")*15)+(COUNTIF(AC233,"HIGH")*10)+(COUNTIF(AC233,"MIDDLE")*6)+(COUNTIF(AC233,"LOW")*4)),"")</f>
        <v/>
      </c>
    </row>
    <row r="234">
      <c r="A234" s="141" t="s">
        <v>507</v>
      </c>
      <c r="B234" s="134" t="str">
        <f>IFERROR(__xludf.DUMMYFUNCTION("IFERROR((FILTER(Data!H:H,Data!D:D=A234,Data!B:B=$B$1)),"""")"),"")</f>
        <v/>
      </c>
      <c r="C234" s="134" t="str">
        <f>IFERROR(__xludf.DUMMYFUNCTION("IFERROR((FILTER(Data!G:G,Data!D:D=A234,Data!B:B=$B$1)),"""")"),"")</f>
        <v/>
      </c>
      <c r="D234" s="134" t="str">
        <f>IFERROR(__xludf.DUMMYFUNCTION("IFERROR((FILTER(Data!J:J,Data!D:D=A234,Data!B:B=$B$1)),"""")"),"")</f>
        <v/>
      </c>
      <c r="E234" s="134" t="str">
        <f>IFERROR(__xludf.DUMMYFUNCTION("IFERROR((FILTER(Data!L:L,Data!D:D=A234,Data!B:B=$B$1)),"""")"),"")</f>
        <v/>
      </c>
      <c r="F234" s="134" t="str">
        <f>IFERROR(__xludf.DUMMYFUNCTION("IFERROR((FILTER(Data!K:K,Data!D:D=A234,Data!B:B=$B$1)),"""")"),"")</f>
        <v/>
      </c>
      <c r="G234" s="134" t="str">
        <f>IFERROR(__xludf.DUMMYFUNCTION("IFERROR((FILTER(Data!M:M,Data!D:D=A234,Data!B:B=$B$1)),"""")"),"")</f>
        <v/>
      </c>
      <c r="H234" s="134" t="str">
        <f>IFERROR(__xludf.DUMMYFUNCTION("IFERROR((FILTER(Data!G:G,Data!D:D=A234,Data!B:B=$B$1)*4)+(FILTER(Data!H:H,Data!D:D=A234,Data!B:B=$B$1)*2),"""")"),"")</f>
        <v/>
      </c>
      <c r="I234" s="15" t="str">
        <f>IFERROR(__xludf.DUMMYFUNCTION("IFERROR((FILTER(Data!K:K,Data!D:D=A234,Data!B:B=$B$1)*2)+(FILTER(Data!L:L,Data!D:D=A234,Data!B:B=$B$1)),"""")"),"")</f>
        <v/>
      </c>
      <c r="J234" s="134" t="str">
        <f>IFERROR(__xludf.DUMMYFUNCTION("IFERROR((FILTER(Data!N:N,Data!D:D=A234,Data!B:B=$B$1)),"""")"),"")</f>
        <v/>
      </c>
      <c r="K234" s="135" t="str">
        <f>IFERROR(__xludf.DUMMYFUNCTION("IFERROR((FILTER(Data!H:H,Data!D:D=A234,Data!B:B=$B$1)*2)+(FILTER(Data!L:L,Data!D:D=A234,Data!B:B=$B$1))+(FILTER(Data!G:G,Data!D:D=A234,Data!B:B=$B$1)*4)+(FILTER(Data!K:K,Data!D:D=A234,Data!B:B=$B$1)*2)+(((COUNTIF(FILTER(Data!N:N,Data!D:D=A234,Data!B:B=$B$"&amp;"1),""TRAVERSE"")*15)+(COUNTIF(FILTER(Data!N:N,Data!D:D=A234,Data!B:B=$B$1),""HIGH"")*10)+(COUNTIF(FILTER(Data!N:N,Data!D:D=A234,Data!B:B=$B$1),""MIDDLE"")*6)+(COUNTIF(FILTER(Data!N:N,Data!D:D=A234,Data!B:B=$B$1),""LOW"")*4))),"""")"),"")</f>
        <v/>
      </c>
      <c r="L234" s="136" t="str">
        <f>IFERROR(__xludf.DUMMYFUNCTION("IFERROR((FILTER(Data!P:P,Data!D:D=A234,Data!B:B=$B$1)),"""")"),"")</f>
        <v/>
      </c>
      <c r="M234" s="137" t="str">
        <f>IFERROR(__xludf.DUMMYFUNCTION("IFERROR((FILTER(Data!A:A,Data!D:D=A234,Data!B:B=$B$1)),"""")"),"")</f>
        <v/>
      </c>
      <c r="T234" s="52">
        <f>IFERROR(__xludf.DUMMYFUNCTION("((COUNTIF(FILTER(Data!N:N,Data!D:D=A234,Data!B:B=$B$1),""TRAVERSE"")*15)+(COUNTIF(FILTER(Data!N:N,Data!D:D=A234,Data!B:B=B$1),""HIGH"")*10)+(COUNTIF(FILTER(Data!N:N,Data!D:D=A234,Data!B:B=$B$1),""MIDDLE"")*6)+(COUNTIF(FILTER(Data!N:N,Data!D:D=A234,Data!B:"&amp;"B=$B$1),""LOW"")*4))"),0.0)</f>
        <v>0</v>
      </c>
      <c r="V234" s="138" t="str">
        <f>IF(Data!B226='Team Parser'!$B$1, Data!D226,"")</f>
        <v/>
      </c>
      <c r="W234" s="134" t="str">
        <f>IF(Data!$B226='Team Parser'!$B$1, Data!H226,"")</f>
        <v/>
      </c>
      <c r="X234" s="134" t="str">
        <f>IF(Data!$B226='Team Parser'!$B$1, Data!G226,"")</f>
        <v/>
      </c>
      <c r="Y234" s="134" t="str">
        <f>IF(Data!$B226='Team Parser'!$B$1, Data!L226,"")</f>
        <v/>
      </c>
      <c r="Z234" s="134" t="str">
        <f>IF(Data!$B226='Team Parser'!$B$1, Data!K226,"")</f>
        <v/>
      </c>
      <c r="AA234" s="134" t="str">
        <f>IF(Data!$B226='Team Parser'!$B$1, Data!M226,"")</f>
        <v/>
      </c>
      <c r="AB234" s="134" t="str">
        <f>IF(Data!$B226='Team Parser'!$B$1,((Z234*2)+(Y234)+(X234*4)+(W234*2)),"")</f>
        <v/>
      </c>
      <c r="AC234" s="134" t="str">
        <f>IF(Data!$B226='Team Parser'!$B$1, Data!N226,"")</f>
        <v/>
      </c>
      <c r="AD234" s="139" t="str">
        <f>IF(Data!$B226='Team Parser'!$B$1,(AB234+(COUNTIF(AC234,"TRAVERSE")*15)+(COUNTIF(AC234,"HIGH")*10)+(COUNTIF(AC234,"MIDDLE")*6)+(COUNTIF(AC234,"LOW")*4)),"")</f>
        <v/>
      </c>
    </row>
    <row r="235">
      <c r="A235" s="141" t="s">
        <v>507</v>
      </c>
      <c r="B235" s="134" t="str">
        <f>IFERROR(__xludf.DUMMYFUNCTION("IFERROR((FILTER(Data!H:H,Data!D:D=A235,Data!B:B=$B$1)),"""")"),"")</f>
        <v/>
      </c>
      <c r="C235" s="134" t="str">
        <f>IFERROR(__xludf.DUMMYFUNCTION("IFERROR((FILTER(Data!G:G,Data!D:D=A235,Data!B:B=$B$1)),"""")"),"")</f>
        <v/>
      </c>
      <c r="D235" s="134" t="str">
        <f>IFERROR(__xludf.DUMMYFUNCTION("IFERROR((FILTER(Data!J:J,Data!D:D=A235,Data!B:B=$B$1)),"""")"),"")</f>
        <v/>
      </c>
      <c r="E235" s="134" t="str">
        <f>IFERROR(__xludf.DUMMYFUNCTION("IFERROR((FILTER(Data!L:L,Data!D:D=A235,Data!B:B=$B$1)),"""")"),"")</f>
        <v/>
      </c>
      <c r="F235" s="134" t="str">
        <f>IFERROR(__xludf.DUMMYFUNCTION("IFERROR((FILTER(Data!K:K,Data!D:D=A235,Data!B:B=$B$1)),"""")"),"")</f>
        <v/>
      </c>
      <c r="G235" s="134" t="str">
        <f>IFERROR(__xludf.DUMMYFUNCTION("IFERROR((FILTER(Data!M:M,Data!D:D=A235,Data!B:B=$B$1)),"""")"),"")</f>
        <v/>
      </c>
      <c r="H235" s="134" t="str">
        <f>IFERROR(__xludf.DUMMYFUNCTION("IFERROR((FILTER(Data!G:G,Data!D:D=A235,Data!B:B=$B$1)*4)+(FILTER(Data!H:H,Data!D:D=A235,Data!B:B=$B$1)*2),"""")"),"")</f>
        <v/>
      </c>
      <c r="I235" s="15" t="str">
        <f>IFERROR(__xludf.DUMMYFUNCTION("IFERROR((FILTER(Data!K:K,Data!D:D=A235,Data!B:B=$B$1)*2)+(FILTER(Data!L:L,Data!D:D=A235,Data!B:B=$B$1)),"""")"),"")</f>
        <v/>
      </c>
      <c r="J235" s="134" t="str">
        <f>IFERROR(__xludf.DUMMYFUNCTION("IFERROR((FILTER(Data!N:N,Data!D:D=A235,Data!B:B=$B$1)),"""")"),"")</f>
        <v/>
      </c>
      <c r="K235" s="135" t="str">
        <f>IFERROR(__xludf.DUMMYFUNCTION("IFERROR((FILTER(Data!H:H,Data!D:D=A235,Data!B:B=$B$1)*2)+(FILTER(Data!L:L,Data!D:D=A235,Data!B:B=$B$1))+(FILTER(Data!G:G,Data!D:D=A235,Data!B:B=$B$1)*4)+(FILTER(Data!K:K,Data!D:D=A235,Data!B:B=$B$1)*2)+(((COUNTIF(FILTER(Data!N:N,Data!D:D=A235,Data!B:B=$B$"&amp;"1),""TRAVERSE"")*15)+(COUNTIF(FILTER(Data!N:N,Data!D:D=A235,Data!B:B=$B$1),""HIGH"")*10)+(COUNTIF(FILTER(Data!N:N,Data!D:D=A235,Data!B:B=$B$1),""MIDDLE"")*6)+(COUNTIF(FILTER(Data!N:N,Data!D:D=A235,Data!B:B=$B$1),""LOW"")*4))),"""")"),"")</f>
        <v/>
      </c>
      <c r="L235" s="136" t="str">
        <f>IFERROR(__xludf.DUMMYFUNCTION("IFERROR((FILTER(Data!P:P,Data!D:D=A235,Data!B:B=$B$1)),"""")"),"")</f>
        <v/>
      </c>
      <c r="M235" s="137" t="str">
        <f>IFERROR(__xludf.DUMMYFUNCTION("IFERROR((FILTER(Data!A:A,Data!D:D=A235,Data!B:B=$B$1)),"""")"),"")</f>
        <v/>
      </c>
      <c r="T235" s="52">
        <f>IFERROR(__xludf.DUMMYFUNCTION("((COUNTIF(FILTER(Data!N:N,Data!D:D=A235,Data!B:B=$B$1),""TRAVERSE"")*15)+(COUNTIF(FILTER(Data!N:N,Data!D:D=A235,Data!B:B=B$1),""HIGH"")*10)+(COUNTIF(FILTER(Data!N:N,Data!D:D=A235,Data!B:B=$B$1),""MIDDLE"")*6)+(COUNTIF(FILTER(Data!N:N,Data!D:D=A235,Data!B:"&amp;"B=$B$1),""LOW"")*4))"),0.0)</f>
        <v>0</v>
      </c>
      <c r="V235" s="138" t="str">
        <f>IF(Data!B227='Team Parser'!$B$1, Data!D227,"")</f>
        <v/>
      </c>
      <c r="W235" s="134" t="str">
        <f>IF(Data!$B227='Team Parser'!$B$1, Data!H227,"")</f>
        <v/>
      </c>
      <c r="X235" s="134" t="str">
        <f>IF(Data!$B227='Team Parser'!$B$1, Data!G227,"")</f>
        <v/>
      </c>
      <c r="Y235" s="134" t="str">
        <f>IF(Data!$B227='Team Parser'!$B$1, Data!L227,"")</f>
        <v/>
      </c>
      <c r="Z235" s="134" t="str">
        <f>IF(Data!$B227='Team Parser'!$B$1, Data!K227,"")</f>
        <v/>
      </c>
      <c r="AA235" s="134" t="str">
        <f>IF(Data!$B227='Team Parser'!$B$1, Data!M227,"")</f>
        <v/>
      </c>
      <c r="AB235" s="134" t="str">
        <f>IF(Data!$B227='Team Parser'!$B$1,((Z235*2)+(Y235)+(X235*4)+(W235*2)),"")</f>
        <v/>
      </c>
      <c r="AC235" s="134" t="str">
        <f>IF(Data!$B227='Team Parser'!$B$1, Data!N227,"")</f>
        <v/>
      </c>
      <c r="AD235" s="139" t="str">
        <f>IF(Data!$B227='Team Parser'!$B$1,(AB235+(COUNTIF(AC235,"TRAVERSE")*15)+(COUNTIF(AC235,"HIGH")*10)+(COUNTIF(AC235,"MIDDLE")*6)+(COUNTIF(AC235,"LOW")*4)),"")</f>
        <v/>
      </c>
    </row>
    <row r="236">
      <c r="A236" s="141" t="s">
        <v>507</v>
      </c>
      <c r="B236" s="134" t="str">
        <f>IFERROR(__xludf.DUMMYFUNCTION("IFERROR((FILTER(Data!H:H,Data!D:D=A236,Data!B:B=$B$1)),"""")"),"")</f>
        <v/>
      </c>
      <c r="C236" s="134" t="str">
        <f>IFERROR(__xludf.DUMMYFUNCTION("IFERROR((FILTER(Data!G:G,Data!D:D=A236,Data!B:B=$B$1)),"""")"),"")</f>
        <v/>
      </c>
      <c r="D236" s="134" t="str">
        <f>IFERROR(__xludf.DUMMYFUNCTION("IFERROR((FILTER(Data!J:J,Data!D:D=A236,Data!B:B=$B$1)),"""")"),"")</f>
        <v/>
      </c>
      <c r="E236" s="134" t="str">
        <f>IFERROR(__xludf.DUMMYFUNCTION("IFERROR((FILTER(Data!L:L,Data!D:D=A236,Data!B:B=$B$1)),"""")"),"")</f>
        <v/>
      </c>
      <c r="F236" s="134" t="str">
        <f>IFERROR(__xludf.DUMMYFUNCTION("IFERROR((FILTER(Data!K:K,Data!D:D=A236,Data!B:B=$B$1)),"""")"),"")</f>
        <v/>
      </c>
      <c r="G236" s="134" t="str">
        <f>IFERROR(__xludf.DUMMYFUNCTION("IFERROR((FILTER(Data!M:M,Data!D:D=A236,Data!B:B=$B$1)),"""")"),"")</f>
        <v/>
      </c>
      <c r="H236" s="134" t="str">
        <f>IFERROR(__xludf.DUMMYFUNCTION("IFERROR((FILTER(Data!G:G,Data!D:D=A236,Data!B:B=$B$1)*4)+(FILTER(Data!H:H,Data!D:D=A236,Data!B:B=$B$1)*2),"""")"),"")</f>
        <v/>
      </c>
      <c r="I236" s="15" t="str">
        <f>IFERROR(__xludf.DUMMYFUNCTION("IFERROR((FILTER(Data!K:K,Data!D:D=A236,Data!B:B=$B$1)*2)+(FILTER(Data!L:L,Data!D:D=A236,Data!B:B=$B$1)),"""")"),"")</f>
        <v/>
      </c>
      <c r="J236" s="134" t="str">
        <f>IFERROR(__xludf.DUMMYFUNCTION("IFERROR((FILTER(Data!N:N,Data!D:D=A236,Data!B:B=$B$1)),"""")"),"")</f>
        <v/>
      </c>
      <c r="K236" s="135" t="str">
        <f>IFERROR(__xludf.DUMMYFUNCTION("IFERROR((FILTER(Data!H:H,Data!D:D=A236,Data!B:B=$B$1)*2)+(FILTER(Data!L:L,Data!D:D=A236,Data!B:B=$B$1))+(FILTER(Data!G:G,Data!D:D=A236,Data!B:B=$B$1)*4)+(FILTER(Data!K:K,Data!D:D=A236,Data!B:B=$B$1)*2)+(((COUNTIF(FILTER(Data!N:N,Data!D:D=A236,Data!B:B=$B$"&amp;"1),""TRAVERSE"")*15)+(COUNTIF(FILTER(Data!N:N,Data!D:D=A236,Data!B:B=$B$1),""HIGH"")*10)+(COUNTIF(FILTER(Data!N:N,Data!D:D=A236,Data!B:B=$B$1),""MIDDLE"")*6)+(COUNTIF(FILTER(Data!N:N,Data!D:D=A236,Data!B:B=$B$1),""LOW"")*4))),"""")"),"")</f>
        <v/>
      </c>
      <c r="L236" s="136" t="str">
        <f>IFERROR(__xludf.DUMMYFUNCTION("IFERROR((FILTER(Data!P:P,Data!D:D=A236,Data!B:B=$B$1)),"""")"),"")</f>
        <v/>
      </c>
      <c r="M236" s="137" t="str">
        <f>IFERROR(__xludf.DUMMYFUNCTION("IFERROR((FILTER(Data!A:A,Data!D:D=A236,Data!B:B=$B$1)),"""")"),"")</f>
        <v/>
      </c>
      <c r="T236" s="52">
        <f>IFERROR(__xludf.DUMMYFUNCTION("((COUNTIF(FILTER(Data!N:N,Data!D:D=A236,Data!B:B=$B$1),""TRAVERSE"")*15)+(COUNTIF(FILTER(Data!N:N,Data!D:D=A236,Data!B:B=B$1),""HIGH"")*10)+(COUNTIF(FILTER(Data!N:N,Data!D:D=A236,Data!B:B=$B$1),""MIDDLE"")*6)+(COUNTIF(FILTER(Data!N:N,Data!D:D=A236,Data!B:"&amp;"B=$B$1),""LOW"")*4))"),0.0)</f>
        <v>0</v>
      </c>
      <c r="V236" s="138" t="str">
        <f>IF(Data!B228='Team Parser'!$B$1, Data!D228,"")</f>
        <v/>
      </c>
      <c r="W236" s="134" t="str">
        <f>IF(Data!$B228='Team Parser'!$B$1, Data!H228,"")</f>
        <v/>
      </c>
      <c r="X236" s="134" t="str">
        <f>IF(Data!$B228='Team Parser'!$B$1, Data!G228,"")</f>
        <v/>
      </c>
      <c r="Y236" s="134" t="str">
        <f>IF(Data!$B228='Team Parser'!$B$1, Data!L228,"")</f>
        <v/>
      </c>
      <c r="Z236" s="134" t="str">
        <f>IF(Data!$B228='Team Parser'!$B$1, Data!K228,"")</f>
        <v/>
      </c>
      <c r="AA236" s="134" t="str">
        <f>IF(Data!$B228='Team Parser'!$B$1, Data!M228,"")</f>
        <v/>
      </c>
      <c r="AB236" s="134" t="str">
        <f>IF(Data!$B228='Team Parser'!$B$1,((Z236*2)+(Y236)+(X236*4)+(W236*2)),"")</f>
        <v/>
      </c>
      <c r="AC236" s="134" t="str">
        <f>IF(Data!$B228='Team Parser'!$B$1, Data!N228,"")</f>
        <v/>
      </c>
      <c r="AD236" s="139" t="str">
        <f>IF(Data!$B228='Team Parser'!$B$1,(AB236+(COUNTIF(AC236,"TRAVERSE")*15)+(COUNTIF(AC236,"HIGH")*10)+(COUNTIF(AC236,"MIDDLE")*6)+(COUNTIF(AC236,"LOW")*4)),"")</f>
        <v/>
      </c>
    </row>
    <row r="237">
      <c r="A237" s="141" t="s">
        <v>507</v>
      </c>
      <c r="B237" s="134" t="str">
        <f>IFERROR(__xludf.DUMMYFUNCTION("IFERROR((FILTER(Data!H:H,Data!D:D=A237,Data!B:B=$B$1)),"""")"),"")</f>
        <v/>
      </c>
      <c r="C237" s="134" t="str">
        <f>IFERROR(__xludf.DUMMYFUNCTION("IFERROR((FILTER(Data!G:G,Data!D:D=A237,Data!B:B=$B$1)),"""")"),"")</f>
        <v/>
      </c>
      <c r="D237" s="134" t="str">
        <f>IFERROR(__xludf.DUMMYFUNCTION("IFERROR((FILTER(Data!J:J,Data!D:D=A237,Data!B:B=$B$1)),"""")"),"")</f>
        <v/>
      </c>
      <c r="E237" s="134" t="str">
        <f>IFERROR(__xludf.DUMMYFUNCTION("IFERROR((FILTER(Data!L:L,Data!D:D=A237,Data!B:B=$B$1)),"""")"),"")</f>
        <v/>
      </c>
      <c r="F237" s="134" t="str">
        <f>IFERROR(__xludf.DUMMYFUNCTION("IFERROR((FILTER(Data!K:K,Data!D:D=A237,Data!B:B=$B$1)),"""")"),"")</f>
        <v/>
      </c>
      <c r="G237" s="134" t="str">
        <f>IFERROR(__xludf.DUMMYFUNCTION("IFERROR((FILTER(Data!M:M,Data!D:D=A237,Data!B:B=$B$1)),"""")"),"")</f>
        <v/>
      </c>
      <c r="H237" s="134" t="str">
        <f>IFERROR(__xludf.DUMMYFUNCTION("IFERROR((FILTER(Data!G:G,Data!D:D=A237,Data!B:B=$B$1)*4)+(FILTER(Data!H:H,Data!D:D=A237,Data!B:B=$B$1)*2),"""")"),"")</f>
        <v/>
      </c>
      <c r="I237" s="15" t="str">
        <f>IFERROR(__xludf.DUMMYFUNCTION("IFERROR((FILTER(Data!K:K,Data!D:D=A237,Data!B:B=$B$1)*2)+(FILTER(Data!L:L,Data!D:D=A237,Data!B:B=$B$1)),"""")"),"")</f>
        <v/>
      </c>
      <c r="J237" s="134" t="str">
        <f>IFERROR(__xludf.DUMMYFUNCTION("IFERROR((FILTER(Data!N:N,Data!D:D=A237,Data!B:B=$B$1)),"""")"),"")</f>
        <v/>
      </c>
      <c r="K237" s="135" t="str">
        <f>IFERROR(__xludf.DUMMYFUNCTION("IFERROR((FILTER(Data!H:H,Data!D:D=A237,Data!B:B=$B$1)*2)+(FILTER(Data!L:L,Data!D:D=A237,Data!B:B=$B$1))+(FILTER(Data!G:G,Data!D:D=A237,Data!B:B=$B$1)*4)+(FILTER(Data!K:K,Data!D:D=A237,Data!B:B=$B$1)*2)+(((COUNTIF(FILTER(Data!N:N,Data!D:D=A237,Data!B:B=$B$"&amp;"1),""TRAVERSE"")*15)+(COUNTIF(FILTER(Data!N:N,Data!D:D=A237,Data!B:B=$B$1),""HIGH"")*10)+(COUNTIF(FILTER(Data!N:N,Data!D:D=A237,Data!B:B=$B$1),""MIDDLE"")*6)+(COUNTIF(FILTER(Data!N:N,Data!D:D=A237,Data!B:B=$B$1),""LOW"")*4))),"""")"),"")</f>
        <v/>
      </c>
      <c r="L237" s="136" t="str">
        <f>IFERROR(__xludf.DUMMYFUNCTION("IFERROR((FILTER(Data!P:P,Data!D:D=A237,Data!B:B=$B$1)),"""")"),"")</f>
        <v/>
      </c>
      <c r="M237" s="137" t="str">
        <f>IFERROR(__xludf.DUMMYFUNCTION("IFERROR((FILTER(Data!A:A,Data!D:D=A237,Data!B:B=$B$1)),"""")"),"")</f>
        <v/>
      </c>
      <c r="T237" s="52">
        <f>IFERROR(__xludf.DUMMYFUNCTION("((COUNTIF(FILTER(Data!N:N,Data!D:D=A237,Data!B:B=$B$1),""TRAVERSE"")*15)+(COUNTIF(FILTER(Data!N:N,Data!D:D=A237,Data!B:B=B$1),""HIGH"")*10)+(COUNTIF(FILTER(Data!N:N,Data!D:D=A237,Data!B:B=$B$1),""MIDDLE"")*6)+(COUNTIF(FILTER(Data!N:N,Data!D:D=A237,Data!B:"&amp;"B=$B$1),""LOW"")*4))"),0.0)</f>
        <v>0</v>
      </c>
      <c r="V237" s="138" t="str">
        <f>IF(Data!B229='Team Parser'!$B$1, Data!D229,"")</f>
        <v/>
      </c>
      <c r="W237" s="134" t="str">
        <f>IF(Data!$B229='Team Parser'!$B$1, Data!H229,"")</f>
        <v/>
      </c>
      <c r="X237" s="134" t="str">
        <f>IF(Data!$B229='Team Parser'!$B$1, Data!G229,"")</f>
        <v/>
      </c>
      <c r="Y237" s="134" t="str">
        <f>IF(Data!$B229='Team Parser'!$B$1, Data!L229,"")</f>
        <v/>
      </c>
      <c r="Z237" s="134" t="str">
        <f>IF(Data!$B229='Team Parser'!$B$1, Data!K229,"")</f>
        <v/>
      </c>
      <c r="AA237" s="134" t="str">
        <f>IF(Data!$B229='Team Parser'!$B$1, Data!M229,"")</f>
        <v/>
      </c>
      <c r="AB237" s="134" t="str">
        <f>IF(Data!$B229='Team Parser'!$B$1,((Z237*2)+(Y237)+(X237*4)+(W237*2)),"")</f>
        <v/>
      </c>
      <c r="AC237" s="134" t="str">
        <f>IF(Data!$B229='Team Parser'!$B$1, Data!N229,"")</f>
        <v/>
      </c>
      <c r="AD237" s="139" t="str">
        <f>IF(Data!$B229='Team Parser'!$B$1,(AB237+(COUNTIF(AC237,"TRAVERSE")*15)+(COUNTIF(AC237,"HIGH")*10)+(COUNTIF(AC237,"MIDDLE")*6)+(COUNTIF(AC237,"LOW")*4)),"")</f>
        <v/>
      </c>
    </row>
    <row r="238">
      <c r="A238" s="141" t="s">
        <v>507</v>
      </c>
      <c r="B238" s="134" t="str">
        <f>IFERROR(__xludf.DUMMYFUNCTION("IFERROR((FILTER(Data!H:H,Data!D:D=A238,Data!B:B=$B$1)),"""")"),"")</f>
        <v/>
      </c>
      <c r="C238" s="134" t="str">
        <f>IFERROR(__xludf.DUMMYFUNCTION("IFERROR((FILTER(Data!G:G,Data!D:D=A238,Data!B:B=$B$1)),"""")"),"")</f>
        <v/>
      </c>
      <c r="D238" s="134" t="str">
        <f>IFERROR(__xludf.DUMMYFUNCTION("IFERROR((FILTER(Data!J:J,Data!D:D=A238,Data!B:B=$B$1)),"""")"),"")</f>
        <v/>
      </c>
      <c r="E238" s="134" t="str">
        <f>IFERROR(__xludf.DUMMYFUNCTION("IFERROR((FILTER(Data!L:L,Data!D:D=A238,Data!B:B=$B$1)),"""")"),"")</f>
        <v/>
      </c>
      <c r="F238" s="134" t="str">
        <f>IFERROR(__xludf.DUMMYFUNCTION("IFERROR((FILTER(Data!K:K,Data!D:D=A238,Data!B:B=$B$1)),"""")"),"")</f>
        <v/>
      </c>
      <c r="G238" s="134" t="str">
        <f>IFERROR(__xludf.DUMMYFUNCTION("IFERROR((FILTER(Data!M:M,Data!D:D=A238,Data!B:B=$B$1)),"""")"),"")</f>
        <v/>
      </c>
      <c r="H238" s="134" t="str">
        <f>IFERROR(__xludf.DUMMYFUNCTION("IFERROR((FILTER(Data!G:G,Data!D:D=A238,Data!B:B=$B$1)*4)+(FILTER(Data!H:H,Data!D:D=A238,Data!B:B=$B$1)*2),"""")"),"")</f>
        <v/>
      </c>
      <c r="I238" s="15" t="str">
        <f>IFERROR(__xludf.DUMMYFUNCTION("IFERROR((FILTER(Data!K:K,Data!D:D=A238,Data!B:B=$B$1)*2)+(FILTER(Data!L:L,Data!D:D=A238,Data!B:B=$B$1)),"""")"),"")</f>
        <v/>
      </c>
      <c r="J238" s="134" t="str">
        <f>IFERROR(__xludf.DUMMYFUNCTION("IFERROR((FILTER(Data!N:N,Data!D:D=A238,Data!B:B=$B$1)),"""")"),"")</f>
        <v/>
      </c>
      <c r="K238" s="135" t="str">
        <f>IFERROR(__xludf.DUMMYFUNCTION("IFERROR((FILTER(Data!H:H,Data!D:D=A238,Data!B:B=$B$1)*2)+(FILTER(Data!L:L,Data!D:D=A238,Data!B:B=$B$1))+(FILTER(Data!G:G,Data!D:D=A238,Data!B:B=$B$1)*4)+(FILTER(Data!K:K,Data!D:D=A238,Data!B:B=$B$1)*2)+(((COUNTIF(FILTER(Data!N:N,Data!D:D=A238,Data!B:B=$B$"&amp;"1),""TRAVERSE"")*15)+(COUNTIF(FILTER(Data!N:N,Data!D:D=A238,Data!B:B=$B$1),""HIGH"")*10)+(COUNTIF(FILTER(Data!N:N,Data!D:D=A238,Data!B:B=$B$1),""MIDDLE"")*6)+(COUNTIF(FILTER(Data!N:N,Data!D:D=A238,Data!B:B=$B$1),""LOW"")*4))),"""")"),"")</f>
        <v/>
      </c>
      <c r="L238" s="136" t="str">
        <f>IFERROR(__xludf.DUMMYFUNCTION("IFERROR((FILTER(Data!P:P,Data!D:D=A238,Data!B:B=$B$1)),"""")"),"")</f>
        <v/>
      </c>
      <c r="M238" s="137" t="str">
        <f>IFERROR(__xludf.DUMMYFUNCTION("IFERROR((FILTER(Data!A:A,Data!D:D=A238,Data!B:B=$B$1)),"""")"),"")</f>
        <v/>
      </c>
      <c r="T238" s="52">
        <f>IFERROR(__xludf.DUMMYFUNCTION("((COUNTIF(FILTER(Data!N:N,Data!D:D=A238,Data!B:B=$B$1),""TRAVERSE"")*15)+(COUNTIF(FILTER(Data!N:N,Data!D:D=A238,Data!B:B=B$1),""HIGH"")*10)+(COUNTIF(FILTER(Data!N:N,Data!D:D=A238,Data!B:B=$B$1),""MIDDLE"")*6)+(COUNTIF(FILTER(Data!N:N,Data!D:D=A238,Data!B:"&amp;"B=$B$1),""LOW"")*4))"),0.0)</f>
        <v>0</v>
      </c>
      <c r="V238" s="138" t="str">
        <f>IF(Data!B230='Team Parser'!$B$1, Data!D230,"")</f>
        <v/>
      </c>
      <c r="W238" s="134" t="str">
        <f>IF(Data!$B230='Team Parser'!$B$1, Data!H230,"")</f>
        <v/>
      </c>
      <c r="X238" s="134" t="str">
        <f>IF(Data!$B230='Team Parser'!$B$1, Data!G230,"")</f>
        <v/>
      </c>
      <c r="Y238" s="134" t="str">
        <f>IF(Data!$B230='Team Parser'!$B$1, Data!L230,"")</f>
        <v/>
      </c>
      <c r="Z238" s="134" t="str">
        <f>IF(Data!$B230='Team Parser'!$B$1, Data!K230,"")</f>
        <v/>
      </c>
      <c r="AA238" s="134" t="str">
        <f>IF(Data!$B230='Team Parser'!$B$1, Data!M230,"")</f>
        <v/>
      </c>
      <c r="AB238" s="134" t="str">
        <f>IF(Data!$B230='Team Parser'!$B$1,((Z238*2)+(Y238)+(X238*4)+(W238*2)),"")</f>
        <v/>
      </c>
      <c r="AC238" s="134" t="str">
        <f>IF(Data!$B230='Team Parser'!$B$1, Data!N230,"")</f>
        <v/>
      </c>
      <c r="AD238" s="139" t="str">
        <f>IF(Data!$B230='Team Parser'!$B$1,(AB238+(COUNTIF(AC238,"TRAVERSE")*15)+(COUNTIF(AC238,"HIGH")*10)+(COUNTIF(AC238,"MIDDLE")*6)+(COUNTIF(AC238,"LOW")*4)),"")</f>
        <v/>
      </c>
    </row>
    <row r="239">
      <c r="A239" s="141" t="s">
        <v>507</v>
      </c>
      <c r="B239" s="134" t="str">
        <f>IFERROR(__xludf.DUMMYFUNCTION("IFERROR((FILTER(Data!H:H,Data!D:D=A239,Data!B:B=$B$1)),"""")"),"")</f>
        <v/>
      </c>
      <c r="C239" s="134" t="str">
        <f>IFERROR(__xludf.DUMMYFUNCTION("IFERROR((FILTER(Data!G:G,Data!D:D=A239,Data!B:B=$B$1)),"""")"),"")</f>
        <v/>
      </c>
      <c r="D239" s="134" t="str">
        <f>IFERROR(__xludf.DUMMYFUNCTION("IFERROR((FILTER(Data!J:J,Data!D:D=A239,Data!B:B=$B$1)),"""")"),"")</f>
        <v/>
      </c>
      <c r="E239" s="134" t="str">
        <f>IFERROR(__xludf.DUMMYFUNCTION("IFERROR((FILTER(Data!L:L,Data!D:D=A239,Data!B:B=$B$1)),"""")"),"")</f>
        <v/>
      </c>
      <c r="F239" s="134" t="str">
        <f>IFERROR(__xludf.DUMMYFUNCTION("IFERROR((FILTER(Data!K:K,Data!D:D=A239,Data!B:B=$B$1)),"""")"),"")</f>
        <v/>
      </c>
      <c r="G239" s="134" t="str">
        <f>IFERROR(__xludf.DUMMYFUNCTION("IFERROR((FILTER(Data!M:M,Data!D:D=A239,Data!B:B=$B$1)),"""")"),"")</f>
        <v/>
      </c>
      <c r="H239" s="134" t="str">
        <f>IFERROR(__xludf.DUMMYFUNCTION("IFERROR((FILTER(Data!G:G,Data!D:D=A239,Data!B:B=$B$1)*4)+(FILTER(Data!H:H,Data!D:D=A239,Data!B:B=$B$1)*2),"""")"),"")</f>
        <v/>
      </c>
      <c r="I239" s="15" t="str">
        <f>IFERROR(__xludf.DUMMYFUNCTION("IFERROR((FILTER(Data!K:K,Data!D:D=A239,Data!B:B=$B$1)*2)+(FILTER(Data!L:L,Data!D:D=A239,Data!B:B=$B$1)),"""")"),"")</f>
        <v/>
      </c>
      <c r="J239" s="134" t="str">
        <f>IFERROR(__xludf.DUMMYFUNCTION("IFERROR((FILTER(Data!N:N,Data!D:D=A239,Data!B:B=$B$1)),"""")"),"")</f>
        <v/>
      </c>
      <c r="K239" s="135" t="str">
        <f>IFERROR(__xludf.DUMMYFUNCTION("IFERROR((FILTER(Data!H:H,Data!D:D=A239,Data!B:B=$B$1)*2)+(FILTER(Data!L:L,Data!D:D=A239,Data!B:B=$B$1))+(FILTER(Data!G:G,Data!D:D=A239,Data!B:B=$B$1)*4)+(FILTER(Data!K:K,Data!D:D=A239,Data!B:B=$B$1)*2)+(((COUNTIF(FILTER(Data!N:N,Data!D:D=A239,Data!B:B=$B$"&amp;"1),""TRAVERSE"")*15)+(COUNTIF(FILTER(Data!N:N,Data!D:D=A239,Data!B:B=$B$1),""HIGH"")*10)+(COUNTIF(FILTER(Data!N:N,Data!D:D=A239,Data!B:B=$B$1),""MIDDLE"")*6)+(COUNTIF(FILTER(Data!N:N,Data!D:D=A239,Data!B:B=$B$1),""LOW"")*4))),"""")"),"")</f>
        <v/>
      </c>
      <c r="L239" s="136" t="str">
        <f>IFERROR(__xludf.DUMMYFUNCTION("IFERROR((FILTER(Data!P:P,Data!D:D=A239,Data!B:B=$B$1)),"""")"),"")</f>
        <v/>
      </c>
      <c r="M239" s="137" t="str">
        <f>IFERROR(__xludf.DUMMYFUNCTION("IFERROR((FILTER(Data!A:A,Data!D:D=A239,Data!B:B=$B$1)),"""")"),"")</f>
        <v/>
      </c>
      <c r="T239" s="52">
        <f>IFERROR(__xludf.DUMMYFUNCTION("((COUNTIF(FILTER(Data!N:N,Data!D:D=A239,Data!B:B=$B$1),""TRAVERSE"")*15)+(COUNTIF(FILTER(Data!N:N,Data!D:D=A239,Data!B:B=B$1),""HIGH"")*10)+(COUNTIF(FILTER(Data!N:N,Data!D:D=A239,Data!B:B=$B$1),""MIDDLE"")*6)+(COUNTIF(FILTER(Data!N:N,Data!D:D=A239,Data!B:"&amp;"B=$B$1),""LOW"")*4))"),0.0)</f>
        <v>0</v>
      </c>
      <c r="V239" s="138" t="str">
        <f>IF(Data!B231='Team Parser'!$B$1, Data!D231,"")</f>
        <v/>
      </c>
      <c r="W239" s="134" t="str">
        <f>IF(Data!$B231='Team Parser'!$B$1, Data!H231,"")</f>
        <v/>
      </c>
      <c r="X239" s="134" t="str">
        <f>IF(Data!$B231='Team Parser'!$B$1, Data!G231,"")</f>
        <v/>
      </c>
      <c r="Y239" s="134" t="str">
        <f>IF(Data!$B231='Team Parser'!$B$1, Data!L231,"")</f>
        <v/>
      </c>
      <c r="Z239" s="134" t="str">
        <f>IF(Data!$B231='Team Parser'!$B$1, Data!K231,"")</f>
        <v/>
      </c>
      <c r="AA239" s="134" t="str">
        <f>IF(Data!$B231='Team Parser'!$B$1, Data!M231,"")</f>
        <v/>
      </c>
      <c r="AB239" s="134" t="str">
        <f>IF(Data!$B231='Team Parser'!$B$1,((Z239*2)+(Y239)+(X239*4)+(W239*2)),"")</f>
        <v/>
      </c>
      <c r="AC239" s="134" t="str">
        <f>IF(Data!$B231='Team Parser'!$B$1, Data!N231,"")</f>
        <v/>
      </c>
      <c r="AD239" s="139" t="str">
        <f>IF(Data!$B231='Team Parser'!$B$1,(AB239+(COUNTIF(AC239,"TRAVERSE")*15)+(COUNTIF(AC239,"HIGH")*10)+(COUNTIF(AC239,"MIDDLE")*6)+(COUNTIF(AC239,"LOW")*4)),"")</f>
        <v/>
      </c>
    </row>
    <row r="240">
      <c r="A240" s="141" t="s">
        <v>507</v>
      </c>
      <c r="B240" s="134" t="str">
        <f>IFERROR(__xludf.DUMMYFUNCTION("IFERROR((FILTER(Data!H:H,Data!D:D=A240,Data!B:B=$B$1)),"""")"),"")</f>
        <v/>
      </c>
      <c r="C240" s="134" t="str">
        <f>IFERROR(__xludf.DUMMYFUNCTION("IFERROR((FILTER(Data!G:G,Data!D:D=A240,Data!B:B=$B$1)),"""")"),"")</f>
        <v/>
      </c>
      <c r="D240" s="134" t="str">
        <f>IFERROR(__xludf.DUMMYFUNCTION("IFERROR((FILTER(Data!J:J,Data!D:D=A240,Data!B:B=$B$1)),"""")"),"")</f>
        <v/>
      </c>
      <c r="E240" s="134" t="str">
        <f>IFERROR(__xludf.DUMMYFUNCTION("IFERROR((FILTER(Data!L:L,Data!D:D=A240,Data!B:B=$B$1)),"""")"),"")</f>
        <v/>
      </c>
      <c r="F240" s="134" t="str">
        <f>IFERROR(__xludf.DUMMYFUNCTION("IFERROR((FILTER(Data!K:K,Data!D:D=A240,Data!B:B=$B$1)),"""")"),"")</f>
        <v/>
      </c>
      <c r="G240" s="134" t="str">
        <f>IFERROR(__xludf.DUMMYFUNCTION("IFERROR((FILTER(Data!M:M,Data!D:D=A240,Data!B:B=$B$1)),"""")"),"")</f>
        <v/>
      </c>
      <c r="H240" s="134" t="str">
        <f>IFERROR(__xludf.DUMMYFUNCTION("IFERROR((FILTER(Data!G:G,Data!D:D=A240,Data!B:B=$B$1)*4)+(FILTER(Data!H:H,Data!D:D=A240,Data!B:B=$B$1)*2),"""")"),"")</f>
        <v/>
      </c>
      <c r="I240" s="15" t="str">
        <f>IFERROR(__xludf.DUMMYFUNCTION("IFERROR((FILTER(Data!K:K,Data!D:D=A240,Data!B:B=$B$1)*2)+(FILTER(Data!L:L,Data!D:D=A240,Data!B:B=$B$1)),"""")"),"")</f>
        <v/>
      </c>
      <c r="J240" s="134" t="str">
        <f>IFERROR(__xludf.DUMMYFUNCTION("IFERROR((FILTER(Data!N:N,Data!D:D=A240,Data!B:B=$B$1)),"""")"),"")</f>
        <v/>
      </c>
      <c r="K240" s="135" t="str">
        <f>IFERROR(__xludf.DUMMYFUNCTION("IFERROR((FILTER(Data!H:H,Data!D:D=A240,Data!B:B=$B$1)*2)+(FILTER(Data!L:L,Data!D:D=A240,Data!B:B=$B$1))+(FILTER(Data!G:G,Data!D:D=A240,Data!B:B=$B$1)*4)+(FILTER(Data!K:K,Data!D:D=A240,Data!B:B=$B$1)*2)+(((COUNTIF(FILTER(Data!N:N,Data!D:D=A240,Data!B:B=$B$"&amp;"1),""TRAVERSE"")*15)+(COUNTIF(FILTER(Data!N:N,Data!D:D=A240,Data!B:B=$B$1),""HIGH"")*10)+(COUNTIF(FILTER(Data!N:N,Data!D:D=A240,Data!B:B=$B$1),""MIDDLE"")*6)+(COUNTIF(FILTER(Data!N:N,Data!D:D=A240,Data!B:B=$B$1),""LOW"")*4))),"""")"),"")</f>
        <v/>
      </c>
      <c r="L240" s="136" t="str">
        <f>IFERROR(__xludf.DUMMYFUNCTION("IFERROR((FILTER(Data!P:P,Data!D:D=A240,Data!B:B=$B$1)),"""")"),"")</f>
        <v/>
      </c>
      <c r="M240" s="137" t="str">
        <f>IFERROR(__xludf.DUMMYFUNCTION("IFERROR((FILTER(Data!A:A,Data!D:D=A240,Data!B:B=$B$1)),"""")"),"")</f>
        <v/>
      </c>
      <c r="T240" s="52">
        <f>IFERROR(__xludf.DUMMYFUNCTION("((COUNTIF(FILTER(Data!N:N,Data!D:D=A240,Data!B:B=$B$1),""TRAVERSE"")*15)+(COUNTIF(FILTER(Data!N:N,Data!D:D=A240,Data!B:B=B$1),""HIGH"")*10)+(COUNTIF(FILTER(Data!N:N,Data!D:D=A240,Data!B:B=$B$1),""MIDDLE"")*6)+(COUNTIF(FILTER(Data!N:N,Data!D:D=A240,Data!B:"&amp;"B=$B$1),""LOW"")*4))"),0.0)</f>
        <v>0</v>
      </c>
      <c r="V240" s="138" t="str">
        <f>IF(Data!B232='Team Parser'!$B$1, Data!D232,"")</f>
        <v/>
      </c>
      <c r="W240" s="134" t="str">
        <f>IF(Data!$B232='Team Parser'!$B$1, Data!H232,"")</f>
        <v/>
      </c>
      <c r="X240" s="134" t="str">
        <f>IF(Data!$B232='Team Parser'!$B$1, Data!G232,"")</f>
        <v/>
      </c>
      <c r="Y240" s="134" t="str">
        <f>IF(Data!$B232='Team Parser'!$B$1, Data!L232,"")</f>
        <v/>
      </c>
      <c r="Z240" s="134" t="str">
        <f>IF(Data!$B232='Team Parser'!$B$1, Data!K232,"")</f>
        <v/>
      </c>
      <c r="AA240" s="134" t="str">
        <f>IF(Data!$B232='Team Parser'!$B$1, Data!M232,"")</f>
        <v/>
      </c>
      <c r="AB240" s="134" t="str">
        <f>IF(Data!$B232='Team Parser'!$B$1,((Z240*2)+(Y240)+(X240*4)+(W240*2)),"")</f>
        <v/>
      </c>
      <c r="AC240" s="134" t="str">
        <f>IF(Data!$B232='Team Parser'!$B$1, Data!N232,"")</f>
        <v/>
      </c>
      <c r="AD240" s="139" t="str">
        <f>IF(Data!$B232='Team Parser'!$B$1,(AB240+(COUNTIF(AC240,"TRAVERSE")*15)+(COUNTIF(AC240,"HIGH")*10)+(COUNTIF(AC240,"MIDDLE")*6)+(COUNTIF(AC240,"LOW")*4)),"")</f>
        <v/>
      </c>
    </row>
    <row r="241">
      <c r="A241" s="141" t="s">
        <v>507</v>
      </c>
      <c r="B241" s="134" t="str">
        <f>IFERROR(__xludf.DUMMYFUNCTION("IFERROR((FILTER(Data!H:H,Data!D:D=A241,Data!B:B=$B$1)),"""")"),"")</f>
        <v/>
      </c>
      <c r="C241" s="134" t="str">
        <f>IFERROR(__xludf.DUMMYFUNCTION("IFERROR((FILTER(Data!G:G,Data!D:D=A241,Data!B:B=$B$1)),"""")"),"")</f>
        <v/>
      </c>
      <c r="D241" s="134" t="str">
        <f>IFERROR(__xludf.DUMMYFUNCTION("IFERROR((FILTER(Data!J:J,Data!D:D=A241,Data!B:B=$B$1)),"""")"),"")</f>
        <v/>
      </c>
      <c r="E241" s="134" t="str">
        <f>IFERROR(__xludf.DUMMYFUNCTION("IFERROR((FILTER(Data!L:L,Data!D:D=A241,Data!B:B=$B$1)),"""")"),"")</f>
        <v/>
      </c>
      <c r="F241" s="134" t="str">
        <f>IFERROR(__xludf.DUMMYFUNCTION("IFERROR((FILTER(Data!K:K,Data!D:D=A241,Data!B:B=$B$1)),"""")"),"")</f>
        <v/>
      </c>
      <c r="G241" s="134" t="str">
        <f>IFERROR(__xludf.DUMMYFUNCTION("IFERROR((FILTER(Data!M:M,Data!D:D=A241,Data!B:B=$B$1)),"""")"),"")</f>
        <v/>
      </c>
      <c r="H241" s="134" t="str">
        <f>IFERROR(__xludf.DUMMYFUNCTION("IFERROR((FILTER(Data!G:G,Data!D:D=A241,Data!B:B=$B$1)*4)+(FILTER(Data!H:H,Data!D:D=A241,Data!B:B=$B$1)*2),"""")"),"")</f>
        <v/>
      </c>
      <c r="I241" s="15" t="str">
        <f>IFERROR(__xludf.DUMMYFUNCTION("IFERROR((FILTER(Data!K:K,Data!D:D=A241,Data!B:B=$B$1)*2)+(FILTER(Data!L:L,Data!D:D=A241,Data!B:B=$B$1)),"""")"),"")</f>
        <v/>
      </c>
      <c r="J241" s="134" t="str">
        <f>IFERROR(__xludf.DUMMYFUNCTION("IFERROR((FILTER(Data!N:N,Data!D:D=A241,Data!B:B=$B$1)),"""")"),"")</f>
        <v/>
      </c>
      <c r="K241" s="135" t="str">
        <f>IFERROR(__xludf.DUMMYFUNCTION("IFERROR((FILTER(Data!H:H,Data!D:D=A241,Data!B:B=$B$1)*2)+(FILTER(Data!L:L,Data!D:D=A241,Data!B:B=$B$1))+(FILTER(Data!G:G,Data!D:D=A241,Data!B:B=$B$1)*4)+(FILTER(Data!K:K,Data!D:D=A241,Data!B:B=$B$1)*2)+(((COUNTIF(FILTER(Data!N:N,Data!D:D=A241,Data!B:B=$B$"&amp;"1),""TRAVERSE"")*15)+(COUNTIF(FILTER(Data!N:N,Data!D:D=A241,Data!B:B=$B$1),""HIGH"")*10)+(COUNTIF(FILTER(Data!N:N,Data!D:D=A241,Data!B:B=$B$1),""MIDDLE"")*6)+(COUNTIF(FILTER(Data!N:N,Data!D:D=A241,Data!B:B=$B$1),""LOW"")*4))),"""")"),"")</f>
        <v/>
      </c>
      <c r="L241" s="136" t="str">
        <f>IFERROR(__xludf.DUMMYFUNCTION("IFERROR((FILTER(Data!P:P,Data!D:D=A241,Data!B:B=$B$1)),"""")"),"")</f>
        <v/>
      </c>
      <c r="M241" s="137" t="str">
        <f>IFERROR(__xludf.DUMMYFUNCTION("IFERROR((FILTER(Data!A:A,Data!D:D=A241,Data!B:B=$B$1)),"""")"),"")</f>
        <v/>
      </c>
      <c r="T241" s="52">
        <f>IFERROR(__xludf.DUMMYFUNCTION("((COUNTIF(FILTER(Data!N:N,Data!D:D=A241,Data!B:B=$B$1),""TRAVERSE"")*15)+(COUNTIF(FILTER(Data!N:N,Data!D:D=A241,Data!B:B=B$1),""HIGH"")*10)+(COUNTIF(FILTER(Data!N:N,Data!D:D=A241,Data!B:B=$B$1),""MIDDLE"")*6)+(COUNTIF(FILTER(Data!N:N,Data!D:D=A241,Data!B:"&amp;"B=$B$1),""LOW"")*4))"),0.0)</f>
        <v>0</v>
      </c>
      <c r="V241" s="138" t="str">
        <f>IF(Data!B233='Team Parser'!$B$1, Data!D233,"")</f>
        <v/>
      </c>
      <c r="W241" s="134" t="str">
        <f>IF(Data!$B233='Team Parser'!$B$1, Data!H233,"")</f>
        <v/>
      </c>
      <c r="X241" s="134" t="str">
        <f>IF(Data!$B233='Team Parser'!$B$1, Data!G233,"")</f>
        <v/>
      </c>
      <c r="Y241" s="134" t="str">
        <f>IF(Data!$B233='Team Parser'!$B$1, Data!L233,"")</f>
        <v/>
      </c>
      <c r="Z241" s="134" t="str">
        <f>IF(Data!$B233='Team Parser'!$B$1, Data!K233,"")</f>
        <v/>
      </c>
      <c r="AA241" s="134" t="str">
        <f>IF(Data!$B233='Team Parser'!$B$1, Data!M233,"")</f>
        <v/>
      </c>
      <c r="AB241" s="134" t="str">
        <f>IF(Data!$B233='Team Parser'!$B$1,((Z241*2)+(Y241)+(X241*4)+(W241*2)),"")</f>
        <v/>
      </c>
      <c r="AC241" s="134" t="str">
        <f>IF(Data!$B233='Team Parser'!$B$1, Data!N233,"")</f>
        <v/>
      </c>
      <c r="AD241" s="139" t="str">
        <f>IF(Data!$B233='Team Parser'!$B$1,(AB241+(COUNTIF(AC241,"TRAVERSE")*15)+(COUNTIF(AC241,"HIGH")*10)+(COUNTIF(AC241,"MIDDLE")*6)+(COUNTIF(AC241,"LOW")*4)),"")</f>
        <v/>
      </c>
    </row>
    <row r="242">
      <c r="A242" s="141" t="s">
        <v>507</v>
      </c>
      <c r="B242" s="134" t="str">
        <f>IFERROR(__xludf.DUMMYFUNCTION("IFERROR((FILTER(Data!H:H,Data!D:D=A242,Data!B:B=$B$1)),"""")"),"")</f>
        <v/>
      </c>
      <c r="C242" s="134" t="str">
        <f>IFERROR(__xludf.DUMMYFUNCTION("IFERROR((FILTER(Data!G:G,Data!D:D=A242,Data!B:B=$B$1)),"""")"),"")</f>
        <v/>
      </c>
      <c r="D242" s="134" t="str">
        <f>IFERROR(__xludf.DUMMYFUNCTION("IFERROR((FILTER(Data!J:J,Data!D:D=A242,Data!B:B=$B$1)),"""")"),"")</f>
        <v/>
      </c>
      <c r="E242" s="134" t="str">
        <f>IFERROR(__xludf.DUMMYFUNCTION("IFERROR((FILTER(Data!L:L,Data!D:D=A242,Data!B:B=$B$1)),"""")"),"")</f>
        <v/>
      </c>
      <c r="F242" s="134" t="str">
        <f>IFERROR(__xludf.DUMMYFUNCTION("IFERROR((FILTER(Data!K:K,Data!D:D=A242,Data!B:B=$B$1)),"""")"),"")</f>
        <v/>
      </c>
      <c r="G242" s="134" t="str">
        <f>IFERROR(__xludf.DUMMYFUNCTION("IFERROR((FILTER(Data!M:M,Data!D:D=A242,Data!B:B=$B$1)),"""")"),"")</f>
        <v/>
      </c>
      <c r="H242" s="134" t="str">
        <f>IFERROR(__xludf.DUMMYFUNCTION("IFERROR((FILTER(Data!G:G,Data!D:D=A242,Data!B:B=$B$1)*4)+(FILTER(Data!H:H,Data!D:D=A242,Data!B:B=$B$1)*2),"""")"),"")</f>
        <v/>
      </c>
      <c r="I242" s="15" t="str">
        <f>IFERROR(__xludf.DUMMYFUNCTION("IFERROR((FILTER(Data!K:K,Data!D:D=A242,Data!B:B=$B$1)*2)+(FILTER(Data!L:L,Data!D:D=A242,Data!B:B=$B$1)),"""")"),"")</f>
        <v/>
      </c>
      <c r="J242" s="134" t="str">
        <f>IFERROR(__xludf.DUMMYFUNCTION("IFERROR((FILTER(Data!N:N,Data!D:D=A242,Data!B:B=$B$1)),"""")"),"")</f>
        <v/>
      </c>
      <c r="K242" s="135" t="str">
        <f>IFERROR(__xludf.DUMMYFUNCTION("IFERROR((FILTER(Data!H:H,Data!D:D=A242,Data!B:B=$B$1)*2)+(FILTER(Data!L:L,Data!D:D=A242,Data!B:B=$B$1))+(FILTER(Data!G:G,Data!D:D=A242,Data!B:B=$B$1)*4)+(FILTER(Data!K:K,Data!D:D=A242,Data!B:B=$B$1)*2)+(((COUNTIF(FILTER(Data!N:N,Data!D:D=A242,Data!B:B=$B$"&amp;"1),""TRAVERSE"")*15)+(COUNTIF(FILTER(Data!N:N,Data!D:D=A242,Data!B:B=$B$1),""HIGH"")*10)+(COUNTIF(FILTER(Data!N:N,Data!D:D=A242,Data!B:B=$B$1),""MIDDLE"")*6)+(COUNTIF(FILTER(Data!N:N,Data!D:D=A242,Data!B:B=$B$1),""LOW"")*4))),"""")"),"")</f>
        <v/>
      </c>
      <c r="L242" s="136" t="str">
        <f>IFERROR(__xludf.DUMMYFUNCTION("IFERROR((FILTER(Data!P:P,Data!D:D=A242,Data!B:B=$B$1)),"""")"),"")</f>
        <v/>
      </c>
      <c r="M242" s="137" t="str">
        <f>IFERROR(__xludf.DUMMYFUNCTION("IFERROR((FILTER(Data!A:A,Data!D:D=A242,Data!B:B=$B$1)),"""")"),"")</f>
        <v/>
      </c>
      <c r="T242" s="52">
        <f>IFERROR(__xludf.DUMMYFUNCTION("((COUNTIF(FILTER(Data!N:N,Data!D:D=A242,Data!B:B=$B$1),""TRAVERSE"")*15)+(COUNTIF(FILTER(Data!N:N,Data!D:D=A242,Data!B:B=B$1),""HIGH"")*10)+(COUNTIF(FILTER(Data!N:N,Data!D:D=A242,Data!B:B=$B$1),""MIDDLE"")*6)+(COUNTIF(FILTER(Data!N:N,Data!D:D=A242,Data!B:"&amp;"B=$B$1),""LOW"")*4))"),0.0)</f>
        <v>0</v>
      </c>
      <c r="V242" s="138" t="str">
        <f>IF(Data!B234='Team Parser'!$B$1, Data!D234,"")</f>
        <v/>
      </c>
      <c r="W242" s="134" t="str">
        <f>IF(Data!$B234='Team Parser'!$B$1, Data!H234,"")</f>
        <v/>
      </c>
      <c r="X242" s="134" t="str">
        <f>IF(Data!$B234='Team Parser'!$B$1, Data!G234,"")</f>
        <v/>
      </c>
      <c r="Y242" s="134" t="str">
        <f>IF(Data!$B234='Team Parser'!$B$1, Data!L234,"")</f>
        <v/>
      </c>
      <c r="Z242" s="134" t="str">
        <f>IF(Data!$B234='Team Parser'!$B$1, Data!K234,"")</f>
        <v/>
      </c>
      <c r="AA242" s="134" t="str">
        <f>IF(Data!$B234='Team Parser'!$B$1, Data!M234,"")</f>
        <v/>
      </c>
      <c r="AB242" s="134" t="str">
        <f>IF(Data!$B234='Team Parser'!$B$1,((Z242*2)+(Y242)+(X242*4)+(W242*2)),"")</f>
        <v/>
      </c>
      <c r="AC242" s="134" t="str">
        <f>IF(Data!$B234='Team Parser'!$B$1, Data!N234,"")</f>
        <v/>
      </c>
      <c r="AD242" s="139" t="str">
        <f>IF(Data!$B234='Team Parser'!$B$1,(AB242+(COUNTIF(AC242,"TRAVERSE")*15)+(COUNTIF(AC242,"HIGH")*10)+(COUNTIF(AC242,"MIDDLE")*6)+(COUNTIF(AC242,"LOW")*4)),"")</f>
        <v/>
      </c>
    </row>
    <row r="243">
      <c r="A243" s="141" t="s">
        <v>507</v>
      </c>
      <c r="B243" s="134" t="str">
        <f>IFERROR(__xludf.DUMMYFUNCTION("IFERROR((FILTER(Data!H:H,Data!D:D=A243,Data!B:B=$B$1)),"""")"),"")</f>
        <v/>
      </c>
      <c r="C243" s="134" t="str">
        <f>IFERROR(__xludf.DUMMYFUNCTION("IFERROR((FILTER(Data!G:G,Data!D:D=A243,Data!B:B=$B$1)),"""")"),"")</f>
        <v/>
      </c>
      <c r="D243" s="134" t="str">
        <f>IFERROR(__xludf.DUMMYFUNCTION("IFERROR((FILTER(Data!J:J,Data!D:D=A243,Data!B:B=$B$1)),"""")"),"")</f>
        <v/>
      </c>
      <c r="E243" s="134" t="str">
        <f>IFERROR(__xludf.DUMMYFUNCTION("IFERROR((FILTER(Data!L:L,Data!D:D=A243,Data!B:B=$B$1)),"""")"),"")</f>
        <v/>
      </c>
      <c r="F243" s="134" t="str">
        <f>IFERROR(__xludf.DUMMYFUNCTION("IFERROR((FILTER(Data!K:K,Data!D:D=A243,Data!B:B=$B$1)),"""")"),"")</f>
        <v/>
      </c>
      <c r="G243" s="134" t="str">
        <f>IFERROR(__xludf.DUMMYFUNCTION("IFERROR((FILTER(Data!M:M,Data!D:D=A243,Data!B:B=$B$1)),"""")"),"")</f>
        <v/>
      </c>
      <c r="H243" s="134" t="str">
        <f>IFERROR(__xludf.DUMMYFUNCTION("IFERROR((FILTER(Data!G:G,Data!D:D=A243,Data!B:B=$B$1)*4)+(FILTER(Data!H:H,Data!D:D=A243,Data!B:B=$B$1)*2),"""")"),"")</f>
        <v/>
      </c>
      <c r="I243" s="15" t="str">
        <f>IFERROR(__xludf.DUMMYFUNCTION("IFERROR((FILTER(Data!K:K,Data!D:D=A243,Data!B:B=$B$1)*2)+(FILTER(Data!L:L,Data!D:D=A243,Data!B:B=$B$1)),"""")"),"")</f>
        <v/>
      </c>
      <c r="J243" s="134" t="str">
        <f>IFERROR(__xludf.DUMMYFUNCTION("IFERROR((FILTER(Data!N:N,Data!D:D=A243,Data!B:B=$B$1)),"""")"),"")</f>
        <v/>
      </c>
      <c r="K243" s="135" t="str">
        <f>IFERROR(__xludf.DUMMYFUNCTION("IFERROR((FILTER(Data!H:H,Data!D:D=A243,Data!B:B=$B$1)*2)+(FILTER(Data!L:L,Data!D:D=A243,Data!B:B=$B$1))+(FILTER(Data!G:G,Data!D:D=A243,Data!B:B=$B$1)*4)+(FILTER(Data!K:K,Data!D:D=A243,Data!B:B=$B$1)*2)+(((COUNTIF(FILTER(Data!N:N,Data!D:D=A243,Data!B:B=$B$"&amp;"1),""TRAVERSE"")*15)+(COUNTIF(FILTER(Data!N:N,Data!D:D=A243,Data!B:B=$B$1),""HIGH"")*10)+(COUNTIF(FILTER(Data!N:N,Data!D:D=A243,Data!B:B=$B$1),""MIDDLE"")*6)+(COUNTIF(FILTER(Data!N:N,Data!D:D=A243,Data!B:B=$B$1),""LOW"")*4))),"""")"),"")</f>
        <v/>
      </c>
      <c r="L243" s="136" t="str">
        <f>IFERROR(__xludf.DUMMYFUNCTION("IFERROR((FILTER(Data!P:P,Data!D:D=A243,Data!B:B=$B$1)),"""")"),"")</f>
        <v/>
      </c>
      <c r="M243" s="137" t="str">
        <f>IFERROR(__xludf.DUMMYFUNCTION("IFERROR((FILTER(Data!A:A,Data!D:D=A243,Data!B:B=$B$1)),"""")"),"")</f>
        <v/>
      </c>
      <c r="T243" s="52">
        <f>IFERROR(__xludf.DUMMYFUNCTION("((COUNTIF(FILTER(Data!N:N,Data!D:D=A243,Data!B:B=$B$1),""TRAVERSE"")*15)+(COUNTIF(FILTER(Data!N:N,Data!D:D=A243,Data!B:B=B$1),""HIGH"")*10)+(COUNTIF(FILTER(Data!N:N,Data!D:D=A243,Data!B:B=$B$1),""MIDDLE"")*6)+(COUNTIF(FILTER(Data!N:N,Data!D:D=A243,Data!B:"&amp;"B=$B$1),""LOW"")*4))"),0.0)</f>
        <v>0</v>
      </c>
      <c r="V243" s="138" t="str">
        <f>IF(Data!B235='Team Parser'!$B$1, Data!D235,"")</f>
        <v/>
      </c>
      <c r="W243" s="134" t="str">
        <f>IF(Data!$B235='Team Parser'!$B$1, Data!H235,"")</f>
        <v/>
      </c>
      <c r="X243" s="134" t="str">
        <f>IF(Data!$B235='Team Parser'!$B$1, Data!G235,"")</f>
        <v/>
      </c>
      <c r="Y243" s="134" t="str">
        <f>IF(Data!$B235='Team Parser'!$B$1, Data!L235,"")</f>
        <v/>
      </c>
      <c r="Z243" s="134" t="str">
        <f>IF(Data!$B235='Team Parser'!$B$1, Data!K235,"")</f>
        <v/>
      </c>
      <c r="AA243" s="134" t="str">
        <f>IF(Data!$B235='Team Parser'!$B$1, Data!M235,"")</f>
        <v/>
      </c>
      <c r="AB243" s="134" t="str">
        <f>IF(Data!$B235='Team Parser'!$B$1,((Z243*2)+(Y243)+(X243*4)+(W243*2)),"")</f>
        <v/>
      </c>
      <c r="AC243" s="134" t="str">
        <f>IF(Data!$B235='Team Parser'!$B$1, Data!N235,"")</f>
        <v/>
      </c>
      <c r="AD243" s="139" t="str">
        <f>IF(Data!$B235='Team Parser'!$B$1,(AB243+(COUNTIF(AC243,"TRAVERSE")*15)+(COUNTIF(AC243,"HIGH")*10)+(COUNTIF(AC243,"MIDDLE")*6)+(COUNTIF(AC243,"LOW")*4)),"")</f>
        <v/>
      </c>
    </row>
    <row r="244">
      <c r="A244" s="141" t="s">
        <v>507</v>
      </c>
      <c r="B244" s="134" t="str">
        <f>IFERROR(__xludf.DUMMYFUNCTION("IFERROR((FILTER(Data!H:H,Data!D:D=A244,Data!B:B=$B$1)),"""")"),"")</f>
        <v/>
      </c>
      <c r="C244" s="134" t="str">
        <f>IFERROR(__xludf.DUMMYFUNCTION("IFERROR((FILTER(Data!G:G,Data!D:D=A244,Data!B:B=$B$1)),"""")"),"")</f>
        <v/>
      </c>
      <c r="D244" s="134" t="str">
        <f>IFERROR(__xludf.DUMMYFUNCTION("IFERROR((FILTER(Data!J:J,Data!D:D=A244,Data!B:B=$B$1)),"""")"),"")</f>
        <v/>
      </c>
      <c r="E244" s="134" t="str">
        <f>IFERROR(__xludf.DUMMYFUNCTION("IFERROR((FILTER(Data!L:L,Data!D:D=A244,Data!B:B=$B$1)),"""")"),"")</f>
        <v/>
      </c>
      <c r="F244" s="134" t="str">
        <f>IFERROR(__xludf.DUMMYFUNCTION("IFERROR((FILTER(Data!K:K,Data!D:D=A244,Data!B:B=$B$1)),"""")"),"")</f>
        <v/>
      </c>
      <c r="G244" s="134" t="str">
        <f>IFERROR(__xludf.DUMMYFUNCTION("IFERROR((FILTER(Data!M:M,Data!D:D=A244,Data!B:B=$B$1)),"""")"),"")</f>
        <v/>
      </c>
      <c r="H244" s="134" t="str">
        <f>IFERROR(__xludf.DUMMYFUNCTION("IFERROR((FILTER(Data!G:G,Data!D:D=A244,Data!B:B=$B$1)*4)+(FILTER(Data!H:H,Data!D:D=A244,Data!B:B=$B$1)*2),"""")"),"")</f>
        <v/>
      </c>
      <c r="I244" s="15" t="str">
        <f>IFERROR(__xludf.DUMMYFUNCTION("IFERROR((FILTER(Data!K:K,Data!D:D=A244,Data!B:B=$B$1)*2)+(FILTER(Data!L:L,Data!D:D=A244,Data!B:B=$B$1)),"""")"),"")</f>
        <v/>
      </c>
      <c r="J244" s="134" t="str">
        <f>IFERROR(__xludf.DUMMYFUNCTION("IFERROR((FILTER(Data!N:N,Data!D:D=A244,Data!B:B=$B$1)),"""")"),"")</f>
        <v/>
      </c>
      <c r="K244" s="135" t="str">
        <f>IFERROR(__xludf.DUMMYFUNCTION("IFERROR((FILTER(Data!H:H,Data!D:D=A244,Data!B:B=$B$1)*2)+(FILTER(Data!L:L,Data!D:D=A244,Data!B:B=$B$1))+(FILTER(Data!G:G,Data!D:D=A244,Data!B:B=$B$1)*4)+(FILTER(Data!K:K,Data!D:D=A244,Data!B:B=$B$1)*2)+(((COUNTIF(FILTER(Data!N:N,Data!D:D=A244,Data!B:B=$B$"&amp;"1),""TRAVERSE"")*15)+(COUNTIF(FILTER(Data!N:N,Data!D:D=A244,Data!B:B=$B$1),""HIGH"")*10)+(COUNTIF(FILTER(Data!N:N,Data!D:D=A244,Data!B:B=$B$1),""MIDDLE"")*6)+(COUNTIF(FILTER(Data!N:N,Data!D:D=A244,Data!B:B=$B$1),""LOW"")*4))),"""")"),"")</f>
        <v/>
      </c>
      <c r="L244" s="136" t="str">
        <f>IFERROR(__xludf.DUMMYFUNCTION("IFERROR((FILTER(Data!P:P,Data!D:D=A244,Data!B:B=$B$1)),"""")"),"")</f>
        <v/>
      </c>
      <c r="M244" s="137" t="str">
        <f>IFERROR(__xludf.DUMMYFUNCTION("IFERROR((FILTER(Data!A:A,Data!D:D=A244,Data!B:B=$B$1)),"""")"),"")</f>
        <v/>
      </c>
      <c r="T244" s="52">
        <f>IFERROR(__xludf.DUMMYFUNCTION("((COUNTIF(FILTER(Data!N:N,Data!D:D=A244,Data!B:B=$B$1),""TRAVERSE"")*15)+(COUNTIF(FILTER(Data!N:N,Data!D:D=A244,Data!B:B=B$1),""HIGH"")*10)+(COUNTIF(FILTER(Data!N:N,Data!D:D=A244,Data!B:B=$B$1),""MIDDLE"")*6)+(COUNTIF(FILTER(Data!N:N,Data!D:D=A244,Data!B:"&amp;"B=$B$1),""LOW"")*4))"),0.0)</f>
        <v>0</v>
      </c>
      <c r="V244" s="138" t="str">
        <f>IF(Data!B236='Team Parser'!$B$1, Data!D236,"")</f>
        <v/>
      </c>
      <c r="W244" s="134" t="str">
        <f>IF(Data!$B236='Team Parser'!$B$1, Data!H236,"")</f>
        <v/>
      </c>
      <c r="X244" s="134" t="str">
        <f>IF(Data!$B236='Team Parser'!$B$1, Data!G236,"")</f>
        <v/>
      </c>
      <c r="Y244" s="134" t="str">
        <f>IF(Data!$B236='Team Parser'!$B$1, Data!L236,"")</f>
        <v/>
      </c>
      <c r="Z244" s="134" t="str">
        <f>IF(Data!$B236='Team Parser'!$B$1, Data!K236,"")</f>
        <v/>
      </c>
      <c r="AA244" s="134" t="str">
        <f>IF(Data!$B236='Team Parser'!$B$1, Data!M236,"")</f>
        <v/>
      </c>
      <c r="AB244" s="134" t="str">
        <f>IF(Data!$B236='Team Parser'!$B$1,((Z244*2)+(Y244)+(X244*4)+(W244*2)),"")</f>
        <v/>
      </c>
      <c r="AC244" s="134" t="str">
        <f>IF(Data!$B236='Team Parser'!$B$1, Data!N236,"")</f>
        <v/>
      </c>
      <c r="AD244" s="139" t="str">
        <f>IF(Data!$B236='Team Parser'!$B$1,(AB244+(COUNTIF(AC244,"TRAVERSE")*15)+(COUNTIF(AC244,"HIGH")*10)+(COUNTIF(AC244,"MIDDLE")*6)+(COUNTIF(AC244,"LOW")*4)),"")</f>
        <v/>
      </c>
    </row>
    <row r="245">
      <c r="A245" s="141" t="s">
        <v>507</v>
      </c>
      <c r="B245" s="134" t="str">
        <f>IFERROR(__xludf.DUMMYFUNCTION("IFERROR((FILTER(Data!H:H,Data!D:D=A245,Data!B:B=$B$1)),"""")"),"")</f>
        <v/>
      </c>
      <c r="C245" s="134" t="str">
        <f>IFERROR(__xludf.DUMMYFUNCTION("IFERROR((FILTER(Data!G:G,Data!D:D=A245,Data!B:B=$B$1)),"""")"),"")</f>
        <v/>
      </c>
      <c r="D245" s="134" t="str">
        <f>IFERROR(__xludf.DUMMYFUNCTION("IFERROR((FILTER(Data!J:J,Data!D:D=A245,Data!B:B=$B$1)),"""")"),"")</f>
        <v/>
      </c>
      <c r="E245" s="134" t="str">
        <f>IFERROR(__xludf.DUMMYFUNCTION("IFERROR((FILTER(Data!L:L,Data!D:D=A245,Data!B:B=$B$1)),"""")"),"")</f>
        <v/>
      </c>
      <c r="F245" s="134" t="str">
        <f>IFERROR(__xludf.DUMMYFUNCTION("IFERROR((FILTER(Data!K:K,Data!D:D=A245,Data!B:B=$B$1)),"""")"),"")</f>
        <v/>
      </c>
      <c r="G245" s="134" t="str">
        <f>IFERROR(__xludf.DUMMYFUNCTION("IFERROR((FILTER(Data!M:M,Data!D:D=A245,Data!B:B=$B$1)),"""")"),"")</f>
        <v/>
      </c>
      <c r="H245" s="134" t="str">
        <f>IFERROR(__xludf.DUMMYFUNCTION("IFERROR((FILTER(Data!G:G,Data!D:D=A245,Data!B:B=$B$1)*4)+(FILTER(Data!H:H,Data!D:D=A245,Data!B:B=$B$1)*2),"""")"),"")</f>
        <v/>
      </c>
      <c r="I245" s="15" t="str">
        <f>IFERROR(__xludf.DUMMYFUNCTION("IFERROR((FILTER(Data!K:K,Data!D:D=A245,Data!B:B=$B$1)*2)+(FILTER(Data!L:L,Data!D:D=A245,Data!B:B=$B$1)),"""")"),"")</f>
        <v/>
      </c>
      <c r="J245" s="134" t="str">
        <f>IFERROR(__xludf.DUMMYFUNCTION("IFERROR((FILTER(Data!N:N,Data!D:D=A245,Data!B:B=$B$1)),"""")"),"")</f>
        <v/>
      </c>
      <c r="K245" s="135" t="str">
        <f>IFERROR(__xludf.DUMMYFUNCTION("IFERROR((FILTER(Data!H:H,Data!D:D=A245,Data!B:B=$B$1)*2)+(FILTER(Data!L:L,Data!D:D=A245,Data!B:B=$B$1))+(FILTER(Data!G:G,Data!D:D=A245,Data!B:B=$B$1)*4)+(FILTER(Data!K:K,Data!D:D=A245,Data!B:B=$B$1)*2)+(((COUNTIF(FILTER(Data!N:N,Data!D:D=A245,Data!B:B=$B$"&amp;"1),""TRAVERSE"")*15)+(COUNTIF(FILTER(Data!N:N,Data!D:D=A245,Data!B:B=$B$1),""HIGH"")*10)+(COUNTIF(FILTER(Data!N:N,Data!D:D=A245,Data!B:B=$B$1),""MIDDLE"")*6)+(COUNTIF(FILTER(Data!N:N,Data!D:D=A245,Data!B:B=$B$1),""LOW"")*4))),"""")"),"")</f>
        <v/>
      </c>
      <c r="L245" s="136" t="str">
        <f>IFERROR(__xludf.DUMMYFUNCTION("IFERROR((FILTER(Data!P:P,Data!D:D=A245,Data!B:B=$B$1)),"""")"),"")</f>
        <v/>
      </c>
      <c r="M245" s="137" t="str">
        <f>IFERROR(__xludf.DUMMYFUNCTION("IFERROR((FILTER(Data!A:A,Data!D:D=A245,Data!B:B=$B$1)),"""")"),"")</f>
        <v/>
      </c>
      <c r="T245" s="52">
        <f>IFERROR(__xludf.DUMMYFUNCTION("((COUNTIF(FILTER(Data!N:N,Data!D:D=A245,Data!B:B=$B$1),""TRAVERSE"")*15)+(COUNTIF(FILTER(Data!N:N,Data!D:D=A245,Data!B:B=B$1),""HIGH"")*10)+(COUNTIF(FILTER(Data!N:N,Data!D:D=A245,Data!B:B=$B$1),""MIDDLE"")*6)+(COUNTIF(FILTER(Data!N:N,Data!D:D=A245,Data!B:"&amp;"B=$B$1),""LOW"")*4))"),0.0)</f>
        <v>0</v>
      </c>
      <c r="V245" s="138" t="str">
        <f>IF(Data!B237='Team Parser'!$B$1, Data!D237,"")</f>
        <v/>
      </c>
      <c r="W245" s="134" t="str">
        <f>IF(Data!$B237='Team Parser'!$B$1, Data!H237,"")</f>
        <v/>
      </c>
      <c r="X245" s="134" t="str">
        <f>IF(Data!$B237='Team Parser'!$B$1, Data!G237,"")</f>
        <v/>
      </c>
      <c r="Y245" s="134" t="str">
        <f>IF(Data!$B237='Team Parser'!$B$1, Data!L237,"")</f>
        <v/>
      </c>
      <c r="Z245" s="134" t="str">
        <f>IF(Data!$B237='Team Parser'!$B$1, Data!K237,"")</f>
        <v/>
      </c>
      <c r="AA245" s="134" t="str">
        <f>IF(Data!$B237='Team Parser'!$B$1, Data!M237,"")</f>
        <v/>
      </c>
      <c r="AB245" s="134" t="str">
        <f>IF(Data!$B237='Team Parser'!$B$1,((Z245*2)+(Y245)+(X245*4)+(W245*2)),"")</f>
        <v/>
      </c>
      <c r="AC245" s="134" t="str">
        <f>IF(Data!$B237='Team Parser'!$B$1, Data!N237,"")</f>
        <v/>
      </c>
      <c r="AD245" s="139" t="str">
        <f>IF(Data!$B237='Team Parser'!$B$1,(AB245+(COUNTIF(AC245,"TRAVERSE")*15)+(COUNTIF(AC245,"HIGH")*10)+(COUNTIF(AC245,"MIDDLE")*6)+(COUNTIF(AC245,"LOW")*4)),"")</f>
        <v/>
      </c>
    </row>
    <row r="246">
      <c r="A246" s="141" t="s">
        <v>507</v>
      </c>
      <c r="B246" s="134" t="str">
        <f>IFERROR(__xludf.DUMMYFUNCTION("IFERROR((FILTER(Data!H:H,Data!D:D=A246,Data!B:B=$B$1)),"""")"),"")</f>
        <v/>
      </c>
      <c r="C246" s="134" t="str">
        <f>IFERROR(__xludf.DUMMYFUNCTION("IFERROR((FILTER(Data!G:G,Data!D:D=A246,Data!B:B=$B$1)),"""")"),"")</f>
        <v/>
      </c>
      <c r="D246" s="134" t="str">
        <f>IFERROR(__xludf.DUMMYFUNCTION("IFERROR((FILTER(Data!J:J,Data!D:D=A246,Data!B:B=$B$1)),"""")"),"")</f>
        <v/>
      </c>
      <c r="E246" s="134" t="str">
        <f>IFERROR(__xludf.DUMMYFUNCTION("IFERROR((FILTER(Data!L:L,Data!D:D=A246,Data!B:B=$B$1)),"""")"),"")</f>
        <v/>
      </c>
      <c r="F246" s="134" t="str">
        <f>IFERROR(__xludf.DUMMYFUNCTION("IFERROR((FILTER(Data!K:K,Data!D:D=A246,Data!B:B=$B$1)),"""")"),"")</f>
        <v/>
      </c>
      <c r="G246" s="134" t="str">
        <f>IFERROR(__xludf.DUMMYFUNCTION("IFERROR((FILTER(Data!M:M,Data!D:D=A246,Data!B:B=$B$1)),"""")"),"")</f>
        <v/>
      </c>
      <c r="H246" s="134" t="str">
        <f>IFERROR(__xludf.DUMMYFUNCTION("IFERROR((FILTER(Data!G:G,Data!D:D=A246,Data!B:B=$B$1)*4)+(FILTER(Data!H:H,Data!D:D=A246,Data!B:B=$B$1)*2),"""")"),"")</f>
        <v/>
      </c>
      <c r="I246" s="15" t="str">
        <f>IFERROR(__xludf.DUMMYFUNCTION("IFERROR((FILTER(Data!K:K,Data!D:D=A246,Data!B:B=$B$1)*2)+(FILTER(Data!L:L,Data!D:D=A246,Data!B:B=$B$1)),"""")"),"")</f>
        <v/>
      </c>
      <c r="J246" s="134" t="str">
        <f>IFERROR(__xludf.DUMMYFUNCTION("IFERROR((FILTER(Data!N:N,Data!D:D=A246,Data!B:B=$B$1)),"""")"),"")</f>
        <v/>
      </c>
      <c r="K246" s="135" t="str">
        <f>IFERROR(__xludf.DUMMYFUNCTION("IFERROR((FILTER(Data!H:H,Data!D:D=A246,Data!B:B=$B$1)*2)+(FILTER(Data!L:L,Data!D:D=A246,Data!B:B=$B$1))+(FILTER(Data!G:G,Data!D:D=A246,Data!B:B=$B$1)*4)+(FILTER(Data!K:K,Data!D:D=A246,Data!B:B=$B$1)*2)+(((COUNTIF(FILTER(Data!N:N,Data!D:D=A246,Data!B:B=$B$"&amp;"1),""TRAVERSE"")*15)+(COUNTIF(FILTER(Data!N:N,Data!D:D=A246,Data!B:B=$B$1),""HIGH"")*10)+(COUNTIF(FILTER(Data!N:N,Data!D:D=A246,Data!B:B=$B$1),""MIDDLE"")*6)+(COUNTIF(FILTER(Data!N:N,Data!D:D=A246,Data!B:B=$B$1),""LOW"")*4))),"""")"),"")</f>
        <v/>
      </c>
      <c r="L246" s="136" t="str">
        <f>IFERROR(__xludf.DUMMYFUNCTION("IFERROR((FILTER(Data!P:P,Data!D:D=A246,Data!B:B=$B$1)),"""")"),"")</f>
        <v/>
      </c>
      <c r="M246" s="137" t="str">
        <f>IFERROR(__xludf.DUMMYFUNCTION("IFERROR((FILTER(Data!A:A,Data!D:D=A246,Data!B:B=$B$1)),"""")"),"")</f>
        <v/>
      </c>
      <c r="T246" s="52">
        <f>IFERROR(__xludf.DUMMYFUNCTION("((COUNTIF(FILTER(Data!N:N,Data!D:D=A246,Data!B:B=$B$1),""TRAVERSE"")*15)+(COUNTIF(FILTER(Data!N:N,Data!D:D=A246,Data!B:B=B$1),""HIGH"")*10)+(COUNTIF(FILTER(Data!N:N,Data!D:D=A246,Data!B:B=$B$1),""MIDDLE"")*6)+(COUNTIF(FILTER(Data!N:N,Data!D:D=A246,Data!B:"&amp;"B=$B$1),""LOW"")*4))"),0.0)</f>
        <v>0</v>
      </c>
      <c r="V246" s="138" t="str">
        <f>IF(Data!B238='Team Parser'!$B$1, Data!D238,"")</f>
        <v/>
      </c>
      <c r="W246" s="134" t="str">
        <f>IF(Data!$B238='Team Parser'!$B$1, Data!H238,"")</f>
        <v/>
      </c>
      <c r="X246" s="134" t="str">
        <f>IF(Data!$B238='Team Parser'!$B$1, Data!G238,"")</f>
        <v/>
      </c>
      <c r="Y246" s="134" t="str">
        <f>IF(Data!$B238='Team Parser'!$B$1, Data!L238,"")</f>
        <v/>
      </c>
      <c r="Z246" s="134" t="str">
        <f>IF(Data!$B238='Team Parser'!$B$1, Data!K238,"")</f>
        <v/>
      </c>
      <c r="AA246" s="134" t="str">
        <f>IF(Data!$B238='Team Parser'!$B$1, Data!M238,"")</f>
        <v/>
      </c>
      <c r="AB246" s="134" t="str">
        <f>IF(Data!$B238='Team Parser'!$B$1,((Z246*2)+(Y246)+(X246*4)+(W246*2)),"")</f>
        <v/>
      </c>
      <c r="AC246" s="134" t="str">
        <f>IF(Data!$B238='Team Parser'!$B$1, Data!N238,"")</f>
        <v/>
      </c>
      <c r="AD246" s="139" t="str">
        <f>IF(Data!$B238='Team Parser'!$B$1,(AB246+(COUNTIF(AC246,"TRAVERSE")*15)+(COUNTIF(AC246,"HIGH")*10)+(COUNTIF(AC246,"MIDDLE")*6)+(COUNTIF(AC246,"LOW")*4)),"")</f>
        <v/>
      </c>
    </row>
    <row r="247">
      <c r="A247" s="141" t="s">
        <v>507</v>
      </c>
      <c r="B247" s="134" t="str">
        <f>IFERROR(__xludf.DUMMYFUNCTION("IFERROR((FILTER(Data!H:H,Data!D:D=A247,Data!B:B=$B$1)),"""")"),"")</f>
        <v/>
      </c>
      <c r="C247" s="134" t="str">
        <f>IFERROR(__xludf.DUMMYFUNCTION("IFERROR((FILTER(Data!G:G,Data!D:D=A247,Data!B:B=$B$1)),"""")"),"")</f>
        <v/>
      </c>
      <c r="D247" s="134" t="str">
        <f>IFERROR(__xludf.DUMMYFUNCTION("IFERROR((FILTER(Data!J:J,Data!D:D=A247,Data!B:B=$B$1)),"""")"),"")</f>
        <v/>
      </c>
      <c r="E247" s="134" t="str">
        <f>IFERROR(__xludf.DUMMYFUNCTION("IFERROR((FILTER(Data!L:L,Data!D:D=A247,Data!B:B=$B$1)),"""")"),"")</f>
        <v/>
      </c>
      <c r="F247" s="134" t="str">
        <f>IFERROR(__xludf.DUMMYFUNCTION("IFERROR((FILTER(Data!K:K,Data!D:D=A247,Data!B:B=$B$1)),"""")"),"")</f>
        <v/>
      </c>
      <c r="G247" s="134" t="str">
        <f>IFERROR(__xludf.DUMMYFUNCTION("IFERROR((FILTER(Data!M:M,Data!D:D=A247,Data!B:B=$B$1)),"""")"),"")</f>
        <v/>
      </c>
      <c r="H247" s="134" t="str">
        <f>IFERROR(__xludf.DUMMYFUNCTION("IFERROR((FILTER(Data!G:G,Data!D:D=A247,Data!B:B=$B$1)*4)+(FILTER(Data!H:H,Data!D:D=A247,Data!B:B=$B$1)*2),"""")"),"")</f>
        <v/>
      </c>
      <c r="I247" s="15" t="str">
        <f>IFERROR(__xludf.DUMMYFUNCTION("IFERROR((FILTER(Data!K:K,Data!D:D=A247,Data!B:B=$B$1)*2)+(FILTER(Data!L:L,Data!D:D=A247,Data!B:B=$B$1)),"""")"),"")</f>
        <v/>
      </c>
      <c r="J247" s="134" t="str">
        <f>IFERROR(__xludf.DUMMYFUNCTION("IFERROR((FILTER(Data!N:N,Data!D:D=A247,Data!B:B=$B$1)),"""")"),"")</f>
        <v/>
      </c>
      <c r="K247" s="135" t="str">
        <f>IFERROR(__xludf.DUMMYFUNCTION("IFERROR((FILTER(Data!H:H,Data!D:D=A247,Data!B:B=$B$1)*2)+(FILTER(Data!L:L,Data!D:D=A247,Data!B:B=$B$1))+(FILTER(Data!G:G,Data!D:D=A247,Data!B:B=$B$1)*4)+(FILTER(Data!K:K,Data!D:D=A247,Data!B:B=$B$1)*2)+(((COUNTIF(FILTER(Data!N:N,Data!D:D=A247,Data!B:B=$B$"&amp;"1),""TRAVERSE"")*15)+(COUNTIF(FILTER(Data!N:N,Data!D:D=A247,Data!B:B=$B$1),""HIGH"")*10)+(COUNTIF(FILTER(Data!N:N,Data!D:D=A247,Data!B:B=$B$1),""MIDDLE"")*6)+(COUNTIF(FILTER(Data!N:N,Data!D:D=A247,Data!B:B=$B$1),""LOW"")*4))),"""")"),"")</f>
        <v/>
      </c>
      <c r="L247" s="136" t="str">
        <f>IFERROR(__xludf.DUMMYFUNCTION("IFERROR((FILTER(Data!P:P,Data!D:D=A247,Data!B:B=$B$1)),"""")"),"")</f>
        <v/>
      </c>
      <c r="M247" s="137" t="str">
        <f>IFERROR(__xludf.DUMMYFUNCTION("IFERROR((FILTER(Data!A:A,Data!D:D=A247,Data!B:B=$B$1)),"""")"),"")</f>
        <v/>
      </c>
      <c r="T247" s="52">
        <f>IFERROR(__xludf.DUMMYFUNCTION("((COUNTIF(FILTER(Data!N:N,Data!D:D=A247,Data!B:B=$B$1),""TRAVERSE"")*15)+(COUNTIF(FILTER(Data!N:N,Data!D:D=A247,Data!B:B=B$1),""HIGH"")*10)+(COUNTIF(FILTER(Data!N:N,Data!D:D=A247,Data!B:B=$B$1),""MIDDLE"")*6)+(COUNTIF(FILTER(Data!N:N,Data!D:D=A247,Data!B:"&amp;"B=$B$1),""LOW"")*4))"),0.0)</f>
        <v>0</v>
      </c>
      <c r="V247" s="138" t="str">
        <f>IF(Data!B239='Team Parser'!$B$1, Data!D239,"")</f>
        <v/>
      </c>
      <c r="W247" s="134" t="str">
        <f>IF(Data!$B239='Team Parser'!$B$1, Data!H239,"")</f>
        <v/>
      </c>
      <c r="X247" s="134" t="str">
        <f>IF(Data!$B239='Team Parser'!$B$1, Data!G239,"")</f>
        <v/>
      </c>
      <c r="Y247" s="134" t="str">
        <f>IF(Data!$B239='Team Parser'!$B$1, Data!L239,"")</f>
        <v/>
      </c>
      <c r="Z247" s="134" t="str">
        <f>IF(Data!$B239='Team Parser'!$B$1, Data!K239,"")</f>
        <v/>
      </c>
      <c r="AA247" s="134" t="str">
        <f>IF(Data!$B239='Team Parser'!$B$1, Data!M239,"")</f>
        <v/>
      </c>
      <c r="AB247" s="134" t="str">
        <f>IF(Data!$B239='Team Parser'!$B$1,((Z247*2)+(Y247)+(X247*4)+(W247*2)),"")</f>
        <v/>
      </c>
      <c r="AC247" s="134" t="str">
        <f>IF(Data!$B239='Team Parser'!$B$1, Data!N239,"")</f>
        <v/>
      </c>
      <c r="AD247" s="139" t="str">
        <f>IF(Data!$B239='Team Parser'!$B$1,(AB247+(COUNTIF(AC247,"TRAVERSE")*15)+(COUNTIF(AC247,"HIGH")*10)+(COUNTIF(AC247,"MIDDLE")*6)+(COUNTIF(AC247,"LOW")*4)),"")</f>
        <v/>
      </c>
    </row>
    <row r="248">
      <c r="A248" s="141" t="s">
        <v>507</v>
      </c>
      <c r="B248" s="134" t="str">
        <f>IFERROR(__xludf.DUMMYFUNCTION("IFERROR((FILTER(Data!H:H,Data!D:D=A248,Data!B:B=$B$1)),"""")"),"")</f>
        <v/>
      </c>
      <c r="C248" s="134" t="str">
        <f>IFERROR(__xludf.DUMMYFUNCTION("IFERROR((FILTER(Data!G:G,Data!D:D=A248,Data!B:B=$B$1)),"""")"),"")</f>
        <v/>
      </c>
      <c r="D248" s="134" t="str">
        <f>IFERROR(__xludf.DUMMYFUNCTION("IFERROR((FILTER(Data!J:J,Data!D:D=A248,Data!B:B=$B$1)),"""")"),"")</f>
        <v/>
      </c>
      <c r="E248" s="134" t="str">
        <f>IFERROR(__xludf.DUMMYFUNCTION("IFERROR((FILTER(Data!L:L,Data!D:D=A248,Data!B:B=$B$1)),"""")"),"")</f>
        <v/>
      </c>
      <c r="F248" s="134" t="str">
        <f>IFERROR(__xludf.DUMMYFUNCTION("IFERROR((FILTER(Data!K:K,Data!D:D=A248,Data!B:B=$B$1)),"""")"),"")</f>
        <v/>
      </c>
      <c r="G248" s="134" t="str">
        <f>IFERROR(__xludf.DUMMYFUNCTION("IFERROR((FILTER(Data!M:M,Data!D:D=A248,Data!B:B=$B$1)),"""")"),"")</f>
        <v/>
      </c>
      <c r="H248" s="134" t="str">
        <f>IFERROR(__xludf.DUMMYFUNCTION("IFERROR((FILTER(Data!G:G,Data!D:D=A248,Data!B:B=$B$1)*4)+(FILTER(Data!H:H,Data!D:D=A248,Data!B:B=$B$1)*2),"""")"),"")</f>
        <v/>
      </c>
      <c r="I248" s="15" t="str">
        <f>IFERROR(__xludf.DUMMYFUNCTION("IFERROR((FILTER(Data!K:K,Data!D:D=A248,Data!B:B=$B$1)*2)+(FILTER(Data!L:L,Data!D:D=A248,Data!B:B=$B$1)),"""")"),"")</f>
        <v/>
      </c>
      <c r="J248" s="134" t="str">
        <f>IFERROR(__xludf.DUMMYFUNCTION("IFERROR((FILTER(Data!N:N,Data!D:D=A248,Data!B:B=$B$1)),"""")"),"")</f>
        <v/>
      </c>
      <c r="K248" s="135" t="str">
        <f>IFERROR(__xludf.DUMMYFUNCTION("IFERROR((FILTER(Data!H:H,Data!D:D=A248,Data!B:B=$B$1)*2)+(FILTER(Data!L:L,Data!D:D=A248,Data!B:B=$B$1))+(FILTER(Data!G:G,Data!D:D=A248,Data!B:B=$B$1)*4)+(FILTER(Data!K:K,Data!D:D=A248,Data!B:B=$B$1)*2)+(((COUNTIF(FILTER(Data!N:N,Data!D:D=A248,Data!B:B=$B$"&amp;"1),""TRAVERSE"")*15)+(COUNTIF(FILTER(Data!N:N,Data!D:D=A248,Data!B:B=$B$1),""HIGH"")*10)+(COUNTIF(FILTER(Data!N:N,Data!D:D=A248,Data!B:B=$B$1),""MIDDLE"")*6)+(COUNTIF(FILTER(Data!N:N,Data!D:D=A248,Data!B:B=$B$1),""LOW"")*4))),"""")"),"")</f>
        <v/>
      </c>
      <c r="L248" s="136" t="str">
        <f>IFERROR(__xludf.DUMMYFUNCTION("IFERROR((FILTER(Data!P:P,Data!D:D=A248,Data!B:B=$B$1)),"""")"),"")</f>
        <v/>
      </c>
      <c r="M248" s="137" t="str">
        <f>IFERROR(__xludf.DUMMYFUNCTION("IFERROR((FILTER(Data!A:A,Data!D:D=A248,Data!B:B=$B$1)),"""")"),"")</f>
        <v/>
      </c>
      <c r="T248" s="52">
        <f>IFERROR(__xludf.DUMMYFUNCTION("((COUNTIF(FILTER(Data!N:N,Data!D:D=A248,Data!B:B=$B$1),""TRAVERSE"")*15)+(COUNTIF(FILTER(Data!N:N,Data!D:D=A248,Data!B:B=B$1),""HIGH"")*10)+(COUNTIF(FILTER(Data!N:N,Data!D:D=A248,Data!B:B=$B$1),""MIDDLE"")*6)+(COUNTIF(FILTER(Data!N:N,Data!D:D=A248,Data!B:"&amp;"B=$B$1),""LOW"")*4))"),0.0)</f>
        <v>0</v>
      </c>
      <c r="V248" s="138" t="str">
        <f>IF(Data!B240='Team Parser'!$B$1, Data!D240,"")</f>
        <v/>
      </c>
      <c r="W248" s="134" t="str">
        <f>IF(Data!$B240='Team Parser'!$B$1, Data!H240,"")</f>
        <v/>
      </c>
      <c r="X248" s="134" t="str">
        <f>IF(Data!$B240='Team Parser'!$B$1, Data!G240,"")</f>
        <v/>
      </c>
      <c r="Y248" s="134" t="str">
        <f>IF(Data!$B240='Team Parser'!$B$1, Data!L240,"")</f>
        <v/>
      </c>
      <c r="Z248" s="134" t="str">
        <f>IF(Data!$B240='Team Parser'!$B$1, Data!K240,"")</f>
        <v/>
      </c>
      <c r="AA248" s="134" t="str">
        <f>IF(Data!$B240='Team Parser'!$B$1, Data!M240,"")</f>
        <v/>
      </c>
      <c r="AB248" s="134" t="str">
        <f>IF(Data!$B240='Team Parser'!$B$1,((Z248*2)+(Y248)+(X248*4)+(W248*2)),"")</f>
        <v/>
      </c>
      <c r="AC248" s="134" t="str">
        <f>IF(Data!$B240='Team Parser'!$B$1, Data!N240,"")</f>
        <v/>
      </c>
      <c r="AD248" s="139" t="str">
        <f>IF(Data!$B240='Team Parser'!$B$1,(AB248+(COUNTIF(AC248,"TRAVERSE")*15)+(COUNTIF(AC248,"HIGH")*10)+(COUNTIF(AC248,"MIDDLE")*6)+(COUNTIF(AC248,"LOW")*4)),"")</f>
        <v/>
      </c>
    </row>
    <row r="249">
      <c r="A249" s="141" t="s">
        <v>507</v>
      </c>
      <c r="B249" s="134" t="str">
        <f>IFERROR(__xludf.DUMMYFUNCTION("IFERROR((FILTER(Data!H:H,Data!D:D=A249,Data!B:B=$B$1)),"""")"),"")</f>
        <v/>
      </c>
      <c r="C249" s="134" t="str">
        <f>IFERROR(__xludf.DUMMYFUNCTION("IFERROR((FILTER(Data!G:G,Data!D:D=A249,Data!B:B=$B$1)),"""")"),"")</f>
        <v/>
      </c>
      <c r="D249" s="134" t="str">
        <f>IFERROR(__xludf.DUMMYFUNCTION("IFERROR((FILTER(Data!J:J,Data!D:D=A249,Data!B:B=$B$1)),"""")"),"")</f>
        <v/>
      </c>
      <c r="E249" s="134" t="str">
        <f>IFERROR(__xludf.DUMMYFUNCTION("IFERROR((FILTER(Data!L:L,Data!D:D=A249,Data!B:B=$B$1)),"""")"),"")</f>
        <v/>
      </c>
      <c r="F249" s="134" t="str">
        <f>IFERROR(__xludf.DUMMYFUNCTION("IFERROR((FILTER(Data!K:K,Data!D:D=A249,Data!B:B=$B$1)),"""")"),"")</f>
        <v/>
      </c>
      <c r="G249" s="134" t="str">
        <f>IFERROR(__xludf.DUMMYFUNCTION("IFERROR((FILTER(Data!M:M,Data!D:D=A249,Data!B:B=$B$1)),"""")"),"")</f>
        <v/>
      </c>
      <c r="H249" s="134" t="str">
        <f>IFERROR(__xludf.DUMMYFUNCTION("IFERROR((FILTER(Data!G:G,Data!D:D=A249,Data!B:B=$B$1)*4)+(FILTER(Data!H:H,Data!D:D=A249,Data!B:B=$B$1)*2),"""")"),"")</f>
        <v/>
      </c>
      <c r="I249" s="15" t="str">
        <f>IFERROR(__xludf.DUMMYFUNCTION("IFERROR((FILTER(Data!K:K,Data!D:D=A249,Data!B:B=$B$1)*2)+(FILTER(Data!L:L,Data!D:D=A249,Data!B:B=$B$1)),"""")"),"")</f>
        <v/>
      </c>
      <c r="J249" s="134" t="str">
        <f>IFERROR(__xludf.DUMMYFUNCTION("IFERROR((FILTER(Data!N:N,Data!D:D=A249,Data!B:B=$B$1)),"""")"),"")</f>
        <v/>
      </c>
      <c r="K249" s="135" t="str">
        <f>IFERROR(__xludf.DUMMYFUNCTION("IFERROR((FILTER(Data!H:H,Data!D:D=A249,Data!B:B=$B$1)*2)+(FILTER(Data!L:L,Data!D:D=A249,Data!B:B=$B$1))+(FILTER(Data!G:G,Data!D:D=A249,Data!B:B=$B$1)*4)+(FILTER(Data!K:K,Data!D:D=A249,Data!B:B=$B$1)*2)+(((COUNTIF(FILTER(Data!N:N,Data!D:D=A249,Data!B:B=$B$"&amp;"1),""TRAVERSE"")*15)+(COUNTIF(FILTER(Data!N:N,Data!D:D=A249,Data!B:B=$B$1),""HIGH"")*10)+(COUNTIF(FILTER(Data!N:N,Data!D:D=A249,Data!B:B=$B$1),""MIDDLE"")*6)+(COUNTIF(FILTER(Data!N:N,Data!D:D=A249,Data!B:B=$B$1),""LOW"")*4))),"""")"),"")</f>
        <v/>
      </c>
      <c r="L249" s="136" t="str">
        <f>IFERROR(__xludf.DUMMYFUNCTION("IFERROR((FILTER(Data!P:P,Data!D:D=A249,Data!B:B=$B$1)),"""")"),"")</f>
        <v/>
      </c>
      <c r="M249" s="137" t="str">
        <f>IFERROR(__xludf.DUMMYFUNCTION("IFERROR((FILTER(Data!A:A,Data!D:D=A249,Data!B:B=$B$1)),"""")"),"")</f>
        <v/>
      </c>
      <c r="T249" s="52">
        <f>IFERROR(__xludf.DUMMYFUNCTION("((COUNTIF(FILTER(Data!N:N,Data!D:D=A249,Data!B:B=$B$1),""TRAVERSE"")*15)+(COUNTIF(FILTER(Data!N:N,Data!D:D=A249,Data!B:B=B$1),""HIGH"")*10)+(COUNTIF(FILTER(Data!N:N,Data!D:D=A249,Data!B:B=$B$1),""MIDDLE"")*6)+(COUNTIF(FILTER(Data!N:N,Data!D:D=A249,Data!B:"&amp;"B=$B$1),""LOW"")*4))"),0.0)</f>
        <v>0</v>
      </c>
      <c r="V249" s="138" t="str">
        <f>IF(Data!B241='Team Parser'!$B$1, Data!D241,"")</f>
        <v/>
      </c>
      <c r="W249" s="134" t="str">
        <f>IF(Data!$B241='Team Parser'!$B$1, Data!H241,"")</f>
        <v/>
      </c>
      <c r="X249" s="134" t="str">
        <f>IF(Data!$B241='Team Parser'!$B$1, Data!G241,"")</f>
        <v/>
      </c>
      <c r="Y249" s="134" t="str">
        <f>IF(Data!$B241='Team Parser'!$B$1, Data!L241,"")</f>
        <v/>
      </c>
      <c r="Z249" s="134" t="str">
        <f>IF(Data!$B241='Team Parser'!$B$1, Data!K241,"")</f>
        <v/>
      </c>
      <c r="AA249" s="134" t="str">
        <f>IF(Data!$B241='Team Parser'!$B$1, Data!M241,"")</f>
        <v/>
      </c>
      <c r="AB249" s="134" t="str">
        <f>IF(Data!$B241='Team Parser'!$B$1,((Z249*2)+(Y249)+(X249*4)+(W249*2)),"")</f>
        <v/>
      </c>
      <c r="AC249" s="134" t="str">
        <f>IF(Data!$B241='Team Parser'!$B$1, Data!N241,"")</f>
        <v/>
      </c>
      <c r="AD249" s="139" t="str">
        <f>IF(Data!$B241='Team Parser'!$B$1,(AB249+(COUNTIF(AC249,"TRAVERSE")*15)+(COUNTIF(AC249,"HIGH")*10)+(COUNTIF(AC249,"MIDDLE")*6)+(COUNTIF(AC249,"LOW")*4)),"")</f>
        <v/>
      </c>
    </row>
    <row r="250">
      <c r="A250" s="141" t="s">
        <v>507</v>
      </c>
      <c r="B250" s="134" t="str">
        <f>IFERROR(__xludf.DUMMYFUNCTION("IFERROR((FILTER(Data!H:H,Data!D:D=A250,Data!B:B=$B$1)),"""")"),"")</f>
        <v/>
      </c>
      <c r="C250" s="134" t="str">
        <f>IFERROR(__xludf.DUMMYFUNCTION("IFERROR((FILTER(Data!G:G,Data!D:D=A250,Data!B:B=$B$1)),"""")"),"")</f>
        <v/>
      </c>
      <c r="D250" s="134" t="str">
        <f>IFERROR(__xludf.DUMMYFUNCTION("IFERROR((FILTER(Data!J:J,Data!D:D=A250,Data!B:B=$B$1)),"""")"),"")</f>
        <v/>
      </c>
      <c r="E250" s="134" t="str">
        <f>IFERROR(__xludf.DUMMYFUNCTION("IFERROR((FILTER(Data!L:L,Data!D:D=A250,Data!B:B=$B$1)),"""")"),"")</f>
        <v/>
      </c>
      <c r="F250" s="134" t="str">
        <f>IFERROR(__xludf.DUMMYFUNCTION("IFERROR((FILTER(Data!K:K,Data!D:D=A250,Data!B:B=$B$1)),"""")"),"")</f>
        <v/>
      </c>
      <c r="G250" s="134" t="str">
        <f>IFERROR(__xludf.DUMMYFUNCTION("IFERROR((FILTER(Data!M:M,Data!D:D=A250,Data!B:B=$B$1)),"""")"),"")</f>
        <v/>
      </c>
      <c r="H250" s="134" t="str">
        <f>IFERROR(__xludf.DUMMYFUNCTION("IFERROR((FILTER(Data!G:G,Data!D:D=A250,Data!B:B=$B$1)*4)+(FILTER(Data!H:H,Data!D:D=A250,Data!B:B=$B$1)*2),"""")"),"")</f>
        <v/>
      </c>
      <c r="I250" s="15" t="str">
        <f>IFERROR(__xludf.DUMMYFUNCTION("IFERROR((FILTER(Data!K:K,Data!D:D=A250,Data!B:B=$B$1)*2)+(FILTER(Data!L:L,Data!D:D=A250,Data!B:B=$B$1)),"""")"),"")</f>
        <v/>
      </c>
      <c r="J250" s="134" t="str">
        <f>IFERROR(__xludf.DUMMYFUNCTION("IFERROR((FILTER(Data!N:N,Data!D:D=A250,Data!B:B=$B$1)),"""")"),"")</f>
        <v/>
      </c>
      <c r="K250" s="135" t="str">
        <f>IFERROR(__xludf.DUMMYFUNCTION("IFERROR((FILTER(Data!H:H,Data!D:D=A250,Data!B:B=$B$1)*2)+(FILTER(Data!L:L,Data!D:D=A250,Data!B:B=$B$1))+(FILTER(Data!G:G,Data!D:D=A250,Data!B:B=$B$1)*4)+(FILTER(Data!K:K,Data!D:D=A250,Data!B:B=$B$1)*2)+(((COUNTIF(FILTER(Data!N:N,Data!D:D=A250,Data!B:B=$B$"&amp;"1),""TRAVERSE"")*15)+(COUNTIF(FILTER(Data!N:N,Data!D:D=A250,Data!B:B=$B$1),""HIGH"")*10)+(COUNTIF(FILTER(Data!N:N,Data!D:D=A250,Data!B:B=$B$1),""MIDDLE"")*6)+(COUNTIF(FILTER(Data!N:N,Data!D:D=A250,Data!B:B=$B$1),""LOW"")*4))),"""")"),"")</f>
        <v/>
      </c>
      <c r="L250" s="136" t="str">
        <f>IFERROR(__xludf.DUMMYFUNCTION("IFERROR((FILTER(Data!P:P,Data!D:D=A250,Data!B:B=$B$1)),"""")"),"")</f>
        <v/>
      </c>
      <c r="M250" s="137" t="str">
        <f>IFERROR(__xludf.DUMMYFUNCTION("IFERROR((FILTER(Data!A:A,Data!D:D=A250,Data!B:B=$B$1)),"""")"),"")</f>
        <v/>
      </c>
      <c r="T250" s="52">
        <f>IFERROR(__xludf.DUMMYFUNCTION("((COUNTIF(FILTER(Data!N:N,Data!D:D=A250,Data!B:B=$B$1),""TRAVERSE"")*15)+(COUNTIF(FILTER(Data!N:N,Data!D:D=A250,Data!B:B=B$1),""HIGH"")*10)+(COUNTIF(FILTER(Data!N:N,Data!D:D=A250,Data!B:B=$B$1),""MIDDLE"")*6)+(COUNTIF(FILTER(Data!N:N,Data!D:D=A250,Data!B:"&amp;"B=$B$1),""LOW"")*4))"),0.0)</f>
        <v>0</v>
      </c>
      <c r="V250" s="138" t="str">
        <f>IF(Data!B242='Team Parser'!$B$1, Data!D242,"")</f>
        <v/>
      </c>
      <c r="W250" s="134" t="str">
        <f>IF(Data!$B242='Team Parser'!$B$1, Data!H242,"")</f>
        <v/>
      </c>
      <c r="X250" s="134" t="str">
        <f>IF(Data!$B242='Team Parser'!$B$1, Data!G242,"")</f>
        <v/>
      </c>
      <c r="Y250" s="134" t="str">
        <f>IF(Data!$B242='Team Parser'!$B$1, Data!L242,"")</f>
        <v/>
      </c>
      <c r="Z250" s="134" t="str">
        <f>IF(Data!$B242='Team Parser'!$B$1, Data!K242,"")</f>
        <v/>
      </c>
      <c r="AA250" s="134" t="str">
        <f>IF(Data!$B242='Team Parser'!$B$1, Data!M242,"")</f>
        <v/>
      </c>
      <c r="AB250" s="134" t="str">
        <f>IF(Data!$B242='Team Parser'!$B$1,((Z250*2)+(Y250)+(X250*4)+(W250*2)),"")</f>
        <v/>
      </c>
      <c r="AC250" s="134" t="str">
        <f>IF(Data!$B242='Team Parser'!$B$1, Data!N242,"")</f>
        <v/>
      </c>
      <c r="AD250" s="139" t="str">
        <f>IF(Data!$B242='Team Parser'!$B$1,(AB250+(COUNTIF(AC250,"TRAVERSE")*15)+(COUNTIF(AC250,"HIGH")*10)+(COUNTIF(AC250,"MIDDLE")*6)+(COUNTIF(AC250,"LOW")*4)),"")</f>
        <v/>
      </c>
    </row>
    <row r="251">
      <c r="A251" s="141" t="s">
        <v>507</v>
      </c>
      <c r="B251" s="134" t="str">
        <f>IFERROR(__xludf.DUMMYFUNCTION("IFERROR((FILTER(Data!H:H,Data!D:D=A251,Data!B:B=$B$1)),"""")"),"")</f>
        <v/>
      </c>
      <c r="C251" s="134" t="str">
        <f>IFERROR(__xludf.DUMMYFUNCTION("IFERROR((FILTER(Data!G:G,Data!D:D=A251,Data!B:B=$B$1)),"""")"),"")</f>
        <v/>
      </c>
      <c r="D251" s="134" t="str">
        <f>IFERROR(__xludf.DUMMYFUNCTION("IFERROR((FILTER(Data!J:J,Data!D:D=A251,Data!B:B=$B$1)),"""")"),"")</f>
        <v/>
      </c>
      <c r="E251" s="134" t="str">
        <f>IFERROR(__xludf.DUMMYFUNCTION("IFERROR((FILTER(Data!L:L,Data!D:D=A251,Data!B:B=$B$1)),"""")"),"")</f>
        <v/>
      </c>
      <c r="F251" s="134" t="str">
        <f>IFERROR(__xludf.DUMMYFUNCTION("IFERROR((FILTER(Data!K:K,Data!D:D=A251,Data!B:B=$B$1)),"""")"),"")</f>
        <v/>
      </c>
      <c r="G251" s="134" t="str">
        <f>IFERROR(__xludf.DUMMYFUNCTION("IFERROR((FILTER(Data!M:M,Data!D:D=A251,Data!B:B=$B$1)),"""")"),"")</f>
        <v/>
      </c>
      <c r="H251" s="134" t="str">
        <f>IFERROR(__xludf.DUMMYFUNCTION("IFERROR((FILTER(Data!G:G,Data!D:D=A251,Data!B:B=$B$1)*4)+(FILTER(Data!H:H,Data!D:D=A251,Data!B:B=$B$1)*2),"""")"),"")</f>
        <v/>
      </c>
      <c r="I251" s="15" t="str">
        <f>IFERROR(__xludf.DUMMYFUNCTION("IFERROR((FILTER(Data!K:K,Data!D:D=A251,Data!B:B=$B$1)*2)+(FILTER(Data!L:L,Data!D:D=A251,Data!B:B=$B$1)),"""")"),"")</f>
        <v/>
      </c>
      <c r="J251" s="134" t="str">
        <f>IFERROR(__xludf.DUMMYFUNCTION("IFERROR((FILTER(Data!N:N,Data!D:D=A251,Data!B:B=$B$1)),"""")"),"")</f>
        <v/>
      </c>
      <c r="K251" s="135" t="str">
        <f>IFERROR(__xludf.DUMMYFUNCTION("IFERROR((FILTER(Data!H:H,Data!D:D=A251,Data!B:B=$B$1)*2)+(FILTER(Data!L:L,Data!D:D=A251,Data!B:B=$B$1))+(FILTER(Data!G:G,Data!D:D=A251,Data!B:B=$B$1)*4)+(FILTER(Data!K:K,Data!D:D=A251,Data!B:B=$B$1)*2)+(((COUNTIF(FILTER(Data!N:N,Data!D:D=A251,Data!B:B=$B$"&amp;"1),""TRAVERSE"")*15)+(COUNTIF(FILTER(Data!N:N,Data!D:D=A251,Data!B:B=$B$1),""HIGH"")*10)+(COUNTIF(FILTER(Data!N:N,Data!D:D=A251,Data!B:B=$B$1),""MIDDLE"")*6)+(COUNTIF(FILTER(Data!N:N,Data!D:D=A251,Data!B:B=$B$1),""LOW"")*4))),"""")"),"")</f>
        <v/>
      </c>
      <c r="L251" s="136" t="str">
        <f>IFERROR(__xludf.DUMMYFUNCTION("IFERROR((FILTER(Data!P:P,Data!D:D=A251,Data!B:B=$B$1)),"""")"),"")</f>
        <v/>
      </c>
      <c r="M251" s="137" t="str">
        <f>IFERROR(__xludf.DUMMYFUNCTION("IFERROR((FILTER(Data!A:A,Data!D:D=A251,Data!B:B=$B$1)),"""")"),"")</f>
        <v/>
      </c>
      <c r="T251" s="52">
        <f>IFERROR(__xludf.DUMMYFUNCTION("((COUNTIF(FILTER(Data!N:N,Data!D:D=A251,Data!B:B=$B$1),""TRAVERSE"")*15)+(COUNTIF(FILTER(Data!N:N,Data!D:D=A251,Data!B:B=B$1),""HIGH"")*10)+(COUNTIF(FILTER(Data!N:N,Data!D:D=A251,Data!B:B=$B$1),""MIDDLE"")*6)+(COUNTIF(FILTER(Data!N:N,Data!D:D=A251,Data!B:"&amp;"B=$B$1),""LOW"")*4))"),0.0)</f>
        <v>0</v>
      </c>
      <c r="V251" s="138" t="str">
        <f>IF(Data!B243='Team Parser'!$B$1, Data!D243,"")</f>
        <v/>
      </c>
      <c r="W251" s="134" t="str">
        <f>IF(Data!$B243='Team Parser'!$B$1, Data!H243,"")</f>
        <v/>
      </c>
      <c r="X251" s="134" t="str">
        <f>IF(Data!$B243='Team Parser'!$B$1, Data!G243,"")</f>
        <v/>
      </c>
      <c r="Y251" s="134" t="str">
        <f>IF(Data!$B243='Team Parser'!$B$1, Data!L243,"")</f>
        <v/>
      </c>
      <c r="Z251" s="134" t="str">
        <f>IF(Data!$B243='Team Parser'!$B$1, Data!K243,"")</f>
        <v/>
      </c>
      <c r="AA251" s="134" t="str">
        <f>IF(Data!$B243='Team Parser'!$B$1, Data!M243,"")</f>
        <v/>
      </c>
      <c r="AB251" s="134" t="str">
        <f>IF(Data!$B243='Team Parser'!$B$1,((Z251*2)+(Y251)+(X251*4)+(W251*2)),"")</f>
        <v/>
      </c>
      <c r="AC251" s="134" t="str">
        <f>IF(Data!$B243='Team Parser'!$B$1, Data!N243,"")</f>
        <v/>
      </c>
      <c r="AD251" s="139" t="str">
        <f>IF(Data!$B243='Team Parser'!$B$1,(AB251+(COUNTIF(AC251,"TRAVERSE")*15)+(COUNTIF(AC251,"HIGH")*10)+(COUNTIF(AC251,"MIDDLE")*6)+(COUNTIF(AC251,"LOW")*4)),"")</f>
        <v/>
      </c>
    </row>
    <row r="252">
      <c r="A252" s="141" t="s">
        <v>507</v>
      </c>
      <c r="B252" s="134" t="str">
        <f>IFERROR(__xludf.DUMMYFUNCTION("IFERROR((FILTER(Data!H:H,Data!D:D=A252,Data!B:B=$B$1)),"""")"),"")</f>
        <v/>
      </c>
      <c r="C252" s="134" t="str">
        <f>IFERROR(__xludf.DUMMYFUNCTION("IFERROR((FILTER(Data!G:G,Data!D:D=A252,Data!B:B=$B$1)),"""")"),"")</f>
        <v/>
      </c>
      <c r="D252" s="134" t="str">
        <f>IFERROR(__xludf.DUMMYFUNCTION("IFERROR((FILTER(Data!J:J,Data!D:D=A252,Data!B:B=$B$1)),"""")"),"")</f>
        <v/>
      </c>
      <c r="E252" s="134" t="str">
        <f>IFERROR(__xludf.DUMMYFUNCTION("IFERROR((FILTER(Data!L:L,Data!D:D=A252,Data!B:B=$B$1)),"""")"),"")</f>
        <v/>
      </c>
      <c r="F252" s="134" t="str">
        <f>IFERROR(__xludf.DUMMYFUNCTION("IFERROR((FILTER(Data!K:K,Data!D:D=A252,Data!B:B=$B$1)),"""")"),"")</f>
        <v/>
      </c>
      <c r="G252" s="134" t="str">
        <f>IFERROR(__xludf.DUMMYFUNCTION("IFERROR((FILTER(Data!M:M,Data!D:D=A252,Data!B:B=$B$1)),"""")"),"")</f>
        <v/>
      </c>
      <c r="H252" s="134" t="str">
        <f>IFERROR(__xludf.DUMMYFUNCTION("IFERROR((FILTER(Data!G:G,Data!D:D=A252,Data!B:B=$B$1)*4)+(FILTER(Data!H:H,Data!D:D=A252,Data!B:B=$B$1)*2),"""")"),"")</f>
        <v/>
      </c>
      <c r="I252" s="15" t="str">
        <f>IFERROR(__xludf.DUMMYFUNCTION("IFERROR((FILTER(Data!K:K,Data!D:D=A252,Data!B:B=$B$1)*2)+(FILTER(Data!L:L,Data!D:D=A252,Data!B:B=$B$1)),"""")"),"")</f>
        <v/>
      </c>
      <c r="J252" s="134" t="str">
        <f>IFERROR(__xludf.DUMMYFUNCTION("IFERROR((FILTER(Data!N:N,Data!D:D=A252,Data!B:B=$B$1)),"""")"),"")</f>
        <v/>
      </c>
      <c r="K252" s="135" t="str">
        <f>IFERROR(__xludf.DUMMYFUNCTION("IFERROR((FILTER(Data!H:H,Data!D:D=A252,Data!B:B=$B$1)*2)+(FILTER(Data!L:L,Data!D:D=A252,Data!B:B=$B$1))+(FILTER(Data!G:G,Data!D:D=A252,Data!B:B=$B$1)*4)+(FILTER(Data!K:K,Data!D:D=A252,Data!B:B=$B$1)*2)+(((COUNTIF(FILTER(Data!N:N,Data!D:D=A252,Data!B:B=$B$"&amp;"1),""TRAVERSE"")*15)+(COUNTIF(FILTER(Data!N:N,Data!D:D=A252,Data!B:B=$B$1),""HIGH"")*10)+(COUNTIF(FILTER(Data!N:N,Data!D:D=A252,Data!B:B=$B$1),""MIDDLE"")*6)+(COUNTIF(FILTER(Data!N:N,Data!D:D=A252,Data!B:B=$B$1),""LOW"")*4))),"""")"),"")</f>
        <v/>
      </c>
      <c r="L252" s="136" t="str">
        <f>IFERROR(__xludf.DUMMYFUNCTION("IFERROR((FILTER(Data!P:P,Data!D:D=A252,Data!B:B=$B$1)),"""")"),"")</f>
        <v/>
      </c>
      <c r="M252" s="137" t="str">
        <f>IFERROR(__xludf.DUMMYFUNCTION("IFERROR((FILTER(Data!A:A,Data!D:D=A252,Data!B:B=$B$1)),"""")"),"")</f>
        <v/>
      </c>
      <c r="T252" s="52">
        <f>IFERROR(__xludf.DUMMYFUNCTION("((COUNTIF(FILTER(Data!N:N,Data!D:D=A252,Data!B:B=$B$1),""TRAVERSE"")*15)+(COUNTIF(FILTER(Data!N:N,Data!D:D=A252,Data!B:B=B$1),""HIGH"")*10)+(COUNTIF(FILTER(Data!N:N,Data!D:D=A252,Data!B:B=$B$1),""MIDDLE"")*6)+(COUNTIF(FILTER(Data!N:N,Data!D:D=A252,Data!B:"&amp;"B=$B$1),""LOW"")*4))"),0.0)</f>
        <v>0</v>
      </c>
      <c r="V252" s="138" t="str">
        <f>IF(Data!B244='Team Parser'!$B$1, Data!D244,"")</f>
        <v/>
      </c>
      <c r="W252" s="134" t="str">
        <f>IF(Data!$B244='Team Parser'!$B$1, Data!H244,"")</f>
        <v/>
      </c>
      <c r="X252" s="134" t="str">
        <f>IF(Data!$B244='Team Parser'!$B$1, Data!G244,"")</f>
        <v/>
      </c>
      <c r="Y252" s="134" t="str">
        <f>IF(Data!$B244='Team Parser'!$B$1, Data!L244,"")</f>
        <v/>
      </c>
      <c r="Z252" s="134" t="str">
        <f>IF(Data!$B244='Team Parser'!$B$1, Data!K244,"")</f>
        <v/>
      </c>
      <c r="AA252" s="134" t="str">
        <f>IF(Data!$B244='Team Parser'!$B$1, Data!M244,"")</f>
        <v/>
      </c>
      <c r="AB252" s="134" t="str">
        <f>IF(Data!$B244='Team Parser'!$B$1,((Z252*2)+(Y252)+(X252*4)+(W252*2)),"")</f>
        <v/>
      </c>
      <c r="AC252" s="134" t="str">
        <f>IF(Data!$B244='Team Parser'!$B$1, Data!N244,"")</f>
        <v/>
      </c>
      <c r="AD252" s="139" t="str">
        <f>IF(Data!$B244='Team Parser'!$B$1,(AB252+(COUNTIF(AC252,"TRAVERSE")*15)+(COUNTIF(AC252,"HIGH")*10)+(COUNTIF(AC252,"MIDDLE")*6)+(COUNTIF(AC252,"LOW")*4)),"")</f>
        <v/>
      </c>
    </row>
    <row r="253">
      <c r="A253" s="141" t="s">
        <v>507</v>
      </c>
      <c r="B253" s="134" t="str">
        <f>IFERROR(__xludf.DUMMYFUNCTION("IFERROR((FILTER(Data!H:H,Data!D:D=A253,Data!B:B=$B$1)),"""")"),"")</f>
        <v/>
      </c>
      <c r="C253" s="134" t="str">
        <f>IFERROR(__xludf.DUMMYFUNCTION("IFERROR((FILTER(Data!G:G,Data!D:D=A253,Data!B:B=$B$1)),"""")"),"")</f>
        <v/>
      </c>
      <c r="D253" s="134" t="str">
        <f>IFERROR(__xludf.DUMMYFUNCTION("IFERROR((FILTER(Data!J:J,Data!D:D=A253,Data!B:B=$B$1)),"""")"),"")</f>
        <v/>
      </c>
      <c r="E253" s="134" t="str">
        <f>IFERROR(__xludf.DUMMYFUNCTION("IFERROR((FILTER(Data!L:L,Data!D:D=A253,Data!B:B=$B$1)),"""")"),"")</f>
        <v/>
      </c>
      <c r="F253" s="134" t="str">
        <f>IFERROR(__xludf.DUMMYFUNCTION("IFERROR((FILTER(Data!K:K,Data!D:D=A253,Data!B:B=$B$1)),"""")"),"")</f>
        <v/>
      </c>
      <c r="G253" s="134" t="str">
        <f>IFERROR(__xludf.DUMMYFUNCTION("IFERROR((FILTER(Data!M:M,Data!D:D=A253,Data!B:B=$B$1)),"""")"),"")</f>
        <v/>
      </c>
      <c r="H253" s="134" t="str">
        <f>IFERROR(__xludf.DUMMYFUNCTION("IFERROR((FILTER(Data!G:G,Data!D:D=A253,Data!B:B=$B$1)*4)+(FILTER(Data!H:H,Data!D:D=A253,Data!B:B=$B$1)*2),"""")"),"")</f>
        <v/>
      </c>
      <c r="I253" s="15" t="str">
        <f>IFERROR(__xludf.DUMMYFUNCTION("IFERROR((FILTER(Data!K:K,Data!D:D=A253,Data!B:B=$B$1)*2)+(FILTER(Data!L:L,Data!D:D=A253,Data!B:B=$B$1)),"""")"),"")</f>
        <v/>
      </c>
      <c r="J253" s="134" t="str">
        <f>IFERROR(__xludf.DUMMYFUNCTION("IFERROR((FILTER(Data!N:N,Data!D:D=A253,Data!B:B=$B$1)),"""")"),"")</f>
        <v/>
      </c>
      <c r="K253" s="135" t="str">
        <f>IFERROR(__xludf.DUMMYFUNCTION("IFERROR((FILTER(Data!H:H,Data!D:D=A253,Data!B:B=$B$1)*2)+(FILTER(Data!L:L,Data!D:D=A253,Data!B:B=$B$1))+(FILTER(Data!G:G,Data!D:D=A253,Data!B:B=$B$1)*4)+(FILTER(Data!K:K,Data!D:D=A253,Data!B:B=$B$1)*2)+(((COUNTIF(FILTER(Data!N:N,Data!D:D=A253,Data!B:B=$B$"&amp;"1),""TRAVERSE"")*15)+(COUNTIF(FILTER(Data!N:N,Data!D:D=A253,Data!B:B=$B$1),""HIGH"")*10)+(COUNTIF(FILTER(Data!N:N,Data!D:D=A253,Data!B:B=$B$1),""MIDDLE"")*6)+(COUNTIF(FILTER(Data!N:N,Data!D:D=A253,Data!B:B=$B$1),""LOW"")*4))),"""")"),"")</f>
        <v/>
      </c>
      <c r="L253" s="136" t="str">
        <f>IFERROR(__xludf.DUMMYFUNCTION("IFERROR((FILTER(Data!P:P,Data!D:D=A253,Data!B:B=$B$1)),"""")"),"")</f>
        <v/>
      </c>
      <c r="M253" s="137" t="str">
        <f>IFERROR(__xludf.DUMMYFUNCTION("IFERROR((FILTER(Data!A:A,Data!D:D=A253,Data!B:B=$B$1)),"""")"),"")</f>
        <v/>
      </c>
      <c r="T253" s="52">
        <f>IFERROR(__xludf.DUMMYFUNCTION("((COUNTIF(FILTER(Data!N:N,Data!D:D=A253,Data!B:B=$B$1),""TRAVERSE"")*15)+(COUNTIF(FILTER(Data!N:N,Data!D:D=A253,Data!B:B=B$1),""HIGH"")*10)+(COUNTIF(FILTER(Data!N:N,Data!D:D=A253,Data!B:B=$B$1),""MIDDLE"")*6)+(COUNTIF(FILTER(Data!N:N,Data!D:D=A253,Data!B:"&amp;"B=$B$1),""LOW"")*4))"),0.0)</f>
        <v>0</v>
      </c>
      <c r="V253" s="138" t="str">
        <f>IF(Data!B245='Team Parser'!$B$1, Data!D245,"")</f>
        <v/>
      </c>
      <c r="W253" s="134" t="str">
        <f>IF(Data!$B245='Team Parser'!$B$1, Data!H245,"")</f>
        <v/>
      </c>
      <c r="X253" s="134" t="str">
        <f>IF(Data!$B245='Team Parser'!$B$1, Data!G245,"")</f>
        <v/>
      </c>
      <c r="Y253" s="134" t="str">
        <f>IF(Data!$B245='Team Parser'!$B$1, Data!L245,"")</f>
        <v/>
      </c>
      <c r="Z253" s="134" t="str">
        <f>IF(Data!$B245='Team Parser'!$B$1, Data!K245,"")</f>
        <v/>
      </c>
      <c r="AA253" s="134" t="str">
        <f>IF(Data!$B245='Team Parser'!$B$1, Data!M245,"")</f>
        <v/>
      </c>
      <c r="AB253" s="134" t="str">
        <f>IF(Data!$B245='Team Parser'!$B$1,((Z253*2)+(Y253)+(X253*4)+(W253*2)),"")</f>
        <v/>
      </c>
      <c r="AC253" s="134" t="str">
        <f>IF(Data!$B245='Team Parser'!$B$1, Data!N245,"")</f>
        <v/>
      </c>
      <c r="AD253" s="139" t="str">
        <f>IF(Data!$B245='Team Parser'!$B$1,(AB253+(COUNTIF(AC253,"TRAVERSE")*15)+(COUNTIF(AC253,"HIGH")*10)+(COUNTIF(AC253,"MIDDLE")*6)+(COUNTIF(AC253,"LOW")*4)),"")</f>
        <v/>
      </c>
    </row>
    <row r="254">
      <c r="A254" s="141" t="s">
        <v>507</v>
      </c>
      <c r="B254" s="134" t="str">
        <f>IFERROR(__xludf.DUMMYFUNCTION("IFERROR((FILTER(Data!H:H,Data!D:D=A254,Data!B:B=$B$1)),"""")"),"")</f>
        <v/>
      </c>
      <c r="C254" s="134" t="str">
        <f>IFERROR(__xludf.DUMMYFUNCTION("IFERROR((FILTER(Data!G:G,Data!D:D=A254,Data!B:B=$B$1)),"""")"),"")</f>
        <v/>
      </c>
      <c r="D254" s="134" t="str">
        <f>IFERROR(__xludf.DUMMYFUNCTION("IFERROR((FILTER(Data!J:J,Data!D:D=A254,Data!B:B=$B$1)),"""")"),"")</f>
        <v/>
      </c>
      <c r="E254" s="134" t="str">
        <f>IFERROR(__xludf.DUMMYFUNCTION("IFERROR((FILTER(Data!L:L,Data!D:D=A254,Data!B:B=$B$1)),"""")"),"")</f>
        <v/>
      </c>
      <c r="F254" s="134" t="str">
        <f>IFERROR(__xludf.DUMMYFUNCTION("IFERROR((FILTER(Data!K:K,Data!D:D=A254,Data!B:B=$B$1)),"""")"),"")</f>
        <v/>
      </c>
      <c r="G254" s="134" t="str">
        <f>IFERROR(__xludf.DUMMYFUNCTION("IFERROR((FILTER(Data!M:M,Data!D:D=A254,Data!B:B=$B$1)),"""")"),"")</f>
        <v/>
      </c>
      <c r="H254" s="134" t="str">
        <f>IFERROR(__xludf.DUMMYFUNCTION("IFERROR((FILTER(Data!G:G,Data!D:D=A254,Data!B:B=$B$1)*4)+(FILTER(Data!H:H,Data!D:D=A254,Data!B:B=$B$1)*2),"""")"),"")</f>
        <v/>
      </c>
      <c r="I254" s="15" t="str">
        <f>IFERROR(__xludf.DUMMYFUNCTION("IFERROR((FILTER(Data!K:K,Data!D:D=A254,Data!B:B=$B$1)*2)+(FILTER(Data!L:L,Data!D:D=A254,Data!B:B=$B$1)),"""")"),"")</f>
        <v/>
      </c>
      <c r="J254" s="134" t="str">
        <f>IFERROR(__xludf.DUMMYFUNCTION("IFERROR((FILTER(Data!N:N,Data!D:D=A254,Data!B:B=$B$1)),"""")"),"")</f>
        <v/>
      </c>
      <c r="K254" s="135" t="str">
        <f>IFERROR(__xludf.DUMMYFUNCTION("IFERROR((FILTER(Data!H:H,Data!D:D=A254,Data!B:B=$B$1)*2)+(FILTER(Data!L:L,Data!D:D=A254,Data!B:B=$B$1))+(FILTER(Data!G:G,Data!D:D=A254,Data!B:B=$B$1)*4)+(FILTER(Data!K:K,Data!D:D=A254,Data!B:B=$B$1)*2)+(((COUNTIF(FILTER(Data!N:N,Data!D:D=A254,Data!B:B=$B$"&amp;"1),""TRAVERSE"")*15)+(COUNTIF(FILTER(Data!N:N,Data!D:D=A254,Data!B:B=$B$1),""HIGH"")*10)+(COUNTIF(FILTER(Data!N:N,Data!D:D=A254,Data!B:B=$B$1),""MIDDLE"")*6)+(COUNTIF(FILTER(Data!N:N,Data!D:D=A254,Data!B:B=$B$1),""LOW"")*4))),"""")"),"")</f>
        <v/>
      </c>
      <c r="L254" s="136" t="str">
        <f>IFERROR(__xludf.DUMMYFUNCTION("IFERROR((FILTER(Data!P:P,Data!D:D=A254,Data!B:B=$B$1)),"""")"),"")</f>
        <v/>
      </c>
      <c r="M254" s="137" t="str">
        <f>IFERROR(__xludf.DUMMYFUNCTION("IFERROR((FILTER(Data!A:A,Data!D:D=A254,Data!B:B=$B$1)),"""")"),"")</f>
        <v/>
      </c>
      <c r="T254" s="52">
        <f>IFERROR(__xludf.DUMMYFUNCTION("((COUNTIF(FILTER(Data!N:N,Data!D:D=A254,Data!B:B=$B$1),""TRAVERSE"")*15)+(COUNTIF(FILTER(Data!N:N,Data!D:D=A254,Data!B:B=B$1),""HIGH"")*10)+(COUNTIF(FILTER(Data!N:N,Data!D:D=A254,Data!B:B=$B$1),""MIDDLE"")*6)+(COUNTIF(FILTER(Data!N:N,Data!D:D=A254,Data!B:"&amp;"B=$B$1),""LOW"")*4))"),0.0)</f>
        <v>0</v>
      </c>
      <c r="V254" s="138" t="str">
        <f>IF(Data!B246='Team Parser'!$B$1, Data!D246,"")</f>
        <v/>
      </c>
      <c r="W254" s="134" t="str">
        <f>IF(Data!$B246='Team Parser'!$B$1, Data!H246,"")</f>
        <v/>
      </c>
      <c r="X254" s="134" t="str">
        <f>IF(Data!$B246='Team Parser'!$B$1, Data!G246,"")</f>
        <v/>
      </c>
      <c r="Y254" s="134" t="str">
        <f>IF(Data!$B246='Team Parser'!$B$1, Data!L246,"")</f>
        <v/>
      </c>
      <c r="Z254" s="134" t="str">
        <f>IF(Data!$B246='Team Parser'!$B$1, Data!K246,"")</f>
        <v/>
      </c>
      <c r="AA254" s="134" t="str">
        <f>IF(Data!$B246='Team Parser'!$B$1, Data!M246,"")</f>
        <v/>
      </c>
      <c r="AB254" s="134" t="str">
        <f>IF(Data!$B246='Team Parser'!$B$1,((Z254*2)+(Y254)+(X254*4)+(W254*2)),"")</f>
        <v/>
      </c>
      <c r="AC254" s="134" t="str">
        <f>IF(Data!$B246='Team Parser'!$B$1, Data!N246,"")</f>
        <v/>
      </c>
      <c r="AD254" s="139" t="str">
        <f>IF(Data!$B246='Team Parser'!$B$1,(AB254+(COUNTIF(AC254,"TRAVERSE")*15)+(COUNTIF(AC254,"HIGH")*10)+(COUNTIF(AC254,"MIDDLE")*6)+(COUNTIF(AC254,"LOW")*4)),"")</f>
        <v/>
      </c>
    </row>
    <row r="255">
      <c r="A255" s="141" t="s">
        <v>507</v>
      </c>
      <c r="B255" s="134" t="str">
        <f>IFERROR(__xludf.DUMMYFUNCTION("IFERROR((FILTER(Data!H:H,Data!D:D=A255,Data!B:B=$B$1)),"""")"),"")</f>
        <v/>
      </c>
      <c r="C255" s="134" t="str">
        <f>IFERROR(__xludf.DUMMYFUNCTION("IFERROR((FILTER(Data!G:G,Data!D:D=A255,Data!B:B=$B$1)),"""")"),"")</f>
        <v/>
      </c>
      <c r="D255" s="134" t="str">
        <f>IFERROR(__xludf.DUMMYFUNCTION("IFERROR((FILTER(Data!J:J,Data!D:D=A255,Data!B:B=$B$1)),"""")"),"")</f>
        <v/>
      </c>
      <c r="E255" s="134" t="str">
        <f>IFERROR(__xludf.DUMMYFUNCTION("IFERROR((FILTER(Data!L:L,Data!D:D=A255,Data!B:B=$B$1)),"""")"),"")</f>
        <v/>
      </c>
      <c r="F255" s="134" t="str">
        <f>IFERROR(__xludf.DUMMYFUNCTION("IFERROR((FILTER(Data!K:K,Data!D:D=A255,Data!B:B=$B$1)),"""")"),"")</f>
        <v/>
      </c>
      <c r="G255" s="134" t="str">
        <f>IFERROR(__xludf.DUMMYFUNCTION("IFERROR((FILTER(Data!M:M,Data!D:D=A255,Data!B:B=$B$1)),"""")"),"")</f>
        <v/>
      </c>
      <c r="H255" s="134" t="str">
        <f>IFERROR(__xludf.DUMMYFUNCTION("IFERROR((FILTER(Data!G:G,Data!D:D=A255,Data!B:B=$B$1)*4)+(FILTER(Data!H:H,Data!D:D=A255,Data!B:B=$B$1)*2),"""")"),"")</f>
        <v/>
      </c>
      <c r="I255" s="15" t="str">
        <f>IFERROR(__xludf.DUMMYFUNCTION("IFERROR((FILTER(Data!K:K,Data!D:D=A255,Data!B:B=$B$1)*2)+(FILTER(Data!L:L,Data!D:D=A255,Data!B:B=$B$1)),"""")"),"")</f>
        <v/>
      </c>
      <c r="J255" s="134" t="str">
        <f>IFERROR(__xludf.DUMMYFUNCTION("IFERROR((FILTER(Data!N:N,Data!D:D=A255,Data!B:B=$B$1)),"""")"),"")</f>
        <v/>
      </c>
      <c r="K255" s="135" t="str">
        <f>IFERROR(__xludf.DUMMYFUNCTION("IFERROR((FILTER(Data!H:H,Data!D:D=A255,Data!B:B=$B$1)*2)+(FILTER(Data!L:L,Data!D:D=A255,Data!B:B=$B$1))+(FILTER(Data!G:G,Data!D:D=A255,Data!B:B=$B$1)*4)+(FILTER(Data!K:K,Data!D:D=A255,Data!B:B=$B$1)*2)+(((COUNTIF(FILTER(Data!N:N,Data!D:D=A255,Data!B:B=$B$"&amp;"1),""TRAVERSE"")*15)+(COUNTIF(FILTER(Data!N:N,Data!D:D=A255,Data!B:B=$B$1),""HIGH"")*10)+(COUNTIF(FILTER(Data!N:N,Data!D:D=A255,Data!B:B=$B$1),""MIDDLE"")*6)+(COUNTIF(FILTER(Data!N:N,Data!D:D=A255,Data!B:B=$B$1),""LOW"")*4))),"""")"),"")</f>
        <v/>
      </c>
      <c r="L255" s="136" t="str">
        <f>IFERROR(__xludf.DUMMYFUNCTION("IFERROR((FILTER(Data!P:P,Data!D:D=A255,Data!B:B=$B$1)),"""")"),"")</f>
        <v/>
      </c>
      <c r="M255" s="137" t="str">
        <f>IFERROR(__xludf.DUMMYFUNCTION("IFERROR((FILTER(Data!A:A,Data!D:D=A255,Data!B:B=$B$1)),"""")"),"")</f>
        <v/>
      </c>
      <c r="T255" s="52">
        <f>IFERROR(__xludf.DUMMYFUNCTION("((COUNTIF(FILTER(Data!N:N,Data!D:D=A255,Data!B:B=$B$1),""TRAVERSE"")*15)+(COUNTIF(FILTER(Data!N:N,Data!D:D=A255,Data!B:B=B$1),""HIGH"")*10)+(COUNTIF(FILTER(Data!N:N,Data!D:D=A255,Data!B:B=$B$1),""MIDDLE"")*6)+(COUNTIF(FILTER(Data!N:N,Data!D:D=A255,Data!B:"&amp;"B=$B$1),""LOW"")*4))"),0.0)</f>
        <v>0</v>
      </c>
      <c r="V255" s="138" t="str">
        <f>IF(Data!B247='Team Parser'!$B$1, Data!D247,"")</f>
        <v/>
      </c>
      <c r="W255" s="134" t="str">
        <f>IF(Data!$B247='Team Parser'!$B$1, Data!H247,"")</f>
        <v/>
      </c>
      <c r="X255" s="134" t="str">
        <f>IF(Data!$B247='Team Parser'!$B$1, Data!G247,"")</f>
        <v/>
      </c>
      <c r="Y255" s="134" t="str">
        <f>IF(Data!$B247='Team Parser'!$B$1, Data!L247,"")</f>
        <v/>
      </c>
      <c r="Z255" s="134" t="str">
        <f>IF(Data!$B247='Team Parser'!$B$1, Data!K247,"")</f>
        <v/>
      </c>
      <c r="AA255" s="134" t="str">
        <f>IF(Data!$B247='Team Parser'!$B$1, Data!M247,"")</f>
        <v/>
      </c>
      <c r="AB255" s="134" t="str">
        <f>IF(Data!$B247='Team Parser'!$B$1,((Z255*2)+(Y255)+(X255*4)+(W255*2)),"")</f>
        <v/>
      </c>
      <c r="AC255" s="134" t="str">
        <f>IF(Data!$B247='Team Parser'!$B$1, Data!N247,"")</f>
        <v/>
      </c>
      <c r="AD255" s="139" t="str">
        <f>IF(Data!$B247='Team Parser'!$B$1,(AB255+(COUNTIF(AC255,"TRAVERSE")*15)+(COUNTIF(AC255,"HIGH")*10)+(COUNTIF(AC255,"MIDDLE")*6)+(COUNTIF(AC255,"LOW")*4)),"")</f>
        <v/>
      </c>
    </row>
    <row r="256">
      <c r="A256" s="141" t="s">
        <v>507</v>
      </c>
      <c r="B256" s="134" t="str">
        <f>IFERROR(__xludf.DUMMYFUNCTION("IFERROR((FILTER(Data!H:H,Data!D:D=A256,Data!B:B=$B$1)),"""")"),"")</f>
        <v/>
      </c>
      <c r="C256" s="134" t="str">
        <f>IFERROR(__xludf.DUMMYFUNCTION("IFERROR((FILTER(Data!G:G,Data!D:D=A256,Data!B:B=$B$1)),"""")"),"")</f>
        <v/>
      </c>
      <c r="D256" s="134" t="str">
        <f>IFERROR(__xludf.DUMMYFUNCTION("IFERROR((FILTER(Data!J:J,Data!D:D=A256,Data!B:B=$B$1)),"""")"),"")</f>
        <v/>
      </c>
      <c r="E256" s="134" t="str">
        <f>IFERROR(__xludf.DUMMYFUNCTION("IFERROR((FILTER(Data!L:L,Data!D:D=A256,Data!B:B=$B$1)),"""")"),"")</f>
        <v/>
      </c>
      <c r="F256" s="134" t="str">
        <f>IFERROR(__xludf.DUMMYFUNCTION("IFERROR((FILTER(Data!K:K,Data!D:D=A256,Data!B:B=$B$1)),"""")"),"")</f>
        <v/>
      </c>
      <c r="G256" s="134" t="str">
        <f>IFERROR(__xludf.DUMMYFUNCTION("IFERROR((FILTER(Data!M:M,Data!D:D=A256,Data!B:B=$B$1)),"""")"),"")</f>
        <v/>
      </c>
      <c r="H256" s="134" t="str">
        <f>IFERROR(__xludf.DUMMYFUNCTION("IFERROR((FILTER(Data!G:G,Data!D:D=A256,Data!B:B=$B$1)*4)+(FILTER(Data!H:H,Data!D:D=A256,Data!B:B=$B$1)*2),"""")"),"")</f>
        <v/>
      </c>
      <c r="I256" s="15" t="str">
        <f>IFERROR(__xludf.DUMMYFUNCTION("IFERROR((FILTER(Data!K:K,Data!D:D=A256,Data!B:B=$B$1)*2)+(FILTER(Data!L:L,Data!D:D=A256,Data!B:B=$B$1)),"""")"),"")</f>
        <v/>
      </c>
      <c r="J256" s="134" t="str">
        <f>IFERROR(__xludf.DUMMYFUNCTION("IFERROR((FILTER(Data!N:N,Data!D:D=A256,Data!B:B=$B$1)),"""")"),"")</f>
        <v/>
      </c>
      <c r="K256" s="135" t="str">
        <f>IFERROR(__xludf.DUMMYFUNCTION("IFERROR((FILTER(Data!H:H,Data!D:D=A256,Data!B:B=$B$1)*2)+(FILTER(Data!L:L,Data!D:D=A256,Data!B:B=$B$1))+(FILTER(Data!G:G,Data!D:D=A256,Data!B:B=$B$1)*4)+(FILTER(Data!K:K,Data!D:D=A256,Data!B:B=$B$1)*2)+(((COUNTIF(FILTER(Data!N:N,Data!D:D=A256,Data!B:B=$B$"&amp;"1),""TRAVERSE"")*15)+(COUNTIF(FILTER(Data!N:N,Data!D:D=A256,Data!B:B=$B$1),""HIGH"")*10)+(COUNTIF(FILTER(Data!N:N,Data!D:D=A256,Data!B:B=$B$1),""MIDDLE"")*6)+(COUNTIF(FILTER(Data!N:N,Data!D:D=A256,Data!B:B=$B$1),""LOW"")*4))),"""")"),"")</f>
        <v/>
      </c>
      <c r="L256" s="136" t="str">
        <f>IFERROR(__xludf.DUMMYFUNCTION("IFERROR((FILTER(Data!P:P,Data!D:D=A256,Data!B:B=$B$1)),"""")"),"")</f>
        <v/>
      </c>
      <c r="M256" s="137" t="str">
        <f>IFERROR(__xludf.DUMMYFUNCTION("IFERROR((FILTER(Data!A:A,Data!D:D=A256,Data!B:B=$B$1)),"""")"),"")</f>
        <v/>
      </c>
      <c r="T256" s="52">
        <f>IFERROR(__xludf.DUMMYFUNCTION("((COUNTIF(FILTER(Data!N:N,Data!D:D=A256,Data!B:B=$B$1),""TRAVERSE"")*15)+(COUNTIF(FILTER(Data!N:N,Data!D:D=A256,Data!B:B=B$1),""HIGH"")*10)+(COUNTIF(FILTER(Data!N:N,Data!D:D=A256,Data!B:B=$B$1),""MIDDLE"")*6)+(COUNTIF(FILTER(Data!N:N,Data!D:D=A256,Data!B:"&amp;"B=$B$1),""LOW"")*4))"),0.0)</f>
        <v>0</v>
      </c>
      <c r="V256" s="138" t="str">
        <f>IF(Data!B248='Team Parser'!$B$1, Data!D248,"")</f>
        <v/>
      </c>
      <c r="W256" s="134" t="str">
        <f>IF(Data!$B248='Team Parser'!$B$1, Data!H248,"")</f>
        <v/>
      </c>
      <c r="X256" s="134" t="str">
        <f>IF(Data!$B248='Team Parser'!$B$1, Data!G248,"")</f>
        <v/>
      </c>
      <c r="Y256" s="134" t="str">
        <f>IF(Data!$B248='Team Parser'!$B$1, Data!L248,"")</f>
        <v/>
      </c>
      <c r="Z256" s="134" t="str">
        <f>IF(Data!$B248='Team Parser'!$B$1, Data!K248,"")</f>
        <v/>
      </c>
      <c r="AA256" s="134" t="str">
        <f>IF(Data!$B248='Team Parser'!$B$1, Data!M248,"")</f>
        <v/>
      </c>
      <c r="AB256" s="134" t="str">
        <f>IF(Data!$B248='Team Parser'!$B$1,((Z256*2)+(Y256)+(X256*4)+(W256*2)),"")</f>
        <v/>
      </c>
      <c r="AC256" s="134" t="str">
        <f>IF(Data!$B248='Team Parser'!$B$1, Data!N248,"")</f>
        <v/>
      </c>
      <c r="AD256" s="139" t="str">
        <f>IF(Data!$B248='Team Parser'!$B$1,(AB256+(COUNTIF(AC256,"TRAVERSE")*15)+(COUNTIF(AC256,"HIGH")*10)+(COUNTIF(AC256,"MIDDLE")*6)+(COUNTIF(AC256,"LOW")*4)),"")</f>
        <v/>
      </c>
    </row>
    <row r="257">
      <c r="A257" s="141" t="s">
        <v>507</v>
      </c>
      <c r="B257" s="134" t="str">
        <f>IFERROR(__xludf.DUMMYFUNCTION("IFERROR((FILTER(Data!H:H,Data!D:D=A257,Data!B:B=$B$1)),"""")"),"")</f>
        <v/>
      </c>
      <c r="C257" s="134" t="str">
        <f>IFERROR(__xludf.DUMMYFUNCTION("IFERROR((FILTER(Data!G:G,Data!D:D=A257,Data!B:B=$B$1)),"""")"),"")</f>
        <v/>
      </c>
      <c r="D257" s="134" t="str">
        <f>IFERROR(__xludf.DUMMYFUNCTION("IFERROR((FILTER(Data!J:J,Data!D:D=A257,Data!B:B=$B$1)),"""")"),"")</f>
        <v/>
      </c>
      <c r="E257" s="134" t="str">
        <f>IFERROR(__xludf.DUMMYFUNCTION("IFERROR((FILTER(Data!L:L,Data!D:D=A257,Data!B:B=$B$1)),"""")"),"")</f>
        <v/>
      </c>
      <c r="F257" s="134" t="str">
        <f>IFERROR(__xludf.DUMMYFUNCTION("IFERROR((FILTER(Data!K:K,Data!D:D=A257,Data!B:B=$B$1)),"""")"),"")</f>
        <v/>
      </c>
      <c r="G257" s="134" t="str">
        <f>IFERROR(__xludf.DUMMYFUNCTION("IFERROR((FILTER(Data!M:M,Data!D:D=A257,Data!B:B=$B$1)),"""")"),"")</f>
        <v/>
      </c>
      <c r="H257" s="134" t="str">
        <f>IFERROR(__xludf.DUMMYFUNCTION("IFERROR((FILTER(Data!G:G,Data!D:D=A257,Data!B:B=$B$1)*4)+(FILTER(Data!H:H,Data!D:D=A257,Data!B:B=$B$1)*2),"""")"),"")</f>
        <v/>
      </c>
      <c r="I257" s="15" t="str">
        <f>IFERROR(__xludf.DUMMYFUNCTION("IFERROR((FILTER(Data!K:K,Data!D:D=A257,Data!B:B=$B$1)*2)+(FILTER(Data!L:L,Data!D:D=A257,Data!B:B=$B$1)),"""")"),"")</f>
        <v/>
      </c>
      <c r="J257" s="134" t="str">
        <f>IFERROR(__xludf.DUMMYFUNCTION("IFERROR((FILTER(Data!N:N,Data!D:D=A257,Data!B:B=$B$1)),"""")"),"")</f>
        <v/>
      </c>
      <c r="K257" s="135" t="str">
        <f>IFERROR(__xludf.DUMMYFUNCTION("IFERROR((FILTER(Data!H:H,Data!D:D=A257,Data!B:B=$B$1)*2)+(FILTER(Data!L:L,Data!D:D=A257,Data!B:B=$B$1))+(FILTER(Data!G:G,Data!D:D=A257,Data!B:B=$B$1)*4)+(FILTER(Data!K:K,Data!D:D=A257,Data!B:B=$B$1)*2)+(((COUNTIF(FILTER(Data!N:N,Data!D:D=A257,Data!B:B=$B$"&amp;"1),""TRAVERSE"")*15)+(COUNTIF(FILTER(Data!N:N,Data!D:D=A257,Data!B:B=$B$1),""HIGH"")*10)+(COUNTIF(FILTER(Data!N:N,Data!D:D=A257,Data!B:B=$B$1),""MIDDLE"")*6)+(COUNTIF(FILTER(Data!N:N,Data!D:D=A257,Data!B:B=$B$1),""LOW"")*4))),"""")"),"")</f>
        <v/>
      </c>
      <c r="L257" s="136" t="str">
        <f>IFERROR(__xludf.DUMMYFUNCTION("IFERROR((FILTER(Data!P:P,Data!D:D=A257,Data!B:B=$B$1)),"""")"),"")</f>
        <v/>
      </c>
      <c r="M257" s="137" t="str">
        <f>IFERROR(__xludf.DUMMYFUNCTION("IFERROR((FILTER(Data!A:A,Data!D:D=A257,Data!B:B=$B$1)),"""")"),"")</f>
        <v/>
      </c>
      <c r="T257" s="52">
        <f>IFERROR(__xludf.DUMMYFUNCTION("((COUNTIF(FILTER(Data!N:N,Data!D:D=A257,Data!B:B=$B$1),""TRAVERSE"")*15)+(COUNTIF(FILTER(Data!N:N,Data!D:D=A257,Data!B:B=B$1),""HIGH"")*10)+(COUNTIF(FILTER(Data!N:N,Data!D:D=A257,Data!B:B=$B$1),""MIDDLE"")*6)+(COUNTIF(FILTER(Data!N:N,Data!D:D=A257,Data!B:"&amp;"B=$B$1),""LOW"")*4))"),0.0)</f>
        <v>0</v>
      </c>
      <c r="V257" s="138" t="str">
        <f>IF(Data!B249='Team Parser'!$B$1, Data!D249,"")</f>
        <v/>
      </c>
      <c r="W257" s="134" t="str">
        <f>IF(Data!$B249='Team Parser'!$B$1, Data!H249,"")</f>
        <v/>
      </c>
      <c r="X257" s="134" t="str">
        <f>IF(Data!$B249='Team Parser'!$B$1, Data!G249,"")</f>
        <v/>
      </c>
      <c r="Y257" s="134" t="str">
        <f>IF(Data!$B249='Team Parser'!$B$1, Data!L249,"")</f>
        <v/>
      </c>
      <c r="Z257" s="134" t="str">
        <f>IF(Data!$B249='Team Parser'!$B$1, Data!K249,"")</f>
        <v/>
      </c>
      <c r="AA257" s="134" t="str">
        <f>IF(Data!$B249='Team Parser'!$B$1, Data!M249,"")</f>
        <v/>
      </c>
      <c r="AB257" s="134" t="str">
        <f>IF(Data!$B249='Team Parser'!$B$1,((Z257*2)+(Y257)+(X257*4)+(W257*2)),"")</f>
        <v/>
      </c>
      <c r="AC257" s="134" t="str">
        <f>IF(Data!$B249='Team Parser'!$B$1, Data!N249,"")</f>
        <v/>
      </c>
      <c r="AD257" s="139" t="str">
        <f>IF(Data!$B249='Team Parser'!$B$1,(AB257+(COUNTIF(AC257,"TRAVERSE")*15)+(COUNTIF(AC257,"HIGH")*10)+(COUNTIF(AC257,"MIDDLE")*6)+(COUNTIF(AC257,"LOW")*4)),"")</f>
        <v/>
      </c>
    </row>
    <row r="258">
      <c r="A258" s="141" t="s">
        <v>507</v>
      </c>
      <c r="B258" s="134" t="str">
        <f>IFERROR(__xludf.DUMMYFUNCTION("IFERROR((FILTER(Data!H:H,Data!D:D=A258,Data!B:B=$B$1)),"""")"),"")</f>
        <v/>
      </c>
      <c r="C258" s="134" t="str">
        <f>IFERROR(__xludf.DUMMYFUNCTION("IFERROR((FILTER(Data!G:G,Data!D:D=A258,Data!B:B=$B$1)),"""")"),"")</f>
        <v/>
      </c>
      <c r="D258" s="134" t="str">
        <f>IFERROR(__xludf.DUMMYFUNCTION("IFERROR((FILTER(Data!J:J,Data!D:D=A258,Data!B:B=$B$1)),"""")"),"")</f>
        <v/>
      </c>
      <c r="E258" s="134" t="str">
        <f>IFERROR(__xludf.DUMMYFUNCTION("IFERROR((FILTER(Data!L:L,Data!D:D=A258,Data!B:B=$B$1)),"""")"),"")</f>
        <v/>
      </c>
      <c r="F258" s="134" t="str">
        <f>IFERROR(__xludf.DUMMYFUNCTION("IFERROR((FILTER(Data!K:K,Data!D:D=A258,Data!B:B=$B$1)),"""")"),"")</f>
        <v/>
      </c>
      <c r="G258" s="134" t="str">
        <f>IFERROR(__xludf.DUMMYFUNCTION("IFERROR((FILTER(Data!M:M,Data!D:D=A258,Data!B:B=$B$1)),"""")"),"")</f>
        <v/>
      </c>
      <c r="H258" s="134" t="str">
        <f>IFERROR(__xludf.DUMMYFUNCTION("IFERROR((FILTER(Data!G:G,Data!D:D=A258,Data!B:B=$B$1)*4)+(FILTER(Data!H:H,Data!D:D=A258,Data!B:B=$B$1)*2),"""")"),"")</f>
        <v/>
      </c>
      <c r="I258" s="15" t="str">
        <f>IFERROR(__xludf.DUMMYFUNCTION("IFERROR((FILTER(Data!K:K,Data!D:D=A258,Data!B:B=$B$1)*2)+(FILTER(Data!L:L,Data!D:D=A258,Data!B:B=$B$1)),"""")"),"")</f>
        <v/>
      </c>
      <c r="J258" s="134" t="str">
        <f>IFERROR(__xludf.DUMMYFUNCTION("IFERROR((FILTER(Data!N:N,Data!D:D=A258,Data!B:B=$B$1)),"""")"),"")</f>
        <v/>
      </c>
      <c r="K258" s="135" t="str">
        <f>IFERROR(__xludf.DUMMYFUNCTION("IFERROR((FILTER(Data!H:H,Data!D:D=A258,Data!B:B=$B$1)*2)+(FILTER(Data!L:L,Data!D:D=A258,Data!B:B=$B$1))+(FILTER(Data!G:G,Data!D:D=A258,Data!B:B=$B$1)*4)+(FILTER(Data!K:K,Data!D:D=A258,Data!B:B=$B$1)*2)+(((COUNTIF(FILTER(Data!N:N,Data!D:D=A258,Data!B:B=$B$"&amp;"1),""TRAVERSE"")*15)+(COUNTIF(FILTER(Data!N:N,Data!D:D=A258,Data!B:B=$B$1),""HIGH"")*10)+(COUNTIF(FILTER(Data!N:N,Data!D:D=A258,Data!B:B=$B$1),""MIDDLE"")*6)+(COUNTIF(FILTER(Data!N:N,Data!D:D=A258,Data!B:B=$B$1),""LOW"")*4))),"""")"),"")</f>
        <v/>
      </c>
      <c r="L258" s="136" t="str">
        <f>IFERROR(__xludf.DUMMYFUNCTION("IFERROR((FILTER(Data!P:P,Data!D:D=A258,Data!B:B=$B$1)),"""")"),"")</f>
        <v/>
      </c>
      <c r="M258" s="137" t="str">
        <f>IFERROR(__xludf.DUMMYFUNCTION("IFERROR((FILTER(Data!A:A,Data!D:D=A258,Data!B:B=$B$1)),"""")"),"")</f>
        <v/>
      </c>
      <c r="T258" s="52">
        <f>IFERROR(__xludf.DUMMYFUNCTION("((COUNTIF(FILTER(Data!N:N,Data!D:D=A258,Data!B:B=$B$1),""TRAVERSE"")*15)+(COUNTIF(FILTER(Data!N:N,Data!D:D=A258,Data!B:B=B$1),""HIGH"")*10)+(COUNTIF(FILTER(Data!N:N,Data!D:D=A258,Data!B:B=$B$1),""MIDDLE"")*6)+(COUNTIF(FILTER(Data!N:N,Data!D:D=A258,Data!B:"&amp;"B=$B$1),""LOW"")*4))"),0.0)</f>
        <v>0</v>
      </c>
      <c r="V258" s="138" t="str">
        <f>IF(Data!B250='Team Parser'!$B$1, Data!D250,"")</f>
        <v/>
      </c>
      <c r="W258" s="134" t="str">
        <f>IF(Data!$B250='Team Parser'!$B$1, Data!H250,"")</f>
        <v/>
      </c>
      <c r="X258" s="134" t="str">
        <f>IF(Data!$B250='Team Parser'!$B$1, Data!G250,"")</f>
        <v/>
      </c>
      <c r="Y258" s="134" t="str">
        <f>IF(Data!$B250='Team Parser'!$B$1, Data!L250,"")</f>
        <v/>
      </c>
      <c r="Z258" s="134" t="str">
        <f>IF(Data!$B250='Team Parser'!$B$1, Data!K250,"")</f>
        <v/>
      </c>
      <c r="AA258" s="134" t="str">
        <f>IF(Data!$B250='Team Parser'!$B$1, Data!M250,"")</f>
        <v/>
      </c>
      <c r="AB258" s="134" t="str">
        <f>IF(Data!$B250='Team Parser'!$B$1,((Z258*2)+(Y258)+(X258*4)+(W258*2)),"")</f>
        <v/>
      </c>
      <c r="AC258" s="134" t="str">
        <f>IF(Data!$B250='Team Parser'!$B$1, Data!N250,"")</f>
        <v/>
      </c>
      <c r="AD258" s="139" t="str">
        <f>IF(Data!$B250='Team Parser'!$B$1,(AB258+(COUNTIF(AC258,"TRAVERSE")*15)+(COUNTIF(AC258,"HIGH")*10)+(COUNTIF(AC258,"MIDDLE")*6)+(COUNTIF(AC258,"LOW")*4)),"")</f>
        <v/>
      </c>
    </row>
    <row r="259">
      <c r="A259" s="141" t="s">
        <v>507</v>
      </c>
      <c r="B259" s="134" t="str">
        <f>IFERROR(__xludf.DUMMYFUNCTION("IFERROR((FILTER(Data!H:H,Data!D:D=A259,Data!B:B=$B$1)),"""")"),"")</f>
        <v/>
      </c>
      <c r="C259" s="134" t="str">
        <f>IFERROR(__xludf.DUMMYFUNCTION("IFERROR((FILTER(Data!G:G,Data!D:D=A259,Data!B:B=$B$1)),"""")"),"")</f>
        <v/>
      </c>
      <c r="D259" s="134" t="str">
        <f>IFERROR(__xludf.DUMMYFUNCTION("IFERROR((FILTER(Data!J:J,Data!D:D=A259,Data!B:B=$B$1)),"""")"),"")</f>
        <v/>
      </c>
      <c r="E259" s="134" t="str">
        <f>IFERROR(__xludf.DUMMYFUNCTION("IFERROR((FILTER(Data!L:L,Data!D:D=A259,Data!B:B=$B$1)),"""")"),"")</f>
        <v/>
      </c>
      <c r="F259" s="134" t="str">
        <f>IFERROR(__xludf.DUMMYFUNCTION("IFERROR((FILTER(Data!K:K,Data!D:D=A259,Data!B:B=$B$1)),"""")"),"")</f>
        <v/>
      </c>
      <c r="G259" s="134" t="str">
        <f>IFERROR(__xludf.DUMMYFUNCTION("IFERROR((FILTER(Data!M:M,Data!D:D=A259,Data!B:B=$B$1)),"""")"),"")</f>
        <v/>
      </c>
      <c r="H259" s="134" t="str">
        <f>IFERROR(__xludf.DUMMYFUNCTION("IFERROR((FILTER(Data!G:G,Data!D:D=A259,Data!B:B=$B$1)*4)+(FILTER(Data!H:H,Data!D:D=A259,Data!B:B=$B$1)*2),"""")"),"")</f>
        <v/>
      </c>
      <c r="I259" s="15" t="str">
        <f>IFERROR(__xludf.DUMMYFUNCTION("IFERROR((FILTER(Data!K:K,Data!D:D=A259,Data!B:B=$B$1)*2)+(FILTER(Data!L:L,Data!D:D=A259,Data!B:B=$B$1)),"""")"),"")</f>
        <v/>
      </c>
      <c r="J259" s="134" t="str">
        <f>IFERROR(__xludf.DUMMYFUNCTION("IFERROR((FILTER(Data!N:N,Data!D:D=A259,Data!B:B=$B$1)),"""")"),"")</f>
        <v/>
      </c>
      <c r="K259" s="135" t="str">
        <f>IFERROR(__xludf.DUMMYFUNCTION("IFERROR((FILTER(Data!H:H,Data!D:D=A259,Data!B:B=$B$1)*2)+(FILTER(Data!L:L,Data!D:D=A259,Data!B:B=$B$1))+(FILTER(Data!G:G,Data!D:D=A259,Data!B:B=$B$1)*4)+(FILTER(Data!K:K,Data!D:D=A259,Data!B:B=$B$1)*2)+(((COUNTIF(FILTER(Data!N:N,Data!D:D=A259,Data!B:B=$B$"&amp;"1),""TRAVERSE"")*15)+(COUNTIF(FILTER(Data!N:N,Data!D:D=A259,Data!B:B=$B$1),""HIGH"")*10)+(COUNTIF(FILTER(Data!N:N,Data!D:D=A259,Data!B:B=$B$1),""MIDDLE"")*6)+(COUNTIF(FILTER(Data!N:N,Data!D:D=A259,Data!B:B=$B$1),""LOW"")*4))),"""")"),"")</f>
        <v/>
      </c>
      <c r="L259" s="136" t="str">
        <f>IFERROR(__xludf.DUMMYFUNCTION("IFERROR((FILTER(Data!P:P,Data!D:D=A259,Data!B:B=$B$1)),"""")"),"")</f>
        <v/>
      </c>
      <c r="M259" s="137" t="str">
        <f>IFERROR(__xludf.DUMMYFUNCTION("IFERROR((FILTER(Data!A:A,Data!D:D=A259,Data!B:B=$B$1)),"""")"),"")</f>
        <v/>
      </c>
      <c r="T259" s="52">
        <f>IFERROR(__xludf.DUMMYFUNCTION("((COUNTIF(FILTER(Data!N:N,Data!D:D=A259,Data!B:B=$B$1),""TRAVERSE"")*15)+(COUNTIF(FILTER(Data!N:N,Data!D:D=A259,Data!B:B=B$1),""HIGH"")*10)+(COUNTIF(FILTER(Data!N:N,Data!D:D=A259,Data!B:B=$B$1),""MIDDLE"")*6)+(COUNTIF(FILTER(Data!N:N,Data!D:D=A259,Data!B:"&amp;"B=$B$1),""LOW"")*4))"),0.0)</f>
        <v>0</v>
      </c>
      <c r="V259" s="138" t="str">
        <f>IF(Data!B251='Team Parser'!$B$1, Data!D251,"")</f>
        <v/>
      </c>
      <c r="W259" s="134" t="str">
        <f>IF(Data!$B251='Team Parser'!$B$1, Data!H251,"")</f>
        <v/>
      </c>
      <c r="X259" s="134" t="str">
        <f>IF(Data!$B251='Team Parser'!$B$1, Data!G251,"")</f>
        <v/>
      </c>
      <c r="Y259" s="134" t="str">
        <f>IF(Data!$B251='Team Parser'!$B$1, Data!L251,"")</f>
        <v/>
      </c>
      <c r="Z259" s="134" t="str">
        <f>IF(Data!$B251='Team Parser'!$B$1, Data!K251,"")</f>
        <v/>
      </c>
      <c r="AA259" s="134" t="str">
        <f>IF(Data!$B251='Team Parser'!$B$1, Data!M251,"")</f>
        <v/>
      </c>
      <c r="AB259" s="134" t="str">
        <f>IF(Data!$B251='Team Parser'!$B$1,((Z259*2)+(Y259)+(X259*4)+(W259*2)),"")</f>
        <v/>
      </c>
      <c r="AC259" s="134" t="str">
        <f>IF(Data!$B251='Team Parser'!$B$1, Data!N251,"")</f>
        <v/>
      </c>
      <c r="AD259" s="139" t="str">
        <f>IF(Data!$B251='Team Parser'!$B$1,(AB259+(COUNTIF(AC259,"TRAVERSE")*15)+(COUNTIF(AC259,"HIGH")*10)+(COUNTIF(AC259,"MIDDLE")*6)+(COUNTIF(AC259,"LOW")*4)),"")</f>
        <v/>
      </c>
    </row>
    <row r="260">
      <c r="A260" s="141" t="s">
        <v>507</v>
      </c>
      <c r="B260" s="134" t="str">
        <f>IFERROR(__xludf.DUMMYFUNCTION("IFERROR((FILTER(Data!H:H,Data!D:D=A260,Data!B:B=$B$1)),"""")"),"")</f>
        <v/>
      </c>
      <c r="C260" s="134" t="str">
        <f>IFERROR(__xludf.DUMMYFUNCTION("IFERROR((FILTER(Data!G:G,Data!D:D=A260,Data!B:B=$B$1)),"""")"),"")</f>
        <v/>
      </c>
      <c r="D260" s="134" t="str">
        <f>IFERROR(__xludf.DUMMYFUNCTION("IFERROR((FILTER(Data!J:J,Data!D:D=A260,Data!B:B=$B$1)),"""")"),"")</f>
        <v/>
      </c>
      <c r="E260" s="134" t="str">
        <f>IFERROR(__xludf.DUMMYFUNCTION("IFERROR((FILTER(Data!L:L,Data!D:D=A260,Data!B:B=$B$1)),"""")"),"")</f>
        <v/>
      </c>
      <c r="F260" s="134" t="str">
        <f>IFERROR(__xludf.DUMMYFUNCTION("IFERROR((FILTER(Data!K:K,Data!D:D=A260,Data!B:B=$B$1)),"""")"),"")</f>
        <v/>
      </c>
      <c r="G260" s="134" t="str">
        <f>IFERROR(__xludf.DUMMYFUNCTION("IFERROR((FILTER(Data!M:M,Data!D:D=A260,Data!B:B=$B$1)),"""")"),"")</f>
        <v/>
      </c>
      <c r="H260" s="134" t="str">
        <f>IFERROR(__xludf.DUMMYFUNCTION("IFERROR((FILTER(Data!G:G,Data!D:D=A260,Data!B:B=$B$1)*4)+(FILTER(Data!H:H,Data!D:D=A260,Data!B:B=$B$1)*2),"""")"),"")</f>
        <v/>
      </c>
      <c r="I260" s="15" t="str">
        <f>IFERROR(__xludf.DUMMYFUNCTION("IFERROR((FILTER(Data!K:K,Data!D:D=A260,Data!B:B=$B$1)*2)+(FILTER(Data!L:L,Data!D:D=A260,Data!B:B=$B$1)),"""")"),"")</f>
        <v/>
      </c>
      <c r="J260" s="134" t="str">
        <f>IFERROR(__xludf.DUMMYFUNCTION("IFERROR((FILTER(Data!N:N,Data!D:D=A260,Data!B:B=$B$1)),"""")"),"")</f>
        <v/>
      </c>
      <c r="K260" s="135" t="str">
        <f>IFERROR(__xludf.DUMMYFUNCTION("IFERROR((FILTER(Data!H:H,Data!D:D=A260,Data!B:B=$B$1)*2)+(FILTER(Data!L:L,Data!D:D=A260,Data!B:B=$B$1))+(FILTER(Data!G:G,Data!D:D=A260,Data!B:B=$B$1)*4)+(FILTER(Data!K:K,Data!D:D=A260,Data!B:B=$B$1)*2)+(((COUNTIF(FILTER(Data!N:N,Data!D:D=A260,Data!B:B=$B$"&amp;"1),""TRAVERSE"")*15)+(COUNTIF(FILTER(Data!N:N,Data!D:D=A260,Data!B:B=$B$1),""HIGH"")*10)+(COUNTIF(FILTER(Data!N:N,Data!D:D=A260,Data!B:B=$B$1),""MIDDLE"")*6)+(COUNTIF(FILTER(Data!N:N,Data!D:D=A260,Data!B:B=$B$1),""LOW"")*4))),"""")"),"")</f>
        <v/>
      </c>
      <c r="L260" s="136" t="str">
        <f>IFERROR(__xludf.DUMMYFUNCTION("IFERROR((FILTER(Data!P:P,Data!D:D=A260,Data!B:B=$B$1)),"""")"),"")</f>
        <v/>
      </c>
      <c r="M260" s="137" t="str">
        <f>IFERROR(__xludf.DUMMYFUNCTION("IFERROR((FILTER(Data!A:A,Data!D:D=A260,Data!B:B=$B$1)),"""")"),"")</f>
        <v/>
      </c>
      <c r="T260" s="52">
        <f>IFERROR(__xludf.DUMMYFUNCTION("((COUNTIF(FILTER(Data!N:N,Data!D:D=A260,Data!B:B=$B$1),""TRAVERSE"")*15)+(COUNTIF(FILTER(Data!N:N,Data!D:D=A260,Data!B:B=B$1),""HIGH"")*10)+(COUNTIF(FILTER(Data!N:N,Data!D:D=A260,Data!B:B=$B$1),""MIDDLE"")*6)+(COUNTIF(FILTER(Data!N:N,Data!D:D=A260,Data!B:"&amp;"B=$B$1),""LOW"")*4))"),0.0)</f>
        <v>0</v>
      </c>
      <c r="V260" s="138" t="str">
        <f>IF(Data!B252='Team Parser'!$B$1, Data!D252,"")</f>
        <v/>
      </c>
      <c r="W260" s="134" t="str">
        <f>IF(Data!$B252='Team Parser'!$B$1, Data!H252,"")</f>
        <v/>
      </c>
      <c r="X260" s="134" t="str">
        <f>IF(Data!$B252='Team Parser'!$B$1, Data!G252,"")</f>
        <v/>
      </c>
      <c r="Y260" s="134" t="str">
        <f>IF(Data!$B252='Team Parser'!$B$1, Data!L252,"")</f>
        <v/>
      </c>
      <c r="Z260" s="134" t="str">
        <f>IF(Data!$B252='Team Parser'!$B$1, Data!K252,"")</f>
        <v/>
      </c>
      <c r="AA260" s="134" t="str">
        <f>IF(Data!$B252='Team Parser'!$B$1, Data!M252,"")</f>
        <v/>
      </c>
      <c r="AB260" s="134" t="str">
        <f>IF(Data!$B252='Team Parser'!$B$1,((Z260*2)+(Y260)+(X260*4)+(W260*2)),"")</f>
        <v/>
      </c>
      <c r="AC260" s="134" t="str">
        <f>IF(Data!$B252='Team Parser'!$B$1, Data!N252,"")</f>
        <v/>
      </c>
      <c r="AD260" s="139" t="str">
        <f>IF(Data!$B252='Team Parser'!$B$1,(AB260+(COUNTIF(AC260,"TRAVERSE")*15)+(COUNTIF(AC260,"HIGH")*10)+(COUNTIF(AC260,"MIDDLE")*6)+(COUNTIF(AC260,"LOW")*4)),"")</f>
        <v/>
      </c>
    </row>
    <row r="261">
      <c r="A261" s="141" t="s">
        <v>507</v>
      </c>
      <c r="B261" s="134" t="str">
        <f>IFERROR(__xludf.DUMMYFUNCTION("IFERROR((FILTER(Data!H:H,Data!D:D=A261,Data!B:B=$B$1)),"""")"),"")</f>
        <v/>
      </c>
      <c r="C261" s="134" t="str">
        <f>IFERROR(__xludf.DUMMYFUNCTION("IFERROR((FILTER(Data!G:G,Data!D:D=A261,Data!B:B=$B$1)),"""")"),"")</f>
        <v/>
      </c>
      <c r="D261" s="134" t="str">
        <f>IFERROR(__xludf.DUMMYFUNCTION("IFERROR((FILTER(Data!J:J,Data!D:D=A261,Data!B:B=$B$1)),"""")"),"")</f>
        <v/>
      </c>
      <c r="E261" s="134" t="str">
        <f>IFERROR(__xludf.DUMMYFUNCTION("IFERROR((FILTER(Data!L:L,Data!D:D=A261,Data!B:B=$B$1)),"""")"),"")</f>
        <v/>
      </c>
      <c r="F261" s="134" t="str">
        <f>IFERROR(__xludf.DUMMYFUNCTION("IFERROR((FILTER(Data!K:K,Data!D:D=A261,Data!B:B=$B$1)),"""")"),"")</f>
        <v/>
      </c>
      <c r="G261" s="134" t="str">
        <f>IFERROR(__xludf.DUMMYFUNCTION("IFERROR((FILTER(Data!M:M,Data!D:D=A261,Data!B:B=$B$1)),"""")"),"")</f>
        <v/>
      </c>
      <c r="H261" s="134" t="str">
        <f>IFERROR(__xludf.DUMMYFUNCTION("IFERROR((FILTER(Data!G:G,Data!D:D=A261,Data!B:B=$B$1)*4)+(FILTER(Data!H:H,Data!D:D=A261,Data!B:B=$B$1)*2),"""")"),"")</f>
        <v/>
      </c>
      <c r="I261" s="15" t="str">
        <f>IFERROR(__xludf.DUMMYFUNCTION("IFERROR((FILTER(Data!K:K,Data!D:D=A261,Data!B:B=$B$1)*2)+(FILTER(Data!L:L,Data!D:D=A261,Data!B:B=$B$1)),"""")"),"")</f>
        <v/>
      </c>
      <c r="J261" s="134" t="str">
        <f>IFERROR(__xludf.DUMMYFUNCTION("IFERROR((FILTER(Data!N:N,Data!D:D=A261,Data!B:B=$B$1)),"""")"),"")</f>
        <v/>
      </c>
      <c r="K261" s="135" t="str">
        <f>IFERROR(__xludf.DUMMYFUNCTION("IFERROR((FILTER(Data!H:H,Data!D:D=A261,Data!B:B=$B$1)*2)+(FILTER(Data!L:L,Data!D:D=A261,Data!B:B=$B$1))+(FILTER(Data!G:G,Data!D:D=A261,Data!B:B=$B$1)*4)+(FILTER(Data!K:K,Data!D:D=A261,Data!B:B=$B$1)*2)+(((COUNTIF(FILTER(Data!N:N,Data!D:D=A261,Data!B:B=$B$"&amp;"1),""TRAVERSE"")*15)+(COUNTIF(FILTER(Data!N:N,Data!D:D=A261,Data!B:B=$B$1),""HIGH"")*10)+(COUNTIF(FILTER(Data!N:N,Data!D:D=A261,Data!B:B=$B$1),""MIDDLE"")*6)+(COUNTIF(FILTER(Data!N:N,Data!D:D=A261,Data!B:B=$B$1),""LOW"")*4))),"""")"),"")</f>
        <v/>
      </c>
      <c r="L261" s="136" t="str">
        <f>IFERROR(__xludf.DUMMYFUNCTION("IFERROR((FILTER(Data!P:P,Data!D:D=A261,Data!B:B=$B$1)),"""")"),"")</f>
        <v/>
      </c>
      <c r="M261" s="137" t="str">
        <f>IFERROR(__xludf.DUMMYFUNCTION("IFERROR((FILTER(Data!A:A,Data!D:D=A261,Data!B:B=$B$1)),"""")"),"")</f>
        <v/>
      </c>
      <c r="T261" s="52">
        <f>IFERROR(__xludf.DUMMYFUNCTION("((COUNTIF(FILTER(Data!N:N,Data!D:D=A261,Data!B:B=$B$1),""TRAVERSE"")*15)+(COUNTIF(FILTER(Data!N:N,Data!D:D=A261,Data!B:B=B$1),""HIGH"")*10)+(COUNTIF(FILTER(Data!N:N,Data!D:D=A261,Data!B:B=$B$1),""MIDDLE"")*6)+(COUNTIF(FILTER(Data!N:N,Data!D:D=A261,Data!B:"&amp;"B=$B$1),""LOW"")*4))"),0.0)</f>
        <v>0</v>
      </c>
      <c r="V261" s="138" t="str">
        <f>IF(Data!B253='Team Parser'!$B$1, Data!D253,"")</f>
        <v/>
      </c>
      <c r="W261" s="134" t="str">
        <f>IF(Data!$B253='Team Parser'!$B$1, Data!H253,"")</f>
        <v/>
      </c>
      <c r="X261" s="134" t="str">
        <f>IF(Data!$B253='Team Parser'!$B$1, Data!G253,"")</f>
        <v/>
      </c>
      <c r="Y261" s="134" t="str">
        <f>IF(Data!$B253='Team Parser'!$B$1, Data!L253,"")</f>
        <v/>
      </c>
      <c r="Z261" s="134" t="str">
        <f>IF(Data!$B253='Team Parser'!$B$1, Data!K253,"")</f>
        <v/>
      </c>
      <c r="AA261" s="134" t="str">
        <f>IF(Data!$B253='Team Parser'!$B$1, Data!M253,"")</f>
        <v/>
      </c>
      <c r="AB261" s="134" t="str">
        <f>IF(Data!$B253='Team Parser'!$B$1,((Z261*2)+(Y261)+(X261*4)+(W261*2)),"")</f>
        <v/>
      </c>
      <c r="AC261" s="134" t="str">
        <f>IF(Data!$B253='Team Parser'!$B$1, Data!N253,"")</f>
        <v/>
      </c>
      <c r="AD261" s="139" t="str">
        <f>IF(Data!$B253='Team Parser'!$B$1,(AB261+(COUNTIF(AC261,"TRAVERSE")*15)+(COUNTIF(AC261,"HIGH")*10)+(COUNTIF(AC261,"MIDDLE")*6)+(COUNTIF(AC261,"LOW")*4)),"")</f>
        <v/>
      </c>
    </row>
    <row r="262">
      <c r="A262" s="141" t="s">
        <v>507</v>
      </c>
      <c r="B262" s="134" t="str">
        <f>IFERROR(__xludf.DUMMYFUNCTION("IFERROR((FILTER(Data!H:H,Data!D:D=A262,Data!B:B=$B$1)),"""")"),"")</f>
        <v/>
      </c>
      <c r="C262" s="134" t="str">
        <f>IFERROR(__xludf.DUMMYFUNCTION("IFERROR((FILTER(Data!G:G,Data!D:D=A262,Data!B:B=$B$1)),"""")"),"")</f>
        <v/>
      </c>
      <c r="D262" s="134" t="str">
        <f>IFERROR(__xludf.DUMMYFUNCTION("IFERROR((FILTER(Data!J:J,Data!D:D=A262,Data!B:B=$B$1)),"""")"),"")</f>
        <v/>
      </c>
      <c r="E262" s="134" t="str">
        <f>IFERROR(__xludf.DUMMYFUNCTION("IFERROR((FILTER(Data!L:L,Data!D:D=A262,Data!B:B=$B$1)),"""")"),"")</f>
        <v/>
      </c>
      <c r="F262" s="134" t="str">
        <f>IFERROR(__xludf.DUMMYFUNCTION("IFERROR((FILTER(Data!K:K,Data!D:D=A262,Data!B:B=$B$1)),"""")"),"")</f>
        <v/>
      </c>
      <c r="G262" s="134" t="str">
        <f>IFERROR(__xludf.DUMMYFUNCTION("IFERROR((FILTER(Data!M:M,Data!D:D=A262,Data!B:B=$B$1)),"""")"),"")</f>
        <v/>
      </c>
      <c r="H262" s="134" t="str">
        <f>IFERROR(__xludf.DUMMYFUNCTION("IFERROR((FILTER(Data!G:G,Data!D:D=A262,Data!B:B=$B$1)*4)+(FILTER(Data!H:H,Data!D:D=A262,Data!B:B=$B$1)*2),"""")"),"")</f>
        <v/>
      </c>
      <c r="I262" s="15" t="str">
        <f>IFERROR(__xludf.DUMMYFUNCTION("IFERROR((FILTER(Data!K:K,Data!D:D=A262,Data!B:B=$B$1)*2)+(FILTER(Data!L:L,Data!D:D=A262,Data!B:B=$B$1)),"""")"),"")</f>
        <v/>
      </c>
      <c r="J262" s="134" t="str">
        <f>IFERROR(__xludf.DUMMYFUNCTION("IFERROR((FILTER(Data!N:N,Data!D:D=A262,Data!B:B=$B$1)),"""")"),"")</f>
        <v/>
      </c>
      <c r="K262" s="135" t="str">
        <f>IFERROR(__xludf.DUMMYFUNCTION("IFERROR((FILTER(Data!H:H,Data!D:D=A262,Data!B:B=$B$1)*2)+(FILTER(Data!L:L,Data!D:D=A262,Data!B:B=$B$1))+(FILTER(Data!G:G,Data!D:D=A262,Data!B:B=$B$1)*4)+(FILTER(Data!K:K,Data!D:D=A262,Data!B:B=$B$1)*2)+(((COUNTIF(FILTER(Data!N:N,Data!D:D=A262,Data!B:B=$B$"&amp;"1),""TRAVERSE"")*15)+(COUNTIF(FILTER(Data!N:N,Data!D:D=A262,Data!B:B=$B$1),""HIGH"")*10)+(COUNTIF(FILTER(Data!N:N,Data!D:D=A262,Data!B:B=$B$1),""MIDDLE"")*6)+(COUNTIF(FILTER(Data!N:N,Data!D:D=A262,Data!B:B=$B$1),""LOW"")*4))),"""")"),"")</f>
        <v/>
      </c>
      <c r="L262" s="136" t="str">
        <f>IFERROR(__xludf.DUMMYFUNCTION("IFERROR((FILTER(Data!P:P,Data!D:D=A262,Data!B:B=$B$1)),"""")"),"")</f>
        <v/>
      </c>
      <c r="M262" s="137" t="str">
        <f>IFERROR(__xludf.DUMMYFUNCTION("IFERROR((FILTER(Data!A:A,Data!D:D=A262,Data!B:B=$B$1)),"""")"),"")</f>
        <v/>
      </c>
      <c r="T262" s="52">
        <f>IFERROR(__xludf.DUMMYFUNCTION("((COUNTIF(FILTER(Data!N:N,Data!D:D=A262,Data!B:B=$B$1),""TRAVERSE"")*15)+(COUNTIF(FILTER(Data!N:N,Data!D:D=A262,Data!B:B=B$1),""HIGH"")*10)+(COUNTIF(FILTER(Data!N:N,Data!D:D=A262,Data!B:B=$B$1),""MIDDLE"")*6)+(COUNTIF(FILTER(Data!N:N,Data!D:D=A262,Data!B:"&amp;"B=$B$1),""LOW"")*4))"),0.0)</f>
        <v>0</v>
      </c>
      <c r="V262" s="138" t="str">
        <f>IF(Data!B254='Team Parser'!$B$1, Data!D254,"")</f>
        <v/>
      </c>
      <c r="W262" s="134" t="str">
        <f>IF(Data!$B254='Team Parser'!$B$1, Data!H254,"")</f>
        <v/>
      </c>
      <c r="X262" s="134" t="str">
        <f>IF(Data!$B254='Team Parser'!$B$1, Data!G254,"")</f>
        <v/>
      </c>
      <c r="Y262" s="134" t="str">
        <f>IF(Data!$B254='Team Parser'!$B$1, Data!L254,"")</f>
        <v/>
      </c>
      <c r="Z262" s="134" t="str">
        <f>IF(Data!$B254='Team Parser'!$B$1, Data!K254,"")</f>
        <v/>
      </c>
      <c r="AA262" s="134" t="str">
        <f>IF(Data!$B254='Team Parser'!$B$1, Data!M254,"")</f>
        <v/>
      </c>
      <c r="AB262" s="134" t="str">
        <f>IF(Data!$B254='Team Parser'!$B$1,((Z262*2)+(Y262)+(X262*4)+(W262*2)),"")</f>
        <v/>
      </c>
      <c r="AC262" s="134" t="str">
        <f>IF(Data!$B254='Team Parser'!$B$1, Data!N254,"")</f>
        <v/>
      </c>
      <c r="AD262" s="139" t="str">
        <f>IF(Data!$B254='Team Parser'!$B$1,(AB262+(COUNTIF(AC262,"TRAVERSE")*15)+(COUNTIF(AC262,"HIGH")*10)+(COUNTIF(AC262,"MIDDLE")*6)+(COUNTIF(AC262,"LOW")*4)),"")</f>
        <v/>
      </c>
    </row>
    <row r="263">
      <c r="A263" s="141" t="s">
        <v>507</v>
      </c>
      <c r="B263" s="134" t="str">
        <f>IFERROR(__xludf.DUMMYFUNCTION("IFERROR((FILTER(Data!H:H,Data!D:D=A263,Data!B:B=$B$1)),"""")"),"")</f>
        <v/>
      </c>
      <c r="C263" s="134" t="str">
        <f>IFERROR(__xludf.DUMMYFUNCTION("IFERROR((FILTER(Data!G:G,Data!D:D=A263,Data!B:B=$B$1)),"""")"),"")</f>
        <v/>
      </c>
      <c r="D263" s="134" t="str">
        <f>IFERROR(__xludf.DUMMYFUNCTION("IFERROR((FILTER(Data!J:J,Data!D:D=A263,Data!B:B=$B$1)),"""")"),"")</f>
        <v/>
      </c>
      <c r="E263" s="134" t="str">
        <f>IFERROR(__xludf.DUMMYFUNCTION("IFERROR((FILTER(Data!L:L,Data!D:D=A263,Data!B:B=$B$1)),"""")"),"")</f>
        <v/>
      </c>
      <c r="F263" s="134" t="str">
        <f>IFERROR(__xludf.DUMMYFUNCTION("IFERROR((FILTER(Data!K:K,Data!D:D=A263,Data!B:B=$B$1)),"""")"),"")</f>
        <v/>
      </c>
      <c r="G263" s="134" t="str">
        <f>IFERROR(__xludf.DUMMYFUNCTION("IFERROR((FILTER(Data!M:M,Data!D:D=A263,Data!B:B=$B$1)),"""")"),"")</f>
        <v/>
      </c>
      <c r="H263" s="134" t="str">
        <f>IFERROR(__xludf.DUMMYFUNCTION("IFERROR((FILTER(Data!G:G,Data!D:D=A263,Data!B:B=$B$1)*4)+(FILTER(Data!H:H,Data!D:D=A263,Data!B:B=$B$1)*2),"""")"),"")</f>
        <v/>
      </c>
      <c r="I263" s="15" t="str">
        <f>IFERROR(__xludf.DUMMYFUNCTION("IFERROR((FILTER(Data!K:K,Data!D:D=A263,Data!B:B=$B$1)*2)+(FILTER(Data!L:L,Data!D:D=A263,Data!B:B=$B$1)),"""")"),"")</f>
        <v/>
      </c>
      <c r="J263" s="134" t="str">
        <f>IFERROR(__xludf.DUMMYFUNCTION("IFERROR((FILTER(Data!N:N,Data!D:D=A263,Data!B:B=$B$1)),"""")"),"")</f>
        <v/>
      </c>
      <c r="K263" s="135" t="str">
        <f>IFERROR(__xludf.DUMMYFUNCTION("IFERROR((FILTER(Data!H:H,Data!D:D=A263,Data!B:B=$B$1)*2)+(FILTER(Data!L:L,Data!D:D=A263,Data!B:B=$B$1))+(FILTER(Data!G:G,Data!D:D=A263,Data!B:B=$B$1)*4)+(FILTER(Data!K:K,Data!D:D=A263,Data!B:B=$B$1)*2)+(((COUNTIF(FILTER(Data!N:N,Data!D:D=A263,Data!B:B=$B$"&amp;"1),""TRAVERSE"")*15)+(COUNTIF(FILTER(Data!N:N,Data!D:D=A263,Data!B:B=$B$1),""HIGH"")*10)+(COUNTIF(FILTER(Data!N:N,Data!D:D=A263,Data!B:B=$B$1),""MIDDLE"")*6)+(COUNTIF(FILTER(Data!N:N,Data!D:D=A263,Data!B:B=$B$1),""LOW"")*4))),"""")"),"")</f>
        <v/>
      </c>
      <c r="L263" s="136" t="str">
        <f>IFERROR(__xludf.DUMMYFUNCTION("IFERROR((FILTER(Data!P:P,Data!D:D=A263,Data!B:B=$B$1)),"""")"),"")</f>
        <v/>
      </c>
      <c r="M263" s="137" t="str">
        <f>IFERROR(__xludf.DUMMYFUNCTION("IFERROR((FILTER(Data!A:A,Data!D:D=A263,Data!B:B=$B$1)),"""")"),"")</f>
        <v/>
      </c>
      <c r="T263" s="52">
        <f>IFERROR(__xludf.DUMMYFUNCTION("((COUNTIF(FILTER(Data!N:N,Data!D:D=A263,Data!B:B=$B$1),""TRAVERSE"")*15)+(COUNTIF(FILTER(Data!N:N,Data!D:D=A263,Data!B:B=B$1),""HIGH"")*10)+(COUNTIF(FILTER(Data!N:N,Data!D:D=A263,Data!B:B=$B$1),""MIDDLE"")*6)+(COUNTIF(FILTER(Data!N:N,Data!D:D=A263,Data!B:"&amp;"B=$B$1),""LOW"")*4))"),0.0)</f>
        <v>0</v>
      </c>
      <c r="V263" s="138" t="str">
        <f>IF(Data!B255='Team Parser'!$B$1, Data!D255,"")</f>
        <v/>
      </c>
      <c r="W263" s="134" t="str">
        <f>IF(Data!$B255='Team Parser'!$B$1, Data!H255,"")</f>
        <v/>
      </c>
      <c r="X263" s="134" t="str">
        <f>IF(Data!$B255='Team Parser'!$B$1, Data!G255,"")</f>
        <v/>
      </c>
      <c r="Y263" s="134" t="str">
        <f>IF(Data!$B255='Team Parser'!$B$1, Data!L255,"")</f>
        <v/>
      </c>
      <c r="Z263" s="134" t="str">
        <f>IF(Data!$B255='Team Parser'!$B$1, Data!K255,"")</f>
        <v/>
      </c>
      <c r="AA263" s="134" t="str">
        <f>IF(Data!$B255='Team Parser'!$B$1, Data!M255,"")</f>
        <v/>
      </c>
      <c r="AB263" s="134" t="str">
        <f>IF(Data!$B255='Team Parser'!$B$1,((Z263*2)+(Y263)+(X263*4)+(W263*2)),"")</f>
        <v/>
      </c>
      <c r="AC263" s="134" t="str">
        <f>IF(Data!$B255='Team Parser'!$B$1, Data!N255,"")</f>
        <v/>
      </c>
      <c r="AD263" s="139" t="str">
        <f>IF(Data!$B255='Team Parser'!$B$1,(AB263+(COUNTIF(AC263,"TRAVERSE")*15)+(COUNTIF(AC263,"HIGH")*10)+(COUNTIF(AC263,"MIDDLE")*6)+(COUNTIF(AC263,"LOW")*4)),"")</f>
        <v/>
      </c>
    </row>
    <row r="264">
      <c r="A264" s="141" t="s">
        <v>507</v>
      </c>
      <c r="B264" s="134" t="str">
        <f>IFERROR(__xludf.DUMMYFUNCTION("IFERROR((FILTER(Data!H:H,Data!D:D=A264,Data!B:B=$B$1)),"""")"),"")</f>
        <v/>
      </c>
      <c r="C264" s="134" t="str">
        <f>IFERROR(__xludf.DUMMYFUNCTION("IFERROR((FILTER(Data!G:G,Data!D:D=A264,Data!B:B=$B$1)),"""")"),"")</f>
        <v/>
      </c>
      <c r="D264" s="134" t="str">
        <f>IFERROR(__xludf.DUMMYFUNCTION("IFERROR((FILTER(Data!J:J,Data!D:D=A264,Data!B:B=$B$1)),"""")"),"")</f>
        <v/>
      </c>
      <c r="E264" s="134" t="str">
        <f>IFERROR(__xludf.DUMMYFUNCTION("IFERROR((FILTER(Data!L:L,Data!D:D=A264,Data!B:B=$B$1)),"""")"),"")</f>
        <v/>
      </c>
      <c r="F264" s="134" t="str">
        <f>IFERROR(__xludf.DUMMYFUNCTION("IFERROR((FILTER(Data!K:K,Data!D:D=A264,Data!B:B=$B$1)),"""")"),"")</f>
        <v/>
      </c>
      <c r="G264" s="134" t="str">
        <f>IFERROR(__xludf.DUMMYFUNCTION("IFERROR((FILTER(Data!M:M,Data!D:D=A264,Data!B:B=$B$1)),"""")"),"")</f>
        <v/>
      </c>
      <c r="H264" s="134" t="str">
        <f>IFERROR(__xludf.DUMMYFUNCTION("IFERROR((FILTER(Data!G:G,Data!D:D=A264,Data!B:B=$B$1)*4)+(FILTER(Data!H:H,Data!D:D=A264,Data!B:B=$B$1)*2),"""")"),"")</f>
        <v/>
      </c>
      <c r="I264" s="15" t="str">
        <f>IFERROR(__xludf.DUMMYFUNCTION("IFERROR((FILTER(Data!K:K,Data!D:D=A264,Data!B:B=$B$1)*2)+(FILTER(Data!L:L,Data!D:D=A264,Data!B:B=$B$1)),"""")"),"")</f>
        <v/>
      </c>
      <c r="J264" s="134" t="str">
        <f>IFERROR(__xludf.DUMMYFUNCTION("IFERROR((FILTER(Data!N:N,Data!D:D=A264,Data!B:B=$B$1)),"""")"),"")</f>
        <v/>
      </c>
      <c r="K264" s="135" t="str">
        <f>IFERROR(__xludf.DUMMYFUNCTION("IFERROR((FILTER(Data!H:H,Data!D:D=A264,Data!B:B=$B$1)*2)+(FILTER(Data!L:L,Data!D:D=A264,Data!B:B=$B$1))+(FILTER(Data!G:G,Data!D:D=A264,Data!B:B=$B$1)*4)+(FILTER(Data!K:K,Data!D:D=A264,Data!B:B=$B$1)*2)+(((COUNTIF(FILTER(Data!N:N,Data!D:D=A264,Data!B:B=$B$"&amp;"1),""TRAVERSE"")*15)+(COUNTIF(FILTER(Data!N:N,Data!D:D=A264,Data!B:B=$B$1),""HIGH"")*10)+(COUNTIF(FILTER(Data!N:N,Data!D:D=A264,Data!B:B=$B$1),""MIDDLE"")*6)+(COUNTIF(FILTER(Data!N:N,Data!D:D=A264,Data!B:B=$B$1),""LOW"")*4))),"""")"),"")</f>
        <v/>
      </c>
      <c r="L264" s="136" t="str">
        <f>IFERROR(__xludf.DUMMYFUNCTION("IFERROR((FILTER(Data!P:P,Data!D:D=A264,Data!B:B=$B$1)),"""")"),"")</f>
        <v/>
      </c>
      <c r="M264" s="137" t="str">
        <f>IFERROR(__xludf.DUMMYFUNCTION("IFERROR((FILTER(Data!A:A,Data!D:D=A264,Data!B:B=$B$1)),"""")"),"")</f>
        <v/>
      </c>
      <c r="T264" s="52">
        <f>IFERROR(__xludf.DUMMYFUNCTION("((COUNTIF(FILTER(Data!N:N,Data!D:D=A264,Data!B:B=$B$1),""TRAVERSE"")*15)+(COUNTIF(FILTER(Data!N:N,Data!D:D=A264,Data!B:B=B$1),""HIGH"")*10)+(COUNTIF(FILTER(Data!N:N,Data!D:D=A264,Data!B:B=$B$1),""MIDDLE"")*6)+(COUNTIF(FILTER(Data!N:N,Data!D:D=A264,Data!B:"&amp;"B=$B$1),""LOW"")*4))"),0.0)</f>
        <v>0</v>
      </c>
      <c r="V264" s="138" t="str">
        <f>IF(Data!B256='Team Parser'!$B$1, Data!D256,"")</f>
        <v/>
      </c>
      <c r="W264" s="134" t="str">
        <f>IF(Data!$B256='Team Parser'!$B$1, Data!H256,"")</f>
        <v/>
      </c>
      <c r="X264" s="134" t="str">
        <f>IF(Data!$B256='Team Parser'!$B$1, Data!G256,"")</f>
        <v/>
      </c>
      <c r="Y264" s="134" t="str">
        <f>IF(Data!$B256='Team Parser'!$B$1, Data!L256,"")</f>
        <v/>
      </c>
      <c r="Z264" s="134" t="str">
        <f>IF(Data!$B256='Team Parser'!$B$1, Data!K256,"")</f>
        <v/>
      </c>
      <c r="AA264" s="134" t="str">
        <f>IF(Data!$B256='Team Parser'!$B$1, Data!M256,"")</f>
        <v/>
      </c>
      <c r="AB264" s="134" t="str">
        <f>IF(Data!$B256='Team Parser'!$B$1,((Z264*2)+(Y264)+(X264*4)+(W264*2)),"")</f>
        <v/>
      </c>
      <c r="AC264" s="134" t="str">
        <f>IF(Data!$B256='Team Parser'!$B$1, Data!N256,"")</f>
        <v/>
      </c>
      <c r="AD264" s="139" t="str">
        <f>IF(Data!$B256='Team Parser'!$B$1,(AB264+(COUNTIF(AC264,"TRAVERSE")*15)+(COUNTIF(AC264,"HIGH")*10)+(COUNTIF(AC264,"MIDDLE")*6)+(COUNTIF(AC264,"LOW")*4)),"")</f>
        <v/>
      </c>
    </row>
    <row r="265">
      <c r="A265" s="141" t="s">
        <v>507</v>
      </c>
      <c r="B265" s="134" t="str">
        <f>IFERROR(__xludf.DUMMYFUNCTION("IFERROR((FILTER(Data!H:H,Data!D:D=A265,Data!B:B=$B$1)),"""")"),"")</f>
        <v/>
      </c>
      <c r="C265" s="134" t="str">
        <f>IFERROR(__xludf.DUMMYFUNCTION("IFERROR((FILTER(Data!G:G,Data!D:D=A265,Data!B:B=$B$1)),"""")"),"")</f>
        <v/>
      </c>
      <c r="D265" s="134" t="str">
        <f>IFERROR(__xludf.DUMMYFUNCTION("IFERROR((FILTER(Data!J:J,Data!D:D=A265,Data!B:B=$B$1)),"""")"),"")</f>
        <v/>
      </c>
      <c r="E265" s="134" t="str">
        <f>IFERROR(__xludf.DUMMYFUNCTION("IFERROR((FILTER(Data!L:L,Data!D:D=A265,Data!B:B=$B$1)),"""")"),"")</f>
        <v/>
      </c>
      <c r="F265" s="134" t="str">
        <f>IFERROR(__xludf.DUMMYFUNCTION("IFERROR((FILTER(Data!K:K,Data!D:D=A265,Data!B:B=$B$1)),"""")"),"")</f>
        <v/>
      </c>
      <c r="G265" s="134" t="str">
        <f>IFERROR(__xludf.DUMMYFUNCTION("IFERROR((FILTER(Data!M:M,Data!D:D=A265,Data!B:B=$B$1)),"""")"),"")</f>
        <v/>
      </c>
      <c r="H265" s="134" t="str">
        <f>IFERROR(__xludf.DUMMYFUNCTION("IFERROR((FILTER(Data!G:G,Data!D:D=A265,Data!B:B=$B$1)*4)+(FILTER(Data!H:H,Data!D:D=A265,Data!B:B=$B$1)*2),"""")"),"")</f>
        <v/>
      </c>
      <c r="I265" s="15" t="str">
        <f>IFERROR(__xludf.DUMMYFUNCTION("IFERROR((FILTER(Data!K:K,Data!D:D=A265,Data!B:B=$B$1)*2)+(FILTER(Data!L:L,Data!D:D=A265,Data!B:B=$B$1)),"""")"),"")</f>
        <v/>
      </c>
      <c r="J265" s="134" t="str">
        <f>IFERROR(__xludf.DUMMYFUNCTION("IFERROR((FILTER(Data!N:N,Data!D:D=A265,Data!B:B=$B$1)),"""")"),"")</f>
        <v/>
      </c>
      <c r="K265" s="135" t="str">
        <f>IFERROR(__xludf.DUMMYFUNCTION("IFERROR((FILTER(Data!H:H,Data!D:D=A265,Data!B:B=$B$1)*2)+(FILTER(Data!L:L,Data!D:D=A265,Data!B:B=$B$1))+(FILTER(Data!G:G,Data!D:D=A265,Data!B:B=$B$1)*4)+(FILTER(Data!K:K,Data!D:D=A265,Data!B:B=$B$1)*2)+(((COUNTIF(FILTER(Data!N:N,Data!D:D=A265,Data!B:B=$B$"&amp;"1),""TRAVERSE"")*15)+(COUNTIF(FILTER(Data!N:N,Data!D:D=A265,Data!B:B=$B$1),""HIGH"")*10)+(COUNTIF(FILTER(Data!N:N,Data!D:D=A265,Data!B:B=$B$1),""MIDDLE"")*6)+(COUNTIF(FILTER(Data!N:N,Data!D:D=A265,Data!B:B=$B$1),""LOW"")*4))),"""")"),"")</f>
        <v/>
      </c>
      <c r="L265" s="136" t="str">
        <f>IFERROR(__xludf.DUMMYFUNCTION("IFERROR((FILTER(Data!P:P,Data!D:D=A265,Data!B:B=$B$1)),"""")"),"")</f>
        <v/>
      </c>
      <c r="M265" s="137" t="str">
        <f>IFERROR(__xludf.DUMMYFUNCTION("IFERROR((FILTER(Data!A:A,Data!D:D=A265,Data!B:B=$B$1)),"""")"),"")</f>
        <v/>
      </c>
      <c r="T265" s="52">
        <f>IFERROR(__xludf.DUMMYFUNCTION("((COUNTIF(FILTER(Data!N:N,Data!D:D=A265,Data!B:B=$B$1),""TRAVERSE"")*15)+(COUNTIF(FILTER(Data!N:N,Data!D:D=A265,Data!B:B=B$1),""HIGH"")*10)+(COUNTIF(FILTER(Data!N:N,Data!D:D=A265,Data!B:B=$B$1),""MIDDLE"")*6)+(COUNTIF(FILTER(Data!N:N,Data!D:D=A265,Data!B:"&amp;"B=$B$1),""LOW"")*4))"),0.0)</f>
        <v>0</v>
      </c>
      <c r="V265" s="138" t="str">
        <f>IF(Data!B257='Team Parser'!$B$1, Data!D257,"")</f>
        <v/>
      </c>
      <c r="W265" s="134" t="str">
        <f>IF(Data!$B257='Team Parser'!$B$1, Data!H257,"")</f>
        <v/>
      </c>
      <c r="X265" s="134" t="str">
        <f>IF(Data!$B257='Team Parser'!$B$1, Data!G257,"")</f>
        <v/>
      </c>
      <c r="Y265" s="134" t="str">
        <f>IF(Data!$B257='Team Parser'!$B$1, Data!L257,"")</f>
        <v/>
      </c>
      <c r="Z265" s="134" t="str">
        <f>IF(Data!$B257='Team Parser'!$B$1, Data!K257,"")</f>
        <v/>
      </c>
      <c r="AA265" s="134" t="str">
        <f>IF(Data!$B257='Team Parser'!$B$1, Data!M257,"")</f>
        <v/>
      </c>
      <c r="AB265" s="134" t="str">
        <f>IF(Data!$B257='Team Parser'!$B$1,((Z265*2)+(Y265)+(X265*4)+(W265*2)),"")</f>
        <v/>
      </c>
      <c r="AC265" s="134" t="str">
        <f>IF(Data!$B257='Team Parser'!$B$1, Data!N257,"")</f>
        <v/>
      </c>
      <c r="AD265" s="139" t="str">
        <f>IF(Data!$B257='Team Parser'!$B$1,(AB265+(COUNTIF(AC265,"TRAVERSE")*15)+(COUNTIF(AC265,"HIGH")*10)+(COUNTIF(AC265,"MIDDLE")*6)+(COUNTIF(AC265,"LOW")*4)),"")</f>
        <v/>
      </c>
    </row>
    <row r="266">
      <c r="A266" s="141" t="s">
        <v>507</v>
      </c>
      <c r="B266" s="134" t="str">
        <f>IFERROR(__xludf.DUMMYFUNCTION("IFERROR((FILTER(Data!H:H,Data!D:D=A266,Data!B:B=$B$1)),"""")"),"")</f>
        <v/>
      </c>
      <c r="C266" s="134" t="str">
        <f>IFERROR(__xludf.DUMMYFUNCTION("IFERROR((FILTER(Data!G:G,Data!D:D=A266,Data!B:B=$B$1)),"""")"),"")</f>
        <v/>
      </c>
      <c r="D266" s="134" t="str">
        <f>IFERROR(__xludf.DUMMYFUNCTION("IFERROR((FILTER(Data!J:J,Data!D:D=A266,Data!B:B=$B$1)),"""")"),"")</f>
        <v/>
      </c>
      <c r="E266" s="134" t="str">
        <f>IFERROR(__xludf.DUMMYFUNCTION("IFERROR((FILTER(Data!L:L,Data!D:D=A266,Data!B:B=$B$1)),"""")"),"")</f>
        <v/>
      </c>
      <c r="F266" s="134" t="str">
        <f>IFERROR(__xludf.DUMMYFUNCTION("IFERROR((FILTER(Data!K:K,Data!D:D=A266,Data!B:B=$B$1)),"""")"),"")</f>
        <v/>
      </c>
      <c r="G266" s="134" t="str">
        <f>IFERROR(__xludf.DUMMYFUNCTION("IFERROR((FILTER(Data!M:M,Data!D:D=A266,Data!B:B=$B$1)),"""")"),"")</f>
        <v/>
      </c>
      <c r="H266" s="134" t="str">
        <f>IFERROR(__xludf.DUMMYFUNCTION("IFERROR((FILTER(Data!G:G,Data!D:D=A266,Data!B:B=$B$1)*4)+(FILTER(Data!H:H,Data!D:D=A266,Data!B:B=$B$1)*2),"""")"),"")</f>
        <v/>
      </c>
      <c r="I266" s="15" t="str">
        <f>IFERROR(__xludf.DUMMYFUNCTION("IFERROR((FILTER(Data!K:K,Data!D:D=A266,Data!B:B=$B$1)*2)+(FILTER(Data!L:L,Data!D:D=A266,Data!B:B=$B$1)),"""")"),"")</f>
        <v/>
      </c>
      <c r="J266" s="134" t="str">
        <f>IFERROR(__xludf.DUMMYFUNCTION("IFERROR((FILTER(Data!N:N,Data!D:D=A266,Data!B:B=$B$1)),"""")"),"")</f>
        <v/>
      </c>
      <c r="K266" s="135" t="str">
        <f>IFERROR(__xludf.DUMMYFUNCTION("IFERROR((FILTER(Data!H:H,Data!D:D=A266,Data!B:B=$B$1)*2)+(FILTER(Data!L:L,Data!D:D=A266,Data!B:B=$B$1))+(FILTER(Data!G:G,Data!D:D=A266,Data!B:B=$B$1)*4)+(FILTER(Data!K:K,Data!D:D=A266,Data!B:B=$B$1)*2)+(((COUNTIF(FILTER(Data!N:N,Data!D:D=A266,Data!B:B=$B$"&amp;"1),""TRAVERSE"")*15)+(COUNTIF(FILTER(Data!N:N,Data!D:D=A266,Data!B:B=$B$1),""HIGH"")*10)+(COUNTIF(FILTER(Data!N:N,Data!D:D=A266,Data!B:B=$B$1),""MIDDLE"")*6)+(COUNTIF(FILTER(Data!N:N,Data!D:D=A266,Data!B:B=$B$1),""LOW"")*4))),"""")"),"")</f>
        <v/>
      </c>
      <c r="L266" s="136" t="str">
        <f>IFERROR(__xludf.DUMMYFUNCTION("IFERROR((FILTER(Data!P:P,Data!D:D=A266,Data!B:B=$B$1)),"""")"),"")</f>
        <v/>
      </c>
      <c r="M266" s="137" t="str">
        <f>IFERROR(__xludf.DUMMYFUNCTION("IFERROR((FILTER(Data!A:A,Data!D:D=A266,Data!B:B=$B$1)),"""")"),"")</f>
        <v/>
      </c>
      <c r="T266" s="52">
        <f>IFERROR(__xludf.DUMMYFUNCTION("((COUNTIF(FILTER(Data!N:N,Data!D:D=A266,Data!B:B=$B$1),""TRAVERSE"")*15)+(COUNTIF(FILTER(Data!N:N,Data!D:D=A266,Data!B:B=B$1),""HIGH"")*10)+(COUNTIF(FILTER(Data!N:N,Data!D:D=A266,Data!B:B=$B$1),""MIDDLE"")*6)+(COUNTIF(FILTER(Data!N:N,Data!D:D=A266,Data!B:"&amp;"B=$B$1),""LOW"")*4))"),0.0)</f>
        <v>0</v>
      </c>
      <c r="V266" s="138" t="str">
        <f>IF(Data!B258='Team Parser'!$B$1, Data!D258,"")</f>
        <v/>
      </c>
      <c r="W266" s="134" t="str">
        <f>IF(Data!$B258='Team Parser'!$B$1, Data!H258,"")</f>
        <v/>
      </c>
      <c r="X266" s="134" t="str">
        <f>IF(Data!$B258='Team Parser'!$B$1, Data!G258,"")</f>
        <v/>
      </c>
      <c r="Y266" s="134" t="str">
        <f>IF(Data!$B258='Team Parser'!$B$1, Data!L258,"")</f>
        <v/>
      </c>
      <c r="Z266" s="134" t="str">
        <f>IF(Data!$B258='Team Parser'!$B$1, Data!K258,"")</f>
        <v/>
      </c>
      <c r="AA266" s="134" t="str">
        <f>IF(Data!$B258='Team Parser'!$B$1, Data!M258,"")</f>
        <v/>
      </c>
      <c r="AB266" s="134" t="str">
        <f>IF(Data!$B258='Team Parser'!$B$1,((Z266*2)+(Y266)+(X266*4)+(W266*2)),"")</f>
        <v/>
      </c>
      <c r="AC266" s="134" t="str">
        <f>IF(Data!$B258='Team Parser'!$B$1, Data!N258,"")</f>
        <v/>
      </c>
      <c r="AD266" s="139" t="str">
        <f>IF(Data!$B258='Team Parser'!$B$1,(AB266+(COUNTIF(AC266,"TRAVERSE")*15)+(COUNTIF(AC266,"HIGH")*10)+(COUNTIF(AC266,"MIDDLE")*6)+(COUNTIF(AC266,"LOW")*4)),"")</f>
        <v/>
      </c>
    </row>
    <row r="267">
      <c r="A267" s="141" t="s">
        <v>507</v>
      </c>
      <c r="B267" s="134" t="str">
        <f>IFERROR(__xludf.DUMMYFUNCTION("IFERROR((FILTER(Data!H:H,Data!D:D=A267,Data!B:B=$B$1)),"""")"),"")</f>
        <v/>
      </c>
      <c r="C267" s="134" t="str">
        <f>IFERROR(__xludf.DUMMYFUNCTION("IFERROR((FILTER(Data!G:G,Data!D:D=A267,Data!B:B=$B$1)),"""")"),"")</f>
        <v/>
      </c>
      <c r="D267" s="134" t="str">
        <f>IFERROR(__xludf.DUMMYFUNCTION("IFERROR((FILTER(Data!J:J,Data!D:D=A267,Data!B:B=$B$1)),"""")"),"")</f>
        <v/>
      </c>
      <c r="E267" s="134" t="str">
        <f>IFERROR(__xludf.DUMMYFUNCTION("IFERROR((FILTER(Data!L:L,Data!D:D=A267,Data!B:B=$B$1)),"""")"),"")</f>
        <v/>
      </c>
      <c r="F267" s="134" t="str">
        <f>IFERROR(__xludf.DUMMYFUNCTION("IFERROR((FILTER(Data!K:K,Data!D:D=A267,Data!B:B=$B$1)),"""")"),"")</f>
        <v/>
      </c>
      <c r="G267" s="134" t="str">
        <f>IFERROR(__xludf.DUMMYFUNCTION("IFERROR((FILTER(Data!M:M,Data!D:D=A267,Data!B:B=$B$1)),"""")"),"")</f>
        <v/>
      </c>
      <c r="H267" s="134" t="str">
        <f>IFERROR(__xludf.DUMMYFUNCTION("IFERROR((FILTER(Data!G:G,Data!D:D=A267,Data!B:B=$B$1)*4)+(FILTER(Data!H:H,Data!D:D=A267,Data!B:B=$B$1)*2),"""")"),"")</f>
        <v/>
      </c>
      <c r="I267" s="15" t="str">
        <f>IFERROR(__xludf.DUMMYFUNCTION("IFERROR((FILTER(Data!K:K,Data!D:D=A267,Data!B:B=$B$1)*2)+(FILTER(Data!L:L,Data!D:D=A267,Data!B:B=$B$1)),"""")"),"")</f>
        <v/>
      </c>
      <c r="J267" s="134" t="str">
        <f>IFERROR(__xludf.DUMMYFUNCTION("IFERROR((FILTER(Data!N:N,Data!D:D=A267,Data!B:B=$B$1)),"""")"),"")</f>
        <v/>
      </c>
      <c r="K267" s="135" t="str">
        <f>IFERROR(__xludf.DUMMYFUNCTION("IFERROR((FILTER(Data!H:H,Data!D:D=A267,Data!B:B=$B$1)*2)+(FILTER(Data!L:L,Data!D:D=A267,Data!B:B=$B$1))+(FILTER(Data!G:G,Data!D:D=A267,Data!B:B=$B$1)*4)+(FILTER(Data!K:K,Data!D:D=A267,Data!B:B=$B$1)*2)+(((COUNTIF(FILTER(Data!N:N,Data!D:D=A267,Data!B:B=$B$"&amp;"1),""TRAVERSE"")*15)+(COUNTIF(FILTER(Data!N:N,Data!D:D=A267,Data!B:B=$B$1),""HIGH"")*10)+(COUNTIF(FILTER(Data!N:N,Data!D:D=A267,Data!B:B=$B$1),""MIDDLE"")*6)+(COUNTIF(FILTER(Data!N:N,Data!D:D=A267,Data!B:B=$B$1),""LOW"")*4))),"""")"),"")</f>
        <v/>
      </c>
      <c r="L267" s="136" t="str">
        <f>IFERROR(__xludf.DUMMYFUNCTION("IFERROR((FILTER(Data!P:P,Data!D:D=A267,Data!B:B=$B$1)),"""")"),"")</f>
        <v/>
      </c>
      <c r="M267" s="137" t="str">
        <f>IFERROR(__xludf.DUMMYFUNCTION("IFERROR((FILTER(Data!A:A,Data!D:D=A267,Data!B:B=$B$1)),"""")"),"")</f>
        <v/>
      </c>
      <c r="T267" s="52">
        <f>IFERROR(__xludf.DUMMYFUNCTION("((COUNTIF(FILTER(Data!N:N,Data!D:D=A267,Data!B:B=$B$1),""TRAVERSE"")*15)+(COUNTIF(FILTER(Data!N:N,Data!D:D=A267,Data!B:B=B$1),""HIGH"")*10)+(COUNTIF(FILTER(Data!N:N,Data!D:D=A267,Data!B:B=$B$1),""MIDDLE"")*6)+(COUNTIF(FILTER(Data!N:N,Data!D:D=A267,Data!B:"&amp;"B=$B$1),""LOW"")*4))"),0.0)</f>
        <v>0</v>
      </c>
      <c r="V267" s="138" t="str">
        <f>IF(Data!B259='Team Parser'!$B$1, Data!D259,"")</f>
        <v/>
      </c>
      <c r="W267" s="134" t="str">
        <f>IF(Data!$B259='Team Parser'!$B$1, Data!H259,"")</f>
        <v/>
      </c>
      <c r="X267" s="134" t="str">
        <f>IF(Data!$B259='Team Parser'!$B$1, Data!G259,"")</f>
        <v/>
      </c>
      <c r="Y267" s="134" t="str">
        <f>IF(Data!$B259='Team Parser'!$B$1, Data!L259,"")</f>
        <v/>
      </c>
      <c r="Z267" s="134" t="str">
        <f>IF(Data!$B259='Team Parser'!$B$1, Data!K259,"")</f>
        <v/>
      </c>
      <c r="AA267" s="134" t="str">
        <f>IF(Data!$B259='Team Parser'!$B$1, Data!M259,"")</f>
        <v/>
      </c>
      <c r="AB267" s="134" t="str">
        <f>IF(Data!$B259='Team Parser'!$B$1,((Z267*2)+(Y267)+(X267*4)+(W267*2)),"")</f>
        <v/>
      </c>
      <c r="AC267" s="134" t="str">
        <f>IF(Data!$B259='Team Parser'!$B$1, Data!N259,"")</f>
        <v/>
      </c>
      <c r="AD267" s="139" t="str">
        <f>IF(Data!$B259='Team Parser'!$B$1,(AB267+(COUNTIF(AC267,"TRAVERSE")*15)+(COUNTIF(AC267,"HIGH")*10)+(COUNTIF(AC267,"MIDDLE")*6)+(COUNTIF(AC267,"LOW")*4)),"")</f>
        <v/>
      </c>
    </row>
    <row r="268">
      <c r="A268" s="141" t="s">
        <v>507</v>
      </c>
      <c r="B268" s="134" t="str">
        <f>IFERROR(__xludf.DUMMYFUNCTION("IFERROR((FILTER(Data!H:H,Data!D:D=A268,Data!B:B=$B$1)),"""")"),"")</f>
        <v/>
      </c>
      <c r="C268" s="134" t="str">
        <f>IFERROR(__xludf.DUMMYFUNCTION("IFERROR((FILTER(Data!G:G,Data!D:D=A268,Data!B:B=$B$1)),"""")"),"")</f>
        <v/>
      </c>
      <c r="D268" s="134" t="str">
        <f>IFERROR(__xludf.DUMMYFUNCTION("IFERROR((FILTER(Data!J:J,Data!D:D=A268,Data!B:B=$B$1)),"""")"),"")</f>
        <v/>
      </c>
      <c r="E268" s="134" t="str">
        <f>IFERROR(__xludf.DUMMYFUNCTION("IFERROR((FILTER(Data!L:L,Data!D:D=A268,Data!B:B=$B$1)),"""")"),"")</f>
        <v/>
      </c>
      <c r="F268" s="134" t="str">
        <f>IFERROR(__xludf.DUMMYFUNCTION("IFERROR((FILTER(Data!K:K,Data!D:D=A268,Data!B:B=$B$1)),"""")"),"")</f>
        <v/>
      </c>
      <c r="G268" s="134" t="str">
        <f>IFERROR(__xludf.DUMMYFUNCTION("IFERROR((FILTER(Data!M:M,Data!D:D=A268,Data!B:B=$B$1)),"""")"),"")</f>
        <v/>
      </c>
      <c r="H268" s="134" t="str">
        <f>IFERROR(__xludf.DUMMYFUNCTION("IFERROR((FILTER(Data!G:G,Data!D:D=A268,Data!B:B=$B$1)*4)+(FILTER(Data!H:H,Data!D:D=A268,Data!B:B=$B$1)*2),"""")"),"")</f>
        <v/>
      </c>
      <c r="I268" s="15" t="str">
        <f>IFERROR(__xludf.DUMMYFUNCTION("IFERROR((FILTER(Data!K:K,Data!D:D=A268,Data!B:B=$B$1)*2)+(FILTER(Data!L:L,Data!D:D=A268,Data!B:B=$B$1)),"""")"),"")</f>
        <v/>
      </c>
      <c r="J268" s="134" t="str">
        <f>IFERROR(__xludf.DUMMYFUNCTION("IFERROR((FILTER(Data!N:N,Data!D:D=A268,Data!B:B=$B$1)),"""")"),"")</f>
        <v/>
      </c>
      <c r="K268" s="135" t="str">
        <f>IFERROR(__xludf.DUMMYFUNCTION("IFERROR((FILTER(Data!H:H,Data!D:D=A268,Data!B:B=$B$1)*2)+(FILTER(Data!L:L,Data!D:D=A268,Data!B:B=$B$1))+(FILTER(Data!G:G,Data!D:D=A268,Data!B:B=$B$1)*4)+(FILTER(Data!K:K,Data!D:D=A268,Data!B:B=$B$1)*2)+(((COUNTIF(FILTER(Data!N:N,Data!D:D=A268,Data!B:B=$B$"&amp;"1),""TRAVERSE"")*15)+(COUNTIF(FILTER(Data!N:N,Data!D:D=A268,Data!B:B=$B$1),""HIGH"")*10)+(COUNTIF(FILTER(Data!N:N,Data!D:D=A268,Data!B:B=$B$1),""MIDDLE"")*6)+(COUNTIF(FILTER(Data!N:N,Data!D:D=A268,Data!B:B=$B$1),""LOW"")*4))),"""")"),"")</f>
        <v/>
      </c>
      <c r="L268" s="136" t="str">
        <f>IFERROR(__xludf.DUMMYFUNCTION("IFERROR((FILTER(Data!P:P,Data!D:D=A268,Data!B:B=$B$1)),"""")"),"")</f>
        <v/>
      </c>
      <c r="M268" s="137" t="str">
        <f>IFERROR(__xludf.DUMMYFUNCTION("IFERROR((FILTER(Data!A:A,Data!D:D=A268,Data!B:B=$B$1)),"""")"),"")</f>
        <v/>
      </c>
      <c r="T268" s="52">
        <f>IFERROR(__xludf.DUMMYFUNCTION("((COUNTIF(FILTER(Data!N:N,Data!D:D=A268,Data!B:B=$B$1),""TRAVERSE"")*15)+(COUNTIF(FILTER(Data!N:N,Data!D:D=A268,Data!B:B=B$1),""HIGH"")*10)+(COUNTIF(FILTER(Data!N:N,Data!D:D=A268,Data!B:B=$B$1),""MIDDLE"")*6)+(COUNTIF(FILTER(Data!N:N,Data!D:D=A268,Data!B:"&amp;"B=$B$1),""LOW"")*4))"),0.0)</f>
        <v>0</v>
      </c>
      <c r="V268" s="138" t="str">
        <f>IF(Data!B260='Team Parser'!$B$1, Data!D260,"")</f>
        <v/>
      </c>
      <c r="W268" s="134" t="str">
        <f>IF(Data!$B260='Team Parser'!$B$1, Data!H260,"")</f>
        <v/>
      </c>
      <c r="X268" s="134" t="str">
        <f>IF(Data!$B260='Team Parser'!$B$1, Data!G260,"")</f>
        <v/>
      </c>
      <c r="Y268" s="134" t="str">
        <f>IF(Data!$B260='Team Parser'!$B$1, Data!L260,"")</f>
        <v/>
      </c>
      <c r="Z268" s="134" t="str">
        <f>IF(Data!$B260='Team Parser'!$B$1, Data!K260,"")</f>
        <v/>
      </c>
      <c r="AA268" s="134" t="str">
        <f>IF(Data!$B260='Team Parser'!$B$1, Data!M260,"")</f>
        <v/>
      </c>
      <c r="AB268" s="134" t="str">
        <f>IF(Data!$B260='Team Parser'!$B$1,((Z268*2)+(Y268)+(X268*4)+(W268*2)),"")</f>
        <v/>
      </c>
      <c r="AC268" s="134" t="str">
        <f>IF(Data!$B260='Team Parser'!$B$1, Data!N260,"")</f>
        <v/>
      </c>
      <c r="AD268" s="139" t="str">
        <f>IF(Data!$B260='Team Parser'!$B$1,(AB268+(COUNTIF(AC268,"TRAVERSE")*15)+(COUNTIF(AC268,"HIGH")*10)+(COUNTIF(AC268,"MIDDLE")*6)+(COUNTIF(AC268,"LOW")*4)),"")</f>
        <v/>
      </c>
    </row>
    <row r="269">
      <c r="A269" s="141" t="s">
        <v>507</v>
      </c>
      <c r="B269" s="134" t="str">
        <f>IFERROR(__xludf.DUMMYFUNCTION("IFERROR((FILTER(Data!H:H,Data!D:D=A269,Data!B:B=$B$1)),"""")"),"")</f>
        <v/>
      </c>
      <c r="C269" s="134" t="str">
        <f>IFERROR(__xludf.DUMMYFUNCTION("IFERROR((FILTER(Data!G:G,Data!D:D=A269,Data!B:B=$B$1)),"""")"),"")</f>
        <v/>
      </c>
      <c r="D269" s="134" t="str">
        <f>IFERROR(__xludf.DUMMYFUNCTION("IFERROR((FILTER(Data!J:J,Data!D:D=A269,Data!B:B=$B$1)),"""")"),"")</f>
        <v/>
      </c>
      <c r="E269" s="134" t="str">
        <f>IFERROR(__xludf.DUMMYFUNCTION("IFERROR((FILTER(Data!L:L,Data!D:D=A269,Data!B:B=$B$1)),"""")"),"")</f>
        <v/>
      </c>
      <c r="F269" s="134" t="str">
        <f>IFERROR(__xludf.DUMMYFUNCTION("IFERROR((FILTER(Data!K:K,Data!D:D=A269,Data!B:B=$B$1)),"""")"),"")</f>
        <v/>
      </c>
      <c r="G269" s="134" t="str">
        <f>IFERROR(__xludf.DUMMYFUNCTION("IFERROR((FILTER(Data!M:M,Data!D:D=A269,Data!B:B=$B$1)),"""")"),"")</f>
        <v/>
      </c>
      <c r="H269" s="134" t="str">
        <f>IFERROR(__xludf.DUMMYFUNCTION("IFERROR((FILTER(Data!G:G,Data!D:D=A269,Data!B:B=$B$1)*4)+(FILTER(Data!H:H,Data!D:D=A269,Data!B:B=$B$1)*2),"""")"),"")</f>
        <v/>
      </c>
      <c r="I269" s="15" t="str">
        <f>IFERROR(__xludf.DUMMYFUNCTION("IFERROR((FILTER(Data!K:K,Data!D:D=A269,Data!B:B=$B$1)*2)+(FILTER(Data!L:L,Data!D:D=A269,Data!B:B=$B$1)),"""")"),"")</f>
        <v/>
      </c>
      <c r="J269" s="134" t="str">
        <f>IFERROR(__xludf.DUMMYFUNCTION("IFERROR((FILTER(Data!N:N,Data!D:D=A269,Data!B:B=$B$1)),"""")"),"")</f>
        <v/>
      </c>
      <c r="K269" s="135" t="str">
        <f>IFERROR(__xludf.DUMMYFUNCTION("IFERROR((FILTER(Data!H:H,Data!D:D=A269,Data!B:B=$B$1)*2)+(FILTER(Data!L:L,Data!D:D=A269,Data!B:B=$B$1))+(FILTER(Data!G:G,Data!D:D=A269,Data!B:B=$B$1)*4)+(FILTER(Data!K:K,Data!D:D=A269,Data!B:B=$B$1)*2)+(((COUNTIF(FILTER(Data!N:N,Data!D:D=A269,Data!B:B=$B$"&amp;"1),""TRAVERSE"")*15)+(COUNTIF(FILTER(Data!N:N,Data!D:D=A269,Data!B:B=$B$1),""HIGH"")*10)+(COUNTIF(FILTER(Data!N:N,Data!D:D=A269,Data!B:B=$B$1),""MIDDLE"")*6)+(COUNTIF(FILTER(Data!N:N,Data!D:D=A269,Data!B:B=$B$1),""LOW"")*4))),"""")"),"")</f>
        <v/>
      </c>
      <c r="L269" s="136" t="str">
        <f>IFERROR(__xludf.DUMMYFUNCTION("IFERROR((FILTER(Data!P:P,Data!D:D=A269,Data!B:B=$B$1)),"""")"),"")</f>
        <v/>
      </c>
      <c r="M269" s="137" t="str">
        <f>IFERROR(__xludf.DUMMYFUNCTION("IFERROR((FILTER(Data!A:A,Data!D:D=A269,Data!B:B=$B$1)),"""")"),"")</f>
        <v/>
      </c>
      <c r="T269" s="52">
        <f>IFERROR(__xludf.DUMMYFUNCTION("((COUNTIF(FILTER(Data!N:N,Data!D:D=A269,Data!B:B=$B$1),""TRAVERSE"")*15)+(COUNTIF(FILTER(Data!N:N,Data!D:D=A269,Data!B:B=B$1),""HIGH"")*10)+(COUNTIF(FILTER(Data!N:N,Data!D:D=A269,Data!B:B=$B$1),""MIDDLE"")*6)+(COUNTIF(FILTER(Data!N:N,Data!D:D=A269,Data!B:"&amp;"B=$B$1),""LOW"")*4))"),0.0)</f>
        <v>0</v>
      </c>
      <c r="V269" s="138" t="str">
        <f>IF(Data!B261='Team Parser'!$B$1, Data!D261,"")</f>
        <v/>
      </c>
      <c r="W269" s="134" t="str">
        <f>IF(Data!$B261='Team Parser'!$B$1, Data!H261,"")</f>
        <v/>
      </c>
      <c r="X269" s="134" t="str">
        <f>IF(Data!$B261='Team Parser'!$B$1, Data!G261,"")</f>
        <v/>
      </c>
      <c r="Y269" s="134" t="str">
        <f>IF(Data!$B261='Team Parser'!$B$1, Data!L261,"")</f>
        <v/>
      </c>
      <c r="Z269" s="134" t="str">
        <f>IF(Data!$B261='Team Parser'!$B$1, Data!K261,"")</f>
        <v/>
      </c>
      <c r="AA269" s="134" t="str">
        <f>IF(Data!$B261='Team Parser'!$B$1, Data!M261,"")</f>
        <v/>
      </c>
      <c r="AB269" s="134" t="str">
        <f>IF(Data!$B261='Team Parser'!$B$1,((Z269*2)+(Y269)+(X269*4)+(W269*2)),"")</f>
        <v/>
      </c>
      <c r="AC269" s="134" t="str">
        <f>IF(Data!$B261='Team Parser'!$B$1, Data!N261,"")</f>
        <v/>
      </c>
      <c r="AD269" s="139" t="str">
        <f>IF(Data!$B261='Team Parser'!$B$1,(AB269+(COUNTIF(AC269,"TRAVERSE")*15)+(COUNTIF(AC269,"HIGH")*10)+(COUNTIF(AC269,"MIDDLE")*6)+(COUNTIF(AC269,"LOW")*4)),"")</f>
        <v/>
      </c>
    </row>
    <row r="270">
      <c r="A270" s="141" t="s">
        <v>507</v>
      </c>
      <c r="B270" s="134" t="str">
        <f>IFERROR(__xludf.DUMMYFUNCTION("IFERROR((FILTER(Data!H:H,Data!D:D=A270,Data!B:B=$B$1)),"""")"),"")</f>
        <v/>
      </c>
      <c r="C270" s="134" t="str">
        <f>IFERROR(__xludf.DUMMYFUNCTION("IFERROR((FILTER(Data!G:G,Data!D:D=A270,Data!B:B=$B$1)),"""")"),"")</f>
        <v/>
      </c>
      <c r="D270" s="134" t="str">
        <f>IFERROR(__xludf.DUMMYFUNCTION("IFERROR((FILTER(Data!J:J,Data!D:D=A270,Data!B:B=$B$1)),"""")"),"")</f>
        <v/>
      </c>
      <c r="E270" s="134" t="str">
        <f>IFERROR(__xludf.DUMMYFUNCTION("IFERROR((FILTER(Data!L:L,Data!D:D=A270,Data!B:B=$B$1)),"""")"),"")</f>
        <v/>
      </c>
      <c r="F270" s="134" t="str">
        <f>IFERROR(__xludf.DUMMYFUNCTION("IFERROR((FILTER(Data!K:K,Data!D:D=A270,Data!B:B=$B$1)),"""")"),"")</f>
        <v/>
      </c>
      <c r="G270" s="134" t="str">
        <f>IFERROR(__xludf.DUMMYFUNCTION("IFERROR((FILTER(Data!M:M,Data!D:D=A270,Data!B:B=$B$1)),"""")"),"")</f>
        <v/>
      </c>
      <c r="H270" s="134" t="str">
        <f>IFERROR(__xludf.DUMMYFUNCTION("IFERROR((FILTER(Data!G:G,Data!D:D=A270,Data!B:B=$B$1)*4)+(FILTER(Data!H:H,Data!D:D=A270,Data!B:B=$B$1)*2),"""")"),"")</f>
        <v/>
      </c>
      <c r="I270" s="15" t="str">
        <f>IFERROR(__xludf.DUMMYFUNCTION("IFERROR((FILTER(Data!K:K,Data!D:D=A270,Data!B:B=$B$1)*2)+(FILTER(Data!L:L,Data!D:D=A270,Data!B:B=$B$1)),"""")"),"")</f>
        <v/>
      </c>
      <c r="J270" s="134" t="str">
        <f>IFERROR(__xludf.DUMMYFUNCTION("IFERROR((FILTER(Data!N:N,Data!D:D=A270,Data!B:B=$B$1)),"""")"),"")</f>
        <v/>
      </c>
      <c r="K270" s="135" t="str">
        <f>IFERROR(__xludf.DUMMYFUNCTION("IFERROR((FILTER(Data!H:H,Data!D:D=A270,Data!B:B=$B$1)*2)+(FILTER(Data!L:L,Data!D:D=A270,Data!B:B=$B$1))+(FILTER(Data!G:G,Data!D:D=A270,Data!B:B=$B$1)*4)+(FILTER(Data!K:K,Data!D:D=A270,Data!B:B=$B$1)*2)+(((COUNTIF(FILTER(Data!N:N,Data!D:D=A270,Data!B:B=$B$"&amp;"1),""TRAVERSE"")*15)+(COUNTIF(FILTER(Data!N:N,Data!D:D=A270,Data!B:B=$B$1),""HIGH"")*10)+(COUNTIF(FILTER(Data!N:N,Data!D:D=A270,Data!B:B=$B$1),""MIDDLE"")*6)+(COUNTIF(FILTER(Data!N:N,Data!D:D=A270,Data!B:B=$B$1),""LOW"")*4))),"""")"),"")</f>
        <v/>
      </c>
      <c r="L270" s="136" t="str">
        <f>IFERROR(__xludf.DUMMYFUNCTION("IFERROR((FILTER(Data!P:P,Data!D:D=A270,Data!B:B=$B$1)),"""")"),"")</f>
        <v/>
      </c>
      <c r="M270" s="137" t="str">
        <f>IFERROR(__xludf.DUMMYFUNCTION("IFERROR((FILTER(Data!A:A,Data!D:D=A270,Data!B:B=$B$1)),"""")"),"")</f>
        <v/>
      </c>
      <c r="T270" s="52">
        <f>IFERROR(__xludf.DUMMYFUNCTION("((COUNTIF(FILTER(Data!N:N,Data!D:D=A270,Data!B:B=$B$1),""TRAVERSE"")*15)+(COUNTIF(FILTER(Data!N:N,Data!D:D=A270,Data!B:B=B$1),""HIGH"")*10)+(COUNTIF(FILTER(Data!N:N,Data!D:D=A270,Data!B:B=$B$1),""MIDDLE"")*6)+(COUNTIF(FILTER(Data!N:N,Data!D:D=A270,Data!B:"&amp;"B=$B$1),""LOW"")*4))"),0.0)</f>
        <v>0</v>
      </c>
      <c r="V270" s="138" t="str">
        <f>IF(Data!B262='Team Parser'!$B$1, Data!D262,"")</f>
        <v/>
      </c>
      <c r="W270" s="134" t="str">
        <f>IF(Data!$B262='Team Parser'!$B$1, Data!H262,"")</f>
        <v/>
      </c>
      <c r="X270" s="134" t="str">
        <f>IF(Data!$B262='Team Parser'!$B$1, Data!G262,"")</f>
        <v/>
      </c>
      <c r="Y270" s="134" t="str">
        <f>IF(Data!$B262='Team Parser'!$B$1, Data!L262,"")</f>
        <v/>
      </c>
      <c r="Z270" s="134" t="str">
        <f>IF(Data!$B262='Team Parser'!$B$1, Data!K262,"")</f>
        <v/>
      </c>
      <c r="AA270" s="134" t="str">
        <f>IF(Data!$B262='Team Parser'!$B$1, Data!M262,"")</f>
        <v/>
      </c>
      <c r="AB270" s="134" t="str">
        <f>IF(Data!$B262='Team Parser'!$B$1,((Z270*2)+(Y270)+(X270*4)+(W270*2)),"")</f>
        <v/>
      </c>
      <c r="AC270" s="134" t="str">
        <f>IF(Data!$B262='Team Parser'!$B$1, Data!N262,"")</f>
        <v/>
      </c>
      <c r="AD270" s="139" t="str">
        <f>IF(Data!$B262='Team Parser'!$B$1,(AB270+(COUNTIF(AC270,"TRAVERSE")*15)+(COUNTIF(AC270,"HIGH")*10)+(COUNTIF(AC270,"MIDDLE")*6)+(COUNTIF(AC270,"LOW")*4)),"")</f>
        <v/>
      </c>
    </row>
    <row r="271">
      <c r="A271" s="141" t="s">
        <v>507</v>
      </c>
      <c r="B271" s="134" t="str">
        <f>IFERROR(__xludf.DUMMYFUNCTION("IFERROR((FILTER(Data!H:H,Data!D:D=A271,Data!B:B=$B$1)),"""")"),"")</f>
        <v/>
      </c>
      <c r="C271" s="134" t="str">
        <f>IFERROR(__xludf.DUMMYFUNCTION("IFERROR((FILTER(Data!G:G,Data!D:D=A271,Data!B:B=$B$1)),"""")"),"")</f>
        <v/>
      </c>
      <c r="D271" s="134" t="str">
        <f>IFERROR(__xludf.DUMMYFUNCTION("IFERROR((FILTER(Data!J:J,Data!D:D=A271,Data!B:B=$B$1)),"""")"),"")</f>
        <v/>
      </c>
      <c r="E271" s="134" t="str">
        <f>IFERROR(__xludf.DUMMYFUNCTION("IFERROR((FILTER(Data!L:L,Data!D:D=A271,Data!B:B=$B$1)),"""")"),"")</f>
        <v/>
      </c>
      <c r="F271" s="134" t="str">
        <f>IFERROR(__xludf.DUMMYFUNCTION("IFERROR((FILTER(Data!K:K,Data!D:D=A271,Data!B:B=$B$1)),"""")"),"")</f>
        <v/>
      </c>
      <c r="G271" s="134" t="str">
        <f>IFERROR(__xludf.DUMMYFUNCTION("IFERROR((FILTER(Data!M:M,Data!D:D=A271,Data!B:B=$B$1)),"""")"),"")</f>
        <v/>
      </c>
      <c r="H271" s="134" t="str">
        <f>IFERROR(__xludf.DUMMYFUNCTION("IFERROR((FILTER(Data!G:G,Data!D:D=A271,Data!B:B=$B$1)*4)+(FILTER(Data!H:H,Data!D:D=A271,Data!B:B=$B$1)*2),"""")"),"")</f>
        <v/>
      </c>
      <c r="I271" s="15" t="str">
        <f>IFERROR(__xludf.DUMMYFUNCTION("IFERROR((FILTER(Data!K:K,Data!D:D=A271,Data!B:B=$B$1)*2)+(FILTER(Data!L:L,Data!D:D=A271,Data!B:B=$B$1)),"""")"),"")</f>
        <v/>
      </c>
      <c r="J271" s="134" t="str">
        <f>IFERROR(__xludf.DUMMYFUNCTION("IFERROR((FILTER(Data!N:N,Data!D:D=A271,Data!B:B=$B$1)),"""")"),"")</f>
        <v/>
      </c>
      <c r="K271" s="135" t="str">
        <f>IFERROR(__xludf.DUMMYFUNCTION("IFERROR((FILTER(Data!H:H,Data!D:D=A271,Data!B:B=$B$1)*2)+(FILTER(Data!L:L,Data!D:D=A271,Data!B:B=$B$1))+(FILTER(Data!G:G,Data!D:D=A271,Data!B:B=$B$1)*4)+(FILTER(Data!K:K,Data!D:D=A271,Data!B:B=$B$1)*2)+(((COUNTIF(FILTER(Data!N:N,Data!D:D=A271,Data!B:B=$B$"&amp;"1),""TRAVERSE"")*15)+(COUNTIF(FILTER(Data!N:N,Data!D:D=A271,Data!B:B=$B$1),""HIGH"")*10)+(COUNTIF(FILTER(Data!N:N,Data!D:D=A271,Data!B:B=$B$1),""MIDDLE"")*6)+(COUNTIF(FILTER(Data!N:N,Data!D:D=A271,Data!B:B=$B$1),""LOW"")*4))),"""")"),"")</f>
        <v/>
      </c>
      <c r="L271" s="136" t="str">
        <f>IFERROR(__xludf.DUMMYFUNCTION("IFERROR((FILTER(Data!P:P,Data!D:D=A271,Data!B:B=$B$1)),"""")"),"")</f>
        <v/>
      </c>
      <c r="M271" s="137" t="str">
        <f>IFERROR(__xludf.DUMMYFUNCTION("IFERROR((FILTER(Data!A:A,Data!D:D=A271,Data!B:B=$B$1)),"""")"),"")</f>
        <v/>
      </c>
      <c r="T271" s="52">
        <f>IFERROR(__xludf.DUMMYFUNCTION("((COUNTIF(FILTER(Data!N:N,Data!D:D=A271,Data!B:B=$B$1),""TRAVERSE"")*15)+(COUNTIF(FILTER(Data!N:N,Data!D:D=A271,Data!B:B=B$1),""HIGH"")*10)+(COUNTIF(FILTER(Data!N:N,Data!D:D=A271,Data!B:B=$B$1),""MIDDLE"")*6)+(COUNTIF(FILTER(Data!N:N,Data!D:D=A271,Data!B:"&amp;"B=$B$1),""LOW"")*4))"),0.0)</f>
        <v>0</v>
      </c>
      <c r="V271" s="138" t="str">
        <f>IF(Data!B263='Team Parser'!$B$1, Data!D263,"")</f>
        <v/>
      </c>
      <c r="W271" s="134" t="str">
        <f>IF(Data!$B263='Team Parser'!$B$1, Data!H263,"")</f>
        <v/>
      </c>
      <c r="X271" s="134" t="str">
        <f>IF(Data!$B263='Team Parser'!$B$1, Data!G263,"")</f>
        <v/>
      </c>
      <c r="Y271" s="134" t="str">
        <f>IF(Data!$B263='Team Parser'!$B$1, Data!L263,"")</f>
        <v/>
      </c>
      <c r="Z271" s="134" t="str">
        <f>IF(Data!$B263='Team Parser'!$B$1, Data!K263,"")</f>
        <v/>
      </c>
      <c r="AA271" s="134" t="str">
        <f>IF(Data!$B263='Team Parser'!$B$1, Data!M263,"")</f>
        <v/>
      </c>
      <c r="AB271" s="134" t="str">
        <f>IF(Data!$B263='Team Parser'!$B$1,((Z271*2)+(Y271)+(X271*4)+(W271*2)),"")</f>
        <v/>
      </c>
      <c r="AC271" s="134" t="str">
        <f>IF(Data!$B263='Team Parser'!$B$1, Data!N263,"")</f>
        <v/>
      </c>
      <c r="AD271" s="139" t="str">
        <f>IF(Data!$B263='Team Parser'!$B$1,(AB271+(COUNTIF(AC271,"TRAVERSE")*15)+(COUNTIF(AC271,"HIGH")*10)+(COUNTIF(AC271,"MIDDLE")*6)+(COUNTIF(AC271,"LOW")*4)),"")</f>
        <v/>
      </c>
    </row>
    <row r="272">
      <c r="A272" s="141" t="s">
        <v>507</v>
      </c>
      <c r="B272" s="134" t="str">
        <f>IFERROR(__xludf.DUMMYFUNCTION("IFERROR((FILTER(Data!H:H,Data!D:D=A272,Data!B:B=$B$1)),"""")"),"")</f>
        <v/>
      </c>
      <c r="C272" s="134" t="str">
        <f>IFERROR(__xludf.DUMMYFUNCTION("IFERROR((FILTER(Data!G:G,Data!D:D=A272,Data!B:B=$B$1)),"""")"),"")</f>
        <v/>
      </c>
      <c r="D272" s="134" t="str">
        <f>IFERROR(__xludf.DUMMYFUNCTION("IFERROR((FILTER(Data!J:J,Data!D:D=A272,Data!B:B=$B$1)),"""")"),"")</f>
        <v/>
      </c>
      <c r="E272" s="134" t="str">
        <f>IFERROR(__xludf.DUMMYFUNCTION("IFERROR((FILTER(Data!L:L,Data!D:D=A272,Data!B:B=$B$1)),"""")"),"")</f>
        <v/>
      </c>
      <c r="F272" s="134" t="str">
        <f>IFERROR(__xludf.DUMMYFUNCTION("IFERROR((FILTER(Data!K:K,Data!D:D=A272,Data!B:B=$B$1)),"""")"),"")</f>
        <v/>
      </c>
      <c r="G272" s="134" t="str">
        <f>IFERROR(__xludf.DUMMYFUNCTION("IFERROR((FILTER(Data!M:M,Data!D:D=A272,Data!B:B=$B$1)),"""")"),"")</f>
        <v/>
      </c>
      <c r="H272" s="134" t="str">
        <f>IFERROR(__xludf.DUMMYFUNCTION("IFERROR((FILTER(Data!G:G,Data!D:D=A272,Data!B:B=$B$1)*4)+(FILTER(Data!H:H,Data!D:D=A272,Data!B:B=$B$1)*2),"""")"),"")</f>
        <v/>
      </c>
      <c r="I272" s="15" t="str">
        <f>IFERROR(__xludf.DUMMYFUNCTION("IFERROR((FILTER(Data!K:K,Data!D:D=A272,Data!B:B=$B$1)*2)+(FILTER(Data!L:L,Data!D:D=A272,Data!B:B=$B$1)),"""")"),"")</f>
        <v/>
      </c>
      <c r="J272" s="134" t="str">
        <f>IFERROR(__xludf.DUMMYFUNCTION("IFERROR((FILTER(Data!N:N,Data!D:D=A272,Data!B:B=$B$1)),"""")"),"")</f>
        <v/>
      </c>
      <c r="K272" s="135" t="str">
        <f>IFERROR(__xludf.DUMMYFUNCTION("IFERROR((FILTER(Data!H:H,Data!D:D=A272,Data!B:B=$B$1)*2)+(FILTER(Data!L:L,Data!D:D=A272,Data!B:B=$B$1))+(FILTER(Data!G:G,Data!D:D=A272,Data!B:B=$B$1)*4)+(FILTER(Data!K:K,Data!D:D=A272,Data!B:B=$B$1)*2)+(((COUNTIF(FILTER(Data!N:N,Data!D:D=A272,Data!B:B=$B$"&amp;"1),""TRAVERSE"")*15)+(COUNTIF(FILTER(Data!N:N,Data!D:D=A272,Data!B:B=$B$1),""HIGH"")*10)+(COUNTIF(FILTER(Data!N:N,Data!D:D=A272,Data!B:B=$B$1),""MIDDLE"")*6)+(COUNTIF(FILTER(Data!N:N,Data!D:D=A272,Data!B:B=$B$1),""LOW"")*4))),"""")"),"")</f>
        <v/>
      </c>
      <c r="L272" s="136" t="str">
        <f>IFERROR(__xludf.DUMMYFUNCTION("IFERROR((FILTER(Data!P:P,Data!D:D=A272,Data!B:B=$B$1)),"""")"),"")</f>
        <v/>
      </c>
      <c r="M272" s="137" t="str">
        <f>IFERROR(__xludf.DUMMYFUNCTION("IFERROR((FILTER(Data!A:A,Data!D:D=A272,Data!B:B=$B$1)),"""")"),"")</f>
        <v/>
      </c>
      <c r="T272" s="52">
        <f>IFERROR(__xludf.DUMMYFUNCTION("((COUNTIF(FILTER(Data!N:N,Data!D:D=A272,Data!B:B=$B$1),""TRAVERSE"")*15)+(COUNTIF(FILTER(Data!N:N,Data!D:D=A272,Data!B:B=B$1),""HIGH"")*10)+(COUNTIF(FILTER(Data!N:N,Data!D:D=A272,Data!B:B=$B$1),""MIDDLE"")*6)+(COUNTIF(FILTER(Data!N:N,Data!D:D=A272,Data!B:"&amp;"B=$B$1),""LOW"")*4))"),0.0)</f>
        <v>0</v>
      </c>
      <c r="V272" s="138" t="str">
        <f>IF(Data!B264='Team Parser'!$B$1, Data!D264,"")</f>
        <v/>
      </c>
      <c r="W272" s="134" t="str">
        <f>IF(Data!$B264='Team Parser'!$B$1, Data!H264,"")</f>
        <v/>
      </c>
      <c r="X272" s="134" t="str">
        <f>IF(Data!$B264='Team Parser'!$B$1, Data!G264,"")</f>
        <v/>
      </c>
      <c r="Y272" s="134" t="str">
        <f>IF(Data!$B264='Team Parser'!$B$1, Data!L264,"")</f>
        <v/>
      </c>
      <c r="Z272" s="134" t="str">
        <f>IF(Data!$B264='Team Parser'!$B$1, Data!K264,"")</f>
        <v/>
      </c>
      <c r="AA272" s="134" t="str">
        <f>IF(Data!$B264='Team Parser'!$B$1, Data!M264,"")</f>
        <v/>
      </c>
      <c r="AB272" s="134" t="str">
        <f>IF(Data!$B264='Team Parser'!$B$1,((Z272*2)+(Y272)+(X272*4)+(W272*2)),"")</f>
        <v/>
      </c>
      <c r="AC272" s="134" t="str">
        <f>IF(Data!$B264='Team Parser'!$B$1, Data!N264,"")</f>
        <v/>
      </c>
      <c r="AD272" s="139" t="str">
        <f>IF(Data!$B264='Team Parser'!$B$1,(AB272+(COUNTIF(AC272,"TRAVERSE")*15)+(COUNTIF(AC272,"HIGH")*10)+(COUNTIF(AC272,"MIDDLE")*6)+(COUNTIF(AC272,"LOW")*4)),"")</f>
        <v/>
      </c>
    </row>
    <row r="273">
      <c r="A273" s="141" t="s">
        <v>507</v>
      </c>
      <c r="B273" s="134" t="str">
        <f>IFERROR(__xludf.DUMMYFUNCTION("IFERROR((FILTER(Data!H:H,Data!D:D=A273,Data!B:B=$B$1)),"""")"),"")</f>
        <v/>
      </c>
      <c r="C273" s="134" t="str">
        <f>IFERROR(__xludf.DUMMYFUNCTION("IFERROR((FILTER(Data!G:G,Data!D:D=A273,Data!B:B=$B$1)),"""")"),"")</f>
        <v/>
      </c>
      <c r="D273" s="134" t="str">
        <f>IFERROR(__xludf.DUMMYFUNCTION("IFERROR((FILTER(Data!J:J,Data!D:D=A273,Data!B:B=$B$1)),"""")"),"")</f>
        <v/>
      </c>
      <c r="E273" s="134" t="str">
        <f>IFERROR(__xludf.DUMMYFUNCTION("IFERROR((FILTER(Data!L:L,Data!D:D=A273,Data!B:B=$B$1)),"""")"),"")</f>
        <v/>
      </c>
      <c r="F273" s="134" t="str">
        <f>IFERROR(__xludf.DUMMYFUNCTION("IFERROR((FILTER(Data!K:K,Data!D:D=A273,Data!B:B=$B$1)),"""")"),"")</f>
        <v/>
      </c>
      <c r="G273" s="134" t="str">
        <f>IFERROR(__xludf.DUMMYFUNCTION("IFERROR((FILTER(Data!M:M,Data!D:D=A273,Data!B:B=$B$1)),"""")"),"")</f>
        <v/>
      </c>
      <c r="H273" s="134" t="str">
        <f>IFERROR(__xludf.DUMMYFUNCTION("IFERROR((FILTER(Data!G:G,Data!D:D=A273,Data!B:B=$B$1)*4)+(FILTER(Data!H:H,Data!D:D=A273,Data!B:B=$B$1)*2),"""")"),"")</f>
        <v/>
      </c>
      <c r="I273" s="15" t="str">
        <f>IFERROR(__xludf.DUMMYFUNCTION("IFERROR((FILTER(Data!K:K,Data!D:D=A273,Data!B:B=$B$1)*2)+(FILTER(Data!L:L,Data!D:D=A273,Data!B:B=$B$1)),"""")"),"")</f>
        <v/>
      </c>
      <c r="J273" s="134" t="str">
        <f>IFERROR(__xludf.DUMMYFUNCTION("IFERROR((FILTER(Data!N:N,Data!D:D=A273,Data!B:B=$B$1)),"""")"),"")</f>
        <v/>
      </c>
      <c r="K273" s="135" t="str">
        <f>IFERROR(__xludf.DUMMYFUNCTION("IFERROR((FILTER(Data!H:H,Data!D:D=A273,Data!B:B=$B$1)*2)+(FILTER(Data!L:L,Data!D:D=A273,Data!B:B=$B$1))+(FILTER(Data!G:G,Data!D:D=A273,Data!B:B=$B$1)*4)+(FILTER(Data!K:K,Data!D:D=A273,Data!B:B=$B$1)*2)+(((COUNTIF(FILTER(Data!N:N,Data!D:D=A273,Data!B:B=$B$"&amp;"1),""TRAVERSE"")*15)+(COUNTIF(FILTER(Data!N:N,Data!D:D=A273,Data!B:B=$B$1),""HIGH"")*10)+(COUNTIF(FILTER(Data!N:N,Data!D:D=A273,Data!B:B=$B$1),""MIDDLE"")*6)+(COUNTIF(FILTER(Data!N:N,Data!D:D=A273,Data!B:B=$B$1),""LOW"")*4))),"""")"),"")</f>
        <v/>
      </c>
      <c r="L273" s="136" t="str">
        <f>IFERROR(__xludf.DUMMYFUNCTION("IFERROR((FILTER(Data!P:P,Data!D:D=A273,Data!B:B=$B$1)),"""")"),"")</f>
        <v/>
      </c>
      <c r="M273" s="137" t="str">
        <f>IFERROR(__xludf.DUMMYFUNCTION("IFERROR((FILTER(Data!A:A,Data!D:D=A273,Data!B:B=$B$1)),"""")"),"")</f>
        <v/>
      </c>
      <c r="T273" s="52">
        <f>IFERROR(__xludf.DUMMYFUNCTION("((COUNTIF(FILTER(Data!N:N,Data!D:D=A273,Data!B:B=$B$1),""TRAVERSE"")*15)+(COUNTIF(FILTER(Data!N:N,Data!D:D=A273,Data!B:B=B$1),""HIGH"")*10)+(COUNTIF(FILTER(Data!N:N,Data!D:D=A273,Data!B:B=$B$1),""MIDDLE"")*6)+(COUNTIF(FILTER(Data!N:N,Data!D:D=A273,Data!B:"&amp;"B=$B$1),""LOW"")*4))"),0.0)</f>
        <v>0</v>
      </c>
      <c r="V273" s="138" t="str">
        <f>IF(Data!B265='Team Parser'!$B$1, Data!D265,"")</f>
        <v/>
      </c>
      <c r="W273" s="134" t="str">
        <f>IF(Data!$B265='Team Parser'!$B$1, Data!H265,"")</f>
        <v/>
      </c>
      <c r="X273" s="134" t="str">
        <f>IF(Data!$B265='Team Parser'!$B$1, Data!G265,"")</f>
        <v/>
      </c>
      <c r="Y273" s="134" t="str">
        <f>IF(Data!$B265='Team Parser'!$B$1, Data!L265,"")</f>
        <v/>
      </c>
      <c r="Z273" s="134" t="str">
        <f>IF(Data!$B265='Team Parser'!$B$1, Data!K265,"")</f>
        <v/>
      </c>
      <c r="AA273" s="134" t="str">
        <f>IF(Data!$B265='Team Parser'!$B$1, Data!M265,"")</f>
        <v/>
      </c>
      <c r="AB273" s="134" t="str">
        <f>IF(Data!$B265='Team Parser'!$B$1,((Z273*2)+(Y273)+(X273*4)+(W273*2)),"")</f>
        <v/>
      </c>
      <c r="AC273" s="134" t="str">
        <f>IF(Data!$B265='Team Parser'!$B$1, Data!N265,"")</f>
        <v/>
      </c>
      <c r="AD273" s="139" t="str">
        <f>IF(Data!$B265='Team Parser'!$B$1,(AB273+(COUNTIF(AC273,"TRAVERSE")*15)+(COUNTIF(AC273,"HIGH")*10)+(COUNTIF(AC273,"MIDDLE")*6)+(COUNTIF(AC273,"LOW")*4)),"")</f>
        <v/>
      </c>
    </row>
    <row r="274">
      <c r="A274" s="141" t="s">
        <v>507</v>
      </c>
      <c r="B274" s="134" t="str">
        <f>IFERROR(__xludf.DUMMYFUNCTION("IFERROR((FILTER(Data!H:H,Data!D:D=A274,Data!B:B=$B$1)),"""")"),"")</f>
        <v/>
      </c>
      <c r="C274" s="134" t="str">
        <f>IFERROR(__xludf.DUMMYFUNCTION("IFERROR((FILTER(Data!G:G,Data!D:D=A274,Data!B:B=$B$1)),"""")"),"")</f>
        <v/>
      </c>
      <c r="D274" s="134" t="str">
        <f>IFERROR(__xludf.DUMMYFUNCTION("IFERROR((FILTER(Data!J:J,Data!D:D=A274,Data!B:B=$B$1)),"""")"),"")</f>
        <v/>
      </c>
      <c r="E274" s="134" t="str">
        <f>IFERROR(__xludf.DUMMYFUNCTION("IFERROR((FILTER(Data!L:L,Data!D:D=A274,Data!B:B=$B$1)),"""")"),"")</f>
        <v/>
      </c>
      <c r="F274" s="134" t="str">
        <f>IFERROR(__xludf.DUMMYFUNCTION("IFERROR((FILTER(Data!K:K,Data!D:D=A274,Data!B:B=$B$1)),"""")"),"")</f>
        <v/>
      </c>
      <c r="G274" s="134" t="str">
        <f>IFERROR(__xludf.DUMMYFUNCTION("IFERROR((FILTER(Data!M:M,Data!D:D=A274,Data!B:B=$B$1)),"""")"),"")</f>
        <v/>
      </c>
      <c r="H274" s="134" t="str">
        <f>IFERROR(__xludf.DUMMYFUNCTION("IFERROR((FILTER(Data!G:G,Data!D:D=A274,Data!B:B=$B$1)*4)+(FILTER(Data!H:H,Data!D:D=A274,Data!B:B=$B$1)*2),"""")"),"")</f>
        <v/>
      </c>
      <c r="I274" s="15" t="str">
        <f>IFERROR(__xludf.DUMMYFUNCTION("IFERROR((FILTER(Data!K:K,Data!D:D=A274,Data!B:B=$B$1)*2)+(FILTER(Data!L:L,Data!D:D=A274,Data!B:B=$B$1)),"""")"),"")</f>
        <v/>
      </c>
      <c r="J274" s="134" t="str">
        <f>IFERROR(__xludf.DUMMYFUNCTION("IFERROR((FILTER(Data!N:N,Data!D:D=A274,Data!B:B=$B$1)),"""")"),"")</f>
        <v/>
      </c>
      <c r="K274" s="135" t="str">
        <f>IFERROR(__xludf.DUMMYFUNCTION("IFERROR((FILTER(Data!H:H,Data!D:D=A274,Data!B:B=$B$1)*2)+(FILTER(Data!L:L,Data!D:D=A274,Data!B:B=$B$1))+(FILTER(Data!G:G,Data!D:D=A274,Data!B:B=$B$1)*4)+(FILTER(Data!K:K,Data!D:D=A274,Data!B:B=$B$1)*2)+(((COUNTIF(FILTER(Data!N:N,Data!D:D=A274,Data!B:B=$B$"&amp;"1),""TRAVERSE"")*15)+(COUNTIF(FILTER(Data!N:N,Data!D:D=A274,Data!B:B=$B$1),""HIGH"")*10)+(COUNTIF(FILTER(Data!N:N,Data!D:D=A274,Data!B:B=$B$1),""MIDDLE"")*6)+(COUNTIF(FILTER(Data!N:N,Data!D:D=A274,Data!B:B=$B$1),""LOW"")*4))),"""")"),"")</f>
        <v/>
      </c>
      <c r="L274" s="136" t="str">
        <f>IFERROR(__xludf.DUMMYFUNCTION("IFERROR((FILTER(Data!P:P,Data!D:D=A274,Data!B:B=$B$1)),"""")"),"")</f>
        <v/>
      </c>
      <c r="M274" s="137" t="str">
        <f>IFERROR(__xludf.DUMMYFUNCTION("IFERROR((FILTER(Data!A:A,Data!D:D=A274,Data!B:B=$B$1)),"""")"),"")</f>
        <v/>
      </c>
      <c r="T274" s="52">
        <f>IFERROR(__xludf.DUMMYFUNCTION("((COUNTIF(FILTER(Data!N:N,Data!D:D=A274,Data!B:B=$B$1),""TRAVERSE"")*15)+(COUNTIF(FILTER(Data!N:N,Data!D:D=A274,Data!B:B=B$1),""HIGH"")*10)+(COUNTIF(FILTER(Data!N:N,Data!D:D=A274,Data!B:B=$B$1),""MIDDLE"")*6)+(COUNTIF(FILTER(Data!N:N,Data!D:D=A274,Data!B:"&amp;"B=$B$1),""LOW"")*4))"),0.0)</f>
        <v>0</v>
      </c>
      <c r="V274" s="138" t="str">
        <f>IF(Data!B266='Team Parser'!$B$1, Data!D266,"")</f>
        <v/>
      </c>
      <c r="W274" s="134" t="str">
        <f>IF(Data!$B266='Team Parser'!$B$1, Data!H266,"")</f>
        <v/>
      </c>
      <c r="X274" s="134" t="str">
        <f>IF(Data!$B266='Team Parser'!$B$1, Data!G266,"")</f>
        <v/>
      </c>
      <c r="Y274" s="134" t="str">
        <f>IF(Data!$B266='Team Parser'!$B$1, Data!L266,"")</f>
        <v/>
      </c>
      <c r="Z274" s="134" t="str">
        <f>IF(Data!$B266='Team Parser'!$B$1, Data!K266,"")</f>
        <v/>
      </c>
      <c r="AA274" s="134" t="str">
        <f>IF(Data!$B266='Team Parser'!$B$1, Data!M266,"")</f>
        <v/>
      </c>
      <c r="AB274" s="134" t="str">
        <f>IF(Data!$B266='Team Parser'!$B$1,((Z274*2)+(Y274)+(X274*4)+(W274*2)),"")</f>
        <v/>
      </c>
      <c r="AC274" s="134" t="str">
        <f>IF(Data!$B266='Team Parser'!$B$1, Data!N266,"")</f>
        <v/>
      </c>
      <c r="AD274" s="139" t="str">
        <f>IF(Data!$B266='Team Parser'!$B$1,(AB274+(COUNTIF(AC274,"TRAVERSE")*15)+(COUNTIF(AC274,"HIGH")*10)+(COUNTIF(AC274,"MIDDLE")*6)+(COUNTIF(AC274,"LOW")*4)),"")</f>
        <v/>
      </c>
    </row>
    <row r="275">
      <c r="A275" s="141" t="s">
        <v>507</v>
      </c>
      <c r="B275" s="134" t="str">
        <f>IFERROR(__xludf.DUMMYFUNCTION("IFERROR((FILTER(Data!H:H,Data!D:D=A275,Data!B:B=$B$1)),"""")"),"")</f>
        <v/>
      </c>
      <c r="C275" s="134" t="str">
        <f>IFERROR(__xludf.DUMMYFUNCTION("IFERROR((FILTER(Data!G:G,Data!D:D=A275,Data!B:B=$B$1)),"""")"),"")</f>
        <v/>
      </c>
      <c r="D275" s="134" t="str">
        <f>IFERROR(__xludf.DUMMYFUNCTION("IFERROR((FILTER(Data!J:J,Data!D:D=A275,Data!B:B=$B$1)),"""")"),"")</f>
        <v/>
      </c>
      <c r="E275" s="134" t="str">
        <f>IFERROR(__xludf.DUMMYFUNCTION("IFERROR((FILTER(Data!L:L,Data!D:D=A275,Data!B:B=$B$1)),"""")"),"")</f>
        <v/>
      </c>
      <c r="F275" s="134" t="str">
        <f>IFERROR(__xludf.DUMMYFUNCTION("IFERROR((FILTER(Data!K:K,Data!D:D=A275,Data!B:B=$B$1)),"""")"),"")</f>
        <v/>
      </c>
      <c r="G275" s="134" t="str">
        <f>IFERROR(__xludf.DUMMYFUNCTION("IFERROR((FILTER(Data!M:M,Data!D:D=A275,Data!B:B=$B$1)),"""")"),"")</f>
        <v/>
      </c>
      <c r="H275" s="134" t="str">
        <f>IFERROR(__xludf.DUMMYFUNCTION("IFERROR((FILTER(Data!G:G,Data!D:D=A275,Data!B:B=$B$1)*4)+(FILTER(Data!H:H,Data!D:D=A275,Data!B:B=$B$1)*2),"""")"),"")</f>
        <v/>
      </c>
      <c r="I275" s="15" t="str">
        <f>IFERROR(__xludf.DUMMYFUNCTION("IFERROR((FILTER(Data!K:K,Data!D:D=A275,Data!B:B=$B$1)*2)+(FILTER(Data!L:L,Data!D:D=A275,Data!B:B=$B$1)),"""")"),"")</f>
        <v/>
      </c>
      <c r="J275" s="134" t="str">
        <f>IFERROR(__xludf.DUMMYFUNCTION("IFERROR((FILTER(Data!N:N,Data!D:D=A275,Data!B:B=$B$1)),"""")"),"")</f>
        <v/>
      </c>
      <c r="K275" s="135" t="str">
        <f>IFERROR(__xludf.DUMMYFUNCTION("IFERROR((FILTER(Data!H:H,Data!D:D=A275,Data!B:B=$B$1)*2)+(FILTER(Data!L:L,Data!D:D=A275,Data!B:B=$B$1))+(FILTER(Data!G:G,Data!D:D=A275,Data!B:B=$B$1)*4)+(FILTER(Data!K:K,Data!D:D=A275,Data!B:B=$B$1)*2)+(((COUNTIF(FILTER(Data!N:N,Data!D:D=A275,Data!B:B=$B$"&amp;"1),""TRAVERSE"")*15)+(COUNTIF(FILTER(Data!N:N,Data!D:D=A275,Data!B:B=$B$1),""HIGH"")*10)+(COUNTIF(FILTER(Data!N:N,Data!D:D=A275,Data!B:B=$B$1),""MIDDLE"")*6)+(COUNTIF(FILTER(Data!N:N,Data!D:D=A275,Data!B:B=$B$1),""LOW"")*4))),"""")"),"")</f>
        <v/>
      </c>
      <c r="L275" s="136" t="str">
        <f>IFERROR(__xludf.DUMMYFUNCTION("IFERROR((FILTER(Data!P:P,Data!D:D=A275,Data!B:B=$B$1)),"""")"),"")</f>
        <v/>
      </c>
      <c r="M275" s="137" t="str">
        <f>IFERROR(__xludf.DUMMYFUNCTION("IFERROR((FILTER(Data!A:A,Data!D:D=A275,Data!B:B=$B$1)),"""")"),"")</f>
        <v/>
      </c>
      <c r="T275" s="52">
        <f>IFERROR(__xludf.DUMMYFUNCTION("((COUNTIF(FILTER(Data!N:N,Data!D:D=A275,Data!B:B=$B$1),""TRAVERSE"")*15)+(COUNTIF(FILTER(Data!N:N,Data!D:D=A275,Data!B:B=B$1),""HIGH"")*10)+(COUNTIF(FILTER(Data!N:N,Data!D:D=A275,Data!B:B=$B$1),""MIDDLE"")*6)+(COUNTIF(FILTER(Data!N:N,Data!D:D=A275,Data!B:"&amp;"B=$B$1),""LOW"")*4))"),0.0)</f>
        <v>0</v>
      </c>
      <c r="V275" s="138" t="str">
        <f>IF(Data!B267='Team Parser'!$B$1, Data!D267,"")</f>
        <v/>
      </c>
      <c r="W275" s="134" t="str">
        <f>IF(Data!$B267='Team Parser'!$B$1, Data!H267,"")</f>
        <v/>
      </c>
      <c r="X275" s="134" t="str">
        <f>IF(Data!$B267='Team Parser'!$B$1, Data!G267,"")</f>
        <v/>
      </c>
      <c r="Y275" s="134" t="str">
        <f>IF(Data!$B267='Team Parser'!$B$1, Data!L267,"")</f>
        <v/>
      </c>
      <c r="Z275" s="134" t="str">
        <f>IF(Data!$B267='Team Parser'!$B$1, Data!K267,"")</f>
        <v/>
      </c>
      <c r="AA275" s="134" t="str">
        <f>IF(Data!$B267='Team Parser'!$B$1, Data!M267,"")</f>
        <v/>
      </c>
      <c r="AB275" s="134" t="str">
        <f>IF(Data!$B267='Team Parser'!$B$1,((Z275*2)+(Y275)+(X275*4)+(W275*2)),"")</f>
        <v/>
      </c>
      <c r="AC275" s="134" t="str">
        <f>IF(Data!$B267='Team Parser'!$B$1, Data!N267,"")</f>
        <v/>
      </c>
      <c r="AD275" s="139" t="str">
        <f>IF(Data!$B267='Team Parser'!$B$1,(AB275+(COUNTIF(AC275,"TRAVERSE")*15)+(COUNTIF(AC275,"HIGH")*10)+(COUNTIF(AC275,"MIDDLE")*6)+(COUNTIF(AC275,"LOW")*4)),"")</f>
        <v/>
      </c>
    </row>
    <row r="276">
      <c r="A276" s="141" t="s">
        <v>507</v>
      </c>
      <c r="B276" s="134" t="str">
        <f>IFERROR(__xludf.DUMMYFUNCTION("IFERROR((FILTER(Data!H:H,Data!D:D=A276,Data!B:B=$B$1)),"""")"),"")</f>
        <v/>
      </c>
      <c r="C276" s="134" t="str">
        <f>IFERROR(__xludf.DUMMYFUNCTION("IFERROR((FILTER(Data!G:G,Data!D:D=A276,Data!B:B=$B$1)),"""")"),"")</f>
        <v/>
      </c>
      <c r="D276" s="134" t="str">
        <f>IFERROR(__xludf.DUMMYFUNCTION("IFERROR((FILTER(Data!J:J,Data!D:D=A276,Data!B:B=$B$1)),"""")"),"")</f>
        <v/>
      </c>
      <c r="E276" s="134" t="str">
        <f>IFERROR(__xludf.DUMMYFUNCTION("IFERROR((FILTER(Data!L:L,Data!D:D=A276,Data!B:B=$B$1)),"""")"),"")</f>
        <v/>
      </c>
      <c r="F276" s="134" t="str">
        <f>IFERROR(__xludf.DUMMYFUNCTION("IFERROR((FILTER(Data!K:K,Data!D:D=A276,Data!B:B=$B$1)),"""")"),"")</f>
        <v/>
      </c>
      <c r="G276" s="134" t="str">
        <f>IFERROR(__xludf.DUMMYFUNCTION("IFERROR((FILTER(Data!M:M,Data!D:D=A276,Data!B:B=$B$1)),"""")"),"")</f>
        <v/>
      </c>
      <c r="H276" s="134" t="str">
        <f>IFERROR(__xludf.DUMMYFUNCTION("IFERROR((FILTER(Data!G:G,Data!D:D=A276,Data!B:B=$B$1)*4)+(FILTER(Data!H:H,Data!D:D=A276,Data!B:B=$B$1)*2),"""")"),"")</f>
        <v/>
      </c>
      <c r="I276" s="15" t="str">
        <f>IFERROR(__xludf.DUMMYFUNCTION("IFERROR((FILTER(Data!K:K,Data!D:D=A276,Data!B:B=$B$1)*2)+(FILTER(Data!L:L,Data!D:D=A276,Data!B:B=$B$1)),"""")"),"")</f>
        <v/>
      </c>
      <c r="J276" s="134" t="str">
        <f>IFERROR(__xludf.DUMMYFUNCTION("IFERROR((FILTER(Data!N:N,Data!D:D=A276,Data!B:B=$B$1)),"""")"),"")</f>
        <v/>
      </c>
      <c r="K276" s="135" t="str">
        <f>IFERROR(__xludf.DUMMYFUNCTION("IFERROR((FILTER(Data!H:H,Data!D:D=A276,Data!B:B=$B$1)*2)+(FILTER(Data!L:L,Data!D:D=A276,Data!B:B=$B$1))+(FILTER(Data!G:G,Data!D:D=A276,Data!B:B=$B$1)*4)+(FILTER(Data!K:K,Data!D:D=A276,Data!B:B=$B$1)*2)+(((COUNTIF(FILTER(Data!N:N,Data!D:D=A276,Data!B:B=$B$"&amp;"1),""TRAVERSE"")*15)+(COUNTIF(FILTER(Data!N:N,Data!D:D=A276,Data!B:B=$B$1),""HIGH"")*10)+(COUNTIF(FILTER(Data!N:N,Data!D:D=A276,Data!B:B=$B$1),""MIDDLE"")*6)+(COUNTIF(FILTER(Data!N:N,Data!D:D=A276,Data!B:B=$B$1),""LOW"")*4))),"""")"),"")</f>
        <v/>
      </c>
      <c r="L276" s="136" t="str">
        <f>IFERROR(__xludf.DUMMYFUNCTION("IFERROR((FILTER(Data!P:P,Data!D:D=A276,Data!B:B=$B$1)),"""")"),"")</f>
        <v/>
      </c>
      <c r="M276" s="137" t="str">
        <f>IFERROR(__xludf.DUMMYFUNCTION("IFERROR((FILTER(Data!A:A,Data!D:D=A276,Data!B:B=$B$1)),"""")"),"")</f>
        <v/>
      </c>
      <c r="T276" s="52">
        <f>IFERROR(__xludf.DUMMYFUNCTION("((COUNTIF(FILTER(Data!N:N,Data!D:D=A276,Data!B:B=$B$1),""TRAVERSE"")*15)+(COUNTIF(FILTER(Data!N:N,Data!D:D=A276,Data!B:B=B$1),""HIGH"")*10)+(COUNTIF(FILTER(Data!N:N,Data!D:D=A276,Data!B:B=$B$1),""MIDDLE"")*6)+(COUNTIF(FILTER(Data!N:N,Data!D:D=A276,Data!B:"&amp;"B=$B$1),""LOW"")*4))"),0.0)</f>
        <v>0</v>
      </c>
      <c r="V276" s="138" t="str">
        <f>IF(Data!B268='Team Parser'!$B$1, Data!D268,"")</f>
        <v/>
      </c>
      <c r="W276" s="134" t="str">
        <f>IF(Data!$B268='Team Parser'!$B$1, Data!H268,"")</f>
        <v/>
      </c>
      <c r="X276" s="134" t="str">
        <f>IF(Data!$B268='Team Parser'!$B$1, Data!G268,"")</f>
        <v/>
      </c>
      <c r="Y276" s="134" t="str">
        <f>IF(Data!$B268='Team Parser'!$B$1, Data!L268,"")</f>
        <v/>
      </c>
      <c r="Z276" s="134" t="str">
        <f>IF(Data!$B268='Team Parser'!$B$1, Data!K268,"")</f>
        <v/>
      </c>
      <c r="AA276" s="134" t="str">
        <f>IF(Data!$B268='Team Parser'!$B$1, Data!M268,"")</f>
        <v/>
      </c>
      <c r="AB276" s="134" t="str">
        <f>IF(Data!$B268='Team Parser'!$B$1,((Z276*2)+(Y276)+(X276*4)+(W276*2)),"")</f>
        <v/>
      </c>
      <c r="AC276" s="134" t="str">
        <f>IF(Data!$B268='Team Parser'!$B$1, Data!N268,"")</f>
        <v/>
      </c>
      <c r="AD276" s="139" t="str">
        <f>IF(Data!$B268='Team Parser'!$B$1,(AB276+(COUNTIF(AC276,"TRAVERSE")*15)+(COUNTIF(AC276,"HIGH")*10)+(COUNTIF(AC276,"MIDDLE")*6)+(COUNTIF(AC276,"LOW")*4)),"")</f>
        <v/>
      </c>
    </row>
    <row r="277">
      <c r="A277" s="141" t="s">
        <v>507</v>
      </c>
      <c r="B277" s="134" t="str">
        <f>IFERROR(__xludf.DUMMYFUNCTION("IFERROR((FILTER(Data!H:H,Data!D:D=A277,Data!B:B=$B$1)),"""")"),"")</f>
        <v/>
      </c>
      <c r="C277" s="134" t="str">
        <f>IFERROR(__xludf.DUMMYFUNCTION("IFERROR((FILTER(Data!G:G,Data!D:D=A277,Data!B:B=$B$1)),"""")"),"")</f>
        <v/>
      </c>
      <c r="D277" s="134" t="str">
        <f>IFERROR(__xludf.DUMMYFUNCTION("IFERROR((FILTER(Data!J:J,Data!D:D=A277,Data!B:B=$B$1)),"""")"),"")</f>
        <v/>
      </c>
      <c r="E277" s="134" t="str">
        <f>IFERROR(__xludf.DUMMYFUNCTION("IFERROR((FILTER(Data!L:L,Data!D:D=A277,Data!B:B=$B$1)),"""")"),"")</f>
        <v/>
      </c>
      <c r="F277" s="134" t="str">
        <f>IFERROR(__xludf.DUMMYFUNCTION("IFERROR((FILTER(Data!K:K,Data!D:D=A277,Data!B:B=$B$1)),"""")"),"")</f>
        <v/>
      </c>
      <c r="G277" s="134" t="str">
        <f>IFERROR(__xludf.DUMMYFUNCTION("IFERROR((FILTER(Data!M:M,Data!D:D=A277,Data!B:B=$B$1)),"""")"),"")</f>
        <v/>
      </c>
      <c r="H277" s="134" t="str">
        <f>IFERROR(__xludf.DUMMYFUNCTION("IFERROR((FILTER(Data!G:G,Data!D:D=A277,Data!B:B=$B$1)*4)+(FILTER(Data!H:H,Data!D:D=A277,Data!B:B=$B$1)*2),"""")"),"")</f>
        <v/>
      </c>
      <c r="I277" s="15" t="str">
        <f>IFERROR(__xludf.DUMMYFUNCTION("IFERROR((FILTER(Data!K:K,Data!D:D=A277,Data!B:B=$B$1)*2)+(FILTER(Data!L:L,Data!D:D=A277,Data!B:B=$B$1)),"""")"),"")</f>
        <v/>
      </c>
      <c r="J277" s="134" t="str">
        <f>IFERROR(__xludf.DUMMYFUNCTION("IFERROR((FILTER(Data!N:N,Data!D:D=A277,Data!B:B=$B$1)),"""")"),"")</f>
        <v/>
      </c>
      <c r="K277" s="135" t="str">
        <f>IFERROR(__xludf.DUMMYFUNCTION("IFERROR((FILTER(Data!H:H,Data!D:D=A277,Data!B:B=$B$1)*2)+(FILTER(Data!L:L,Data!D:D=A277,Data!B:B=$B$1))+(FILTER(Data!G:G,Data!D:D=A277,Data!B:B=$B$1)*4)+(FILTER(Data!K:K,Data!D:D=A277,Data!B:B=$B$1)*2)+(((COUNTIF(FILTER(Data!N:N,Data!D:D=A277,Data!B:B=$B$"&amp;"1),""TRAVERSE"")*15)+(COUNTIF(FILTER(Data!N:N,Data!D:D=A277,Data!B:B=$B$1),""HIGH"")*10)+(COUNTIF(FILTER(Data!N:N,Data!D:D=A277,Data!B:B=$B$1),""MIDDLE"")*6)+(COUNTIF(FILTER(Data!N:N,Data!D:D=A277,Data!B:B=$B$1),""LOW"")*4))),"""")"),"")</f>
        <v/>
      </c>
      <c r="L277" s="136" t="str">
        <f>IFERROR(__xludf.DUMMYFUNCTION("IFERROR((FILTER(Data!P:P,Data!D:D=A277,Data!B:B=$B$1)),"""")"),"")</f>
        <v/>
      </c>
      <c r="M277" s="137" t="str">
        <f>IFERROR(__xludf.DUMMYFUNCTION("IFERROR((FILTER(Data!A:A,Data!D:D=A277,Data!B:B=$B$1)),"""")"),"")</f>
        <v/>
      </c>
      <c r="T277" s="52">
        <f>IFERROR(__xludf.DUMMYFUNCTION("((COUNTIF(FILTER(Data!N:N,Data!D:D=A277,Data!B:B=$B$1),""TRAVERSE"")*15)+(COUNTIF(FILTER(Data!N:N,Data!D:D=A277,Data!B:B=B$1),""HIGH"")*10)+(COUNTIF(FILTER(Data!N:N,Data!D:D=A277,Data!B:B=$B$1),""MIDDLE"")*6)+(COUNTIF(FILTER(Data!N:N,Data!D:D=A277,Data!B:"&amp;"B=$B$1),""LOW"")*4))"),0.0)</f>
        <v>0</v>
      </c>
      <c r="V277" s="138" t="str">
        <f>IF(Data!B269='Team Parser'!$B$1, Data!D269,"")</f>
        <v/>
      </c>
      <c r="W277" s="134" t="str">
        <f>IF(Data!$B269='Team Parser'!$B$1, Data!H269,"")</f>
        <v/>
      </c>
      <c r="X277" s="134" t="str">
        <f>IF(Data!$B269='Team Parser'!$B$1, Data!G269,"")</f>
        <v/>
      </c>
      <c r="Y277" s="134" t="str">
        <f>IF(Data!$B269='Team Parser'!$B$1, Data!L269,"")</f>
        <v/>
      </c>
      <c r="Z277" s="134" t="str">
        <f>IF(Data!$B269='Team Parser'!$B$1, Data!K269,"")</f>
        <v/>
      </c>
      <c r="AA277" s="134" t="str">
        <f>IF(Data!$B269='Team Parser'!$B$1, Data!M269,"")</f>
        <v/>
      </c>
      <c r="AB277" s="134" t="str">
        <f>IF(Data!$B269='Team Parser'!$B$1,((Z277*2)+(Y277)+(X277*4)+(W277*2)),"")</f>
        <v/>
      </c>
      <c r="AC277" s="134" t="str">
        <f>IF(Data!$B269='Team Parser'!$B$1, Data!N269,"")</f>
        <v/>
      </c>
      <c r="AD277" s="139" t="str">
        <f>IF(Data!$B269='Team Parser'!$B$1,(AB277+(COUNTIF(AC277,"TRAVERSE")*15)+(COUNTIF(AC277,"HIGH")*10)+(COUNTIF(AC277,"MIDDLE")*6)+(COUNTIF(AC277,"LOW")*4)),"")</f>
        <v/>
      </c>
    </row>
    <row r="278">
      <c r="A278" s="141" t="s">
        <v>507</v>
      </c>
      <c r="B278" s="134" t="str">
        <f>IFERROR(__xludf.DUMMYFUNCTION("IFERROR((FILTER(Data!H:H,Data!D:D=A278,Data!B:B=$B$1)),"""")"),"")</f>
        <v/>
      </c>
      <c r="C278" s="134" t="str">
        <f>IFERROR(__xludf.DUMMYFUNCTION("IFERROR((FILTER(Data!G:G,Data!D:D=A278,Data!B:B=$B$1)),"""")"),"")</f>
        <v/>
      </c>
      <c r="D278" s="134" t="str">
        <f>IFERROR(__xludf.DUMMYFUNCTION("IFERROR((FILTER(Data!J:J,Data!D:D=A278,Data!B:B=$B$1)),"""")"),"")</f>
        <v/>
      </c>
      <c r="E278" s="134" t="str">
        <f>IFERROR(__xludf.DUMMYFUNCTION("IFERROR((FILTER(Data!L:L,Data!D:D=A278,Data!B:B=$B$1)),"""")"),"")</f>
        <v/>
      </c>
      <c r="F278" s="134" t="str">
        <f>IFERROR(__xludf.DUMMYFUNCTION("IFERROR((FILTER(Data!K:K,Data!D:D=A278,Data!B:B=$B$1)),"""")"),"")</f>
        <v/>
      </c>
      <c r="G278" s="134" t="str">
        <f>IFERROR(__xludf.DUMMYFUNCTION("IFERROR((FILTER(Data!M:M,Data!D:D=A278,Data!B:B=$B$1)),"""")"),"")</f>
        <v/>
      </c>
      <c r="H278" s="134" t="str">
        <f>IFERROR(__xludf.DUMMYFUNCTION("IFERROR((FILTER(Data!G:G,Data!D:D=A278,Data!B:B=$B$1)*4)+(FILTER(Data!H:H,Data!D:D=A278,Data!B:B=$B$1)*2),"""")"),"")</f>
        <v/>
      </c>
      <c r="I278" s="15" t="str">
        <f>IFERROR(__xludf.DUMMYFUNCTION("IFERROR((FILTER(Data!K:K,Data!D:D=A278,Data!B:B=$B$1)*2)+(FILTER(Data!L:L,Data!D:D=A278,Data!B:B=$B$1)),"""")"),"")</f>
        <v/>
      </c>
      <c r="J278" s="134" t="str">
        <f>IFERROR(__xludf.DUMMYFUNCTION("IFERROR((FILTER(Data!N:N,Data!D:D=A278,Data!B:B=$B$1)),"""")"),"")</f>
        <v/>
      </c>
      <c r="K278" s="135" t="str">
        <f>IFERROR(__xludf.DUMMYFUNCTION("IFERROR((FILTER(Data!H:H,Data!D:D=A278,Data!B:B=$B$1)*2)+(FILTER(Data!L:L,Data!D:D=A278,Data!B:B=$B$1))+(FILTER(Data!G:G,Data!D:D=A278,Data!B:B=$B$1)*4)+(FILTER(Data!K:K,Data!D:D=A278,Data!B:B=$B$1)*2)+(((COUNTIF(FILTER(Data!N:N,Data!D:D=A278,Data!B:B=$B$"&amp;"1),""TRAVERSE"")*15)+(COUNTIF(FILTER(Data!N:N,Data!D:D=A278,Data!B:B=$B$1),""HIGH"")*10)+(COUNTIF(FILTER(Data!N:N,Data!D:D=A278,Data!B:B=$B$1),""MIDDLE"")*6)+(COUNTIF(FILTER(Data!N:N,Data!D:D=A278,Data!B:B=$B$1),""LOW"")*4))),"""")"),"")</f>
        <v/>
      </c>
      <c r="L278" s="136" t="str">
        <f>IFERROR(__xludf.DUMMYFUNCTION("IFERROR((FILTER(Data!P:P,Data!D:D=A278,Data!B:B=$B$1)),"""")"),"")</f>
        <v/>
      </c>
      <c r="M278" s="137" t="str">
        <f>IFERROR(__xludf.DUMMYFUNCTION("IFERROR((FILTER(Data!A:A,Data!D:D=A278,Data!B:B=$B$1)),"""")"),"")</f>
        <v/>
      </c>
      <c r="T278" s="52">
        <f>IFERROR(__xludf.DUMMYFUNCTION("((COUNTIF(FILTER(Data!N:N,Data!D:D=A278,Data!B:B=$B$1),""TRAVERSE"")*15)+(COUNTIF(FILTER(Data!N:N,Data!D:D=A278,Data!B:B=B$1),""HIGH"")*10)+(COUNTIF(FILTER(Data!N:N,Data!D:D=A278,Data!B:B=$B$1),""MIDDLE"")*6)+(COUNTIF(FILTER(Data!N:N,Data!D:D=A278,Data!B:"&amp;"B=$B$1),""LOW"")*4))"),0.0)</f>
        <v>0</v>
      </c>
      <c r="V278" s="138" t="str">
        <f>IF(Data!B270='Team Parser'!$B$1, Data!D270,"")</f>
        <v/>
      </c>
      <c r="W278" s="134" t="str">
        <f>IF(Data!$B270='Team Parser'!$B$1, Data!H270,"")</f>
        <v/>
      </c>
      <c r="X278" s="134" t="str">
        <f>IF(Data!$B270='Team Parser'!$B$1, Data!G270,"")</f>
        <v/>
      </c>
      <c r="Y278" s="134" t="str">
        <f>IF(Data!$B270='Team Parser'!$B$1, Data!L270,"")</f>
        <v/>
      </c>
      <c r="Z278" s="134" t="str">
        <f>IF(Data!$B270='Team Parser'!$B$1, Data!K270,"")</f>
        <v/>
      </c>
      <c r="AA278" s="134" t="str">
        <f>IF(Data!$B270='Team Parser'!$B$1, Data!M270,"")</f>
        <v/>
      </c>
      <c r="AB278" s="134" t="str">
        <f>IF(Data!$B270='Team Parser'!$B$1,((Z278*2)+(Y278)+(X278*4)+(W278*2)),"")</f>
        <v/>
      </c>
      <c r="AC278" s="134" t="str">
        <f>IF(Data!$B270='Team Parser'!$B$1, Data!N270,"")</f>
        <v/>
      </c>
      <c r="AD278" s="139" t="str">
        <f>IF(Data!$B270='Team Parser'!$B$1,(AB278+(COUNTIF(AC278,"TRAVERSE")*15)+(COUNTIF(AC278,"HIGH")*10)+(COUNTIF(AC278,"MIDDLE")*6)+(COUNTIF(AC278,"LOW")*4)),"")</f>
        <v/>
      </c>
    </row>
    <row r="279">
      <c r="A279" s="141" t="s">
        <v>507</v>
      </c>
      <c r="B279" s="134" t="str">
        <f>IFERROR(__xludf.DUMMYFUNCTION("IFERROR((FILTER(Data!H:H,Data!D:D=A279,Data!B:B=$B$1)),"""")"),"")</f>
        <v/>
      </c>
      <c r="C279" s="134" t="str">
        <f>IFERROR(__xludf.DUMMYFUNCTION("IFERROR((FILTER(Data!G:G,Data!D:D=A279,Data!B:B=$B$1)),"""")"),"")</f>
        <v/>
      </c>
      <c r="D279" s="134" t="str">
        <f>IFERROR(__xludf.DUMMYFUNCTION("IFERROR((FILTER(Data!J:J,Data!D:D=A279,Data!B:B=$B$1)),"""")"),"")</f>
        <v/>
      </c>
      <c r="E279" s="134" t="str">
        <f>IFERROR(__xludf.DUMMYFUNCTION("IFERROR((FILTER(Data!L:L,Data!D:D=A279,Data!B:B=$B$1)),"""")"),"")</f>
        <v/>
      </c>
      <c r="F279" s="134" t="str">
        <f>IFERROR(__xludf.DUMMYFUNCTION("IFERROR((FILTER(Data!K:K,Data!D:D=A279,Data!B:B=$B$1)),"""")"),"")</f>
        <v/>
      </c>
      <c r="G279" s="134" t="str">
        <f>IFERROR(__xludf.DUMMYFUNCTION("IFERROR((FILTER(Data!M:M,Data!D:D=A279,Data!B:B=$B$1)),"""")"),"")</f>
        <v/>
      </c>
      <c r="H279" s="134" t="str">
        <f>IFERROR(__xludf.DUMMYFUNCTION("IFERROR((FILTER(Data!G:G,Data!D:D=A279,Data!B:B=$B$1)*4)+(FILTER(Data!H:H,Data!D:D=A279,Data!B:B=$B$1)*2),"""")"),"")</f>
        <v/>
      </c>
      <c r="I279" s="15" t="str">
        <f>IFERROR(__xludf.DUMMYFUNCTION("IFERROR((FILTER(Data!K:K,Data!D:D=A279,Data!B:B=$B$1)*2)+(FILTER(Data!L:L,Data!D:D=A279,Data!B:B=$B$1)),"""")"),"")</f>
        <v/>
      </c>
      <c r="J279" s="134" t="str">
        <f>IFERROR(__xludf.DUMMYFUNCTION("IFERROR((FILTER(Data!N:N,Data!D:D=A279,Data!B:B=$B$1)),"""")"),"")</f>
        <v/>
      </c>
      <c r="K279" s="135" t="str">
        <f>IFERROR(__xludf.DUMMYFUNCTION("IFERROR((FILTER(Data!H:H,Data!D:D=A279,Data!B:B=$B$1)*2)+(FILTER(Data!L:L,Data!D:D=A279,Data!B:B=$B$1))+(FILTER(Data!G:G,Data!D:D=A279,Data!B:B=$B$1)*4)+(FILTER(Data!K:K,Data!D:D=A279,Data!B:B=$B$1)*2)+(((COUNTIF(FILTER(Data!N:N,Data!D:D=A279,Data!B:B=$B$"&amp;"1),""TRAVERSE"")*15)+(COUNTIF(FILTER(Data!N:N,Data!D:D=A279,Data!B:B=$B$1),""HIGH"")*10)+(COUNTIF(FILTER(Data!N:N,Data!D:D=A279,Data!B:B=$B$1),""MIDDLE"")*6)+(COUNTIF(FILTER(Data!N:N,Data!D:D=A279,Data!B:B=$B$1),""LOW"")*4))),"""")"),"")</f>
        <v/>
      </c>
      <c r="L279" s="136" t="str">
        <f>IFERROR(__xludf.DUMMYFUNCTION("IFERROR((FILTER(Data!P:P,Data!D:D=A279,Data!B:B=$B$1)),"""")"),"")</f>
        <v/>
      </c>
      <c r="M279" s="137" t="str">
        <f>IFERROR(__xludf.DUMMYFUNCTION("IFERROR((FILTER(Data!A:A,Data!D:D=A279,Data!B:B=$B$1)),"""")"),"")</f>
        <v/>
      </c>
      <c r="T279" s="52">
        <f>IFERROR(__xludf.DUMMYFUNCTION("((COUNTIF(FILTER(Data!N:N,Data!D:D=A279,Data!B:B=$B$1),""TRAVERSE"")*15)+(COUNTIF(FILTER(Data!N:N,Data!D:D=A279,Data!B:B=B$1),""HIGH"")*10)+(COUNTIF(FILTER(Data!N:N,Data!D:D=A279,Data!B:B=$B$1),""MIDDLE"")*6)+(COUNTIF(FILTER(Data!N:N,Data!D:D=A279,Data!B:"&amp;"B=$B$1),""LOW"")*4))"),0.0)</f>
        <v>0</v>
      </c>
      <c r="V279" s="138" t="str">
        <f>IF(Data!B271='Team Parser'!$B$1, Data!D271,"")</f>
        <v/>
      </c>
      <c r="W279" s="134" t="str">
        <f>IF(Data!$B271='Team Parser'!$B$1, Data!H271,"")</f>
        <v/>
      </c>
      <c r="X279" s="134" t="str">
        <f>IF(Data!$B271='Team Parser'!$B$1, Data!G271,"")</f>
        <v/>
      </c>
      <c r="Y279" s="134" t="str">
        <f>IF(Data!$B271='Team Parser'!$B$1, Data!L271,"")</f>
        <v/>
      </c>
      <c r="Z279" s="134" t="str">
        <f>IF(Data!$B271='Team Parser'!$B$1, Data!K271,"")</f>
        <v/>
      </c>
      <c r="AA279" s="134" t="str">
        <f>IF(Data!$B271='Team Parser'!$B$1, Data!M271,"")</f>
        <v/>
      </c>
      <c r="AB279" s="134" t="str">
        <f>IF(Data!$B271='Team Parser'!$B$1,((Z279*2)+(Y279)+(X279*4)+(W279*2)),"")</f>
        <v/>
      </c>
      <c r="AC279" s="134" t="str">
        <f>IF(Data!$B271='Team Parser'!$B$1, Data!N271,"")</f>
        <v/>
      </c>
      <c r="AD279" s="139" t="str">
        <f>IF(Data!$B271='Team Parser'!$B$1,(AB279+(COUNTIF(AC279,"TRAVERSE")*15)+(COUNTIF(AC279,"HIGH")*10)+(COUNTIF(AC279,"MIDDLE")*6)+(COUNTIF(AC279,"LOW")*4)),"")</f>
        <v/>
      </c>
    </row>
    <row r="280">
      <c r="A280" s="141" t="s">
        <v>507</v>
      </c>
      <c r="B280" s="134" t="str">
        <f>IFERROR(__xludf.DUMMYFUNCTION("IFERROR((FILTER(Data!H:H,Data!D:D=A280,Data!B:B=$B$1)),"""")"),"")</f>
        <v/>
      </c>
      <c r="C280" s="134" t="str">
        <f>IFERROR(__xludf.DUMMYFUNCTION("IFERROR((FILTER(Data!G:G,Data!D:D=A280,Data!B:B=$B$1)),"""")"),"")</f>
        <v/>
      </c>
      <c r="D280" s="134" t="str">
        <f>IFERROR(__xludf.DUMMYFUNCTION("IFERROR((FILTER(Data!J:J,Data!D:D=A280,Data!B:B=$B$1)),"""")"),"")</f>
        <v/>
      </c>
      <c r="E280" s="134" t="str">
        <f>IFERROR(__xludf.DUMMYFUNCTION("IFERROR((FILTER(Data!L:L,Data!D:D=A280,Data!B:B=$B$1)),"""")"),"")</f>
        <v/>
      </c>
      <c r="F280" s="134" t="str">
        <f>IFERROR(__xludf.DUMMYFUNCTION("IFERROR((FILTER(Data!K:K,Data!D:D=A280,Data!B:B=$B$1)),"""")"),"")</f>
        <v/>
      </c>
      <c r="G280" s="134" t="str">
        <f>IFERROR(__xludf.DUMMYFUNCTION("IFERROR((FILTER(Data!M:M,Data!D:D=A280,Data!B:B=$B$1)),"""")"),"")</f>
        <v/>
      </c>
      <c r="H280" s="134" t="str">
        <f>IFERROR(__xludf.DUMMYFUNCTION("IFERROR((FILTER(Data!G:G,Data!D:D=A280,Data!B:B=$B$1)*4)+(FILTER(Data!H:H,Data!D:D=A280,Data!B:B=$B$1)*2),"""")"),"")</f>
        <v/>
      </c>
      <c r="I280" s="15" t="str">
        <f>IFERROR(__xludf.DUMMYFUNCTION("IFERROR((FILTER(Data!K:K,Data!D:D=A280,Data!B:B=$B$1)*2)+(FILTER(Data!L:L,Data!D:D=A280,Data!B:B=$B$1)),"""")"),"")</f>
        <v/>
      </c>
      <c r="J280" s="134" t="str">
        <f>IFERROR(__xludf.DUMMYFUNCTION("IFERROR((FILTER(Data!N:N,Data!D:D=A280,Data!B:B=$B$1)),"""")"),"")</f>
        <v/>
      </c>
      <c r="K280" s="135" t="str">
        <f>IFERROR(__xludf.DUMMYFUNCTION("IFERROR((FILTER(Data!H:H,Data!D:D=A280,Data!B:B=$B$1)*2)+(FILTER(Data!L:L,Data!D:D=A280,Data!B:B=$B$1))+(FILTER(Data!G:G,Data!D:D=A280,Data!B:B=$B$1)*4)+(FILTER(Data!K:K,Data!D:D=A280,Data!B:B=$B$1)*2)+(((COUNTIF(FILTER(Data!N:N,Data!D:D=A280,Data!B:B=$B$"&amp;"1),""TRAVERSE"")*15)+(COUNTIF(FILTER(Data!N:N,Data!D:D=A280,Data!B:B=$B$1),""HIGH"")*10)+(COUNTIF(FILTER(Data!N:N,Data!D:D=A280,Data!B:B=$B$1),""MIDDLE"")*6)+(COUNTIF(FILTER(Data!N:N,Data!D:D=A280,Data!B:B=$B$1),""LOW"")*4))),"""")"),"")</f>
        <v/>
      </c>
      <c r="L280" s="136" t="str">
        <f>IFERROR(__xludf.DUMMYFUNCTION("IFERROR((FILTER(Data!P:P,Data!D:D=A280,Data!B:B=$B$1)),"""")"),"")</f>
        <v/>
      </c>
      <c r="M280" s="137" t="str">
        <f>IFERROR(__xludf.DUMMYFUNCTION("IFERROR((FILTER(Data!A:A,Data!D:D=A280,Data!B:B=$B$1)),"""")"),"")</f>
        <v/>
      </c>
      <c r="T280" s="52">
        <f>IFERROR(__xludf.DUMMYFUNCTION("((COUNTIF(FILTER(Data!N:N,Data!D:D=A280,Data!B:B=$B$1),""TRAVERSE"")*15)+(COUNTIF(FILTER(Data!N:N,Data!D:D=A280,Data!B:B=B$1),""HIGH"")*10)+(COUNTIF(FILTER(Data!N:N,Data!D:D=A280,Data!B:B=$B$1),""MIDDLE"")*6)+(COUNTIF(FILTER(Data!N:N,Data!D:D=A280,Data!B:"&amp;"B=$B$1),""LOW"")*4))"),0.0)</f>
        <v>0</v>
      </c>
      <c r="V280" s="138" t="str">
        <f>IF(Data!B272='Team Parser'!$B$1, Data!D272,"")</f>
        <v/>
      </c>
      <c r="W280" s="134" t="str">
        <f>IF(Data!$B272='Team Parser'!$B$1, Data!H272,"")</f>
        <v/>
      </c>
      <c r="X280" s="134" t="str">
        <f>IF(Data!$B272='Team Parser'!$B$1, Data!G272,"")</f>
        <v/>
      </c>
      <c r="Y280" s="134" t="str">
        <f>IF(Data!$B272='Team Parser'!$B$1, Data!L272,"")</f>
        <v/>
      </c>
      <c r="Z280" s="134" t="str">
        <f>IF(Data!$B272='Team Parser'!$B$1, Data!K272,"")</f>
        <v/>
      </c>
      <c r="AA280" s="134" t="str">
        <f>IF(Data!$B272='Team Parser'!$B$1, Data!M272,"")</f>
        <v/>
      </c>
      <c r="AB280" s="134" t="str">
        <f>IF(Data!$B272='Team Parser'!$B$1,((Z280*2)+(Y280)+(X280*4)+(W280*2)),"")</f>
        <v/>
      </c>
      <c r="AC280" s="134" t="str">
        <f>IF(Data!$B272='Team Parser'!$B$1, Data!N272,"")</f>
        <v/>
      </c>
      <c r="AD280" s="139" t="str">
        <f>IF(Data!$B272='Team Parser'!$B$1,(AB280+(COUNTIF(AC280,"TRAVERSE")*15)+(COUNTIF(AC280,"HIGH")*10)+(COUNTIF(AC280,"MIDDLE")*6)+(COUNTIF(AC280,"LOW")*4)),"")</f>
        <v/>
      </c>
    </row>
    <row r="281">
      <c r="A281" s="141" t="s">
        <v>507</v>
      </c>
      <c r="B281" s="134" t="str">
        <f>IFERROR(__xludf.DUMMYFUNCTION("IFERROR((FILTER(Data!H:H,Data!D:D=A281,Data!B:B=$B$1)),"""")"),"")</f>
        <v/>
      </c>
      <c r="C281" s="134" t="str">
        <f>IFERROR(__xludf.DUMMYFUNCTION("IFERROR((FILTER(Data!G:G,Data!D:D=A281,Data!B:B=$B$1)),"""")"),"")</f>
        <v/>
      </c>
      <c r="D281" s="134" t="str">
        <f>IFERROR(__xludf.DUMMYFUNCTION("IFERROR((FILTER(Data!J:J,Data!D:D=A281,Data!B:B=$B$1)),"""")"),"")</f>
        <v/>
      </c>
      <c r="E281" s="134" t="str">
        <f>IFERROR(__xludf.DUMMYFUNCTION("IFERROR((FILTER(Data!L:L,Data!D:D=A281,Data!B:B=$B$1)),"""")"),"")</f>
        <v/>
      </c>
      <c r="F281" s="134" t="str">
        <f>IFERROR(__xludf.DUMMYFUNCTION("IFERROR((FILTER(Data!K:K,Data!D:D=A281,Data!B:B=$B$1)),"""")"),"")</f>
        <v/>
      </c>
      <c r="G281" s="134" t="str">
        <f>IFERROR(__xludf.DUMMYFUNCTION("IFERROR((FILTER(Data!M:M,Data!D:D=A281,Data!B:B=$B$1)),"""")"),"")</f>
        <v/>
      </c>
      <c r="H281" s="134" t="str">
        <f>IFERROR(__xludf.DUMMYFUNCTION("IFERROR((FILTER(Data!G:G,Data!D:D=A281,Data!B:B=$B$1)*4)+(FILTER(Data!H:H,Data!D:D=A281,Data!B:B=$B$1)*2),"""")"),"")</f>
        <v/>
      </c>
      <c r="I281" s="15" t="str">
        <f>IFERROR(__xludf.DUMMYFUNCTION("IFERROR((FILTER(Data!K:K,Data!D:D=A281,Data!B:B=$B$1)*2)+(FILTER(Data!L:L,Data!D:D=A281,Data!B:B=$B$1)),"""")"),"")</f>
        <v/>
      </c>
      <c r="J281" s="134" t="str">
        <f>IFERROR(__xludf.DUMMYFUNCTION("IFERROR((FILTER(Data!N:N,Data!D:D=A281,Data!B:B=$B$1)),"""")"),"")</f>
        <v/>
      </c>
      <c r="K281" s="135" t="str">
        <f>IFERROR(__xludf.DUMMYFUNCTION("IFERROR((FILTER(Data!H:H,Data!D:D=A281,Data!B:B=$B$1)*2)+(FILTER(Data!L:L,Data!D:D=A281,Data!B:B=$B$1))+(FILTER(Data!G:G,Data!D:D=A281,Data!B:B=$B$1)*4)+(FILTER(Data!K:K,Data!D:D=A281,Data!B:B=$B$1)*2)+(((COUNTIF(FILTER(Data!N:N,Data!D:D=A281,Data!B:B=$B$"&amp;"1),""TRAVERSE"")*15)+(COUNTIF(FILTER(Data!N:N,Data!D:D=A281,Data!B:B=$B$1),""HIGH"")*10)+(COUNTIF(FILTER(Data!N:N,Data!D:D=A281,Data!B:B=$B$1),""MIDDLE"")*6)+(COUNTIF(FILTER(Data!N:N,Data!D:D=A281,Data!B:B=$B$1),""LOW"")*4))),"""")"),"")</f>
        <v/>
      </c>
      <c r="L281" s="136" t="str">
        <f>IFERROR(__xludf.DUMMYFUNCTION("IFERROR((FILTER(Data!P:P,Data!D:D=A281,Data!B:B=$B$1)),"""")"),"")</f>
        <v/>
      </c>
      <c r="M281" s="137" t="str">
        <f>IFERROR(__xludf.DUMMYFUNCTION("IFERROR((FILTER(Data!A:A,Data!D:D=A281,Data!B:B=$B$1)),"""")"),"")</f>
        <v/>
      </c>
      <c r="T281" s="52">
        <f>IFERROR(__xludf.DUMMYFUNCTION("((COUNTIF(FILTER(Data!N:N,Data!D:D=A281,Data!B:B=$B$1),""TRAVERSE"")*15)+(COUNTIF(FILTER(Data!N:N,Data!D:D=A281,Data!B:B=B$1),""HIGH"")*10)+(COUNTIF(FILTER(Data!N:N,Data!D:D=A281,Data!B:B=$B$1),""MIDDLE"")*6)+(COUNTIF(FILTER(Data!N:N,Data!D:D=A281,Data!B:"&amp;"B=$B$1),""LOW"")*4))"),0.0)</f>
        <v>0</v>
      </c>
      <c r="V281" s="138" t="str">
        <f>IF(Data!B273='Team Parser'!$B$1, Data!D273,"")</f>
        <v/>
      </c>
      <c r="W281" s="134" t="str">
        <f>IF(Data!$B273='Team Parser'!$B$1, Data!H273,"")</f>
        <v/>
      </c>
      <c r="X281" s="134" t="str">
        <f>IF(Data!$B273='Team Parser'!$B$1, Data!G273,"")</f>
        <v/>
      </c>
      <c r="Y281" s="134" t="str">
        <f>IF(Data!$B273='Team Parser'!$B$1, Data!L273,"")</f>
        <v/>
      </c>
      <c r="Z281" s="134" t="str">
        <f>IF(Data!$B273='Team Parser'!$B$1, Data!K273,"")</f>
        <v/>
      </c>
      <c r="AA281" s="134" t="str">
        <f>IF(Data!$B273='Team Parser'!$B$1, Data!M273,"")</f>
        <v/>
      </c>
      <c r="AB281" s="134" t="str">
        <f>IF(Data!$B273='Team Parser'!$B$1,((Z281*2)+(Y281)+(X281*4)+(W281*2)),"")</f>
        <v/>
      </c>
      <c r="AC281" s="134" t="str">
        <f>IF(Data!$B273='Team Parser'!$B$1, Data!N273,"")</f>
        <v/>
      </c>
      <c r="AD281" s="139" t="str">
        <f>IF(Data!$B273='Team Parser'!$B$1,(AB281+(COUNTIF(AC281,"TRAVERSE")*15)+(COUNTIF(AC281,"HIGH")*10)+(COUNTIF(AC281,"MIDDLE")*6)+(COUNTIF(AC281,"LOW")*4)),"")</f>
        <v/>
      </c>
    </row>
    <row r="282">
      <c r="A282" s="141" t="s">
        <v>507</v>
      </c>
      <c r="B282" s="134" t="str">
        <f>IFERROR(__xludf.DUMMYFUNCTION("IFERROR((FILTER(Data!H:H,Data!D:D=A282,Data!B:B=$B$1)),"""")"),"")</f>
        <v/>
      </c>
      <c r="C282" s="134" t="str">
        <f>IFERROR(__xludf.DUMMYFUNCTION("IFERROR((FILTER(Data!G:G,Data!D:D=A282,Data!B:B=$B$1)),"""")"),"")</f>
        <v/>
      </c>
      <c r="D282" s="134" t="str">
        <f>IFERROR(__xludf.DUMMYFUNCTION("IFERROR((FILTER(Data!J:J,Data!D:D=A282,Data!B:B=$B$1)),"""")"),"")</f>
        <v/>
      </c>
      <c r="E282" s="134" t="str">
        <f>IFERROR(__xludf.DUMMYFUNCTION("IFERROR((FILTER(Data!L:L,Data!D:D=A282,Data!B:B=$B$1)),"""")"),"")</f>
        <v/>
      </c>
      <c r="F282" s="134" t="str">
        <f>IFERROR(__xludf.DUMMYFUNCTION("IFERROR((FILTER(Data!K:K,Data!D:D=A282,Data!B:B=$B$1)),"""")"),"")</f>
        <v/>
      </c>
      <c r="G282" s="134" t="str">
        <f>IFERROR(__xludf.DUMMYFUNCTION("IFERROR((FILTER(Data!M:M,Data!D:D=A282,Data!B:B=$B$1)),"""")"),"")</f>
        <v/>
      </c>
      <c r="H282" s="134" t="str">
        <f>IFERROR(__xludf.DUMMYFUNCTION("IFERROR((FILTER(Data!G:G,Data!D:D=A282,Data!B:B=$B$1)*4)+(FILTER(Data!H:H,Data!D:D=A282,Data!B:B=$B$1)*2),"""")"),"")</f>
        <v/>
      </c>
      <c r="I282" s="15" t="str">
        <f>IFERROR(__xludf.DUMMYFUNCTION("IFERROR((FILTER(Data!K:K,Data!D:D=A282,Data!B:B=$B$1)*2)+(FILTER(Data!L:L,Data!D:D=A282,Data!B:B=$B$1)),"""")"),"")</f>
        <v/>
      </c>
      <c r="J282" s="134" t="str">
        <f>IFERROR(__xludf.DUMMYFUNCTION("IFERROR((FILTER(Data!N:N,Data!D:D=A282,Data!B:B=$B$1)),"""")"),"")</f>
        <v/>
      </c>
      <c r="K282" s="135" t="str">
        <f>IFERROR(__xludf.DUMMYFUNCTION("IFERROR((FILTER(Data!H:H,Data!D:D=A282,Data!B:B=$B$1)*2)+(FILTER(Data!L:L,Data!D:D=A282,Data!B:B=$B$1))+(FILTER(Data!G:G,Data!D:D=A282,Data!B:B=$B$1)*4)+(FILTER(Data!K:K,Data!D:D=A282,Data!B:B=$B$1)*2)+(((COUNTIF(FILTER(Data!N:N,Data!D:D=A282,Data!B:B=$B$"&amp;"1),""TRAVERSE"")*15)+(COUNTIF(FILTER(Data!N:N,Data!D:D=A282,Data!B:B=$B$1),""HIGH"")*10)+(COUNTIF(FILTER(Data!N:N,Data!D:D=A282,Data!B:B=$B$1),""MIDDLE"")*6)+(COUNTIF(FILTER(Data!N:N,Data!D:D=A282,Data!B:B=$B$1),""LOW"")*4))),"""")"),"")</f>
        <v/>
      </c>
      <c r="L282" s="136" t="str">
        <f>IFERROR(__xludf.DUMMYFUNCTION("IFERROR((FILTER(Data!P:P,Data!D:D=A282,Data!B:B=$B$1)),"""")"),"")</f>
        <v/>
      </c>
      <c r="M282" s="137" t="str">
        <f>IFERROR(__xludf.DUMMYFUNCTION("IFERROR((FILTER(Data!A:A,Data!D:D=A282,Data!B:B=$B$1)),"""")"),"")</f>
        <v/>
      </c>
      <c r="T282" s="52">
        <f>IFERROR(__xludf.DUMMYFUNCTION("((COUNTIF(FILTER(Data!N:N,Data!D:D=A282,Data!B:B=$B$1),""TRAVERSE"")*15)+(COUNTIF(FILTER(Data!N:N,Data!D:D=A282,Data!B:B=B$1),""HIGH"")*10)+(COUNTIF(FILTER(Data!N:N,Data!D:D=A282,Data!B:B=$B$1),""MIDDLE"")*6)+(COUNTIF(FILTER(Data!N:N,Data!D:D=A282,Data!B:"&amp;"B=$B$1),""LOW"")*4))"),0.0)</f>
        <v>0</v>
      </c>
      <c r="V282" s="138" t="str">
        <f>IF(Data!B274='Team Parser'!$B$1, Data!D274,"")</f>
        <v/>
      </c>
      <c r="W282" s="134" t="str">
        <f>IF(Data!$B274='Team Parser'!$B$1, Data!H274,"")</f>
        <v/>
      </c>
      <c r="X282" s="134" t="str">
        <f>IF(Data!$B274='Team Parser'!$B$1, Data!G274,"")</f>
        <v/>
      </c>
      <c r="Y282" s="134" t="str">
        <f>IF(Data!$B274='Team Parser'!$B$1, Data!L274,"")</f>
        <v/>
      </c>
      <c r="Z282" s="134" t="str">
        <f>IF(Data!$B274='Team Parser'!$B$1, Data!K274,"")</f>
        <v/>
      </c>
      <c r="AA282" s="134" t="str">
        <f>IF(Data!$B274='Team Parser'!$B$1, Data!M274,"")</f>
        <v/>
      </c>
      <c r="AB282" s="134" t="str">
        <f>IF(Data!$B274='Team Parser'!$B$1,((Z282*2)+(Y282)+(X282*4)+(W282*2)),"")</f>
        <v/>
      </c>
      <c r="AC282" s="134" t="str">
        <f>IF(Data!$B274='Team Parser'!$B$1, Data!N274,"")</f>
        <v/>
      </c>
      <c r="AD282" s="139" t="str">
        <f>IF(Data!$B274='Team Parser'!$B$1,(AB282+(COUNTIF(AC282,"TRAVERSE")*15)+(COUNTIF(AC282,"HIGH")*10)+(COUNTIF(AC282,"MIDDLE")*6)+(COUNTIF(AC282,"LOW")*4)),"")</f>
        <v/>
      </c>
    </row>
    <row r="283">
      <c r="A283" s="141" t="s">
        <v>507</v>
      </c>
      <c r="B283" s="134" t="str">
        <f>IFERROR(__xludf.DUMMYFUNCTION("IFERROR((FILTER(Data!H:H,Data!D:D=A283,Data!B:B=$B$1)),"""")"),"")</f>
        <v/>
      </c>
      <c r="C283" s="134" t="str">
        <f>IFERROR(__xludf.DUMMYFUNCTION("IFERROR((FILTER(Data!G:G,Data!D:D=A283,Data!B:B=$B$1)),"""")"),"")</f>
        <v/>
      </c>
      <c r="D283" s="134" t="str">
        <f>IFERROR(__xludf.DUMMYFUNCTION("IFERROR((FILTER(Data!J:J,Data!D:D=A283,Data!B:B=$B$1)),"""")"),"")</f>
        <v/>
      </c>
      <c r="E283" s="134" t="str">
        <f>IFERROR(__xludf.DUMMYFUNCTION("IFERROR((FILTER(Data!L:L,Data!D:D=A283,Data!B:B=$B$1)),"""")"),"")</f>
        <v/>
      </c>
      <c r="F283" s="134" t="str">
        <f>IFERROR(__xludf.DUMMYFUNCTION("IFERROR((FILTER(Data!K:K,Data!D:D=A283,Data!B:B=$B$1)),"""")"),"")</f>
        <v/>
      </c>
      <c r="G283" s="134" t="str">
        <f>IFERROR(__xludf.DUMMYFUNCTION("IFERROR((FILTER(Data!M:M,Data!D:D=A283,Data!B:B=$B$1)),"""")"),"")</f>
        <v/>
      </c>
      <c r="H283" s="134" t="str">
        <f>IFERROR(__xludf.DUMMYFUNCTION("IFERROR((FILTER(Data!G:G,Data!D:D=A283,Data!B:B=$B$1)*4)+(FILTER(Data!H:H,Data!D:D=A283,Data!B:B=$B$1)*2),"""")"),"")</f>
        <v/>
      </c>
      <c r="I283" s="15" t="str">
        <f>IFERROR(__xludf.DUMMYFUNCTION("IFERROR((FILTER(Data!K:K,Data!D:D=A283,Data!B:B=$B$1)*2)+(FILTER(Data!L:L,Data!D:D=A283,Data!B:B=$B$1)),"""")"),"")</f>
        <v/>
      </c>
      <c r="J283" s="134" t="str">
        <f>IFERROR(__xludf.DUMMYFUNCTION("IFERROR((FILTER(Data!N:N,Data!D:D=A283,Data!B:B=$B$1)),"""")"),"")</f>
        <v/>
      </c>
      <c r="K283" s="135" t="str">
        <f>IFERROR(__xludf.DUMMYFUNCTION("IFERROR((FILTER(Data!H:H,Data!D:D=A283,Data!B:B=$B$1)*2)+(FILTER(Data!L:L,Data!D:D=A283,Data!B:B=$B$1))+(FILTER(Data!G:G,Data!D:D=A283,Data!B:B=$B$1)*4)+(FILTER(Data!K:K,Data!D:D=A283,Data!B:B=$B$1)*2)+(((COUNTIF(FILTER(Data!N:N,Data!D:D=A283,Data!B:B=$B$"&amp;"1),""TRAVERSE"")*15)+(COUNTIF(FILTER(Data!N:N,Data!D:D=A283,Data!B:B=$B$1),""HIGH"")*10)+(COUNTIF(FILTER(Data!N:N,Data!D:D=A283,Data!B:B=$B$1),""MIDDLE"")*6)+(COUNTIF(FILTER(Data!N:N,Data!D:D=A283,Data!B:B=$B$1),""LOW"")*4))),"""")"),"")</f>
        <v/>
      </c>
      <c r="L283" s="136" t="str">
        <f>IFERROR(__xludf.DUMMYFUNCTION("IFERROR((FILTER(Data!P:P,Data!D:D=A283,Data!B:B=$B$1)),"""")"),"")</f>
        <v/>
      </c>
      <c r="M283" s="137" t="str">
        <f>IFERROR(__xludf.DUMMYFUNCTION("IFERROR((FILTER(Data!A:A,Data!D:D=A283,Data!B:B=$B$1)),"""")"),"")</f>
        <v/>
      </c>
      <c r="T283" s="52">
        <f>IFERROR(__xludf.DUMMYFUNCTION("((COUNTIF(FILTER(Data!N:N,Data!D:D=A283,Data!B:B=$B$1),""TRAVERSE"")*15)+(COUNTIF(FILTER(Data!N:N,Data!D:D=A283,Data!B:B=B$1),""HIGH"")*10)+(COUNTIF(FILTER(Data!N:N,Data!D:D=A283,Data!B:B=$B$1),""MIDDLE"")*6)+(COUNTIF(FILTER(Data!N:N,Data!D:D=A283,Data!B:"&amp;"B=$B$1),""LOW"")*4))"),0.0)</f>
        <v>0</v>
      </c>
      <c r="V283" s="138" t="str">
        <f>IF(Data!B275='Team Parser'!$B$1, Data!D275,"")</f>
        <v/>
      </c>
      <c r="W283" s="134" t="str">
        <f>IF(Data!$B275='Team Parser'!$B$1, Data!H275,"")</f>
        <v/>
      </c>
      <c r="X283" s="134" t="str">
        <f>IF(Data!$B275='Team Parser'!$B$1, Data!G275,"")</f>
        <v/>
      </c>
      <c r="Y283" s="134" t="str">
        <f>IF(Data!$B275='Team Parser'!$B$1, Data!L275,"")</f>
        <v/>
      </c>
      <c r="Z283" s="134" t="str">
        <f>IF(Data!$B275='Team Parser'!$B$1, Data!K275,"")</f>
        <v/>
      </c>
      <c r="AA283" s="134" t="str">
        <f>IF(Data!$B275='Team Parser'!$B$1, Data!M275,"")</f>
        <v/>
      </c>
      <c r="AB283" s="134" t="str">
        <f>IF(Data!$B275='Team Parser'!$B$1,((Z283*2)+(Y283)+(X283*4)+(W283*2)),"")</f>
        <v/>
      </c>
      <c r="AC283" s="134" t="str">
        <f>IF(Data!$B275='Team Parser'!$B$1, Data!N275,"")</f>
        <v/>
      </c>
      <c r="AD283" s="139" t="str">
        <f>IF(Data!$B275='Team Parser'!$B$1,(AB283+(COUNTIF(AC283,"TRAVERSE")*15)+(COUNTIF(AC283,"HIGH")*10)+(COUNTIF(AC283,"MIDDLE")*6)+(COUNTIF(AC283,"LOW")*4)),"")</f>
        <v/>
      </c>
    </row>
    <row r="284">
      <c r="A284" s="141" t="s">
        <v>507</v>
      </c>
      <c r="B284" s="134" t="str">
        <f>IFERROR(__xludf.DUMMYFUNCTION("IFERROR((FILTER(Data!H:H,Data!D:D=A284,Data!B:B=$B$1)),"""")"),"")</f>
        <v/>
      </c>
      <c r="C284" s="134" t="str">
        <f>IFERROR(__xludf.DUMMYFUNCTION("IFERROR((FILTER(Data!G:G,Data!D:D=A284,Data!B:B=$B$1)),"""")"),"")</f>
        <v/>
      </c>
      <c r="D284" s="134" t="str">
        <f>IFERROR(__xludf.DUMMYFUNCTION("IFERROR((FILTER(Data!J:J,Data!D:D=A284,Data!B:B=$B$1)),"""")"),"")</f>
        <v/>
      </c>
      <c r="E284" s="134" t="str">
        <f>IFERROR(__xludf.DUMMYFUNCTION("IFERROR((FILTER(Data!L:L,Data!D:D=A284,Data!B:B=$B$1)),"""")"),"")</f>
        <v/>
      </c>
      <c r="F284" s="134" t="str">
        <f>IFERROR(__xludf.DUMMYFUNCTION("IFERROR((FILTER(Data!K:K,Data!D:D=A284,Data!B:B=$B$1)),"""")"),"")</f>
        <v/>
      </c>
      <c r="G284" s="134" t="str">
        <f>IFERROR(__xludf.DUMMYFUNCTION("IFERROR((FILTER(Data!M:M,Data!D:D=A284,Data!B:B=$B$1)),"""")"),"")</f>
        <v/>
      </c>
      <c r="H284" s="134" t="str">
        <f>IFERROR(__xludf.DUMMYFUNCTION("IFERROR((FILTER(Data!G:G,Data!D:D=A284,Data!B:B=$B$1)*4)+(FILTER(Data!H:H,Data!D:D=A284,Data!B:B=$B$1)*2),"""")"),"")</f>
        <v/>
      </c>
      <c r="I284" s="15" t="str">
        <f>IFERROR(__xludf.DUMMYFUNCTION("IFERROR((FILTER(Data!K:K,Data!D:D=A284,Data!B:B=$B$1)*2)+(FILTER(Data!L:L,Data!D:D=A284,Data!B:B=$B$1)),"""")"),"")</f>
        <v/>
      </c>
      <c r="J284" s="134" t="str">
        <f>IFERROR(__xludf.DUMMYFUNCTION("IFERROR((FILTER(Data!N:N,Data!D:D=A284,Data!B:B=$B$1)),"""")"),"")</f>
        <v/>
      </c>
      <c r="K284" s="135" t="str">
        <f>IFERROR(__xludf.DUMMYFUNCTION("IFERROR((FILTER(Data!H:H,Data!D:D=A284,Data!B:B=$B$1)*2)+(FILTER(Data!L:L,Data!D:D=A284,Data!B:B=$B$1))+(FILTER(Data!G:G,Data!D:D=A284,Data!B:B=$B$1)*4)+(FILTER(Data!K:K,Data!D:D=A284,Data!B:B=$B$1)*2)+(((COUNTIF(FILTER(Data!N:N,Data!D:D=A284,Data!B:B=$B$"&amp;"1),""TRAVERSE"")*15)+(COUNTIF(FILTER(Data!N:N,Data!D:D=A284,Data!B:B=$B$1),""HIGH"")*10)+(COUNTIF(FILTER(Data!N:N,Data!D:D=A284,Data!B:B=$B$1),""MIDDLE"")*6)+(COUNTIF(FILTER(Data!N:N,Data!D:D=A284,Data!B:B=$B$1),""LOW"")*4))),"""")"),"")</f>
        <v/>
      </c>
      <c r="L284" s="136" t="str">
        <f>IFERROR(__xludf.DUMMYFUNCTION("IFERROR((FILTER(Data!P:P,Data!D:D=A284,Data!B:B=$B$1)),"""")"),"")</f>
        <v/>
      </c>
      <c r="M284" s="137" t="str">
        <f>IFERROR(__xludf.DUMMYFUNCTION("IFERROR((FILTER(Data!A:A,Data!D:D=A284,Data!B:B=$B$1)),"""")"),"")</f>
        <v/>
      </c>
      <c r="T284" s="52">
        <f>IFERROR(__xludf.DUMMYFUNCTION("((COUNTIF(FILTER(Data!N:N,Data!D:D=A284,Data!B:B=$B$1),""TRAVERSE"")*15)+(COUNTIF(FILTER(Data!N:N,Data!D:D=A284,Data!B:B=B$1),""HIGH"")*10)+(COUNTIF(FILTER(Data!N:N,Data!D:D=A284,Data!B:B=$B$1),""MIDDLE"")*6)+(COUNTIF(FILTER(Data!N:N,Data!D:D=A284,Data!B:"&amp;"B=$B$1),""LOW"")*4))"),0.0)</f>
        <v>0</v>
      </c>
      <c r="V284" s="138" t="str">
        <f>IF(Data!B276='Team Parser'!$B$1, Data!D276,"")</f>
        <v/>
      </c>
      <c r="W284" s="134" t="str">
        <f>IF(Data!$B276='Team Parser'!$B$1, Data!H276,"")</f>
        <v/>
      </c>
      <c r="X284" s="134" t="str">
        <f>IF(Data!$B276='Team Parser'!$B$1, Data!G276,"")</f>
        <v/>
      </c>
      <c r="Y284" s="134" t="str">
        <f>IF(Data!$B276='Team Parser'!$B$1, Data!L276,"")</f>
        <v/>
      </c>
      <c r="Z284" s="134" t="str">
        <f>IF(Data!$B276='Team Parser'!$B$1, Data!K276,"")</f>
        <v/>
      </c>
      <c r="AA284" s="134" t="str">
        <f>IF(Data!$B276='Team Parser'!$B$1, Data!M276,"")</f>
        <v/>
      </c>
      <c r="AB284" s="134" t="str">
        <f>IF(Data!$B276='Team Parser'!$B$1,((Z284*2)+(Y284)+(X284*4)+(W284*2)),"")</f>
        <v/>
      </c>
      <c r="AC284" s="134" t="str">
        <f>IF(Data!$B276='Team Parser'!$B$1, Data!N276,"")</f>
        <v/>
      </c>
      <c r="AD284" s="139" t="str">
        <f>IF(Data!$B276='Team Parser'!$B$1,(AB284+(COUNTIF(AC284,"TRAVERSE")*15)+(COUNTIF(AC284,"HIGH")*10)+(COUNTIF(AC284,"MIDDLE")*6)+(COUNTIF(AC284,"LOW")*4)),"")</f>
        <v/>
      </c>
    </row>
    <row r="285">
      <c r="A285" s="141" t="s">
        <v>507</v>
      </c>
      <c r="B285" s="134" t="str">
        <f>IFERROR(__xludf.DUMMYFUNCTION("IFERROR((FILTER(Data!H:H,Data!D:D=A285,Data!B:B=$B$1)),"""")"),"")</f>
        <v/>
      </c>
      <c r="C285" s="134" t="str">
        <f>IFERROR(__xludf.DUMMYFUNCTION("IFERROR((FILTER(Data!G:G,Data!D:D=A285,Data!B:B=$B$1)),"""")"),"")</f>
        <v/>
      </c>
      <c r="D285" s="134" t="str">
        <f>IFERROR(__xludf.DUMMYFUNCTION("IFERROR((FILTER(Data!J:J,Data!D:D=A285,Data!B:B=$B$1)),"""")"),"")</f>
        <v/>
      </c>
      <c r="E285" s="134" t="str">
        <f>IFERROR(__xludf.DUMMYFUNCTION("IFERROR((FILTER(Data!L:L,Data!D:D=A285,Data!B:B=$B$1)),"""")"),"")</f>
        <v/>
      </c>
      <c r="F285" s="134" t="str">
        <f>IFERROR(__xludf.DUMMYFUNCTION("IFERROR((FILTER(Data!K:K,Data!D:D=A285,Data!B:B=$B$1)),"""")"),"")</f>
        <v/>
      </c>
      <c r="G285" s="134" t="str">
        <f>IFERROR(__xludf.DUMMYFUNCTION("IFERROR((FILTER(Data!M:M,Data!D:D=A285,Data!B:B=$B$1)),"""")"),"")</f>
        <v/>
      </c>
      <c r="H285" s="134" t="str">
        <f>IFERROR(__xludf.DUMMYFUNCTION("IFERROR((FILTER(Data!G:G,Data!D:D=A285,Data!B:B=$B$1)*4)+(FILTER(Data!H:H,Data!D:D=A285,Data!B:B=$B$1)*2),"""")"),"")</f>
        <v/>
      </c>
      <c r="I285" s="15" t="str">
        <f>IFERROR(__xludf.DUMMYFUNCTION("IFERROR((FILTER(Data!K:K,Data!D:D=A285,Data!B:B=$B$1)*2)+(FILTER(Data!L:L,Data!D:D=A285,Data!B:B=$B$1)),"""")"),"")</f>
        <v/>
      </c>
      <c r="J285" s="134" t="str">
        <f>IFERROR(__xludf.DUMMYFUNCTION("IFERROR((FILTER(Data!N:N,Data!D:D=A285,Data!B:B=$B$1)),"""")"),"")</f>
        <v/>
      </c>
      <c r="K285" s="135" t="str">
        <f>IFERROR(__xludf.DUMMYFUNCTION("IFERROR((FILTER(Data!H:H,Data!D:D=A285,Data!B:B=$B$1)*2)+(FILTER(Data!L:L,Data!D:D=A285,Data!B:B=$B$1))+(FILTER(Data!G:G,Data!D:D=A285,Data!B:B=$B$1)*4)+(FILTER(Data!K:K,Data!D:D=A285,Data!B:B=$B$1)*2)+(((COUNTIF(FILTER(Data!N:N,Data!D:D=A285,Data!B:B=$B$"&amp;"1),""TRAVERSE"")*15)+(COUNTIF(FILTER(Data!N:N,Data!D:D=A285,Data!B:B=$B$1),""HIGH"")*10)+(COUNTIF(FILTER(Data!N:N,Data!D:D=A285,Data!B:B=$B$1),""MIDDLE"")*6)+(COUNTIF(FILTER(Data!N:N,Data!D:D=A285,Data!B:B=$B$1),""LOW"")*4))),"""")"),"")</f>
        <v/>
      </c>
      <c r="L285" s="136" t="str">
        <f>IFERROR(__xludf.DUMMYFUNCTION("IFERROR((FILTER(Data!P:P,Data!D:D=A285,Data!B:B=$B$1)),"""")"),"")</f>
        <v/>
      </c>
      <c r="M285" s="137" t="str">
        <f>IFERROR(__xludf.DUMMYFUNCTION("IFERROR((FILTER(Data!A:A,Data!D:D=A285,Data!B:B=$B$1)),"""")"),"")</f>
        <v/>
      </c>
      <c r="T285" s="52">
        <f>IFERROR(__xludf.DUMMYFUNCTION("((COUNTIF(FILTER(Data!N:N,Data!D:D=A285,Data!B:B=$B$1),""TRAVERSE"")*15)+(COUNTIF(FILTER(Data!N:N,Data!D:D=A285,Data!B:B=B$1),""HIGH"")*10)+(COUNTIF(FILTER(Data!N:N,Data!D:D=A285,Data!B:B=$B$1),""MIDDLE"")*6)+(COUNTIF(FILTER(Data!N:N,Data!D:D=A285,Data!B:"&amp;"B=$B$1),""LOW"")*4))"),0.0)</f>
        <v>0</v>
      </c>
      <c r="V285" s="138" t="str">
        <f>IF(Data!B277='Team Parser'!$B$1, Data!D277,"")</f>
        <v/>
      </c>
      <c r="W285" s="134" t="str">
        <f>IF(Data!$B277='Team Parser'!$B$1, Data!H277,"")</f>
        <v/>
      </c>
      <c r="X285" s="134" t="str">
        <f>IF(Data!$B277='Team Parser'!$B$1, Data!G277,"")</f>
        <v/>
      </c>
      <c r="Y285" s="134" t="str">
        <f>IF(Data!$B277='Team Parser'!$B$1, Data!L277,"")</f>
        <v/>
      </c>
      <c r="Z285" s="134" t="str">
        <f>IF(Data!$B277='Team Parser'!$B$1, Data!K277,"")</f>
        <v/>
      </c>
      <c r="AA285" s="134" t="str">
        <f>IF(Data!$B277='Team Parser'!$B$1, Data!M277,"")</f>
        <v/>
      </c>
      <c r="AB285" s="134" t="str">
        <f>IF(Data!$B277='Team Parser'!$B$1,((Z285*2)+(Y285)+(X285*4)+(W285*2)),"")</f>
        <v/>
      </c>
      <c r="AC285" s="134" t="str">
        <f>IF(Data!$B277='Team Parser'!$B$1, Data!N277,"")</f>
        <v/>
      </c>
      <c r="AD285" s="139" t="str">
        <f>IF(Data!$B277='Team Parser'!$B$1,(AB285+(COUNTIF(AC285,"TRAVERSE")*15)+(COUNTIF(AC285,"HIGH")*10)+(COUNTIF(AC285,"MIDDLE")*6)+(COUNTIF(AC285,"LOW")*4)),"")</f>
        <v/>
      </c>
    </row>
    <row r="286">
      <c r="A286" s="141" t="s">
        <v>507</v>
      </c>
      <c r="B286" s="134" t="str">
        <f>IFERROR(__xludf.DUMMYFUNCTION("IFERROR((FILTER(Data!H:H,Data!D:D=A286,Data!B:B=$B$1)),"""")"),"")</f>
        <v/>
      </c>
      <c r="C286" s="134" t="str">
        <f>IFERROR(__xludf.DUMMYFUNCTION("IFERROR((FILTER(Data!G:G,Data!D:D=A286,Data!B:B=$B$1)),"""")"),"")</f>
        <v/>
      </c>
      <c r="D286" s="134" t="str">
        <f>IFERROR(__xludf.DUMMYFUNCTION("IFERROR((FILTER(Data!J:J,Data!D:D=A286,Data!B:B=$B$1)),"""")"),"")</f>
        <v/>
      </c>
      <c r="E286" s="134" t="str">
        <f>IFERROR(__xludf.DUMMYFUNCTION("IFERROR((FILTER(Data!L:L,Data!D:D=A286,Data!B:B=$B$1)),"""")"),"")</f>
        <v/>
      </c>
      <c r="F286" s="134" t="str">
        <f>IFERROR(__xludf.DUMMYFUNCTION("IFERROR((FILTER(Data!K:K,Data!D:D=A286,Data!B:B=$B$1)),"""")"),"")</f>
        <v/>
      </c>
      <c r="G286" s="134" t="str">
        <f>IFERROR(__xludf.DUMMYFUNCTION("IFERROR((FILTER(Data!M:M,Data!D:D=A286,Data!B:B=$B$1)),"""")"),"")</f>
        <v/>
      </c>
      <c r="H286" s="134" t="str">
        <f>IFERROR(__xludf.DUMMYFUNCTION("IFERROR((FILTER(Data!G:G,Data!D:D=A286,Data!B:B=$B$1)*4)+(FILTER(Data!H:H,Data!D:D=A286,Data!B:B=$B$1)*2),"""")"),"")</f>
        <v/>
      </c>
      <c r="I286" s="15" t="str">
        <f>IFERROR(__xludf.DUMMYFUNCTION("IFERROR((FILTER(Data!K:K,Data!D:D=A286,Data!B:B=$B$1)*2)+(FILTER(Data!L:L,Data!D:D=A286,Data!B:B=$B$1)),"""")"),"")</f>
        <v/>
      </c>
      <c r="J286" s="134" t="str">
        <f>IFERROR(__xludf.DUMMYFUNCTION("IFERROR((FILTER(Data!N:N,Data!D:D=A286,Data!B:B=$B$1)),"""")"),"")</f>
        <v/>
      </c>
      <c r="K286" s="135" t="str">
        <f>IFERROR(__xludf.DUMMYFUNCTION("IFERROR((FILTER(Data!H:H,Data!D:D=A286,Data!B:B=$B$1)*2)+(FILTER(Data!L:L,Data!D:D=A286,Data!B:B=$B$1))+(FILTER(Data!G:G,Data!D:D=A286,Data!B:B=$B$1)*4)+(FILTER(Data!K:K,Data!D:D=A286,Data!B:B=$B$1)*2)+(((COUNTIF(FILTER(Data!N:N,Data!D:D=A286,Data!B:B=$B$"&amp;"1),""TRAVERSE"")*15)+(COUNTIF(FILTER(Data!N:N,Data!D:D=A286,Data!B:B=$B$1),""HIGH"")*10)+(COUNTIF(FILTER(Data!N:N,Data!D:D=A286,Data!B:B=$B$1),""MIDDLE"")*6)+(COUNTIF(FILTER(Data!N:N,Data!D:D=A286,Data!B:B=$B$1),""LOW"")*4))),"""")"),"")</f>
        <v/>
      </c>
      <c r="L286" s="136" t="str">
        <f>IFERROR(__xludf.DUMMYFUNCTION("IFERROR((FILTER(Data!P:P,Data!D:D=A286,Data!B:B=$B$1)),"""")"),"")</f>
        <v/>
      </c>
      <c r="M286" s="137" t="str">
        <f>IFERROR(__xludf.DUMMYFUNCTION("IFERROR((FILTER(Data!A:A,Data!D:D=A286,Data!B:B=$B$1)),"""")"),"")</f>
        <v/>
      </c>
      <c r="T286" s="52">
        <f>IFERROR(__xludf.DUMMYFUNCTION("((COUNTIF(FILTER(Data!N:N,Data!D:D=A286,Data!B:B=$B$1),""TRAVERSE"")*15)+(COUNTIF(FILTER(Data!N:N,Data!D:D=A286,Data!B:B=B$1),""HIGH"")*10)+(COUNTIF(FILTER(Data!N:N,Data!D:D=A286,Data!B:B=$B$1),""MIDDLE"")*6)+(COUNTIF(FILTER(Data!N:N,Data!D:D=A286,Data!B:"&amp;"B=$B$1),""LOW"")*4))"),0.0)</f>
        <v>0</v>
      </c>
      <c r="V286" s="138" t="str">
        <f>IF(Data!B278='Team Parser'!$B$1, Data!D278,"")</f>
        <v/>
      </c>
      <c r="W286" s="134" t="str">
        <f>IF(Data!$B278='Team Parser'!$B$1, Data!H278,"")</f>
        <v/>
      </c>
      <c r="X286" s="134" t="str">
        <f>IF(Data!$B278='Team Parser'!$B$1, Data!G278,"")</f>
        <v/>
      </c>
      <c r="Y286" s="134" t="str">
        <f>IF(Data!$B278='Team Parser'!$B$1, Data!L278,"")</f>
        <v/>
      </c>
      <c r="Z286" s="134" t="str">
        <f>IF(Data!$B278='Team Parser'!$B$1, Data!K278,"")</f>
        <v/>
      </c>
      <c r="AA286" s="134" t="str">
        <f>IF(Data!$B278='Team Parser'!$B$1, Data!M278,"")</f>
        <v/>
      </c>
      <c r="AB286" s="134" t="str">
        <f>IF(Data!$B278='Team Parser'!$B$1,((Z286*2)+(Y286)+(X286*4)+(W286*2)),"")</f>
        <v/>
      </c>
      <c r="AC286" s="134" t="str">
        <f>IF(Data!$B278='Team Parser'!$B$1, Data!N278,"")</f>
        <v/>
      </c>
      <c r="AD286" s="139" t="str">
        <f>IF(Data!$B278='Team Parser'!$B$1,(AB286+(COUNTIF(AC286,"TRAVERSE")*15)+(COUNTIF(AC286,"HIGH")*10)+(COUNTIF(AC286,"MIDDLE")*6)+(COUNTIF(AC286,"LOW")*4)),"")</f>
        <v/>
      </c>
    </row>
    <row r="287">
      <c r="A287" s="141" t="s">
        <v>507</v>
      </c>
      <c r="B287" s="134" t="str">
        <f>IFERROR(__xludf.DUMMYFUNCTION("IFERROR((FILTER(Data!H:H,Data!D:D=A287,Data!B:B=$B$1)),"""")"),"")</f>
        <v/>
      </c>
      <c r="C287" s="134" t="str">
        <f>IFERROR(__xludf.DUMMYFUNCTION("IFERROR((FILTER(Data!G:G,Data!D:D=A287,Data!B:B=$B$1)),"""")"),"")</f>
        <v/>
      </c>
      <c r="D287" s="134" t="str">
        <f>IFERROR(__xludf.DUMMYFUNCTION("IFERROR((FILTER(Data!J:J,Data!D:D=A287,Data!B:B=$B$1)),"""")"),"")</f>
        <v/>
      </c>
      <c r="E287" s="134" t="str">
        <f>IFERROR(__xludf.DUMMYFUNCTION("IFERROR((FILTER(Data!L:L,Data!D:D=A287,Data!B:B=$B$1)),"""")"),"")</f>
        <v/>
      </c>
      <c r="F287" s="134" t="str">
        <f>IFERROR(__xludf.DUMMYFUNCTION("IFERROR((FILTER(Data!K:K,Data!D:D=A287,Data!B:B=$B$1)),"""")"),"")</f>
        <v/>
      </c>
      <c r="G287" s="134" t="str">
        <f>IFERROR(__xludf.DUMMYFUNCTION("IFERROR((FILTER(Data!M:M,Data!D:D=A287,Data!B:B=$B$1)),"""")"),"")</f>
        <v/>
      </c>
      <c r="H287" s="134" t="str">
        <f>IFERROR(__xludf.DUMMYFUNCTION("IFERROR((FILTER(Data!G:G,Data!D:D=A287,Data!B:B=$B$1)*4)+(FILTER(Data!H:H,Data!D:D=A287,Data!B:B=$B$1)*2),"""")"),"")</f>
        <v/>
      </c>
      <c r="I287" s="15" t="str">
        <f>IFERROR(__xludf.DUMMYFUNCTION("IFERROR((FILTER(Data!K:K,Data!D:D=A287,Data!B:B=$B$1)*2)+(FILTER(Data!L:L,Data!D:D=A287,Data!B:B=$B$1)),"""")"),"")</f>
        <v/>
      </c>
      <c r="J287" s="134" t="str">
        <f>IFERROR(__xludf.DUMMYFUNCTION("IFERROR((FILTER(Data!N:N,Data!D:D=A287,Data!B:B=$B$1)),"""")"),"")</f>
        <v/>
      </c>
      <c r="K287" s="135" t="str">
        <f>IFERROR(__xludf.DUMMYFUNCTION("IFERROR((FILTER(Data!H:H,Data!D:D=A287,Data!B:B=$B$1)*2)+(FILTER(Data!L:L,Data!D:D=A287,Data!B:B=$B$1))+(FILTER(Data!G:G,Data!D:D=A287,Data!B:B=$B$1)*4)+(FILTER(Data!K:K,Data!D:D=A287,Data!B:B=$B$1)*2)+(((COUNTIF(FILTER(Data!N:N,Data!D:D=A287,Data!B:B=$B$"&amp;"1),""TRAVERSE"")*15)+(COUNTIF(FILTER(Data!N:N,Data!D:D=A287,Data!B:B=$B$1),""HIGH"")*10)+(COUNTIF(FILTER(Data!N:N,Data!D:D=A287,Data!B:B=$B$1),""MIDDLE"")*6)+(COUNTIF(FILTER(Data!N:N,Data!D:D=A287,Data!B:B=$B$1),""LOW"")*4))),"""")"),"")</f>
        <v/>
      </c>
      <c r="L287" s="136" t="str">
        <f>IFERROR(__xludf.DUMMYFUNCTION("IFERROR((FILTER(Data!P:P,Data!D:D=A287,Data!B:B=$B$1)),"""")"),"")</f>
        <v/>
      </c>
      <c r="M287" s="137" t="str">
        <f>IFERROR(__xludf.DUMMYFUNCTION("IFERROR((FILTER(Data!A:A,Data!D:D=A287,Data!B:B=$B$1)),"""")"),"")</f>
        <v/>
      </c>
      <c r="T287" s="52">
        <f>IFERROR(__xludf.DUMMYFUNCTION("((COUNTIF(FILTER(Data!N:N,Data!D:D=A287,Data!B:B=$B$1),""TRAVERSE"")*15)+(COUNTIF(FILTER(Data!N:N,Data!D:D=A287,Data!B:B=B$1),""HIGH"")*10)+(COUNTIF(FILTER(Data!N:N,Data!D:D=A287,Data!B:B=$B$1),""MIDDLE"")*6)+(COUNTIF(FILTER(Data!N:N,Data!D:D=A287,Data!B:"&amp;"B=$B$1),""LOW"")*4))"),0.0)</f>
        <v>0</v>
      </c>
      <c r="V287" s="138" t="str">
        <f>IF(Data!B279='Team Parser'!$B$1, Data!D279,"")</f>
        <v/>
      </c>
      <c r="W287" s="134" t="str">
        <f>IF(Data!$B279='Team Parser'!$B$1, Data!H279,"")</f>
        <v/>
      </c>
      <c r="X287" s="134" t="str">
        <f>IF(Data!$B279='Team Parser'!$B$1, Data!G279,"")</f>
        <v/>
      </c>
      <c r="Y287" s="134" t="str">
        <f>IF(Data!$B279='Team Parser'!$B$1, Data!L279,"")</f>
        <v/>
      </c>
      <c r="Z287" s="134" t="str">
        <f>IF(Data!$B279='Team Parser'!$B$1, Data!K279,"")</f>
        <v/>
      </c>
      <c r="AA287" s="134" t="str">
        <f>IF(Data!$B279='Team Parser'!$B$1, Data!M279,"")</f>
        <v/>
      </c>
      <c r="AB287" s="134" t="str">
        <f>IF(Data!$B279='Team Parser'!$B$1,((Z287*2)+(Y287)+(X287*4)+(W287*2)),"")</f>
        <v/>
      </c>
      <c r="AC287" s="134" t="str">
        <f>IF(Data!$B279='Team Parser'!$B$1, Data!N279,"")</f>
        <v/>
      </c>
      <c r="AD287" s="139" t="str">
        <f>IF(Data!$B279='Team Parser'!$B$1,(AB287+(COUNTIF(AC287,"TRAVERSE")*15)+(COUNTIF(AC287,"HIGH")*10)+(COUNTIF(AC287,"MIDDLE")*6)+(COUNTIF(AC287,"LOW")*4)),"")</f>
        <v/>
      </c>
    </row>
    <row r="288">
      <c r="A288" s="141" t="s">
        <v>507</v>
      </c>
      <c r="B288" s="134" t="str">
        <f>IFERROR(__xludf.DUMMYFUNCTION("IFERROR((FILTER(Data!H:H,Data!D:D=A288,Data!B:B=$B$1)),"""")"),"")</f>
        <v/>
      </c>
      <c r="C288" s="134" t="str">
        <f>IFERROR(__xludf.DUMMYFUNCTION("IFERROR((FILTER(Data!G:G,Data!D:D=A288,Data!B:B=$B$1)),"""")"),"")</f>
        <v/>
      </c>
      <c r="D288" s="134" t="str">
        <f>IFERROR(__xludf.DUMMYFUNCTION("IFERROR((FILTER(Data!J:J,Data!D:D=A288,Data!B:B=$B$1)),"""")"),"")</f>
        <v/>
      </c>
      <c r="E288" s="134" t="str">
        <f>IFERROR(__xludf.DUMMYFUNCTION("IFERROR((FILTER(Data!L:L,Data!D:D=A288,Data!B:B=$B$1)),"""")"),"")</f>
        <v/>
      </c>
      <c r="F288" s="134" t="str">
        <f>IFERROR(__xludf.DUMMYFUNCTION("IFERROR((FILTER(Data!K:K,Data!D:D=A288,Data!B:B=$B$1)),"""")"),"")</f>
        <v/>
      </c>
      <c r="G288" s="134" t="str">
        <f>IFERROR(__xludf.DUMMYFUNCTION("IFERROR((FILTER(Data!M:M,Data!D:D=A288,Data!B:B=$B$1)),"""")"),"")</f>
        <v/>
      </c>
      <c r="H288" s="134" t="str">
        <f>IFERROR(__xludf.DUMMYFUNCTION("IFERROR((FILTER(Data!G:G,Data!D:D=A288,Data!B:B=$B$1)*4)+(FILTER(Data!H:H,Data!D:D=A288,Data!B:B=$B$1)*2),"""")"),"")</f>
        <v/>
      </c>
      <c r="I288" s="15" t="str">
        <f>IFERROR(__xludf.DUMMYFUNCTION("IFERROR((FILTER(Data!K:K,Data!D:D=A288,Data!B:B=$B$1)*2)+(FILTER(Data!L:L,Data!D:D=A288,Data!B:B=$B$1)),"""")"),"")</f>
        <v/>
      </c>
      <c r="J288" s="134" t="str">
        <f>IFERROR(__xludf.DUMMYFUNCTION("IFERROR((FILTER(Data!N:N,Data!D:D=A288,Data!B:B=$B$1)),"""")"),"")</f>
        <v/>
      </c>
      <c r="K288" s="135" t="str">
        <f>IFERROR(__xludf.DUMMYFUNCTION("IFERROR((FILTER(Data!H:H,Data!D:D=A288,Data!B:B=$B$1)*2)+(FILTER(Data!L:L,Data!D:D=A288,Data!B:B=$B$1))+(FILTER(Data!G:G,Data!D:D=A288,Data!B:B=$B$1)*4)+(FILTER(Data!K:K,Data!D:D=A288,Data!B:B=$B$1)*2)+(((COUNTIF(FILTER(Data!N:N,Data!D:D=A288,Data!B:B=$B$"&amp;"1),""TRAVERSE"")*15)+(COUNTIF(FILTER(Data!N:N,Data!D:D=A288,Data!B:B=$B$1),""HIGH"")*10)+(COUNTIF(FILTER(Data!N:N,Data!D:D=A288,Data!B:B=$B$1),""MIDDLE"")*6)+(COUNTIF(FILTER(Data!N:N,Data!D:D=A288,Data!B:B=$B$1),""LOW"")*4))),"""")"),"")</f>
        <v/>
      </c>
      <c r="L288" s="136" t="str">
        <f>IFERROR(__xludf.DUMMYFUNCTION("IFERROR((FILTER(Data!P:P,Data!D:D=A288,Data!B:B=$B$1)),"""")"),"")</f>
        <v/>
      </c>
      <c r="M288" s="137" t="str">
        <f>IFERROR(__xludf.DUMMYFUNCTION("IFERROR((FILTER(Data!A:A,Data!D:D=A288,Data!B:B=$B$1)),"""")"),"")</f>
        <v/>
      </c>
      <c r="T288" s="52">
        <f>IFERROR(__xludf.DUMMYFUNCTION("((COUNTIF(FILTER(Data!N:N,Data!D:D=A288,Data!B:B=$B$1),""TRAVERSE"")*15)+(COUNTIF(FILTER(Data!N:N,Data!D:D=A288,Data!B:B=B$1),""HIGH"")*10)+(COUNTIF(FILTER(Data!N:N,Data!D:D=A288,Data!B:B=$B$1),""MIDDLE"")*6)+(COUNTIF(FILTER(Data!N:N,Data!D:D=A288,Data!B:"&amp;"B=$B$1),""LOW"")*4))"),0.0)</f>
        <v>0</v>
      </c>
      <c r="V288" s="138" t="str">
        <f>IF(Data!B280='Team Parser'!$B$1, Data!D280,"")</f>
        <v/>
      </c>
      <c r="W288" s="134" t="str">
        <f>IF(Data!$B280='Team Parser'!$B$1, Data!H280,"")</f>
        <v/>
      </c>
      <c r="X288" s="134" t="str">
        <f>IF(Data!$B280='Team Parser'!$B$1, Data!G280,"")</f>
        <v/>
      </c>
      <c r="Y288" s="134" t="str">
        <f>IF(Data!$B280='Team Parser'!$B$1, Data!L280,"")</f>
        <v/>
      </c>
      <c r="Z288" s="134" t="str">
        <f>IF(Data!$B280='Team Parser'!$B$1, Data!K280,"")</f>
        <v/>
      </c>
      <c r="AA288" s="134" t="str">
        <f>IF(Data!$B280='Team Parser'!$B$1, Data!M280,"")</f>
        <v/>
      </c>
      <c r="AB288" s="134" t="str">
        <f>IF(Data!$B280='Team Parser'!$B$1,((Z288*2)+(Y288)+(X288*4)+(W288*2)),"")</f>
        <v/>
      </c>
      <c r="AC288" s="134" t="str">
        <f>IF(Data!$B280='Team Parser'!$B$1, Data!N280,"")</f>
        <v/>
      </c>
      <c r="AD288" s="139" t="str">
        <f>IF(Data!$B280='Team Parser'!$B$1,(AB288+(COUNTIF(AC288,"TRAVERSE")*15)+(COUNTIF(AC288,"HIGH")*10)+(COUNTIF(AC288,"MIDDLE")*6)+(COUNTIF(AC288,"LOW")*4)),"")</f>
        <v/>
      </c>
    </row>
    <row r="289">
      <c r="A289" s="141" t="s">
        <v>507</v>
      </c>
      <c r="B289" s="134" t="str">
        <f>IFERROR(__xludf.DUMMYFUNCTION("IFERROR((FILTER(Data!H:H,Data!D:D=A289,Data!B:B=$B$1)),"""")"),"")</f>
        <v/>
      </c>
      <c r="C289" s="134" t="str">
        <f>IFERROR(__xludf.DUMMYFUNCTION("IFERROR((FILTER(Data!G:G,Data!D:D=A289,Data!B:B=$B$1)),"""")"),"")</f>
        <v/>
      </c>
      <c r="D289" s="134" t="str">
        <f>IFERROR(__xludf.DUMMYFUNCTION("IFERROR((FILTER(Data!J:J,Data!D:D=A289,Data!B:B=$B$1)),"""")"),"")</f>
        <v/>
      </c>
      <c r="E289" s="134" t="str">
        <f>IFERROR(__xludf.DUMMYFUNCTION("IFERROR((FILTER(Data!L:L,Data!D:D=A289,Data!B:B=$B$1)),"""")"),"")</f>
        <v/>
      </c>
      <c r="F289" s="134" t="str">
        <f>IFERROR(__xludf.DUMMYFUNCTION("IFERROR((FILTER(Data!K:K,Data!D:D=A289,Data!B:B=$B$1)),"""")"),"")</f>
        <v/>
      </c>
      <c r="G289" s="134" t="str">
        <f>IFERROR(__xludf.DUMMYFUNCTION("IFERROR((FILTER(Data!M:M,Data!D:D=A289,Data!B:B=$B$1)),"""")"),"")</f>
        <v/>
      </c>
      <c r="H289" s="134" t="str">
        <f>IFERROR(__xludf.DUMMYFUNCTION("IFERROR((FILTER(Data!G:G,Data!D:D=A289,Data!B:B=$B$1)*4)+(FILTER(Data!H:H,Data!D:D=A289,Data!B:B=$B$1)*2),"""")"),"")</f>
        <v/>
      </c>
      <c r="I289" s="15" t="str">
        <f>IFERROR(__xludf.DUMMYFUNCTION("IFERROR((FILTER(Data!K:K,Data!D:D=A289,Data!B:B=$B$1)*2)+(FILTER(Data!L:L,Data!D:D=A289,Data!B:B=$B$1)),"""")"),"")</f>
        <v/>
      </c>
      <c r="J289" s="134" t="str">
        <f>IFERROR(__xludf.DUMMYFUNCTION("IFERROR((FILTER(Data!N:N,Data!D:D=A289,Data!B:B=$B$1)),"""")"),"")</f>
        <v/>
      </c>
      <c r="K289" s="135" t="str">
        <f>IFERROR(__xludf.DUMMYFUNCTION("IFERROR((FILTER(Data!H:H,Data!D:D=A289,Data!B:B=$B$1)*2)+(FILTER(Data!L:L,Data!D:D=A289,Data!B:B=$B$1))+(FILTER(Data!G:G,Data!D:D=A289,Data!B:B=$B$1)*4)+(FILTER(Data!K:K,Data!D:D=A289,Data!B:B=$B$1)*2)+(((COUNTIF(FILTER(Data!N:N,Data!D:D=A289,Data!B:B=$B$"&amp;"1),""TRAVERSE"")*15)+(COUNTIF(FILTER(Data!N:N,Data!D:D=A289,Data!B:B=$B$1),""HIGH"")*10)+(COUNTIF(FILTER(Data!N:N,Data!D:D=A289,Data!B:B=$B$1),""MIDDLE"")*6)+(COUNTIF(FILTER(Data!N:N,Data!D:D=A289,Data!B:B=$B$1),""LOW"")*4))),"""")"),"")</f>
        <v/>
      </c>
      <c r="L289" s="136" t="str">
        <f>IFERROR(__xludf.DUMMYFUNCTION("IFERROR((FILTER(Data!P:P,Data!D:D=A289,Data!B:B=$B$1)),"""")"),"")</f>
        <v/>
      </c>
      <c r="M289" s="137" t="str">
        <f>IFERROR(__xludf.DUMMYFUNCTION("IFERROR((FILTER(Data!A:A,Data!D:D=A289,Data!B:B=$B$1)),"""")"),"")</f>
        <v/>
      </c>
      <c r="T289" s="52">
        <f>IFERROR(__xludf.DUMMYFUNCTION("((COUNTIF(FILTER(Data!N:N,Data!D:D=A289,Data!B:B=$B$1),""TRAVERSE"")*15)+(COUNTIF(FILTER(Data!N:N,Data!D:D=A289,Data!B:B=B$1),""HIGH"")*10)+(COUNTIF(FILTER(Data!N:N,Data!D:D=A289,Data!B:B=$B$1),""MIDDLE"")*6)+(COUNTIF(FILTER(Data!N:N,Data!D:D=A289,Data!B:"&amp;"B=$B$1),""LOW"")*4))"),0.0)</f>
        <v>0</v>
      </c>
      <c r="V289" s="138" t="str">
        <f>IF(Data!B281='Team Parser'!$B$1, Data!D281,"")</f>
        <v/>
      </c>
      <c r="W289" s="134" t="str">
        <f>IF(Data!$B281='Team Parser'!$B$1, Data!H281,"")</f>
        <v/>
      </c>
      <c r="X289" s="134" t="str">
        <f>IF(Data!$B281='Team Parser'!$B$1, Data!G281,"")</f>
        <v/>
      </c>
      <c r="Y289" s="134" t="str">
        <f>IF(Data!$B281='Team Parser'!$B$1, Data!L281,"")</f>
        <v/>
      </c>
      <c r="Z289" s="134" t="str">
        <f>IF(Data!$B281='Team Parser'!$B$1, Data!K281,"")</f>
        <v/>
      </c>
      <c r="AA289" s="134" t="str">
        <f>IF(Data!$B281='Team Parser'!$B$1, Data!M281,"")</f>
        <v/>
      </c>
      <c r="AB289" s="134" t="str">
        <f>IF(Data!$B281='Team Parser'!$B$1,((Z289*2)+(Y289)+(X289*4)+(W289*2)),"")</f>
        <v/>
      </c>
      <c r="AC289" s="134" t="str">
        <f>IF(Data!$B281='Team Parser'!$B$1, Data!N281,"")</f>
        <v/>
      </c>
      <c r="AD289" s="139" t="str">
        <f>IF(Data!$B281='Team Parser'!$B$1,(AB289+(COUNTIF(AC289,"TRAVERSE")*15)+(COUNTIF(AC289,"HIGH")*10)+(COUNTIF(AC289,"MIDDLE")*6)+(COUNTIF(AC289,"LOW")*4)),"")</f>
        <v/>
      </c>
    </row>
    <row r="290">
      <c r="A290" s="141" t="s">
        <v>507</v>
      </c>
      <c r="B290" s="134" t="str">
        <f>IFERROR(__xludf.DUMMYFUNCTION("IFERROR((FILTER(Data!H:H,Data!D:D=A290,Data!B:B=$B$1)),"""")"),"")</f>
        <v/>
      </c>
      <c r="C290" s="134" t="str">
        <f>IFERROR(__xludf.DUMMYFUNCTION("IFERROR((FILTER(Data!G:G,Data!D:D=A290,Data!B:B=$B$1)),"""")"),"")</f>
        <v/>
      </c>
      <c r="D290" s="134" t="str">
        <f>IFERROR(__xludf.DUMMYFUNCTION("IFERROR((FILTER(Data!J:J,Data!D:D=A290,Data!B:B=$B$1)),"""")"),"")</f>
        <v/>
      </c>
      <c r="E290" s="134" t="str">
        <f>IFERROR(__xludf.DUMMYFUNCTION("IFERROR((FILTER(Data!L:L,Data!D:D=A290,Data!B:B=$B$1)),"""")"),"")</f>
        <v/>
      </c>
      <c r="F290" s="134" t="str">
        <f>IFERROR(__xludf.DUMMYFUNCTION("IFERROR((FILTER(Data!K:K,Data!D:D=A290,Data!B:B=$B$1)),"""")"),"")</f>
        <v/>
      </c>
      <c r="G290" s="134" t="str">
        <f>IFERROR(__xludf.DUMMYFUNCTION("IFERROR((FILTER(Data!M:M,Data!D:D=A290,Data!B:B=$B$1)),"""")"),"")</f>
        <v/>
      </c>
      <c r="H290" s="134" t="str">
        <f>IFERROR(__xludf.DUMMYFUNCTION("IFERROR((FILTER(Data!G:G,Data!D:D=A290,Data!B:B=$B$1)*4)+(FILTER(Data!H:H,Data!D:D=A290,Data!B:B=$B$1)*2),"""")"),"")</f>
        <v/>
      </c>
      <c r="I290" s="15" t="str">
        <f>IFERROR(__xludf.DUMMYFUNCTION("IFERROR((FILTER(Data!K:K,Data!D:D=A290,Data!B:B=$B$1)*2)+(FILTER(Data!L:L,Data!D:D=A290,Data!B:B=$B$1)),"""")"),"")</f>
        <v/>
      </c>
      <c r="J290" s="134" t="str">
        <f>IFERROR(__xludf.DUMMYFUNCTION("IFERROR((FILTER(Data!N:N,Data!D:D=A290,Data!B:B=$B$1)),"""")"),"")</f>
        <v/>
      </c>
      <c r="K290" s="135" t="str">
        <f>IFERROR(__xludf.DUMMYFUNCTION("IFERROR((FILTER(Data!H:H,Data!D:D=A290,Data!B:B=$B$1)*2)+(FILTER(Data!L:L,Data!D:D=A290,Data!B:B=$B$1))+(FILTER(Data!G:G,Data!D:D=A290,Data!B:B=$B$1)*4)+(FILTER(Data!K:K,Data!D:D=A290,Data!B:B=$B$1)*2)+(((COUNTIF(FILTER(Data!N:N,Data!D:D=A290,Data!B:B=$B$"&amp;"1),""TRAVERSE"")*15)+(COUNTIF(FILTER(Data!N:N,Data!D:D=A290,Data!B:B=$B$1),""HIGH"")*10)+(COUNTIF(FILTER(Data!N:N,Data!D:D=A290,Data!B:B=$B$1),""MIDDLE"")*6)+(COUNTIF(FILTER(Data!N:N,Data!D:D=A290,Data!B:B=$B$1),""LOW"")*4))),"""")"),"")</f>
        <v/>
      </c>
      <c r="L290" s="136" t="str">
        <f>IFERROR(__xludf.DUMMYFUNCTION("IFERROR((FILTER(Data!P:P,Data!D:D=A290,Data!B:B=$B$1)),"""")"),"")</f>
        <v/>
      </c>
      <c r="M290" s="137" t="str">
        <f>IFERROR(__xludf.DUMMYFUNCTION("IFERROR((FILTER(Data!A:A,Data!D:D=A290,Data!B:B=$B$1)),"""")"),"")</f>
        <v/>
      </c>
      <c r="T290" s="52">
        <f>IFERROR(__xludf.DUMMYFUNCTION("((COUNTIF(FILTER(Data!N:N,Data!D:D=A290,Data!B:B=$B$1),""TRAVERSE"")*15)+(COUNTIF(FILTER(Data!N:N,Data!D:D=A290,Data!B:B=B$1),""HIGH"")*10)+(COUNTIF(FILTER(Data!N:N,Data!D:D=A290,Data!B:B=$B$1),""MIDDLE"")*6)+(COUNTIF(FILTER(Data!N:N,Data!D:D=A290,Data!B:"&amp;"B=$B$1),""LOW"")*4))"),0.0)</f>
        <v>0</v>
      </c>
      <c r="V290" s="138" t="str">
        <f>IF(Data!B282='Team Parser'!$B$1, Data!D282,"")</f>
        <v/>
      </c>
      <c r="W290" s="134" t="str">
        <f>IF(Data!$B282='Team Parser'!$B$1, Data!H282,"")</f>
        <v/>
      </c>
      <c r="X290" s="134" t="str">
        <f>IF(Data!$B282='Team Parser'!$B$1, Data!G282,"")</f>
        <v/>
      </c>
      <c r="Y290" s="134" t="str">
        <f>IF(Data!$B282='Team Parser'!$B$1, Data!L282,"")</f>
        <v/>
      </c>
      <c r="Z290" s="134" t="str">
        <f>IF(Data!$B282='Team Parser'!$B$1, Data!K282,"")</f>
        <v/>
      </c>
      <c r="AA290" s="134" t="str">
        <f>IF(Data!$B282='Team Parser'!$B$1, Data!M282,"")</f>
        <v/>
      </c>
      <c r="AB290" s="134" t="str">
        <f>IF(Data!$B282='Team Parser'!$B$1,((Z290*2)+(Y290)+(X290*4)+(W290*2)),"")</f>
        <v/>
      </c>
      <c r="AC290" s="134" t="str">
        <f>IF(Data!$B282='Team Parser'!$B$1, Data!N282,"")</f>
        <v/>
      </c>
      <c r="AD290" s="139" t="str">
        <f>IF(Data!$B282='Team Parser'!$B$1,(AB290+(COUNTIF(AC290,"TRAVERSE")*15)+(COUNTIF(AC290,"HIGH")*10)+(COUNTIF(AC290,"MIDDLE")*6)+(COUNTIF(AC290,"LOW")*4)),"")</f>
        <v/>
      </c>
    </row>
    <row r="291">
      <c r="A291" s="141" t="s">
        <v>507</v>
      </c>
      <c r="B291" s="134" t="str">
        <f>IFERROR(__xludf.DUMMYFUNCTION("IFERROR((FILTER(Data!H:H,Data!D:D=A291,Data!B:B=$B$1)),"""")"),"")</f>
        <v/>
      </c>
      <c r="C291" s="134" t="str">
        <f>IFERROR(__xludf.DUMMYFUNCTION("IFERROR((FILTER(Data!G:G,Data!D:D=A291,Data!B:B=$B$1)),"""")"),"")</f>
        <v/>
      </c>
      <c r="D291" s="134" t="str">
        <f>IFERROR(__xludf.DUMMYFUNCTION("IFERROR((FILTER(Data!J:J,Data!D:D=A291,Data!B:B=$B$1)),"""")"),"")</f>
        <v/>
      </c>
      <c r="E291" s="134" t="str">
        <f>IFERROR(__xludf.DUMMYFUNCTION("IFERROR((FILTER(Data!L:L,Data!D:D=A291,Data!B:B=$B$1)),"""")"),"")</f>
        <v/>
      </c>
      <c r="F291" s="134" t="str">
        <f>IFERROR(__xludf.DUMMYFUNCTION("IFERROR((FILTER(Data!K:K,Data!D:D=A291,Data!B:B=$B$1)),"""")"),"")</f>
        <v/>
      </c>
      <c r="G291" s="134" t="str">
        <f>IFERROR(__xludf.DUMMYFUNCTION("IFERROR((FILTER(Data!M:M,Data!D:D=A291,Data!B:B=$B$1)),"""")"),"")</f>
        <v/>
      </c>
      <c r="H291" s="134" t="str">
        <f>IFERROR(__xludf.DUMMYFUNCTION("IFERROR((FILTER(Data!G:G,Data!D:D=A291,Data!B:B=$B$1)*4)+(FILTER(Data!H:H,Data!D:D=A291,Data!B:B=$B$1)*2),"""")"),"")</f>
        <v/>
      </c>
      <c r="I291" s="15" t="str">
        <f>IFERROR(__xludf.DUMMYFUNCTION("IFERROR((FILTER(Data!K:K,Data!D:D=A291,Data!B:B=$B$1)*2)+(FILTER(Data!L:L,Data!D:D=A291,Data!B:B=$B$1)),"""")"),"")</f>
        <v/>
      </c>
      <c r="J291" s="134" t="str">
        <f>IFERROR(__xludf.DUMMYFUNCTION("IFERROR((FILTER(Data!N:N,Data!D:D=A291,Data!B:B=$B$1)),"""")"),"")</f>
        <v/>
      </c>
      <c r="K291" s="135" t="str">
        <f>IFERROR(__xludf.DUMMYFUNCTION("IFERROR((FILTER(Data!H:H,Data!D:D=A291,Data!B:B=$B$1)*2)+(FILTER(Data!L:L,Data!D:D=A291,Data!B:B=$B$1))+(FILTER(Data!G:G,Data!D:D=A291,Data!B:B=$B$1)*4)+(FILTER(Data!K:K,Data!D:D=A291,Data!B:B=$B$1)*2)+(((COUNTIF(FILTER(Data!N:N,Data!D:D=A291,Data!B:B=$B$"&amp;"1),""TRAVERSE"")*15)+(COUNTIF(FILTER(Data!N:N,Data!D:D=A291,Data!B:B=$B$1),""HIGH"")*10)+(COUNTIF(FILTER(Data!N:N,Data!D:D=A291,Data!B:B=$B$1),""MIDDLE"")*6)+(COUNTIF(FILTER(Data!N:N,Data!D:D=A291,Data!B:B=$B$1),""LOW"")*4))),"""")"),"")</f>
        <v/>
      </c>
      <c r="L291" s="136" t="str">
        <f>IFERROR(__xludf.DUMMYFUNCTION("IFERROR((FILTER(Data!P:P,Data!D:D=A291,Data!B:B=$B$1)),"""")"),"")</f>
        <v/>
      </c>
      <c r="M291" s="137" t="str">
        <f>IFERROR(__xludf.DUMMYFUNCTION("IFERROR((FILTER(Data!A:A,Data!D:D=A291,Data!B:B=$B$1)),"""")"),"")</f>
        <v/>
      </c>
      <c r="T291" s="52">
        <f>IFERROR(__xludf.DUMMYFUNCTION("((COUNTIF(FILTER(Data!N:N,Data!D:D=A291,Data!B:B=$B$1),""TRAVERSE"")*15)+(COUNTIF(FILTER(Data!N:N,Data!D:D=A291,Data!B:B=B$1),""HIGH"")*10)+(COUNTIF(FILTER(Data!N:N,Data!D:D=A291,Data!B:B=$B$1),""MIDDLE"")*6)+(COUNTIF(FILTER(Data!N:N,Data!D:D=A291,Data!B:"&amp;"B=$B$1),""LOW"")*4))"),0.0)</f>
        <v>0</v>
      </c>
      <c r="V291" s="138" t="str">
        <f>IF(Data!B283='Team Parser'!$B$1, Data!D283,"")</f>
        <v/>
      </c>
      <c r="W291" s="134" t="str">
        <f>IF(Data!$B283='Team Parser'!$B$1, Data!H283,"")</f>
        <v/>
      </c>
      <c r="X291" s="134" t="str">
        <f>IF(Data!$B283='Team Parser'!$B$1, Data!G283,"")</f>
        <v/>
      </c>
      <c r="Y291" s="134" t="str">
        <f>IF(Data!$B283='Team Parser'!$B$1, Data!L283,"")</f>
        <v/>
      </c>
      <c r="Z291" s="134" t="str">
        <f>IF(Data!$B283='Team Parser'!$B$1, Data!K283,"")</f>
        <v/>
      </c>
      <c r="AA291" s="134" t="str">
        <f>IF(Data!$B283='Team Parser'!$B$1, Data!M283,"")</f>
        <v/>
      </c>
      <c r="AB291" s="134" t="str">
        <f>IF(Data!$B283='Team Parser'!$B$1,((Z291*2)+(Y291)+(X291*4)+(W291*2)),"")</f>
        <v/>
      </c>
      <c r="AC291" s="134" t="str">
        <f>IF(Data!$B283='Team Parser'!$B$1, Data!N283,"")</f>
        <v/>
      </c>
      <c r="AD291" s="139" t="str">
        <f>IF(Data!$B283='Team Parser'!$B$1,(AB291+(COUNTIF(AC291,"TRAVERSE")*15)+(COUNTIF(AC291,"HIGH")*10)+(COUNTIF(AC291,"MIDDLE")*6)+(COUNTIF(AC291,"LOW")*4)),"")</f>
        <v/>
      </c>
    </row>
    <row r="292">
      <c r="A292" s="141" t="s">
        <v>507</v>
      </c>
      <c r="B292" s="134" t="str">
        <f>IFERROR(__xludf.DUMMYFUNCTION("IFERROR((FILTER(Data!H:H,Data!D:D=A292,Data!B:B=$B$1)),"""")"),"")</f>
        <v/>
      </c>
      <c r="C292" s="134" t="str">
        <f>IFERROR(__xludf.DUMMYFUNCTION("IFERROR((FILTER(Data!G:G,Data!D:D=A292,Data!B:B=$B$1)),"""")"),"")</f>
        <v/>
      </c>
      <c r="D292" s="134" t="str">
        <f>IFERROR(__xludf.DUMMYFUNCTION("IFERROR((FILTER(Data!J:J,Data!D:D=A292,Data!B:B=$B$1)),"""")"),"")</f>
        <v/>
      </c>
      <c r="E292" s="134" t="str">
        <f>IFERROR(__xludf.DUMMYFUNCTION("IFERROR((FILTER(Data!L:L,Data!D:D=A292,Data!B:B=$B$1)),"""")"),"")</f>
        <v/>
      </c>
      <c r="F292" s="134" t="str">
        <f>IFERROR(__xludf.DUMMYFUNCTION("IFERROR((FILTER(Data!K:K,Data!D:D=A292,Data!B:B=$B$1)),"""")"),"")</f>
        <v/>
      </c>
      <c r="G292" s="134" t="str">
        <f>IFERROR(__xludf.DUMMYFUNCTION("IFERROR((FILTER(Data!M:M,Data!D:D=A292,Data!B:B=$B$1)),"""")"),"")</f>
        <v/>
      </c>
      <c r="H292" s="134" t="str">
        <f>IFERROR(__xludf.DUMMYFUNCTION("IFERROR((FILTER(Data!G:G,Data!D:D=A292,Data!B:B=$B$1)*4)+(FILTER(Data!H:H,Data!D:D=A292,Data!B:B=$B$1)*2),"""")"),"")</f>
        <v/>
      </c>
      <c r="I292" s="15" t="str">
        <f>IFERROR(__xludf.DUMMYFUNCTION("IFERROR((FILTER(Data!K:K,Data!D:D=A292,Data!B:B=$B$1)*2)+(FILTER(Data!L:L,Data!D:D=A292,Data!B:B=$B$1)),"""")"),"")</f>
        <v/>
      </c>
      <c r="J292" s="134" t="str">
        <f>IFERROR(__xludf.DUMMYFUNCTION("IFERROR((FILTER(Data!N:N,Data!D:D=A292,Data!B:B=$B$1)),"""")"),"")</f>
        <v/>
      </c>
      <c r="K292" s="135" t="str">
        <f>IFERROR(__xludf.DUMMYFUNCTION("IFERROR((FILTER(Data!H:H,Data!D:D=A292,Data!B:B=$B$1)*2)+(FILTER(Data!L:L,Data!D:D=A292,Data!B:B=$B$1))+(FILTER(Data!G:G,Data!D:D=A292,Data!B:B=$B$1)*4)+(FILTER(Data!K:K,Data!D:D=A292,Data!B:B=$B$1)*2)+(((COUNTIF(FILTER(Data!N:N,Data!D:D=A292,Data!B:B=$B$"&amp;"1),""TRAVERSE"")*15)+(COUNTIF(FILTER(Data!N:N,Data!D:D=A292,Data!B:B=$B$1),""HIGH"")*10)+(COUNTIF(FILTER(Data!N:N,Data!D:D=A292,Data!B:B=$B$1),""MIDDLE"")*6)+(COUNTIF(FILTER(Data!N:N,Data!D:D=A292,Data!B:B=$B$1),""LOW"")*4))),"""")"),"")</f>
        <v/>
      </c>
      <c r="L292" s="136" t="str">
        <f>IFERROR(__xludf.DUMMYFUNCTION("IFERROR((FILTER(Data!P:P,Data!D:D=A292,Data!B:B=$B$1)),"""")"),"")</f>
        <v/>
      </c>
      <c r="M292" s="137" t="str">
        <f>IFERROR(__xludf.DUMMYFUNCTION("IFERROR((FILTER(Data!A:A,Data!D:D=A292,Data!B:B=$B$1)),"""")"),"")</f>
        <v/>
      </c>
      <c r="T292" s="52">
        <f>IFERROR(__xludf.DUMMYFUNCTION("((COUNTIF(FILTER(Data!N:N,Data!D:D=A292,Data!B:B=$B$1),""TRAVERSE"")*15)+(COUNTIF(FILTER(Data!N:N,Data!D:D=A292,Data!B:B=B$1),""HIGH"")*10)+(COUNTIF(FILTER(Data!N:N,Data!D:D=A292,Data!B:B=$B$1),""MIDDLE"")*6)+(COUNTIF(FILTER(Data!N:N,Data!D:D=A292,Data!B:"&amp;"B=$B$1),""LOW"")*4))"),0.0)</f>
        <v>0</v>
      </c>
      <c r="V292" s="138" t="str">
        <f>IF(Data!B284='Team Parser'!$B$1, Data!D284,"")</f>
        <v/>
      </c>
      <c r="W292" s="134" t="str">
        <f>IF(Data!$B284='Team Parser'!$B$1, Data!H284,"")</f>
        <v/>
      </c>
      <c r="X292" s="134" t="str">
        <f>IF(Data!$B284='Team Parser'!$B$1, Data!G284,"")</f>
        <v/>
      </c>
      <c r="Y292" s="134" t="str">
        <f>IF(Data!$B284='Team Parser'!$B$1, Data!L284,"")</f>
        <v/>
      </c>
      <c r="Z292" s="134" t="str">
        <f>IF(Data!$B284='Team Parser'!$B$1, Data!K284,"")</f>
        <v/>
      </c>
      <c r="AA292" s="134" t="str">
        <f>IF(Data!$B284='Team Parser'!$B$1, Data!M284,"")</f>
        <v/>
      </c>
      <c r="AB292" s="134" t="str">
        <f>IF(Data!$B284='Team Parser'!$B$1,((Z292*2)+(Y292)+(X292*4)+(W292*2)),"")</f>
        <v/>
      </c>
      <c r="AC292" s="134" t="str">
        <f>IF(Data!$B284='Team Parser'!$B$1, Data!N284,"")</f>
        <v/>
      </c>
      <c r="AD292" s="139" t="str">
        <f>IF(Data!$B284='Team Parser'!$B$1,(AB292+(COUNTIF(AC292,"TRAVERSE")*15)+(COUNTIF(AC292,"HIGH")*10)+(COUNTIF(AC292,"MIDDLE")*6)+(COUNTIF(AC292,"LOW")*4)),"")</f>
        <v/>
      </c>
    </row>
    <row r="293">
      <c r="A293" s="141" t="s">
        <v>507</v>
      </c>
      <c r="B293" s="134" t="str">
        <f>IFERROR(__xludf.DUMMYFUNCTION("IFERROR((FILTER(Data!H:H,Data!D:D=A293,Data!B:B=$B$1)),"""")"),"")</f>
        <v/>
      </c>
      <c r="C293" s="134" t="str">
        <f>IFERROR(__xludf.DUMMYFUNCTION("IFERROR((FILTER(Data!G:G,Data!D:D=A293,Data!B:B=$B$1)),"""")"),"")</f>
        <v/>
      </c>
      <c r="D293" s="134" t="str">
        <f>IFERROR(__xludf.DUMMYFUNCTION("IFERROR((FILTER(Data!J:J,Data!D:D=A293,Data!B:B=$B$1)),"""")"),"")</f>
        <v/>
      </c>
      <c r="E293" s="134" t="str">
        <f>IFERROR(__xludf.DUMMYFUNCTION("IFERROR((FILTER(Data!L:L,Data!D:D=A293,Data!B:B=$B$1)),"""")"),"")</f>
        <v/>
      </c>
      <c r="F293" s="134" t="str">
        <f>IFERROR(__xludf.DUMMYFUNCTION("IFERROR((FILTER(Data!K:K,Data!D:D=A293,Data!B:B=$B$1)),"""")"),"")</f>
        <v/>
      </c>
      <c r="G293" s="134" t="str">
        <f>IFERROR(__xludf.DUMMYFUNCTION("IFERROR((FILTER(Data!M:M,Data!D:D=A293,Data!B:B=$B$1)),"""")"),"")</f>
        <v/>
      </c>
      <c r="H293" s="134" t="str">
        <f>IFERROR(__xludf.DUMMYFUNCTION("IFERROR((FILTER(Data!G:G,Data!D:D=A293,Data!B:B=$B$1)*4)+(FILTER(Data!H:H,Data!D:D=A293,Data!B:B=$B$1)*2),"""")"),"")</f>
        <v/>
      </c>
      <c r="I293" s="15" t="str">
        <f>IFERROR(__xludf.DUMMYFUNCTION("IFERROR((FILTER(Data!K:K,Data!D:D=A293,Data!B:B=$B$1)*2)+(FILTER(Data!L:L,Data!D:D=A293,Data!B:B=$B$1)),"""")"),"")</f>
        <v/>
      </c>
      <c r="J293" s="134" t="str">
        <f>IFERROR(__xludf.DUMMYFUNCTION("IFERROR((FILTER(Data!N:N,Data!D:D=A293,Data!B:B=$B$1)),"""")"),"")</f>
        <v/>
      </c>
      <c r="K293" s="135" t="str">
        <f>IFERROR(__xludf.DUMMYFUNCTION("IFERROR((FILTER(Data!H:H,Data!D:D=A293,Data!B:B=$B$1)*2)+(FILTER(Data!L:L,Data!D:D=A293,Data!B:B=$B$1))+(FILTER(Data!G:G,Data!D:D=A293,Data!B:B=$B$1)*4)+(FILTER(Data!K:K,Data!D:D=A293,Data!B:B=$B$1)*2)+(((COUNTIF(FILTER(Data!N:N,Data!D:D=A293,Data!B:B=$B$"&amp;"1),""TRAVERSE"")*15)+(COUNTIF(FILTER(Data!N:N,Data!D:D=A293,Data!B:B=$B$1),""HIGH"")*10)+(COUNTIF(FILTER(Data!N:N,Data!D:D=A293,Data!B:B=$B$1),""MIDDLE"")*6)+(COUNTIF(FILTER(Data!N:N,Data!D:D=A293,Data!B:B=$B$1),""LOW"")*4))),"""")"),"")</f>
        <v/>
      </c>
      <c r="L293" s="136" t="str">
        <f>IFERROR(__xludf.DUMMYFUNCTION("IFERROR((FILTER(Data!P:P,Data!D:D=A293,Data!B:B=$B$1)),"""")"),"")</f>
        <v/>
      </c>
      <c r="M293" s="137" t="str">
        <f>IFERROR(__xludf.DUMMYFUNCTION("IFERROR((FILTER(Data!A:A,Data!D:D=A293,Data!B:B=$B$1)),"""")"),"")</f>
        <v/>
      </c>
      <c r="T293" s="52">
        <f>IFERROR(__xludf.DUMMYFUNCTION("((COUNTIF(FILTER(Data!N:N,Data!D:D=A293,Data!B:B=$B$1),""TRAVERSE"")*15)+(COUNTIF(FILTER(Data!N:N,Data!D:D=A293,Data!B:B=B$1),""HIGH"")*10)+(COUNTIF(FILTER(Data!N:N,Data!D:D=A293,Data!B:B=$B$1),""MIDDLE"")*6)+(COUNTIF(FILTER(Data!N:N,Data!D:D=A293,Data!B:"&amp;"B=$B$1),""LOW"")*4))"),0.0)</f>
        <v>0</v>
      </c>
      <c r="V293" s="138" t="str">
        <f>IF(Data!B285='Team Parser'!$B$1, Data!D285,"")</f>
        <v/>
      </c>
      <c r="W293" s="134" t="str">
        <f>IF(Data!$B285='Team Parser'!$B$1, Data!H285,"")</f>
        <v/>
      </c>
      <c r="X293" s="134" t="str">
        <f>IF(Data!$B285='Team Parser'!$B$1, Data!G285,"")</f>
        <v/>
      </c>
      <c r="Y293" s="134" t="str">
        <f>IF(Data!$B285='Team Parser'!$B$1, Data!L285,"")</f>
        <v/>
      </c>
      <c r="Z293" s="134" t="str">
        <f>IF(Data!$B285='Team Parser'!$B$1, Data!K285,"")</f>
        <v/>
      </c>
      <c r="AA293" s="134" t="str">
        <f>IF(Data!$B285='Team Parser'!$B$1, Data!M285,"")</f>
        <v/>
      </c>
      <c r="AB293" s="134" t="str">
        <f>IF(Data!$B285='Team Parser'!$B$1,((Z293*2)+(Y293)+(X293*4)+(W293*2)),"")</f>
        <v/>
      </c>
      <c r="AC293" s="134" t="str">
        <f>IF(Data!$B285='Team Parser'!$B$1, Data!N285,"")</f>
        <v/>
      </c>
      <c r="AD293" s="139" t="str">
        <f>IF(Data!$B285='Team Parser'!$B$1,(AB293+(COUNTIF(AC293,"TRAVERSE")*15)+(COUNTIF(AC293,"HIGH")*10)+(COUNTIF(AC293,"MIDDLE")*6)+(COUNTIF(AC293,"LOW")*4)),"")</f>
        <v/>
      </c>
    </row>
    <row r="294">
      <c r="A294" s="141" t="s">
        <v>507</v>
      </c>
      <c r="B294" s="134" t="str">
        <f>IFERROR(__xludf.DUMMYFUNCTION("IFERROR((FILTER(Data!H:H,Data!D:D=A294,Data!B:B=$B$1)),"""")"),"")</f>
        <v/>
      </c>
      <c r="C294" s="134" t="str">
        <f>IFERROR(__xludf.DUMMYFUNCTION("IFERROR((FILTER(Data!G:G,Data!D:D=A294,Data!B:B=$B$1)),"""")"),"")</f>
        <v/>
      </c>
      <c r="D294" s="134" t="str">
        <f>IFERROR(__xludf.DUMMYFUNCTION("IFERROR((FILTER(Data!J:J,Data!D:D=A294,Data!B:B=$B$1)),"""")"),"")</f>
        <v/>
      </c>
      <c r="E294" s="134" t="str">
        <f>IFERROR(__xludf.DUMMYFUNCTION("IFERROR((FILTER(Data!L:L,Data!D:D=A294,Data!B:B=$B$1)),"""")"),"")</f>
        <v/>
      </c>
      <c r="F294" s="134" t="str">
        <f>IFERROR(__xludf.DUMMYFUNCTION("IFERROR((FILTER(Data!K:K,Data!D:D=A294,Data!B:B=$B$1)),"""")"),"")</f>
        <v/>
      </c>
      <c r="G294" s="134" t="str">
        <f>IFERROR(__xludf.DUMMYFUNCTION("IFERROR((FILTER(Data!M:M,Data!D:D=A294,Data!B:B=$B$1)),"""")"),"")</f>
        <v/>
      </c>
      <c r="H294" s="134" t="str">
        <f>IFERROR(__xludf.DUMMYFUNCTION("IFERROR((FILTER(Data!G:G,Data!D:D=A294,Data!B:B=$B$1)*4)+(FILTER(Data!H:H,Data!D:D=A294,Data!B:B=$B$1)*2),"""")"),"")</f>
        <v/>
      </c>
      <c r="I294" s="15" t="str">
        <f>IFERROR(__xludf.DUMMYFUNCTION("IFERROR((FILTER(Data!K:K,Data!D:D=A294,Data!B:B=$B$1)*2)+(FILTER(Data!L:L,Data!D:D=A294,Data!B:B=$B$1)),"""")"),"")</f>
        <v/>
      </c>
      <c r="J294" s="134" t="str">
        <f>IFERROR(__xludf.DUMMYFUNCTION("IFERROR((FILTER(Data!N:N,Data!D:D=A294,Data!B:B=$B$1)),"""")"),"")</f>
        <v/>
      </c>
      <c r="K294" s="135" t="str">
        <f>IFERROR(__xludf.DUMMYFUNCTION("IFERROR((FILTER(Data!H:H,Data!D:D=A294,Data!B:B=$B$1)*2)+(FILTER(Data!L:L,Data!D:D=A294,Data!B:B=$B$1))+(FILTER(Data!G:G,Data!D:D=A294,Data!B:B=$B$1)*4)+(FILTER(Data!K:K,Data!D:D=A294,Data!B:B=$B$1)*2)+(((COUNTIF(FILTER(Data!N:N,Data!D:D=A294,Data!B:B=$B$"&amp;"1),""TRAVERSE"")*15)+(COUNTIF(FILTER(Data!N:N,Data!D:D=A294,Data!B:B=$B$1),""HIGH"")*10)+(COUNTIF(FILTER(Data!N:N,Data!D:D=A294,Data!B:B=$B$1),""MIDDLE"")*6)+(COUNTIF(FILTER(Data!N:N,Data!D:D=A294,Data!B:B=$B$1),""LOW"")*4))),"""")"),"")</f>
        <v/>
      </c>
      <c r="L294" s="136" t="str">
        <f>IFERROR(__xludf.DUMMYFUNCTION("IFERROR((FILTER(Data!P:P,Data!D:D=A294,Data!B:B=$B$1)),"""")"),"")</f>
        <v/>
      </c>
      <c r="M294" s="137" t="str">
        <f>IFERROR(__xludf.DUMMYFUNCTION("IFERROR((FILTER(Data!A:A,Data!D:D=A294,Data!B:B=$B$1)),"""")"),"")</f>
        <v/>
      </c>
      <c r="T294" s="52">
        <f>IFERROR(__xludf.DUMMYFUNCTION("((COUNTIF(FILTER(Data!N:N,Data!D:D=A294,Data!B:B=$B$1),""TRAVERSE"")*15)+(COUNTIF(FILTER(Data!N:N,Data!D:D=A294,Data!B:B=B$1),""HIGH"")*10)+(COUNTIF(FILTER(Data!N:N,Data!D:D=A294,Data!B:B=$B$1),""MIDDLE"")*6)+(COUNTIF(FILTER(Data!N:N,Data!D:D=A294,Data!B:"&amp;"B=$B$1),""LOW"")*4))"),0.0)</f>
        <v>0</v>
      </c>
      <c r="V294" s="138" t="str">
        <f>IF(Data!B286='Team Parser'!$B$1, Data!D286,"")</f>
        <v/>
      </c>
      <c r="W294" s="134" t="str">
        <f>IF(Data!$B286='Team Parser'!$B$1, Data!H286,"")</f>
        <v/>
      </c>
      <c r="X294" s="134" t="str">
        <f>IF(Data!$B286='Team Parser'!$B$1, Data!G286,"")</f>
        <v/>
      </c>
      <c r="Y294" s="134" t="str">
        <f>IF(Data!$B286='Team Parser'!$B$1, Data!L286,"")</f>
        <v/>
      </c>
      <c r="Z294" s="134" t="str">
        <f>IF(Data!$B286='Team Parser'!$B$1, Data!K286,"")</f>
        <v/>
      </c>
      <c r="AA294" s="134" t="str">
        <f>IF(Data!$B286='Team Parser'!$B$1, Data!M286,"")</f>
        <v/>
      </c>
      <c r="AB294" s="134" t="str">
        <f>IF(Data!$B286='Team Parser'!$B$1,((Z294*2)+(Y294)+(X294*4)+(W294*2)),"")</f>
        <v/>
      </c>
      <c r="AC294" s="134" t="str">
        <f>IF(Data!$B286='Team Parser'!$B$1, Data!N286,"")</f>
        <v/>
      </c>
      <c r="AD294" s="139" t="str">
        <f>IF(Data!$B286='Team Parser'!$B$1,(AB294+(COUNTIF(AC294,"TRAVERSE")*15)+(COUNTIF(AC294,"HIGH")*10)+(COUNTIF(AC294,"MIDDLE")*6)+(COUNTIF(AC294,"LOW")*4)),"")</f>
        <v/>
      </c>
    </row>
    <row r="295">
      <c r="A295" s="141" t="s">
        <v>507</v>
      </c>
      <c r="B295" s="134" t="str">
        <f>IFERROR(__xludf.DUMMYFUNCTION("IFERROR((FILTER(Data!H:H,Data!D:D=A295,Data!B:B=$B$1)),"""")"),"")</f>
        <v/>
      </c>
      <c r="C295" s="134" t="str">
        <f>IFERROR(__xludf.DUMMYFUNCTION("IFERROR((FILTER(Data!G:G,Data!D:D=A295,Data!B:B=$B$1)),"""")"),"")</f>
        <v/>
      </c>
      <c r="D295" s="134" t="str">
        <f>IFERROR(__xludf.DUMMYFUNCTION("IFERROR((FILTER(Data!J:J,Data!D:D=A295,Data!B:B=$B$1)),"""")"),"")</f>
        <v/>
      </c>
      <c r="E295" s="134" t="str">
        <f>IFERROR(__xludf.DUMMYFUNCTION("IFERROR((FILTER(Data!L:L,Data!D:D=A295,Data!B:B=$B$1)),"""")"),"")</f>
        <v/>
      </c>
      <c r="F295" s="134" t="str">
        <f>IFERROR(__xludf.DUMMYFUNCTION("IFERROR((FILTER(Data!K:K,Data!D:D=A295,Data!B:B=$B$1)),"""")"),"")</f>
        <v/>
      </c>
      <c r="G295" s="134" t="str">
        <f>IFERROR(__xludf.DUMMYFUNCTION("IFERROR((FILTER(Data!M:M,Data!D:D=A295,Data!B:B=$B$1)),"""")"),"")</f>
        <v/>
      </c>
      <c r="H295" s="134" t="str">
        <f>IFERROR(__xludf.DUMMYFUNCTION("IFERROR((FILTER(Data!G:G,Data!D:D=A295,Data!B:B=$B$1)*4)+(FILTER(Data!H:H,Data!D:D=A295,Data!B:B=$B$1)*2),"""")"),"")</f>
        <v/>
      </c>
      <c r="I295" s="15" t="str">
        <f>IFERROR(__xludf.DUMMYFUNCTION("IFERROR((FILTER(Data!K:K,Data!D:D=A295,Data!B:B=$B$1)*2)+(FILTER(Data!L:L,Data!D:D=A295,Data!B:B=$B$1)),"""")"),"")</f>
        <v/>
      </c>
      <c r="J295" s="134" t="str">
        <f>IFERROR(__xludf.DUMMYFUNCTION("IFERROR((FILTER(Data!N:N,Data!D:D=A295,Data!B:B=$B$1)),"""")"),"")</f>
        <v/>
      </c>
      <c r="K295" s="135" t="str">
        <f>IFERROR(__xludf.DUMMYFUNCTION("IFERROR((FILTER(Data!H:H,Data!D:D=A295,Data!B:B=$B$1)*2)+(FILTER(Data!L:L,Data!D:D=A295,Data!B:B=$B$1))+(FILTER(Data!G:G,Data!D:D=A295,Data!B:B=$B$1)*4)+(FILTER(Data!K:K,Data!D:D=A295,Data!B:B=$B$1)*2)+(((COUNTIF(FILTER(Data!N:N,Data!D:D=A295,Data!B:B=$B$"&amp;"1),""TRAVERSE"")*15)+(COUNTIF(FILTER(Data!N:N,Data!D:D=A295,Data!B:B=$B$1),""HIGH"")*10)+(COUNTIF(FILTER(Data!N:N,Data!D:D=A295,Data!B:B=$B$1),""MIDDLE"")*6)+(COUNTIF(FILTER(Data!N:N,Data!D:D=A295,Data!B:B=$B$1),""LOW"")*4))),"""")"),"")</f>
        <v/>
      </c>
      <c r="L295" s="136" t="str">
        <f>IFERROR(__xludf.DUMMYFUNCTION("IFERROR((FILTER(Data!P:P,Data!D:D=A295,Data!B:B=$B$1)),"""")"),"")</f>
        <v/>
      </c>
      <c r="M295" s="137" t="str">
        <f>IFERROR(__xludf.DUMMYFUNCTION("IFERROR((FILTER(Data!A:A,Data!D:D=A295,Data!B:B=$B$1)),"""")"),"")</f>
        <v/>
      </c>
      <c r="T295" s="52">
        <f>IFERROR(__xludf.DUMMYFUNCTION("((COUNTIF(FILTER(Data!N:N,Data!D:D=A295,Data!B:B=$B$1),""TRAVERSE"")*15)+(COUNTIF(FILTER(Data!N:N,Data!D:D=A295,Data!B:B=B$1),""HIGH"")*10)+(COUNTIF(FILTER(Data!N:N,Data!D:D=A295,Data!B:B=$B$1),""MIDDLE"")*6)+(COUNTIF(FILTER(Data!N:N,Data!D:D=A295,Data!B:"&amp;"B=$B$1),""LOW"")*4))"),0.0)</f>
        <v>0</v>
      </c>
      <c r="V295" s="138" t="str">
        <f>IF(Data!B287='Team Parser'!$B$1, Data!D287,"")</f>
        <v/>
      </c>
      <c r="W295" s="134" t="str">
        <f>IF(Data!$B287='Team Parser'!$B$1, Data!H287,"")</f>
        <v/>
      </c>
      <c r="X295" s="134" t="str">
        <f>IF(Data!$B287='Team Parser'!$B$1, Data!G287,"")</f>
        <v/>
      </c>
      <c r="Y295" s="134" t="str">
        <f>IF(Data!$B287='Team Parser'!$B$1, Data!L287,"")</f>
        <v/>
      </c>
      <c r="Z295" s="134" t="str">
        <f>IF(Data!$B287='Team Parser'!$B$1, Data!K287,"")</f>
        <v/>
      </c>
      <c r="AA295" s="134" t="str">
        <f>IF(Data!$B287='Team Parser'!$B$1, Data!M287,"")</f>
        <v/>
      </c>
      <c r="AB295" s="134" t="str">
        <f>IF(Data!$B287='Team Parser'!$B$1,((Z295*2)+(Y295)+(X295*4)+(W295*2)),"")</f>
        <v/>
      </c>
      <c r="AC295" s="134" t="str">
        <f>IF(Data!$B287='Team Parser'!$B$1, Data!N287,"")</f>
        <v/>
      </c>
      <c r="AD295" s="139" t="str">
        <f>IF(Data!$B287='Team Parser'!$B$1,(AB295+(COUNTIF(AC295,"TRAVERSE")*15)+(COUNTIF(AC295,"HIGH")*10)+(COUNTIF(AC295,"MIDDLE")*6)+(COUNTIF(AC295,"LOW")*4)),"")</f>
        <v/>
      </c>
    </row>
    <row r="296">
      <c r="A296" s="141" t="s">
        <v>507</v>
      </c>
      <c r="B296" s="134" t="str">
        <f>IFERROR(__xludf.DUMMYFUNCTION("IFERROR((FILTER(Data!H:H,Data!D:D=A296,Data!B:B=$B$1)),"""")"),"")</f>
        <v/>
      </c>
      <c r="C296" s="134" t="str">
        <f>IFERROR(__xludf.DUMMYFUNCTION("IFERROR((FILTER(Data!G:G,Data!D:D=A296,Data!B:B=$B$1)),"""")"),"")</f>
        <v/>
      </c>
      <c r="D296" s="134" t="str">
        <f>IFERROR(__xludf.DUMMYFUNCTION("IFERROR((FILTER(Data!J:J,Data!D:D=A296,Data!B:B=$B$1)),"""")"),"")</f>
        <v/>
      </c>
      <c r="E296" s="134" t="str">
        <f>IFERROR(__xludf.DUMMYFUNCTION("IFERROR((FILTER(Data!L:L,Data!D:D=A296,Data!B:B=$B$1)),"""")"),"")</f>
        <v/>
      </c>
      <c r="F296" s="134" t="str">
        <f>IFERROR(__xludf.DUMMYFUNCTION("IFERROR((FILTER(Data!K:K,Data!D:D=A296,Data!B:B=$B$1)),"""")"),"")</f>
        <v/>
      </c>
      <c r="G296" s="134" t="str">
        <f>IFERROR(__xludf.DUMMYFUNCTION("IFERROR((FILTER(Data!M:M,Data!D:D=A296,Data!B:B=$B$1)),"""")"),"")</f>
        <v/>
      </c>
      <c r="H296" s="134" t="str">
        <f>IFERROR(__xludf.DUMMYFUNCTION("IFERROR((FILTER(Data!G:G,Data!D:D=A296,Data!B:B=$B$1)*4)+(FILTER(Data!H:H,Data!D:D=A296,Data!B:B=$B$1)*2),"""")"),"")</f>
        <v/>
      </c>
      <c r="I296" s="15" t="str">
        <f>IFERROR(__xludf.DUMMYFUNCTION("IFERROR((FILTER(Data!K:K,Data!D:D=A296,Data!B:B=$B$1)*2)+(FILTER(Data!L:L,Data!D:D=A296,Data!B:B=$B$1)),"""")"),"")</f>
        <v/>
      </c>
      <c r="J296" s="134" t="str">
        <f>IFERROR(__xludf.DUMMYFUNCTION("IFERROR((FILTER(Data!N:N,Data!D:D=A296,Data!B:B=$B$1)),"""")"),"")</f>
        <v/>
      </c>
      <c r="K296" s="135" t="str">
        <f>IFERROR(__xludf.DUMMYFUNCTION("IFERROR((FILTER(Data!H:H,Data!D:D=A296,Data!B:B=$B$1)*2)+(FILTER(Data!L:L,Data!D:D=A296,Data!B:B=$B$1))+(FILTER(Data!G:G,Data!D:D=A296,Data!B:B=$B$1)*4)+(FILTER(Data!K:K,Data!D:D=A296,Data!B:B=$B$1)*2)+(((COUNTIF(FILTER(Data!N:N,Data!D:D=A296,Data!B:B=$B$"&amp;"1),""TRAVERSE"")*15)+(COUNTIF(FILTER(Data!N:N,Data!D:D=A296,Data!B:B=$B$1),""HIGH"")*10)+(COUNTIF(FILTER(Data!N:N,Data!D:D=A296,Data!B:B=$B$1),""MIDDLE"")*6)+(COUNTIF(FILTER(Data!N:N,Data!D:D=A296,Data!B:B=$B$1),""LOW"")*4))),"""")"),"")</f>
        <v/>
      </c>
      <c r="L296" s="136" t="str">
        <f>IFERROR(__xludf.DUMMYFUNCTION("IFERROR((FILTER(Data!P:P,Data!D:D=A296,Data!B:B=$B$1)),"""")"),"")</f>
        <v/>
      </c>
      <c r="M296" s="137" t="str">
        <f>IFERROR(__xludf.DUMMYFUNCTION("IFERROR((FILTER(Data!A:A,Data!D:D=A296,Data!B:B=$B$1)),"""")"),"")</f>
        <v/>
      </c>
      <c r="T296" s="52">
        <f>IFERROR(__xludf.DUMMYFUNCTION("((COUNTIF(FILTER(Data!N:N,Data!D:D=A296,Data!B:B=$B$1),""TRAVERSE"")*15)+(COUNTIF(FILTER(Data!N:N,Data!D:D=A296,Data!B:B=B$1),""HIGH"")*10)+(COUNTIF(FILTER(Data!N:N,Data!D:D=A296,Data!B:B=$B$1),""MIDDLE"")*6)+(COUNTIF(FILTER(Data!N:N,Data!D:D=A296,Data!B:"&amp;"B=$B$1),""LOW"")*4))"),0.0)</f>
        <v>0</v>
      </c>
      <c r="V296" s="138" t="str">
        <f>IF(Data!B288='Team Parser'!$B$1, Data!D288,"")</f>
        <v/>
      </c>
      <c r="W296" s="134" t="str">
        <f>IF(Data!$B288='Team Parser'!$B$1, Data!H288,"")</f>
        <v/>
      </c>
      <c r="X296" s="134" t="str">
        <f>IF(Data!$B288='Team Parser'!$B$1, Data!G288,"")</f>
        <v/>
      </c>
      <c r="Y296" s="134" t="str">
        <f>IF(Data!$B288='Team Parser'!$B$1, Data!L288,"")</f>
        <v/>
      </c>
      <c r="Z296" s="134" t="str">
        <f>IF(Data!$B288='Team Parser'!$B$1, Data!K288,"")</f>
        <v/>
      </c>
      <c r="AA296" s="134" t="str">
        <f>IF(Data!$B288='Team Parser'!$B$1, Data!M288,"")</f>
        <v/>
      </c>
      <c r="AB296" s="134" t="str">
        <f>IF(Data!$B288='Team Parser'!$B$1,((Z296*2)+(Y296)+(X296*4)+(W296*2)),"")</f>
        <v/>
      </c>
      <c r="AC296" s="134" t="str">
        <f>IF(Data!$B288='Team Parser'!$B$1, Data!N288,"")</f>
        <v/>
      </c>
      <c r="AD296" s="139" t="str">
        <f>IF(Data!$B288='Team Parser'!$B$1,(AB296+(COUNTIF(AC296,"TRAVERSE")*15)+(COUNTIF(AC296,"HIGH")*10)+(COUNTIF(AC296,"MIDDLE")*6)+(COUNTIF(AC296,"LOW")*4)),"")</f>
        <v/>
      </c>
    </row>
    <row r="297">
      <c r="A297" s="141" t="s">
        <v>507</v>
      </c>
      <c r="B297" s="134" t="str">
        <f>IFERROR(__xludf.DUMMYFUNCTION("IFERROR((FILTER(Data!H:H,Data!D:D=A297,Data!B:B=$B$1)),"""")"),"")</f>
        <v/>
      </c>
      <c r="C297" s="134" t="str">
        <f>IFERROR(__xludf.DUMMYFUNCTION("IFERROR((FILTER(Data!G:G,Data!D:D=A297,Data!B:B=$B$1)),"""")"),"")</f>
        <v/>
      </c>
      <c r="D297" s="134" t="str">
        <f>IFERROR(__xludf.DUMMYFUNCTION("IFERROR((FILTER(Data!J:J,Data!D:D=A297,Data!B:B=$B$1)),"""")"),"")</f>
        <v/>
      </c>
      <c r="E297" s="134" t="str">
        <f>IFERROR(__xludf.DUMMYFUNCTION("IFERROR((FILTER(Data!L:L,Data!D:D=A297,Data!B:B=$B$1)),"""")"),"")</f>
        <v/>
      </c>
      <c r="F297" s="134" t="str">
        <f>IFERROR(__xludf.DUMMYFUNCTION("IFERROR((FILTER(Data!K:K,Data!D:D=A297,Data!B:B=$B$1)),"""")"),"")</f>
        <v/>
      </c>
      <c r="G297" s="134" t="str">
        <f>IFERROR(__xludf.DUMMYFUNCTION("IFERROR((FILTER(Data!M:M,Data!D:D=A297,Data!B:B=$B$1)),"""")"),"")</f>
        <v/>
      </c>
      <c r="H297" s="134" t="str">
        <f>IFERROR(__xludf.DUMMYFUNCTION("IFERROR((FILTER(Data!G:G,Data!D:D=A297,Data!B:B=$B$1)*4)+(FILTER(Data!H:H,Data!D:D=A297,Data!B:B=$B$1)*2),"""")"),"")</f>
        <v/>
      </c>
      <c r="I297" s="15" t="str">
        <f>IFERROR(__xludf.DUMMYFUNCTION("IFERROR((FILTER(Data!K:K,Data!D:D=A297,Data!B:B=$B$1)*2)+(FILTER(Data!L:L,Data!D:D=A297,Data!B:B=$B$1)),"""")"),"")</f>
        <v/>
      </c>
      <c r="J297" s="134" t="str">
        <f>IFERROR(__xludf.DUMMYFUNCTION("IFERROR((FILTER(Data!N:N,Data!D:D=A297,Data!B:B=$B$1)),"""")"),"")</f>
        <v/>
      </c>
      <c r="K297" s="135" t="str">
        <f>IFERROR(__xludf.DUMMYFUNCTION("IFERROR((FILTER(Data!H:H,Data!D:D=A297,Data!B:B=$B$1)*2)+(FILTER(Data!L:L,Data!D:D=A297,Data!B:B=$B$1))+(FILTER(Data!G:G,Data!D:D=A297,Data!B:B=$B$1)*4)+(FILTER(Data!K:K,Data!D:D=A297,Data!B:B=$B$1)*2)+(((COUNTIF(FILTER(Data!N:N,Data!D:D=A297,Data!B:B=$B$"&amp;"1),""TRAVERSE"")*15)+(COUNTIF(FILTER(Data!N:N,Data!D:D=A297,Data!B:B=$B$1),""HIGH"")*10)+(COUNTIF(FILTER(Data!N:N,Data!D:D=A297,Data!B:B=$B$1),""MIDDLE"")*6)+(COUNTIF(FILTER(Data!N:N,Data!D:D=A297,Data!B:B=$B$1),""LOW"")*4))),"""")"),"")</f>
        <v/>
      </c>
      <c r="L297" s="136" t="str">
        <f>IFERROR(__xludf.DUMMYFUNCTION("IFERROR((FILTER(Data!P:P,Data!D:D=A297,Data!B:B=$B$1)),"""")"),"")</f>
        <v/>
      </c>
      <c r="M297" s="137" t="str">
        <f>IFERROR(__xludf.DUMMYFUNCTION("IFERROR((FILTER(Data!A:A,Data!D:D=A297,Data!B:B=$B$1)),"""")"),"")</f>
        <v/>
      </c>
      <c r="T297" s="52">
        <f>IFERROR(__xludf.DUMMYFUNCTION("((COUNTIF(FILTER(Data!N:N,Data!D:D=A297,Data!B:B=$B$1),""TRAVERSE"")*15)+(COUNTIF(FILTER(Data!N:N,Data!D:D=A297,Data!B:B=B$1),""HIGH"")*10)+(COUNTIF(FILTER(Data!N:N,Data!D:D=A297,Data!B:B=$B$1),""MIDDLE"")*6)+(COUNTIF(FILTER(Data!N:N,Data!D:D=A297,Data!B:"&amp;"B=$B$1),""LOW"")*4))"),0.0)</f>
        <v>0</v>
      </c>
      <c r="V297" s="138" t="str">
        <f>IF(Data!B289='Team Parser'!$B$1, Data!D289,"")</f>
        <v/>
      </c>
      <c r="W297" s="134" t="str">
        <f>IF(Data!$B289='Team Parser'!$B$1, Data!H289,"")</f>
        <v/>
      </c>
      <c r="X297" s="134" t="str">
        <f>IF(Data!$B289='Team Parser'!$B$1, Data!G289,"")</f>
        <v/>
      </c>
      <c r="Y297" s="134" t="str">
        <f>IF(Data!$B289='Team Parser'!$B$1, Data!L289,"")</f>
        <v/>
      </c>
      <c r="Z297" s="134" t="str">
        <f>IF(Data!$B289='Team Parser'!$B$1, Data!K289,"")</f>
        <v/>
      </c>
      <c r="AA297" s="134" t="str">
        <f>IF(Data!$B289='Team Parser'!$B$1, Data!M289,"")</f>
        <v/>
      </c>
      <c r="AB297" s="134" t="str">
        <f>IF(Data!$B289='Team Parser'!$B$1,((Z297*2)+(Y297)+(X297*4)+(W297*2)),"")</f>
        <v/>
      </c>
      <c r="AC297" s="134" t="str">
        <f>IF(Data!$B289='Team Parser'!$B$1, Data!N289,"")</f>
        <v/>
      </c>
      <c r="AD297" s="139" t="str">
        <f>IF(Data!$B289='Team Parser'!$B$1,(AB297+(COUNTIF(AC297,"TRAVERSE")*15)+(COUNTIF(AC297,"HIGH")*10)+(COUNTIF(AC297,"MIDDLE")*6)+(COUNTIF(AC297,"LOW")*4)),"")</f>
        <v/>
      </c>
    </row>
    <row r="298">
      <c r="A298" s="141" t="s">
        <v>507</v>
      </c>
      <c r="B298" s="134" t="str">
        <f>IFERROR(__xludf.DUMMYFUNCTION("IFERROR((FILTER(Data!H:H,Data!D:D=A298,Data!B:B=$B$1)),"""")"),"")</f>
        <v/>
      </c>
      <c r="C298" s="134" t="str">
        <f>IFERROR(__xludf.DUMMYFUNCTION("IFERROR((FILTER(Data!G:G,Data!D:D=A298,Data!B:B=$B$1)),"""")"),"")</f>
        <v/>
      </c>
      <c r="D298" s="134" t="str">
        <f>IFERROR(__xludf.DUMMYFUNCTION("IFERROR((FILTER(Data!J:J,Data!D:D=A298,Data!B:B=$B$1)),"""")"),"")</f>
        <v/>
      </c>
      <c r="E298" s="134" t="str">
        <f>IFERROR(__xludf.DUMMYFUNCTION("IFERROR((FILTER(Data!L:L,Data!D:D=A298,Data!B:B=$B$1)),"""")"),"")</f>
        <v/>
      </c>
      <c r="F298" s="134" t="str">
        <f>IFERROR(__xludf.DUMMYFUNCTION("IFERROR((FILTER(Data!K:K,Data!D:D=A298,Data!B:B=$B$1)),"""")"),"")</f>
        <v/>
      </c>
      <c r="G298" s="134" t="str">
        <f>IFERROR(__xludf.DUMMYFUNCTION("IFERROR((FILTER(Data!M:M,Data!D:D=A298,Data!B:B=$B$1)),"""")"),"")</f>
        <v/>
      </c>
      <c r="H298" s="134" t="str">
        <f>IFERROR(__xludf.DUMMYFUNCTION("IFERROR((FILTER(Data!G:G,Data!D:D=A298,Data!B:B=$B$1)*4)+(FILTER(Data!H:H,Data!D:D=A298,Data!B:B=$B$1)*2),"""")"),"")</f>
        <v/>
      </c>
      <c r="I298" s="15" t="str">
        <f>IFERROR(__xludf.DUMMYFUNCTION("IFERROR((FILTER(Data!K:K,Data!D:D=A298,Data!B:B=$B$1)*2)+(FILTER(Data!L:L,Data!D:D=A298,Data!B:B=$B$1)),"""")"),"")</f>
        <v/>
      </c>
      <c r="J298" s="134" t="str">
        <f>IFERROR(__xludf.DUMMYFUNCTION("IFERROR((FILTER(Data!N:N,Data!D:D=A298,Data!B:B=$B$1)),"""")"),"")</f>
        <v/>
      </c>
      <c r="K298" s="135" t="str">
        <f>IFERROR(__xludf.DUMMYFUNCTION("IFERROR((FILTER(Data!H:H,Data!D:D=A298,Data!B:B=$B$1)*2)+(FILTER(Data!L:L,Data!D:D=A298,Data!B:B=$B$1))+(FILTER(Data!G:G,Data!D:D=A298,Data!B:B=$B$1)*4)+(FILTER(Data!K:K,Data!D:D=A298,Data!B:B=$B$1)*2)+(((COUNTIF(FILTER(Data!N:N,Data!D:D=A298,Data!B:B=$B$"&amp;"1),""TRAVERSE"")*15)+(COUNTIF(FILTER(Data!N:N,Data!D:D=A298,Data!B:B=$B$1),""HIGH"")*10)+(COUNTIF(FILTER(Data!N:N,Data!D:D=A298,Data!B:B=$B$1),""MIDDLE"")*6)+(COUNTIF(FILTER(Data!N:N,Data!D:D=A298,Data!B:B=$B$1),""LOW"")*4))),"""")"),"")</f>
        <v/>
      </c>
      <c r="L298" s="136" t="str">
        <f>IFERROR(__xludf.DUMMYFUNCTION("IFERROR((FILTER(Data!P:P,Data!D:D=A298,Data!B:B=$B$1)),"""")"),"")</f>
        <v/>
      </c>
      <c r="M298" s="137" t="str">
        <f>IFERROR(__xludf.DUMMYFUNCTION("IFERROR((FILTER(Data!A:A,Data!D:D=A298,Data!B:B=$B$1)),"""")"),"")</f>
        <v/>
      </c>
      <c r="T298" s="52">
        <f>IFERROR(__xludf.DUMMYFUNCTION("((COUNTIF(FILTER(Data!N:N,Data!D:D=A298,Data!B:B=$B$1),""TRAVERSE"")*15)+(COUNTIF(FILTER(Data!N:N,Data!D:D=A298,Data!B:B=B$1),""HIGH"")*10)+(COUNTIF(FILTER(Data!N:N,Data!D:D=A298,Data!B:B=$B$1),""MIDDLE"")*6)+(COUNTIF(FILTER(Data!N:N,Data!D:D=A298,Data!B:"&amp;"B=$B$1),""LOW"")*4))"),0.0)</f>
        <v>0</v>
      </c>
      <c r="V298" s="138" t="str">
        <f>IF(Data!B290='Team Parser'!$B$1, Data!D290,"")</f>
        <v/>
      </c>
      <c r="W298" s="134" t="str">
        <f>IF(Data!$B290='Team Parser'!$B$1, Data!H290,"")</f>
        <v/>
      </c>
      <c r="X298" s="134" t="str">
        <f>IF(Data!$B290='Team Parser'!$B$1, Data!G290,"")</f>
        <v/>
      </c>
      <c r="Y298" s="134" t="str">
        <f>IF(Data!$B290='Team Parser'!$B$1, Data!L290,"")</f>
        <v/>
      </c>
      <c r="Z298" s="134" t="str">
        <f>IF(Data!$B290='Team Parser'!$B$1, Data!K290,"")</f>
        <v/>
      </c>
      <c r="AA298" s="134" t="str">
        <f>IF(Data!$B290='Team Parser'!$B$1, Data!M290,"")</f>
        <v/>
      </c>
      <c r="AB298" s="134" t="str">
        <f>IF(Data!$B290='Team Parser'!$B$1,((Z298*2)+(Y298)+(X298*4)+(W298*2)),"")</f>
        <v/>
      </c>
      <c r="AC298" s="134" t="str">
        <f>IF(Data!$B290='Team Parser'!$B$1, Data!N290,"")</f>
        <v/>
      </c>
      <c r="AD298" s="139" t="str">
        <f>IF(Data!$B290='Team Parser'!$B$1,(AB298+(COUNTIF(AC298,"TRAVERSE")*15)+(COUNTIF(AC298,"HIGH")*10)+(COUNTIF(AC298,"MIDDLE")*6)+(COUNTIF(AC298,"LOW")*4)),"")</f>
        <v/>
      </c>
    </row>
    <row r="299">
      <c r="A299" s="141" t="s">
        <v>507</v>
      </c>
      <c r="B299" s="134" t="str">
        <f>IFERROR(__xludf.DUMMYFUNCTION("IFERROR((FILTER(Data!H:H,Data!D:D=A299,Data!B:B=$B$1)),"""")"),"")</f>
        <v/>
      </c>
      <c r="C299" s="134" t="str">
        <f>IFERROR(__xludf.DUMMYFUNCTION("IFERROR((FILTER(Data!G:G,Data!D:D=A299,Data!B:B=$B$1)),"""")"),"")</f>
        <v/>
      </c>
      <c r="D299" s="134" t="str">
        <f>IFERROR(__xludf.DUMMYFUNCTION("IFERROR((FILTER(Data!J:J,Data!D:D=A299,Data!B:B=$B$1)),"""")"),"")</f>
        <v/>
      </c>
      <c r="E299" s="134" t="str">
        <f>IFERROR(__xludf.DUMMYFUNCTION("IFERROR((FILTER(Data!L:L,Data!D:D=A299,Data!B:B=$B$1)),"""")"),"")</f>
        <v/>
      </c>
      <c r="F299" s="134" t="str">
        <f>IFERROR(__xludf.DUMMYFUNCTION("IFERROR((FILTER(Data!K:K,Data!D:D=A299,Data!B:B=$B$1)),"""")"),"")</f>
        <v/>
      </c>
      <c r="G299" s="134" t="str">
        <f>IFERROR(__xludf.DUMMYFUNCTION("IFERROR((FILTER(Data!M:M,Data!D:D=A299,Data!B:B=$B$1)),"""")"),"")</f>
        <v/>
      </c>
      <c r="H299" s="134" t="str">
        <f>IFERROR(__xludf.DUMMYFUNCTION("IFERROR((FILTER(Data!G:G,Data!D:D=A299,Data!B:B=$B$1)*4)+(FILTER(Data!H:H,Data!D:D=A299,Data!B:B=$B$1)*2),"""")"),"")</f>
        <v/>
      </c>
      <c r="I299" s="15" t="str">
        <f>IFERROR(__xludf.DUMMYFUNCTION("IFERROR((FILTER(Data!K:K,Data!D:D=A299,Data!B:B=$B$1)*2)+(FILTER(Data!L:L,Data!D:D=A299,Data!B:B=$B$1)),"""")"),"")</f>
        <v/>
      </c>
      <c r="J299" s="134" t="str">
        <f>IFERROR(__xludf.DUMMYFUNCTION("IFERROR((FILTER(Data!N:N,Data!D:D=A299,Data!B:B=$B$1)),"""")"),"")</f>
        <v/>
      </c>
      <c r="K299" s="135" t="str">
        <f>IFERROR(__xludf.DUMMYFUNCTION("IFERROR((FILTER(Data!H:H,Data!D:D=A299,Data!B:B=$B$1)*2)+(FILTER(Data!L:L,Data!D:D=A299,Data!B:B=$B$1))+(FILTER(Data!G:G,Data!D:D=A299,Data!B:B=$B$1)*4)+(FILTER(Data!K:K,Data!D:D=A299,Data!B:B=$B$1)*2)+(((COUNTIF(FILTER(Data!N:N,Data!D:D=A299,Data!B:B=$B$"&amp;"1),""TRAVERSE"")*15)+(COUNTIF(FILTER(Data!N:N,Data!D:D=A299,Data!B:B=$B$1),""HIGH"")*10)+(COUNTIF(FILTER(Data!N:N,Data!D:D=A299,Data!B:B=$B$1),""MIDDLE"")*6)+(COUNTIF(FILTER(Data!N:N,Data!D:D=A299,Data!B:B=$B$1),""LOW"")*4))),"""")"),"")</f>
        <v/>
      </c>
      <c r="L299" s="136" t="str">
        <f>IFERROR(__xludf.DUMMYFUNCTION("IFERROR((FILTER(Data!P:P,Data!D:D=A299,Data!B:B=$B$1)),"""")"),"")</f>
        <v/>
      </c>
      <c r="M299" s="137" t="str">
        <f>IFERROR(__xludf.DUMMYFUNCTION("IFERROR((FILTER(Data!A:A,Data!D:D=A299,Data!B:B=$B$1)),"""")"),"")</f>
        <v/>
      </c>
      <c r="T299" s="52">
        <f>IFERROR(__xludf.DUMMYFUNCTION("((COUNTIF(FILTER(Data!N:N,Data!D:D=A299,Data!B:B=$B$1),""TRAVERSE"")*15)+(COUNTIF(FILTER(Data!N:N,Data!D:D=A299,Data!B:B=B$1),""HIGH"")*10)+(COUNTIF(FILTER(Data!N:N,Data!D:D=A299,Data!B:B=$B$1),""MIDDLE"")*6)+(COUNTIF(FILTER(Data!N:N,Data!D:D=A299,Data!B:"&amp;"B=$B$1),""LOW"")*4))"),0.0)</f>
        <v>0</v>
      </c>
      <c r="V299" s="138" t="str">
        <f>IF(Data!B291='Team Parser'!$B$1, Data!D291,"")</f>
        <v/>
      </c>
      <c r="W299" s="134" t="str">
        <f>IF(Data!$B291='Team Parser'!$B$1, Data!H291,"")</f>
        <v/>
      </c>
      <c r="X299" s="134" t="str">
        <f>IF(Data!$B291='Team Parser'!$B$1, Data!G291,"")</f>
        <v/>
      </c>
      <c r="Y299" s="134" t="str">
        <f>IF(Data!$B291='Team Parser'!$B$1, Data!L291,"")</f>
        <v/>
      </c>
      <c r="Z299" s="134" t="str">
        <f>IF(Data!$B291='Team Parser'!$B$1, Data!K291,"")</f>
        <v/>
      </c>
      <c r="AA299" s="134" t="str">
        <f>IF(Data!$B291='Team Parser'!$B$1, Data!M291,"")</f>
        <v/>
      </c>
      <c r="AB299" s="134" t="str">
        <f>IF(Data!$B291='Team Parser'!$B$1,((Z299*2)+(Y299)+(X299*4)+(W299*2)),"")</f>
        <v/>
      </c>
      <c r="AC299" s="134" t="str">
        <f>IF(Data!$B291='Team Parser'!$B$1, Data!N291,"")</f>
        <v/>
      </c>
      <c r="AD299" s="139" t="str">
        <f>IF(Data!$B291='Team Parser'!$B$1,(AB299+(COUNTIF(AC299,"TRAVERSE")*15)+(COUNTIF(AC299,"HIGH")*10)+(COUNTIF(AC299,"MIDDLE")*6)+(COUNTIF(AC299,"LOW")*4)),"")</f>
        <v/>
      </c>
    </row>
    <row r="300">
      <c r="A300" s="141" t="s">
        <v>507</v>
      </c>
      <c r="B300" s="134" t="str">
        <f>IFERROR(__xludf.DUMMYFUNCTION("IFERROR((FILTER(Data!H:H,Data!D:D=A300,Data!B:B=$B$1)),"""")"),"")</f>
        <v/>
      </c>
      <c r="C300" s="134" t="str">
        <f>IFERROR(__xludf.DUMMYFUNCTION("IFERROR((FILTER(Data!G:G,Data!D:D=A300,Data!B:B=$B$1)),"""")"),"")</f>
        <v/>
      </c>
      <c r="D300" s="134" t="str">
        <f>IFERROR(__xludf.DUMMYFUNCTION("IFERROR((FILTER(Data!J:J,Data!D:D=A300,Data!B:B=$B$1)),"""")"),"")</f>
        <v/>
      </c>
      <c r="E300" s="134" t="str">
        <f>IFERROR(__xludf.DUMMYFUNCTION("IFERROR((FILTER(Data!L:L,Data!D:D=A300,Data!B:B=$B$1)),"""")"),"")</f>
        <v/>
      </c>
      <c r="F300" s="134" t="str">
        <f>IFERROR(__xludf.DUMMYFUNCTION("IFERROR((FILTER(Data!K:K,Data!D:D=A300,Data!B:B=$B$1)),"""")"),"")</f>
        <v/>
      </c>
      <c r="G300" s="134" t="str">
        <f>IFERROR(__xludf.DUMMYFUNCTION("IFERROR((FILTER(Data!M:M,Data!D:D=A300,Data!B:B=$B$1)),"""")"),"")</f>
        <v/>
      </c>
      <c r="H300" s="134" t="str">
        <f>IFERROR(__xludf.DUMMYFUNCTION("IFERROR((FILTER(Data!G:G,Data!D:D=A300,Data!B:B=$B$1)*4)+(FILTER(Data!H:H,Data!D:D=A300,Data!B:B=$B$1)*2),"""")"),"")</f>
        <v/>
      </c>
      <c r="I300" s="15" t="str">
        <f>IFERROR(__xludf.DUMMYFUNCTION("IFERROR((FILTER(Data!K:K,Data!D:D=A300,Data!B:B=$B$1)*2)+(FILTER(Data!L:L,Data!D:D=A300,Data!B:B=$B$1)),"""")"),"")</f>
        <v/>
      </c>
      <c r="J300" s="134" t="str">
        <f>IFERROR(__xludf.DUMMYFUNCTION("IFERROR((FILTER(Data!N:N,Data!D:D=A300,Data!B:B=$B$1)),"""")"),"")</f>
        <v/>
      </c>
      <c r="K300" s="135" t="str">
        <f>IFERROR(__xludf.DUMMYFUNCTION("IFERROR((FILTER(Data!H:H,Data!D:D=A300,Data!B:B=$B$1)*2)+(FILTER(Data!L:L,Data!D:D=A300,Data!B:B=$B$1))+(FILTER(Data!G:G,Data!D:D=A300,Data!B:B=$B$1)*4)+(FILTER(Data!K:K,Data!D:D=A300,Data!B:B=$B$1)*2)+(((COUNTIF(FILTER(Data!N:N,Data!D:D=A300,Data!B:B=$B$"&amp;"1),""TRAVERSE"")*15)+(COUNTIF(FILTER(Data!N:N,Data!D:D=A300,Data!B:B=$B$1),""HIGH"")*10)+(COUNTIF(FILTER(Data!N:N,Data!D:D=A300,Data!B:B=$B$1),""MIDDLE"")*6)+(COUNTIF(FILTER(Data!N:N,Data!D:D=A300,Data!B:B=$B$1),""LOW"")*4))),"""")"),"")</f>
        <v/>
      </c>
      <c r="L300" s="136" t="str">
        <f>IFERROR(__xludf.DUMMYFUNCTION("IFERROR((FILTER(Data!P:P,Data!D:D=A300,Data!B:B=$B$1)),"""")"),"")</f>
        <v/>
      </c>
      <c r="M300" s="137" t="str">
        <f>IFERROR(__xludf.DUMMYFUNCTION("IFERROR((FILTER(Data!A:A,Data!D:D=A300,Data!B:B=$B$1)),"""")"),"")</f>
        <v/>
      </c>
      <c r="T300" s="52">
        <f>IFERROR(__xludf.DUMMYFUNCTION("((COUNTIF(FILTER(Data!N:N,Data!D:D=A300,Data!B:B=$B$1),""TRAVERSE"")*15)+(COUNTIF(FILTER(Data!N:N,Data!D:D=A300,Data!B:B=B$1),""HIGH"")*10)+(COUNTIF(FILTER(Data!N:N,Data!D:D=A300,Data!B:B=$B$1),""MIDDLE"")*6)+(COUNTIF(FILTER(Data!N:N,Data!D:D=A300,Data!B:"&amp;"B=$B$1),""LOW"")*4))"),0.0)</f>
        <v>0</v>
      </c>
      <c r="V300" s="138" t="str">
        <f>IF(Data!B292='Team Parser'!$B$1, Data!D292,"")</f>
        <v/>
      </c>
      <c r="W300" s="134" t="str">
        <f>IF(Data!$B292='Team Parser'!$B$1, Data!H292,"")</f>
        <v/>
      </c>
      <c r="X300" s="134" t="str">
        <f>IF(Data!$B292='Team Parser'!$B$1, Data!G292,"")</f>
        <v/>
      </c>
      <c r="Y300" s="134" t="str">
        <f>IF(Data!$B292='Team Parser'!$B$1, Data!L292,"")</f>
        <v/>
      </c>
      <c r="Z300" s="134" t="str">
        <f>IF(Data!$B292='Team Parser'!$B$1, Data!K292,"")</f>
        <v/>
      </c>
      <c r="AA300" s="134" t="str">
        <f>IF(Data!$B292='Team Parser'!$B$1, Data!M292,"")</f>
        <v/>
      </c>
      <c r="AB300" s="134" t="str">
        <f>IF(Data!$B292='Team Parser'!$B$1,((Z300*2)+(Y300)+(X300*4)+(W300*2)),"")</f>
        <v/>
      </c>
      <c r="AC300" s="134" t="str">
        <f>IF(Data!$B292='Team Parser'!$B$1, Data!N292,"")</f>
        <v/>
      </c>
      <c r="AD300" s="139" t="str">
        <f>IF(Data!$B292='Team Parser'!$B$1,(AB300+(COUNTIF(AC300,"TRAVERSE")*15)+(COUNTIF(AC300,"HIGH")*10)+(COUNTIF(AC300,"MIDDLE")*6)+(COUNTIF(AC300,"LOW")*4)),"")</f>
        <v/>
      </c>
    </row>
    <row r="301">
      <c r="A301" s="141" t="s">
        <v>507</v>
      </c>
      <c r="B301" s="134" t="str">
        <f>IFERROR(__xludf.DUMMYFUNCTION("IFERROR((FILTER(Data!H:H,Data!D:D=A301,Data!B:B=$B$1)),"""")"),"")</f>
        <v/>
      </c>
      <c r="C301" s="134" t="str">
        <f>IFERROR(__xludf.DUMMYFUNCTION("IFERROR((FILTER(Data!G:G,Data!D:D=A301,Data!B:B=$B$1)),"""")"),"")</f>
        <v/>
      </c>
      <c r="D301" s="134" t="str">
        <f>IFERROR(__xludf.DUMMYFUNCTION("IFERROR((FILTER(Data!J:J,Data!D:D=A301,Data!B:B=$B$1)),"""")"),"")</f>
        <v/>
      </c>
      <c r="E301" s="134" t="str">
        <f>IFERROR(__xludf.DUMMYFUNCTION("IFERROR((FILTER(Data!L:L,Data!D:D=A301,Data!B:B=$B$1)),"""")"),"")</f>
        <v/>
      </c>
      <c r="F301" s="134" t="str">
        <f>IFERROR(__xludf.DUMMYFUNCTION("IFERROR((FILTER(Data!K:K,Data!D:D=A301,Data!B:B=$B$1)),"""")"),"")</f>
        <v/>
      </c>
      <c r="G301" s="134" t="str">
        <f>IFERROR(__xludf.DUMMYFUNCTION("IFERROR((FILTER(Data!M:M,Data!D:D=A301,Data!B:B=$B$1)),"""")"),"")</f>
        <v/>
      </c>
      <c r="H301" s="134" t="str">
        <f>IFERROR(__xludf.DUMMYFUNCTION("IFERROR((FILTER(Data!G:G,Data!D:D=A301,Data!B:B=$B$1)*4)+(FILTER(Data!H:H,Data!D:D=A301,Data!B:B=$B$1)*2),"""")"),"")</f>
        <v/>
      </c>
      <c r="I301" s="15" t="str">
        <f>IFERROR(__xludf.DUMMYFUNCTION("IFERROR((FILTER(Data!K:K,Data!D:D=A301,Data!B:B=$B$1)*2)+(FILTER(Data!L:L,Data!D:D=A301,Data!B:B=$B$1)),"""")"),"")</f>
        <v/>
      </c>
      <c r="J301" s="134" t="str">
        <f>IFERROR(__xludf.DUMMYFUNCTION("IFERROR((FILTER(Data!N:N,Data!D:D=A301,Data!B:B=$B$1)),"""")"),"")</f>
        <v/>
      </c>
      <c r="K301" s="135" t="str">
        <f>IFERROR(__xludf.DUMMYFUNCTION("IFERROR((FILTER(Data!H:H,Data!D:D=A301,Data!B:B=$B$1)*2)+(FILTER(Data!L:L,Data!D:D=A301,Data!B:B=$B$1))+(FILTER(Data!G:G,Data!D:D=A301,Data!B:B=$B$1)*4)+(FILTER(Data!K:K,Data!D:D=A301,Data!B:B=$B$1)*2)+(((COUNTIF(FILTER(Data!N:N,Data!D:D=A301,Data!B:B=$B$"&amp;"1),""TRAVERSE"")*15)+(COUNTIF(FILTER(Data!N:N,Data!D:D=A301,Data!B:B=$B$1),""HIGH"")*10)+(COUNTIF(FILTER(Data!N:N,Data!D:D=A301,Data!B:B=$B$1),""MIDDLE"")*6)+(COUNTIF(FILTER(Data!N:N,Data!D:D=A301,Data!B:B=$B$1),""LOW"")*4))),"""")"),"")</f>
        <v/>
      </c>
      <c r="L301" s="136" t="str">
        <f>IFERROR(__xludf.DUMMYFUNCTION("IFERROR((FILTER(Data!P:P,Data!D:D=A301,Data!B:B=$B$1)),"""")"),"")</f>
        <v/>
      </c>
      <c r="M301" s="137" t="str">
        <f>IFERROR(__xludf.DUMMYFUNCTION("IFERROR((FILTER(Data!A:A,Data!D:D=A301,Data!B:B=$B$1)),"""")"),"")</f>
        <v/>
      </c>
      <c r="T301" s="52">
        <f>IFERROR(__xludf.DUMMYFUNCTION("((COUNTIF(FILTER(Data!N:N,Data!D:D=A301,Data!B:B=$B$1),""TRAVERSE"")*15)+(COUNTIF(FILTER(Data!N:N,Data!D:D=A301,Data!B:B=B$1),""HIGH"")*10)+(COUNTIF(FILTER(Data!N:N,Data!D:D=A301,Data!B:B=$B$1),""MIDDLE"")*6)+(COUNTIF(FILTER(Data!N:N,Data!D:D=A301,Data!B:"&amp;"B=$B$1),""LOW"")*4))"),0.0)</f>
        <v>0</v>
      </c>
      <c r="V301" s="138" t="str">
        <f>IF(Data!B293='Team Parser'!$B$1, Data!D293,"")</f>
        <v/>
      </c>
      <c r="W301" s="134" t="str">
        <f>IF(Data!$B293='Team Parser'!$B$1, Data!H293,"")</f>
        <v/>
      </c>
      <c r="X301" s="134" t="str">
        <f>IF(Data!$B293='Team Parser'!$B$1, Data!G293,"")</f>
        <v/>
      </c>
      <c r="Y301" s="134" t="str">
        <f>IF(Data!$B293='Team Parser'!$B$1, Data!L293,"")</f>
        <v/>
      </c>
      <c r="Z301" s="134" t="str">
        <f>IF(Data!$B293='Team Parser'!$B$1, Data!K293,"")</f>
        <v/>
      </c>
      <c r="AA301" s="134" t="str">
        <f>IF(Data!$B293='Team Parser'!$B$1, Data!M293,"")</f>
        <v/>
      </c>
      <c r="AB301" s="134" t="str">
        <f>IF(Data!$B293='Team Parser'!$B$1,((Z301*2)+(Y301)+(X301*4)+(W301*2)),"")</f>
        <v/>
      </c>
      <c r="AC301" s="134" t="str">
        <f>IF(Data!$B293='Team Parser'!$B$1, Data!N293,"")</f>
        <v/>
      </c>
      <c r="AD301" s="139" t="str">
        <f>IF(Data!$B293='Team Parser'!$B$1,(AB301+(COUNTIF(AC301,"TRAVERSE")*15)+(COUNTIF(AC301,"HIGH")*10)+(COUNTIF(AC301,"MIDDLE")*6)+(COUNTIF(AC301,"LOW")*4)),"")</f>
        <v/>
      </c>
    </row>
    <row r="302">
      <c r="A302" s="141" t="s">
        <v>507</v>
      </c>
      <c r="B302" s="134" t="str">
        <f>IFERROR(__xludf.DUMMYFUNCTION("IFERROR((FILTER(Data!H:H,Data!D:D=A302,Data!B:B=$B$1)),"""")"),"")</f>
        <v/>
      </c>
      <c r="C302" s="134" t="str">
        <f>IFERROR(__xludf.DUMMYFUNCTION("IFERROR((FILTER(Data!G:G,Data!D:D=A302,Data!B:B=$B$1)),"""")"),"")</f>
        <v/>
      </c>
      <c r="D302" s="134" t="str">
        <f>IFERROR(__xludf.DUMMYFUNCTION("IFERROR((FILTER(Data!J:J,Data!D:D=A302,Data!B:B=$B$1)),"""")"),"")</f>
        <v/>
      </c>
      <c r="E302" s="134" t="str">
        <f>IFERROR(__xludf.DUMMYFUNCTION("IFERROR((FILTER(Data!L:L,Data!D:D=A302,Data!B:B=$B$1)),"""")"),"")</f>
        <v/>
      </c>
      <c r="F302" s="134" t="str">
        <f>IFERROR(__xludf.DUMMYFUNCTION("IFERROR((FILTER(Data!K:K,Data!D:D=A302,Data!B:B=$B$1)),"""")"),"")</f>
        <v/>
      </c>
      <c r="G302" s="134" t="str">
        <f>IFERROR(__xludf.DUMMYFUNCTION("IFERROR((FILTER(Data!M:M,Data!D:D=A302,Data!B:B=$B$1)),"""")"),"")</f>
        <v/>
      </c>
      <c r="H302" s="134" t="str">
        <f>IFERROR(__xludf.DUMMYFUNCTION("IFERROR((FILTER(Data!G:G,Data!D:D=A302,Data!B:B=$B$1)*4)+(FILTER(Data!H:H,Data!D:D=A302,Data!B:B=$B$1)*2),"""")"),"")</f>
        <v/>
      </c>
      <c r="I302" s="15" t="str">
        <f>IFERROR(__xludf.DUMMYFUNCTION("IFERROR((FILTER(Data!K:K,Data!D:D=A302,Data!B:B=$B$1)*2)+(FILTER(Data!L:L,Data!D:D=A302,Data!B:B=$B$1)),"""")"),"")</f>
        <v/>
      </c>
      <c r="J302" s="134" t="str">
        <f>IFERROR(__xludf.DUMMYFUNCTION("IFERROR((FILTER(Data!N:N,Data!D:D=A302,Data!B:B=$B$1)),"""")"),"")</f>
        <v/>
      </c>
      <c r="K302" s="135" t="str">
        <f>IFERROR(__xludf.DUMMYFUNCTION("IFERROR((FILTER(Data!H:H,Data!D:D=A302,Data!B:B=$B$1)*2)+(FILTER(Data!L:L,Data!D:D=A302,Data!B:B=$B$1))+(FILTER(Data!G:G,Data!D:D=A302,Data!B:B=$B$1)*4)+(FILTER(Data!K:K,Data!D:D=A302,Data!B:B=$B$1)*2)+(((COUNTIF(FILTER(Data!N:N,Data!D:D=A302,Data!B:B=$B$"&amp;"1),""TRAVERSE"")*15)+(COUNTIF(FILTER(Data!N:N,Data!D:D=A302,Data!B:B=$B$1),""HIGH"")*10)+(COUNTIF(FILTER(Data!N:N,Data!D:D=A302,Data!B:B=$B$1),""MIDDLE"")*6)+(COUNTIF(FILTER(Data!N:N,Data!D:D=A302,Data!B:B=$B$1),""LOW"")*4))),"""")"),"")</f>
        <v/>
      </c>
      <c r="L302" s="136" t="str">
        <f>IFERROR(__xludf.DUMMYFUNCTION("IFERROR((FILTER(Data!P:P,Data!D:D=A302,Data!B:B=$B$1)),"""")"),"")</f>
        <v/>
      </c>
      <c r="M302" s="137" t="str">
        <f>IFERROR(__xludf.DUMMYFUNCTION("IFERROR((FILTER(Data!A:A,Data!D:D=A302,Data!B:B=$B$1)),"""")"),"")</f>
        <v/>
      </c>
      <c r="T302" s="52">
        <f>IFERROR(__xludf.DUMMYFUNCTION("((COUNTIF(FILTER(Data!N:N,Data!D:D=A302,Data!B:B=$B$1),""TRAVERSE"")*15)+(COUNTIF(FILTER(Data!N:N,Data!D:D=A302,Data!B:B=B$1),""HIGH"")*10)+(COUNTIF(FILTER(Data!N:N,Data!D:D=A302,Data!B:B=$B$1),""MIDDLE"")*6)+(COUNTIF(FILTER(Data!N:N,Data!D:D=A302,Data!B:"&amp;"B=$B$1),""LOW"")*4))"),0.0)</f>
        <v>0</v>
      </c>
      <c r="V302" s="138" t="str">
        <f>IF(Data!B294='Team Parser'!$B$1, Data!D294,"")</f>
        <v/>
      </c>
      <c r="W302" s="134" t="str">
        <f>IF(Data!$B294='Team Parser'!$B$1, Data!H294,"")</f>
        <v/>
      </c>
      <c r="X302" s="134" t="str">
        <f>IF(Data!$B294='Team Parser'!$B$1, Data!G294,"")</f>
        <v/>
      </c>
      <c r="Y302" s="134" t="str">
        <f>IF(Data!$B294='Team Parser'!$B$1, Data!L294,"")</f>
        <v/>
      </c>
      <c r="Z302" s="134" t="str">
        <f>IF(Data!$B294='Team Parser'!$B$1, Data!K294,"")</f>
        <v/>
      </c>
      <c r="AA302" s="134" t="str">
        <f>IF(Data!$B294='Team Parser'!$B$1, Data!M294,"")</f>
        <v/>
      </c>
      <c r="AB302" s="134" t="str">
        <f>IF(Data!$B294='Team Parser'!$B$1,((Z302*2)+(Y302)+(X302*4)+(W302*2)),"")</f>
        <v/>
      </c>
      <c r="AC302" s="134" t="str">
        <f>IF(Data!$B294='Team Parser'!$B$1, Data!N294,"")</f>
        <v/>
      </c>
      <c r="AD302" s="139" t="str">
        <f>IF(Data!$B294='Team Parser'!$B$1,(AB302+(COUNTIF(AC302,"TRAVERSE")*15)+(COUNTIF(AC302,"HIGH")*10)+(COUNTIF(AC302,"MIDDLE")*6)+(COUNTIF(AC302,"LOW")*4)),"")</f>
        <v/>
      </c>
    </row>
    <row r="303">
      <c r="A303" s="141" t="s">
        <v>507</v>
      </c>
      <c r="B303" s="134" t="str">
        <f>IFERROR(__xludf.DUMMYFUNCTION("IFERROR((FILTER(Data!H:H,Data!D:D=A303,Data!B:B=$B$1)),"""")"),"")</f>
        <v/>
      </c>
      <c r="C303" s="134" t="str">
        <f>IFERROR(__xludf.DUMMYFUNCTION("IFERROR((FILTER(Data!G:G,Data!D:D=A303,Data!B:B=$B$1)),"""")"),"")</f>
        <v/>
      </c>
      <c r="D303" s="134" t="str">
        <f>IFERROR(__xludf.DUMMYFUNCTION("IFERROR((FILTER(Data!J:J,Data!D:D=A303,Data!B:B=$B$1)),"""")"),"")</f>
        <v/>
      </c>
      <c r="E303" s="134" t="str">
        <f>IFERROR(__xludf.DUMMYFUNCTION("IFERROR((FILTER(Data!L:L,Data!D:D=A303,Data!B:B=$B$1)),"""")"),"")</f>
        <v/>
      </c>
      <c r="F303" s="134" t="str">
        <f>IFERROR(__xludf.DUMMYFUNCTION("IFERROR((FILTER(Data!K:K,Data!D:D=A303,Data!B:B=$B$1)),"""")"),"")</f>
        <v/>
      </c>
      <c r="G303" s="134" t="str">
        <f>IFERROR(__xludf.DUMMYFUNCTION("IFERROR((FILTER(Data!M:M,Data!D:D=A303,Data!B:B=$B$1)),"""")"),"")</f>
        <v/>
      </c>
      <c r="H303" s="134" t="str">
        <f>IFERROR(__xludf.DUMMYFUNCTION("IFERROR((FILTER(Data!G:G,Data!D:D=A303,Data!B:B=$B$1)*4)+(FILTER(Data!H:H,Data!D:D=A303,Data!B:B=$B$1)*2),"""")"),"")</f>
        <v/>
      </c>
      <c r="I303" s="15" t="str">
        <f>IFERROR(__xludf.DUMMYFUNCTION("IFERROR((FILTER(Data!K:K,Data!D:D=A303,Data!B:B=$B$1)*2)+(FILTER(Data!L:L,Data!D:D=A303,Data!B:B=$B$1)),"""")"),"")</f>
        <v/>
      </c>
      <c r="J303" s="134" t="str">
        <f>IFERROR(__xludf.DUMMYFUNCTION("IFERROR((FILTER(Data!N:N,Data!D:D=A303,Data!B:B=$B$1)),"""")"),"")</f>
        <v/>
      </c>
      <c r="K303" s="135" t="str">
        <f>IFERROR(__xludf.DUMMYFUNCTION("IFERROR((FILTER(Data!H:H,Data!D:D=A303,Data!B:B=$B$1)*2)+(FILTER(Data!L:L,Data!D:D=A303,Data!B:B=$B$1))+(FILTER(Data!G:G,Data!D:D=A303,Data!B:B=$B$1)*4)+(FILTER(Data!K:K,Data!D:D=A303,Data!B:B=$B$1)*2)+(((COUNTIF(FILTER(Data!N:N,Data!D:D=A303,Data!B:B=$B$"&amp;"1),""TRAVERSE"")*15)+(COUNTIF(FILTER(Data!N:N,Data!D:D=A303,Data!B:B=$B$1),""HIGH"")*10)+(COUNTIF(FILTER(Data!N:N,Data!D:D=A303,Data!B:B=$B$1),""MIDDLE"")*6)+(COUNTIF(FILTER(Data!N:N,Data!D:D=A303,Data!B:B=$B$1),""LOW"")*4))),"""")"),"")</f>
        <v/>
      </c>
      <c r="L303" s="136" t="str">
        <f>IFERROR(__xludf.DUMMYFUNCTION("IFERROR((FILTER(Data!P:P,Data!D:D=A303,Data!B:B=$B$1)),"""")"),"")</f>
        <v/>
      </c>
      <c r="M303" s="137" t="str">
        <f>IFERROR(__xludf.DUMMYFUNCTION("IFERROR((FILTER(Data!A:A,Data!D:D=A303,Data!B:B=$B$1)),"""")"),"")</f>
        <v/>
      </c>
      <c r="T303" s="52">
        <f>IFERROR(__xludf.DUMMYFUNCTION("((COUNTIF(FILTER(Data!N:N,Data!D:D=A303,Data!B:B=$B$1),""TRAVERSE"")*15)+(COUNTIF(FILTER(Data!N:N,Data!D:D=A303,Data!B:B=B$1),""HIGH"")*10)+(COUNTIF(FILTER(Data!N:N,Data!D:D=A303,Data!B:B=$B$1),""MIDDLE"")*6)+(COUNTIF(FILTER(Data!N:N,Data!D:D=A303,Data!B:"&amp;"B=$B$1),""LOW"")*4))"),0.0)</f>
        <v>0</v>
      </c>
      <c r="V303" s="138" t="str">
        <f>IF(Data!B295='Team Parser'!$B$1, Data!D295,"")</f>
        <v/>
      </c>
      <c r="W303" s="134" t="str">
        <f>IF(Data!$B295='Team Parser'!$B$1, Data!H295,"")</f>
        <v/>
      </c>
      <c r="X303" s="134" t="str">
        <f>IF(Data!$B295='Team Parser'!$B$1, Data!G295,"")</f>
        <v/>
      </c>
      <c r="Y303" s="134" t="str">
        <f>IF(Data!$B295='Team Parser'!$B$1, Data!L295,"")</f>
        <v/>
      </c>
      <c r="Z303" s="134" t="str">
        <f>IF(Data!$B295='Team Parser'!$B$1, Data!K295,"")</f>
        <v/>
      </c>
      <c r="AA303" s="134" t="str">
        <f>IF(Data!$B295='Team Parser'!$B$1, Data!M295,"")</f>
        <v/>
      </c>
      <c r="AB303" s="134" t="str">
        <f>IF(Data!$B295='Team Parser'!$B$1,((Z303*2)+(Y303)+(X303*4)+(W303*2)),"")</f>
        <v/>
      </c>
      <c r="AC303" s="134" t="str">
        <f>IF(Data!$B295='Team Parser'!$B$1, Data!N295,"")</f>
        <v/>
      </c>
      <c r="AD303" s="139" t="str">
        <f>IF(Data!$B295='Team Parser'!$B$1,(AB303+(COUNTIF(AC303,"TRAVERSE")*15)+(COUNTIF(AC303,"HIGH")*10)+(COUNTIF(AC303,"MIDDLE")*6)+(COUNTIF(AC303,"LOW")*4)),"")</f>
        <v/>
      </c>
    </row>
    <row r="304">
      <c r="A304" s="141" t="s">
        <v>507</v>
      </c>
      <c r="B304" s="134" t="str">
        <f>IFERROR(__xludf.DUMMYFUNCTION("IFERROR((FILTER(Data!H:H,Data!D:D=A304,Data!B:B=$B$1)),"""")"),"")</f>
        <v/>
      </c>
      <c r="C304" s="134" t="str">
        <f>IFERROR(__xludf.DUMMYFUNCTION("IFERROR((FILTER(Data!G:G,Data!D:D=A304,Data!B:B=$B$1)),"""")"),"")</f>
        <v/>
      </c>
      <c r="D304" s="134" t="str">
        <f>IFERROR(__xludf.DUMMYFUNCTION("IFERROR((FILTER(Data!J:J,Data!D:D=A304,Data!B:B=$B$1)),"""")"),"")</f>
        <v/>
      </c>
      <c r="E304" s="134" t="str">
        <f>IFERROR(__xludf.DUMMYFUNCTION("IFERROR((FILTER(Data!L:L,Data!D:D=A304,Data!B:B=$B$1)),"""")"),"")</f>
        <v/>
      </c>
      <c r="F304" s="134" t="str">
        <f>IFERROR(__xludf.DUMMYFUNCTION("IFERROR((FILTER(Data!K:K,Data!D:D=A304,Data!B:B=$B$1)),"""")"),"")</f>
        <v/>
      </c>
      <c r="G304" s="134" t="str">
        <f>IFERROR(__xludf.DUMMYFUNCTION("IFERROR((FILTER(Data!M:M,Data!D:D=A304,Data!B:B=$B$1)),"""")"),"")</f>
        <v/>
      </c>
      <c r="H304" s="134" t="str">
        <f>IFERROR(__xludf.DUMMYFUNCTION("IFERROR((FILTER(Data!G:G,Data!D:D=A304,Data!B:B=$B$1)*4)+(FILTER(Data!H:H,Data!D:D=A304,Data!B:B=$B$1)*2),"""")"),"")</f>
        <v/>
      </c>
      <c r="I304" s="15" t="str">
        <f>IFERROR(__xludf.DUMMYFUNCTION("IFERROR((FILTER(Data!K:K,Data!D:D=A304,Data!B:B=$B$1)*2)+(FILTER(Data!L:L,Data!D:D=A304,Data!B:B=$B$1)),"""")"),"")</f>
        <v/>
      </c>
      <c r="J304" s="134" t="str">
        <f>IFERROR(__xludf.DUMMYFUNCTION("IFERROR((FILTER(Data!N:N,Data!D:D=A304,Data!B:B=$B$1)),"""")"),"")</f>
        <v/>
      </c>
      <c r="K304" s="135" t="str">
        <f>IFERROR(__xludf.DUMMYFUNCTION("IFERROR((FILTER(Data!H:H,Data!D:D=A304,Data!B:B=$B$1)*2)+(FILTER(Data!L:L,Data!D:D=A304,Data!B:B=$B$1))+(FILTER(Data!G:G,Data!D:D=A304,Data!B:B=$B$1)*4)+(FILTER(Data!K:K,Data!D:D=A304,Data!B:B=$B$1)*2)+(((COUNTIF(FILTER(Data!N:N,Data!D:D=A304,Data!B:B=$B$"&amp;"1),""TRAVERSE"")*15)+(COUNTIF(FILTER(Data!N:N,Data!D:D=A304,Data!B:B=$B$1),""HIGH"")*10)+(COUNTIF(FILTER(Data!N:N,Data!D:D=A304,Data!B:B=$B$1),""MIDDLE"")*6)+(COUNTIF(FILTER(Data!N:N,Data!D:D=A304,Data!B:B=$B$1),""LOW"")*4))),"""")"),"")</f>
        <v/>
      </c>
      <c r="L304" s="136" t="str">
        <f>IFERROR(__xludf.DUMMYFUNCTION("IFERROR((FILTER(Data!P:P,Data!D:D=A304,Data!B:B=$B$1)),"""")"),"")</f>
        <v/>
      </c>
      <c r="M304" s="137" t="str">
        <f>IFERROR(__xludf.DUMMYFUNCTION("IFERROR((FILTER(Data!A:A,Data!D:D=A304,Data!B:B=$B$1)),"""")"),"")</f>
        <v/>
      </c>
      <c r="T304" s="52">
        <f>IFERROR(__xludf.DUMMYFUNCTION("((COUNTIF(FILTER(Data!N:N,Data!D:D=A304,Data!B:B=$B$1),""TRAVERSE"")*15)+(COUNTIF(FILTER(Data!N:N,Data!D:D=A304,Data!B:B=B$1),""HIGH"")*10)+(COUNTIF(FILTER(Data!N:N,Data!D:D=A304,Data!B:B=$B$1),""MIDDLE"")*6)+(COUNTIF(FILTER(Data!N:N,Data!D:D=A304,Data!B:"&amp;"B=$B$1),""LOW"")*4))"),0.0)</f>
        <v>0</v>
      </c>
      <c r="V304" s="138" t="str">
        <f>IF(Data!B296='Team Parser'!$B$1, Data!D296,"")</f>
        <v/>
      </c>
      <c r="W304" s="134" t="str">
        <f>IF(Data!$B296='Team Parser'!$B$1, Data!H296,"")</f>
        <v/>
      </c>
      <c r="X304" s="134" t="str">
        <f>IF(Data!$B296='Team Parser'!$B$1, Data!G296,"")</f>
        <v/>
      </c>
      <c r="Y304" s="134" t="str">
        <f>IF(Data!$B296='Team Parser'!$B$1, Data!L296,"")</f>
        <v/>
      </c>
      <c r="Z304" s="134" t="str">
        <f>IF(Data!$B296='Team Parser'!$B$1, Data!K296,"")</f>
        <v/>
      </c>
      <c r="AA304" s="134" t="str">
        <f>IF(Data!$B296='Team Parser'!$B$1, Data!M296,"")</f>
        <v/>
      </c>
      <c r="AB304" s="134" t="str">
        <f>IF(Data!$B296='Team Parser'!$B$1,((Z304*2)+(Y304)+(X304*4)+(W304*2)),"")</f>
        <v/>
      </c>
      <c r="AC304" s="134" t="str">
        <f>IF(Data!$B296='Team Parser'!$B$1, Data!N296,"")</f>
        <v/>
      </c>
      <c r="AD304" s="139" t="str">
        <f>IF(Data!$B296='Team Parser'!$B$1,(AB304+(COUNTIF(AC304,"TRAVERSE")*15)+(COUNTIF(AC304,"HIGH")*10)+(COUNTIF(AC304,"MIDDLE")*6)+(COUNTIF(AC304,"LOW")*4)),"")</f>
        <v/>
      </c>
    </row>
    <row r="305">
      <c r="A305" s="141" t="s">
        <v>507</v>
      </c>
      <c r="B305" s="134" t="str">
        <f>IFERROR(__xludf.DUMMYFUNCTION("IFERROR((FILTER(Data!H:H,Data!D:D=A305,Data!B:B=$B$1)),"""")"),"")</f>
        <v/>
      </c>
      <c r="C305" s="134" t="str">
        <f>IFERROR(__xludf.DUMMYFUNCTION("IFERROR((FILTER(Data!G:G,Data!D:D=A305,Data!B:B=$B$1)),"""")"),"")</f>
        <v/>
      </c>
      <c r="D305" s="134" t="str">
        <f>IFERROR(__xludf.DUMMYFUNCTION("IFERROR((FILTER(Data!J:J,Data!D:D=A305,Data!B:B=$B$1)),"""")"),"")</f>
        <v/>
      </c>
      <c r="E305" s="134" t="str">
        <f>IFERROR(__xludf.DUMMYFUNCTION("IFERROR((FILTER(Data!L:L,Data!D:D=A305,Data!B:B=$B$1)),"""")"),"")</f>
        <v/>
      </c>
      <c r="F305" s="134" t="str">
        <f>IFERROR(__xludf.DUMMYFUNCTION("IFERROR((FILTER(Data!K:K,Data!D:D=A305,Data!B:B=$B$1)),"""")"),"")</f>
        <v/>
      </c>
      <c r="G305" s="134" t="str">
        <f>IFERROR(__xludf.DUMMYFUNCTION("IFERROR((FILTER(Data!M:M,Data!D:D=A305,Data!B:B=$B$1)),"""")"),"")</f>
        <v/>
      </c>
      <c r="H305" s="134" t="str">
        <f>IFERROR(__xludf.DUMMYFUNCTION("IFERROR((FILTER(Data!G:G,Data!D:D=A305,Data!B:B=$B$1)*4)+(FILTER(Data!H:H,Data!D:D=A305,Data!B:B=$B$1)*2),"""")"),"")</f>
        <v/>
      </c>
      <c r="I305" s="15" t="str">
        <f>IFERROR(__xludf.DUMMYFUNCTION("IFERROR((FILTER(Data!K:K,Data!D:D=A305,Data!B:B=$B$1)*2)+(FILTER(Data!L:L,Data!D:D=A305,Data!B:B=$B$1)),"""")"),"")</f>
        <v/>
      </c>
      <c r="J305" s="134" t="str">
        <f>IFERROR(__xludf.DUMMYFUNCTION("IFERROR((FILTER(Data!N:N,Data!D:D=A305,Data!B:B=$B$1)),"""")"),"")</f>
        <v/>
      </c>
      <c r="K305" s="135" t="str">
        <f>IFERROR(__xludf.DUMMYFUNCTION("IFERROR((FILTER(Data!H:H,Data!D:D=A305,Data!B:B=$B$1)*2)+(FILTER(Data!L:L,Data!D:D=A305,Data!B:B=$B$1))+(FILTER(Data!G:G,Data!D:D=A305,Data!B:B=$B$1)*4)+(FILTER(Data!K:K,Data!D:D=A305,Data!B:B=$B$1)*2)+(((COUNTIF(FILTER(Data!N:N,Data!D:D=A305,Data!B:B=$B$"&amp;"1),""TRAVERSE"")*15)+(COUNTIF(FILTER(Data!N:N,Data!D:D=A305,Data!B:B=$B$1),""HIGH"")*10)+(COUNTIF(FILTER(Data!N:N,Data!D:D=A305,Data!B:B=$B$1),""MIDDLE"")*6)+(COUNTIF(FILTER(Data!N:N,Data!D:D=A305,Data!B:B=$B$1),""LOW"")*4))),"""")"),"")</f>
        <v/>
      </c>
      <c r="L305" s="136" t="str">
        <f>IFERROR(__xludf.DUMMYFUNCTION("IFERROR((FILTER(Data!P:P,Data!D:D=A305,Data!B:B=$B$1)),"""")"),"")</f>
        <v/>
      </c>
      <c r="M305" s="137" t="str">
        <f>IFERROR(__xludf.DUMMYFUNCTION("IFERROR((FILTER(Data!A:A,Data!D:D=A305,Data!B:B=$B$1)),"""")"),"")</f>
        <v/>
      </c>
      <c r="T305" s="52">
        <f>IFERROR(__xludf.DUMMYFUNCTION("((COUNTIF(FILTER(Data!N:N,Data!D:D=A305,Data!B:B=$B$1),""TRAVERSE"")*15)+(COUNTIF(FILTER(Data!N:N,Data!D:D=A305,Data!B:B=B$1),""HIGH"")*10)+(COUNTIF(FILTER(Data!N:N,Data!D:D=A305,Data!B:B=$B$1),""MIDDLE"")*6)+(COUNTIF(FILTER(Data!N:N,Data!D:D=A305,Data!B:"&amp;"B=$B$1),""LOW"")*4))"),0.0)</f>
        <v>0</v>
      </c>
      <c r="V305" s="138" t="str">
        <f>IF(Data!B297='Team Parser'!$B$1, Data!D297,"")</f>
        <v/>
      </c>
      <c r="W305" s="134" t="str">
        <f>IF(Data!$B297='Team Parser'!$B$1, Data!H297,"")</f>
        <v/>
      </c>
      <c r="X305" s="134" t="str">
        <f>IF(Data!$B297='Team Parser'!$B$1, Data!G297,"")</f>
        <v/>
      </c>
      <c r="Y305" s="134" t="str">
        <f>IF(Data!$B297='Team Parser'!$B$1, Data!L297,"")</f>
        <v/>
      </c>
      <c r="Z305" s="134" t="str">
        <f>IF(Data!$B297='Team Parser'!$B$1, Data!K297,"")</f>
        <v/>
      </c>
      <c r="AA305" s="134" t="str">
        <f>IF(Data!$B297='Team Parser'!$B$1, Data!M297,"")</f>
        <v/>
      </c>
      <c r="AB305" s="134" t="str">
        <f>IF(Data!$B297='Team Parser'!$B$1,((Z305*2)+(Y305)+(X305*4)+(W305*2)),"")</f>
        <v/>
      </c>
      <c r="AC305" s="134" t="str">
        <f>IF(Data!$B297='Team Parser'!$B$1, Data!N297,"")</f>
        <v/>
      </c>
      <c r="AD305" s="139" t="str">
        <f>IF(Data!$B297='Team Parser'!$B$1,(AB305+(COUNTIF(AC305,"TRAVERSE")*15)+(COUNTIF(AC305,"HIGH")*10)+(COUNTIF(AC305,"MIDDLE")*6)+(COUNTIF(AC305,"LOW")*4)),"")</f>
        <v/>
      </c>
    </row>
    <row r="306">
      <c r="A306" s="141" t="s">
        <v>507</v>
      </c>
      <c r="B306" s="134" t="str">
        <f>IFERROR(__xludf.DUMMYFUNCTION("IFERROR((FILTER(Data!H:H,Data!D:D=A306,Data!B:B=$B$1)),"""")"),"")</f>
        <v/>
      </c>
      <c r="C306" s="134" t="str">
        <f>IFERROR(__xludf.DUMMYFUNCTION("IFERROR((FILTER(Data!G:G,Data!D:D=A306,Data!B:B=$B$1)),"""")"),"")</f>
        <v/>
      </c>
      <c r="D306" s="134" t="str">
        <f>IFERROR(__xludf.DUMMYFUNCTION("IFERROR((FILTER(Data!J:J,Data!D:D=A306,Data!B:B=$B$1)),"""")"),"")</f>
        <v/>
      </c>
      <c r="E306" s="134" t="str">
        <f>IFERROR(__xludf.DUMMYFUNCTION("IFERROR((FILTER(Data!L:L,Data!D:D=A306,Data!B:B=$B$1)),"""")"),"")</f>
        <v/>
      </c>
      <c r="F306" s="134" t="str">
        <f>IFERROR(__xludf.DUMMYFUNCTION("IFERROR((FILTER(Data!K:K,Data!D:D=A306,Data!B:B=$B$1)),"""")"),"")</f>
        <v/>
      </c>
      <c r="G306" s="134" t="str">
        <f>IFERROR(__xludf.DUMMYFUNCTION("IFERROR((FILTER(Data!M:M,Data!D:D=A306,Data!B:B=$B$1)),"""")"),"")</f>
        <v/>
      </c>
      <c r="H306" s="134" t="str">
        <f>IFERROR(__xludf.DUMMYFUNCTION("IFERROR((FILTER(Data!G:G,Data!D:D=A306,Data!B:B=$B$1)*4)+(FILTER(Data!H:H,Data!D:D=A306,Data!B:B=$B$1)*2),"""")"),"")</f>
        <v/>
      </c>
      <c r="I306" s="15" t="str">
        <f>IFERROR(__xludf.DUMMYFUNCTION("IFERROR((FILTER(Data!K:K,Data!D:D=A306,Data!B:B=$B$1)*2)+(FILTER(Data!L:L,Data!D:D=A306,Data!B:B=$B$1)),"""")"),"")</f>
        <v/>
      </c>
      <c r="J306" s="134" t="str">
        <f>IFERROR(__xludf.DUMMYFUNCTION("IFERROR((FILTER(Data!N:N,Data!D:D=A306,Data!B:B=$B$1)),"""")"),"")</f>
        <v/>
      </c>
      <c r="K306" s="135" t="str">
        <f>IFERROR(__xludf.DUMMYFUNCTION("IFERROR((FILTER(Data!H:H,Data!D:D=A306,Data!B:B=$B$1)*2)+(FILTER(Data!L:L,Data!D:D=A306,Data!B:B=$B$1))+(FILTER(Data!G:G,Data!D:D=A306,Data!B:B=$B$1)*4)+(FILTER(Data!K:K,Data!D:D=A306,Data!B:B=$B$1)*2)+(((COUNTIF(FILTER(Data!N:N,Data!D:D=A306,Data!B:B=$B$"&amp;"1),""TRAVERSE"")*15)+(COUNTIF(FILTER(Data!N:N,Data!D:D=A306,Data!B:B=$B$1),""HIGH"")*10)+(COUNTIF(FILTER(Data!N:N,Data!D:D=A306,Data!B:B=$B$1),""MIDDLE"")*6)+(COUNTIF(FILTER(Data!N:N,Data!D:D=A306,Data!B:B=$B$1),""LOW"")*4))),"""")"),"")</f>
        <v/>
      </c>
      <c r="L306" s="136" t="str">
        <f>IFERROR(__xludf.DUMMYFUNCTION("IFERROR((FILTER(Data!P:P,Data!D:D=A306,Data!B:B=$B$1)),"""")"),"")</f>
        <v/>
      </c>
      <c r="M306" s="137" t="str">
        <f>IFERROR(__xludf.DUMMYFUNCTION("IFERROR((FILTER(Data!A:A,Data!D:D=A306,Data!B:B=$B$1)),"""")"),"")</f>
        <v/>
      </c>
      <c r="T306" s="52">
        <f>IFERROR(__xludf.DUMMYFUNCTION("((COUNTIF(FILTER(Data!N:N,Data!D:D=A306,Data!B:B=$B$1),""TRAVERSE"")*15)+(COUNTIF(FILTER(Data!N:N,Data!D:D=A306,Data!B:B=B$1),""HIGH"")*10)+(COUNTIF(FILTER(Data!N:N,Data!D:D=A306,Data!B:B=$B$1),""MIDDLE"")*6)+(COUNTIF(FILTER(Data!N:N,Data!D:D=A306,Data!B:"&amp;"B=$B$1),""LOW"")*4))"),0.0)</f>
        <v>0</v>
      </c>
      <c r="V306" s="138" t="str">
        <f>IF(Data!B298='Team Parser'!$B$1, Data!D298,"")</f>
        <v/>
      </c>
      <c r="W306" s="134" t="str">
        <f>IF(Data!$B298='Team Parser'!$B$1, Data!H298,"")</f>
        <v/>
      </c>
      <c r="X306" s="134" t="str">
        <f>IF(Data!$B298='Team Parser'!$B$1, Data!G298,"")</f>
        <v/>
      </c>
      <c r="Y306" s="134" t="str">
        <f>IF(Data!$B298='Team Parser'!$B$1, Data!L298,"")</f>
        <v/>
      </c>
      <c r="Z306" s="134" t="str">
        <f>IF(Data!$B298='Team Parser'!$B$1, Data!K298,"")</f>
        <v/>
      </c>
      <c r="AA306" s="134" t="str">
        <f>IF(Data!$B298='Team Parser'!$B$1, Data!M298,"")</f>
        <v/>
      </c>
      <c r="AB306" s="134" t="str">
        <f>IF(Data!$B298='Team Parser'!$B$1,((Z306*2)+(Y306)+(X306*4)+(W306*2)),"")</f>
        <v/>
      </c>
      <c r="AC306" s="134" t="str">
        <f>IF(Data!$B298='Team Parser'!$B$1, Data!N298,"")</f>
        <v/>
      </c>
      <c r="AD306" s="139" t="str">
        <f>IF(Data!$B298='Team Parser'!$B$1,(AB306+(COUNTIF(AC306,"TRAVERSE")*15)+(COUNTIF(AC306,"HIGH")*10)+(COUNTIF(AC306,"MIDDLE")*6)+(COUNTIF(AC306,"LOW")*4)),"")</f>
        <v/>
      </c>
    </row>
    <row r="307">
      <c r="A307" s="141" t="s">
        <v>507</v>
      </c>
      <c r="B307" s="134" t="str">
        <f>IFERROR(__xludf.DUMMYFUNCTION("IFERROR((FILTER(Data!H:H,Data!D:D=A307,Data!B:B=$B$1)),"""")"),"")</f>
        <v/>
      </c>
      <c r="C307" s="134" t="str">
        <f>IFERROR(__xludf.DUMMYFUNCTION("IFERROR((FILTER(Data!G:G,Data!D:D=A307,Data!B:B=$B$1)),"""")"),"")</f>
        <v/>
      </c>
      <c r="D307" s="134" t="str">
        <f>IFERROR(__xludf.DUMMYFUNCTION("IFERROR((FILTER(Data!J:J,Data!D:D=A307,Data!B:B=$B$1)),"""")"),"")</f>
        <v/>
      </c>
      <c r="E307" s="134" t="str">
        <f>IFERROR(__xludf.DUMMYFUNCTION("IFERROR((FILTER(Data!L:L,Data!D:D=A307,Data!B:B=$B$1)),"""")"),"")</f>
        <v/>
      </c>
      <c r="F307" s="134" t="str">
        <f>IFERROR(__xludf.DUMMYFUNCTION("IFERROR((FILTER(Data!K:K,Data!D:D=A307,Data!B:B=$B$1)),"""")"),"")</f>
        <v/>
      </c>
      <c r="G307" s="134" t="str">
        <f>IFERROR(__xludf.DUMMYFUNCTION("IFERROR((FILTER(Data!M:M,Data!D:D=A307,Data!B:B=$B$1)),"""")"),"")</f>
        <v/>
      </c>
      <c r="H307" s="134" t="str">
        <f>IFERROR(__xludf.DUMMYFUNCTION("IFERROR((FILTER(Data!G:G,Data!D:D=A307,Data!B:B=$B$1)*4)+(FILTER(Data!H:H,Data!D:D=A307,Data!B:B=$B$1)*2),"""")"),"")</f>
        <v/>
      </c>
      <c r="I307" s="15" t="str">
        <f>IFERROR(__xludf.DUMMYFUNCTION("IFERROR((FILTER(Data!K:K,Data!D:D=A307,Data!B:B=$B$1)*2)+(FILTER(Data!L:L,Data!D:D=A307,Data!B:B=$B$1)),"""")"),"")</f>
        <v/>
      </c>
      <c r="J307" s="134" t="str">
        <f>IFERROR(__xludf.DUMMYFUNCTION("IFERROR((FILTER(Data!N:N,Data!D:D=A307,Data!B:B=$B$1)),"""")"),"")</f>
        <v/>
      </c>
      <c r="K307" s="135" t="str">
        <f>IFERROR(__xludf.DUMMYFUNCTION("IFERROR((FILTER(Data!H:H,Data!D:D=A307,Data!B:B=$B$1)*2)+(FILTER(Data!L:L,Data!D:D=A307,Data!B:B=$B$1))+(FILTER(Data!G:G,Data!D:D=A307,Data!B:B=$B$1)*4)+(FILTER(Data!K:K,Data!D:D=A307,Data!B:B=$B$1)*2)+(((COUNTIF(FILTER(Data!N:N,Data!D:D=A307,Data!B:B=$B$"&amp;"1),""TRAVERSE"")*15)+(COUNTIF(FILTER(Data!N:N,Data!D:D=A307,Data!B:B=$B$1),""HIGH"")*10)+(COUNTIF(FILTER(Data!N:N,Data!D:D=A307,Data!B:B=$B$1),""MIDDLE"")*6)+(COUNTIF(FILTER(Data!N:N,Data!D:D=A307,Data!B:B=$B$1),""LOW"")*4))),"""")"),"")</f>
        <v/>
      </c>
      <c r="L307" s="136" t="str">
        <f>IFERROR(__xludf.DUMMYFUNCTION("IFERROR((FILTER(Data!P:P,Data!D:D=A307,Data!B:B=$B$1)),"""")"),"")</f>
        <v/>
      </c>
      <c r="M307" s="137" t="str">
        <f>IFERROR(__xludf.DUMMYFUNCTION("IFERROR((FILTER(Data!A:A,Data!D:D=A307,Data!B:B=$B$1)),"""")"),"")</f>
        <v/>
      </c>
      <c r="T307" s="52">
        <f>IFERROR(__xludf.DUMMYFUNCTION("((COUNTIF(FILTER(Data!N:N,Data!D:D=A307,Data!B:B=$B$1),""TRAVERSE"")*15)+(COUNTIF(FILTER(Data!N:N,Data!D:D=A307,Data!B:B=B$1),""HIGH"")*10)+(COUNTIF(FILTER(Data!N:N,Data!D:D=A307,Data!B:B=$B$1),""MIDDLE"")*6)+(COUNTIF(FILTER(Data!N:N,Data!D:D=A307,Data!B:"&amp;"B=$B$1),""LOW"")*4))"),0.0)</f>
        <v>0</v>
      </c>
      <c r="V307" s="138" t="str">
        <f>IF(Data!B299='Team Parser'!$B$1, Data!D299,"")</f>
        <v/>
      </c>
      <c r="W307" s="134" t="str">
        <f>IF(Data!$B299='Team Parser'!$B$1, Data!H299,"")</f>
        <v/>
      </c>
      <c r="X307" s="134" t="str">
        <f>IF(Data!$B299='Team Parser'!$B$1, Data!G299,"")</f>
        <v/>
      </c>
      <c r="Y307" s="134" t="str">
        <f>IF(Data!$B299='Team Parser'!$B$1, Data!L299,"")</f>
        <v/>
      </c>
      <c r="Z307" s="134" t="str">
        <f>IF(Data!$B299='Team Parser'!$B$1, Data!K299,"")</f>
        <v/>
      </c>
      <c r="AA307" s="134" t="str">
        <f>IF(Data!$B299='Team Parser'!$B$1, Data!M299,"")</f>
        <v/>
      </c>
      <c r="AB307" s="134" t="str">
        <f>IF(Data!$B299='Team Parser'!$B$1,((Z307*2)+(Y307)+(X307*4)+(W307*2)),"")</f>
        <v/>
      </c>
      <c r="AC307" s="134" t="str">
        <f>IF(Data!$B299='Team Parser'!$B$1, Data!N299,"")</f>
        <v/>
      </c>
      <c r="AD307" s="139" t="str">
        <f>IF(Data!$B299='Team Parser'!$B$1,(AB307+(COUNTIF(AC307,"TRAVERSE")*15)+(COUNTIF(AC307,"HIGH")*10)+(COUNTIF(AC307,"MIDDLE")*6)+(COUNTIF(AC307,"LOW")*4)),"")</f>
        <v/>
      </c>
    </row>
    <row r="308">
      <c r="A308" s="141" t="s">
        <v>507</v>
      </c>
      <c r="B308" s="134" t="str">
        <f>IFERROR(__xludf.DUMMYFUNCTION("IFERROR((FILTER(Data!H:H,Data!D:D=A308,Data!B:B=$B$1)),"""")"),"")</f>
        <v/>
      </c>
      <c r="C308" s="134" t="str">
        <f>IFERROR(__xludf.DUMMYFUNCTION("IFERROR((FILTER(Data!G:G,Data!D:D=A308,Data!B:B=$B$1)),"""")"),"")</f>
        <v/>
      </c>
      <c r="D308" s="134" t="str">
        <f>IFERROR(__xludf.DUMMYFUNCTION("IFERROR((FILTER(Data!J:J,Data!D:D=A308,Data!B:B=$B$1)),"""")"),"")</f>
        <v/>
      </c>
      <c r="E308" s="134" t="str">
        <f>IFERROR(__xludf.DUMMYFUNCTION("IFERROR((FILTER(Data!L:L,Data!D:D=A308,Data!B:B=$B$1)),"""")"),"")</f>
        <v/>
      </c>
      <c r="F308" s="134" t="str">
        <f>IFERROR(__xludf.DUMMYFUNCTION("IFERROR((FILTER(Data!K:K,Data!D:D=A308,Data!B:B=$B$1)),"""")"),"")</f>
        <v/>
      </c>
      <c r="G308" s="134" t="str">
        <f>IFERROR(__xludf.DUMMYFUNCTION("IFERROR((FILTER(Data!M:M,Data!D:D=A308,Data!B:B=$B$1)),"""")"),"")</f>
        <v/>
      </c>
      <c r="H308" s="134" t="str">
        <f>IFERROR(__xludf.DUMMYFUNCTION("IFERROR((FILTER(Data!G:G,Data!D:D=A308,Data!B:B=$B$1)*4)+(FILTER(Data!H:H,Data!D:D=A308,Data!B:B=$B$1)*2),"""")"),"")</f>
        <v/>
      </c>
      <c r="I308" s="15" t="str">
        <f>IFERROR(__xludf.DUMMYFUNCTION("IFERROR((FILTER(Data!K:K,Data!D:D=A308,Data!B:B=$B$1)*2)+(FILTER(Data!L:L,Data!D:D=A308,Data!B:B=$B$1)),"""")"),"")</f>
        <v/>
      </c>
      <c r="J308" s="134" t="str">
        <f>IFERROR(__xludf.DUMMYFUNCTION("IFERROR((FILTER(Data!N:N,Data!D:D=A308,Data!B:B=$B$1)),"""")"),"")</f>
        <v/>
      </c>
      <c r="K308" s="135" t="str">
        <f>IFERROR(__xludf.DUMMYFUNCTION("IFERROR((FILTER(Data!H:H,Data!D:D=A308,Data!B:B=$B$1)*2)+(FILTER(Data!L:L,Data!D:D=A308,Data!B:B=$B$1))+(FILTER(Data!G:G,Data!D:D=A308,Data!B:B=$B$1)*4)+(FILTER(Data!K:K,Data!D:D=A308,Data!B:B=$B$1)*2)+(((COUNTIF(FILTER(Data!N:N,Data!D:D=A308,Data!B:B=$B$"&amp;"1),""TRAVERSE"")*15)+(COUNTIF(FILTER(Data!N:N,Data!D:D=A308,Data!B:B=$B$1),""HIGH"")*10)+(COUNTIF(FILTER(Data!N:N,Data!D:D=A308,Data!B:B=$B$1),""MIDDLE"")*6)+(COUNTIF(FILTER(Data!N:N,Data!D:D=A308,Data!B:B=$B$1),""LOW"")*4))),"""")"),"")</f>
        <v/>
      </c>
      <c r="L308" s="136" t="str">
        <f>IFERROR(__xludf.DUMMYFUNCTION("IFERROR((FILTER(Data!P:P,Data!D:D=A308,Data!B:B=$B$1)),"""")"),"")</f>
        <v/>
      </c>
      <c r="M308" s="137" t="str">
        <f>IFERROR(__xludf.DUMMYFUNCTION("IFERROR((FILTER(Data!A:A,Data!D:D=A308,Data!B:B=$B$1)),"""")"),"")</f>
        <v/>
      </c>
      <c r="T308" s="52">
        <f>IFERROR(__xludf.DUMMYFUNCTION("((COUNTIF(FILTER(Data!N:N,Data!D:D=A308,Data!B:B=$B$1),""TRAVERSE"")*15)+(COUNTIF(FILTER(Data!N:N,Data!D:D=A308,Data!B:B=B$1),""HIGH"")*10)+(COUNTIF(FILTER(Data!N:N,Data!D:D=A308,Data!B:B=$B$1),""MIDDLE"")*6)+(COUNTIF(FILTER(Data!N:N,Data!D:D=A308,Data!B:"&amp;"B=$B$1),""LOW"")*4))"),0.0)</f>
        <v>0</v>
      </c>
      <c r="V308" s="138" t="str">
        <f>IF(Data!B300='Team Parser'!$B$1, Data!D300,"")</f>
        <v/>
      </c>
      <c r="W308" s="134" t="str">
        <f>IF(Data!$B300='Team Parser'!$B$1, Data!H300,"")</f>
        <v/>
      </c>
      <c r="X308" s="134" t="str">
        <f>IF(Data!$B300='Team Parser'!$B$1, Data!G300,"")</f>
        <v/>
      </c>
      <c r="Y308" s="134" t="str">
        <f>IF(Data!$B300='Team Parser'!$B$1, Data!L300,"")</f>
        <v/>
      </c>
      <c r="Z308" s="134" t="str">
        <f>IF(Data!$B300='Team Parser'!$B$1, Data!K300,"")</f>
        <v/>
      </c>
      <c r="AA308" s="134" t="str">
        <f>IF(Data!$B300='Team Parser'!$B$1, Data!M300,"")</f>
        <v/>
      </c>
      <c r="AB308" s="134" t="str">
        <f>IF(Data!$B300='Team Parser'!$B$1,((Z308*2)+(Y308)+(X308*4)+(W308*2)),"")</f>
        <v/>
      </c>
      <c r="AC308" s="134" t="str">
        <f>IF(Data!$B300='Team Parser'!$B$1, Data!N300,"")</f>
        <v/>
      </c>
      <c r="AD308" s="139" t="str">
        <f>IF(Data!$B300='Team Parser'!$B$1,(AB308+(COUNTIF(AC308,"TRAVERSE")*15)+(COUNTIF(AC308,"HIGH")*10)+(COUNTIF(AC308,"MIDDLE")*6)+(COUNTIF(AC308,"LOW")*4)),"")</f>
        <v/>
      </c>
    </row>
    <row r="309">
      <c r="A309" s="141" t="s">
        <v>507</v>
      </c>
      <c r="B309" s="134" t="str">
        <f>IFERROR(__xludf.DUMMYFUNCTION("IFERROR((FILTER(Data!H:H,Data!D:D=A309,Data!B:B=$B$1)),"""")"),"")</f>
        <v/>
      </c>
      <c r="C309" s="134" t="str">
        <f>IFERROR(__xludf.DUMMYFUNCTION("IFERROR((FILTER(Data!G:G,Data!D:D=A309,Data!B:B=$B$1)),"""")"),"")</f>
        <v/>
      </c>
      <c r="D309" s="134" t="str">
        <f>IFERROR(__xludf.DUMMYFUNCTION("IFERROR((FILTER(Data!J:J,Data!D:D=A309,Data!B:B=$B$1)),"""")"),"")</f>
        <v/>
      </c>
      <c r="E309" s="134" t="str">
        <f>IFERROR(__xludf.DUMMYFUNCTION("IFERROR((FILTER(Data!L:L,Data!D:D=A309,Data!B:B=$B$1)),"""")"),"")</f>
        <v/>
      </c>
      <c r="F309" s="134" t="str">
        <f>IFERROR(__xludf.DUMMYFUNCTION("IFERROR((FILTER(Data!K:K,Data!D:D=A309,Data!B:B=$B$1)),"""")"),"")</f>
        <v/>
      </c>
      <c r="G309" s="134" t="str">
        <f>IFERROR(__xludf.DUMMYFUNCTION("IFERROR((FILTER(Data!M:M,Data!D:D=A309,Data!B:B=$B$1)),"""")"),"")</f>
        <v/>
      </c>
      <c r="H309" s="134" t="str">
        <f>IFERROR(__xludf.DUMMYFUNCTION("IFERROR((FILTER(Data!G:G,Data!D:D=A309,Data!B:B=$B$1)*4)+(FILTER(Data!H:H,Data!D:D=A309,Data!B:B=$B$1)*2),"""")"),"")</f>
        <v/>
      </c>
      <c r="I309" s="15" t="str">
        <f>IFERROR(__xludf.DUMMYFUNCTION("IFERROR((FILTER(Data!K:K,Data!D:D=A309,Data!B:B=$B$1)*2)+(FILTER(Data!L:L,Data!D:D=A309,Data!B:B=$B$1)),"""")"),"")</f>
        <v/>
      </c>
      <c r="J309" s="134" t="str">
        <f>IFERROR(__xludf.DUMMYFUNCTION("IFERROR((FILTER(Data!N:N,Data!D:D=A309,Data!B:B=$B$1)),"""")"),"")</f>
        <v/>
      </c>
      <c r="K309" s="135" t="str">
        <f>IFERROR(__xludf.DUMMYFUNCTION("IFERROR((FILTER(Data!H:H,Data!D:D=A309,Data!B:B=$B$1)*2)+(FILTER(Data!L:L,Data!D:D=A309,Data!B:B=$B$1))+(FILTER(Data!G:G,Data!D:D=A309,Data!B:B=$B$1)*4)+(FILTER(Data!K:K,Data!D:D=A309,Data!B:B=$B$1)*2)+(((COUNTIF(FILTER(Data!N:N,Data!D:D=A309,Data!B:B=$B$"&amp;"1),""TRAVERSE"")*15)+(COUNTIF(FILTER(Data!N:N,Data!D:D=A309,Data!B:B=$B$1),""HIGH"")*10)+(COUNTIF(FILTER(Data!N:N,Data!D:D=A309,Data!B:B=$B$1),""MIDDLE"")*6)+(COUNTIF(FILTER(Data!N:N,Data!D:D=A309,Data!B:B=$B$1),""LOW"")*4))),"""")"),"")</f>
        <v/>
      </c>
      <c r="L309" s="136" t="str">
        <f>IFERROR(__xludf.DUMMYFUNCTION("IFERROR((FILTER(Data!P:P,Data!D:D=A309,Data!B:B=$B$1)),"""")"),"")</f>
        <v/>
      </c>
      <c r="M309" s="137" t="str">
        <f>IFERROR(__xludf.DUMMYFUNCTION("IFERROR((FILTER(Data!A:A,Data!D:D=A309,Data!B:B=$B$1)),"""")"),"")</f>
        <v/>
      </c>
      <c r="T309" s="52">
        <f>IFERROR(__xludf.DUMMYFUNCTION("((COUNTIF(FILTER(Data!N:N,Data!D:D=A309,Data!B:B=$B$1),""TRAVERSE"")*15)+(COUNTIF(FILTER(Data!N:N,Data!D:D=A309,Data!B:B=B$1),""HIGH"")*10)+(COUNTIF(FILTER(Data!N:N,Data!D:D=A309,Data!B:B=$B$1),""MIDDLE"")*6)+(COUNTIF(FILTER(Data!N:N,Data!D:D=A309,Data!B:"&amp;"B=$B$1),""LOW"")*4))"),0.0)</f>
        <v>0</v>
      </c>
      <c r="V309" s="138" t="str">
        <f>IF(Data!B301='Team Parser'!$B$1, Data!D301,"")</f>
        <v/>
      </c>
      <c r="W309" s="134" t="str">
        <f>IF(Data!$B301='Team Parser'!$B$1, Data!H301,"")</f>
        <v/>
      </c>
      <c r="X309" s="134" t="str">
        <f>IF(Data!$B301='Team Parser'!$B$1, Data!G301,"")</f>
        <v/>
      </c>
      <c r="Y309" s="134" t="str">
        <f>IF(Data!$B301='Team Parser'!$B$1, Data!L301,"")</f>
        <v/>
      </c>
      <c r="Z309" s="134" t="str">
        <f>IF(Data!$B301='Team Parser'!$B$1, Data!K301,"")</f>
        <v/>
      </c>
      <c r="AA309" s="134" t="str">
        <f>IF(Data!$B301='Team Parser'!$B$1, Data!M301,"")</f>
        <v/>
      </c>
      <c r="AB309" s="134" t="str">
        <f>IF(Data!$B301='Team Parser'!$B$1,((Z309*2)+(Y309)+(X309*4)+(W309*2)),"")</f>
        <v/>
      </c>
      <c r="AC309" s="134" t="str">
        <f>IF(Data!$B301='Team Parser'!$B$1, Data!N301,"")</f>
        <v/>
      </c>
      <c r="AD309" s="139" t="str">
        <f>IF(Data!$B301='Team Parser'!$B$1,(AB309+(COUNTIF(AC309,"TRAVERSE")*15)+(COUNTIF(AC309,"HIGH")*10)+(COUNTIF(AC309,"MIDDLE")*6)+(COUNTIF(AC309,"LOW")*4)),"")</f>
        <v/>
      </c>
    </row>
    <row r="310">
      <c r="A310" s="141" t="s">
        <v>507</v>
      </c>
      <c r="B310" s="134" t="str">
        <f>IFERROR(__xludf.DUMMYFUNCTION("IFERROR((FILTER(Data!H:H,Data!D:D=A310,Data!B:B=$B$1)),"""")"),"")</f>
        <v/>
      </c>
      <c r="C310" s="134" t="str">
        <f>IFERROR(__xludf.DUMMYFUNCTION("IFERROR((FILTER(Data!G:G,Data!D:D=A310,Data!B:B=$B$1)),"""")"),"")</f>
        <v/>
      </c>
      <c r="D310" s="134" t="str">
        <f>IFERROR(__xludf.DUMMYFUNCTION("IFERROR((FILTER(Data!J:J,Data!D:D=A310,Data!B:B=$B$1)),"""")"),"")</f>
        <v/>
      </c>
      <c r="E310" s="134" t="str">
        <f>IFERROR(__xludf.DUMMYFUNCTION("IFERROR((FILTER(Data!L:L,Data!D:D=A310,Data!B:B=$B$1)),"""")"),"")</f>
        <v/>
      </c>
      <c r="F310" s="134" t="str">
        <f>IFERROR(__xludf.DUMMYFUNCTION("IFERROR((FILTER(Data!K:K,Data!D:D=A310,Data!B:B=$B$1)),"""")"),"")</f>
        <v/>
      </c>
      <c r="G310" s="134" t="str">
        <f>IFERROR(__xludf.DUMMYFUNCTION("IFERROR((FILTER(Data!M:M,Data!D:D=A310,Data!B:B=$B$1)),"""")"),"")</f>
        <v/>
      </c>
      <c r="H310" s="134" t="str">
        <f>IFERROR(__xludf.DUMMYFUNCTION("IFERROR((FILTER(Data!G:G,Data!D:D=A310,Data!B:B=$B$1)*4)+(FILTER(Data!H:H,Data!D:D=A310,Data!B:B=$B$1)*2),"""")"),"")</f>
        <v/>
      </c>
      <c r="I310" s="15" t="str">
        <f>IFERROR(__xludf.DUMMYFUNCTION("IFERROR((FILTER(Data!K:K,Data!D:D=A310,Data!B:B=$B$1)*2)+(FILTER(Data!L:L,Data!D:D=A310,Data!B:B=$B$1)),"""")"),"")</f>
        <v/>
      </c>
      <c r="J310" s="134" t="str">
        <f>IFERROR(__xludf.DUMMYFUNCTION("IFERROR((FILTER(Data!N:N,Data!D:D=A310,Data!B:B=$B$1)),"""")"),"")</f>
        <v/>
      </c>
      <c r="K310" s="135" t="str">
        <f>IFERROR(__xludf.DUMMYFUNCTION("IFERROR((FILTER(Data!H:H,Data!D:D=A310,Data!B:B=$B$1)*2)+(FILTER(Data!L:L,Data!D:D=A310,Data!B:B=$B$1))+(FILTER(Data!G:G,Data!D:D=A310,Data!B:B=$B$1)*4)+(FILTER(Data!K:K,Data!D:D=A310,Data!B:B=$B$1)*2)+(((COUNTIF(FILTER(Data!N:N,Data!D:D=A310,Data!B:B=$B$"&amp;"1),""TRAVERSE"")*15)+(COUNTIF(FILTER(Data!N:N,Data!D:D=A310,Data!B:B=$B$1),""HIGH"")*10)+(COUNTIF(FILTER(Data!N:N,Data!D:D=A310,Data!B:B=$B$1),""MIDDLE"")*6)+(COUNTIF(FILTER(Data!N:N,Data!D:D=A310,Data!B:B=$B$1),""LOW"")*4))),"""")"),"")</f>
        <v/>
      </c>
      <c r="L310" s="136" t="str">
        <f>IFERROR(__xludf.DUMMYFUNCTION("IFERROR((FILTER(Data!P:P,Data!D:D=A310,Data!B:B=$B$1)),"""")"),"")</f>
        <v/>
      </c>
      <c r="M310" s="137" t="str">
        <f>IFERROR(__xludf.DUMMYFUNCTION("IFERROR((FILTER(Data!A:A,Data!D:D=A310,Data!B:B=$B$1)),"""")"),"")</f>
        <v/>
      </c>
      <c r="T310" s="52">
        <f>IFERROR(__xludf.DUMMYFUNCTION("((COUNTIF(FILTER(Data!N:N,Data!D:D=A310,Data!B:B=$B$1),""TRAVERSE"")*15)+(COUNTIF(FILTER(Data!N:N,Data!D:D=A310,Data!B:B=B$1),""HIGH"")*10)+(COUNTIF(FILTER(Data!N:N,Data!D:D=A310,Data!B:B=$B$1),""MIDDLE"")*6)+(COUNTIF(FILTER(Data!N:N,Data!D:D=A310,Data!B:"&amp;"B=$B$1),""LOW"")*4))"),0.0)</f>
        <v>0</v>
      </c>
      <c r="V310" s="138" t="str">
        <f>IF(Data!B302='Team Parser'!$B$1, Data!D302,"")</f>
        <v/>
      </c>
      <c r="W310" s="134" t="str">
        <f>IF(Data!$B302='Team Parser'!$B$1, Data!H302,"")</f>
        <v/>
      </c>
      <c r="X310" s="134" t="str">
        <f>IF(Data!$B302='Team Parser'!$B$1, Data!G302,"")</f>
        <v/>
      </c>
      <c r="Y310" s="134" t="str">
        <f>IF(Data!$B302='Team Parser'!$B$1, Data!L302,"")</f>
        <v/>
      </c>
      <c r="Z310" s="134" t="str">
        <f>IF(Data!$B302='Team Parser'!$B$1, Data!K302,"")</f>
        <v/>
      </c>
      <c r="AA310" s="134" t="str">
        <f>IF(Data!$B302='Team Parser'!$B$1, Data!M302,"")</f>
        <v/>
      </c>
      <c r="AB310" s="134" t="str">
        <f>IF(Data!$B302='Team Parser'!$B$1,((Z310*2)+(Y310)+(X310*4)+(W310*2)),"")</f>
        <v/>
      </c>
      <c r="AC310" s="134" t="str">
        <f>IF(Data!$B302='Team Parser'!$B$1, Data!N302,"")</f>
        <v/>
      </c>
      <c r="AD310" s="139" t="str">
        <f>IF(Data!$B302='Team Parser'!$B$1,(AB310+(COUNTIF(AC310,"TRAVERSE")*15)+(COUNTIF(AC310,"HIGH")*10)+(COUNTIF(AC310,"MIDDLE")*6)+(COUNTIF(AC310,"LOW")*4)),"")</f>
        <v/>
      </c>
    </row>
    <row r="311">
      <c r="A311" s="141" t="s">
        <v>507</v>
      </c>
      <c r="B311" s="134" t="str">
        <f>IFERROR(__xludf.DUMMYFUNCTION("IFERROR((FILTER(Data!H:H,Data!D:D=A311,Data!B:B=$B$1)),"""")"),"")</f>
        <v/>
      </c>
      <c r="C311" s="134" t="str">
        <f>IFERROR(__xludf.DUMMYFUNCTION("IFERROR((FILTER(Data!G:G,Data!D:D=A311,Data!B:B=$B$1)),"""")"),"")</f>
        <v/>
      </c>
      <c r="D311" s="134" t="str">
        <f>IFERROR(__xludf.DUMMYFUNCTION("IFERROR((FILTER(Data!J:J,Data!D:D=A311,Data!B:B=$B$1)),"""")"),"")</f>
        <v/>
      </c>
      <c r="E311" s="134" t="str">
        <f>IFERROR(__xludf.DUMMYFUNCTION("IFERROR((FILTER(Data!L:L,Data!D:D=A311,Data!B:B=$B$1)),"""")"),"")</f>
        <v/>
      </c>
      <c r="F311" s="134" t="str">
        <f>IFERROR(__xludf.DUMMYFUNCTION("IFERROR((FILTER(Data!K:K,Data!D:D=A311,Data!B:B=$B$1)),"""")"),"")</f>
        <v/>
      </c>
      <c r="G311" s="134" t="str">
        <f>IFERROR(__xludf.DUMMYFUNCTION("IFERROR((FILTER(Data!M:M,Data!D:D=A311,Data!B:B=$B$1)),"""")"),"")</f>
        <v/>
      </c>
      <c r="H311" s="134" t="str">
        <f>IFERROR(__xludf.DUMMYFUNCTION("IFERROR((FILTER(Data!G:G,Data!D:D=A311,Data!B:B=$B$1)*4)+(FILTER(Data!H:H,Data!D:D=A311,Data!B:B=$B$1)*2),"""")"),"")</f>
        <v/>
      </c>
      <c r="I311" s="15" t="str">
        <f>IFERROR(__xludf.DUMMYFUNCTION("IFERROR((FILTER(Data!K:K,Data!D:D=A311,Data!B:B=$B$1)*2)+(FILTER(Data!L:L,Data!D:D=A311,Data!B:B=$B$1)),"""")"),"")</f>
        <v/>
      </c>
      <c r="J311" s="134" t="str">
        <f>IFERROR(__xludf.DUMMYFUNCTION("IFERROR((FILTER(Data!N:N,Data!D:D=A311,Data!B:B=$B$1)),"""")"),"")</f>
        <v/>
      </c>
      <c r="K311" s="135" t="str">
        <f>IFERROR(__xludf.DUMMYFUNCTION("IFERROR((FILTER(Data!H:H,Data!D:D=A311,Data!B:B=$B$1)*2)+(FILTER(Data!L:L,Data!D:D=A311,Data!B:B=$B$1))+(FILTER(Data!G:G,Data!D:D=A311,Data!B:B=$B$1)*4)+(FILTER(Data!K:K,Data!D:D=A311,Data!B:B=$B$1)*2)+(((COUNTIF(FILTER(Data!N:N,Data!D:D=A311,Data!B:B=$B$"&amp;"1),""TRAVERSE"")*15)+(COUNTIF(FILTER(Data!N:N,Data!D:D=A311,Data!B:B=$B$1),""HIGH"")*10)+(COUNTIF(FILTER(Data!N:N,Data!D:D=A311,Data!B:B=$B$1),""MIDDLE"")*6)+(COUNTIF(FILTER(Data!N:N,Data!D:D=A311,Data!B:B=$B$1),""LOW"")*4))),"""")"),"")</f>
        <v/>
      </c>
      <c r="L311" s="136" t="str">
        <f>IFERROR(__xludf.DUMMYFUNCTION("IFERROR((FILTER(Data!P:P,Data!D:D=A311,Data!B:B=$B$1)),"""")"),"")</f>
        <v/>
      </c>
      <c r="M311" s="137" t="str">
        <f>IFERROR(__xludf.DUMMYFUNCTION("IFERROR((FILTER(Data!A:A,Data!D:D=A311,Data!B:B=$B$1)),"""")"),"")</f>
        <v/>
      </c>
      <c r="T311" s="52">
        <f>IFERROR(__xludf.DUMMYFUNCTION("((COUNTIF(FILTER(Data!N:N,Data!D:D=A311,Data!B:B=$B$1),""TRAVERSE"")*15)+(COUNTIF(FILTER(Data!N:N,Data!D:D=A311,Data!B:B=B$1),""HIGH"")*10)+(COUNTIF(FILTER(Data!N:N,Data!D:D=A311,Data!B:B=$B$1),""MIDDLE"")*6)+(COUNTIF(FILTER(Data!N:N,Data!D:D=A311,Data!B:"&amp;"B=$B$1),""LOW"")*4))"),0.0)</f>
        <v>0</v>
      </c>
      <c r="V311" s="138" t="str">
        <f>IF(Data!B303='Team Parser'!$B$1, Data!D303,"")</f>
        <v/>
      </c>
      <c r="W311" s="134" t="str">
        <f>IF(Data!$B303='Team Parser'!$B$1, Data!H303,"")</f>
        <v/>
      </c>
      <c r="X311" s="134" t="str">
        <f>IF(Data!$B303='Team Parser'!$B$1, Data!G303,"")</f>
        <v/>
      </c>
      <c r="Y311" s="134" t="str">
        <f>IF(Data!$B303='Team Parser'!$B$1, Data!L303,"")</f>
        <v/>
      </c>
      <c r="Z311" s="134" t="str">
        <f>IF(Data!$B303='Team Parser'!$B$1, Data!K303,"")</f>
        <v/>
      </c>
      <c r="AA311" s="134" t="str">
        <f>IF(Data!$B303='Team Parser'!$B$1, Data!M303,"")</f>
        <v/>
      </c>
      <c r="AB311" s="134" t="str">
        <f>IF(Data!$B303='Team Parser'!$B$1,((Z311*2)+(Y311)+(X311*4)+(W311*2)),"")</f>
        <v/>
      </c>
      <c r="AC311" s="134" t="str">
        <f>IF(Data!$B303='Team Parser'!$B$1, Data!N303,"")</f>
        <v/>
      </c>
      <c r="AD311" s="139" t="str">
        <f>IF(Data!$B303='Team Parser'!$B$1,(AB311+(COUNTIF(AC311,"TRAVERSE")*15)+(COUNTIF(AC311,"HIGH")*10)+(COUNTIF(AC311,"MIDDLE")*6)+(COUNTIF(AC311,"LOW")*4)),"")</f>
        <v/>
      </c>
    </row>
    <row r="312">
      <c r="A312" s="141" t="s">
        <v>507</v>
      </c>
      <c r="B312" s="134" t="str">
        <f>IFERROR(__xludf.DUMMYFUNCTION("IFERROR((FILTER(Data!H:H,Data!D:D=A312,Data!B:B=$B$1)),"""")"),"")</f>
        <v/>
      </c>
      <c r="C312" s="134" t="str">
        <f>IFERROR(__xludf.DUMMYFUNCTION("IFERROR((FILTER(Data!G:G,Data!D:D=A312,Data!B:B=$B$1)),"""")"),"")</f>
        <v/>
      </c>
      <c r="D312" s="134" t="str">
        <f>IFERROR(__xludf.DUMMYFUNCTION("IFERROR((FILTER(Data!J:J,Data!D:D=A312,Data!B:B=$B$1)),"""")"),"")</f>
        <v/>
      </c>
      <c r="E312" s="134" t="str">
        <f>IFERROR(__xludf.DUMMYFUNCTION("IFERROR((FILTER(Data!L:L,Data!D:D=A312,Data!B:B=$B$1)),"""")"),"")</f>
        <v/>
      </c>
      <c r="F312" s="134" t="str">
        <f>IFERROR(__xludf.DUMMYFUNCTION("IFERROR((FILTER(Data!K:K,Data!D:D=A312,Data!B:B=$B$1)),"""")"),"")</f>
        <v/>
      </c>
      <c r="G312" s="134" t="str">
        <f>IFERROR(__xludf.DUMMYFUNCTION("IFERROR((FILTER(Data!M:M,Data!D:D=A312,Data!B:B=$B$1)),"""")"),"")</f>
        <v/>
      </c>
      <c r="H312" s="134" t="str">
        <f>IFERROR(__xludf.DUMMYFUNCTION("IFERROR((FILTER(Data!G:G,Data!D:D=A312,Data!B:B=$B$1)*4)+(FILTER(Data!H:H,Data!D:D=A312,Data!B:B=$B$1)*2),"""")"),"")</f>
        <v/>
      </c>
      <c r="I312" s="15" t="str">
        <f>IFERROR(__xludf.DUMMYFUNCTION("IFERROR((FILTER(Data!K:K,Data!D:D=A312,Data!B:B=$B$1)*2)+(FILTER(Data!L:L,Data!D:D=A312,Data!B:B=$B$1)),"""")"),"")</f>
        <v/>
      </c>
      <c r="J312" s="134" t="str">
        <f>IFERROR(__xludf.DUMMYFUNCTION("IFERROR((FILTER(Data!N:N,Data!D:D=A312,Data!B:B=$B$1)),"""")"),"")</f>
        <v/>
      </c>
      <c r="K312" s="135" t="str">
        <f>IFERROR(__xludf.DUMMYFUNCTION("IFERROR((FILTER(Data!H:H,Data!D:D=A312,Data!B:B=$B$1)*2)+(FILTER(Data!L:L,Data!D:D=A312,Data!B:B=$B$1))+(FILTER(Data!G:G,Data!D:D=A312,Data!B:B=$B$1)*4)+(FILTER(Data!K:K,Data!D:D=A312,Data!B:B=$B$1)*2)+(((COUNTIF(FILTER(Data!N:N,Data!D:D=A312,Data!B:B=$B$"&amp;"1),""TRAVERSE"")*15)+(COUNTIF(FILTER(Data!N:N,Data!D:D=A312,Data!B:B=$B$1),""HIGH"")*10)+(COUNTIF(FILTER(Data!N:N,Data!D:D=A312,Data!B:B=$B$1),""MIDDLE"")*6)+(COUNTIF(FILTER(Data!N:N,Data!D:D=A312,Data!B:B=$B$1),""LOW"")*4))),"""")"),"")</f>
        <v/>
      </c>
      <c r="L312" s="136" t="str">
        <f>IFERROR(__xludf.DUMMYFUNCTION("IFERROR((FILTER(Data!P:P,Data!D:D=A312,Data!B:B=$B$1)),"""")"),"")</f>
        <v/>
      </c>
      <c r="M312" s="137" t="str">
        <f>IFERROR(__xludf.DUMMYFUNCTION("IFERROR((FILTER(Data!A:A,Data!D:D=A312,Data!B:B=$B$1)),"""")"),"")</f>
        <v/>
      </c>
      <c r="T312" s="52">
        <f>IFERROR(__xludf.DUMMYFUNCTION("((COUNTIF(FILTER(Data!N:N,Data!D:D=A312,Data!B:B=$B$1),""TRAVERSE"")*15)+(COUNTIF(FILTER(Data!N:N,Data!D:D=A312,Data!B:B=B$1),""HIGH"")*10)+(COUNTIF(FILTER(Data!N:N,Data!D:D=A312,Data!B:B=$B$1),""MIDDLE"")*6)+(COUNTIF(FILTER(Data!N:N,Data!D:D=A312,Data!B:"&amp;"B=$B$1),""LOW"")*4))"),0.0)</f>
        <v>0</v>
      </c>
      <c r="V312" s="138" t="str">
        <f>IF(Data!B304='Team Parser'!$B$1, Data!D304,"")</f>
        <v/>
      </c>
      <c r="W312" s="134" t="str">
        <f>IF(Data!$B304='Team Parser'!$B$1, Data!H304,"")</f>
        <v/>
      </c>
      <c r="X312" s="134" t="str">
        <f>IF(Data!$B304='Team Parser'!$B$1, Data!G304,"")</f>
        <v/>
      </c>
      <c r="Y312" s="134" t="str">
        <f>IF(Data!$B304='Team Parser'!$B$1, Data!L304,"")</f>
        <v/>
      </c>
      <c r="Z312" s="134" t="str">
        <f>IF(Data!$B304='Team Parser'!$B$1, Data!K304,"")</f>
        <v/>
      </c>
      <c r="AA312" s="134" t="str">
        <f>IF(Data!$B304='Team Parser'!$B$1, Data!M304,"")</f>
        <v/>
      </c>
      <c r="AB312" s="134" t="str">
        <f>IF(Data!$B304='Team Parser'!$B$1,((Z312*2)+(Y312)+(X312*4)+(W312*2)),"")</f>
        <v/>
      </c>
      <c r="AC312" s="134" t="str">
        <f>IF(Data!$B304='Team Parser'!$B$1, Data!N304,"")</f>
        <v/>
      </c>
      <c r="AD312" s="139" t="str">
        <f>IF(Data!$B304='Team Parser'!$B$1,(AB312+(COUNTIF(AC312,"TRAVERSE")*15)+(COUNTIF(AC312,"HIGH")*10)+(COUNTIF(AC312,"MIDDLE")*6)+(COUNTIF(AC312,"LOW")*4)),"")</f>
        <v/>
      </c>
    </row>
    <row r="313">
      <c r="A313" s="141" t="s">
        <v>507</v>
      </c>
      <c r="B313" s="134" t="str">
        <f>IFERROR(__xludf.DUMMYFUNCTION("IFERROR((FILTER(Data!H:H,Data!D:D=A313,Data!B:B=$B$1)),"""")"),"")</f>
        <v/>
      </c>
      <c r="C313" s="134" t="str">
        <f>IFERROR(__xludf.DUMMYFUNCTION("IFERROR((FILTER(Data!G:G,Data!D:D=A313,Data!B:B=$B$1)),"""")"),"")</f>
        <v/>
      </c>
      <c r="D313" s="134" t="str">
        <f>IFERROR(__xludf.DUMMYFUNCTION("IFERROR((FILTER(Data!J:J,Data!D:D=A313,Data!B:B=$B$1)),"""")"),"")</f>
        <v/>
      </c>
      <c r="E313" s="134" t="str">
        <f>IFERROR(__xludf.DUMMYFUNCTION("IFERROR((FILTER(Data!L:L,Data!D:D=A313,Data!B:B=$B$1)),"""")"),"")</f>
        <v/>
      </c>
      <c r="F313" s="134" t="str">
        <f>IFERROR(__xludf.DUMMYFUNCTION("IFERROR((FILTER(Data!K:K,Data!D:D=A313,Data!B:B=$B$1)),"""")"),"")</f>
        <v/>
      </c>
      <c r="G313" s="134" t="str">
        <f>IFERROR(__xludf.DUMMYFUNCTION("IFERROR((FILTER(Data!M:M,Data!D:D=A313,Data!B:B=$B$1)),"""")"),"")</f>
        <v/>
      </c>
      <c r="H313" s="134" t="str">
        <f>IFERROR(__xludf.DUMMYFUNCTION("IFERROR((FILTER(Data!G:G,Data!D:D=A313,Data!B:B=$B$1)*4)+(FILTER(Data!H:H,Data!D:D=A313,Data!B:B=$B$1)*2),"""")"),"")</f>
        <v/>
      </c>
      <c r="I313" s="15" t="str">
        <f>IFERROR(__xludf.DUMMYFUNCTION("IFERROR((FILTER(Data!K:K,Data!D:D=A313,Data!B:B=$B$1)*2)+(FILTER(Data!L:L,Data!D:D=A313,Data!B:B=$B$1)),"""")"),"")</f>
        <v/>
      </c>
      <c r="J313" s="134" t="str">
        <f>IFERROR(__xludf.DUMMYFUNCTION("IFERROR((FILTER(Data!N:N,Data!D:D=A313,Data!B:B=$B$1)),"""")"),"")</f>
        <v/>
      </c>
      <c r="K313" s="135" t="str">
        <f>IFERROR(__xludf.DUMMYFUNCTION("IFERROR((FILTER(Data!H:H,Data!D:D=A313,Data!B:B=$B$1)*2)+(FILTER(Data!L:L,Data!D:D=A313,Data!B:B=$B$1))+(FILTER(Data!G:G,Data!D:D=A313,Data!B:B=$B$1)*4)+(FILTER(Data!K:K,Data!D:D=A313,Data!B:B=$B$1)*2)+(((COUNTIF(FILTER(Data!N:N,Data!D:D=A313,Data!B:B=$B$"&amp;"1),""TRAVERSE"")*15)+(COUNTIF(FILTER(Data!N:N,Data!D:D=A313,Data!B:B=$B$1),""HIGH"")*10)+(COUNTIF(FILTER(Data!N:N,Data!D:D=A313,Data!B:B=$B$1),""MIDDLE"")*6)+(COUNTIF(FILTER(Data!N:N,Data!D:D=A313,Data!B:B=$B$1),""LOW"")*4))),"""")"),"")</f>
        <v/>
      </c>
      <c r="L313" s="136" t="str">
        <f>IFERROR(__xludf.DUMMYFUNCTION("IFERROR((FILTER(Data!P:P,Data!D:D=A313,Data!B:B=$B$1)),"""")"),"")</f>
        <v/>
      </c>
      <c r="M313" s="137" t="str">
        <f>IFERROR(__xludf.DUMMYFUNCTION("IFERROR((FILTER(Data!A:A,Data!D:D=A313,Data!B:B=$B$1)),"""")"),"")</f>
        <v/>
      </c>
      <c r="T313" s="52">
        <f>IFERROR(__xludf.DUMMYFUNCTION("((COUNTIF(FILTER(Data!N:N,Data!D:D=A313,Data!B:B=$B$1),""TRAVERSE"")*15)+(COUNTIF(FILTER(Data!N:N,Data!D:D=A313,Data!B:B=B$1),""HIGH"")*10)+(COUNTIF(FILTER(Data!N:N,Data!D:D=A313,Data!B:B=$B$1),""MIDDLE"")*6)+(COUNTIF(FILTER(Data!N:N,Data!D:D=A313,Data!B:"&amp;"B=$B$1),""LOW"")*4))"),0.0)</f>
        <v>0</v>
      </c>
      <c r="V313" s="138" t="str">
        <f>IF(Data!B305='Team Parser'!$B$1, Data!D305,"")</f>
        <v/>
      </c>
      <c r="W313" s="134" t="str">
        <f>IF(Data!$B305='Team Parser'!$B$1, Data!H305,"")</f>
        <v/>
      </c>
      <c r="X313" s="134" t="str">
        <f>IF(Data!$B305='Team Parser'!$B$1, Data!G305,"")</f>
        <v/>
      </c>
      <c r="Y313" s="134" t="str">
        <f>IF(Data!$B305='Team Parser'!$B$1, Data!L305,"")</f>
        <v/>
      </c>
      <c r="Z313" s="134" t="str">
        <f>IF(Data!$B305='Team Parser'!$B$1, Data!K305,"")</f>
        <v/>
      </c>
      <c r="AA313" s="134" t="str">
        <f>IF(Data!$B305='Team Parser'!$B$1, Data!M305,"")</f>
        <v/>
      </c>
      <c r="AB313" s="134" t="str">
        <f>IF(Data!$B305='Team Parser'!$B$1,((Z313*2)+(Y313)+(X313*4)+(W313*2)),"")</f>
        <v/>
      </c>
      <c r="AC313" s="134" t="str">
        <f>IF(Data!$B305='Team Parser'!$B$1, Data!N305,"")</f>
        <v/>
      </c>
      <c r="AD313" s="139" t="str">
        <f>IF(Data!$B305='Team Parser'!$B$1,(AB313+(COUNTIF(AC313,"TRAVERSE")*15)+(COUNTIF(AC313,"HIGH")*10)+(COUNTIF(AC313,"MIDDLE")*6)+(COUNTIF(AC313,"LOW")*4)),"")</f>
        <v/>
      </c>
    </row>
    <row r="314">
      <c r="A314" s="141" t="s">
        <v>507</v>
      </c>
      <c r="B314" s="134" t="str">
        <f>IFERROR(__xludf.DUMMYFUNCTION("IFERROR((FILTER(Data!H:H,Data!D:D=A314,Data!B:B=$B$1)),"""")"),"")</f>
        <v/>
      </c>
      <c r="C314" s="134" t="str">
        <f>IFERROR(__xludf.DUMMYFUNCTION("IFERROR((FILTER(Data!G:G,Data!D:D=A314,Data!B:B=$B$1)),"""")"),"")</f>
        <v/>
      </c>
      <c r="D314" s="134" t="str">
        <f>IFERROR(__xludf.DUMMYFUNCTION("IFERROR((FILTER(Data!J:J,Data!D:D=A314,Data!B:B=$B$1)),"""")"),"")</f>
        <v/>
      </c>
      <c r="E314" s="134" t="str">
        <f>IFERROR(__xludf.DUMMYFUNCTION("IFERROR((FILTER(Data!L:L,Data!D:D=A314,Data!B:B=$B$1)),"""")"),"")</f>
        <v/>
      </c>
      <c r="F314" s="134" t="str">
        <f>IFERROR(__xludf.DUMMYFUNCTION("IFERROR((FILTER(Data!K:K,Data!D:D=A314,Data!B:B=$B$1)),"""")"),"")</f>
        <v/>
      </c>
      <c r="G314" s="134" t="str">
        <f>IFERROR(__xludf.DUMMYFUNCTION("IFERROR((FILTER(Data!M:M,Data!D:D=A314,Data!B:B=$B$1)),"""")"),"")</f>
        <v/>
      </c>
      <c r="H314" s="134" t="str">
        <f>IFERROR(__xludf.DUMMYFUNCTION("IFERROR((FILTER(Data!G:G,Data!D:D=A314,Data!B:B=$B$1)*4)+(FILTER(Data!H:H,Data!D:D=A314,Data!B:B=$B$1)*2),"""")"),"")</f>
        <v/>
      </c>
      <c r="I314" s="15" t="str">
        <f>IFERROR(__xludf.DUMMYFUNCTION("IFERROR((FILTER(Data!K:K,Data!D:D=A314,Data!B:B=$B$1)*2)+(FILTER(Data!L:L,Data!D:D=A314,Data!B:B=$B$1)),"""")"),"")</f>
        <v/>
      </c>
      <c r="J314" s="134" t="str">
        <f>IFERROR(__xludf.DUMMYFUNCTION("IFERROR((FILTER(Data!N:N,Data!D:D=A314,Data!B:B=$B$1)),"""")"),"")</f>
        <v/>
      </c>
      <c r="K314" s="135" t="str">
        <f>IFERROR(__xludf.DUMMYFUNCTION("IFERROR((FILTER(Data!H:H,Data!D:D=A314,Data!B:B=$B$1)*2)+(FILTER(Data!L:L,Data!D:D=A314,Data!B:B=$B$1))+(FILTER(Data!G:G,Data!D:D=A314,Data!B:B=$B$1)*4)+(FILTER(Data!K:K,Data!D:D=A314,Data!B:B=$B$1)*2)+(((COUNTIF(FILTER(Data!N:N,Data!D:D=A314,Data!B:B=$B$"&amp;"1),""TRAVERSE"")*15)+(COUNTIF(FILTER(Data!N:N,Data!D:D=A314,Data!B:B=$B$1),""HIGH"")*10)+(COUNTIF(FILTER(Data!N:N,Data!D:D=A314,Data!B:B=$B$1),""MIDDLE"")*6)+(COUNTIF(FILTER(Data!N:N,Data!D:D=A314,Data!B:B=$B$1),""LOW"")*4))),"""")"),"")</f>
        <v/>
      </c>
      <c r="L314" s="136" t="str">
        <f>IFERROR(__xludf.DUMMYFUNCTION("IFERROR((FILTER(Data!P:P,Data!D:D=A314,Data!B:B=$B$1)),"""")"),"")</f>
        <v/>
      </c>
      <c r="M314" s="137" t="str">
        <f>IFERROR(__xludf.DUMMYFUNCTION("IFERROR((FILTER(Data!A:A,Data!D:D=A314,Data!B:B=$B$1)),"""")"),"")</f>
        <v/>
      </c>
      <c r="T314" s="52">
        <f>IFERROR(__xludf.DUMMYFUNCTION("((COUNTIF(FILTER(Data!N:N,Data!D:D=A314,Data!B:B=$B$1),""TRAVERSE"")*15)+(COUNTIF(FILTER(Data!N:N,Data!D:D=A314,Data!B:B=B$1),""HIGH"")*10)+(COUNTIF(FILTER(Data!N:N,Data!D:D=A314,Data!B:B=$B$1),""MIDDLE"")*6)+(COUNTIF(FILTER(Data!N:N,Data!D:D=A314,Data!B:"&amp;"B=$B$1),""LOW"")*4))"),0.0)</f>
        <v>0</v>
      </c>
      <c r="V314" s="138" t="str">
        <f>IF(Data!B306='Team Parser'!$B$1, Data!D306,"")</f>
        <v/>
      </c>
      <c r="W314" s="134" t="str">
        <f>IF(Data!$B306='Team Parser'!$B$1, Data!H306,"")</f>
        <v/>
      </c>
      <c r="X314" s="134" t="str">
        <f>IF(Data!$B306='Team Parser'!$B$1, Data!G306,"")</f>
        <v/>
      </c>
      <c r="Y314" s="134" t="str">
        <f>IF(Data!$B306='Team Parser'!$B$1, Data!L306,"")</f>
        <v/>
      </c>
      <c r="Z314" s="134" t="str">
        <f>IF(Data!$B306='Team Parser'!$B$1, Data!K306,"")</f>
        <v/>
      </c>
      <c r="AA314" s="134" t="str">
        <f>IF(Data!$B306='Team Parser'!$B$1, Data!M306,"")</f>
        <v/>
      </c>
      <c r="AB314" s="134" t="str">
        <f>IF(Data!$B306='Team Parser'!$B$1,((Z314*2)+(Y314)+(X314*4)+(W314*2)),"")</f>
        <v/>
      </c>
      <c r="AC314" s="134" t="str">
        <f>IF(Data!$B306='Team Parser'!$B$1, Data!N306,"")</f>
        <v/>
      </c>
      <c r="AD314" s="139" t="str">
        <f>IF(Data!$B306='Team Parser'!$B$1,(AB314+(COUNTIF(AC314,"TRAVERSE")*15)+(COUNTIF(AC314,"HIGH")*10)+(COUNTIF(AC314,"MIDDLE")*6)+(COUNTIF(AC314,"LOW")*4)),"")</f>
        <v/>
      </c>
    </row>
    <row r="315">
      <c r="A315" s="141" t="s">
        <v>507</v>
      </c>
      <c r="B315" s="134" t="str">
        <f>IFERROR(__xludf.DUMMYFUNCTION("IFERROR((FILTER(Data!H:H,Data!D:D=A315,Data!B:B=$B$1)),"""")"),"")</f>
        <v/>
      </c>
      <c r="C315" s="134" t="str">
        <f>IFERROR(__xludf.DUMMYFUNCTION("IFERROR((FILTER(Data!G:G,Data!D:D=A315,Data!B:B=$B$1)),"""")"),"")</f>
        <v/>
      </c>
      <c r="D315" s="134" t="str">
        <f>IFERROR(__xludf.DUMMYFUNCTION("IFERROR((FILTER(Data!J:J,Data!D:D=A315,Data!B:B=$B$1)),"""")"),"")</f>
        <v/>
      </c>
      <c r="E315" s="134" t="str">
        <f>IFERROR(__xludf.DUMMYFUNCTION("IFERROR((FILTER(Data!L:L,Data!D:D=A315,Data!B:B=$B$1)),"""")"),"")</f>
        <v/>
      </c>
      <c r="F315" s="134" t="str">
        <f>IFERROR(__xludf.DUMMYFUNCTION("IFERROR((FILTER(Data!K:K,Data!D:D=A315,Data!B:B=$B$1)),"""")"),"")</f>
        <v/>
      </c>
      <c r="G315" s="134" t="str">
        <f>IFERROR(__xludf.DUMMYFUNCTION("IFERROR((FILTER(Data!M:M,Data!D:D=A315,Data!B:B=$B$1)),"""")"),"")</f>
        <v/>
      </c>
      <c r="H315" s="134" t="str">
        <f>IFERROR(__xludf.DUMMYFUNCTION("IFERROR((FILTER(Data!G:G,Data!D:D=A315,Data!B:B=$B$1)*4)+(FILTER(Data!H:H,Data!D:D=A315,Data!B:B=$B$1)*2),"""")"),"")</f>
        <v/>
      </c>
      <c r="I315" s="15" t="str">
        <f>IFERROR(__xludf.DUMMYFUNCTION("IFERROR((FILTER(Data!K:K,Data!D:D=A315,Data!B:B=$B$1)*2)+(FILTER(Data!L:L,Data!D:D=A315,Data!B:B=$B$1)),"""")"),"")</f>
        <v/>
      </c>
      <c r="J315" s="134" t="str">
        <f>IFERROR(__xludf.DUMMYFUNCTION("IFERROR((FILTER(Data!N:N,Data!D:D=A315,Data!B:B=$B$1)),"""")"),"")</f>
        <v/>
      </c>
      <c r="K315" s="135" t="str">
        <f>IFERROR(__xludf.DUMMYFUNCTION("IFERROR((FILTER(Data!H:H,Data!D:D=A315,Data!B:B=$B$1)*2)+(FILTER(Data!L:L,Data!D:D=A315,Data!B:B=$B$1))+(FILTER(Data!G:G,Data!D:D=A315,Data!B:B=$B$1)*4)+(FILTER(Data!K:K,Data!D:D=A315,Data!B:B=$B$1)*2)+(((COUNTIF(FILTER(Data!N:N,Data!D:D=A315,Data!B:B=$B$"&amp;"1),""TRAVERSE"")*15)+(COUNTIF(FILTER(Data!N:N,Data!D:D=A315,Data!B:B=$B$1),""HIGH"")*10)+(COUNTIF(FILTER(Data!N:N,Data!D:D=A315,Data!B:B=$B$1),""MIDDLE"")*6)+(COUNTIF(FILTER(Data!N:N,Data!D:D=A315,Data!B:B=$B$1),""LOW"")*4))),"""")"),"")</f>
        <v/>
      </c>
      <c r="L315" s="136" t="str">
        <f>IFERROR(__xludf.DUMMYFUNCTION("IFERROR((FILTER(Data!P:P,Data!D:D=A315,Data!B:B=$B$1)),"""")"),"")</f>
        <v/>
      </c>
      <c r="M315" s="137" t="str">
        <f>IFERROR(__xludf.DUMMYFUNCTION("IFERROR((FILTER(Data!A:A,Data!D:D=A315,Data!B:B=$B$1)),"""")"),"")</f>
        <v/>
      </c>
      <c r="T315" s="52">
        <f>IFERROR(__xludf.DUMMYFUNCTION("((COUNTIF(FILTER(Data!N:N,Data!D:D=A315,Data!B:B=$B$1),""TRAVERSE"")*15)+(COUNTIF(FILTER(Data!N:N,Data!D:D=A315,Data!B:B=B$1),""HIGH"")*10)+(COUNTIF(FILTER(Data!N:N,Data!D:D=A315,Data!B:B=$B$1),""MIDDLE"")*6)+(COUNTIF(FILTER(Data!N:N,Data!D:D=A315,Data!B:"&amp;"B=$B$1),""LOW"")*4))"),0.0)</f>
        <v>0</v>
      </c>
      <c r="V315" s="138" t="str">
        <f>IF(Data!B307='Team Parser'!$B$1, Data!D307,"")</f>
        <v/>
      </c>
      <c r="W315" s="134" t="str">
        <f>IF(Data!$B307='Team Parser'!$B$1, Data!H307,"")</f>
        <v/>
      </c>
      <c r="X315" s="134" t="str">
        <f>IF(Data!$B307='Team Parser'!$B$1, Data!G307,"")</f>
        <v/>
      </c>
      <c r="Y315" s="134" t="str">
        <f>IF(Data!$B307='Team Parser'!$B$1, Data!L307,"")</f>
        <v/>
      </c>
      <c r="Z315" s="134" t="str">
        <f>IF(Data!$B307='Team Parser'!$B$1, Data!K307,"")</f>
        <v/>
      </c>
      <c r="AA315" s="134" t="str">
        <f>IF(Data!$B307='Team Parser'!$B$1, Data!M307,"")</f>
        <v/>
      </c>
      <c r="AB315" s="134" t="str">
        <f>IF(Data!$B307='Team Parser'!$B$1,((Z315*2)+(Y315)+(X315*4)+(W315*2)),"")</f>
        <v/>
      </c>
      <c r="AC315" s="134" t="str">
        <f>IF(Data!$B307='Team Parser'!$B$1, Data!N307,"")</f>
        <v/>
      </c>
      <c r="AD315" s="139" t="str">
        <f>IF(Data!$B307='Team Parser'!$B$1,(AB315+(COUNTIF(AC315,"TRAVERSE")*15)+(COUNTIF(AC315,"HIGH")*10)+(COUNTIF(AC315,"MIDDLE")*6)+(COUNTIF(AC315,"LOW")*4)),"")</f>
        <v/>
      </c>
    </row>
    <row r="316">
      <c r="A316" s="141" t="s">
        <v>507</v>
      </c>
      <c r="B316" s="134" t="str">
        <f>IFERROR(__xludf.DUMMYFUNCTION("IFERROR((FILTER(Data!H:H,Data!D:D=A316,Data!B:B=$B$1)),"""")"),"")</f>
        <v/>
      </c>
      <c r="C316" s="134" t="str">
        <f>IFERROR(__xludf.DUMMYFUNCTION("IFERROR((FILTER(Data!G:G,Data!D:D=A316,Data!B:B=$B$1)),"""")"),"")</f>
        <v/>
      </c>
      <c r="D316" s="134" t="str">
        <f>IFERROR(__xludf.DUMMYFUNCTION("IFERROR((FILTER(Data!J:J,Data!D:D=A316,Data!B:B=$B$1)),"""")"),"")</f>
        <v/>
      </c>
      <c r="E316" s="134" t="str">
        <f>IFERROR(__xludf.DUMMYFUNCTION("IFERROR((FILTER(Data!L:L,Data!D:D=A316,Data!B:B=$B$1)),"""")"),"")</f>
        <v/>
      </c>
      <c r="F316" s="134" t="str">
        <f>IFERROR(__xludf.DUMMYFUNCTION("IFERROR((FILTER(Data!K:K,Data!D:D=A316,Data!B:B=$B$1)),"""")"),"")</f>
        <v/>
      </c>
      <c r="G316" s="134" t="str">
        <f>IFERROR(__xludf.DUMMYFUNCTION("IFERROR((FILTER(Data!M:M,Data!D:D=A316,Data!B:B=$B$1)),"""")"),"")</f>
        <v/>
      </c>
      <c r="H316" s="134" t="str">
        <f>IFERROR(__xludf.DUMMYFUNCTION("IFERROR((FILTER(Data!G:G,Data!D:D=A316,Data!B:B=$B$1)*4)+(FILTER(Data!H:H,Data!D:D=A316,Data!B:B=$B$1)*2),"""")"),"")</f>
        <v/>
      </c>
      <c r="I316" s="15" t="str">
        <f>IFERROR(__xludf.DUMMYFUNCTION("IFERROR((FILTER(Data!K:K,Data!D:D=A316,Data!B:B=$B$1)*2)+(FILTER(Data!L:L,Data!D:D=A316,Data!B:B=$B$1)),"""")"),"")</f>
        <v/>
      </c>
      <c r="J316" s="134" t="str">
        <f>IFERROR(__xludf.DUMMYFUNCTION("IFERROR((FILTER(Data!N:N,Data!D:D=A316,Data!B:B=$B$1)),"""")"),"")</f>
        <v/>
      </c>
      <c r="K316" s="135" t="str">
        <f>IFERROR(__xludf.DUMMYFUNCTION("IFERROR((FILTER(Data!H:H,Data!D:D=A316,Data!B:B=$B$1)*2)+(FILTER(Data!L:L,Data!D:D=A316,Data!B:B=$B$1))+(FILTER(Data!G:G,Data!D:D=A316,Data!B:B=$B$1)*4)+(FILTER(Data!K:K,Data!D:D=A316,Data!B:B=$B$1)*2)+(((COUNTIF(FILTER(Data!N:N,Data!D:D=A316,Data!B:B=$B$"&amp;"1),""TRAVERSE"")*15)+(COUNTIF(FILTER(Data!N:N,Data!D:D=A316,Data!B:B=$B$1),""HIGH"")*10)+(COUNTIF(FILTER(Data!N:N,Data!D:D=A316,Data!B:B=$B$1),""MIDDLE"")*6)+(COUNTIF(FILTER(Data!N:N,Data!D:D=A316,Data!B:B=$B$1),""LOW"")*4))),"""")"),"")</f>
        <v/>
      </c>
      <c r="L316" s="136" t="str">
        <f>IFERROR(__xludf.DUMMYFUNCTION("IFERROR((FILTER(Data!P:P,Data!D:D=A316,Data!B:B=$B$1)),"""")"),"")</f>
        <v/>
      </c>
      <c r="M316" s="137" t="str">
        <f>IFERROR(__xludf.DUMMYFUNCTION("IFERROR((FILTER(Data!A:A,Data!D:D=A316,Data!B:B=$B$1)),"""")"),"")</f>
        <v/>
      </c>
      <c r="T316" s="52">
        <f>IFERROR(__xludf.DUMMYFUNCTION("((COUNTIF(FILTER(Data!N:N,Data!D:D=A316,Data!B:B=$B$1),""TRAVERSE"")*15)+(COUNTIF(FILTER(Data!N:N,Data!D:D=A316,Data!B:B=B$1),""HIGH"")*10)+(COUNTIF(FILTER(Data!N:N,Data!D:D=A316,Data!B:B=$B$1),""MIDDLE"")*6)+(COUNTIF(FILTER(Data!N:N,Data!D:D=A316,Data!B:"&amp;"B=$B$1),""LOW"")*4))"),0.0)</f>
        <v>0</v>
      </c>
      <c r="V316" s="138" t="str">
        <f>IF(Data!B308='Team Parser'!$B$1, Data!D308,"")</f>
        <v/>
      </c>
      <c r="W316" s="134" t="str">
        <f>IF(Data!$B308='Team Parser'!$B$1, Data!H308,"")</f>
        <v/>
      </c>
      <c r="X316" s="134" t="str">
        <f>IF(Data!$B308='Team Parser'!$B$1, Data!G308,"")</f>
        <v/>
      </c>
      <c r="Y316" s="134" t="str">
        <f>IF(Data!$B308='Team Parser'!$B$1, Data!L308,"")</f>
        <v/>
      </c>
      <c r="Z316" s="134" t="str">
        <f>IF(Data!$B308='Team Parser'!$B$1, Data!K308,"")</f>
        <v/>
      </c>
      <c r="AA316" s="134" t="str">
        <f>IF(Data!$B308='Team Parser'!$B$1, Data!M308,"")</f>
        <v/>
      </c>
      <c r="AB316" s="134" t="str">
        <f>IF(Data!$B308='Team Parser'!$B$1,((Z316*2)+(Y316)+(X316*4)+(W316*2)),"")</f>
        <v/>
      </c>
      <c r="AC316" s="134" t="str">
        <f>IF(Data!$B308='Team Parser'!$B$1, Data!N308,"")</f>
        <v/>
      </c>
      <c r="AD316" s="139" t="str">
        <f>IF(Data!$B308='Team Parser'!$B$1,(AB316+(COUNTIF(AC316,"TRAVERSE")*15)+(COUNTIF(AC316,"HIGH")*10)+(COUNTIF(AC316,"MIDDLE")*6)+(COUNTIF(AC316,"LOW")*4)),"")</f>
        <v/>
      </c>
    </row>
    <row r="317">
      <c r="A317" s="141" t="s">
        <v>507</v>
      </c>
      <c r="B317" s="134" t="str">
        <f>IFERROR(__xludf.DUMMYFUNCTION("IFERROR((FILTER(Data!H:H,Data!D:D=A317,Data!B:B=$B$1)),"""")"),"")</f>
        <v/>
      </c>
      <c r="C317" s="134" t="str">
        <f>IFERROR(__xludf.DUMMYFUNCTION("IFERROR((FILTER(Data!G:G,Data!D:D=A317,Data!B:B=$B$1)),"""")"),"")</f>
        <v/>
      </c>
      <c r="D317" s="134" t="str">
        <f>IFERROR(__xludf.DUMMYFUNCTION("IFERROR((FILTER(Data!J:J,Data!D:D=A317,Data!B:B=$B$1)),"""")"),"")</f>
        <v/>
      </c>
      <c r="E317" s="134" t="str">
        <f>IFERROR(__xludf.DUMMYFUNCTION("IFERROR((FILTER(Data!L:L,Data!D:D=A317,Data!B:B=$B$1)),"""")"),"")</f>
        <v/>
      </c>
      <c r="F317" s="134" t="str">
        <f>IFERROR(__xludf.DUMMYFUNCTION("IFERROR((FILTER(Data!K:K,Data!D:D=A317,Data!B:B=$B$1)),"""")"),"")</f>
        <v/>
      </c>
      <c r="G317" s="134" t="str">
        <f>IFERROR(__xludf.DUMMYFUNCTION("IFERROR((FILTER(Data!M:M,Data!D:D=A317,Data!B:B=$B$1)),"""")"),"")</f>
        <v/>
      </c>
      <c r="H317" s="134" t="str">
        <f>IFERROR(__xludf.DUMMYFUNCTION("IFERROR((FILTER(Data!G:G,Data!D:D=A317,Data!B:B=$B$1)*4)+(FILTER(Data!H:H,Data!D:D=A317,Data!B:B=$B$1)*2),"""")"),"")</f>
        <v/>
      </c>
      <c r="I317" s="15" t="str">
        <f>IFERROR(__xludf.DUMMYFUNCTION("IFERROR((FILTER(Data!K:K,Data!D:D=A317,Data!B:B=$B$1)*2)+(FILTER(Data!L:L,Data!D:D=A317,Data!B:B=$B$1)),"""")"),"")</f>
        <v/>
      </c>
      <c r="J317" s="134" t="str">
        <f>IFERROR(__xludf.DUMMYFUNCTION("IFERROR((FILTER(Data!N:N,Data!D:D=A317,Data!B:B=$B$1)),"""")"),"")</f>
        <v/>
      </c>
      <c r="K317" s="135" t="str">
        <f>IFERROR(__xludf.DUMMYFUNCTION("IFERROR((FILTER(Data!H:H,Data!D:D=A317,Data!B:B=$B$1)*2)+(FILTER(Data!L:L,Data!D:D=A317,Data!B:B=$B$1))+(FILTER(Data!G:G,Data!D:D=A317,Data!B:B=$B$1)*4)+(FILTER(Data!K:K,Data!D:D=A317,Data!B:B=$B$1)*2)+(((COUNTIF(FILTER(Data!N:N,Data!D:D=A317,Data!B:B=$B$"&amp;"1),""TRAVERSE"")*15)+(COUNTIF(FILTER(Data!N:N,Data!D:D=A317,Data!B:B=$B$1),""HIGH"")*10)+(COUNTIF(FILTER(Data!N:N,Data!D:D=A317,Data!B:B=$B$1),""MIDDLE"")*6)+(COUNTIF(FILTER(Data!N:N,Data!D:D=A317,Data!B:B=$B$1),""LOW"")*4))),"""")"),"")</f>
        <v/>
      </c>
      <c r="L317" s="136" t="str">
        <f>IFERROR(__xludf.DUMMYFUNCTION("IFERROR((FILTER(Data!P:P,Data!D:D=A317,Data!B:B=$B$1)),"""")"),"")</f>
        <v/>
      </c>
      <c r="M317" s="137" t="str">
        <f>IFERROR(__xludf.DUMMYFUNCTION("IFERROR((FILTER(Data!A:A,Data!D:D=A317,Data!B:B=$B$1)),"""")"),"")</f>
        <v/>
      </c>
      <c r="T317" s="52">
        <f>IFERROR(__xludf.DUMMYFUNCTION("((COUNTIF(FILTER(Data!N:N,Data!D:D=A317,Data!B:B=$B$1),""TRAVERSE"")*15)+(COUNTIF(FILTER(Data!N:N,Data!D:D=A317,Data!B:B=B$1),""HIGH"")*10)+(COUNTIF(FILTER(Data!N:N,Data!D:D=A317,Data!B:B=$B$1),""MIDDLE"")*6)+(COUNTIF(FILTER(Data!N:N,Data!D:D=A317,Data!B:"&amp;"B=$B$1),""LOW"")*4))"),0.0)</f>
        <v>0</v>
      </c>
      <c r="V317" s="138" t="str">
        <f>IF(Data!B309='Team Parser'!$B$1, Data!D309,"")</f>
        <v/>
      </c>
      <c r="W317" s="134" t="str">
        <f>IF(Data!$B309='Team Parser'!$B$1, Data!H309,"")</f>
        <v/>
      </c>
      <c r="X317" s="134" t="str">
        <f>IF(Data!$B309='Team Parser'!$B$1, Data!G309,"")</f>
        <v/>
      </c>
      <c r="Y317" s="134" t="str">
        <f>IF(Data!$B309='Team Parser'!$B$1, Data!L309,"")</f>
        <v/>
      </c>
      <c r="Z317" s="134" t="str">
        <f>IF(Data!$B309='Team Parser'!$B$1, Data!K309,"")</f>
        <v/>
      </c>
      <c r="AA317" s="134" t="str">
        <f>IF(Data!$B309='Team Parser'!$B$1, Data!M309,"")</f>
        <v/>
      </c>
      <c r="AB317" s="134" t="str">
        <f>IF(Data!$B309='Team Parser'!$B$1,((Z317*2)+(Y317)+(X317*4)+(W317*2)),"")</f>
        <v/>
      </c>
      <c r="AC317" s="134" t="str">
        <f>IF(Data!$B309='Team Parser'!$B$1, Data!N309,"")</f>
        <v/>
      </c>
      <c r="AD317" s="139" t="str">
        <f>IF(Data!$B309='Team Parser'!$B$1,(AB317+(COUNTIF(AC317,"TRAVERSE")*15)+(COUNTIF(AC317,"HIGH")*10)+(COUNTIF(AC317,"MIDDLE")*6)+(COUNTIF(AC317,"LOW")*4)),"")</f>
        <v/>
      </c>
    </row>
    <row r="318">
      <c r="A318" s="141" t="s">
        <v>507</v>
      </c>
      <c r="B318" s="134" t="str">
        <f>IFERROR(__xludf.DUMMYFUNCTION("IFERROR((FILTER(Data!H:H,Data!D:D=A318,Data!B:B=$B$1)),"""")"),"")</f>
        <v/>
      </c>
      <c r="C318" s="134" t="str">
        <f>IFERROR(__xludf.DUMMYFUNCTION("IFERROR((FILTER(Data!G:G,Data!D:D=A318,Data!B:B=$B$1)),"""")"),"")</f>
        <v/>
      </c>
      <c r="D318" s="134" t="str">
        <f>IFERROR(__xludf.DUMMYFUNCTION("IFERROR((FILTER(Data!J:J,Data!D:D=A318,Data!B:B=$B$1)),"""")"),"")</f>
        <v/>
      </c>
      <c r="E318" s="134" t="str">
        <f>IFERROR(__xludf.DUMMYFUNCTION("IFERROR((FILTER(Data!L:L,Data!D:D=A318,Data!B:B=$B$1)),"""")"),"")</f>
        <v/>
      </c>
      <c r="F318" s="134" t="str">
        <f>IFERROR(__xludf.DUMMYFUNCTION("IFERROR((FILTER(Data!K:K,Data!D:D=A318,Data!B:B=$B$1)),"""")"),"")</f>
        <v/>
      </c>
      <c r="G318" s="134" t="str">
        <f>IFERROR(__xludf.DUMMYFUNCTION("IFERROR((FILTER(Data!M:M,Data!D:D=A318,Data!B:B=$B$1)),"""")"),"")</f>
        <v/>
      </c>
      <c r="H318" s="134" t="str">
        <f>IFERROR(__xludf.DUMMYFUNCTION("IFERROR((FILTER(Data!G:G,Data!D:D=A318,Data!B:B=$B$1)*4)+(FILTER(Data!H:H,Data!D:D=A318,Data!B:B=$B$1)*2),"""")"),"")</f>
        <v/>
      </c>
      <c r="I318" s="15" t="str">
        <f>IFERROR(__xludf.DUMMYFUNCTION("IFERROR((FILTER(Data!K:K,Data!D:D=A318,Data!B:B=$B$1)*2)+(FILTER(Data!L:L,Data!D:D=A318,Data!B:B=$B$1)),"""")"),"")</f>
        <v/>
      </c>
      <c r="J318" s="134" t="str">
        <f>IFERROR(__xludf.DUMMYFUNCTION("IFERROR((FILTER(Data!N:N,Data!D:D=A318,Data!B:B=$B$1)),"""")"),"")</f>
        <v/>
      </c>
      <c r="K318" s="135" t="str">
        <f>IFERROR(__xludf.DUMMYFUNCTION("IFERROR((FILTER(Data!H:H,Data!D:D=A318,Data!B:B=$B$1)*2)+(FILTER(Data!L:L,Data!D:D=A318,Data!B:B=$B$1))+(FILTER(Data!G:G,Data!D:D=A318,Data!B:B=$B$1)*4)+(FILTER(Data!K:K,Data!D:D=A318,Data!B:B=$B$1)*2)+(((COUNTIF(FILTER(Data!N:N,Data!D:D=A318,Data!B:B=$B$"&amp;"1),""TRAVERSE"")*15)+(COUNTIF(FILTER(Data!N:N,Data!D:D=A318,Data!B:B=$B$1),""HIGH"")*10)+(COUNTIF(FILTER(Data!N:N,Data!D:D=A318,Data!B:B=$B$1),""MIDDLE"")*6)+(COUNTIF(FILTER(Data!N:N,Data!D:D=A318,Data!B:B=$B$1),""LOW"")*4))),"""")"),"")</f>
        <v/>
      </c>
      <c r="L318" s="136" t="str">
        <f>IFERROR(__xludf.DUMMYFUNCTION("IFERROR((FILTER(Data!P:P,Data!D:D=A318,Data!B:B=$B$1)),"""")"),"")</f>
        <v/>
      </c>
      <c r="M318" s="137" t="str">
        <f>IFERROR(__xludf.DUMMYFUNCTION("IFERROR((FILTER(Data!A:A,Data!D:D=A318,Data!B:B=$B$1)),"""")"),"")</f>
        <v/>
      </c>
      <c r="T318" s="52">
        <f>IFERROR(__xludf.DUMMYFUNCTION("((COUNTIF(FILTER(Data!N:N,Data!D:D=A318,Data!B:B=$B$1),""TRAVERSE"")*15)+(COUNTIF(FILTER(Data!N:N,Data!D:D=A318,Data!B:B=B$1),""HIGH"")*10)+(COUNTIF(FILTER(Data!N:N,Data!D:D=A318,Data!B:B=$B$1),""MIDDLE"")*6)+(COUNTIF(FILTER(Data!N:N,Data!D:D=A318,Data!B:"&amp;"B=$B$1),""LOW"")*4))"),0.0)</f>
        <v>0</v>
      </c>
      <c r="V318" s="138" t="str">
        <f>IF(Data!B310='Team Parser'!$B$1, Data!D310,"")</f>
        <v/>
      </c>
      <c r="W318" s="134" t="str">
        <f>IF(Data!$B310='Team Parser'!$B$1, Data!H310,"")</f>
        <v/>
      </c>
      <c r="X318" s="134" t="str">
        <f>IF(Data!$B310='Team Parser'!$B$1, Data!G310,"")</f>
        <v/>
      </c>
      <c r="Y318" s="134" t="str">
        <f>IF(Data!$B310='Team Parser'!$B$1, Data!L310,"")</f>
        <v/>
      </c>
      <c r="Z318" s="134" t="str">
        <f>IF(Data!$B310='Team Parser'!$B$1, Data!K310,"")</f>
        <v/>
      </c>
      <c r="AA318" s="134" t="str">
        <f>IF(Data!$B310='Team Parser'!$B$1, Data!M310,"")</f>
        <v/>
      </c>
      <c r="AB318" s="134" t="str">
        <f>IF(Data!$B310='Team Parser'!$B$1,((Z318*2)+(Y318)+(X318*4)+(W318*2)),"")</f>
        <v/>
      </c>
      <c r="AC318" s="134" t="str">
        <f>IF(Data!$B310='Team Parser'!$B$1, Data!N310,"")</f>
        <v/>
      </c>
      <c r="AD318" s="139" t="str">
        <f>IF(Data!$B310='Team Parser'!$B$1,(AB318+(COUNTIF(AC318,"TRAVERSE")*15)+(COUNTIF(AC318,"HIGH")*10)+(COUNTIF(AC318,"MIDDLE")*6)+(COUNTIF(AC318,"LOW")*4)),"")</f>
        <v/>
      </c>
    </row>
    <row r="319">
      <c r="A319" s="141" t="s">
        <v>507</v>
      </c>
      <c r="B319" s="134" t="str">
        <f>IFERROR(__xludf.DUMMYFUNCTION("IFERROR((FILTER(Data!H:H,Data!D:D=A319,Data!B:B=$B$1)),"""")"),"")</f>
        <v/>
      </c>
      <c r="C319" s="134" t="str">
        <f>IFERROR(__xludf.DUMMYFUNCTION("IFERROR((FILTER(Data!G:G,Data!D:D=A319,Data!B:B=$B$1)),"""")"),"")</f>
        <v/>
      </c>
      <c r="D319" s="134" t="str">
        <f>IFERROR(__xludf.DUMMYFUNCTION("IFERROR((FILTER(Data!J:J,Data!D:D=A319,Data!B:B=$B$1)),"""")"),"")</f>
        <v/>
      </c>
      <c r="E319" s="134" t="str">
        <f>IFERROR(__xludf.DUMMYFUNCTION("IFERROR((FILTER(Data!L:L,Data!D:D=A319,Data!B:B=$B$1)),"""")"),"")</f>
        <v/>
      </c>
      <c r="F319" s="134" t="str">
        <f>IFERROR(__xludf.DUMMYFUNCTION("IFERROR((FILTER(Data!K:K,Data!D:D=A319,Data!B:B=$B$1)),"""")"),"")</f>
        <v/>
      </c>
      <c r="G319" s="134" t="str">
        <f>IFERROR(__xludf.DUMMYFUNCTION("IFERROR((FILTER(Data!M:M,Data!D:D=A319,Data!B:B=$B$1)),"""")"),"")</f>
        <v/>
      </c>
      <c r="H319" s="134" t="str">
        <f>IFERROR(__xludf.DUMMYFUNCTION("IFERROR((FILTER(Data!G:G,Data!D:D=A319,Data!B:B=$B$1)*4)+(FILTER(Data!H:H,Data!D:D=A319,Data!B:B=$B$1)*2),"""")"),"")</f>
        <v/>
      </c>
      <c r="I319" s="15" t="str">
        <f>IFERROR(__xludf.DUMMYFUNCTION("IFERROR((FILTER(Data!K:K,Data!D:D=A319,Data!B:B=$B$1)*2)+(FILTER(Data!L:L,Data!D:D=A319,Data!B:B=$B$1)),"""")"),"")</f>
        <v/>
      </c>
      <c r="J319" s="134" t="str">
        <f>IFERROR(__xludf.DUMMYFUNCTION("IFERROR((FILTER(Data!N:N,Data!D:D=A319,Data!B:B=$B$1)),"""")"),"")</f>
        <v/>
      </c>
      <c r="K319" s="135" t="str">
        <f>IFERROR(__xludf.DUMMYFUNCTION("IFERROR((FILTER(Data!H:H,Data!D:D=A319,Data!B:B=$B$1)*2)+(FILTER(Data!L:L,Data!D:D=A319,Data!B:B=$B$1))+(FILTER(Data!G:G,Data!D:D=A319,Data!B:B=$B$1)*4)+(FILTER(Data!K:K,Data!D:D=A319,Data!B:B=$B$1)*2)+(((COUNTIF(FILTER(Data!N:N,Data!D:D=A319,Data!B:B=$B$"&amp;"1),""TRAVERSE"")*15)+(COUNTIF(FILTER(Data!N:N,Data!D:D=A319,Data!B:B=$B$1),""HIGH"")*10)+(COUNTIF(FILTER(Data!N:N,Data!D:D=A319,Data!B:B=$B$1),""MIDDLE"")*6)+(COUNTIF(FILTER(Data!N:N,Data!D:D=A319,Data!B:B=$B$1),""LOW"")*4))),"""")"),"")</f>
        <v/>
      </c>
      <c r="L319" s="136" t="str">
        <f>IFERROR(__xludf.DUMMYFUNCTION("IFERROR((FILTER(Data!P:P,Data!D:D=A319,Data!B:B=$B$1)),"""")"),"")</f>
        <v/>
      </c>
      <c r="M319" s="137" t="str">
        <f>IFERROR(__xludf.DUMMYFUNCTION("IFERROR((FILTER(Data!A:A,Data!D:D=A319,Data!B:B=$B$1)),"""")"),"")</f>
        <v/>
      </c>
      <c r="T319" s="52">
        <f>IFERROR(__xludf.DUMMYFUNCTION("((COUNTIF(FILTER(Data!N:N,Data!D:D=A319,Data!B:B=$B$1),""TRAVERSE"")*15)+(COUNTIF(FILTER(Data!N:N,Data!D:D=A319,Data!B:B=B$1),""HIGH"")*10)+(COUNTIF(FILTER(Data!N:N,Data!D:D=A319,Data!B:B=$B$1),""MIDDLE"")*6)+(COUNTIF(FILTER(Data!N:N,Data!D:D=A319,Data!B:"&amp;"B=$B$1),""LOW"")*4))"),0.0)</f>
        <v>0</v>
      </c>
      <c r="V319" s="138" t="str">
        <f>IF(Data!B311='Team Parser'!$B$1, Data!D311,"")</f>
        <v/>
      </c>
      <c r="W319" s="134" t="str">
        <f>IF(Data!$B311='Team Parser'!$B$1, Data!H311,"")</f>
        <v/>
      </c>
      <c r="X319" s="134" t="str">
        <f>IF(Data!$B311='Team Parser'!$B$1, Data!G311,"")</f>
        <v/>
      </c>
      <c r="Y319" s="134" t="str">
        <f>IF(Data!$B311='Team Parser'!$B$1, Data!L311,"")</f>
        <v/>
      </c>
      <c r="Z319" s="134" t="str">
        <f>IF(Data!$B311='Team Parser'!$B$1, Data!K311,"")</f>
        <v/>
      </c>
      <c r="AA319" s="134" t="str">
        <f>IF(Data!$B311='Team Parser'!$B$1, Data!M311,"")</f>
        <v/>
      </c>
      <c r="AB319" s="134" t="str">
        <f>IF(Data!$B311='Team Parser'!$B$1,((Z319*2)+(Y319)+(X319*4)+(W319*2)),"")</f>
        <v/>
      </c>
      <c r="AC319" s="134" t="str">
        <f>IF(Data!$B311='Team Parser'!$B$1, Data!N311,"")</f>
        <v/>
      </c>
      <c r="AD319" s="139" t="str">
        <f>IF(Data!$B311='Team Parser'!$B$1,(AB319+(COUNTIF(AC319,"TRAVERSE")*15)+(COUNTIF(AC319,"HIGH")*10)+(COUNTIF(AC319,"MIDDLE")*6)+(COUNTIF(AC319,"LOW")*4)),"")</f>
        <v/>
      </c>
    </row>
    <row r="320">
      <c r="A320" s="141" t="s">
        <v>507</v>
      </c>
      <c r="B320" s="134" t="str">
        <f>IFERROR(__xludf.DUMMYFUNCTION("IFERROR((FILTER(Data!H:H,Data!D:D=A320,Data!B:B=$B$1)),"""")"),"")</f>
        <v/>
      </c>
      <c r="C320" s="134" t="str">
        <f>IFERROR(__xludf.DUMMYFUNCTION("IFERROR((FILTER(Data!G:G,Data!D:D=A320,Data!B:B=$B$1)),"""")"),"")</f>
        <v/>
      </c>
      <c r="D320" s="134" t="str">
        <f>IFERROR(__xludf.DUMMYFUNCTION("IFERROR((FILTER(Data!J:J,Data!D:D=A320,Data!B:B=$B$1)),"""")"),"")</f>
        <v/>
      </c>
      <c r="E320" s="134" t="str">
        <f>IFERROR(__xludf.DUMMYFUNCTION("IFERROR((FILTER(Data!L:L,Data!D:D=A320,Data!B:B=$B$1)),"""")"),"")</f>
        <v/>
      </c>
      <c r="F320" s="134" t="str">
        <f>IFERROR(__xludf.DUMMYFUNCTION("IFERROR((FILTER(Data!K:K,Data!D:D=A320,Data!B:B=$B$1)),"""")"),"")</f>
        <v/>
      </c>
      <c r="G320" s="134" t="str">
        <f>IFERROR(__xludf.DUMMYFUNCTION("IFERROR((FILTER(Data!M:M,Data!D:D=A320,Data!B:B=$B$1)),"""")"),"")</f>
        <v/>
      </c>
      <c r="H320" s="134" t="str">
        <f>IFERROR(__xludf.DUMMYFUNCTION("IFERROR((FILTER(Data!G:G,Data!D:D=A320,Data!B:B=$B$1)*4)+(FILTER(Data!H:H,Data!D:D=A320,Data!B:B=$B$1)*2),"""")"),"")</f>
        <v/>
      </c>
      <c r="I320" s="15" t="str">
        <f>IFERROR(__xludf.DUMMYFUNCTION("IFERROR((FILTER(Data!K:K,Data!D:D=A320,Data!B:B=$B$1)*2)+(FILTER(Data!L:L,Data!D:D=A320,Data!B:B=$B$1)),"""")"),"")</f>
        <v/>
      </c>
      <c r="J320" s="134" t="str">
        <f>IFERROR(__xludf.DUMMYFUNCTION("IFERROR((FILTER(Data!N:N,Data!D:D=A320,Data!B:B=$B$1)),"""")"),"")</f>
        <v/>
      </c>
      <c r="K320" s="135" t="str">
        <f>IFERROR(__xludf.DUMMYFUNCTION("IFERROR((FILTER(Data!H:H,Data!D:D=A320,Data!B:B=$B$1)*2)+(FILTER(Data!L:L,Data!D:D=A320,Data!B:B=$B$1))+(FILTER(Data!G:G,Data!D:D=A320,Data!B:B=$B$1)*4)+(FILTER(Data!K:K,Data!D:D=A320,Data!B:B=$B$1)*2)+(((COUNTIF(FILTER(Data!N:N,Data!D:D=A320,Data!B:B=$B$"&amp;"1),""TRAVERSE"")*15)+(COUNTIF(FILTER(Data!N:N,Data!D:D=A320,Data!B:B=$B$1),""HIGH"")*10)+(COUNTIF(FILTER(Data!N:N,Data!D:D=A320,Data!B:B=$B$1),""MIDDLE"")*6)+(COUNTIF(FILTER(Data!N:N,Data!D:D=A320,Data!B:B=$B$1),""LOW"")*4))),"""")"),"")</f>
        <v/>
      </c>
      <c r="L320" s="136" t="str">
        <f>IFERROR(__xludf.DUMMYFUNCTION("IFERROR((FILTER(Data!P:P,Data!D:D=A320,Data!B:B=$B$1)),"""")"),"")</f>
        <v/>
      </c>
      <c r="M320" s="137" t="str">
        <f>IFERROR(__xludf.DUMMYFUNCTION("IFERROR((FILTER(Data!A:A,Data!D:D=A320,Data!B:B=$B$1)),"""")"),"")</f>
        <v/>
      </c>
      <c r="T320" s="52">
        <f>IFERROR(__xludf.DUMMYFUNCTION("((COUNTIF(FILTER(Data!N:N,Data!D:D=A320,Data!B:B=$B$1),""TRAVERSE"")*15)+(COUNTIF(FILTER(Data!N:N,Data!D:D=A320,Data!B:B=B$1),""HIGH"")*10)+(COUNTIF(FILTER(Data!N:N,Data!D:D=A320,Data!B:B=$B$1),""MIDDLE"")*6)+(COUNTIF(FILTER(Data!N:N,Data!D:D=A320,Data!B:"&amp;"B=$B$1),""LOW"")*4))"),0.0)</f>
        <v>0</v>
      </c>
      <c r="V320" s="138" t="str">
        <f>IF(Data!B312='Team Parser'!$B$1, Data!D312,"")</f>
        <v/>
      </c>
      <c r="W320" s="134" t="str">
        <f>IF(Data!$B312='Team Parser'!$B$1, Data!H312,"")</f>
        <v/>
      </c>
      <c r="X320" s="134" t="str">
        <f>IF(Data!$B312='Team Parser'!$B$1, Data!G312,"")</f>
        <v/>
      </c>
      <c r="Y320" s="134" t="str">
        <f>IF(Data!$B312='Team Parser'!$B$1, Data!L312,"")</f>
        <v/>
      </c>
      <c r="Z320" s="134" t="str">
        <f>IF(Data!$B312='Team Parser'!$B$1, Data!K312,"")</f>
        <v/>
      </c>
      <c r="AA320" s="134" t="str">
        <f>IF(Data!$B312='Team Parser'!$B$1, Data!M312,"")</f>
        <v/>
      </c>
      <c r="AB320" s="134" t="str">
        <f>IF(Data!$B312='Team Parser'!$B$1,((Z320*2)+(Y320)+(X320*4)+(W320*2)),"")</f>
        <v/>
      </c>
      <c r="AC320" s="134" t="str">
        <f>IF(Data!$B312='Team Parser'!$B$1, Data!N312,"")</f>
        <v/>
      </c>
      <c r="AD320" s="139" t="str">
        <f>IF(Data!$B312='Team Parser'!$B$1,(AB320+(COUNTIF(AC320,"TRAVERSE")*15)+(COUNTIF(AC320,"HIGH")*10)+(COUNTIF(AC320,"MIDDLE")*6)+(COUNTIF(AC320,"LOW")*4)),"")</f>
        <v/>
      </c>
    </row>
    <row r="321">
      <c r="A321" s="141" t="s">
        <v>507</v>
      </c>
      <c r="B321" s="134" t="str">
        <f>IFERROR(__xludf.DUMMYFUNCTION("IFERROR((FILTER(Data!H:H,Data!D:D=A321,Data!B:B=$B$1)),"""")"),"")</f>
        <v/>
      </c>
      <c r="C321" s="134" t="str">
        <f>IFERROR(__xludf.DUMMYFUNCTION("IFERROR((FILTER(Data!G:G,Data!D:D=A321,Data!B:B=$B$1)),"""")"),"")</f>
        <v/>
      </c>
      <c r="D321" s="134" t="str">
        <f>IFERROR(__xludf.DUMMYFUNCTION("IFERROR((FILTER(Data!J:J,Data!D:D=A321,Data!B:B=$B$1)),"""")"),"")</f>
        <v/>
      </c>
      <c r="E321" s="134" t="str">
        <f>IFERROR(__xludf.DUMMYFUNCTION("IFERROR((FILTER(Data!L:L,Data!D:D=A321,Data!B:B=$B$1)),"""")"),"")</f>
        <v/>
      </c>
      <c r="F321" s="134" t="str">
        <f>IFERROR(__xludf.DUMMYFUNCTION("IFERROR((FILTER(Data!K:K,Data!D:D=A321,Data!B:B=$B$1)),"""")"),"")</f>
        <v/>
      </c>
      <c r="G321" s="134" t="str">
        <f>IFERROR(__xludf.DUMMYFUNCTION("IFERROR((FILTER(Data!M:M,Data!D:D=A321,Data!B:B=$B$1)),"""")"),"")</f>
        <v/>
      </c>
      <c r="H321" s="134" t="str">
        <f>IFERROR(__xludf.DUMMYFUNCTION("IFERROR((FILTER(Data!G:G,Data!D:D=A321,Data!B:B=$B$1)*4)+(FILTER(Data!H:H,Data!D:D=A321,Data!B:B=$B$1)*2),"""")"),"")</f>
        <v/>
      </c>
      <c r="I321" s="15" t="str">
        <f>IFERROR(__xludf.DUMMYFUNCTION("IFERROR((FILTER(Data!K:K,Data!D:D=A321,Data!B:B=$B$1)*2)+(FILTER(Data!L:L,Data!D:D=A321,Data!B:B=$B$1)),"""")"),"")</f>
        <v/>
      </c>
      <c r="J321" s="134" t="str">
        <f>IFERROR(__xludf.DUMMYFUNCTION("IFERROR((FILTER(Data!N:N,Data!D:D=A321,Data!B:B=$B$1)),"""")"),"")</f>
        <v/>
      </c>
      <c r="K321" s="135" t="str">
        <f>IFERROR(__xludf.DUMMYFUNCTION("IFERROR((FILTER(Data!H:H,Data!D:D=A321,Data!B:B=$B$1)*2)+(FILTER(Data!L:L,Data!D:D=A321,Data!B:B=$B$1))+(FILTER(Data!G:G,Data!D:D=A321,Data!B:B=$B$1)*4)+(FILTER(Data!K:K,Data!D:D=A321,Data!B:B=$B$1)*2)+(((COUNTIF(FILTER(Data!N:N,Data!D:D=A321,Data!B:B=$B$"&amp;"1),""TRAVERSE"")*15)+(COUNTIF(FILTER(Data!N:N,Data!D:D=A321,Data!B:B=$B$1),""HIGH"")*10)+(COUNTIF(FILTER(Data!N:N,Data!D:D=A321,Data!B:B=$B$1),""MIDDLE"")*6)+(COUNTIF(FILTER(Data!N:N,Data!D:D=A321,Data!B:B=$B$1),""LOW"")*4))),"""")"),"")</f>
        <v/>
      </c>
      <c r="L321" s="136" t="str">
        <f>IFERROR(__xludf.DUMMYFUNCTION("IFERROR((FILTER(Data!P:P,Data!D:D=A321,Data!B:B=$B$1)),"""")"),"")</f>
        <v/>
      </c>
      <c r="M321" s="137" t="str">
        <f>IFERROR(__xludf.DUMMYFUNCTION("IFERROR((FILTER(Data!A:A,Data!D:D=A321,Data!B:B=$B$1)),"""")"),"")</f>
        <v/>
      </c>
      <c r="T321" s="52">
        <f>IFERROR(__xludf.DUMMYFUNCTION("((COUNTIF(FILTER(Data!N:N,Data!D:D=A321,Data!B:B=$B$1),""TRAVERSE"")*15)+(COUNTIF(FILTER(Data!N:N,Data!D:D=A321,Data!B:B=B$1),""HIGH"")*10)+(COUNTIF(FILTER(Data!N:N,Data!D:D=A321,Data!B:B=$B$1),""MIDDLE"")*6)+(COUNTIF(FILTER(Data!N:N,Data!D:D=A321,Data!B:"&amp;"B=$B$1),""LOW"")*4))"),0.0)</f>
        <v>0</v>
      </c>
      <c r="V321" s="138" t="str">
        <f>IF(Data!B313='Team Parser'!$B$1, Data!D313,"")</f>
        <v/>
      </c>
      <c r="W321" s="134" t="str">
        <f>IF(Data!$B313='Team Parser'!$B$1, Data!H313,"")</f>
        <v/>
      </c>
      <c r="X321" s="134" t="str">
        <f>IF(Data!$B313='Team Parser'!$B$1, Data!G313,"")</f>
        <v/>
      </c>
      <c r="Y321" s="134" t="str">
        <f>IF(Data!$B313='Team Parser'!$B$1, Data!L313,"")</f>
        <v/>
      </c>
      <c r="Z321" s="134" t="str">
        <f>IF(Data!$B313='Team Parser'!$B$1, Data!K313,"")</f>
        <v/>
      </c>
      <c r="AA321" s="134" t="str">
        <f>IF(Data!$B313='Team Parser'!$B$1, Data!M313,"")</f>
        <v/>
      </c>
      <c r="AB321" s="134" t="str">
        <f>IF(Data!$B313='Team Parser'!$B$1,((Z321*2)+(Y321)+(X321*4)+(W321*2)),"")</f>
        <v/>
      </c>
      <c r="AC321" s="134" t="str">
        <f>IF(Data!$B313='Team Parser'!$B$1, Data!N313,"")</f>
        <v/>
      </c>
      <c r="AD321" s="139" t="str">
        <f>IF(Data!$B313='Team Parser'!$B$1,(AB321+(COUNTIF(AC321,"TRAVERSE")*15)+(COUNTIF(AC321,"HIGH")*10)+(COUNTIF(AC321,"MIDDLE")*6)+(COUNTIF(AC321,"LOW")*4)),"")</f>
        <v/>
      </c>
    </row>
    <row r="322">
      <c r="A322" s="141" t="s">
        <v>507</v>
      </c>
      <c r="B322" s="134" t="str">
        <f>IFERROR(__xludf.DUMMYFUNCTION("IFERROR((FILTER(Data!H:H,Data!D:D=A322,Data!B:B=$B$1)),"""")"),"")</f>
        <v/>
      </c>
      <c r="C322" s="134" t="str">
        <f>IFERROR(__xludf.DUMMYFUNCTION("IFERROR((FILTER(Data!G:G,Data!D:D=A322,Data!B:B=$B$1)),"""")"),"")</f>
        <v/>
      </c>
      <c r="D322" s="134" t="str">
        <f>IFERROR(__xludf.DUMMYFUNCTION("IFERROR((FILTER(Data!J:J,Data!D:D=A322,Data!B:B=$B$1)),"""")"),"")</f>
        <v/>
      </c>
      <c r="E322" s="134" t="str">
        <f>IFERROR(__xludf.DUMMYFUNCTION("IFERROR((FILTER(Data!L:L,Data!D:D=A322,Data!B:B=$B$1)),"""")"),"")</f>
        <v/>
      </c>
      <c r="F322" s="134" t="str">
        <f>IFERROR(__xludf.DUMMYFUNCTION("IFERROR((FILTER(Data!K:K,Data!D:D=A322,Data!B:B=$B$1)),"""")"),"")</f>
        <v/>
      </c>
      <c r="G322" s="134" t="str">
        <f>IFERROR(__xludf.DUMMYFUNCTION("IFERROR((FILTER(Data!M:M,Data!D:D=A322,Data!B:B=$B$1)),"""")"),"")</f>
        <v/>
      </c>
      <c r="H322" s="134" t="str">
        <f>IFERROR(__xludf.DUMMYFUNCTION("IFERROR((FILTER(Data!G:G,Data!D:D=A322,Data!B:B=$B$1)*4)+(FILTER(Data!H:H,Data!D:D=A322,Data!B:B=$B$1)*2),"""")"),"")</f>
        <v/>
      </c>
      <c r="I322" s="15" t="str">
        <f>IFERROR(__xludf.DUMMYFUNCTION("IFERROR((FILTER(Data!K:K,Data!D:D=A322,Data!B:B=$B$1)*2)+(FILTER(Data!L:L,Data!D:D=A322,Data!B:B=$B$1)),"""")"),"")</f>
        <v/>
      </c>
      <c r="J322" s="134" t="str">
        <f>IFERROR(__xludf.DUMMYFUNCTION("IFERROR((FILTER(Data!N:N,Data!D:D=A322,Data!B:B=$B$1)),"""")"),"")</f>
        <v/>
      </c>
      <c r="K322" s="135" t="str">
        <f>IFERROR(__xludf.DUMMYFUNCTION("IFERROR((FILTER(Data!H:H,Data!D:D=A322,Data!B:B=$B$1)*2)+(FILTER(Data!L:L,Data!D:D=A322,Data!B:B=$B$1))+(FILTER(Data!G:G,Data!D:D=A322,Data!B:B=$B$1)*4)+(FILTER(Data!K:K,Data!D:D=A322,Data!B:B=$B$1)*2)+(((COUNTIF(FILTER(Data!N:N,Data!D:D=A322,Data!B:B=$B$"&amp;"1),""TRAVERSE"")*15)+(COUNTIF(FILTER(Data!N:N,Data!D:D=A322,Data!B:B=$B$1),""HIGH"")*10)+(COUNTIF(FILTER(Data!N:N,Data!D:D=A322,Data!B:B=$B$1),""MIDDLE"")*6)+(COUNTIF(FILTER(Data!N:N,Data!D:D=A322,Data!B:B=$B$1),""LOW"")*4))),"""")"),"")</f>
        <v/>
      </c>
      <c r="L322" s="136" t="str">
        <f>IFERROR(__xludf.DUMMYFUNCTION("IFERROR((FILTER(Data!P:P,Data!D:D=A322,Data!B:B=$B$1)),"""")"),"")</f>
        <v/>
      </c>
      <c r="M322" s="137" t="str">
        <f>IFERROR(__xludf.DUMMYFUNCTION("IFERROR((FILTER(Data!A:A,Data!D:D=A322,Data!B:B=$B$1)),"""")"),"")</f>
        <v/>
      </c>
      <c r="T322" s="52">
        <f>IFERROR(__xludf.DUMMYFUNCTION("((COUNTIF(FILTER(Data!N:N,Data!D:D=A322,Data!B:B=$B$1),""TRAVERSE"")*15)+(COUNTIF(FILTER(Data!N:N,Data!D:D=A322,Data!B:B=B$1),""HIGH"")*10)+(COUNTIF(FILTER(Data!N:N,Data!D:D=A322,Data!B:B=$B$1),""MIDDLE"")*6)+(COUNTIF(FILTER(Data!N:N,Data!D:D=A322,Data!B:"&amp;"B=$B$1),""LOW"")*4))"),0.0)</f>
        <v>0</v>
      </c>
      <c r="V322" s="138" t="str">
        <f>IF(Data!B314='Team Parser'!$B$1, Data!D314,"")</f>
        <v/>
      </c>
      <c r="W322" s="134" t="str">
        <f>IF(Data!$B314='Team Parser'!$B$1, Data!H314,"")</f>
        <v/>
      </c>
      <c r="X322" s="134" t="str">
        <f>IF(Data!$B314='Team Parser'!$B$1, Data!G314,"")</f>
        <v/>
      </c>
      <c r="Y322" s="134" t="str">
        <f>IF(Data!$B314='Team Parser'!$B$1, Data!L314,"")</f>
        <v/>
      </c>
      <c r="Z322" s="134" t="str">
        <f>IF(Data!$B314='Team Parser'!$B$1, Data!K314,"")</f>
        <v/>
      </c>
      <c r="AA322" s="134" t="str">
        <f>IF(Data!$B314='Team Parser'!$B$1, Data!M314,"")</f>
        <v/>
      </c>
      <c r="AB322" s="134" t="str">
        <f>IF(Data!$B314='Team Parser'!$B$1,((Z322*2)+(Y322)+(X322*4)+(W322*2)),"")</f>
        <v/>
      </c>
      <c r="AC322" s="134" t="str">
        <f>IF(Data!$B314='Team Parser'!$B$1, Data!N314,"")</f>
        <v/>
      </c>
      <c r="AD322" s="139" t="str">
        <f>IF(Data!$B314='Team Parser'!$B$1,(AB322+(COUNTIF(AC322,"TRAVERSE")*15)+(COUNTIF(AC322,"HIGH")*10)+(COUNTIF(AC322,"MIDDLE")*6)+(COUNTIF(AC322,"LOW")*4)),"")</f>
        <v/>
      </c>
    </row>
    <row r="323">
      <c r="A323" s="141" t="s">
        <v>507</v>
      </c>
      <c r="B323" s="134" t="str">
        <f>IFERROR(__xludf.DUMMYFUNCTION("IFERROR((FILTER(Data!H:H,Data!D:D=A323,Data!B:B=$B$1)),"""")"),"")</f>
        <v/>
      </c>
      <c r="C323" s="134" t="str">
        <f>IFERROR(__xludf.DUMMYFUNCTION("IFERROR((FILTER(Data!G:G,Data!D:D=A323,Data!B:B=$B$1)),"""")"),"")</f>
        <v/>
      </c>
      <c r="D323" s="134" t="str">
        <f>IFERROR(__xludf.DUMMYFUNCTION("IFERROR((FILTER(Data!J:J,Data!D:D=A323,Data!B:B=$B$1)),"""")"),"")</f>
        <v/>
      </c>
      <c r="E323" s="134" t="str">
        <f>IFERROR(__xludf.DUMMYFUNCTION("IFERROR((FILTER(Data!L:L,Data!D:D=A323,Data!B:B=$B$1)),"""")"),"")</f>
        <v/>
      </c>
      <c r="F323" s="134" t="str">
        <f>IFERROR(__xludf.DUMMYFUNCTION("IFERROR((FILTER(Data!K:K,Data!D:D=A323,Data!B:B=$B$1)),"""")"),"")</f>
        <v/>
      </c>
      <c r="G323" s="134" t="str">
        <f>IFERROR(__xludf.DUMMYFUNCTION("IFERROR((FILTER(Data!M:M,Data!D:D=A323,Data!B:B=$B$1)),"""")"),"")</f>
        <v/>
      </c>
      <c r="H323" s="134" t="str">
        <f>IFERROR(__xludf.DUMMYFUNCTION("IFERROR((FILTER(Data!G:G,Data!D:D=A323,Data!B:B=$B$1)*4)+(FILTER(Data!H:H,Data!D:D=A323,Data!B:B=$B$1)*2),"""")"),"")</f>
        <v/>
      </c>
      <c r="I323" s="15" t="str">
        <f>IFERROR(__xludf.DUMMYFUNCTION("IFERROR((FILTER(Data!K:K,Data!D:D=A323,Data!B:B=$B$1)*2)+(FILTER(Data!L:L,Data!D:D=A323,Data!B:B=$B$1)),"""")"),"")</f>
        <v/>
      </c>
      <c r="J323" s="134" t="str">
        <f>IFERROR(__xludf.DUMMYFUNCTION("IFERROR((FILTER(Data!N:N,Data!D:D=A323,Data!B:B=$B$1)),"""")"),"")</f>
        <v/>
      </c>
      <c r="K323" s="135" t="str">
        <f>IFERROR(__xludf.DUMMYFUNCTION("IFERROR((FILTER(Data!H:H,Data!D:D=A323,Data!B:B=$B$1)*2)+(FILTER(Data!L:L,Data!D:D=A323,Data!B:B=$B$1))+(FILTER(Data!G:G,Data!D:D=A323,Data!B:B=$B$1)*4)+(FILTER(Data!K:K,Data!D:D=A323,Data!B:B=$B$1)*2)+(((COUNTIF(FILTER(Data!N:N,Data!D:D=A323,Data!B:B=$B$"&amp;"1),""TRAVERSE"")*15)+(COUNTIF(FILTER(Data!N:N,Data!D:D=A323,Data!B:B=$B$1),""HIGH"")*10)+(COUNTIF(FILTER(Data!N:N,Data!D:D=A323,Data!B:B=$B$1),""MIDDLE"")*6)+(COUNTIF(FILTER(Data!N:N,Data!D:D=A323,Data!B:B=$B$1),""LOW"")*4))),"""")"),"")</f>
        <v/>
      </c>
      <c r="L323" s="136" t="str">
        <f>IFERROR(__xludf.DUMMYFUNCTION("IFERROR((FILTER(Data!P:P,Data!D:D=A323,Data!B:B=$B$1)),"""")"),"")</f>
        <v/>
      </c>
      <c r="M323" s="137" t="str">
        <f>IFERROR(__xludf.DUMMYFUNCTION("IFERROR((FILTER(Data!A:A,Data!D:D=A323,Data!B:B=$B$1)),"""")"),"")</f>
        <v/>
      </c>
      <c r="T323" s="52">
        <f>IFERROR(__xludf.DUMMYFUNCTION("((COUNTIF(FILTER(Data!N:N,Data!D:D=A323,Data!B:B=$B$1),""TRAVERSE"")*15)+(COUNTIF(FILTER(Data!N:N,Data!D:D=A323,Data!B:B=B$1),""HIGH"")*10)+(COUNTIF(FILTER(Data!N:N,Data!D:D=A323,Data!B:B=$B$1),""MIDDLE"")*6)+(COUNTIF(FILTER(Data!N:N,Data!D:D=A323,Data!B:"&amp;"B=$B$1),""LOW"")*4))"),0.0)</f>
        <v>0</v>
      </c>
      <c r="V323" s="138" t="str">
        <f>IF(Data!B315='Team Parser'!$B$1, Data!D315,"")</f>
        <v/>
      </c>
      <c r="W323" s="134" t="str">
        <f>IF(Data!$B315='Team Parser'!$B$1, Data!H315,"")</f>
        <v/>
      </c>
      <c r="X323" s="134" t="str">
        <f>IF(Data!$B315='Team Parser'!$B$1, Data!G315,"")</f>
        <v/>
      </c>
      <c r="Y323" s="134" t="str">
        <f>IF(Data!$B315='Team Parser'!$B$1, Data!L315,"")</f>
        <v/>
      </c>
      <c r="Z323" s="134" t="str">
        <f>IF(Data!$B315='Team Parser'!$B$1, Data!K315,"")</f>
        <v/>
      </c>
      <c r="AA323" s="134" t="str">
        <f>IF(Data!$B315='Team Parser'!$B$1, Data!M315,"")</f>
        <v/>
      </c>
      <c r="AB323" s="134" t="str">
        <f>IF(Data!$B315='Team Parser'!$B$1,((Z323*2)+(Y323)+(X323*4)+(W323*2)),"")</f>
        <v/>
      </c>
      <c r="AC323" s="134" t="str">
        <f>IF(Data!$B315='Team Parser'!$B$1, Data!N315,"")</f>
        <v/>
      </c>
      <c r="AD323" s="139" t="str">
        <f>IF(Data!$B315='Team Parser'!$B$1,(AB323+(COUNTIF(AC323,"TRAVERSE")*15)+(COUNTIF(AC323,"HIGH")*10)+(COUNTIF(AC323,"MIDDLE")*6)+(COUNTIF(AC323,"LOW")*4)),"")</f>
        <v/>
      </c>
    </row>
    <row r="324">
      <c r="A324" s="141" t="s">
        <v>507</v>
      </c>
      <c r="B324" s="134" t="str">
        <f>IFERROR(__xludf.DUMMYFUNCTION("IFERROR((FILTER(Data!H:H,Data!D:D=A324,Data!B:B=$B$1)),"""")"),"")</f>
        <v/>
      </c>
      <c r="C324" s="134" t="str">
        <f>IFERROR(__xludf.DUMMYFUNCTION("IFERROR((FILTER(Data!G:G,Data!D:D=A324,Data!B:B=$B$1)),"""")"),"")</f>
        <v/>
      </c>
      <c r="D324" s="134" t="str">
        <f>IFERROR(__xludf.DUMMYFUNCTION("IFERROR((FILTER(Data!J:J,Data!D:D=A324,Data!B:B=$B$1)),"""")"),"")</f>
        <v/>
      </c>
      <c r="E324" s="134" t="str">
        <f>IFERROR(__xludf.DUMMYFUNCTION("IFERROR((FILTER(Data!L:L,Data!D:D=A324,Data!B:B=$B$1)),"""")"),"")</f>
        <v/>
      </c>
      <c r="F324" s="134" t="str">
        <f>IFERROR(__xludf.DUMMYFUNCTION("IFERROR((FILTER(Data!K:K,Data!D:D=A324,Data!B:B=$B$1)),"""")"),"")</f>
        <v/>
      </c>
      <c r="G324" s="134" t="str">
        <f>IFERROR(__xludf.DUMMYFUNCTION("IFERROR((FILTER(Data!M:M,Data!D:D=A324,Data!B:B=$B$1)),"""")"),"")</f>
        <v/>
      </c>
      <c r="H324" s="134" t="str">
        <f>IFERROR(__xludf.DUMMYFUNCTION("IFERROR((FILTER(Data!G:G,Data!D:D=A324,Data!B:B=$B$1)*4)+(FILTER(Data!H:H,Data!D:D=A324,Data!B:B=$B$1)*2),"""")"),"")</f>
        <v/>
      </c>
      <c r="I324" s="15" t="str">
        <f>IFERROR(__xludf.DUMMYFUNCTION("IFERROR((FILTER(Data!K:K,Data!D:D=A324,Data!B:B=$B$1)*2)+(FILTER(Data!L:L,Data!D:D=A324,Data!B:B=$B$1)),"""")"),"")</f>
        <v/>
      </c>
      <c r="J324" s="134" t="str">
        <f>IFERROR(__xludf.DUMMYFUNCTION("IFERROR((FILTER(Data!N:N,Data!D:D=A324,Data!B:B=$B$1)),"""")"),"")</f>
        <v/>
      </c>
      <c r="K324" s="135" t="str">
        <f>IFERROR(__xludf.DUMMYFUNCTION("IFERROR((FILTER(Data!H:H,Data!D:D=A324,Data!B:B=$B$1)*2)+(FILTER(Data!L:L,Data!D:D=A324,Data!B:B=$B$1))+(FILTER(Data!G:G,Data!D:D=A324,Data!B:B=$B$1)*4)+(FILTER(Data!K:K,Data!D:D=A324,Data!B:B=$B$1)*2)+(((COUNTIF(FILTER(Data!N:N,Data!D:D=A324,Data!B:B=$B$"&amp;"1),""TRAVERSE"")*15)+(COUNTIF(FILTER(Data!N:N,Data!D:D=A324,Data!B:B=$B$1),""HIGH"")*10)+(COUNTIF(FILTER(Data!N:N,Data!D:D=A324,Data!B:B=$B$1),""MIDDLE"")*6)+(COUNTIF(FILTER(Data!N:N,Data!D:D=A324,Data!B:B=$B$1),""LOW"")*4))),"""")"),"")</f>
        <v/>
      </c>
      <c r="L324" s="136" t="str">
        <f>IFERROR(__xludf.DUMMYFUNCTION("IFERROR((FILTER(Data!P:P,Data!D:D=A324,Data!B:B=$B$1)),"""")"),"")</f>
        <v/>
      </c>
      <c r="M324" s="137" t="str">
        <f>IFERROR(__xludf.DUMMYFUNCTION("IFERROR((FILTER(Data!A:A,Data!D:D=A324,Data!B:B=$B$1)),"""")"),"")</f>
        <v/>
      </c>
      <c r="T324" s="52">
        <f>IFERROR(__xludf.DUMMYFUNCTION("((COUNTIF(FILTER(Data!N:N,Data!D:D=A324,Data!B:B=$B$1),""TRAVERSE"")*15)+(COUNTIF(FILTER(Data!N:N,Data!D:D=A324,Data!B:B=B$1),""HIGH"")*10)+(COUNTIF(FILTER(Data!N:N,Data!D:D=A324,Data!B:B=$B$1),""MIDDLE"")*6)+(COUNTIF(FILTER(Data!N:N,Data!D:D=A324,Data!B:"&amp;"B=$B$1),""LOW"")*4))"),0.0)</f>
        <v>0</v>
      </c>
      <c r="V324" s="138" t="str">
        <f>IF(Data!B316='Team Parser'!$B$1, Data!D316,"")</f>
        <v/>
      </c>
      <c r="W324" s="134" t="str">
        <f>IF(Data!$B316='Team Parser'!$B$1, Data!H316,"")</f>
        <v/>
      </c>
      <c r="X324" s="134" t="str">
        <f>IF(Data!$B316='Team Parser'!$B$1, Data!G316,"")</f>
        <v/>
      </c>
      <c r="Y324" s="134" t="str">
        <f>IF(Data!$B316='Team Parser'!$B$1, Data!L316,"")</f>
        <v/>
      </c>
      <c r="Z324" s="134" t="str">
        <f>IF(Data!$B316='Team Parser'!$B$1, Data!K316,"")</f>
        <v/>
      </c>
      <c r="AA324" s="134" t="str">
        <f>IF(Data!$B316='Team Parser'!$B$1, Data!M316,"")</f>
        <v/>
      </c>
      <c r="AB324" s="134" t="str">
        <f>IF(Data!$B316='Team Parser'!$B$1,((Z324*2)+(Y324)+(X324*4)+(W324*2)),"")</f>
        <v/>
      </c>
      <c r="AC324" s="134" t="str">
        <f>IF(Data!$B316='Team Parser'!$B$1, Data!N316,"")</f>
        <v/>
      </c>
      <c r="AD324" s="139" t="str">
        <f>IF(Data!$B316='Team Parser'!$B$1,(AB324+(COUNTIF(AC324,"TRAVERSE")*15)+(COUNTIF(AC324,"HIGH")*10)+(COUNTIF(AC324,"MIDDLE")*6)+(COUNTIF(AC324,"LOW")*4)),"")</f>
        <v/>
      </c>
    </row>
    <row r="325">
      <c r="A325" s="141" t="s">
        <v>507</v>
      </c>
      <c r="B325" s="134" t="str">
        <f>IFERROR(__xludf.DUMMYFUNCTION("IFERROR((FILTER(Data!H:H,Data!D:D=A325,Data!B:B=$B$1)),"""")"),"")</f>
        <v/>
      </c>
      <c r="C325" s="134" t="str">
        <f>IFERROR(__xludf.DUMMYFUNCTION("IFERROR((FILTER(Data!G:G,Data!D:D=A325,Data!B:B=$B$1)),"""")"),"")</f>
        <v/>
      </c>
      <c r="D325" s="134" t="str">
        <f>IFERROR(__xludf.DUMMYFUNCTION("IFERROR((FILTER(Data!J:J,Data!D:D=A325,Data!B:B=$B$1)),"""")"),"")</f>
        <v/>
      </c>
      <c r="E325" s="134" t="str">
        <f>IFERROR(__xludf.DUMMYFUNCTION("IFERROR((FILTER(Data!L:L,Data!D:D=A325,Data!B:B=$B$1)),"""")"),"")</f>
        <v/>
      </c>
      <c r="F325" s="134" t="str">
        <f>IFERROR(__xludf.DUMMYFUNCTION("IFERROR((FILTER(Data!K:K,Data!D:D=A325,Data!B:B=$B$1)),"""")"),"")</f>
        <v/>
      </c>
      <c r="G325" s="134" t="str">
        <f>IFERROR(__xludf.DUMMYFUNCTION("IFERROR((FILTER(Data!M:M,Data!D:D=A325,Data!B:B=$B$1)),"""")"),"")</f>
        <v/>
      </c>
      <c r="H325" s="134" t="str">
        <f>IFERROR(__xludf.DUMMYFUNCTION("IFERROR((FILTER(Data!G:G,Data!D:D=A325,Data!B:B=$B$1)*4)+(FILTER(Data!H:H,Data!D:D=A325,Data!B:B=$B$1)*2),"""")"),"")</f>
        <v/>
      </c>
      <c r="I325" s="15" t="str">
        <f>IFERROR(__xludf.DUMMYFUNCTION("IFERROR((FILTER(Data!K:K,Data!D:D=A325,Data!B:B=$B$1)*2)+(FILTER(Data!L:L,Data!D:D=A325,Data!B:B=$B$1)),"""")"),"")</f>
        <v/>
      </c>
      <c r="J325" s="134" t="str">
        <f>IFERROR(__xludf.DUMMYFUNCTION("IFERROR((FILTER(Data!N:N,Data!D:D=A325,Data!B:B=$B$1)),"""")"),"")</f>
        <v/>
      </c>
      <c r="K325" s="135" t="str">
        <f>IFERROR(__xludf.DUMMYFUNCTION("IFERROR((FILTER(Data!H:H,Data!D:D=A325,Data!B:B=$B$1)*2)+(FILTER(Data!L:L,Data!D:D=A325,Data!B:B=$B$1))+(FILTER(Data!G:G,Data!D:D=A325,Data!B:B=$B$1)*4)+(FILTER(Data!K:K,Data!D:D=A325,Data!B:B=$B$1)*2)+(((COUNTIF(FILTER(Data!N:N,Data!D:D=A325,Data!B:B=$B$"&amp;"1),""TRAVERSE"")*15)+(COUNTIF(FILTER(Data!N:N,Data!D:D=A325,Data!B:B=$B$1),""HIGH"")*10)+(COUNTIF(FILTER(Data!N:N,Data!D:D=A325,Data!B:B=$B$1),""MIDDLE"")*6)+(COUNTIF(FILTER(Data!N:N,Data!D:D=A325,Data!B:B=$B$1),""LOW"")*4))),"""")"),"")</f>
        <v/>
      </c>
      <c r="L325" s="136" t="str">
        <f>IFERROR(__xludf.DUMMYFUNCTION("IFERROR((FILTER(Data!P:P,Data!D:D=A325,Data!B:B=$B$1)),"""")"),"")</f>
        <v/>
      </c>
      <c r="M325" s="137" t="str">
        <f>IFERROR(__xludf.DUMMYFUNCTION("IFERROR((FILTER(Data!A:A,Data!D:D=A325,Data!B:B=$B$1)),"""")"),"")</f>
        <v/>
      </c>
      <c r="T325" s="52">
        <f>IFERROR(__xludf.DUMMYFUNCTION("((COUNTIF(FILTER(Data!N:N,Data!D:D=A325,Data!B:B=$B$1),""TRAVERSE"")*15)+(COUNTIF(FILTER(Data!N:N,Data!D:D=A325,Data!B:B=B$1),""HIGH"")*10)+(COUNTIF(FILTER(Data!N:N,Data!D:D=A325,Data!B:B=$B$1),""MIDDLE"")*6)+(COUNTIF(FILTER(Data!N:N,Data!D:D=A325,Data!B:"&amp;"B=$B$1),""LOW"")*4))"),0.0)</f>
        <v>0</v>
      </c>
      <c r="V325" s="138" t="str">
        <f>IF(Data!B317='Team Parser'!$B$1, Data!D317,"")</f>
        <v/>
      </c>
      <c r="W325" s="134" t="str">
        <f>IF(Data!$B317='Team Parser'!$B$1, Data!H317,"")</f>
        <v/>
      </c>
      <c r="X325" s="134" t="str">
        <f>IF(Data!$B317='Team Parser'!$B$1, Data!G317,"")</f>
        <v/>
      </c>
      <c r="Y325" s="134" t="str">
        <f>IF(Data!$B317='Team Parser'!$B$1, Data!L317,"")</f>
        <v/>
      </c>
      <c r="Z325" s="134" t="str">
        <f>IF(Data!$B317='Team Parser'!$B$1, Data!K317,"")</f>
        <v/>
      </c>
      <c r="AA325" s="134" t="str">
        <f>IF(Data!$B317='Team Parser'!$B$1, Data!M317,"")</f>
        <v/>
      </c>
      <c r="AB325" s="134" t="str">
        <f>IF(Data!$B317='Team Parser'!$B$1,((Z325*2)+(Y325)+(X325*4)+(W325*2)),"")</f>
        <v/>
      </c>
      <c r="AC325" s="134" t="str">
        <f>IF(Data!$B317='Team Parser'!$B$1, Data!N317,"")</f>
        <v/>
      </c>
      <c r="AD325" s="139" t="str">
        <f>IF(Data!$B317='Team Parser'!$B$1,(AB325+(COUNTIF(AC325,"TRAVERSE")*15)+(COUNTIF(AC325,"HIGH")*10)+(COUNTIF(AC325,"MIDDLE")*6)+(COUNTIF(AC325,"LOW")*4)),"")</f>
        <v/>
      </c>
    </row>
    <row r="326">
      <c r="A326" s="141" t="s">
        <v>507</v>
      </c>
      <c r="B326" s="134" t="str">
        <f>IFERROR(__xludf.DUMMYFUNCTION("IFERROR((FILTER(Data!H:H,Data!D:D=A326,Data!B:B=$B$1)),"""")"),"")</f>
        <v/>
      </c>
      <c r="C326" s="134" t="str">
        <f>IFERROR(__xludf.DUMMYFUNCTION("IFERROR((FILTER(Data!G:G,Data!D:D=A326,Data!B:B=$B$1)),"""")"),"")</f>
        <v/>
      </c>
      <c r="D326" s="134" t="str">
        <f>IFERROR(__xludf.DUMMYFUNCTION("IFERROR((FILTER(Data!J:J,Data!D:D=A326,Data!B:B=$B$1)),"""")"),"")</f>
        <v/>
      </c>
      <c r="E326" s="134" t="str">
        <f>IFERROR(__xludf.DUMMYFUNCTION("IFERROR((FILTER(Data!L:L,Data!D:D=A326,Data!B:B=$B$1)),"""")"),"")</f>
        <v/>
      </c>
      <c r="F326" s="134" t="str">
        <f>IFERROR(__xludf.DUMMYFUNCTION("IFERROR((FILTER(Data!K:K,Data!D:D=A326,Data!B:B=$B$1)),"""")"),"")</f>
        <v/>
      </c>
      <c r="G326" s="134" t="str">
        <f>IFERROR(__xludf.DUMMYFUNCTION("IFERROR((FILTER(Data!M:M,Data!D:D=A326,Data!B:B=$B$1)),"""")"),"")</f>
        <v/>
      </c>
      <c r="H326" s="134" t="str">
        <f>IFERROR(__xludf.DUMMYFUNCTION("IFERROR((FILTER(Data!G:G,Data!D:D=A326,Data!B:B=$B$1)*4)+(FILTER(Data!H:H,Data!D:D=A326,Data!B:B=$B$1)*2),"""")"),"")</f>
        <v/>
      </c>
      <c r="I326" s="15" t="str">
        <f>IFERROR(__xludf.DUMMYFUNCTION("IFERROR((FILTER(Data!K:K,Data!D:D=A326,Data!B:B=$B$1)*2)+(FILTER(Data!L:L,Data!D:D=A326,Data!B:B=$B$1)),"""")"),"")</f>
        <v/>
      </c>
      <c r="J326" s="134" t="str">
        <f>IFERROR(__xludf.DUMMYFUNCTION("IFERROR((FILTER(Data!N:N,Data!D:D=A326,Data!B:B=$B$1)),"""")"),"")</f>
        <v/>
      </c>
      <c r="K326" s="135" t="str">
        <f>IFERROR(__xludf.DUMMYFUNCTION("IFERROR((FILTER(Data!H:H,Data!D:D=A326,Data!B:B=$B$1)*2)+(FILTER(Data!L:L,Data!D:D=A326,Data!B:B=$B$1))+(FILTER(Data!G:G,Data!D:D=A326,Data!B:B=$B$1)*4)+(FILTER(Data!K:K,Data!D:D=A326,Data!B:B=$B$1)*2)+(((COUNTIF(FILTER(Data!N:N,Data!D:D=A326,Data!B:B=$B$"&amp;"1),""TRAVERSE"")*15)+(COUNTIF(FILTER(Data!N:N,Data!D:D=A326,Data!B:B=$B$1),""HIGH"")*10)+(COUNTIF(FILTER(Data!N:N,Data!D:D=A326,Data!B:B=$B$1),""MIDDLE"")*6)+(COUNTIF(FILTER(Data!N:N,Data!D:D=A326,Data!B:B=$B$1),""LOW"")*4))),"""")"),"")</f>
        <v/>
      </c>
      <c r="L326" s="136" t="str">
        <f>IFERROR(__xludf.DUMMYFUNCTION("IFERROR((FILTER(Data!P:P,Data!D:D=A326,Data!B:B=$B$1)),"""")"),"")</f>
        <v/>
      </c>
      <c r="M326" s="137" t="str">
        <f>IFERROR(__xludf.DUMMYFUNCTION("IFERROR((FILTER(Data!A:A,Data!D:D=A326,Data!B:B=$B$1)),"""")"),"")</f>
        <v/>
      </c>
      <c r="T326" s="52">
        <f>IFERROR(__xludf.DUMMYFUNCTION("((COUNTIF(FILTER(Data!N:N,Data!D:D=A326,Data!B:B=$B$1),""TRAVERSE"")*15)+(COUNTIF(FILTER(Data!N:N,Data!D:D=A326,Data!B:B=B$1),""HIGH"")*10)+(COUNTIF(FILTER(Data!N:N,Data!D:D=A326,Data!B:B=$B$1),""MIDDLE"")*6)+(COUNTIF(FILTER(Data!N:N,Data!D:D=A326,Data!B:"&amp;"B=$B$1),""LOW"")*4))"),0.0)</f>
        <v>0</v>
      </c>
      <c r="V326" s="138" t="str">
        <f>IF(Data!B318='Team Parser'!$B$1, Data!D318,"")</f>
        <v/>
      </c>
      <c r="W326" s="134" t="str">
        <f>IF(Data!$B318='Team Parser'!$B$1, Data!H318,"")</f>
        <v/>
      </c>
      <c r="X326" s="134" t="str">
        <f>IF(Data!$B318='Team Parser'!$B$1, Data!G318,"")</f>
        <v/>
      </c>
      <c r="Y326" s="134" t="str">
        <f>IF(Data!$B318='Team Parser'!$B$1, Data!L318,"")</f>
        <v/>
      </c>
      <c r="Z326" s="134" t="str">
        <f>IF(Data!$B318='Team Parser'!$B$1, Data!K318,"")</f>
        <v/>
      </c>
      <c r="AA326" s="134" t="str">
        <f>IF(Data!$B318='Team Parser'!$B$1, Data!M318,"")</f>
        <v/>
      </c>
      <c r="AB326" s="134" t="str">
        <f>IF(Data!$B318='Team Parser'!$B$1,((Z326*2)+(Y326)+(X326*4)+(W326*2)),"")</f>
        <v/>
      </c>
      <c r="AC326" s="134" t="str">
        <f>IF(Data!$B318='Team Parser'!$B$1, Data!N318,"")</f>
        <v/>
      </c>
      <c r="AD326" s="139" t="str">
        <f>IF(Data!$B318='Team Parser'!$B$1,(AB326+(COUNTIF(AC326,"TRAVERSE")*15)+(COUNTIF(AC326,"HIGH")*10)+(COUNTIF(AC326,"MIDDLE")*6)+(COUNTIF(AC326,"LOW")*4)),"")</f>
        <v/>
      </c>
    </row>
    <row r="327">
      <c r="A327" s="141" t="s">
        <v>507</v>
      </c>
      <c r="B327" s="134" t="str">
        <f>IFERROR(__xludf.DUMMYFUNCTION("IFERROR((FILTER(Data!H:H,Data!D:D=A327,Data!B:B=$B$1)),"""")"),"")</f>
        <v/>
      </c>
      <c r="C327" s="134" t="str">
        <f>IFERROR(__xludf.DUMMYFUNCTION("IFERROR((FILTER(Data!G:G,Data!D:D=A327,Data!B:B=$B$1)),"""")"),"")</f>
        <v/>
      </c>
      <c r="D327" s="134" t="str">
        <f>IFERROR(__xludf.DUMMYFUNCTION("IFERROR((FILTER(Data!J:J,Data!D:D=A327,Data!B:B=$B$1)),"""")"),"")</f>
        <v/>
      </c>
      <c r="E327" s="134" t="str">
        <f>IFERROR(__xludf.DUMMYFUNCTION("IFERROR((FILTER(Data!L:L,Data!D:D=A327,Data!B:B=$B$1)),"""")"),"")</f>
        <v/>
      </c>
      <c r="F327" s="134" t="str">
        <f>IFERROR(__xludf.DUMMYFUNCTION("IFERROR((FILTER(Data!K:K,Data!D:D=A327,Data!B:B=$B$1)),"""")"),"")</f>
        <v/>
      </c>
      <c r="G327" s="134" t="str">
        <f>IFERROR(__xludf.DUMMYFUNCTION("IFERROR((FILTER(Data!M:M,Data!D:D=A327,Data!B:B=$B$1)),"""")"),"")</f>
        <v/>
      </c>
      <c r="H327" s="134" t="str">
        <f>IFERROR(__xludf.DUMMYFUNCTION("IFERROR((FILTER(Data!G:G,Data!D:D=A327,Data!B:B=$B$1)*4)+(FILTER(Data!H:H,Data!D:D=A327,Data!B:B=$B$1)*2),"""")"),"")</f>
        <v/>
      </c>
      <c r="I327" s="15" t="str">
        <f>IFERROR(__xludf.DUMMYFUNCTION("IFERROR((FILTER(Data!K:K,Data!D:D=A327,Data!B:B=$B$1)*2)+(FILTER(Data!L:L,Data!D:D=A327,Data!B:B=$B$1)),"""")"),"")</f>
        <v/>
      </c>
      <c r="J327" s="134" t="str">
        <f>IFERROR(__xludf.DUMMYFUNCTION("IFERROR((FILTER(Data!N:N,Data!D:D=A327,Data!B:B=$B$1)),"""")"),"")</f>
        <v/>
      </c>
      <c r="K327" s="135" t="str">
        <f>IFERROR(__xludf.DUMMYFUNCTION("IFERROR((FILTER(Data!H:H,Data!D:D=A327,Data!B:B=$B$1)*2)+(FILTER(Data!L:L,Data!D:D=A327,Data!B:B=$B$1))+(FILTER(Data!G:G,Data!D:D=A327,Data!B:B=$B$1)*4)+(FILTER(Data!K:K,Data!D:D=A327,Data!B:B=$B$1)*2)+(((COUNTIF(FILTER(Data!N:N,Data!D:D=A327,Data!B:B=$B$"&amp;"1),""TRAVERSE"")*15)+(COUNTIF(FILTER(Data!N:N,Data!D:D=A327,Data!B:B=$B$1),""HIGH"")*10)+(COUNTIF(FILTER(Data!N:N,Data!D:D=A327,Data!B:B=$B$1),""MIDDLE"")*6)+(COUNTIF(FILTER(Data!N:N,Data!D:D=A327,Data!B:B=$B$1),""LOW"")*4))),"""")"),"")</f>
        <v/>
      </c>
      <c r="L327" s="136" t="str">
        <f>IFERROR(__xludf.DUMMYFUNCTION("IFERROR((FILTER(Data!P:P,Data!D:D=A327,Data!B:B=$B$1)),"""")"),"")</f>
        <v/>
      </c>
      <c r="M327" s="137" t="str">
        <f>IFERROR(__xludf.DUMMYFUNCTION("IFERROR((FILTER(Data!A:A,Data!D:D=A327,Data!B:B=$B$1)),"""")"),"")</f>
        <v/>
      </c>
      <c r="T327" s="52">
        <f>IFERROR(__xludf.DUMMYFUNCTION("((COUNTIF(FILTER(Data!N:N,Data!D:D=A327,Data!B:B=$B$1),""TRAVERSE"")*15)+(COUNTIF(FILTER(Data!N:N,Data!D:D=A327,Data!B:B=B$1),""HIGH"")*10)+(COUNTIF(FILTER(Data!N:N,Data!D:D=A327,Data!B:B=$B$1),""MIDDLE"")*6)+(COUNTIF(FILTER(Data!N:N,Data!D:D=A327,Data!B:"&amp;"B=$B$1),""LOW"")*4))"),0.0)</f>
        <v>0</v>
      </c>
      <c r="V327" s="138" t="str">
        <f>IF(Data!B319='Team Parser'!$B$1, Data!D319,"")</f>
        <v/>
      </c>
      <c r="W327" s="134" t="str">
        <f>IF(Data!$B319='Team Parser'!$B$1, Data!H319,"")</f>
        <v/>
      </c>
      <c r="X327" s="134" t="str">
        <f>IF(Data!$B319='Team Parser'!$B$1, Data!G319,"")</f>
        <v/>
      </c>
      <c r="Y327" s="134" t="str">
        <f>IF(Data!$B319='Team Parser'!$B$1, Data!L319,"")</f>
        <v/>
      </c>
      <c r="Z327" s="134" t="str">
        <f>IF(Data!$B319='Team Parser'!$B$1, Data!K319,"")</f>
        <v/>
      </c>
      <c r="AA327" s="134" t="str">
        <f>IF(Data!$B319='Team Parser'!$B$1, Data!M319,"")</f>
        <v/>
      </c>
      <c r="AB327" s="134" t="str">
        <f>IF(Data!$B319='Team Parser'!$B$1,((Z327*2)+(Y327)+(X327*4)+(W327*2)),"")</f>
        <v/>
      </c>
      <c r="AC327" s="134" t="str">
        <f>IF(Data!$B319='Team Parser'!$B$1, Data!N319,"")</f>
        <v/>
      </c>
      <c r="AD327" s="139" t="str">
        <f>IF(Data!$B319='Team Parser'!$B$1,(AB327+(COUNTIF(AC327,"TRAVERSE")*15)+(COUNTIF(AC327,"HIGH")*10)+(COUNTIF(AC327,"MIDDLE")*6)+(COUNTIF(AC327,"LOW")*4)),"")</f>
        <v/>
      </c>
    </row>
    <row r="328">
      <c r="A328" s="141" t="s">
        <v>507</v>
      </c>
      <c r="B328" s="134" t="str">
        <f>IFERROR(__xludf.DUMMYFUNCTION("IFERROR((FILTER(Data!H:H,Data!D:D=A328,Data!B:B=$B$1)),"""")"),"")</f>
        <v/>
      </c>
      <c r="C328" s="134" t="str">
        <f>IFERROR(__xludf.DUMMYFUNCTION("IFERROR((FILTER(Data!G:G,Data!D:D=A328,Data!B:B=$B$1)),"""")"),"")</f>
        <v/>
      </c>
      <c r="D328" s="134" t="str">
        <f>IFERROR(__xludf.DUMMYFUNCTION("IFERROR((FILTER(Data!J:J,Data!D:D=A328,Data!B:B=$B$1)),"""")"),"")</f>
        <v/>
      </c>
      <c r="E328" s="134" t="str">
        <f>IFERROR(__xludf.DUMMYFUNCTION("IFERROR((FILTER(Data!L:L,Data!D:D=A328,Data!B:B=$B$1)),"""")"),"")</f>
        <v/>
      </c>
      <c r="F328" s="134" t="str">
        <f>IFERROR(__xludf.DUMMYFUNCTION("IFERROR((FILTER(Data!K:K,Data!D:D=A328,Data!B:B=$B$1)),"""")"),"")</f>
        <v/>
      </c>
      <c r="G328" s="134" t="str">
        <f>IFERROR(__xludf.DUMMYFUNCTION("IFERROR((FILTER(Data!M:M,Data!D:D=A328,Data!B:B=$B$1)),"""")"),"")</f>
        <v/>
      </c>
      <c r="H328" s="134" t="str">
        <f>IFERROR(__xludf.DUMMYFUNCTION("IFERROR((FILTER(Data!G:G,Data!D:D=A328,Data!B:B=$B$1)*4)+(FILTER(Data!H:H,Data!D:D=A328,Data!B:B=$B$1)*2),"""")"),"")</f>
        <v/>
      </c>
      <c r="I328" s="15" t="str">
        <f>IFERROR(__xludf.DUMMYFUNCTION("IFERROR((FILTER(Data!K:K,Data!D:D=A328,Data!B:B=$B$1)*2)+(FILTER(Data!L:L,Data!D:D=A328,Data!B:B=$B$1)),"""")"),"")</f>
        <v/>
      </c>
      <c r="J328" s="134" t="str">
        <f>IFERROR(__xludf.DUMMYFUNCTION("IFERROR((FILTER(Data!N:N,Data!D:D=A328,Data!B:B=$B$1)),"""")"),"")</f>
        <v/>
      </c>
      <c r="K328" s="135" t="str">
        <f>IFERROR(__xludf.DUMMYFUNCTION("IFERROR((FILTER(Data!H:H,Data!D:D=A328,Data!B:B=$B$1)*2)+(FILTER(Data!L:L,Data!D:D=A328,Data!B:B=$B$1))+(FILTER(Data!G:G,Data!D:D=A328,Data!B:B=$B$1)*4)+(FILTER(Data!K:K,Data!D:D=A328,Data!B:B=$B$1)*2)+(((COUNTIF(FILTER(Data!N:N,Data!D:D=A328,Data!B:B=$B$"&amp;"1),""TRAVERSE"")*15)+(COUNTIF(FILTER(Data!N:N,Data!D:D=A328,Data!B:B=$B$1),""HIGH"")*10)+(COUNTIF(FILTER(Data!N:N,Data!D:D=A328,Data!B:B=$B$1),""MIDDLE"")*6)+(COUNTIF(FILTER(Data!N:N,Data!D:D=A328,Data!B:B=$B$1),""LOW"")*4))),"""")"),"")</f>
        <v/>
      </c>
      <c r="L328" s="136" t="str">
        <f>IFERROR(__xludf.DUMMYFUNCTION("IFERROR((FILTER(Data!P:P,Data!D:D=A328,Data!B:B=$B$1)),"""")"),"")</f>
        <v/>
      </c>
      <c r="M328" s="137" t="str">
        <f>IFERROR(__xludf.DUMMYFUNCTION("IFERROR((FILTER(Data!A:A,Data!D:D=A328,Data!B:B=$B$1)),"""")"),"")</f>
        <v/>
      </c>
      <c r="T328" s="52">
        <f>IFERROR(__xludf.DUMMYFUNCTION("((COUNTIF(FILTER(Data!N:N,Data!D:D=A328,Data!B:B=$B$1),""TRAVERSE"")*15)+(COUNTIF(FILTER(Data!N:N,Data!D:D=A328,Data!B:B=B$1),""HIGH"")*10)+(COUNTIF(FILTER(Data!N:N,Data!D:D=A328,Data!B:B=$B$1),""MIDDLE"")*6)+(COUNTIF(FILTER(Data!N:N,Data!D:D=A328,Data!B:"&amp;"B=$B$1),""LOW"")*4))"),0.0)</f>
        <v>0</v>
      </c>
      <c r="V328" s="138" t="str">
        <f>IF(Data!B320='Team Parser'!$B$1, Data!D320,"")</f>
        <v/>
      </c>
      <c r="W328" s="134" t="str">
        <f>IF(Data!$B320='Team Parser'!$B$1, Data!H320,"")</f>
        <v/>
      </c>
      <c r="X328" s="134" t="str">
        <f>IF(Data!$B320='Team Parser'!$B$1, Data!G320,"")</f>
        <v/>
      </c>
      <c r="Y328" s="134" t="str">
        <f>IF(Data!$B320='Team Parser'!$B$1, Data!L320,"")</f>
        <v/>
      </c>
      <c r="Z328" s="134" t="str">
        <f>IF(Data!$B320='Team Parser'!$B$1, Data!K320,"")</f>
        <v/>
      </c>
      <c r="AA328" s="134" t="str">
        <f>IF(Data!$B320='Team Parser'!$B$1, Data!M320,"")</f>
        <v/>
      </c>
      <c r="AB328" s="134" t="str">
        <f>IF(Data!$B320='Team Parser'!$B$1,((Z328*2)+(Y328)+(X328*4)+(W328*2)),"")</f>
        <v/>
      </c>
      <c r="AC328" s="134" t="str">
        <f>IF(Data!$B320='Team Parser'!$B$1, Data!N320,"")</f>
        <v/>
      </c>
      <c r="AD328" s="139" t="str">
        <f>IF(Data!$B320='Team Parser'!$B$1,(AB328+(COUNTIF(AC328,"TRAVERSE")*15)+(COUNTIF(AC328,"HIGH")*10)+(COUNTIF(AC328,"MIDDLE")*6)+(COUNTIF(AC328,"LOW")*4)),"")</f>
        <v/>
      </c>
    </row>
    <row r="329">
      <c r="A329" s="141" t="s">
        <v>507</v>
      </c>
      <c r="B329" s="134" t="str">
        <f>IFERROR(__xludf.DUMMYFUNCTION("IFERROR((FILTER(Data!H:H,Data!D:D=A329,Data!B:B=$B$1)),"""")"),"")</f>
        <v/>
      </c>
      <c r="C329" s="134" t="str">
        <f>IFERROR(__xludf.DUMMYFUNCTION("IFERROR((FILTER(Data!G:G,Data!D:D=A329,Data!B:B=$B$1)),"""")"),"")</f>
        <v/>
      </c>
      <c r="D329" s="134" t="str">
        <f>IFERROR(__xludf.DUMMYFUNCTION("IFERROR((FILTER(Data!J:J,Data!D:D=A329,Data!B:B=$B$1)),"""")"),"")</f>
        <v/>
      </c>
      <c r="E329" s="134" t="str">
        <f>IFERROR(__xludf.DUMMYFUNCTION("IFERROR((FILTER(Data!L:L,Data!D:D=A329,Data!B:B=$B$1)),"""")"),"")</f>
        <v/>
      </c>
      <c r="F329" s="134" t="str">
        <f>IFERROR(__xludf.DUMMYFUNCTION("IFERROR((FILTER(Data!K:K,Data!D:D=A329,Data!B:B=$B$1)),"""")"),"")</f>
        <v/>
      </c>
      <c r="G329" s="134" t="str">
        <f>IFERROR(__xludf.DUMMYFUNCTION("IFERROR((FILTER(Data!M:M,Data!D:D=A329,Data!B:B=$B$1)),"""")"),"")</f>
        <v/>
      </c>
      <c r="H329" s="134" t="str">
        <f>IFERROR(__xludf.DUMMYFUNCTION("IFERROR((FILTER(Data!G:G,Data!D:D=A329,Data!B:B=$B$1)*4)+(FILTER(Data!H:H,Data!D:D=A329,Data!B:B=$B$1)*2),"""")"),"")</f>
        <v/>
      </c>
      <c r="I329" s="15" t="str">
        <f>IFERROR(__xludf.DUMMYFUNCTION("IFERROR((FILTER(Data!K:K,Data!D:D=A329,Data!B:B=$B$1)*2)+(FILTER(Data!L:L,Data!D:D=A329,Data!B:B=$B$1)),"""")"),"")</f>
        <v/>
      </c>
      <c r="J329" s="134" t="str">
        <f>IFERROR(__xludf.DUMMYFUNCTION("IFERROR((FILTER(Data!N:N,Data!D:D=A329,Data!B:B=$B$1)),"""")"),"")</f>
        <v/>
      </c>
      <c r="K329" s="135" t="str">
        <f>IFERROR(__xludf.DUMMYFUNCTION("IFERROR((FILTER(Data!H:H,Data!D:D=A329,Data!B:B=$B$1)*2)+(FILTER(Data!L:L,Data!D:D=A329,Data!B:B=$B$1))+(FILTER(Data!G:G,Data!D:D=A329,Data!B:B=$B$1)*4)+(FILTER(Data!K:K,Data!D:D=A329,Data!B:B=$B$1)*2)+(((COUNTIF(FILTER(Data!N:N,Data!D:D=A329,Data!B:B=$B$"&amp;"1),""TRAVERSE"")*15)+(COUNTIF(FILTER(Data!N:N,Data!D:D=A329,Data!B:B=$B$1),""HIGH"")*10)+(COUNTIF(FILTER(Data!N:N,Data!D:D=A329,Data!B:B=$B$1),""MIDDLE"")*6)+(COUNTIF(FILTER(Data!N:N,Data!D:D=A329,Data!B:B=$B$1),""LOW"")*4))),"""")"),"")</f>
        <v/>
      </c>
      <c r="L329" s="136" t="str">
        <f>IFERROR(__xludf.DUMMYFUNCTION("IFERROR((FILTER(Data!P:P,Data!D:D=A329,Data!B:B=$B$1)),"""")"),"")</f>
        <v/>
      </c>
      <c r="M329" s="137" t="str">
        <f>IFERROR(__xludf.DUMMYFUNCTION("IFERROR((FILTER(Data!A:A,Data!D:D=A329,Data!B:B=$B$1)),"""")"),"")</f>
        <v/>
      </c>
      <c r="T329" s="52">
        <f>IFERROR(__xludf.DUMMYFUNCTION("((COUNTIF(FILTER(Data!N:N,Data!D:D=A329,Data!B:B=$B$1),""TRAVERSE"")*15)+(COUNTIF(FILTER(Data!N:N,Data!D:D=A329,Data!B:B=B$1),""HIGH"")*10)+(COUNTIF(FILTER(Data!N:N,Data!D:D=A329,Data!B:B=$B$1),""MIDDLE"")*6)+(COUNTIF(FILTER(Data!N:N,Data!D:D=A329,Data!B:"&amp;"B=$B$1),""LOW"")*4))"),0.0)</f>
        <v>0</v>
      </c>
      <c r="V329" s="138" t="str">
        <f>IF(Data!B321='Team Parser'!$B$1, Data!D321,"")</f>
        <v/>
      </c>
      <c r="W329" s="134" t="str">
        <f>IF(Data!$B321='Team Parser'!$B$1, Data!H321,"")</f>
        <v/>
      </c>
      <c r="X329" s="134" t="str">
        <f>IF(Data!$B321='Team Parser'!$B$1, Data!G321,"")</f>
        <v/>
      </c>
      <c r="Y329" s="134" t="str">
        <f>IF(Data!$B321='Team Parser'!$B$1, Data!L321,"")</f>
        <v/>
      </c>
      <c r="Z329" s="134" t="str">
        <f>IF(Data!$B321='Team Parser'!$B$1, Data!K321,"")</f>
        <v/>
      </c>
      <c r="AA329" s="134" t="str">
        <f>IF(Data!$B321='Team Parser'!$B$1, Data!M321,"")</f>
        <v/>
      </c>
      <c r="AB329" s="134" t="str">
        <f>IF(Data!$B321='Team Parser'!$B$1,((Z329*2)+(Y329)+(X329*4)+(W329*2)),"")</f>
        <v/>
      </c>
      <c r="AC329" s="134" t="str">
        <f>IF(Data!$B321='Team Parser'!$B$1, Data!N321,"")</f>
        <v/>
      </c>
      <c r="AD329" s="139" t="str">
        <f>IF(Data!$B321='Team Parser'!$B$1,(AB329+(COUNTIF(AC329,"TRAVERSE")*15)+(COUNTIF(AC329,"HIGH")*10)+(COUNTIF(AC329,"MIDDLE")*6)+(COUNTIF(AC329,"LOW")*4)),"")</f>
        <v/>
      </c>
    </row>
    <row r="330">
      <c r="A330" s="141" t="s">
        <v>507</v>
      </c>
      <c r="B330" s="134" t="str">
        <f>IFERROR(__xludf.DUMMYFUNCTION("IFERROR((FILTER(Data!H:H,Data!D:D=A330,Data!B:B=$B$1)),"""")"),"")</f>
        <v/>
      </c>
      <c r="C330" s="134" t="str">
        <f>IFERROR(__xludf.DUMMYFUNCTION("IFERROR((FILTER(Data!G:G,Data!D:D=A330,Data!B:B=$B$1)),"""")"),"")</f>
        <v/>
      </c>
      <c r="D330" s="134" t="str">
        <f>IFERROR(__xludf.DUMMYFUNCTION("IFERROR((FILTER(Data!J:J,Data!D:D=A330,Data!B:B=$B$1)),"""")"),"")</f>
        <v/>
      </c>
      <c r="E330" s="134" t="str">
        <f>IFERROR(__xludf.DUMMYFUNCTION("IFERROR((FILTER(Data!L:L,Data!D:D=A330,Data!B:B=$B$1)),"""")"),"")</f>
        <v/>
      </c>
      <c r="F330" s="134" t="str">
        <f>IFERROR(__xludf.DUMMYFUNCTION("IFERROR((FILTER(Data!K:K,Data!D:D=A330,Data!B:B=$B$1)),"""")"),"")</f>
        <v/>
      </c>
      <c r="G330" s="134" t="str">
        <f>IFERROR(__xludf.DUMMYFUNCTION("IFERROR((FILTER(Data!M:M,Data!D:D=A330,Data!B:B=$B$1)),"""")"),"")</f>
        <v/>
      </c>
      <c r="H330" s="134" t="str">
        <f>IFERROR(__xludf.DUMMYFUNCTION("IFERROR((FILTER(Data!G:G,Data!D:D=A330,Data!B:B=$B$1)*4)+(FILTER(Data!H:H,Data!D:D=A330,Data!B:B=$B$1)*2),"""")"),"")</f>
        <v/>
      </c>
      <c r="I330" s="15" t="str">
        <f>IFERROR(__xludf.DUMMYFUNCTION("IFERROR((FILTER(Data!K:K,Data!D:D=A330,Data!B:B=$B$1)*2)+(FILTER(Data!L:L,Data!D:D=A330,Data!B:B=$B$1)),"""")"),"")</f>
        <v/>
      </c>
      <c r="J330" s="134" t="str">
        <f>IFERROR(__xludf.DUMMYFUNCTION("IFERROR((FILTER(Data!N:N,Data!D:D=A330,Data!B:B=$B$1)),"""")"),"")</f>
        <v/>
      </c>
      <c r="K330" s="135" t="str">
        <f>IFERROR(__xludf.DUMMYFUNCTION("IFERROR((FILTER(Data!H:H,Data!D:D=A330,Data!B:B=$B$1)*2)+(FILTER(Data!L:L,Data!D:D=A330,Data!B:B=$B$1))+(FILTER(Data!G:G,Data!D:D=A330,Data!B:B=$B$1)*4)+(FILTER(Data!K:K,Data!D:D=A330,Data!B:B=$B$1)*2)+(((COUNTIF(FILTER(Data!N:N,Data!D:D=A330,Data!B:B=$B$"&amp;"1),""TRAVERSE"")*15)+(COUNTIF(FILTER(Data!N:N,Data!D:D=A330,Data!B:B=$B$1),""HIGH"")*10)+(COUNTIF(FILTER(Data!N:N,Data!D:D=A330,Data!B:B=$B$1),""MIDDLE"")*6)+(COUNTIF(FILTER(Data!N:N,Data!D:D=A330,Data!B:B=$B$1),""LOW"")*4))),"""")"),"")</f>
        <v/>
      </c>
      <c r="L330" s="136" t="str">
        <f>IFERROR(__xludf.DUMMYFUNCTION("IFERROR((FILTER(Data!P:P,Data!D:D=A330,Data!B:B=$B$1)),"""")"),"")</f>
        <v/>
      </c>
      <c r="M330" s="137" t="str">
        <f>IFERROR(__xludf.DUMMYFUNCTION("IFERROR((FILTER(Data!A:A,Data!D:D=A330,Data!B:B=$B$1)),"""")"),"")</f>
        <v/>
      </c>
      <c r="T330" s="52">
        <f>IFERROR(__xludf.DUMMYFUNCTION("((COUNTIF(FILTER(Data!N:N,Data!D:D=A330,Data!B:B=$B$1),""TRAVERSE"")*15)+(COUNTIF(FILTER(Data!N:N,Data!D:D=A330,Data!B:B=B$1),""HIGH"")*10)+(COUNTIF(FILTER(Data!N:N,Data!D:D=A330,Data!B:B=$B$1),""MIDDLE"")*6)+(COUNTIF(FILTER(Data!N:N,Data!D:D=A330,Data!B:"&amp;"B=$B$1),""LOW"")*4))"),0.0)</f>
        <v>0</v>
      </c>
      <c r="V330" s="138" t="str">
        <f>IF(Data!B322='Team Parser'!$B$1, Data!D322,"")</f>
        <v/>
      </c>
      <c r="W330" s="134" t="str">
        <f>IF(Data!$B322='Team Parser'!$B$1, Data!H322,"")</f>
        <v/>
      </c>
      <c r="X330" s="134" t="str">
        <f>IF(Data!$B322='Team Parser'!$B$1, Data!G322,"")</f>
        <v/>
      </c>
      <c r="Y330" s="134" t="str">
        <f>IF(Data!$B322='Team Parser'!$B$1, Data!L322,"")</f>
        <v/>
      </c>
      <c r="Z330" s="134" t="str">
        <f>IF(Data!$B322='Team Parser'!$B$1, Data!K322,"")</f>
        <v/>
      </c>
      <c r="AA330" s="134" t="str">
        <f>IF(Data!$B322='Team Parser'!$B$1, Data!M322,"")</f>
        <v/>
      </c>
      <c r="AB330" s="134" t="str">
        <f>IF(Data!$B322='Team Parser'!$B$1,((Z330*2)+(Y330)+(X330*4)+(W330*2)),"")</f>
        <v/>
      </c>
      <c r="AC330" s="134" t="str">
        <f>IF(Data!$B322='Team Parser'!$B$1, Data!N322,"")</f>
        <v/>
      </c>
      <c r="AD330" s="139" t="str">
        <f>IF(Data!$B322='Team Parser'!$B$1,(AB330+(COUNTIF(AC330,"TRAVERSE")*15)+(COUNTIF(AC330,"HIGH")*10)+(COUNTIF(AC330,"MIDDLE")*6)+(COUNTIF(AC330,"LOW")*4)),"")</f>
        <v/>
      </c>
    </row>
    <row r="331">
      <c r="A331" s="141" t="s">
        <v>507</v>
      </c>
      <c r="B331" s="134" t="str">
        <f>IFERROR(__xludf.DUMMYFUNCTION("IFERROR((FILTER(Data!H:H,Data!D:D=A331,Data!B:B=$B$1)),"""")"),"")</f>
        <v/>
      </c>
      <c r="C331" s="134" t="str">
        <f>IFERROR(__xludf.DUMMYFUNCTION("IFERROR((FILTER(Data!G:G,Data!D:D=A331,Data!B:B=$B$1)),"""")"),"")</f>
        <v/>
      </c>
      <c r="D331" s="134" t="str">
        <f>IFERROR(__xludf.DUMMYFUNCTION("IFERROR((FILTER(Data!J:J,Data!D:D=A331,Data!B:B=$B$1)),"""")"),"")</f>
        <v/>
      </c>
      <c r="E331" s="134" t="str">
        <f>IFERROR(__xludf.DUMMYFUNCTION("IFERROR((FILTER(Data!L:L,Data!D:D=A331,Data!B:B=$B$1)),"""")"),"")</f>
        <v/>
      </c>
      <c r="F331" s="134" t="str">
        <f>IFERROR(__xludf.DUMMYFUNCTION("IFERROR((FILTER(Data!K:K,Data!D:D=A331,Data!B:B=$B$1)),"""")"),"")</f>
        <v/>
      </c>
      <c r="G331" s="134" t="str">
        <f>IFERROR(__xludf.DUMMYFUNCTION("IFERROR((FILTER(Data!M:M,Data!D:D=A331,Data!B:B=$B$1)),"""")"),"")</f>
        <v/>
      </c>
      <c r="H331" s="134" t="str">
        <f>IFERROR(__xludf.DUMMYFUNCTION("IFERROR((FILTER(Data!G:G,Data!D:D=A331,Data!B:B=$B$1)*4)+(FILTER(Data!H:H,Data!D:D=A331,Data!B:B=$B$1)*2),"""")"),"")</f>
        <v/>
      </c>
      <c r="I331" s="15" t="str">
        <f>IFERROR(__xludf.DUMMYFUNCTION("IFERROR((FILTER(Data!K:K,Data!D:D=A331,Data!B:B=$B$1)*2)+(FILTER(Data!L:L,Data!D:D=A331,Data!B:B=$B$1)),"""")"),"")</f>
        <v/>
      </c>
      <c r="J331" s="134" t="str">
        <f>IFERROR(__xludf.DUMMYFUNCTION("IFERROR((FILTER(Data!N:N,Data!D:D=A331,Data!B:B=$B$1)),"""")"),"")</f>
        <v/>
      </c>
      <c r="K331" s="135" t="str">
        <f>IFERROR(__xludf.DUMMYFUNCTION("IFERROR((FILTER(Data!H:H,Data!D:D=A331,Data!B:B=$B$1)*2)+(FILTER(Data!L:L,Data!D:D=A331,Data!B:B=$B$1))+(FILTER(Data!G:G,Data!D:D=A331,Data!B:B=$B$1)*4)+(FILTER(Data!K:K,Data!D:D=A331,Data!B:B=$B$1)*2)+(((COUNTIF(FILTER(Data!N:N,Data!D:D=A331,Data!B:B=$B$"&amp;"1),""TRAVERSE"")*15)+(COUNTIF(FILTER(Data!N:N,Data!D:D=A331,Data!B:B=$B$1),""HIGH"")*10)+(COUNTIF(FILTER(Data!N:N,Data!D:D=A331,Data!B:B=$B$1),""MIDDLE"")*6)+(COUNTIF(FILTER(Data!N:N,Data!D:D=A331,Data!B:B=$B$1),""LOW"")*4))),"""")"),"")</f>
        <v/>
      </c>
      <c r="L331" s="136" t="str">
        <f>IFERROR(__xludf.DUMMYFUNCTION("IFERROR((FILTER(Data!P:P,Data!D:D=A331,Data!B:B=$B$1)),"""")"),"")</f>
        <v/>
      </c>
      <c r="M331" s="137" t="str">
        <f>IFERROR(__xludf.DUMMYFUNCTION("IFERROR((FILTER(Data!A:A,Data!D:D=A331,Data!B:B=$B$1)),"""")"),"")</f>
        <v/>
      </c>
      <c r="T331" s="52">
        <f>IFERROR(__xludf.DUMMYFUNCTION("((COUNTIF(FILTER(Data!N:N,Data!D:D=A331,Data!B:B=$B$1),""TRAVERSE"")*15)+(COUNTIF(FILTER(Data!N:N,Data!D:D=A331,Data!B:B=B$1),""HIGH"")*10)+(COUNTIF(FILTER(Data!N:N,Data!D:D=A331,Data!B:B=$B$1),""MIDDLE"")*6)+(COUNTIF(FILTER(Data!N:N,Data!D:D=A331,Data!B:"&amp;"B=$B$1),""LOW"")*4))"),0.0)</f>
        <v>0</v>
      </c>
      <c r="V331" s="138" t="str">
        <f>IF(Data!B323='Team Parser'!$B$1, Data!D323,"")</f>
        <v/>
      </c>
      <c r="W331" s="134" t="str">
        <f>IF(Data!$B323='Team Parser'!$B$1, Data!H323,"")</f>
        <v/>
      </c>
      <c r="X331" s="134" t="str">
        <f>IF(Data!$B323='Team Parser'!$B$1, Data!G323,"")</f>
        <v/>
      </c>
      <c r="Y331" s="134" t="str">
        <f>IF(Data!$B323='Team Parser'!$B$1, Data!L323,"")</f>
        <v/>
      </c>
      <c r="Z331" s="134" t="str">
        <f>IF(Data!$B323='Team Parser'!$B$1, Data!K323,"")</f>
        <v/>
      </c>
      <c r="AA331" s="134" t="str">
        <f>IF(Data!$B323='Team Parser'!$B$1, Data!M323,"")</f>
        <v/>
      </c>
      <c r="AB331" s="134" t="str">
        <f>IF(Data!$B323='Team Parser'!$B$1,((Z331*2)+(Y331)+(X331*4)+(W331*2)),"")</f>
        <v/>
      </c>
      <c r="AC331" s="134" t="str">
        <f>IF(Data!$B323='Team Parser'!$B$1, Data!N323,"")</f>
        <v/>
      </c>
      <c r="AD331" s="139" t="str">
        <f>IF(Data!$B323='Team Parser'!$B$1,(AB331+(COUNTIF(AC331,"TRAVERSE")*15)+(COUNTIF(AC331,"HIGH")*10)+(COUNTIF(AC331,"MIDDLE")*6)+(COUNTIF(AC331,"LOW")*4)),"")</f>
        <v/>
      </c>
    </row>
    <row r="332">
      <c r="A332" s="141" t="s">
        <v>507</v>
      </c>
      <c r="B332" s="134" t="str">
        <f>IFERROR(__xludf.DUMMYFUNCTION("IFERROR((FILTER(Data!H:H,Data!D:D=A332,Data!B:B=$B$1)),"""")"),"")</f>
        <v/>
      </c>
      <c r="C332" s="134" t="str">
        <f>IFERROR(__xludf.DUMMYFUNCTION("IFERROR((FILTER(Data!G:G,Data!D:D=A332,Data!B:B=$B$1)),"""")"),"")</f>
        <v/>
      </c>
      <c r="D332" s="134" t="str">
        <f>IFERROR(__xludf.DUMMYFUNCTION("IFERROR((FILTER(Data!J:J,Data!D:D=A332,Data!B:B=$B$1)),"""")"),"")</f>
        <v/>
      </c>
      <c r="E332" s="134" t="str">
        <f>IFERROR(__xludf.DUMMYFUNCTION("IFERROR((FILTER(Data!L:L,Data!D:D=A332,Data!B:B=$B$1)),"""")"),"")</f>
        <v/>
      </c>
      <c r="F332" s="134" t="str">
        <f>IFERROR(__xludf.DUMMYFUNCTION("IFERROR((FILTER(Data!K:K,Data!D:D=A332,Data!B:B=$B$1)),"""")"),"")</f>
        <v/>
      </c>
      <c r="G332" s="134" t="str">
        <f>IFERROR(__xludf.DUMMYFUNCTION("IFERROR((FILTER(Data!M:M,Data!D:D=A332,Data!B:B=$B$1)),"""")"),"")</f>
        <v/>
      </c>
      <c r="H332" s="134" t="str">
        <f>IFERROR(__xludf.DUMMYFUNCTION("IFERROR((FILTER(Data!G:G,Data!D:D=A332,Data!B:B=$B$1)*4)+(FILTER(Data!H:H,Data!D:D=A332,Data!B:B=$B$1)*2),"""")"),"")</f>
        <v/>
      </c>
      <c r="I332" s="15" t="str">
        <f>IFERROR(__xludf.DUMMYFUNCTION("IFERROR((FILTER(Data!K:K,Data!D:D=A332,Data!B:B=$B$1)*2)+(FILTER(Data!L:L,Data!D:D=A332,Data!B:B=$B$1)),"""")"),"")</f>
        <v/>
      </c>
      <c r="J332" s="134" t="str">
        <f>IFERROR(__xludf.DUMMYFUNCTION("IFERROR((FILTER(Data!N:N,Data!D:D=A332,Data!B:B=$B$1)),"""")"),"")</f>
        <v/>
      </c>
      <c r="K332" s="135" t="str">
        <f>IFERROR(__xludf.DUMMYFUNCTION("IFERROR((FILTER(Data!H:H,Data!D:D=A332,Data!B:B=$B$1)*2)+(FILTER(Data!L:L,Data!D:D=A332,Data!B:B=$B$1))+(FILTER(Data!G:G,Data!D:D=A332,Data!B:B=$B$1)*4)+(FILTER(Data!K:K,Data!D:D=A332,Data!B:B=$B$1)*2)+(((COUNTIF(FILTER(Data!N:N,Data!D:D=A332,Data!B:B=$B$"&amp;"1),""TRAVERSE"")*15)+(COUNTIF(FILTER(Data!N:N,Data!D:D=A332,Data!B:B=$B$1),""HIGH"")*10)+(COUNTIF(FILTER(Data!N:N,Data!D:D=A332,Data!B:B=$B$1),""MIDDLE"")*6)+(COUNTIF(FILTER(Data!N:N,Data!D:D=A332,Data!B:B=$B$1),""LOW"")*4))),"""")"),"")</f>
        <v/>
      </c>
      <c r="L332" s="136" t="str">
        <f>IFERROR(__xludf.DUMMYFUNCTION("IFERROR((FILTER(Data!P:P,Data!D:D=A332,Data!B:B=$B$1)),"""")"),"")</f>
        <v/>
      </c>
      <c r="M332" s="137" t="str">
        <f>IFERROR(__xludf.DUMMYFUNCTION("IFERROR((FILTER(Data!A:A,Data!D:D=A332,Data!B:B=$B$1)),"""")"),"")</f>
        <v/>
      </c>
      <c r="T332" s="52">
        <f>IFERROR(__xludf.DUMMYFUNCTION("((COUNTIF(FILTER(Data!N:N,Data!D:D=A332,Data!B:B=$B$1),""TRAVERSE"")*15)+(COUNTIF(FILTER(Data!N:N,Data!D:D=A332,Data!B:B=B$1),""HIGH"")*10)+(COUNTIF(FILTER(Data!N:N,Data!D:D=A332,Data!B:B=$B$1),""MIDDLE"")*6)+(COUNTIF(FILTER(Data!N:N,Data!D:D=A332,Data!B:"&amp;"B=$B$1),""LOW"")*4))"),0.0)</f>
        <v>0</v>
      </c>
      <c r="V332" s="138" t="str">
        <f>IF(Data!B324='Team Parser'!$B$1, Data!D324,"")</f>
        <v/>
      </c>
      <c r="W332" s="134" t="str">
        <f>IF(Data!$B324='Team Parser'!$B$1, Data!H324,"")</f>
        <v/>
      </c>
      <c r="X332" s="134" t="str">
        <f>IF(Data!$B324='Team Parser'!$B$1, Data!G324,"")</f>
        <v/>
      </c>
      <c r="Y332" s="134" t="str">
        <f>IF(Data!$B324='Team Parser'!$B$1, Data!L324,"")</f>
        <v/>
      </c>
      <c r="Z332" s="134" t="str">
        <f>IF(Data!$B324='Team Parser'!$B$1, Data!K324,"")</f>
        <v/>
      </c>
      <c r="AA332" s="134" t="str">
        <f>IF(Data!$B324='Team Parser'!$B$1, Data!M324,"")</f>
        <v/>
      </c>
      <c r="AB332" s="134" t="str">
        <f>IF(Data!$B324='Team Parser'!$B$1,((Z332*2)+(Y332)+(X332*4)+(W332*2)),"")</f>
        <v/>
      </c>
      <c r="AC332" s="134" t="str">
        <f>IF(Data!$B324='Team Parser'!$B$1, Data!N324,"")</f>
        <v/>
      </c>
      <c r="AD332" s="139" t="str">
        <f>IF(Data!$B324='Team Parser'!$B$1,(AB332+(COUNTIF(AC332,"TRAVERSE")*15)+(COUNTIF(AC332,"HIGH")*10)+(COUNTIF(AC332,"MIDDLE")*6)+(COUNTIF(AC332,"LOW")*4)),"")</f>
        <v/>
      </c>
    </row>
    <row r="333">
      <c r="A333" s="141" t="s">
        <v>507</v>
      </c>
      <c r="B333" s="134" t="str">
        <f>IFERROR(__xludf.DUMMYFUNCTION("IFERROR((FILTER(Data!H:H,Data!D:D=A333,Data!B:B=$B$1)),"""")"),"")</f>
        <v/>
      </c>
      <c r="C333" s="134" t="str">
        <f>IFERROR(__xludf.DUMMYFUNCTION("IFERROR((FILTER(Data!G:G,Data!D:D=A333,Data!B:B=$B$1)),"""")"),"")</f>
        <v/>
      </c>
      <c r="D333" s="134" t="str">
        <f>IFERROR(__xludf.DUMMYFUNCTION("IFERROR((FILTER(Data!J:J,Data!D:D=A333,Data!B:B=$B$1)),"""")"),"")</f>
        <v/>
      </c>
      <c r="E333" s="134" t="str">
        <f>IFERROR(__xludf.DUMMYFUNCTION("IFERROR((FILTER(Data!L:L,Data!D:D=A333,Data!B:B=$B$1)),"""")"),"")</f>
        <v/>
      </c>
      <c r="F333" s="134" t="str">
        <f>IFERROR(__xludf.DUMMYFUNCTION("IFERROR((FILTER(Data!K:K,Data!D:D=A333,Data!B:B=$B$1)),"""")"),"")</f>
        <v/>
      </c>
      <c r="G333" s="134" t="str">
        <f>IFERROR(__xludf.DUMMYFUNCTION("IFERROR((FILTER(Data!M:M,Data!D:D=A333,Data!B:B=$B$1)),"""")"),"")</f>
        <v/>
      </c>
      <c r="H333" s="134" t="str">
        <f>IFERROR(__xludf.DUMMYFUNCTION("IFERROR((FILTER(Data!G:G,Data!D:D=A333,Data!B:B=$B$1)*4)+(FILTER(Data!H:H,Data!D:D=A333,Data!B:B=$B$1)*2),"""")"),"")</f>
        <v/>
      </c>
      <c r="I333" s="15" t="str">
        <f>IFERROR(__xludf.DUMMYFUNCTION("IFERROR((FILTER(Data!K:K,Data!D:D=A333,Data!B:B=$B$1)*2)+(FILTER(Data!L:L,Data!D:D=A333,Data!B:B=$B$1)),"""")"),"")</f>
        <v/>
      </c>
      <c r="J333" s="134" t="str">
        <f>IFERROR(__xludf.DUMMYFUNCTION("IFERROR((FILTER(Data!N:N,Data!D:D=A333,Data!B:B=$B$1)),"""")"),"")</f>
        <v/>
      </c>
      <c r="K333" s="135" t="str">
        <f>IFERROR(__xludf.DUMMYFUNCTION("IFERROR((FILTER(Data!H:H,Data!D:D=A333,Data!B:B=$B$1)*2)+(FILTER(Data!L:L,Data!D:D=A333,Data!B:B=$B$1))+(FILTER(Data!G:G,Data!D:D=A333,Data!B:B=$B$1)*4)+(FILTER(Data!K:K,Data!D:D=A333,Data!B:B=$B$1)*2)+(((COUNTIF(FILTER(Data!N:N,Data!D:D=A333,Data!B:B=$B$"&amp;"1),""TRAVERSE"")*15)+(COUNTIF(FILTER(Data!N:N,Data!D:D=A333,Data!B:B=$B$1),""HIGH"")*10)+(COUNTIF(FILTER(Data!N:N,Data!D:D=A333,Data!B:B=$B$1),""MIDDLE"")*6)+(COUNTIF(FILTER(Data!N:N,Data!D:D=A333,Data!B:B=$B$1),""LOW"")*4))),"""")"),"")</f>
        <v/>
      </c>
      <c r="L333" s="136" t="str">
        <f>IFERROR(__xludf.DUMMYFUNCTION("IFERROR((FILTER(Data!P:P,Data!D:D=A333,Data!B:B=$B$1)),"""")"),"")</f>
        <v/>
      </c>
      <c r="M333" s="137" t="str">
        <f>IFERROR(__xludf.DUMMYFUNCTION("IFERROR((FILTER(Data!A:A,Data!D:D=A333,Data!B:B=$B$1)),"""")"),"")</f>
        <v/>
      </c>
      <c r="T333" s="52">
        <f>IFERROR(__xludf.DUMMYFUNCTION("((COUNTIF(FILTER(Data!N:N,Data!D:D=A333,Data!B:B=$B$1),""TRAVERSE"")*15)+(COUNTIF(FILTER(Data!N:N,Data!D:D=A333,Data!B:B=B$1),""HIGH"")*10)+(COUNTIF(FILTER(Data!N:N,Data!D:D=A333,Data!B:B=$B$1),""MIDDLE"")*6)+(COUNTIF(FILTER(Data!N:N,Data!D:D=A333,Data!B:"&amp;"B=$B$1),""LOW"")*4))"),0.0)</f>
        <v>0</v>
      </c>
      <c r="V333" s="138" t="str">
        <f>IF(Data!B325='Team Parser'!$B$1, Data!D325,"")</f>
        <v/>
      </c>
      <c r="W333" s="134" t="str">
        <f>IF(Data!$B325='Team Parser'!$B$1, Data!H325,"")</f>
        <v/>
      </c>
      <c r="X333" s="134" t="str">
        <f>IF(Data!$B325='Team Parser'!$B$1, Data!G325,"")</f>
        <v/>
      </c>
      <c r="Y333" s="134" t="str">
        <f>IF(Data!$B325='Team Parser'!$B$1, Data!L325,"")</f>
        <v/>
      </c>
      <c r="Z333" s="134" t="str">
        <f>IF(Data!$B325='Team Parser'!$B$1, Data!K325,"")</f>
        <v/>
      </c>
      <c r="AA333" s="134" t="str">
        <f>IF(Data!$B325='Team Parser'!$B$1, Data!M325,"")</f>
        <v/>
      </c>
      <c r="AB333" s="134" t="str">
        <f>IF(Data!$B325='Team Parser'!$B$1,((Z333*2)+(Y333)+(X333*4)+(W333*2)),"")</f>
        <v/>
      </c>
      <c r="AC333" s="134" t="str">
        <f>IF(Data!$B325='Team Parser'!$B$1, Data!N325,"")</f>
        <v/>
      </c>
      <c r="AD333" s="139" t="str">
        <f>IF(Data!$B325='Team Parser'!$B$1,(AB333+(COUNTIF(AC333,"TRAVERSE")*15)+(COUNTIF(AC333,"HIGH")*10)+(COUNTIF(AC333,"MIDDLE")*6)+(COUNTIF(AC333,"LOW")*4)),"")</f>
        <v/>
      </c>
    </row>
    <row r="334">
      <c r="A334" s="141" t="s">
        <v>507</v>
      </c>
      <c r="B334" s="134" t="str">
        <f>IFERROR(__xludf.DUMMYFUNCTION("IFERROR((FILTER(Data!H:H,Data!D:D=A334,Data!B:B=$B$1)),"""")"),"")</f>
        <v/>
      </c>
      <c r="C334" s="134" t="str">
        <f>IFERROR(__xludf.DUMMYFUNCTION("IFERROR((FILTER(Data!G:G,Data!D:D=A334,Data!B:B=$B$1)),"""")"),"")</f>
        <v/>
      </c>
      <c r="D334" s="134" t="str">
        <f>IFERROR(__xludf.DUMMYFUNCTION("IFERROR((FILTER(Data!J:J,Data!D:D=A334,Data!B:B=$B$1)),"""")"),"")</f>
        <v/>
      </c>
      <c r="E334" s="134" t="str">
        <f>IFERROR(__xludf.DUMMYFUNCTION("IFERROR((FILTER(Data!L:L,Data!D:D=A334,Data!B:B=$B$1)),"""")"),"")</f>
        <v/>
      </c>
      <c r="F334" s="134" t="str">
        <f>IFERROR(__xludf.DUMMYFUNCTION("IFERROR((FILTER(Data!K:K,Data!D:D=A334,Data!B:B=$B$1)),"""")"),"")</f>
        <v/>
      </c>
      <c r="G334" s="134" t="str">
        <f>IFERROR(__xludf.DUMMYFUNCTION("IFERROR((FILTER(Data!M:M,Data!D:D=A334,Data!B:B=$B$1)),"""")"),"")</f>
        <v/>
      </c>
      <c r="H334" s="134" t="str">
        <f>IFERROR(__xludf.DUMMYFUNCTION("IFERROR((FILTER(Data!G:G,Data!D:D=A334,Data!B:B=$B$1)*4)+(FILTER(Data!H:H,Data!D:D=A334,Data!B:B=$B$1)*2),"""")"),"")</f>
        <v/>
      </c>
      <c r="I334" s="15" t="str">
        <f>IFERROR(__xludf.DUMMYFUNCTION("IFERROR((FILTER(Data!K:K,Data!D:D=A334,Data!B:B=$B$1)*2)+(FILTER(Data!L:L,Data!D:D=A334,Data!B:B=$B$1)),"""")"),"")</f>
        <v/>
      </c>
      <c r="J334" s="134" t="str">
        <f>IFERROR(__xludf.DUMMYFUNCTION("IFERROR((FILTER(Data!N:N,Data!D:D=A334,Data!B:B=$B$1)),"""")"),"")</f>
        <v/>
      </c>
      <c r="K334" s="135" t="str">
        <f>IFERROR(__xludf.DUMMYFUNCTION("IFERROR((FILTER(Data!H:H,Data!D:D=A334,Data!B:B=$B$1)*2)+(FILTER(Data!L:L,Data!D:D=A334,Data!B:B=$B$1))+(FILTER(Data!G:G,Data!D:D=A334,Data!B:B=$B$1)*4)+(FILTER(Data!K:K,Data!D:D=A334,Data!B:B=$B$1)*2)+(((COUNTIF(FILTER(Data!N:N,Data!D:D=A334,Data!B:B=$B$"&amp;"1),""TRAVERSE"")*15)+(COUNTIF(FILTER(Data!N:N,Data!D:D=A334,Data!B:B=$B$1),""HIGH"")*10)+(COUNTIF(FILTER(Data!N:N,Data!D:D=A334,Data!B:B=$B$1),""MIDDLE"")*6)+(COUNTIF(FILTER(Data!N:N,Data!D:D=A334,Data!B:B=$B$1),""LOW"")*4))),"""")"),"")</f>
        <v/>
      </c>
      <c r="L334" s="136" t="str">
        <f>IFERROR(__xludf.DUMMYFUNCTION("IFERROR((FILTER(Data!P:P,Data!D:D=A334,Data!B:B=$B$1)),"""")"),"")</f>
        <v/>
      </c>
      <c r="M334" s="137" t="str">
        <f>IFERROR(__xludf.DUMMYFUNCTION("IFERROR((FILTER(Data!A:A,Data!D:D=A334,Data!B:B=$B$1)),"""")"),"")</f>
        <v/>
      </c>
      <c r="T334" s="52">
        <f>IFERROR(__xludf.DUMMYFUNCTION("((COUNTIF(FILTER(Data!N:N,Data!D:D=A334,Data!B:B=$B$1),""TRAVERSE"")*15)+(COUNTIF(FILTER(Data!N:N,Data!D:D=A334,Data!B:B=B$1),""HIGH"")*10)+(COUNTIF(FILTER(Data!N:N,Data!D:D=A334,Data!B:B=$B$1),""MIDDLE"")*6)+(COUNTIF(FILTER(Data!N:N,Data!D:D=A334,Data!B:"&amp;"B=$B$1),""LOW"")*4))"),0.0)</f>
        <v>0</v>
      </c>
      <c r="V334" s="138" t="str">
        <f>IF(Data!B326='Team Parser'!$B$1, Data!D326,"")</f>
        <v/>
      </c>
      <c r="W334" s="134" t="str">
        <f>IF(Data!$B326='Team Parser'!$B$1, Data!H326,"")</f>
        <v/>
      </c>
      <c r="X334" s="134" t="str">
        <f>IF(Data!$B326='Team Parser'!$B$1, Data!G326,"")</f>
        <v/>
      </c>
      <c r="Y334" s="134" t="str">
        <f>IF(Data!$B326='Team Parser'!$B$1, Data!L326,"")</f>
        <v/>
      </c>
      <c r="Z334" s="134" t="str">
        <f>IF(Data!$B326='Team Parser'!$B$1, Data!K326,"")</f>
        <v/>
      </c>
      <c r="AA334" s="134" t="str">
        <f>IF(Data!$B326='Team Parser'!$B$1, Data!M326,"")</f>
        <v/>
      </c>
      <c r="AB334" s="134" t="str">
        <f>IF(Data!$B326='Team Parser'!$B$1,((Z334*2)+(Y334)+(X334*4)+(W334*2)),"")</f>
        <v/>
      </c>
      <c r="AC334" s="134" t="str">
        <f>IF(Data!$B326='Team Parser'!$B$1, Data!N326,"")</f>
        <v/>
      </c>
      <c r="AD334" s="139" t="str">
        <f>IF(Data!$B326='Team Parser'!$B$1,(AB334+(COUNTIF(AC334,"TRAVERSE")*15)+(COUNTIF(AC334,"HIGH")*10)+(COUNTIF(AC334,"MIDDLE")*6)+(COUNTIF(AC334,"LOW")*4)),"")</f>
        <v/>
      </c>
    </row>
    <row r="335">
      <c r="A335" s="141" t="s">
        <v>507</v>
      </c>
      <c r="B335" s="134" t="str">
        <f>IFERROR(__xludf.DUMMYFUNCTION("IFERROR((FILTER(Data!H:H,Data!D:D=A335,Data!B:B=$B$1)),"""")"),"")</f>
        <v/>
      </c>
      <c r="C335" s="134" t="str">
        <f>IFERROR(__xludf.DUMMYFUNCTION("IFERROR((FILTER(Data!G:G,Data!D:D=A335,Data!B:B=$B$1)),"""")"),"")</f>
        <v/>
      </c>
      <c r="D335" s="134" t="str">
        <f>IFERROR(__xludf.DUMMYFUNCTION("IFERROR((FILTER(Data!J:J,Data!D:D=A335,Data!B:B=$B$1)),"""")"),"")</f>
        <v/>
      </c>
      <c r="E335" s="134" t="str">
        <f>IFERROR(__xludf.DUMMYFUNCTION("IFERROR((FILTER(Data!L:L,Data!D:D=A335,Data!B:B=$B$1)),"""")"),"")</f>
        <v/>
      </c>
      <c r="F335" s="134" t="str">
        <f>IFERROR(__xludf.DUMMYFUNCTION("IFERROR((FILTER(Data!K:K,Data!D:D=A335,Data!B:B=$B$1)),"""")"),"")</f>
        <v/>
      </c>
      <c r="G335" s="134" t="str">
        <f>IFERROR(__xludf.DUMMYFUNCTION("IFERROR((FILTER(Data!M:M,Data!D:D=A335,Data!B:B=$B$1)),"""")"),"")</f>
        <v/>
      </c>
      <c r="H335" s="134" t="str">
        <f>IFERROR(__xludf.DUMMYFUNCTION("IFERROR((FILTER(Data!G:G,Data!D:D=A335,Data!B:B=$B$1)*4)+(FILTER(Data!H:H,Data!D:D=A335,Data!B:B=$B$1)*2),"""")"),"")</f>
        <v/>
      </c>
      <c r="I335" s="15" t="str">
        <f>IFERROR(__xludf.DUMMYFUNCTION("IFERROR((FILTER(Data!K:K,Data!D:D=A335,Data!B:B=$B$1)*2)+(FILTER(Data!L:L,Data!D:D=A335,Data!B:B=$B$1)),"""")"),"")</f>
        <v/>
      </c>
      <c r="J335" s="134" t="str">
        <f>IFERROR(__xludf.DUMMYFUNCTION("IFERROR((FILTER(Data!N:N,Data!D:D=A335,Data!B:B=$B$1)),"""")"),"")</f>
        <v/>
      </c>
      <c r="K335" s="135" t="str">
        <f>IFERROR(__xludf.DUMMYFUNCTION("IFERROR((FILTER(Data!H:H,Data!D:D=A335,Data!B:B=$B$1)*2)+(FILTER(Data!L:L,Data!D:D=A335,Data!B:B=$B$1))+(FILTER(Data!G:G,Data!D:D=A335,Data!B:B=$B$1)*4)+(FILTER(Data!K:K,Data!D:D=A335,Data!B:B=$B$1)*2)+(((COUNTIF(FILTER(Data!N:N,Data!D:D=A335,Data!B:B=$B$"&amp;"1),""TRAVERSE"")*15)+(COUNTIF(FILTER(Data!N:N,Data!D:D=A335,Data!B:B=$B$1),""HIGH"")*10)+(COUNTIF(FILTER(Data!N:N,Data!D:D=A335,Data!B:B=$B$1),""MIDDLE"")*6)+(COUNTIF(FILTER(Data!N:N,Data!D:D=A335,Data!B:B=$B$1),""LOW"")*4))),"""")"),"")</f>
        <v/>
      </c>
      <c r="L335" s="136" t="str">
        <f>IFERROR(__xludf.DUMMYFUNCTION("IFERROR((FILTER(Data!P:P,Data!D:D=A335,Data!B:B=$B$1)),"""")"),"")</f>
        <v/>
      </c>
      <c r="M335" s="137" t="str">
        <f>IFERROR(__xludf.DUMMYFUNCTION("IFERROR((FILTER(Data!A:A,Data!D:D=A335,Data!B:B=$B$1)),"""")"),"")</f>
        <v/>
      </c>
      <c r="T335" s="52">
        <f>IFERROR(__xludf.DUMMYFUNCTION("((COUNTIF(FILTER(Data!N:N,Data!D:D=A335,Data!B:B=$B$1),""TRAVERSE"")*15)+(COUNTIF(FILTER(Data!N:N,Data!D:D=A335,Data!B:B=B$1),""HIGH"")*10)+(COUNTIF(FILTER(Data!N:N,Data!D:D=A335,Data!B:B=$B$1),""MIDDLE"")*6)+(COUNTIF(FILTER(Data!N:N,Data!D:D=A335,Data!B:"&amp;"B=$B$1),""LOW"")*4))"),0.0)</f>
        <v>0</v>
      </c>
      <c r="V335" s="138" t="str">
        <f>IF(Data!B327='Team Parser'!$B$1, Data!D327,"")</f>
        <v/>
      </c>
      <c r="W335" s="134" t="str">
        <f>IF(Data!$B327='Team Parser'!$B$1, Data!H327,"")</f>
        <v/>
      </c>
      <c r="X335" s="134" t="str">
        <f>IF(Data!$B327='Team Parser'!$B$1, Data!G327,"")</f>
        <v/>
      </c>
      <c r="Y335" s="134" t="str">
        <f>IF(Data!$B327='Team Parser'!$B$1, Data!L327,"")</f>
        <v/>
      </c>
      <c r="Z335" s="134" t="str">
        <f>IF(Data!$B327='Team Parser'!$B$1, Data!K327,"")</f>
        <v/>
      </c>
      <c r="AA335" s="134" t="str">
        <f>IF(Data!$B327='Team Parser'!$B$1, Data!M327,"")</f>
        <v/>
      </c>
      <c r="AB335" s="134" t="str">
        <f>IF(Data!$B327='Team Parser'!$B$1,((Z335*2)+(Y335)+(X335*4)+(W335*2)),"")</f>
        <v/>
      </c>
      <c r="AC335" s="134" t="str">
        <f>IF(Data!$B327='Team Parser'!$B$1, Data!N327,"")</f>
        <v/>
      </c>
      <c r="AD335" s="139" t="str">
        <f>IF(Data!$B327='Team Parser'!$B$1,(AB335+(COUNTIF(AC335,"TRAVERSE")*15)+(COUNTIF(AC335,"HIGH")*10)+(COUNTIF(AC335,"MIDDLE")*6)+(COUNTIF(AC335,"LOW")*4)),"")</f>
        <v/>
      </c>
    </row>
    <row r="336">
      <c r="A336" s="141" t="s">
        <v>507</v>
      </c>
      <c r="B336" s="134" t="str">
        <f>IFERROR(__xludf.DUMMYFUNCTION("IFERROR((FILTER(Data!H:H,Data!D:D=A336,Data!B:B=$B$1)),"""")"),"")</f>
        <v/>
      </c>
      <c r="C336" s="134" t="str">
        <f>IFERROR(__xludf.DUMMYFUNCTION("IFERROR((FILTER(Data!G:G,Data!D:D=A336,Data!B:B=$B$1)),"""")"),"")</f>
        <v/>
      </c>
      <c r="D336" s="134" t="str">
        <f>IFERROR(__xludf.DUMMYFUNCTION("IFERROR((FILTER(Data!J:J,Data!D:D=A336,Data!B:B=$B$1)),"""")"),"")</f>
        <v/>
      </c>
      <c r="E336" s="134" t="str">
        <f>IFERROR(__xludf.DUMMYFUNCTION("IFERROR((FILTER(Data!L:L,Data!D:D=A336,Data!B:B=$B$1)),"""")"),"")</f>
        <v/>
      </c>
      <c r="F336" s="134" t="str">
        <f>IFERROR(__xludf.DUMMYFUNCTION("IFERROR((FILTER(Data!K:K,Data!D:D=A336,Data!B:B=$B$1)),"""")"),"")</f>
        <v/>
      </c>
      <c r="G336" s="134" t="str">
        <f>IFERROR(__xludf.DUMMYFUNCTION("IFERROR((FILTER(Data!M:M,Data!D:D=A336,Data!B:B=$B$1)),"""")"),"")</f>
        <v/>
      </c>
      <c r="H336" s="134" t="str">
        <f>IFERROR(__xludf.DUMMYFUNCTION("IFERROR((FILTER(Data!G:G,Data!D:D=A336,Data!B:B=$B$1)*4)+(FILTER(Data!H:H,Data!D:D=A336,Data!B:B=$B$1)*2),"""")"),"")</f>
        <v/>
      </c>
      <c r="I336" s="15" t="str">
        <f>IFERROR(__xludf.DUMMYFUNCTION("IFERROR((FILTER(Data!K:K,Data!D:D=A336,Data!B:B=$B$1)*2)+(FILTER(Data!L:L,Data!D:D=A336,Data!B:B=$B$1)),"""")"),"")</f>
        <v/>
      </c>
      <c r="J336" s="134" t="str">
        <f>IFERROR(__xludf.DUMMYFUNCTION("IFERROR((FILTER(Data!N:N,Data!D:D=A336,Data!B:B=$B$1)),"""")"),"")</f>
        <v/>
      </c>
      <c r="K336" s="135" t="str">
        <f>IFERROR(__xludf.DUMMYFUNCTION("IFERROR((FILTER(Data!H:H,Data!D:D=A336,Data!B:B=$B$1)*2)+(FILTER(Data!L:L,Data!D:D=A336,Data!B:B=$B$1))+(FILTER(Data!G:G,Data!D:D=A336,Data!B:B=$B$1)*4)+(FILTER(Data!K:K,Data!D:D=A336,Data!B:B=$B$1)*2)+(((COUNTIF(FILTER(Data!N:N,Data!D:D=A336,Data!B:B=$B$"&amp;"1),""TRAVERSE"")*15)+(COUNTIF(FILTER(Data!N:N,Data!D:D=A336,Data!B:B=$B$1),""HIGH"")*10)+(COUNTIF(FILTER(Data!N:N,Data!D:D=A336,Data!B:B=$B$1),""MIDDLE"")*6)+(COUNTIF(FILTER(Data!N:N,Data!D:D=A336,Data!B:B=$B$1),""LOW"")*4))),"""")"),"")</f>
        <v/>
      </c>
      <c r="L336" s="136" t="str">
        <f>IFERROR(__xludf.DUMMYFUNCTION("IFERROR((FILTER(Data!P:P,Data!D:D=A336,Data!B:B=$B$1)),"""")"),"")</f>
        <v/>
      </c>
      <c r="M336" s="137" t="str">
        <f>IFERROR(__xludf.DUMMYFUNCTION("IFERROR((FILTER(Data!A:A,Data!D:D=A336,Data!B:B=$B$1)),"""")"),"")</f>
        <v/>
      </c>
      <c r="T336" s="52">
        <f>IFERROR(__xludf.DUMMYFUNCTION("((COUNTIF(FILTER(Data!N:N,Data!D:D=A336,Data!B:B=$B$1),""TRAVERSE"")*15)+(COUNTIF(FILTER(Data!N:N,Data!D:D=A336,Data!B:B=B$1),""HIGH"")*10)+(COUNTIF(FILTER(Data!N:N,Data!D:D=A336,Data!B:B=$B$1),""MIDDLE"")*6)+(COUNTIF(FILTER(Data!N:N,Data!D:D=A336,Data!B:"&amp;"B=$B$1),""LOW"")*4))"),0.0)</f>
        <v>0</v>
      </c>
      <c r="V336" s="138" t="str">
        <f>IF(Data!B328='Team Parser'!$B$1, Data!D328,"")</f>
        <v/>
      </c>
      <c r="W336" s="134" t="str">
        <f>IF(Data!$B328='Team Parser'!$B$1, Data!H328,"")</f>
        <v/>
      </c>
      <c r="X336" s="134" t="str">
        <f>IF(Data!$B328='Team Parser'!$B$1, Data!G328,"")</f>
        <v/>
      </c>
      <c r="Y336" s="134" t="str">
        <f>IF(Data!$B328='Team Parser'!$B$1, Data!L328,"")</f>
        <v/>
      </c>
      <c r="Z336" s="134" t="str">
        <f>IF(Data!$B328='Team Parser'!$B$1, Data!K328,"")</f>
        <v/>
      </c>
      <c r="AA336" s="134" t="str">
        <f>IF(Data!$B328='Team Parser'!$B$1, Data!M328,"")</f>
        <v/>
      </c>
      <c r="AB336" s="134" t="str">
        <f>IF(Data!$B328='Team Parser'!$B$1,((Z336*2)+(Y336)+(X336*4)+(W336*2)),"")</f>
        <v/>
      </c>
      <c r="AC336" s="134" t="str">
        <f>IF(Data!$B328='Team Parser'!$B$1, Data!N328,"")</f>
        <v/>
      </c>
      <c r="AD336" s="139" t="str">
        <f>IF(Data!$B328='Team Parser'!$B$1,(AB336+(COUNTIF(AC336,"TRAVERSE")*15)+(COUNTIF(AC336,"HIGH")*10)+(COUNTIF(AC336,"MIDDLE")*6)+(COUNTIF(AC336,"LOW")*4)),"")</f>
        <v/>
      </c>
    </row>
    <row r="337">
      <c r="A337" s="141" t="s">
        <v>507</v>
      </c>
      <c r="B337" s="134" t="str">
        <f>IFERROR(__xludf.DUMMYFUNCTION("IFERROR((FILTER(Data!H:H,Data!D:D=A337,Data!B:B=$B$1)),"""")"),"")</f>
        <v/>
      </c>
      <c r="C337" s="134" t="str">
        <f>IFERROR(__xludf.DUMMYFUNCTION("IFERROR((FILTER(Data!G:G,Data!D:D=A337,Data!B:B=$B$1)),"""")"),"")</f>
        <v/>
      </c>
      <c r="D337" s="134" t="str">
        <f>IFERROR(__xludf.DUMMYFUNCTION("IFERROR((FILTER(Data!J:J,Data!D:D=A337,Data!B:B=$B$1)),"""")"),"")</f>
        <v/>
      </c>
      <c r="E337" s="134" t="str">
        <f>IFERROR(__xludf.DUMMYFUNCTION("IFERROR((FILTER(Data!L:L,Data!D:D=A337,Data!B:B=$B$1)),"""")"),"")</f>
        <v/>
      </c>
      <c r="F337" s="134" t="str">
        <f>IFERROR(__xludf.DUMMYFUNCTION("IFERROR((FILTER(Data!K:K,Data!D:D=A337,Data!B:B=$B$1)),"""")"),"")</f>
        <v/>
      </c>
      <c r="G337" s="134" t="str">
        <f>IFERROR(__xludf.DUMMYFUNCTION("IFERROR((FILTER(Data!M:M,Data!D:D=A337,Data!B:B=$B$1)),"""")"),"")</f>
        <v/>
      </c>
      <c r="H337" s="134" t="str">
        <f>IFERROR(__xludf.DUMMYFUNCTION("IFERROR((FILTER(Data!G:G,Data!D:D=A337,Data!B:B=$B$1)*4)+(FILTER(Data!H:H,Data!D:D=A337,Data!B:B=$B$1)*2),"""")"),"")</f>
        <v/>
      </c>
      <c r="I337" s="15" t="str">
        <f>IFERROR(__xludf.DUMMYFUNCTION("IFERROR((FILTER(Data!K:K,Data!D:D=A337,Data!B:B=$B$1)*2)+(FILTER(Data!L:L,Data!D:D=A337,Data!B:B=$B$1)),"""")"),"")</f>
        <v/>
      </c>
      <c r="J337" s="134" t="str">
        <f>IFERROR(__xludf.DUMMYFUNCTION("IFERROR((FILTER(Data!N:N,Data!D:D=A337,Data!B:B=$B$1)),"""")"),"")</f>
        <v/>
      </c>
      <c r="K337" s="135" t="str">
        <f>IFERROR(__xludf.DUMMYFUNCTION("IFERROR((FILTER(Data!H:H,Data!D:D=A337,Data!B:B=$B$1)*2)+(FILTER(Data!L:L,Data!D:D=A337,Data!B:B=$B$1))+(FILTER(Data!G:G,Data!D:D=A337,Data!B:B=$B$1)*4)+(FILTER(Data!K:K,Data!D:D=A337,Data!B:B=$B$1)*2)+(((COUNTIF(FILTER(Data!N:N,Data!D:D=A337,Data!B:B=$B$"&amp;"1),""TRAVERSE"")*15)+(COUNTIF(FILTER(Data!N:N,Data!D:D=A337,Data!B:B=$B$1),""HIGH"")*10)+(COUNTIF(FILTER(Data!N:N,Data!D:D=A337,Data!B:B=$B$1),""MIDDLE"")*6)+(COUNTIF(FILTER(Data!N:N,Data!D:D=A337,Data!B:B=$B$1),""LOW"")*4))),"""")"),"")</f>
        <v/>
      </c>
      <c r="L337" s="136" t="str">
        <f>IFERROR(__xludf.DUMMYFUNCTION("IFERROR((FILTER(Data!P:P,Data!D:D=A337,Data!B:B=$B$1)),"""")"),"")</f>
        <v/>
      </c>
      <c r="M337" s="137" t="str">
        <f>IFERROR(__xludf.DUMMYFUNCTION("IFERROR((FILTER(Data!A:A,Data!D:D=A337,Data!B:B=$B$1)),"""")"),"")</f>
        <v/>
      </c>
      <c r="T337" s="52">
        <f>IFERROR(__xludf.DUMMYFUNCTION("((COUNTIF(FILTER(Data!N:N,Data!D:D=A337,Data!B:B=$B$1),""TRAVERSE"")*15)+(COUNTIF(FILTER(Data!N:N,Data!D:D=A337,Data!B:B=B$1),""HIGH"")*10)+(COUNTIF(FILTER(Data!N:N,Data!D:D=A337,Data!B:B=$B$1),""MIDDLE"")*6)+(COUNTIF(FILTER(Data!N:N,Data!D:D=A337,Data!B:"&amp;"B=$B$1),""LOW"")*4))"),0.0)</f>
        <v>0</v>
      </c>
      <c r="V337" s="138" t="str">
        <f>IF(Data!B329='Team Parser'!$B$1, Data!D329,"")</f>
        <v/>
      </c>
      <c r="W337" s="134" t="str">
        <f>IF(Data!$B329='Team Parser'!$B$1, Data!H329,"")</f>
        <v/>
      </c>
      <c r="X337" s="134" t="str">
        <f>IF(Data!$B329='Team Parser'!$B$1, Data!G329,"")</f>
        <v/>
      </c>
      <c r="Y337" s="134" t="str">
        <f>IF(Data!$B329='Team Parser'!$B$1, Data!L329,"")</f>
        <v/>
      </c>
      <c r="Z337" s="134" t="str">
        <f>IF(Data!$B329='Team Parser'!$B$1, Data!K329,"")</f>
        <v/>
      </c>
      <c r="AA337" s="134" t="str">
        <f>IF(Data!$B329='Team Parser'!$B$1, Data!M329,"")</f>
        <v/>
      </c>
      <c r="AB337" s="134" t="str">
        <f>IF(Data!$B329='Team Parser'!$B$1,((Z337*2)+(Y337)+(X337*4)+(W337*2)),"")</f>
        <v/>
      </c>
      <c r="AC337" s="134" t="str">
        <f>IF(Data!$B329='Team Parser'!$B$1, Data!N329,"")</f>
        <v/>
      </c>
      <c r="AD337" s="139" t="str">
        <f>IF(Data!$B329='Team Parser'!$B$1,(AB337+(COUNTIF(AC337,"TRAVERSE")*15)+(COUNTIF(AC337,"HIGH")*10)+(COUNTIF(AC337,"MIDDLE")*6)+(COUNTIF(AC337,"LOW")*4)),"")</f>
        <v/>
      </c>
    </row>
    <row r="338">
      <c r="A338" s="141" t="s">
        <v>507</v>
      </c>
      <c r="B338" s="134" t="str">
        <f>IFERROR(__xludf.DUMMYFUNCTION("IFERROR((FILTER(Data!H:H,Data!D:D=A338,Data!B:B=$B$1)),"""")"),"")</f>
        <v/>
      </c>
      <c r="C338" s="134" t="str">
        <f>IFERROR(__xludf.DUMMYFUNCTION("IFERROR((FILTER(Data!G:G,Data!D:D=A338,Data!B:B=$B$1)),"""")"),"")</f>
        <v/>
      </c>
      <c r="D338" s="134" t="str">
        <f>IFERROR(__xludf.DUMMYFUNCTION("IFERROR((FILTER(Data!J:J,Data!D:D=A338,Data!B:B=$B$1)),"""")"),"")</f>
        <v/>
      </c>
      <c r="E338" s="134" t="str">
        <f>IFERROR(__xludf.DUMMYFUNCTION("IFERROR((FILTER(Data!L:L,Data!D:D=A338,Data!B:B=$B$1)),"""")"),"")</f>
        <v/>
      </c>
      <c r="F338" s="134" t="str">
        <f>IFERROR(__xludf.DUMMYFUNCTION("IFERROR((FILTER(Data!K:K,Data!D:D=A338,Data!B:B=$B$1)),"""")"),"")</f>
        <v/>
      </c>
      <c r="G338" s="134" t="str">
        <f>IFERROR(__xludf.DUMMYFUNCTION("IFERROR((FILTER(Data!M:M,Data!D:D=A338,Data!B:B=$B$1)),"""")"),"")</f>
        <v/>
      </c>
      <c r="H338" s="134" t="str">
        <f>IFERROR(__xludf.DUMMYFUNCTION("IFERROR((FILTER(Data!G:G,Data!D:D=A338,Data!B:B=$B$1)*4)+(FILTER(Data!H:H,Data!D:D=A338,Data!B:B=$B$1)*2),"""")"),"")</f>
        <v/>
      </c>
      <c r="I338" s="15" t="str">
        <f>IFERROR(__xludf.DUMMYFUNCTION("IFERROR((FILTER(Data!K:K,Data!D:D=A338,Data!B:B=$B$1)*2)+(FILTER(Data!L:L,Data!D:D=A338,Data!B:B=$B$1)),"""")"),"")</f>
        <v/>
      </c>
      <c r="J338" s="134" t="str">
        <f>IFERROR(__xludf.DUMMYFUNCTION("IFERROR((FILTER(Data!N:N,Data!D:D=A338,Data!B:B=$B$1)),"""")"),"")</f>
        <v/>
      </c>
      <c r="K338" s="135" t="str">
        <f>IFERROR(__xludf.DUMMYFUNCTION("IFERROR((FILTER(Data!H:H,Data!D:D=A338,Data!B:B=$B$1)*2)+(FILTER(Data!L:L,Data!D:D=A338,Data!B:B=$B$1))+(FILTER(Data!G:G,Data!D:D=A338,Data!B:B=$B$1)*4)+(FILTER(Data!K:K,Data!D:D=A338,Data!B:B=$B$1)*2)+(((COUNTIF(FILTER(Data!N:N,Data!D:D=A338,Data!B:B=$B$"&amp;"1),""TRAVERSE"")*15)+(COUNTIF(FILTER(Data!N:N,Data!D:D=A338,Data!B:B=$B$1),""HIGH"")*10)+(COUNTIF(FILTER(Data!N:N,Data!D:D=A338,Data!B:B=$B$1),""MIDDLE"")*6)+(COUNTIF(FILTER(Data!N:N,Data!D:D=A338,Data!B:B=$B$1),""LOW"")*4))),"""")"),"")</f>
        <v/>
      </c>
      <c r="L338" s="136" t="str">
        <f>IFERROR(__xludf.DUMMYFUNCTION("IFERROR((FILTER(Data!P:P,Data!D:D=A338,Data!B:B=$B$1)),"""")"),"")</f>
        <v/>
      </c>
      <c r="M338" s="137" t="str">
        <f>IFERROR(__xludf.DUMMYFUNCTION("IFERROR((FILTER(Data!A:A,Data!D:D=A338,Data!B:B=$B$1)),"""")"),"")</f>
        <v/>
      </c>
      <c r="T338" s="52">
        <f>IFERROR(__xludf.DUMMYFUNCTION("((COUNTIF(FILTER(Data!N:N,Data!D:D=A338,Data!B:B=$B$1),""TRAVERSE"")*15)+(COUNTIF(FILTER(Data!N:N,Data!D:D=A338,Data!B:B=B$1),""HIGH"")*10)+(COUNTIF(FILTER(Data!N:N,Data!D:D=A338,Data!B:B=$B$1),""MIDDLE"")*6)+(COUNTIF(FILTER(Data!N:N,Data!D:D=A338,Data!B:"&amp;"B=$B$1),""LOW"")*4))"),0.0)</f>
        <v>0</v>
      </c>
      <c r="V338" s="138" t="str">
        <f>IF(Data!B330='Team Parser'!$B$1, Data!D330,"")</f>
        <v/>
      </c>
      <c r="W338" s="134" t="str">
        <f>IF(Data!$B330='Team Parser'!$B$1, Data!H330,"")</f>
        <v/>
      </c>
      <c r="X338" s="134" t="str">
        <f>IF(Data!$B330='Team Parser'!$B$1, Data!G330,"")</f>
        <v/>
      </c>
      <c r="Y338" s="134" t="str">
        <f>IF(Data!$B330='Team Parser'!$B$1, Data!L330,"")</f>
        <v/>
      </c>
      <c r="Z338" s="134" t="str">
        <f>IF(Data!$B330='Team Parser'!$B$1, Data!K330,"")</f>
        <v/>
      </c>
      <c r="AA338" s="134" t="str">
        <f>IF(Data!$B330='Team Parser'!$B$1, Data!M330,"")</f>
        <v/>
      </c>
      <c r="AB338" s="134" t="str">
        <f>IF(Data!$B330='Team Parser'!$B$1,((Z338*2)+(Y338)+(X338*4)+(W338*2)),"")</f>
        <v/>
      </c>
      <c r="AC338" s="134" t="str">
        <f>IF(Data!$B330='Team Parser'!$B$1, Data!N330,"")</f>
        <v/>
      </c>
      <c r="AD338" s="139" t="str">
        <f>IF(Data!$B330='Team Parser'!$B$1,(AB338+(COUNTIF(AC338,"TRAVERSE")*15)+(COUNTIF(AC338,"HIGH")*10)+(COUNTIF(AC338,"MIDDLE")*6)+(COUNTIF(AC338,"LOW")*4)),"")</f>
        <v/>
      </c>
    </row>
    <row r="339">
      <c r="A339" s="141" t="s">
        <v>507</v>
      </c>
      <c r="B339" s="134" t="str">
        <f>IFERROR(__xludf.DUMMYFUNCTION("IFERROR((FILTER(Data!H:H,Data!D:D=A339,Data!B:B=$B$1)),"""")"),"")</f>
        <v/>
      </c>
      <c r="C339" s="134" t="str">
        <f>IFERROR(__xludf.DUMMYFUNCTION("IFERROR((FILTER(Data!G:G,Data!D:D=A339,Data!B:B=$B$1)),"""")"),"")</f>
        <v/>
      </c>
      <c r="D339" s="134" t="str">
        <f>IFERROR(__xludf.DUMMYFUNCTION("IFERROR((FILTER(Data!J:J,Data!D:D=A339,Data!B:B=$B$1)),"""")"),"")</f>
        <v/>
      </c>
      <c r="E339" s="134" t="str">
        <f>IFERROR(__xludf.DUMMYFUNCTION("IFERROR((FILTER(Data!L:L,Data!D:D=A339,Data!B:B=$B$1)),"""")"),"")</f>
        <v/>
      </c>
      <c r="F339" s="134" t="str">
        <f>IFERROR(__xludf.DUMMYFUNCTION("IFERROR((FILTER(Data!K:K,Data!D:D=A339,Data!B:B=$B$1)),"""")"),"")</f>
        <v/>
      </c>
      <c r="G339" s="134" t="str">
        <f>IFERROR(__xludf.DUMMYFUNCTION("IFERROR((FILTER(Data!M:M,Data!D:D=A339,Data!B:B=$B$1)),"""")"),"")</f>
        <v/>
      </c>
      <c r="H339" s="134" t="str">
        <f>IFERROR(__xludf.DUMMYFUNCTION("IFERROR((FILTER(Data!G:G,Data!D:D=A339,Data!B:B=$B$1)*4)+(FILTER(Data!H:H,Data!D:D=A339,Data!B:B=$B$1)*2),"""")"),"")</f>
        <v/>
      </c>
      <c r="I339" s="15" t="str">
        <f>IFERROR(__xludf.DUMMYFUNCTION("IFERROR((FILTER(Data!K:K,Data!D:D=A339,Data!B:B=$B$1)*2)+(FILTER(Data!L:L,Data!D:D=A339,Data!B:B=$B$1)),"""")"),"")</f>
        <v/>
      </c>
      <c r="J339" s="134" t="str">
        <f>IFERROR(__xludf.DUMMYFUNCTION("IFERROR((FILTER(Data!N:N,Data!D:D=A339,Data!B:B=$B$1)),"""")"),"")</f>
        <v/>
      </c>
      <c r="K339" s="135" t="str">
        <f>IFERROR(__xludf.DUMMYFUNCTION("IFERROR((FILTER(Data!H:H,Data!D:D=A339,Data!B:B=$B$1)*2)+(FILTER(Data!L:L,Data!D:D=A339,Data!B:B=$B$1))+(FILTER(Data!G:G,Data!D:D=A339,Data!B:B=$B$1)*4)+(FILTER(Data!K:K,Data!D:D=A339,Data!B:B=$B$1)*2)+(((COUNTIF(FILTER(Data!N:N,Data!D:D=A339,Data!B:B=$B$"&amp;"1),""TRAVERSE"")*15)+(COUNTIF(FILTER(Data!N:N,Data!D:D=A339,Data!B:B=$B$1),""HIGH"")*10)+(COUNTIF(FILTER(Data!N:N,Data!D:D=A339,Data!B:B=$B$1),""MIDDLE"")*6)+(COUNTIF(FILTER(Data!N:N,Data!D:D=A339,Data!B:B=$B$1),""LOW"")*4))),"""")"),"")</f>
        <v/>
      </c>
      <c r="L339" s="136" t="str">
        <f>IFERROR(__xludf.DUMMYFUNCTION("IFERROR((FILTER(Data!P:P,Data!D:D=A339,Data!B:B=$B$1)),"""")"),"")</f>
        <v/>
      </c>
      <c r="M339" s="137" t="str">
        <f>IFERROR(__xludf.DUMMYFUNCTION("IFERROR((FILTER(Data!A:A,Data!D:D=A339,Data!B:B=$B$1)),"""")"),"")</f>
        <v/>
      </c>
      <c r="T339" s="52">
        <f>IFERROR(__xludf.DUMMYFUNCTION("((COUNTIF(FILTER(Data!N:N,Data!D:D=A339,Data!B:B=$B$1),""TRAVERSE"")*15)+(COUNTIF(FILTER(Data!N:N,Data!D:D=A339,Data!B:B=B$1),""HIGH"")*10)+(COUNTIF(FILTER(Data!N:N,Data!D:D=A339,Data!B:B=$B$1),""MIDDLE"")*6)+(COUNTIF(FILTER(Data!N:N,Data!D:D=A339,Data!B:"&amp;"B=$B$1),""LOW"")*4))"),0.0)</f>
        <v>0</v>
      </c>
      <c r="V339" s="138" t="str">
        <f>IF(Data!B331='Team Parser'!$B$1, Data!D331,"")</f>
        <v/>
      </c>
      <c r="W339" s="134" t="str">
        <f>IF(Data!$B331='Team Parser'!$B$1, Data!H331,"")</f>
        <v/>
      </c>
      <c r="X339" s="134" t="str">
        <f>IF(Data!$B331='Team Parser'!$B$1, Data!G331,"")</f>
        <v/>
      </c>
      <c r="Y339" s="134" t="str">
        <f>IF(Data!$B331='Team Parser'!$B$1, Data!L331,"")</f>
        <v/>
      </c>
      <c r="Z339" s="134" t="str">
        <f>IF(Data!$B331='Team Parser'!$B$1, Data!K331,"")</f>
        <v/>
      </c>
      <c r="AA339" s="134" t="str">
        <f>IF(Data!$B331='Team Parser'!$B$1, Data!M331,"")</f>
        <v/>
      </c>
      <c r="AB339" s="134" t="str">
        <f>IF(Data!$B331='Team Parser'!$B$1,((Z339*2)+(Y339)+(X339*4)+(W339*2)),"")</f>
        <v/>
      </c>
      <c r="AC339" s="134" t="str">
        <f>IF(Data!$B331='Team Parser'!$B$1, Data!N331,"")</f>
        <v/>
      </c>
      <c r="AD339" s="139" t="str">
        <f>IF(Data!$B331='Team Parser'!$B$1,(AB339+(COUNTIF(AC339,"TRAVERSE")*15)+(COUNTIF(AC339,"HIGH")*10)+(COUNTIF(AC339,"MIDDLE")*6)+(COUNTIF(AC339,"LOW")*4)),"")</f>
        <v/>
      </c>
    </row>
    <row r="340">
      <c r="A340" s="141" t="s">
        <v>507</v>
      </c>
      <c r="B340" s="134" t="str">
        <f>IFERROR(__xludf.DUMMYFUNCTION("IFERROR((FILTER(Data!H:H,Data!D:D=A340,Data!B:B=$B$1)),"""")"),"")</f>
        <v/>
      </c>
      <c r="C340" s="134" t="str">
        <f>IFERROR(__xludf.DUMMYFUNCTION("IFERROR((FILTER(Data!G:G,Data!D:D=A340,Data!B:B=$B$1)),"""")"),"")</f>
        <v/>
      </c>
      <c r="D340" s="134" t="str">
        <f>IFERROR(__xludf.DUMMYFUNCTION("IFERROR((FILTER(Data!J:J,Data!D:D=A340,Data!B:B=$B$1)),"""")"),"")</f>
        <v/>
      </c>
      <c r="E340" s="134" t="str">
        <f>IFERROR(__xludf.DUMMYFUNCTION("IFERROR((FILTER(Data!L:L,Data!D:D=A340,Data!B:B=$B$1)),"""")"),"")</f>
        <v/>
      </c>
      <c r="F340" s="134" t="str">
        <f>IFERROR(__xludf.DUMMYFUNCTION("IFERROR((FILTER(Data!K:K,Data!D:D=A340,Data!B:B=$B$1)),"""")"),"")</f>
        <v/>
      </c>
      <c r="G340" s="134" t="str">
        <f>IFERROR(__xludf.DUMMYFUNCTION("IFERROR((FILTER(Data!M:M,Data!D:D=A340,Data!B:B=$B$1)),"""")"),"")</f>
        <v/>
      </c>
      <c r="H340" s="134" t="str">
        <f>IFERROR(__xludf.DUMMYFUNCTION("IFERROR((FILTER(Data!G:G,Data!D:D=A340,Data!B:B=$B$1)*4)+(FILTER(Data!H:H,Data!D:D=A340,Data!B:B=$B$1)*2),"""")"),"")</f>
        <v/>
      </c>
      <c r="I340" s="15" t="str">
        <f>IFERROR(__xludf.DUMMYFUNCTION("IFERROR((FILTER(Data!K:K,Data!D:D=A340,Data!B:B=$B$1)*2)+(FILTER(Data!L:L,Data!D:D=A340,Data!B:B=$B$1)),"""")"),"")</f>
        <v/>
      </c>
      <c r="J340" s="134" t="str">
        <f>IFERROR(__xludf.DUMMYFUNCTION("IFERROR((FILTER(Data!N:N,Data!D:D=A340,Data!B:B=$B$1)),"""")"),"")</f>
        <v/>
      </c>
      <c r="K340" s="135" t="str">
        <f>IFERROR(__xludf.DUMMYFUNCTION("IFERROR((FILTER(Data!H:H,Data!D:D=A340,Data!B:B=$B$1)*2)+(FILTER(Data!L:L,Data!D:D=A340,Data!B:B=$B$1))+(FILTER(Data!G:G,Data!D:D=A340,Data!B:B=$B$1)*4)+(FILTER(Data!K:K,Data!D:D=A340,Data!B:B=$B$1)*2)+(((COUNTIF(FILTER(Data!N:N,Data!D:D=A340,Data!B:B=$B$"&amp;"1),""TRAVERSE"")*15)+(COUNTIF(FILTER(Data!N:N,Data!D:D=A340,Data!B:B=$B$1),""HIGH"")*10)+(COUNTIF(FILTER(Data!N:N,Data!D:D=A340,Data!B:B=$B$1),""MIDDLE"")*6)+(COUNTIF(FILTER(Data!N:N,Data!D:D=A340,Data!B:B=$B$1),""LOW"")*4))),"""")"),"")</f>
        <v/>
      </c>
      <c r="L340" s="136" t="str">
        <f>IFERROR(__xludf.DUMMYFUNCTION("IFERROR((FILTER(Data!P:P,Data!D:D=A340,Data!B:B=$B$1)),"""")"),"")</f>
        <v/>
      </c>
      <c r="M340" s="137" t="str">
        <f>IFERROR(__xludf.DUMMYFUNCTION("IFERROR((FILTER(Data!A:A,Data!D:D=A340,Data!B:B=$B$1)),"""")"),"")</f>
        <v/>
      </c>
      <c r="T340" s="52">
        <f>IFERROR(__xludf.DUMMYFUNCTION("((COUNTIF(FILTER(Data!N:N,Data!D:D=A340,Data!B:B=$B$1),""TRAVERSE"")*15)+(COUNTIF(FILTER(Data!N:N,Data!D:D=A340,Data!B:B=B$1),""HIGH"")*10)+(COUNTIF(FILTER(Data!N:N,Data!D:D=A340,Data!B:B=$B$1),""MIDDLE"")*6)+(COUNTIF(FILTER(Data!N:N,Data!D:D=A340,Data!B:"&amp;"B=$B$1),""LOW"")*4))"),0.0)</f>
        <v>0</v>
      </c>
      <c r="V340" s="138" t="str">
        <f>IF(Data!B332='Team Parser'!$B$1, Data!D332,"")</f>
        <v/>
      </c>
      <c r="W340" s="134" t="str">
        <f>IF(Data!$B332='Team Parser'!$B$1, Data!H332,"")</f>
        <v/>
      </c>
      <c r="X340" s="134" t="str">
        <f>IF(Data!$B332='Team Parser'!$B$1, Data!G332,"")</f>
        <v/>
      </c>
      <c r="Y340" s="134" t="str">
        <f>IF(Data!$B332='Team Parser'!$B$1, Data!L332,"")</f>
        <v/>
      </c>
      <c r="Z340" s="134" t="str">
        <f>IF(Data!$B332='Team Parser'!$B$1, Data!K332,"")</f>
        <v/>
      </c>
      <c r="AA340" s="134" t="str">
        <f>IF(Data!$B332='Team Parser'!$B$1, Data!M332,"")</f>
        <v/>
      </c>
      <c r="AB340" s="134" t="str">
        <f>IF(Data!$B332='Team Parser'!$B$1,((Z340*2)+(Y340)+(X340*4)+(W340*2)),"")</f>
        <v/>
      </c>
      <c r="AC340" s="134" t="str">
        <f>IF(Data!$B332='Team Parser'!$B$1, Data!N332,"")</f>
        <v/>
      </c>
      <c r="AD340" s="139" t="str">
        <f>IF(Data!$B332='Team Parser'!$B$1,(AB340+(COUNTIF(AC340,"TRAVERSE")*15)+(COUNTIF(AC340,"HIGH")*10)+(COUNTIF(AC340,"MIDDLE")*6)+(COUNTIF(AC340,"LOW")*4)),"")</f>
        <v/>
      </c>
    </row>
    <row r="341">
      <c r="A341" s="141" t="s">
        <v>507</v>
      </c>
      <c r="B341" s="134" t="str">
        <f>IFERROR(__xludf.DUMMYFUNCTION("IFERROR((FILTER(Data!H:H,Data!D:D=A341,Data!B:B=$B$1)),"""")"),"")</f>
        <v/>
      </c>
      <c r="C341" s="134" t="str">
        <f>IFERROR(__xludf.DUMMYFUNCTION("IFERROR((FILTER(Data!G:G,Data!D:D=A341,Data!B:B=$B$1)),"""")"),"")</f>
        <v/>
      </c>
      <c r="D341" s="134" t="str">
        <f>IFERROR(__xludf.DUMMYFUNCTION("IFERROR((FILTER(Data!J:J,Data!D:D=A341,Data!B:B=$B$1)),"""")"),"")</f>
        <v/>
      </c>
      <c r="E341" s="134" t="str">
        <f>IFERROR(__xludf.DUMMYFUNCTION("IFERROR((FILTER(Data!L:L,Data!D:D=A341,Data!B:B=$B$1)),"""")"),"")</f>
        <v/>
      </c>
      <c r="F341" s="134" t="str">
        <f>IFERROR(__xludf.DUMMYFUNCTION("IFERROR((FILTER(Data!K:K,Data!D:D=A341,Data!B:B=$B$1)),"""")"),"")</f>
        <v/>
      </c>
      <c r="G341" s="134" t="str">
        <f>IFERROR(__xludf.DUMMYFUNCTION("IFERROR((FILTER(Data!M:M,Data!D:D=A341,Data!B:B=$B$1)),"""")"),"")</f>
        <v/>
      </c>
      <c r="H341" s="134" t="str">
        <f>IFERROR(__xludf.DUMMYFUNCTION("IFERROR((FILTER(Data!G:G,Data!D:D=A341,Data!B:B=$B$1)*4)+(FILTER(Data!H:H,Data!D:D=A341,Data!B:B=$B$1)*2),"""")"),"")</f>
        <v/>
      </c>
      <c r="I341" s="15" t="str">
        <f>IFERROR(__xludf.DUMMYFUNCTION("IFERROR((FILTER(Data!K:K,Data!D:D=A341,Data!B:B=$B$1)*2)+(FILTER(Data!L:L,Data!D:D=A341,Data!B:B=$B$1)),"""")"),"")</f>
        <v/>
      </c>
      <c r="J341" s="134" t="str">
        <f>IFERROR(__xludf.DUMMYFUNCTION("IFERROR((FILTER(Data!N:N,Data!D:D=A341,Data!B:B=$B$1)),"""")"),"")</f>
        <v/>
      </c>
      <c r="K341" s="135" t="str">
        <f>IFERROR(__xludf.DUMMYFUNCTION("IFERROR((FILTER(Data!H:H,Data!D:D=A341,Data!B:B=$B$1)*2)+(FILTER(Data!L:L,Data!D:D=A341,Data!B:B=$B$1))+(FILTER(Data!G:G,Data!D:D=A341,Data!B:B=$B$1)*4)+(FILTER(Data!K:K,Data!D:D=A341,Data!B:B=$B$1)*2)+(((COUNTIF(FILTER(Data!N:N,Data!D:D=A341,Data!B:B=$B$"&amp;"1),""TRAVERSE"")*15)+(COUNTIF(FILTER(Data!N:N,Data!D:D=A341,Data!B:B=$B$1),""HIGH"")*10)+(COUNTIF(FILTER(Data!N:N,Data!D:D=A341,Data!B:B=$B$1),""MIDDLE"")*6)+(COUNTIF(FILTER(Data!N:N,Data!D:D=A341,Data!B:B=$B$1),""LOW"")*4))),"""")"),"")</f>
        <v/>
      </c>
      <c r="L341" s="136" t="str">
        <f>IFERROR(__xludf.DUMMYFUNCTION("IFERROR((FILTER(Data!P:P,Data!D:D=A341,Data!B:B=$B$1)),"""")"),"")</f>
        <v/>
      </c>
      <c r="M341" s="137" t="str">
        <f>IFERROR(__xludf.DUMMYFUNCTION("IFERROR((FILTER(Data!A:A,Data!D:D=A341,Data!B:B=$B$1)),"""")"),"")</f>
        <v/>
      </c>
      <c r="T341" s="52">
        <f>IFERROR(__xludf.DUMMYFUNCTION("((COUNTIF(FILTER(Data!N:N,Data!D:D=A341,Data!B:B=$B$1),""TRAVERSE"")*15)+(COUNTIF(FILTER(Data!N:N,Data!D:D=A341,Data!B:B=B$1),""HIGH"")*10)+(COUNTIF(FILTER(Data!N:N,Data!D:D=A341,Data!B:B=$B$1),""MIDDLE"")*6)+(COUNTIF(FILTER(Data!N:N,Data!D:D=A341,Data!B:"&amp;"B=$B$1),""LOW"")*4))"),0.0)</f>
        <v>0</v>
      </c>
      <c r="V341" s="138" t="str">
        <f>IF(Data!B333='Team Parser'!$B$1, Data!D333,"")</f>
        <v/>
      </c>
      <c r="W341" s="134" t="str">
        <f>IF(Data!$B333='Team Parser'!$B$1, Data!H333,"")</f>
        <v/>
      </c>
      <c r="X341" s="134" t="str">
        <f>IF(Data!$B333='Team Parser'!$B$1, Data!G333,"")</f>
        <v/>
      </c>
      <c r="Y341" s="134" t="str">
        <f>IF(Data!$B333='Team Parser'!$B$1, Data!L333,"")</f>
        <v/>
      </c>
      <c r="Z341" s="134" t="str">
        <f>IF(Data!$B333='Team Parser'!$B$1, Data!K333,"")</f>
        <v/>
      </c>
      <c r="AA341" s="134" t="str">
        <f>IF(Data!$B333='Team Parser'!$B$1, Data!M333,"")</f>
        <v/>
      </c>
      <c r="AB341" s="134" t="str">
        <f>IF(Data!$B333='Team Parser'!$B$1,((Z341*2)+(Y341)+(X341*4)+(W341*2)),"")</f>
        <v/>
      </c>
      <c r="AC341" s="134" t="str">
        <f>IF(Data!$B333='Team Parser'!$B$1, Data!N333,"")</f>
        <v/>
      </c>
      <c r="AD341" s="139" t="str">
        <f>IF(Data!$B333='Team Parser'!$B$1,(AB341+(COUNTIF(AC341,"TRAVERSE")*15)+(COUNTIF(AC341,"HIGH")*10)+(COUNTIF(AC341,"MIDDLE")*6)+(COUNTIF(AC341,"LOW")*4)),"")</f>
        <v/>
      </c>
    </row>
    <row r="342">
      <c r="A342" s="141" t="s">
        <v>507</v>
      </c>
      <c r="B342" s="134" t="str">
        <f>IFERROR(__xludf.DUMMYFUNCTION("IFERROR((FILTER(Data!H:H,Data!D:D=A342,Data!B:B=$B$1)),"""")"),"")</f>
        <v/>
      </c>
      <c r="C342" s="134" t="str">
        <f>IFERROR(__xludf.DUMMYFUNCTION("IFERROR((FILTER(Data!G:G,Data!D:D=A342,Data!B:B=$B$1)),"""")"),"")</f>
        <v/>
      </c>
      <c r="D342" s="134" t="str">
        <f>IFERROR(__xludf.DUMMYFUNCTION("IFERROR((FILTER(Data!J:J,Data!D:D=A342,Data!B:B=$B$1)),"""")"),"")</f>
        <v/>
      </c>
      <c r="E342" s="134" t="str">
        <f>IFERROR(__xludf.DUMMYFUNCTION("IFERROR((FILTER(Data!L:L,Data!D:D=A342,Data!B:B=$B$1)),"""")"),"")</f>
        <v/>
      </c>
      <c r="F342" s="134" t="str">
        <f>IFERROR(__xludf.DUMMYFUNCTION("IFERROR((FILTER(Data!K:K,Data!D:D=A342,Data!B:B=$B$1)),"""")"),"")</f>
        <v/>
      </c>
      <c r="G342" s="134" t="str">
        <f>IFERROR(__xludf.DUMMYFUNCTION("IFERROR((FILTER(Data!M:M,Data!D:D=A342,Data!B:B=$B$1)),"""")"),"")</f>
        <v/>
      </c>
      <c r="H342" s="134" t="str">
        <f>IFERROR(__xludf.DUMMYFUNCTION("IFERROR((FILTER(Data!G:G,Data!D:D=A342,Data!B:B=$B$1)*4)+(FILTER(Data!H:H,Data!D:D=A342,Data!B:B=$B$1)*2),"""")"),"")</f>
        <v/>
      </c>
      <c r="I342" s="15" t="str">
        <f>IFERROR(__xludf.DUMMYFUNCTION("IFERROR((FILTER(Data!K:K,Data!D:D=A342,Data!B:B=$B$1)*2)+(FILTER(Data!L:L,Data!D:D=A342,Data!B:B=$B$1)),"""")"),"")</f>
        <v/>
      </c>
      <c r="J342" s="134" t="str">
        <f>IFERROR(__xludf.DUMMYFUNCTION("IFERROR((FILTER(Data!N:N,Data!D:D=A342,Data!B:B=$B$1)),"""")"),"")</f>
        <v/>
      </c>
      <c r="K342" s="135" t="str">
        <f>IFERROR(__xludf.DUMMYFUNCTION("IFERROR((FILTER(Data!H:H,Data!D:D=A342,Data!B:B=$B$1)*2)+(FILTER(Data!L:L,Data!D:D=A342,Data!B:B=$B$1))+(FILTER(Data!G:G,Data!D:D=A342,Data!B:B=$B$1)*4)+(FILTER(Data!K:K,Data!D:D=A342,Data!B:B=$B$1)*2)+(((COUNTIF(FILTER(Data!N:N,Data!D:D=A342,Data!B:B=$B$"&amp;"1),""TRAVERSE"")*15)+(COUNTIF(FILTER(Data!N:N,Data!D:D=A342,Data!B:B=$B$1),""HIGH"")*10)+(COUNTIF(FILTER(Data!N:N,Data!D:D=A342,Data!B:B=$B$1),""MIDDLE"")*6)+(COUNTIF(FILTER(Data!N:N,Data!D:D=A342,Data!B:B=$B$1),""LOW"")*4))),"""")"),"")</f>
        <v/>
      </c>
      <c r="L342" s="136" t="str">
        <f>IFERROR(__xludf.DUMMYFUNCTION("IFERROR((FILTER(Data!P:P,Data!D:D=A342,Data!B:B=$B$1)),"""")"),"")</f>
        <v/>
      </c>
      <c r="M342" s="137" t="str">
        <f>IFERROR(__xludf.DUMMYFUNCTION("IFERROR((FILTER(Data!A:A,Data!D:D=A342,Data!B:B=$B$1)),"""")"),"")</f>
        <v/>
      </c>
      <c r="T342" s="52">
        <f>IFERROR(__xludf.DUMMYFUNCTION("((COUNTIF(FILTER(Data!N:N,Data!D:D=A342,Data!B:B=$B$1),""TRAVERSE"")*15)+(COUNTIF(FILTER(Data!N:N,Data!D:D=A342,Data!B:B=B$1),""HIGH"")*10)+(COUNTIF(FILTER(Data!N:N,Data!D:D=A342,Data!B:B=$B$1),""MIDDLE"")*6)+(COUNTIF(FILTER(Data!N:N,Data!D:D=A342,Data!B:"&amp;"B=$B$1),""LOW"")*4))"),0.0)</f>
        <v>0</v>
      </c>
      <c r="V342" s="138" t="str">
        <f>IF(Data!B334='Team Parser'!$B$1, Data!D334,"")</f>
        <v/>
      </c>
      <c r="W342" s="134" t="str">
        <f>IF(Data!$B334='Team Parser'!$B$1, Data!H334,"")</f>
        <v/>
      </c>
      <c r="X342" s="134" t="str">
        <f>IF(Data!$B334='Team Parser'!$B$1, Data!G334,"")</f>
        <v/>
      </c>
      <c r="Y342" s="134" t="str">
        <f>IF(Data!$B334='Team Parser'!$B$1, Data!L334,"")</f>
        <v/>
      </c>
      <c r="Z342" s="134" t="str">
        <f>IF(Data!$B334='Team Parser'!$B$1, Data!K334,"")</f>
        <v/>
      </c>
      <c r="AA342" s="134" t="str">
        <f>IF(Data!$B334='Team Parser'!$B$1, Data!M334,"")</f>
        <v/>
      </c>
      <c r="AB342" s="134" t="str">
        <f>IF(Data!$B334='Team Parser'!$B$1,((Z342*2)+(Y342)+(X342*4)+(W342*2)),"")</f>
        <v/>
      </c>
      <c r="AC342" s="134" t="str">
        <f>IF(Data!$B334='Team Parser'!$B$1, Data!N334,"")</f>
        <v/>
      </c>
      <c r="AD342" s="139" t="str">
        <f>IF(Data!$B334='Team Parser'!$B$1,(AB342+(COUNTIF(AC342,"TRAVERSE")*15)+(COUNTIF(AC342,"HIGH")*10)+(COUNTIF(AC342,"MIDDLE")*6)+(COUNTIF(AC342,"LOW")*4)),"")</f>
        <v/>
      </c>
    </row>
    <row r="343">
      <c r="A343" s="141" t="s">
        <v>507</v>
      </c>
      <c r="B343" s="134" t="str">
        <f>IFERROR(__xludf.DUMMYFUNCTION("IFERROR((FILTER(Data!H:H,Data!D:D=A343,Data!B:B=$B$1)),"""")"),"")</f>
        <v/>
      </c>
      <c r="C343" s="134" t="str">
        <f>IFERROR(__xludf.DUMMYFUNCTION("IFERROR((FILTER(Data!G:G,Data!D:D=A343,Data!B:B=$B$1)),"""")"),"")</f>
        <v/>
      </c>
      <c r="D343" s="134" t="str">
        <f>IFERROR(__xludf.DUMMYFUNCTION("IFERROR((FILTER(Data!J:J,Data!D:D=A343,Data!B:B=$B$1)),"""")"),"")</f>
        <v/>
      </c>
      <c r="E343" s="134" t="str">
        <f>IFERROR(__xludf.DUMMYFUNCTION("IFERROR((FILTER(Data!L:L,Data!D:D=A343,Data!B:B=$B$1)),"""")"),"")</f>
        <v/>
      </c>
      <c r="F343" s="134" t="str">
        <f>IFERROR(__xludf.DUMMYFUNCTION("IFERROR((FILTER(Data!K:K,Data!D:D=A343,Data!B:B=$B$1)),"""")"),"")</f>
        <v/>
      </c>
      <c r="G343" s="134" t="str">
        <f>IFERROR(__xludf.DUMMYFUNCTION("IFERROR((FILTER(Data!M:M,Data!D:D=A343,Data!B:B=$B$1)),"""")"),"")</f>
        <v/>
      </c>
      <c r="H343" s="134" t="str">
        <f>IFERROR(__xludf.DUMMYFUNCTION("IFERROR((FILTER(Data!G:G,Data!D:D=A343,Data!B:B=$B$1)*4)+(FILTER(Data!H:H,Data!D:D=A343,Data!B:B=$B$1)*2),"""")"),"")</f>
        <v/>
      </c>
      <c r="I343" s="15" t="str">
        <f>IFERROR(__xludf.DUMMYFUNCTION("IFERROR((FILTER(Data!K:K,Data!D:D=A343,Data!B:B=$B$1)*2)+(FILTER(Data!L:L,Data!D:D=A343,Data!B:B=$B$1)),"""")"),"")</f>
        <v/>
      </c>
      <c r="J343" s="134" t="str">
        <f>IFERROR(__xludf.DUMMYFUNCTION("IFERROR((FILTER(Data!N:N,Data!D:D=A343,Data!B:B=$B$1)),"""")"),"")</f>
        <v/>
      </c>
      <c r="K343" s="135" t="str">
        <f>IFERROR(__xludf.DUMMYFUNCTION("IFERROR((FILTER(Data!H:H,Data!D:D=A343,Data!B:B=$B$1)*2)+(FILTER(Data!L:L,Data!D:D=A343,Data!B:B=$B$1))+(FILTER(Data!G:G,Data!D:D=A343,Data!B:B=$B$1)*4)+(FILTER(Data!K:K,Data!D:D=A343,Data!B:B=$B$1)*2)+(((COUNTIF(FILTER(Data!N:N,Data!D:D=A343,Data!B:B=$B$"&amp;"1),""TRAVERSE"")*15)+(COUNTIF(FILTER(Data!N:N,Data!D:D=A343,Data!B:B=$B$1),""HIGH"")*10)+(COUNTIF(FILTER(Data!N:N,Data!D:D=A343,Data!B:B=$B$1),""MIDDLE"")*6)+(COUNTIF(FILTER(Data!N:N,Data!D:D=A343,Data!B:B=$B$1),""LOW"")*4))),"""")"),"")</f>
        <v/>
      </c>
      <c r="L343" s="136" t="str">
        <f>IFERROR(__xludf.DUMMYFUNCTION("IFERROR((FILTER(Data!P:P,Data!D:D=A343,Data!B:B=$B$1)),"""")"),"")</f>
        <v/>
      </c>
      <c r="M343" s="137" t="str">
        <f>IFERROR(__xludf.DUMMYFUNCTION("IFERROR((FILTER(Data!A:A,Data!D:D=A343,Data!B:B=$B$1)),"""")"),"")</f>
        <v/>
      </c>
      <c r="T343" s="52">
        <f>IFERROR(__xludf.DUMMYFUNCTION("((COUNTIF(FILTER(Data!N:N,Data!D:D=A343,Data!B:B=$B$1),""TRAVERSE"")*15)+(COUNTIF(FILTER(Data!N:N,Data!D:D=A343,Data!B:B=B$1),""HIGH"")*10)+(COUNTIF(FILTER(Data!N:N,Data!D:D=A343,Data!B:B=$B$1),""MIDDLE"")*6)+(COUNTIF(FILTER(Data!N:N,Data!D:D=A343,Data!B:"&amp;"B=$B$1),""LOW"")*4))"),0.0)</f>
        <v>0</v>
      </c>
      <c r="V343" s="138" t="str">
        <f>IF(Data!B335='Team Parser'!$B$1, Data!D335,"")</f>
        <v/>
      </c>
      <c r="W343" s="134" t="str">
        <f>IF(Data!$B335='Team Parser'!$B$1, Data!H335,"")</f>
        <v/>
      </c>
      <c r="X343" s="134" t="str">
        <f>IF(Data!$B335='Team Parser'!$B$1, Data!G335,"")</f>
        <v/>
      </c>
      <c r="Y343" s="134" t="str">
        <f>IF(Data!$B335='Team Parser'!$B$1, Data!L335,"")</f>
        <v/>
      </c>
      <c r="Z343" s="134" t="str">
        <f>IF(Data!$B335='Team Parser'!$B$1, Data!K335,"")</f>
        <v/>
      </c>
      <c r="AA343" s="134" t="str">
        <f>IF(Data!$B335='Team Parser'!$B$1, Data!M335,"")</f>
        <v/>
      </c>
      <c r="AB343" s="134" t="str">
        <f>IF(Data!$B335='Team Parser'!$B$1,((Z343*2)+(Y343)+(X343*4)+(W343*2)),"")</f>
        <v/>
      </c>
      <c r="AC343" s="134" t="str">
        <f>IF(Data!$B335='Team Parser'!$B$1, Data!N335,"")</f>
        <v/>
      </c>
      <c r="AD343" s="139" t="str">
        <f>IF(Data!$B335='Team Parser'!$B$1,(AB343+(COUNTIF(AC343,"TRAVERSE")*15)+(COUNTIF(AC343,"HIGH")*10)+(COUNTIF(AC343,"MIDDLE")*6)+(COUNTIF(AC343,"LOW")*4)),"")</f>
        <v/>
      </c>
    </row>
    <row r="344">
      <c r="A344" s="141" t="s">
        <v>507</v>
      </c>
      <c r="B344" s="134" t="str">
        <f>IFERROR(__xludf.DUMMYFUNCTION("IFERROR((FILTER(Data!H:H,Data!D:D=A344,Data!B:B=$B$1)),"""")"),"")</f>
        <v/>
      </c>
      <c r="C344" s="134" t="str">
        <f>IFERROR(__xludf.DUMMYFUNCTION("IFERROR((FILTER(Data!G:G,Data!D:D=A344,Data!B:B=$B$1)),"""")"),"")</f>
        <v/>
      </c>
      <c r="D344" s="134" t="str">
        <f>IFERROR(__xludf.DUMMYFUNCTION("IFERROR((FILTER(Data!J:J,Data!D:D=A344,Data!B:B=$B$1)),"""")"),"")</f>
        <v/>
      </c>
      <c r="E344" s="134" t="str">
        <f>IFERROR(__xludf.DUMMYFUNCTION("IFERROR((FILTER(Data!L:L,Data!D:D=A344,Data!B:B=$B$1)),"""")"),"")</f>
        <v/>
      </c>
      <c r="F344" s="134" t="str">
        <f>IFERROR(__xludf.DUMMYFUNCTION("IFERROR((FILTER(Data!K:K,Data!D:D=A344,Data!B:B=$B$1)),"""")"),"")</f>
        <v/>
      </c>
      <c r="G344" s="134" t="str">
        <f>IFERROR(__xludf.DUMMYFUNCTION("IFERROR((FILTER(Data!M:M,Data!D:D=A344,Data!B:B=$B$1)),"""")"),"")</f>
        <v/>
      </c>
      <c r="H344" s="134" t="str">
        <f>IFERROR(__xludf.DUMMYFUNCTION("IFERROR((FILTER(Data!G:G,Data!D:D=A344,Data!B:B=$B$1)*4)+(FILTER(Data!H:H,Data!D:D=A344,Data!B:B=$B$1)*2),"""")"),"")</f>
        <v/>
      </c>
      <c r="I344" s="15" t="str">
        <f>IFERROR(__xludf.DUMMYFUNCTION("IFERROR((FILTER(Data!K:K,Data!D:D=A344,Data!B:B=$B$1)*2)+(FILTER(Data!L:L,Data!D:D=A344,Data!B:B=$B$1)),"""")"),"")</f>
        <v/>
      </c>
      <c r="J344" s="134" t="str">
        <f>IFERROR(__xludf.DUMMYFUNCTION("IFERROR((FILTER(Data!N:N,Data!D:D=A344,Data!B:B=$B$1)),"""")"),"")</f>
        <v/>
      </c>
      <c r="K344" s="135" t="str">
        <f>IFERROR(__xludf.DUMMYFUNCTION("IFERROR((FILTER(Data!H:H,Data!D:D=A344,Data!B:B=$B$1)*2)+(FILTER(Data!L:L,Data!D:D=A344,Data!B:B=$B$1))+(FILTER(Data!G:G,Data!D:D=A344,Data!B:B=$B$1)*4)+(FILTER(Data!K:K,Data!D:D=A344,Data!B:B=$B$1)*2)+(((COUNTIF(FILTER(Data!N:N,Data!D:D=A344,Data!B:B=$B$"&amp;"1),""TRAVERSE"")*15)+(COUNTIF(FILTER(Data!N:N,Data!D:D=A344,Data!B:B=$B$1),""HIGH"")*10)+(COUNTIF(FILTER(Data!N:N,Data!D:D=A344,Data!B:B=$B$1),""MIDDLE"")*6)+(COUNTIF(FILTER(Data!N:N,Data!D:D=A344,Data!B:B=$B$1),""LOW"")*4))),"""")"),"")</f>
        <v/>
      </c>
      <c r="L344" s="136" t="str">
        <f>IFERROR(__xludf.DUMMYFUNCTION("IFERROR((FILTER(Data!P:P,Data!D:D=A344,Data!B:B=$B$1)),"""")"),"")</f>
        <v/>
      </c>
      <c r="M344" s="137" t="str">
        <f>IFERROR(__xludf.DUMMYFUNCTION("IFERROR((FILTER(Data!A:A,Data!D:D=A344,Data!B:B=$B$1)),"""")"),"")</f>
        <v/>
      </c>
      <c r="T344" s="52">
        <f>IFERROR(__xludf.DUMMYFUNCTION("((COUNTIF(FILTER(Data!N:N,Data!D:D=A344,Data!B:B=$B$1),""TRAVERSE"")*15)+(COUNTIF(FILTER(Data!N:N,Data!D:D=A344,Data!B:B=B$1),""HIGH"")*10)+(COUNTIF(FILTER(Data!N:N,Data!D:D=A344,Data!B:B=$B$1),""MIDDLE"")*6)+(COUNTIF(FILTER(Data!N:N,Data!D:D=A344,Data!B:"&amp;"B=$B$1),""LOW"")*4))"),0.0)</f>
        <v>0</v>
      </c>
      <c r="V344" s="138" t="str">
        <f>IF(Data!B336='Team Parser'!$B$1, Data!D336,"")</f>
        <v/>
      </c>
      <c r="W344" s="134" t="str">
        <f>IF(Data!$B336='Team Parser'!$B$1, Data!H336,"")</f>
        <v/>
      </c>
      <c r="X344" s="134" t="str">
        <f>IF(Data!$B336='Team Parser'!$B$1, Data!G336,"")</f>
        <v/>
      </c>
      <c r="Y344" s="134" t="str">
        <f>IF(Data!$B336='Team Parser'!$B$1, Data!L336,"")</f>
        <v/>
      </c>
      <c r="Z344" s="134" t="str">
        <f>IF(Data!$B336='Team Parser'!$B$1, Data!K336,"")</f>
        <v/>
      </c>
      <c r="AA344" s="134" t="str">
        <f>IF(Data!$B336='Team Parser'!$B$1, Data!M336,"")</f>
        <v/>
      </c>
      <c r="AB344" s="134" t="str">
        <f>IF(Data!$B336='Team Parser'!$B$1,((Z344*2)+(Y344)+(X344*4)+(W344*2)),"")</f>
        <v/>
      </c>
      <c r="AC344" s="134" t="str">
        <f>IF(Data!$B336='Team Parser'!$B$1, Data!N336,"")</f>
        <v/>
      </c>
      <c r="AD344" s="139" t="str">
        <f>IF(Data!$B336='Team Parser'!$B$1,(AB344+(COUNTIF(AC344,"TRAVERSE")*15)+(COUNTIF(AC344,"HIGH")*10)+(COUNTIF(AC344,"MIDDLE")*6)+(COUNTIF(AC344,"LOW")*4)),"")</f>
        <v/>
      </c>
    </row>
    <row r="345">
      <c r="A345" s="141" t="s">
        <v>507</v>
      </c>
      <c r="B345" s="134" t="str">
        <f>IFERROR(__xludf.DUMMYFUNCTION("IFERROR((FILTER(Data!H:H,Data!D:D=A345,Data!B:B=$B$1)),"""")"),"")</f>
        <v/>
      </c>
      <c r="C345" s="134" t="str">
        <f>IFERROR(__xludf.DUMMYFUNCTION("IFERROR((FILTER(Data!G:G,Data!D:D=A345,Data!B:B=$B$1)),"""")"),"")</f>
        <v/>
      </c>
      <c r="D345" s="134" t="str">
        <f>IFERROR(__xludf.DUMMYFUNCTION("IFERROR((FILTER(Data!J:J,Data!D:D=A345,Data!B:B=$B$1)),"""")"),"")</f>
        <v/>
      </c>
      <c r="E345" s="134" t="str">
        <f>IFERROR(__xludf.DUMMYFUNCTION("IFERROR((FILTER(Data!L:L,Data!D:D=A345,Data!B:B=$B$1)),"""")"),"")</f>
        <v/>
      </c>
      <c r="F345" s="134" t="str">
        <f>IFERROR(__xludf.DUMMYFUNCTION("IFERROR((FILTER(Data!K:K,Data!D:D=A345,Data!B:B=$B$1)),"""")"),"")</f>
        <v/>
      </c>
      <c r="G345" s="134" t="str">
        <f>IFERROR(__xludf.DUMMYFUNCTION("IFERROR((FILTER(Data!M:M,Data!D:D=A345,Data!B:B=$B$1)),"""")"),"")</f>
        <v/>
      </c>
      <c r="H345" s="134" t="str">
        <f>IFERROR(__xludf.DUMMYFUNCTION("IFERROR((FILTER(Data!G:G,Data!D:D=A345,Data!B:B=$B$1)*4)+(FILTER(Data!H:H,Data!D:D=A345,Data!B:B=$B$1)*2),"""")"),"")</f>
        <v/>
      </c>
      <c r="I345" s="15" t="str">
        <f>IFERROR(__xludf.DUMMYFUNCTION("IFERROR((FILTER(Data!K:K,Data!D:D=A345,Data!B:B=$B$1)*2)+(FILTER(Data!L:L,Data!D:D=A345,Data!B:B=$B$1)),"""")"),"")</f>
        <v/>
      </c>
      <c r="J345" s="134" t="str">
        <f>IFERROR(__xludf.DUMMYFUNCTION("IFERROR((FILTER(Data!N:N,Data!D:D=A345,Data!B:B=$B$1)),"""")"),"")</f>
        <v/>
      </c>
      <c r="K345" s="135" t="str">
        <f>IFERROR(__xludf.DUMMYFUNCTION("IFERROR((FILTER(Data!H:H,Data!D:D=A345,Data!B:B=$B$1)*2)+(FILTER(Data!L:L,Data!D:D=A345,Data!B:B=$B$1))+(FILTER(Data!G:G,Data!D:D=A345,Data!B:B=$B$1)*4)+(FILTER(Data!K:K,Data!D:D=A345,Data!B:B=$B$1)*2)+(((COUNTIF(FILTER(Data!N:N,Data!D:D=A345,Data!B:B=$B$"&amp;"1),""TRAVERSE"")*15)+(COUNTIF(FILTER(Data!N:N,Data!D:D=A345,Data!B:B=$B$1),""HIGH"")*10)+(COUNTIF(FILTER(Data!N:N,Data!D:D=A345,Data!B:B=$B$1),""MIDDLE"")*6)+(COUNTIF(FILTER(Data!N:N,Data!D:D=A345,Data!B:B=$B$1),""LOW"")*4))),"""")"),"")</f>
        <v/>
      </c>
      <c r="L345" s="136" t="str">
        <f>IFERROR(__xludf.DUMMYFUNCTION("IFERROR((FILTER(Data!P:P,Data!D:D=A345,Data!B:B=$B$1)),"""")"),"")</f>
        <v/>
      </c>
      <c r="M345" s="137" t="str">
        <f>IFERROR(__xludf.DUMMYFUNCTION("IFERROR((FILTER(Data!A:A,Data!D:D=A345,Data!B:B=$B$1)),"""")"),"")</f>
        <v/>
      </c>
      <c r="T345" s="52">
        <f>IFERROR(__xludf.DUMMYFUNCTION("((COUNTIF(FILTER(Data!N:N,Data!D:D=A345,Data!B:B=$B$1),""TRAVERSE"")*15)+(COUNTIF(FILTER(Data!N:N,Data!D:D=A345,Data!B:B=B$1),""HIGH"")*10)+(COUNTIF(FILTER(Data!N:N,Data!D:D=A345,Data!B:B=$B$1),""MIDDLE"")*6)+(COUNTIF(FILTER(Data!N:N,Data!D:D=A345,Data!B:"&amp;"B=$B$1),""LOW"")*4))"),0.0)</f>
        <v>0</v>
      </c>
      <c r="V345" s="138" t="str">
        <f>IF(Data!B337='Team Parser'!$B$1, Data!D337,"")</f>
        <v/>
      </c>
      <c r="W345" s="134" t="str">
        <f>IF(Data!$B337='Team Parser'!$B$1, Data!H337,"")</f>
        <v/>
      </c>
      <c r="X345" s="134" t="str">
        <f>IF(Data!$B337='Team Parser'!$B$1, Data!G337,"")</f>
        <v/>
      </c>
      <c r="Y345" s="134" t="str">
        <f>IF(Data!$B337='Team Parser'!$B$1, Data!L337,"")</f>
        <v/>
      </c>
      <c r="Z345" s="134" t="str">
        <f>IF(Data!$B337='Team Parser'!$B$1, Data!K337,"")</f>
        <v/>
      </c>
      <c r="AA345" s="134" t="str">
        <f>IF(Data!$B337='Team Parser'!$B$1, Data!M337,"")</f>
        <v/>
      </c>
      <c r="AB345" s="134" t="str">
        <f>IF(Data!$B337='Team Parser'!$B$1,((Z345*2)+(Y345)+(X345*4)+(W345*2)),"")</f>
        <v/>
      </c>
      <c r="AC345" s="134" t="str">
        <f>IF(Data!$B337='Team Parser'!$B$1, Data!N337,"")</f>
        <v/>
      </c>
      <c r="AD345" s="139" t="str">
        <f>IF(Data!$B337='Team Parser'!$B$1,(AB345+(COUNTIF(AC345,"TRAVERSE")*15)+(COUNTIF(AC345,"HIGH")*10)+(COUNTIF(AC345,"MIDDLE")*6)+(COUNTIF(AC345,"LOW")*4)),"")</f>
        <v/>
      </c>
    </row>
    <row r="346">
      <c r="A346" s="141" t="s">
        <v>507</v>
      </c>
      <c r="B346" s="134" t="str">
        <f>IFERROR(__xludf.DUMMYFUNCTION("IFERROR((FILTER(Data!H:H,Data!D:D=A346,Data!B:B=$B$1)),"""")"),"")</f>
        <v/>
      </c>
      <c r="C346" s="134" t="str">
        <f>IFERROR(__xludf.DUMMYFUNCTION("IFERROR((FILTER(Data!G:G,Data!D:D=A346,Data!B:B=$B$1)),"""")"),"")</f>
        <v/>
      </c>
      <c r="D346" s="134" t="str">
        <f>IFERROR(__xludf.DUMMYFUNCTION("IFERROR((FILTER(Data!J:J,Data!D:D=A346,Data!B:B=$B$1)),"""")"),"")</f>
        <v/>
      </c>
      <c r="E346" s="134" t="str">
        <f>IFERROR(__xludf.DUMMYFUNCTION("IFERROR((FILTER(Data!L:L,Data!D:D=A346,Data!B:B=$B$1)),"""")"),"")</f>
        <v/>
      </c>
      <c r="F346" s="134" t="str">
        <f>IFERROR(__xludf.DUMMYFUNCTION("IFERROR((FILTER(Data!K:K,Data!D:D=A346,Data!B:B=$B$1)),"""")"),"")</f>
        <v/>
      </c>
      <c r="G346" s="134" t="str">
        <f>IFERROR(__xludf.DUMMYFUNCTION("IFERROR((FILTER(Data!M:M,Data!D:D=A346,Data!B:B=$B$1)),"""")"),"")</f>
        <v/>
      </c>
      <c r="H346" s="134" t="str">
        <f>IFERROR(__xludf.DUMMYFUNCTION("IFERROR((FILTER(Data!G:G,Data!D:D=A346,Data!B:B=$B$1)*4)+(FILTER(Data!H:H,Data!D:D=A346,Data!B:B=$B$1)*2),"""")"),"")</f>
        <v/>
      </c>
      <c r="I346" s="15" t="str">
        <f>IFERROR(__xludf.DUMMYFUNCTION("IFERROR((FILTER(Data!K:K,Data!D:D=A346,Data!B:B=$B$1)*2)+(FILTER(Data!L:L,Data!D:D=A346,Data!B:B=$B$1)),"""")"),"")</f>
        <v/>
      </c>
      <c r="J346" s="134" t="str">
        <f>IFERROR(__xludf.DUMMYFUNCTION("IFERROR((FILTER(Data!N:N,Data!D:D=A346,Data!B:B=$B$1)),"""")"),"")</f>
        <v/>
      </c>
      <c r="K346" s="135" t="str">
        <f>IFERROR(__xludf.DUMMYFUNCTION("IFERROR((FILTER(Data!H:H,Data!D:D=A346,Data!B:B=$B$1)*2)+(FILTER(Data!L:L,Data!D:D=A346,Data!B:B=$B$1))+(FILTER(Data!G:G,Data!D:D=A346,Data!B:B=$B$1)*4)+(FILTER(Data!K:K,Data!D:D=A346,Data!B:B=$B$1)*2)+(((COUNTIF(FILTER(Data!N:N,Data!D:D=A346,Data!B:B=$B$"&amp;"1),""TRAVERSE"")*15)+(COUNTIF(FILTER(Data!N:N,Data!D:D=A346,Data!B:B=$B$1),""HIGH"")*10)+(COUNTIF(FILTER(Data!N:N,Data!D:D=A346,Data!B:B=$B$1),""MIDDLE"")*6)+(COUNTIF(FILTER(Data!N:N,Data!D:D=A346,Data!B:B=$B$1),""LOW"")*4))),"""")"),"")</f>
        <v/>
      </c>
      <c r="L346" s="136" t="str">
        <f>IFERROR(__xludf.DUMMYFUNCTION("IFERROR((FILTER(Data!P:P,Data!D:D=A346,Data!B:B=$B$1)),"""")"),"")</f>
        <v/>
      </c>
      <c r="M346" s="137" t="str">
        <f>IFERROR(__xludf.DUMMYFUNCTION("IFERROR((FILTER(Data!A:A,Data!D:D=A346,Data!B:B=$B$1)),"""")"),"")</f>
        <v/>
      </c>
      <c r="T346" s="52">
        <f>IFERROR(__xludf.DUMMYFUNCTION("((COUNTIF(FILTER(Data!N:N,Data!D:D=A346,Data!B:B=$B$1),""TRAVERSE"")*15)+(COUNTIF(FILTER(Data!N:N,Data!D:D=A346,Data!B:B=B$1),""HIGH"")*10)+(COUNTIF(FILTER(Data!N:N,Data!D:D=A346,Data!B:B=$B$1),""MIDDLE"")*6)+(COUNTIF(FILTER(Data!N:N,Data!D:D=A346,Data!B:"&amp;"B=$B$1),""LOW"")*4))"),0.0)</f>
        <v>0</v>
      </c>
      <c r="V346" s="138" t="str">
        <f>IF(Data!B338='Team Parser'!$B$1, Data!D338,"")</f>
        <v/>
      </c>
      <c r="W346" s="134" t="str">
        <f>IF(Data!$B338='Team Parser'!$B$1, Data!H338,"")</f>
        <v/>
      </c>
      <c r="X346" s="134" t="str">
        <f>IF(Data!$B338='Team Parser'!$B$1, Data!G338,"")</f>
        <v/>
      </c>
      <c r="Y346" s="134" t="str">
        <f>IF(Data!$B338='Team Parser'!$B$1, Data!L338,"")</f>
        <v/>
      </c>
      <c r="Z346" s="134" t="str">
        <f>IF(Data!$B338='Team Parser'!$B$1, Data!K338,"")</f>
        <v/>
      </c>
      <c r="AA346" s="134" t="str">
        <f>IF(Data!$B338='Team Parser'!$B$1, Data!M338,"")</f>
        <v/>
      </c>
      <c r="AB346" s="134" t="str">
        <f>IF(Data!$B338='Team Parser'!$B$1,((Z346*2)+(Y346)+(X346*4)+(W346*2)),"")</f>
        <v/>
      </c>
      <c r="AC346" s="134" t="str">
        <f>IF(Data!$B338='Team Parser'!$B$1, Data!N338,"")</f>
        <v/>
      </c>
      <c r="AD346" s="139" t="str">
        <f>IF(Data!$B338='Team Parser'!$B$1,(AB346+(COUNTIF(AC346,"TRAVERSE")*15)+(COUNTIF(AC346,"HIGH")*10)+(COUNTIF(AC346,"MIDDLE")*6)+(COUNTIF(AC346,"LOW")*4)),"")</f>
        <v/>
      </c>
    </row>
    <row r="347">
      <c r="A347" s="141" t="s">
        <v>507</v>
      </c>
      <c r="B347" s="134" t="str">
        <f>IFERROR(__xludf.DUMMYFUNCTION("IFERROR((FILTER(Data!H:H,Data!D:D=A347,Data!B:B=$B$1)),"""")"),"")</f>
        <v/>
      </c>
      <c r="C347" s="134" t="str">
        <f>IFERROR(__xludf.DUMMYFUNCTION("IFERROR((FILTER(Data!G:G,Data!D:D=A347,Data!B:B=$B$1)),"""")"),"")</f>
        <v/>
      </c>
      <c r="D347" s="134" t="str">
        <f>IFERROR(__xludf.DUMMYFUNCTION("IFERROR((FILTER(Data!J:J,Data!D:D=A347,Data!B:B=$B$1)),"""")"),"")</f>
        <v/>
      </c>
      <c r="E347" s="134" t="str">
        <f>IFERROR(__xludf.DUMMYFUNCTION("IFERROR((FILTER(Data!L:L,Data!D:D=A347,Data!B:B=$B$1)),"""")"),"")</f>
        <v/>
      </c>
      <c r="F347" s="134" t="str">
        <f>IFERROR(__xludf.DUMMYFUNCTION("IFERROR((FILTER(Data!K:K,Data!D:D=A347,Data!B:B=$B$1)),"""")"),"")</f>
        <v/>
      </c>
      <c r="G347" s="134" t="str">
        <f>IFERROR(__xludf.DUMMYFUNCTION("IFERROR((FILTER(Data!M:M,Data!D:D=A347,Data!B:B=$B$1)),"""")"),"")</f>
        <v/>
      </c>
      <c r="H347" s="134" t="str">
        <f>IFERROR(__xludf.DUMMYFUNCTION("IFERROR((FILTER(Data!G:G,Data!D:D=A347,Data!B:B=$B$1)*4)+(FILTER(Data!H:H,Data!D:D=A347,Data!B:B=$B$1)*2),"""")"),"")</f>
        <v/>
      </c>
      <c r="I347" s="15" t="str">
        <f>IFERROR(__xludf.DUMMYFUNCTION("IFERROR((FILTER(Data!K:K,Data!D:D=A347,Data!B:B=$B$1)*2)+(FILTER(Data!L:L,Data!D:D=A347,Data!B:B=$B$1)),"""")"),"")</f>
        <v/>
      </c>
      <c r="J347" s="134" t="str">
        <f>IFERROR(__xludf.DUMMYFUNCTION("IFERROR((FILTER(Data!N:N,Data!D:D=A347,Data!B:B=$B$1)),"""")"),"")</f>
        <v/>
      </c>
      <c r="K347" s="135" t="str">
        <f>IFERROR(__xludf.DUMMYFUNCTION("IFERROR((FILTER(Data!H:H,Data!D:D=A347,Data!B:B=$B$1)*2)+(FILTER(Data!L:L,Data!D:D=A347,Data!B:B=$B$1))+(FILTER(Data!G:G,Data!D:D=A347,Data!B:B=$B$1)*4)+(FILTER(Data!K:K,Data!D:D=A347,Data!B:B=$B$1)*2)+(((COUNTIF(FILTER(Data!N:N,Data!D:D=A347,Data!B:B=$B$"&amp;"1),""TRAVERSE"")*15)+(COUNTIF(FILTER(Data!N:N,Data!D:D=A347,Data!B:B=$B$1),""HIGH"")*10)+(COUNTIF(FILTER(Data!N:N,Data!D:D=A347,Data!B:B=$B$1),""MIDDLE"")*6)+(COUNTIF(FILTER(Data!N:N,Data!D:D=A347,Data!B:B=$B$1),""LOW"")*4))),"""")"),"")</f>
        <v/>
      </c>
      <c r="L347" s="136" t="str">
        <f>IFERROR(__xludf.DUMMYFUNCTION("IFERROR((FILTER(Data!P:P,Data!D:D=A347,Data!B:B=$B$1)),"""")"),"")</f>
        <v/>
      </c>
      <c r="M347" s="137" t="str">
        <f>IFERROR(__xludf.DUMMYFUNCTION("IFERROR((FILTER(Data!A:A,Data!D:D=A347,Data!B:B=$B$1)),"""")"),"")</f>
        <v/>
      </c>
      <c r="T347" s="52">
        <f>IFERROR(__xludf.DUMMYFUNCTION("((COUNTIF(FILTER(Data!N:N,Data!D:D=A347,Data!B:B=$B$1),""TRAVERSE"")*15)+(COUNTIF(FILTER(Data!N:N,Data!D:D=A347,Data!B:B=B$1),""HIGH"")*10)+(COUNTIF(FILTER(Data!N:N,Data!D:D=A347,Data!B:B=$B$1),""MIDDLE"")*6)+(COUNTIF(FILTER(Data!N:N,Data!D:D=A347,Data!B:"&amp;"B=$B$1),""LOW"")*4))"),0.0)</f>
        <v>0</v>
      </c>
      <c r="V347" s="138" t="str">
        <f>IF(Data!B339='Team Parser'!$B$1, Data!D339,"")</f>
        <v/>
      </c>
      <c r="W347" s="134" t="str">
        <f>IF(Data!$B339='Team Parser'!$B$1, Data!H339,"")</f>
        <v/>
      </c>
      <c r="X347" s="134" t="str">
        <f>IF(Data!$B339='Team Parser'!$B$1, Data!G339,"")</f>
        <v/>
      </c>
      <c r="Y347" s="134" t="str">
        <f>IF(Data!$B339='Team Parser'!$B$1, Data!L339,"")</f>
        <v/>
      </c>
      <c r="Z347" s="134" t="str">
        <f>IF(Data!$B339='Team Parser'!$B$1, Data!K339,"")</f>
        <v/>
      </c>
      <c r="AA347" s="134" t="str">
        <f>IF(Data!$B339='Team Parser'!$B$1, Data!M339,"")</f>
        <v/>
      </c>
      <c r="AB347" s="134" t="str">
        <f>IF(Data!$B339='Team Parser'!$B$1,((Z347*2)+(Y347)+(X347*4)+(W347*2)),"")</f>
        <v/>
      </c>
      <c r="AC347" s="134" t="str">
        <f>IF(Data!$B339='Team Parser'!$B$1, Data!N339,"")</f>
        <v/>
      </c>
      <c r="AD347" s="139" t="str">
        <f>IF(Data!$B339='Team Parser'!$B$1,(AB347+(COUNTIF(AC347,"TRAVERSE")*15)+(COUNTIF(AC347,"HIGH")*10)+(COUNTIF(AC347,"MIDDLE")*6)+(COUNTIF(AC347,"LOW")*4)),"")</f>
        <v/>
      </c>
    </row>
    <row r="348">
      <c r="A348" s="141" t="s">
        <v>507</v>
      </c>
      <c r="B348" s="134" t="str">
        <f>IFERROR(__xludf.DUMMYFUNCTION("IFERROR((FILTER(Data!H:H,Data!D:D=A348,Data!B:B=$B$1)),"""")"),"")</f>
        <v/>
      </c>
      <c r="C348" s="134" t="str">
        <f>IFERROR(__xludf.DUMMYFUNCTION("IFERROR((FILTER(Data!G:G,Data!D:D=A348,Data!B:B=$B$1)),"""")"),"")</f>
        <v/>
      </c>
      <c r="D348" s="134" t="str">
        <f>IFERROR(__xludf.DUMMYFUNCTION("IFERROR((FILTER(Data!J:J,Data!D:D=A348,Data!B:B=$B$1)),"""")"),"")</f>
        <v/>
      </c>
      <c r="E348" s="134" t="str">
        <f>IFERROR(__xludf.DUMMYFUNCTION("IFERROR((FILTER(Data!L:L,Data!D:D=A348,Data!B:B=$B$1)),"""")"),"")</f>
        <v/>
      </c>
      <c r="F348" s="134" t="str">
        <f>IFERROR(__xludf.DUMMYFUNCTION("IFERROR((FILTER(Data!K:K,Data!D:D=A348,Data!B:B=$B$1)),"""")"),"")</f>
        <v/>
      </c>
      <c r="G348" s="134" t="str">
        <f>IFERROR(__xludf.DUMMYFUNCTION("IFERROR((FILTER(Data!M:M,Data!D:D=A348,Data!B:B=$B$1)),"""")"),"")</f>
        <v/>
      </c>
      <c r="H348" s="134" t="str">
        <f>IFERROR(__xludf.DUMMYFUNCTION("IFERROR((FILTER(Data!G:G,Data!D:D=A348,Data!B:B=$B$1)*4)+(FILTER(Data!H:H,Data!D:D=A348,Data!B:B=$B$1)*2),"""")"),"")</f>
        <v/>
      </c>
      <c r="I348" s="15" t="str">
        <f>IFERROR(__xludf.DUMMYFUNCTION("IFERROR((FILTER(Data!K:K,Data!D:D=A348,Data!B:B=$B$1)*2)+(FILTER(Data!L:L,Data!D:D=A348,Data!B:B=$B$1)),"""")"),"")</f>
        <v/>
      </c>
      <c r="J348" s="134" t="str">
        <f>IFERROR(__xludf.DUMMYFUNCTION("IFERROR((FILTER(Data!N:N,Data!D:D=A348,Data!B:B=$B$1)),"""")"),"")</f>
        <v/>
      </c>
      <c r="K348" s="135" t="str">
        <f>IFERROR(__xludf.DUMMYFUNCTION("IFERROR((FILTER(Data!H:H,Data!D:D=A348,Data!B:B=$B$1)*2)+(FILTER(Data!L:L,Data!D:D=A348,Data!B:B=$B$1))+(FILTER(Data!G:G,Data!D:D=A348,Data!B:B=$B$1)*4)+(FILTER(Data!K:K,Data!D:D=A348,Data!B:B=$B$1)*2)+(((COUNTIF(FILTER(Data!N:N,Data!D:D=A348,Data!B:B=$B$"&amp;"1),""TRAVERSE"")*15)+(COUNTIF(FILTER(Data!N:N,Data!D:D=A348,Data!B:B=$B$1),""HIGH"")*10)+(COUNTIF(FILTER(Data!N:N,Data!D:D=A348,Data!B:B=$B$1),""MIDDLE"")*6)+(COUNTIF(FILTER(Data!N:N,Data!D:D=A348,Data!B:B=$B$1),""LOW"")*4))),"""")"),"")</f>
        <v/>
      </c>
      <c r="L348" s="136" t="str">
        <f>IFERROR(__xludf.DUMMYFUNCTION("IFERROR((FILTER(Data!P:P,Data!D:D=A348,Data!B:B=$B$1)),"""")"),"")</f>
        <v/>
      </c>
      <c r="M348" s="137" t="str">
        <f>IFERROR(__xludf.DUMMYFUNCTION("IFERROR((FILTER(Data!A:A,Data!D:D=A348,Data!B:B=$B$1)),"""")"),"")</f>
        <v/>
      </c>
      <c r="T348" s="52">
        <f>IFERROR(__xludf.DUMMYFUNCTION("((COUNTIF(FILTER(Data!N:N,Data!D:D=A348,Data!B:B=$B$1),""TRAVERSE"")*15)+(COUNTIF(FILTER(Data!N:N,Data!D:D=A348,Data!B:B=B$1),""HIGH"")*10)+(COUNTIF(FILTER(Data!N:N,Data!D:D=A348,Data!B:B=$B$1),""MIDDLE"")*6)+(COUNTIF(FILTER(Data!N:N,Data!D:D=A348,Data!B:"&amp;"B=$B$1),""LOW"")*4))"),0.0)</f>
        <v>0</v>
      </c>
      <c r="V348" s="138" t="str">
        <f>IF(Data!B340='Team Parser'!$B$1, Data!D340,"")</f>
        <v/>
      </c>
      <c r="W348" s="134" t="str">
        <f>IF(Data!$B340='Team Parser'!$B$1, Data!H340,"")</f>
        <v/>
      </c>
      <c r="X348" s="134" t="str">
        <f>IF(Data!$B340='Team Parser'!$B$1, Data!G340,"")</f>
        <v/>
      </c>
      <c r="Y348" s="134" t="str">
        <f>IF(Data!$B340='Team Parser'!$B$1, Data!L340,"")</f>
        <v/>
      </c>
      <c r="Z348" s="134" t="str">
        <f>IF(Data!$B340='Team Parser'!$B$1, Data!K340,"")</f>
        <v/>
      </c>
      <c r="AA348" s="134" t="str">
        <f>IF(Data!$B340='Team Parser'!$B$1, Data!M340,"")</f>
        <v/>
      </c>
      <c r="AB348" s="134" t="str">
        <f>IF(Data!$B340='Team Parser'!$B$1,((Z348*2)+(Y348)+(X348*4)+(W348*2)),"")</f>
        <v/>
      </c>
      <c r="AC348" s="134" t="str">
        <f>IF(Data!$B340='Team Parser'!$B$1, Data!N340,"")</f>
        <v/>
      </c>
      <c r="AD348" s="139" t="str">
        <f>IF(Data!$B340='Team Parser'!$B$1,(AB348+(COUNTIF(AC348,"TRAVERSE")*15)+(COUNTIF(AC348,"HIGH")*10)+(COUNTIF(AC348,"MIDDLE")*6)+(COUNTIF(AC348,"LOW")*4)),"")</f>
        <v/>
      </c>
    </row>
    <row r="349">
      <c r="A349" s="141" t="s">
        <v>507</v>
      </c>
      <c r="B349" s="134" t="str">
        <f>IFERROR(__xludf.DUMMYFUNCTION("IFERROR((FILTER(Data!H:H,Data!D:D=A349,Data!B:B=$B$1)),"""")"),"")</f>
        <v/>
      </c>
      <c r="C349" s="134" t="str">
        <f>IFERROR(__xludf.DUMMYFUNCTION("IFERROR((FILTER(Data!G:G,Data!D:D=A349,Data!B:B=$B$1)),"""")"),"")</f>
        <v/>
      </c>
      <c r="D349" s="134" t="str">
        <f>IFERROR(__xludf.DUMMYFUNCTION("IFERROR((FILTER(Data!J:J,Data!D:D=A349,Data!B:B=$B$1)),"""")"),"")</f>
        <v/>
      </c>
      <c r="E349" s="134" t="str">
        <f>IFERROR(__xludf.DUMMYFUNCTION("IFERROR((FILTER(Data!L:L,Data!D:D=A349,Data!B:B=$B$1)),"""")"),"")</f>
        <v/>
      </c>
      <c r="F349" s="134" t="str">
        <f>IFERROR(__xludf.DUMMYFUNCTION("IFERROR((FILTER(Data!K:K,Data!D:D=A349,Data!B:B=$B$1)),"""")"),"")</f>
        <v/>
      </c>
      <c r="G349" s="134" t="str">
        <f>IFERROR(__xludf.DUMMYFUNCTION("IFERROR((FILTER(Data!M:M,Data!D:D=A349,Data!B:B=$B$1)),"""")"),"")</f>
        <v/>
      </c>
      <c r="H349" s="134" t="str">
        <f>IFERROR(__xludf.DUMMYFUNCTION("IFERROR((FILTER(Data!G:G,Data!D:D=A349,Data!B:B=$B$1)*4)+(FILTER(Data!H:H,Data!D:D=A349,Data!B:B=$B$1)*2),"""")"),"")</f>
        <v/>
      </c>
      <c r="I349" s="15" t="str">
        <f>IFERROR(__xludf.DUMMYFUNCTION("IFERROR((FILTER(Data!K:K,Data!D:D=A349,Data!B:B=$B$1)*2)+(FILTER(Data!L:L,Data!D:D=A349,Data!B:B=$B$1)),"""")"),"")</f>
        <v/>
      </c>
      <c r="J349" s="134" t="str">
        <f>IFERROR(__xludf.DUMMYFUNCTION("IFERROR((FILTER(Data!N:N,Data!D:D=A349,Data!B:B=$B$1)),"""")"),"")</f>
        <v/>
      </c>
      <c r="K349" s="135" t="str">
        <f>IFERROR(__xludf.DUMMYFUNCTION("IFERROR((FILTER(Data!H:H,Data!D:D=A349,Data!B:B=$B$1)*2)+(FILTER(Data!L:L,Data!D:D=A349,Data!B:B=$B$1))+(FILTER(Data!G:G,Data!D:D=A349,Data!B:B=$B$1)*4)+(FILTER(Data!K:K,Data!D:D=A349,Data!B:B=$B$1)*2)+(((COUNTIF(FILTER(Data!N:N,Data!D:D=A349,Data!B:B=$B$"&amp;"1),""TRAVERSE"")*15)+(COUNTIF(FILTER(Data!N:N,Data!D:D=A349,Data!B:B=$B$1),""HIGH"")*10)+(COUNTIF(FILTER(Data!N:N,Data!D:D=A349,Data!B:B=$B$1),""MIDDLE"")*6)+(COUNTIF(FILTER(Data!N:N,Data!D:D=A349,Data!B:B=$B$1),""LOW"")*4))),"""")"),"")</f>
        <v/>
      </c>
      <c r="L349" s="136" t="str">
        <f>IFERROR(__xludf.DUMMYFUNCTION("IFERROR((FILTER(Data!P:P,Data!D:D=A349,Data!B:B=$B$1)),"""")"),"")</f>
        <v/>
      </c>
      <c r="M349" s="137" t="str">
        <f>IFERROR(__xludf.DUMMYFUNCTION("IFERROR((FILTER(Data!A:A,Data!D:D=A349,Data!B:B=$B$1)),"""")"),"")</f>
        <v/>
      </c>
      <c r="T349" s="52">
        <f>IFERROR(__xludf.DUMMYFUNCTION("((COUNTIF(FILTER(Data!N:N,Data!D:D=A349,Data!B:B=$B$1),""TRAVERSE"")*15)+(COUNTIF(FILTER(Data!N:N,Data!D:D=A349,Data!B:B=B$1),""HIGH"")*10)+(COUNTIF(FILTER(Data!N:N,Data!D:D=A349,Data!B:B=$B$1),""MIDDLE"")*6)+(COUNTIF(FILTER(Data!N:N,Data!D:D=A349,Data!B:"&amp;"B=$B$1),""LOW"")*4))"),0.0)</f>
        <v>0</v>
      </c>
      <c r="V349" s="138" t="str">
        <f>IF(Data!B341='Team Parser'!$B$1, Data!D341,"")</f>
        <v/>
      </c>
      <c r="W349" s="134" t="str">
        <f>IF(Data!$B341='Team Parser'!$B$1, Data!H341,"")</f>
        <v/>
      </c>
      <c r="X349" s="134" t="str">
        <f>IF(Data!$B341='Team Parser'!$B$1, Data!G341,"")</f>
        <v/>
      </c>
      <c r="Y349" s="134" t="str">
        <f>IF(Data!$B341='Team Parser'!$B$1, Data!L341,"")</f>
        <v/>
      </c>
      <c r="Z349" s="134" t="str">
        <f>IF(Data!$B341='Team Parser'!$B$1, Data!K341,"")</f>
        <v/>
      </c>
      <c r="AA349" s="134" t="str">
        <f>IF(Data!$B341='Team Parser'!$B$1, Data!M341,"")</f>
        <v/>
      </c>
      <c r="AB349" s="134" t="str">
        <f>IF(Data!$B341='Team Parser'!$B$1,((Z349*2)+(Y349)+(X349*4)+(W349*2)),"")</f>
        <v/>
      </c>
      <c r="AC349" s="134" t="str">
        <f>IF(Data!$B341='Team Parser'!$B$1, Data!N341,"")</f>
        <v/>
      </c>
      <c r="AD349" s="139" t="str">
        <f>IF(Data!$B341='Team Parser'!$B$1,(AB349+(COUNTIF(AC349,"TRAVERSE")*15)+(COUNTIF(AC349,"HIGH")*10)+(COUNTIF(AC349,"MIDDLE")*6)+(COUNTIF(AC349,"LOW")*4)),"")</f>
        <v/>
      </c>
    </row>
    <row r="350">
      <c r="A350" s="141" t="s">
        <v>507</v>
      </c>
      <c r="B350" s="134" t="str">
        <f>IFERROR(__xludf.DUMMYFUNCTION("IFERROR((FILTER(Data!H:H,Data!D:D=A350,Data!B:B=$B$1)),"""")"),"")</f>
        <v/>
      </c>
      <c r="C350" s="134" t="str">
        <f>IFERROR(__xludf.DUMMYFUNCTION("IFERROR((FILTER(Data!G:G,Data!D:D=A350,Data!B:B=$B$1)),"""")"),"")</f>
        <v/>
      </c>
      <c r="D350" s="134" t="str">
        <f>IFERROR(__xludf.DUMMYFUNCTION("IFERROR((FILTER(Data!J:J,Data!D:D=A350,Data!B:B=$B$1)),"""")"),"")</f>
        <v/>
      </c>
      <c r="E350" s="134" t="str">
        <f>IFERROR(__xludf.DUMMYFUNCTION("IFERROR((FILTER(Data!L:L,Data!D:D=A350,Data!B:B=$B$1)),"""")"),"")</f>
        <v/>
      </c>
      <c r="F350" s="134" t="str">
        <f>IFERROR(__xludf.DUMMYFUNCTION("IFERROR((FILTER(Data!K:K,Data!D:D=A350,Data!B:B=$B$1)),"""")"),"")</f>
        <v/>
      </c>
      <c r="G350" s="134" t="str">
        <f>IFERROR(__xludf.DUMMYFUNCTION("IFERROR((FILTER(Data!M:M,Data!D:D=A350,Data!B:B=$B$1)),"""")"),"")</f>
        <v/>
      </c>
      <c r="H350" s="134" t="str">
        <f>IFERROR(__xludf.DUMMYFUNCTION("IFERROR((FILTER(Data!G:G,Data!D:D=A350,Data!B:B=$B$1)*4)+(FILTER(Data!H:H,Data!D:D=A350,Data!B:B=$B$1)*2),"""")"),"")</f>
        <v/>
      </c>
      <c r="I350" s="15" t="str">
        <f>IFERROR(__xludf.DUMMYFUNCTION("IFERROR((FILTER(Data!K:K,Data!D:D=A350,Data!B:B=$B$1)*2)+(FILTER(Data!L:L,Data!D:D=A350,Data!B:B=$B$1)),"""")"),"")</f>
        <v/>
      </c>
      <c r="J350" s="134" t="str">
        <f>IFERROR(__xludf.DUMMYFUNCTION("IFERROR((FILTER(Data!N:N,Data!D:D=A350,Data!B:B=$B$1)),"""")"),"")</f>
        <v/>
      </c>
      <c r="K350" s="135" t="str">
        <f>IFERROR(__xludf.DUMMYFUNCTION("IFERROR((FILTER(Data!H:H,Data!D:D=A350,Data!B:B=$B$1)*2)+(FILTER(Data!L:L,Data!D:D=A350,Data!B:B=$B$1))+(FILTER(Data!G:G,Data!D:D=A350,Data!B:B=$B$1)*4)+(FILTER(Data!K:K,Data!D:D=A350,Data!B:B=$B$1)*2)+(((COUNTIF(FILTER(Data!N:N,Data!D:D=A350,Data!B:B=$B$"&amp;"1),""TRAVERSE"")*15)+(COUNTIF(FILTER(Data!N:N,Data!D:D=A350,Data!B:B=$B$1),""HIGH"")*10)+(COUNTIF(FILTER(Data!N:N,Data!D:D=A350,Data!B:B=$B$1),""MIDDLE"")*6)+(COUNTIF(FILTER(Data!N:N,Data!D:D=A350,Data!B:B=$B$1),""LOW"")*4))),"""")"),"")</f>
        <v/>
      </c>
      <c r="L350" s="136" t="str">
        <f>IFERROR(__xludf.DUMMYFUNCTION("IFERROR((FILTER(Data!P:P,Data!D:D=A350,Data!B:B=$B$1)),"""")"),"")</f>
        <v/>
      </c>
      <c r="M350" s="137" t="str">
        <f>IFERROR(__xludf.DUMMYFUNCTION("IFERROR((FILTER(Data!A:A,Data!D:D=A350,Data!B:B=$B$1)),"""")"),"")</f>
        <v/>
      </c>
      <c r="T350" s="52">
        <f>IFERROR(__xludf.DUMMYFUNCTION("((COUNTIF(FILTER(Data!N:N,Data!D:D=A350,Data!B:B=$B$1),""TRAVERSE"")*15)+(COUNTIF(FILTER(Data!N:N,Data!D:D=A350,Data!B:B=B$1),""HIGH"")*10)+(COUNTIF(FILTER(Data!N:N,Data!D:D=A350,Data!B:B=$B$1),""MIDDLE"")*6)+(COUNTIF(FILTER(Data!N:N,Data!D:D=A350,Data!B:"&amp;"B=$B$1),""LOW"")*4))"),0.0)</f>
        <v>0</v>
      </c>
      <c r="V350" s="138" t="str">
        <f>IF(Data!B342='Team Parser'!$B$1, Data!D342,"")</f>
        <v/>
      </c>
      <c r="W350" s="134" t="str">
        <f>IF(Data!$B342='Team Parser'!$B$1, Data!H342,"")</f>
        <v/>
      </c>
      <c r="X350" s="134" t="str">
        <f>IF(Data!$B342='Team Parser'!$B$1, Data!G342,"")</f>
        <v/>
      </c>
      <c r="Y350" s="134" t="str">
        <f>IF(Data!$B342='Team Parser'!$B$1, Data!L342,"")</f>
        <v/>
      </c>
      <c r="Z350" s="134" t="str">
        <f>IF(Data!$B342='Team Parser'!$B$1, Data!K342,"")</f>
        <v/>
      </c>
      <c r="AA350" s="134" t="str">
        <f>IF(Data!$B342='Team Parser'!$B$1, Data!M342,"")</f>
        <v/>
      </c>
      <c r="AB350" s="134" t="str">
        <f>IF(Data!$B342='Team Parser'!$B$1,((Z350*2)+(Y350)+(X350*4)+(W350*2)),"")</f>
        <v/>
      </c>
      <c r="AC350" s="134" t="str">
        <f>IF(Data!$B342='Team Parser'!$B$1, Data!N342,"")</f>
        <v/>
      </c>
      <c r="AD350" s="139" t="str">
        <f>IF(Data!$B342='Team Parser'!$B$1,(AB350+(COUNTIF(AC350,"TRAVERSE")*15)+(COUNTIF(AC350,"HIGH")*10)+(COUNTIF(AC350,"MIDDLE")*6)+(COUNTIF(AC350,"LOW")*4)),"")</f>
        <v/>
      </c>
    </row>
    <row r="351">
      <c r="A351" s="141" t="s">
        <v>507</v>
      </c>
      <c r="B351" s="134" t="str">
        <f>IFERROR(__xludf.DUMMYFUNCTION("IFERROR((FILTER(Data!H:H,Data!D:D=A351,Data!B:B=$B$1)),"""")"),"")</f>
        <v/>
      </c>
      <c r="C351" s="134" t="str">
        <f>IFERROR(__xludf.DUMMYFUNCTION("IFERROR((FILTER(Data!G:G,Data!D:D=A351,Data!B:B=$B$1)),"""")"),"")</f>
        <v/>
      </c>
      <c r="D351" s="134" t="str">
        <f>IFERROR(__xludf.DUMMYFUNCTION("IFERROR((FILTER(Data!J:J,Data!D:D=A351,Data!B:B=$B$1)),"""")"),"")</f>
        <v/>
      </c>
      <c r="E351" s="134" t="str">
        <f>IFERROR(__xludf.DUMMYFUNCTION("IFERROR((FILTER(Data!L:L,Data!D:D=A351,Data!B:B=$B$1)),"""")"),"")</f>
        <v/>
      </c>
      <c r="F351" s="134" t="str">
        <f>IFERROR(__xludf.DUMMYFUNCTION("IFERROR((FILTER(Data!K:K,Data!D:D=A351,Data!B:B=$B$1)),"""")"),"")</f>
        <v/>
      </c>
      <c r="G351" s="134" t="str">
        <f>IFERROR(__xludf.DUMMYFUNCTION("IFERROR((FILTER(Data!M:M,Data!D:D=A351,Data!B:B=$B$1)),"""")"),"")</f>
        <v/>
      </c>
      <c r="H351" s="134" t="str">
        <f>IFERROR(__xludf.DUMMYFUNCTION("IFERROR((FILTER(Data!G:G,Data!D:D=A351,Data!B:B=$B$1)*4)+(FILTER(Data!H:H,Data!D:D=A351,Data!B:B=$B$1)*2),"""")"),"")</f>
        <v/>
      </c>
      <c r="I351" s="15" t="str">
        <f>IFERROR(__xludf.DUMMYFUNCTION("IFERROR((FILTER(Data!K:K,Data!D:D=A351,Data!B:B=$B$1)*2)+(FILTER(Data!L:L,Data!D:D=A351,Data!B:B=$B$1)),"""")"),"")</f>
        <v/>
      </c>
      <c r="J351" s="134" t="str">
        <f>IFERROR(__xludf.DUMMYFUNCTION("IFERROR((FILTER(Data!N:N,Data!D:D=A351,Data!B:B=$B$1)),"""")"),"")</f>
        <v/>
      </c>
      <c r="K351" s="135" t="str">
        <f>IFERROR(__xludf.DUMMYFUNCTION("IFERROR((FILTER(Data!H:H,Data!D:D=A351,Data!B:B=$B$1)*2)+(FILTER(Data!L:L,Data!D:D=A351,Data!B:B=$B$1))+(FILTER(Data!G:G,Data!D:D=A351,Data!B:B=$B$1)*4)+(FILTER(Data!K:K,Data!D:D=A351,Data!B:B=$B$1)*2)+(((COUNTIF(FILTER(Data!N:N,Data!D:D=A351,Data!B:B=$B$"&amp;"1),""TRAVERSE"")*15)+(COUNTIF(FILTER(Data!N:N,Data!D:D=A351,Data!B:B=$B$1),""HIGH"")*10)+(COUNTIF(FILTER(Data!N:N,Data!D:D=A351,Data!B:B=$B$1),""MIDDLE"")*6)+(COUNTIF(FILTER(Data!N:N,Data!D:D=A351,Data!B:B=$B$1),""LOW"")*4))),"""")"),"")</f>
        <v/>
      </c>
      <c r="L351" s="136" t="str">
        <f>IFERROR(__xludf.DUMMYFUNCTION("IFERROR((FILTER(Data!P:P,Data!D:D=A351,Data!B:B=$B$1)),"""")"),"")</f>
        <v/>
      </c>
      <c r="M351" s="137" t="str">
        <f>IFERROR(__xludf.DUMMYFUNCTION("IFERROR((FILTER(Data!A:A,Data!D:D=A351,Data!B:B=$B$1)),"""")"),"")</f>
        <v/>
      </c>
      <c r="T351" s="52">
        <f>IFERROR(__xludf.DUMMYFUNCTION("((COUNTIF(FILTER(Data!N:N,Data!D:D=A351,Data!B:B=$B$1),""TRAVERSE"")*15)+(COUNTIF(FILTER(Data!N:N,Data!D:D=A351,Data!B:B=B$1),""HIGH"")*10)+(COUNTIF(FILTER(Data!N:N,Data!D:D=A351,Data!B:B=$B$1),""MIDDLE"")*6)+(COUNTIF(FILTER(Data!N:N,Data!D:D=A351,Data!B:"&amp;"B=$B$1),""LOW"")*4))"),0.0)</f>
        <v>0</v>
      </c>
      <c r="V351" s="138" t="str">
        <f>IF(Data!B343='Team Parser'!$B$1, Data!D343,"")</f>
        <v/>
      </c>
      <c r="W351" s="134" t="str">
        <f>IF(Data!$B343='Team Parser'!$B$1, Data!H343,"")</f>
        <v/>
      </c>
      <c r="X351" s="134" t="str">
        <f>IF(Data!$B343='Team Parser'!$B$1, Data!G343,"")</f>
        <v/>
      </c>
      <c r="Y351" s="134" t="str">
        <f>IF(Data!$B343='Team Parser'!$B$1, Data!L343,"")</f>
        <v/>
      </c>
      <c r="Z351" s="134" t="str">
        <f>IF(Data!$B343='Team Parser'!$B$1, Data!K343,"")</f>
        <v/>
      </c>
      <c r="AA351" s="134" t="str">
        <f>IF(Data!$B343='Team Parser'!$B$1, Data!M343,"")</f>
        <v/>
      </c>
      <c r="AB351" s="134" t="str">
        <f>IF(Data!$B343='Team Parser'!$B$1,((Z351*2)+(Y351)+(X351*4)+(W351*2)),"")</f>
        <v/>
      </c>
      <c r="AC351" s="134" t="str">
        <f>IF(Data!$B343='Team Parser'!$B$1, Data!N343,"")</f>
        <v/>
      </c>
      <c r="AD351" s="139" t="str">
        <f>IF(Data!$B343='Team Parser'!$B$1,(AB351+(COUNTIF(AC351,"TRAVERSE")*15)+(COUNTIF(AC351,"HIGH")*10)+(COUNTIF(AC351,"MIDDLE")*6)+(COUNTIF(AC351,"LOW")*4)),"")</f>
        <v/>
      </c>
    </row>
    <row r="352">
      <c r="A352" s="141" t="s">
        <v>507</v>
      </c>
      <c r="B352" s="134" t="str">
        <f>IFERROR(__xludf.DUMMYFUNCTION("IFERROR((FILTER(Data!H:H,Data!D:D=A352,Data!B:B=$B$1)),"""")"),"")</f>
        <v/>
      </c>
      <c r="C352" s="134" t="str">
        <f>IFERROR(__xludf.DUMMYFUNCTION("IFERROR((FILTER(Data!G:G,Data!D:D=A352,Data!B:B=$B$1)),"""")"),"")</f>
        <v/>
      </c>
      <c r="D352" s="134" t="str">
        <f>IFERROR(__xludf.DUMMYFUNCTION("IFERROR((FILTER(Data!J:J,Data!D:D=A352,Data!B:B=$B$1)),"""")"),"")</f>
        <v/>
      </c>
      <c r="E352" s="134" t="str">
        <f>IFERROR(__xludf.DUMMYFUNCTION("IFERROR((FILTER(Data!L:L,Data!D:D=A352,Data!B:B=$B$1)),"""")"),"")</f>
        <v/>
      </c>
      <c r="F352" s="134" t="str">
        <f>IFERROR(__xludf.DUMMYFUNCTION("IFERROR((FILTER(Data!K:K,Data!D:D=A352,Data!B:B=$B$1)),"""")"),"")</f>
        <v/>
      </c>
      <c r="G352" s="134" t="str">
        <f>IFERROR(__xludf.DUMMYFUNCTION("IFERROR((FILTER(Data!M:M,Data!D:D=A352,Data!B:B=$B$1)),"""")"),"")</f>
        <v/>
      </c>
      <c r="H352" s="134" t="str">
        <f>IFERROR(__xludf.DUMMYFUNCTION("IFERROR((FILTER(Data!G:G,Data!D:D=A352,Data!B:B=$B$1)*4)+(FILTER(Data!H:H,Data!D:D=A352,Data!B:B=$B$1)*2),"""")"),"")</f>
        <v/>
      </c>
      <c r="I352" s="15" t="str">
        <f>IFERROR(__xludf.DUMMYFUNCTION("IFERROR((FILTER(Data!K:K,Data!D:D=A352,Data!B:B=$B$1)*2)+(FILTER(Data!L:L,Data!D:D=A352,Data!B:B=$B$1)),"""")"),"")</f>
        <v/>
      </c>
      <c r="J352" s="134" t="str">
        <f>IFERROR(__xludf.DUMMYFUNCTION("IFERROR((FILTER(Data!N:N,Data!D:D=A352,Data!B:B=$B$1)),"""")"),"")</f>
        <v/>
      </c>
      <c r="K352" s="135" t="str">
        <f>IFERROR(__xludf.DUMMYFUNCTION("IFERROR((FILTER(Data!H:H,Data!D:D=A352,Data!B:B=$B$1)*2)+(FILTER(Data!L:L,Data!D:D=A352,Data!B:B=$B$1))+(FILTER(Data!G:G,Data!D:D=A352,Data!B:B=$B$1)*4)+(FILTER(Data!K:K,Data!D:D=A352,Data!B:B=$B$1)*2)+(((COUNTIF(FILTER(Data!N:N,Data!D:D=A352,Data!B:B=$B$"&amp;"1),""TRAVERSE"")*15)+(COUNTIF(FILTER(Data!N:N,Data!D:D=A352,Data!B:B=$B$1),""HIGH"")*10)+(COUNTIF(FILTER(Data!N:N,Data!D:D=A352,Data!B:B=$B$1),""MIDDLE"")*6)+(COUNTIF(FILTER(Data!N:N,Data!D:D=A352,Data!B:B=$B$1),""LOW"")*4))),"""")"),"")</f>
        <v/>
      </c>
      <c r="L352" s="136" t="str">
        <f>IFERROR(__xludf.DUMMYFUNCTION("IFERROR((FILTER(Data!P:P,Data!D:D=A352,Data!B:B=$B$1)),"""")"),"")</f>
        <v/>
      </c>
      <c r="M352" s="137" t="str">
        <f>IFERROR(__xludf.DUMMYFUNCTION("IFERROR((FILTER(Data!A:A,Data!D:D=A352,Data!B:B=$B$1)),"""")"),"")</f>
        <v/>
      </c>
      <c r="T352" s="52">
        <f>IFERROR(__xludf.DUMMYFUNCTION("((COUNTIF(FILTER(Data!N:N,Data!D:D=A352,Data!B:B=$B$1),""TRAVERSE"")*15)+(COUNTIF(FILTER(Data!N:N,Data!D:D=A352,Data!B:B=B$1),""HIGH"")*10)+(COUNTIF(FILTER(Data!N:N,Data!D:D=A352,Data!B:B=$B$1),""MIDDLE"")*6)+(COUNTIF(FILTER(Data!N:N,Data!D:D=A352,Data!B:"&amp;"B=$B$1),""LOW"")*4))"),0.0)</f>
        <v>0</v>
      </c>
      <c r="V352" s="138" t="str">
        <f>IF(Data!B344='Team Parser'!$B$1, Data!D344,"")</f>
        <v/>
      </c>
      <c r="W352" s="134" t="str">
        <f>IF(Data!$B344='Team Parser'!$B$1, Data!H344,"")</f>
        <v/>
      </c>
      <c r="X352" s="134" t="str">
        <f>IF(Data!$B344='Team Parser'!$B$1, Data!G344,"")</f>
        <v/>
      </c>
      <c r="Y352" s="134" t="str">
        <f>IF(Data!$B344='Team Parser'!$B$1, Data!L344,"")</f>
        <v/>
      </c>
      <c r="Z352" s="134" t="str">
        <f>IF(Data!$B344='Team Parser'!$B$1, Data!K344,"")</f>
        <v/>
      </c>
      <c r="AA352" s="134" t="str">
        <f>IF(Data!$B344='Team Parser'!$B$1, Data!M344,"")</f>
        <v/>
      </c>
      <c r="AB352" s="134" t="str">
        <f>IF(Data!$B344='Team Parser'!$B$1,((Z352*2)+(Y352)+(X352*4)+(W352*2)),"")</f>
        <v/>
      </c>
      <c r="AC352" s="134" t="str">
        <f>IF(Data!$B344='Team Parser'!$B$1, Data!N344,"")</f>
        <v/>
      </c>
      <c r="AD352" s="139" t="str">
        <f>IF(Data!$B344='Team Parser'!$B$1,(AB352+(COUNTIF(AC352,"TRAVERSE")*15)+(COUNTIF(AC352,"HIGH")*10)+(COUNTIF(AC352,"MIDDLE")*6)+(COUNTIF(AC352,"LOW")*4)),"")</f>
        <v/>
      </c>
    </row>
    <row r="353">
      <c r="A353" s="141" t="s">
        <v>507</v>
      </c>
      <c r="B353" s="134" t="str">
        <f>IFERROR(__xludf.DUMMYFUNCTION("IFERROR((FILTER(Data!H:H,Data!D:D=A353,Data!B:B=$B$1)),"""")"),"")</f>
        <v/>
      </c>
      <c r="C353" s="134" t="str">
        <f>IFERROR(__xludf.DUMMYFUNCTION("IFERROR((FILTER(Data!G:G,Data!D:D=A353,Data!B:B=$B$1)),"""")"),"")</f>
        <v/>
      </c>
      <c r="D353" s="134" t="str">
        <f>IFERROR(__xludf.DUMMYFUNCTION("IFERROR((FILTER(Data!J:J,Data!D:D=A353,Data!B:B=$B$1)),"""")"),"")</f>
        <v/>
      </c>
      <c r="E353" s="134" t="str">
        <f>IFERROR(__xludf.DUMMYFUNCTION("IFERROR((FILTER(Data!L:L,Data!D:D=A353,Data!B:B=$B$1)),"""")"),"")</f>
        <v/>
      </c>
      <c r="F353" s="134" t="str">
        <f>IFERROR(__xludf.DUMMYFUNCTION("IFERROR((FILTER(Data!K:K,Data!D:D=A353,Data!B:B=$B$1)),"""")"),"")</f>
        <v/>
      </c>
      <c r="G353" s="134" t="str">
        <f>IFERROR(__xludf.DUMMYFUNCTION("IFERROR((FILTER(Data!M:M,Data!D:D=A353,Data!B:B=$B$1)),"""")"),"")</f>
        <v/>
      </c>
      <c r="H353" s="134" t="str">
        <f>IFERROR(__xludf.DUMMYFUNCTION("IFERROR((FILTER(Data!G:G,Data!D:D=A353,Data!B:B=$B$1)*4)+(FILTER(Data!H:H,Data!D:D=A353,Data!B:B=$B$1)*2),"""")"),"")</f>
        <v/>
      </c>
      <c r="I353" s="15" t="str">
        <f>IFERROR(__xludf.DUMMYFUNCTION("IFERROR((FILTER(Data!K:K,Data!D:D=A353,Data!B:B=$B$1)*2)+(FILTER(Data!L:L,Data!D:D=A353,Data!B:B=$B$1)),"""")"),"")</f>
        <v/>
      </c>
      <c r="J353" s="134" t="str">
        <f>IFERROR(__xludf.DUMMYFUNCTION("IFERROR((FILTER(Data!N:N,Data!D:D=A353,Data!B:B=$B$1)),"""")"),"")</f>
        <v/>
      </c>
      <c r="K353" s="135" t="str">
        <f>IFERROR(__xludf.DUMMYFUNCTION("IFERROR((FILTER(Data!H:H,Data!D:D=A353,Data!B:B=$B$1)*2)+(FILTER(Data!L:L,Data!D:D=A353,Data!B:B=$B$1))+(FILTER(Data!G:G,Data!D:D=A353,Data!B:B=$B$1)*4)+(FILTER(Data!K:K,Data!D:D=A353,Data!B:B=$B$1)*2)+(((COUNTIF(FILTER(Data!N:N,Data!D:D=A353,Data!B:B=$B$"&amp;"1),""TRAVERSE"")*15)+(COUNTIF(FILTER(Data!N:N,Data!D:D=A353,Data!B:B=$B$1),""HIGH"")*10)+(COUNTIF(FILTER(Data!N:N,Data!D:D=A353,Data!B:B=$B$1),""MIDDLE"")*6)+(COUNTIF(FILTER(Data!N:N,Data!D:D=A353,Data!B:B=$B$1),""LOW"")*4))),"""")"),"")</f>
        <v/>
      </c>
      <c r="L353" s="136" t="str">
        <f>IFERROR(__xludf.DUMMYFUNCTION("IFERROR((FILTER(Data!P:P,Data!D:D=A353,Data!B:B=$B$1)),"""")"),"")</f>
        <v/>
      </c>
      <c r="M353" s="137" t="str">
        <f>IFERROR(__xludf.DUMMYFUNCTION("IFERROR((FILTER(Data!A:A,Data!D:D=A353,Data!B:B=$B$1)),"""")"),"")</f>
        <v/>
      </c>
      <c r="T353" s="52">
        <f>IFERROR(__xludf.DUMMYFUNCTION("((COUNTIF(FILTER(Data!N:N,Data!D:D=A353,Data!B:B=$B$1),""TRAVERSE"")*15)+(COUNTIF(FILTER(Data!N:N,Data!D:D=A353,Data!B:B=B$1),""HIGH"")*10)+(COUNTIF(FILTER(Data!N:N,Data!D:D=A353,Data!B:B=$B$1),""MIDDLE"")*6)+(COUNTIF(FILTER(Data!N:N,Data!D:D=A353,Data!B:"&amp;"B=$B$1),""LOW"")*4))"),0.0)</f>
        <v>0</v>
      </c>
      <c r="V353" s="138" t="str">
        <f>IF(Data!B345='Team Parser'!$B$1, Data!D345,"")</f>
        <v/>
      </c>
      <c r="W353" s="134" t="str">
        <f>IF(Data!$B345='Team Parser'!$B$1, Data!H345,"")</f>
        <v/>
      </c>
      <c r="X353" s="134" t="str">
        <f>IF(Data!$B345='Team Parser'!$B$1, Data!G345,"")</f>
        <v/>
      </c>
      <c r="Y353" s="134" t="str">
        <f>IF(Data!$B345='Team Parser'!$B$1, Data!L345,"")</f>
        <v/>
      </c>
      <c r="Z353" s="134" t="str">
        <f>IF(Data!$B345='Team Parser'!$B$1, Data!K345,"")</f>
        <v/>
      </c>
      <c r="AA353" s="134" t="str">
        <f>IF(Data!$B345='Team Parser'!$B$1, Data!M345,"")</f>
        <v/>
      </c>
      <c r="AB353" s="134" t="str">
        <f>IF(Data!$B345='Team Parser'!$B$1,((Z353*2)+(Y353)+(X353*4)+(W353*2)),"")</f>
        <v/>
      </c>
      <c r="AC353" s="134" t="str">
        <f>IF(Data!$B345='Team Parser'!$B$1, Data!N345,"")</f>
        <v/>
      </c>
      <c r="AD353" s="139" t="str">
        <f>IF(Data!$B345='Team Parser'!$B$1,(AB353+(COUNTIF(AC353,"TRAVERSE")*15)+(COUNTIF(AC353,"HIGH")*10)+(COUNTIF(AC353,"MIDDLE")*6)+(COUNTIF(AC353,"LOW")*4)),"")</f>
        <v/>
      </c>
    </row>
    <row r="354">
      <c r="A354" s="141" t="s">
        <v>507</v>
      </c>
      <c r="B354" s="134" t="str">
        <f>IFERROR(__xludf.DUMMYFUNCTION("IFERROR((FILTER(Data!H:H,Data!D:D=A354,Data!B:B=$B$1)),"""")"),"")</f>
        <v/>
      </c>
      <c r="C354" s="134" t="str">
        <f>IFERROR(__xludf.DUMMYFUNCTION("IFERROR((FILTER(Data!G:G,Data!D:D=A354,Data!B:B=$B$1)),"""")"),"")</f>
        <v/>
      </c>
      <c r="D354" s="134" t="str">
        <f>IFERROR(__xludf.DUMMYFUNCTION("IFERROR((FILTER(Data!J:J,Data!D:D=A354,Data!B:B=$B$1)),"""")"),"")</f>
        <v/>
      </c>
      <c r="E354" s="134" t="str">
        <f>IFERROR(__xludf.DUMMYFUNCTION("IFERROR((FILTER(Data!L:L,Data!D:D=A354,Data!B:B=$B$1)),"""")"),"")</f>
        <v/>
      </c>
      <c r="F354" s="134" t="str">
        <f>IFERROR(__xludf.DUMMYFUNCTION("IFERROR((FILTER(Data!K:K,Data!D:D=A354,Data!B:B=$B$1)),"""")"),"")</f>
        <v/>
      </c>
      <c r="G354" s="134" t="str">
        <f>IFERROR(__xludf.DUMMYFUNCTION("IFERROR((FILTER(Data!M:M,Data!D:D=A354,Data!B:B=$B$1)),"""")"),"")</f>
        <v/>
      </c>
      <c r="H354" s="134" t="str">
        <f>IFERROR(__xludf.DUMMYFUNCTION("IFERROR((FILTER(Data!G:G,Data!D:D=A354,Data!B:B=$B$1)*4)+(FILTER(Data!H:H,Data!D:D=A354,Data!B:B=$B$1)*2),"""")"),"")</f>
        <v/>
      </c>
      <c r="I354" s="15" t="str">
        <f>IFERROR(__xludf.DUMMYFUNCTION("IFERROR((FILTER(Data!K:K,Data!D:D=A354,Data!B:B=$B$1)*2)+(FILTER(Data!L:L,Data!D:D=A354,Data!B:B=$B$1)),"""")"),"")</f>
        <v/>
      </c>
      <c r="J354" s="134" t="str">
        <f>IFERROR(__xludf.DUMMYFUNCTION("IFERROR((FILTER(Data!N:N,Data!D:D=A354,Data!B:B=$B$1)),"""")"),"")</f>
        <v/>
      </c>
      <c r="K354" s="135" t="str">
        <f>IFERROR(__xludf.DUMMYFUNCTION("IFERROR((FILTER(Data!H:H,Data!D:D=A354,Data!B:B=$B$1)*2)+(FILTER(Data!L:L,Data!D:D=A354,Data!B:B=$B$1))+(FILTER(Data!G:G,Data!D:D=A354,Data!B:B=$B$1)*4)+(FILTER(Data!K:K,Data!D:D=A354,Data!B:B=$B$1)*2)+(((COUNTIF(FILTER(Data!N:N,Data!D:D=A354,Data!B:B=$B$"&amp;"1),""TRAVERSE"")*15)+(COUNTIF(FILTER(Data!N:N,Data!D:D=A354,Data!B:B=$B$1),""HIGH"")*10)+(COUNTIF(FILTER(Data!N:N,Data!D:D=A354,Data!B:B=$B$1),""MIDDLE"")*6)+(COUNTIF(FILTER(Data!N:N,Data!D:D=A354,Data!B:B=$B$1),""LOW"")*4))),"""")"),"")</f>
        <v/>
      </c>
      <c r="L354" s="136" t="str">
        <f>IFERROR(__xludf.DUMMYFUNCTION("IFERROR((FILTER(Data!P:P,Data!D:D=A354,Data!B:B=$B$1)),"""")"),"")</f>
        <v/>
      </c>
      <c r="M354" s="137" t="str">
        <f>IFERROR(__xludf.DUMMYFUNCTION("IFERROR((FILTER(Data!A:A,Data!D:D=A354,Data!B:B=$B$1)),"""")"),"")</f>
        <v/>
      </c>
      <c r="T354" s="52">
        <f>IFERROR(__xludf.DUMMYFUNCTION("((COUNTIF(FILTER(Data!N:N,Data!D:D=A354,Data!B:B=$B$1),""TRAVERSE"")*15)+(COUNTIF(FILTER(Data!N:N,Data!D:D=A354,Data!B:B=B$1),""HIGH"")*10)+(COUNTIF(FILTER(Data!N:N,Data!D:D=A354,Data!B:B=$B$1),""MIDDLE"")*6)+(COUNTIF(FILTER(Data!N:N,Data!D:D=A354,Data!B:"&amp;"B=$B$1),""LOW"")*4))"),0.0)</f>
        <v>0</v>
      </c>
      <c r="V354" s="138" t="str">
        <f>IF(Data!B346='Team Parser'!$B$1, Data!D346,"")</f>
        <v/>
      </c>
      <c r="W354" s="134" t="str">
        <f>IF(Data!$B346='Team Parser'!$B$1, Data!H346,"")</f>
        <v/>
      </c>
      <c r="X354" s="134" t="str">
        <f>IF(Data!$B346='Team Parser'!$B$1, Data!G346,"")</f>
        <v/>
      </c>
      <c r="Y354" s="134" t="str">
        <f>IF(Data!$B346='Team Parser'!$B$1, Data!L346,"")</f>
        <v/>
      </c>
      <c r="Z354" s="134" t="str">
        <f>IF(Data!$B346='Team Parser'!$B$1, Data!K346,"")</f>
        <v/>
      </c>
      <c r="AA354" s="134" t="str">
        <f>IF(Data!$B346='Team Parser'!$B$1, Data!M346,"")</f>
        <v/>
      </c>
      <c r="AB354" s="134" t="str">
        <f>IF(Data!$B346='Team Parser'!$B$1,((Z354*2)+(Y354)+(X354*4)+(W354*2)),"")</f>
        <v/>
      </c>
      <c r="AC354" s="134" t="str">
        <f>IF(Data!$B346='Team Parser'!$B$1, Data!N346,"")</f>
        <v/>
      </c>
      <c r="AD354" s="139" t="str">
        <f>IF(Data!$B346='Team Parser'!$B$1,(AB354+(COUNTIF(AC354,"TRAVERSE")*15)+(COUNTIF(AC354,"HIGH")*10)+(COUNTIF(AC354,"MIDDLE")*6)+(COUNTIF(AC354,"LOW")*4)),"")</f>
        <v/>
      </c>
    </row>
    <row r="355">
      <c r="A355" s="141" t="s">
        <v>507</v>
      </c>
      <c r="B355" s="134" t="str">
        <f>IFERROR(__xludf.DUMMYFUNCTION("IFERROR((FILTER(Data!H:H,Data!D:D=A355,Data!B:B=$B$1)),"""")"),"")</f>
        <v/>
      </c>
      <c r="C355" s="134" t="str">
        <f>IFERROR(__xludf.DUMMYFUNCTION("IFERROR((FILTER(Data!G:G,Data!D:D=A355,Data!B:B=$B$1)),"""")"),"")</f>
        <v/>
      </c>
      <c r="D355" s="134" t="str">
        <f>IFERROR(__xludf.DUMMYFUNCTION("IFERROR((FILTER(Data!J:J,Data!D:D=A355,Data!B:B=$B$1)),"""")"),"")</f>
        <v/>
      </c>
      <c r="E355" s="134" t="str">
        <f>IFERROR(__xludf.DUMMYFUNCTION("IFERROR((FILTER(Data!L:L,Data!D:D=A355,Data!B:B=$B$1)),"""")"),"")</f>
        <v/>
      </c>
      <c r="F355" s="134" t="str">
        <f>IFERROR(__xludf.DUMMYFUNCTION("IFERROR((FILTER(Data!K:K,Data!D:D=A355,Data!B:B=$B$1)),"""")"),"")</f>
        <v/>
      </c>
      <c r="G355" s="134" t="str">
        <f>IFERROR(__xludf.DUMMYFUNCTION("IFERROR((FILTER(Data!M:M,Data!D:D=A355,Data!B:B=$B$1)),"""")"),"")</f>
        <v/>
      </c>
      <c r="H355" s="134" t="str">
        <f>IFERROR(__xludf.DUMMYFUNCTION("IFERROR((FILTER(Data!G:G,Data!D:D=A355,Data!B:B=$B$1)*4)+(FILTER(Data!H:H,Data!D:D=A355,Data!B:B=$B$1)*2),"""")"),"")</f>
        <v/>
      </c>
      <c r="I355" s="15" t="str">
        <f>IFERROR(__xludf.DUMMYFUNCTION("IFERROR((FILTER(Data!K:K,Data!D:D=A355,Data!B:B=$B$1)*2)+(FILTER(Data!L:L,Data!D:D=A355,Data!B:B=$B$1)),"""")"),"")</f>
        <v/>
      </c>
      <c r="J355" s="134" t="str">
        <f>IFERROR(__xludf.DUMMYFUNCTION("IFERROR((FILTER(Data!N:N,Data!D:D=A355,Data!B:B=$B$1)),"""")"),"")</f>
        <v/>
      </c>
      <c r="K355" s="135" t="str">
        <f>IFERROR(__xludf.DUMMYFUNCTION("IFERROR((FILTER(Data!H:H,Data!D:D=A355,Data!B:B=$B$1)*2)+(FILTER(Data!L:L,Data!D:D=A355,Data!B:B=$B$1))+(FILTER(Data!G:G,Data!D:D=A355,Data!B:B=$B$1)*4)+(FILTER(Data!K:K,Data!D:D=A355,Data!B:B=$B$1)*2)+(((COUNTIF(FILTER(Data!N:N,Data!D:D=A355,Data!B:B=$B$"&amp;"1),""TRAVERSE"")*15)+(COUNTIF(FILTER(Data!N:N,Data!D:D=A355,Data!B:B=$B$1),""HIGH"")*10)+(COUNTIF(FILTER(Data!N:N,Data!D:D=A355,Data!B:B=$B$1),""MIDDLE"")*6)+(COUNTIF(FILTER(Data!N:N,Data!D:D=A355,Data!B:B=$B$1),""LOW"")*4))),"""")"),"")</f>
        <v/>
      </c>
      <c r="L355" s="136" t="str">
        <f>IFERROR(__xludf.DUMMYFUNCTION("IFERROR((FILTER(Data!P:P,Data!D:D=A355,Data!B:B=$B$1)),"""")"),"")</f>
        <v/>
      </c>
      <c r="M355" s="137" t="str">
        <f>IFERROR(__xludf.DUMMYFUNCTION("IFERROR((FILTER(Data!A:A,Data!D:D=A355,Data!B:B=$B$1)),"""")"),"")</f>
        <v/>
      </c>
      <c r="T355" s="52">
        <f>IFERROR(__xludf.DUMMYFUNCTION("((COUNTIF(FILTER(Data!N:N,Data!D:D=A355,Data!B:B=$B$1),""TRAVERSE"")*15)+(COUNTIF(FILTER(Data!N:N,Data!D:D=A355,Data!B:B=B$1),""HIGH"")*10)+(COUNTIF(FILTER(Data!N:N,Data!D:D=A355,Data!B:B=$B$1),""MIDDLE"")*6)+(COUNTIF(FILTER(Data!N:N,Data!D:D=A355,Data!B:"&amp;"B=$B$1),""LOW"")*4))"),0.0)</f>
        <v>0</v>
      </c>
      <c r="V355" s="138" t="str">
        <f>IF(Data!B347='Team Parser'!$B$1, Data!D347,"")</f>
        <v/>
      </c>
      <c r="W355" s="134" t="str">
        <f>IF(Data!$B347='Team Parser'!$B$1, Data!H347,"")</f>
        <v/>
      </c>
      <c r="X355" s="134" t="str">
        <f>IF(Data!$B347='Team Parser'!$B$1, Data!G347,"")</f>
        <v/>
      </c>
      <c r="Y355" s="134" t="str">
        <f>IF(Data!$B347='Team Parser'!$B$1, Data!L347,"")</f>
        <v/>
      </c>
      <c r="Z355" s="134" t="str">
        <f>IF(Data!$B347='Team Parser'!$B$1, Data!K347,"")</f>
        <v/>
      </c>
      <c r="AA355" s="134" t="str">
        <f>IF(Data!$B347='Team Parser'!$B$1, Data!M347,"")</f>
        <v/>
      </c>
      <c r="AB355" s="134" t="str">
        <f>IF(Data!$B347='Team Parser'!$B$1,((Z355*2)+(Y355)+(X355*4)+(W355*2)),"")</f>
        <v/>
      </c>
      <c r="AC355" s="134" t="str">
        <f>IF(Data!$B347='Team Parser'!$B$1, Data!N347,"")</f>
        <v/>
      </c>
      <c r="AD355" s="139" t="str">
        <f>IF(Data!$B347='Team Parser'!$B$1,(AB355+(COUNTIF(AC355,"TRAVERSE")*15)+(COUNTIF(AC355,"HIGH")*10)+(COUNTIF(AC355,"MIDDLE")*6)+(COUNTIF(AC355,"LOW")*4)),"")</f>
        <v/>
      </c>
    </row>
    <row r="356">
      <c r="A356" s="141" t="s">
        <v>507</v>
      </c>
      <c r="B356" s="134" t="str">
        <f>IFERROR(__xludf.DUMMYFUNCTION("IFERROR((FILTER(Data!H:H,Data!D:D=A356,Data!B:B=$B$1)),"""")"),"")</f>
        <v/>
      </c>
      <c r="C356" s="134" t="str">
        <f>IFERROR(__xludf.DUMMYFUNCTION("IFERROR((FILTER(Data!G:G,Data!D:D=A356,Data!B:B=$B$1)),"""")"),"")</f>
        <v/>
      </c>
      <c r="D356" s="134" t="str">
        <f>IFERROR(__xludf.DUMMYFUNCTION("IFERROR((FILTER(Data!J:J,Data!D:D=A356,Data!B:B=$B$1)),"""")"),"")</f>
        <v/>
      </c>
      <c r="E356" s="134" t="str">
        <f>IFERROR(__xludf.DUMMYFUNCTION("IFERROR((FILTER(Data!L:L,Data!D:D=A356,Data!B:B=$B$1)),"""")"),"")</f>
        <v/>
      </c>
      <c r="F356" s="134" t="str">
        <f>IFERROR(__xludf.DUMMYFUNCTION("IFERROR((FILTER(Data!K:K,Data!D:D=A356,Data!B:B=$B$1)),"""")"),"")</f>
        <v/>
      </c>
      <c r="G356" s="134" t="str">
        <f>IFERROR(__xludf.DUMMYFUNCTION("IFERROR((FILTER(Data!M:M,Data!D:D=A356,Data!B:B=$B$1)),"""")"),"")</f>
        <v/>
      </c>
      <c r="H356" s="134" t="str">
        <f>IFERROR(__xludf.DUMMYFUNCTION("IFERROR((FILTER(Data!G:G,Data!D:D=A356,Data!B:B=$B$1)*4)+(FILTER(Data!H:H,Data!D:D=A356,Data!B:B=$B$1)*2),"""")"),"")</f>
        <v/>
      </c>
      <c r="I356" s="15" t="str">
        <f>IFERROR(__xludf.DUMMYFUNCTION("IFERROR((FILTER(Data!K:K,Data!D:D=A356,Data!B:B=$B$1)*2)+(FILTER(Data!L:L,Data!D:D=A356,Data!B:B=$B$1)),"""")"),"")</f>
        <v/>
      </c>
      <c r="J356" s="134" t="str">
        <f>IFERROR(__xludf.DUMMYFUNCTION("IFERROR((FILTER(Data!N:N,Data!D:D=A356,Data!B:B=$B$1)),"""")"),"")</f>
        <v/>
      </c>
      <c r="K356" s="135" t="str">
        <f>IFERROR(__xludf.DUMMYFUNCTION("IFERROR((FILTER(Data!H:H,Data!D:D=A356,Data!B:B=$B$1)*2)+(FILTER(Data!L:L,Data!D:D=A356,Data!B:B=$B$1))+(FILTER(Data!G:G,Data!D:D=A356,Data!B:B=$B$1)*4)+(FILTER(Data!K:K,Data!D:D=A356,Data!B:B=$B$1)*2)+(((COUNTIF(FILTER(Data!N:N,Data!D:D=A356,Data!B:B=$B$"&amp;"1),""TRAVERSE"")*15)+(COUNTIF(FILTER(Data!N:N,Data!D:D=A356,Data!B:B=$B$1),""HIGH"")*10)+(COUNTIF(FILTER(Data!N:N,Data!D:D=A356,Data!B:B=$B$1),""MIDDLE"")*6)+(COUNTIF(FILTER(Data!N:N,Data!D:D=A356,Data!B:B=$B$1),""LOW"")*4))),"""")"),"")</f>
        <v/>
      </c>
      <c r="L356" s="136" t="str">
        <f>IFERROR(__xludf.DUMMYFUNCTION("IFERROR((FILTER(Data!P:P,Data!D:D=A356,Data!B:B=$B$1)),"""")"),"")</f>
        <v/>
      </c>
      <c r="M356" s="137" t="str">
        <f>IFERROR(__xludf.DUMMYFUNCTION("IFERROR((FILTER(Data!A:A,Data!D:D=A356,Data!B:B=$B$1)),"""")"),"")</f>
        <v/>
      </c>
      <c r="T356" s="52">
        <f>IFERROR(__xludf.DUMMYFUNCTION("((COUNTIF(FILTER(Data!N:N,Data!D:D=A356,Data!B:B=$B$1),""TRAVERSE"")*15)+(COUNTIF(FILTER(Data!N:N,Data!D:D=A356,Data!B:B=B$1),""HIGH"")*10)+(COUNTIF(FILTER(Data!N:N,Data!D:D=A356,Data!B:B=$B$1),""MIDDLE"")*6)+(COUNTIF(FILTER(Data!N:N,Data!D:D=A356,Data!B:"&amp;"B=$B$1),""LOW"")*4))"),0.0)</f>
        <v>0</v>
      </c>
      <c r="V356" s="138" t="str">
        <f>IF(Data!B348='Team Parser'!$B$1, Data!D348,"")</f>
        <v/>
      </c>
      <c r="W356" s="134" t="str">
        <f>IF(Data!$B348='Team Parser'!$B$1, Data!H348,"")</f>
        <v/>
      </c>
      <c r="X356" s="134" t="str">
        <f>IF(Data!$B348='Team Parser'!$B$1, Data!G348,"")</f>
        <v/>
      </c>
      <c r="Y356" s="134" t="str">
        <f>IF(Data!$B348='Team Parser'!$B$1, Data!L348,"")</f>
        <v/>
      </c>
      <c r="Z356" s="134" t="str">
        <f>IF(Data!$B348='Team Parser'!$B$1, Data!K348,"")</f>
        <v/>
      </c>
      <c r="AA356" s="134" t="str">
        <f>IF(Data!$B348='Team Parser'!$B$1, Data!M348,"")</f>
        <v/>
      </c>
      <c r="AB356" s="134" t="str">
        <f>IF(Data!$B348='Team Parser'!$B$1,((Z356*2)+(Y356)+(X356*4)+(W356*2)),"")</f>
        <v/>
      </c>
      <c r="AC356" s="134" t="str">
        <f>IF(Data!$B348='Team Parser'!$B$1, Data!N348,"")</f>
        <v/>
      </c>
      <c r="AD356" s="139" t="str">
        <f>IF(Data!$B348='Team Parser'!$B$1,(AB356+(COUNTIF(AC356,"TRAVERSE")*15)+(COUNTIF(AC356,"HIGH")*10)+(COUNTIF(AC356,"MIDDLE")*6)+(COUNTIF(AC356,"LOW")*4)),"")</f>
        <v/>
      </c>
    </row>
    <row r="357">
      <c r="A357" s="141" t="s">
        <v>507</v>
      </c>
      <c r="B357" s="134" t="str">
        <f>IFERROR(__xludf.DUMMYFUNCTION("IFERROR((FILTER(Data!H:H,Data!D:D=A357,Data!B:B=$B$1)),"""")"),"")</f>
        <v/>
      </c>
      <c r="C357" s="134" t="str">
        <f>IFERROR(__xludf.DUMMYFUNCTION("IFERROR((FILTER(Data!G:G,Data!D:D=A357,Data!B:B=$B$1)),"""")"),"")</f>
        <v/>
      </c>
      <c r="D357" s="134" t="str">
        <f>IFERROR(__xludf.DUMMYFUNCTION("IFERROR((FILTER(Data!J:J,Data!D:D=A357,Data!B:B=$B$1)),"""")"),"")</f>
        <v/>
      </c>
      <c r="E357" s="134" t="str">
        <f>IFERROR(__xludf.DUMMYFUNCTION("IFERROR((FILTER(Data!L:L,Data!D:D=A357,Data!B:B=$B$1)),"""")"),"")</f>
        <v/>
      </c>
      <c r="F357" s="134" t="str">
        <f>IFERROR(__xludf.DUMMYFUNCTION("IFERROR((FILTER(Data!K:K,Data!D:D=A357,Data!B:B=$B$1)),"""")"),"")</f>
        <v/>
      </c>
      <c r="G357" s="134" t="str">
        <f>IFERROR(__xludf.DUMMYFUNCTION("IFERROR((FILTER(Data!M:M,Data!D:D=A357,Data!B:B=$B$1)),"""")"),"")</f>
        <v/>
      </c>
      <c r="H357" s="134" t="str">
        <f>IFERROR(__xludf.DUMMYFUNCTION("IFERROR((FILTER(Data!G:G,Data!D:D=A357,Data!B:B=$B$1)*4)+(FILTER(Data!H:H,Data!D:D=A357,Data!B:B=$B$1)*2),"""")"),"")</f>
        <v/>
      </c>
      <c r="I357" s="15" t="str">
        <f>IFERROR(__xludf.DUMMYFUNCTION("IFERROR((FILTER(Data!K:K,Data!D:D=A357,Data!B:B=$B$1)*2)+(FILTER(Data!L:L,Data!D:D=A357,Data!B:B=$B$1)),"""")"),"")</f>
        <v/>
      </c>
      <c r="J357" s="134" t="str">
        <f>IFERROR(__xludf.DUMMYFUNCTION("IFERROR((FILTER(Data!N:N,Data!D:D=A357,Data!B:B=$B$1)),"""")"),"")</f>
        <v/>
      </c>
      <c r="K357" s="135" t="str">
        <f>IFERROR(__xludf.DUMMYFUNCTION("IFERROR((FILTER(Data!H:H,Data!D:D=A357,Data!B:B=$B$1)*2)+(FILTER(Data!L:L,Data!D:D=A357,Data!B:B=$B$1))+(FILTER(Data!G:G,Data!D:D=A357,Data!B:B=$B$1)*4)+(FILTER(Data!K:K,Data!D:D=A357,Data!B:B=$B$1)*2)+(((COUNTIF(FILTER(Data!N:N,Data!D:D=A357,Data!B:B=$B$"&amp;"1),""TRAVERSE"")*15)+(COUNTIF(FILTER(Data!N:N,Data!D:D=A357,Data!B:B=$B$1),""HIGH"")*10)+(COUNTIF(FILTER(Data!N:N,Data!D:D=A357,Data!B:B=$B$1),""MIDDLE"")*6)+(COUNTIF(FILTER(Data!N:N,Data!D:D=A357,Data!B:B=$B$1),""LOW"")*4))),"""")"),"")</f>
        <v/>
      </c>
      <c r="L357" s="136" t="str">
        <f>IFERROR(__xludf.DUMMYFUNCTION("IFERROR((FILTER(Data!P:P,Data!D:D=A357,Data!B:B=$B$1)),"""")"),"")</f>
        <v/>
      </c>
      <c r="M357" s="137" t="str">
        <f>IFERROR(__xludf.DUMMYFUNCTION("IFERROR((FILTER(Data!A:A,Data!D:D=A357,Data!B:B=$B$1)),"""")"),"")</f>
        <v/>
      </c>
      <c r="T357" s="52">
        <f>IFERROR(__xludf.DUMMYFUNCTION("((COUNTIF(FILTER(Data!N:N,Data!D:D=A357,Data!B:B=$B$1),""TRAVERSE"")*15)+(COUNTIF(FILTER(Data!N:N,Data!D:D=A357,Data!B:B=B$1),""HIGH"")*10)+(COUNTIF(FILTER(Data!N:N,Data!D:D=A357,Data!B:B=$B$1),""MIDDLE"")*6)+(COUNTIF(FILTER(Data!N:N,Data!D:D=A357,Data!B:"&amp;"B=$B$1),""LOW"")*4))"),0.0)</f>
        <v>0</v>
      </c>
      <c r="V357" s="138" t="str">
        <f>IF(Data!B349='Team Parser'!$B$1, Data!D349,"")</f>
        <v/>
      </c>
      <c r="W357" s="134" t="str">
        <f>IF(Data!$B349='Team Parser'!$B$1, Data!H349,"")</f>
        <v/>
      </c>
      <c r="X357" s="134" t="str">
        <f>IF(Data!$B349='Team Parser'!$B$1, Data!G349,"")</f>
        <v/>
      </c>
      <c r="Y357" s="134" t="str">
        <f>IF(Data!$B349='Team Parser'!$B$1, Data!L349,"")</f>
        <v/>
      </c>
      <c r="Z357" s="134" t="str">
        <f>IF(Data!$B349='Team Parser'!$B$1, Data!K349,"")</f>
        <v/>
      </c>
      <c r="AA357" s="134" t="str">
        <f>IF(Data!$B349='Team Parser'!$B$1, Data!M349,"")</f>
        <v/>
      </c>
      <c r="AB357" s="134" t="str">
        <f>IF(Data!$B349='Team Parser'!$B$1,((Z357*2)+(Y357)+(X357*4)+(W357*2)),"")</f>
        <v/>
      </c>
      <c r="AC357" s="134" t="str">
        <f>IF(Data!$B349='Team Parser'!$B$1, Data!N349,"")</f>
        <v/>
      </c>
      <c r="AD357" s="139" t="str">
        <f>IF(Data!$B349='Team Parser'!$B$1,(AB357+(COUNTIF(AC357,"TRAVERSE")*15)+(COUNTIF(AC357,"HIGH")*10)+(COUNTIF(AC357,"MIDDLE")*6)+(COUNTIF(AC357,"LOW")*4)),"")</f>
        <v/>
      </c>
    </row>
    <row r="358">
      <c r="A358" s="141" t="s">
        <v>507</v>
      </c>
      <c r="B358" s="134" t="str">
        <f>IFERROR(__xludf.DUMMYFUNCTION("IFERROR((FILTER(Data!H:H,Data!D:D=A358,Data!B:B=$B$1)),"""")"),"")</f>
        <v/>
      </c>
      <c r="C358" s="134" t="str">
        <f>IFERROR(__xludf.DUMMYFUNCTION("IFERROR((FILTER(Data!G:G,Data!D:D=A358,Data!B:B=$B$1)),"""")"),"")</f>
        <v/>
      </c>
      <c r="D358" s="134" t="str">
        <f>IFERROR(__xludf.DUMMYFUNCTION("IFERROR((FILTER(Data!J:J,Data!D:D=A358,Data!B:B=$B$1)),"""")"),"")</f>
        <v/>
      </c>
      <c r="E358" s="134" t="str">
        <f>IFERROR(__xludf.DUMMYFUNCTION("IFERROR((FILTER(Data!L:L,Data!D:D=A358,Data!B:B=$B$1)),"""")"),"")</f>
        <v/>
      </c>
      <c r="F358" s="134" t="str">
        <f>IFERROR(__xludf.DUMMYFUNCTION("IFERROR((FILTER(Data!K:K,Data!D:D=A358,Data!B:B=$B$1)),"""")"),"")</f>
        <v/>
      </c>
      <c r="G358" s="134" t="str">
        <f>IFERROR(__xludf.DUMMYFUNCTION("IFERROR((FILTER(Data!M:M,Data!D:D=A358,Data!B:B=$B$1)),"""")"),"")</f>
        <v/>
      </c>
      <c r="H358" s="134" t="str">
        <f>IFERROR(__xludf.DUMMYFUNCTION("IFERROR((FILTER(Data!G:G,Data!D:D=A358,Data!B:B=$B$1)*4)+(FILTER(Data!H:H,Data!D:D=A358,Data!B:B=$B$1)*2),"""")"),"")</f>
        <v/>
      </c>
      <c r="I358" s="15" t="str">
        <f>IFERROR(__xludf.DUMMYFUNCTION("IFERROR((FILTER(Data!K:K,Data!D:D=A358,Data!B:B=$B$1)*2)+(FILTER(Data!L:L,Data!D:D=A358,Data!B:B=$B$1)),"""")"),"")</f>
        <v/>
      </c>
      <c r="J358" s="134" t="str">
        <f>IFERROR(__xludf.DUMMYFUNCTION("IFERROR((FILTER(Data!N:N,Data!D:D=A358,Data!B:B=$B$1)),"""")"),"")</f>
        <v/>
      </c>
      <c r="K358" s="135" t="str">
        <f>IFERROR(__xludf.DUMMYFUNCTION("IFERROR((FILTER(Data!H:H,Data!D:D=A358,Data!B:B=$B$1)*2)+(FILTER(Data!L:L,Data!D:D=A358,Data!B:B=$B$1))+(FILTER(Data!G:G,Data!D:D=A358,Data!B:B=$B$1)*4)+(FILTER(Data!K:K,Data!D:D=A358,Data!B:B=$B$1)*2)+(((COUNTIF(FILTER(Data!N:N,Data!D:D=A358,Data!B:B=$B$"&amp;"1),""TRAVERSE"")*15)+(COUNTIF(FILTER(Data!N:N,Data!D:D=A358,Data!B:B=$B$1),""HIGH"")*10)+(COUNTIF(FILTER(Data!N:N,Data!D:D=A358,Data!B:B=$B$1),""MIDDLE"")*6)+(COUNTIF(FILTER(Data!N:N,Data!D:D=A358,Data!B:B=$B$1),""LOW"")*4))),"""")"),"")</f>
        <v/>
      </c>
      <c r="L358" s="136" t="str">
        <f>IFERROR(__xludf.DUMMYFUNCTION("IFERROR((FILTER(Data!P:P,Data!D:D=A358,Data!B:B=$B$1)),"""")"),"")</f>
        <v/>
      </c>
      <c r="M358" s="137" t="str">
        <f>IFERROR(__xludf.DUMMYFUNCTION("IFERROR((FILTER(Data!A:A,Data!D:D=A358,Data!B:B=$B$1)),"""")"),"")</f>
        <v/>
      </c>
      <c r="T358" s="52">
        <f>IFERROR(__xludf.DUMMYFUNCTION("((COUNTIF(FILTER(Data!N:N,Data!D:D=A358,Data!B:B=$B$1),""TRAVERSE"")*15)+(COUNTIF(FILTER(Data!N:N,Data!D:D=A358,Data!B:B=B$1),""HIGH"")*10)+(COUNTIF(FILTER(Data!N:N,Data!D:D=A358,Data!B:B=$B$1),""MIDDLE"")*6)+(COUNTIF(FILTER(Data!N:N,Data!D:D=A358,Data!B:"&amp;"B=$B$1),""LOW"")*4))"),0.0)</f>
        <v>0</v>
      </c>
      <c r="V358" s="138" t="str">
        <f>IF(Data!B350='Team Parser'!$B$1, Data!D350,"")</f>
        <v/>
      </c>
      <c r="W358" s="134" t="str">
        <f>IF(Data!$B350='Team Parser'!$B$1, Data!H350,"")</f>
        <v/>
      </c>
      <c r="X358" s="134" t="str">
        <f>IF(Data!$B350='Team Parser'!$B$1, Data!G350,"")</f>
        <v/>
      </c>
      <c r="Y358" s="134" t="str">
        <f>IF(Data!$B350='Team Parser'!$B$1, Data!L350,"")</f>
        <v/>
      </c>
      <c r="Z358" s="134" t="str">
        <f>IF(Data!$B350='Team Parser'!$B$1, Data!K350,"")</f>
        <v/>
      </c>
      <c r="AA358" s="134" t="str">
        <f>IF(Data!$B350='Team Parser'!$B$1, Data!M350,"")</f>
        <v/>
      </c>
      <c r="AB358" s="134" t="str">
        <f>IF(Data!$B350='Team Parser'!$B$1,((Z358*2)+(Y358)+(X358*4)+(W358*2)),"")</f>
        <v/>
      </c>
      <c r="AC358" s="134" t="str">
        <f>IF(Data!$B350='Team Parser'!$B$1, Data!N350,"")</f>
        <v/>
      </c>
      <c r="AD358" s="139" t="str">
        <f>IF(Data!$B350='Team Parser'!$B$1,(AB358+(COUNTIF(AC358,"TRAVERSE")*15)+(COUNTIF(AC358,"HIGH")*10)+(COUNTIF(AC358,"MIDDLE")*6)+(COUNTIF(AC358,"LOW")*4)),"")</f>
        <v/>
      </c>
    </row>
    <row r="359">
      <c r="A359" s="141" t="s">
        <v>507</v>
      </c>
      <c r="B359" s="134" t="str">
        <f>IFERROR(__xludf.DUMMYFUNCTION("IFERROR((FILTER(Data!H:H,Data!D:D=A359,Data!B:B=$B$1)),"""")"),"")</f>
        <v/>
      </c>
      <c r="C359" s="134" t="str">
        <f>IFERROR(__xludf.DUMMYFUNCTION("IFERROR((FILTER(Data!G:G,Data!D:D=A359,Data!B:B=$B$1)),"""")"),"")</f>
        <v/>
      </c>
      <c r="D359" s="134" t="str">
        <f>IFERROR(__xludf.DUMMYFUNCTION("IFERROR((FILTER(Data!J:J,Data!D:D=A359,Data!B:B=$B$1)),"""")"),"")</f>
        <v/>
      </c>
      <c r="E359" s="134" t="str">
        <f>IFERROR(__xludf.DUMMYFUNCTION("IFERROR((FILTER(Data!L:L,Data!D:D=A359,Data!B:B=$B$1)),"""")"),"")</f>
        <v/>
      </c>
      <c r="F359" s="134" t="str">
        <f>IFERROR(__xludf.DUMMYFUNCTION("IFERROR((FILTER(Data!K:K,Data!D:D=A359,Data!B:B=$B$1)),"""")"),"")</f>
        <v/>
      </c>
      <c r="G359" s="134" t="str">
        <f>IFERROR(__xludf.DUMMYFUNCTION("IFERROR((FILTER(Data!M:M,Data!D:D=A359,Data!B:B=$B$1)),"""")"),"")</f>
        <v/>
      </c>
      <c r="H359" s="134" t="str">
        <f>IFERROR(__xludf.DUMMYFUNCTION("IFERROR((FILTER(Data!G:G,Data!D:D=A359,Data!B:B=$B$1)*4)+(FILTER(Data!H:H,Data!D:D=A359,Data!B:B=$B$1)*2),"""")"),"")</f>
        <v/>
      </c>
      <c r="I359" s="15" t="str">
        <f>IFERROR(__xludf.DUMMYFUNCTION("IFERROR((FILTER(Data!K:K,Data!D:D=A359,Data!B:B=$B$1)*2)+(FILTER(Data!L:L,Data!D:D=A359,Data!B:B=$B$1)),"""")"),"")</f>
        <v/>
      </c>
      <c r="J359" s="134" t="str">
        <f>IFERROR(__xludf.DUMMYFUNCTION("IFERROR((FILTER(Data!N:N,Data!D:D=A359,Data!B:B=$B$1)),"""")"),"")</f>
        <v/>
      </c>
      <c r="K359" s="135" t="str">
        <f>IFERROR(__xludf.DUMMYFUNCTION("IFERROR((FILTER(Data!H:H,Data!D:D=A359,Data!B:B=$B$1)*2)+(FILTER(Data!L:L,Data!D:D=A359,Data!B:B=$B$1))+(FILTER(Data!G:G,Data!D:D=A359,Data!B:B=$B$1)*4)+(FILTER(Data!K:K,Data!D:D=A359,Data!B:B=$B$1)*2)+(((COUNTIF(FILTER(Data!N:N,Data!D:D=A359,Data!B:B=$B$"&amp;"1),""TRAVERSE"")*15)+(COUNTIF(FILTER(Data!N:N,Data!D:D=A359,Data!B:B=$B$1),""HIGH"")*10)+(COUNTIF(FILTER(Data!N:N,Data!D:D=A359,Data!B:B=$B$1),""MIDDLE"")*6)+(COUNTIF(FILTER(Data!N:N,Data!D:D=A359,Data!B:B=$B$1),""LOW"")*4))),"""")"),"")</f>
        <v/>
      </c>
      <c r="L359" s="136" t="str">
        <f>IFERROR(__xludf.DUMMYFUNCTION("IFERROR((FILTER(Data!P:P,Data!D:D=A359,Data!B:B=$B$1)),"""")"),"")</f>
        <v/>
      </c>
      <c r="M359" s="137" t="str">
        <f>IFERROR(__xludf.DUMMYFUNCTION("IFERROR((FILTER(Data!A:A,Data!D:D=A359,Data!B:B=$B$1)),"""")"),"")</f>
        <v/>
      </c>
      <c r="T359" s="52">
        <f>IFERROR(__xludf.DUMMYFUNCTION("((COUNTIF(FILTER(Data!N:N,Data!D:D=A359,Data!B:B=$B$1),""TRAVERSE"")*15)+(COUNTIF(FILTER(Data!N:N,Data!D:D=A359,Data!B:B=B$1),""HIGH"")*10)+(COUNTIF(FILTER(Data!N:N,Data!D:D=A359,Data!B:B=$B$1),""MIDDLE"")*6)+(COUNTIF(FILTER(Data!N:N,Data!D:D=A359,Data!B:"&amp;"B=$B$1),""LOW"")*4))"),0.0)</f>
        <v>0</v>
      </c>
      <c r="V359" s="138" t="str">
        <f>IF(Data!B351='Team Parser'!$B$1, Data!D351,"")</f>
        <v/>
      </c>
      <c r="W359" s="134" t="str">
        <f>IF(Data!$B351='Team Parser'!$B$1, Data!H351,"")</f>
        <v/>
      </c>
      <c r="X359" s="134" t="str">
        <f>IF(Data!$B351='Team Parser'!$B$1, Data!G351,"")</f>
        <v/>
      </c>
      <c r="Y359" s="134" t="str">
        <f>IF(Data!$B351='Team Parser'!$B$1, Data!L351,"")</f>
        <v/>
      </c>
      <c r="Z359" s="134" t="str">
        <f>IF(Data!$B351='Team Parser'!$B$1, Data!K351,"")</f>
        <v/>
      </c>
      <c r="AA359" s="134" t="str">
        <f>IF(Data!$B351='Team Parser'!$B$1, Data!M351,"")</f>
        <v/>
      </c>
      <c r="AB359" s="134" t="str">
        <f>IF(Data!$B351='Team Parser'!$B$1,((Z359*2)+(Y359)+(X359*4)+(W359*2)),"")</f>
        <v/>
      </c>
      <c r="AC359" s="134" t="str">
        <f>IF(Data!$B351='Team Parser'!$B$1, Data!N351,"")</f>
        <v/>
      </c>
      <c r="AD359" s="139" t="str">
        <f>IF(Data!$B351='Team Parser'!$B$1,(AB359+(COUNTIF(AC359,"TRAVERSE")*15)+(COUNTIF(AC359,"HIGH")*10)+(COUNTIF(AC359,"MIDDLE")*6)+(COUNTIF(AC359,"LOW")*4)),"")</f>
        <v/>
      </c>
    </row>
    <row r="360">
      <c r="A360" s="141" t="s">
        <v>507</v>
      </c>
      <c r="B360" s="134" t="str">
        <f>IFERROR(__xludf.DUMMYFUNCTION("IFERROR((FILTER(Data!H:H,Data!D:D=A360,Data!B:B=$B$1)),"""")"),"")</f>
        <v/>
      </c>
      <c r="C360" s="134" t="str">
        <f>IFERROR(__xludf.DUMMYFUNCTION("IFERROR((FILTER(Data!G:G,Data!D:D=A360,Data!B:B=$B$1)),"""")"),"")</f>
        <v/>
      </c>
      <c r="D360" s="134" t="str">
        <f>IFERROR(__xludf.DUMMYFUNCTION("IFERROR((FILTER(Data!J:J,Data!D:D=A360,Data!B:B=$B$1)),"""")"),"")</f>
        <v/>
      </c>
      <c r="E360" s="134" t="str">
        <f>IFERROR(__xludf.DUMMYFUNCTION("IFERROR((FILTER(Data!L:L,Data!D:D=A360,Data!B:B=$B$1)),"""")"),"")</f>
        <v/>
      </c>
      <c r="F360" s="134" t="str">
        <f>IFERROR(__xludf.DUMMYFUNCTION("IFERROR((FILTER(Data!K:K,Data!D:D=A360,Data!B:B=$B$1)),"""")"),"")</f>
        <v/>
      </c>
      <c r="G360" s="134" t="str">
        <f>IFERROR(__xludf.DUMMYFUNCTION("IFERROR((FILTER(Data!M:M,Data!D:D=A360,Data!B:B=$B$1)),"""")"),"")</f>
        <v/>
      </c>
      <c r="H360" s="134" t="str">
        <f>IFERROR(__xludf.DUMMYFUNCTION("IFERROR((FILTER(Data!G:G,Data!D:D=A360,Data!B:B=$B$1)*4)+(FILTER(Data!H:H,Data!D:D=A360,Data!B:B=$B$1)*2),"""")"),"")</f>
        <v/>
      </c>
      <c r="I360" s="15" t="str">
        <f>IFERROR(__xludf.DUMMYFUNCTION("IFERROR((FILTER(Data!K:K,Data!D:D=A360,Data!B:B=$B$1)*2)+(FILTER(Data!L:L,Data!D:D=A360,Data!B:B=$B$1)),"""")"),"")</f>
        <v/>
      </c>
      <c r="J360" s="134" t="str">
        <f>IFERROR(__xludf.DUMMYFUNCTION("IFERROR((FILTER(Data!N:N,Data!D:D=A360,Data!B:B=$B$1)),"""")"),"")</f>
        <v/>
      </c>
      <c r="K360" s="135" t="str">
        <f>IFERROR(__xludf.DUMMYFUNCTION("IFERROR((FILTER(Data!H:H,Data!D:D=A360,Data!B:B=$B$1)*2)+(FILTER(Data!L:L,Data!D:D=A360,Data!B:B=$B$1))+(FILTER(Data!G:G,Data!D:D=A360,Data!B:B=$B$1)*4)+(FILTER(Data!K:K,Data!D:D=A360,Data!B:B=$B$1)*2)+(((COUNTIF(FILTER(Data!N:N,Data!D:D=A360,Data!B:B=$B$"&amp;"1),""TRAVERSE"")*15)+(COUNTIF(FILTER(Data!N:N,Data!D:D=A360,Data!B:B=$B$1),""HIGH"")*10)+(COUNTIF(FILTER(Data!N:N,Data!D:D=A360,Data!B:B=$B$1),""MIDDLE"")*6)+(COUNTIF(FILTER(Data!N:N,Data!D:D=A360,Data!B:B=$B$1),""LOW"")*4))),"""")"),"")</f>
        <v/>
      </c>
      <c r="L360" s="136" t="str">
        <f>IFERROR(__xludf.DUMMYFUNCTION("IFERROR((FILTER(Data!P:P,Data!D:D=A360,Data!B:B=$B$1)),"""")"),"")</f>
        <v/>
      </c>
      <c r="M360" s="137" t="str">
        <f>IFERROR(__xludf.DUMMYFUNCTION("IFERROR((FILTER(Data!A:A,Data!D:D=A360,Data!B:B=$B$1)),"""")"),"")</f>
        <v/>
      </c>
      <c r="T360" s="52">
        <f>IFERROR(__xludf.DUMMYFUNCTION("((COUNTIF(FILTER(Data!N:N,Data!D:D=A360,Data!B:B=$B$1),""TRAVERSE"")*15)+(COUNTIF(FILTER(Data!N:N,Data!D:D=A360,Data!B:B=B$1),""HIGH"")*10)+(COUNTIF(FILTER(Data!N:N,Data!D:D=A360,Data!B:B=$B$1),""MIDDLE"")*6)+(COUNTIF(FILTER(Data!N:N,Data!D:D=A360,Data!B:"&amp;"B=$B$1),""LOW"")*4))"),0.0)</f>
        <v>0</v>
      </c>
      <c r="V360" s="138" t="str">
        <f>IF(Data!B352='Team Parser'!$B$1, Data!D352,"")</f>
        <v/>
      </c>
      <c r="W360" s="134" t="str">
        <f>IF(Data!$B352='Team Parser'!$B$1, Data!H352,"")</f>
        <v/>
      </c>
      <c r="X360" s="134" t="str">
        <f>IF(Data!$B352='Team Parser'!$B$1, Data!G352,"")</f>
        <v/>
      </c>
      <c r="Y360" s="134" t="str">
        <f>IF(Data!$B352='Team Parser'!$B$1, Data!L352,"")</f>
        <v/>
      </c>
      <c r="Z360" s="134" t="str">
        <f>IF(Data!$B352='Team Parser'!$B$1, Data!K352,"")</f>
        <v/>
      </c>
      <c r="AA360" s="134" t="str">
        <f>IF(Data!$B352='Team Parser'!$B$1, Data!M352,"")</f>
        <v/>
      </c>
      <c r="AB360" s="134" t="str">
        <f>IF(Data!$B352='Team Parser'!$B$1,((Z360*2)+(Y360)+(X360*4)+(W360*2)),"")</f>
        <v/>
      </c>
      <c r="AC360" s="134" t="str">
        <f>IF(Data!$B352='Team Parser'!$B$1, Data!N352,"")</f>
        <v/>
      </c>
      <c r="AD360" s="139" t="str">
        <f>IF(Data!$B352='Team Parser'!$B$1,(AB360+(COUNTIF(AC360,"TRAVERSE")*15)+(COUNTIF(AC360,"HIGH")*10)+(COUNTIF(AC360,"MIDDLE")*6)+(COUNTIF(AC360,"LOW")*4)),"")</f>
        <v/>
      </c>
    </row>
    <row r="361">
      <c r="A361" s="141" t="s">
        <v>507</v>
      </c>
      <c r="B361" s="134" t="str">
        <f>IFERROR(__xludf.DUMMYFUNCTION("IFERROR((FILTER(Data!H:H,Data!D:D=A361,Data!B:B=$B$1)),"""")"),"")</f>
        <v/>
      </c>
      <c r="C361" s="134" t="str">
        <f>IFERROR(__xludf.DUMMYFUNCTION("IFERROR((FILTER(Data!G:G,Data!D:D=A361,Data!B:B=$B$1)),"""")"),"")</f>
        <v/>
      </c>
      <c r="D361" s="134" t="str">
        <f>IFERROR(__xludf.DUMMYFUNCTION("IFERROR((FILTER(Data!J:J,Data!D:D=A361,Data!B:B=$B$1)),"""")"),"")</f>
        <v/>
      </c>
      <c r="E361" s="134" t="str">
        <f>IFERROR(__xludf.DUMMYFUNCTION("IFERROR((FILTER(Data!L:L,Data!D:D=A361,Data!B:B=$B$1)),"""")"),"")</f>
        <v/>
      </c>
      <c r="F361" s="134" t="str">
        <f>IFERROR(__xludf.DUMMYFUNCTION("IFERROR((FILTER(Data!K:K,Data!D:D=A361,Data!B:B=$B$1)),"""")"),"")</f>
        <v/>
      </c>
      <c r="G361" s="134" t="str">
        <f>IFERROR(__xludf.DUMMYFUNCTION("IFERROR((FILTER(Data!M:M,Data!D:D=A361,Data!B:B=$B$1)),"""")"),"")</f>
        <v/>
      </c>
      <c r="H361" s="134" t="str">
        <f>IFERROR(__xludf.DUMMYFUNCTION("IFERROR((FILTER(Data!G:G,Data!D:D=A361,Data!B:B=$B$1)*4)+(FILTER(Data!H:H,Data!D:D=A361,Data!B:B=$B$1)*2),"""")"),"")</f>
        <v/>
      </c>
      <c r="I361" s="15" t="str">
        <f>IFERROR(__xludf.DUMMYFUNCTION("IFERROR((FILTER(Data!K:K,Data!D:D=A361,Data!B:B=$B$1)*2)+(FILTER(Data!L:L,Data!D:D=A361,Data!B:B=$B$1)),"""")"),"")</f>
        <v/>
      </c>
      <c r="J361" s="134" t="str">
        <f>IFERROR(__xludf.DUMMYFUNCTION("IFERROR((FILTER(Data!N:N,Data!D:D=A361,Data!B:B=$B$1)),"""")"),"")</f>
        <v/>
      </c>
      <c r="K361" s="135" t="str">
        <f>IFERROR(__xludf.DUMMYFUNCTION("IFERROR((FILTER(Data!H:H,Data!D:D=A361,Data!B:B=$B$1)*2)+(FILTER(Data!L:L,Data!D:D=A361,Data!B:B=$B$1))+(FILTER(Data!G:G,Data!D:D=A361,Data!B:B=$B$1)*4)+(FILTER(Data!K:K,Data!D:D=A361,Data!B:B=$B$1)*2)+(((COUNTIF(FILTER(Data!N:N,Data!D:D=A361,Data!B:B=$B$"&amp;"1),""TRAVERSE"")*15)+(COUNTIF(FILTER(Data!N:N,Data!D:D=A361,Data!B:B=$B$1),""HIGH"")*10)+(COUNTIF(FILTER(Data!N:N,Data!D:D=A361,Data!B:B=$B$1),""MIDDLE"")*6)+(COUNTIF(FILTER(Data!N:N,Data!D:D=A361,Data!B:B=$B$1),""LOW"")*4))),"""")"),"")</f>
        <v/>
      </c>
      <c r="L361" s="136" t="str">
        <f>IFERROR(__xludf.DUMMYFUNCTION("IFERROR((FILTER(Data!P:P,Data!D:D=A361,Data!B:B=$B$1)),"""")"),"")</f>
        <v/>
      </c>
      <c r="M361" s="137" t="str">
        <f>IFERROR(__xludf.DUMMYFUNCTION("IFERROR((FILTER(Data!A:A,Data!D:D=A361,Data!B:B=$B$1)),"""")"),"")</f>
        <v/>
      </c>
      <c r="T361" s="52">
        <f>IFERROR(__xludf.DUMMYFUNCTION("((COUNTIF(FILTER(Data!N:N,Data!D:D=A361,Data!B:B=$B$1),""TRAVERSE"")*15)+(COUNTIF(FILTER(Data!N:N,Data!D:D=A361,Data!B:B=B$1),""HIGH"")*10)+(COUNTIF(FILTER(Data!N:N,Data!D:D=A361,Data!B:B=$B$1),""MIDDLE"")*6)+(COUNTIF(FILTER(Data!N:N,Data!D:D=A361,Data!B:"&amp;"B=$B$1),""LOW"")*4))"),0.0)</f>
        <v>0</v>
      </c>
      <c r="V361" s="138" t="str">
        <f>IF(Data!B353='Team Parser'!$B$1, Data!D353,"")</f>
        <v/>
      </c>
      <c r="W361" s="134" t="str">
        <f>IF(Data!$B353='Team Parser'!$B$1, Data!H353,"")</f>
        <v/>
      </c>
      <c r="X361" s="134" t="str">
        <f>IF(Data!$B353='Team Parser'!$B$1, Data!G353,"")</f>
        <v/>
      </c>
      <c r="Y361" s="134" t="str">
        <f>IF(Data!$B353='Team Parser'!$B$1, Data!L353,"")</f>
        <v/>
      </c>
      <c r="Z361" s="134" t="str">
        <f>IF(Data!$B353='Team Parser'!$B$1, Data!K353,"")</f>
        <v/>
      </c>
      <c r="AA361" s="134" t="str">
        <f>IF(Data!$B353='Team Parser'!$B$1, Data!M353,"")</f>
        <v/>
      </c>
      <c r="AB361" s="134" t="str">
        <f>IF(Data!$B353='Team Parser'!$B$1,((Z361*2)+(Y361)+(X361*4)+(W361*2)),"")</f>
        <v/>
      </c>
      <c r="AC361" s="134" t="str">
        <f>IF(Data!$B353='Team Parser'!$B$1, Data!N353,"")</f>
        <v/>
      </c>
      <c r="AD361" s="139" t="str">
        <f>IF(Data!$B353='Team Parser'!$B$1,(AB361+(COUNTIF(AC361,"TRAVERSE")*15)+(COUNTIF(AC361,"HIGH")*10)+(COUNTIF(AC361,"MIDDLE")*6)+(COUNTIF(AC361,"LOW")*4)),"")</f>
        <v/>
      </c>
    </row>
    <row r="362">
      <c r="A362" s="141" t="s">
        <v>507</v>
      </c>
      <c r="B362" s="134" t="str">
        <f>IFERROR(__xludf.DUMMYFUNCTION("IFERROR((FILTER(Data!H:H,Data!D:D=A362,Data!B:B=$B$1)),"""")"),"")</f>
        <v/>
      </c>
      <c r="C362" s="134" t="str">
        <f>IFERROR(__xludf.DUMMYFUNCTION("IFERROR((FILTER(Data!G:G,Data!D:D=A362,Data!B:B=$B$1)),"""")"),"")</f>
        <v/>
      </c>
      <c r="D362" s="134" t="str">
        <f>IFERROR(__xludf.DUMMYFUNCTION("IFERROR((FILTER(Data!J:J,Data!D:D=A362,Data!B:B=$B$1)),"""")"),"")</f>
        <v/>
      </c>
      <c r="E362" s="134" t="str">
        <f>IFERROR(__xludf.DUMMYFUNCTION("IFERROR((FILTER(Data!L:L,Data!D:D=A362,Data!B:B=$B$1)),"""")"),"")</f>
        <v/>
      </c>
      <c r="F362" s="134" t="str">
        <f>IFERROR(__xludf.DUMMYFUNCTION("IFERROR((FILTER(Data!K:K,Data!D:D=A362,Data!B:B=$B$1)),"""")"),"")</f>
        <v/>
      </c>
      <c r="G362" s="134" t="str">
        <f>IFERROR(__xludf.DUMMYFUNCTION("IFERROR((FILTER(Data!M:M,Data!D:D=A362,Data!B:B=$B$1)),"""")"),"")</f>
        <v/>
      </c>
      <c r="H362" s="134" t="str">
        <f>IFERROR(__xludf.DUMMYFUNCTION("IFERROR((FILTER(Data!G:G,Data!D:D=A362,Data!B:B=$B$1)*4)+(FILTER(Data!H:H,Data!D:D=A362,Data!B:B=$B$1)*2),"""")"),"")</f>
        <v/>
      </c>
      <c r="I362" s="15" t="str">
        <f>IFERROR(__xludf.DUMMYFUNCTION("IFERROR((FILTER(Data!K:K,Data!D:D=A362,Data!B:B=$B$1)*2)+(FILTER(Data!L:L,Data!D:D=A362,Data!B:B=$B$1)),"""")"),"")</f>
        <v/>
      </c>
      <c r="J362" s="134" t="str">
        <f>IFERROR(__xludf.DUMMYFUNCTION("IFERROR((FILTER(Data!N:N,Data!D:D=A362,Data!B:B=$B$1)),"""")"),"")</f>
        <v/>
      </c>
      <c r="K362" s="135" t="str">
        <f>IFERROR(__xludf.DUMMYFUNCTION("IFERROR((FILTER(Data!H:H,Data!D:D=A362,Data!B:B=$B$1)*2)+(FILTER(Data!L:L,Data!D:D=A362,Data!B:B=$B$1))+(FILTER(Data!G:G,Data!D:D=A362,Data!B:B=$B$1)*4)+(FILTER(Data!K:K,Data!D:D=A362,Data!B:B=$B$1)*2)+(((COUNTIF(FILTER(Data!N:N,Data!D:D=A362,Data!B:B=$B$"&amp;"1),""TRAVERSE"")*15)+(COUNTIF(FILTER(Data!N:N,Data!D:D=A362,Data!B:B=$B$1),""HIGH"")*10)+(COUNTIF(FILTER(Data!N:N,Data!D:D=A362,Data!B:B=$B$1),""MIDDLE"")*6)+(COUNTIF(FILTER(Data!N:N,Data!D:D=A362,Data!B:B=$B$1),""LOW"")*4))),"""")"),"")</f>
        <v/>
      </c>
      <c r="L362" s="136" t="str">
        <f>IFERROR(__xludf.DUMMYFUNCTION("IFERROR((FILTER(Data!P:P,Data!D:D=A362,Data!B:B=$B$1)),"""")"),"")</f>
        <v/>
      </c>
      <c r="M362" s="137" t="str">
        <f>IFERROR(__xludf.DUMMYFUNCTION("IFERROR((FILTER(Data!A:A,Data!D:D=A362,Data!B:B=$B$1)),"""")"),"")</f>
        <v/>
      </c>
      <c r="T362" s="52">
        <f>IFERROR(__xludf.DUMMYFUNCTION("((COUNTIF(FILTER(Data!N:N,Data!D:D=A362,Data!B:B=$B$1),""TRAVERSE"")*15)+(COUNTIF(FILTER(Data!N:N,Data!D:D=A362,Data!B:B=B$1),""HIGH"")*10)+(COUNTIF(FILTER(Data!N:N,Data!D:D=A362,Data!B:B=$B$1),""MIDDLE"")*6)+(COUNTIF(FILTER(Data!N:N,Data!D:D=A362,Data!B:"&amp;"B=$B$1),""LOW"")*4))"),0.0)</f>
        <v>0</v>
      </c>
      <c r="V362" s="138" t="str">
        <f>IF(Data!B354='Team Parser'!$B$1, Data!D354,"")</f>
        <v/>
      </c>
      <c r="W362" s="134" t="str">
        <f>IF(Data!$B354='Team Parser'!$B$1, Data!H354,"")</f>
        <v/>
      </c>
      <c r="X362" s="134" t="str">
        <f>IF(Data!$B354='Team Parser'!$B$1, Data!G354,"")</f>
        <v/>
      </c>
      <c r="Y362" s="134" t="str">
        <f>IF(Data!$B354='Team Parser'!$B$1, Data!L354,"")</f>
        <v/>
      </c>
      <c r="Z362" s="134" t="str">
        <f>IF(Data!$B354='Team Parser'!$B$1, Data!K354,"")</f>
        <v/>
      </c>
      <c r="AA362" s="134" t="str">
        <f>IF(Data!$B354='Team Parser'!$B$1, Data!M354,"")</f>
        <v/>
      </c>
      <c r="AB362" s="134" t="str">
        <f>IF(Data!$B354='Team Parser'!$B$1,((Z362*2)+(Y362)+(X362*4)+(W362*2)),"")</f>
        <v/>
      </c>
      <c r="AC362" s="134" t="str">
        <f>IF(Data!$B354='Team Parser'!$B$1, Data!N354,"")</f>
        <v/>
      </c>
      <c r="AD362" s="139" t="str">
        <f>IF(Data!$B354='Team Parser'!$B$1,(AB362+(COUNTIF(AC362,"TRAVERSE")*15)+(COUNTIF(AC362,"HIGH")*10)+(COUNTIF(AC362,"MIDDLE")*6)+(COUNTIF(AC362,"LOW")*4)),"")</f>
        <v/>
      </c>
    </row>
    <row r="363">
      <c r="A363" s="141" t="s">
        <v>507</v>
      </c>
      <c r="B363" s="134" t="str">
        <f>IFERROR(__xludf.DUMMYFUNCTION("IFERROR((FILTER(Data!H:H,Data!D:D=A363,Data!B:B=$B$1)),"""")"),"")</f>
        <v/>
      </c>
      <c r="C363" s="134" t="str">
        <f>IFERROR(__xludf.DUMMYFUNCTION("IFERROR((FILTER(Data!G:G,Data!D:D=A363,Data!B:B=$B$1)),"""")"),"")</f>
        <v/>
      </c>
      <c r="D363" s="134" t="str">
        <f>IFERROR(__xludf.DUMMYFUNCTION("IFERROR((FILTER(Data!J:J,Data!D:D=A363,Data!B:B=$B$1)),"""")"),"")</f>
        <v/>
      </c>
      <c r="E363" s="134" t="str">
        <f>IFERROR(__xludf.DUMMYFUNCTION("IFERROR((FILTER(Data!L:L,Data!D:D=A363,Data!B:B=$B$1)),"""")"),"")</f>
        <v/>
      </c>
      <c r="F363" s="134" t="str">
        <f>IFERROR(__xludf.DUMMYFUNCTION("IFERROR((FILTER(Data!K:K,Data!D:D=A363,Data!B:B=$B$1)),"""")"),"")</f>
        <v/>
      </c>
      <c r="G363" s="134" t="str">
        <f>IFERROR(__xludf.DUMMYFUNCTION("IFERROR((FILTER(Data!M:M,Data!D:D=A363,Data!B:B=$B$1)),"""")"),"")</f>
        <v/>
      </c>
      <c r="H363" s="134" t="str">
        <f>IFERROR(__xludf.DUMMYFUNCTION("IFERROR((FILTER(Data!G:G,Data!D:D=A363,Data!B:B=$B$1)*4)+(FILTER(Data!H:H,Data!D:D=A363,Data!B:B=$B$1)*2),"""")"),"")</f>
        <v/>
      </c>
      <c r="I363" s="15" t="str">
        <f>IFERROR(__xludf.DUMMYFUNCTION("IFERROR((FILTER(Data!K:K,Data!D:D=A363,Data!B:B=$B$1)*2)+(FILTER(Data!L:L,Data!D:D=A363,Data!B:B=$B$1)),"""")"),"")</f>
        <v/>
      </c>
      <c r="J363" s="134" t="str">
        <f>IFERROR(__xludf.DUMMYFUNCTION("IFERROR((FILTER(Data!N:N,Data!D:D=A363,Data!B:B=$B$1)),"""")"),"")</f>
        <v/>
      </c>
      <c r="K363" s="135" t="str">
        <f>IFERROR(__xludf.DUMMYFUNCTION("IFERROR((FILTER(Data!H:H,Data!D:D=A363,Data!B:B=$B$1)*2)+(FILTER(Data!L:L,Data!D:D=A363,Data!B:B=$B$1))+(FILTER(Data!G:G,Data!D:D=A363,Data!B:B=$B$1)*4)+(FILTER(Data!K:K,Data!D:D=A363,Data!B:B=$B$1)*2)+(((COUNTIF(FILTER(Data!N:N,Data!D:D=A363,Data!B:B=$B$"&amp;"1),""TRAVERSE"")*15)+(COUNTIF(FILTER(Data!N:N,Data!D:D=A363,Data!B:B=$B$1),""HIGH"")*10)+(COUNTIF(FILTER(Data!N:N,Data!D:D=A363,Data!B:B=$B$1),""MIDDLE"")*6)+(COUNTIF(FILTER(Data!N:N,Data!D:D=A363,Data!B:B=$B$1),""LOW"")*4))),"""")"),"")</f>
        <v/>
      </c>
      <c r="L363" s="136" t="str">
        <f>IFERROR(__xludf.DUMMYFUNCTION("IFERROR((FILTER(Data!P:P,Data!D:D=A363,Data!B:B=$B$1)),"""")"),"")</f>
        <v/>
      </c>
      <c r="M363" s="137" t="str">
        <f>IFERROR(__xludf.DUMMYFUNCTION("IFERROR((FILTER(Data!A:A,Data!D:D=A363,Data!B:B=$B$1)),"""")"),"")</f>
        <v/>
      </c>
      <c r="T363" s="52">
        <f>IFERROR(__xludf.DUMMYFUNCTION("((COUNTIF(FILTER(Data!N:N,Data!D:D=A363,Data!B:B=$B$1),""TRAVERSE"")*15)+(COUNTIF(FILTER(Data!N:N,Data!D:D=A363,Data!B:B=B$1),""HIGH"")*10)+(COUNTIF(FILTER(Data!N:N,Data!D:D=A363,Data!B:B=$B$1),""MIDDLE"")*6)+(COUNTIF(FILTER(Data!N:N,Data!D:D=A363,Data!B:"&amp;"B=$B$1),""LOW"")*4))"),0.0)</f>
        <v>0</v>
      </c>
      <c r="V363" s="138" t="str">
        <f>IF(Data!B355='Team Parser'!$B$1, Data!D355,"")</f>
        <v/>
      </c>
      <c r="W363" s="134" t="str">
        <f>IF(Data!$B355='Team Parser'!$B$1, Data!H355,"")</f>
        <v/>
      </c>
      <c r="X363" s="134" t="str">
        <f>IF(Data!$B355='Team Parser'!$B$1, Data!G355,"")</f>
        <v/>
      </c>
      <c r="Y363" s="134" t="str">
        <f>IF(Data!$B355='Team Parser'!$B$1, Data!L355,"")</f>
        <v/>
      </c>
      <c r="Z363" s="134" t="str">
        <f>IF(Data!$B355='Team Parser'!$B$1, Data!K355,"")</f>
        <v/>
      </c>
      <c r="AA363" s="134" t="str">
        <f>IF(Data!$B355='Team Parser'!$B$1, Data!M355,"")</f>
        <v/>
      </c>
      <c r="AB363" s="134" t="str">
        <f>IF(Data!$B355='Team Parser'!$B$1,((Z363*2)+(Y363)+(X363*4)+(W363*2)),"")</f>
        <v/>
      </c>
      <c r="AC363" s="134" t="str">
        <f>IF(Data!$B355='Team Parser'!$B$1, Data!N355,"")</f>
        <v/>
      </c>
      <c r="AD363" s="139" t="str">
        <f>IF(Data!$B355='Team Parser'!$B$1,(AB363+(COUNTIF(AC363,"TRAVERSE")*15)+(COUNTIF(AC363,"HIGH")*10)+(COUNTIF(AC363,"MIDDLE")*6)+(COUNTIF(AC363,"LOW")*4)),"")</f>
        <v/>
      </c>
    </row>
    <row r="364">
      <c r="A364" s="141" t="s">
        <v>507</v>
      </c>
      <c r="B364" s="134" t="str">
        <f>IFERROR(__xludf.DUMMYFUNCTION("IFERROR((FILTER(Data!H:H,Data!D:D=A364,Data!B:B=$B$1)),"""")"),"")</f>
        <v/>
      </c>
      <c r="C364" s="134" t="str">
        <f>IFERROR(__xludf.DUMMYFUNCTION("IFERROR((FILTER(Data!G:G,Data!D:D=A364,Data!B:B=$B$1)),"""")"),"")</f>
        <v/>
      </c>
      <c r="D364" s="134" t="str">
        <f>IFERROR(__xludf.DUMMYFUNCTION("IFERROR((FILTER(Data!J:J,Data!D:D=A364,Data!B:B=$B$1)),"""")"),"")</f>
        <v/>
      </c>
      <c r="E364" s="134" t="str">
        <f>IFERROR(__xludf.DUMMYFUNCTION("IFERROR((FILTER(Data!L:L,Data!D:D=A364,Data!B:B=$B$1)),"""")"),"")</f>
        <v/>
      </c>
      <c r="F364" s="134" t="str">
        <f>IFERROR(__xludf.DUMMYFUNCTION("IFERROR((FILTER(Data!K:K,Data!D:D=A364,Data!B:B=$B$1)),"""")"),"")</f>
        <v/>
      </c>
      <c r="G364" s="134" t="str">
        <f>IFERROR(__xludf.DUMMYFUNCTION("IFERROR((FILTER(Data!M:M,Data!D:D=A364,Data!B:B=$B$1)),"""")"),"")</f>
        <v/>
      </c>
      <c r="H364" s="134" t="str">
        <f>IFERROR(__xludf.DUMMYFUNCTION("IFERROR((FILTER(Data!G:G,Data!D:D=A364,Data!B:B=$B$1)*4)+(FILTER(Data!H:H,Data!D:D=A364,Data!B:B=$B$1)*2),"""")"),"")</f>
        <v/>
      </c>
      <c r="I364" s="15" t="str">
        <f>IFERROR(__xludf.DUMMYFUNCTION("IFERROR((FILTER(Data!K:K,Data!D:D=A364,Data!B:B=$B$1)*2)+(FILTER(Data!L:L,Data!D:D=A364,Data!B:B=$B$1)),"""")"),"")</f>
        <v/>
      </c>
      <c r="J364" s="134" t="str">
        <f>IFERROR(__xludf.DUMMYFUNCTION("IFERROR((FILTER(Data!N:N,Data!D:D=A364,Data!B:B=$B$1)),"""")"),"")</f>
        <v/>
      </c>
      <c r="K364" s="135" t="str">
        <f>IFERROR(__xludf.DUMMYFUNCTION("IFERROR((FILTER(Data!H:H,Data!D:D=A364,Data!B:B=$B$1)*2)+(FILTER(Data!L:L,Data!D:D=A364,Data!B:B=$B$1))+(FILTER(Data!G:G,Data!D:D=A364,Data!B:B=$B$1)*4)+(FILTER(Data!K:K,Data!D:D=A364,Data!B:B=$B$1)*2)+(((COUNTIF(FILTER(Data!N:N,Data!D:D=A364,Data!B:B=$B$"&amp;"1),""TRAVERSE"")*15)+(COUNTIF(FILTER(Data!N:N,Data!D:D=A364,Data!B:B=$B$1),""HIGH"")*10)+(COUNTIF(FILTER(Data!N:N,Data!D:D=A364,Data!B:B=$B$1),""MIDDLE"")*6)+(COUNTIF(FILTER(Data!N:N,Data!D:D=A364,Data!B:B=$B$1),""LOW"")*4))),"""")"),"")</f>
        <v/>
      </c>
      <c r="L364" s="136" t="str">
        <f>IFERROR(__xludf.DUMMYFUNCTION("IFERROR((FILTER(Data!P:P,Data!D:D=A364,Data!B:B=$B$1)),"""")"),"")</f>
        <v/>
      </c>
      <c r="M364" s="137" t="str">
        <f>IFERROR(__xludf.DUMMYFUNCTION("IFERROR((FILTER(Data!A:A,Data!D:D=A364,Data!B:B=$B$1)),"""")"),"")</f>
        <v/>
      </c>
      <c r="T364" s="52">
        <f>IFERROR(__xludf.DUMMYFUNCTION("((COUNTIF(FILTER(Data!N:N,Data!D:D=A364,Data!B:B=$B$1),""TRAVERSE"")*15)+(COUNTIF(FILTER(Data!N:N,Data!D:D=A364,Data!B:B=B$1),""HIGH"")*10)+(COUNTIF(FILTER(Data!N:N,Data!D:D=A364,Data!B:B=$B$1),""MIDDLE"")*6)+(COUNTIF(FILTER(Data!N:N,Data!D:D=A364,Data!B:"&amp;"B=$B$1),""LOW"")*4))"),0.0)</f>
        <v>0</v>
      </c>
      <c r="V364" s="138" t="str">
        <f>IF(Data!B356='Team Parser'!$B$1, Data!D356,"")</f>
        <v/>
      </c>
      <c r="W364" s="134" t="str">
        <f>IF(Data!$B356='Team Parser'!$B$1, Data!H356,"")</f>
        <v/>
      </c>
      <c r="X364" s="134" t="str">
        <f>IF(Data!$B356='Team Parser'!$B$1, Data!G356,"")</f>
        <v/>
      </c>
      <c r="Y364" s="134" t="str">
        <f>IF(Data!$B356='Team Parser'!$B$1, Data!L356,"")</f>
        <v/>
      </c>
      <c r="Z364" s="134" t="str">
        <f>IF(Data!$B356='Team Parser'!$B$1, Data!K356,"")</f>
        <v/>
      </c>
      <c r="AA364" s="134" t="str">
        <f>IF(Data!$B356='Team Parser'!$B$1, Data!M356,"")</f>
        <v/>
      </c>
      <c r="AB364" s="134" t="str">
        <f>IF(Data!$B356='Team Parser'!$B$1,((Z364*2)+(Y364)+(X364*4)+(W364*2)),"")</f>
        <v/>
      </c>
      <c r="AC364" s="134" t="str">
        <f>IF(Data!$B356='Team Parser'!$B$1, Data!N356,"")</f>
        <v/>
      </c>
      <c r="AD364" s="139" t="str">
        <f>IF(Data!$B356='Team Parser'!$B$1,(AB364+(COUNTIF(AC364,"TRAVERSE")*15)+(COUNTIF(AC364,"HIGH")*10)+(COUNTIF(AC364,"MIDDLE")*6)+(COUNTIF(AC364,"LOW")*4)),"")</f>
        <v/>
      </c>
    </row>
    <row r="365">
      <c r="A365" s="141" t="s">
        <v>507</v>
      </c>
      <c r="B365" s="134" t="str">
        <f>IFERROR(__xludf.DUMMYFUNCTION("IFERROR((FILTER(Data!H:H,Data!D:D=A365,Data!B:B=$B$1)),"""")"),"")</f>
        <v/>
      </c>
      <c r="C365" s="134" t="str">
        <f>IFERROR(__xludf.DUMMYFUNCTION("IFERROR((FILTER(Data!G:G,Data!D:D=A365,Data!B:B=$B$1)),"""")"),"")</f>
        <v/>
      </c>
      <c r="D365" s="134" t="str">
        <f>IFERROR(__xludf.DUMMYFUNCTION("IFERROR((FILTER(Data!J:J,Data!D:D=A365,Data!B:B=$B$1)),"""")"),"")</f>
        <v/>
      </c>
      <c r="E365" s="134" t="str">
        <f>IFERROR(__xludf.DUMMYFUNCTION("IFERROR((FILTER(Data!L:L,Data!D:D=A365,Data!B:B=$B$1)),"""")"),"")</f>
        <v/>
      </c>
      <c r="F365" s="134" t="str">
        <f>IFERROR(__xludf.DUMMYFUNCTION("IFERROR((FILTER(Data!K:K,Data!D:D=A365,Data!B:B=$B$1)),"""")"),"")</f>
        <v/>
      </c>
      <c r="G365" s="134" t="str">
        <f>IFERROR(__xludf.DUMMYFUNCTION("IFERROR((FILTER(Data!M:M,Data!D:D=A365,Data!B:B=$B$1)),"""")"),"")</f>
        <v/>
      </c>
      <c r="H365" s="134" t="str">
        <f>IFERROR(__xludf.DUMMYFUNCTION("IFERROR((FILTER(Data!G:G,Data!D:D=A365,Data!B:B=$B$1)*4)+(FILTER(Data!H:H,Data!D:D=A365,Data!B:B=$B$1)*2),"""")"),"")</f>
        <v/>
      </c>
      <c r="I365" s="15" t="str">
        <f>IFERROR(__xludf.DUMMYFUNCTION("IFERROR((FILTER(Data!K:K,Data!D:D=A365,Data!B:B=$B$1)*2)+(FILTER(Data!L:L,Data!D:D=A365,Data!B:B=$B$1)),"""")"),"")</f>
        <v/>
      </c>
      <c r="J365" s="134" t="str">
        <f>IFERROR(__xludf.DUMMYFUNCTION("IFERROR((FILTER(Data!N:N,Data!D:D=A365,Data!B:B=$B$1)),"""")"),"")</f>
        <v/>
      </c>
      <c r="K365" s="135" t="str">
        <f>IFERROR(__xludf.DUMMYFUNCTION("IFERROR((FILTER(Data!H:H,Data!D:D=A365,Data!B:B=$B$1)*2)+(FILTER(Data!L:L,Data!D:D=A365,Data!B:B=$B$1))+(FILTER(Data!G:G,Data!D:D=A365,Data!B:B=$B$1)*4)+(FILTER(Data!K:K,Data!D:D=A365,Data!B:B=$B$1)*2)+(((COUNTIF(FILTER(Data!N:N,Data!D:D=A365,Data!B:B=$B$"&amp;"1),""TRAVERSE"")*15)+(COUNTIF(FILTER(Data!N:N,Data!D:D=A365,Data!B:B=$B$1),""HIGH"")*10)+(COUNTIF(FILTER(Data!N:N,Data!D:D=A365,Data!B:B=$B$1),""MIDDLE"")*6)+(COUNTIF(FILTER(Data!N:N,Data!D:D=A365,Data!B:B=$B$1),""LOW"")*4))),"""")"),"")</f>
        <v/>
      </c>
      <c r="L365" s="136" t="str">
        <f>IFERROR(__xludf.DUMMYFUNCTION("IFERROR((FILTER(Data!P:P,Data!D:D=A365,Data!B:B=$B$1)),"""")"),"")</f>
        <v/>
      </c>
      <c r="M365" s="137" t="str">
        <f>IFERROR(__xludf.DUMMYFUNCTION("IFERROR((FILTER(Data!A:A,Data!D:D=A365,Data!B:B=$B$1)),"""")"),"")</f>
        <v/>
      </c>
      <c r="T365" s="52">
        <f>IFERROR(__xludf.DUMMYFUNCTION("((COUNTIF(FILTER(Data!N:N,Data!D:D=A365,Data!B:B=$B$1),""TRAVERSE"")*15)+(COUNTIF(FILTER(Data!N:N,Data!D:D=A365,Data!B:B=B$1),""HIGH"")*10)+(COUNTIF(FILTER(Data!N:N,Data!D:D=A365,Data!B:B=$B$1),""MIDDLE"")*6)+(COUNTIF(FILTER(Data!N:N,Data!D:D=A365,Data!B:"&amp;"B=$B$1),""LOW"")*4))"),0.0)</f>
        <v>0</v>
      </c>
      <c r="V365" s="138" t="str">
        <f>IF(Data!B357='Team Parser'!$B$1, Data!D357,"")</f>
        <v/>
      </c>
      <c r="W365" s="134" t="str">
        <f>IF(Data!$B357='Team Parser'!$B$1, Data!H357,"")</f>
        <v/>
      </c>
      <c r="X365" s="134" t="str">
        <f>IF(Data!$B357='Team Parser'!$B$1, Data!G357,"")</f>
        <v/>
      </c>
      <c r="Y365" s="134" t="str">
        <f>IF(Data!$B357='Team Parser'!$B$1, Data!L357,"")</f>
        <v/>
      </c>
      <c r="Z365" s="134" t="str">
        <f>IF(Data!$B357='Team Parser'!$B$1, Data!K357,"")</f>
        <v/>
      </c>
      <c r="AA365" s="134" t="str">
        <f>IF(Data!$B357='Team Parser'!$B$1, Data!M357,"")</f>
        <v/>
      </c>
      <c r="AB365" s="134" t="str">
        <f>IF(Data!$B357='Team Parser'!$B$1,((Z365*2)+(Y365)+(X365*4)+(W365*2)),"")</f>
        <v/>
      </c>
      <c r="AC365" s="134" t="str">
        <f>IF(Data!$B357='Team Parser'!$B$1, Data!N357,"")</f>
        <v/>
      </c>
      <c r="AD365" s="139" t="str">
        <f>IF(Data!$B357='Team Parser'!$B$1,(AB365+(COUNTIF(AC365,"TRAVERSE")*15)+(COUNTIF(AC365,"HIGH")*10)+(COUNTIF(AC365,"MIDDLE")*6)+(COUNTIF(AC365,"LOW")*4)),"")</f>
        <v/>
      </c>
    </row>
    <row r="366">
      <c r="A366" s="141" t="s">
        <v>507</v>
      </c>
      <c r="B366" s="134" t="str">
        <f>IFERROR(__xludf.DUMMYFUNCTION("IFERROR((FILTER(Data!H:H,Data!D:D=A366,Data!B:B=$B$1)),"""")"),"")</f>
        <v/>
      </c>
      <c r="C366" s="134" t="str">
        <f>IFERROR(__xludf.DUMMYFUNCTION("IFERROR((FILTER(Data!G:G,Data!D:D=A366,Data!B:B=$B$1)),"""")"),"")</f>
        <v/>
      </c>
      <c r="D366" s="134" t="str">
        <f>IFERROR(__xludf.DUMMYFUNCTION("IFERROR((FILTER(Data!J:J,Data!D:D=A366,Data!B:B=$B$1)),"""")"),"")</f>
        <v/>
      </c>
      <c r="E366" s="134" t="str">
        <f>IFERROR(__xludf.DUMMYFUNCTION("IFERROR((FILTER(Data!L:L,Data!D:D=A366,Data!B:B=$B$1)),"""")"),"")</f>
        <v/>
      </c>
      <c r="F366" s="134" t="str">
        <f>IFERROR(__xludf.DUMMYFUNCTION("IFERROR((FILTER(Data!K:K,Data!D:D=A366,Data!B:B=$B$1)),"""")"),"")</f>
        <v/>
      </c>
      <c r="G366" s="134" t="str">
        <f>IFERROR(__xludf.DUMMYFUNCTION("IFERROR((FILTER(Data!M:M,Data!D:D=A366,Data!B:B=$B$1)),"""")"),"")</f>
        <v/>
      </c>
      <c r="H366" s="134" t="str">
        <f>IFERROR(__xludf.DUMMYFUNCTION("IFERROR((FILTER(Data!G:G,Data!D:D=A366,Data!B:B=$B$1)*4)+(FILTER(Data!H:H,Data!D:D=A366,Data!B:B=$B$1)*2),"""")"),"")</f>
        <v/>
      </c>
      <c r="I366" s="15" t="str">
        <f>IFERROR(__xludf.DUMMYFUNCTION("IFERROR((FILTER(Data!K:K,Data!D:D=A366,Data!B:B=$B$1)*2)+(FILTER(Data!L:L,Data!D:D=A366,Data!B:B=$B$1)),"""")"),"")</f>
        <v/>
      </c>
      <c r="J366" s="134" t="str">
        <f>IFERROR(__xludf.DUMMYFUNCTION("IFERROR((FILTER(Data!N:N,Data!D:D=A366,Data!B:B=$B$1)),"""")"),"")</f>
        <v/>
      </c>
      <c r="K366" s="135" t="str">
        <f>IFERROR(__xludf.DUMMYFUNCTION("IFERROR((FILTER(Data!H:H,Data!D:D=A366,Data!B:B=$B$1)*2)+(FILTER(Data!L:L,Data!D:D=A366,Data!B:B=$B$1))+(FILTER(Data!G:G,Data!D:D=A366,Data!B:B=$B$1)*4)+(FILTER(Data!K:K,Data!D:D=A366,Data!B:B=$B$1)*2)+(((COUNTIF(FILTER(Data!N:N,Data!D:D=A366,Data!B:B=$B$"&amp;"1),""TRAVERSE"")*15)+(COUNTIF(FILTER(Data!N:N,Data!D:D=A366,Data!B:B=$B$1),""HIGH"")*10)+(COUNTIF(FILTER(Data!N:N,Data!D:D=A366,Data!B:B=$B$1),""MIDDLE"")*6)+(COUNTIF(FILTER(Data!N:N,Data!D:D=A366,Data!B:B=$B$1),""LOW"")*4))),"""")"),"")</f>
        <v/>
      </c>
      <c r="L366" s="136" t="str">
        <f>IFERROR(__xludf.DUMMYFUNCTION("IFERROR((FILTER(Data!P:P,Data!D:D=A366,Data!B:B=$B$1)),"""")"),"")</f>
        <v/>
      </c>
      <c r="M366" s="137" t="str">
        <f>IFERROR(__xludf.DUMMYFUNCTION("IFERROR((FILTER(Data!A:A,Data!D:D=A366,Data!B:B=$B$1)),"""")"),"")</f>
        <v/>
      </c>
      <c r="T366" s="52">
        <f>IFERROR(__xludf.DUMMYFUNCTION("((COUNTIF(FILTER(Data!N:N,Data!D:D=A366,Data!B:B=$B$1),""TRAVERSE"")*15)+(COUNTIF(FILTER(Data!N:N,Data!D:D=A366,Data!B:B=B$1),""HIGH"")*10)+(COUNTIF(FILTER(Data!N:N,Data!D:D=A366,Data!B:B=$B$1),""MIDDLE"")*6)+(COUNTIF(FILTER(Data!N:N,Data!D:D=A366,Data!B:"&amp;"B=$B$1),""LOW"")*4))"),0.0)</f>
        <v>0</v>
      </c>
      <c r="V366" s="138" t="str">
        <f>IF(Data!B358='Team Parser'!$B$1, Data!D358,"")</f>
        <v/>
      </c>
      <c r="W366" s="134" t="str">
        <f>IF(Data!$B358='Team Parser'!$B$1, Data!H358,"")</f>
        <v/>
      </c>
      <c r="X366" s="134" t="str">
        <f>IF(Data!$B358='Team Parser'!$B$1, Data!G358,"")</f>
        <v/>
      </c>
      <c r="Y366" s="134" t="str">
        <f>IF(Data!$B358='Team Parser'!$B$1, Data!L358,"")</f>
        <v/>
      </c>
      <c r="Z366" s="134" t="str">
        <f>IF(Data!$B358='Team Parser'!$B$1, Data!K358,"")</f>
        <v/>
      </c>
      <c r="AA366" s="134" t="str">
        <f>IF(Data!$B358='Team Parser'!$B$1, Data!M358,"")</f>
        <v/>
      </c>
      <c r="AB366" s="134" t="str">
        <f>IF(Data!$B358='Team Parser'!$B$1,((Z366*2)+(Y366)+(X366*4)+(W366*2)),"")</f>
        <v/>
      </c>
      <c r="AC366" s="134" t="str">
        <f>IF(Data!$B358='Team Parser'!$B$1, Data!N358,"")</f>
        <v/>
      </c>
      <c r="AD366" s="139" t="str">
        <f>IF(Data!$B358='Team Parser'!$B$1,(AB366+(COUNTIF(AC366,"TRAVERSE")*15)+(COUNTIF(AC366,"HIGH")*10)+(COUNTIF(AC366,"MIDDLE")*6)+(COUNTIF(AC366,"LOW")*4)),"")</f>
        <v/>
      </c>
    </row>
    <row r="367">
      <c r="A367" s="141" t="s">
        <v>507</v>
      </c>
      <c r="B367" s="134" t="str">
        <f>IFERROR(__xludf.DUMMYFUNCTION("IFERROR((FILTER(Data!H:H,Data!D:D=A367,Data!B:B=$B$1)),"""")"),"")</f>
        <v/>
      </c>
      <c r="C367" s="134" t="str">
        <f>IFERROR(__xludf.DUMMYFUNCTION("IFERROR((FILTER(Data!G:G,Data!D:D=A367,Data!B:B=$B$1)),"""")"),"")</f>
        <v/>
      </c>
      <c r="D367" s="134" t="str">
        <f>IFERROR(__xludf.DUMMYFUNCTION("IFERROR((FILTER(Data!J:J,Data!D:D=A367,Data!B:B=$B$1)),"""")"),"")</f>
        <v/>
      </c>
      <c r="E367" s="134" t="str">
        <f>IFERROR(__xludf.DUMMYFUNCTION("IFERROR((FILTER(Data!L:L,Data!D:D=A367,Data!B:B=$B$1)),"""")"),"")</f>
        <v/>
      </c>
      <c r="F367" s="134" t="str">
        <f>IFERROR(__xludf.DUMMYFUNCTION("IFERROR((FILTER(Data!K:K,Data!D:D=A367,Data!B:B=$B$1)),"""")"),"")</f>
        <v/>
      </c>
      <c r="G367" s="134" t="str">
        <f>IFERROR(__xludf.DUMMYFUNCTION("IFERROR((FILTER(Data!M:M,Data!D:D=A367,Data!B:B=$B$1)),"""")"),"")</f>
        <v/>
      </c>
      <c r="H367" s="134" t="str">
        <f>IFERROR(__xludf.DUMMYFUNCTION("IFERROR((FILTER(Data!G:G,Data!D:D=A367,Data!B:B=$B$1)*4)+(FILTER(Data!H:H,Data!D:D=A367,Data!B:B=$B$1)*2),"""")"),"")</f>
        <v/>
      </c>
      <c r="I367" s="15" t="str">
        <f>IFERROR(__xludf.DUMMYFUNCTION("IFERROR((FILTER(Data!K:K,Data!D:D=A367,Data!B:B=$B$1)*2)+(FILTER(Data!L:L,Data!D:D=A367,Data!B:B=$B$1)),"""")"),"")</f>
        <v/>
      </c>
      <c r="J367" s="134" t="str">
        <f>IFERROR(__xludf.DUMMYFUNCTION("IFERROR((FILTER(Data!N:N,Data!D:D=A367,Data!B:B=$B$1)),"""")"),"")</f>
        <v/>
      </c>
      <c r="K367" s="135" t="str">
        <f>IFERROR(__xludf.DUMMYFUNCTION("IFERROR((FILTER(Data!H:H,Data!D:D=A367,Data!B:B=$B$1)*2)+(FILTER(Data!L:L,Data!D:D=A367,Data!B:B=$B$1))+(FILTER(Data!G:G,Data!D:D=A367,Data!B:B=$B$1)*4)+(FILTER(Data!K:K,Data!D:D=A367,Data!B:B=$B$1)*2)+(((COUNTIF(FILTER(Data!N:N,Data!D:D=A367,Data!B:B=$B$"&amp;"1),""TRAVERSE"")*15)+(COUNTIF(FILTER(Data!N:N,Data!D:D=A367,Data!B:B=$B$1),""HIGH"")*10)+(COUNTIF(FILTER(Data!N:N,Data!D:D=A367,Data!B:B=$B$1),""MIDDLE"")*6)+(COUNTIF(FILTER(Data!N:N,Data!D:D=A367,Data!B:B=$B$1),""LOW"")*4))),"""")"),"")</f>
        <v/>
      </c>
      <c r="L367" s="136" t="str">
        <f>IFERROR(__xludf.DUMMYFUNCTION("IFERROR((FILTER(Data!P:P,Data!D:D=A367,Data!B:B=$B$1)),"""")"),"")</f>
        <v/>
      </c>
      <c r="M367" s="137" t="str">
        <f>IFERROR(__xludf.DUMMYFUNCTION("IFERROR((FILTER(Data!A:A,Data!D:D=A367,Data!B:B=$B$1)),"""")"),"")</f>
        <v/>
      </c>
      <c r="T367" s="52">
        <f>IFERROR(__xludf.DUMMYFUNCTION("((COUNTIF(FILTER(Data!N:N,Data!D:D=A367,Data!B:B=$B$1),""TRAVERSE"")*15)+(COUNTIF(FILTER(Data!N:N,Data!D:D=A367,Data!B:B=B$1),""HIGH"")*10)+(COUNTIF(FILTER(Data!N:N,Data!D:D=A367,Data!B:B=$B$1),""MIDDLE"")*6)+(COUNTIF(FILTER(Data!N:N,Data!D:D=A367,Data!B:"&amp;"B=$B$1),""LOW"")*4))"),0.0)</f>
        <v>0</v>
      </c>
      <c r="V367" s="138" t="str">
        <f>IF(Data!B359='Team Parser'!$B$1, Data!D359,"")</f>
        <v/>
      </c>
      <c r="W367" s="134" t="str">
        <f>IF(Data!$B359='Team Parser'!$B$1, Data!H359,"")</f>
        <v/>
      </c>
      <c r="X367" s="134" t="str">
        <f>IF(Data!$B359='Team Parser'!$B$1, Data!G359,"")</f>
        <v/>
      </c>
      <c r="Y367" s="134" t="str">
        <f>IF(Data!$B359='Team Parser'!$B$1, Data!L359,"")</f>
        <v/>
      </c>
      <c r="Z367" s="134" t="str">
        <f>IF(Data!$B359='Team Parser'!$B$1, Data!K359,"")</f>
        <v/>
      </c>
      <c r="AA367" s="134" t="str">
        <f>IF(Data!$B359='Team Parser'!$B$1, Data!M359,"")</f>
        <v/>
      </c>
      <c r="AB367" s="134" t="str">
        <f>IF(Data!$B359='Team Parser'!$B$1,((Z367*2)+(Y367)+(X367*4)+(W367*2)),"")</f>
        <v/>
      </c>
      <c r="AC367" s="134" t="str">
        <f>IF(Data!$B359='Team Parser'!$B$1, Data!N359,"")</f>
        <v/>
      </c>
      <c r="AD367" s="139" t="str">
        <f>IF(Data!$B359='Team Parser'!$B$1,(AB367+(COUNTIF(AC367,"TRAVERSE")*15)+(COUNTIF(AC367,"HIGH")*10)+(COUNTIF(AC367,"MIDDLE")*6)+(COUNTIF(AC367,"LOW")*4)),"")</f>
        <v/>
      </c>
    </row>
    <row r="368">
      <c r="A368" s="141" t="s">
        <v>507</v>
      </c>
      <c r="B368" s="134" t="str">
        <f>IFERROR(__xludf.DUMMYFUNCTION("IFERROR((FILTER(Data!H:H,Data!D:D=A368,Data!B:B=$B$1)),"""")"),"")</f>
        <v/>
      </c>
      <c r="C368" s="134" t="str">
        <f>IFERROR(__xludf.DUMMYFUNCTION("IFERROR((FILTER(Data!G:G,Data!D:D=A368,Data!B:B=$B$1)),"""")"),"")</f>
        <v/>
      </c>
      <c r="D368" s="134" t="str">
        <f>IFERROR(__xludf.DUMMYFUNCTION("IFERROR((FILTER(Data!J:J,Data!D:D=A368,Data!B:B=$B$1)),"""")"),"")</f>
        <v/>
      </c>
      <c r="E368" s="134" t="str">
        <f>IFERROR(__xludf.DUMMYFUNCTION("IFERROR((FILTER(Data!L:L,Data!D:D=A368,Data!B:B=$B$1)),"""")"),"")</f>
        <v/>
      </c>
      <c r="F368" s="134" t="str">
        <f>IFERROR(__xludf.DUMMYFUNCTION("IFERROR((FILTER(Data!K:K,Data!D:D=A368,Data!B:B=$B$1)),"""")"),"")</f>
        <v/>
      </c>
      <c r="G368" s="134" t="str">
        <f>IFERROR(__xludf.DUMMYFUNCTION("IFERROR((FILTER(Data!M:M,Data!D:D=A368,Data!B:B=$B$1)),"""")"),"")</f>
        <v/>
      </c>
      <c r="H368" s="134" t="str">
        <f>IFERROR(__xludf.DUMMYFUNCTION("IFERROR((FILTER(Data!G:G,Data!D:D=A368,Data!B:B=$B$1)*4)+(FILTER(Data!H:H,Data!D:D=A368,Data!B:B=$B$1)*2),"""")"),"")</f>
        <v/>
      </c>
      <c r="I368" s="15" t="str">
        <f>IFERROR(__xludf.DUMMYFUNCTION("IFERROR((FILTER(Data!K:K,Data!D:D=A368,Data!B:B=$B$1)*2)+(FILTER(Data!L:L,Data!D:D=A368,Data!B:B=$B$1)),"""")"),"")</f>
        <v/>
      </c>
      <c r="J368" s="134" t="str">
        <f>IFERROR(__xludf.DUMMYFUNCTION("IFERROR((FILTER(Data!N:N,Data!D:D=A368,Data!B:B=$B$1)),"""")"),"")</f>
        <v/>
      </c>
      <c r="K368" s="135" t="str">
        <f>IFERROR(__xludf.DUMMYFUNCTION("IFERROR((FILTER(Data!H:H,Data!D:D=A368,Data!B:B=$B$1)*2)+(FILTER(Data!L:L,Data!D:D=A368,Data!B:B=$B$1))+(FILTER(Data!G:G,Data!D:D=A368,Data!B:B=$B$1)*4)+(FILTER(Data!K:K,Data!D:D=A368,Data!B:B=$B$1)*2)+(((COUNTIF(FILTER(Data!N:N,Data!D:D=A368,Data!B:B=$B$"&amp;"1),""TRAVERSE"")*15)+(COUNTIF(FILTER(Data!N:N,Data!D:D=A368,Data!B:B=$B$1),""HIGH"")*10)+(COUNTIF(FILTER(Data!N:N,Data!D:D=A368,Data!B:B=$B$1),""MIDDLE"")*6)+(COUNTIF(FILTER(Data!N:N,Data!D:D=A368,Data!B:B=$B$1),""LOW"")*4))),"""")"),"")</f>
        <v/>
      </c>
      <c r="L368" s="136" t="str">
        <f>IFERROR(__xludf.DUMMYFUNCTION("IFERROR((FILTER(Data!P:P,Data!D:D=A368,Data!B:B=$B$1)),"""")"),"")</f>
        <v/>
      </c>
      <c r="M368" s="137" t="str">
        <f>IFERROR(__xludf.DUMMYFUNCTION("IFERROR((FILTER(Data!A:A,Data!D:D=A368,Data!B:B=$B$1)),"""")"),"")</f>
        <v/>
      </c>
      <c r="T368" s="52">
        <f>IFERROR(__xludf.DUMMYFUNCTION("((COUNTIF(FILTER(Data!N:N,Data!D:D=A368,Data!B:B=$B$1),""TRAVERSE"")*15)+(COUNTIF(FILTER(Data!N:N,Data!D:D=A368,Data!B:B=B$1),""HIGH"")*10)+(COUNTIF(FILTER(Data!N:N,Data!D:D=A368,Data!B:B=$B$1),""MIDDLE"")*6)+(COUNTIF(FILTER(Data!N:N,Data!D:D=A368,Data!B:"&amp;"B=$B$1),""LOW"")*4))"),0.0)</f>
        <v>0</v>
      </c>
      <c r="V368" s="138" t="str">
        <f>IF(Data!B360='Team Parser'!$B$1, Data!D360,"")</f>
        <v/>
      </c>
      <c r="W368" s="134" t="str">
        <f>IF(Data!$B360='Team Parser'!$B$1, Data!H360,"")</f>
        <v/>
      </c>
      <c r="X368" s="134" t="str">
        <f>IF(Data!$B360='Team Parser'!$B$1, Data!G360,"")</f>
        <v/>
      </c>
      <c r="Y368" s="134" t="str">
        <f>IF(Data!$B360='Team Parser'!$B$1, Data!L360,"")</f>
        <v/>
      </c>
      <c r="Z368" s="134" t="str">
        <f>IF(Data!$B360='Team Parser'!$B$1, Data!K360,"")</f>
        <v/>
      </c>
      <c r="AA368" s="134" t="str">
        <f>IF(Data!$B360='Team Parser'!$B$1, Data!M360,"")</f>
        <v/>
      </c>
      <c r="AB368" s="134" t="str">
        <f>IF(Data!$B360='Team Parser'!$B$1,((Z368*2)+(Y368)+(X368*4)+(W368*2)),"")</f>
        <v/>
      </c>
      <c r="AC368" s="134" t="str">
        <f>IF(Data!$B360='Team Parser'!$B$1, Data!N360,"")</f>
        <v/>
      </c>
      <c r="AD368" s="139" t="str">
        <f>IF(Data!$B360='Team Parser'!$B$1,(AB368+(COUNTIF(AC368,"TRAVERSE")*15)+(COUNTIF(AC368,"HIGH")*10)+(COUNTIF(AC368,"MIDDLE")*6)+(COUNTIF(AC368,"LOW")*4)),"")</f>
        <v/>
      </c>
    </row>
    <row r="369">
      <c r="A369" s="141" t="s">
        <v>507</v>
      </c>
      <c r="B369" s="134" t="str">
        <f>IFERROR(__xludf.DUMMYFUNCTION("IFERROR((FILTER(Data!H:H,Data!D:D=A369,Data!B:B=$B$1)),"""")"),"")</f>
        <v/>
      </c>
      <c r="C369" s="134" t="str">
        <f>IFERROR(__xludf.DUMMYFUNCTION("IFERROR((FILTER(Data!G:G,Data!D:D=A369,Data!B:B=$B$1)),"""")"),"")</f>
        <v/>
      </c>
      <c r="D369" s="134" t="str">
        <f>IFERROR(__xludf.DUMMYFUNCTION("IFERROR((FILTER(Data!J:J,Data!D:D=A369,Data!B:B=$B$1)),"""")"),"")</f>
        <v/>
      </c>
      <c r="E369" s="134" t="str">
        <f>IFERROR(__xludf.DUMMYFUNCTION("IFERROR((FILTER(Data!L:L,Data!D:D=A369,Data!B:B=$B$1)),"""")"),"")</f>
        <v/>
      </c>
      <c r="F369" s="134" t="str">
        <f>IFERROR(__xludf.DUMMYFUNCTION("IFERROR((FILTER(Data!K:K,Data!D:D=A369,Data!B:B=$B$1)),"""")"),"")</f>
        <v/>
      </c>
      <c r="G369" s="134" t="str">
        <f>IFERROR(__xludf.DUMMYFUNCTION("IFERROR((FILTER(Data!M:M,Data!D:D=A369,Data!B:B=$B$1)),"""")"),"")</f>
        <v/>
      </c>
      <c r="H369" s="134" t="str">
        <f>IFERROR(__xludf.DUMMYFUNCTION("IFERROR((FILTER(Data!G:G,Data!D:D=A369,Data!B:B=$B$1)*4)+(FILTER(Data!H:H,Data!D:D=A369,Data!B:B=$B$1)*2),"""")"),"")</f>
        <v/>
      </c>
      <c r="I369" s="15" t="str">
        <f>IFERROR(__xludf.DUMMYFUNCTION("IFERROR((FILTER(Data!K:K,Data!D:D=A369,Data!B:B=$B$1)*2)+(FILTER(Data!L:L,Data!D:D=A369,Data!B:B=$B$1)),"""")"),"")</f>
        <v/>
      </c>
      <c r="J369" s="134" t="str">
        <f>IFERROR(__xludf.DUMMYFUNCTION("IFERROR((FILTER(Data!N:N,Data!D:D=A369,Data!B:B=$B$1)),"""")"),"")</f>
        <v/>
      </c>
      <c r="K369" s="135" t="str">
        <f>IFERROR(__xludf.DUMMYFUNCTION("IFERROR((FILTER(Data!H:H,Data!D:D=A369,Data!B:B=$B$1)*2)+(FILTER(Data!L:L,Data!D:D=A369,Data!B:B=$B$1))+(FILTER(Data!G:G,Data!D:D=A369,Data!B:B=$B$1)*4)+(FILTER(Data!K:K,Data!D:D=A369,Data!B:B=$B$1)*2)+(((COUNTIF(FILTER(Data!N:N,Data!D:D=A369,Data!B:B=$B$"&amp;"1),""TRAVERSE"")*15)+(COUNTIF(FILTER(Data!N:N,Data!D:D=A369,Data!B:B=$B$1),""HIGH"")*10)+(COUNTIF(FILTER(Data!N:N,Data!D:D=A369,Data!B:B=$B$1),""MIDDLE"")*6)+(COUNTIF(FILTER(Data!N:N,Data!D:D=A369,Data!B:B=$B$1),""LOW"")*4))),"""")"),"")</f>
        <v/>
      </c>
      <c r="L369" s="136" t="str">
        <f>IFERROR(__xludf.DUMMYFUNCTION("IFERROR((FILTER(Data!P:P,Data!D:D=A369,Data!B:B=$B$1)),"""")"),"")</f>
        <v/>
      </c>
      <c r="M369" s="137" t="str">
        <f>IFERROR(__xludf.DUMMYFUNCTION("IFERROR((FILTER(Data!A:A,Data!D:D=A369,Data!B:B=$B$1)),"""")"),"")</f>
        <v/>
      </c>
      <c r="T369" s="52">
        <f>IFERROR(__xludf.DUMMYFUNCTION("((COUNTIF(FILTER(Data!N:N,Data!D:D=A369,Data!B:B=$B$1),""TRAVERSE"")*15)+(COUNTIF(FILTER(Data!N:N,Data!D:D=A369,Data!B:B=B$1),""HIGH"")*10)+(COUNTIF(FILTER(Data!N:N,Data!D:D=A369,Data!B:B=$B$1),""MIDDLE"")*6)+(COUNTIF(FILTER(Data!N:N,Data!D:D=A369,Data!B:"&amp;"B=$B$1),""LOW"")*4))"),0.0)</f>
        <v>0</v>
      </c>
      <c r="V369" s="138" t="str">
        <f>IF(Data!B361='Team Parser'!$B$1, Data!D361,"")</f>
        <v/>
      </c>
      <c r="W369" s="134" t="str">
        <f>IF(Data!$B361='Team Parser'!$B$1, Data!H361,"")</f>
        <v/>
      </c>
      <c r="X369" s="134" t="str">
        <f>IF(Data!$B361='Team Parser'!$B$1, Data!G361,"")</f>
        <v/>
      </c>
      <c r="Y369" s="134" t="str">
        <f>IF(Data!$B361='Team Parser'!$B$1, Data!L361,"")</f>
        <v/>
      </c>
      <c r="Z369" s="134" t="str">
        <f>IF(Data!$B361='Team Parser'!$B$1, Data!K361,"")</f>
        <v/>
      </c>
      <c r="AA369" s="134" t="str">
        <f>IF(Data!$B361='Team Parser'!$B$1, Data!M361,"")</f>
        <v/>
      </c>
      <c r="AB369" s="134" t="str">
        <f>IF(Data!$B361='Team Parser'!$B$1,((Z369*2)+(Y369)+(X369*4)+(W369*2)),"")</f>
        <v/>
      </c>
      <c r="AC369" s="134" t="str">
        <f>IF(Data!$B361='Team Parser'!$B$1, Data!N361,"")</f>
        <v/>
      </c>
      <c r="AD369" s="139" t="str">
        <f>IF(Data!$B361='Team Parser'!$B$1,(AB369+(COUNTIF(AC369,"TRAVERSE")*15)+(COUNTIF(AC369,"HIGH")*10)+(COUNTIF(AC369,"MIDDLE")*6)+(COUNTIF(AC369,"LOW")*4)),"")</f>
        <v/>
      </c>
    </row>
    <row r="370">
      <c r="A370" s="141" t="s">
        <v>507</v>
      </c>
      <c r="B370" s="134" t="str">
        <f>IFERROR(__xludf.DUMMYFUNCTION("IFERROR((FILTER(Data!H:H,Data!D:D=A370,Data!B:B=$B$1)),"""")"),"")</f>
        <v/>
      </c>
      <c r="C370" s="134" t="str">
        <f>IFERROR(__xludf.DUMMYFUNCTION("IFERROR((FILTER(Data!G:G,Data!D:D=A370,Data!B:B=$B$1)),"""")"),"")</f>
        <v/>
      </c>
      <c r="D370" s="134" t="str">
        <f>IFERROR(__xludf.DUMMYFUNCTION("IFERROR((FILTER(Data!J:J,Data!D:D=A370,Data!B:B=$B$1)),"""")"),"")</f>
        <v/>
      </c>
      <c r="E370" s="134" t="str">
        <f>IFERROR(__xludf.DUMMYFUNCTION("IFERROR((FILTER(Data!L:L,Data!D:D=A370,Data!B:B=$B$1)),"""")"),"")</f>
        <v/>
      </c>
      <c r="F370" s="134" t="str">
        <f>IFERROR(__xludf.DUMMYFUNCTION("IFERROR((FILTER(Data!K:K,Data!D:D=A370,Data!B:B=$B$1)),"""")"),"")</f>
        <v/>
      </c>
      <c r="G370" s="134" t="str">
        <f>IFERROR(__xludf.DUMMYFUNCTION("IFERROR((FILTER(Data!M:M,Data!D:D=A370,Data!B:B=$B$1)),"""")"),"")</f>
        <v/>
      </c>
      <c r="H370" s="134" t="str">
        <f>IFERROR(__xludf.DUMMYFUNCTION("IFERROR((FILTER(Data!G:G,Data!D:D=A370,Data!B:B=$B$1)*4)+(FILTER(Data!H:H,Data!D:D=A370,Data!B:B=$B$1)*2),"""")"),"")</f>
        <v/>
      </c>
      <c r="I370" s="15" t="str">
        <f>IFERROR(__xludf.DUMMYFUNCTION("IFERROR((FILTER(Data!K:K,Data!D:D=A370,Data!B:B=$B$1)*2)+(FILTER(Data!L:L,Data!D:D=A370,Data!B:B=$B$1)),"""")"),"")</f>
        <v/>
      </c>
      <c r="J370" s="134" t="str">
        <f>IFERROR(__xludf.DUMMYFUNCTION("IFERROR((FILTER(Data!N:N,Data!D:D=A370,Data!B:B=$B$1)),"""")"),"")</f>
        <v/>
      </c>
      <c r="K370" s="135" t="str">
        <f>IFERROR(__xludf.DUMMYFUNCTION("IFERROR((FILTER(Data!H:H,Data!D:D=A370,Data!B:B=$B$1)*2)+(FILTER(Data!L:L,Data!D:D=A370,Data!B:B=$B$1))+(FILTER(Data!G:G,Data!D:D=A370,Data!B:B=$B$1)*4)+(FILTER(Data!K:K,Data!D:D=A370,Data!B:B=$B$1)*2)+(((COUNTIF(FILTER(Data!N:N,Data!D:D=A370,Data!B:B=$B$"&amp;"1),""TRAVERSE"")*15)+(COUNTIF(FILTER(Data!N:N,Data!D:D=A370,Data!B:B=$B$1),""HIGH"")*10)+(COUNTIF(FILTER(Data!N:N,Data!D:D=A370,Data!B:B=$B$1),""MIDDLE"")*6)+(COUNTIF(FILTER(Data!N:N,Data!D:D=A370,Data!B:B=$B$1),""LOW"")*4))),"""")"),"")</f>
        <v/>
      </c>
      <c r="L370" s="136" t="str">
        <f>IFERROR(__xludf.DUMMYFUNCTION("IFERROR((FILTER(Data!P:P,Data!D:D=A370,Data!B:B=$B$1)),"""")"),"")</f>
        <v/>
      </c>
      <c r="M370" s="137" t="str">
        <f>IFERROR(__xludf.DUMMYFUNCTION("IFERROR((FILTER(Data!A:A,Data!D:D=A370,Data!B:B=$B$1)),"""")"),"")</f>
        <v/>
      </c>
      <c r="T370" s="52">
        <f>IFERROR(__xludf.DUMMYFUNCTION("((COUNTIF(FILTER(Data!N:N,Data!D:D=A370,Data!B:B=$B$1),""TRAVERSE"")*15)+(COUNTIF(FILTER(Data!N:N,Data!D:D=A370,Data!B:B=B$1),""HIGH"")*10)+(COUNTIF(FILTER(Data!N:N,Data!D:D=A370,Data!B:B=$B$1),""MIDDLE"")*6)+(COUNTIF(FILTER(Data!N:N,Data!D:D=A370,Data!B:"&amp;"B=$B$1),""LOW"")*4))"),0.0)</f>
        <v>0</v>
      </c>
      <c r="V370" s="138" t="str">
        <f>IF(Data!B362='Team Parser'!$B$1, Data!D362,"")</f>
        <v/>
      </c>
      <c r="W370" s="134" t="str">
        <f>IF(Data!$B362='Team Parser'!$B$1, Data!H362,"")</f>
        <v/>
      </c>
      <c r="X370" s="134" t="str">
        <f>IF(Data!$B362='Team Parser'!$B$1, Data!G362,"")</f>
        <v/>
      </c>
      <c r="Y370" s="134" t="str">
        <f>IF(Data!$B362='Team Parser'!$B$1, Data!L362,"")</f>
        <v/>
      </c>
      <c r="Z370" s="134" t="str">
        <f>IF(Data!$B362='Team Parser'!$B$1, Data!K362,"")</f>
        <v/>
      </c>
      <c r="AA370" s="134" t="str">
        <f>IF(Data!$B362='Team Parser'!$B$1, Data!M362,"")</f>
        <v/>
      </c>
      <c r="AB370" s="134" t="str">
        <f>IF(Data!$B362='Team Parser'!$B$1,((Z370*2)+(Y370)+(X370*4)+(W370*2)),"")</f>
        <v/>
      </c>
      <c r="AC370" s="134" t="str">
        <f>IF(Data!$B362='Team Parser'!$B$1, Data!N362,"")</f>
        <v/>
      </c>
      <c r="AD370" s="139" t="str">
        <f>IF(Data!$B362='Team Parser'!$B$1,(AB370+(COUNTIF(AC370,"TRAVERSE")*15)+(COUNTIF(AC370,"HIGH")*10)+(COUNTIF(AC370,"MIDDLE")*6)+(COUNTIF(AC370,"LOW")*4)),"")</f>
        <v/>
      </c>
    </row>
    <row r="371">
      <c r="A371" s="141" t="s">
        <v>507</v>
      </c>
      <c r="B371" s="134" t="str">
        <f>IFERROR(__xludf.DUMMYFUNCTION("IFERROR((FILTER(Data!H:H,Data!D:D=A371,Data!B:B=$B$1)),"""")"),"")</f>
        <v/>
      </c>
      <c r="C371" s="134" t="str">
        <f>IFERROR(__xludf.DUMMYFUNCTION("IFERROR((FILTER(Data!G:G,Data!D:D=A371,Data!B:B=$B$1)),"""")"),"")</f>
        <v/>
      </c>
      <c r="D371" s="134" t="str">
        <f>IFERROR(__xludf.DUMMYFUNCTION("IFERROR((FILTER(Data!J:J,Data!D:D=A371,Data!B:B=$B$1)),"""")"),"")</f>
        <v/>
      </c>
      <c r="E371" s="134" t="str">
        <f>IFERROR(__xludf.DUMMYFUNCTION("IFERROR((FILTER(Data!L:L,Data!D:D=A371,Data!B:B=$B$1)),"""")"),"")</f>
        <v/>
      </c>
      <c r="F371" s="134" t="str">
        <f>IFERROR(__xludf.DUMMYFUNCTION("IFERROR((FILTER(Data!K:K,Data!D:D=A371,Data!B:B=$B$1)),"""")"),"")</f>
        <v/>
      </c>
      <c r="G371" s="134" t="str">
        <f>IFERROR(__xludf.DUMMYFUNCTION("IFERROR((FILTER(Data!M:M,Data!D:D=A371,Data!B:B=$B$1)),"""")"),"")</f>
        <v/>
      </c>
      <c r="H371" s="134" t="str">
        <f>IFERROR(__xludf.DUMMYFUNCTION("IFERROR((FILTER(Data!G:G,Data!D:D=A371,Data!B:B=$B$1)*4)+(FILTER(Data!H:H,Data!D:D=A371,Data!B:B=$B$1)*2),"""")"),"")</f>
        <v/>
      </c>
      <c r="I371" s="15" t="str">
        <f>IFERROR(__xludf.DUMMYFUNCTION("IFERROR((FILTER(Data!K:K,Data!D:D=A371,Data!B:B=$B$1)*2)+(FILTER(Data!L:L,Data!D:D=A371,Data!B:B=$B$1)),"""")"),"")</f>
        <v/>
      </c>
      <c r="J371" s="134" t="str">
        <f>IFERROR(__xludf.DUMMYFUNCTION("IFERROR((FILTER(Data!N:N,Data!D:D=A371,Data!B:B=$B$1)),"""")"),"")</f>
        <v/>
      </c>
      <c r="K371" s="135" t="str">
        <f>IFERROR(__xludf.DUMMYFUNCTION("IFERROR((FILTER(Data!H:H,Data!D:D=A371,Data!B:B=$B$1)*2)+(FILTER(Data!L:L,Data!D:D=A371,Data!B:B=$B$1))+(FILTER(Data!G:G,Data!D:D=A371,Data!B:B=$B$1)*4)+(FILTER(Data!K:K,Data!D:D=A371,Data!B:B=$B$1)*2)+(((COUNTIF(FILTER(Data!N:N,Data!D:D=A371,Data!B:B=$B$"&amp;"1),""TRAVERSE"")*15)+(COUNTIF(FILTER(Data!N:N,Data!D:D=A371,Data!B:B=$B$1),""HIGH"")*10)+(COUNTIF(FILTER(Data!N:N,Data!D:D=A371,Data!B:B=$B$1),""MIDDLE"")*6)+(COUNTIF(FILTER(Data!N:N,Data!D:D=A371,Data!B:B=$B$1),""LOW"")*4))),"""")"),"")</f>
        <v/>
      </c>
      <c r="L371" s="136" t="str">
        <f>IFERROR(__xludf.DUMMYFUNCTION("IFERROR((FILTER(Data!P:P,Data!D:D=A371,Data!B:B=$B$1)),"""")"),"")</f>
        <v/>
      </c>
      <c r="M371" s="137" t="str">
        <f>IFERROR(__xludf.DUMMYFUNCTION("IFERROR((FILTER(Data!A:A,Data!D:D=A371,Data!B:B=$B$1)),"""")"),"")</f>
        <v/>
      </c>
      <c r="T371" s="52">
        <f>IFERROR(__xludf.DUMMYFUNCTION("((COUNTIF(FILTER(Data!N:N,Data!D:D=A371,Data!B:B=$B$1),""TRAVERSE"")*15)+(COUNTIF(FILTER(Data!N:N,Data!D:D=A371,Data!B:B=B$1),""HIGH"")*10)+(COUNTIF(FILTER(Data!N:N,Data!D:D=A371,Data!B:B=$B$1),""MIDDLE"")*6)+(COUNTIF(FILTER(Data!N:N,Data!D:D=A371,Data!B:"&amp;"B=$B$1),""LOW"")*4))"),0.0)</f>
        <v>0</v>
      </c>
      <c r="V371" s="138" t="str">
        <f>IF(Data!B363='Team Parser'!$B$1, Data!D363,"")</f>
        <v/>
      </c>
      <c r="W371" s="134" t="str">
        <f>IF(Data!$B363='Team Parser'!$B$1, Data!H363,"")</f>
        <v/>
      </c>
      <c r="X371" s="134" t="str">
        <f>IF(Data!$B363='Team Parser'!$B$1, Data!G363,"")</f>
        <v/>
      </c>
      <c r="Y371" s="134" t="str">
        <f>IF(Data!$B363='Team Parser'!$B$1, Data!L363,"")</f>
        <v/>
      </c>
      <c r="Z371" s="134" t="str">
        <f>IF(Data!$B363='Team Parser'!$B$1, Data!K363,"")</f>
        <v/>
      </c>
      <c r="AA371" s="134" t="str">
        <f>IF(Data!$B363='Team Parser'!$B$1, Data!M363,"")</f>
        <v/>
      </c>
      <c r="AB371" s="134" t="str">
        <f>IF(Data!$B363='Team Parser'!$B$1,((Z371*2)+(Y371)+(X371*4)+(W371*2)),"")</f>
        <v/>
      </c>
      <c r="AC371" s="134" t="str">
        <f>IF(Data!$B363='Team Parser'!$B$1, Data!N363,"")</f>
        <v/>
      </c>
      <c r="AD371" s="139" t="str">
        <f>IF(Data!$B363='Team Parser'!$B$1,(AB371+(COUNTIF(AC371,"TRAVERSE")*15)+(COUNTIF(AC371,"HIGH")*10)+(COUNTIF(AC371,"MIDDLE")*6)+(COUNTIF(AC371,"LOW")*4)),"")</f>
        <v/>
      </c>
    </row>
    <row r="372">
      <c r="A372" s="141" t="s">
        <v>507</v>
      </c>
      <c r="B372" s="134" t="str">
        <f>IFERROR(__xludf.DUMMYFUNCTION("IFERROR((FILTER(Data!H:H,Data!D:D=A372,Data!B:B=$B$1)),"""")"),"")</f>
        <v/>
      </c>
      <c r="C372" s="134" t="str">
        <f>IFERROR(__xludf.DUMMYFUNCTION("IFERROR((FILTER(Data!G:G,Data!D:D=A372,Data!B:B=$B$1)),"""")"),"")</f>
        <v/>
      </c>
      <c r="D372" s="134" t="str">
        <f>IFERROR(__xludf.DUMMYFUNCTION("IFERROR((FILTER(Data!J:J,Data!D:D=A372,Data!B:B=$B$1)),"""")"),"")</f>
        <v/>
      </c>
      <c r="E372" s="134" t="str">
        <f>IFERROR(__xludf.DUMMYFUNCTION("IFERROR((FILTER(Data!L:L,Data!D:D=A372,Data!B:B=$B$1)),"""")"),"")</f>
        <v/>
      </c>
      <c r="F372" s="134" t="str">
        <f>IFERROR(__xludf.DUMMYFUNCTION("IFERROR((FILTER(Data!K:K,Data!D:D=A372,Data!B:B=$B$1)),"""")"),"")</f>
        <v/>
      </c>
      <c r="G372" s="134" t="str">
        <f>IFERROR(__xludf.DUMMYFUNCTION("IFERROR((FILTER(Data!M:M,Data!D:D=A372,Data!B:B=$B$1)),"""")"),"")</f>
        <v/>
      </c>
      <c r="H372" s="134" t="str">
        <f>IFERROR(__xludf.DUMMYFUNCTION("IFERROR((FILTER(Data!G:G,Data!D:D=A372,Data!B:B=$B$1)*4)+(FILTER(Data!H:H,Data!D:D=A372,Data!B:B=$B$1)*2),"""")"),"")</f>
        <v/>
      </c>
      <c r="I372" s="15" t="str">
        <f>IFERROR(__xludf.DUMMYFUNCTION("IFERROR((FILTER(Data!K:K,Data!D:D=A372,Data!B:B=$B$1)*2)+(FILTER(Data!L:L,Data!D:D=A372,Data!B:B=$B$1)),"""")"),"")</f>
        <v/>
      </c>
      <c r="J372" s="134" t="str">
        <f>IFERROR(__xludf.DUMMYFUNCTION("IFERROR((FILTER(Data!N:N,Data!D:D=A372,Data!B:B=$B$1)),"""")"),"")</f>
        <v/>
      </c>
      <c r="K372" s="135" t="str">
        <f>IFERROR(__xludf.DUMMYFUNCTION("IFERROR((FILTER(Data!H:H,Data!D:D=A372,Data!B:B=$B$1)*2)+(FILTER(Data!L:L,Data!D:D=A372,Data!B:B=$B$1))+(FILTER(Data!G:G,Data!D:D=A372,Data!B:B=$B$1)*4)+(FILTER(Data!K:K,Data!D:D=A372,Data!B:B=$B$1)*2)+(((COUNTIF(FILTER(Data!N:N,Data!D:D=A372,Data!B:B=$B$"&amp;"1),""TRAVERSE"")*15)+(COUNTIF(FILTER(Data!N:N,Data!D:D=A372,Data!B:B=$B$1),""HIGH"")*10)+(COUNTIF(FILTER(Data!N:N,Data!D:D=A372,Data!B:B=$B$1),""MIDDLE"")*6)+(COUNTIF(FILTER(Data!N:N,Data!D:D=A372,Data!B:B=$B$1),""LOW"")*4))),"""")"),"")</f>
        <v/>
      </c>
      <c r="L372" s="136" t="str">
        <f>IFERROR(__xludf.DUMMYFUNCTION("IFERROR((FILTER(Data!P:P,Data!D:D=A372,Data!B:B=$B$1)),"""")"),"")</f>
        <v/>
      </c>
      <c r="M372" s="137" t="str">
        <f>IFERROR(__xludf.DUMMYFUNCTION("IFERROR((FILTER(Data!A:A,Data!D:D=A372,Data!B:B=$B$1)),"""")"),"")</f>
        <v/>
      </c>
      <c r="T372" s="52">
        <f>IFERROR(__xludf.DUMMYFUNCTION("((COUNTIF(FILTER(Data!N:N,Data!D:D=A372,Data!B:B=$B$1),""TRAVERSE"")*15)+(COUNTIF(FILTER(Data!N:N,Data!D:D=A372,Data!B:B=B$1),""HIGH"")*10)+(COUNTIF(FILTER(Data!N:N,Data!D:D=A372,Data!B:B=$B$1),""MIDDLE"")*6)+(COUNTIF(FILTER(Data!N:N,Data!D:D=A372,Data!B:"&amp;"B=$B$1),""LOW"")*4))"),0.0)</f>
        <v>0</v>
      </c>
      <c r="V372" s="138" t="str">
        <f>IF(Data!B364='Team Parser'!$B$1, Data!D364,"")</f>
        <v/>
      </c>
      <c r="W372" s="134" t="str">
        <f>IF(Data!$B364='Team Parser'!$B$1, Data!H364,"")</f>
        <v/>
      </c>
      <c r="X372" s="134" t="str">
        <f>IF(Data!$B364='Team Parser'!$B$1, Data!G364,"")</f>
        <v/>
      </c>
      <c r="Y372" s="134" t="str">
        <f>IF(Data!$B364='Team Parser'!$B$1, Data!L364,"")</f>
        <v/>
      </c>
      <c r="Z372" s="134" t="str">
        <f>IF(Data!$B364='Team Parser'!$B$1, Data!K364,"")</f>
        <v/>
      </c>
      <c r="AA372" s="134" t="str">
        <f>IF(Data!$B364='Team Parser'!$B$1, Data!M364,"")</f>
        <v/>
      </c>
      <c r="AB372" s="134" t="str">
        <f>IF(Data!$B364='Team Parser'!$B$1,((Z372*2)+(Y372)+(X372*4)+(W372*2)),"")</f>
        <v/>
      </c>
      <c r="AC372" s="134" t="str">
        <f>IF(Data!$B364='Team Parser'!$B$1, Data!N364,"")</f>
        <v/>
      </c>
      <c r="AD372" s="139" t="str">
        <f>IF(Data!$B364='Team Parser'!$B$1,(AB372+(COUNTIF(AC372,"TRAVERSE")*15)+(COUNTIF(AC372,"HIGH")*10)+(COUNTIF(AC372,"MIDDLE")*6)+(COUNTIF(AC372,"LOW")*4)),"")</f>
        <v/>
      </c>
    </row>
    <row r="373">
      <c r="A373" s="141" t="s">
        <v>507</v>
      </c>
      <c r="B373" s="134" t="str">
        <f>IFERROR(__xludf.DUMMYFUNCTION("IFERROR((FILTER(Data!H:H,Data!D:D=A373,Data!B:B=$B$1)),"""")"),"")</f>
        <v/>
      </c>
      <c r="C373" s="134" t="str">
        <f>IFERROR(__xludf.DUMMYFUNCTION("IFERROR((FILTER(Data!G:G,Data!D:D=A373,Data!B:B=$B$1)),"""")"),"")</f>
        <v/>
      </c>
      <c r="D373" s="134" t="str">
        <f>IFERROR(__xludf.DUMMYFUNCTION("IFERROR((FILTER(Data!J:J,Data!D:D=A373,Data!B:B=$B$1)),"""")"),"")</f>
        <v/>
      </c>
      <c r="E373" s="134" t="str">
        <f>IFERROR(__xludf.DUMMYFUNCTION("IFERROR((FILTER(Data!L:L,Data!D:D=A373,Data!B:B=$B$1)),"""")"),"")</f>
        <v/>
      </c>
      <c r="F373" s="134" t="str">
        <f>IFERROR(__xludf.DUMMYFUNCTION("IFERROR((FILTER(Data!K:K,Data!D:D=A373,Data!B:B=$B$1)),"""")"),"")</f>
        <v/>
      </c>
      <c r="G373" s="134" t="str">
        <f>IFERROR(__xludf.DUMMYFUNCTION("IFERROR((FILTER(Data!M:M,Data!D:D=A373,Data!B:B=$B$1)),"""")"),"")</f>
        <v/>
      </c>
      <c r="H373" s="134" t="str">
        <f>IFERROR(__xludf.DUMMYFUNCTION("IFERROR((FILTER(Data!G:G,Data!D:D=A373,Data!B:B=$B$1)*4)+(FILTER(Data!H:H,Data!D:D=A373,Data!B:B=$B$1)*2),"""")"),"")</f>
        <v/>
      </c>
      <c r="I373" s="15" t="str">
        <f>IFERROR(__xludf.DUMMYFUNCTION("IFERROR((FILTER(Data!K:K,Data!D:D=A373,Data!B:B=$B$1)*2)+(FILTER(Data!L:L,Data!D:D=A373,Data!B:B=$B$1)),"""")"),"")</f>
        <v/>
      </c>
      <c r="J373" s="134" t="str">
        <f>IFERROR(__xludf.DUMMYFUNCTION("IFERROR((FILTER(Data!N:N,Data!D:D=A373,Data!B:B=$B$1)),"""")"),"")</f>
        <v/>
      </c>
      <c r="K373" s="135" t="str">
        <f>IFERROR(__xludf.DUMMYFUNCTION("IFERROR((FILTER(Data!H:H,Data!D:D=A373,Data!B:B=$B$1)*2)+(FILTER(Data!L:L,Data!D:D=A373,Data!B:B=$B$1))+(FILTER(Data!G:G,Data!D:D=A373,Data!B:B=$B$1)*4)+(FILTER(Data!K:K,Data!D:D=A373,Data!B:B=$B$1)*2)+(((COUNTIF(FILTER(Data!N:N,Data!D:D=A373,Data!B:B=$B$"&amp;"1),""TRAVERSE"")*15)+(COUNTIF(FILTER(Data!N:N,Data!D:D=A373,Data!B:B=$B$1),""HIGH"")*10)+(COUNTIF(FILTER(Data!N:N,Data!D:D=A373,Data!B:B=$B$1),""MIDDLE"")*6)+(COUNTIF(FILTER(Data!N:N,Data!D:D=A373,Data!B:B=$B$1),""LOW"")*4))),"""")"),"")</f>
        <v/>
      </c>
      <c r="L373" s="136" t="str">
        <f>IFERROR(__xludf.DUMMYFUNCTION("IFERROR((FILTER(Data!P:P,Data!D:D=A373,Data!B:B=$B$1)),"""")"),"")</f>
        <v/>
      </c>
      <c r="M373" s="137" t="str">
        <f>IFERROR(__xludf.DUMMYFUNCTION("IFERROR((FILTER(Data!A:A,Data!D:D=A373,Data!B:B=$B$1)),"""")"),"")</f>
        <v/>
      </c>
      <c r="T373" s="52">
        <f>IFERROR(__xludf.DUMMYFUNCTION("((COUNTIF(FILTER(Data!N:N,Data!D:D=A373,Data!B:B=$B$1),""TRAVERSE"")*15)+(COUNTIF(FILTER(Data!N:N,Data!D:D=A373,Data!B:B=B$1),""HIGH"")*10)+(COUNTIF(FILTER(Data!N:N,Data!D:D=A373,Data!B:B=$B$1),""MIDDLE"")*6)+(COUNTIF(FILTER(Data!N:N,Data!D:D=A373,Data!B:"&amp;"B=$B$1),""LOW"")*4))"),0.0)</f>
        <v>0</v>
      </c>
      <c r="V373" s="138" t="str">
        <f>IF(Data!B365='Team Parser'!$B$1, Data!D365,"")</f>
        <v/>
      </c>
      <c r="W373" s="134" t="str">
        <f>IF(Data!$B365='Team Parser'!$B$1, Data!H365,"")</f>
        <v/>
      </c>
      <c r="X373" s="134" t="str">
        <f>IF(Data!$B365='Team Parser'!$B$1, Data!G365,"")</f>
        <v/>
      </c>
      <c r="Y373" s="134" t="str">
        <f>IF(Data!$B365='Team Parser'!$B$1, Data!L365,"")</f>
        <v/>
      </c>
      <c r="Z373" s="134" t="str">
        <f>IF(Data!$B365='Team Parser'!$B$1, Data!K365,"")</f>
        <v/>
      </c>
      <c r="AA373" s="134" t="str">
        <f>IF(Data!$B365='Team Parser'!$B$1, Data!M365,"")</f>
        <v/>
      </c>
      <c r="AB373" s="134" t="str">
        <f>IF(Data!$B365='Team Parser'!$B$1,((Z373*2)+(Y373)+(X373*4)+(W373*2)),"")</f>
        <v/>
      </c>
      <c r="AC373" s="134" t="str">
        <f>IF(Data!$B365='Team Parser'!$B$1, Data!N365,"")</f>
        <v/>
      </c>
      <c r="AD373" s="139" t="str">
        <f>IF(Data!$B365='Team Parser'!$B$1,(AB373+(COUNTIF(AC373,"TRAVERSE")*15)+(COUNTIF(AC373,"HIGH")*10)+(COUNTIF(AC373,"MIDDLE")*6)+(COUNTIF(AC373,"LOW")*4)),"")</f>
        <v/>
      </c>
    </row>
    <row r="374">
      <c r="A374" s="141" t="s">
        <v>507</v>
      </c>
      <c r="B374" s="134" t="str">
        <f>IFERROR(__xludf.DUMMYFUNCTION("IFERROR((FILTER(Data!H:H,Data!D:D=A374,Data!B:B=$B$1)),"""")"),"")</f>
        <v/>
      </c>
      <c r="C374" s="134" t="str">
        <f>IFERROR(__xludf.DUMMYFUNCTION("IFERROR((FILTER(Data!G:G,Data!D:D=A374,Data!B:B=$B$1)),"""")"),"")</f>
        <v/>
      </c>
      <c r="D374" s="134" t="str">
        <f>IFERROR(__xludf.DUMMYFUNCTION("IFERROR((FILTER(Data!J:J,Data!D:D=A374,Data!B:B=$B$1)),"""")"),"")</f>
        <v/>
      </c>
      <c r="E374" s="134" t="str">
        <f>IFERROR(__xludf.DUMMYFUNCTION("IFERROR((FILTER(Data!L:L,Data!D:D=A374,Data!B:B=$B$1)),"""")"),"")</f>
        <v/>
      </c>
      <c r="F374" s="134" t="str">
        <f>IFERROR(__xludf.DUMMYFUNCTION("IFERROR((FILTER(Data!K:K,Data!D:D=A374,Data!B:B=$B$1)),"""")"),"")</f>
        <v/>
      </c>
      <c r="G374" s="134" t="str">
        <f>IFERROR(__xludf.DUMMYFUNCTION("IFERROR((FILTER(Data!M:M,Data!D:D=A374,Data!B:B=$B$1)),"""")"),"")</f>
        <v/>
      </c>
      <c r="H374" s="134" t="str">
        <f>IFERROR(__xludf.DUMMYFUNCTION("IFERROR((FILTER(Data!G:G,Data!D:D=A374,Data!B:B=$B$1)*4)+(FILTER(Data!H:H,Data!D:D=A374,Data!B:B=$B$1)*2),"""")"),"")</f>
        <v/>
      </c>
      <c r="I374" s="15" t="str">
        <f>IFERROR(__xludf.DUMMYFUNCTION("IFERROR((FILTER(Data!K:K,Data!D:D=A374,Data!B:B=$B$1)*2)+(FILTER(Data!L:L,Data!D:D=A374,Data!B:B=$B$1)),"""")"),"")</f>
        <v/>
      </c>
      <c r="J374" s="134" t="str">
        <f>IFERROR(__xludf.DUMMYFUNCTION("IFERROR((FILTER(Data!N:N,Data!D:D=A374,Data!B:B=$B$1)),"""")"),"")</f>
        <v/>
      </c>
      <c r="K374" s="135" t="str">
        <f>IFERROR(__xludf.DUMMYFUNCTION("IFERROR((FILTER(Data!H:H,Data!D:D=A374,Data!B:B=$B$1)*2)+(FILTER(Data!L:L,Data!D:D=A374,Data!B:B=$B$1))+(FILTER(Data!G:G,Data!D:D=A374,Data!B:B=$B$1)*4)+(FILTER(Data!K:K,Data!D:D=A374,Data!B:B=$B$1)*2)+(((COUNTIF(FILTER(Data!N:N,Data!D:D=A374,Data!B:B=$B$"&amp;"1),""TRAVERSE"")*15)+(COUNTIF(FILTER(Data!N:N,Data!D:D=A374,Data!B:B=$B$1),""HIGH"")*10)+(COUNTIF(FILTER(Data!N:N,Data!D:D=A374,Data!B:B=$B$1),""MIDDLE"")*6)+(COUNTIF(FILTER(Data!N:N,Data!D:D=A374,Data!B:B=$B$1),""LOW"")*4))),"""")"),"")</f>
        <v/>
      </c>
      <c r="L374" s="136" t="str">
        <f>IFERROR(__xludf.DUMMYFUNCTION("IFERROR((FILTER(Data!P:P,Data!D:D=A374,Data!B:B=$B$1)),"""")"),"")</f>
        <v/>
      </c>
      <c r="M374" s="137" t="str">
        <f>IFERROR(__xludf.DUMMYFUNCTION("IFERROR((FILTER(Data!A:A,Data!D:D=A374,Data!B:B=$B$1)),"""")"),"")</f>
        <v/>
      </c>
      <c r="T374" s="52">
        <f>IFERROR(__xludf.DUMMYFUNCTION("((COUNTIF(FILTER(Data!N:N,Data!D:D=A374,Data!B:B=$B$1),""TRAVERSE"")*15)+(COUNTIF(FILTER(Data!N:N,Data!D:D=A374,Data!B:B=B$1),""HIGH"")*10)+(COUNTIF(FILTER(Data!N:N,Data!D:D=A374,Data!B:B=$B$1),""MIDDLE"")*6)+(COUNTIF(FILTER(Data!N:N,Data!D:D=A374,Data!B:"&amp;"B=$B$1),""LOW"")*4))"),0.0)</f>
        <v>0</v>
      </c>
      <c r="V374" s="138" t="str">
        <f>IF(Data!B366='Team Parser'!$B$1, Data!D366,"")</f>
        <v/>
      </c>
      <c r="W374" s="134" t="str">
        <f>IF(Data!$B366='Team Parser'!$B$1, Data!H366,"")</f>
        <v/>
      </c>
      <c r="X374" s="134" t="str">
        <f>IF(Data!$B366='Team Parser'!$B$1, Data!G366,"")</f>
        <v/>
      </c>
      <c r="Y374" s="134" t="str">
        <f>IF(Data!$B366='Team Parser'!$B$1, Data!L366,"")</f>
        <v/>
      </c>
      <c r="Z374" s="134" t="str">
        <f>IF(Data!$B366='Team Parser'!$B$1, Data!K366,"")</f>
        <v/>
      </c>
      <c r="AA374" s="134" t="str">
        <f>IF(Data!$B366='Team Parser'!$B$1, Data!M366,"")</f>
        <v/>
      </c>
      <c r="AB374" s="134" t="str">
        <f>IF(Data!$B366='Team Parser'!$B$1,((Z374*2)+(Y374)+(X374*4)+(W374*2)),"")</f>
        <v/>
      </c>
      <c r="AC374" s="134" t="str">
        <f>IF(Data!$B366='Team Parser'!$B$1, Data!N366,"")</f>
        <v/>
      </c>
      <c r="AD374" s="139" t="str">
        <f>IF(Data!$B366='Team Parser'!$B$1,(AB374+(COUNTIF(AC374,"TRAVERSE")*15)+(COUNTIF(AC374,"HIGH")*10)+(COUNTIF(AC374,"MIDDLE")*6)+(COUNTIF(AC374,"LOW")*4)),"")</f>
        <v/>
      </c>
    </row>
    <row r="375">
      <c r="A375" s="141" t="s">
        <v>507</v>
      </c>
      <c r="B375" s="134" t="str">
        <f>IFERROR(__xludf.DUMMYFUNCTION("IFERROR((FILTER(Data!H:H,Data!D:D=A375,Data!B:B=$B$1)),"""")"),"")</f>
        <v/>
      </c>
      <c r="C375" s="134" t="str">
        <f>IFERROR(__xludf.DUMMYFUNCTION("IFERROR((FILTER(Data!G:G,Data!D:D=A375,Data!B:B=$B$1)),"""")"),"")</f>
        <v/>
      </c>
      <c r="D375" s="134" t="str">
        <f>IFERROR(__xludf.DUMMYFUNCTION("IFERROR((FILTER(Data!J:J,Data!D:D=A375,Data!B:B=$B$1)),"""")"),"")</f>
        <v/>
      </c>
      <c r="E375" s="134" t="str">
        <f>IFERROR(__xludf.DUMMYFUNCTION("IFERROR((FILTER(Data!L:L,Data!D:D=A375,Data!B:B=$B$1)),"""")"),"")</f>
        <v/>
      </c>
      <c r="F375" s="134" t="str">
        <f>IFERROR(__xludf.DUMMYFUNCTION("IFERROR((FILTER(Data!K:K,Data!D:D=A375,Data!B:B=$B$1)),"""")"),"")</f>
        <v/>
      </c>
      <c r="G375" s="134" t="str">
        <f>IFERROR(__xludf.DUMMYFUNCTION("IFERROR((FILTER(Data!M:M,Data!D:D=A375,Data!B:B=$B$1)),"""")"),"")</f>
        <v/>
      </c>
      <c r="H375" s="134" t="str">
        <f>IFERROR(__xludf.DUMMYFUNCTION("IFERROR((FILTER(Data!G:G,Data!D:D=A375,Data!B:B=$B$1)*4)+(FILTER(Data!H:H,Data!D:D=A375,Data!B:B=$B$1)*2),"""")"),"")</f>
        <v/>
      </c>
      <c r="I375" s="15" t="str">
        <f>IFERROR(__xludf.DUMMYFUNCTION("IFERROR((FILTER(Data!K:K,Data!D:D=A375,Data!B:B=$B$1)*2)+(FILTER(Data!L:L,Data!D:D=A375,Data!B:B=$B$1)),"""")"),"")</f>
        <v/>
      </c>
      <c r="J375" s="134" t="str">
        <f>IFERROR(__xludf.DUMMYFUNCTION("IFERROR((FILTER(Data!N:N,Data!D:D=A375,Data!B:B=$B$1)),"""")"),"")</f>
        <v/>
      </c>
      <c r="K375" s="135" t="str">
        <f>IFERROR(__xludf.DUMMYFUNCTION("IFERROR((FILTER(Data!H:H,Data!D:D=A375,Data!B:B=$B$1)*2)+(FILTER(Data!L:L,Data!D:D=A375,Data!B:B=$B$1))+(FILTER(Data!G:G,Data!D:D=A375,Data!B:B=$B$1)*4)+(FILTER(Data!K:K,Data!D:D=A375,Data!B:B=$B$1)*2)+(((COUNTIF(FILTER(Data!N:N,Data!D:D=A375,Data!B:B=$B$"&amp;"1),""TRAVERSE"")*15)+(COUNTIF(FILTER(Data!N:N,Data!D:D=A375,Data!B:B=$B$1),""HIGH"")*10)+(COUNTIF(FILTER(Data!N:N,Data!D:D=A375,Data!B:B=$B$1),""MIDDLE"")*6)+(COUNTIF(FILTER(Data!N:N,Data!D:D=A375,Data!B:B=$B$1),""LOW"")*4))),"""")"),"")</f>
        <v/>
      </c>
      <c r="L375" s="136" t="str">
        <f>IFERROR(__xludf.DUMMYFUNCTION("IFERROR((FILTER(Data!P:P,Data!D:D=A375,Data!B:B=$B$1)),"""")"),"")</f>
        <v/>
      </c>
      <c r="M375" s="137" t="str">
        <f>IFERROR(__xludf.DUMMYFUNCTION("IFERROR((FILTER(Data!A:A,Data!D:D=A375,Data!B:B=$B$1)),"""")"),"")</f>
        <v/>
      </c>
      <c r="T375" s="52">
        <f>IFERROR(__xludf.DUMMYFUNCTION("((COUNTIF(FILTER(Data!N:N,Data!D:D=A375,Data!B:B=$B$1),""TRAVERSE"")*15)+(COUNTIF(FILTER(Data!N:N,Data!D:D=A375,Data!B:B=B$1),""HIGH"")*10)+(COUNTIF(FILTER(Data!N:N,Data!D:D=A375,Data!B:B=$B$1),""MIDDLE"")*6)+(COUNTIF(FILTER(Data!N:N,Data!D:D=A375,Data!B:"&amp;"B=$B$1),""LOW"")*4))"),0.0)</f>
        <v>0</v>
      </c>
      <c r="V375" s="138" t="str">
        <f>IF(Data!B367='Team Parser'!$B$1, Data!D367,"")</f>
        <v/>
      </c>
      <c r="W375" s="134" t="str">
        <f>IF(Data!$B367='Team Parser'!$B$1, Data!H367,"")</f>
        <v/>
      </c>
      <c r="X375" s="134" t="str">
        <f>IF(Data!$B367='Team Parser'!$B$1, Data!G367,"")</f>
        <v/>
      </c>
      <c r="Y375" s="134" t="str">
        <f>IF(Data!$B367='Team Parser'!$B$1, Data!L367,"")</f>
        <v/>
      </c>
      <c r="Z375" s="134" t="str">
        <f>IF(Data!$B367='Team Parser'!$B$1, Data!K367,"")</f>
        <v/>
      </c>
      <c r="AA375" s="134" t="str">
        <f>IF(Data!$B367='Team Parser'!$B$1, Data!M367,"")</f>
        <v/>
      </c>
      <c r="AB375" s="134" t="str">
        <f>IF(Data!$B367='Team Parser'!$B$1,((Z375*2)+(Y375)+(X375*4)+(W375*2)),"")</f>
        <v/>
      </c>
      <c r="AC375" s="134" t="str">
        <f>IF(Data!$B367='Team Parser'!$B$1, Data!N367,"")</f>
        <v/>
      </c>
      <c r="AD375" s="139" t="str">
        <f>IF(Data!$B367='Team Parser'!$B$1,(AB375+(COUNTIF(AC375,"TRAVERSE")*15)+(COUNTIF(AC375,"HIGH")*10)+(COUNTIF(AC375,"MIDDLE")*6)+(COUNTIF(AC375,"LOW")*4)),"")</f>
        <v/>
      </c>
    </row>
    <row r="376">
      <c r="A376" s="141" t="s">
        <v>507</v>
      </c>
      <c r="B376" s="134" t="str">
        <f>IFERROR(__xludf.DUMMYFUNCTION("IFERROR((FILTER(Data!H:H,Data!D:D=A376,Data!B:B=$B$1)),"""")"),"")</f>
        <v/>
      </c>
      <c r="C376" s="134" t="str">
        <f>IFERROR(__xludf.DUMMYFUNCTION("IFERROR((FILTER(Data!G:G,Data!D:D=A376,Data!B:B=$B$1)),"""")"),"")</f>
        <v/>
      </c>
      <c r="D376" s="134" t="str">
        <f>IFERROR(__xludf.DUMMYFUNCTION("IFERROR((FILTER(Data!J:J,Data!D:D=A376,Data!B:B=$B$1)),"""")"),"")</f>
        <v/>
      </c>
      <c r="E376" s="134" t="str">
        <f>IFERROR(__xludf.DUMMYFUNCTION("IFERROR((FILTER(Data!L:L,Data!D:D=A376,Data!B:B=$B$1)),"""")"),"")</f>
        <v/>
      </c>
      <c r="F376" s="134" t="str">
        <f>IFERROR(__xludf.DUMMYFUNCTION("IFERROR((FILTER(Data!K:K,Data!D:D=A376,Data!B:B=$B$1)),"""")"),"")</f>
        <v/>
      </c>
      <c r="G376" s="134" t="str">
        <f>IFERROR(__xludf.DUMMYFUNCTION("IFERROR((FILTER(Data!M:M,Data!D:D=A376,Data!B:B=$B$1)),"""")"),"")</f>
        <v/>
      </c>
      <c r="H376" s="134" t="str">
        <f>IFERROR(__xludf.DUMMYFUNCTION("IFERROR((FILTER(Data!G:G,Data!D:D=A376,Data!B:B=$B$1)*4)+(FILTER(Data!H:H,Data!D:D=A376,Data!B:B=$B$1)*2),"""")"),"")</f>
        <v/>
      </c>
      <c r="I376" s="15" t="str">
        <f>IFERROR(__xludf.DUMMYFUNCTION("IFERROR((FILTER(Data!K:K,Data!D:D=A376,Data!B:B=$B$1)*2)+(FILTER(Data!L:L,Data!D:D=A376,Data!B:B=$B$1)),"""")"),"")</f>
        <v/>
      </c>
      <c r="J376" s="134" t="str">
        <f>IFERROR(__xludf.DUMMYFUNCTION("IFERROR((FILTER(Data!N:N,Data!D:D=A376,Data!B:B=$B$1)),"""")"),"")</f>
        <v/>
      </c>
      <c r="K376" s="135" t="str">
        <f>IFERROR(__xludf.DUMMYFUNCTION("IFERROR((FILTER(Data!H:H,Data!D:D=A376,Data!B:B=$B$1)*2)+(FILTER(Data!L:L,Data!D:D=A376,Data!B:B=$B$1))+(FILTER(Data!G:G,Data!D:D=A376,Data!B:B=$B$1)*4)+(FILTER(Data!K:K,Data!D:D=A376,Data!B:B=$B$1)*2)+(((COUNTIF(FILTER(Data!N:N,Data!D:D=A376,Data!B:B=$B$"&amp;"1),""TRAVERSE"")*15)+(COUNTIF(FILTER(Data!N:N,Data!D:D=A376,Data!B:B=$B$1),""HIGH"")*10)+(COUNTIF(FILTER(Data!N:N,Data!D:D=A376,Data!B:B=$B$1),""MIDDLE"")*6)+(COUNTIF(FILTER(Data!N:N,Data!D:D=A376,Data!B:B=$B$1),""LOW"")*4))),"""")"),"")</f>
        <v/>
      </c>
      <c r="L376" s="136" t="str">
        <f>IFERROR(__xludf.DUMMYFUNCTION("IFERROR((FILTER(Data!P:P,Data!D:D=A376,Data!B:B=$B$1)),"""")"),"")</f>
        <v/>
      </c>
      <c r="M376" s="137" t="str">
        <f>IFERROR(__xludf.DUMMYFUNCTION("IFERROR((FILTER(Data!A:A,Data!D:D=A376,Data!B:B=$B$1)),"""")"),"")</f>
        <v/>
      </c>
      <c r="T376" s="52">
        <f>IFERROR(__xludf.DUMMYFUNCTION("((COUNTIF(FILTER(Data!N:N,Data!D:D=A376,Data!B:B=$B$1),""TRAVERSE"")*15)+(COUNTIF(FILTER(Data!N:N,Data!D:D=A376,Data!B:B=B$1),""HIGH"")*10)+(COUNTIF(FILTER(Data!N:N,Data!D:D=A376,Data!B:B=$B$1),""MIDDLE"")*6)+(COUNTIF(FILTER(Data!N:N,Data!D:D=A376,Data!B:"&amp;"B=$B$1),""LOW"")*4))"),0.0)</f>
        <v>0</v>
      </c>
      <c r="V376" s="138" t="str">
        <f>IF(Data!B368='Team Parser'!$B$1, Data!D368,"")</f>
        <v/>
      </c>
      <c r="W376" s="134" t="str">
        <f>IF(Data!$B368='Team Parser'!$B$1, Data!H368,"")</f>
        <v/>
      </c>
      <c r="X376" s="134" t="str">
        <f>IF(Data!$B368='Team Parser'!$B$1, Data!G368,"")</f>
        <v/>
      </c>
      <c r="Y376" s="134" t="str">
        <f>IF(Data!$B368='Team Parser'!$B$1, Data!L368,"")</f>
        <v/>
      </c>
      <c r="Z376" s="134" t="str">
        <f>IF(Data!$B368='Team Parser'!$B$1, Data!K368,"")</f>
        <v/>
      </c>
      <c r="AA376" s="134" t="str">
        <f>IF(Data!$B368='Team Parser'!$B$1, Data!M368,"")</f>
        <v/>
      </c>
      <c r="AB376" s="134" t="str">
        <f>IF(Data!$B368='Team Parser'!$B$1,((Z376*2)+(Y376)+(X376*4)+(W376*2)),"")</f>
        <v/>
      </c>
      <c r="AC376" s="134" t="str">
        <f>IF(Data!$B368='Team Parser'!$B$1, Data!N368,"")</f>
        <v/>
      </c>
      <c r="AD376" s="139" t="str">
        <f>IF(Data!$B368='Team Parser'!$B$1,(AB376+(COUNTIF(AC376,"TRAVERSE")*15)+(COUNTIF(AC376,"HIGH")*10)+(COUNTIF(AC376,"MIDDLE")*6)+(COUNTIF(AC376,"LOW")*4)),"")</f>
        <v/>
      </c>
    </row>
    <row r="377">
      <c r="A377" s="141" t="s">
        <v>507</v>
      </c>
      <c r="B377" s="134" t="str">
        <f>IFERROR(__xludf.DUMMYFUNCTION("IFERROR((FILTER(Data!H:H,Data!D:D=A377,Data!B:B=$B$1)),"""")"),"")</f>
        <v/>
      </c>
      <c r="C377" s="134" t="str">
        <f>IFERROR(__xludf.DUMMYFUNCTION("IFERROR((FILTER(Data!G:G,Data!D:D=A377,Data!B:B=$B$1)),"""")"),"")</f>
        <v/>
      </c>
      <c r="D377" s="134" t="str">
        <f>IFERROR(__xludf.DUMMYFUNCTION("IFERROR((FILTER(Data!J:J,Data!D:D=A377,Data!B:B=$B$1)),"""")"),"")</f>
        <v/>
      </c>
      <c r="E377" s="134" t="str">
        <f>IFERROR(__xludf.DUMMYFUNCTION("IFERROR((FILTER(Data!L:L,Data!D:D=A377,Data!B:B=$B$1)),"""")"),"")</f>
        <v/>
      </c>
      <c r="F377" s="134" t="str">
        <f>IFERROR(__xludf.DUMMYFUNCTION("IFERROR((FILTER(Data!K:K,Data!D:D=A377,Data!B:B=$B$1)),"""")"),"")</f>
        <v/>
      </c>
      <c r="G377" s="134" t="str">
        <f>IFERROR(__xludf.DUMMYFUNCTION("IFERROR((FILTER(Data!M:M,Data!D:D=A377,Data!B:B=$B$1)),"""")"),"")</f>
        <v/>
      </c>
      <c r="H377" s="134" t="str">
        <f>IFERROR(__xludf.DUMMYFUNCTION("IFERROR((FILTER(Data!G:G,Data!D:D=A377,Data!B:B=$B$1)*4)+(FILTER(Data!H:H,Data!D:D=A377,Data!B:B=$B$1)*2),"""")"),"")</f>
        <v/>
      </c>
      <c r="I377" s="15" t="str">
        <f>IFERROR(__xludf.DUMMYFUNCTION("IFERROR((FILTER(Data!K:K,Data!D:D=A377,Data!B:B=$B$1)*2)+(FILTER(Data!L:L,Data!D:D=A377,Data!B:B=$B$1)),"""")"),"")</f>
        <v/>
      </c>
      <c r="J377" s="134" t="str">
        <f>IFERROR(__xludf.DUMMYFUNCTION("IFERROR((FILTER(Data!N:N,Data!D:D=A377,Data!B:B=$B$1)),"""")"),"")</f>
        <v/>
      </c>
      <c r="K377" s="135" t="str">
        <f>IFERROR(__xludf.DUMMYFUNCTION("IFERROR((FILTER(Data!H:H,Data!D:D=A377,Data!B:B=$B$1)*2)+(FILTER(Data!L:L,Data!D:D=A377,Data!B:B=$B$1))+(FILTER(Data!G:G,Data!D:D=A377,Data!B:B=$B$1)*4)+(FILTER(Data!K:K,Data!D:D=A377,Data!B:B=$B$1)*2)+(((COUNTIF(FILTER(Data!N:N,Data!D:D=A377,Data!B:B=$B$"&amp;"1),""TRAVERSE"")*15)+(COUNTIF(FILTER(Data!N:N,Data!D:D=A377,Data!B:B=$B$1),""HIGH"")*10)+(COUNTIF(FILTER(Data!N:N,Data!D:D=A377,Data!B:B=$B$1),""MIDDLE"")*6)+(COUNTIF(FILTER(Data!N:N,Data!D:D=A377,Data!B:B=$B$1),""LOW"")*4))),"""")"),"")</f>
        <v/>
      </c>
      <c r="L377" s="136" t="str">
        <f>IFERROR(__xludf.DUMMYFUNCTION("IFERROR((FILTER(Data!P:P,Data!D:D=A377,Data!B:B=$B$1)),"""")"),"")</f>
        <v/>
      </c>
      <c r="M377" s="137" t="str">
        <f>IFERROR(__xludf.DUMMYFUNCTION("IFERROR((FILTER(Data!A:A,Data!D:D=A377,Data!B:B=$B$1)),"""")"),"")</f>
        <v/>
      </c>
      <c r="T377" s="52">
        <f>IFERROR(__xludf.DUMMYFUNCTION("((COUNTIF(FILTER(Data!N:N,Data!D:D=A377,Data!B:B=$B$1),""TRAVERSE"")*15)+(COUNTIF(FILTER(Data!N:N,Data!D:D=A377,Data!B:B=B$1),""HIGH"")*10)+(COUNTIF(FILTER(Data!N:N,Data!D:D=A377,Data!B:B=$B$1),""MIDDLE"")*6)+(COUNTIF(FILTER(Data!N:N,Data!D:D=A377,Data!B:"&amp;"B=$B$1),""LOW"")*4))"),0.0)</f>
        <v>0</v>
      </c>
      <c r="V377" s="138" t="str">
        <f>IF(Data!B369='Team Parser'!$B$1, Data!D369,"")</f>
        <v/>
      </c>
      <c r="W377" s="134" t="str">
        <f>IF(Data!$B369='Team Parser'!$B$1, Data!H369,"")</f>
        <v/>
      </c>
      <c r="X377" s="134" t="str">
        <f>IF(Data!$B369='Team Parser'!$B$1, Data!G369,"")</f>
        <v/>
      </c>
      <c r="Y377" s="134" t="str">
        <f>IF(Data!$B369='Team Parser'!$B$1, Data!L369,"")</f>
        <v/>
      </c>
      <c r="Z377" s="134" t="str">
        <f>IF(Data!$B369='Team Parser'!$B$1, Data!K369,"")</f>
        <v/>
      </c>
      <c r="AA377" s="134" t="str">
        <f>IF(Data!$B369='Team Parser'!$B$1, Data!M369,"")</f>
        <v/>
      </c>
      <c r="AB377" s="134" t="str">
        <f>IF(Data!$B369='Team Parser'!$B$1,((Z377*2)+(Y377)+(X377*4)+(W377*2)),"")</f>
        <v/>
      </c>
      <c r="AC377" s="134" t="str">
        <f>IF(Data!$B369='Team Parser'!$B$1, Data!N369,"")</f>
        <v/>
      </c>
      <c r="AD377" s="139" t="str">
        <f>IF(Data!$B369='Team Parser'!$B$1,(AB377+(COUNTIF(AC377,"TRAVERSE")*15)+(COUNTIF(AC377,"HIGH")*10)+(COUNTIF(AC377,"MIDDLE")*6)+(COUNTIF(AC377,"LOW")*4)),"")</f>
        <v/>
      </c>
    </row>
    <row r="378">
      <c r="A378" s="141" t="s">
        <v>507</v>
      </c>
      <c r="B378" s="134" t="str">
        <f>IFERROR(__xludf.DUMMYFUNCTION("IFERROR((FILTER(Data!H:H,Data!D:D=A378,Data!B:B=$B$1)),"""")"),"")</f>
        <v/>
      </c>
      <c r="C378" s="134" t="str">
        <f>IFERROR(__xludf.DUMMYFUNCTION("IFERROR((FILTER(Data!G:G,Data!D:D=A378,Data!B:B=$B$1)),"""")"),"")</f>
        <v/>
      </c>
      <c r="D378" s="134" t="str">
        <f>IFERROR(__xludf.DUMMYFUNCTION("IFERROR((FILTER(Data!J:J,Data!D:D=A378,Data!B:B=$B$1)),"""")"),"")</f>
        <v/>
      </c>
      <c r="E378" s="134" t="str">
        <f>IFERROR(__xludf.DUMMYFUNCTION("IFERROR((FILTER(Data!L:L,Data!D:D=A378,Data!B:B=$B$1)),"""")"),"")</f>
        <v/>
      </c>
      <c r="F378" s="134" t="str">
        <f>IFERROR(__xludf.DUMMYFUNCTION("IFERROR((FILTER(Data!K:K,Data!D:D=A378,Data!B:B=$B$1)),"""")"),"")</f>
        <v/>
      </c>
      <c r="G378" s="134" t="str">
        <f>IFERROR(__xludf.DUMMYFUNCTION("IFERROR((FILTER(Data!M:M,Data!D:D=A378,Data!B:B=$B$1)),"""")"),"")</f>
        <v/>
      </c>
      <c r="H378" s="134" t="str">
        <f>IFERROR(__xludf.DUMMYFUNCTION("IFERROR((FILTER(Data!G:G,Data!D:D=A378,Data!B:B=$B$1)*4)+(FILTER(Data!H:H,Data!D:D=A378,Data!B:B=$B$1)*2),"""")"),"")</f>
        <v/>
      </c>
      <c r="I378" s="15" t="str">
        <f>IFERROR(__xludf.DUMMYFUNCTION("IFERROR((FILTER(Data!K:K,Data!D:D=A378,Data!B:B=$B$1)*2)+(FILTER(Data!L:L,Data!D:D=A378,Data!B:B=$B$1)),"""")"),"")</f>
        <v/>
      </c>
      <c r="J378" s="134" t="str">
        <f>IFERROR(__xludf.DUMMYFUNCTION("IFERROR((FILTER(Data!N:N,Data!D:D=A378,Data!B:B=$B$1)),"""")"),"")</f>
        <v/>
      </c>
      <c r="K378" s="135" t="str">
        <f>IFERROR(__xludf.DUMMYFUNCTION("IFERROR((FILTER(Data!H:H,Data!D:D=A378,Data!B:B=$B$1)*2)+(FILTER(Data!L:L,Data!D:D=A378,Data!B:B=$B$1))+(FILTER(Data!G:G,Data!D:D=A378,Data!B:B=$B$1)*4)+(FILTER(Data!K:K,Data!D:D=A378,Data!B:B=$B$1)*2)+(((COUNTIF(FILTER(Data!N:N,Data!D:D=A378,Data!B:B=$B$"&amp;"1),""TRAVERSE"")*15)+(COUNTIF(FILTER(Data!N:N,Data!D:D=A378,Data!B:B=$B$1),""HIGH"")*10)+(COUNTIF(FILTER(Data!N:N,Data!D:D=A378,Data!B:B=$B$1),""MIDDLE"")*6)+(COUNTIF(FILTER(Data!N:N,Data!D:D=A378,Data!B:B=$B$1),""LOW"")*4))),"""")"),"")</f>
        <v/>
      </c>
      <c r="L378" s="136" t="str">
        <f>IFERROR(__xludf.DUMMYFUNCTION("IFERROR((FILTER(Data!P:P,Data!D:D=A378,Data!B:B=$B$1)),"""")"),"")</f>
        <v/>
      </c>
      <c r="M378" s="137" t="str">
        <f>IFERROR(__xludf.DUMMYFUNCTION("IFERROR((FILTER(Data!A:A,Data!D:D=A378,Data!B:B=$B$1)),"""")"),"")</f>
        <v/>
      </c>
      <c r="T378" s="52">
        <f>IFERROR(__xludf.DUMMYFUNCTION("((COUNTIF(FILTER(Data!N:N,Data!D:D=A378,Data!B:B=$B$1),""TRAVERSE"")*15)+(COUNTIF(FILTER(Data!N:N,Data!D:D=A378,Data!B:B=B$1),""HIGH"")*10)+(COUNTIF(FILTER(Data!N:N,Data!D:D=A378,Data!B:B=$B$1),""MIDDLE"")*6)+(COUNTIF(FILTER(Data!N:N,Data!D:D=A378,Data!B:"&amp;"B=$B$1),""LOW"")*4))"),0.0)</f>
        <v>0</v>
      </c>
      <c r="V378" s="138" t="str">
        <f>IF(Data!B370='Team Parser'!$B$1, Data!D370,"")</f>
        <v/>
      </c>
      <c r="W378" s="134" t="str">
        <f>IF(Data!$B370='Team Parser'!$B$1, Data!H370,"")</f>
        <v/>
      </c>
      <c r="X378" s="134" t="str">
        <f>IF(Data!$B370='Team Parser'!$B$1, Data!G370,"")</f>
        <v/>
      </c>
      <c r="Y378" s="134" t="str">
        <f>IF(Data!$B370='Team Parser'!$B$1, Data!L370,"")</f>
        <v/>
      </c>
      <c r="Z378" s="134" t="str">
        <f>IF(Data!$B370='Team Parser'!$B$1, Data!K370,"")</f>
        <v/>
      </c>
      <c r="AA378" s="134" t="str">
        <f>IF(Data!$B370='Team Parser'!$B$1, Data!M370,"")</f>
        <v/>
      </c>
      <c r="AB378" s="134" t="str">
        <f>IF(Data!$B370='Team Parser'!$B$1,((Z378*2)+(Y378)+(X378*4)+(W378*2)),"")</f>
        <v/>
      </c>
      <c r="AC378" s="134" t="str">
        <f>IF(Data!$B370='Team Parser'!$B$1, Data!N370,"")</f>
        <v/>
      </c>
      <c r="AD378" s="139" t="str">
        <f>IF(Data!$B370='Team Parser'!$B$1,(AB378+(COUNTIF(AC378,"TRAVERSE")*15)+(COUNTIF(AC378,"HIGH")*10)+(COUNTIF(AC378,"MIDDLE")*6)+(COUNTIF(AC378,"LOW")*4)),"")</f>
        <v/>
      </c>
    </row>
    <row r="379">
      <c r="A379" s="141" t="s">
        <v>507</v>
      </c>
      <c r="B379" s="134" t="str">
        <f>IFERROR(__xludf.DUMMYFUNCTION("IFERROR((FILTER(Data!H:H,Data!D:D=A379,Data!B:B=$B$1)),"""")"),"")</f>
        <v/>
      </c>
      <c r="C379" s="134" t="str">
        <f>IFERROR(__xludf.DUMMYFUNCTION("IFERROR((FILTER(Data!G:G,Data!D:D=A379,Data!B:B=$B$1)),"""")"),"")</f>
        <v/>
      </c>
      <c r="D379" s="134" t="str">
        <f>IFERROR(__xludf.DUMMYFUNCTION("IFERROR((FILTER(Data!J:J,Data!D:D=A379,Data!B:B=$B$1)),"""")"),"")</f>
        <v/>
      </c>
      <c r="E379" s="134" t="str">
        <f>IFERROR(__xludf.DUMMYFUNCTION("IFERROR((FILTER(Data!L:L,Data!D:D=A379,Data!B:B=$B$1)),"""")"),"")</f>
        <v/>
      </c>
      <c r="F379" s="134" t="str">
        <f>IFERROR(__xludf.DUMMYFUNCTION("IFERROR((FILTER(Data!K:K,Data!D:D=A379,Data!B:B=$B$1)),"""")"),"")</f>
        <v/>
      </c>
      <c r="G379" s="134" t="str">
        <f>IFERROR(__xludf.DUMMYFUNCTION("IFERROR((FILTER(Data!M:M,Data!D:D=A379,Data!B:B=$B$1)),"""")"),"")</f>
        <v/>
      </c>
      <c r="H379" s="134" t="str">
        <f>IFERROR(__xludf.DUMMYFUNCTION("IFERROR((FILTER(Data!G:G,Data!D:D=A379,Data!B:B=$B$1)*4)+(FILTER(Data!H:H,Data!D:D=A379,Data!B:B=$B$1)*2),"""")"),"")</f>
        <v/>
      </c>
      <c r="I379" s="15" t="str">
        <f>IFERROR(__xludf.DUMMYFUNCTION("IFERROR((FILTER(Data!K:K,Data!D:D=A379,Data!B:B=$B$1)*2)+(FILTER(Data!L:L,Data!D:D=A379,Data!B:B=$B$1)),"""")"),"")</f>
        <v/>
      </c>
      <c r="J379" s="134" t="str">
        <f>IFERROR(__xludf.DUMMYFUNCTION("IFERROR((FILTER(Data!N:N,Data!D:D=A379,Data!B:B=$B$1)),"""")"),"")</f>
        <v/>
      </c>
      <c r="K379" s="135" t="str">
        <f>IFERROR(__xludf.DUMMYFUNCTION("IFERROR((FILTER(Data!H:H,Data!D:D=A379,Data!B:B=$B$1)*2)+(FILTER(Data!L:L,Data!D:D=A379,Data!B:B=$B$1))+(FILTER(Data!G:G,Data!D:D=A379,Data!B:B=$B$1)*4)+(FILTER(Data!K:K,Data!D:D=A379,Data!B:B=$B$1)*2)+(((COUNTIF(FILTER(Data!N:N,Data!D:D=A379,Data!B:B=$B$"&amp;"1),""TRAVERSE"")*15)+(COUNTIF(FILTER(Data!N:N,Data!D:D=A379,Data!B:B=$B$1),""HIGH"")*10)+(COUNTIF(FILTER(Data!N:N,Data!D:D=A379,Data!B:B=$B$1),""MIDDLE"")*6)+(COUNTIF(FILTER(Data!N:N,Data!D:D=A379,Data!B:B=$B$1),""LOW"")*4))),"""")"),"")</f>
        <v/>
      </c>
      <c r="L379" s="136" t="str">
        <f>IFERROR(__xludf.DUMMYFUNCTION("IFERROR((FILTER(Data!P:P,Data!D:D=A379,Data!B:B=$B$1)),"""")"),"")</f>
        <v/>
      </c>
      <c r="M379" s="137" t="str">
        <f>IFERROR(__xludf.DUMMYFUNCTION("IFERROR((FILTER(Data!A:A,Data!D:D=A379,Data!B:B=$B$1)),"""")"),"")</f>
        <v/>
      </c>
      <c r="T379" s="52">
        <f>IFERROR(__xludf.DUMMYFUNCTION("((COUNTIF(FILTER(Data!N:N,Data!D:D=A379,Data!B:B=$B$1),""TRAVERSE"")*15)+(COUNTIF(FILTER(Data!N:N,Data!D:D=A379,Data!B:B=B$1),""HIGH"")*10)+(COUNTIF(FILTER(Data!N:N,Data!D:D=A379,Data!B:B=$B$1),""MIDDLE"")*6)+(COUNTIF(FILTER(Data!N:N,Data!D:D=A379,Data!B:"&amp;"B=$B$1),""LOW"")*4))"),0.0)</f>
        <v>0</v>
      </c>
      <c r="V379" s="138" t="str">
        <f>IF(Data!B371='Team Parser'!$B$1, Data!D371,"")</f>
        <v/>
      </c>
      <c r="W379" s="134" t="str">
        <f>IF(Data!$B371='Team Parser'!$B$1, Data!H371,"")</f>
        <v/>
      </c>
      <c r="X379" s="134" t="str">
        <f>IF(Data!$B371='Team Parser'!$B$1, Data!G371,"")</f>
        <v/>
      </c>
      <c r="Y379" s="134" t="str">
        <f>IF(Data!$B371='Team Parser'!$B$1, Data!L371,"")</f>
        <v/>
      </c>
      <c r="Z379" s="134" t="str">
        <f>IF(Data!$B371='Team Parser'!$B$1, Data!K371,"")</f>
        <v/>
      </c>
      <c r="AA379" s="134" t="str">
        <f>IF(Data!$B371='Team Parser'!$B$1, Data!M371,"")</f>
        <v/>
      </c>
      <c r="AB379" s="134" t="str">
        <f>IF(Data!$B371='Team Parser'!$B$1,((Z379*2)+(Y379)+(X379*4)+(W379*2)),"")</f>
        <v/>
      </c>
      <c r="AC379" s="134" t="str">
        <f>IF(Data!$B371='Team Parser'!$B$1, Data!N371,"")</f>
        <v/>
      </c>
      <c r="AD379" s="139" t="str">
        <f>IF(Data!$B371='Team Parser'!$B$1,(AB379+(COUNTIF(AC379,"TRAVERSE")*15)+(COUNTIF(AC379,"HIGH")*10)+(COUNTIF(AC379,"MIDDLE")*6)+(COUNTIF(AC379,"LOW")*4)),"")</f>
        <v/>
      </c>
    </row>
    <row r="380">
      <c r="A380" s="141" t="s">
        <v>507</v>
      </c>
      <c r="B380" s="134" t="str">
        <f>IFERROR(__xludf.DUMMYFUNCTION("IFERROR((FILTER(Data!H:H,Data!D:D=A380,Data!B:B=$B$1)),"""")"),"")</f>
        <v/>
      </c>
      <c r="C380" s="134" t="str">
        <f>IFERROR(__xludf.DUMMYFUNCTION("IFERROR((FILTER(Data!G:G,Data!D:D=A380,Data!B:B=$B$1)),"""")"),"")</f>
        <v/>
      </c>
      <c r="D380" s="134" t="str">
        <f>IFERROR(__xludf.DUMMYFUNCTION("IFERROR((FILTER(Data!J:J,Data!D:D=A380,Data!B:B=$B$1)),"""")"),"")</f>
        <v/>
      </c>
      <c r="E380" s="134" t="str">
        <f>IFERROR(__xludf.DUMMYFUNCTION("IFERROR((FILTER(Data!L:L,Data!D:D=A380,Data!B:B=$B$1)),"""")"),"")</f>
        <v/>
      </c>
      <c r="F380" s="134" t="str">
        <f>IFERROR(__xludf.DUMMYFUNCTION("IFERROR((FILTER(Data!K:K,Data!D:D=A380,Data!B:B=$B$1)),"""")"),"")</f>
        <v/>
      </c>
      <c r="G380" s="134" t="str">
        <f>IFERROR(__xludf.DUMMYFUNCTION("IFERROR((FILTER(Data!M:M,Data!D:D=A380,Data!B:B=$B$1)),"""")"),"")</f>
        <v/>
      </c>
      <c r="H380" s="134" t="str">
        <f>IFERROR(__xludf.DUMMYFUNCTION("IFERROR((FILTER(Data!G:G,Data!D:D=A380,Data!B:B=$B$1)*4)+(FILTER(Data!H:H,Data!D:D=A380,Data!B:B=$B$1)*2),"""")"),"")</f>
        <v/>
      </c>
      <c r="I380" s="15" t="str">
        <f>IFERROR(__xludf.DUMMYFUNCTION("IFERROR((FILTER(Data!K:K,Data!D:D=A380,Data!B:B=$B$1)*2)+(FILTER(Data!L:L,Data!D:D=A380,Data!B:B=$B$1)),"""")"),"")</f>
        <v/>
      </c>
      <c r="J380" s="134" t="str">
        <f>IFERROR(__xludf.DUMMYFUNCTION("IFERROR((FILTER(Data!N:N,Data!D:D=A380,Data!B:B=$B$1)),"""")"),"")</f>
        <v/>
      </c>
      <c r="K380" s="135" t="str">
        <f>IFERROR(__xludf.DUMMYFUNCTION("IFERROR((FILTER(Data!H:H,Data!D:D=A380,Data!B:B=$B$1)*2)+(FILTER(Data!L:L,Data!D:D=A380,Data!B:B=$B$1))+(FILTER(Data!G:G,Data!D:D=A380,Data!B:B=$B$1)*4)+(FILTER(Data!K:K,Data!D:D=A380,Data!B:B=$B$1)*2)+(((COUNTIF(FILTER(Data!N:N,Data!D:D=A380,Data!B:B=$B$"&amp;"1),""TRAVERSE"")*15)+(COUNTIF(FILTER(Data!N:N,Data!D:D=A380,Data!B:B=$B$1),""HIGH"")*10)+(COUNTIF(FILTER(Data!N:N,Data!D:D=A380,Data!B:B=$B$1),""MIDDLE"")*6)+(COUNTIF(FILTER(Data!N:N,Data!D:D=A380,Data!B:B=$B$1),""LOW"")*4))),"""")"),"")</f>
        <v/>
      </c>
      <c r="L380" s="136" t="str">
        <f>IFERROR(__xludf.DUMMYFUNCTION("IFERROR((FILTER(Data!P:P,Data!D:D=A380,Data!B:B=$B$1)),"""")"),"")</f>
        <v/>
      </c>
      <c r="M380" s="137" t="str">
        <f>IFERROR(__xludf.DUMMYFUNCTION("IFERROR((FILTER(Data!A:A,Data!D:D=A380,Data!B:B=$B$1)),"""")"),"")</f>
        <v/>
      </c>
      <c r="T380" s="52">
        <f>IFERROR(__xludf.DUMMYFUNCTION("((COUNTIF(FILTER(Data!N:N,Data!D:D=A380,Data!B:B=$B$1),""TRAVERSE"")*15)+(COUNTIF(FILTER(Data!N:N,Data!D:D=A380,Data!B:B=B$1),""HIGH"")*10)+(COUNTIF(FILTER(Data!N:N,Data!D:D=A380,Data!B:B=$B$1),""MIDDLE"")*6)+(COUNTIF(FILTER(Data!N:N,Data!D:D=A380,Data!B:"&amp;"B=$B$1),""LOW"")*4))"),0.0)</f>
        <v>0</v>
      </c>
      <c r="V380" s="138" t="str">
        <f>IF(Data!B372='Team Parser'!$B$1, Data!D372,"")</f>
        <v/>
      </c>
      <c r="W380" s="134" t="str">
        <f>IF(Data!$B372='Team Parser'!$B$1, Data!H372,"")</f>
        <v/>
      </c>
      <c r="X380" s="134" t="str">
        <f>IF(Data!$B372='Team Parser'!$B$1, Data!G372,"")</f>
        <v/>
      </c>
      <c r="Y380" s="134" t="str">
        <f>IF(Data!$B372='Team Parser'!$B$1, Data!L372,"")</f>
        <v/>
      </c>
      <c r="Z380" s="134" t="str">
        <f>IF(Data!$B372='Team Parser'!$B$1, Data!K372,"")</f>
        <v/>
      </c>
      <c r="AA380" s="134" t="str">
        <f>IF(Data!$B372='Team Parser'!$B$1, Data!M372,"")</f>
        <v/>
      </c>
      <c r="AB380" s="134" t="str">
        <f>IF(Data!$B372='Team Parser'!$B$1,((Z380*2)+(Y380)+(X380*4)+(W380*2)),"")</f>
        <v/>
      </c>
      <c r="AC380" s="134" t="str">
        <f>IF(Data!$B372='Team Parser'!$B$1, Data!N372,"")</f>
        <v/>
      </c>
      <c r="AD380" s="139" t="str">
        <f>IF(Data!$B372='Team Parser'!$B$1,(AB380+(COUNTIF(AC380,"TRAVERSE")*15)+(COUNTIF(AC380,"HIGH")*10)+(COUNTIF(AC380,"MIDDLE")*6)+(COUNTIF(AC380,"LOW")*4)),"")</f>
        <v/>
      </c>
    </row>
    <row r="381">
      <c r="A381" s="141" t="s">
        <v>507</v>
      </c>
      <c r="B381" s="134" t="str">
        <f>IFERROR(__xludf.DUMMYFUNCTION("IFERROR((FILTER(Data!H:H,Data!D:D=A381,Data!B:B=$B$1)),"""")"),"")</f>
        <v/>
      </c>
      <c r="C381" s="134" t="str">
        <f>IFERROR(__xludf.DUMMYFUNCTION("IFERROR((FILTER(Data!G:G,Data!D:D=A381,Data!B:B=$B$1)),"""")"),"")</f>
        <v/>
      </c>
      <c r="D381" s="134" t="str">
        <f>IFERROR(__xludf.DUMMYFUNCTION("IFERROR((FILTER(Data!J:J,Data!D:D=A381,Data!B:B=$B$1)),"""")"),"")</f>
        <v/>
      </c>
      <c r="E381" s="134" t="str">
        <f>IFERROR(__xludf.DUMMYFUNCTION("IFERROR((FILTER(Data!L:L,Data!D:D=A381,Data!B:B=$B$1)),"""")"),"")</f>
        <v/>
      </c>
      <c r="F381" s="134" t="str">
        <f>IFERROR(__xludf.DUMMYFUNCTION("IFERROR((FILTER(Data!K:K,Data!D:D=A381,Data!B:B=$B$1)),"""")"),"")</f>
        <v/>
      </c>
      <c r="G381" s="134" t="str">
        <f>IFERROR(__xludf.DUMMYFUNCTION("IFERROR((FILTER(Data!M:M,Data!D:D=A381,Data!B:B=$B$1)),"""")"),"")</f>
        <v/>
      </c>
      <c r="H381" s="134" t="str">
        <f>IFERROR(__xludf.DUMMYFUNCTION("IFERROR((FILTER(Data!G:G,Data!D:D=A381,Data!B:B=$B$1)*4)+(FILTER(Data!H:H,Data!D:D=A381,Data!B:B=$B$1)*2),"""")"),"")</f>
        <v/>
      </c>
      <c r="I381" s="15" t="str">
        <f>IFERROR(__xludf.DUMMYFUNCTION("IFERROR((FILTER(Data!K:K,Data!D:D=A381,Data!B:B=$B$1)*2)+(FILTER(Data!L:L,Data!D:D=A381,Data!B:B=$B$1)),"""")"),"")</f>
        <v/>
      </c>
      <c r="J381" s="134" t="str">
        <f>IFERROR(__xludf.DUMMYFUNCTION("IFERROR((FILTER(Data!N:N,Data!D:D=A381,Data!B:B=$B$1)),"""")"),"")</f>
        <v/>
      </c>
      <c r="K381" s="135" t="str">
        <f>IFERROR(__xludf.DUMMYFUNCTION("IFERROR((FILTER(Data!H:H,Data!D:D=A381,Data!B:B=$B$1)*2)+(FILTER(Data!L:L,Data!D:D=A381,Data!B:B=$B$1))+(FILTER(Data!G:G,Data!D:D=A381,Data!B:B=$B$1)*4)+(FILTER(Data!K:K,Data!D:D=A381,Data!B:B=$B$1)*2)+(((COUNTIF(FILTER(Data!N:N,Data!D:D=A381,Data!B:B=$B$"&amp;"1),""TRAVERSE"")*15)+(COUNTIF(FILTER(Data!N:N,Data!D:D=A381,Data!B:B=$B$1),""HIGH"")*10)+(COUNTIF(FILTER(Data!N:N,Data!D:D=A381,Data!B:B=$B$1),""MIDDLE"")*6)+(COUNTIF(FILTER(Data!N:N,Data!D:D=A381,Data!B:B=$B$1),""LOW"")*4))),"""")"),"")</f>
        <v/>
      </c>
      <c r="L381" s="136" t="str">
        <f>IFERROR(__xludf.DUMMYFUNCTION("IFERROR((FILTER(Data!P:P,Data!D:D=A381,Data!B:B=$B$1)),"""")"),"")</f>
        <v/>
      </c>
      <c r="M381" s="137" t="str">
        <f>IFERROR(__xludf.DUMMYFUNCTION("IFERROR((FILTER(Data!A:A,Data!D:D=A381,Data!B:B=$B$1)),"""")"),"")</f>
        <v/>
      </c>
      <c r="T381" s="52">
        <f>IFERROR(__xludf.DUMMYFUNCTION("((COUNTIF(FILTER(Data!N:N,Data!D:D=A381,Data!B:B=$B$1),""TRAVERSE"")*15)+(COUNTIF(FILTER(Data!N:N,Data!D:D=A381,Data!B:B=B$1),""HIGH"")*10)+(COUNTIF(FILTER(Data!N:N,Data!D:D=A381,Data!B:B=$B$1),""MIDDLE"")*6)+(COUNTIF(FILTER(Data!N:N,Data!D:D=A381,Data!B:"&amp;"B=$B$1),""LOW"")*4))"),0.0)</f>
        <v>0</v>
      </c>
      <c r="V381" s="138" t="str">
        <f>IF(Data!B373='Team Parser'!$B$1, Data!D373,"")</f>
        <v/>
      </c>
      <c r="W381" s="134" t="str">
        <f>IF(Data!$B373='Team Parser'!$B$1, Data!H373,"")</f>
        <v/>
      </c>
      <c r="X381" s="134" t="str">
        <f>IF(Data!$B373='Team Parser'!$B$1, Data!G373,"")</f>
        <v/>
      </c>
      <c r="Y381" s="134" t="str">
        <f>IF(Data!$B373='Team Parser'!$B$1, Data!L373,"")</f>
        <v/>
      </c>
      <c r="Z381" s="134" t="str">
        <f>IF(Data!$B373='Team Parser'!$B$1, Data!K373,"")</f>
        <v/>
      </c>
      <c r="AA381" s="134" t="str">
        <f>IF(Data!$B373='Team Parser'!$B$1, Data!M373,"")</f>
        <v/>
      </c>
      <c r="AB381" s="134" t="str">
        <f>IF(Data!$B373='Team Parser'!$B$1,((Z381*2)+(Y381)+(X381*4)+(W381*2)),"")</f>
        <v/>
      </c>
      <c r="AC381" s="134" t="str">
        <f>IF(Data!$B373='Team Parser'!$B$1, Data!N373,"")</f>
        <v/>
      </c>
      <c r="AD381" s="139" t="str">
        <f>IF(Data!$B373='Team Parser'!$B$1,(AB381+(COUNTIF(AC381,"TRAVERSE")*15)+(COUNTIF(AC381,"HIGH")*10)+(COUNTIF(AC381,"MIDDLE")*6)+(COUNTIF(AC381,"LOW")*4)),"")</f>
        <v/>
      </c>
    </row>
    <row r="382">
      <c r="A382" s="141" t="s">
        <v>507</v>
      </c>
      <c r="B382" s="134" t="str">
        <f>IFERROR(__xludf.DUMMYFUNCTION("IFERROR((FILTER(Data!H:H,Data!D:D=A382,Data!B:B=$B$1)),"""")"),"")</f>
        <v/>
      </c>
      <c r="C382" s="134" t="str">
        <f>IFERROR(__xludf.DUMMYFUNCTION("IFERROR((FILTER(Data!G:G,Data!D:D=A382,Data!B:B=$B$1)),"""")"),"")</f>
        <v/>
      </c>
      <c r="D382" s="134" t="str">
        <f>IFERROR(__xludf.DUMMYFUNCTION("IFERROR((FILTER(Data!J:J,Data!D:D=A382,Data!B:B=$B$1)),"""")"),"")</f>
        <v/>
      </c>
      <c r="E382" s="134" t="str">
        <f>IFERROR(__xludf.DUMMYFUNCTION("IFERROR((FILTER(Data!L:L,Data!D:D=A382,Data!B:B=$B$1)),"""")"),"")</f>
        <v/>
      </c>
      <c r="F382" s="134" t="str">
        <f>IFERROR(__xludf.DUMMYFUNCTION("IFERROR((FILTER(Data!K:K,Data!D:D=A382,Data!B:B=$B$1)),"""")"),"")</f>
        <v/>
      </c>
      <c r="G382" s="134" t="str">
        <f>IFERROR(__xludf.DUMMYFUNCTION("IFERROR((FILTER(Data!M:M,Data!D:D=A382,Data!B:B=$B$1)),"""")"),"")</f>
        <v/>
      </c>
      <c r="H382" s="134" t="str">
        <f>IFERROR(__xludf.DUMMYFUNCTION("IFERROR((FILTER(Data!G:G,Data!D:D=A382,Data!B:B=$B$1)*4)+(FILTER(Data!H:H,Data!D:D=A382,Data!B:B=$B$1)*2),"""")"),"")</f>
        <v/>
      </c>
      <c r="I382" s="15" t="str">
        <f>IFERROR(__xludf.DUMMYFUNCTION("IFERROR((FILTER(Data!K:K,Data!D:D=A382,Data!B:B=$B$1)*2)+(FILTER(Data!L:L,Data!D:D=A382,Data!B:B=$B$1)),"""")"),"")</f>
        <v/>
      </c>
      <c r="J382" s="134" t="str">
        <f>IFERROR(__xludf.DUMMYFUNCTION("IFERROR((FILTER(Data!N:N,Data!D:D=A382,Data!B:B=$B$1)),"""")"),"")</f>
        <v/>
      </c>
      <c r="K382" s="135" t="str">
        <f>IFERROR(__xludf.DUMMYFUNCTION("IFERROR((FILTER(Data!H:H,Data!D:D=A382,Data!B:B=$B$1)*2)+(FILTER(Data!L:L,Data!D:D=A382,Data!B:B=$B$1))+(FILTER(Data!G:G,Data!D:D=A382,Data!B:B=$B$1)*4)+(FILTER(Data!K:K,Data!D:D=A382,Data!B:B=$B$1)*2)+(((COUNTIF(FILTER(Data!N:N,Data!D:D=A382,Data!B:B=$B$"&amp;"1),""TRAVERSE"")*15)+(COUNTIF(FILTER(Data!N:N,Data!D:D=A382,Data!B:B=$B$1),""HIGH"")*10)+(COUNTIF(FILTER(Data!N:N,Data!D:D=A382,Data!B:B=$B$1),""MIDDLE"")*6)+(COUNTIF(FILTER(Data!N:N,Data!D:D=A382,Data!B:B=$B$1),""LOW"")*4))),"""")"),"")</f>
        <v/>
      </c>
      <c r="L382" s="136" t="str">
        <f>IFERROR(__xludf.DUMMYFUNCTION("IFERROR((FILTER(Data!P:P,Data!D:D=A382,Data!B:B=$B$1)),"""")"),"")</f>
        <v/>
      </c>
      <c r="M382" s="137" t="str">
        <f>IFERROR(__xludf.DUMMYFUNCTION("IFERROR((FILTER(Data!A:A,Data!D:D=A382,Data!B:B=$B$1)),"""")"),"")</f>
        <v/>
      </c>
      <c r="T382" s="52">
        <f>IFERROR(__xludf.DUMMYFUNCTION("((COUNTIF(FILTER(Data!N:N,Data!D:D=A382,Data!B:B=$B$1),""TRAVERSE"")*15)+(COUNTIF(FILTER(Data!N:N,Data!D:D=A382,Data!B:B=B$1),""HIGH"")*10)+(COUNTIF(FILTER(Data!N:N,Data!D:D=A382,Data!B:B=$B$1),""MIDDLE"")*6)+(COUNTIF(FILTER(Data!N:N,Data!D:D=A382,Data!B:"&amp;"B=$B$1),""LOW"")*4))"),0.0)</f>
        <v>0</v>
      </c>
      <c r="V382" s="138" t="str">
        <f>IF(Data!B374='Team Parser'!$B$1, Data!D374,"")</f>
        <v/>
      </c>
      <c r="W382" s="134" t="str">
        <f>IF(Data!$B374='Team Parser'!$B$1, Data!H374,"")</f>
        <v/>
      </c>
      <c r="X382" s="134" t="str">
        <f>IF(Data!$B374='Team Parser'!$B$1, Data!G374,"")</f>
        <v/>
      </c>
      <c r="Y382" s="134" t="str">
        <f>IF(Data!$B374='Team Parser'!$B$1, Data!L374,"")</f>
        <v/>
      </c>
      <c r="Z382" s="134" t="str">
        <f>IF(Data!$B374='Team Parser'!$B$1, Data!K374,"")</f>
        <v/>
      </c>
      <c r="AA382" s="134" t="str">
        <f>IF(Data!$B374='Team Parser'!$B$1, Data!M374,"")</f>
        <v/>
      </c>
      <c r="AB382" s="134" t="str">
        <f>IF(Data!$B374='Team Parser'!$B$1,((Z382*2)+(Y382)+(X382*4)+(W382*2)),"")</f>
        <v/>
      </c>
      <c r="AC382" s="134" t="str">
        <f>IF(Data!$B374='Team Parser'!$B$1, Data!N374,"")</f>
        <v/>
      </c>
      <c r="AD382" s="139" t="str">
        <f>IF(Data!$B374='Team Parser'!$B$1,(AB382+(COUNTIF(AC382,"TRAVERSE")*15)+(COUNTIF(AC382,"HIGH")*10)+(COUNTIF(AC382,"MIDDLE")*6)+(COUNTIF(AC382,"LOW")*4)),"")</f>
        <v/>
      </c>
    </row>
    <row r="383">
      <c r="A383" s="141" t="s">
        <v>507</v>
      </c>
      <c r="B383" s="134" t="str">
        <f>IFERROR(__xludf.DUMMYFUNCTION("IFERROR((FILTER(Data!H:H,Data!D:D=A383,Data!B:B=$B$1)),"""")"),"")</f>
        <v/>
      </c>
      <c r="C383" s="134" t="str">
        <f>IFERROR(__xludf.DUMMYFUNCTION("IFERROR((FILTER(Data!G:G,Data!D:D=A383,Data!B:B=$B$1)),"""")"),"")</f>
        <v/>
      </c>
      <c r="D383" s="134" t="str">
        <f>IFERROR(__xludf.DUMMYFUNCTION("IFERROR((FILTER(Data!J:J,Data!D:D=A383,Data!B:B=$B$1)),"""")"),"")</f>
        <v/>
      </c>
      <c r="E383" s="134" t="str">
        <f>IFERROR(__xludf.DUMMYFUNCTION("IFERROR((FILTER(Data!L:L,Data!D:D=A383,Data!B:B=$B$1)),"""")"),"")</f>
        <v/>
      </c>
      <c r="F383" s="134" t="str">
        <f>IFERROR(__xludf.DUMMYFUNCTION("IFERROR((FILTER(Data!K:K,Data!D:D=A383,Data!B:B=$B$1)),"""")"),"")</f>
        <v/>
      </c>
      <c r="G383" s="134" t="str">
        <f>IFERROR(__xludf.DUMMYFUNCTION("IFERROR((FILTER(Data!M:M,Data!D:D=A383,Data!B:B=$B$1)),"""")"),"")</f>
        <v/>
      </c>
      <c r="H383" s="134" t="str">
        <f>IFERROR(__xludf.DUMMYFUNCTION("IFERROR((FILTER(Data!G:G,Data!D:D=A383,Data!B:B=$B$1)*4)+(FILTER(Data!H:H,Data!D:D=A383,Data!B:B=$B$1)*2),"""")"),"")</f>
        <v/>
      </c>
      <c r="I383" s="15" t="str">
        <f>IFERROR(__xludf.DUMMYFUNCTION("IFERROR((FILTER(Data!K:K,Data!D:D=A383,Data!B:B=$B$1)*2)+(FILTER(Data!L:L,Data!D:D=A383,Data!B:B=$B$1)),"""")"),"")</f>
        <v/>
      </c>
      <c r="J383" s="134" t="str">
        <f>IFERROR(__xludf.DUMMYFUNCTION("IFERROR((FILTER(Data!N:N,Data!D:D=A383,Data!B:B=$B$1)),"""")"),"")</f>
        <v/>
      </c>
      <c r="K383" s="135" t="str">
        <f>IFERROR(__xludf.DUMMYFUNCTION("IFERROR((FILTER(Data!H:H,Data!D:D=A383,Data!B:B=$B$1)*2)+(FILTER(Data!L:L,Data!D:D=A383,Data!B:B=$B$1))+(FILTER(Data!G:G,Data!D:D=A383,Data!B:B=$B$1)*4)+(FILTER(Data!K:K,Data!D:D=A383,Data!B:B=$B$1)*2)+(((COUNTIF(FILTER(Data!N:N,Data!D:D=A383,Data!B:B=$B$"&amp;"1),""TRAVERSE"")*15)+(COUNTIF(FILTER(Data!N:N,Data!D:D=A383,Data!B:B=$B$1),""HIGH"")*10)+(COUNTIF(FILTER(Data!N:N,Data!D:D=A383,Data!B:B=$B$1),""MIDDLE"")*6)+(COUNTIF(FILTER(Data!N:N,Data!D:D=A383,Data!B:B=$B$1),""LOW"")*4))),"""")"),"")</f>
        <v/>
      </c>
      <c r="L383" s="136" t="str">
        <f>IFERROR(__xludf.DUMMYFUNCTION("IFERROR((FILTER(Data!P:P,Data!D:D=A383,Data!B:B=$B$1)),"""")"),"")</f>
        <v/>
      </c>
      <c r="M383" s="137" t="str">
        <f>IFERROR(__xludf.DUMMYFUNCTION("IFERROR((FILTER(Data!A:A,Data!D:D=A383,Data!B:B=$B$1)),"""")"),"")</f>
        <v/>
      </c>
      <c r="T383" s="52">
        <f>IFERROR(__xludf.DUMMYFUNCTION("((COUNTIF(FILTER(Data!N:N,Data!D:D=A383,Data!B:B=$B$1),""TRAVERSE"")*15)+(COUNTIF(FILTER(Data!N:N,Data!D:D=A383,Data!B:B=B$1),""HIGH"")*10)+(COUNTIF(FILTER(Data!N:N,Data!D:D=A383,Data!B:B=$B$1),""MIDDLE"")*6)+(COUNTIF(FILTER(Data!N:N,Data!D:D=A383,Data!B:"&amp;"B=$B$1),""LOW"")*4))"),0.0)</f>
        <v>0</v>
      </c>
      <c r="V383" s="138" t="str">
        <f>IF(Data!B375='Team Parser'!$B$1, Data!D375,"")</f>
        <v/>
      </c>
      <c r="W383" s="134" t="str">
        <f>IF(Data!$B375='Team Parser'!$B$1, Data!H375,"")</f>
        <v/>
      </c>
      <c r="X383" s="134" t="str">
        <f>IF(Data!$B375='Team Parser'!$B$1, Data!G375,"")</f>
        <v/>
      </c>
      <c r="Y383" s="134" t="str">
        <f>IF(Data!$B375='Team Parser'!$B$1, Data!L375,"")</f>
        <v/>
      </c>
      <c r="Z383" s="134" t="str">
        <f>IF(Data!$B375='Team Parser'!$B$1, Data!K375,"")</f>
        <v/>
      </c>
      <c r="AA383" s="134" t="str">
        <f>IF(Data!$B375='Team Parser'!$B$1, Data!M375,"")</f>
        <v/>
      </c>
      <c r="AB383" s="134" t="str">
        <f>IF(Data!$B375='Team Parser'!$B$1,((Z383*2)+(Y383)+(X383*4)+(W383*2)),"")</f>
        <v/>
      </c>
      <c r="AC383" s="134" t="str">
        <f>IF(Data!$B375='Team Parser'!$B$1, Data!N375,"")</f>
        <v/>
      </c>
      <c r="AD383" s="139" t="str">
        <f>IF(Data!$B375='Team Parser'!$B$1,(AB383+(COUNTIF(AC383,"TRAVERSE")*15)+(COUNTIF(AC383,"HIGH")*10)+(COUNTIF(AC383,"MIDDLE")*6)+(COUNTIF(AC383,"LOW")*4)),"")</f>
        <v/>
      </c>
    </row>
    <row r="384">
      <c r="A384" s="141" t="s">
        <v>507</v>
      </c>
      <c r="B384" s="134" t="str">
        <f>IFERROR(__xludf.DUMMYFUNCTION("IFERROR((FILTER(Data!H:H,Data!D:D=A384,Data!B:B=$B$1)),"""")"),"")</f>
        <v/>
      </c>
      <c r="C384" s="134" t="str">
        <f>IFERROR(__xludf.DUMMYFUNCTION("IFERROR((FILTER(Data!G:G,Data!D:D=A384,Data!B:B=$B$1)),"""")"),"")</f>
        <v/>
      </c>
      <c r="D384" s="134" t="str">
        <f>IFERROR(__xludf.DUMMYFUNCTION("IFERROR((FILTER(Data!J:J,Data!D:D=A384,Data!B:B=$B$1)),"""")"),"")</f>
        <v/>
      </c>
      <c r="E384" s="134" t="str">
        <f>IFERROR(__xludf.DUMMYFUNCTION("IFERROR((FILTER(Data!L:L,Data!D:D=A384,Data!B:B=$B$1)),"""")"),"")</f>
        <v/>
      </c>
      <c r="F384" s="134" t="str">
        <f>IFERROR(__xludf.DUMMYFUNCTION("IFERROR((FILTER(Data!K:K,Data!D:D=A384,Data!B:B=$B$1)),"""")"),"")</f>
        <v/>
      </c>
      <c r="G384" s="134" t="str">
        <f>IFERROR(__xludf.DUMMYFUNCTION("IFERROR((FILTER(Data!M:M,Data!D:D=A384,Data!B:B=$B$1)),"""")"),"")</f>
        <v/>
      </c>
      <c r="H384" s="134" t="str">
        <f>IFERROR(__xludf.DUMMYFUNCTION("IFERROR((FILTER(Data!G:G,Data!D:D=A384,Data!B:B=$B$1)*4)+(FILTER(Data!H:H,Data!D:D=A384,Data!B:B=$B$1)*2),"""")"),"")</f>
        <v/>
      </c>
      <c r="I384" s="15" t="str">
        <f>IFERROR(__xludf.DUMMYFUNCTION("IFERROR((FILTER(Data!K:K,Data!D:D=A384,Data!B:B=$B$1)*2)+(FILTER(Data!L:L,Data!D:D=A384,Data!B:B=$B$1)),"""")"),"")</f>
        <v/>
      </c>
      <c r="J384" s="134" t="str">
        <f>IFERROR(__xludf.DUMMYFUNCTION("IFERROR((FILTER(Data!N:N,Data!D:D=A384,Data!B:B=$B$1)),"""")"),"")</f>
        <v/>
      </c>
      <c r="K384" s="135" t="str">
        <f>IFERROR(__xludf.DUMMYFUNCTION("IFERROR((FILTER(Data!H:H,Data!D:D=A384,Data!B:B=$B$1)*2)+(FILTER(Data!L:L,Data!D:D=A384,Data!B:B=$B$1))+(FILTER(Data!G:G,Data!D:D=A384,Data!B:B=$B$1)*4)+(FILTER(Data!K:K,Data!D:D=A384,Data!B:B=$B$1)*2)+(((COUNTIF(FILTER(Data!N:N,Data!D:D=A384,Data!B:B=$B$"&amp;"1),""TRAVERSE"")*15)+(COUNTIF(FILTER(Data!N:N,Data!D:D=A384,Data!B:B=$B$1),""HIGH"")*10)+(COUNTIF(FILTER(Data!N:N,Data!D:D=A384,Data!B:B=$B$1),""MIDDLE"")*6)+(COUNTIF(FILTER(Data!N:N,Data!D:D=A384,Data!B:B=$B$1),""LOW"")*4))),"""")"),"")</f>
        <v/>
      </c>
      <c r="L384" s="136" t="str">
        <f>IFERROR(__xludf.DUMMYFUNCTION("IFERROR((FILTER(Data!P:P,Data!D:D=A384,Data!B:B=$B$1)),"""")"),"")</f>
        <v/>
      </c>
      <c r="M384" s="137" t="str">
        <f>IFERROR(__xludf.DUMMYFUNCTION("IFERROR((FILTER(Data!A:A,Data!D:D=A384,Data!B:B=$B$1)),"""")"),"")</f>
        <v/>
      </c>
      <c r="T384" s="52">
        <f>IFERROR(__xludf.DUMMYFUNCTION("((COUNTIF(FILTER(Data!N:N,Data!D:D=A384,Data!B:B=$B$1),""TRAVERSE"")*15)+(COUNTIF(FILTER(Data!N:N,Data!D:D=A384,Data!B:B=B$1),""HIGH"")*10)+(COUNTIF(FILTER(Data!N:N,Data!D:D=A384,Data!B:B=$B$1),""MIDDLE"")*6)+(COUNTIF(FILTER(Data!N:N,Data!D:D=A384,Data!B:"&amp;"B=$B$1),""LOW"")*4))"),0.0)</f>
        <v>0</v>
      </c>
      <c r="V384" s="138" t="str">
        <f>IF(Data!B376='Team Parser'!$B$1, Data!D376,"")</f>
        <v/>
      </c>
      <c r="W384" s="134" t="str">
        <f>IF(Data!$B376='Team Parser'!$B$1, Data!H376,"")</f>
        <v/>
      </c>
      <c r="X384" s="134" t="str">
        <f>IF(Data!$B376='Team Parser'!$B$1, Data!G376,"")</f>
        <v/>
      </c>
      <c r="Y384" s="134" t="str">
        <f>IF(Data!$B376='Team Parser'!$B$1, Data!L376,"")</f>
        <v/>
      </c>
      <c r="Z384" s="134" t="str">
        <f>IF(Data!$B376='Team Parser'!$B$1, Data!K376,"")</f>
        <v/>
      </c>
      <c r="AA384" s="134" t="str">
        <f>IF(Data!$B376='Team Parser'!$B$1, Data!M376,"")</f>
        <v/>
      </c>
      <c r="AB384" s="134" t="str">
        <f>IF(Data!$B376='Team Parser'!$B$1,((Z384*2)+(Y384)+(X384*4)+(W384*2)),"")</f>
        <v/>
      </c>
      <c r="AC384" s="134" t="str">
        <f>IF(Data!$B376='Team Parser'!$B$1, Data!N376,"")</f>
        <v/>
      </c>
      <c r="AD384" s="139" t="str">
        <f>IF(Data!$B376='Team Parser'!$B$1,(AB384+(COUNTIF(AC384,"TRAVERSE")*15)+(COUNTIF(AC384,"HIGH")*10)+(COUNTIF(AC384,"MIDDLE")*6)+(COUNTIF(AC384,"LOW")*4)),"")</f>
        <v/>
      </c>
    </row>
    <row r="385">
      <c r="A385" s="141" t="s">
        <v>507</v>
      </c>
      <c r="B385" s="134" t="str">
        <f>IFERROR(__xludf.DUMMYFUNCTION("IFERROR((FILTER(Data!H:H,Data!D:D=A385,Data!B:B=$B$1)),"""")"),"")</f>
        <v/>
      </c>
      <c r="C385" s="134" t="str">
        <f>IFERROR(__xludf.DUMMYFUNCTION("IFERROR((FILTER(Data!G:G,Data!D:D=A385,Data!B:B=$B$1)),"""")"),"")</f>
        <v/>
      </c>
      <c r="D385" s="134" t="str">
        <f>IFERROR(__xludf.DUMMYFUNCTION("IFERROR((FILTER(Data!J:J,Data!D:D=A385,Data!B:B=$B$1)),"""")"),"")</f>
        <v/>
      </c>
      <c r="E385" s="134" t="str">
        <f>IFERROR(__xludf.DUMMYFUNCTION("IFERROR((FILTER(Data!L:L,Data!D:D=A385,Data!B:B=$B$1)),"""")"),"")</f>
        <v/>
      </c>
      <c r="F385" s="134" t="str">
        <f>IFERROR(__xludf.DUMMYFUNCTION("IFERROR((FILTER(Data!K:K,Data!D:D=A385,Data!B:B=$B$1)),"""")"),"")</f>
        <v/>
      </c>
      <c r="G385" s="134" t="str">
        <f>IFERROR(__xludf.DUMMYFUNCTION("IFERROR((FILTER(Data!M:M,Data!D:D=A385,Data!B:B=$B$1)),"""")"),"")</f>
        <v/>
      </c>
      <c r="H385" s="134" t="str">
        <f>IFERROR(__xludf.DUMMYFUNCTION("IFERROR((FILTER(Data!G:G,Data!D:D=A385,Data!B:B=$B$1)*4)+(FILTER(Data!H:H,Data!D:D=A385,Data!B:B=$B$1)*2),"""")"),"")</f>
        <v/>
      </c>
      <c r="I385" s="15" t="str">
        <f>IFERROR(__xludf.DUMMYFUNCTION("IFERROR((FILTER(Data!K:K,Data!D:D=A385,Data!B:B=$B$1)*2)+(FILTER(Data!L:L,Data!D:D=A385,Data!B:B=$B$1)),"""")"),"")</f>
        <v/>
      </c>
      <c r="J385" s="134" t="str">
        <f>IFERROR(__xludf.DUMMYFUNCTION("IFERROR((FILTER(Data!N:N,Data!D:D=A385,Data!B:B=$B$1)),"""")"),"")</f>
        <v/>
      </c>
      <c r="K385" s="135" t="str">
        <f>IFERROR(__xludf.DUMMYFUNCTION("IFERROR((FILTER(Data!H:H,Data!D:D=A385,Data!B:B=$B$1)*2)+(FILTER(Data!L:L,Data!D:D=A385,Data!B:B=$B$1))+(FILTER(Data!G:G,Data!D:D=A385,Data!B:B=$B$1)*4)+(FILTER(Data!K:K,Data!D:D=A385,Data!B:B=$B$1)*2)+(((COUNTIF(FILTER(Data!N:N,Data!D:D=A385,Data!B:B=$B$"&amp;"1),""TRAVERSE"")*15)+(COUNTIF(FILTER(Data!N:N,Data!D:D=A385,Data!B:B=$B$1),""HIGH"")*10)+(COUNTIF(FILTER(Data!N:N,Data!D:D=A385,Data!B:B=$B$1),""MIDDLE"")*6)+(COUNTIF(FILTER(Data!N:N,Data!D:D=A385,Data!B:B=$B$1),""LOW"")*4))),"""")"),"")</f>
        <v/>
      </c>
      <c r="L385" s="136" t="str">
        <f>IFERROR(__xludf.DUMMYFUNCTION("IFERROR((FILTER(Data!P:P,Data!D:D=A385,Data!B:B=$B$1)),"""")"),"")</f>
        <v/>
      </c>
      <c r="M385" s="137" t="str">
        <f>IFERROR(__xludf.DUMMYFUNCTION("IFERROR((FILTER(Data!A:A,Data!D:D=A385,Data!B:B=$B$1)),"""")"),"")</f>
        <v/>
      </c>
      <c r="T385" s="52">
        <f>IFERROR(__xludf.DUMMYFUNCTION("((COUNTIF(FILTER(Data!N:N,Data!D:D=A385,Data!B:B=$B$1),""TRAVERSE"")*15)+(COUNTIF(FILTER(Data!N:N,Data!D:D=A385,Data!B:B=B$1),""HIGH"")*10)+(COUNTIF(FILTER(Data!N:N,Data!D:D=A385,Data!B:B=$B$1),""MIDDLE"")*6)+(COUNTIF(FILTER(Data!N:N,Data!D:D=A385,Data!B:"&amp;"B=$B$1),""LOW"")*4))"),0.0)</f>
        <v>0</v>
      </c>
      <c r="V385" s="138" t="str">
        <f>IF(Data!B377='Team Parser'!$B$1, Data!D377,"")</f>
        <v/>
      </c>
      <c r="W385" s="134" t="str">
        <f>IF(Data!$B377='Team Parser'!$B$1, Data!H377,"")</f>
        <v/>
      </c>
      <c r="X385" s="134" t="str">
        <f>IF(Data!$B377='Team Parser'!$B$1, Data!G377,"")</f>
        <v/>
      </c>
      <c r="Y385" s="134" t="str">
        <f>IF(Data!$B377='Team Parser'!$B$1, Data!L377,"")</f>
        <v/>
      </c>
      <c r="Z385" s="134" t="str">
        <f>IF(Data!$B377='Team Parser'!$B$1, Data!K377,"")</f>
        <v/>
      </c>
      <c r="AA385" s="134" t="str">
        <f>IF(Data!$B377='Team Parser'!$B$1, Data!M377,"")</f>
        <v/>
      </c>
      <c r="AB385" s="134" t="str">
        <f>IF(Data!$B377='Team Parser'!$B$1,((Z385*2)+(Y385)+(X385*4)+(W385*2)),"")</f>
        <v/>
      </c>
      <c r="AC385" s="134" t="str">
        <f>IF(Data!$B377='Team Parser'!$B$1, Data!N377,"")</f>
        <v/>
      </c>
      <c r="AD385" s="139" t="str">
        <f>IF(Data!$B377='Team Parser'!$B$1,(AB385+(COUNTIF(AC385,"TRAVERSE")*15)+(COUNTIF(AC385,"HIGH")*10)+(COUNTIF(AC385,"MIDDLE")*6)+(COUNTIF(AC385,"LOW")*4)),"")</f>
        <v/>
      </c>
    </row>
    <row r="386">
      <c r="A386" s="141" t="s">
        <v>507</v>
      </c>
      <c r="B386" s="134" t="str">
        <f>IFERROR(__xludf.DUMMYFUNCTION("IFERROR((FILTER(Data!H:H,Data!D:D=A386,Data!B:B=$B$1)),"""")"),"")</f>
        <v/>
      </c>
      <c r="C386" s="134" t="str">
        <f>IFERROR(__xludf.DUMMYFUNCTION("IFERROR((FILTER(Data!G:G,Data!D:D=A386,Data!B:B=$B$1)),"""")"),"")</f>
        <v/>
      </c>
      <c r="D386" s="134" t="str">
        <f>IFERROR(__xludf.DUMMYFUNCTION("IFERROR((FILTER(Data!J:J,Data!D:D=A386,Data!B:B=$B$1)),"""")"),"")</f>
        <v/>
      </c>
      <c r="E386" s="134" t="str">
        <f>IFERROR(__xludf.DUMMYFUNCTION("IFERROR((FILTER(Data!L:L,Data!D:D=A386,Data!B:B=$B$1)),"""")"),"")</f>
        <v/>
      </c>
      <c r="F386" s="134" t="str">
        <f>IFERROR(__xludf.DUMMYFUNCTION("IFERROR((FILTER(Data!K:K,Data!D:D=A386,Data!B:B=$B$1)),"""")"),"")</f>
        <v/>
      </c>
      <c r="G386" s="134" t="str">
        <f>IFERROR(__xludf.DUMMYFUNCTION("IFERROR((FILTER(Data!M:M,Data!D:D=A386,Data!B:B=$B$1)),"""")"),"")</f>
        <v/>
      </c>
      <c r="H386" s="134" t="str">
        <f>IFERROR(__xludf.DUMMYFUNCTION("IFERROR((FILTER(Data!G:G,Data!D:D=A386,Data!B:B=$B$1)*4)+(FILTER(Data!H:H,Data!D:D=A386,Data!B:B=$B$1)*2),"""")"),"")</f>
        <v/>
      </c>
      <c r="I386" s="15" t="str">
        <f>IFERROR(__xludf.DUMMYFUNCTION("IFERROR((FILTER(Data!K:K,Data!D:D=A386,Data!B:B=$B$1)*2)+(FILTER(Data!L:L,Data!D:D=A386,Data!B:B=$B$1)),"""")"),"")</f>
        <v/>
      </c>
      <c r="J386" s="134" t="str">
        <f>IFERROR(__xludf.DUMMYFUNCTION("IFERROR((FILTER(Data!N:N,Data!D:D=A386,Data!B:B=$B$1)),"""")"),"")</f>
        <v/>
      </c>
      <c r="K386" s="135" t="str">
        <f>IFERROR(__xludf.DUMMYFUNCTION("IFERROR((FILTER(Data!H:H,Data!D:D=A386,Data!B:B=$B$1)*2)+(FILTER(Data!L:L,Data!D:D=A386,Data!B:B=$B$1))+(FILTER(Data!G:G,Data!D:D=A386,Data!B:B=$B$1)*4)+(FILTER(Data!K:K,Data!D:D=A386,Data!B:B=$B$1)*2)+(((COUNTIF(FILTER(Data!N:N,Data!D:D=A386,Data!B:B=$B$"&amp;"1),""TRAVERSE"")*15)+(COUNTIF(FILTER(Data!N:N,Data!D:D=A386,Data!B:B=$B$1),""HIGH"")*10)+(COUNTIF(FILTER(Data!N:N,Data!D:D=A386,Data!B:B=$B$1),""MIDDLE"")*6)+(COUNTIF(FILTER(Data!N:N,Data!D:D=A386,Data!B:B=$B$1),""LOW"")*4))),"""")"),"")</f>
        <v/>
      </c>
      <c r="L386" s="136" t="str">
        <f>IFERROR(__xludf.DUMMYFUNCTION("IFERROR((FILTER(Data!P:P,Data!D:D=A386,Data!B:B=$B$1)),"""")"),"")</f>
        <v/>
      </c>
      <c r="M386" s="137" t="str">
        <f>IFERROR(__xludf.DUMMYFUNCTION("IFERROR((FILTER(Data!A:A,Data!D:D=A386,Data!B:B=$B$1)),"""")"),"")</f>
        <v/>
      </c>
      <c r="T386" s="52">
        <f>IFERROR(__xludf.DUMMYFUNCTION("((COUNTIF(FILTER(Data!N:N,Data!D:D=A386,Data!B:B=$B$1),""TRAVERSE"")*15)+(COUNTIF(FILTER(Data!N:N,Data!D:D=A386,Data!B:B=B$1),""HIGH"")*10)+(COUNTIF(FILTER(Data!N:N,Data!D:D=A386,Data!B:B=$B$1),""MIDDLE"")*6)+(COUNTIF(FILTER(Data!N:N,Data!D:D=A386,Data!B:"&amp;"B=$B$1),""LOW"")*4))"),0.0)</f>
        <v>0</v>
      </c>
      <c r="V386" s="138" t="str">
        <f>IF(Data!B378='Team Parser'!$B$1, Data!D378,"")</f>
        <v/>
      </c>
      <c r="W386" s="134" t="str">
        <f>IF(Data!$B378='Team Parser'!$B$1, Data!H378,"")</f>
        <v/>
      </c>
      <c r="X386" s="134" t="str">
        <f>IF(Data!$B378='Team Parser'!$B$1, Data!G378,"")</f>
        <v/>
      </c>
      <c r="Y386" s="134" t="str">
        <f>IF(Data!$B378='Team Parser'!$B$1, Data!L378,"")</f>
        <v/>
      </c>
      <c r="Z386" s="134" t="str">
        <f>IF(Data!$B378='Team Parser'!$B$1, Data!K378,"")</f>
        <v/>
      </c>
      <c r="AA386" s="134" t="str">
        <f>IF(Data!$B378='Team Parser'!$B$1, Data!M378,"")</f>
        <v/>
      </c>
      <c r="AB386" s="134" t="str">
        <f>IF(Data!$B378='Team Parser'!$B$1,((Z386*2)+(Y386)+(X386*4)+(W386*2)),"")</f>
        <v/>
      </c>
      <c r="AC386" s="134" t="str">
        <f>IF(Data!$B378='Team Parser'!$B$1, Data!N378,"")</f>
        <v/>
      </c>
      <c r="AD386" s="139" t="str">
        <f>IF(Data!$B378='Team Parser'!$B$1,(AB386+(COUNTIF(AC386,"TRAVERSE")*15)+(COUNTIF(AC386,"HIGH")*10)+(COUNTIF(AC386,"MIDDLE")*6)+(COUNTIF(AC386,"LOW")*4)),"")</f>
        <v/>
      </c>
    </row>
    <row r="387">
      <c r="A387" s="141" t="s">
        <v>507</v>
      </c>
      <c r="B387" s="134" t="str">
        <f>IFERROR(__xludf.DUMMYFUNCTION("IFERROR((FILTER(Data!H:H,Data!D:D=A387,Data!B:B=$B$1)),"""")"),"")</f>
        <v/>
      </c>
      <c r="C387" s="134" t="str">
        <f>IFERROR(__xludf.DUMMYFUNCTION("IFERROR((FILTER(Data!G:G,Data!D:D=A387,Data!B:B=$B$1)),"""")"),"")</f>
        <v/>
      </c>
      <c r="D387" s="134" t="str">
        <f>IFERROR(__xludf.DUMMYFUNCTION("IFERROR((FILTER(Data!J:J,Data!D:D=A387,Data!B:B=$B$1)),"""")"),"")</f>
        <v/>
      </c>
      <c r="E387" s="134" t="str">
        <f>IFERROR(__xludf.DUMMYFUNCTION("IFERROR((FILTER(Data!L:L,Data!D:D=A387,Data!B:B=$B$1)),"""")"),"")</f>
        <v/>
      </c>
      <c r="F387" s="134" t="str">
        <f>IFERROR(__xludf.DUMMYFUNCTION("IFERROR((FILTER(Data!K:K,Data!D:D=A387,Data!B:B=$B$1)),"""")"),"")</f>
        <v/>
      </c>
      <c r="G387" s="134" t="str">
        <f>IFERROR(__xludf.DUMMYFUNCTION("IFERROR((FILTER(Data!M:M,Data!D:D=A387,Data!B:B=$B$1)),"""")"),"")</f>
        <v/>
      </c>
      <c r="H387" s="134" t="str">
        <f>IFERROR(__xludf.DUMMYFUNCTION("IFERROR((FILTER(Data!G:G,Data!D:D=A387,Data!B:B=$B$1)*4)+(FILTER(Data!H:H,Data!D:D=A387,Data!B:B=$B$1)*2),"""")"),"")</f>
        <v/>
      </c>
      <c r="I387" s="15" t="str">
        <f>IFERROR(__xludf.DUMMYFUNCTION("IFERROR((FILTER(Data!K:K,Data!D:D=A387,Data!B:B=$B$1)*2)+(FILTER(Data!L:L,Data!D:D=A387,Data!B:B=$B$1)),"""")"),"")</f>
        <v/>
      </c>
      <c r="J387" s="134" t="str">
        <f>IFERROR(__xludf.DUMMYFUNCTION("IFERROR((FILTER(Data!N:N,Data!D:D=A387,Data!B:B=$B$1)),"""")"),"")</f>
        <v/>
      </c>
      <c r="K387" s="135" t="str">
        <f>IFERROR(__xludf.DUMMYFUNCTION("IFERROR((FILTER(Data!H:H,Data!D:D=A387,Data!B:B=$B$1)*2)+(FILTER(Data!L:L,Data!D:D=A387,Data!B:B=$B$1))+(FILTER(Data!G:G,Data!D:D=A387,Data!B:B=$B$1)*4)+(FILTER(Data!K:K,Data!D:D=A387,Data!B:B=$B$1)*2)+(((COUNTIF(FILTER(Data!N:N,Data!D:D=A387,Data!B:B=$B$"&amp;"1),""TRAVERSE"")*15)+(COUNTIF(FILTER(Data!N:N,Data!D:D=A387,Data!B:B=$B$1),""HIGH"")*10)+(COUNTIF(FILTER(Data!N:N,Data!D:D=A387,Data!B:B=$B$1),""MIDDLE"")*6)+(COUNTIF(FILTER(Data!N:N,Data!D:D=A387,Data!B:B=$B$1),""LOW"")*4))),"""")"),"")</f>
        <v/>
      </c>
      <c r="L387" s="136" t="str">
        <f>IFERROR(__xludf.DUMMYFUNCTION("IFERROR((FILTER(Data!P:P,Data!D:D=A387,Data!B:B=$B$1)),"""")"),"")</f>
        <v/>
      </c>
      <c r="M387" s="137" t="str">
        <f>IFERROR(__xludf.DUMMYFUNCTION("IFERROR((FILTER(Data!A:A,Data!D:D=A387,Data!B:B=$B$1)),"""")"),"")</f>
        <v/>
      </c>
      <c r="T387" s="52">
        <f>IFERROR(__xludf.DUMMYFUNCTION("((COUNTIF(FILTER(Data!N:N,Data!D:D=A387,Data!B:B=$B$1),""TRAVERSE"")*15)+(COUNTIF(FILTER(Data!N:N,Data!D:D=A387,Data!B:B=B$1),""HIGH"")*10)+(COUNTIF(FILTER(Data!N:N,Data!D:D=A387,Data!B:B=$B$1),""MIDDLE"")*6)+(COUNTIF(FILTER(Data!N:N,Data!D:D=A387,Data!B:"&amp;"B=$B$1),""LOW"")*4))"),0.0)</f>
        <v>0</v>
      </c>
      <c r="V387" s="138" t="str">
        <f>IF(Data!B379='Team Parser'!$B$1, Data!D379,"")</f>
        <v/>
      </c>
      <c r="W387" s="134" t="str">
        <f>IF(Data!$B379='Team Parser'!$B$1, Data!H379,"")</f>
        <v/>
      </c>
      <c r="X387" s="134" t="str">
        <f>IF(Data!$B379='Team Parser'!$B$1, Data!G379,"")</f>
        <v/>
      </c>
      <c r="Y387" s="134" t="str">
        <f>IF(Data!$B379='Team Parser'!$B$1, Data!L379,"")</f>
        <v/>
      </c>
      <c r="Z387" s="134" t="str">
        <f>IF(Data!$B379='Team Parser'!$B$1, Data!K379,"")</f>
        <v/>
      </c>
      <c r="AA387" s="134" t="str">
        <f>IF(Data!$B379='Team Parser'!$B$1, Data!M379,"")</f>
        <v/>
      </c>
      <c r="AB387" s="134" t="str">
        <f>IF(Data!$B379='Team Parser'!$B$1,((Z387*2)+(Y387)+(X387*4)+(W387*2)),"")</f>
        <v/>
      </c>
      <c r="AC387" s="134" t="str">
        <f>IF(Data!$B379='Team Parser'!$B$1, Data!N379,"")</f>
        <v/>
      </c>
      <c r="AD387" s="139" t="str">
        <f>IF(Data!$B379='Team Parser'!$B$1,(AB387+(COUNTIF(AC387,"TRAVERSE")*15)+(COUNTIF(AC387,"HIGH")*10)+(COUNTIF(AC387,"MIDDLE")*6)+(COUNTIF(AC387,"LOW")*4)),"")</f>
        <v/>
      </c>
    </row>
    <row r="388">
      <c r="A388" s="141" t="s">
        <v>507</v>
      </c>
      <c r="B388" s="134" t="str">
        <f>IFERROR(__xludf.DUMMYFUNCTION("IFERROR((FILTER(Data!H:H,Data!D:D=A388,Data!B:B=$B$1)),"""")"),"")</f>
        <v/>
      </c>
      <c r="C388" s="134" t="str">
        <f>IFERROR(__xludf.DUMMYFUNCTION("IFERROR((FILTER(Data!G:G,Data!D:D=A388,Data!B:B=$B$1)),"""")"),"")</f>
        <v/>
      </c>
      <c r="D388" s="134" t="str">
        <f>IFERROR(__xludf.DUMMYFUNCTION("IFERROR((FILTER(Data!J:J,Data!D:D=A388,Data!B:B=$B$1)),"""")"),"")</f>
        <v/>
      </c>
      <c r="E388" s="134" t="str">
        <f>IFERROR(__xludf.DUMMYFUNCTION("IFERROR((FILTER(Data!L:L,Data!D:D=A388,Data!B:B=$B$1)),"""")"),"")</f>
        <v/>
      </c>
      <c r="F388" s="134" t="str">
        <f>IFERROR(__xludf.DUMMYFUNCTION("IFERROR((FILTER(Data!K:K,Data!D:D=A388,Data!B:B=$B$1)),"""")"),"")</f>
        <v/>
      </c>
      <c r="G388" s="134" t="str">
        <f>IFERROR(__xludf.DUMMYFUNCTION("IFERROR((FILTER(Data!M:M,Data!D:D=A388,Data!B:B=$B$1)),"""")"),"")</f>
        <v/>
      </c>
      <c r="H388" s="134" t="str">
        <f>IFERROR(__xludf.DUMMYFUNCTION("IFERROR((FILTER(Data!G:G,Data!D:D=A388,Data!B:B=$B$1)*4)+(FILTER(Data!H:H,Data!D:D=A388,Data!B:B=$B$1)*2),"""")"),"")</f>
        <v/>
      </c>
      <c r="I388" s="15" t="str">
        <f>IFERROR(__xludf.DUMMYFUNCTION("IFERROR((FILTER(Data!K:K,Data!D:D=A388,Data!B:B=$B$1)*2)+(FILTER(Data!L:L,Data!D:D=A388,Data!B:B=$B$1)),"""")"),"")</f>
        <v/>
      </c>
      <c r="J388" s="134" t="str">
        <f>IFERROR(__xludf.DUMMYFUNCTION("IFERROR((FILTER(Data!N:N,Data!D:D=A388,Data!B:B=$B$1)),"""")"),"")</f>
        <v/>
      </c>
      <c r="K388" s="135" t="str">
        <f>IFERROR(__xludf.DUMMYFUNCTION("IFERROR((FILTER(Data!H:H,Data!D:D=A388,Data!B:B=$B$1)*2)+(FILTER(Data!L:L,Data!D:D=A388,Data!B:B=$B$1))+(FILTER(Data!G:G,Data!D:D=A388,Data!B:B=$B$1)*4)+(FILTER(Data!K:K,Data!D:D=A388,Data!B:B=$B$1)*2)+(((COUNTIF(FILTER(Data!N:N,Data!D:D=A388,Data!B:B=$B$"&amp;"1),""TRAVERSE"")*15)+(COUNTIF(FILTER(Data!N:N,Data!D:D=A388,Data!B:B=$B$1),""HIGH"")*10)+(COUNTIF(FILTER(Data!N:N,Data!D:D=A388,Data!B:B=$B$1),""MIDDLE"")*6)+(COUNTIF(FILTER(Data!N:N,Data!D:D=A388,Data!B:B=$B$1),""LOW"")*4))),"""")"),"")</f>
        <v/>
      </c>
      <c r="L388" s="136" t="str">
        <f>IFERROR(__xludf.DUMMYFUNCTION("IFERROR((FILTER(Data!P:P,Data!D:D=A388,Data!B:B=$B$1)),"""")"),"")</f>
        <v/>
      </c>
      <c r="M388" s="137" t="str">
        <f>IFERROR(__xludf.DUMMYFUNCTION("IFERROR((FILTER(Data!A:A,Data!D:D=A388,Data!B:B=$B$1)),"""")"),"")</f>
        <v/>
      </c>
      <c r="T388" s="52">
        <f>IFERROR(__xludf.DUMMYFUNCTION("((COUNTIF(FILTER(Data!N:N,Data!D:D=A388,Data!B:B=$B$1),""TRAVERSE"")*15)+(COUNTIF(FILTER(Data!N:N,Data!D:D=A388,Data!B:B=B$1),""HIGH"")*10)+(COUNTIF(FILTER(Data!N:N,Data!D:D=A388,Data!B:B=$B$1),""MIDDLE"")*6)+(COUNTIF(FILTER(Data!N:N,Data!D:D=A388,Data!B:"&amp;"B=$B$1),""LOW"")*4))"),0.0)</f>
        <v>0</v>
      </c>
      <c r="V388" s="138" t="str">
        <f>IF(Data!B380='Team Parser'!$B$1, Data!D380,"")</f>
        <v/>
      </c>
      <c r="W388" s="134" t="str">
        <f>IF(Data!$B380='Team Parser'!$B$1, Data!H380,"")</f>
        <v/>
      </c>
      <c r="X388" s="134" t="str">
        <f>IF(Data!$B380='Team Parser'!$B$1, Data!G380,"")</f>
        <v/>
      </c>
      <c r="Y388" s="134" t="str">
        <f>IF(Data!$B380='Team Parser'!$B$1, Data!L380,"")</f>
        <v/>
      </c>
      <c r="Z388" s="134" t="str">
        <f>IF(Data!$B380='Team Parser'!$B$1, Data!K380,"")</f>
        <v/>
      </c>
      <c r="AA388" s="134" t="str">
        <f>IF(Data!$B380='Team Parser'!$B$1, Data!M380,"")</f>
        <v/>
      </c>
      <c r="AB388" s="134" t="str">
        <f>IF(Data!$B380='Team Parser'!$B$1,((Z388*2)+(Y388)+(X388*4)+(W388*2)),"")</f>
        <v/>
      </c>
      <c r="AC388" s="134" t="str">
        <f>IF(Data!$B380='Team Parser'!$B$1, Data!N380,"")</f>
        <v/>
      </c>
      <c r="AD388" s="139" t="str">
        <f>IF(Data!$B380='Team Parser'!$B$1,(AB388+(COUNTIF(AC388,"TRAVERSE")*15)+(COUNTIF(AC388,"HIGH")*10)+(COUNTIF(AC388,"MIDDLE")*6)+(COUNTIF(AC388,"LOW")*4)),"")</f>
        <v/>
      </c>
    </row>
    <row r="389">
      <c r="A389" s="141" t="s">
        <v>507</v>
      </c>
      <c r="B389" s="134" t="str">
        <f>IFERROR(__xludf.DUMMYFUNCTION("IFERROR((FILTER(Data!H:H,Data!D:D=A389,Data!B:B=$B$1)),"""")"),"")</f>
        <v/>
      </c>
      <c r="C389" s="134" t="str">
        <f>IFERROR(__xludf.DUMMYFUNCTION("IFERROR((FILTER(Data!G:G,Data!D:D=A389,Data!B:B=$B$1)),"""")"),"")</f>
        <v/>
      </c>
      <c r="D389" s="134" t="str">
        <f>IFERROR(__xludf.DUMMYFUNCTION("IFERROR((FILTER(Data!J:J,Data!D:D=A389,Data!B:B=$B$1)),"""")"),"")</f>
        <v/>
      </c>
      <c r="E389" s="134" t="str">
        <f>IFERROR(__xludf.DUMMYFUNCTION("IFERROR((FILTER(Data!L:L,Data!D:D=A389,Data!B:B=$B$1)),"""")"),"")</f>
        <v/>
      </c>
      <c r="F389" s="134" t="str">
        <f>IFERROR(__xludf.DUMMYFUNCTION("IFERROR((FILTER(Data!K:K,Data!D:D=A389,Data!B:B=$B$1)),"""")"),"")</f>
        <v/>
      </c>
      <c r="G389" s="134" t="str">
        <f>IFERROR(__xludf.DUMMYFUNCTION("IFERROR((FILTER(Data!M:M,Data!D:D=A389,Data!B:B=$B$1)),"""")"),"")</f>
        <v/>
      </c>
      <c r="H389" s="134" t="str">
        <f>IFERROR(__xludf.DUMMYFUNCTION("IFERROR((FILTER(Data!G:G,Data!D:D=A389,Data!B:B=$B$1)*4)+(FILTER(Data!H:H,Data!D:D=A389,Data!B:B=$B$1)*2),"""")"),"")</f>
        <v/>
      </c>
      <c r="I389" s="15" t="str">
        <f>IFERROR(__xludf.DUMMYFUNCTION("IFERROR((FILTER(Data!K:K,Data!D:D=A389,Data!B:B=$B$1)*2)+(FILTER(Data!L:L,Data!D:D=A389,Data!B:B=$B$1)),"""")"),"")</f>
        <v/>
      </c>
      <c r="J389" s="134" t="str">
        <f>IFERROR(__xludf.DUMMYFUNCTION("IFERROR((FILTER(Data!N:N,Data!D:D=A389,Data!B:B=$B$1)),"""")"),"")</f>
        <v/>
      </c>
      <c r="K389" s="135" t="str">
        <f>IFERROR(__xludf.DUMMYFUNCTION("IFERROR((FILTER(Data!H:H,Data!D:D=A389,Data!B:B=$B$1)*2)+(FILTER(Data!L:L,Data!D:D=A389,Data!B:B=$B$1))+(FILTER(Data!G:G,Data!D:D=A389,Data!B:B=$B$1)*4)+(FILTER(Data!K:K,Data!D:D=A389,Data!B:B=$B$1)*2)+(((COUNTIF(FILTER(Data!N:N,Data!D:D=A389,Data!B:B=$B$"&amp;"1),""TRAVERSE"")*15)+(COUNTIF(FILTER(Data!N:N,Data!D:D=A389,Data!B:B=$B$1),""HIGH"")*10)+(COUNTIF(FILTER(Data!N:N,Data!D:D=A389,Data!B:B=$B$1),""MIDDLE"")*6)+(COUNTIF(FILTER(Data!N:N,Data!D:D=A389,Data!B:B=$B$1),""LOW"")*4))),"""")"),"")</f>
        <v/>
      </c>
      <c r="L389" s="136" t="str">
        <f>IFERROR(__xludf.DUMMYFUNCTION("IFERROR((FILTER(Data!P:P,Data!D:D=A389,Data!B:B=$B$1)),"""")"),"")</f>
        <v/>
      </c>
      <c r="M389" s="137" t="str">
        <f>IFERROR(__xludf.DUMMYFUNCTION("IFERROR((FILTER(Data!A:A,Data!D:D=A389,Data!B:B=$B$1)),"""")"),"")</f>
        <v/>
      </c>
      <c r="T389" s="52">
        <f>IFERROR(__xludf.DUMMYFUNCTION("((COUNTIF(FILTER(Data!N:N,Data!D:D=A389,Data!B:B=$B$1),""TRAVERSE"")*15)+(COUNTIF(FILTER(Data!N:N,Data!D:D=A389,Data!B:B=B$1),""HIGH"")*10)+(COUNTIF(FILTER(Data!N:N,Data!D:D=A389,Data!B:B=$B$1),""MIDDLE"")*6)+(COUNTIF(FILTER(Data!N:N,Data!D:D=A389,Data!B:"&amp;"B=$B$1),""LOW"")*4))"),0.0)</f>
        <v>0</v>
      </c>
      <c r="V389" s="138" t="str">
        <f>IF(Data!B381='Team Parser'!$B$1, Data!D381,"")</f>
        <v/>
      </c>
      <c r="W389" s="134" t="str">
        <f>IF(Data!$B381='Team Parser'!$B$1, Data!H381,"")</f>
        <v/>
      </c>
      <c r="X389" s="134" t="str">
        <f>IF(Data!$B381='Team Parser'!$B$1, Data!G381,"")</f>
        <v/>
      </c>
      <c r="Y389" s="134" t="str">
        <f>IF(Data!$B381='Team Parser'!$B$1, Data!L381,"")</f>
        <v/>
      </c>
      <c r="Z389" s="134" t="str">
        <f>IF(Data!$B381='Team Parser'!$B$1, Data!K381,"")</f>
        <v/>
      </c>
      <c r="AA389" s="134" t="str">
        <f>IF(Data!$B381='Team Parser'!$B$1, Data!M381,"")</f>
        <v/>
      </c>
      <c r="AB389" s="134" t="str">
        <f>IF(Data!$B381='Team Parser'!$B$1,((Z389*2)+(Y389)+(X389*4)+(W389*2)),"")</f>
        <v/>
      </c>
      <c r="AC389" s="134" t="str">
        <f>IF(Data!$B381='Team Parser'!$B$1, Data!N381,"")</f>
        <v/>
      </c>
      <c r="AD389" s="139" t="str">
        <f>IF(Data!$B381='Team Parser'!$B$1,(AB389+(COUNTIF(AC389,"TRAVERSE")*15)+(COUNTIF(AC389,"HIGH")*10)+(COUNTIF(AC389,"MIDDLE")*6)+(COUNTIF(AC389,"LOW")*4)),"")</f>
        <v/>
      </c>
    </row>
    <row r="390">
      <c r="A390" s="141" t="s">
        <v>507</v>
      </c>
      <c r="B390" s="134" t="str">
        <f>IFERROR(__xludf.DUMMYFUNCTION("IFERROR((FILTER(Data!H:H,Data!D:D=A390,Data!B:B=$B$1)),"""")"),"")</f>
        <v/>
      </c>
      <c r="C390" s="134" t="str">
        <f>IFERROR(__xludf.DUMMYFUNCTION("IFERROR((FILTER(Data!G:G,Data!D:D=A390,Data!B:B=$B$1)),"""")"),"")</f>
        <v/>
      </c>
      <c r="D390" s="134" t="str">
        <f>IFERROR(__xludf.DUMMYFUNCTION("IFERROR((FILTER(Data!J:J,Data!D:D=A390,Data!B:B=$B$1)),"""")"),"")</f>
        <v/>
      </c>
      <c r="E390" s="134" t="str">
        <f>IFERROR(__xludf.DUMMYFUNCTION("IFERROR((FILTER(Data!L:L,Data!D:D=A390,Data!B:B=$B$1)),"""")"),"")</f>
        <v/>
      </c>
      <c r="F390" s="134" t="str">
        <f>IFERROR(__xludf.DUMMYFUNCTION("IFERROR((FILTER(Data!K:K,Data!D:D=A390,Data!B:B=$B$1)),"""")"),"")</f>
        <v/>
      </c>
      <c r="G390" s="134" t="str">
        <f>IFERROR(__xludf.DUMMYFUNCTION("IFERROR((FILTER(Data!M:M,Data!D:D=A390,Data!B:B=$B$1)),"""")"),"")</f>
        <v/>
      </c>
      <c r="H390" s="134" t="str">
        <f>IFERROR(__xludf.DUMMYFUNCTION("IFERROR((FILTER(Data!G:G,Data!D:D=A390,Data!B:B=$B$1)*4)+(FILTER(Data!H:H,Data!D:D=A390,Data!B:B=$B$1)*2),"""")"),"")</f>
        <v/>
      </c>
      <c r="I390" s="15" t="str">
        <f>IFERROR(__xludf.DUMMYFUNCTION("IFERROR((FILTER(Data!K:K,Data!D:D=A390,Data!B:B=$B$1)*2)+(FILTER(Data!L:L,Data!D:D=A390,Data!B:B=$B$1)),"""")"),"")</f>
        <v/>
      </c>
      <c r="J390" s="134" t="str">
        <f>IFERROR(__xludf.DUMMYFUNCTION("IFERROR((FILTER(Data!N:N,Data!D:D=A390,Data!B:B=$B$1)),"""")"),"")</f>
        <v/>
      </c>
      <c r="K390" s="135" t="str">
        <f>IFERROR(__xludf.DUMMYFUNCTION("IFERROR((FILTER(Data!H:H,Data!D:D=A390,Data!B:B=$B$1)*2)+(FILTER(Data!L:L,Data!D:D=A390,Data!B:B=$B$1))+(FILTER(Data!G:G,Data!D:D=A390,Data!B:B=$B$1)*4)+(FILTER(Data!K:K,Data!D:D=A390,Data!B:B=$B$1)*2)+(((COUNTIF(FILTER(Data!N:N,Data!D:D=A390,Data!B:B=$B$"&amp;"1),""TRAVERSE"")*15)+(COUNTIF(FILTER(Data!N:N,Data!D:D=A390,Data!B:B=$B$1),""HIGH"")*10)+(COUNTIF(FILTER(Data!N:N,Data!D:D=A390,Data!B:B=$B$1),""MIDDLE"")*6)+(COUNTIF(FILTER(Data!N:N,Data!D:D=A390,Data!B:B=$B$1),""LOW"")*4))),"""")"),"")</f>
        <v/>
      </c>
      <c r="L390" s="136" t="str">
        <f>IFERROR(__xludf.DUMMYFUNCTION("IFERROR((FILTER(Data!P:P,Data!D:D=A390,Data!B:B=$B$1)),"""")"),"")</f>
        <v/>
      </c>
      <c r="M390" s="137" t="str">
        <f>IFERROR(__xludf.DUMMYFUNCTION("IFERROR((FILTER(Data!A:A,Data!D:D=A390,Data!B:B=$B$1)),"""")"),"")</f>
        <v/>
      </c>
      <c r="T390" s="52">
        <f>IFERROR(__xludf.DUMMYFUNCTION("((COUNTIF(FILTER(Data!N:N,Data!D:D=A390,Data!B:B=$B$1),""TRAVERSE"")*15)+(COUNTIF(FILTER(Data!N:N,Data!D:D=A390,Data!B:B=B$1),""HIGH"")*10)+(COUNTIF(FILTER(Data!N:N,Data!D:D=A390,Data!B:B=$B$1),""MIDDLE"")*6)+(COUNTIF(FILTER(Data!N:N,Data!D:D=A390,Data!B:"&amp;"B=$B$1),""LOW"")*4))"),0.0)</f>
        <v>0</v>
      </c>
      <c r="V390" s="138" t="str">
        <f>IF(Data!B382='Team Parser'!$B$1, Data!D382,"")</f>
        <v/>
      </c>
      <c r="W390" s="134" t="str">
        <f>IF(Data!$B382='Team Parser'!$B$1, Data!H382,"")</f>
        <v/>
      </c>
      <c r="X390" s="134" t="str">
        <f>IF(Data!$B382='Team Parser'!$B$1, Data!G382,"")</f>
        <v/>
      </c>
      <c r="Y390" s="134" t="str">
        <f>IF(Data!$B382='Team Parser'!$B$1, Data!L382,"")</f>
        <v/>
      </c>
      <c r="Z390" s="134" t="str">
        <f>IF(Data!$B382='Team Parser'!$B$1, Data!K382,"")</f>
        <v/>
      </c>
      <c r="AA390" s="134" t="str">
        <f>IF(Data!$B382='Team Parser'!$B$1, Data!M382,"")</f>
        <v/>
      </c>
      <c r="AB390" s="134" t="str">
        <f>IF(Data!$B382='Team Parser'!$B$1,((Z390*2)+(Y390)+(X390*4)+(W390*2)),"")</f>
        <v/>
      </c>
      <c r="AC390" s="134" t="str">
        <f>IF(Data!$B382='Team Parser'!$B$1, Data!N382,"")</f>
        <v/>
      </c>
      <c r="AD390" s="139" t="str">
        <f>IF(Data!$B382='Team Parser'!$B$1,(AB390+(COUNTIF(AC390,"TRAVERSE")*15)+(COUNTIF(AC390,"HIGH")*10)+(COUNTIF(AC390,"MIDDLE")*6)+(COUNTIF(AC390,"LOW")*4)),"")</f>
        <v/>
      </c>
    </row>
    <row r="391">
      <c r="A391" s="141" t="s">
        <v>507</v>
      </c>
      <c r="B391" s="134" t="str">
        <f>IFERROR(__xludf.DUMMYFUNCTION("IFERROR((FILTER(Data!H:H,Data!D:D=A391,Data!B:B=$B$1)),"""")"),"")</f>
        <v/>
      </c>
      <c r="C391" s="134" t="str">
        <f>IFERROR(__xludf.DUMMYFUNCTION("IFERROR((FILTER(Data!G:G,Data!D:D=A391,Data!B:B=$B$1)),"""")"),"")</f>
        <v/>
      </c>
      <c r="D391" s="134" t="str">
        <f>IFERROR(__xludf.DUMMYFUNCTION("IFERROR((FILTER(Data!J:J,Data!D:D=A391,Data!B:B=$B$1)),"""")"),"")</f>
        <v/>
      </c>
      <c r="E391" s="134" t="str">
        <f>IFERROR(__xludf.DUMMYFUNCTION("IFERROR((FILTER(Data!L:L,Data!D:D=A391,Data!B:B=$B$1)),"""")"),"")</f>
        <v/>
      </c>
      <c r="F391" s="134" t="str">
        <f>IFERROR(__xludf.DUMMYFUNCTION("IFERROR((FILTER(Data!K:K,Data!D:D=A391,Data!B:B=$B$1)),"""")"),"")</f>
        <v/>
      </c>
      <c r="G391" s="134" t="str">
        <f>IFERROR(__xludf.DUMMYFUNCTION("IFERROR((FILTER(Data!M:M,Data!D:D=A391,Data!B:B=$B$1)),"""")"),"")</f>
        <v/>
      </c>
      <c r="H391" s="134" t="str">
        <f>IFERROR(__xludf.DUMMYFUNCTION("IFERROR((FILTER(Data!G:G,Data!D:D=A391,Data!B:B=$B$1)*4)+(FILTER(Data!H:H,Data!D:D=A391,Data!B:B=$B$1)*2),"""")"),"")</f>
        <v/>
      </c>
      <c r="I391" s="15" t="str">
        <f>IFERROR(__xludf.DUMMYFUNCTION("IFERROR((FILTER(Data!K:K,Data!D:D=A391,Data!B:B=$B$1)*2)+(FILTER(Data!L:L,Data!D:D=A391,Data!B:B=$B$1)),"""")"),"")</f>
        <v/>
      </c>
      <c r="J391" s="134" t="str">
        <f>IFERROR(__xludf.DUMMYFUNCTION("IFERROR((FILTER(Data!N:N,Data!D:D=A391,Data!B:B=$B$1)),"""")"),"")</f>
        <v/>
      </c>
      <c r="K391" s="135" t="str">
        <f>IFERROR(__xludf.DUMMYFUNCTION("IFERROR((FILTER(Data!H:H,Data!D:D=A391,Data!B:B=$B$1)*2)+(FILTER(Data!L:L,Data!D:D=A391,Data!B:B=$B$1))+(FILTER(Data!G:G,Data!D:D=A391,Data!B:B=$B$1)*4)+(FILTER(Data!K:K,Data!D:D=A391,Data!B:B=$B$1)*2)+(((COUNTIF(FILTER(Data!N:N,Data!D:D=A391,Data!B:B=$B$"&amp;"1),""TRAVERSE"")*15)+(COUNTIF(FILTER(Data!N:N,Data!D:D=A391,Data!B:B=$B$1),""HIGH"")*10)+(COUNTIF(FILTER(Data!N:N,Data!D:D=A391,Data!B:B=$B$1),""MIDDLE"")*6)+(COUNTIF(FILTER(Data!N:N,Data!D:D=A391,Data!B:B=$B$1),""LOW"")*4))),"""")"),"")</f>
        <v/>
      </c>
      <c r="L391" s="136" t="str">
        <f>IFERROR(__xludf.DUMMYFUNCTION("IFERROR((FILTER(Data!P:P,Data!D:D=A391,Data!B:B=$B$1)),"""")"),"")</f>
        <v/>
      </c>
      <c r="M391" s="137" t="str">
        <f>IFERROR(__xludf.DUMMYFUNCTION("IFERROR((FILTER(Data!A:A,Data!D:D=A391,Data!B:B=$B$1)),"""")"),"")</f>
        <v/>
      </c>
      <c r="T391" s="52">
        <f>IFERROR(__xludf.DUMMYFUNCTION("((COUNTIF(FILTER(Data!N:N,Data!D:D=A391,Data!B:B=$B$1),""TRAVERSE"")*15)+(COUNTIF(FILTER(Data!N:N,Data!D:D=A391,Data!B:B=B$1),""HIGH"")*10)+(COUNTIF(FILTER(Data!N:N,Data!D:D=A391,Data!B:B=$B$1),""MIDDLE"")*6)+(COUNTIF(FILTER(Data!N:N,Data!D:D=A391,Data!B:"&amp;"B=$B$1),""LOW"")*4))"),0.0)</f>
        <v>0</v>
      </c>
      <c r="V391" s="138" t="str">
        <f>IF(Data!B383='Team Parser'!$B$1, Data!D383,"")</f>
        <v/>
      </c>
      <c r="W391" s="134" t="str">
        <f>IF(Data!$B383='Team Parser'!$B$1, Data!H383,"")</f>
        <v/>
      </c>
      <c r="X391" s="134" t="str">
        <f>IF(Data!$B383='Team Parser'!$B$1, Data!G383,"")</f>
        <v/>
      </c>
      <c r="Y391" s="134" t="str">
        <f>IF(Data!$B383='Team Parser'!$B$1, Data!L383,"")</f>
        <v/>
      </c>
      <c r="Z391" s="134" t="str">
        <f>IF(Data!$B383='Team Parser'!$B$1, Data!K383,"")</f>
        <v/>
      </c>
      <c r="AA391" s="134" t="str">
        <f>IF(Data!$B383='Team Parser'!$B$1, Data!M383,"")</f>
        <v/>
      </c>
      <c r="AB391" s="134" t="str">
        <f>IF(Data!$B383='Team Parser'!$B$1,((Z391*2)+(Y391)+(X391*4)+(W391*2)),"")</f>
        <v/>
      </c>
      <c r="AC391" s="134" t="str">
        <f>IF(Data!$B383='Team Parser'!$B$1, Data!N383,"")</f>
        <v/>
      </c>
      <c r="AD391" s="139" t="str">
        <f>IF(Data!$B383='Team Parser'!$B$1,(AB391+(COUNTIF(AC391,"TRAVERSE")*15)+(COUNTIF(AC391,"HIGH")*10)+(COUNTIF(AC391,"MIDDLE")*6)+(COUNTIF(AC391,"LOW")*4)),"")</f>
        <v/>
      </c>
    </row>
    <row r="392">
      <c r="A392" s="141" t="s">
        <v>507</v>
      </c>
      <c r="B392" s="134" t="str">
        <f>IFERROR(__xludf.DUMMYFUNCTION("IFERROR((FILTER(Data!H:H,Data!D:D=A392,Data!B:B=$B$1)),"""")"),"")</f>
        <v/>
      </c>
      <c r="C392" s="134" t="str">
        <f>IFERROR(__xludf.DUMMYFUNCTION("IFERROR((FILTER(Data!G:G,Data!D:D=A392,Data!B:B=$B$1)),"""")"),"")</f>
        <v/>
      </c>
      <c r="D392" s="134" t="str">
        <f>IFERROR(__xludf.DUMMYFUNCTION("IFERROR((FILTER(Data!J:J,Data!D:D=A392,Data!B:B=$B$1)),"""")"),"")</f>
        <v/>
      </c>
      <c r="E392" s="134" t="str">
        <f>IFERROR(__xludf.DUMMYFUNCTION("IFERROR((FILTER(Data!L:L,Data!D:D=A392,Data!B:B=$B$1)),"""")"),"")</f>
        <v/>
      </c>
      <c r="F392" s="134" t="str">
        <f>IFERROR(__xludf.DUMMYFUNCTION("IFERROR((FILTER(Data!K:K,Data!D:D=A392,Data!B:B=$B$1)),"""")"),"")</f>
        <v/>
      </c>
      <c r="G392" s="134" t="str">
        <f>IFERROR(__xludf.DUMMYFUNCTION("IFERROR((FILTER(Data!M:M,Data!D:D=A392,Data!B:B=$B$1)),"""")"),"")</f>
        <v/>
      </c>
      <c r="H392" s="134" t="str">
        <f>IFERROR(__xludf.DUMMYFUNCTION("IFERROR((FILTER(Data!G:G,Data!D:D=A392,Data!B:B=$B$1)*4)+(FILTER(Data!H:H,Data!D:D=A392,Data!B:B=$B$1)*2),"""")"),"")</f>
        <v/>
      </c>
      <c r="I392" s="15" t="str">
        <f>IFERROR(__xludf.DUMMYFUNCTION("IFERROR((FILTER(Data!K:K,Data!D:D=A392,Data!B:B=$B$1)*2)+(FILTER(Data!L:L,Data!D:D=A392,Data!B:B=$B$1)),"""")"),"")</f>
        <v/>
      </c>
      <c r="J392" s="134" t="str">
        <f>IFERROR(__xludf.DUMMYFUNCTION("IFERROR((FILTER(Data!N:N,Data!D:D=A392,Data!B:B=$B$1)),"""")"),"")</f>
        <v/>
      </c>
      <c r="K392" s="135" t="str">
        <f>IFERROR(__xludf.DUMMYFUNCTION("IFERROR((FILTER(Data!H:H,Data!D:D=A392,Data!B:B=$B$1)*2)+(FILTER(Data!L:L,Data!D:D=A392,Data!B:B=$B$1))+(FILTER(Data!G:G,Data!D:D=A392,Data!B:B=$B$1)*4)+(FILTER(Data!K:K,Data!D:D=A392,Data!B:B=$B$1)*2)+(((COUNTIF(FILTER(Data!N:N,Data!D:D=A392,Data!B:B=$B$"&amp;"1),""TRAVERSE"")*15)+(COUNTIF(FILTER(Data!N:N,Data!D:D=A392,Data!B:B=$B$1),""HIGH"")*10)+(COUNTIF(FILTER(Data!N:N,Data!D:D=A392,Data!B:B=$B$1),""MIDDLE"")*6)+(COUNTIF(FILTER(Data!N:N,Data!D:D=A392,Data!B:B=$B$1),""LOW"")*4))),"""")"),"")</f>
        <v/>
      </c>
      <c r="L392" s="136" t="str">
        <f>IFERROR(__xludf.DUMMYFUNCTION("IFERROR((FILTER(Data!P:P,Data!D:D=A392,Data!B:B=$B$1)),"""")"),"")</f>
        <v/>
      </c>
      <c r="M392" s="137" t="str">
        <f>IFERROR(__xludf.DUMMYFUNCTION("IFERROR((FILTER(Data!A:A,Data!D:D=A392,Data!B:B=$B$1)),"""")"),"")</f>
        <v/>
      </c>
      <c r="T392" s="52">
        <f>IFERROR(__xludf.DUMMYFUNCTION("((COUNTIF(FILTER(Data!N:N,Data!D:D=A392,Data!B:B=$B$1),""TRAVERSE"")*15)+(COUNTIF(FILTER(Data!N:N,Data!D:D=A392,Data!B:B=B$1),""HIGH"")*10)+(COUNTIF(FILTER(Data!N:N,Data!D:D=A392,Data!B:B=$B$1),""MIDDLE"")*6)+(COUNTIF(FILTER(Data!N:N,Data!D:D=A392,Data!B:"&amp;"B=$B$1),""LOW"")*4))"),0.0)</f>
        <v>0</v>
      </c>
      <c r="V392" s="138" t="str">
        <f>IF(Data!B384='Team Parser'!$B$1, Data!D384,"")</f>
        <v/>
      </c>
      <c r="W392" s="134" t="str">
        <f>IF(Data!$B384='Team Parser'!$B$1, Data!H384,"")</f>
        <v/>
      </c>
      <c r="X392" s="134" t="str">
        <f>IF(Data!$B384='Team Parser'!$B$1, Data!G384,"")</f>
        <v/>
      </c>
      <c r="Y392" s="134" t="str">
        <f>IF(Data!$B384='Team Parser'!$B$1, Data!L384,"")</f>
        <v/>
      </c>
      <c r="Z392" s="134" t="str">
        <f>IF(Data!$B384='Team Parser'!$B$1, Data!K384,"")</f>
        <v/>
      </c>
      <c r="AA392" s="134" t="str">
        <f>IF(Data!$B384='Team Parser'!$B$1, Data!M384,"")</f>
        <v/>
      </c>
      <c r="AB392" s="134" t="str">
        <f>IF(Data!$B384='Team Parser'!$B$1,((Z392*2)+(Y392)+(X392*4)+(W392*2)),"")</f>
        <v/>
      </c>
      <c r="AC392" s="134" t="str">
        <f>IF(Data!$B384='Team Parser'!$B$1, Data!N384,"")</f>
        <v/>
      </c>
      <c r="AD392" s="139" t="str">
        <f>IF(Data!$B384='Team Parser'!$B$1,(AB392+(COUNTIF(AC392,"TRAVERSE")*15)+(COUNTIF(AC392,"HIGH")*10)+(COUNTIF(AC392,"MIDDLE")*6)+(COUNTIF(AC392,"LOW")*4)),"")</f>
        <v/>
      </c>
    </row>
    <row r="393">
      <c r="A393" s="141" t="s">
        <v>507</v>
      </c>
      <c r="B393" s="134" t="str">
        <f>IFERROR(__xludf.DUMMYFUNCTION("IFERROR((FILTER(Data!H:H,Data!D:D=A393,Data!B:B=$B$1)),"""")"),"")</f>
        <v/>
      </c>
      <c r="C393" s="134" t="str">
        <f>IFERROR(__xludf.DUMMYFUNCTION("IFERROR((FILTER(Data!G:G,Data!D:D=A393,Data!B:B=$B$1)),"""")"),"")</f>
        <v/>
      </c>
      <c r="D393" s="134" t="str">
        <f>IFERROR(__xludf.DUMMYFUNCTION("IFERROR((FILTER(Data!J:J,Data!D:D=A393,Data!B:B=$B$1)),"""")"),"")</f>
        <v/>
      </c>
      <c r="E393" s="134" t="str">
        <f>IFERROR(__xludf.DUMMYFUNCTION("IFERROR((FILTER(Data!L:L,Data!D:D=A393,Data!B:B=$B$1)),"""")"),"")</f>
        <v/>
      </c>
      <c r="F393" s="134" t="str">
        <f>IFERROR(__xludf.DUMMYFUNCTION("IFERROR((FILTER(Data!K:K,Data!D:D=A393,Data!B:B=$B$1)),"""")"),"")</f>
        <v/>
      </c>
      <c r="G393" s="134" t="str">
        <f>IFERROR(__xludf.DUMMYFUNCTION("IFERROR((FILTER(Data!M:M,Data!D:D=A393,Data!B:B=$B$1)),"""")"),"")</f>
        <v/>
      </c>
      <c r="H393" s="134" t="str">
        <f>IFERROR(__xludf.DUMMYFUNCTION("IFERROR((FILTER(Data!G:G,Data!D:D=A393,Data!B:B=$B$1)*4)+(FILTER(Data!H:H,Data!D:D=A393,Data!B:B=$B$1)*2),"""")"),"")</f>
        <v/>
      </c>
      <c r="I393" s="15" t="str">
        <f>IFERROR(__xludf.DUMMYFUNCTION("IFERROR((FILTER(Data!K:K,Data!D:D=A393,Data!B:B=$B$1)*2)+(FILTER(Data!L:L,Data!D:D=A393,Data!B:B=$B$1)),"""")"),"")</f>
        <v/>
      </c>
      <c r="J393" s="134" t="str">
        <f>IFERROR(__xludf.DUMMYFUNCTION("IFERROR((FILTER(Data!N:N,Data!D:D=A393,Data!B:B=$B$1)),"""")"),"")</f>
        <v/>
      </c>
      <c r="K393" s="135" t="str">
        <f>IFERROR(__xludf.DUMMYFUNCTION("IFERROR((FILTER(Data!H:H,Data!D:D=A393,Data!B:B=$B$1)*2)+(FILTER(Data!L:L,Data!D:D=A393,Data!B:B=$B$1))+(FILTER(Data!G:G,Data!D:D=A393,Data!B:B=$B$1)*4)+(FILTER(Data!K:K,Data!D:D=A393,Data!B:B=$B$1)*2)+(((COUNTIF(FILTER(Data!N:N,Data!D:D=A393,Data!B:B=$B$"&amp;"1),""TRAVERSE"")*15)+(COUNTIF(FILTER(Data!N:N,Data!D:D=A393,Data!B:B=$B$1),""HIGH"")*10)+(COUNTIF(FILTER(Data!N:N,Data!D:D=A393,Data!B:B=$B$1),""MIDDLE"")*6)+(COUNTIF(FILTER(Data!N:N,Data!D:D=A393,Data!B:B=$B$1),""LOW"")*4))),"""")"),"")</f>
        <v/>
      </c>
      <c r="L393" s="136" t="str">
        <f>IFERROR(__xludf.DUMMYFUNCTION("IFERROR((FILTER(Data!P:P,Data!D:D=A393,Data!B:B=$B$1)),"""")"),"")</f>
        <v/>
      </c>
      <c r="M393" s="137" t="str">
        <f>IFERROR(__xludf.DUMMYFUNCTION("IFERROR((FILTER(Data!A:A,Data!D:D=A393,Data!B:B=$B$1)),"""")"),"")</f>
        <v/>
      </c>
      <c r="T393" s="52">
        <f>IFERROR(__xludf.DUMMYFUNCTION("((COUNTIF(FILTER(Data!N:N,Data!D:D=A393,Data!B:B=$B$1),""TRAVERSE"")*15)+(COUNTIF(FILTER(Data!N:N,Data!D:D=A393,Data!B:B=B$1),""HIGH"")*10)+(COUNTIF(FILTER(Data!N:N,Data!D:D=A393,Data!B:B=$B$1),""MIDDLE"")*6)+(COUNTIF(FILTER(Data!N:N,Data!D:D=A393,Data!B:"&amp;"B=$B$1),""LOW"")*4))"),0.0)</f>
        <v>0</v>
      </c>
      <c r="V393" s="138" t="str">
        <f>IF(Data!B385='Team Parser'!$B$1, Data!D385,"")</f>
        <v/>
      </c>
      <c r="W393" s="134" t="str">
        <f>IF(Data!$B385='Team Parser'!$B$1, Data!H385,"")</f>
        <v/>
      </c>
      <c r="X393" s="134" t="str">
        <f>IF(Data!$B385='Team Parser'!$B$1, Data!G385,"")</f>
        <v/>
      </c>
      <c r="Y393" s="134" t="str">
        <f>IF(Data!$B385='Team Parser'!$B$1, Data!L385,"")</f>
        <v/>
      </c>
      <c r="Z393" s="134" t="str">
        <f>IF(Data!$B385='Team Parser'!$B$1, Data!K385,"")</f>
        <v/>
      </c>
      <c r="AA393" s="134" t="str">
        <f>IF(Data!$B385='Team Parser'!$B$1, Data!M385,"")</f>
        <v/>
      </c>
      <c r="AB393" s="134" t="str">
        <f>IF(Data!$B385='Team Parser'!$B$1,((Z393*2)+(Y393)+(X393*4)+(W393*2)),"")</f>
        <v/>
      </c>
      <c r="AC393" s="134" t="str">
        <f>IF(Data!$B385='Team Parser'!$B$1, Data!N385,"")</f>
        <v/>
      </c>
      <c r="AD393" s="139" t="str">
        <f>IF(Data!$B385='Team Parser'!$B$1,(AB393+(COUNTIF(AC393,"TRAVERSE")*15)+(COUNTIF(AC393,"HIGH")*10)+(COUNTIF(AC393,"MIDDLE")*6)+(COUNTIF(AC393,"LOW")*4)),"")</f>
        <v/>
      </c>
    </row>
    <row r="394">
      <c r="A394" s="141" t="s">
        <v>507</v>
      </c>
      <c r="B394" s="134" t="str">
        <f>IFERROR(__xludf.DUMMYFUNCTION("IFERROR((FILTER(Data!H:H,Data!D:D=A394,Data!B:B=$B$1)),"""")"),"")</f>
        <v/>
      </c>
      <c r="C394" s="134" t="str">
        <f>IFERROR(__xludf.DUMMYFUNCTION("IFERROR((FILTER(Data!G:G,Data!D:D=A394,Data!B:B=$B$1)),"""")"),"")</f>
        <v/>
      </c>
      <c r="D394" s="134" t="str">
        <f>IFERROR(__xludf.DUMMYFUNCTION("IFERROR((FILTER(Data!J:J,Data!D:D=A394,Data!B:B=$B$1)),"""")"),"")</f>
        <v/>
      </c>
      <c r="E394" s="134" t="str">
        <f>IFERROR(__xludf.DUMMYFUNCTION("IFERROR((FILTER(Data!L:L,Data!D:D=A394,Data!B:B=$B$1)),"""")"),"")</f>
        <v/>
      </c>
      <c r="F394" s="134" t="str">
        <f>IFERROR(__xludf.DUMMYFUNCTION("IFERROR((FILTER(Data!K:K,Data!D:D=A394,Data!B:B=$B$1)),"""")"),"")</f>
        <v/>
      </c>
      <c r="G394" s="134" t="str">
        <f>IFERROR(__xludf.DUMMYFUNCTION("IFERROR((FILTER(Data!M:M,Data!D:D=A394,Data!B:B=$B$1)),"""")"),"")</f>
        <v/>
      </c>
      <c r="H394" s="134" t="str">
        <f>IFERROR(__xludf.DUMMYFUNCTION("IFERROR((FILTER(Data!G:G,Data!D:D=A394,Data!B:B=$B$1)*4)+(FILTER(Data!H:H,Data!D:D=A394,Data!B:B=$B$1)*2),"""")"),"")</f>
        <v/>
      </c>
      <c r="I394" s="15" t="str">
        <f>IFERROR(__xludf.DUMMYFUNCTION("IFERROR((FILTER(Data!K:K,Data!D:D=A394,Data!B:B=$B$1)*2)+(FILTER(Data!L:L,Data!D:D=A394,Data!B:B=$B$1)),"""")"),"")</f>
        <v/>
      </c>
      <c r="J394" s="134" t="str">
        <f>IFERROR(__xludf.DUMMYFUNCTION("IFERROR((FILTER(Data!N:N,Data!D:D=A394,Data!B:B=$B$1)),"""")"),"")</f>
        <v/>
      </c>
      <c r="K394" s="135" t="str">
        <f>IFERROR(__xludf.DUMMYFUNCTION("IFERROR((FILTER(Data!H:H,Data!D:D=A394,Data!B:B=$B$1)*2)+(FILTER(Data!L:L,Data!D:D=A394,Data!B:B=$B$1))+(FILTER(Data!G:G,Data!D:D=A394,Data!B:B=$B$1)*4)+(FILTER(Data!K:K,Data!D:D=A394,Data!B:B=$B$1)*2)+(((COUNTIF(FILTER(Data!N:N,Data!D:D=A394,Data!B:B=$B$"&amp;"1),""TRAVERSE"")*15)+(COUNTIF(FILTER(Data!N:N,Data!D:D=A394,Data!B:B=$B$1),""HIGH"")*10)+(COUNTIF(FILTER(Data!N:N,Data!D:D=A394,Data!B:B=$B$1),""MIDDLE"")*6)+(COUNTIF(FILTER(Data!N:N,Data!D:D=A394,Data!B:B=$B$1),""LOW"")*4))),"""")"),"")</f>
        <v/>
      </c>
      <c r="L394" s="136" t="str">
        <f>IFERROR(__xludf.DUMMYFUNCTION("IFERROR((FILTER(Data!P:P,Data!D:D=A394,Data!B:B=$B$1)),"""")"),"")</f>
        <v/>
      </c>
      <c r="M394" s="137" t="str">
        <f>IFERROR(__xludf.DUMMYFUNCTION("IFERROR((FILTER(Data!A:A,Data!D:D=A394,Data!B:B=$B$1)),"""")"),"")</f>
        <v/>
      </c>
      <c r="T394" s="52">
        <f>IFERROR(__xludf.DUMMYFUNCTION("((COUNTIF(FILTER(Data!N:N,Data!D:D=A394,Data!B:B=$B$1),""TRAVERSE"")*15)+(COUNTIF(FILTER(Data!N:N,Data!D:D=A394,Data!B:B=B$1),""HIGH"")*10)+(COUNTIF(FILTER(Data!N:N,Data!D:D=A394,Data!B:B=$B$1),""MIDDLE"")*6)+(COUNTIF(FILTER(Data!N:N,Data!D:D=A394,Data!B:"&amp;"B=$B$1),""LOW"")*4))"),0.0)</f>
        <v>0</v>
      </c>
      <c r="V394" s="138" t="str">
        <f>IF(Data!B386='Team Parser'!$B$1, Data!D386,"")</f>
        <v/>
      </c>
      <c r="W394" s="134" t="str">
        <f>IF(Data!$B386='Team Parser'!$B$1, Data!H386,"")</f>
        <v/>
      </c>
      <c r="X394" s="134" t="str">
        <f>IF(Data!$B386='Team Parser'!$B$1, Data!G386,"")</f>
        <v/>
      </c>
      <c r="Y394" s="134" t="str">
        <f>IF(Data!$B386='Team Parser'!$B$1, Data!L386,"")</f>
        <v/>
      </c>
      <c r="Z394" s="134" t="str">
        <f>IF(Data!$B386='Team Parser'!$B$1, Data!K386,"")</f>
        <v/>
      </c>
      <c r="AA394" s="134" t="str">
        <f>IF(Data!$B386='Team Parser'!$B$1, Data!M386,"")</f>
        <v/>
      </c>
      <c r="AB394" s="134" t="str">
        <f>IF(Data!$B386='Team Parser'!$B$1,((Z394*2)+(Y394)+(X394*4)+(W394*2)),"")</f>
        <v/>
      </c>
      <c r="AC394" s="134" t="str">
        <f>IF(Data!$B386='Team Parser'!$B$1, Data!N386,"")</f>
        <v/>
      </c>
      <c r="AD394" s="139" t="str">
        <f>IF(Data!$B386='Team Parser'!$B$1,(AB394+(COUNTIF(AC394,"TRAVERSE")*15)+(COUNTIF(AC394,"HIGH")*10)+(COUNTIF(AC394,"MIDDLE")*6)+(COUNTIF(AC394,"LOW")*4)),"")</f>
        <v/>
      </c>
    </row>
    <row r="395">
      <c r="A395" s="141" t="s">
        <v>507</v>
      </c>
      <c r="B395" s="134" t="str">
        <f>IFERROR(__xludf.DUMMYFUNCTION("IFERROR((FILTER(Data!H:H,Data!D:D=A395,Data!B:B=$B$1)),"""")"),"")</f>
        <v/>
      </c>
      <c r="C395" s="134" t="str">
        <f>IFERROR(__xludf.DUMMYFUNCTION("IFERROR((FILTER(Data!G:G,Data!D:D=A395,Data!B:B=$B$1)),"""")"),"")</f>
        <v/>
      </c>
      <c r="D395" s="134" t="str">
        <f>IFERROR(__xludf.DUMMYFUNCTION("IFERROR((FILTER(Data!J:J,Data!D:D=A395,Data!B:B=$B$1)),"""")"),"")</f>
        <v/>
      </c>
      <c r="E395" s="134" t="str">
        <f>IFERROR(__xludf.DUMMYFUNCTION("IFERROR((FILTER(Data!L:L,Data!D:D=A395,Data!B:B=$B$1)),"""")"),"")</f>
        <v/>
      </c>
      <c r="F395" s="134" t="str">
        <f>IFERROR(__xludf.DUMMYFUNCTION("IFERROR((FILTER(Data!K:K,Data!D:D=A395,Data!B:B=$B$1)),"""")"),"")</f>
        <v/>
      </c>
      <c r="G395" s="134" t="str">
        <f>IFERROR(__xludf.DUMMYFUNCTION("IFERROR((FILTER(Data!M:M,Data!D:D=A395,Data!B:B=$B$1)),"""")"),"")</f>
        <v/>
      </c>
      <c r="H395" s="134" t="str">
        <f>IFERROR(__xludf.DUMMYFUNCTION("IFERROR((FILTER(Data!G:G,Data!D:D=A395,Data!B:B=$B$1)*4)+(FILTER(Data!H:H,Data!D:D=A395,Data!B:B=$B$1)*2),"""")"),"")</f>
        <v/>
      </c>
      <c r="I395" s="15" t="str">
        <f>IFERROR(__xludf.DUMMYFUNCTION("IFERROR((FILTER(Data!K:K,Data!D:D=A395,Data!B:B=$B$1)*2)+(FILTER(Data!L:L,Data!D:D=A395,Data!B:B=$B$1)),"""")"),"")</f>
        <v/>
      </c>
      <c r="J395" s="134" t="str">
        <f>IFERROR(__xludf.DUMMYFUNCTION("IFERROR((FILTER(Data!N:N,Data!D:D=A395,Data!B:B=$B$1)),"""")"),"")</f>
        <v/>
      </c>
      <c r="K395" s="135" t="str">
        <f>IFERROR(__xludf.DUMMYFUNCTION("IFERROR((FILTER(Data!H:H,Data!D:D=A395,Data!B:B=$B$1)*2)+(FILTER(Data!L:L,Data!D:D=A395,Data!B:B=$B$1))+(FILTER(Data!G:G,Data!D:D=A395,Data!B:B=$B$1)*4)+(FILTER(Data!K:K,Data!D:D=A395,Data!B:B=$B$1)*2)+(((COUNTIF(FILTER(Data!N:N,Data!D:D=A395,Data!B:B=$B$"&amp;"1),""TRAVERSE"")*15)+(COUNTIF(FILTER(Data!N:N,Data!D:D=A395,Data!B:B=$B$1),""HIGH"")*10)+(COUNTIF(FILTER(Data!N:N,Data!D:D=A395,Data!B:B=$B$1),""MIDDLE"")*6)+(COUNTIF(FILTER(Data!N:N,Data!D:D=A395,Data!B:B=$B$1),""LOW"")*4))),"""")"),"")</f>
        <v/>
      </c>
      <c r="L395" s="136" t="str">
        <f>IFERROR(__xludf.DUMMYFUNCTION("IFERROR((FILTER(Data!P:P,Data!D:D=A395,Data!B:B=$B$1)),"""")"),"")</f>
        <v/>
      </c>
      <c r="M395" s="137" t="str">
        <f>IFERROR(__xludf.DUMMYFUNCTION("IFERROR((FILTER(Data!A:A,Data!D:D=A395,Data!B:B=$B$1)),"""")"),"")</f>
        <v/>
      </c>
      <c r="T395" s="52">
        <f>IFERROR(__xludf.DUMMYFUNCTION("((COUNTIF(FILTER(Data!N:N,Data!D:D=A395,Data!B:B=$B$1),""TRAVERSE"")*15)+(COUNTIF(FILTER(Data!N:N,Data!D:D=A395,Data!B:B=B$1),""HIGH"")*10)+(COUNTIF(FILTER(Data!N:N,Data!D:D=A395,Data!B:B=$B$1),""MIDDLE"")*6)+(COUNTIF(FILTER(Data!N:N,Data!D:D=A395,Data!B:"&amp;"B=$B$1),""LOW"")*4))"),0.0)</f>
        <v>0</v>
      </c>
      <c r="V395" s="138" t="str">
        <f>IF(Data!B387='Team Parser'!$B$1, Data!D387,"")</f>
        <v/>
      </c>
      <c r="W395" s="134" t="str">
        <f>IF(Data!$B387='Team Parser'!$B$1, Data!H387,"")</f>
        <v/>
      </c>
      <c r="X395" s="134" t="str">
        <f>IF(Data!$B387='Team Parser'!$B$1, Data!G387,"")</f>
        <v/>
      </c>
      <c r="Y395" s="134" t="str">
        <f>IF(Data!$B387='Team Parser'!$B$1, Data!L387,"")</f>
        <v/>
      </c>
      <c r="Z395" s="134" t="str">
        <f>IF(Data!$B387='Team Parser'!$B$1, Data!K387,"")</f>
        <v/>
      </c>
      <c r="AA395" s="134" t="str">
        <f>IF(Data!$B387='Team Parser'!$B$1, Data!M387,"")</f>
        <v/>
      </c>
      <c r="AB395" s="134" t="str">
        <f>IF(Data!$B387='Team Parser'!$B$1,((Z395*2)+(Y395)+(X395*4)+(W395*2)),"")</f>
        <v/>
      </c>
      <c r="AC395" s="134" t="str">
        <f>IF(Data!$B387='Team Parser'!$B$1, Data!N387,"")</f>
        <v/>
      </c>
      <c r="AD395" s="139" t="str">
        <f>IF(Data!$B387='Team Parser'!$B$1,(AB395+(COUNTIF(AC395,"TRAVERSE")*15)+(COUNTIF(AC395,"HIGH")*10)+(COUNTIF(AC395,"MIDDLE")*6)+(COUNTIF(AC395,"LOW")*4)),"")</f>
        <v/>
      </c>
    </row>
    <row r="396">
      <c r="A396" s="141" t="s">
        <v>507</v>
      </c>
      <c r="B396" s="134" t="str">
        <f>IFERROR(__xludf.DUMMYFUNCTION("IFERROR((FILTER(Data!H:H,Data!D:D=A396,Data!B:B=$B$1)),"""")"),"")</f>
        <v/>
      </c>
      <c r="C396" s="134" t="str">
        <f>IFERROR(__xludf.DUMMYFUNCTION("IFERROR((FILTER(Data!G:G,Data!D:D=A396,Data!B:B=$B$1)),"""")"),"")</f>
        <v/>
      </c>
      <c r="D396" s="134" t="str">
        <f>IFERROR(__xludf.DUMMYFUNCTION("IFERROR((FILTER(Data!J:J,Data!D:D=A396,Data!B:B=$B$1)),"""")"),"")</f>
        <v/>
      </c>
      <c r="E396" s="134" t="str">
        <f>IFERROR(__xludf.DUMMYFUNCTION("IFERROR((FILTER(Data!L:L,Data!D:D=A396,Data!B:B=$B$1)),"""")"),"")</f>
        <v/>
      </c>
      <c r="F396" s="134" t="str">
        <f>IFERROR(__xludf.DUMMYFUNCTION("IFERROR((FILTER(Data!K:K,Data!D:D=A396,Data!B:B=$B$1)),"""")"),"")</f>
        <v/>
      </c>
      <c r="G396" s="134" t="str">
        <f>IFERROR(__xludf.DUMMYFUNCTION("IFERROR((FILTER(Data!M:M,Data!D:D=A396,Data!B:B=$B$1)),"""")"),"")</f>
        <v/>
      </c>
      <c r="H396" s="134" t="str">
        <f>IFERROR(__xludf.DUMMYFUNCTION("IFERROR((FILTER(Data!G:G,Data!D:D=A396,Data!B:B=$B$1)*4)+(FILTER(Data!H:H,Data!D:D=A396,Data!B:B=$B$1)*2),"""")"),"")</f>
        <v/>
      </c>
      <c r="I396" s="15" t="str">
        <f>IFERROR(__xludf.DUMMYFUNCTION("IFERROR((FILTER(Data!K:K,Data!D:D=A396,Data!B:B=$B$1)*2)+(FILTER(Data!L:L,Data!D:D=A396,Data!B:B=$B$1)),"""")"),"")</f>
        <v/>
      </c>
      <c r="J396" s="134" t="str">
        <f>IFERROR(__xludf.DUMMYFUNCTION("IFERROR((FILTER(Data!N:N,Data!D:D=A396,Data!B:B=$B$1)),"""")"),"")</f>
        <v/>
      </c>
      <c r="K396" s="135" t="str">
        <f>IFERROR(__xludf.DUMMYFUNCTION("IFERROR((FILTER(Data!H:H,Data!D:D=A396,Data!B:B=$B$1)*2)+(FILTER(Data!L:L,Data!D:D=A396,Data!B:B=$B$1))+(FILTER(Data!G:G,Data!D:D=A396,Data!B:B=$B$1)*4)+(FILTER(Data!K:K,Data!D:D=A396,Data!B:B=$B$1)*2)+(((COUNTIF(FILTER(Data!N:N,Data!D:D=A396,Data!B:B=$B$"&amp;"1),""TRAVERSE"")*15)+(COUNTIF(FILTER(Data!N:N,Data!D:D=A396,Data!B:B=$B$1),""HIGH"")*10)+(COUNTIF(FILTER(Data!N:N,Data!D:D=A396,Data!B:B=$B$1),""MIDDLE"")*6)+(COUNTIF(FILTER(Data!N:N,Data!D:D=A396,Data!B:B=$B$1),""LOW"")*4))),"""")"),"")</f>
        <v/>
      </c>
      <c r="L396" s="136" t="str">
        <f>IFERROR(__xludf.DUMMYFUNCTION("IFERROR((FILTER(Data!P:P,Data!D:D=A396,Data!B:B=$B$1)),"""")"),"")</f>
        <v/>
      </c>
      <c r="M396" s="137" t="str">
        <f>IFERROR(__xludf.DUMMYFUNCTION("IFERROR((FILTER(Data!A:A,Data!D:D=A396,Data!B:B=$B$1)),"""")"),"")</f>
        <v/>
      </c>
      <c r="T396" s="52">
        <f>IFERROR(__xludf.DUMMYFUNCTION("((COUNTIF(FILTER(Data!N:N,Data!D:D=A396,Data!B:B=$B$1),""TRAVERSE"")*15)+(COUNTIF(FILTER(Data!N:N,Data!D:D=A396,Data!B:B=B$1),""HIGH"")*10)+(COUNTIF(FILTER(Data!N:N,Data!D:D=A396,Data!B:B=$B$1),""MIDDLE"")*6)+(COUNTIF(FILTER(Data!N:N,Data!D:D=A396,Data!B:"&amp;"B=$B$1),""LOW"")*4))"),0.0)</f>
        <v>0</v>
      </c>
      <c r="V396" s="138" t="str">
        <f>IF(Data!B388='Team Parser'!$B$1, Data!D388,"")</f>
        <v/>
      </c>
      <c r="W396" s="134" t="str">
        <f>IF(Data!$B388='Team Parser'!$B$1, Data!H388,"")</f>
        <v/>
      </c>
      <c r="X396" s="134" t="str">
        <f>IF(Data!$B388='Team Parser'!$B$1, Data!G388,"")</f>
        <v/>
      </c>
      <c r="Y396" s="134" t="str">
        <f>IF(Data!$B388='Team Parser'!$B$1, Data!L388,"")</f>
        <v/>
      </c>
      <c r="Z396" s="134" t="str">
        <f>IF(Data!$B388='Team Parser'!$B$1, Data!K388,"")</f>
        <v/>
      </c>
      <c r="AA396" s="134" t="str">
        <f>IF(Data!$B388='Team Parser'!$B$1, Data!M388,"")</f>
        <v/>
      </c>
      <c r="AB396" s="134" t="str">
        <f>IF(Data!$B388='Team Parser'!$B$1,((Z396*2)+(Y396)+(X396*4)+(W396*2)),"")</f>
        <v/>
      </c>
      <c r="AC396" s="134" t="str">
        <f>IF(Data!$B388='Team Parser'!$B$1, Data!N388,"")</f>
        <v/>
      </c>
      <c r="AD396" s="139" t="str">
        <f>IF(Data!$B388='Team Parser'!$B$1,(AB396+(COUNTIF(AC396,"TRAVERSE")*15)+(COUNTIF(AC396,"HIGH")*10)+(COUNTIF(AC396,"MIDDLE")*6)+(COUNTIF(AC396,"LOW")*4)),"")</f>
        <v/>
      </c>
    </row>
    <row r="397">
      <c r="A397" s="141" t="s">
        <v>507</v>
      </c>
      <c r="B397" s="134" t="str">
        <f>IFERROR(__xludf.DUMMYFUNCTION("IFERROR((FILTER(Data!H:H,Data!D:D=A397,Data!B:B=$B$1)),"""")"),"")</f>
        <v/>
      </c>
      <c r="C397" s="134" t="str">
        <f>IFERROR(__xludf.DUMMYFUNCTION("IFERROR((FILTER(Data!G:G,Data!D:D=A397,Data!B:B=$B$1)),"""")"),"")</f>
        <v/>
      </c>
      <c r="D397" s="134" t="str">
        <f>IFERROR(__xludf.DUMMYFUNCTION("IFERROR((FILTER(Data!J:J,Data!D:D=A397,Data!B:B=$B$1)),"""")"),"")</f>
        <v/>
      </c>
      <c r="E397" s="134" t="str">
        <f>IFERROR(__xludf.DUMMYFUNCTION("IFERROR((FILTER(Data!L:L,Data!D:D=A397,Data!B:B=$B$1)),"""")"),"")</f>
        <v/>
      </c>
      <c r="F397" s="134" t="str">
        <f>IFERROR(__xludf.DUMMYFUNCTION("IFERROR((FILTER(Data!K:K,Data!D:D=A397,Data!B:B=$B$1)),"""")"),"")</f>
        <v/>
      </c>
      <c r="G397" s="134" t="str">
        <f>IFERROR(__xludf.DUMMYFUNCTION("IFERROR((FILTER(Data!M:M,Data!D:D=A397,Data!B:B=$B$1)),"""")"),"")</f>
        <v/>
      </c>
      <c r="H397" s="134" t="str">
        <f>IFERROR(__xludf.DUMMYFUNCTION("IFERROR((FILTER(Data!G:G,Data!D:D=A397,Data!B:B=$B$1)*4)+(FILTER(Data!H:H,Data!D:D=A397,Data!B:B=$B$1)*2),"""")"),"")</f>
        <v/>
      </c>
      <c r="I397" s="15" t="str">
        <f>IFERROR(__xludf.DUMMYFUNCTION("IFERROR((FILTER(Data!K:K,Data!D:D=A397,Data!B:B=$B$1)*2)+(FILTER(Data!L:L,Data!D:D=A397,Data!B:B=$B$1)),"""")"),"")</f>
        <v/>
      </c>
      <c r="J397" s="134" t="str">
        <f>IFERROR(__xludf.DUMMYFUNCTION("IFERROR((FILTER(Data!N:N,Data!D:D=A397,Data!B:B=$B$1)),"""")"),"")</f>
        <v/>
      </c>
      <c r="K397" s="135" t="str">
        <f>IFERROR(__xludf.DUMMYFUNCTION("IFERROR((FILTER(Data!H:H,Data!D:D=A397,Data!B:B=$B$1)*2)+(FILTER(Data!L:L,Data!D:D=A397,Data!B:B=$B$1))+(FILTER(Data!G:G,Data!D:D=A397,Data!B:B=$B$1)*4)+(FILTER(Data!K:K,Data!D:D=A397,Data!B:B=$B$1)*2)+(((COUNTIF(FILTER(Data!N:N,Data!D:D=A397,Data!B:B=$B$"&amp;"1),""TRAVERSE"")*15)+(COUNTIF(FILTER(Data!N:N,Data!D:D=A397,Data!B:B=$B$1),""HIGH"")*10)+(COUNTIF(FILTER(Data!N:N,Data!D:D=A397,Data!B:B=$B$1),""MIDDLE"")*6)+(COUNTIF(FILTER(Data!N:N,Data!D:D=A397,Data!B:B=$B$1),""LOW"")*4))),"""")"),"")</f>
        <v/>
      </c>
      <c r="L397" s="136" t="str">
        <f>IFERROR(__xludf.DUMMYFUNCTION("IFERROR((FILTER(Data!P:P,Data!D:D=A397,Data!B:B=$B$1)),"""")"),"")</f>
        <v/>
      </c>
      <c r="M397" s="137" t="str">
        <f>IFERROR(__xludf.DUMMYFUNCTION("IFERROR((FILTER(Data!A:A,Data!D:D=A397,Data!B:B=$B$1)),"""")"),"")</f>
        <v/>
      </c>
      <c r="T397" s="52">
        <f>IFERROR(__xludf.DUMMYFUNCTION("((COUNTIF(FILTER(Data!N:N,Data!D:D=A397,Data!B:B=$B$1),""TRAVERSE"")*15)+(COUNTIF(FILTER(Data!N:N,Data!D:D=A397,Data!B:B=B$1),""HIGH"")*10)+(COUNTIF(FILTER(Data!N:N,Data!D:D=A397,Data!B:B=$B$1),""MIDDLE"")*6)+(COUNTIF(FILTER(Data!N:N,Data!D:D=A397,Data!B:"&amp;"B=$B$1),""LOW"")*4))"),0.0)</f>
        <v>0</v>
      </c>
      <c r="V397" s="138" t="str">
        <f>IF(Data!B389='Team Parser'!$B$1, Data!D389,"")</f>
        <v/>
      </c>
      <c r="W397" s="134" t="str">
        <f>IF(Data!$B389='Team Parser'!$B$1, Data!H389,"")</f>
        <v/>
      </c>
      <c r="X397" s="134" t="str">
        <f>IF(Data!$B389='Team Parser'!$B$1, Data!G389,"")</f>
        <v/>
      </c>
      <c r="Y397" s="134" t="str">
        <f>IF(Data!$B389='Team Parser'!$B$1, Data!L389,"")</f>
        <v/>
      </c>
      <c r="Z397" s="134" t="str">
        <f>IF(Data!$B389='Team Parser'!$B$1, Data!K389,"")</f>
        <v/>
      </c>
      <c r="AA397" s="134" t="str">
        <f>IF(Data!$B389='Team Parser'!$B$1, Data!M389,"")</f>
        <v/>
      </c>
      <c r="AB397" s="134" t="str">
        <f>IF(Data!$B389='Team Parser'!$B$1,((Z397*2)+(Y397)+(X397*4)+(W397*2)),"")</f>
        <v/>
      </c>
      <c r="AC397" s="134" t="str">
        <f>IF(Data!$B389='Team Parser'!$B$1, Data!N389,"")</f>
        <v/>
      </c>
      <c r="AD397" s="139" t="str">
        <f>IF(Data!$B389='Team Parser'!$B$1,(AB397+(COUNTIF(AC397,"TRAVERSE")*15)+(COUNTIF(AC397,"HIGH")*10)+(COUNTIF(AC397,"MIDDLE")*6)+(COUNTIF(AC397,"LOW")*4)),"")</f>
        <v/>
      </c>
    </row>
    <row r="398">
      <c r="A398" s="141" t="s">
        <v>507</v>
      </c>
      <c r="B398" s="134" t="str">
        <f>IFERROR(__xludf.DUMMYFUNCTION("IFERROR((FILTER(Data!H:H,Data!D:D=A398,Data!B:B=$B$1)),"""")"),"")</f>
        <v/>
      </c>
      <c r="C398" s="134" t="str">
        <f>IFERROR(__xludf.DUMMYFUNCTION("IFERROR((FILTER(Data!G:G,Data!D:D=A398,Data!B:B=$B$1)),"""")"),"")</f>
        <v/>
      </c>
      <c r="D398" s="134" t="str">
        <f>IFERROR(__xludf.DUMMYFUNCTION("IFERROR((FILTER(Data!J:J,Data!D:D=A398,Data!B:B=$B$1)),"""")"),"")</f>
        <v/>
      </c>
      <c r="E398" s="134" t="str">
        <f>IFERROR(__xludf.DUMMYFUNCTION("IFERROR((FILTER(Data!L:L,Data!D:D=A398,Data!B:B=$B$1)),"""")"),"")</f>
        <v/>
      </c>
      <c r="F398" s="134" t="str">
        <f>IFERROR(__xludf.DUMMYFUNCTION("IFERROR((FILTER(Data!K:K,Data!D:D=A398,Data!B:B=$B$1)),"""")"),"")</f>
        <v/>
      </c>
      <c r="G398" s="134" t="str">
        <f>IFERROR(__xludf.DUMMYFUNCTION("IFERROR((FILTER(Data!M:M,Data!D:D=A398,Data!B:B=$B$1)),"""")"),"")</f>
        <v/>
      </c>
      <c r="H398" s="134" t="str">
        <f>IFERROR(__xludf.DUMMYFUNCTION("IFERROR((FILTER(Data!G:G,Data!D:D=A398,Data!B:B=$B$1)*4)+(FILTER(Data!H:H,Data!D:D=A398,Data!B:B=$B$1)*2),"""")"),"")</f>
        <v/>
      </c>
      <c r="I398" s="15" t="str">
        <f>IFERROR(__xludf.DUMMYFUNCTION("IFERROR((FILTER(Data!K:K,Data!D:D=A398,Data!B:B=$B$1)*2)+(FILTER(Data!L:L,Data!D:D=A398,Data!B:B=$B$1)),"""")"),"")</f>
        <v/>
      </c>
      <c r="J398" s="134" t="str">
        <f>IFERROR(__xludf.DUMMYFUNCTION("IFERROR((FILTER(Data!N:N,Data!D:D=A398,Data!B:B=$B$1)),"""")"),"")</f>
        <v/>
      </c>
      <c r="K398" s="135" t="str">
        <f>IFERROR(__xludf.DUMMYFUNCTION("IFERROR((FILTER(Data!H:H,Data!D:D=A398,Data!B:B=$B$1)*2)+(FILTER(Data!L:L,Data!D:D=A398,Data!B:B=$B$1))+(FILTER(Data!G:G,Data!D:D=A398,Data!B:B=$B$1)*4)+(FILTER(Data!K:K,Data!D:D=A398,Data!B:B=$B$1)*2)+(((COUNTIF(FILTER(Data!N:N,Data!D:D=A398,Data!B:B=$B$"&amp;"1),""TRAVERSE"")*15)+(COUNTIF(FILTER(Data!N:N,Data!D:D=A398,Data!B:B=$B$1),""HIGH"")*10)+(COUNTIF(FILTER(Data!N:N,Data!D:D=A398,Data!B:B=$B$1),""MIDDLE"")*6)+(COUNTIF(FILTER(Data!N:N,Data!D:D=A398,Data!B:B=$B$1),""LOW"")*4))),"""")"),"")</f>
        <v/>
      </c>
      <c r="L398" s="136" t="str">
        <f>IFERROR(__xludf.DUMMYFUNCTION("IFERROR((FILTER(Data!P:P,Data!D:D=A398,Data!B:B=$B$1)),"""")"),"")</f>
        <v/>
      </c>
      <c r="M398" s="137" t="str">
        <f>IFERROR(__xludf.DUMMYFUNCTION("IFERROR((FILTER(Data!A:A,Data!D:D=A398,Data!B:B=$B$1)),"""")"),"")</f>
        <v/>
      </c>
      <c r="T398" s="52">
        <f>IFERROR(__xludf.DUMMYFUNCTION("((COUNTIF(FILTER(Data!N:N,Data!D:D=A398,Data!B:B=$B$1),""TRAVERSE"")*15)+(COUNTIF(FILTER(Data!N:N,Data!D:D=A398,Data!B:B=B$1),""HIGH"")*10)+(COUNTIF(FILTER(Data!N:N,Data!D:D=A398,Data!B:B=$B$1),""MIDDLE"")*6)+(COUNTIF(FILTER(Data!N:N,Data!D:D=A398,Data!B:"&amp;"B=$B$1),""LOW"")*4))"),0.0)</f>
        <v>0</v>
      </c>
      <c r="V398" s="138" t="str">
        <f>IF(Data!B390='Team Parser'!$B$1, Data!D390,"")</f>
        <v/>
      </c>
      <c r="W398" s="134" t="str">
        <f>IF(Data!$B390='Team Parser'!$B$1, Data!H390,"")</f>
        <v/>
      </c>
      <c r="X398" s="134" t="str">
        <f>IF(Data!$B390='Team Parser'!$B$1, Data!G390,"")</f>
        <v/>
      </c>
      <c r="Y398" s="134" t="str">
        <f>IF(Data!$B390='Team Parser'!$B$1, Data!L390,"")</f>
        <v/>
      </c>
      <c r="Z398" s="134" t="str">
        <f>IF(Data!$B390='Team Parser'!$B$1, Data!K390,"")</f>
        <v/>
      </c>
      <c r="AA398" s="134" t="str">
        <f>IF(Data!$B390='Team Parser'!$B$1, Data!M390,"")</f>
        <v/>
      </c>
      <c r="AB398" s="134" t="str">
        <f>IF(Data!$B390='Team Parser'!$B$1,((Z398*2)+(Y398)+(X398*4)+(W398*2)),"")</f>
        <v/>
      </c>
      <c r="AC398" s="134" t="str">
        <f>IF(Data!$B390='Team Parser'!$B$1, Data!N390,"")</f>
        <v/>
      </c>
      <c r="AD398" s="139" t="str">
        <f>IF(Data!$B390='Team Parser'!$B$1,(AB398+(COUNTIF(AC398,"TRAVERSE")*15)+(COUNTIF(AC398,"HIGH")*10)+(COUNTIF(AC398,"MIDDLE")*6)+(COUNTIF(AC398,"LOW")*4)),"")</f>
        <v/>
      </c>
    </row>
    <row r="399">
      <c r="A399" s="141" t="s">
        <v>507</v>
      </c>
      <c r="B399" s="134" t="str">
        <f>IFERROR(__xludf.DUMMYFUNCTION("IFERROR((FILTER(Data!H:H,Data!D:D=A399,Data!B:B=$B$1)),"""")"),"")</f>
        <v/>
      </c>
      <c r="C399" s="134" t="str">
        <f>IFERROR(__xludf.DUMMYFUNCTION("IFERROR((FILTER(Data!G:G,Data!D:D=A399,Data!B:B=$B$1)),"""")"),"")</f>
        <v/>
      </c>
      <c r="D399" s="134" t="str">
        <f>IFERROR(__xludf.DUMMYFUNCTION("IFERROR((FILTER(Data!J:J,Data!D:D=A399,Data!B:B=$B$1)),"""")"),"")</f>
        <v/>
      </c>
      <c r="E399" s="134" t="str">
        <f>IFERROR(__xludf.DUMMYFUNCTION("IFERROR((FILTER(Data!L:L,Data!D:D=A399,Data!B:B=$B$1)),"""")"),"")</f>
        <v/>
      </c>
      <c r="F399" s="134" t="str">
        <f>IFERROR(__xludf.DUMMYFUNCTION("IFERROR((FILTER(Data!K:K,Data!D:D=A399,Data!B:B=$B$1)),"""")"),"")</f>
        <v/>
      </c>
      <c r="G399" s="134" t="str">
        <f>IFERROR(__xludf.DUMMYFUNCTION("IFERROR((FILTER(Data!M:M,Data!D:D=A399,Data!B:B=$B$1)),"""")"),"")</f>
        <v/>
      </c>
      <c r="H399" s="134" t="str">
        <f>IFERROR(__xludf.DUMMYFUNCTION("IFERROR((FILTER(Data!G:G,Data!D:D=A399,Data!B:B=$B$1)*4)+(FILTER(Data!H:H,Data!D:D=A399,Data!B:B=$B$1)*2),"""")"),"")</f>
        <v/>
      </c>
      <c r="I399" s="15" t="str">
        <f>IFERROR(__xludf.DUMMYFUNCTION("IFERROR((FILTER(Data!K:K,Data!D:D=A399,Data!B:B=$B$1)*2)+(FILTER(Data!L:L,Data!D:D=A399,Data!B:B=$B$1)),"""")"),"")</f>
        <v/>
      </c>
      <c r="J399" s="134" t="str">
        <f>IFERROR(__xludf.DUMMYFUNCTION("IFERROR((FILTER(Data!N:N,Data!D:D=A399,Data!B:B=$B$1)),"""")"),"")</f>
        <v/>
      </c>
      <c r="K399" s="135" t="str">
        <f>IFERROR(__xludf.DUMMYFUNCTION("IFERROR((FILTER(Data!H:H,Data!D:D=A399,Data!B:B=$B$1)*2)+(FILTER(Data!L:L,Data!D:D=A399,Data!B:B=$B$1))+(FILTER(Data!G:G,Data!D:D=A399,Data!B:B=$B$1)*4)+(FILTER(Data!K:K,Data!D:D=A399,Data!B:B=$B$1)*2)+(((COUNTIF(FILTER(Data!N:N,Data!D:D=A399,Data!B:B=$B$"&amp;"1),""TRAVERSE"")*15)+(COUNTIF(FILTER(Data!N:N,Data!D:D=A399,Data!B:B=$B$1),""HIGH"")*10)+(COUNTIF(FILTER(Data!N:N,Data!D:D=A399,Data!B:B=$B$1),""MIDDLE"")*6)+(COUNTIF(FILTER(Data!N:N,Data!D:D=A399,Data!B:B=$B$1),""LOW"")*4))),"""")"),"")</f>
        <v/>
      </c>
      <c r="L399" s="136" t="str">
        <f>IFERROR(__xludf.DUMMYFUNCTION("IFERROR((FILTER(Data!P:P,Data!D:D=A399,Data!B:B=$B$1)),"""")"),"")</f>
        <v/>
      </c>
      <c r="M399" s="137" t="str">
        <f>IFERROR(__xludf.DUMMYFUNCTION("IFERROR((FILTER(Data!A:A,Data!D:D=A399,Data!B:B=$B$1)),"""")"),"")</f>
        <v/>
      </c>
      <c r="T399" s="52">
        <f>IFERROR(__xludf.DUMMYFUNCTION("((COUNTIF(FILTER(Data!N:N,Data!D:D=A399,Data!B:B=$B$1),""TRAVERSE"")*15)+(COUNTIF(FILTER(Data!N:N,Data!D:D=A399,Data!B:B=B$1),""HIGH"")*10)+(COUNTIF(FILTER(Data!N:N,Data!D:D=A399,Data!B:B=$B$1),""MIDDLE"")*6)+(COUNTIF(FILTER(Data!N:N,Data!D:D=A399,Data!B:"&amp;"B=$B$1),""LOW"")*4))"),0.0)</f>
        <v>0</v>
      </c>
      <c r="V399" s="138" t="str">
        <f>IF(Data!B391='Team Parser'!$B$1, Data!D391,"")</f>
        <v/>
      </c>
      <c r="W399" s="134" t="str">
        <f>IF(Data!$B391='Team Parser'!$B$1, Data!H391,"")</f>
        <v/>
      </c>
      <c r="X399" s="134" t="str">
        <f>IF(Data!$B391='Team Parser'!$B$1, Data!G391,"")</f>
        <v/>
      </c>
      <c r="Y399" s="134" t="str">
        <f>IF(Data!$B391='Team Parser'!$B$1, Data!L391,"")</f>
        <v/>
      </c>
      <c r="Z399" s="134" t="str">
        <f>IF(Data!$B391='Team Parser'!$B$1, Data!K391,"")</f>
        <v/>
      </c>
      <c r="AA399" s="134" t="str">
        <f>IF(Data!$B391='Team Parser'!$B$1, Data!M391,"")</f>
        <v/>
      </c>
      <c r="AB399" s="134" t="str">
        <f>IF(Data!$B391='Team Parser'!$B$1,((Z399*2)+(Y399)+(X399*4)+(W399*2)),"")</f>
        <v/>
      </c>
      <c r="AC399" s="134" t="str">
        <f>IF(Data!$B391='Team Parser'!$B$1, Data!N391,"")</f>
        <v/>
      </c>
      <c r="AD399" s="139" t="str">
        <f>IF(Data!$B391='Team Parser'!$B$1,(AB399+(COUNTIF(AC399,"TRAVERSE")*15)+(COUNTIF(AC399,"HIGH")*10)+(COUNTIF(AC399,"MIDDLE")*6)+(COUNTIF(AC399,"LOW")*4)),"")</f>
        <v/>
      </c>
    </row>
    <row r="400">
      <c r="A400" s="141" t="s">
        <v>507</v>
      </c>
      <c r="B400" s="134" t="str">
        <f>IFERROR(__xludf.DUMMYFUNCTION("IFERROR((FILTER(Data!H:H,Data!D:D=A400,Data!B:B=$B$1)),"""")"),"")</f>
        <v/>
      </c>
      <c r="C400" s="134" t="str">
        <f>IFERROR(__xludf.DUMMYFUNCTION("IFERROR((FILTER(Data!G:G,Data!D:D=A400,Data!B:B=$B$1)),"""")"),"")</f>
        <v/>
      </c>
      <c r="D400" s="134" t="str">
        <f>IFERROR(__xludf.DUMMYFUNCTION("IFERROR((FILTER(Data!J:J,Data!D:D=A400,Data!B:B=$B$1)),"""")"),"")</f>
        <v/>
      </c>
      <c r="E400" s="134" t="str">
        <f>IFERROR(__xludf.DUMMYFUNCTION("IFERROR((FILTER(Data!L:L,Data!D:D=A400,Data!B:B=$B$1)),"""")"),"")</f>
        <v/>
      </c>
      <c r="F400" s="134" t="str">
        <f>IFERROR(__xludf.DUMMYFUNCTION("IFERROR((FILTER(Data!K:K,Data!D:D=A400,Data!B:B=$B$1)),"""")"),"")</f>
        <v/>
      </c>
      <c r="G400" s="134" t="str">
        <f>IFERROR(__xludf.DUMMYFUNCTION("IFERROR((FILTER(Data!M:M,Data!D:D=A400,Data!B:B=$B$1)),"""")"),"")</f>
        <v/>
      </c>
      <c r="H400" s="134" t="str">
        <f>IFERROR(__xludf.DUMMYFUNCTION("IFERROR((FILTER(Data!G:G,Data!D:D=A400,Data!B:B=$B$1)*4)+(FILTER(Data!H:H,Data!D:D=A400,Data!B:B=$B$1)*2),"""")"),"")</f>
        <v/>
      </c>
      <c r="I400" s="15" t="str">
        <f>IFERROR(__xludf.DUMMYFUNCTION("IFERROR((FILTER(Data!K:K,Data!D:D=A400,Data!B:B=$B$1)*2)+(FILTER(Data!L:L,Data!D:D=A400,Data!B:B=$B$1)),"""")"),"")</f>
        <v/>
      </c>
      <c r="J400" s="134" t="str">
        <f>IFERROR(__xludf.DUMMYFUNCTION("IFERROR((FILTER(Data!N:N,Data!D:D=A400,Data!B:B=$B$1)),"""")"),"")</f>
        <v/>
      </c>
      <c r="K400" s="135" t="str">
        <f>IFERROR(__xludf.DUMMYFUNCTION("IFERROR((FILTER(Data!H:H,Data!D:D=A400,Data!B:B=$B$1)*2)+(FILTER(Data!L:L,Data!D:D=A400,Data!B:B=$B$1))+(FILTER(Data!G:G,Data!D:D=A400,Data!B:B=$B$1)*4)+(FILTER(Data!K:K,Data!D:D=A400,Data!B:B=$B$1)*2)+(((COUNTIF(FILTER(Data!N:N,Data!D:D=A400,Data!B:B=$B$"&amp;"1),""TRAVERSE"")*15)+(COUNTIF(FILTER(Data!N:N,Data!D:D=A400,Data!B:B=$B$1),""HIGH"")*10)+(COUNTIF(FILTER(Data!N:N,Data!D:D=A400,Data!B:B=$B$1),""MIDDLE"")*6)+(COUNTIF(FILTER(Data!N:N,Data!D:D=A400,Data!B:B=$B$1),""LOW"")*4))),"""")"),"")</f>
        <v/>
      </c>
      <c r="L400" s="136" t="str">
        <f>IFERROR(__xludf.DUMMYFUNCTION("IFERROR((FILTER(Data!P:P,Data!D:D=A400,Data!B:B=$B$1)),"""")"),"")</f>
        <v/>
      </c>
      <c r="M400" s="137" t="str">
        <f>IFERROR(__xludf.DUMMYFUNCTION("IFERROR((FILTER(Data!A:A,Data!D:D=A400,Data!B:B=$B$1)),"""")"),"")</f>
        <v/>
      </c>
      <c r="T400" s="52">
        <f>IFERROR(__xludf.DUMMYFUNCTION("((COUNTIF(FILTER(Data!N:N,Data!D:D=A400,Data!B:B=$B$1),""TRAVERSE"")*15)+(COUNTIF(FILTER(Data!N:N,Data!D:D=A400,Data!B:B=B$1),""HIGH"")*10)+(COUNTIF(FILTER(Data!N:N,Data!D:D=A400,Data!B:B=$B$1),""MIDDLE"")*6)+(COUNTIF(FILTER(Data!N:N,Data!D:D=A400,Data!B:"&amp;"B=$B$1),""LOW"")*4))"),0.0)</f>
        <v>0</v>
      </c>
      <c r="V400" s="138" t="str">
        <f>IF(Data!B392='Team Parser'!$B$1, Data!D392,"")</f>
        <v/>
      </c>
      <c r="W400" s="134" t="str">
        <f>IF(Data!$B392='Team Parser'!$B$1, Data!H392,"")</f>
        <v/>
      </c>
      <c r="X400" s="134" t="str">
        <f>IF(Data!$B392='Team Parser'!$B$1, Data!G392,"")</f>
        <v/>
      </c>
      <c r="Y400" s="134" t="str">
        <f>IF(Data!$B392='Team Parser'!$B$1, Data!L392,"")</f>
        <v/>
      </c>
      <c r="Z400" s="134" t="str">
        <f>IF(Data!$B392='Team Parser'!$B$1, Data!K392,"")</f>
        <v/>
      </c>
      <c r="AA400" s="134" t="str">
        <f>IF(Data!$B392='Team Parser'!$B$1, Data!M392,"")</f>
        <v/>
      </c>
      <c r="AB400" s="134" t="str">
        <f>IF(Data!$B392='Team Parser'!$B$1,((Z400*2)+(Y400)+(X400*4)+(W400*2)),"")</f>
        <v/>
      </c>
      <c r="AC400" s="134" t="str">
        <f>IF(Data!$B392='Team Parser'!$B$1, Data!N392,"")</f>
        <v/>
      </c>
      <c r="AD400" s="139" t="str">
        <f>IF(Data!$B392='Team Parser'!$B$1,(AB400+(COUNTIF(AC400,"TRAVERSE")*15)+(COUNTIF(AC400,"HIGH")*10)+(COUNTIF(AC400,"MIDDLE")*6)+(COUNTIF(AC400,"LOW")*4)),"")</f>
        <v/>
      </c>
    </row>
    <row r="401">
      <c r="A401" s="141" t="s">
        <v>507</v>
      </c>
      <c r="B401" s="134" t="str">
        <f>IFERROR(__xludf.DUMMYFUNCTION("IFERROR((FILTER(Data!H:H,Data!D:D=A401,Data!B:B=$B$1)),"""")"),"")</f>
        <v/>
      </c>
      <c r="C401" s="134" t="str">
        <f>IFERROR(__xludf.DUMMYFUNCTION("IFERROR((FILTER(Data!G:G,Data!D:D=A401,Data!B:B=$B$1)),"""")"),"")</f>
        <v/>
      </c>
      <c r="D401" s="134" t="str">
        <f>IFERROR(__xludf.DUMMYFUNCTION("IFERROR((FILTER(Data!J:J,Data!D:D=A401,Data!B:B=$B$1)),"""")"),"")</f>
        <v/>
      </c>
      <c r="E401" s="134" t="str">
        <f>IFERROR(__xludf.DUMMYFUNCTION("IFERROR((FILTER(Data!L:L,Data!D:D=A401,Data!B:B=$B$1)),"""")"),"")</f>
        <v/>
      </c>
      <c r="F401" s="134" t="str">
        <f>IFERROR(__xludf.DUMMYFUNCTION("IFERROR((FILTER(Data!K:K,Data!D:D=A401,Data!B:B=$B$1)),"""")"),"")</f>
        <v/>
      </c>
      <c r="G401" s="134" t="str">
        <f>IFERROR(__xludf.DUMMYFUNCTION("IFERROR((FILTER(Data!M:M,Data!D:D=A401,Data!B:B=$B$1)),"""")"),"")</f>
        <v/>
      </c>
      <c r="H401" s="134" t="str">
        <f>IFERROR(__xludf.DUMMYFUNCTION("IFERROR((FILTER(Data!G:G,Data!D:D=A401,Data!B:B=$B$1)*4)+(FILTER(Data!H:H,Data!D:D=A401,Data!B:B=$B$1)*2),"""")"),"")</f>
        <v/>
      </c>
      <c r="I401" s="15" t="str">
        <f>IFERROR(__xludf.DUMMYFUNCTION("IFERROR((FILTER(Data!K:K,Data!D:D=A401,Data!B:B=$B$1)*2)+(FILTER(Data!L:L,Data!D:D=A401,Data!B:B=$B$1)),"""")"),"")</f>
        <v/>
      </c>
      <c r="J401" s="134" t="str">
        <f>IFERROR(__xludf.DUMMYFUNCTION("IFERROR((FILTER(Data!N:N,Data!D:D=A401,Data!B:B=$B$1)),"""")"),"")</f>
        <v/>
      </c>
      <c r="K401" s="135" t="str">
        <f>IFERROR(__xludf.DUMMYFUNCTION("IFERROR((FILTER(Data!H:H,Data!D:D=A401,Data!B:B=$B$1)*2)+(FILTER(Data!L:L,Data!D:D=A401,Data!B:B=$B$1))+(FILTER(Data!G:G,Data!D:D=A401,Data!B:B=$B$1)*4)+(FILTER(Data!K:K,Data!D:D=A401,Data!B:B=$B$1)*2)+(((COUNTIF(FILTER(Data!N:N,Data!D:D=A401,Data!B:B=$B$"&amp;"1),""TRAVERSE"")*15)+(COUNTIF(FILTER(Data!N:N,Data!D:D=A401,Data!B:B=$B$1),""HIGH"")*10)+(COUNTIF(FILTER(Data!N:N,Data!D:D=A401,Data!B:B=$B$1),""MIDDLE"")*6)+(COUNTIF(FILTER(Data!N:N,Data!D:D=A401,Data!B:B=$B$1),""LOW"")*4))),"""")"),"")</f>
        <v/>
      </c>
      <c r="L401" s="136" t="str">
        <f>IFERROR(__xludf.DUMMYFUNCTION("IFERROR((FILTER(Data!P:P,Data!D:D=A401,Data!B:B=$B$1)),"""")"),"")</f>
        <v/>
      </c>
      <c r="M401" s="137" t="str">
        <f>IFERROR(__xludf.DUMMYFUNCTION("IFERROR((FILTER(Data!A:A,Data!D:D=A401,Data!B:B=$B$1)),"""")"),"")</f>
        <v/>
      </c>
      <c r="T401" s="52">
        <f>IFERROR(__xludf.DUMMYFUNCTION("((COUNTIF(FILTER(Data!N:N,Data!D:D=A401,Data!B:B=$B$1),""TRAVERSE"")*15)+(COUNTIF(FILTER(Data!N:N,Data!D:D=A401,Data!B:B=B$1),""HIGH"")*10)+(COUNTIF(FILTER(Data!N:N,Data!D:D=A401,Data!B:B=$B$1),""MIDDLE"")*6)+(COUNTIF(FILTER(Data!N:N,Data!D:D=A401,Data!B:"&amp;"B=$B$1),""LOW"")*4))"),0.0)</f>
        <v>0</v>
      </c>
      <c r="V401" s="138" t="str">
        <f>IF(Data!B393='Team Parser'!$B$1, Data!D393,"")</f>
        <v/>
      </c>
      <c r="W401" s="134" t="str">
        <f>IF(Data!$B393='Team Parser'!$B$1, Data!H393,"")</f>
        <v/>
      </c>
      <c r="X401" s="134" t="str">
        <f>IF(Data!$B393='Team Parser'!$B$1, Data!G393,"")</f>
        <v/>
      </c>
      <c r="Y401" s="134" t="str">
        <f>IF(Data!$B393='Team Parser'!$B$1, Data!L393,"")</f>
        <v/>
      </c>
      <c r="Z401" s="134" t="str">
        <f>IF(Data!$B393='Team Parser'!$B$1, Data!K393,"")</f>
        <v/>
      </c>
      <c r="AA401" s="134" t="str">
        <f>IF(Data!$B393='Team Parser'!$B$1, Data!M393,"")</f>
        <v/>
      </c>
      <c r="AB401" s="134" t="str">
        <f>IF(Data!$B393='Team Parser'!$B$1,((Z401*2)+(Y401)+(X401*4)+(W401*2)),"")</f>
        <v/>
      </c>
      <c r="AC401" s="134" t="str">
        <f>IF(Data!$B393='Team Parser'!$B$1, Data!N393,"")</f>
        <v/>
      </c>
      <c r="AD401" s="139" t="str">
        <f>IF(Data!$B393='Team Parser'!$B$1,(AB401+(COUNTIF(AC401,"TRAVERSE")*15)+(COUNTIF(AC401,"HIGH")*10)+(COUNTIF(AC401,"MIDDLE")*6)+(COUNTIF(AC401,"LOW")*4)),"")</f>
        <v/>
      </c>
    </row>
    <row r="402">
      <c r="A402" s="141" t="s">
        <v>507</v>
      </c>
      <c r="B402" s="134" t="str">
        <f>IFERROR(__xludf.DUMMYFUNCTION("IFERROR((FILTER(Data!H:H,Data!D:D=A402,Data!B:B=$B$1)),"""")"),"")</f>
        <v/>
      </c>
      <c r="C402" s="134" t="str">
        <f>IFERROR(__xludf.DUMMYFUNCTION("IFERROR((FILTER(Data!G:G,Data!D:D=A402,Data!B:B=$B$1)),"""")"),"")</f>
        <v/>
      </c>
      <c r="D402" s="134" t="str">
        <f>IFERROR(__xludf.DUMMYFUNCTION("IFERROR((FILTER(Data!J:J,Data!D:D=A402,Data!B:B=$B$1)),"""")"),"")</f>
        <v/>
      </c>
      <c r="E402" s="134" t="str">
        <f>IFERROR(__xludf.DUMMYFUNCTION("IFERROR((FILTER(Data!L:L,Data!D:D=A402,Data!B:B=$B$1)),"""")"),"")</f>
        <v/>
      </c>
      <c r="F402" s="134" t="str">
        <f>IFERROR(__xludf.DUMMYFUNCTION("IFERROR((FILTER(Data!K:K,Data!D:D=A402,Data!B:B=$B$1)),"""")"),"")</f>
        <v/>
      </c>
      <c r="G402" s="134" t="str">
        <f>IFERROR(__xludf.DUMMYFUNCTION("IFERROR((FILTER(Data!M:M,Data!D:D=A402,Data!B:B=$B$1)),"""")"),"")</f>
        <v/>
      </c>
      <c r="H402" s="134" t="str">
        <f>IFERROR(__xludf.DUMMYFUNCTION("IFERROR((FILTER(Data!G:G,Data!D:D=A402,Data!B:B=$B$1)*4)+(FILTER(Data!H:H,Data!D:D=A402,Data!B:B=$B$1)*2),"""")"),"")</f>
        <v/>
      </c>
      <c r="I402" s="15" t="str">
        <f>IFERROR(__xludf.DUMMYFUNCTION("IFERROR((FILTER(Data!K:K,Data!D:D=A402,Data!B:B=$B$1)*2)+(FILTER(Data!L:L,Data!D:D=A402,Data!B:B=$B$1)),"""")"),"")</f>
        <v/>
      </c>
      <c r="J402" s="134" t="str">
        <f>IFERROR(__xludf.DUMMYFUNCTION("IFERROR((FILTER(Data!N:N,Data!D:D=A402,Data!B:B=$B$1)),"""")"),"")</f>
        <v/>
      </c>
      <c r="K402" s="135" t="str">
        <f>IFERROR(__xludf.DUMMYFUNCTION("IFERROR((FILTER(Data!H:H,Data!D:D=A402,Data!B:B=$B$1)*2)+(FILTER(Data!L:L,Data!D:D=A402,Data!B:B=$B$1))+(FILTER(Data!G:G,Data!D:D=A402,Data!B:B=$B$1)*4)+(FILTER(Data!K:K,Data!D:D=A402,Data!B:B=$B$1)*2)+(((COUNTIF(FILTER(Data!N:N,Data!D:D=A402,Data!B:B=$B$"&amp;"1),""TRAVERSE"")*15)+(COUNTIF(FILTER(Data!N:N,Data!D:D=A402,Data!B:B=$B$1),""HIGH"")*10)+(COUNTIF(FILTER(Data!N:N,Data!D:D=A402,Data!B:B=$B$1),""MIDDLE"")*6)+(COUNTIF(FILTER(Data!N:N,Data!D:D=A402,Data!B:B=$B$1),""LOW"")*4))),"""")"),"")</f>
        <v/>
      </c>
      <c r="L402" s="136" t="str">
        <f>IFERROR(__xludf.DUMMYFUNCTION("IFERROR((FILTER(Data!P:P,Data!D:D=A402,Data!B:B=$B$1)),"""")"),"")</f>
        <v/>
      </c>
      <c r="M402" s="137" t="str">
        <f>IFERROR(__xludf.DUMMYFUNCTION("IFERROR((FILTER(Data!A:A,Data!D:D=A402,Data!B:B=$B$1)),"""")"),"")</f>
        <v/>
      </c>
      <c r="T402" s="52">
        <f>IFERROR(__xludf.DUMMYFUNCTION("((COUNTIF(FILTER(Data!N:N,Data!D:D=A402,Data!B:B=$B$1),""TRAVERSE"")*15)+(COUNTIF(FILTER(Data!N:N,Data!D:D=A402,Data!B:B=B$1),""HIGH"")*10)+(COUNTIF(FILTER(Data!N:N,Data!D:D=A402,Data!B:B=$B$1),""MIDDLE"")*6)+(COUNTIF(FILTER(Data!N:N,Data!D:D=A402,Data!B:"&amp;"B=$B$1),""LOW"")*4))"),0.0)</f>
        <v>0</v>
      </c>
      <c r="V402" s="138" t="str">
        <f>IF(Data!B394='Team Parser'!$B$1, Data!D394,"")</f>
        <v/>
      </c>
      <c r="W402" s="134" t="str">
        <f>IF(Data!$B394='Team Parser'!$B$1, Data!H394,"")</f>
        <v/>
      </c>
      <c r="X402" s="134" t="str">
        <f>IF(Data!$B394='Team Parser'!$B$1, Data!G394,"")</f>
        <v/>
      </c>
      <c r="Y402" s="134" t="str">
        <f>IF(Data!$B394='Team Parser'!$B$1, Data!L394,"")</f>
        <v/>
      </c>
      <c r="Z402" s="134" t="str">
        <f>IF(Data!$B394='Team Parser'!$B$1, Data!K394,"")</f>
        <v/>
      </c>
      <c r="AA402" s="134" t="str">
        <f>IF(Data!$B394='Team Parser'!$B$1, Data!M394,"")</f>
        <v/>
      </c>
      <c r="AB402" s="134" t="str">
        <f>IF(Data!$B394='Team Parser'!$B$1,((Z402*2)+(Y402)+(X402*4)+(W402*2)),"")</f>
        <v/>
      </c>
      <c r="AC402" s="134" t="str">
        <f>IF(Data!$B394='Team Parser'!$B$1, Data!N394,"")</f>
        <v/>
      </c>
      <c r="AD402" s="139" t="str">
        <f>IF(Data!$B394='Team Parser'!$B$1,(AB402+(COUNTIF(AC402,"TRAVERSE")*15)+(COUNTIF(AC402,"HIGH")*10)+(COUNTIF(AC402,"MIDDLE")*6)+(COUNTIF(AC402,"LOW")*4)),"")</f>
        <v/>
      </c>
    </row>
    <row r="403">
      <c r="A403" s="141" t="s">
        <v>507</v>
      </c>
      <c r="B403" s="134" t="str">
        <f>IFERROR(__xludf.DUMMYFUNCTION("IFERROR((FILTER(Data!H:H,Data!D:D=A403,Data!B:B=$B$1)),"""")"),"")</f>
        <v/>
      </c>
      <c r="C403" s="134" t="str">
        <f>IFERROR(__xludf.DUMMYFUNCTION("IFERROR((FILTER(Data!G:G,Data!D:D=A403,Data!B:B=$B$1)),"""")"),"")</f>
        <v/>
      </c>
      <c r="D403" s="134" t="str">
        <f>IFERROR(__xludf.DUMMYFUNCTION("IFERROR((FILTER(Data!J:J,Data!D:D=A403,Data!B:B=$B$1)),"""")"),"")</f>
        <v/>
      </c>
      <c r="E403" s="134" t="str">
        <f>IFERROR(__xludf.DUMMYFUNCTION("IFERROR((FILTER(Data!L:L,Data!D:D=A403,Data!B:B=$B$1)),"""")"),"")</f>
        <v/>
      </c>
      <c r="F403" s="134" t="str">
        <f>IFERROR(__xludf.DUMMYFUNCTION("IFERROR((FILTER(Data!K:K,Data!D:D=A403,Data!B:B=$B$1)),"""")"),"")</f>
        <v/>
      </c>
      <c r="G403" s="134" t="str">
        <f>IFERROR(__xludf.DUMMYFUNCTION("IFERROR((FILTER(Data!M:M,Data!D:D=A403,Data!B:B=$B$1)),"""")"),"")</f>
        <v/>
      </c>
      <c r="H403" s="134" t="str">
        <f>IFERROR(__xludf.DUMMYFUNCTION("IFERROR((FILTER(Data!G:G,Data!D:D=A403,Data!B:B=$B$1)*4)+(FILTER(Data!H:H,Data!D:D=A403,Data!B:B=$B$1)*2),"""")"),"")</f>
        <v/>
      </c>
      <c r="I403" s="15" t="str">
        <f>IFERROR(__xludf.DUMMYFUNCTION("IFERROR((FILTER(Data!K:K,Data!D:D=A403,Data!B:B=$B$1)*2)+(FILTER(Data!L:L,Data!D:D=A403,Data!B:B=$B$1)),"""")"),"")</f>
        <v/>
      </c>
      <c r="J403" s="134" t="str">
        <f>IFERROR(__xludf.DUMMYFUNCTION("IFERROR((FILTER(Data!N:N,Data!D:D=A403,Data!B:B=$B$1)),"""")"),"")</f>
        <v/>
      </c>
      <c r="K403" s="135" t="str">
        <f>IFERROR(__xludf.DUMMYFUNCTION("IFERROR((FILTER(Data!H:H,Data!D:D=A403,Data!B:B=$B$1)*2)+(FILTER(Data!L:L,Data!D:D=A403,Data!B:B=$B$1))+(FILTER(Data!G:G,Data!D:D=A403,Data!B:B=$B$1)*4)+(FILTER(Data!K:K,Data!D:D=A403,Data!B:B=$B$1)*2)+(((COUNTIF(FILTER(Data!N:N,Data!D:D=A403,Data!B:B=$B$"&amp;"1),""TRAVERSE"")*15)+(COUNTIF(FILTER(Data!N:N,Data!D:D=A403,Data!B:B=$B$1),""HIGH"")*10)+(COUNTIF(FILTER(Data!N:N,Data!D:D=A403,Data!B:B=$B$1),""MIDDLE"")*6)+(COUNTIF(FILTER(Data!N:N,Data!D:D=A403,Data!B:B=$B$1),""LOW"")*4))),"""")"),"")</f>
        <v/>
      </c>
      <c r="L403" s="136" t="str">
        <f>IFERROR(__xludf.DUMMYFUNCTION("IFERROR((FILTER(Data!P:P,Data!D:D=A403,Data!B:B=$B$1)),"""")"),"")</f>
        <v/>
      </c>
      <c r="M403" s="137" t="str">
        <f>IFERROR(__xludf.DUMMYFUNCTION("IFERROR((FILTER(Data!A:A,Data!D:D=A403,Data!B:B=$B$1)),"""")"),"")</f>
        <v/>
      </c>
      <c r="T403" s="52">
        <f>IFERROR(__xludf.DUMMYFUNCTION("((COUNTIF(FILTER(Data!N:N,Data!D:D=A403,Data!B:B=$B$1),""TRAVERSE"")*15)+(COUNTIF(FILTER(Data!N:N,Data!D:D=A403,Data!B:B=B$1),""HIGH"")*10)+(COUNTIF(FILTER(Data!N:N,Data!D:D=A403,Data!B:B=$B$1),""MIDDLE"")*6)+(COUNTIF(FILTER(Data!N:N,Data!D:D=A403,Data!B:"&amp;"B=$B$1),""LOW"")*4))"),0.0)</f>
        <v>0</v>
      </c>
      <c r="V403" s="138" t="str">
        <f>IF(Data!B395='Team Parser'!$B$1, Data!D395,"")</f>
        <v/>
      </c>
      <c r="W403" s="134" t="str">
        <f>IF(Data!$B395='Team Parser'!$B$1, Data!H395,"")</f>
        <v/>
      </c>
      <c r="X403" s="134" t="str">
        <f>IF(Data!$B395='Team Parser'!$B$1, Data!G395,"")</f>
        <v/>
      </c>
      <c r="Y403" s="134" t="str">
        <f>IF(Data!$B395='Team Parser'!$B$1, Data!L395,"")</f>
        <v/>
      </c>
      <c r="Z403" s="134" t="str">
        <f>IF(Data!$B395='Team Parser'!$B$1, Data!K395,"")</f>
        <v/>
      </c>
      <c r="AA403" s="134" t="str">
        <f>IF(Data!$B395='Team Parser'!$B$1, Data!M395,"")</f>
        <v/>
      </c>
      <c r="AB403" s="134" t="str">
        <f>IF(Data!$B395='Team Parser'!$B$1,((Z403*2)+(Y403)+(X403*4)+(W403*2)),"")</f>
        <v/>
      </c>
      <c r="AC403" s="134" t="str">
        <f>IF(Data!$B395='Team Parser'!$B$1, Data!N395,"")</f>
        <v/>
      </c>
      <c r="AD403" s="139" t="str">
        <f>IF(Data!$B395='Team Parser'!$B$1,(AB403+(COUNTIF(AC403,"TRAVERSE")*15)+(COUNTIF(AC403,"HIGH")*10)+(COUNTIF(AC403,"MIDDLE")*6)+(COUNTIF(AC403,"LOW")*4)),"")</f>
        <v/>
      </c>
    </row>
    <row r="404">
      <c r="A404" s="141" t="s">
        <v>507</v>
      </c>
      <c r="B404" s="134" t="str">
        <f>IFERROR(__xludf.DUMMYFUNCTION("IFERROR((FILTER(Data!H:H,Data!D:D=A404,Data!B:B=$B$1)),"""")"),"")</f>
        <v/>
      </c>
      <c r="C404" s="134" t="str">
        <f>IFERROR(__xludf.DUMMYFUNCTION("IFERROR((FILTER(Data!G:G,Data!D:D=A404,Data!B:B=$B$1)),"""")"),"")</f>
        <v/>
      </c>
      <c r="D404" s="134" t="str">
        <f>IFERROR(__xludf.DUMMYFUNCTION("IFERROR((FILTER(Data!J:J,Data!D:D=A404,Data!B:B=$B$1)),"""")"),"")</f>
        <v/>
      </c>
      <c r="E404" s="134" t="str">
        <f>IFERROR(__xludf.DUMMYFUNCTION("IFERROR((FILTER(Data!L:L,Data!D:D=A404,Data!B:B=$B$1)),"""")"),"")</f>
        <v/>
      </c>
      <c r="F404" s="134" t="str">
        <f>IFERROR(__xludf.DUMMYFUNCTION("IFERROR((FILTER(Data!K:K,Data!D:D=A404,Data!B:B=$B$1)),"""")"),"")</f>
        <v/>
      </c>
      <c r="G404" s="134" t="str">
        <f>IFERROR(__xludf.DUMMYFUNCTION("IFERROR((FILTER(Data!M:M,Data!D:D=A404,Data!B:B=$B$1)),"""")"),"")</f>
        <v/>
      </c>
      <c r="H404" s="134" t="str">
        <f>IFERROR(__xludf.DUMMYFUNCTION("IFERROR((FILTER(Data!G:G,Data!D:D=A404,Data!B:B=$B$1)*4)+(FILTER(Data!H:H,Data!D:D=A404,Data!B:B=$B$1)*2),"""")"),"")</f>
        <v/>
      </c>
      <c r="I404" s="15" t="str">
        <f>IFERROR(__xludf.DUMMYFUNCTION("IFERROR((FILTER(Data!K:K,Data!D:D=A404,Data!B:B=$B$1)*2)+(FILTER(Data!L:L,Data!D:D=A404,Data!B:B=$B$1)),"""")"),"")</f>
        <v/>
      </c>
      <c r="J404" s="134" t="str">
        <f>IFERROR(__xludf.DUMMYFUNCTION("IFERROR((FILTER(Data!N:N,Data!D:D=A404,Data!B:B=$B$1)),"""")"),"")</f>
        <v/>
      </c>
      <c r="K404" s="135" t="str">
        <f>IFERROR(__xludf.DUMMYFUNCTION("IFERROR((FILTER(Data!H:H,Data!D:D=A404,Data!B:B=$B$1)*2)+(FILTER(Data!L:L,Data!D:D=A404,Data!B:B=$B$1))+(FILTER(Data!G:G,Data!D:D=A404,Data!B:B=$B$1)*4)+(FILTER(Data!K:K,Data!D:D=A404,Data!B:B=$B$1)*2)+(((COUNTIF(FILTER(Data!N:N,Data!D:D=A404,Data!B:B=$B$"&amp;"1),""TRAVERSE"")*15)+(COUNTIF(FILTER(Data!N:N,Data!D:D=A404,Data!B:B=$B$1),""HIGH"")*10)+(COUNTIF(FILTER(Data!N:N,Data!D:D=A404,Data!B:B=$B$1),""MIDDLE"")*6)+(COUNTIF(FILTER(Data!N:N,Data!D:D=A404,Data!B:B=$B$1),""LOW"")*4))),"""")"),"")</f>
        <v/>
      </c>
      <c r="L404" s="136" t="str">
        <f>IFERROR(__xludf.DUMMYFUNCTION("IFERROR((FILTER(Data!P:P,Data!D:D=A404,Data!B:B=$B$1)),"""")"),"")</f>
        <v/>
      </c>
      <c r="M404" s="137" t="str">
        <f>IFERROR(__xludf.DUMMYFUNCTION("IFERROR((FILTER(Data!A:A,Data!D:D=A404,Data!B:B=$B$1)),"""")"),"")</f>
        <v/>
      </c>
      <c r="T404" s="52">
        <f>IFERROR(__xludf.DUMMYFUNCTION("((COUNTIF(FILTER(Data!N:N,Data!D:D=A404,Data!B:B=$B$1),""TRAVERSE"")*15)+(COUNTIF(FILTER(Data!N:N,Data!D:D=A404,Data!B:B=B$1),""HIGH"")*10)+(COUNTIF(FILTER(Data!N:N,Data!D:D=A404,Data!B:B=$B$1),""MIDDLE"")*6)+(COUNTIF(FILTER(Data!N:N,Data!D:D=A404,Data!B:"&amp;"B=$B$1),""LOW"")*4))"),0.0)</f>
        <v>0</v>
      </c>
      <c r="V404" s="138" t="str">
        <f>IF(Data!B396='Team Parser'!$B$1, Data!D396,"")</f>
        <v/>
      </c>
      <c r="W404" s="134" t="str">
        <f>IF(Data!$B396='Team Parser'!$B$1, Data!H396,"")</f>
        <v/>
      </c>
      <c r="X404" s="134" t="str">
        <f>IF(Data!$B396='Team Parser'!$B$1, Data!G396,"")</f>
        <v/>
      </c>
      <c r="Y404" s="134" t="str">
        <f>IF(Data!$B396='Team Parser'!$B$1, Data!L396,"")</f>
        <v/>
      </c>
      <c r="Z404" s="134" t="str">
        <f>IF(Data!$B396='Team Parser'!$B$1, Data!K396,"")</f>
        <v/>
      </c>
      <c r="AA404" s="134" t="str">
        <f>IF(Data!$B396='Team Parser'!$B$1, Data!M396,"")</f>
        <v/>
      </c>
      <c r="AB404" s="134" t="str">
        <f>IF(Data!$B396='Team Parser'!$B$1,((Z404*2)+(Y404)+(X404*4)+(W404*2)),"")</f>
        <v/>
      </c>
      <c r="AC404" s="134" t="str">
        <f>IF(Data!$B396='Team Parser'!$B$1, Data!N396,"")</f>
        <v/>
      </c>
      <c r="AD404" s="139" t="str">
        <f>IF(Data!$B396='Team Parser'!$B$1,(AB404+(COUNTIF(AC404,"TRAVERSE")*15)+(COUNTIF(AC404,"HIGH")*10)+(COUNTIF(AC404,"MIDDLE")*6)+(COUNTIF(AC404,"LOW")*4)),"")</f>
        <v/>
      </c>
    </row>
    <row r="405">
      <c r="A405" s="141" t="s">
        <v>507</v>
      </c>
      <c r="B405" s="134" t="str">
        <f>IFERROR(__xludf.DUMMYFUNCTION("IFERROR((FILTER(Data!H:H,Data!D:D=A405,Data!B:B=$B$1)),"""")"),"")</f>
        <v/>
      </c>
      <c r="C405" s="134" t="str">
        <f>IFERROR(__xludf.DUMMYFUNCTION("IFERROR((FILTER(Data!G:G,Data!D:D=A405,Data!B:B=$B$1)),"""")"),"")</f>
        <v/>
      </c>
      <c r="D405" s="134" t="str">
        <f>IFERROR(__xludf.DUMMYFUNCTION("IFERROR((FILTER(Data!J:J,Data!D:D=A405,Data!B:B=$B$1)),"""")"),"")</f>
        <v/>
      </c>
      <c r="E405" s="134" t="str">
        <f>IFERROR(__xludf.DUMMYFUNCTION("IFERROR((FILTER(Data!L:L,Data!D:D=A405,Data!B:B=$B$1)),"""")"),"")</f>
        <v/>
      </c>
      <c r="F405" s="134" t="str">
        <f>IFERROR(__xludf.DUMMYFUNCTION("IFERROR((FILTER(Data!K:K,Data!D:D=A405,Data!B:B=$B$1)),"""")"),"")</f>
        <v/>
      </c>
      <c r="G405" s="134" t="str">
        <f>IFERROR(__xludf.DUMMYFUNCTION("IFERROR((FILTER(Data!M:M,Data!D:D=A405,Data!B:B=$B$1)),"""")"),"")</f>
        <v/>
      </c>
      <c r="H405" s="134" t="str">
        <f>IFERROR(__xludf.DUMMYFUNCTION("IFERROR((FILTER(Data!G:G,Data!D:D=A405,Data!B:B=$B$1)*4)+(FILTER(Data!H:H,Data!D:D=A405,Data!B:B=$B$1)*2),"""")"),"")</f>
        <v/>
      </c>
      <c r="I405" s="15" t="str">
        <f>IFERROR(__xludf.DUMMYFUNCTION("IFERROR((FILTER(Data!K:K,Data!D:D=A405,Data!B:B=$B$1)*2)+(FILTER(Data!L:L,Data!D:D=A405,Data!B:B=$B$1)),"""")"),"")</f>
        <v/>
      </c>
      <c r="J405" s="134" t="str">
        <f>IFERROR(__xludf.DUMMYFUNCTION("IFERROR((FILTER(Data!N:N,Data!D:D=A405,Data!B:B=$B$1)),"""")"),"")</f>
        <v/>
      </c>
      <c r="K405" s="135" t="str">
        <f>IFERROR(__xludf.DUMMYFUNCTION("IFERROR((FILTER(Data!H:H,Data!D:D=A405,Data!B:B=$B$1)*2)+(FILTER(Data!L:L,Data!D:D=A405,Data!B:B=$B$1))+(FILTER(Data!G:G,Data!D:D=A405,Data!B:B=$B$1)*4)+(FILTER(Data!K:K,Data!D:D=A405,Data!B:B=$B$1)*2)+(((COUNTIF(FILTER(Data!N:N,Data!D:D=A405,Data!B:B=$B$"&amp;"1),""TRAVERSE"")*15)+(COUNTIF(FILTER(Data!N:N,Data!D:D=A405,Data!B:B=$B$1),""HIGH"")*10)+(COUNTIF(FILTER(Data!N:N,Data!D:D=A405,Data!B:B=$B$1),""MIDDLE"")*6)+(COUNTIF(FILTER(Data!N:N,Data!D:D=A405,Data!B:B=$B$1),""LOW"")*4))),"""")"),"")</f>
        <v/>
      </c>
      <c r="L405" s="136" t="str">
        <f>IFERROR(__xludf.DUMMYFUNCTION("IFERROR((FILTER(Data!P:P,Data!D:D=A405,Data!B:B=$B$1)),"""")"),"")</f>
        <v/>
      </c>
      <c r="M405" s="137" t="str">
        <f>IFERROR(__xludf.DUMMYFUNCTION("IFERROR((FILTER(Data!A:A,Data!D:D=A405,Data!B:B=$B$1)),"""")"),"")</f>
        <v/>
      </c>
      <c r="T405" s="52">
        <f>IFERROR(__xludf.DUMMYFUNCTION("((COUNTIF(FILTER(Data!N:N,Data!D:D=A405,Data!B:B=$B$1),""TRAVERSE"")*15)+(COUNTIF(FILTER(Data!N:N,Data!D:D=A405,Data!B:B=B$1),""HIGH"")*10)+(COUNTIF(FILTER(Data!N:N,Data!D:D=A405,Data!B:B=$B$1),""MIDDLE"")*6)+(COUNTIF(FILTER(Data!N:N,Data!D:D=A405,Data!B:"&amp;"B=$B$1),""LOW"")*4))"),0.0)</f>
        <v>0</v>
      </c>
      <c r="V405" s="138" t="str">
        <f>IF(Data!B397='Team Parser'!$B$1, Data!D397,"")</f>
        <v/>
      </c>
      <c r="W405" s="134" t="str">
        <f>IF(Data!$B397='Team Parser'!$B$1, Data!H397,"")</f>
        <v/>
      </c>
      <c r="X405" s="134" t="str">
        <f>IF(Data!$B397='Team Parser'!$B$1, Data!G397,"")</f>
        <v/>
      </c>
      <c r="Y405" s="134" t="str">
        <f>IF(Data!$B397='Team Parser'!$B$1, Data!L397,"")</f>
        <v/>
      </c>
      <c r="Z405" s="134" t="str">
        <f>IF(Data!$B397='Team Parser'!$B$1, Data!K397,"")</f>
        <v/>
      </c>
      <c r="AA405" s="134" t="str">
        <f>IF(Data!$B397='Team Parser'!$B$1, Data!M397,"")</f>
        <v/>
      </c>
      <c r="AB405" s="134" t="str">
        <f>IF(Data!$B397='Team Parser'!$B$1,((Z405*2)+(Y405)+(X405*4)+(W405*2)),"")</f>
        <v/>
      </c>
      <c r="AC405" s="134" t="str">
        <f>IF(Data!$B397='Team Parser'!$B$1, Data!N397,"")</f>
        <v/>
      </c>
      <c r="AD405" s="139" t="str">
        <f>IF(Data!$B397='Team Parser'!$B$1,(AB405+(COUNTIF(AC405,"TRAVERSE")*15)+(COUNTIF(AC405,"HIGH")*10)+(COUNTIF(AC405,"MIDDLE")*6)+(COUNTIF(AC405,"LOW")*4)),"")</f>
        <v/>
      </c>
    </row>
    <row r="406">
      <c r="A406" s="141" t="s">
        <v>507</v>
      </c>
      <c r="B406" s="134" t="str">
        <f>IFERROR(__xludf.DUMMYFUNCTION("IFERROR((FILTER(Data!H:H,Data!D:D=A406,Data!B:B=$B$1)),"""")"),"")</f>
        <v/>
      </c>
      <c r="C406" s="134" t="str">
        <f>IFERROR(__xludf.DUMMYFUNCTION("IFERROR((FILTER(Data!G:G,Data!D:D=A406,Data!B:B=$B$1)),"""")"),"")</f>
        <v/>
      </c>
      <c r="D406" s="134" t="str">
        <f>IFERROR(__xludf.DUMMYFUNCTION("IFERROR((FILTER(Data!J:J,Data!D:D=A406,Data!B:B=$B$1)),"""")"),"")</f>
        <v/>
      </c>
      <c r="E406" s="134" t="str">
        <f>IFERROR(__xludf.DUMMYFUNCTION("IFERROR((FILTER(Data!L:L,Data!D:D=A406,Data!B:B=$B$1)),"""")"),"")</f>
        <v/>
      </c>
      <c r="F406" s="134" t="str">
        <f>IFERROR(__xludf.DUMMYFUNCTION("IFERROR((FILTER(Data!K:K,Data!D:D=A406,Data!B:B=$B$1)),"""")"),"")</f>
        <v/>
      </c>
      <c r="G406" s="134" t="str">
        <f>IFERROR(__xludf.DUMMYFUNCTION("IFERROR((FILTER(Data!M:M,Data!D:D=A406,Data!B:B=$B$1)),"""")"),"")</f>
        <v/>
      </c>
      <c r="H406" s="134" t="str">
        <f>IFERROR(__xludf.DUMMYFUNCTION("IFERROR((FILTER(Data!G:G,Data!D:D=A406,Data!B:B=$B$1)*4)+(FILTER(Data!H:H,Data!D:D=A406,Data!B:B=$B$1)*2),"""")"),"")</f>
        <v/>
      </c>
      <c r="I406" s="15" t="str">
        <f>IFERROR(__xludf.DUMMYFUNCTION("IFERROR((FILTER(Data!K:K,Data!D:D=A406,Data!B:B=$B$1)*2)+(FILTER(Data!L:L,Data!D:D=A406,Data!B:B=$B$1)),"""")"),"")</f>
        <v/>
      </c>
      <c r="J406" s="134" t="str">
        <f>IFERROR(__xludf.DUMMYFUNCTION("IFERROR((FILTER(Data!N:N,Data!D:D=A406,Data!B:B=$B$1)),"""")"),"")</f>
        <v/>
      </c>
      <c r="K406" s="135" t="str">
        <f>IFERROR(__xludf.DUMMYFUNCTION("IFERROR((FILTER(Data!H:H,Data!D:D=A406,Data!B:B=$B$1)*2)+(FILTER(Data!L:L,Data!D:D=A406,Data!B:B=$B$1))+(FILTER(Data!G:G,Data!D:D=A406,Data!B:B=$B$1)*4)+(FILTER(Data!K:K,Data!D:D=A406,Data!B:B=$B$1)*2)+(((COUNTIF(FILTER(Data!N:N,Data!D:D=A406,Data!B:B=$B$"&amp;"1),""TRAVERSE"")*15)+(COUNTIF(FILTER(Data!N:N,Data!D:D=A406,Data!B:B=$B$1),""HIGH"")*10)+(COUNTIF(FILTER(Data!N:N,Data!D:D=A406,Data!B:B=$B$1),""MIDDLE"")*6)+(COUNTIF(FILTER(Data!N:N,Data!D:D=A406,Data!B:B=$B$1),""LOW"")*4))),"""")"),"")</f>
        <v/>
      </c>
      <c r="L406" s="136" t="str">
        <f>IFERROR(__xludf.DUMMYFUNCTION("IFERROR((FILTER(Data!P:P,Data!D:D=A406,Data!B:B=$B$1)),"""")"),"")</f>
        <v/>
      </c>
      <c r="M406" s="137" t="str">
        <f>IFERROR(__xludf.DUMMYFUNCTION("IFERROR((FILTER(Data!A:A,Data!D:D=A406,Data!B:B=$B$1)),"""")"),"")</f>
        <v/>
      </c>
      <c r="T406" s="52">
        <f>IFERROR(__xludf.DUMMYFUNCTION("((COUNTIF(FILTER(Data!N:N,Data!D:D=A406,Data!B:B=$B$1),""TRAVERSE"")*15)+(COUNTIF(FILTER(Data!N:N,Data!D:D=A406,Data!B:B=B$1),""HIGH"")*10)+(COUNTIF(FILTER(Data!N:N,Data!D:D=A406,Data!B:B=$B$1),""MIDDLE"")*6)+(COUNTIF(FILTER(Data!N:N,Data!D:D=A406,Data!B:"&amp;"B=$B$1),""LOW"")*4))"),0.0)</f>
        <v>0</v>
      </c>
      <c r="V406" s="138" t="str">
        <f>IF(Data!B398='Team Parser'!$B$1, Data!D398,"")</f>
        <v/>
      </c>
      <c r="W406" s="134" t="str">
        <f>IF(Data!$B398='Team Parser'!$B$1, Data!H398,"")</f>
        <v/>
      </c>
      <c r="X406" s="134" t="str">
        <f>IF(Data!$B398='Team Parser'!$B$1, Data!G398,"")</f>
        <v/>
      </c>
      <c r="Y406" s="134" t="str">
        <f>IF(Data!$B398='Team Parser'!$B$1, Data!L398,"")</f>
        <v/>
      </c>
      <c r="Z406" s="134" t="str">
        <f>IF(Data!$B398='Team Parser'!$B$1, Data!K398,"")</f>
        <v/>
      </c>
      <c r="AA406" s="134" t="str">
        <f>IF(Data!$B398='Team Parser'!$B$1, Data!M398,"")</f>
        <v/>
      </c>
      <c r="AB406" s="134" t="str">
        <f>IF(Data!$B398='Team Parser'!$B$1,((Z406*2)+(Y406)+(X406*4)+(W406*2)),"")</f>
        <v/>
      </c>
      <c r="AC406" s="134" t="str">
        <f>IF(Data!$B398='Team Parser'!$B$1, Data!N398,"")</f>
        <v/>
      </c>
      <c r="AD406" s="139" t="str">
        <f>IF(Data!$B398='Team Parser'!$B$1,(AB406+(COUNTIF(AC406,"TRAVERSE")*15)+(COUNTIF(AC406,"HIGH")*10)+(COUNTIF(AC406,"MIDDLE")*6)+(COUNTIF(AC406,"LOW")*4)),"")</f>
        <v/>
      </c>
    </row>
    <row r="407">
      <c r="A407" s="141" t="s">
        <v>507</v>
      </c>
      <c r="B407" s="134" t="str">
        <f>IFERROR(__xludf.DUMMYFUNCTION("IFERROR((FILTER(Data!H:H,Data!D:D=A407,Data!B:B=$B$1)),"""")"),"")</f>
        <v/>
      </c>
      <c r="C407" s="134" t="str">
        <f>IFERROR(__xludf.DUMMYFUNCTION("IFERROR((FILTER(Data!G:G,Data!D:D=A407,Data!B:B=$B$1)),"""")"),"")</f>
        <v/>
      </c>
      <c r="D407" s="134" t="str">
        <f>IFERROR(__xludf.DUMMYFUNCTION("IFERROR((FILTER(Data!J:J,Data!D:D=A407,Data!B:B=$B$1)),"""")"),"")</f>
        <v/>
      </c>
      <c r="E407" s="134" t="str">
        <f>IFERROR(__xludf.DUMMYFUNCTION("IFERROR((FILTER(Data!L:L,Data!D:D=A407,Data!B:B=$B$1)),"""")"),"")</f>
        <v/>
      </c>
      <c r="F407" s="134" t="str">
        <f>IFERROR(__xludf.DUMMYFUNCTION("IFERROR((FILTER(Data!K:K,Data!D:D=A407,Data!B:B=$B$1)),"""")"),"")</f>
        <v/>
      </c>
      <c r="G407" s="134" t="str">
        <f>IFERROR(__xludf.DUMMYFUNCTION("IFERROR((FILTER(Data!M:M,Data!D:D=A407,Data!B:B=$B$1)),"""")"),"")</f>
        <v/>
      </c>
      <c r="H407" s="134" t="str">
        <f>IFERROR(__xludf.DUMMYFUNCTION("IFERROR((FILTER(Data!G:G,Data!D:D=A407,Data!B:B=$B$1)*4)+(FILTER(Data!H:H,Data!D:D=A407,Data!B:B=$B$1)*2),"""")"),"")</f>
        <v/>
      </c>
      <c r="I407" s="15" t="str">
        <f>IFERROR(__xludf.DUMMYFUNCTION("IFERROR((FILTER(Data!K:K,Data!D:D=A407,Data!B:B=$B$1)*2)+(FILTER(Data!L:L,Data!D:D=A407,Data!B:B=$B$1)),"""")"),"")</f>
        <v/>
      </c>
      <c r="J407" s="134" t="str">
        <f>IFERROR(__xludf.DUMMYFUNCTION("IFERROR((FILTER(Data!N:N,Data!D:D=A407,Data!B:B=$B$1)),"""")"),"")</f>
        <v/>
      </c>
      <c r="K407" s="135" t="str">
        <f>IFERROR(__xludf.DUMMYFUNCTION("IFERROR((FILTER(Data!H:H,Data!D:D=A407,Data!B:B=$B$1)*2)+(FILTER(Data!L:L,Data!D:D=A407,Data!B:B=$B$1))+(FILTER(Data!G:G,Data!D:D=A407,Data!B:B=$B$1)*4)+(FILTER(Data!K:K,Data!D:D=A407,Data!B:B=$B$1)*2)+(((COUNTIF(FILTER(Data!N:N,Data!D:D=A407,Data!B:B=$B$"&amp;"1),""TRAVERSE"")*15)+(COUNTIF(FILTER(Data!N:N,Data!D:D=A407,Data!B:B=$B$1),""HIGH"")*10)+(COUNTIF(FILTER(Data!N:N,Data!D:D=A407,Data!B:B=$B$1),""MIDDLE"")*6)+(COUNTIF(FILTER(Data!N:N,Data!D:D=A407,Data!B:B=$B$1),""LOW"")*4))),"""")"),"")</f>
        <v/>
      </c>
      <c r="L407" s="136" t="str">
        <f>IFERROR(__xludf.DUMMYFUNCTION("IFERROR((FILTER(Data!P:P,Data!D:D=A407,Data!B:B=$B$1)),"""")"),"")</f>
        <v/>
      </c>
      <c r="M407" s="137" t="str">
        <f>IFERROR(__xludf.DUMMYFUNCTION("IFERROR((FILTER(Data!A:A,Data!D:D=A407,Data!B:B=$B$1)),"""")"),"")</f>
        <v/>
      </c>
      <c r="T407" s="52">
        <f>IFERROR(__xludf.DUMMYFUNCTION("((COUNTIF(FILTER(Data!N:N,Data!D:D=A407,Data!B:B=$B$1),""TRAVERSE"")*15)+(COUNTIF(FILTER(Data!N:N,Data!D:D=A407,Data!B:B=B$1),""HIGH"")*10)+(COUNTIF(FILTER(Data!N:N,Data!D:D=A407,Data!B:B=$B$1),""MIDDLE"")*6)+(COUNTIF(FILTER(Data!N:N,Data!D:D=A407,Data!B:"&amp;"B=$B$1),""LOW"")*4))"),0.0)</f>
        <v>0</v>
      </c>
      <c r="V407" s="138" t="str">
        <f>IF(Data!B399='Team Parser'!$B$1, Data!D399,"")</f>
        <v/>
      </c>
      <c r="W407" s="134" t="str">
        <f>IF(Data!$B399='Team Parser'!$B$1, Data!H399,"")</f>
        <v/>
      </c>
      <c r="X407" s="134" t="str">
        <f>IF(Data!$B399='Team Parser'!$B$1, Data!G399,"")</f>
        <v/>
      </c>
      <c r="Y407" s="134" t="str">
        <f>IF(Data!$B399='Team Parser'!$B$1, Data!L399,"")</f>
        <v/>
      </c>
      <c r="Z407" s="134" t="str">
        <f>IF(Data!$B399='Team Parser'!$B$1, Data!K399,"")</f>
        <v/>
      </c>
      <c r="AA407" s="134" t="str">
        <f>IF(Data!$B399='Team Parser'!$B$1, Data!M399,"")</f>
        <v/>
      </c>
      <c r="AB407" s="134" t="str">
        <f>IF(Data!$B399='Team Parser'!$B$1,((Z407*2)+(Y407)+(X407*4)+(W407*2)),"")</f>
        <v/>
      </c>
      <c r="AC407" s="134" t="str">
        <f>IF(Data!$B399='Team Parser'!$B$1, Data!N399,"")</f>
        <v/>
      </c>
      <c r="AD407" s="139" t="str">
        <f>IF(Data!$B399='Team Parser'!$B$1,(AB407+(COUNTIF(AC407,"TRAVERSE")*15)+(COUNTIF(AC407,"HIGH")*10)+(COUNTIF(AC407,"MIDDLE")*6)+(COUNTIF(AC407,"LOW")*4)),"")</f>
        <v/>
      </c>
    </row>
    <row r="408">
      <c r="A408" s="141" t="s">
        <v>507</v>
      </c>
      <c r="B408" s="134" t="str">
        <f>IFERROR(__xludf.DUMMYFUNCTION("IFERROR((FILTER(Data!H:H,Data!D:D=A408,Data!B:B=$B$1)),"""")"),"")</f>
        <v/>
      </c>
      <c r="C408" s="134" t="str">
        <f>IFERROR(__xludf.DUMMYFUNCTION("IFERROR((FILTER(Data!G:G,Data!D:D=A408,Data!B:B=$B$1)),"""")"),"")</f>
        <v/>
      </c>
      <c r="D408" s="134" t="str">
        <f>IFERROR(__xludf.DUMMYFUNCTION("IFERROR((FILTER(Data!J:J,Data!D:D=A408,Data!B:B=$B$1)),"""")"),"")</f>
        <v/>
      </c>
      <c r="E408" s="134" t="str">
        <f>IFERROR(__xludf.DUMMYFUNCTION("IFERROR((FILTER(Data!L:L,Data!D:D=A408,Data!B:B=$B$1)),"""")"),"")</f>
        <v/>
      </c>
      <c r="F408" s="134" t="str">
        <f>IFERROR(__xludf.DUMMYFUNCTION("IFERROR((FILTER(Data!K:K,Data!D:D=A408,Data!B:B=$B$1)),"""")"),"")</f>
        <v/>
      </c>
      <c r="G408" s="134" t="str">
        <f>IFERROR(__xludf.DUMMYFUNCTION("IFERROR((FILTER(Data!M:M,Data!D:D=A408,Data!B:B=$B$1)),"""")"),"")</f>
        <v/>
      </c>
      <c r="H408" s="134" t="str">
        <f>IFERROR(__xludf.DUMMYFUNCTION("IFERROR((FILTER(Data!G:G,Data!D:D=A408,Data!B:B=$B$1)*4)+(FILTER(Data!H:H,Data!D:D=A408,Data!B:B=$B$1)*2),"""")"),"")</f>
        <v/>
      </c>
      <c r="I408" s="15" t="str">
        <f>IFERROR(__xludf.DUMMYFUNCTION("IFERROR((FILTER(Data!K:K,Data!D:D=A408,Data!B:B=$B$1)*2)+(FILTER(Data!L:L,Data!D:D=A408,Data!B:B=$B$1)),"""")"),"")</f>
        <v/>
      </c>
      <c r="J408" s="134" t="str">
        <f>IFERROR(__xludf.DUMMYFUNCTION("IFERROR((FILTER(Data!N:N,Data!D:D=A408,Data!B:B=$B$1)),"""")"),"")</f>
        <v/>
      </c>
      <c r="K408" s="135" t="str">
        <f>IFERROR(__xludf.DUMMYFUNCTION("IFERROR((FILTER(Data!H:H,Data!D:D=A408,Data!B:B=$B$1)*2)+(FILTER(Data!L:L,Data!D:D=A408,Data!B:B=$B$1))+(FILTER(Data!G:G,Data!D:D=A408,Data!B:B=$B$1)*4)+(FILTER(Data!K:K,Data!D:D=A408,Data!B:B=$B$1)*2)+(((COUNTIF(FILTER(Data!N:N,Data!D:D=A408,Data!B:B=$B$"&amp;"1),""TRAVERSE"")*15)+(COUNTIF(FILTER(Data!N:N,Data!D:D=A408,Data!B:B=$B$1),""HIGH"")*10)+(COUNTIF(FILTER(Data!N:N,Data!D:D=A408,Data!B:B=$B$1),""MIDDLE"")*6)+(COUNTIF(FILTER(Data!N:N,Data!D:D=A408,Data!B:B=$B$1),""LOW"")*4))),"""")"),"")</f>
        <v/>
      </c>
      <c r="L408" s="136" t="str">
        <f>IFERROR(__xludf.DUMMYFUNCTION("IFERROR((FILTER(Data!P:P,Data!D:D=A408,Data!B:B=$B$1)),"""")"),"")</f>
        <v/>
      </c>
      <c r="M408" s="137" t="str">
        <f>IFERROR(__xludf.DUMMYFUNCTION("IFERROR((FILTER(Data!A:A,Data!D:D=A408,Data!B:B=$B$1)),"""")"),"")</f>
        <v/>
      </c>
      <c r="T408" s="52">
        <f>IFERROR(__xludf.DUMMYFUNCTION("((COUNTIF(FILTER(Data!N:N,Data!D:D=A408,Data!B:B=$B$1),""TRAVERSE"")*15)+(COUNTIF(FILTER(Data!N:N,Data!D:D=A408,Data!B:B=B$1),""HIGH"")*10)+(COUNTIF(FILTER(Data!N:N,Data!D:D=A408,Data!B:B=$B$1),""MIDDLE"")*6)+(COUNTIF(FILTER(Data!N:N,Data!D:D=A408,Data!B:"&amp;"B=$B$1),""LOW"")*4))"),0.0)</f>
        <v>0</v>
      </c>
      <c r="V408" s="138" t="str">
        <f>IF(Data!B400='Team Parser'!$B$1, Data!D400,"")</f>
        <v/>
      </c>
      <c r="W408" s="134" t="str">
        <f>IF(Data!$B400='Team Parser'!$B$1, Data!H400,"")</f>
        <v/>
      </c>
      <c r="X408" s="134" t="str">
        <f>IF(Data!$B400='Team Parser'!$B$1, Data!G400,"")</f>
        <v/>
      </c>
      <c r="Y408" s="134" t="str">
        <f>IF(Data!$B400='Team Parser'!$B$1, Data!L400,"")</f>
        <v/>
      </c>
      <c r="Z408" s="134" t="str">
        <f>IF(Data!$B400='Team Parser'!$B$1, Data!K400,"")</f>
        <v/>
      </c>
      <c r="AA408" s="134" t="str">
        <f>IF(Data!$B400='Team Parser'!$B$1, Data!M400,"")</f>
        <v/>
      </c>
      <c r="AB408" s="134" t="str">
        <f>IF(Data!$B400='Team Parser'!$B$1,((Z408*2)+(Y408)+(X408*4)+(W408*2)),"")</f>
        <v/>
      </c>
      <c r="AC408" s="134" t="str">
        <f>IF(Data!$B400='Team Parser'!$B$1, Data!N400,"")</f>
        <v/>
      </c>
      <c r="AD408" s="139" t="str">
        <f>IF(Data!$B400='Team Parser'!$B$1,(AB408+(COUNTIF(AC408,"TRAVERSE")*15)+(COUNTIF(AC408,"HIGH")*10)+(COUNTIF(AC408,"MIDDLE")*6)+(COUNTIF(AC408,"LOW")*4)),"")</f>
        <v/>
      </c>
    </row>
    <row r="409">
      <c r="A409" s="141" t="s">
        <v>507</v>
      </c>
      <c r="B409" s="134" t="str">
        <f>IFERROR(__xludf.DUMMYFUNCTION("IFERROR((FILTER(Data!H:H,Data!D:D=A409,Data!B:B=$B$1)),"""")"),"")</f>
        <v/>
      </c>
      <c r="C409" s="134" t="str">
        <f>IFERROR(__xludf.DUMMYFUNCTION("IFERROR((FILTER(Data!G:G,Data!D:D=A409,Data!B:B=$B$1)),"""")"),"")</f>
        <v/>
      </c>
      <c r="D409" s="134" t="str">
        <f>IFERROR(__xludf.DUMMYFUNCTION("IFERROR((FILTER(Data!J:J,Data!D:D=A409,Data!B:B=$B$1)),"""")"),"")</f>
        <v/>
      </c>
      <c r="E409" s="134" t="str">
        <f>IFERROR(__xludf.DUMMYFUNCTION("IFERROR((FILTER(Data!L:L,Data!D:D=A409,Data!B:B=$B$1)),"""")"),"")</f>
        <v/>
      </c>
      <c r="F409" s="134" t="str">
        <f>IFERROR(__xludf.DUMMYFUNCTION("IFERROR((FILTER(Data!K:K,Data!D:D=A409,Data!B:B=$B$1)),"""")"),"")</f>
        <v/>
      </c>
      <c r="G409" s="134" t="str">
        <f>IFERROR(__xludf.DUMMYFUNCTION("IFERROR((FILTER(Data!M:M,Data!D:D=A409,Data!B:B=$B$1)),"""")"),"")</f>
        <v/>
      </c>
      <c r="H409" s="134" t="str">
        <f>IFERROR(__xludf.DUMMYFUNCTION("IFERROR((FILTER(Data!G:G,Data!D:D=A409,Data!B:B=$B$1)*4)+(FILTER(Data!H:H,Data!D:D=A409,Data!B:B=$B$1)*2),"""")"),"")</f>
        <v/>
      </c>
      <c r="I409" s="15" t="str">
        <f>IFERROR(__xludf.DUMMYFUNCTION("IFERROR((FILTER(Data!K:K,Data!D:D=A409,Data!B:B=$B$1)*2)+(FILTER(Data!L:L,Data!D:D=A409,Data!B:B=$B$1)),"""")"),"")</f>
        <v/>
      </c>
      <c r="J409" s="134" t="str">
        <f>IFERROR(__xludf.DUMMYFUNCTION("IFERROR((FILTER(Data!N:N,Data!D:D=A409,Data!B:B=$B$1)),"""")"),"")</f>
        <v/>
      </c>
      <c r="K409" s="135" t="str">
        <f>IFERROR(__xludf.DUMMYFUNCTION("IFERROR((FILTER(Data!H:H,Data!D:D=A409,Data!B:B=$B$1)*2)+(FILTER(Data!L:L,Data!D:D=A409,Data!B:B=$B$1))+(FILTER(Data!G:G,Data!D:D=A409,Data!B:B=$B$1)*4)+(FILTER(Data!K:K,Data!D:D=A409,Data!B:B=$B$1)*2)+(((COUNTIF(FILTER(Data!N:N,Data!D:D=A409,Data!B:B=$B$"&amp;"1),""TRAVERSE"")*15)+(COUNTIF(FILTER(Data!N:N,Data!D:D=A409,Data!B:B=$B$1),""HIGH"")*10)+(COUNTIF(FILTER(Data!N:N,Data!D:D=A409,Data!B:B=$B$1),""MIDDLE"")*6)+(COUNTIF(FILTER(Data!N:N,Data!D:D=A409,Data!B:B=$B$1),""LOW"")*4))),"""")"),"")</f>
        <v/>
      </c>
      <c r="L409" s="136" t="str">
        <f>IFERROR(__xludf.DUMMYFUNCTION("IFERROR((FILTER(Data!P:P,Data!D:D=A409,Data!B:B=$B$1)),"""")"),"")</f>
        <v/>
      </c>
      <c r="M409" s="137" t="str">
        <f>IFERROR(__xludf.DUMMYFUNCTION("IFERROR((FILTER(Data!A:A,Data!D:D=A409,Data!B:B=$B$1)),"""")"),"")</f>
        <v/>
      </c>
      <c r="T409" s="52">
        <f>IFERROR(__xludf.DUMMYFUNCTION("((COUNTIF(FILTER(Data!N:N,Data!D:D=A409,Data!B:B=$B$1),""TRAVERSE"")*15)+(COUNTIF(FILTER(Data!N:N,Data!D:D=A409,Data!B:B=B$1),""HIGH"")*10)+(COUNTIF(FILTER(Data!N:N,Data!D:D=A409,Data!B:B=$B$1),""MIDDLE"")*6)+(COUNTIF(FILTER(Data!N:N,Data!D:D=A409,Data!B:"&amp;"B=$B$1),""LOW"")*4))"),0.0)</f>
        <v>0</v>
      </c>
      <c r="V409" s="138" t="str">
        <f>IF(Data!B401='Team Parser'!$B$1, Data!D401,"")</f>
        <v/>
      </c>
      <c r="W409" s="134" t="str">
        <f>IF(Data!$B401='Team Parser'!$B$1, Data!H401,"")</f>
        <v/>
      </c>
      <c r="X409" s="134" t="str">
        <f>IF(Data!$B401='Team Parser'!$B$1, Data!G401,"")</f>
        <v/>
      </c>
      <c r="Y409" s="134" t="str">
        <f>IF(Data!$B401='Team Parser'!$B$1, Data!L401,"")</f>
        <v/>
      </c>
      <c r="Z409" s="134" t="str">
        <f>IF(Data!$B401='Team Parser'!$B$1, Data!K401,"")</f>
        <v/>
      </c>
      <c r="AA409" s="134" t="str">
        <f>IF(Data!$B401='Team Parser'!$B$1, Data!M401,"")</f>
        <v/>
      </c>
      <c r="AB409" s="134" t="str">
        <f>IF(Data!$B401='Team Parser'!$B$1,((Z409*2)+(Y409)+(X409*4)+(W409*2)),"")</f>
        <v/>
      </c>
      <c r="AC409" s="134" t="str">
        <f>IF(Data!$B401='Team Parser'!$B$1, Data!N401,"")</f>
        <v/>
      </c>
      <c r="AD409" s="139" t="str">
        <f>IF(Data!$B401='Team Parser'!$B$1,(AB409+(COUNTIF(AC409,"TRAVERSE")*15)+(COUNTIF(AC409,"HIGH")*10)+(COUNTIF(AC409,"MIDDLE")*6)+(COUNTIF(AC409,"LOW")*4)),"")</f>
        <v/>
      </c>
    </row>
    <row r="410">
      <c r="A410" s="141" t="s">
        <v>507</v>
      </c>
      <c r="B410" s="134" t="str">
        <f>IFERROR(__xludf.DUMMYFUNCTION("IFERROR((FILTER(Data!H:H,Data!D:D=A410,Data!B:B=$B$1)),"""")"),"")</f>
        <v/>
      </c>
      <c r="C410" s="134" t="str">
        <f>IFERROR(__xludf.DUMMYFUNCTION("IFERROR((FILTER(Data!G:G,Data!D:D=A410,Data!B:B=$B$1)),"""")"),"")</f>
        <v/>
      </c>
      <c r="D410" s="134" t="str">
        <f>IFERROR(__xludf.DUMMYFUNCTION("IFERROR((FILTER(Data!J:J,Data!D:D=A410,Data!B:B=$B$1)),"""")"),"")</f>
        <v/>
      </c>
      <c r="E410" s="134" t="str">
        <f>IFERROR(__xludf.DUMMYFUNCTION("IFERROR((FILTER(Data!L:L,Data!D:D=A410,Data!B:B=$B$1)),"""")"),"")</f>
        <v/>
      </c>
      <c r="F410" s="134" t="str">
        <f>IFERROR(__xludf.DUMMYFUNCTION("IFERROR((FILTER(Data!K:K,Data!D:D=A410,Data!B:B=$B$1)),"""")"),"")</f>
        <v/>
      </c>
      <c r="G410" s="134" t="str">
        <f>IFERROR(__xludf.DUMMYFUNCTION("IFERROR((FILTER(Data!M:M,Data!D:D=A410,Data!B:B=$B$1)),"""")"),"")</f>
        <v/>
      </c>
      <c r="H410" s="134" t="str">
        <f>IFERROR(__xludf.DUMMYFUNCTION("IFERROR((FILTER(Data!G:G,Data!D:D=A410,Data!B:B=$B$1)*4)+(FILTER(Data!H:H,Data!D:D=A410,Data!B:B=$B$1)*2),"""")"),"")</f>
        <v/>
      </c>
      <c r="I410" s="15" t="str">
        <f>IFERROR(__xludf.DUMMYFUNCTION("IFERROR((FILTER(Data!K:K,Data!D:D=A410,Data!B:B=$B$1)*2)+(FILTER(Data!L:L,Data!D:D=A410,Data!B:B=$B$1)),"""")"),"")</f>
        <v/>
      </c>
      <c r="J410" s="134" t="str">
        <f>IFERROR(__xludf.DUMMYFUNCTION("IFERROR((FILTER(Data!N:N,Data!D:D=A410,Data!B:B=$B$1)),"""")"),"")</f>
        <v/>
      </c>
      <c r="K410" s="135" t="str">
        <f>IFERROR(__xludf.DUMMYFUNCTION("IFERROR((FILTER(Data!H:H,Data!D:D=A410,Data!B:B=$B$1)*2)+(FILTER(Data!L:L,Data!D:D=A410,Data!B:B=$B$1))+(FILTER(Data!G:G,Data!D:D=A410,Data!B:B=$B$1)*4)+(FILTER(Data!K:K,Data!D:D=A410,Data!B:B=$B$1)*2)+(((COUNTIF(FILTER(Data!N:N,Data!D:D=A410,Data!B:B=$B$"&amp;"1),""TRAVERSE"")*15)+(COUNTIF(FILTER(Data!N:N,Data!D:D=A410,Data!B:B=$B$1),""HIGH"")*10)+(COUNTIF(FILTER(Data!N:N,Data!D:D=A410,Data!B:B=$B$1),""MIDDLE"")*6)+(COUNTIF(FILTER(Data!N:N,Data!D:D=A410,Data!B:B=$B$1),""LOW"")*4))),"""")"),"")</f>
        <v/>
      </c>
      <c r="L410" s="136" t="str">
        <f>IFERROR(__xludf.DUMMYFUNCTION("IFERROR((FILTER(Data!P:P,Data!D:D=A410,Data!B:B=$B$1)),"""")"),"")</f>
        <v/>
      </c>
      <c r="M410" s="137" t="str">
        <f>IFERROR(__xludf.DUMMYFUNCTION("IFERROR((FILTER(Data!A:A,Data!D:D=A410,Data!B:B=$B$1)),"""")"),"")</f>
        <v/>
      </c>
      <c r="T410" s="52">
        <f>IFERROR(__xludf.DUMMYFUNCTION("((COUNTIF(FILTER(Data!N:N,Data!D:D=A410,Data!B:B=$B$1),""TRAVERSE"")*15)+(COUNTIF(FILTER(Data!N:N,Data!D:D=A410,Data!B:B=B$1),""HIGH"")*10)+(COUNTIF(FILTER(Data!N:N,Data!D:D=A410,Data!B:B=$B$1),""MIDDLE"")*6)+(COUNTIF(FILTER(Data!N:N,Data!D:D=A410,Data!B:"&amp;"B=$B$1),""LOW"")*4))"),0.0)</f>
        <v>0</v>
      </c>
      <c r="V410" s="138" t="str">
        <f>IF(Data!B402='Team Parser'!$B$1, Data!D402,"")</f>
        <v/>
      </c>
      <c r="W410" s="134" t="str">
        <f>IF(Data!$B402='Team Parser'!$B$1, Data!H402,"")</f>
        <v/>
      </c>
      <c r="X410" s="134" t="str">
        <f>IF(Data!$B402='Team Parser'!$B$1, Data!G402,"")</f>
        <v/>
      </c>
      <c r="Y410" s="134" t="str">
        <f>IF(Data!$B402='Team Parser'!$B$1, Data!L402,"")</f>
        <v/>
      </c>
      <c r="Z410" s="134" t="str">
        <f>IF(Data!$B402='Team Parser'!$B$1, Data!K402,"")</f>
        <v/>
      </c>
      <c r="AA410" s="134" t="str">
        <f>IF(Data!$B402='Team Parser'!$B$1, Data!M402,"")</f>
        <v/>
      </c>
      <c r="AB410" s="134" t="str">
        <f>IF(Data!$B402='Team Parser'!$B$1,((Z410*2)+(Y410)+(X410*4)+(W410*2)),"")</f>
        <v/>
      </c>
      <c r="AC410" s="134" t="str">
        <f>IF(Data!$B402='Team Parser'!$B$1, Data!N402,"")</f>
        <v/>
      </c>
      <c r="AD410" s="139" t="str">
        <f>IF(Data!$B402='Team Parser'!$B$1,(AB410+(COUNTIF(AC410,"TRAVERSE")*15)+(COUNTIF(AC410,"HIGH")*10)+(COUNTIF(AC410,"MIDDLE")*6)+(COUNTIF(AC410,"LOW")*4)),"")</f>
        <v/>
      </c>
    </row>
    <row r="411">
      <c r="A411" s="141" t="s">
        <v>507</v>
      </c>
      <c r="B411" s="134" t="str">
        <f>IFERROR(__xludf.DUMMYFUNCTION("IFERROR((FILTER(Data!H:H,Data!D:D=A411,Data!B:B=$B$1)),"""")"),"")</f>
        <v/>
      </c>
      <c r="C411" s="134" t="str">
        <f>IFERROR(__xludf.DUMMYFUNCTION("IFERROR((FILTER(Data!G:G,Data!D:D=A411,Data!B:B=$B$1)),"""")"),"")</f>
        <v/>
      </c>
      <c r="D411" s="134" t="str">
        <f>IFERROR(__xludf.DUMMYFUNCTION("IFERROR((FILTER(Data!J:J,Data!D:D=A411,Data!B:B=$B$1)),"""")"),"")</f>
        <v/>
      </c>
      <c r="E411" s="134" t="str">
        <f>IFERROR(__xludf.DUMMYFUNCTION("IFERROR((FILTER(Data!L:L,Data!D:D=A411,Data!B:B=$B$1)),"""")"),"")</f>
        <v/>
      </c>
      <c r="F411" s="134" t="str">
        <f>IFERROR(__xludf.DUMMYFUNCTION("IFERROR((FILTER(Data!K:K,Data!D:D=A411,Data!B:B=$B$1)),"""")"),"")</f>
        <v/>
      </c>
      <c r="G411" s="134" t="str">
        <f>IFERROR(__xludf.DUMMYFUNCTION("IFERROR((FILTER(Data!M:M,Data!D:D=A411,Data!B:B=$B$1)),"""")"),"")</f>
        <v/>
      </c>
      <c r="H411" s="134" t="str">
        <f>IFERROR(__xludf.DUMMYFUNCTION("IFERROR((FILTER(Data!G:G,Data!D:D=A411,Data!B:B=$B$1)*4)+(FILTER(Data!H:H,Data!D:D=A411,Data!B:B=$B$1)*2),"""")"),"")</f>
        <v/>
      </c>
      <c r="I411" s="15" t="str">
        <f>IFERROR(__xludf.DUMMYFUNCTION("IFERROR((FILTER(Data!K:K,Data!D:D=A411,Data!B:B=$B$1)*2)+(FILTER(Data!L:L,Data!D:D=A411,Data!B:B=$B$1)),"""")"),"")</f>
        <v/>
      </c>
      <c r="J411" s="134" t="str">
        <f>IFERROR(__xludf.DUMMYFUNCTION("IFERROR((FILTER(Data!N:N,Data!D:D=A411,Data!B:B=$B$1)),"""")"),"")</f>
        <v/>
      </c>
      <c r="K411" s="135" t="str">
        <f>IFERROR(__xludf.DUMMYFUNCTION("IFERROR((FILTER(Data!H:H,Data!D:D=A411,Data!B:B=$B$1)*2)+(FILTER(Data!L:L,Data!D:D=A411,Data!B:B=$B$1))+(FILTER(Data!G:G,Data!D:D=A411,Data!B:B=$B$1)*4)+(FILTER(Data!K:K,Data!D:D=A411,Data!B:B=$B$1)*2)+(((COUNTIF(FILTER(Data!N:N,Data!D:D=A411,Data!B:B=$B$"&amp;"1),""TRAVERSE"")*15)+(COUNTIF(FILTER(Data!N:N,Data!D:D=A411,Data!B:B=$B$1),""HIGH"")*10)+(COUNTIF(FILTER(Data!N:N,Data!D:D=A411,Data!B:B=$B$1),""MIDDLE"")*6)+(COUNTIF(FILTER(Data!N:N,Data!D:D=A411,Data!B:B=$B$1),""LOW"")*4))),"""")"),"")</f>
        <v/>
      </c>
      <c r="L411" s="136" t="str">
        <f>IFERROR(__xludf.DUMMYFUNCTION("IFERROR((FILTER(Data!P:P,Data!D:D=A411,Data!B:B=$B$1)),"""")"),"")</f>
        <v/>
      </c>
      <c r="M411" s="137" t="str">
        <f>IFERROR(__xludf.DUMMYFUNCTION("IFERROR((FILTER(Data!A:A,Data!D:D=A411,Data!B:B=$B$1)),"""")"),"")</f>
        <v/>
      </c>
      <c r="T411" s="52">
        <f>IFERROR(__xludf.DUMMYFUNCTION("((COUNTIF(FILTER(Data!N:N,Data!D:D=A411,Data!B:B=$B$1),""TRAVERSE"")*15)+(COUNTIF(FILTER(Data!N:N,Data!D:D=A411,Data!B:B=B$1),""HIGH"")*10)+(COUNTIF(FILTER(Data!N:N,Data!D:D=A411,Data!B:B=$B$1),""MIDDLE"")*6)+(COUNTIF(FILTER(Data!N:N,Data!D:D=A411,Data!B:"&amp;"B=$B$1),""LOW"")*4))"),0.0)</f>
        <v>0</v>
      </c>
      <c r="V411" s="138" t="str">
        <f>IF(Data!B403='Team Parser'!$B$1, Data!D403,"")</f>
        <v/>
      </c>
      <c r="W411" s="134" t="str">
        <f>IF(Data!$B403='Team Parser'!$B$1, Data!H403,"")</f>
        <v/>
      </c>
      <c r="X411" s="134" t="str">
        <f>IF(Data!$B403='Team Parser'!$B$1, Data!G403,"")</f>
        <v/>
      </c>
      <c r="Y411" s="134" t="str">
        <f>IF(Data!$B403='Team Parser'!$B$1, Data!L403,"")</f>
        <v/>
      </c>
      <c r="Z411" s="134" t="str">
        <f>IF(Data!$B403='Team Parser'!$B$1, Data!K403,"")</f>
        <v/>
      </c>
      <c r="AA411" s="134" t="str">
        <f>IF(Data!$B403='Team Parser'!$B$1, Data!M403,"")</f>
        <v/>
      </c>
      <c r="AB411" s="134" t="str">
        <f>IF(Data!$B403='Team Parser'!$B$1,((Z411*2)+(Y411)+(X411*4)+(W411*2)),"")</f>
        <v/>
      </c>
      <c r="AC411" s="134" t="str">
        <f>IF(Data!$B403='Team Parser'!$B$1, Data!N403,"")</f>
        <v/>
      </c>
      <c r="AD411" s="139" t="str">
        <f>IF(Data!$B403='Team Parser'!$B$1,(AB411+(COUNTIF(AC411,"TRAVERSE")*15)+(COUNTIF(AC411,"HIGH")*10)+(COUNTIF(AC411,"MIDDLE")*6)+(COUNTIF(AC411,"LOW")*4)),"")</f>
        <v/>
      </c>
    </row>
    <row r="412">
      <c r="A412" s="141" t="s">
        <v>507</v>
      </c>
      <c r="B412" s="134" t="str">
        <f>IFERROR(__xludf.DUMMYFUNCTION("IFERROR((FILTER(Data!H:H,Data!D:D=A412,Data!B:B=$B$1)),"""")"),"")</f>
        <v/>
      </c>
      <c r="C412" s="134" t="str">
        <f>IFERROR(__xludf.DUMMYFUNCTION("IFERROR((FILTER(Data!G:G,Data!D:D=A412,Data!B:B=$B$1)),"""")"),"")</f>
        <v/>
      </c>
      <c r="D412" s="134" t="str">
        <f>IFERROR(__xludf.DUMMYFUNCTION("IFERROR((FILTER(Data!J:J,Data!D:D=A412,Data!B:B=$B$1)),"""")"),"")</f>
        <v/>
      </c>
      <c r="E412" s="134" t="str">
        <f>IFERROR(__xludf.DUMMYFUNCTION("IFERROR((FILTER(Data!L:L,Data!D:D=A412,Data!B:B=$B$1)),"""")"),"")</f>
        <v/>
      </c>
      <c r="F412" s="134" t="str">
        <f>IFERROR(__xludf.DUMMYFUNCTION("IFERROR((FILTER(Data!K:K,Data!D:D=A412,Data!B:B=$B$1)),"""")"),"")</f>
        <v/>
      </c>
      <c r="G412" s="134" t="str">
        <f>IFERROR(__xludf.DUMMYFUNCTION("IFERROR((FILTER(Data!M:M,Data!D:D=A412,Data!B:B=$B$1)),"""")"),"")</f>
        <v/>
      </c>
      <c r="H412" s="134" t="str">
        <f>IFERROR(__xludf.DUMMYFUNCTION("IFERROR((FILTER(Data!G:G,Data!D:D=A412,Data!B:B=$B$1)*4)+(FILTER(Data!H:H,Data!D:D=A412,Data!B:B=$B$1)*2),"""")"),"")</f>
        <v/>
      </c>
      <c r="I412" s="15" t="str">
        <f>IFERROR(__xludf.DUMMYFUNCTION("IFERROR((FILTER(Data!K:K,Data!D:D=A412,Data!B:B=$B$1)*2)+(FILTER(Data!L:L,Data!D:D=A412,Data!B:B=$B$1)),"""")"),"")</f>
        <v/>
      </c>
      <c r="J412" s="134" t="str">
        <f>IFERROR(__xludf.DUMMYFUNCTION("IFERROR((FILTER(Data!N:N,Data!D:D=A412,Data!B:B=$B$1)),"""")"),"")</f>
        <v/>
      </c>
      <c r="K412" s="135" t="str">
        <f>IFERROR(__xludf.DUMMYFUNCTION("IFERROR((FILTER(Data!H:H,Data!D:D=A412,Data!B:B=$B$1)*2)+(FILTER(Data!L:L,Data!D:D=A412,Data!B:B=$B$1))+(FILTER(Data!G:G,Data!D:D=A412,Data!B:B=$B$1)*4)+(FILTER(Data!K:K,Data!D:D=A412,Data!B:B=$B$1)*2)+(((COUNTIF(FILTER(Data!N:N,Data!D:D=A412,Data!B:B=$B$"&amp;"1),""TRAVERSE"")*15)+(COUNTIF(FILTER(Data!N:N,Data!D:D=A412,Data!B:B=$B$1),""HIGH"")*10)+(COUNTIF(FILTER(Data!N:N,Data!D:D=A412,Data!B:B=$B$1),""MIDDLE"")*6)+(COUNTIF(FILTER(Data!N:N,Data!D:D=A412,Data!B:B=$B$1),""LOW"")*4))),"""")"),"")</f>
        <v/>
      </c>
      <c r="L412" s="136" t="str">
        <f>IFERROR(__xludf.DUMMYFUNCTION("IFERROR((FILTER(Data!P:P,Data!D:D=A412,Data!B:B=$B$1)),"""")"),"")</f>
        <v/>
      </c>
      <c r="M412" s="137" t="str">
        <f>IFERROR(__xludf.DUMMYFUNCTION("IFERROR((FILTER(Data!A:A,Data!D:D=A412,Data!B:B=$B$1)),"""")"),"")</f>
        <v/>
      </c>
      <c r="T412" s="52">
        <f>IFERROR(__xludf.DUMMYFUNCTION("((COUNTIF(FILTER(Data!N:N,Data!D:D=A412,Data!B:B=$B$1),""TRAVERSE"")*15)+(COUNTIF(FILTER(Data!N:N,Data!D:D=A412,Data!B:B=B$1),""HIGH"")*10)+(COUNTIF(FILTER(Data!N:N,Data!D:D=A412,Data!B:B=$B$1),""MIDDLE"")*6)+(COUNTIF(FILTER(Data!N:N,Data!D:D=A412,Data!B:"&amp;"B=$B$1),""LOW"")*4))"),0.0)</f>
        <v>0</v>
      </c>
      <c r="V412" s="138" t="str">
        <f>IF(Data!B404='Team Parser'!$B$1, Data!D404,"")</f>
        <v/>
      </c>
      <c r="W412" s="134" t="str">
        <f>IF(Data!$B404='Team Parser'!$B$1, Data!H404,"")</f>
        <v/>
      </c>
      <c r="X412" s="134" t="str">
        <f>IF(Data!$B404='Team Parser'!$B$1, Data!G404,"")</f>
        <v/>
      </c>
      <c r="Y412" s="134" t="str">
        <f>IF(Data!$B404='Team Parser'!$B$1, Data!L404,"")</f>
        <v/>
      </c>
      <c r="Z412" s="134" t="str">
        <f>IF(Data!$B404='Team Parser'!$B$1, Data!K404,"")</f>
        <v/>
      </c>
      <c r="AA412" s="134" t="str">
        <f>IF(Data!$B404='Team Parser'!$B$1, Data!M404,"")</f>
        <v/>
      </c>
      <c r="AB412" s="134" t="str">
        <f>IF(Data!$B404='Team Parser'!$B$1,((Z412*2)+(Y412)+(X412*4)+(W412*2)),"")</f>
        <v/>
      </c>
      <c r="AC412" s="134" t="str">
        <f>IF(Data!$B404='Team Parser'!$B$1, Data!N404,"")</f>
        <v/>
      </c>
      <c r="AD412" s="139" t="str">
        <f>IF(Data!$B404='Team Parser'!$B$1,(AB412+(COUNTIF(AC412,"TRAVERSE")*15)+(COUNTIF(AC412,"HIGH")*10)+(COUNTIF(AC412,"MIDDLE")*6)+(COUNTIF(AC412,"LOW")*4)),"")</f>
        <v/>
      </c>
    </row>
    <row r="413">
      <c r="A413" s="141" t="s">
        <v>507</v>
      </c>
      <c r="B413" s="134" t="str">
        <f>IFERROR(__xludf.DUMMYFUNCTION("IFERROR((FILTER(Data!H:H,Data!D:D=A413,Data!B:B=$B$1)),"""")"),"")</f>
        <v/>
      </c>
      <c r="C413" s="134" t="str">
        <f>IFERROR(__xludf.DUMMYFUNCTION("IFERROR((FILTER(Data!G:G,Data!D:D=A413,Data!B:B=$B$1)),"""")"),"")</f>
        <v/>
      </c>
      <c r="D413" s="134" t="str">
        <f>IFERROR(__xludf.DUMMYFUNCTION("IFERROR((FILTER(Data!J:J,Data!D:D=A413,Data!B:B=$B$1)),"""")"),"")</f>
        <v/>
      </c>
      <c r="E413" s="134" t="str">
        <f>IFERROR(__xludf.DUMMYFUNCTION("IFERROR((FILTER(Data!L:L,Data!D:D=A413,Data!B:B=$B$1)),"""")"),"")</f>
        <v/>
      </c>
      <c r="F413" s="134" t="str">
        <f>IFERROR(__xludf.DUMMYFUNCTION("IFERROR((FILTER(Data!K:K,Data!D:D=A413,Data!B:B=$B$1)),"""")"),"")</f>
        <v/>
      </c>
      <c r="G413" s="134" t="str">
        <f>IFERROR(__xludf.DUMMYFUNCTION("IFERROR((FILTER(Data!M:M,Data!D:D=A413,Data!B:B=$B$1)),"""")"),"")</f>
        <v/>
      </c>
      <c r="H413" s="134" t="str">
        <f>IFERROR(__xludf.DUMMYFUNCTION("IFERROR((FILTER(Data!G:G,Data!D:D=A413,Data!B:B=$B$1)*4)+(FILTER(Data!H:H,Data!D:D=A413,Data!B:B=$B$1)*2),"""")"),"")</f>
        <v/>
      </c>
      <c r="I413" s="15" t="str">
        <f>IFERROR(__xludf.DUMMYFUNCTION("IFERROR((FILTER(Data!K:K,Data!D:D=A413,Data!B:B=$B$1)*2)+(FILTER(Data!L:L,Data!D:D=A413,Data!B:B=$B$1)),"""")"),"")</f>
        <v/>
      </c>
      <c r="J413" s="134" t="str">
        <f>IFERROR(__xludf.DUMMYFUNCTION("IFERROR((FILTER(Data!N:N,Data!D:D=A413,Data!B:B=$B$1)),"""")"),"")</f>
        <v/>
      </c>
      <c r="K413" s="135" t="str">
        <f>IFERROR(__xludf.DUMMYFUNCTION("IFERROR((FILTER(Data!H:H,Data!D:D=A413,Data!B:B=$B$1)*2)+(FILTER(Data!L:L,Data!D:D=A413,Data!B:B=$B$1))+(FILTER(Data!G:G,Data!D:D=A413,Data!B:B=$B$1)*4)+(FILTER(Data!K:K,Data!D:D=A413,Data!B:B=$B$1)*2)+(((COUNTIF(FILTER(Data!N:N,Data!D:D=A413,Data!B:B=$B$"&amp;"1),""TRAVERSE"")*15)+(COUNTIF(FILTER(Data!N:N,Data!D:D=A413,Data!B:B=$B$1),""HIGH"")*10)+(COUNTIF(FILTER(Data!N:N,Data!D:D=A413,Data!B:B=$B$1),""MIDDLE"")*6)+(COUNTIF(FILTER(Data!N:N,Data!D:D=A413,Data!B:B=$B$1),""LOW"")*4))),"""")"),"")</f>
        <v/>
      </c>
      <c r="L413" s="136" t="str">
        <f>IFERROR(__xludf.DUMMYFUNCTION("IFERROR((FILTER(Data!P:P,Data!D:D=A413,Data!B:B=$B$1)),"""")"),"")</f>
        <v/>
      </c>
      <c r="M413" s="137" t="str">
        <f>IFERROR(__xludf.DUMMYFUNCTION("IFERROR((FILTER(Data!A:A,Data!D:D=A413,Data!B:B=$B$1)),"""")"),"")</f>
        <v/>
      </c>
      <c r="T413" s="52">
        <f>IFERROR(__xludf.DUMMYFUNCTION("((COUNTIF(FILTER(Data!N:N,Data!D:D=A413,Data!B:B=$B$1),""TRAVERSE"")*15)+(COUNTIF(FILTER(Data!N:N,Data!D:D=A413,Data!B:B=B$1),""HIGH"")*10)+(COUNTIF(FILTER(Data!N:N,Data!D:D=A413,Data!B:B=$B$1),""MIDDLE"")*6)+(COUNTIF(FILTER(Data!N:N,Data!D:D=A413,Data!B:"&amp;"B=$B$1),""LOW"")*4))"),0.0)</f>
        <v>0</v>
      </c>
      <c r="V413" s="138" t="str">
        <f>IF(Data!B405='Team Parser'!$B$1, Data!D405,"")</f>
        <v/>
      </c>
      <c r="W413" s="134" t="str">
        <f>IF(Data!$B405='Team Parser'!$B$1, Data!H405,"")</f>
        <v/>
      </c>
      <c r="X413" s="134" t="str">
        <f>IF(Data!$B405='Team Parser'!$B$1, Data!G405,"")</f>
        <v/>
      </c>
      <c r="Y413" s="134" t="str">
        <f>IF(Data!$B405='Team Parser'!$B$1, Data!L405,"")</f>
        <v/>
      </c>
      <c r="Z413" s="134" t="str">
        <f>IF(Data!$B405='Team Parser'!$B$1, Data!K405,"")</f>
        <v/>
      </c>
      <c r="AA413" s="134" t="str">
        <f>IF(Data!$B405='Team Parser'!$B$1, Data!M405,"")</f>
        <v/>
      </c>
      <c r="AB413" s="134" t="str">
        <f>IF(Data!$B405='Team Parser'!$B$1,((Z413*2)+(Y413)+(X413*4)+(W413*2)),"")</f>
        <v/>
      </c>
      <c r="AC413" s="134" t="str">
        <f>IF(Data!$B405='Team Parser'!$B$1, Data!N405,"")</f>
        <v/>
      </c>
      <c r="AD413" s="139" t="str">
        <f>IF(Data!$B405='Team Parser'!$B$1,(AB413+(COUNTIF(AC413,"TRAVERSE")*15)+(COUNTIF(AC413,"HIGH")*10)+(COUNTIF(AC413,"MIDDLE")*6)+(COUNTIF(AC413,"LOW")*4)),"")</f>
        <v/>
      </c>
    </row>
    <row r="414">
      <c r="A414" s="141" t="s">
        <v>507</v>
      </c>
      <c r="B414" s="134" t="str">
        <f>IFERROR(__xludf.DUMMYFUNCTION("IFERROR((FILTER(Data!H:H,Data!D:D=A414,Data!B:B=$B$1)),"""")"),"")</f>
        <v/>
      </c>
      <c r="C414" s="134" t="str">
        <f>IFERROR(__xludf.DUMMYFUNCTION("IFERROR((FILTER(Data!G:G,Data!D:D=A414,Data!B:B=$B$1)),"""")"),"")</f>
        <v/>
      </c>
      <c r="D414" s="134" t="str">
        <f>IFERROR(__xludf.DUMMYFUNCTION("IFERROR((FILTER(Data!J:J,Data!D:D=A414,Data!B:B=$B$1)),"""")"),"")</f>
        <v/>
      </c>
      <c r="E414" s="134" t="str">
        <f>IFERROR(__xludf.DUMMYFUNCTION("IFERROR((FILTER(Data!L:L,Data!D:D=A414,Data!B:B=$B$1)),"""")"),"")</f>
        <v/>
      </c>
      <c r="F414" s="134" t="str">
        <f>IFERROR(__xludf.DUMMYFUNCTION("IFERROR((FILTER(Data!K:K,Data!D:D=A414,Data!B:B=$B$1)),"""")"),"")</f>
        <v/>
      </c>
      <c r="G414" s="134" t="str">
        <f>IFERROR(__xludf.DUMMYFUNCTION("IFERROR((FILTER(Data!M:M,Data!D:D=A414,Data!B:B=$B$1)),"""")"),"")</f>
        <v/>
      </c>
      <c r="H414" s="134" t="str">
        <f>IFERROR(__xludf.DUMMYFUNCTION("IFERROR((FILTER(Data!G:G,Data!D:D=A414,Data!B:B=$B$1)*4)+(FILTER(Data!H:H,Data!D:D=A414,Data!B:B=$B$1)*2),"""")"),"")</f>
        <v/>
      </c>
      <c r="I414" s="15" t="str">
        <f>IFERROR(__xludf.DUMMYFUNCTION("IFERROR((FILTER(Data!K:K,Data!D:D=A414,Data!B:B=$B$1)*2)+(FILTER(Data!L:L,Data!D:D=A414,Data!B:B=$B$1)),"""")"),"")</f>
        <v/>
      </c>
      <c r="J414" s="134" t="str">
        <f>IFERROR(__xludf.DUMMYFUNCTION("IFERROR((FILTER(Data!N:N,Data!D:D=A414,Data!B:B=$B$1)),"""")"),"")</f>
        <v/>
      </c>
      <c r="K414" s="135" t="str">
        <f>IFERROR(__xludf.DUMMYFUNCTION("IFERROR((FILTER(Data!H:H,Data!D:D=A414,Data!B:B=$B$1)*2)+(FILTER(Data!L:L,Data!D:D=A414,Data!B:B=$B$1))+(FILTER(Data!G:G,Data!D:D=A414,Data!B:B=$B$1)*4)+(FILTER(Data!K:K,Data!D:D=A414,Data!B:B=$B$1)*2)+(((COUNTIF(FILTER(Data!N:N,Data!D:D=A414,Data!B:B=$B$"&amp;"1),""TRAVERSE"")*15)+(COUNTIF(FILTER(Data!N:N,Data!D:D=A414,Data!B:B=$B$1),""HIGH"")*10)+(COUNTIF(FILTER(Data!N:N,Data!D:D=A414,Data!B:B=$B$1),""MIDDLE"")*6)+(COUNTIF(FILTER(Data!N:N,Data!D:D=A414,Data!B:B=$B$1),""LOW"")*4))),"""")"),"")</f>
        <v/>
      </c>
      <c r="L414" s="136" t="str">
        <f>IFERROR(__xludf.DUMMYFUNCTION("IFERROR((FILTER(Data!P:P,Data!D:D=A414,Data!B:B=$B$1)),"""")"),"")</f>
        <v/>
      </c>
      <c r="M414" s="137" t="str">
        <f>IFERROR(__xludf.DUMMYFUNCTION("IFERROR((FILTER(Data!A:A,Data!D:D=A414,Data!B:B=$B$1)),"""")"),"")</f>
        <v/>
      </c>
      <c r="T414" s="52">
        <f>IFERROR(__xludf.DUMMYFUNCTION("((COUNTIF(FILTER(Data!N:N,Data!D:D=A414,Data!B:B=$B$1),""TRAVERSE"")*15)+(COUNTIF(FILTER(Data!N:N,Data!D:D=A414,Data!B:B=B$1),""HIGH"")*10)+(COUNTIF(FILTER(Data!N:N,Data!D:D=A414,Data!B:B=$B$1),""MIDDLE"")*6)+(COUNTIF(FILTER(Data!N:N,Data!D:D=A414,Data!B:"&amp;"B=$B$1),""LOW"")*4))"),0.0)</f>
        <v>0</v>
      </c>
      <c r="V414" s="138" t="str">
        <f>IF(Data!B406='Team Parser'!$B$1, Data!D406,"")</f>
        <v/>
      </c>
      <c r="W414" s="134" t="str">
        <f>IF(Data!$B406='Team Parser'!$B$1, Data!H406,"")</f>
        <v/>
      </c>
      <c r="X414" s="134" t="str">
        <f>IF(Data!$B406='Team Parser'!$B$1, Data!G406,"")</f>
        <v/>
      </c>
      <c r="Y414" s="134" t="str">
        <f>IF(Data!$B406='Team Parser'!$B$1, Data!L406,"")</f>
        <v/>
      </c>
      <c r="Z414" s="134" t="str">
        <f>IF(Data!$B406='Team Parser'!$B$1, Data!K406,"")</f>
        <v/>
      </c>
      <c r="AA414" s="134" t="str">
        <f>IF(Data!$B406='Team Parser'!$B$1, Data!M406,"")</f>
        <v/>
      </c>
      <c r="AB414" s="134" t="str">
        <f>IF(Data!$B406='Team Parser'!$B$1,((Z414*2)+(Y414)+(X414*4)+(W414*2)),"")</f>
        <v/>
      </c>
      <c r="AC414" s="134" t="str">
        <f>IF(Data!$B406='Team Parser'!$B$1, Data!N406,"")</f>
        <v/>
      </c>
      <c r="AD414" s="139" t="str">
        <f>IF(Data!$B406='Team Parser'!$B$1,(AB414+(COUNTIF(AC414,"TRAVERSE")*15)+(COUNTIF(AC414,"HIGH")*10)+(COUNTIF(AC414,"MIDDLE")*6)+(COUNTIF(AC414,"LOW")*4)),"")</f>
        <v/>
      </c>
    </row>
    <row r="415">
      <c r="A415" s="141" t="s">
        <v>507</v>
      </c>
      <c r="B415" s="134" t="str">
        <f>IFERROR(__xludf.DUMMYFUNCTION("IFERROR((FILTER(Data!H:H,Data!D:D=A415,Data!B:B=$B$1)),"""")"),"")</f>
        <v/>
      </c>
      <c r="C415" s="134" t="str">
        <f>IFERROR(__xludf.DUMMYFUNCTION("IFERROR((FILTER(Data!G:G,Data!D:D=A415,Data!B:B=$B$1)),"""")"),"")</f>
        <v/>
      </c>
      <c r="D415" s="134" t="str">
        <f>IFERROR(__xludf.DUMMYFUNCTION("IFERROR((FILTER(Data!J:J,Data!D:D=A415,Data!B:B=$B$1)),"""")"),"")</f>
        <v/>
      </c>
      <c r="E415" s="134" t="str">
        <f>IFERROR(__xludf.DUMMYFUNCTION("IFERROR((FILTER(Data!L:L,Data!D:D=A415,Data!B:B=$B$1)),"""")"),"")</f>
        <v/>
      </c>
      <c r="F415" s="134" t="str">
        <f>IFERROR(__xludf.DUMMYFUNCTION("IFERROR((FILTER(Data!K:K,Data!D:D=A415,Data!B:B=$B$1)),"""")"),"")</f>
        <v/>
      </c>
      <c r="G415" s="134" t="str">
        <f>IFERROR(__xludf.DUMMYFUNCTION("IFERROR((FILTER(Data!M:M,Data!D:D=A415,Data!B:B=$B$1)),"""")"),"")</f>
        <v/>
      </c>
      <c r="H415" s="134" t="str">
        <f>IFERROR(__xludf.DUMMYFUNCTION("IFERROR((FILTER(Data!G:G,Data!D:D=A415,Data!B:B=$B$1)*4)+(FILTER(Data!H:H,Data!D:D=A415,Data!B:B=$B$1)*2),"""")"),"")</f>
        <v/>
      </c>
      <c r="I415" s="15" t="str">
        <f>IFERROR(__xludf.DUMMYFUNCTION("IFERROR((FILTER(Data!K:K,Data!D:D=A415,Data!B:B=$B$1)*2)+(FILTER(Data!L:L,Data!D:D=A415,Data!B:B=$B$1)),"""")"),"")</f>
        <v/>
      </c>
      <c r="J415" s="134" t="str">
        <f>IFERROR(__xludf.DUMMYFUNCTION("IFERROR((FILTER(Data!N:N,Data!D:D=A415,Data!B:B=$B$1)),"""")"),"")</f>
        <v/>
      </c>
      <c r="K415" s="135" t="str">
        <f>IFERROR(__xludf.DUMMYFUNCTION("IFERROR((FILTER(Data!H:H,Data!D:D=A415,Data!B:B=$B$1)*2)+(FILTER(Data!L:L,Data!D:D=A415,Data!B:B=$B$1))+(FILTER(Data!G:G,Data!D:D=A415,Data!B:B=$B$1)*4)+(FILTER(Data!K:K,Data!D:D=A415,Data!B:B=$B$1)*2)+(((COUNTIF(FILTER(Data!N:N,Data!D:D=A415,Data!B:B=$B$"&amp;"1),""TRAVERSE"")*15)+(COUNTIF(FILTER(Data!N:N,Data!D:D=A415,Data!B:B=$B$1),""HIGH"")*10)+(COUNTIF(FILTER(Data!N:N,Data!D:D=A415,Data!B:B=$B$1),""MIDDLE"")*6)+(COUNTIF(FILTER(Data!N:N,Data!D:D=A415,Data!B:B=$B$1),""LOW"")*4))),"""")"),"")</f>
        <v/>
      </c>
      <c r="L415" s="136" t="str">
        <f>IFERROR(__xludf.DUMMYFUNCTION("IFERROR((FILTER(Data!P:P,Data!D:D=A415,Data!B:B=$B$1)),"""")"),"")</f>
        <v/>
      </c>
      <c r="M415" s="137" t="str">
        <f>IFERROR(__xludf.DUMMYFUNCTION("IFERROR((FILTER(Data!A:A,Data!D:D=A415,Data!B:B=$B$1)),"""")"),"")</f>
        <v/>
      </c>
      <c r="T415" s="52">
        <f>IFERROR(__xludf.DUMMYFUNCTION("((COUNTIF(FILTER(Data!N:N,Data!D:D=A415,Data!B:B=$B$1),""TRAVERSE"")*15)+(COUNTIF(FILTER(Data!N:N,Data!D:D=A415,Data!B:B=B$1),""HIGH"")*10)+(COUNTIF(FILTER(Data!N:N,Data!D:D=A415,Data!B:B=$B$1),""MIDDLE"")*6)+(COUNTIF(FILTER(Data!N:N,Data!D:D=A415,Data!B:"&amp;"B=$B$1),""LOW"")*4))"),0.0)</f>
        <v>0</v>
      </c>
      <c r="V415" s="138" t="str">
        <f>IF(Data!B407='Team Parser'!$B$1, Data!D407,"")</f>
        <v/>
      </c>
      <c r="W415" s="134" t="str">
        <f>IF(Data!$B407='Team Parser'!$B$1, Data!H407,"")</f>
        <v/>
      </c>
      <c r="X415" s="134" t="str">
        <f>IF(Data!$B407='Team Parser'!$B$1, Data!G407,"")</f>
        <v/>
      </c>
      <c r="Y415" s="134" t="str">
        <f>IF(Data!$B407='Team Parser'!$B$1, Data!L407,"")</f>
        <v/>
      </c>
      <c r="Z415" s="134" t="str">
        <f>IF(Data!$B407='Team Parser'!$B$1, Data!K407,"")</f>
        <v/>
      </c>
      <c r="AA415" s="134" t="str">
        <f>IF(Data!$B407='Team Parser'!$B$1, Data!M407,"")</f>
        <v/>
      </c>
      <c r="AB415" s="134" t="str">
        <f>IF(Data!$B407='Team Parser'!$B$1,((Z415*2)+(Y415)+(X415*4)+(W415*2)),"")</f>
        <v/>
      </c>
      <c r="AC415" s="134" t="str">
        <f>IF(Data!$B407='Team Parser'!$B$1, Data!N407,"")</f>
        <v/>
      </c>
      <c r="AD415" s="139" t="str">
        <f>IF(Data!$B407='Team Parser'!$B$1,(AB415+(COUNTIF(AC415,"TRAVERSE")*15)+(COUNTIF(AC415,"HIGH")*10)+(COUNTIF(AC415,"MIDDLE")*6)+(COUNTIF(AC415,"LOW")*4)),"")</f>
        <v/>
      </c>
    </row>
    <row r="416">
      <c r="A416" s="141" t="s">
        <v>507</v>
      </c>
      <c r="B416" s="134" t="str">
        <f>IFERROR(__xludf.DUMMYFUNCTION("IFERROR((FILTER(Data!H:H,Data!D:D=A416,Data!B:B=$B$1)),"""")"),"")</f>
        <v/>
      </c>
      <c r="C416" s="134" t="str">
        <f>IFERROR(__xludf.DUMMYFUNCTION("IFERROR((FILTER(Data!G:G,Data!D:D=A416,Data!B:B=$B$1)),"""")"),"")</f>
        <v/>
      </c>
      <c r="D416" s="134" t="str">
        <f>IFERROR(__xludf.DUMMYFUNCTION("IFERROR((FILTER(Data!J:J,Data!D:D=A416,Data!B:B=$B$1)),"""")"),"")</f>
        <v/>
      </c>
      <c r="E416" s="134" t="str">
        <f>IFERROR(__xludf.DUMMYFUNCTION("IFERROR((FILTER(Data!L:L,Data!D:D=A416,Data!B:B=$B$1)),"""")"),"")</f>
        <v/>
      </c>
      <c r="F416" s="134" t="str">
        <f>IFERROR(__xludf.DUMMYFUNCTION("IFERROR((FILTER(Data!K:K,Data!D:D=A416,Data!B:B=$B$1)),"""")"),"")</f>
        <v/>
      </c>
      <c r="G416" s="134" t="str">
        <f>IFERROR(__xludf.DUMMYFUNCTION("IFERROR((FILTER(Data!M:M,Data!D:D=A416,Data!B:B=$B$1)),"""")"),"")</f>
        <v/>
      </c>
      <c r="H416" s="134" t="str">
        <f>IFERROR(__xludf.DUMMYFUNCTION("IFERROR((FILTER(Data!G:G,Data!D:D=A416,Data!B:B=$B$1)*4)+(FILTER(Data!H:H,Data!D:D=A416,Data!B:B=$B$1)*2),"""")"),"")</f>
        <v/>
      </c>
      <c r="I416" s="15" t="str">
        <f>IFERROR(__xludf.DUMMYFUNCTION("IFERROR((FILTER(Data!K:K,Data!D:D=A416,Data!B:B=$B$1)*2)+(FILTER(Data!L:L,Data!D:D=A416,Data!B:B=$B$1)),"""")"),"")</f>
        <v/>
      </c>
      <c r="J416" s="134" t="str">
        <f>IFERROR(__xludf.DUMMYFUNCTION("IFERROR((FILTER(Data!N:N,Data!D:D=A416,Data!B:B=$B$1)),"""")"),"")</f>
        <v/>
      </c>
      <c r="K416" s="135" t="str">
        <f>IFERROR(__xludf.DUMMYFUNCTION("IFERROR((FILTER(Data!H:H,Data!D:D=A416,Data!B:B=$B$1)*2)+(FILTER(Data!L:L,Data!D:D=A416,Data!B:B=$B$1))+(FILTER(Data!G:G,Data!D:D=A416,Data!B:B=$B$1)*4)+(FILTER(Data!K:K,Data!D:D=A416,Data!B:B=$B$1)*2)+(((COUNTIF(FILTER(Data!N:N,Data!D:D=A416,Data!B:B=$B$"&amp;"1),""TRAVERSE"")*15)+(COUNTIF(FILTER(Data!N:N,Data!D:D=A416,Data!B:B=$B$1),""HIGH"")*10)+(COUNTIF(FILTER(Data!N:N,Data!D:D=A416,Data!B:B=$B$1),""MIDDLE"")*6)+(COUNTIF(FILTER(Data!N:N,Data!D:D=A416,Data!B:B=$B$1),""LOW"")*4))),"""")"),"")</f>
        <v/>
      </c>
      <c r="L416" s="136" t="str">
        <f>IFERROR(__xludf.DUMMYFUNCTION("IFERROR((FILTER(Data!P:P,Data!D:D=A416,Data!B:B=$B$1)),"""")"),"")</f>
        <v/>
      </c>
      <c r="M416" s="137" t="str">
        <f>IFERROR(__xludf.DUMMYFUNCTION("IFERROR((FILTER(Data!A:A,Data!D:D=A416,Data!B:B=$B$1)),"""")"),"")</f>
        <v/>
      </c>
      <c r="T416" s="52">
        <f>IFERROR(__xludf.DUMMYFUNCTION("((COUNTIF(FILTER(Data!N:N,Data!D:D=A416,Data!B:B=$B$1),""TRAVERSE"")*15)+(COUNTIF(FILTER(Data!N:N,Data!D:D=A416,Data!B:B=B$1),""HIGH"")*10)+(COUNTIF(FILTER(Data!N:N,Data!D:D=A416,Data!B:B=$B$1),""MIDDLE"")*6)+(COUNTIF(FILTER(Data!N:N,Data!D:D=A416,Data!B:"&amp;"B=$B$1),""LOW"")*4))"),0.0)</f>
        <v>0</v>
      </c>
      <c r="V416" s="138" t="str">
        <f>IF(Data!B408='Team Parser'!$B$1, Data!D408,"")</f>
        <v/>
      </c>
      <c r="W416" s="134" t="str">
        <f>IF(Data!$B408='Team Parser'!$B$1, Data!H408,"")</f>
        <v/>
      </c>
      <c r="X416" s="134" t="str">
        <f>IF(Data!$B408='Team Parser'!$B$1, Data!G408,"")</f>
        <v/>
      </c>
      <c r="Y416" s="134" t="str">
        <f>IF(Data!$B408='Team Parser'!$B$1, Data!L408,"")</f>
        <v/>
      </c>
      <c r="Z416" s="134" t="str">
        <f>IF(Data!$B408='Team Parser'!$B$1, Data!K408,"")</f>
        <v/>
      </c>
      <c r="AA416" s="134" t="str">
        <f>IF(Data!$B408='Team Parser'!$B$1, Data!M408,"")</f>
        <v/>
      </c>
      <c r="AB416" s="134" t="str">
        <f>IF(Data!$B408='Team Parser'!$B$1,((Z416*2)+(Y416)+(X416*4)+(W416*2)),"")</f>
        <v/>
      </c>
      <c r="AC416" s="134" t="str">
        <f>IF(Data!$B408='Team Parser'!$B$1, Data!N408,"")</f>
        <v/>
      </c>
      <c r="AD416" s="139" t="str">
        <f>IF(Data!$B408='Team Parser'!$B$1,(AB416+(COUNTIF(AC416,"TRAVERSE")*15)+(COUNTIF(AC416,"HIGH")*10)+(COUNTIF(AC416,"MIDDLE")*6)+(COUNTIF(AC416,"LOW")*4)),"")</f>
        <v/>
      </c>
    </row>
    <row r="417">
      <c r="A417" s="141" t="s">
        <v>507</v>
      </c>
      <c r="B417" s="134" t="str">
        <f>IFERROR(__xludf.DUMMYFUNCTION("IFERROR((FILTER(Data!H:H,Data!D:D=A417,Data!B:B=$B$1)),"""")"),"")</f>
        <v/>
      </c>
      <c r="C417" s="134" t="str">
        <f>IFERROR(__xludf.DUMMYFUNCTION("IFERROR((FILTER(Data!G:G,Data!D:D=A417,Data!B:B=$B$1)),"""")"),"")</f>
        <v/>
      </c>
      <c r="D417" s="134" t="str">
        <f>IFERROR(__xludf.DUMMYFUNCTION("IFERROR((FILTER(Data!J:J,Data!D:D=A417,Data!B:B=$B$1)),"""")"),"")</f>
        <v/>
      </c>
      <c r="E417" s="134" t="str">
        <f>IFERROR(__xludf.DUMMYFUNCTION("IFERROR((FILTER(Data!L:L,Data!D:D=A417,Data!B:B=$B$1)),"""")"),"")</f>
        <v/>
      </c>
      <c r="F417" s="134" t="str">
        <f>IFERROR(__xludf.DUMMYFUNCTION("IFERROR((FILTER(Data!K:K,Data!D:D=A417,Data!B:B=$B$1)),"""")"),"")</f>
        <v/>
      </c>
      <c r="G417" s="134" t="str">
        <f>IFERROR(__xludf.DUMMYFUNCTION("IFERROR((FILTER(Data!M:M,Data!D:D=A417,Data!B:B=$B$1)),"""")"),"")</f>
        <v/>
      </c>
      <c r="H417" s="134" t="str">
        <f>IFERROR(__xludf.DUMMYFUNCTION("IFERROR((FILTER(Data!G:G,Data!D:D=A417,Data!B:B=$B$1)*4)+(FILTER(Data!H:H,Data!D:D=A417,Data!B:B=$B$1)*2),"""")"),"")</f>
        <v/>
      </c>
      <c r="I417" s="15" t="str">
        <f>IFERROR(__xludf.DUMMYFUNCTION("IFERROR((FILTER(Data!K:K,Data!D:D=A417,Data!B:B=$B$1)*2)+(FILTER(Data!L:L,Data!D:D=A417,Data!B:B=$B$1)),"""")"),"")</f>
        <v/>
      </c>
      <c r="J417" s="134" t="str">
        <f>IFERROR(__xludf.DUMMYFUNCTION("IFERROR((FILTER(Data!N:N,Data!D:D=A417,Data!B:B=$B$1)),"""")"),"")</f>
        <v/>
      </c>
      <c r="K417" s="135" t="str">
        <f>IFERROR(__xludf.DUMMYFUNCTION("IFERROR((FILTER(Data!H:H,Data!D:D=A417,Data!B:B=$B$1)*2)+(FILTER(Data!L:L,Data!D:D=A417,Data!B:B=$B$1))+(FILTER(Data!G:G,Data!D:D=A417,Data!B:B=$B$1)*4)+(FILTER(Data!K:K,Data!D:D=A417,Data!B:B=$B$1)*2)+(((COUNTIF(FILTER(Data!N:N,Data!D:D=A417,Data!B:B=$B$"&amp;"1),""TRAVERSE"")*15)+(COUNTIF(FILTER(Data!N:N,Data!D:D=A417,Data!B:B=$B$1),""HIGH"")*10)+(COUNTIF(FILTER(Data!N:N,Data!D:D=A417,Data!B:B=$B$1),""MIDDLE"")*6)+(COUNTIF(FILTER(Data!N:N,Data!D:D=A417,Data!B:B=$B$1),""LOW"")*4))),"""")"),"")</f>
        <v/>
      </c>
      <c r="L417" s="136" t="str">
        <f>IFERROR(__xludf.DUMMYFUNCTION("IFERROR((FILTER(Data!P:P,Data!D:D=A417,Data!B:B=$B$1)),"""")"),"")</f>
        <v/>
      </c>
      <c r="M417" s="137" t="str">
        <f>IFERROR(__xludf.DUMMYFUNCTION("IFERROR((FILTER(Data!A:A,Data!D:D=A417,Data!B:B=$B$1)),"""")"),"")</f>
        <v/>
      </c>
      <c r="T417" s="52">
        <f>IFERROR(__xludf.DUMMYFUNCTION("((COUNTIF(FILTER(Data!N:N,Data!D:D=A417,Data!B:B=$B$1),""TRAVERSE"")*15)+(COUNTIF(FILTER(Data!N:N,Data!D:D=A417,Data!B:B=B$1),""HIGH"")*10)+(COUNTIF(FILTER(Data!N:N,Data!D:D=A417,Data!B:B=$B$1),""MIDDLE"")*6)+(COUNTIF(FILTER(Data!N:N,Data!D:D=A417,Data!B:"&amp;"B=$B$1),""LOW"")*4))"),0.0)</f>
        <v>0</v>
      </c>
      <c r="V417" s="138" t="str">
        <f>IF(Data!B409='Team Parser'!$B$1, Data!D409,"")</f>
        <v/>
      </c>
      <c r="W417" s="134" t="str">
        <f>IF(Data!$B409='Team Parser'!$B$1, Data!H409,"")</f>
        <v/>
      </c>
      <c r="X417" s="134" t="str">
        <f>IF(Data!$B409='Team Parser'!$B$1, Data!G409,"")</f>
        <v/>
      </c>
      <c r="Y417" s="134" t="str">
        <f>IF(Data!$B409='Team Parser'!$B$1, Data!L409,"")</f>
        <v/>
      </c>
      <c r="Z417" s="134" t="str">
        <f>IF(Data!$B409='Team Parser'!$B$1, Data!K409,"")</f>
        <v/>
      </c>
      <c r="AA417" s="134" t="str">
        <f>IF(Data!$B409='Team Parser'!$B$1, Data!M409,"")</f>
        <v/>
      </c>
      <c r="AB417" s="134" t="str">
        <f>IF(Data!$B409='Team Parser'!$B$1,((Z417*2)+(Y417)+(X417*4)+(W417*2)),"")</f>
        <v/>
      </c>
      <c r="AC417" s="134" t="str">
        <f>IF(Data!$B409='Team Parser'!$B$1, Data!N409,"")</f>
        <v/>
      </c>
      <c r="AD417" s="139" t="str">
        <f>IF(Data!$B409='Team Parser'!$B$1,(AB417+(COUNTIF(AC417,"TRAVERSE")*15)+(COUNTIF(AC417,"HIGH")*10)+(COUNTIF(AC417,"MIDDLE")*6)+(COUNTIF(AC417,"LOW")*4)),"")</f>
        <v/>
      </c>
    </row>
    <row r="418">
      <c r="A418" s="141" t="s">
        <v>507</v>
      </c>
      <c r="B418" s="134" t="str">
        <f>IFERROR(__xludf.DUMMYFUNCTION("IFERROR((FILTER(Data!H:H,Data!D:D=A418,Data!B:B=$B$1)),"""")"),"")</f>
        <v/>
      </c>
      <c r="C418" s="134" t="str">
        <f>IFERROR(__xludf.DUMMYFUNCTION("IFERROR((FILTER(Data!G:G,Data!D:D=A418,Data!B:B=$B$1)),"""")"),"")</f>
        <v/>
      </c>
      <c r="D418" s="134" t="str">
        <f>IFERROR(__xludf.DUMMYFUNCTION("IFERROR((FILTER(Data!J:J,Data!D:D=A418,Data!B:B=$B$1)),"""")"),"")</f>
        <v/>
      </c>
      <c r="E418" s="134" t="str">
        <f>IFERROR(__xludf.DUMMYFUNCTION("IFERROR((FILTER(Data!L:L,Data!D:D=A418,Data!B:B=$B$1)),"""")"),"")</f>
        <v/>
      </c>
      <c r="F418" s="134" t="str">
        <f>IFERROR(__xludf.DUMMYFUNCTION("IFERROR((FILTER(Data!K:K,Data!D:D=A418,Data!B:B=$B$1)),"""")"),"")</f>
        <v/>
      </c>
      <c r="G418" s="134" t="str">
        <f>IFERROR(__xludf.DUMMYFUNCTION("IFERROR((FILTER(Data!M:M,Data!D:D=A418,Data!B:B=$B$1)),"""")"),"")</f>
        <v/>
      </c>
      <c r="H418" s="134" t="str">
        <f>IFERROR(__xludf.DUMMYFUNCTION("IFERROR((FILTER(Data!G:G,Data!D:D=A418,Data!B:B=$B$1)*4)+(FILTER(Data!H:H,Data!D:D=A418,Data!B:B=$B$1)*2),"""")"),"")</f>
        <v/>
      </c>
      <c r="I418" s="15" t="str">
        <f>IFERROR(__xludf.DUMMYFUNCTION("IFERROR((FILTER(Data!K:K,Data!D:D=A418,Data!B:B=$B$1)*2)+(FILTER(Data!L:L,Data!D:D=A418,Data!B:B=$B$1)),"""")"),"")</f>
        <v/>
      </c>
      <c r="J418" s="134" t="str">
        <f>IFERROR(__xludf.DUMMYFUNCTION("IFERROR((FILTER(Data!N:N,Data!D:D=A418,Data!B:B=$B$1)),"""")"),"")</f>
        <v/>
      </c>
      <c r="K418" s="135" t="str">
        <f>IFERROR(__xludf.DUMMYFUNCTION("IFERROR((FILTER(Data!H:H,Data!D:D=A418,Data!B:B=$B$1)*2)+(FILTER(Data!L:L,Data!D:D=A418,Data!B:B=$B$1))+(FILTER(Data!G:G,Data!D:D=A418,Data!B:B=$B$1)*4)+(FILTER(Data!K:K,Data!D:D=A418,Data!B:B=$B$1)*2)+(((COUNTIF(FILTER(Data!N:N,Data!D:D=A418,Data!B:B=$B$"&amp;"1),""TRAVERSE"")*15)+(COUNTIF(FILTER(Data!N:N,Data!D:D=A418,Data!B:B=$B$1),""HIGH"")*10)+(COUNTIF(FILTER(Data!N:N,Data!D:D=A418,Data!B:B=$B$1),""MIDDLE"")*6)+(COUNTIF(FILTER(Data!N:N,Data!D:D=A418,Data!B:B=$B$1),""LOW"")*4))),"""")"),"")</f>
        <v/>
      </c>
      <c r="L418" s="136" t="str">
        <f>IFERROR(__xludf.DUMMYFUNCTION("IFERROR((FILTER(Data!P:P,Data!D:D=A418,Data!B:B=$B$1)),"""")"),"")</f>
        <v/>
      </c>
      <c r="M418" s="137" t="str">
        <f>IFERROR(__xludf.DUMMYFUNCTION("IFERROR((FILTER(Data!A:A,Data!D:D=A418,Data!B:B=$B$1)),"""")"),"")</f>
        <v/>
      </c>
      <c r="T418" s="52">
        <f>IFERROR(__xludf.DUMMYFUNCTION("((COUNTIF(FILTER(Data!N:N,Data!D:D=A418,Data!B:B=$B$1),""TRAVERSE"")*15)+(COUNTIF(FILTER(Data!N:N,Data!D:D=A418,Data!B:B=B$1),""HIGH"")*10)+(COUNTIF(FILTER(Data!N:N,Data!D:D=A418,Data!B:B=$B$1),""MIDDLE"")*6)+(COUNTIF(FILTER(Data!N:N,Data!D:D=A418,Data!B:"&amp;"B=$B$1),""LOW"")*4))"),0.0)</f>
        <v>0</v>
      </c>
      <c r="V418" s="138" t="str">
        <f>IF(Data!B410='Team Parser'!$B$1, Data!D410,"")</f>
        <v/>
      </c>
      <c r="W418" s="134" t="str">
        <f>IF(Data!$B410='Team Parser'!$B$1, Data!H410,"")</f>
        <v/>
      </c>
      <c r="X418" s="134" t="str">
        <f>IF(Data!$B410='Team Parser'!$B$1, Data!G410,"")</f>
        <v/>
      </c>
      <c r="Y418" s="134" t="str">
        <f>IF(Data!$B410='Team Parser'!$B$1, Data!L410,"")</f>
        <v/>
      </c>
      <c r="Z418" s="134" t="str">
        <f>IF(Data!$B410='Team Parser'!$B$1, Data!K410,"")</f>
        <v/>
      </c>
      <c r="AA418" s="134" t="str">
        <f>IF(Data!$B410='Team Parser'!$B$1, Data!M410,"")</f>
        <v/>
      </c>
      <c r="AB418" s="134" t="str">
        <f>IF(Data!$B410='Team Parser'!$B$1,((Z418*2)+(Y418)+(X418*4)+(W418*2)),"")</f>
        <v/>
      </c>
      <c r="AC418" s="134" t="str">
        <f>IF(Data!$B410='Team Parser'!$B$1, Data!N410,"")</f>
        <v/>
      </c>
      <c r="AD418" s="139" t="str">
        <f>IF(Data!$B410='Team Parser'!$B$1,(AB418+(COUNTIF(AC418,"TRAVERSE")*15)+(COUNTIF(AC418,"HIGH")*10)+(COUNTIF(AC418,"MIDDLE")*6)+(COUNTIF(AC418,"LOW")*4)),"")</f>
        <v/>
      </c>
    </row>
    <row r="419">
      <c r="A419" s="141" t="s">
        <v>507</v>
      </c>
      <c r="B419" s="134" t="str">
        <f>IFERROR(__xludf.DUMMYFUNCTION("IFERROR((FILTER(Data!H:H,Data!D:D=A419,Data!B:B=$B$1)),"""")"),"")</f>
        <v/>
      </c>
      <c r="C419" s="134" t="str">
        <f>IFERROR(__xludf.DUMMYFUNCTION("IFERROR((FILTER(Data!G:G,Data!D:D=A419,Data!B:B=$B$1)),"""")"),"")</f>
        <v/>
      </c>
      <c r="D419" s="134" t="str">
        <f>IFERROR(__xludf.DUMMYFUNCTION("IFERROR((FILTER(Data!J:J,Data!D:D=A419,Data!B:B=$B$1)),"""")"),"")</f>
        <v/>
      </c>
      <c r="E419" s="134" t="str">
        <f>IFERROR(__xludf.DUMMYFUNCTION("IFERROR((FILTER(Data!L:L,Data!D:D=A419,Data!B:B=$B$1)),"""")"),"")</f>
        <v/>
      </c>
      <c r="F419" s="134" t="str">
        <f>IFERROR(__xludf.DUMMYFUNCTION("IFERROR((FILTER(Data!K:K,Data!D:D=A419,Data!B:B=$B$1)),"""")"),"")</f>
        <v/>
      </c>
      <c r="G419" s="134" t="str">
        <f>IFERROR(__xludf.DUMMYFUNCTION("IFERROR((FILTER(Data!M:M,Data!D:D=A419,Data!B:B=$B$1)),"""")"),"")</f>
        <v/>
      </c>
      <c r="H419" s="134" t="str">
        <f>IFERROR(__xludf.DUMMYFUNCTION("IFERROR((FILTER(Data!G:G,Data!D:D=A419,Data!B:B=$B$1)*4)+(FILTER(Data!H:H,Data!D:D=A419,Data!B:B=$B$1)*2),"""")"),"")</f>
        <v/>
      </c>
      <c r="I419" s="15" t="str">
        <f>IFERROR(__xludf.DUMMYFUNCTION("IFERROR((FILTER(Data!K:K,Data!D:D=A419,Data!B:B=$B$1)*2)+(FILTER(Data!L:L,Data!D:D=A419,Data!B:B=$B$1)),"""")"),"")</f>
        <v/>
      </c>
      <c r="J419" s="134" t="str">
        <f>IFERROR(__xludf.DUMMYFUNCTION("IFERROR((FILTER(Data!N:N,Data!D:D=A419,Data!B:B=$B$1)),"""")"),"")</f>
        <v/>
      </c>
      <c r="K419" s="135" t="str">
        <f>IFERROR(__xludf.DUMMYFUNCTION("IFERROR((FILTER(Data!H:H,Data!D:D=A419,Data!B:B=$B$1)*2)+(FILTER(Data!L:L,Data!D:D=A419,Data!B:B=$B$1))+(FILTER(Data!G:G,Data!D:D=A419,Data!B:B=$B$1)*4)+(FILTER(Data!K:K,Data!D:D=A419,Data!B:B=$B$1)*2)+(((COUNTIF(FILTER(Data!N:N,Data!D:D=A419,Data!B:B=$B$"&amp;"1),""TRAVERSE"")*15)+(COUNTIF(FILTER(Data!N:N,Data!D:D=A419,Data!B:B=$B$1),""HIGH"")*10)+(COUNTIF(FILTER(Data!N:N,Data!D:D=A419,Data!B:B=$B$1),""MIDDLE"")*6)+(COUNTIF(FILTER(Data!N:N,Data!D:D=A419,Data!B:B=$B$1),""LOW"")*4))),"""")"),"")</f>
        <v/>
      </c>
      <c r="L419" s="136" t="str">
        <f>IFERROR(__xludf.DUMMYFUNCTION("IFERROR((FILTER(Data!P:P,Data!D:D=A419,Data!B:B=$B$1)),"""")"),"")</f>
        <v/>
      </c>
      <c r="M419" s="137" t="str">
        <f>IFERROR(__xludf.DUMMYFUNCTION("IFERROR((FILTER(Data!A:A,Data!D:D=A419,Data!B:B=$B$1)),"""")"),"")</f>
        <v/>
      </c>
      <c r="T419" s="52">
        <f>IFERROR(__xludf.DUMMYFUNCTION("((COUNTIF(FILTER(Data!N:N,Data!D:D=A419,Data!B:B=$B$1),""TRAVERSE"")*15)+(COUNTIF(FILTER(Data!N:N,Data!D:D=A419,Data!B:B=B$1),""HIGH"")*10)+(COUNTIF(FILTER(Data!N:N,Data!D:D=A419,Data!B:B=$B$1),""MIDDLE"")*6)+(COUNTIF(FILTER(Data!N:N,Data!D:D=A419,Data!B:"&amp;"B=$B$1),""LOW"")*4))"),0.0)</f>
        <v>0</v>
      </c>
      <c r="V419" s="138" t="str">
        <f>IF(Data!B411='Team Parser'!$B$1, Data!D411,"")</f>
        <v/>
      </c>
      <c r="W419" s="134" t="str">
        <f>IF(Data!$B411='Team Parser'!$B$1, Data!H411,"")</f>
        <v/>
      </c>
      <c r="X419" s="134" t="str">
        <f>IF(Data!$B411='Team Parser'!$B$1, Data!G411,"")</f>
        <v/>
      </c>
      <c r="Y419" s="134" t="str">
        <f>IF(Data!$B411='Team Parser'!$B$1, Data!L411,"")</f>
        <v/>
      </c>
      <c r="Z419" s="134" t="str">
        <f>IF(Data!$B411='Team Parser'!$B$1, Data!K411,"")</f>
        <v/>
      </c>
      <c r="AA419" s="134" t="str">
        <f>IF(Data!$B411='Team Parser'!$B$1, Data!M411,"")</f>
        <v/>
      </c>
      <c r="AB419" s="134" t="str">
        <f>IF(Data!$B411='Team Parser'!$B$1,((Z419*2)+(Y419)+(X419*4)+(W419*2)),"")</f>
        <v/>
      </c>
      <c r="AC419" s="134" t="str">
        <f>IF(Data!$B411='Team Parser'!$B$1, Data!N411,"")</f>
        <v/>
      </c>
      <c r="AD419" s="139" t="str">
        <f>IF(Data!$B411='Team Parser'!$B$1,(AB419+(COUNTIF(AC419,"TRAVERSE")*15)+(COUNTIF(AC419,"HIGH")*10)+(COUNTIF(AC419,"MIDDLE")*6)+(COUNTIF(AC419,"LOW")*4)),"")</f>
        <v/>
      </c>
    </row>
    <row r="420">
      <c r="A420" s="141" t="s">
        <v>507</v>
      </c>
      <c r="B420" s="134" t="str">
        <f>IFERROR(__xludf.DUMMYFUNCTION("IFERROR((FILTER(Data!H:H,Data!D:D=A420,Data!B:B=$B$1)),"""")"),"")</f>
        <v/>
      </c>
      <c r="C420" s="134" t="str">
        <f>IFERROR(__xludf.DUMMYFUNCTION("IFERROR((FILTER(Data!G:G,Data!D:D=A420,Data!B:B=$B$1)),"""")"),"")</f>
        <v/>
      </c>
      <c r="D420" s="134" t="str">
        <f>IFERROR(__xludf.DUMMYFUNCTION("IFERROR((FILTER(Data!J:J,Data!D:D=A420,Data!B:B=$B$1)),"""")"),"")</f>
        <v/>
      </c>
      <c r="E420" s="134" t="str">
        <f>IFERROR(__xludf.DUMMYFUNCTION("IFERROR((FILTER(Data!L:L,Data!D:D=A420,Data!B:B=$B$1)),"""")"),"")</f>
        <v/>
      </c>
      <c r="F420" s="134" t="str">
        <f>IFERROR(__xludf.DUMMYFUNCTION("IFERROR((FILTER(Data!K:K,Data!D:D=A420,Data!B:B=$B$1)),"""")"),"")</f>
        <v/>
      </c>
      <c r="G420" s="134" t="str">
        <f>IFERROR(__xludf.DUMMYFUNCTION("IFERROR((FILTER(Data!M:M,Data!D:D=A420,Data!B:B=$B$1)),"""")"),"")</f>
        <v/>
      </c>
      <c r="H420" s="134" t="str">
        <f>IFERROR(__xludf.DUMMYFUNCTION("IFERROR((FILTER(Data!G:G,Data!D:D=A420,Data!B:B=$B$1)*4)+(FILTER(Data!H:H,Data!D:D=A420,Data!B:B=$B$1)*2),"""")"),"")</f>
        <v/>
      </c>
      <c r="I420" s="15" t="str">
        <f>IFERROR(__xludf.DUMMYFUNCTION("IFERROR((FILTER(Data!K:K,Data!D:D=A420,Data!B:B=$B$1)*2)+(FILTER(Data!L:L,Data!D:D=A420,Data!B:B=$B$1)),"""")"),"")</f>
        <v/>
      </c>
      <c r="J420" s="134" t="str">
        <f>IFERROR(__xludf.DUMMYFUNCTION("IFERROR((FILTER(Data!N:N,Data!D:D=A420,Data!B:B=$B$1)),"""")"),"")</f>
        <v/>
      </c>
      <c r="K420" s="135" t="str">
        <f>IFERROR(__xludf.DUMMYFUNCTION("IFERROR((FILTER(Data!H:H,Data!D:D=A420,Data!B:B=$B$1)*2)+(FILTER(Data!L:L,Data!D:D=A420,Data!B:B=$B$1))+(FILTER(Data!G:G,Data!D:D=A420,Data!B:B=$B$1)*4)+(FILTER(Data!K:K,Data!D:D=A420,Data!B:B=$B$1)*2)+(((COUNTIF(FILTER(Data!N:N,Data!D:D=A420,Data!B:B=$B$"&amp;"1),""TRAVERSE"")*15)+(COUNTIF(FILTER(Data!N:N,Data!D:D=A420,Data!B:B=$B$1),""HIGH"")*10)+(COUNTIF(FILTER(Data!N:N,Data!D:D=A420,Data!B:B=$B$1),""MIDDLE"")*6)+(COUNTIF(FILTER(Data!N:N,Data!D:D=A420,Data!B:B=$B$1),""LOW"")*4))),"""")"),"")</f>
        <v/>
      </c>
      <c r="L420" s="136" t="str">
        <f>IFERROR(__xludf.DUMMYFUNCTION("IFERROR((FILTER(Data!P:P,Data!D:D=A420,Data!B:B=$B$1)),"""")"),"")</f>
        <v/>
      </c>
      <c r="M420" s="137" t="str">
        <f>IFERROR(__xludf.DUMMYFUNCTION("IFERROR((FILTER(Data!A:A,Data!D:D=A420,Data!B:B=$B$1)),"""")"),"")</f>
        <v/>
      </c>
      <c r="T420" s="52">
        <f>IFERROR(__xludf.DUMMYFUNCTION("((COUNTIF(FILTER(Data!N:N,Data!D:D=A420,Data!B:B=$B$1),""TRAVERSE"")*15)+(COUNTIF(FILTER(Data!N:N,Data!D:D=A420,Data!B:B=B$1),""HIGH"")*10)+(COUNTIF(FILTER(Data!N:N,Data!D:D=A420,Data!B:B=$B$1),""MIDDLE"")*6)+(COUNTIF(FILTER(Data!N:N,Data!D:D=A420,Data!B:"&amp;"B=$B$1),""LOW"")*4))"),0.0)</f>
        <v>0</v>
      </c>
      <c r="V420" s="138" t="str">
        <f>IF(Data!B412='Team Parser'!$B$1, Data!D412,"")</f>
        <v/>
      </c>
      <c r="W420" s="134" t="str">
        <f>IF(Data!$B412='Team Parser'!$B$1, Data!H412,"")</f>
        <v/>
      </c>
      <c r="X420" s="134" t="str">
        <f>IF(Data!$B412='Team Parser'!$B$1, Data!G412,"")</f>
        <v/>
      </c>
      <c r="Y420" s="134" t="str">
        <f>IF(Data!$B412='Team Parser'!$B$1, Data!L412,"")</f>
        <v/>
      </c>
      <c r="Z420" s="134" t="str">
        <f>IF(Data!$B412='Team Parser'!$B$1, Data!K412,"")</f>
        <v/>
      </c>
      <c r="AA420" s="134" t="str">
        <f>IF(Data!$B412='Team Parser'!$B$1, Data!M412,"")</f>
        <v/>
      </c>
      <c r="AB420" s="134" t="str">
        <f>IF(Data!$B412='Team Parser'!$B$1,((Z420*2)+(Y420)+(X420*4)+(W420*2)),"")</f>
        <v/>
      </c>
      <c r="AC420" s="134" t="str">
        <f>IF(Data!$B412='Team Parser'!$B$1, Data!N412,"")</f>
        <v/>
      </c>
      <c r="AD420" s="139" t="str">
        <f>IF(Data!$B412='Team Parser'!$B$1,(AB420+(COUNTIF(AC420,"TRAVERSE")*15)+(COUNTIF(AC420,"HIGH")*10)+(COUNTIF(AC420,"MIDDLE")*6)+(COUNTIF(AC420,"LOW")*4)),"")</f>
        <v/>
      </c>
    </row>
    <row r="421">
      <c r="A421" s="141" t="s">
        <v>507</v>
      </c>
      <c r="B421" s="134" t="str">
        <f>IFERROR(__xludf.DUMMYFUNCTION("IFERROR((FILTER(Data!H:H,Data!D:D=A421,Data!B:B=$B$1)),"""")"),"")</f>
        <v/>
      </c>
      <c r="C421" s="134" t="str">
        <f>IFERROR(__xludf.DUMMYFUNCTION("IFERROR((FILTER(Data!G:G,Data!D:D=A421,Data!B:B=$B$1)),"""")"),"")</f>
        <v/>
      </c>
      <c r="D421" s="134" t="str">
        <f>IFERROR(__xludf.DUMMYFUNCTION("IFERROR((FILTER(Data!J:J,Data!D:D=A421,Data!B:B=$B$1)),"""")"),"")</f>
        <v/>
      </c>
      <c r="E421" s="134" t="str">
        <f>IFERROR(__xludf.DUMMYFUNCTION("IFERROR((FILTER(Data!L:L,Data!D:D=A421,Data!B:B=$B$1)),"""")"),"")</f>
        <v/>
      </c>
      <c r="F421" s="134" t="str">
        <f>IFERROR(__xludf.DUMMYFUNCTION("IFERROR((FILTER(Data!K:K,Data!D:D=A421,Data!B:B=$B$1)),"""")"),"")</f>
        <v/>
      </c>
      <c r="G421" s="134" t="str">
        <f>IFERROR(__xludf.DUMMYFUNCTION("IFERROR((FILTER(Data!M:M,Data!D:D=A421,Data!B:B=$B$1)),"""")"),"")</f>
        <v/>
      </c>
      <c r="H421" s="134" t="str">
        <f>IFERROR(__xludf.DUMMYFUNCTION("IFERROR((FILTER(Data!G:G,Data!D:D=A421,Data!B:B=$B$1)*4)+(FILTER(Data!H:H,Data!D:D=A421,Data!B:B=$B$1)*2),"""")"),"")</f>
        <v/>
      </c>
      <c r="I421" s="15" t="str">
        <f>IFERROR(__xludf.DUMMYFUNCTION("IFERROR((FILTER(Data!K:K,Data!D:D=A421,Data!B:B=$B$1)*2)+(FILTER(Data!L:L,Data!D:D=A421,Data!B:B=$B$1)),"""")"),"")</f>
        <v/>
      </c>
      <c r="J421" s="134" t="str">
        <f>IFERROR(__xludf.DUMMYFUNCTION("IFERROR((FILTER(Data!N:N,Data!D:D=A421,Data!B:B=$B$1)),"""")"),"")</f>
        <v/>
      </c>
      <c r="K421" s="135" t="str">
        <f>IFERROR(__xludf.DUMMYFUNCTION("IFERROR((FILTER(Data!H:H,Data!D:D=A421,Data!B:B=$B$1)*2)+(FILTER(Data!L:L,Data!D:D=A421,Data!B:B=$B$1))+(FILTER(Data!G:G,Data!D:D=A421,Data!B:B=$B$1)*4)+(FILTER(Data!K:K,Data!D:D=A421,Data!B:B=$B$1)*2)+(((COUNTIF(FILTER(Data!N:N,Data!D:D=A421,Data!B:B=$B$"&amp;"1),""TRAVERSE"")*15)+(COUNTIF(FILTER(Data!N:N,Data!D:D=A421,Data!B:B=$B$1),""HIGH"")*10)+(COUNTIF(FILTER(Data!N:N,Data!D:D=A421,Data!B:B=$B$1),""MIDDLE"")*6)+(COUNTIF(FILTER(Data!N:N,Data!D:D=A421,Data!B:B=$B$1),""LOW"")*4))),"""")"),"")</f>
        <v/>
      </c>
      <c r="L421" s="136" t="str">
        <f>IFERROR(__xludf.DUMMYFUNCTION("IFERROR((FILTER(Data!P:P,Data!D:D=A421,Data!B:B=$B$1)),"""")"),"")</f>
        <v/>
      </c>
      <c r="M421" s="137" t="str">
        <f>IFERROR(__xludf.DUMMYFUNCTION("IFERROR((FILTER(Data!A:A,Data!D:D=A421,Data!B:B=$B$1)),"""")"),"")</f>
        <v/>
      </c>
      <c r="T421" s="52">
        <f>IFERROR(__xludf.DUMMYFUNCTION("((COUNTIF(FILTER(Data!N:N,Data!D:D=A421,Data!B:B=$B$1),""TRAVERSE"")*15)+(COUNTIF(FILTER(Data!N:N,Data!D:D=A421,Data!B:B=B$1),""HIGH"")*10)+(COUNTIF(FILTER(Data!N:N,Data!D:D=A421,Data!B:B=$B$1),""MIDDLE"")*6)+(COUNTIF(FILTER(Data!N:N,Data!D:D=A421,Data!B:"&amp;"B=$B$1),""LOW"")*4))"),0.0)</f>
        <v>0</v>
      </c>
      <c r="V421" s="138" t="str">
        <f>IF(Data!B413='Team Parser'!$B$1, Data!D413,"")</f>
        <v/>
      </c>
      <c r="W421" s="134" t="str">
        <f>IF(Data!$B413='Team Parser'!$B$1, Data!H413,"")</f>
        <v/>
      </c>
      <c r="X421" s="134" t="str">
        <f>IF(Data!$B413='Team Parser'!$B$1, Data!G413,"")</f>
        <v/>
      </c>
      <c r="Y421" s="134" t="str">
        <f>IF(Data!$B413='Team Parser'!$B$1, Data!L413,"")</f>
        <v/>
      </c>
      <c r="Z421" s="134" t="str">
        <f>IF(Data!$B413='Team Parser'!$B$1, Data!K413,"")</f>
        <v/>
      </c>
      <c r="AA421" s="134" t="str">
        <f>IF(Data!$B413='Team Parser'!$B$1, Data!M413,"")</f>
        <v/>
      </c>
      <c r="AB421" s="134" t="str">
        <f>IF(Data!$B413='Team Parser'!$B$1,((Z421*2)+(Y421)+(X421*4)+(W421*2)),"")</f>
        <v/>
      </c>
      <c r="AC421" s="134" t="str">
        <f>IF(Data!$B413='Team Parser'!$B$1, Data!N413,"")</f>
        <v/>
      </c>
      <c r="AD421" s="139" t="str">
        <f>IF(Data!$B413='Team Parser'!$B$1,(AB421+(COUNTIF(AC421,"TRAVERSE")*15)+(COUNTIF(AC421,"HIGH")*10)+(COUNTIF(AC421,"MIDDLE")*6)+(COUNTIF(AC421,"LOW")*4)),"")</f>
        <v/>
      </c>
    </row>
    <row r="422">
      <c r="A422" s="141" t="s">
        <v>507</v>
      </c>
      <c r="B422" s="134" t="str">
        <f>IFERROR(__xludf.DUMMYFUNCTION("IFERROR((FILTER(Data!H:H,Data!D:D=A422,Data!B:B=$B$1)),"""")"),"")</f>
        <v/>
      </c>
      <c r="C422" s="134" t="str">
        <f>IFERROR(__xludf.DUMMYFUNCTION("IFERROR((FILTER(Data!G:G,Data!D:D=A422,Data!B:B=$B$1)),"""")"),"")</f>
        <v/>
      </c>
      <c r="D422" s="134" t="str">
        <f>IFERROR(__xludf.DUMMYFUNCTION("IFERROR((FILTER(Data!J:J,Data!D:D=A422,Data!B:B=$B$1)),"""")"),"")</f>
        <v/>
      </c>
      <c r="E422" s="134" t="str">
        <f>IFERROR(__xludf.DUMMYFUNCTION("IFERROR((FILTER(Data!L:L,Data!D:D=A422,Data!B:B=$B$1)),"""")"),"")</f>
        <v/>
      </c>
      <c r="F422" s="134" t="str">
        <f>IFERROR(__xludf.DUMMYFUNCTION("IFERROR((FILTER(Data!K:K,Data!D:D=A422,Data!B:B=$B$1)),"""")"),"")</f>
        <v/>
      </c>
      <c r="G422" s="134" t="str">
        <f>IFERROR(__xludf.DUMMYFUNCTION("IFERROR((FILTER(Data!M:M,Data!D:D=A422,Data!B:B=$B$1)),"""")"),"")</f>
        <v/>
      </c>
      <c r="H422" s="134" t="str">
        <f>IFERROR(__xludf.DUMMYFUNCTION("IFERROR((FILTER(Data!G:G,Data!D:D=A422,Data!B:B=$B$1)*4)+(FILTER(Data!H:H,Data!D:D=A422,Data!B:B=$B$1)*2),"""")"),"")</f>
        <v/>
      </c>
      <c r="I422" s="15" t="str">
        <f>IFERROR(__xludf.DUMMYFUNCTION("IFERROR((FILTER(Data!K:K,Data!D:D=A422,Data!B:B=$B$1)*2)+(FILTER(Data!L:L,Data!D:D=A422,Data!B:B=$B$1)),"""")"),"")</f>
        <v/>
      </c>
      <c r="J422" s="134" t="str">
        <f>IFERROR(__xludf.DUMMYFUNCTION("IFERROR((FILTER(Data!N:N,Data!D:D=A422,Data!B:B=$B$1)),"""")"),"")</f>
        <v/>
      </c>
      <c r="K422" s="135" t="str">
        <f>IFERROR(__xludf.DUMMYFUNCTION("IFERROR((FILTER(Data!H:H,Data!D:D=A422,Data!B:B=$B$1)*2)+(FILTER(Data!L:L,Data!D:D=A422,Data!B:B=$B$1))+(FILTER(Data!G:G,Data!D:D=A422,Data!B:B=$B$1)*4)+(FILTER(Data!K:K,Data!D:D=A422,Data!B:B=$B$1)*2)+(((COUNTIF(FILTER(Data!N:N,Data!D:D=A422,Data!B:B=$B$"&amp;"1),""TRAVERSE"")*15)+(COUNTIF(FILTER(Data!N:N,Data!D:D=A422,Data!B:B=$B$1),""HIGH"")*10)+(COUNTIF(FILTER(Data!N:N,Data!D:D=A422,Data!B:B=$B$1),""MIDDLE"")*6)+(COUNTIF(FILTER(Data!N:N,Data!D:D=A422,Data!B:B=$B$1),""LOW"")*4))),"""")"),"")</f>
        <v/>
      </c>
      <c r="L422" s="136" t="str">
        <f>IFERROR(__xludf.DUMMYFUNCTION("IFERROR((FILTER(Data!P:P,Data!D:D=A422,Data!B:B=$B$1)),"""")"),"")</f>
        <v/>
      </c>
      <c r="M422" s="137" t="str">
        <f>IFERROR(__xludf.DUMMYFUNCTION("IFERROR((FILTER(Data!A:A,Data!D:D=A422,Data!B:B=$B$1)),"""")"),"")</f>
        <v/>
      </c>
      <c r="T422" s="52">
        <f>IFERROR(__xludf.DUMMYFUNCTION("((COUNTIF(FILTER(Data!N:N,Data!D:D=A422,Data!B:B=$B$1),""TRAVERSE"")*15)+(COUNTIF(FILTER(Data!N:N,Data!D:D=A422,Data!B:B=B$1),""HIGH"")*10)+(COUNTIF(FILTER(Data!N:N,Data!D:D=A422,Data!B:B=$B$1),""MIDDLE"")*6)+(COUNTIF(FILTER(Data!N:N,Data!D:D=A422,Data!B:"&amp;"B=$B$1),""LOW"")*4))"),0.0)</f>
        <v>0</v>
      </c>
      <c r="V422" s="138" t="str">
        <f>IF(Data!B414='Team Parser'!$B$1, Data!D414,"")</f>
        <v/>
      </c>
      <c r="W422" s="134" t="str">
        <f>IF(Data!$B414='Team Parser'!$B$1, Data!H414,"")</f>
        <v/>
      </c>
      <c r="X422" s="134" t="str">
        <f>IF(Data!$B414='Team Parser'!$B$1, Data!G414,"")</f>
        <v/>
      </c>
      <c r="Y422" s="134" t="str">
        <f>IF(Data!$B414='Team Parser'!$B$1, Data!L414,"")</f>
        <v/>
      </c>
      <c r="Z422" s="134" t="str">
        <f>IF(Data!$B414='Team Parser'!$B$1, Data!K414,"")</f>
        <v/>
      </c>
      <c r="AA422" s="134" t="str">
        <f>IF(Data!$B414='Team Parser'!$B$1, Data!M414,"")</f>
        <v/>
      </c>
      <c r="AB422" s="134" t="str">
        <f>IF(Data!$B414='Team Parser'!$B$1,((Z422*2)+(Y422)+(X422*4)+(W422*2)),"")</f>
        <v/>
      </c>
      <c r="AC422" s="134" t="str">
        <f>IF(Data!$B414='Team Parser'!$B$1, Data!N414,"")</f>
        <v/>
      </c>
      <c r="AD422" s="139" t="str">
        <f>IF(Data!$B414='Team Parser'!$B$1,(AB422+(COUNTIF(AC422,"TRAVERSE")*15)+(COUNTIF(AC422,"HIGH")*10)+(COUNTIF(AC422,"MIDDLE")*6)+(COUNTIF(AC422,"LOW")*4)),"")</f>
        <v/>
      </c>
    </row>
    <row r="423">
      <c r="A423" s="141" t="s">
        <v>507</v>
      </c>
      <c r="B423" s="134" t="str">
        <f>IFERROR(__xludf.DUMMYFUNCTION("IFERROR((FILTER(Data!H:H,Data!D:D=A423,Data!B:B=$B$1)),"""")"),"")</f>
        <v/>
      </c>
      <c r="C423" s="134" t="str">
        <f>IFERROR(__xludf.DUMMYFUNCTION("IFERROR((FILTER(Data!G:G,Data!D:D=A423,Data!B:B=$B$1)),"""")"),"")</f>
        <v/>
      </c>
      <c r="D423" s="134" t="str">
        <f>IFERROR(__xludf.DUMMYFUNCTION("IFERROR((FILTER(Data!J:J,Data!D:D=A423,Data!B:B=$B$1)),"""")"),"")</f>
        <v/>
      </c>
      <c r="E423" s="134" t="str">
        <f>IFERROR(__xludf.DUMMYFUNCTION("IFERROR((FILTER(Data!L:L,Data!D:D=A423,Data!B:B=$B$1)),"""")"),"")</f>
        <v/>
      </c>
      <c r="F423" s="134" t="str">
        <f>IFERROR(__xludf.DUMMYFUNCTION("IFERROR((FILTER(Data!K:K,Data!D:D=A423,Data!B:B=$B$1)),"""")"),"")</f>
        <v/>
      </c>
      <c r="G423" s="134" t="str">
        <f>IFERROR(__xludf.DUMMYFUNCTION("IFERROR((FILTER(Data!M:M,Data!D:D=A423,Data!B:B=$B$1)),"""")"),"")</f>
        <v/>
      </c>
      <c r="H423" s="134" t="str">
        <f>IFERROR(__xludf.DUMMYFUNCTION("IFERROR((FILTER(Data!G:G,Data!D:D=A423,Data!B:B=$B$1)*4)+(FILTER(Data!H:H,Data!D:D=A423,Data!B:B=$B$1)*2),"""")"),"")</f>
        <v/>
      </c>
      <c r="I423" s="15" t="str">
        <f>IFERROR(__xludf.DUMMYFUNCTION("IFERROR((FILTER(Data!K:K,Data!D:D=A423,Data!B:B=$B$1)*2)+(FILTER(Data!L:L,Data!D:D=A423,Data!B:B=$B$1)),"""")"),"")</f>
        <v/>
      </c>
      <c r="J423" s="134" t="str">
        <f>IFERROR(__xludf.DUMMYFUNCTION("IFERROR((FILTER(Data!N:N,Data!D:D=A423,Data!B:B=$B$1)),"""")"),"")</f>
        <v/>
      </c>
      <c r="K423" s="135" t="str">
        <f>IFERROR(__xludf.DUMMYFUNCTION("IFERROR((FILTER(Data!H:H,Data!D:D=A423,Data!B:B=$B$1)*2)+(FILTER(Data!L:L,Data!D:D=A423,Data!B:B=$B$1))+(FILTER(Data!G:G,Data!D:D=A423,Data!B:B=$B$1)*4)+(FILTER(Data!K:K,Data!D:D=A423,Data!B:B=$B$1)*2)+(((COUNTIF(FILTER(Data!N:N,Data!D:D=A423,Data!B:B=$B$"&amp;"1),""TRAVERSE"")*15)+(COUNTIF(FILTER(Data!N:N,Data!D:D=A423,Data!B:B=$B$1),""HIGH"")*10)+(COUNTIF(FILTER(Data!N:N,Data!D:D=A423,Data!B:B=$B$1),""MIDDLE"")*6)+(COUNTIF(FILTER(Data!N:N,Data!D:D=A423,Data!B:B=$B$1),""LOW"")*4))),"""")"),"")</f>
        <v/>
      </c>
      <c r="L423" s="136" t="str">
        <f>IFERROR(__xludf.DUMMYFUNCTION("IFERROR((FILTER(Data!P:P,Data!D:D=A423,Data!B:B=$B$1)),"""")"),"")</f>
        <v/>
      </c>
      <c r="M423" s="137" t="str">
        <f>IFERROR(__xludf.DUMMYFUNCTION("IFERROR((FILTER(Data!A:A,Data!D:D=A423,Data!B:B=$B$1)),"""")"),"")</f>
        <v/>
      </c>
      <c r="T423" s="52">
        <f>IFERROR(__xludf.DUMMYFUNCTION("((COUNTIF(FILTER(Data!N:N,Data!D:D=A423,Data!B:B=$B$1),""TRAVERSE"")*15)+(COUNTIF(FILTER(Data!N:N,Data!D:D=A423,Data!B:B=B$1),""HIGH"")*10)+(COUNTIF(FILTER(Data!N:N,Data!D:D=A423,Data!B:B=$B$1),""MIDDLE"")*6)+(COUNTIF(FILTER(Data!N:N,Data!D:D=A423,Data!B:"&amp;"B=$B$1),""LOW"")*4))"),0.0)</f>
        <v>0</v>
      </c>
      <c r="V423" s="138" t="str">
        <f>IF(Data!B415='Team Parser'!$B$1, Data!D415,"")</f>
        <v/>
      </c>
      <c r="W423" s="134" t="str">
        <f>IF(Data!$B415='Team Parser'!$B$1, Data!H415,"")</f>
        <v/>
      </c>
      <c r="X423" s="134" t="str">
        <f>IF(Data!$B415='Team Parser'!$B$1, Data!G415,"")</f>
        <v/>
      </c>
      <c r="Y423" s="134" t="str">
        <f>IF(Data!$B415='Team Parser'!$B$1, Data!L415,"")</f>
        <v/>
      </c>
      <c r="Z423" s="134" t="str">
        <f>IF(Data!$B415='Team Parser'!$B$1, Data!K415,"")</f>
        <v/>
      </c>
      <c r="AA423" s="134" t="str">
        <f>IF(Data!$B415='Team Parser'!$B$1, Data!M415,"")</f>
        <v/>
      </c>
      <c r="AB423" s="134" t="str">
        <f>IF(Data!$B415='Team Parser'!$B$1,((Z423*2)+(Y423)+(X423*4)+(W423*2)),"")</f>
        <v/>
      </c>
      <c r="AC423" s="134" t="str">
        <f>IF(Data!$B415='Team Parser'!$B$1, Data!N415,"")</f>
        <v/>
      </c>
      <c r="AD423" s="139" t="str">
        <f>IF(Data!$B415='Team Parser'!$B$1,(AB423+(COUNTIF(AC423,"TRAVERSE")*15)+(COUNTIF(AC423,"HIGH")*10)+(COUNTIF(AC423,"MIDDLE")*6)+(COUNTIF(AC423,"LOW")*4)),"")</f>
        <v/>
      </c>
    </row>
    <row r="424">
      <c r="A424" s="141" t="s">
        <v>507</v>
      </c>
      <c r="B424" s="134" t="str">
        <f>IFERROR(__xludf.DUMMYFUNCTION("IFERROR((FILTER(Data!H:H,Data!D:D=A424,Data!B:B=$B$1)),"""")"),"")</f>
        <v/>
      </c>
      <c r="C424" s="134" t="str">
        <f>IFERROR(__xludf.DUMMYFUNCTION("IFERROR((FILTER(Data!G:G,Data!D:D=A424,Data!B:B=$B$1)),"""")"),"")</f>
        <v/>
      </c>
      <c r="D424" s="134" t="str">
        <f>IFERROR(__xludf.DUMMYFUNCTION("IFERROR((FILTER(Data!J:J,Data!D:D=A424,Data!B:B=$B$1)),"""")"),"")</f>
        <v/>
      </c>
      <c r="E424" s="134" t="str">
        <f>IFERROR(__xludf.DUMMYFUNCTION("IFERROR((FILTER(Data!L:L,Data!D:D=A424,Data!B:B=$B$1)),"""")"),"")</f>
        <v/>
      </c>
      <c r="F424" s="134" t="str">
        <f>IFERROR(__xludf.DUMMYFUNCTION("IFERROR((FILTER(Data!K:K,Data!D:D=A424,Data!B:B=$B$1)),"""")"),"")</f>
        <v/>
      </c>
      <c r="G424" s="134" t="str">
        <f>IFERROR(__xludf.DUMMYFUNCTION("IFERROR((FILTER(Data!M:M,Data!D:D=A424,Data!B:B=$B$1)),"""")"),"")</f>
        <v/>
      </c>
      <c r="H424" s="134" t="str">
        <f>IFERROR(__xludf.DUMMYFUNCTION("IFERROR((FILTER(Data!G:G,Data!D:D=A424,Data!B:B=$B$1)*4)+(FILTER(Data!H:H,Data!D:D=A424,Data!B:B=$B$1)*2),"""")"),"")</f>
        <v/>
      </c>
      <c r="I424" s="15" t="str">
        <f>IFERROR(__xludf.DUMMYFUNCTION("IFERROR((FILTER(Data!K:K,Data!D:D=A424,Data!B:B=$B$1)*2)+(FILTER(Data!L:L,Data!D:D=A424,Data!B:B=$B$1)),"""")"),"")</f>
        <v/>
      </c>
      <c r="J424" s="134" t="str">
        <f>IFERROR(__xludf.DUMMYFUNCTION("IFERROR((FILTER(Data!N:N,Data!D:D=A424,Data!B:B=$B$1)),"""")"),"")</f>
        <v/>
      </c>
      <c r="K424" s="135" t="str">
        <f>IFERROR(__xludf.DUMMYFUNCTION("IFERROR((FILTER(Data!H:H,Data!D:D=A424,Data!B:B=$B$1)*2)+(FILTER(Data!L:L,Data!D:D=A424,Data!B:B=$B$1))+(FILTER(Data!G:G,Data!D:D=A424,Data!B:B=$B$1)*4)+(FILTER(Data!K:K,Data!D:D=A424,Data!B:B=$B$1)*2)+(((COUNTIF(FILTER(Data!N:N,Data!D:D=A424,Data!B:B=$B$"&amp;"1),""TRAVERSE"")*15)+(COUNTIF(FILTER(Data!N:N,Data!D:D=A424,Data!B:B=$B$1),""HIGH"")*10)+(COUNTIF(FILTER(Data!N:N,Data!D:D=A424,Data!B:B=$B$1),""MIDDLE"")*6)+(COUNTIF(FILTER(Data!N:N,Data!D:D=A424,Data!B:B=$B$1),""LOW"")*4))),"""")"),"")</f>
        <v/>
      </c>
      <c r="L424" s="136" t="str">
        <f>IFERROR(__xludf.DUMMYFUNCTION("IFERROR((FILTER(Data!P:P,Data!D:D=A424,Data!B:B=$B$1)),"""")"),"")</f>
        <v/>
      </c>
      <c r="M424" s="137" t="str">
        <f>IFERROR(__xludf.DUMMYFUNCTION("IFERROR((FILTER(Data!A:A,Data!D:D=A424,Data!B:B=$B$1)),"""")"),"")</f>
        <v/>
      </c>
      <c r="T424" s="52">
        <f>IFERROR(__xludf.DUMMYFUNCTION("((COUNTIF(FILTER(Data!N:N,Data!D:D=A424,Data!B:B=$B$1),""TRAVERSE"")*15)+(COUNTIF(FILTER(Data!N:N,Data!D:D=A424,Data!B:B=B$1),""HIGH"")*10)+(COUNTIF(FILTER(Data!N:N,Data!D:D=A424,Data!B:B=$B$1),""MIDDLE"")*6)+(COUNTIF(FILTER(Data!N:N,Data!D:D=A424,Data!B:"&amp;"B=$B$1),""LOW"")*4))"),0.0)</f>
        <v>0</v>
      </c>
      <c r="V424" s="138" t="str">
        <f>IF(Data!B416='Team Parser'!$B$1, Data!D416,"")</f>
        <v/>
      </c>
      <c r="W424" s="134" t="str">
        <f>IF(Data!$B416='Team Parser'!$B$1, Data!H416,"")</f>
        <v/>
      </c>
      <c r="X424" s="134" t="str">
        <f>IF(Data!$B416='Team Parser'!$B$1, Data!G416,"")</f>
        <v/>
      </c>
      <c r="Y424" s="134" t="str">
        <f>IF(Data!$B416='Team Parser'!$B$1, Data!L416,"")</f>
        <v/>
      </c>
      <c r="Z424" s="134" t="str">
        <f>IF(Data!$B416='Team Parser'!$B$1, Data!K416,"")</f>
        <v/>
      </c>
      <c r="AA424" s="134" t="str">
        <f>IF(Data!$B416='Team Parser'!$B$1, Data!M416,"")</f>
        <v/>
      </c>
      <c r="AB424" s="134" t="str">
        <f>IF(Data!$B416='Team Parser'!$B$1,((Z424*2)+(Y424)+(X424*4)+(W424*2)),"")</f>
        <v/>
      </c>
      <c r="AC424" s="134" t="str">
        <f>IF(Data!$B416='Team Parser'!$B$1, Data!N416,"")</f>
        <v/>
      </c>
      <c r="AD424" s="139" t="str">
        <f>IF(Data!$B416='Team Parser'!$B$1,(AB424+(COUNTIF(AC424,"TRAVERSE")*15)+(COUNTIF(AC424,"HIGH")*10)+(COUNTIF(AC424,"MIDDLE")*6)+(COUNTIF(AC424,"LOW")*4)),"")</f>
        <v/>
      </c>
    </row>
    <row r="425">
      <c r="A425" s="141" t="s">
        <v>507</v>
      </c>
      <c r="B425" s="134" t="str">
        <f>IFERROR(__xludf.DUMMYFUNCTION("IFERROR((FILTER(Data!H:H,Data!D:D=A425,Data!B:B=$B$1)),"""")"),"")</f>
        <v/>
      </c>
      <c r="C425" s="134" t="str">
        <f>IFERROR(__xludf.DUMMYFUNCTION("IFERROR((FILTER(Data!G:G,Data!D:D=A425,Data!B:B=$B$1)),"""")"),"")</f>
        <v/>
      </c>
      <c r="D425" s="134" t="str">
        <f>IFERROR(__xludf.DUMMYFUNCTION("IFERROR((FILTER(Data!J:J,Data!D:D=A425,Data!B:B=$B$1)),"""")"),"")</f>
        <v/>
      </c>
      <c r="E425" s="134" t="str">
        <f>IFERROR(__xludf.DUMMYFUNCTION("IFERROR((FILTER(Data!L:L,Data!D:D=A425,Data!B:B=$B$1)),"""")"),"")</f>
        <v/>
      </c>
      <c r="F425" s="134" t="str">
        <f>IFERROR(__xludf.DUMMYFUNCTION("IFERROR((FILTER(Data!K:K,Data!D:D=A425,Data!B:B=$B$1)),"""")"),"")</f>
        <v/>
      </c>
      <c r="G425" s="134" t="str">
        <f>IFERROR(__xludf.DUMMYFUNCTION("IFERROR((FILTER(Data!M:M,Data!D:D=A425,Data!B:B=$B$1)),"""")"),"")</f>
        <v/>
      </c>
      <c r="H425" s="134" t="str">
        <f>IFERROR(__xludf.DUMMYFUNCTION("IFERROR((FILTER(Data!G:G,Data!D:D=A425,Data!B:B=$B$1)*4)+(FILTER(Data!H:H,Data!D:D=A425,Data!B:B=$B$1)*2),"""")"),"")</f>
        <v/>
      </c>
      <c r="I425" s="15" t="str">
        <f>IFERROR(__xludf.DUMMYFUNCTION("IFERROR((FILTER(Data!K:K,Data!D:D=A425,Data!B:B=$B$1)*2)+(FILTER(Data!L:L,Data!D:D=A425,Data!B:B=$B$1)),"""")"),"")</f>
        <v/>
      </c>
      <c r="J425" s="134" t="str">
        <f>IFERROR(__xludf.DUMMYFUNCTION("IFERROR((FILTER(Data!N:N,Data!D:D=A425,Data!B:B=$B$1)),"""")"),"")</f>
        <v/>
      </c>
      <c r="K425" s="135" t="str">
        <f>IFERROR(__xludf.DUMMYFUNCTION("IFERROR((FILTER(Data!H:H,Data!D:D=A425,Data!B:B=$B$1)*2)+(FILTER(Data!L:L,Data!D:D=A425,Data!B:B=$B$1))+(FILTER(Data!G:G,Data!D:D=A425,Data!B:B=$B$1)*4)+(FILTER(Data!K:K,Data!D:D=A425,Data!B:B=$B$1)*2)+(((COUNTIF(FILTER(Data!N:N,Data!D:D=A425,Data!B:B=$B$"&amp;"1),""TRAVERSE"")*15)+(COUNTIF(FILTER(Data!N:N,Data!D:D=A425,Data!B:B=$B$1),""HIGH"")*10)+(COUNTIF(FILTER(Data!N:N,Data!D:D=A425,Data!B:B=$B$1),""MIDDLE"")*6)+(COUNTIF(FILTER(Data!N:N,Data!D:D=A425,Data!B:B=$B$1),""LOW"")*4))),"""")"),"")</f>
        <v/>
      </c>
      <c r="L425" s="136" t="str">
        <f>IFERROR(__xludf.DUMMYFUNCTION("IFERROR((FILTER(Data!P:P,Data!D:D=A425,Data!B:B=$B$1)),"""")"),"")</f>
        <v/>
      </c>
      <c r="M425" s="137" t="str">
        <f>IFERROR(__xludf.DUMMYFUNCTION("IFERROR((FILTER(Data!A:A,Data!D:D=A425,Data!B:B=$B$1)),"""")"),"")</f>
        <v/>
      </c>
      <c r="T425" s="52">
        <f>IFERROR(__xludf.DUMMYFUNCTION("((COUNTIF(FILTER(Data!N:N,Data!D:D=A425,Data!B:B=$B$1),""TRAVERSE"")*15)+(COUNTIF(FILTER(Data!N:N,Data!D:D=A425,Data!B:B=B$1),""HIGH"")*10)+(COUNTIF(FILTER(Data!N:N,Data!D:D=A425,Data!B:B=$B$1),""MIDDLE"")*6)+(COUNTIF(FILTER(Data!N:N,Data!D:D=A425,Data!B:"&amp;"B=$B$1),""LOW"")*4))"),0.0)</f>
        <v>0</v>
      </c>
      <c r="V425" s="138" t="str">
        <f>IF(Data!B417='Team Parser'!$B$1, Data!D417,"")</f>
        <v/>
      </c>
      <c r="W425" s="134" t="str">
        <f>IF(Data!$B417='Team Parser'!$B$1, Data!H417,"")</f>
        <v/>
      </c>
      <c r="X425" s="134" t="str">
        <f>IF(Data!$B417='Team Parser'!$B$1, Data!G417,"")</f>
        <v/>
      </c>
      <c r="Y425" s="134" t="str">
        <f>IF(Data!$B417='Team Parser'!$B$1, Data!L417,"")</f>
        <v/>
      </c>
      <c r="Z425" s="134" t="str">
        <f>IF(Data!$B417='Team Parser'!$B$1, Data!K417,"")</f>
        <v/>
      </c>
      <c r="AA425" s="134" t="str">
        <f>IF(Data!$B417='Team Parser'!$B$1, Data!M417,"")</f>
        <v/>
      </c>
      <c r="AB425" s="134" t="str">
        <f>IF(Data!$B417='Team Parser'!$B$1,((Z425*2)+(Y425)+(X425*4)+(W425*2)),"")</f>
        <v/>
      </c>
      <c r="AC425" s="134" t="str">
        <f>IF(Data!$B417='Team Parser'!$B$1, Data!N417,"")</f>
        <v/>
      </c>
      <c r="AD425" s="139" t="str">
        <f>IF(Data!$B417='Team Parser'!$B$1,(AB425+(COUNTIF(AC425,"TRAVERSE")*15)+(COUNTIF(AC425,"HIGH")*10)+(COUNTIF(AC425,"MIDDLE")*6)+(COUNTIF(AC425,"LOW")*4)),"")</f>
        <v/>
      </c>
    </row>
    <row r="426">
      <c r="A426" s="141" t="s">
        <v>507</v>
      </c>
      <c r="B426" s="134" t="str">
        <f>IFERROR(__xludf.DUMMYFUNCTION("IFERROR((FILTER(Data!H:H,Data!D:D=A426,Data!B:B=$B$1)),"""")"),"")</f>
        <v/>
      </c>
      <c r="C426" s="134" t="str">
        <f>IFERROR(__xludf.DUMMYFUNCTION("IFERROR((FILTER(Data!G:G,Data!D:D=A426,Data!B:B=$B$1)),"""")"),"")</f>
        <v/>
      </c>
      <c r="D426" s="134" t="str">
        <f>IFERROR(__xludf.DUMMYFUNCTION("IFERROR((FILTER(Data!J:J,Data!D:D=A426,Data!B:B=$B$1)),"""")"),"")</f>
        <v/>
      </c>
      <c r="E426" s="134" t="str">
        <f>IFERROR(__xludf.DUMMYFUNCTION("IFERROR((FILTER(Data!L:L,Data!D:D=A426,Data!B:B=$B$1)),"""")"),"")</f>
        <v/>
      </c>
      <c r="F426" s="134" t="str">
        <f>IFERROR(__xludf.DUMMYFUNCTION("IFERROR((FILTER(Data!K:K,Data!D:D=A426,Data!B:B=$B$1)),"""")"),"")</f>
        <v/>
      </c>
      <c r="G426" s="134" t="str">
        <f>IFERROR(__xludf.DUMMYFUNCTION("IFERROR((FILTER(Data!M:M,Data!D:D=A426,Data!B:B=$B$1)),"""")"),"")</f>
        <v/>
      </c>
      <c r="H426" s="134" t="str">
        <f>IFERROR(__xludf.DUMMYFUNCTION("IFERROR((FILTER(Data!G:G,Data!D:D=A426,Data!B:B=$B$1)*4)+(FILTER(Data!H:H,Data!D:D=A426,Data!B:B=$B$1)*2),"""")"),"")</f>
        <v/>
      </c>
      <c r="I426" s="15" t="str">
        <f>IFERROR(__xludf.DUMMYFUNCTION("IFERROR((FILTER(Data!K:K,Data!D:D=A426,Data!B:B=$B$1)*2)+(FILTER(Data!L:L,Data!D:D=A426,Data!B:B=$B$1)),"""")"),"")</f>
        <v/>
      </c>
      <c r="J426" s="134" t="str">
        <f>IFERROR(__xludf.DUMMYFUNCTION("IFERROR((FILTER(Data!N:N,Data!D:D=A426,Data!B:B=$B$1)),"""")"),"")</f>
        <v/>
      </c>
      <c r="K426" s="135" t="str">
        <f>IFERROR(__xludf.DUMMYFUNCTION("IFERROR((FILTER(Data!H:H,Data!D:D=A426,Data!B:B=$B$1)*2)+(FILTER(Data!L:L,Data!D:D=A426,Data!B:B=$B$1))+(FILTER(Data!G:G,Data!D:D=A426,Data!B:B=$B$1)*4)+(FILTER(Data!K:K,Data!D:D=A426,Data!B:B=$B$1)*2)+(((COUNTIF(FILTER(Data!N:N,Data!D:D=A426,Data!B:B=$B$"&amp;"1),""TRAVERSE"")*15)+(COUNTIF(FILTER(Data!N:N,Data!D:D=A426,Data!B:B=$B$1),""HIGH"")*10)+(COUNTIF(FILTER(Data!N:N,Data!D:D=A426,Data!B:B=$B$1),""MIDDLE"")*6)+(COUNTIF(FILTER(Data!N:N,Data!D:D=A426,Data!B:B=$B$1),""LOW"")*4))),"""")"),"")</f>
        <v/>
      </c>
      <c r="L426" s="136" t="str">
        <f>IFERROR(__xludf.DUMMYFUNCTION("IFERROR((FILTER(Data!P:P,Data!D:D=A426,Data!B:B=$B$1)),"""")"),"")</f>
        <v/>
      </c>
      <c r="M426" s="137" t="str">
        <f>IFERROR(__xludf.DUMMYFUNCTION("IFERROR((FILTER(Data!A:A,Data!D:D=A426,Data!B:B=$B$1)),"""")"),"")</f>
        <v/>
      </c>
      <c r="T426" s="52">
        <f>IFERROR(__xludf.DUMMYFUNCTION("((COUNTIF(FILTER(Data!N:N,Data!D:D=A426,Data!B:B=$B$1),""TRAVERSE"")*15)+(COUNTIF(FILTER(Data!N:N,Data!D:D=A426,Data!B:B=B$1),""HIGH"")*10)+(COUNTIF(FILTER(Data!N:N,Data!D:D=A426,Data!B:B=$B$1),""MIDDLE"")*6)+(COUNTIF(FILTER(Data!N:N,Data!D:D=A426,Data!B:"&amp;"B=$B$1),""LOW"")*4))"),0.0)</f>
        <v>0</v>
      </c>
      <c r="V426" s="138" t="str">
        <f>IF(Data!B418='Team Parser'!$B$1, Data!D418,"")</f>
        <v/>
      </c>
      <c r="W426" s="134" t="str">
        <f>IF(Data!$B418='Team Parser'!$B$1, Data!H418,"")</f>
        <v/>
      </c>
      <c r="X426" s="134" t="str">
        <f>IF(Data!$B418='Team Parser'!$B$1, Data!G418,"")</f>
        <v/>
      </c>
      <c r="Y426" s="134" t="str">
        <f>IF(Data!$B418='Team Parser'!$B$1, Data!L418,"")</f>
        <v/>
      </c>
      <c r="Z426" s="134" t="str">
        <f>IF(Data!$B418='Team Parser'!$B$1, Data!K418,"")</f>
        <v/>
      </c>
      <c r="AA426" s="134" t="str">
        <f>IF(Data!$B418='Team Parser'!$B$1, Data!M418,"")</f>
        <v/>
      </c>
      <c r="AB426" s="134" t="str">
        <f>IF(Data!$B418='Team Parser'!$B$1,((Z426*2)+(Y426)+(X426*4)+(W426*2)),"")</f>
        <v/>
      </c>
      <c r="AC426" s="134" t="str">
        <f>IF(Data!$B418='Team Parser'!$B$1, Data!N418,"")</f>
        <v/>
      </c>
      <c r="AD426" s="139" t="str">
        <f>IF(Data!$B418='Team Parser'!$B$1,(AB426+(COUNTIF(AC426,"TRAVERSE")*15)+(COUNTIF(AC426,"HIGH")*10)+(COUNTIF(AC426,"MIDDLE")*6)+(COUNTIF(AC426,"LOW")*4)),"")</f>
        <v/>
      </c>
    </row>
    <row r="427">
      <c r="A427" s="141" t="s">
        <v>507</v>
      </c>
      <c r="B427" s="134" t="str">
        <f>IFERROR(__xludf.DUMMYFUNCTION("IFERROR((FILTER(Data!H:H,Data!D:D=A427,Data!B:B=$B$1)),"""")"),"")</f>
        <v/>
      </c>
      <c r="C427" s="134" t="str">
        <f>IFERROR(__xludf.DUMMYFUNCTION("IFERROR((FILTER(Data!G:G,Data!D:D=A427,Data!B:B=$B$1)),"""")"),"")</f>
        <v/>
      </c>
      <c r="D427" s="134" t="str">
        <f>IFERROR(__xludf.DUMMYFUNCTION("IFERROR((FILTER(Data!J:J,Data!D:D=A427,Data!B:B=$B$1)),"""")"),"")</f>
        <v/>
      </c>
      <c r="E427" s="134" t="str">
        <f>IFERROR(__xludf.DUMMYFUNCTION("IFERROR((FILTER(Data!L:L,Data!D:D=A427,Data!B:B=$B$1)),"""")"),"")</f>
        <v/>
      </c>
      <c r="F427" s="134" t="str">
        <f>IFERROR(__xludf.DUMMYFUNCTION("IFERROR((FILTER(Data!K:K,Data!D:D=A427,Data!B:B=$B$1)),"""")"),"")</f>
        <v/>
      </c>
      <c r="G427" s="134" t="str">
        <f>IFERROR(__xludf.DUMMYFUNCTION("IFERROR((FILTER(Data!M:M,Data!D:D=A427,Data!B:B=$B$1)),"""")"),"")</f>
        <v/>
      </c>
      <c r="H427" s="134" t="str">
        <f>IFERROR(__xludf.DUMMYFUNCTION("IFERROR((FILTER(Data!G:G,Data!D:D=A427,Data!B:B=$B$1)*4)+(FILTER(Data!H:H,Data!D:D=A427,Data!B:B=$B$1)*2),"""")"),"")</f>
        <v/>
      </c>
      <c r="I427" s="15" t="str">
        <f>IFERROR(__xludf.DUMMYFUNCTION("IFERROR((FILTER(Data!K:K,Data!D:D=A427,Data!B:B=$B$1)*2)+(FILTER(Data!L:L,Data!D:D=A427,Data!B:B=$B$1)),"""")"),"")</f>
        <v/>
      </c>
      <c r="J427" s="134" t="str">
        <f>IFERROR(__xludf.DUMMYFUNCTION("IFERROR((FILTER(Data!N:N,Data!D:D=A427,Data!B:B=$B$1)),"""")"),"")</f>
        <v/>
      </c>
      <c r="K427" s="135" t="str">
        <f>IFERROR(__xludf.DUMMYFUNCTION("IFERROR((FILTER(Data!H:H,Data!D:D=A427,Data!B:B=$B$1)*2)+(FILTER(Data!L:L,Data!D:D=A427,Data!B:B=$B$1))+(FILTER(Data!G:G,Data!D:D=A427,Data!B:B=$B$1)*4)+(FILTER(Data!K:K,Data!D:D=A427,Data!B:B=$B$1)*2)+(((COUNTIF(FILTER(Data!N:N,Data!D:D=A427,Data!B:B=$B$"&amp;"1),""TRAVERSE"")*15)+(COUNTIF(FILTER(Data!N:N,Data!D:D=A427,Data!B:B=$B$1),""HIGH"")*10)+(COUNTIF(FILTER(Data!N:N,Data!D:D=A427,Data!B:B=$B$1),""MIDDLE"")*6)+(COUNTIF(FILTER(Data!N:N,Data!D:D=A427,Data!B:B=$B$1),""LOW"")*4))),"""")"),"")</f>
        <v/>
      </c>
      <c r="L427" s="136" t="str">
        <f>IFERROR(__xludf.DUMMYFUNCTION("IFERROR((FILTER(Data!P:P,Data!D:D=A427,Data!B:B=$B$1)),"""")"),"")</f>
        <v/>
      </c>
      <c r="M427" s="137" t="str">
        <f>IFERROR(__xludf.DUMMYFUNCTION("IFERROR((FILTER(Data!A:A,Data!D:D=A427,Data!B:B=$B$1)),"""")"),"")</f>
        <v/>
      </c>
      <c r="T427" s="52">
        <f>IFERROR(__xludf.DUMMYFUNCTION("((COUNTIF(FILTER(Data!N:N,Data!D:D=A427,Data!B:B=$B$1),""TRAVERSE"")*15)+(COUNTIF(FILTER(Data!N:N,Data!D:D=A427,Data!B:B=B$1),""HIGH"")*10)+(COUNTIF(FILTER(Data!N:N,Data!D:D=A427,Data!B:B=$B$1),""MIDDLE"")*6)+(COUNTIF(FILTER(Data!N:N,Data!D:D=A427,Data!B:"&amp;"B=$B$1),""LOW"")*4))"),0.0)</f>
        <v>0</v>
      </c>
      <c r="V427" s="138" t="str">
        <f>IF(Data!B419='Team Parser'!$B$1, Data!D419,"")</f>
        <v/>
      </c>
      <c r="W427" s="134" t="str">
        <f>IF(Data!$B419='Team Parser'!$B$1, Data!H419,"")</f>
        <v/>
      </c>
      <c r="X427" s="134" t="str">
        <f>IF(Data!$B419='Team Parser'!$B$1, Data!G419,"")</f>
        <v/>
      </c>
      <c r="Y427" s="134" t="str">
        <f>IF(Data!$B419='Team Parser'!$B$1, Data!L419,"")</f>
        <v/>
      </c>
      <c r="Z427" s="134" t="str">
        <f>IF(Data!$B419='Team Parser'!$B$1, Data!K419,"")</f>
        <v/>
      </c>
      <c r="AA427" s="134" t="str">
        <f>IF(Data!$B419='Team Parser'!$B$1, Data!M419,"")</f>
        <v/>
      </c>
      <c r="AB427" s="134" t="str">
        <f>IF(Data!$B419='Team Parser'!$B$1,((Z427*2)+(Y427)+(X427*4)+(W427*2)),"")</f>
        <v/>
      </c>
      <c r="AC427" s="134" t="str">
        <f>IF(Data!$B419='Team Parser'!$B$1, Data!N419,"")</f>
        <v/>
      </c>
      <c r="AD427" s="139" t="str">
        <f>IF(Data!$B419='Team Parser'!$B$1,(AB427+(COUNTIF(AC427,"TRAVERSE")*15)+(COUNTIF(AC427,"HIGH")*10)+(COUNTIF(AC427,"MIDDLE")*6)+(COUNTIF(AC427,"LOW")*4)),"")</f>
        <v/>
      </c>
    </row>
    <row r="428">
      <c r="A428" s="141" t="s">
        <v>507</v>
      </c>
      <c r="B428" s="134" t="str">
        <f>IFERROR(__xludf.DUMMYFUNCTION("IFERROR((FILTER(Data!H:H,Data!D:D=A428,Data!B:B=$B$1)),"""")"),"")</f>
        <v/>
      </c>
      <c r="C428" s="134" t="str">
        <f>IFERROR(__xludf.DUMMYFUNCTION("IFERROR((FILTER(Data!G:G,Data!D:D=A428,Data!B:B=$B$1)),"""")"),"")</f>
        <v/>
      </c>
      <c r="D428" s="134" t="str">
        <f>IFERROR(__xludf.DUMMYFUNCTION("IFERROR((FILTER(Data!J:J,Data!D:D=A428,Data!B:B=$B$1)),"""")"),"")</f>
        <v/>
      </c>
      <c r="E428" s="134" t="str">
        <f>IFERROR(__xludf.DUMMYFUNCTION("IFERROR((FILTER(Data!L:L,Data!D:D=A428,Data!B:B=$B$1)),"""")"),"")</f>
        <v/>
      </c>
      <c r="F428" s="134" t="str">
        <f>IFERROR(__xludf.DUMMYFUNCTION("IFERROR((FILTER(Data!K:K,Data!D:D=A428,Data!B:B=$B$1)),"""")"),"")</f>
        <v/>
      </c>
      <c r="G428" s="134" t="str">
        <f>IFERROR(__xludf.DUMMYFUNCTION("IFERROR((FILTER(Data!M:M,Data!D:D=A428,Data!B:B=$B$1)),"""")"),"")</f>
        <v/>
      </c>
      <c r="H428" s="134" t="str">
        <f>IFERROR(__xludf.DUMMYFUNCTION("IFERROR((FILTER(Data!G:G,Data!D:D=A428,Data!B:B=$B$1)*4)+(FILTER(Data!H:H,Data!D:D=A428,Data!B:B=$B$1)*2),"""")"),"")</f>
        <v/>
      </c>
      <c r="I428" s="15" t="str">
        <f>IFERROR(__xludf.DUMMYFUNCTION("IFERROR((FILTER(Data!K:K,Data!D:D=A428,Data!B:B=$B$1)*2)+(FILTER(Data!L:L,Data!D:D=A428,Data!B:B=$B$1)),"""")"),"")</f>
        <v/>
      </c>
      <c r="J428" s="134" t="str">
        <f>IFERROR(__xludf.DUMMYFUNCTION("IFERROR((FILTER(Data!N:N,Data!D:D=A428,Data!B:B=$B$1)),"""")"),"")</f>
        <v/>
      </c>
      <c r="K428" s="135" t="str">
        <f>IFERROR(__xludf.DUMMYFUNCTION("IFERROR((FILTER(Data!H:H,Data!D:D=A428,Data!B:B=$B$1)*2)+(FILTER(Data!L:L,Data!D:D=A428,Data!B:B=$B$1))+(FILTER(Data!G:G,Data!D:D=A428,Data!B:B=$B$1)*4)+(FILTER(Data!K:K,Data!D:D=A428,Data!B:B=$B$1)*2)+(((COUNTIF(FILTER(Data!N:N,Data!D:D=A428,Data!B:B=$B$"&amp;"1),""TRAVERSE"")*15)+(COUNTIF(FILTER(Data!N:N,Data!D:D=A428,Data!B:B=$B$1),""HIGH"")*10)+(COUNTIF(FILTER(Data!N:N,Data!D:D=A428,Data!B:B=$B$1),""MIDDLE"")*6)+(COUNTIF(FILTER(Data!N:N,Data!D:D=A428,Data!B:B=$B$1),""LOW"")*4))),"""")"),"")</f>
        <v/>
      </c>
      <c r="L428" s="136" t="str">
        <f>IFERROR(__xludf.DUMMYFUNCTION("IFERROR((FILTER(Data!P:P,Data!D:D=A428,Data!B:B=$B$1)),"""")"),"")</f>
        <v/>
      </c>
      <c r="M428" s="137" t="str">
        <f>IFERROR(__xludf.DUMMYFUNCTION("IFERROR((FILTER(Data!A:A,Data!D:D=A428,Data!B:B=$B$1)),"""")"),"")</f>
        <v/>
      </c>
      <c r="T428" s="52">
        <f>IFERROR(__xludf.DUMMYFUNCTION("((COUNTIF(FILTER(Data!N:N,Data!D:D=A428,Data!B:B=$B$1),""TRAVERSE"")*15)+(COUNTIF(FILTER(Data!N:N,Data!D:D=A428,Data!B:B=B$1),""HIGH"")*10)+(COUNTIF(FILTER(Data!N:N,Data!D:D=A428,Data!B:B=$B$1),""MIDDLE"")*6)+(COUNTIF(FILTER(Data!N:N,Data!D:D=A428,Data!B:"&amp;"B=$B$1),""LOW"")*4))"),0.0)</f>
        <v>0</v>
      </c>
      <c r="V428" s="138" t="str">
        <f>IF(Data!B420='Team Parser'!$B$1, Data!D420,"")</f>
        <v/>
      </c>
      <c r="W428" s="134" t="str">
        <f>IF(Data!$B420='Team Parser'!$B$1, Data!H420,"")</f>
        <v/>
      </c>
      <c r="X428" s="134" t="str">
        <f>IF(Data!$B420='Team Parser'!$B$1, Data!G420,"")</f>
        <v/>
      </c>
      <c r="Y428" s="134" t="str">
        <f>IF(Data!$B420='Team Parser'!$B$1, Data!L420,"")</f>
        <v/>
      </c>
      <c r="Z428" s="134" t="str">
        <f>IF(Data!$B420='Team Parser'!$B$1, Data!K420,"")</f>
        <v/>
      </c>
      <c r="AA428" s="134" t="str">
        <f>IF(Data!$B420='Team Parser'!$B$1, Data!M420,"")</f>
        <v/>
      </c>
      <c r="AB428" s="134" t="str">
        <f>IF(Data!$B420='Team Parser'!$B$1,((Z428*2)+(Y428)+(X428*4)+(W428*2)),"")</f>
        <v/>
      </c>
      <c r="AC428" s="134" t="str">
        <f>IF(Data!$B420='Team Parser'!$B$1, Data!N420,"")</f>
        <v/>
      </c>
      <c r="AD428" s="139" t="str">
        <f>IF(Data!$B420='Team Parser'!$B$1,(AB428+(COUNTIF(AC428,"TRAVERSE")*15)+(COUNTIF(AC428,"HIGH")*10)+(COUNTIF(AC428,"MIDDLE")*6)+(COUNTIF(AC428,"LOW")*4)),"")</f>
        <v/>
      </c>
    </row>
    <row r="429">
      <c r="A429" s="141" t="s">
        <v>507</v>
      </c>
      <c r="B429" s="134" t="str">
        <f>IFERROR(__xludf.DUMMYFUNCTION("IFERROR((FILTER(Data!H:H,Data!D:D=A429,Data!B:B=$B$1)),"""")"),"")</f>
        <v/>
      </c>
      <c r="C429" s="134" t="str">
        <f>IFERROR(__xludf.DUMMYFUNCTION("IFERROR((FILTER(Data!G:G,Data!D:D=A429,Data!B:B=$B$1)),"""")"),"")</f>
        <v/>
      </c>
      <c r="D429" s="134" t="str">
        <f>IFERROR(__xludf.DUMMYFUNCTION("IFERROR((FILTER(Data!J:J,Data!D:D=A429,Data!B:B=$B$1)),"""")"),"")</f>
        <v/>
      </c>
      <c r="E429" s="134" t="str">
        <f>IFERROR(__xludf.DUMMYFUNCTION("IFERROR((FILTER(Data!L:L,Data!D:D=A429,Data!B:B=$B$1)),"""")"),"")</f>
        <v/>
      </c>
      <c r="F429" s="134" t="str">
        <f>IFERROR(__xludf.DUMMYFUNCTION("IFERROR((FILTER(Data!K:K,Data!D:D=A429,Data!B:B=$B$1)),"""")"),"")</f>
        <v/>
      </c>
      <c r="G429" s="134" t="str">
        <f>IFERROR(__xludf.DUMMYFUNCTION("IFERROR((FILTER(Data!M:M,Data!D:D=A429,Data!B:B=$B$1)),"""")"),"")</f>
        <v/>
      </c>
      <c r="H429" s="134" t="str">
        <f>IFERROR(__xludf.DUMMYFUNCTION("IFERROR((FILTER(Data!G:G,Data!D:D=A429,Data!B:B=$B$1)*4)+(FILTER(Data!H:H,Data!D:D=A429,Data!B:B=$B$1)*2),"""")"),"")</f>
        <v/>
      </c>
      <c r="I429" s="15" t="str">
        <f>IFERROR(__xludf.DUMMYFUNCTION("IFERROR((FILTER(Data!K:K,Data!D:D=A429,Data!B:B=$B$1)*2)+(FILTER(Data!L:L,Data!D:D=A429,Data!B:B=$B$1)),"""")"),"")</f>
        <v/>
      </c>
      <c r="J429" s="134" t="str">
        <f>IFERROR(__xludf.DUMMYFUNCTION("IFERROR((FILTER(Data!N:N,Data!D:D=A429,Data!B:B=$B$1)),"""")"),"")</f>
        <v/>
      </c>
      <c r="K429" s="135" t="str">
        <f>IFERROR(__xludf.DUMMYFUNCTION("IFERROR((FILTER(Data!H:H,Data!D:D=A429,Data!B:B=$B$1)*2)+(FILTER(Data!L:L,Data!D:D=A429,Data!B:B=$B$1))+(FILTER(Data!G:G,Data!D:D=A429,Data!B:B=$B$1)*4)+(FILTER(Data!K:K,Data!D:D=A429,Data!B:B=$B$1)*2)+(((COUNTIF(FILTER(Data!N:N,Data!D:D=A429,Data!B:B=$B$"&amp;"1),""TRAVERSE"")*15)+(COUNTIF(FILTER(Data!N:N,Data!D:D=A429,Data!B:B=$B$1),""HIGH"")*10)+(COUNTIF(FILTER(Data!N:N,Data!D:D=A429,Data!B:B=$B$1),""MIDDLE"")*6)+(COUNTIF(FILTER(Data!N:N,Data!D:D=A429,Data!B:B=$B$1),""LOW"")*4))),"""")"),"")</f>
        <v/>
      </c>
      <c r="L429" s="136" t="str">
        <f>IFERROR(__xludf.DUMMYFUNCTION("IFERROR((FILTER(Data!P:P,Data!D:D=A429,Data!B:B=$B$1)),"""")"),"")</f>
        <v/>
      </c>
      <c r="M429" s="137" t="str">
        <f>IFERROR(__xludf.DUMMYFUNCTION("IFERROR((FILTER(Data!A:A,Data!D:D=A429,Data!B:B=$B$1)),"""")"),"")</f>
        <v/>
      </c>
      <c r="T429" s="52">
        <f>IFERROR(__xludf.DUMMYFUNCTION("((COUNTIF(FILTER(Data!N:N,Data!D:D=A429,Data!B:B=$B$1),""TRAVERSE"")*15)+(COUNTIF(FILTER(Data!N:N,Data!D:D=A429,Data!B:B=B$1),""HIGH"")*10)+(COUNTIF(FILTER(Data!N:N,Data!D:D=A429,Data!B:B=$B$1),""MIDDLE"")*6)+(COUNTIF(FILTER(Data!N:N,Data!D:D=A429,Data!B:"&amp;"B=$B$1),""LOW"")*4))"),0.0)</f>
        <v>0</v>
      </c>
      <c r="V429" s="138" t="str">
        <f>IF(Data!B421='Team Parser'!$B$1, Data!D421,"")</f>
        <v/>
      </c>
      <c r="W429" s="134" t="str">
        <f>IF(Data!$B421='Team Parser'!$B$1, Data!H421,"")</f>
        <v/>
      </c>
      <c r="X429" s="134" t="str">
        <f>IF(Data!$B421='Team Parser'!$B$1, Data!G421,"")</f>
        <v/>
      </c>
      <c r="Y429" s="134" t="str">
        <f>IF(Data!$B421='Team Parser'!$B$1, Data!L421,"")</f>
        <v/>
      </c>
      <c r="Z429" s="134" t="str">
        <f>IF(Data!$B421='Team Parser'!$B$1, Data!K421,"")</f>
        <v/>
      </c>
      <c r="AA429" s="134" t="str">
        <f>IF(Data!$B421='Team Parser'!$B$1, Data!M421,"")</f>
        <v/>
      </c>
      <c r="AB429" s="134" t="str">
        <f>IF(Data!$B421='Team Parser'!$B$1,((Z429*2)+(Y429)+(X429*4)+(W429*2)),"")</f>
        <v/>
      </c>
      <c r="AC429" s="134" t="str">
        <f>IF(Data!$B421='Team Parser'!$B$1, Data!N421,"")</f>
        <v/>
      </c>
      <c r="AD429" s="139" t="str">
        <f>IF(Data!$B421='Team Parser'!$B$1,(AB429+(COUNTIF(AC429,"TRAVERSE")*15)+(COUNTIF(AC429,"HIGH")*10)+(COUNTIF(AC429,"MIDDLE")*6)+(COUNTIF(AC429,"LOW")*4)),"")</f>
        <v/>
      </c>
    </row>
    <row r="430">
      <c r="A430" s="141" t="s">
        <v>507</v>
      </c>
      <c r="B430" s="134" t="str">
        <f>IFERROR(__xludf.DUMMYFUNCTION("IFERROR((FILTER(Data!H:H,Data!D:D=A430,Data!B:B=$B$1)),"""")"),"")</f>
        <v/>
      </c>
      <c r="C430" s="134" t="str">
        <f>IFERROR(__xludf.DUMMYFUNCTION("IFERROR((FILTER(Data!G:G,Data!D:D=A430,Data!B:B=$B$1)),"""")"),"")</f>
        <v/>
      </c>
      <c r="D430" s="134" t="str">
        <f>IFERROR(__xludf.DUMMYFUNCTION("IFERROR((FILTER(Data!J:J,Data!D:D=A430,Data!B:B=$B$1)),"""")"),"")</f>
        <v/>
      </c>
      <c r="E430" s="134" t="str">
        <f>IFERROR(__xludf.DUMMYFUNCTION("IFERROR((FILTER(Data!L:L,Data!D:D=A430,Data!B:B=$B$1)),"""")"),"")</f>
        <v/>
      </c>
      <c r="F430" s="134" t="str">
        <f>IFERROR(__xludf.DUMMYFUNCTION("IFERROR((FILTER(Data!K:K,Data!D:D=A430,Data!B:B=$B$1)),"""")"),"")</f>
        <v/>
      </c>
      <c r="G430" s="134" t="str">
        <f>IFERROR(__xludf.DUMMYFUNCTION("IFERROR((FILTER(Data!M:M,Data!D:D=A430,Data!B:B=$B$1)),"""")"),"")</f>
        <v/>
      </c>
      <c r="H430" s="134" t="str">
        <f>IFERROR(__xludf.DUMMYFUNCTION("IFERROR((FILTER(Data!G:G,Data!D:D=A430,Data!B:B=$B$1)*4)+(FILTER(Data!H:H,Data!D:D=A430,Data!B:B=$B$1)*2),"""")"),"")</f>
        <v/>
      </c>
      <c r="I430" s="15" t="str">
        <f>IFERROR(__xludf.DUMMYFUNCTION("IFERROR((FILTER(Data!K:K,Data!D:D=A430,Data!B:B=$B$1)*2)+(FILTER(Data!L:L,Data!D:D=A430,Data!B:B=$B$1)),"""")"),"")</f>
        <v/>
      </c>
      <c r="J430" s="134" t="str">
        <f>IFERROR(__xludf.DUMMYFUNCTION("IFERROR((FILTER(Data!N:N,Data!D:D=A430,Data!B:B=$B$1)),"""")"),"")</f>
        <v/>
      </c>
      <c r="K430" s="135" t="str">
        <f>IFERROR(__xludf.DUMMYFUNCTION("IFERROR((FILTER(Data!H:H,Data!D:D=A430,Data!B:B=$B$1)*2)+(FILTER(Data!L:L,Data!D:D=A430,Data!B:B=$B$1))+(FILTER(Data!G:G,Data!D:D=A430,Data!B:B=$B$1)*4)+(FILTER(Data!K:K,Data!D:D=A430,Data!B:B=$B$1)*2)+(((COUNTIF(FILTER(Data!N:N,Data!D:D=A430,Data!B:B=$B$"&amp;"1),""TRAVERSE"")*15)+(COUNTIF(FILTER(Data!N:N,Data!D:D=A430,Data!B:B=$B$1),""HIGH"")*10)+(COUNTIF(FILTER(Data!N:N,Data!D:D=A430,Data!B:B=$B$1),""MIDDLE"")*6)+(COUNTIF(FILTER(Data!N:N,Data!D:D=A430,Data!B:B=$B$1),""LOW"")*4))),"""")"),"")</f>
        <v/>
      </c>
      <c r="L430" s="136" t="str">
        <f>IFERROR(__xludf.DUMMYFUNCTION("IFERROR((FILTER(Data!P:P,Data!D:D=A430,Data!B:B=$B$1)),"""")"),"")</f>
        <v/>
      </c>
      <c r="M430" s="137" t="str">
        <f>IFERROR(__xludf.DUMMYFUNCTION("IFERROR((FILTER(Data!A:A,Data!D:D=A430,Data!B:B=$B$1)),"""")"),"")</f>
        <v/>
      </c>
      <c r="T430" s="52">
        <f>IFERROR(__xludf.DUMMYFUNCTION("((COUNTIF(FILTER(Data!N:N,Data!D:D=A430,Data!B:B=$B$1),""TRAVERSE"")*15)+(COUNTIF(FILTER(Data!N:N,Data!D:D=A430,Data!B:B=B$1),""HIGH"")*10)+(COUNTIF(FILTER(Data!N:N,Data!D:D=A430,Data!B:B=$B$1),""MIDDLE"")*6)+(COUNTIF(FILTER(Data!N:N,Data!D:D=A430,Data!B:"&amp;"B=$B$1),""LOW"")*4))"),0.0)</f>
        <v>0</v>
      </c>
      <c r="V430" s="138" t="str">
        <f>IF(Data!B422='Team Parser'!$B$1, Data!D422,"")</f>
        <v/>
      </c>
      <c r="W430" s="134" t="str">
        <f>IF(Data!$B422='Team Parser'!$B$1, Data!H422,"")</f>
        <v/>
      </c>
      <c r="X430" s="134" t="str">
        <f>IF(Data!$B422='Team Parser'!$B$1, Data!G422,"")</f>
        <v/>
      </c>
      <c r="Y430" s="134" t="str">
        <f>IF(Data!$B422='Team Parser'!$B$1, Data!L422,"")</f>
        <v/>
      </c>
      <c r="Z430" s="134" t="str">
        <f>IF(Data!$B422='Team Parser'!$B$1, Data!K422,"")</f>
        <v/>
      </c>
      <c r="AA430" s="134" t="str">
        <f>IF(Data!$B422='Team Parser'!$B$1, Data!M422,"")</f>
        <v/>
      </c>
      <c r="AB430" s="134" t="str">
        <f>IF(Data!$B422='Team Parser'!$B$1,((Z430*2)+(Y430)+(X430*4)+(W430*2)),"")</f>
        <v/>
      </c>
      <c r="AC430" s="134" t="str">
        <f>IF(Data!$B422='Team Parser'!$B$1, Data!N422,"")</f>
        <v/>
      </c>
      <c r="AD430" s="139" t="str">
        <f>IF(Data!$B422='Team Parser'!$B$1,(AB430+(COUNTIF(AC430,"TRAVERSE")*15)+(COUNTIF(AC430,"HIGH")*10)+(COUNTIF(AC430,"MIDDLE")*6)+(COUNTIF(AC430,"LOW")*4)),"")</f>
        <v/>
      </c>
    </row>
    <row r="431">
      <c r="A431" s="141" t="s">
        <v>507</v>
      </c>
      <c r="B431" s="134" t="str">
        <f>IFERROR(__xludf.DUMMYFUNCTION("IFERROR((FILTER(Data!H:H,Data!D:D=A431,Data!B:B=$B$1)),"""")"),"")</f>
        <v/>
      </c>
      <c r="C431" s="134" t="str">
        <f>IFERROR(__xludf.DUMMYFUNCTION("IFERROR((FILTER(Data!G:G,Data!D:D=A431,Data!B:B=$B$1)),"""")"),"")</f>
        <v/>
      </c>
      <c r="D431" s="134" t="str">
        <f>IFERROR(__xludf.DUMMYFUNCTION("IFERROR((FILTER(Data!J:J,Data!D:D=A431,Data!B:B=$B$1)),"""")"),"")</f>
        <v/>
      </c>
      <c r="E431" s="134" t="str">
        <f>IFERROR(__xludf.DUMMYFUNCTION("IFERROR((FILTER(Data!L:L,Data!D:D=A431,Data!B:B=$B$1)),"""")"),"")</f>
        <v/>
      </c>
      <c r="F431" s="134" t="str">
        <f>IFERROR(__xludf.DUMMYFUNCTION("IFERROR((FILTER(Data!K:K,Data!D:D=A431,Data!B:B=$B$1)),"""")"),"")</f>
        <v/>
      </c>
      <c r="G431" s="134" t="str">
        <f>IFERROR(__xludf.DUMMYFUNCTION("IFERROR((FILTER(Data!M:M,Data!D:D=A431,Data!B:B=$B$1)),"""")"),"")</f>
        <v/>
      </c>
      <c r="H431" s="134" t="str">
        <f>IFERROR(__xludf.DUMMYFUNCTION("IFERROR((FILTER(Data!G:G,Data!D:D=A431,Data!B:B=$B$1)*4)+(FILTER(Data!H:H,Data!D:D=A431,Data!B:B=$B$1)*2),"""")"),"")</f>
        <v/>
      </c>
      <c r="I431" s="15" t="str">
        <f>IFERROR(__xludf.DUMMYFUNCTION("IFERROR((FILTER(Data!K:K,Data!D:D=A431,Data!B:B=$B$1)*2)+(FILTER(Data!L:L,Data!D:D=A431,Data!B:B=$B$1)),"""")"),"")</f>
        <v/>
      </c>
      <c r="J431" s="134" t="str">
        <f>IFERROR(__xludf.DUMMYFUNCTION("IFERROR((FILTER(Data!N:N,Data!D:D=A431,Data!B:B=$B$1)),"""")"),"")</f>
        <v/>
      </c>
      <c r="K431" s="135" t="str">
        <f>IFERROR(__xludf.DUMMYFUNCTION("IFERROR((FILTER(Data!H:H,Data!D:D=A431,Data!B:B=$B$1)*2)+(FILTER(Data!L:L,Data!D:D=A431,Data!B:B=$B$1))+(FILTER(Data!G:G,Data!D:D=A431,Data!B:B=$B$1)*4)+(FILTER(Data!K:K,Data!D:D=A431,Data!B:B=$B$1)*2)+(((COUNTIF(FILTER(Data!N:N,Data!D:D=A431,Data!B:B=$B$"&amp;"1),""TRAVERSE"")*15)+(COUNTIF(FILTER(Data!N:N,Data!D:D=A431,Data!B:B=$B$1),""HIGH"")*10)+(COUNTIF(FILTER(Data!N:N,Data!D:D=A431,Data!B:B=$B$1),""MIDDLE"")*6)+(COUNTIF(FILTER(Data!N:N,Data!D:D=A431,Data!B:B=$B$1),""LOW"")*4))),"""")"),"")</f>
        <v/>
      </c>
      <c r="L431" s="136" t="str">
        <f>IFERROR(__xludf.DUMMYFUNCTION("IFERROR((FILTER(Data!P:P,Data!D:D=A431,Data!B:B=$B$1)),"""")"),"")</f>
        <v/>
      </c>
      <c r="M431" s="137" t="str">
        <f>IFERROR(__xludf.DUMMYFUNCTION("IFERROR((FILTER(Data!A:A,Data!D:D=A431,Data!B:B=$B$1)),"""")"),"")</f>
        <v/>
      </c>
      <c r="T431" s="52">
        <f>IFERROR(__xludf.DUMMYFUNCTION("((COUNTIF(FILTER(Data!N:N,Data!D:D=A431,Data!B:B=$B$1),""TRAVERSE"")*15)+(COUNTIF(FILTER(Data!N:N,Data!D:D=A431,Data!B:B=B$1),""HIGH"")*10)+(COUNTIF(FILTER(Data!N:N,Data!D:D=A431,Data!B:B=$B$1),""MIDDLE"")*6)+(COUNTIF(FILTER(Data!N:N,Data!D:D=A431,Data!B:"&amp;"B=$B$1),""LOW"")*4))"),0.0)</f>
        <v>0</v>
      </c>
      <c r="V431" s="138" t="str">
        <f>IF(Data!B423='Team Parser'!$B$1, Data!D423,"")</f>
        <v/>
      </c>
      <c r="W431" s="134" t="str">
        <f>IF(Data!$B423='Team Parser'!$B$1, Data!H423,"")</f>
        <v/>
      </c>
      <c r="X431" s="134" t="str">
        <f>IF(Data!$B423='Team Parser'!$B$1, Data!G423,"")</f>
        <v/>
      </c>
      <c r="Y431" s="134" t="str">
        <f>IF(Data!$B423='Team Parser'!$B$1, Data!L423,"")</f>
        <v/>
      </c>
      <c r="Z431" s="134" t="str">
        <f>IF(Data!$B423='Team Parser'!$B$1, Data!K423,"")</f>
        <v/>
      </c>
      <c r="AA431" s="134" t="str">
        <f>IF(Data!$B423='Team Parser'!$B$1, Data!M423,"")</f>
        <v/>
      </c>
      <c r="AB431" s="134" t="str">
        <f>IF(Data!$B423='Team Parser'!$B$1,((Z431*2)+(Y431)+(X431*4)+(W431*2)),"")</f>
        <v/>
      </c>
      <c r="AC431" s="134" t="str">
        <f>IF(Data!$B423='Team Parser'!$B$1, Data!N423,"")</f>
        <v/>
      </c>
      <c r="AD431" s="139" t="str">
        <f>IF(Data!$B423='Team Parser'!$B$1,(AB431+(COUNTIF(AC431,"TRAVERSE")*15)+(COUNTIF(AC431,"HIGH")*10)+(COUNTIF(AC431,"MIDDLE")*6)+(COUNTIF(AC431,"LOW")*4)),"")</f>
        <v/>
      </c>
    </row>
    <row r="432">
      <c r="A432" s="141" t="s">
        <v>507</v>
      </c>
      <c r="B432" s="134" t="str">
        <f>IFERROR(__xludf.DUMMYFUNCTION("IFERROR((FILTER(Data!H:H,Data!D:D=A432,Data!B:B=$B$1)),"""")"),"")</f>
        <v/>
      </c>
      <c r="C432" s="134" t="str">
        <f>IFERROR(__xludf.DUMMYFUNCTION("IFERROR((FILTER(Data!G:G,Data!D:D=A432,Data!B:B=$B$1)),"""")"),"")</f>
        <v/>
      </c>
      <c r="D432" s="134" t="str">
        <f>IFERROR(__xludf.DUMMYFUNCTION("IFERROR((FILTER(Data!J:J,Data!D:D=A432,Data!B:B=$B$1)),"""")"),"")</f>
        <v/>
      </c>
      <c r="E432" s="134" t="str">
        <f>IFERROR(__xludf.DUMMYFUNCTION("IFERROR((FILTER(Data!L:L,Data!D:D=A432,Data!B:B=$B$1)),"""")"),"")</f>
        <v/>
      </c>
      <c r="F432" s="134" t="str">
        <f>IFERROR(__xludf.DUMMYFUNCTION("IFERROR((FILTER(Data!K:K,Data!D:D=A432,Data!B:B=$B$1)),"""")"),"")</f>
        <v/>
      </c>
      <c r="G432" s="134" t="str">
        <f>IFERROR(__xludf.DUMMYFUNCTION("IFERROR((FILTER(Data!M:M,Data!D:D=A432,Data!B:B=$B$1)),"""")"),"")</f>
        <v/>
      </c>
      <c r="H432" s="134" t="str">
        <f>IFERROR(__xludf.DUMMYFUNCTION("IFERROR((FILTER(Data!G:G,Data!D:D=A432,Data!B:B=$B$1)*4)+(FILTER(Data!H:H,Data!D:D=A432,Data!B:B=$B$1)*2),"""")"),"")</f>
        <v/>
      </c>
      <c r="I432" s="15" t="str">
        <f>IFERROR(__xludf.DUMMYFUNCTION("IFERROR((FILTER(Data!K:K,Data!D:D=A432,Data!B:B=$B$1)*2)+(FILTER(Data!L:L,Data!D:D=A432,Data!B:B=$B$1)),"""")"),"")</f>
        <v/>
      </c>
      <c r="J432" s="134" t="str">
        <f>IFERROR(__xludf.DUMMYFUNCTION("IFERROR((FILTER(Data!N:N,Data!D:D=A432,Data!B:B=$B$1)),"""")"),"")</f>
        <v/>
      </c>
      <c r="K432" s="135" t="str">
        <f>IFERROR(__xludf.DUMMYFUNCTION("IFERROR((FILTER(Data!H:H,Data!D:D=A432,Data!B:B=$B$1)*2)+(FILTER(Data!L:L,Data!D:D=A432,Data!B:B=$B$1))+(FILTER(Data!G:G,Data!D:D=A432,Data!B:B=$B$1)*4)+(FILTER(Data!K:K,Data!D:D=A432,Data!B:B=$B$1)*2)+(((COUNTIF(FILTER(Data!N:N,Data!D:D=A432,Data!B:B=$B$"&amp;"1),""TRAVERSE"")*15)+(COUNTIF(FILTER(Data!N:N,Data!D:D=A432,Data!B:B=$B$1),""HIGH"")*10)+(COUNTIF(FILTER(Data!N:N,Data!D:D=A432,Data!B:B=$B$1),""MIDDLE"")*6)+(COUNTIF(FILTER(Data!N:N,Data!D:D=A432,Data!B:B=$B$1),""LOW"")*4))),"""")"),"")</f>
        <v/>
      </c>
      <c r="L432" s="136" t="str">
        <f>IFERROR(__xludf.DUMMYFUNCTION("IFERROR((FILTER(Data!P:P,Data!D:D=A432,Data!B:B=$B$1)),"""")"),"")</f>
        <v/>
      </c>
      <c r="M432" s="137" t="str">
        <f>IFERROR(__xludf.DUMMYFUNCTION("IFERROR((FILTER(Data!A:A,Data!D:D=A432,Data!B:B=$B$1)),"""")"),"")</f>
        <v/>
      </c>
      <c r="T432" s="52">
        <f>IFERROR(__xludf.DUMMYFUNCTION("((COUNTIF(FILTER(Data!N:N,Data!D:D=A432,Data!B:B=$B$1),""TRAVERSE"")*15)+(COUNTIF(FILTER(Data!N:N,Data!D:D=A432,Data!B:B=B$1),""HIGH"")*10)+(COUNTIF(FILTER(Data!N:N,Data!D:D=A432,Data!B:B=$B$1),""MIDDLE"")*6)+(COUNTIF(FILTER(Data!N:N,Data!D:D=A432,Data!B:"&amp;"B=$B$1),""LOW"")*4))"),0.0)</f>
        <v>0</v>
      </c>
      <c r="V432" s="138" t="str">
        <f>IF(Data!B424='Team Parser'!$B$1, Data!D424,"")</f>
        <v/>
      </c>
      <c r="W432" s="134" t="str">
        <f>IF(Data!$B424='Team Parser'!$B$1, Data!H424,"")</f>
        <v/>
      </c>
      <c r="X432" s="134" t="str">
        <f>IF(Data!$B424='Team Parser'!$B$1, Data!G424,"")</f>
        <v/>
      </c>
      <c r="Y432" s="134" t="str">
        <f>IF(Data!$B424='Team Parser'!$B$1, Data!L424,"")</f>
        <v/>
      </c>
      <c r="Z432" s="134" t="str">
        <f>IF(Data!$B424='Team Parser'!$B$1, Data!K424,"")</f>
        <v/>
      </c>
      <c r="AA432" s="134" t="str">
        <f>IF(Data!$B424='Team Parser'!$B$1, Data!M424,"")</f>
        <v/>
      </c>
      <c r="AB432" s="134" t="str">
        <f>IF(Data!$B424='Team Parser'!$B$1,((Z432*2)+(Y432)+(X432*4)+(W432*2)),"")</f>
        <v/>
      </c>
      <c r="AC432" s="134" t="str">
        <f>IF(Data!$B424='Team Parser'!$B$1, Data!N424,"")</f>
        <v/>
      </c>
      <c r="AD432" s="139" t="str">
        <f>IF(Data!$B424='Team Parser'!$B$1,(AB432+(COUNTIF(AC432,"TRAVERSE")*15)+(COUNTIF(AC432,"HIGH")*10)+(COUNTIF(AC432,"MIDDLE")*6)+(COUNTIF(AC432,"LOW")*4)),"")</f>
        <v/>
      </c>
    </row>
    <row r="433">
      <c r="A433" s="141" t="s">
        <v>507</v>
      </c>
      <c r="B433" s="134" t="str">
        <f>IFERROR(__xludf.DUMMYFUNCTION("IFERROR((FILTER(Data!H:H,Data!D:D=A433,Data!B:B=$B$1)),"""")"),"")</f>
        <v/>
      </c>
      <c r="C433" s="134" t="str">
        <f>IFERROR(__xludf.DUMMYFUNCTION("IFERROR((FILTER(Data!G:G,Data!D:D=A433,Data!B:B=$B$1)),"""")"),"")</f>
        <v/>
      </c>
      <c r="D433" s="134" t="str">
        <f>IFERROR(__xludf.DUMMYFUNCTION("IFERROR((FILTER(Data!J:J,Data!D:D=A433,Data!B:B=$B$1)),"""")"),"")</f>
        <v/>
      </c>
      <c r="E433" s="134" t="str">
        <f>IFERROR(__xludf.DUMMYFUNCTION("IFERROR((FILTER(Data!L:L,Data!D:D=A433,Data!B:B=$B$1)),"""")"),"")</f>
        <v/>
      </c>
      <c r="F433" s="134" t="str">
        <f>IFERROR(__xludf.DUMMYFUNCTION("IFERROR((FILTER(Data!K:K,Data!D:D=A433,Data!B:B=$B$1)),"""")"),"")</f>
        <v/>
      </c>
      <c r="G433" s="134" t="str">
        <f>IFERROR(__xludf.DUMMYFUNCTION("IFERROR((FILTER(Data!M:M,Data!D:D=A433,Data!B:B=$B$1)),"""")"),"")</f>
        <v/>
      </c>
      <c r="H433" s="134" t="str">
        <f>IFERROR(__xludf.DUMMYFUNCTION("IFERROR((FILTER(Data!G:G,Data!D:D=A433,Data!B:B=$B$1)*4)+(FILTER(Data!H:H,Data!D:D=A433,Data!B:B=$B$1)*2),"""")"),"")</f>
        <v/>
      </c>
      <c r="I433" s="15" t="str">
        <f>IFERROR(__xludf.DUMMYFUNCTION("IFERROR((FILTER(Data!K:K,Data!D:D=A433,Data!B:B=$B$1)*2)+(FILTER(Data!L:L,Data!D:D=A433,Data!B:B=$B$1)),"""")"),"")</f>
        <v/>
      </c>
      <c r="J433" s="134" t="str">
        <f>IFERROR(__xludf.DUMMYFUNCTION("IFERROR((FILTER(Data!N:N,Data!D:D=A433,Data!B:B=$B$1)),"""")"),"")</f>
        <v/>
      </c>
      <c r="K433" s="135" t="str">
        <f>IFERROR(__xludf.DUMMYFUNCTION("IFERROR((FILTER(Data!H:H,Data!D:D=A433,Data!B:B=$B$1)*2)+(FILTER(Data!L:L,Data!D:D=A433,Data!B:B=$B$1))+(FILTER(Data!G:G,Data!D:D=A433,Data!B:B=$B$1)*4)+(FILTER(Data!K:K,Data!D:D=A433,Data!B:B=$B$1)*2)+(((COUNTIF(FILTER(Data!N:N,Data!D:D=A433,Data!B:B=$B$"&amp;"1),""TRAVERSE"")*15)+(COUNTIF(FILTER(Data!N:N,Data!D:D=A433,Data!B:B=$B$1),""HIGH"")*10)+(COUNTIF(FILTER(Data!N:N,Data!D:D=A433,Data!B:B=$B$1),""MIDDLE"")*6)+(COUNTIF(FILTER(Data!N:N,Data!D:D=A433,Data!B:B=$B$1),""LOW"")*4))),"""")"),"")</f>
        <v/>
      </c>
      <c r="L433" s="136" t="str">
        <f>IFERROR(__xludf.DUMMYFUNCTION("IFERROR((FILTER(Data!P:P,Data!D:D=A433,Data!B:B=$B$1)),"""")"),"")</f>
        <v/>
      </c>
      <c r="M433" s="137" t="str">
        <f>IFERROR(__xludf.DUMMYFUNCTION("IFERROR((FILTER(Data!A:A,Data!D:D=A433,Data!B:B=$B$1)),"""")"),"")</f>
        <v/>
      </c>
      <c r="T433" s="52">
        <f>IFERROR(__xludf.DUMMYFUNCTION("((COUNTIF(FILTER(Data!N:N,Data!D:D=A433,Data!B:B=$B$1),""TRAVERSE"")*15)+(COUNTIF(FILTER(Data!N:N,Data!D:D=A433,Data!B:B=B$1),""HIGH"")*10)+(COUNTIF(FILTER(Data!N:N,Data!D:D=A433,Data!B:B=$B$1),""MIDDLE"")*6)+(COUNTIF(FILTER(Data!N:N,Data!D:D=A433,Data!B:"&amp;"B=$B$1),""LOW"")*4))"),0.0)</f>
        <v>0</v>
      </c>
      <c r="V433" s="138" t="str">
        <f>IF(Data!B425='Team Parser'!$B$1, Data!D425,"")</f>
        <v/>
      </c>
      <c r="W433" s="134" t="str">
        <f>IF(Data!$B425='Team Parser'!$B$1, Data!H425,"")</f>
        <v/>
      </c>
      <c r="X433" s="134" t="str">
        <f>IF(Data!$B425='Team Parser'!$B$1, Data!G425,"")</f>
        <v/>
      </c>
      <c r="Y433" s="134" t="str">
        <f>IF(Data!$B425='Team Parser'!$B$1, Data!L425,"")</f>
        <v/>
      </c>
      <c r="Z433" s="134" t="str">
        <f>IF(Data!$B425='Team Parser'!$B$1, Data!K425,"")</f>
        <v/>
      </c>
      <c r="AA433" s="134" t="str">
        <f>IF(Data!$B425='Team Parser'!$B$1, Data!M425,"")</f>
        <v/>
      </c>
      <c r="AB433" s="134" t="str">
        <f>IF(Data!$B425='Team Parser'!$B$1,((Z433*2)+(Y433)+(X433*4)+(W433*2)),"")</f>
        <v/>
      </c>
      <c r="AC433" s="134" t="str">
        <f>IF(Data!$B425='Team Parser'!$B$1, Data!N425,"")</f>
        <v/>
      </c>
      <c r="AD433" s="139" t="str">
        <f>IF(Data!$B425='Team Parser'!$B$1,(AB433+(COUNTIF(AC433,"TRAVERSE")*15)+(COUNTIF(AC433,"HIGH")*10)+(COUNTIF(AC433,"MIDDLE")*6)+(COUNTIF(AC433,"LOW")*4)),"")</f>
        <v/>
      </c>
    </row>
    <row r="434">
      <c r="A434" s="141" t="s">
        <v>507</v>
      </c>
      <c r="B434" s="134" t="str">
        <f>IFERROR(__xludf.DUMMYFUNCTION("IFERROR((FILTER(Data!H:H,Data!D:D=A434,Data!B:B=$B$1)),"""")"),"")</f>
        <v/>
      </c>
      <c r="C434" s="134" t="str">
        <f>IFERROR(__xludf.DUMMYFUNCTION("IFERROR((FILTER(Data!G:G,Data!D:D=A434,Data!B:B=$B$1)),"""")"),"")</f>
        <v/>
      </c>
      <c r="D434" s="134" t="str">
        <f>IFERROR(__xludf.DUMMYFUNCTION("IFERROR((FILTER(Data!J:J,Data!D:D=A434,Data!B:B=$B$1)),"""")"),"")</f>
        <v/>
      </c>
      <c r="E434" s="134" t="str">
        <f>IFERROR(__xludf.DUMMYFUNCTION("IFERROR((FILTER(Data!L:L,Data!D:D=A434,Data!B:B=$B$1)),"""")"),"")</f>
        <v/>
      </c>
      <c r="F434" s="134" t="str">
        <f>IFERROR(__xludf.DUMMYFUNCTION("IFERROR((FILTER(Data!K:K,Data!D:D=A434,Data!B:B=$B$1)),"""")"),"")</f>
        <v/>
      </c>
      <c r="G434" s="134" t="str">
        <f>IFERROR(__xludf.DUMMYFUNCTION("IFERROR((FILTER(Data!M:M,Data!D:D=A434,Data!B:B=$B$1)),"""")"),"")</f>
        <v/>
      </c>
      <c r="H434" s="134" t="str">
        <f>IFERROR(__xludf.DUMMYFUNCTION("IFERROR((FILTER(Data!G:G,Data!D:D=A434,Data!B:B=$B$1)*4)+(FILTER(Data!H:H,Data!D:D=A434,Data!B:B=$B$1)*2),"""")"),"")</f>
        <v/>
      </c>
      <c r="I434" s="15" t="str">
        <f>IFERROR(__xludf.DUMMYFUNCTION("IFERROR((FILTER(Data!K:K,Data!D:D=A434,Data!B:B=$B$1)*2)+(FILTER(Data!L:L,Data!D:D=A434,Data!B:B=$B$1)),"""")"),"")</f>
        <v/>
      </c>
      <c r="J434" s="134" t="str">
        <f>IFERROR(__xludf.DUMMYFUNCTION("IFERROR((FILTER(Data!N:N,Data!D:D=A434,Data!B:B=$B$1)),"""")"),"")</f>
        <v/>
      </c>
      <c r="K434" s="135" t="str">
        <f>IFERROR(__xludf.DUMMYFUNCTION("IFERROR((FILTER(Data!H:H,Data!D:D=A434,Data!B:B=$B$1)*2)+(FILTER(Data!L:L,Data!D:D=A434,Data!B:B=$B$1))+(FILTER(Data!G:G,Data!D:D=A434,Data!B:B=$B$1)*4)+(FILTER(Data!K:K,Data!D:D=A434,Data!B:B=$B$1)*2)+(((COUNTIF(FILTER(Data!N:N,Data!D:D=A434,Data!B:B=$B$"&amp;"1),""TRAVERSE"")*15)+(COUNTIF(FILTER(Data!N:N,Data!D:D=A434,Data!B:B=$B$1),""HIGH"")*10)+(COUNTIF(FILTER(Data!N:N,Data!D:D=A434,Data!B:B=$B$1),""MIDDLE"")*6)+(COUNTIF(FILTER(Data!N:N,Data!D:D=A434,Data!B:B=$B$1),""LOW"")*4))),"""")"),"")</f>
        <v/>
      </c>
      <c r="L434" s="136" t="str">
        <f>IFERROR(__xludf.DUMMYFUNCTION("IFERROR((FILTER(Data!P:P,Data!D:D=A434,Data!B:B=$B$1)),"""")"),"")</f>
        <v/>
      </c>
      <c r="M434" s="137" t="str">
        <f>IFERROR(__xludf.DUMMYFUNCTION("IFERROR((FILTER(Data!A:A,Data!D:D=A434,Data!B:B=$B$1)),"""")"),"")</f>
        <v/>
      </c>
      <c r="T434" s="52">
        <f>IFERROR(__xludf.DUMMYFUNCTION("((COUNTIF(FILTER(Data!N:N,Data!D:D=A434,Data!B:B=$B$1),""TRAVERSE"")*15)+(COUNTIF(FILTER(Data!N:N,Data!D:D=A434,Data!B:B=B$1),""HIGH"")*10)+(COUNTIF(FILTER(Data!N:N,Data!D:D=A434,Data!B:B=$B$1),""MIDDLE"")*6)+(COUNTIF(FILTER(Data!N:N,Data!D:D=A434,Data!B:"&amp;"B=$B$1),""LOW"")*4))"),0.0)</f>
        <v>0</v>
      </c>
      <c r="V434" s="138" t="str">
        <f>IF(Data!B426='Team Parser'!$B$1, Data!D426,"")</f>
        <v/>
      </c>
      <c r="W434" s="134" t="str">
        <f>IF(Data!$B426='Team Parser'!$B$1, Data!H426,"")</f>
        <v/>
      </c>
      <c r="X434" s="134" t="str">
        <f>IF(Data!$B426='Team Parser'!$B$1, Data!G426,"")</f>
        <v/>
      </c>
      <c r="Y434" s="134" t="str">
        <f>IF(Data!$B426='Team Parser'!$B$1, Data!L426,"")</f>
        <v/>
      </c>
      <c r="Z434" s="134" t="str">
        <f>IF(Data!$B426='Team Parser'!$B$1, Data!K426,"")</f>
        <v/>
      </c>
      <c r="AA434" s="134" t="str">
        <f>IF(Data!$B426='Team Parser'!$B$1, Data!M426,"")</f>
        <v/>
      </c>
      <c r="AB434" s="134" t="str">
        <f>IF(Data!$B426='Team Parser'!$B$1,((Z434*2)+(Y434)+(X434*4)+(W434*2)),"")</f>
        <v/>
      </c>
      <c r="AC434" s="134" t="str">
        <f>IF(Data!$B426='Team Parser'!$B$1, Data!N426,"")</f>
        <v/>
      </c>
      <c r="AD434" s="139" t="str">
        <f>IF(Data!$B426='Team Parser'!$B$1,(AB434+(COUNTIF(AC434,"TRAVERSE")*15)+(COUNTIF(AC434,"HIGH")*10)+(COUNTIF(AC434,"MIDDLE")*6)+(COUNTIF(AC434,"LOW")*4)),"")</f>
        <v/>
      </c>
    </row>
    <row r="435">
      <c r="A435" s="141" t="s">
        <v>507</v>
      </c>
      <c r="B435" s="134" t="str">
        <f>IFERROR(__xludf.DUMMYFUNCTION("IFERROR((FILTER(Data!H:H,Data!D:D=A435,Data!B:B=$B$1)),"""")"),"")</f>
        <v/>
      </c>
      <c r="C435" s="134" t="str">
        <f>IFERROR(__xludf.DUMMYFUNCTION("IFERROR((FILTER(Data!G:G,Data!D:D=A435,Data!B:B=$B$1)),"""")"),"")</f>
        <v/>
      </c>
      <c r="D435" s="134" t="str">
        <f>IFERROR(__xludf.DUMMYFUNCTION("IFERROR((FILTER(Data!J:J,Data!D:D=A435,Data!B:B=$B$1)),"""")"),"")</f>
        <v/>
      </c>
      <c r="E435" s="134" t="str">
        <f>IFERROR(__xludf.DUMMYFUNCTION("IFERROR((FILTER(Data!L:L,Data!D:D=A435,Data!B:B=$B$1)),"""")"),"")</f>
        <v/>
      </c>
      <c r="F435" s="134" t="str">
        <f>IFERROR(__xludf.DUMMYFUNCTION("IFERROR((FILTER(Data!K:K,Data!D:D=A435,Data!B:B=$B$1)),"""")"),"")</f>
        <v/>
      </c>
      <c r="G435" s="134" t="str">
        <f>IFERROR(__xludf.DUMMYFUNCTION("IFERROR((FILTER(Data!M:M,Data!D:D=A435,Data!B:B=$B$1)),"""")"),"")</f>
        <v/>
      </c>
      <c r="H435" s="134" t="str">
        <f>IFERROR(__xludf.DUMMYFUNCTION("IFERROR((FILTER(Data!G:G,Data!D:D=A435,Data!B:B=$B$1)*4)+(FILTER(Data!H:H,Data!D:D=A435,Data!B:B=$B$1)*2),"""")"),"")</f>
        <v/>
      </c>
      <c r="I435" s="15" t="str">
        <f>IFERROR(__xludf.DUMMYFUNCTION("IFERROR((FILTER(Data!K:K,Data!D:D=A435,Data!B:B=$B$1)*2)+(FILTER(Data!L:L,Data!D:D=A435,Data!B:B=$B$1)),"""")"),"")</f>
        <v/>
      </c>
      <c r="J435" s="134" t="str">
        <f>IFERROR(__xludf.DUMMYFUNCTION("IFERROR((FILTER(Data!N:N,Data!D:D=A435,Data!B:B=$B$1)),"""")"),"")</f>
        <v/>
      </c>
      <c r="K435" s="135" t="str">
        <f>IFERROR(__xludf.DUMMYFUNCTION("IFERROR((FILTER(Data!H:H,Data!D:D=A435,Data!B:B=$B$1)*2)+(FILTER(Data!L:L,Data!D:D=A435,Data!B:B=$B$1))+(FILTER(Data!G:G,Data!D:D=A435,Data!B:B=$B$1)*4)+(FILTER(Data!K:K,Data!D:D=A435,Data!B:B=$B$1)*2)+(((COUNTIF(FILTER(Data!N:N,Data!D:D=A435,Data!B:B=$B$"&amp;"1),""TRAVERSE"")*15)+(COUNTIF(FILTER(Data!N:N,Data!D:D=A435,Data!B:B=$B$1),""HIGH"")*10)+(COUNTIF(FILTER(Data!N:N,Data!D:D=A435,Data!B:B=$B$1),""MIDDLE"")*6)+(COUNTIF(FILTER(Data!N:N,Data!D:D=A435,Data!B:B=$B$1),""LOW"")*4))),"""")"),"")</f>
        <v/>
      </c>
      <c r="L435" s="136" t="str">
        <f>IFERROR(__xludf.DUMMYFUNCTION("IFERROR((FILTER(Data!P:P,Data!D:D=A435,Data!B:B=$B$1)),"""")"),"")</f>
        <v/>
      </c>
      <c r="M435" s="137" t="str">
        <f>IFERROR(__xludf.DUMMYFUNCTION("IFERROR((FILTER(Data!A:A,Data!D:D=A435,Data!B:B=$B$1)),"""")"),"")</f>
        <v/>
      </c>
      <c r="T435" s="52">
        <f>IFERROR(__xludf.DUMMYFUNCTION("((COUNTIF(FILTER(Data!N:N,Data!D:D=A435,Data!B:B=$B$1),""TRAVERSE"")*15)+(COUNTIF(FILTER(Data!N:N,Data!D:D=A435,Data!B:B=B$1),""HIGH"")*10)+(COUNTIF(FILTER(Data!N:N,Data!D:D=A435,Data!B:B=$B$1),""MIDDLE"")*6)+(COUNTIF(FILTER(Data!N:N,Data!D:D=A435,Data!B:"&amp;"B=$B$1),""LOW"")*4))"),0.0)</f>
        <v>0</v>
      </c>
      <c r="V435" s="138" t="str">
        <f>IF(Data!B427='Team Parser'!$B$1, Data!D427,"")</f>
        <v/>
      </c>
      <c r="W435" s="134" t="str">
        <f>IF(Data!$B427='Team Parser'!$B$1, Data!H427,"")</f>
        <v/>
      </c>
      <c r="X435" s="134" t="str">
        <f>IF(Data!$B427='Team Parser'!$B$1, Data!G427,"")</f>
        <v/>
      </c>
      <c r="Y435" s="134" t="str">
        <f>IF(Data!$B427='Team Parser'!$B$1, Data!L427,"")</f>
        <v/>
      </c>
      <c r="Z435" s="134" t="str">
        <f>IF(Data!$B427='Team Parser'!$B$1, Data!K427,"")</f>
        <v/>
      </c>
      <c r="AA435" s="134" t="str">
        <f>IF(Data!$B427='Team Parser'!$B$1, Data!M427,"")</f>
        <v/>
      </c>
      <c r="AB435" s="134" t="str">
        <f>IF(Data!$B427='Team Parser'!$B$1,((Z435*2)+(Y435)+(X435*4)+(W435*2)),"")</f>
        <v/>
      </c>
      <c r="AC435" s="134" t="str">
        <f>IF(Data!$B427='Team Parser'!$B$1, Data!N427,"")</f>
        <v/>
      </c>
      <c r="AD435" s="139" t="str">
        <f>IF(Data!$B427='Team Parser'!$B$1,(AB435+(COUNTIF(AC435,"TRAVERSE")*15)+(COUNTIF(AC435,"HIGH")*10)+(COUNTIF(AC435,"MIDDLE")*6)+(COUNTIF(AC435,"LOW")*4)),"")</f>
        <v/>
      </c>
    </row>
    <row r="436">
      <c r="A436" s="141" t="s">
        <v>507</v>
      </c>
      <c r="B436" s="134" t="str">
        <f>IFERROR(__xludf.DUMMYFUNCTION("IFERROR((FILTER(Data!H:H,Data!D:D=A436,Data!B:B=$B$1)),"""")"),"")</f>
        <v/>
      </c>
      <c r="C436" s="134" t="str">
        <f>IFERROR(__xludf.DUMMYFUNCTION("IFERROR((FILTER(Data!G:G,Data!D:D=A436,Data!B:B=$B$1)),"""")"),"")</f>
        <v/>
      </c>
      <c r="D436" s="134" t="str">
        <f>IFERROR(__xludf.DUMMYFUNCTION("IFERROR((FILTER(Data!J:J,Data!D:D=A436,Data!B:B=$B$1)),"""")"),"")</f>
        <v/>
      </c>
      <c r="E436" s="134" t="str">
        <f>IFERROR(__xludf.DUMMYFUNCTION("IFERROR((FILTER(Data!L:L,Data!D:D=A436,Data!B:B=$B$1)),"""")"),"")</f>
        <v/>
      </c>
      <c r="F436" s="134" t="str">
        <f>IFERROR(__xludf.DUMMYFUNCTION("IFERROR((FILTER(Data!K:K,Data!D:D=A436,Data!B:B=$B$1)),"""")"),"")</f>
        <v/>
      </c>
      <c r="G436" s="134" t="str">
        <f>IFERROR(__xludf.DUMMYFUNCTION("IFERROR((FILTER(Data!M:M,Data!D:D=A436,Data!B:B=$B$1)),"""")"),"")</f>
        <v/>
      </c>
      <c r="H436" s="134" t="str">
        <f>IFERROR(__xludf.DUMMYFUNCTION("IFERROR((FILTER(Data!G:G,Data!D:D=A436,Data!B:B=$B$1)*4)+(FILTER(Data!H:H,Data!D:D=A436,Data!B:B=$B$1)*2),"""")"),"")</f>
        <v/>
      </c>
      <c r="I436" s="15" t="str">
        <f>IFERROR(__xludf.DUMMYFUNCTION("IFERROR((FILTER(Data!K:K,Data!D:D=A436,Data!B:B=$B$1)*2)+(FILTER(Data!L:L,Data!D:D=A436,Data!B:B=$B$1)),"""")"),"")</f>
        <v/>
      </c>
      <c r="J436" s="134" t="str">
        <f>IFERROR(__xludf.DUMMYFUNCTION("IFERROR((FILTER(Data!N:N,Data!D:D=A436,Data!B:B=$B$1)),"""")"),"")</f>
        <v/>
      </c>
      <c r="K436" s="135" t="str">
        <f>IFERROR(__xludf.DUMMYFUNCTION("IFERROR((FILTER(Data!H:H,Data!D:D=A436,Data!B:B=$B$1)*2)+(FILTER(Data!L:L,Data!D:D=A436,Data!B:B=$B$1))+(FILTER(Data!G:G,Data!D:D=A436,Data!B:B=$B$1)*4)+(FILTER(Data!K:K,Data!D:D=A436,Data!B:B=$B$1)*2)+(((COUNTIF(FILTER(Data!N:N,Data!D:D=A436,Data!B:B=$B$"&amp;"1),""TRAVERSE"")*15)+(COUNTIF(FILTER(Data!N:N,Data!D:D=A436,Data!B:B=$B$1),""HIGH"")*10)+(COUNTIF(FILTER(Data!N:N,Data!D:D=A436,Data!B:B=$B$1),""MIDDLE"")*6)+(COUNTIF(FILTER(Data!N:N,Data!D:D=A436,Data!B:B=$B$1),""LOW"")*4))),"""")"),"")</f>
        <v/>
      </c>
      <c r="L436" s="136" t="str">
        <f>IFERROR(__xludf.DUMMYFUNCTION("IFERROR((FILTER(Data!P:P,Data!D:D=A436,Data!B:B=$B$1)),"""")"),"")</f>
        <v/>
      </c>
      <c r="M436" s="137" t="str">
        <f>IFERROR(__xludf.DUMMYFUNCTION("IFERROR((FILTER(Data!A:A,Data!D:D=A436,Data!B:B=$B$1)),"""")"),"")</f>
        <v/>
      </c>
      <c r="T436" s="52">
        <f>IFERROR(__xludf.DUMMYFUNCTION("((COUNTIF(FILTER(Data!N:N,Data!D:D=A436,Data!B:B=$B$1),""TRAVERSE"")*15)+(COUNTIF(FILTER(Data!N:N,Data!D:D=A436,Data!B:B=B$1),""HIGH"")*10)+(COUNTIF(FILTER(Data!N:N,Data!D:D=A436,Data!B:B=$B$1),""MIDDLE"")*6)+(COUNTIF(FILTER(Data!N:N,Data!D:D=A436,Data!B:"&amp;"B=$B$1),""LOW"")*4))"),0.0)</f>
        <v>0</v>
      </c>
      <c r="V436" s="138" t="str">
        <f>IF(Data!B428='Team Parser'!$B$1, Data!D428,"")</f>
        <v/>
      </c>
      <c r="W436" s="134" t="str">
        <f>IF(Data!$B428='Team Parser'!$B$1, Data!H428,"")</f>
        <v/>
      </c>
      <c r="X436" s="134" t="str">
        <f>IF(Data!$B428='Team Parser'!$B$1, Data!G428,"")</f>
        <v/>
      </c>
      <c r="Y436" s="134" t="str">
        <f>IF(Data!$B428='Team Parser'!$B$1, Data!L428,"")</f>
        <v/>
      </c>
      <c r="Z436" s="134" t="str">
        <f>IF(Data!$B428='Team Parser'!$B$1, Data!K428,"")</f>
        <v/>
      </c>
      <c r="AA436" s="134" t="str">
        <f>IF(Data!$B428='Team Parser'!$B$1, Data!M428,"")</f>
        <v/>
      </c>
      <c r="AB436" s="134" t="str">
        <f>IF(Data!$B428='Team Parser'!$B$1,((Z436*2)+(Y436)+(X436*4)+(W436*2)),"")</f>
        <v/>
      </c>
      <c r="AC436" s="134" t="str">
        <f>IF(Data!$B428='Team Parser'!$B$1, Data!N428,"")</f>
        <v/>
      </c>
      <c r="AD436" s="139" t="str">
        <f>IF(Data!$B428='Team Parser'!$B$1,(AB436+(COUNTIF(AC436,"TRAVERSE")*15)+(COUNTIF(AC436,"HIGH")*10)+(COUNTIF(AC436,"MIDDLE")*6)+(COUNTIF(AC436,"LOW")*4)),"")</f>
        <v/>
      </c>
    </row>
    <row r="437">
      <c r="A437" s="141" t="s">
        <v>507</v>
      </c>
      <c r="B437" s="134" t="str">
        <f>IFERROR(__xludf.DUMMYFUNCTION("IFERROR((FILTER(Data!H:H,Data!D:D=A437,Data!B:B=$B$1)),"""")"),"")</f>
        <v/>
      </c>
      <c r="C437" s="134" t="str">
        <f>IFERROR(__xludf.DUMMYFUNCTION("IFERROR((FILTER(Data!G:G,Data!D:D=A437,Data!B:B=$B$1)),"""")"),"")</f>
        <v/>
      </c>
      <c r="D437" s="134" t="str">
        <f>IFERROR(__xludf.DUMMYFUNCTION("IFERROR((FILTER(Data!J:J,Data!D:D=A437,Data!B:B=$B$1)),"""")"),"")</f>
        <v/>
      </c>
      <c r="E437" s="134" t="str">
        <f>IFERROR(__xludf.DUMMYFUNCTION("IFERROR((FILTER(Data!L:L,Data!D:D=A437,Data!B:B=$B$1)),"""")"),"")</f>
        <v/>
      </c>
      <c r="F437" s="134" t="str">
        <f>IFERROR(__xludf.DUMMYFUNCTION("IFERROR((FILTER(Data!K:K,Data!D:D=A437,Data!B:B=$B$1)),"""")"),"")</f>
        <v/>
      </c>
      <c r="G437" s="134" t="str">
        <f>IFERROR(__xludf.DUMMYFUNCTION("IFERROR((FILTER(Data!M:M,Data!D:D=A437,Data!B:B=$B$1)),"""")"),"")</f>
        <v/>
      </c>
      <c r="H437" s="134" t="str">
        <f>IFERROR(__xludf.DUMMYFUNCTION("IFERROR((FILTER(Data!G:G,Data!D:D=A437,Data!B:B=$B$1)*4)+(FILTER(Data!H:H,Data!D:D=A437,Data!B:B=$B$1)*2),"""")"),"")</f>
        <v/>
      </c>
      <c r="I437" s="15" t="str">
        <f>IFERROR(__xludf.DUMMYFUNCTION("IFERROR((FILTER(Data!K:K,Data!D:D=A437,Data!B:B=$B$1)*2)+(FILTER(Data!L:L,Data!D:D=A437,Data!B:B=$B$1)),"""")"),"")</f>
        <v/>
      </c>
      <c r="J437" s="134" t="str">
        <f>IFERROR(__xludf.DUMMYFUNCTION("IFERROR((FILTER(Data!N:N,Data!D:D=A437,Data!B:B=$B$1)),"""")"),"")</f>
        <v/>
      </c>
      <c r="K437" s="135" t="str">
        <f>IFERROR(__xludf.DUMMYFUNCTION("IFERROR((FILTER(Data!H:H,Data!D:D=A437,Data!B:B=$B$1)*2)+(FILTER(Data!L:L,Data!D:D=A437,Data!B:B=$B$1))+(FILTER(Data!G:G,Data!D:D=A437,Data!B:B=$B$1)*4)+(FILTER(Data!K:K,Data!D:D=A437,Data!B:B=$B$1)*2)+(((COUNTIF(FILTER(Data!N:N,Data!D:D=A437,Data!B:B=$B$"&amp;"1),""TRAVERSE"")*15)+(COUNTIF(FILTER(Data!N:N,Data!D:D=A437,Data!B:B=$B$1),""HIGH"")*10)+(COUNTIF(FILTER(Data!N:N,Data!D:D=A437,Data!B:B=$B$1),""MIDDLE"")*6)+(COUNTIF(FILTER(Data!N:N,Data!D:D=A437,Data!B:B=$B$1),""LOW"")*4))),"""")"),"")</f>
        <v/>
      </c>
      <c r="L437" s="136" t="str">
        <f>IFERROR(__xludf.DUMMYFUNCTION("IFERROR((FILTER(Data!P:P,Data!D:D=A437,Data!B:B=$B$1)),"""")"),"")</f>
        <v/>
      </c>
      <c r="M437" s="137" t="str">
        <f>IFERROR(__xludf.DUMMYFUNCTION("IFERROR((FILTER(Data!A:A,Data!D:D=A437,Data!B:B=$B$1)),"""")"),"")</f>
        <v/>
      </c>
      <c r="T437" s="52">
        <f>IFERROR(__xludf.DUMMYFUNCTION("((COUNTIF(FILTER(Data!N:N,Data!D:D=A437,Data!B:B=$B$1),""TRAVERSE"")*15)+(COUNTIF(FILTER(Data!N:N,Data!D:D=A437,Data!B:B=B$1),""HIGH"")*10)+(COUNTIF(FILTER(Data!N:N,Data!D:D=A437,Data!B:B=$B$1),""MIDDLE"")*6)+(COUNTIF(FILTER(Data!N:N,Data!D:D=A437,Data!B:"&amp;"B=$B$1),""LOW"")*4))"),0.0)</f>
        <v>0</v>
      </c>
      <c r="V437" s="138" t="str">
        <f>IF(Data!B429='Team Parser'!$B$1, Data!D429,"")</f>
        <v/>
      </c>
      <c r="W437" s="134" t="str">
        <f>IF(Data!$B429='Team Parser'!$B$1, Data!H429,"")</f>
        <v/>
      </c>
      <c r="X437" s="134" t="str">
        <f>IF(Data!$B429='Team Parser'!$B$1, Data!G429,"")</f>
        <v/>
      </c>
      <c r="Y437" s="134" t="str">
        <f>IF(Data!$B429='Team Parser'!$B$1, Data!L429,"")</f>
        <v/>
      </c>
      <c r="Z437" s="134" t="str">
        <f>IF(Data!$B429='Team Parser'!$B$1, Data!K429,"")</f>
        <v/>
      </c>
      <c r="AA437" s="134" t="str">
        <f>IF(Data!$B429='Team Parser'!$B$1, Data!M429,"")</f>
        <v/>
      </c>
      <c r="AB437" s="134" t="str">
        <f>IF(Data!$B429='Team Parser'!$B$1,((Z437*2)+(Y437)+(X437*4)+(W437*2)),"")</f>
        <v/>
      </c>
      <c r="AC437" s="134" t="str">
        <f>IF(Data!$B429='Team Parser'!$B$1, Data!N429,"")</f>
        <v/>
      </c>
      <c r="AD437" s="139" t="str">
        <f>IF(Data!$B429='Team Parser'!$B$1,(AB437+(COUNTIF(AC437,"TRAVERSE")*15)+(COUNTIF(AC437,"HIGH")*10)+(COUNTIF(AC437,"MIDDLE")*6)+(COUNTIF(AC437,"LOW")*4)),"")</f>
        <v/>
      </c>
    </row>
    <row r="438">
      <c r="A438" s="141" t="s">
        <v>507</v>
      </c>
      <c r="B438" s="134" t="str">
        <f>IFERROR(__xludf.DUMMYFUNCTION("IFERROR((FILTER(Data!H:H,Data!D:D=A438,Data!B:B=$B$1)),"""")"),"")</f>
        <v/>
      </c>
      <c r="C438" s="134" t="str">
        <f>IFERROR(__xludf.DUMMYFUNCTION("IFERROR((FILTER(Data!G:G,Data!D:D=A438,Data!B:B=$B$1)),"""")"),"")</f>
        <v/>
      </c>
      <c r="D438" s="134" t="str">
        <f>IFERROR(__xludf.DUMMYFUNCTION("IFERROR((FILTER(Data!J:J,Data!D:D=A438,Data!B:B=$B$1)),"""")"),"")</f>
        <v/>
      </c>
      <c r="E438" s="134" t="str">
        <f>IFERROR(__xludf.DUMMYFUNCTION("IFERROR((FILTER(Data!L:L,Data!D:D=A438,Data!B:B=$B$1)),"""")"),"")</f>
        <v/>
      </c>
      <c r="F438" s="134" t="str">
        <f>IFERROR(__xludf.DUMMYFUNCTION("IFERROR((FILTER(Data!K:K,Data!D:D=A438,Data!B:B=$B$1)),"""")"),"")</f>
        <v/>
      </c>
      <c r="G438" s="134" t="str">
        <f>IFERROR(__xludf.DUMMYFUNCTION("IFERROR((FILTER(Data!M:M,Data!D:D=A438,Data!B:B=$B$1)),"""")"),"")</f>
        <v/>
      </c>
      <c r="H438" s="134" t="str">
        <f>IFERROR(__xludf.DUMMYFUNCTION("IFERROR((FILTER(Data!G:G,Data!D:D=A438,Data!B:B=$B$1)*4)+(FILTER(Data!H:H,Data!D:D=A438,Data!B:B=$B$1)*2),"""")"),"")</f>
        <v/>
      </c>
      <c r="I438" s="15" t="str">
        <f>IFERROR(__xludf.DUMMYFUNCTION("IFERROR((FILTER(Data!K:K,Data!D:D=A438,Data!B:B=$B$1)*2)+(FILTER(Data!L:L,Data!D:D=A438,Data!B:B=$B$1)),"""")"),"")</f>
        <v/>
      </c>
      <c r="J438" s="134" t="str">
        <f>IFERROR(__xludf.DUMMYFUNCTION("IFERROR((FILTER(Data!N:N,Data!D:D=A438,Data!B:B=$B$1)),"""")"),"")</f>
        <v/>
      </c>
      <c r="K438" s="135" t="str">
        <f>IFERROR(__xludf.DUMMYFUNCTION("IFERROR((FILTER(Data!H:H,Data!D:D=A438,Data!B:B=$B$1)*2)+(FILTER(Data!L:L,Data!D:D=A438,Data!B:B=$B$1))+(FILTER(Data!G:G,Data!D:D=A438,Data!B:B=$B$1)*4)+(FILTER(Data!K:K,Data!D:D=A438,Data!B:B=$B$1)*2)+(((COUNTIF(FILTER(Data!N:N,Data!D:D=A438,Data!B:B=$B$"&amp;"1),""TRAVERSE"")*15)+(COUNTIF(FILTER(Data!N:N,Data!D:D=A438,Data!B:B=$B$1),""HIGH"")*10)+(COUNTIF(FILTER(Data!N:N,Data!D:D=A438,Data!B:B=$B$1),""MIDDLE"")*6)+(COUNTIF(FILTER(Data!N:N,Data!D:D=A438,Data!B:B=$B$1),""LOW"")*4))),"""")"),"")</f>
        <v/>
      </c>
      <c r="L438" s="136" t="str">
        <f>IFERROR(__xludf.DUMMYFUNCTION("IFERROR((FILTER(Data!P:P,Data!D:D=A438,Data!B:B=$B$1)),"""")"),"")</f>
        <v/>
      </c>
      <c r="M438" s="137" t="str">
        <f>IFERROR(__xludf.DUMMYFUNCTION("IFERROR((FILTER(Data!A:A,Data!D:D=A438,Data!B:B=$B$1)),"""")"),"")</f>
        <v/>
      </c>
      <c r="T438" s="52">
        <f>IFERROR(__xludf.DUMMYFUNCTION("((COUNTIF(FILTER(Data!N:N,Data!D:D=A438,Data!B:B=$B$1),""TRAVERSE"")*15)+(COUNTIF(FILTER(Data!N:N,Data!D:D=A438,Data!B:B=B$1),""HIGH"")*10)+(COUNTIF(FILTER(Data!N:N,Data!D:D=A438,Data!B:B=$B$1),""MIDDLE"")*6)+(COUNTIF(FILTER(Data!N:N,Data!D:D=A438,Data!B:"&amp;"B=$B$1),""LOW"")*4))"),0.0)</f>
        <v>0</v>
      </c>
      <c r="V438" s="138" t="str">
        <f>IF(Data!B430='Team Parser'!$B$1, Data!D430,"")</f>
        <v/>
      </c>
      <c r="W438" s="134" t="str">
        <f>IF(Data!$B430='Team Parser'!$B$1, Data!H430,"")</f>
        <v/>
      </c>
      <c r="X438" s="134" t="str">
        <f>IF(Data!$B430='Team Parser'!$B$1, Data!G430,"")</f>
        <v/>
      </c>
      <c r="Y438" s="134" t="str">
        <f>IF(Data!$B430='Team Parser'!$B$1, Data!L430,"")</f>
        <v/>
      </c>
      <c r="Z438" s="134" t="str">
        <f>IF(Data!$B430='Team Parser'!$B$1, Data!K430,"")</f>
        <v/>
      </c>
      <c r="AA438" s="134" t="str">
        <f>IF(Data!$B430='Team Parser'!$B$1, Data!M430,"")</f>
        <v/>
      </c>
      <c r="AB438" s="134" t="str">
        <f>IF(Data!$B430='Team Parser'!$B$1,((Z438*2)+(Y438)+(X438*4)+(W438*2)),"")</f>
        <v/>
      </c>
      <c r="AC438" s="134" t="str">
        <f>IF(Data!$B430='Team Parser'!$B$1, Data!N430,"")</f>
        <v/>
      </c>
      <c r="AD438" s="139" t="str">
        <f>IF(Data!$B430='Team Parser'!$B$1,(AB438+(COUNTIF(AC438,"TRAVERSE")*15)+(COUNTIF(AC438,"HIGH")*10)+(COUNTIF(AC438,"MIDDLE")*6)+(COUNTIF(AC438,"LOW")*4)),"")</f>
        <v/>
      </c>
    </row>
    <row r="439">
      <c r="A439" s="141" t="s">
        <v>507</v>
      </c>
      <c r="B439" s="134" t="str">
        <f>IFERROR(__xludf.DUMMYFUNCTION("IFERROR((FILTER(Data!H:H,Data!D:D=A439,Data!B:B=$B$1)),"""")"),"")</f>
        <v/>
      </c>
      <c r="C439" s="134" t="str">
        <f>IFERROR(__xludf.DUMMYFUNCTION("IFERROR((FILTER(Data!G:G,Data!D:D=A439,Data!B:B=$B$1)),"""")"),"")</f>
        <v/>
      </c>
      <c r="D439" s="134" t="str">
        <f>IFERROR(__xludf.DUMMYFUNCTION("IFERROR((FILTER(Data!J:J,Data!D:D=A439,Data!B:B=$B$1)),"""")"),"")</f>
        <v/>
      </c>
      <c r="E439" s="134" t="str">
        <f>IFERROR(__xludf.DUMMYFUNCTION("IFERROR((FILTER(Data!L:L,Data!D:D=A439,Data!B:B=$B$1)),"""")"),"")</f>
        <v/>
      </c>
      <c r="F439" s="134" t="str">
        <f>IFERROR(__xludf.DUMMYFUNCTION("IFERROR((FILTER(Data!K:K,Data!D:D=A439,Data!B:B=$B$1)),"""")"),"")</f>
        <v/>
      </c>
      <c r="G439" s="134" t="str">
        <f>IFERROR(__xludf.DUMMYFUNCTION("IFERROR((FILTER(Data!M:M,Data!D:D=A439,Data!B:B=$B$1)),"""")"),"")</f>
        <v/>
      </c>
      <c r="H439" s="134" t="str">
        <f>IFERROR(__xludf.DUMMYFUNCTION("IFERROR((FILTER(Data!G:G,Data!D:D=A439,Data!B:B=$B$1)*4)+(FILTER(Data!H:H,Data!D:D=A439,Data!B:B=$B$1)*2),"""")"),"")</f>
        <v/>
      </c>
      <c r="I439" s="15" t="str">
        <f>IFERROR(__xludf.DUMMYFUNCTION("IFERROR((FILTER(Data!K:K,Data!D:D=A439,Data!B:B=$B$1)*2)+(FILTER(Data!L:L,Data!D:D=A439,Data!B:B=$B$1)),"""")"),"")</f>
        <v/>
      </c>
      <c r="J439" s="134" t="str">
        <f>IFERROR(__xludf.DUMMYFUNCTION("IFERROR((FILTER(Data!N:N,Data!D:D=A439,Data!B:B=$B$1)),"""")"),"")</f>
        <v/>
      </c>
      <c r="K439" s="135" t="str">
        <f>IFERROR(__xludf.DUMMYFUNCTION("IFERROR((FILTER(Data!H:H,Data!D:D=A439,Data!B:B=$B$1)*2)+(FILTER(Data!L:L,Data!D:D=A439,Data!B:B=$B$1))+(FILTER(Data!G:G,Data!D:D=A439,Data!B:B=$B$1)*4)+(FILTER(Data!K:K,Data!D:D=A439,Data!B:B=$B$1)*2)+(((COUNTIF(FILTER(Data!N:N,Data!D:D=A439,Data!B:B=$B$"&amp;"1),""TRAVERSE"")*15)+(COUNTIF(FILTER(Data!N:N,Data!D:D=A439,Data!B:B=$B$1),""HIGH"")*10)+(COUNTIF(FILTER(Data!N:N,Data!D:D=A439,Data!B:B=$B$1),""MIDDLE"")*6)+(COUNTIF(FILTER(Data!N:N,Data!D:D=A439,Data!B:B=$B$1),""LOW"")*4))),"""")"),"")</f>
        <v/>
      </c>
      <c r="L439" s="136" t="str">
        <f>IFERROR(__xludf.DUMMYFUNCTION("IFERROR((FILTER(Data!P:P,Data!D:D=A439,Data!B:B=$B$1)),"""")"),"")</f>
        <v/>
      </c>
      <c r="M439" s="137" t="str">
        <f>IFERROR(__xludf.DUMMYFUNCTION("IFERROR((FILTER(Data!A:A,Data!D:D=A439,Data!B:B=$B$1)),"""")"),"")</f>
        <v/>
      </c>
      <c r="T439" s="52">
        <f>IFERROR(__xludf.DUMMYFUNCTION("((COUNTIF(FILTER(Data!N:N,Data!D:D=A439,Data!B:B=$B$1),""TRAVERSE"")*15)+(COUNTIF(FILTER(Data!N:N,Data!D:D=A439,Data!B:B=B$1),""HIGH"")*10)+(COUNTIF(FILTER(Data!N:N,Data!D:D=A439,Data!B:B=$B$1),""MIDDLE"")*6)+(COUNTIF(FILTER(Data!N:N,Data!D:D=A439,Data!B:"&amp;"B=$B$1),""LOW"")*4))"),0.0)</f>
        <v>0</v>
      </c>
      <c r="V439" s="138" t="str">
        <f>IF(Data!B431='Team Parser'!$B$1, Data!D431,"")</f>
        <v/>
      </c>
      <c r="W439" s="134" t="str">
        <f>IF(Data!$B431='Team Parser'!$B$1, Data!H431,"")</f>
        <v/>
      </c>
      <c r="X439" s="134" t="str">
        <f>IF(Data!$B431='Team Parser'!$B$1, Data!G431,"")</f>
        <v/>
      </c>
      <c r="Y439" s="134" t="str">
        <f>IF(Data!$B431='Team Parser'!$B$1, Data!L431,"")</f>
        <v/>
      </c>
      <c r="Z439" s="134" t="str">
        <f>IF(Data!$B431='Team Parser'!$B$1, Data!K431,"")</f>
        <v/>
      </c>
      <c r="AA439" s="134" t="str">
        <f>IF(Data!$B431='Team Parser'!$B$1, Data!M431,"")</f>
        <v/>
      </c>
      <c r="AB439" s="134" t="str">
        <f>IF(Data!$B431='Team Parser'!$B$1,((Z439*2)+(Y439)+(X439*4)+(W439*2)),"")</f>
        <v/>
      </c>
      <c r="AC439" s="134" t="str">
        <f>IF(Data!$B431='Team Parser'!$B$1, Data!N431,"")</f>
        <v/>
      </c>
      <c r="AD439" s="139" t="str">
        <f>IF(Data!$B431='Team Parser'!$B$1,(AB439+(COUNTIF(AC439,"TRAVERSE")*15)+(COUNTIF(AC439,"HIGH")*10)+(COUNTIF(AC439,"MIDDLE")*6)+(COUNTIF(AC439,"LOW")*4)),"")</f>
        <v/>
      </c>
    </row>
    <row r="440">
      <c r="A440" s="141" t="s">
        <v>507</v>
      </c>
      <c r="B440" s="134" t="str">
        <f>IFERROR(__xludf.DUMMYFUNCTION("IFERROR((FILTER(Data!H:H,Data!D:D=A440,Data!B:B=$B$1)),"""")"),"")</f>
        <v/>
      </c>
      <c r="C440" s="134" t="str">
        <f>IFERROR(__xludf.DUMMYFUNCTION("IFERROR((FILTER(Data!G:G,Data!D:D=A440,Data!B:B=$B$1)),"""")"),"")</f>
        <v/>
      </c>
      <c r="D440" s="134" t="str">
        <f>IFERROR(__xludf.DUMMYFUNCTION("IFERROR((FILTER(Data!J:J,Data!D:D=A440,Data!B:B=$B$1)),"""")"),"")</f>
        <v/>
      </c>
      <c r="E440" s="134" t="str">
        <f>IFERROR(__xludf.DUMMYFUNCTION("IFERROR((FILTER(Data!L:L,Data!D:D=A440,Data!B:B=$B$1)),"""")"),"")</f>
        <v/>
      </c>
      <c r="F440" s="134" t="str">
        <f>IFERROR(__xludf.DUMMYFUNCTION("IFERROR((FILTER(Data!K:K,Data!D:D=A440,Data!B:B=$B$1)),"""")"),"")</f>
        <v/>
      </c>
      <c r="G440" s="134" t="str">
        <f>IFERROR(__xludf.DUMMYFUNCTION("IFERROR((FILTER(Data!M:M,Data!D:D=A440,Data!B:B=$B$1)),"""")"),"")</f>
        <v/>
      </c>
      <c r="H440" s="134" t="str">
        <f>IFERROR(__xludf.DUMMYFUNCTION("IFERROR((FILTER(Data!G:G,Data!D:D=A440,Data!B:B=$B$1)*4)+(FILTER(Data!H:H,Data!D:D=A440,Data!B:B=$B$1)*2),"""")"),"")</f>
        <v/>
      </c>
      <c r="I440" s="15" t="str">
        <f>IFERROR(__xludf.DUMMYFUNCTION("IFERROR((FILTER(Data!K:K,Data!D:D=A440,Data!B:B=$B$1)*2)+(FILTER(Data!L:L,Data!D:D=A440,Data!B:B=$B$1)),"""")"),"")</f>
        <v/>
      </c>
      <c r="J440" s="134" t="str">
        <f>IFERROR(__xludf.DUMMYFUNCTION("IFERROR((FILTER(Data!N:N,Data!D:D=A440,Data!B:B=$B$1)),"""")"),"")</f>
        <v/>
      </c>
      <c r="K440" s="135" t="str">
        <f>IFERROR(__xludf.DUMMYFUNCTION("IFERROR((FILTER(Data!H:H,Data!D:D=A440,Data!B:B=$B$1)*2)+(FILTER(Data!L:L,Data!D:D=A440,Data!B:B=$B$1))+(FILTER(Data!G:G,Data!D:D=A440,Data!B:B=$B$1)*4)+(FILTER(Data!K:K,Data!D:D=A440,Data!B:B=$B$1)*2)+(((COUNTIF(FILTER(Data!N:N,Data!D:D=A440,Data!B:B=$B$"&amp;"1),""TRAVERSE"")*15)+(COUNTIF(FILTER(Data!N:N,Data!D:D=A440,Data!B:B=$B$1),""HIGH"")*10)+(COUNTIF(FILTER(Data!N:N,Data!D:D=A440,Data!B:B=$B$1),""MIDDLE"")*6)+(COUNTIF(FILTER(Data!N:N,Data!D:D=A440,Data!B:B=$B$1),""LOW"")*4))),"""")"),"")</f>
        <v/>
      </c>
      <c r="L440" s="136" t="str">
        <f>IFERROR(__xludf.DUMMYFUNCTION("IFERROR((FILTER(Data!P:P,Data!D:D=A440,Data!B:B=$B$1)),"""")"),"")</f>
        <v/>
      </c>
      <c r="M440" s="137" t="str">
        <f>IFERROR(__xludf.DUMMYFUNCTION("IFERROR((FILTER(Data!A:A,Data!D:D=A440,Data!B:B=$B$1)),"""")"),"")</f>
        <v/>
      </c>
      <c r="T440" s="52">
        <f>IFERROR(__xludf.DUMMYFUNCTION("((COUNTIF(FILTER(Data!N:N,Data!D:D=A440,Data!B:B=$B$1),""TRAVERSE"")*15)+(COUNTIF(FILTER(Data!N:N,Data!D:D=A440,Data!B:B=B$1),""HIGH"")*10)+(COUNTIF(FILTER(Data!N:N,Data!D:D=A440,Data!B:B=$B$1),""MIDDLE"")*6)+(COUNTIF(FILTER(Data!N:N,Data!D:D=A440,Data!B:"&amp;"B=$B$1),""LOW"")*4))"),0.0)</f>
        <v>0</v>
      </c>
      <c r="V440" s="138" t="str">
        <f>IF(Data!B432='Team Parser'!$B$1, Data!D432,"")</f>
        <v/>
      </c>
      <c r="W440" s="134" t="str">
        <f>IF(Data!$B432='Team Parser'!$B$1, Data!H432,"")</f>
        <v/>
      </c>
      <c r="X440" s="134" t="str">
        <f>IF(Data!$B432='Team Parser'!$B$1, Data!G432,"")</f>
        <v/>
      </c>
      <c r="Y440" s="134" t="str">
        <f>IF(Data!$B432='Team Parser'!$B$1, Data!L432,"")</f>
        <v/>
      </c>
      <c r="Z440" s="134" t="str">
        <f>IF(Data!$B432='Team Parser'!$B$1, Data!K432,"")</f>
        <v/>
      </c>
      <c r="AA440" s="134" t="str">
        <f>IF(Data!$B432='Team Parser'!$B$1, Data!M432,"")</f>
        <v/>
      </c>
      <c r="AB440" s="134" t="str">
        <f>IF(Data!$B432='Team Parser'!$B$1,((Z440*2)+(Y440)+(X440*4)+(W440*2)),"")</f>
        <v/>
      </c>
      <c r="AC440" s="134" t="str">
        <f>IF(Data!$B432='Team Parser'!$B$1, Data!N432,"")</f>
        <v/>
      </c>
      <c r="AD440" s="139" t="str">
        <f>IF(Data!$B432='Team Parser'!$B$1,(AB440+(COUNTIF(AC440,"TRAVERSE")*15)+(COUNTIF(AC440,"HIGH")*10)+(COUNTIF(AC440,"MIDDLE")*6)+(COUNTIF(AC440,"LOW")*4)),"")</f>
        <v/>
      </c>
    </row>
    <row r="441">
      <c r="A441" s="141" t="s">
        <v>507</v>
      </c>
      <c r="B441" s="134" t="str">
        <f>IFERROR(__xludf.DUMMYFUNCTION("IFERROR((FILTER(Data!H:H,Data!D:D=A441,Data!B:B=$B$1)),"""")"),"")</f>
        <v/>
      </c>
      <c r="C441" s="134" t="str">
        <f>IFERROR(__xludf.DUMMYFUNCTION("IFERROR((FILTER(Data!G:G,Data!D:D=A441,Data!B:B=$B$1)),"""")"),"")</f>
        <v/>
      </c>
      <c r="D441" s="134" t="str">
        <f>IFERROR(__xludf.DUMMYFUNCTION("IFERROR((FILTER(Data!J:J,Data!D:D=A441,Data!B:B=$B$1)),"""")"),"")</f>
        <v/>
      </c>
      <c r="E441" s="134" t="str">
        <f>IFERROR(__xludf.DUMMYFUNCTION("IFERROR((FILTER(Data!L:L,Data!D:D=A441,Data!B:B=$B$1)),"""")"),"")</f>
        <v/>
      </c>
      <c r="F441" s="134" t="str">
        <f>IFERROR(__xludf.DUMMYFUNCTION("IFERROR((FILTER(Data!K:K,Data!D:D=A441,Data!B:B=$B$1)),"""")"),"")</f>
        <v/>
      </c>
      <c r="G441" s="134" t="str">
        <f>IFERROR(__xludf.DUMMYFUNCTION("IFERROR((FILTER(Data!M:M,Data!D:D=A441,Data!B:B=$B$1)),"""")"),"")</f>
        <v/>
      </c>
      <c r="H441" s="134" t="str">
        <f>IFERROR(__xludf.DUMMYFUNCTION("IFERROR((FILTER(Data!G:G,Data!D:D=A441,Data!B:B=$B$1)*4)+(FILTER(Data!H:H,Data!D:D=A441,Data!B:B=$B$1)*2),"""")"),"")</f>
        <v/>
      </c>
      <c r="I441" s="15" t="str">
        <f>IFERROR(__xludf.DUMMYFUNCTION("IFERROR((FILTER(Data!K:K,Data!D:D=A441,Data!B:B=$B$1)*2)+(FILTER(Data!L:L,Data!D:D=A441,Data!B:B=$B$1)),"""")"),"")</f>
        <v/>
      </c>
      <c r="J441" s="134" t="str">
        <f>IFERROR(__xludf.DUMMYFUNCTION("IFERROR((FILTER(Data!N:N,Data!D:D=A441,Data!B:B=$B$1)),"""")"),"")</f>
        <v/>
      </c>
      <c r="K441" s="135" t="str">
        <f>IFERROR(__xludf.DUMMYFUNCTION("IFERROR((FILTER(Data!H:H,Data!D:D=A441,Data!B:B=$B$1)*2)+(FILTER(Data!L:L,Data!D:D=A441,Data!B:B=$B$1))+(FILTER(Data!G:G,Data!D:D=A441,Data!B:B=$B$1)*4)+(FILTER(Data!K:K,Data!D:D=A441,Data!B:B=$B$1)*2)+(((COUNTIF(FILTER(Data!N:N,Data!D:D=A441,Data!B:B=$B$"&amp;"1),""TRAVERSE"")*15)+(COUNTIF(FILTER(Data!N:N,Data!D:D=A441,Data!B:B=$B$1),""HIGH"")*10)+(COUNTIF(FILTER(Data!N:N,Data!D:D=A441,Data!B:B=$B$1),""MIDDLE"")*6)+(COUNTIF(FILTER(Data!N:N,Data!D:D=A441,Data!B:B=$B$1),""LOW"")*4))),"""")"),"")</f>
        <v/>
      </c>
      <c r="L441" s="136" t="str">
        <f>IFERROR(__xludf.DUMMYFUNCTION("IFERROR((FILTER(Data!P:P,Data!D:D=A441,Data!B:B=$B$1)),"""")"),"")</f>
        <v/>
      </c>
      <c r="M441" s="137" t="str">
        <f>IFERROR(__xludf.DUMMYFUNCTION("IFERROR((FILTER(Data!A:A,Data!D:D=A441,Data!B:B=$B$1)),"""")"),"")</f>
        <v/>
      </c>
      <c r="T441" s="52">
        <f>IFERROR(__xludf.DUMMYFUNCTION("((COUNTIF(FILTER(Data!N:N,Data!D:D=A441,Data!B:B=$B$1),""TRAVERSE"")*15)+(COUNTIF(FILTER(Data!N:N,Data!D:D=A441,Data!B:B=B$1),""HIGH"")*10)+(COUNTIF(FILTER(Data!N:N,Data!D:D=A441,Data!B:B=$B$1),""MIDDLE"")*6)+(COUNTIF(FILTER(Data!N:N,Data!D:D=A441,Data!B:"&amp;"B=$B$1),""LOW"")*4))"),0.0)</f>
        <v>0</v>
      </c>
      <c r="V441" s="138" t="str">
        <f>IF(Data!B433='Team Parser'!$B$1, Data!D433,"")</f>
        <v/>
      </c>
      <c r="W441" s="134" t="str">
        <f>IF(Data!$B433='Team Parser'!$B$1, Data!H433,"")</f>
        <v/>
      </c>
      <c r="X441" s="134" t="str">
        <f>IF(Data!$B433='Team Parser'!$B$1, Data!G433,"")</f>
        <v/>
      </c>
      <c r="Y441" s="134" t="str">
        <f>IF(Data!$B433='Team Parser'!$B$1, Data!L433,"")</f>
        <v/>
      </c>
      <c r="Z441" s="134" t="str">
        <f>IF(Data!$B433='Team Parser'!$B$1, Data!K433,"")</f>
        <v/>
      </c>
      <c r="AA441" s="134" t="str">
        <f>IF(Data!$B433='Team Parser'!$B$1, Data!M433,"")</f>
        <v/>
      </c>
      <c r="AB441" s="134" t="str">
        <f>IF(Data!$B433='Team Parser'!$B$1,((Z441*2)+(Y441)+(X441*4)+(W441*2)),"")</f>
        <v/>
      </c>
      <c r="AC441" s="134" t="str">
        <f>IF(Data!$B433='Team Parser'!$B$1, Data!N433,"")</f>
        <v/>
      </c>
      <c r="AD441" s="139" t="str">
        <f>IF(Data!$B433='Team Parser'!$B$1,(AB441+(COUNTIF(AC441,"TRAVERSE")*15)+(COUNTIF(AC441,"HIGH")*10)+(COUNTIF(AC441,"MIDDLE")*6)+(COUNTIF(AC441,"LOW")*4)),"")</f>
        <v/>
      </c>
    </row>
    <row r="442">
      <c r="A442" s="141" t="s">
        <v>507</v>
      </c>
      <c r="B442" s="134" t="str">
        <f>IFERROR(__xludf.DUMMYFUNCTION("IFERROR((FILTER(Data!H:H,Data!D:D=A442,Data!B:B=$B$1)),"""")"),"")</f>
        <v/>
      </c>
      <c r="C442" s="134" t="str">
        <f>IFERROR(__xludf.DUMMYFUNCTION("IFERROR((FILTER(Data!G:G,Data!D:D=A442,Data!B:B=$B$1)),"""")"),"")</f>
        <v/>
      </c>
      <c r="D442" s="134" t="str">
        <f>IFERROR(__xludf.DUMMYFUNCTION("IFERROR((FILTER(Data!J:J,Data!D:D=A442,Data!B:B=$B$1)),"""")"),"")</f>
        <v/>
      </c>
      <c r="E442" s="134" t="str">
        <f>IFERROR(__xludf.DUMMYFUNCTION("IFERROR((FILTER(Data!L:L,Data!D:D=A442,Data!B:B=$B$1)),"""")"),"")</f>
        <v/>
      </c>
      <c r="F442" s="134" t="str">
        <f>IFERROR(__xludf.DUMMYFUNCTION("IFERROR((FILTER(Data!K:K,Data!D:D=A442,Data!B:B=$B$1)),"""")"),"")</f>
        <v/>
      </c>
      <c r="G442" s="134" t="str">
        <f>IFERROR(__xludf.DUMMYFUNCTION("IFERROR((FILTER(Data!M:M,Data!D:D=A442,Data!B:B=$B$1)),"""")"),"")</f>
        <v/>
      </c>
      <c r="H442" s="134" t="str">
        <f>IFERROR(__xludf.DUMMYFUNCTION("IFERROR((FILTER(Data!G:G,Data!D:D=A442,Data!B:B=$B$1)*4)+(FILTER(Data!H:H,Data!D:D=A442,Data!B:B=$B$1)*2),"""")"),"")</f>
        <v/>
      </c>
      <c r="I442" s="15" t="str">
        <f>IFERROR(__xludf.DUMMYFUNCTION("IFERROR((FILTER(Data!K:K,Data!D:D=A442,Data!B:B=$B$1)*2)+(FILTER(Data!L:L,Data!D:D=A442,Data!B:B=$B$1)),"""")"),"")</f>
        <v/>
      </c>
      <c r="J442" s="134" t="str">
        <f>IFERROR(__xludf.DUMMYFUNCTION("IFERROR((FILTER(Data!N:N,Data!D:D=A442,Data!B:B=$B$1)),"""")"),"")</f>
        <v/>
      </c>
      <c r="K442" s="135" t="str">
        <f>IFERROR(__xludf.DUMMYFUNCTION("IFERROR((FILTER(Data!H:H,Data!D:D=A442,Data!B:B=$B$1)*2)+(FILTER(Data!L:L,Data!D:D=A442,Data!B:B=$B$1))+(FILTER(Data!G:G,Data!D:D=A442,Data!B:B=$B$1)*4)+(FILTER(Data!K:K,Data!D:D=A442,Data!B:B=$B$1)*2)+(((COUNTIF(FILTER(Data!N:N,Data!D:D=A442,Data!B:B=$B$"&amp;"1),""TRAVERSE"")*15)+(COUNTIF(FILTER(Data!N:N,Data!D:D=A442,Data!B:B=$B$1),""HIGH"")*10)+(COUNTIF(FILTER(Data!N:N,Data!D:D=A442,Data!B:B=$B$1),""MIDDLE"")*6)+(COUNTIF(FILTER(Data!N:N,Data!D:D=A442,Data!B:B=$B$1),""LOW"")*4))),"""")"),"")</f>
        <v/>
      </c>
      <c r="L442" s="136" t="str">
        <f>IFERROR(__xludf.DUMMYFUNCTION("IFERROR((FILTER(Data!P:P,Data!D:D=A442,Data!B:B=$B$1)),"""")"),"")</f>
        <v/>
      </c>
      <c r="M442" s="137" t="str">
        <f>IFERROR(__xludf.DUMMYFUNCTION("IFERROR((FILTER(Data!A:A,Data!D:D=A442,Data!B:B=$B$1)),"""")"),"")</f>
        <v/>
      </c>
      <c r="T442" s="52">
        <f>IFERROR(__xludf.DUMMYFUNCTION("((COUNTIF(FILTER(Data!N:N,Data!D:D=A442,Data!B:B=$B$1),""TRAVERSE"")*15)+(COUNTIF(FILTER(Data!N:N,Data!D:D=A442,Data!B:B=B$1),""HIGH"")*10)+(COUNTIF(FILTER(Data!N:N,Data!D:D=A442,Data!B:B=$B$1),""MIDDLE"")*6)+(COUNTIF(FILTER(Data!N:N,Data!D:D=A442,Data!B:"&amp;"B=$B$1),""LOW"")*4))"),0.0)</f>
        <v>0</v>
      </c>
      <c r="V442" s="138" t="str">
        <f>IF(Data!B434='Team Parser'!$B$1, Data!D434,"")</f>
        <v/>
      </c>
      <c r="W442" s="134" t="str">
        <f>IF(Data!$B434='Team Parser'!$B$1, Data!H434,"")</f>
        <v/>
      </c>
      <c r="X442" s="134" t="str">
        <f>IF(Data!$B434='Team Parser'!$B$1, Data!G434,"")</f>
        <v/>
      </c>
      <c r="Y442" s="134" t="str">
        <f>IF(Data!$B434='Team Parser'!$B$1, Data!L434,"")</f>
        <v/>
      </c>
      <c r="Z442" s="134" t="str">
        <f>IF(Data!$B434='Team Parser'!$B$1, Data!K434,"")</f>
        <v/>
      </c>
      <c r="AA442" s="134" t="str">
        <f>IF(Data!$B434='Team Parser'!$B$1, Data!M434,"")</f>
        <v/>
      </c>
      <c r="AB442" s="134" t="str">
        <f>IF(Data!$B434='Team Parser'!$B$1,((Z442*2)+(Y442)+(X442*4)+(W442*2)),"")</f>
        <v/>
      </c>
      <c r="AC442" s="134" t="str">
        <f>IF(Data!$B434='Team Parser'!$B$1, Data!N434,"")</f>
        <v/>
      </c>
      <c r="AD442" s="139" t="str">
        <f>IF(Data!$B434='Team Parser'!$B$1,(AB442+(COUNTIF(AC442,"TRAVERSE")*15)+(COUNTIF(AC442,"HIGH")*10)+(COUNTIF(AC442,"MIDDLE")*6)+(COUNTIF(AC442,"LOW")*4)),"")</f>
        <v/>
      </c>
    </row>
    <row r="443">
      <c r="A443" s="141" t="s">
        <v>507</v>
      </c>
      <c r="B443" s="134" t="str">
        <f>IFERROR(__xludf.DUMMYFUNCTION("IFERROR((FILTER(Data!H:H,Data!D:D=A443,Data!B:B=$B$1)),"""")"),"")</f>
        <v/>
      </c>
      <c r="C443" s="134" t="str">
        <f>IFERROR(__xludf.DUMMYFUNCTION("IFERROR((FILTER(Data!G:G,Data!D:D=A443,Data!B:B=$B$1)),"""")"),"")</f>
        <v/>
      </c>
      <c r="D443" s="134" t="str">
        <f>IFERROR(__xludf.DUMMYFUNCTION("IFERROR((FILTER(Data!J:J,Data!D:D=A443,Data!B:B=$B$1)),"""")"),"")</f>
        <v/>
      </c>
      <c r="E443" s="134" t="str">
        <f>IFERROR(__xludf.DUMMYFUNCTION("IFERROR((FILTER(Data!L:L,Data!D:D=A443,Data!B:B=$B$1)),"""")"),"")</f>
        <v/>
      </c>
      <c r="F443" s="134" t="str">
        <f>IFERROR(__xludf.DUMMYFUNCTION("IFERROR((FILTER(Data!K:K,Data!D:D=A443,Data!B:B=$B$1)),"""")"),"")</f>
        <v/>
      </c>
      <c r="G443" s="134" t="str">
        <f>IFERROR(__xludf.DUMMYFUNCTION("IFERROR((FILTER(Data!M:M,Data!D:D=A443,Data!B:B=$B$1)),"""")"),"")</f>
        <v/>
      </c>
      <c r="H443" s="134" t="str">
        <f>IFERROR(__xludf.DUMMYFUNCTION("IFERROR((FILTER(Data!G:G,Data!D:D=A443,Data!B:B=$B$1)*4)+(FILTER(Data!H:H,Data!D:D=A443,Data!B:B=$B$1)*2),"""")"),"")</f>
        <v/>
      </c>
      <c r="I443" s="15" t="str">
        <f>IFERROR(__xludf.DUMMYFUNCTION("IFERROR((FILTER(Data!K:K,Data!D:D=A443,Data!B:B=$B$1)*2)+(FILTER(Data!L:L,Data!D:D=A443,Data!B:B=$B$1)),"""")"),"")</f>
        <v/>
      </c>
      <c r="J443" s="134" t="str">
        <f>IFERROR(__xludf.DUMMYFUNCTION("IFERROR((FILTER(Data!N:N,Data!D:D=A443,Data!B:B=$B$1)),"""")"),"")</f>
        <v/>
      </c>
      <c r="K443" s="135" t="str">
        <f>IFERROR(__xludf.DUMMYFUNCTION("IFERROR((FILTER(Data!H:H,Data!D:D=A443,Data!B:B=$B$1)*2)+(FILTER(Data!L:L,Data!D:D=A443,Data!B:B=$B$1))+(FILTER(Data!G:G,Data!D:D=A443,Data!B:B=$B$1)*4)+(FILTER(Data!K:K,Data!D:D=A443,Data!B:B=$B$1)*2)+(((COUNTIF(FILTER(Data!N:N,Data!D:D=A443,Data!B:B=$B$"&amp;"1),""TRAVERSE"")*15)+(COUNTIF(FILTER(Data!N:N,Data!D:D=A443,Data!B:B=$B$1),""HIGH"")*10)+(COUNTIF(FILTER(Data!N:N,Data!D:D=A443,Data!B:B=$B$1),""MIDDLE"")*6)+(COUNTIF(FILTER(Data!N:N,Data!D:D=A443,Data!B:B=$B$1),""LOW"")*4))),"""")"),"")</f>
        <v/>
      </c>
      <c r="L443" s="136" t="str">
        <f>IFERROR(__xludf.DUMMYFUNCTION("IFERROR((FILTER(Data!P:P,Data!D:D=A443,Data!B:B=$B$1)),"""")"),"")</f>
        <v/>
      </c>
      <c r="M443" s="137" t="str">
        <f>IFERROR(__xludf.DUMMYFUNCTION("IFERROR((FILTER(Data!A:A,Data!D:D=A443,Data!B:B=$B$1)),"""")"),"")</f>
        <v/>
      </c>
      <c r="T443" s="52">
        <f>IFERROR(__xludf.DUMMYFUNCTION("((COUNTIF(FILTER(Data!N:N,Data!D:D=A443,Data!B:B=$B$1),""TRAVERSE"")*15)+(COUNTIF(FILTER(Data!N:N,Data!D:D=A443,Data!B:B=B$1),""HIGH"")*10)+(COUNTIF(FILTER(Data!N:N,Data!D:D=A443,Data!B:B=$B$1),""MIDDLE"")*6)+(COUNTIF(FILTER(Data!N:N,Data!D:D=A443,Data!B:"&amp;"B=$B$1),""LOW"")*4))"),0.0)</f>
        <v>0</v>
      </c>
      <c r="V443" s="138" t="str">
        <f>IF(Data!B435='Team Parser'!$B$1, Data!D435,"")</f>
        <v/>
      </c>
      <c r="W443" s="134" t="str">
        <f>IF(Data!$B435='Team Parser'!$B$1, Data!H435,"")</f>
        <v/>
      </c>
      <c r="X443" s="134" t="str">
        <f>IF(Data!$B435='Team Parser'!$B$1, Data!G435,"")</f>
        <v/>
      </c>
      <c r="Y443" s="134" t="str">
        <f>IF(Data!$B435='Team Parser'!$B$1, Data!L435,"")</f>
        <v/>
      </c>
      <c r="Z443" s="134" t="str">
        <f>IF(Data!$B435='Team Parser'!$B$1, Data!K435,"")</f>
        <v/>
      </c>
      <c r="AA443" s="134" t="str">
        <f>IF(Data!$B435='Team Parser'!$B$1, Data!M435,"")</f>
        <v/>
      </c>
      <c r="AB443" s="134" t="str">
        <f>IF(Data!$B435='Team Parser'!$B$1,((Z443*2)+(Y443)+(X443*4)+(W443*2)),"")</f>
        <v/>
      </c>
      <c r="AC443" s="134" t="str">
        <f>IF(Data!$B435='Team Parser'!$B$1, Data!N435,"")</f>
        <v/>
      </c>
      <c r="AD443" s="139" t="str">
        <f>IF(Data!$B435='Team Parser'!$B$1,(AB443+(COUNTIF(AC443,"TRAVERSE")*15)+(COUNTIF(AC443,"HIGH")*10)+(COUNTIF(AC443,"MIDDLE")*6)+(COUNTIF(AC443,"LOW")*4)),"")</f>
        <v/>
      </c>
    </row>
    <row r="444">
      <c r="A444" s="141" t="s">
        <v>507</v>
      </c>
      <c r="B444" s="134" t="str">
        <f>IFERROR(__xludf.DUMMYFUNCTION("IFERROR((FILTER(Data!H:H,Data!D:D=A444,Data!B:B=$B$1)),"""")"),"")</f>
        <v/>
      </c>
      <c r="C444" s="134" t="str">
        <f>IFERROR(__xludf.DUMMYFUNCTION("IFERROR((FILTER(Data!G:G,Data!D:D=A444,Data!B:B=$B$1)),"""")"),"")</f>
        <v/>
      </c>
      <c r="D444" s="134" t="str">
        <f>IFERROR(__xludf.DUMMYFUNCTION("IFERROR((FILTER(Data!J:J,Data!D:D=A444,Data!B:B=$B$1)),"""")"),"")</f>
        <v/>
      </c>
      <c r="E444" s="134" t="str">
        <f>IFERROR(__xludf.DUMMYFUNCTION("IFERROR((FILTER(Data!L:L,Data!D:D=A444,Data!B:B=$B$1)),"""")"),"")</f>
        <v/>
      </c>
      <c r="F444" s="134" t="str">
        <f>IFERROR(__xludf.DUMMYFUNCTION("IFERROR((FILTER(Data!K:K,Data!D:D=A444,Data!B:B=$B$1)),"""")"),"")</f>
        <v/>
      </c>
      <c r="G444" s="134" t="str">
        <f>IFERROR(__xludf.DUMMYFUNCTION("IFERROR((FILTER(Data!M:M,Data!D:D=A444,Data!B:B=$B$1)),"""")"),"")</f>
        <v/>
      </c>
      <c r="H444" s="134" t="str">
        <f>IFERROR(__xludf.DUMMYFUNCTION("IFERROR((FILTER(Data!G:G,Data!D:D=A444,Data!B:B=$B$1)*4)+(FILTER(Data!H:H,Data!D:D=A444,Data!B:B=$B$1)*2),"""")"),"")</f>
        <v/>
      </c>
      <c r="I444" s="15" t="str">
        <f>IFERROR(__xludf.DUMMYFUNCTION("IFERROR((FILTER(Data!K:K,Data!D:D=A444,Data!B:B=$B$1)*2)+(FILTER(Data!L:L,Data!D:D=A444,Data!B:B=$B$1)),"""")"),"")</f>
        <v/>
      </c>
      <c r="J444" s="134" t="str">
        <f>IFERROR(__xludf.DUMMYFUNCTION("IFERROR((FILTER(Data!N:N,Data!D:D=A444,Data!B:B=$B$1)),"""")"),"")</f>
        <v/>
      </c>
      <c r="K444" s="135" t="str">
        <f>IFERROR(__xludf.DUMMYFUNCTION("IFERROR((FILTER(Data!H:H,Data!D:D=A444,Data!B:B=$B$1)*2)+(FILTER(Data!L:L,Data!D:D=A444,Data!B:B=$B$1))+(FILTER(Data!G:G,Data!D:D=A444,Data!B:B=$B$1)*4)+(FILTER(Data!K:K,Data!D:D=A444,Data!B:B=$B$1)*2)+(((COUNTIF(FILTER(Data!N:N,Data!D:D=A444,Data!B:B=$B$"&amp;"1),""TRAVERSE"")*15)+(COUNTIF(FILTER(Data!N:N,Data!D:D=A444,Data!B:B=$B$1),""HIGH"")*10)+(COUNTIF(FILTER(Data!N:N,Data!D:D=A444,Data!B:B=$B$1),""MIDDLE"")*6)+(COUNTIF(FILTER(Data!N:N,Data!D:D=A444,Data!B:B=$B$1),""LOW"")*4))),"""")"),"")</f>
        <v/>
      </c>
      <c r="L444" s="136" t="str">
        <f>IFERROR(__xludf.DUMMYFUNCTION("IFERROR((FILTER(Data!P:P,Data!D:D=A444,Data!B:B=$B$1)),"""")"),"")</f>
        <v/>
      </c>
      <c r="M444" s="137" t="str">
        <f>IFERROR(__xludf.DUMMYFUNCTION("IFERROR((FILTER(Data!A:A,Data!D:D=A444,Data!B:B=$B$1)),"""")"),"")</f>
        <v/>
      </c>
      <c r="T444" s="52">
        <f>IFERROR(__xludf.DUMMYFUNCTION("((COUNTIF(FILTER(Data!N:N,Data!D:D=A444,Data!B:B=$B$1),""TRAVERSE"")*15)+(COUNTIF(FILTER(Data!N:N,Data!D:D=A444,Data!B:B=B$1),""HIGH"")*10)+(COUNTIF(FILTER(Data!N:N,Data!D:D=A444,Data!B:B=$B$1),""MIDDLE"")*6)+(COUNTIF(FILTER(Data!N:N,Data!D:D=A444,Data!B:"&amp;"B=$B$1),""LOW"")*4))"),0.0)</f>
        <v>0</v>
      </c>
      <c r="V444" s="138" t="str">
        <f>IF(Data!B436='Team Parser'!$B$1, Data!D436,"")</f>
        <v/>
      </c>
      <c r="W444" s="134" t="str">
        <f>IF(Data!$B436='Team Parser'!$B$1, Data!H436,"")</f>
        <v/>
      </c>
      <c r="X444" s="134" t="str">
        <f>IF(Data!$B436='Team Parser'!$B$1, Data!G436,"")</f>
        <v/>
      </c>
      <c r="Y444" s="134" t="str">
        <f>IF(Data!$B436='Team Parser'!$B$1, Data!L436,"")</f>
        <v/>
      </c>
      <c r="Z444" s="134" t="str">
        <f>IF(Data!$B436='Team Parser'!$B$1, Data!K436,"")</f>
        <v/>
      </c>
      <c r="AA444" s="134" t="str">
        <f>IF(Data!$B436='Team Parser'!$B$1, Data!M436,"")</f>
        <v/>
      </c>
      <c r="AB444" s="134" t="str">
        <f>IF(Data!$B436='Team Parser'!$B$1,((Z444*2)+(Y444)+(X444*4)+(W444*2)),"")</f>
        <v/>
      </c>
      <c r="AC444" s="134" t="str">
        <f>IF(Data!$B436='Team Parser'!$B$1, Data!N436,"")</f>
        <v/>
      </c>
      <c r="AD444" s="139" t="str">
        <f>IF(Data!$B436='Team Parser'!$B$1,(AB444+(COUNTIF(AC444,"TRAVERSE")*15)+(COUNTIF(AC444,"HIGH")*10)+(COUNTIF(AC444,"MIDDLE")*6)+(COUNTIF(AC444,"LOW")*4)),"")</f>
        <v/>
      </c>
    </row>
    <row r="445">
      <c r="A445" s="141" t="s">
        <v>507</v>
      </c>
      <c r="B445" s="134" t="str">
        <f>IFERROR(__xludf.DUMMYFUNCTION("IFERROR((FILTER(Data!H:H,Data!D:D=A445,Data!B:B=$B$1)),"""")"),"")</f>
        <v/>
      </c>
      <c r="C445" s="134" t="str">
        <f>IFERROR(__xludf.DUMMYFUNCTION("IFERROR((FILTER(Data!G:G,Data!D:D=A445,Data!B:B=$B$1)),"""")"),"")</f>
        <v/>
      </c>
      <c r="D445" s="134" t="str">
        <f>IFERROR(__xludf.DUMMYFUNCTION("IFERROR((FILTER(Data!J:J,Data!D:D=A445,Data!B:B=$B$1)),"""")"),"")</f>
        <v/>
      </c>
      <c r="E445" s="134" t="str">
        <f>IFERROR(__xludf.DUMMYFUNCTION("IFERROR((FILTER(Data!L:L,Data!D:D=A445,Data!B:B=$B$1)),"""")"),"")</f>
        <v/>
      </c>
      <c r="F445" s="134" t="str">
        <f>IFERROR(__xludf.DUMMYFUNCTION("IFERROR((FILTER(Data!K:K,Data!D:D=A445,Data!B:B=$B$1)),"""")"),"")</f>
        <v/>
      </c>
      <c r="G445" s="134" t="str">
        <f>IFERROR(__xludf.DUMMYFUNCTION("IFERROR((FILTER(Data!M:M,Data!D:D=A445,Data!B:B=$B$1)),"""")"),"")</f>
        <v/>
      </c>
      <c r="H445" s="134" t="str">
        <f>IFERROR(__xludf.DUMMYFUNCTION("IFERROR((FILTER(Data!G:G,Data!D:D=A445,Data!B:B=$B$1)*4)+(FILTER(Data!H:H,Data!D:D=A445,Data!B:B=$B$1)*2),"""")"),"")</f>
        <v/>
      </c>
      <c r="I445" s="15" t="str">
        <f>IFERROR(__xludf.DUMMYFUNCTION("IFERROR((FILTER(Data!K:K,Data!D:D=A445,Data!B:B=$B$1)*2)+(FILTER(Data!L:L,Data!D:D=A445,Data!B:B=$B$1)),"""")"),"")</f>
        <v/>
      </c>
      <c r="J445" s="134" t="str">
        <f>IFERROR(__xludf.DUMMYFUNCTION("IFERROR((FILTER(Data!N:N,Data!D:D=A445,Data!B:B=$B$1)),"""")"),"")</f>
        <v/>
      </c>
      <c r="K445" s="135" t="str">
        <f>IFERROR(__xludf.DUMMYFUNCTION("IFERROR((FILTER(Data!H:H,Data!D:D=A445,Data!B:B=$B$1)*2)+(FILTER(Data!L:L,Data!D:D=A445,Data!B:B=$B$1))+(FILTER(Data!G:G,Data!D:D=A445,Data!B:B=$B$1)*4)+(FILTER(Data!K:K,Data!D:D=A445,Data!B:B=$B$1)*2)+(((COUNTIF(FILTER(Data!N:N,Data!D:D=A445,Data!B:B=$B$"&amp;"1),""TRAVERSE"")*15)+(COUNTIF(FILTER(Data!N:N,Data!D:D=A445,Data!B:B=$B$1),""HIGH"")*10)+(COUNTIF(FILTER(Data!N:N,Data!D:D=A445,Data!B:B=$B$1),""MIDDLE"")*6)+(COUNTIF(FILTER(Data!N:N,Data!D:D=A445,Data!B:B=$B$1),""LOW"")*4))),"""")"),"")</f>
        <v/>
      </c>
      <c r="L445" s="136" t="str">
        <f>IFERROR(__xludf.DUMMYFUNCTION("IFERROR((FILTER(Data!P:P,Data!D:D=A445,Data!B:B=$B$1)),"""")"),"")</f>
        <v/>
      </c>
      <c r="M445" s="137" t="str">
        <f>IFERROR(__xludf.DUMMYFUNCTION("IFERROR((FILTER(Data!A:A,Data!D:D=A445,Data!B:B=$B$1)),"""")"),"")</f>
        <v/>
      </c>
      <c r="T445" s="52">
        <f>IFERROR(__xludf.DUMMYFUNCTION("((COUNTIF(FILTER(Data!N:N,Data!D:D=A445,Data!B:B=$B$1),""TRAVERSE"")*15)+(COUNTIF(FILTER(Data!N:N,Data!D:D=A445,Data!B:B=B$1),""HIGH"")*10)+(COUNTIF(FILTER(Data!N:N,Data!D:D=A445,Data!B:B=$B$1),""MIDDLE"")*6)+(COUNTIF(FILTER(Data!N:N,Data!D:D=A445,Data!B:"&amp;"B=$B$1),""LOW"")*4))"),0.0)</f>
        <v>0</v>
      </c>
      <c r="V445" s="138" t="str">
        <f>IF(Data!B437='Team Parser'!$B$1, Data!D437,"")</f>
        <v/>
      </c>
      <c r="W445" s="134" t="str">
        <f>IF(Data!$B437='Team Parser'!$B$1, Data!H437,"")</f>
        <v/>
      </c>
      <c r="X445" s="134" t="str">
        <f>IF(Data!$B437='Team Parser'!$B$1, Data!G437,"")</f>
        <v/>
      </c>
      <c r="Y445" s="134" t="str">
        <f>IF(Data!$B437='Team Parser'!$B$1, Data!L437,"")</f>
        <v/>
      </c>
      <c r="Z445" s="134" t="str">
        <f>IF(Data!$B437='Team Parser'!$B$1, Data!K437,"")</f>
        <v/>
      </c>
      <c r="AA445" s="134" t="str">
        <f>IF(Data!$B437='Team Parser'!$B$1, Data!M437,"")</f>
        <v/>
      </c>
      <c r="AB445" s="134" t="str">
        <f>IF(Data!$B437='Team Parser'!$B$1,((Z445*2)+(Y445)+(X445*4)+(W445*2)),"")</f>
        <v/>
      </c>
      <c r="AC445" s="134" t="str">
        <f>IF(Data!$B437='Team Parser'!$B$1, Data!N437,"")</f>
        <v/>
      </c>
      <c r="AD445" s="139" t="str">
        <f>IF(Data!$B437='Team Parser'!$B$1,(AB445+(COUNTIF(AC445,"TRAVERSE")*15)+(COUNTIF(AC445,"HIGH")*10)+(COUNTIF(AC445,"MIDDLE")*6)+(COUNTIF(AC445,"LOW")*4)),"")</f>
        <v/>
      </c>
    </row>
    <row r="446">
      <c r="A446" s="141" t="s">
        <v>507</v>
      </c>
      <c r="B446" s="134" t="str">
        <f>IFERROR(__xludf.DUMMYFUNCTION("IFERROR((FILTER(Data!H:H,Data!D:D=A446,Data!B:B=$B$1)),"""")"),"")</f>
        <v/>
      </c>
      <c r="C446" s="134" t="str">
        <f>IFERROR(__xludf.DUMMYFUNCTION("IFERROR((FILTER(Data!G:G,Data!D:D=A446,Data!B:B=$B$1)),"""")"),"")</f>
        <v/>
      </c>
      <c r="D446" s="134" t="str">
        <f>IFERROR(__xludf.DUMMYFUNCTION("IFERROR((FILTER(Data!J:J,Data!D:D=A446,Data!B:B=$B$1)),"""")"),"")</f>
        <v/>
      </c>
      <c r="E446" s="134" t="str">
        <f>IFERROR(__xludf.DUMMYFUNCTION("IFERROR((FILTER(Data!L:L,Data!D:D=A446,Data!B:B=$B$1)),"""")"),"")</f>
        <v/>
      </c>
      <c r="F446" s="134" t="str">
        <f>IFERROR(__xludf.DUMMYFUNCTION("IFERROR((FILTER(Data!K:K,Data!D:D=A446,Data!B:B=$B$1)),"""")"),"")</f>
        <v/>
      </c>
      <c r="G446" s="134" t="str">
        <f>IFERROR(__xludf.DUMMYFUNCTION("IFERROR((FILTER(Data!M:M,Data!D:D=A446,Data!B:B=$B$1)),"""")"),"")</f>
        <v/>
      </c>
      <c r="H446" s="134" t="str">
        <f>IFERROR(__xludf.DUMMYFUNCTION("IFERROR((FILTER(Data!G:G,Data!D:D=A446,Data!B:B=$B$1)*4)+(FILTER(Data!H:H,Data!D:D=A446,Data!B:B=$B$1)*2),"""")"),"")</f>
        <v/>
      </c>
      <c r="I446" s="15" t="str">
        <f>IFERROR(__xludf.DUMMYFUNCTION("IFERROR((FILTER(Data!K:K,Data!D:D=A446,Data!B:B=$B$1)*2)+(FILTER(Data!L:L,Data!D:D=A446,Data!B:B=$B$1)),"""")"),"")</f>
        <v/>
      </c>
      <c r="J446" s="134" t="str">
        <f>IFERROR(__xludf.DUMMYFUNCTION("IFERROR((FILTER(Data!N:N,Data!D:D=A446,Data!B:B=$B$1)),"""")"),"")</f>
        <v/>
      </c>
      <c r="K446" s="135" t="str">
        <f>IFERROR(__xludf.DUMMYFUNCTION("IFERROR((FILTER(Data!H:H,Data!D:D=A446,Data!B:B=$B$1)*2)+(FILTER(Data!L:L,Data!D:D=A446,Data!B:B=$B$1))+(FILTER(Data!G:G,Data!D:D=A446,Data!B:B=$B$1)*4)+(FILTER(Data!K:K,Data!D:D=A446,Data!B:B=$B$1)*2)+(((COUNTIF(FILTER(Data!N:N,Data!D:D=A446,Data!B:B=$B$"&amp;"1),""TRAVERSE"")*15)+(COUNTIF(FILTER(Data!N:N,Data!D:D=A446,Data!B:B=$B$1),""HIGH"")*10)+(COUNTIF(FILTER(Data!N:N,Data!D:D=A446,Data!B:B=$B$1),""MIDDLE"")*6)+(COUNTIF(FILTER(Data!N:N,Data!D:D=A446,Data!B:B=$B$1),""LOW"")*4))),"""")"),"")</f>
        <v/>
      </c>
      <c r="L446" s="136" t="str">
        <f>IFERROR(__xludf.DUMMYFUNCTION("IFERROR((FILTER(Data!P:P,Data!D:D=A446,Data!B:B=$B$1)),"""")"),"")</f>
        <v/>
      </c>
      <c r="M446" s="137" t="str">
        <f>IFERROR(__xludf.DUMMYFUNCTION("IFERROR((FILTER(Data!A:A,Data!D:D=A446,Data!B:B=$B$1)),"""")"),"")</f>
        <v/>
      </c>
      <c r="T446" s="52">
        <f>IFERROR(__xludf.DUMMYFUNCTION("((COUNTIF(FILTER(Data!N:N,Data!D:D=A446,Data!B:B=$B$1),""TRAVERSE"")*15)+(COUNTIF(FILTER(Data!N:N,Data!D:D=A446,Data!B:B=B$1),""HIGH"")*10)+(COUNTIF(FILTER(Data!N:N,Data!D:D=A446,Data!B:B=$B$1),""MIDDLE"")*6)+(COUNTIF(FILTER(Data!N:N,Data!D:D=A446,Data!B:"&amp;"B=$B$1),""LOW"")*4))"),0.0)</f>
        <v>0</v>
      </c>
      <c r="V446" s="138" t="str">
        <f>IF(Data!B438='Team Parser'!$B$1, Data!D438,"")</f>
        <v/>
      </c>
      <c r="W446" s="134" t="str">
        <f>IF(Data!$B438='Team Parser'!$B$1, Data!H438,"")</f>
        <v/>
      </c>
      <c r="X446" s="134" t="str">
        <f>IF(Data!$B438='Team Parser'!$B$1, Data!G438,"")</f>
        <v/>
      </c>
      <c r="Y446" s="134" t="str">
        <f>IF(Data!$B438='Team Parser'!$B$1, Data!L438,"")</f>
        <v/>
      </c>
      <c r="Z446" s="134" t="str">
        <f>IF(Data!$B438='Team Parser'!$B$1, Data!K438,"")</f>
        <v/>
      </c>
      <c r="AA446" s="134" t="str">
        <f>IF(Data!$B438='Team Parser'!$B$1, Data!M438,"")</f>
        <v/>
      </c>
      <c r="AB446" s="134" t="str">
        <f>IF(Data!$B438='Team Parser'!$B$1,((Z446*2)+(Y446)+(X446*4)+(W446*2)),"")</f>
        <v/>
      </c>
      <c r="AC446" s="134" t="str">
        <f>IF(Data!$B438='Team Parser'!$B$1, Data!N438,"")</f>
        <v/>
      </c>
      <c r="AD446" s="139" t="str">
        <f>IF(Data!$B438='Team Parser'!$B$1,(AB446+(COUNTIF(AC446,"TRAVERSE")*15)+(COUNTIF(AC446,"HIGH")*10)+(COUNTIF(AC446,"MIDDLE")*6)+(COUNTIF(AC446,"LOW")*4)),"")</f>
        <v/>
      </c>
    </row>
    <row r="447">
      <c r="A447" s="141" t="s">
        <v>507</v>
      </c>
      <c r="B447" s="134" t="str">
        <f>IFERROR(__xludf.DUMMYFUNCTION("IFERROR((FILTER(Data!H:H,Data!D:D=A447,Data!B:B=$B$1)),"""")"),"")</f>
        <v/>
      </c>
      <c r="C447" s="134" t="str">
        <f>IFERROR(__xludf.DUMMYFUNCTION("IFERROR((FILTER(Data!G:G,Data!D:D=A447,Data!B:B=$B$1)),"""")"),"")</f>
        <v/>
      </c>
      <c r="D447" s="134" t="str">
        <f>IFERROR(__xludf.DUMMYFUNCTION("IFERROR((FILTER(Data!J:J,Data!D:D=A447,Data!B:B=$B$1)),"""")"),"")</f>
        <v/>
      </c>
      <c r="E447" s="134" t="str">
        <f>IFERROR(__xludf.DUMMYFUNCTION("IFERROR((FILTER(Data!L:L,Data!D:D=A447,Data!B:B=$B$1)),"""")"),"")</f>
        <v/>
      </c>
      <c r="F447" s="134" t="str">
        <f>IFERROR(__xludf.DUMMYFUNCTION("IFERROR((FILTER(Data!K:K,Data!D:D=A447,Data!B:B=$B$1)),"""")"),"")</f>
        <v/>
      </c>
      <c r="G447" s="134" t="str">
        <f>IFERROR(__xludf.DUMMYFUNCTION("IFERROR((FILTER(Data!M:M,Data!D:D=A447,Data!B:B=$B$1)),"""")"),"")</f>
        <v/>
      </c>
      <c r="H447" s="134" t="str">
        <f>IFERROR(__xludf.DUMMYFUNCTION("IFERROR((FILTER(Data!G:G,Data!D:D=A447,Data!B:B=$B$1)*4)+(FILTER(Data!H:H,Data!D:D=A447,Data!B:B=$B$1)*2),"""")"),"")</f>
        <v/>
      </c>
      <c r="I447" s="15" t="str">
        <f>IFERROR(__xludf.DUMMYFUNCTION("IFERROR((FILTER(Data!K:K,Data!D:D=A447,Data!B:B=$B$1)*2)+(FILTER(Data!L:L,Data!D:D=A447,Data!B:B=$B$1)),"""")"),"")</f>
        <v/>
      </c>
      <c r="J447" s="134" t="str">
        <f>IFERROR(__xludf.DUMMYFUNCTION("IFERROR((FILTER(Data!N:N,Data!D:D=A447,Data!B:B=$B$1)),"""")"),"")</f>
        <v/>
      </c>
      <c r="K447" s="135" t="str">
        <f>IFERROR(__xludf.DUMMYFUNCTION("IFERROR((FILTER(Data!H:H,Data!D:D=A447,Data!B:B=$B$1)*2)+(FILTER(Data!L:L,Data!D:D=A447,Data!B:B=$B$1))+(FILTER(Data!G:G,Data!D:D=A447,Data!B:B=$B$1)*4)+(FILTER(Data!K:K,Data!D:D=A447,Data!B:B=$B$1)*2)+(((COUNTIF(FILTER(Data!N:N,Data!D:D=A447,Data!B:B=$B$"&amp;"1),""TRAVERSE"")*15)+(COUNTIF(FILTER(Data!N:N,Data!D:D=A447,Data!B:B=$B$1),""HIGH"")*10)+(COUNTIF(FILTER(Data!N:N,Data!D:D=A447,Data!B:B=$B$1),""MIDDLE"")*6)+(COUNTIF(FILTER(Data!N:N,Data!D:D=A447,Data!B:B=$B$1),""LOW"")*4))),"""")"),"")</f>
        <v/>
      </c>
      <c r="L447" s="136" t="str">
        <f>IFERROR(__xludf.DUMMYFUNCTION("IFERROR((FILTER(Data!P:P,Data!D:D=A447,Data!B:B=$B$1)),"""")"),"")</f>
        <v/>
      </c>
      <c r="M447" s="137" t="str">
        <f>IFERROR(__xludf.DUMMYFUNCTION("IFERROR((FILTER(Data!A:A,Data!D:D=A447,Data!B:B=$B$1)),"""")"),"")</f>
        <v/>
      </c>
      <c r="T447" s="52">
        <f>IFERROR(__xludf.DUMMYFUNCTION("((COUNTIF(FILTER(Data!N:N,Data!D:D=A447,Data!B:B=$B$1),""TRAVERSE"")*15)+(COUNTIF(FILTER(Data!N:N,Data!D:D=A447,Data!B:B=B$1),""HIGH"")*10)+(COUNTIF(FILTER(Data!N:N,Data!D:D=A447,Data!B:B=$B$1),""MIDDLE"")*6)+(COUNTIF(FILTER(Data!N:N,Data!D:D=A447,Data!B:"&amp;"B=$B$1),""LOW"")*4))"),0.0)</f>
        <v>0</v>
      </c>
      <c r="V447" s="138" t="str">
        <f>IF(Data!B439='Team Parser'!$B$1, Data!D439,"")</f>
        <v/>
      </c>
      <c r="W447" s="134" t="str">
        <f>IF(Data!$B439='Team Parser'!$B$1, Data!H439,"")</f>
        <v/>
      </c>
      <c r="X447" s="134" t="str">
        <f>IF(Data!$B439='Team Parser'!$B$1, Data!G439,"")</f>
        <v/>
      </c>
      <c r="Y447" s="134" t="str">
        <f>IF(Data!$B439='Team Parser'!$B$1, Data!L439,"")</f>
        <v/>
      </c>
      <c r="Z447" s="134" t="str">
        <f>IF(Data!$B439='Team Parser'!$B$1, Data!K439,"")</f>
        <v/>
      </c>
      <c r="AA447" s="134" t="str">
        <f>IF(Data!$B439='Team Parser'!$B$1, Data!M439,"")</f>
        <v/>
      </c>
      <c r="AB447" s="134" t="str">
        <f>IF(Data!$B439='Team Parser'!$B$1,((Z447*2)+(Y447)+(X447*4)+(W447*2)),"")</f>
        <v/>
      </c>
      <c r="AC447" s="134" t="str">
        <f>IF(Data!$B439='Team Parser'!$B$1, Data!N439,"")</f>
        <v/>
      </c>
      <c r="AD447" s="139" t="str">
        <f>IF(Data!$B439='Team Parser'!$B$1,(AB447+(COUNTIF(AC447,"TRAVERSE")*15)+(COUNTIF(AC447,"HIGH")*10)+(COUNTIF(AC447,"MIDDLE")*6)+(COUNTIF(AC447,"LOW")*4)),"")</f>
        <v/>
      </c>
    </row>
    <row r="448">
      <c r="A448" s="141" t="s">
        <v>507</v>
      </c>
      <c r="B448" s="134" t="str">
        <f>IFERROR(__xludf.DUMMYFUNCTION("IFERROR((FILTER(Data!H:H,Data!D:D=A448,Data!B:B=$B$1)),"""")"),"")</f>
        <v/>
      </c>
      <c r="C448" s="134" t="str">
        <f>IFERROR(__xludf.DUMMYFUNCTION("IFERROR((FILTER(Data!G:G,Data!D:D=A448,Data!B:B=$B$1)),"""")"),"")</f>
        <v/>
      </c>
      <c r="D448" s="134" t="str">
        <f>IFERROR(__xludf.DUMMYFUNCTION("IFERROR((FILTER(Data!J:J,Data!D:D=A448,Data!B:B=$B$1)),"""")"),"")</f>
        <v/>
      </c>
      <c r="E448" s="134" t="str">
        <f>IFERROR(__xludf.DUMMYFUNCTION("IFERROR((FILTER(Data!L:L,Data!D:D=A448,Data!B:B=$B$1)),"""")"),"")</f>
        <v/>
      </c>
      <c r="F448" s="134" t="str">
        <f>IFERROR(__xludf.DUMMYFUNCTION("IFERROR((FILTER(Data!K:K,Data!D:D=A448,Data!B:B=$B$1)),"""")"),"")</f>
        <v/>
      </c>
      <c r="G448" s="134" t="str">
        <f>IFERROR(__xludf.DUMMYFUNCTION("IFERROR((FILTER(Data!M:M,Data!D:D=A448,Data!B:B=$B$1)),"""")"),"")</f>
        <v/>
      </c>
      <c r="H448" s="134" t="str">
        <f>IFERROR(__xludf.DUMMYFUNCTION("IFERROR((FILTER(Data!G:G,Data!D:D=A448,Data!B:B=$B$1)*4)+(FILTER(Data!H:H,Data!D:D=A448,Data!B:B=$B$1)*2),"""")"),"")</f>
        <v/>
      </c>
      <c r="I448" s="15" t="str">
        <f>IFERROR(__xludf.DUMMYFUNCTION("IFERROR((FILTER(Data!K:K,Data!D:D=A448,Data!B:B=$B$1)*2)+(FILTER(Data!L:L,Data!D:D=A448,Data!B:B=$B$1)),"""")"),"")</f>
        <v/>
      </c>
      <c r="J448" s="134" t="str">
        <f>IFERROR(__xludf.DUMMYFUNCTION("IFERROR((FILTER(Data!N:N,Data!D:D=A448,Data!B:B=$B$1)),"""")"),"")</f>
        <v/>
      </c>
      <c r="K448" s="135" t="str">
        <f>IFERROR(__xludf.DUMMYFUNCTION("IFERROR((FILTER(Data!H:H,Data!D:D=A448,Data!B:B=$B$1)*2)+(FILTER(Data!L:L,Data!D:D=A448,Data!B:B=$B$1))+(FILTER(Data!G:G,Data!D:D=A448,Data!B:B=$B$1)*4)+(FILTER(Data!K:K,Data!D:D=A448,Data!B:B=$B$1)*2)+(((COUNTIF(FILTER(Data!N:N,Data!D:D=A448,Data!B:B=$B$"&amp;"1),""TRAVERSE"")*15)+(COUNTIF(FILTER(Data!N:N,Data!D:D=A448,Data!B:B=$B$1),""HIGH"")*10)+(COUNTIF(FILTER(Data!N:N,Data!D:D=A448,Data!B:B=$B$1),""MIDDLE"")*6)+(COUNTIF(FILTER(Data!N:N,Data!D:D=A448,Data!B:B=$B$1),""LOW"")*4))),"""")"),"")</f>
        <v/>
      </c>
      <c r="L448" s="136" t="str">
        <f>IFERROR(__xludf.DUMMYFUNCTION("IFERROR((FILTER(Data!P:P,Data!D:D=A448,Data!B:B=$B$1)),"""")"),"")</f>
        <v/>
      </c>
      <c r="M448" s="137" t="str">
        <f>IFERROR(__xludf.DUMMYFUNCTION("IFERROR((FILTER(Data!A:A,Data!D:D=A448,Data!B:B=$B$1)),"""")"),"")</f>
        <v/>
      </c>
      <c r="T448" s="52">
        <f>IFERROR(__xludf.DUMMYFUNCTION("((COUNTIF(FILTER(Data!N:N,Data!D:D=A448,Data!B:B=$B$1),""TRAVERSE"")*15)+(COUNTIF(FILTER(Data!N:N,Data!D:D=A448,Data!B:B=B$1),""HIGH"")*10)+(COUNTIF(FILTER(Data!N:N,Data!D:D=A448,Data!B:B=$B$1),""MIDDLE"")*6)+(COUNTIF(FILTER(Data!N:N,Data!D:D=A448,Data!B:"&amp;"B=$B$1),""LOW"")*4))"),0.0)</f>
        <v>0</v>
      </c>
      <c r="V448" s="138" t="str">
        <f>IF(Data!B440='Team Parser'!$B$1, Data!D440,"")</f>
        <v/>
      </c>
      <c r="W448" s="134" t="str">
        <f>IF(Data!$B440='Team Parser'!$B$1, Data!H440,"")</f>
        <v/>
      </c>
      <c r="X448" s="134" t="str">
        <f>IF(Data!$B440='Team Parser'!$B$1, Data!G440,"")</f>
        <v/>
      </c>
      <c r="Y448" s="134" t="str">
        <f>IF(Data!$B440='Team Parser'!$B$1, Data!L440,"")</f>
        <v/>
      </c>
      <c r="Z448" s="134" t="str">
        <f>IF(Data!$B440='Team Parser'!$B$1, Data!K440,"")</f>
        <v/>
      </c>
      <c r="AA448" s="134" t="str">
        <f>IF(Data!$B440='Team Parser'!$B$1, Data!M440,"")</f>
        <v/>
      </c>
      <c r="AB448" s="134" t="str">
        <f>IF(Data!$B440='Team Parser'!$B$1,((Z448*2)+(Y448)+(X448*4)+(W448*2)),"")</f>
        <v/>
      </c>
      <c r="AC448" s="134" t="str">
        <f>IF(Data!$B440='Team Parser'!$B$1, Data!N440,"")</f>
        <v/>
      </c>
      <c r="AD448" s="139" t="str">
        <f>IF(Data!$B440='Team Parser'!$B$1,(AB448+(COUNTIF(AC448,"TRAVERSE")*15)+(COUNTIF(AC448,"HIGH")*10)+(COUNTIF(AC448,"MIDDLE")*6)+(COUNTIF(AC448,"LOW")*4)),"")</f>
        <v/>
      </c>
    </row>
    <row r="449">
      <c r="A449" s="141" t="s">
        <v>507</v>
      </c>
      <c r="B449" s="134" t="str">
        <f>IFERROR(__xludf.DUMMYFUNCTION("IFERROR((FILTER(Data!H:H,Data!D:D=A449,Data!B:B=$B$1)),"""")"),"")</f>
        <v/>
      </c>
      <c r="C449" s="134" t="str">
        <f>IFERROR(__xludf.DUMMYFUNCTION("IFERROR((FILTER(Data!G:G,Data!D:D=A449,Data!B:B=$B$1)),"""")"),"")</f>
        <v/>
      </c>
      <c r="D449" s="134" t="str">
        <f>IFERROR(__xludf.DUMMYFUNCTION("IFERROR((FILTER(Data!J:J,Data!D:D=A449,Data!B:B=$B$1)),"""")"),"")</f>
        <v/>
      </c>
      <c r="E449" s="134" t="str">
        <f>IFERROR(__xludf.DUMMYFUNCTION("IFERROR((FILTER(Data!L:L,Data!D:D=A449,Data!B:B=$B$1)),"""")"),"")</f>
        <v/>
      </c>
      <c r="F449" s="134" t="str">
        <f>IFERROR(__xludf.DUMMYFUNCTION("IFERROR((FILTER(Data!K:K,Data!D:D=A449,Data!B:B=$B$1)),"""")"),"")</f>
        <v/>
      </c>
      <c r="G449" s="134" t="str">
        <f>IFERROR(__xludf.DUMMYFUNCTION("IFERROR((FILTER(Data!M:M,Data!D:D=A449,Data!B:B=$B$1)),"""")"),"")</f>
        <v/>
      </c>
      <c r="H449" s="134" t="str">
        <f>IFERROR(__xludf.DUMMYFUNCTION("IFERROR((FILTER(Data!G:G,Data!D:D=A449,Data!B:B=$B$1)*4)+(FILTER(Data!H:H,Data!D:D=A449,Data!B:B=$B$1)*2),"""")"),"")</f>
        <v/>
      </c>
      <c r="I449" s="15" t="str">
        <f>IFERROR(__xludf.DUMMYFUNCTION("IFERROR((FILTER(Data!K:K,Data!D:D=A449,Data!B:B=$B$1)*2)+(FILTER(Data!L:L,Data!D:D=A449,Data!B:B=$B$1)),"""")"),"")</f>
        <v/>
      </c>
      <c r="J449" s="134" t="str">
        <f>IFERROR(__xludf.DUMMYFUNCTION("IFERROR((FILTER(Data!N:N,Data!D:D=A449,Data!B:B=$B$1)),"""")"),"")</f>
        <v/>
      </c>
      <c r="K449" s="135" t="str">
        <f>IFERROR(__xludf.DUMMYFUNCTION("IFERROR((FILTER(Data!H:H,Data!D:D=A449,Data!B:B=$B$1)*2)+(FILTER(Data!L:L,Data!D:D=A449,Data!B:B=$B$1))+(FILTER(Data!G:G,Data!D:D=A449,Data!B:B=$B$1)*4)+(FILTER(Data!K:K,Data!D:D=A449,Data!B:B=$B$1)*2)+(((COUNTIF(FILTER(Data!N:N,Data!D:D=A449,Data!B:B=$B$"&amp;"1),""TRAVERSE"")*15)+(COUNTIF(FILTER(Data!N:N,Data!D:D=A449,Data!B:B=$B$1),""HIGH"")*10)+(COUNTIF(FILTER(Data!N:N,Data!D:D=A449,Data!B:B=$B$1),""MIDDLE"")*6)+(COUNTIF(FILTER(Data!N:N,Data!D:D=A449,Data!B:B=$B$1),""LOW"")*4))),"""")"),"")</f>
        <v/>
      </c>
      <c r="L449" s="136" t="str">
        <f>IFERROR(__xludf.DUMMYFUNCTION("IFERROR((FILTER(Data!P:P,Data!D:D=A449,Data!B:B=$B$1)),"""")"),"")</f>
        <v/>
      </c>
      <c r="M449" s="137" t="str">
        <f>IFERROR(__xludf.DUMMYFUNCTION("IFERROR((FILTER(Data!A:A,Data!D:D=A449,Data!B:B=$B$1)),"""")"),"")</f>
        <v/>
      </c>
      <c r="T449" s="52">
        <f>IFERROR(__xludf.DUMMYFUNCTION("((COUNTIF(FILTER(Data!N:N,Data!D:D=A449,Data!B:B=$B$1),""TRAVERSE"")*15)+(COUNTIF(FILTER(Data!N:N,Data!D:D=A449,Data!B:B=B$1),""HIGH"")*10)+(COUNTIF(FILTER(Data!N:N,Data!D:D=A449,Data!B:B=$B$1),""MIDDLE"")*6)+(COUNTIF(FILTER(Data!N:N,Data!D:D=A449,Data!B:"&amp;"B=$B$1),""LOW"")*4))"),0.0)</f>
        <v>0</v>
      </c>
      <c r="V449" s="138" t="str">
        <f>IF(Data!B441='Team Parser'!$B$1, Data!D441,"")</f>
        <v/>
      </c>
      <c r="W449" s="134" t="str">
        <f>IF(Data!$B441='Team Parser'!$B$1, Data!H441,"")</f>
        <v/>
      </c>
      <c r="X449" s="134" t="str">
        <f>IF(Data!$B441='Team Parser'!$B$1, Data!G441,"")</f>
        <v/>
      </c>
      <c r="Y449" s="134" t="str">
        <f>IF(Data!$B441='Team Parser'!$B$1, Data!L441,"")</f>
        <v/>
      </c>
      <c r="Z449" s="134" t="str">
        <f>IF(Data!$B441='Team Parser'!$B$1, Data!K441,"")</f>
        <v/>
      </c>
      <c r="AA449" s="134" t="str">
        <f>IF(Data!$B441='Team Parser'!$B$1, Data!M441,"")</f>
        <v/>
      </c>
      <c r="AB449" s="134" t="str">
        <f>IF(Data!$B441='Team Parser'!$B$1,((Z449*2)+(Y449)+(X449*4)+(W449*2)),"")</f>
        <v/>
      </c>
      <c r="AC449" s="134" t="str">
        <f>IF(Data!$B441='Team Parser'!$B$1, Data!N441,"")</f>
        <v/>
      </c>
      <c r="AD449" s="139" t="str">
        <f>IF(Data!$B441='Team Parser'!$B$1,(AB449+(COUNTIF(AC449,"TRAVERSE")*15)+(COUNTIF(AC449,"HIGH")*10)+(COUNTIF(AC449,"MIDDLE")*6)+(COUNTIF(AC449,"LOW")*4)),"")</f>
        <v/>
      </c>
    </row>
    <row r="450">
      <c r="A450" s="141" t="s">
        <v>507</v>
      </c>
      <c r="B450" s="134" t="str">
        <f>IFERROR(__xludf.DUMMYFUNCTION("IFERROR((FILTER(Data!H:H,Data!D:D=A450,Data!B:B=$B$1)),"""")"),"")</f>
        <v/>
      </c>
      <c r="C450" s="134" t="str">
        <f>IFERROR(__xludf.DUMMYFUNCTION("IFERROR((FILTER(Data!G:G,Data!D:D=A450,Data!B:B=$B$1)),"""")"),"")</f>
        <v/>
      </c>
      <c r="D450" s="134" t="str">
        <f>IFERROR(__xludf.DUMMYFUNCTION("IFERROR((FILTER(Data!J:J,Data!D:D=A450,Data!B:B=$B$1)),"""")"),"")</f>
        <v/>
      </c>
      <c r="E450" s="134" t="str">
        <f>IFERROR(__xludf.DUMMYFUNCTION("IFERROR((FILTER(Data!L:L,Data!D:D=A450,Data!B:B=$B$1)),"""")"),"")</f>
        <v/>
      </c>
      <c r="F450" s="134" t="str">
        <f>IFERROR(__xludf.DUMMYFUNCTION("IFERROR((FILTER(Data!K:K,Data!D:D=A450,Data!B:B=$B$1)),"""")"),"")</f>
        <v/>
      </c>
      <c r="G450" s="134" t="str">
        <f>IFERROR(__xludf.DUMMYFUNCTION("IFERROR((FILTER(Data!M:M,Data!D:D=A450,Data!B:B=$B$1)),"""")"),"")</f>
        <v/>
      </c>
      <c r="H450" s="134" t="str">
        <f>IFERROR(__xludf.DUMMYFUNCTION("IFERROR((FILTER(Data!G:G,Data!D:D=A450,Data!B:B=$B$1)*4)+(FILTER(Data!H:H,Data!D:D=A450,Data!B:B=$B$1)*2),"""")"),"")</f>
        <v/>
      </c>
      <c r="I450" s="15" t="str">
        <f>IFERROR(__xludf.DUMMYFUNCTION("IFERROR((FILTER(Data!K:K,Data!D:D=A450,Data!B:B=$B$1)*2)+(FILTER(Data!L:L,Data!D:D=A450,Data!B:B=$B$1)),"""")"),"")</f>
        <v/>
      </c>
      <c r="J450" s="134" t="str">
        <f>IFERROR(__xludf.DUMMYFUNCTION("IFERROR((FILTER(Data!N:N,Data!D:D=A450,Data!B:B=$B$1)),"""")"),"")</f>
        <v/>
      </c>
      <c r="K450" s="135" t="str">
        <f>IFERROR(__xludf.DUMMYFUNCTION("IFERROR((FILTER(Data!H:H,Data!D:D=A450,Data!B:B=$B$1)*2)+(FILTER(Data!L:L,Data!D:D=A450,Data!B:B=$B$1))+(FILTER(Data!G:G,Data!D:D=A450,Data!B:B=$B$1)*4)+(FILTER(Data!K:K,Data!D:D=A450,Data!B:B=$B$1)*2)+(((COUNTIF(FILTER(Data!N:N,Data!D:D=A450,Data!B:B=$B$"&amp;"1),""TRAVERSE"")*15)+(COUNTIF(FILTER(Data!N:N,Data!D:D=A450,Data!B:B=$B$1),""HIGH"")*10)+(COUNTIF(FILTER(Data!N:N,Data!D:D=A450,Data!B:B=$B$1),""MIDDLE"")*6)+(COUNTIF(FILTER(Data!N:N,Data!D:D=A450,Data!B:B=$B$1),""LOW"")*4))),"""")"),"")</f>
        <v/>
      </c>
      <c r="L450" s="136" t="str">
        <f>IFERROR(__xludf.DUMMYFUNCTION("IFERROR((FILTER(Data!P:P,Data!D:D=A450,Data!B:B=$B$1)),"""")"),"")</f>
        <v/>
      </c>
      <c r="M450" s="137" t="str">
        <f>IFERROR(__xludf.DUMMYFUNCTION("IFERROR((FILTER(Data!A:A,Data!D:D=A450,Data!B:B=$B$1)),"""")"),"")</f>
        <v/>
      </c>
      <c r="T450" s="52">
        <f>IFERROR(__xludf.DUMMYFUNCTION("((COUNTIF(FILTER(Data!N:N,Data!D:D=A450,Data!B:B=$B$1),""TRAVERSE"")*15)+(COUNTIF(FILTER(Data!N:N,Data!D:D=A450,Data!B:B=B$1),""HIGH"")*10)+(COUNTIF(FILTER(Data!N:N,Data!D:D=A450,Data!B:B=$B$1),""MIDDLE"")*6)+(COUNTIF(FILTER(Data!N:N,Data!D:D=A450,Data!B:"&amp;"B=$B$1),""LOW"")*4))"),0.0)</f>
        <v>0</v>
      </c>
      <c r="V450" s="138" t="str">
        <f>IF(Data!B442='Team Parser'!$B$1, Data!D442,"")</f>
        <v/>
      </c>
      <c r="W450" s="134" t="str">
        <f>IF(Data!$B442='Team Parser'!$B$1, Data!H442,"")</f>
        <v/>
      </c>
      <c r="X450" s="134" t="str">
        <f>IF(Data!$B442='Team Parser'!$B$1, Data!G442,"")</f>
        <v/>
      </c>
      <c r="Y450" s="134" t="str">
        <f>IF(Data!$B442='Team Parser'!$B$1, Data!L442,"")</f>
        <v/>
      </c>
      <c r="Z450" s="134" t="str">
        <f>IF(Data!$B442='Team Parser'!$B$1, Data!K442,"")</f>
        <v/>
      </c>
      <c r="AA450" s="134" t="str">
        <f>IF(Data!$B442='Team Parser'!$B$1, Data!M442,"")</f>
        <v/>
      </c>
      <c r="AB450" s="134" t="str">
        <f>IF(Data!$B442='Team Parser'!$B$1,((Z450*2)+(Y450)+(X450*4)+(W450*2)),"")</f>
        <v/>
      </c>
      <c r="AC450" s="134" t="str">
        <f>IF(Data!$B442='Team Parser'!$B$1, Data!N442,"")</f>
        <v/>
      </c>
      <c r="AD450" s="139" t="str">
        <f>IF(Data!$B442='Team Parser'!$B$1,(AB450+(COUNTIF(AC450,"TRAVERSE")*15)+(COUNTIF(AC450,"HIGH")*10)+(COUNTIF(AC450,"MIDDLE")*6)+(COUNTIF(AC450,"LOW")*4)),"")</f>
        <v/>
      </c>
    </row>
    <row r="451">
      <c r="A451" s="141" t="s">
        <v>507</v>
      </c>
      <c r="B451" s="134" t="str">
        <f>IFERROR(__xludf.DUMMYFUNCTION("IFERROR((FILTER(Data!H:H,Data!D:D=A451,Data!B:B=$B$1)),"""")"),"")</f>
        <v/>
      </c>
      <c r="C451" s="134" t="str">
        <f>IFERROR(__xludf.DUMMYFUNCTION("IFERROR((FILTER(Data!G:G,Data!D:D=A451,Data!B:B=$B$1)),"""")"),"")</f>
        <v/>
      </c>
      <c r="D451" s="134" t="str">
        <f>IFERROR(__xludf.DUMMYFUNCTION("IFERROR((FILTER(Data!J:J,Data!D:D=A451,Data!B:B=$B$1)),"""")"),"")</f>
        <v/>
      </c>
      <c r="E451" s="134" t="str">
        <f>IFERROR(__xludf.DUMMYFUNCTION("IFERROR((FILTER(Data!L:L,Data!D:D=A451,Data!B:B=$B$1)),"""")"),"")</f>
        <v/>
      </c>
      <c r="F451" s="134" t="str">
        <f>IFERROR(__xludf.DUMMYFUNCTION("IFERROR((FILTER(Data!K:K,Data!D:D=A451,Data!B:B=$B$1)),"""")"),"")</f>
        <v/>
      </c>
      <c r="G451" s="134" t="str">
        <f>IFERROR(__xludf.DUMMYFUNCTION("IFERROR((FILTER(Data!M:M,Data!D:D=A451,Data!B:B=$B$1)),"""")"),"")</f>
        <v/>
      </c>
      <c r="H451" s="134" t="str">
        <f>IFERROR(__xludf.DUMMYFUNCTION("IFERROR((FILTER(Data!G:G,Data!D:D=A451,Data!B:B=$B$1)*4)+(FILTER(Data!H:H,Data!D:D=A451,Data!B:B=$B$1)*2),"""")"),"")</f>
        <v/>
      </c>
      <c r="I451" s="15" t="str">
        <f>IFERROR(__xludf.DUMMYFUNCTION("IFERROR((FILTER(Data!K:K,Data!D:D=A451,Data!B:B=$B$1)*2)+(FILTER(Data!L:L,Data!D:D=A451,Data!B:B=$B$1)),"""")"),"")</f>
        <v/>
      </c>
      <c r="J451" s="134" t="str">
        <f>IFERROR(__xludf.DUMMYFUNCTION("IFERROR((FILTER(Data!N:N,Data!D:D=A451,Data!B:B=$B$1)),"""")"),"")</f>
        <v/>
      </c>
      <c r="K451" s="135" t="str">
        <f>IFERROR(__xludf.DUMMYFUNCTION("IFERROR((FILTER(Data!H:H,Data!D:D=A451,Data!B:B=$B$1)*2)+(FILTER(Data!L:L,Data!D:D=A451,Data!B:B=$B$1))+(FILTER(Data!G:G,Data!D:D=A451,Data!B:B=$B$1)*4)+(FILTER(Data!K:K,Data!D:D=A451,Data!B:B=$B$1)*2)+(((COUNTIF(FILTER(Data!N:N,Data!D:D=A451,Data!B:B=$B$"&amp;"1),""TRAVERSE"")*15)+(COUNTIF(FILTER(Data!N:N,Data!D:D=A451,Data!B:B=$B$1),""HIGH"")*10)+(COUNTIF(FILTER(Data!N:N,Data!D:D=A451,Data!B:B=$B$1),""MIDDLE"")*6)+(COUNTIF(FILTER(Data!N:N,Data!D:D=A451,Data!B:B=$B$1),""LOW"")*4))),"""")"),"")</f>
        <v/>
      </c>
      <c r="L451" s="136" t="str">
        <f>IFERROR(__xludf.DUMMYFUNCTION("IFERROR((FILTER(Data!P:P,Data!D:D=A451,Data!B:B=$B$1)),"""")"),"")</f>
        <v/>
      </c>
      <c r="M451" s="137" t="str">
        <f>IFERROR(__xludf.DUMMYFUNCTION("IFERROR((FILTER(Data!A:A,Data!D:D=A451,Data!B:B=$B$1)),"""")"),"")</f>
        <v/>
      </c>
      <c r="T451" s="52">
        <f>IFERROR(__xludf.DUMMYFUNCTION("((COUNTIF(FILTER(Data!N:N,Data!D:D=A451,Data!B:B=$B$1),""TRAVERSE"")*15)+(COUNTIF(FILTER(Data!N:N,Data!D:D=A451,Data!B:B=B$1),""HIGH"")*10)+(COUNTIF(FILTER(Data!N:N,Data!D:D=A451,Data!B:B=$B$1),""MIDDLE"")*6)+(COUNTIF(FILTER(Data!N:N,Data!D:D=A451,Data!B:"&amp;"B=$B$1),""LOW"")*4))"),0.0)</f>
        <v>0</v>
      </c>
      <c r="V451" s="138" t="str">
        <f>IF(Data!B443='Team Parser'!$B$1, Data!D443,"")</f>
        <v/>
      </c>
      <c r="W451" s="134" t="str">
        <f>IF(Data!$B443='Team Parser'!$B$1, Data!H443,"")</f>
        <v/>
      </c>
      <c r="X451" s="134" t="str">
        <f>IF(Data!$B443='Team Parser'!$B$1, Data!G443,"")</f>
        <v/>
      </c>
      <c r="Y451" s="134" t="str">
        <f>IF(Data!$B443='Team Parser'!$B$1, Data!L443,"")</f>
        <v/>
      </c>
      <c r="Z451" s="134" t="str">
        <f>IF(Data!$B443='Team Parser'!$B$1, Data!K443,"")</f>
        <v/>
      </c>
      <c r="AA451" s="134" t="str">
        <f>IF(Data!$B443='Team Parser'!$B$1, Data!M443,"")</f>
        <v/>
      </c>
      <c r="AB451" s="134" t="str">
        <f>IF(Data!$B443='Team Parser'!$B$1,((Z451*2)+(Y451)+(X451*4)+(W451*2)),"")</f>
        <v/>
      </c>
      <c r="AC451" s="134" t="str">
        <f>IF(Data!$B443='Team Parser'!$B$1, Data!N443,"")</f>
        <v/>
      </c>
      <c r="AD451" s="139" t="str">
        <f>IF(Data!$B443='Team Parser'!$B$1,(AB451+(COUNTIF(AC451,"TRAVERSE")*15)+(COUNTIF(AC451,"HIGH")*10)+(COUNTIF(AC451,"MIDDLE")*6)+(COUNTIF(AC451,"LOW")*4)),"")</f>
        <v/>
      </c>
    </row>
    <row r="452">
      <c r="A452" s="141" t="s">
        <v>507</v>
      </c>
      <c r="B452" s="134" t="str">
        <f>IFERROR(__xludf.DUMMYFUNCTION("IFERROR((FILTER(Data!H:H,Data!D:D=A452,Data!B:B=$B$1)),"""")"),"")</f>
        <v/>
      </c>
      <c r="C452" s="134" t="str">
        <f>IFERROR(__xludf.DUMMYFUNCTION("IFERROR((FILTER(Data!G:G,Data!D:D=A452,Data!B:B=$B$1)),"""")"),"")</f>
        <v/>
      </c>
      <c r="D452" s="134" t="str">
        <f>IFERROR(__xludf.DUMMYFUNCTION("IFERROR((FILTER(Data!J:J,Data!D:D=A452,Data!B:B=$B$1)),"""")"),"")</f>
        <v/>
      </c>
      <c r="E452" s="134" t="str">
        <f>IFERROR(__xludf.DUMMYFUNCTION("IFERROR((FILTER(Data!L:L,Data!D:D=A452,Data!B:B=$B$1)),"""")"),"")</f>
        <v/>
      </c>
      <c r="F452" s="134" t="str">
        <f>IFERROR(__xludf.DUMMYFUNCTION("IFERROR((FILTER(Data!K:K,Data!D:D=A452,Data!B:B=$B$1)),"""")"),"")</f>
        <v/>
      </c>
      <c r="G452" s="134" t="str">
        <f>IFERROR(__xludf.DUMMYFUNCTION("IFERROR((FILTER(Data!M:M,Data!D:D=A452,Data!B:B=$B$1)),"""")"),"")</f>
        <v/>
      </c>
      <c r="H452" s="134" t="str">
        <f>IFERROR(__xludf.DUMMYFUNCTION("IFERROR((FILTER(Data!G:G,Data!D:D=A452,Data!B:B=$B$1)*4)+(FILTER(Data!H:H,Data!D:D=A452,Data!B:B=$B$1)*2),"""")"),"")</f>
        <v/>
      </c>
      <c r="I452" s="15" t="str">
        <f>IFERROR(__xludf.DUMMYFUNCTION("IFERROR((FILTER(Data!K:K,Data!D:D=A452,Data!B:B=$B$1)*2)+(FILTER(Data!L:L,Data!D:D=A452,Data!B:B=$B$1)),"""")"),"")</f>
        <v/>
      </c>
      <c r="J452" s="134" t="str">
        <f>IFERROR(__xludf.DUMMYFUNCTION("IFERROR((FILTER(Data!N:N,Data!D:D=A452,Data!B:B=$B$1)),"""")"),"")</f>
        <v/>
      </c>
      <c r="K452" s="135" t="str">
        <f>IFERROR(__xludf.DUMMYFUNCTION("IFERROR((FILTER(Data!H:H,Data!D:D=A452,Data!B:B=$B$1)*2)+(FILTER(Data!L:L,Data!D:D=A452,Data!B:B=$B$1))+(FILTER(Data!G:G,Data!D:D=A452,Data!B:B=$B$1)*4)+(FILTER(Data!K:K,Data!D:D=A452,Data!B:B=$B$1)*2)+(((COUNTIF(FILTER(Data!N:N,Data!D:D=A452,Data!B:B=$B$"&amp;"1),""TRAVERSE"")*15)+(COUNTIF(FILTER(Data!N:N,Data!D:D=A452,Data!B:B=$B$1),""HIGH"")*10)+(COUNTIF(FILTER(Data!N:N,Data!D:D=A452,Data!B:B=$B$1),""MIDDLE"")*6)+(COUNTIF(FILTER(Data!N:N,Data!D:D=A452,Data!B:B=$B$1),""LOW"")*4))),"""")"),"")</f>
        <v/>
      </c>
      <c r="L452" s="136" t="str">
        <f>IFERROR(__xludf.DUMMYFUNCTION("IFERROR((FILTER(Data!P:P,Data!D:D=A452,Data!B:B=$B$1)),"""")"),"")</f>
        <v/>
      </c>
      <c r="M452" s="137" t="str">
        <f>IFERROR(__xludf.DUMMYFUNCTION("IFERROR((FILTER(Data!A:A,Data!D:D=A452,Data!B:B=$B$1)),"""")"),"")</f>
        <v/>
      </c>
      <c r="T452" s="52">
        <f>IFERROR(__xludf.DUMMYFUNCTION("((COUNTIF(FILTER(Data!N:N,Data!D:D=A452,Data!B:B=$B$1),""TRAVERSE"")*15)+(COUNTIF(FILTER(Data!N:N,Data!D:D=A452,Data!B:B=B$1),""HIGH"")*10)+(COUNTIF(FILTER(Data!N:N,Data!D:D=A452,Data!B:B=$B$1),""MIDDLE"")*6)+(COUNTIF(FILTER(Data!N:N,Data!D:D=A452,Data!B:"&amp;"B=$B$1),""LOW"")*4))"),0.0)</f>
        <v>0</v>
      </c>
      <c r="V452" s="138" t="str">
        <f>IF(Data!B444='Team Parser'!$B$1, Data!D444,"")</f>
        <v/>
      </c>
      <c r="W452" s="134" t="str">
        <f>IF(Data!$B444='Team Parser'!$B$1, Data!H444,"")</f>
        <v/>
      </c>
      <c r="X452" s="134" t="str">
        <f>IF(Data!$B444='Team Parser'!$B$1, Data!G444,"")</f>
        <v/>
      </c>
      <c r="Y452" s="134" t="str">
        <f>IF(Data!$B444='Team Parser'!$B$1, Data!L444,"")</f>
        <v/>
      </c>
      <c r="Z452" s="134" t="str">
        <f>IF(Data!$B444='Team Parser'!$B$1, Data!K444,"")</f>
        <v/>
      </c>
      <c r="AA452" s="134" t="str">
        <f>IF(Data!$B444='Team Parser'!$B$1, Data!M444,"")</f>
        <v/>
      </c>
      <c r="AB452" s="134" t="str">
        <f>IF(Data!$B444='Team Parser'!$B$1,((Z452*2)+(Y452)+(X452*4)+(W452*2)),"")</f>
        <v/>
      </c>
      <c r="AC452" s="134" t="str">
        <f>IF(Data!$B444='Team Parser'!$B$1, Data!N444,"")</f>
        <v/>
      </c>
      <c r="AD452" s="139" t="str">
        <f>IF(Data!$B444='Team Parser'!$B$1,(AB452+(COUNTIF(AC452,"TRAVERSE")*15)+(COUNTIF(AC452,"HIGH")*10)+(COUNTIF(AC452,"MIDDLE")*6)+(COUNTIF(AC452,"LOW")*4)),"")</f>
        <v/>
      </c>
    </row>
    <row r="453">
      <c r="A453" s="141" t="s">
        <v>507</v>
      </c>
      <c r="B453" s="134" t="str">
        <f>IFERROR(__xludf.DUMMYFUNCTION("IFERROR((FILTER(Data!H:H,Data!D:D=A453,Data!B:B=$B$1)),"""")"),"")</f>
        <v/>
      </c>
      <c r="C453" s="134" t="str">
        <f>IFERROR(__xludf.DUMMYFUNCTION("IFERROR((FILTER(Data!G:G,Data!D:D=A453,Data!B:B=$B$1)),"""")"),"")</f>
        <v/>
      </c>
      <c r="D453" s="134" t="str">
        <f>IFERROR(__xludf.DUMMYFUNCTION("IFERROR((FILTER(Data!J:J,Data!D:D=A453,Data!B:B=$B$1)),"""")"),"")</f>
        <v/>
      </c>
      <c r="E453" s="134" t="str">
        <f>IFERROR(__xludf.DUMMYFUNCTION("IFERROR((FILTER(Data!L:L,Data!D:D=A453,Data!B:B=$B$1)),"""")"),"")</f>
        <v/>
      </c>
      <c r="F453" s="134" t="str">
        <f>IFERROR(__xludf.DUMMYFUNCTION("IFERROR((FILTER(Data!K:K,Data!D:D=A453,Data!B:B=$B$1)),"""")"),"")</f>
        <v/>
      </c>
      <c r="G453" s="134" t="str">
        <f>IFERROR(__xludf.DUMMYFUNCTION("IFERROR((FILTER(Data!M:M,Data!D:D=A453,Data!B:B=$B$1)),"""")"),"")</f>
        <v/>
      </c>
      <c r="H453" s="134" t="str">
        <f>IFERROR(__xludf.DUMMYFUNCTION("IFERROR((FILTER(Data!G:G,Data!D:D=A453,Data!B:B=$B$1)*4)+(FILTER(Data!H:H,Data!D:D=A453,Data!B:B=$B$1)*2),"""")"),"")</f>
        <v/>
      </c>
      <c r="I453" s="15" t="str">
        <f>IFERROR(__xludf.DUMMYFUNCTION("IFERROR((FILTER(Data!K:K,Data!D:D=A453,Data!B:B=$B$1)*2)+(FILTER(Data!L:L,Data!D:D=A453,Data!B:B=$B$1)),"""")"),"")</f>
        <v/>
      </c>
      <c r="J453" s="134" t="str">
        <f>IFERROR(__xludf.DUMMYFUNCTION("IFERROR((FILTER(Data!N:N,Data!D:D=A453,Data!B:B=$B$1)),"""")"),"")</f>
        <v/>
      </c>
      <c r="K453" s="135" t="str">
        <f>IFERROR(__xludf.DUMMYFUNCTION("IFERROR((FILTER(Data!H:H,Data!D:D=A453,Data!B:B=$B$1)*2)+(FILTER(Data!L:L,Data!D:D=A453,Data!B:B=$B$1))+(FILTER(Data!G:G,Data!D:D=A453,Data!B:B=$B$1)*4)+(FILTER(Data!K:K,Data!D:D=A453,Data!B:B=$B$1)*2)+(((COUNTIF(FILTER(Data!N:N,Data!D:D=A453,Data!B:B=$B$"&amp;"1),""TRAVERSE"")*15)+(COUNTIF(FILTER(Data!N:N,Data!D:D=A453,Data!B:B=$B$1),""HIGH"")*10)+(COUNTIF(FILTER(Data!N:N,Data!D:D=A453,Data!B:B=$B$1),""MIDDLE"")*6)+(COUNTIF(FILTER(Data!N:N,Data!D:D=A453,Data!B:B=$B$1),""LOW"")*4))),"""")"),"")</f>
        <v/>
      </c>
      <c r="L453" s="136" t="str">
        <f>IFERROR(__xludf.DUMMYFUNCTION("IFERROR((FILTER(Data!P:P,Data!D:D=A453,Data!B:B=$B$1)),"""")"),"")</f>
        <v/>
      </c>
      <c r="M453" s="137" t="str">
        <f>IFERROR(__xludf.DUMMYFUNCTION("IFERROR((FILTER(Data!A:A,Data!D:D=A453,Data!B:B=$B$1)),"""")"),"")</f>
        <v/>
      </c>
      <c r="T453" s="52">
        <f>IFERROR(__xludf.DUMMYFUNCTION("((COUNTIF(FILTER(Data!N:N,Data!D:D=A453,Data!B:B=$B$1),""TRAVERSE"")*15)+(COUNTIF(FILTER(Data!N:N,Data!D:D=A453,Data!B:B=B$1),""HIGH"")*10)+(COUNTIF(FILTER(Data!N:N,Data!D:D=A453,Data!B:B=$B$1),""MIDDLE"")*6)+(COUNTIF(FILTER(Data!N:N,Data!D:D=A453,Data!B:"&amp;"B=$B$1),""LOW"")*4))"),0.0)</f>
        <v>0</v>
      </c>
      <c r="V453" s="138" t="str">
        <f>IF(Data!B445='Team Parser'!$B$1, Data!D445,"")</f>
        <v/>
      </c>
      <c r="W453" s="134" t="str">
        <f>IF(Data!$B445='Team Parser'!$B$1, Data!H445,"")</f>
        <v/>
      </c>
      <c r="X453" s="134" t="str">
        <f>IF(Data!$B445='Team Parser'!$B$1, Data!G445,"")</f>
        <v/>
      </c>
      <c r="Y453" s="134" t="str">
        <f>IF(Data!$B445='Team Parser'!$B$1, Data!L445,"")</f>
        <v/>
      </c>
      <c r="Z453" s="134" t="str">
        <f>IF(Data!$B445='Team Parser'!$B$1, Data!K445,"")</f>
        <v/>
      </c>
      <c r="AA453" s="134" t="str">
        <f>IF(Data!$B445='Team Parser'!$B$1, Data!M445,"")</f>
        <v/>
      </c>
      <c r="AB453" s="134" t="str">
        <f>IF(Data!$B445='Team Parser'!$B$1,((Z453*2)+(Y453)+(X453*4)+(W453*2)),"")</f>
        <v/>
      </c>
      <c r="AC453" s="134" t="str">
        <f>IF(Data!$B445='Team Parser'!$B$1, Data!N445,"")</f>
        <v/>
      </c>
      <c r="AD453" s="139" t="str">
        <f>IF(Data!$B445='Team Parser'!$B$1,(AB453+(COUNTIF(AC453,"TRAVERSE")*15)+(COUNTIF(AC453,"HIGH")*10)+(COUNTIF(AC453,"MIDDLE")*6)+(COUNTIF(AC453,"LOW")*4)),"")</f>
        <v/>
      </c>
    </row>
    <row r="454">
      <c r="A454" s="141" t="s">
        <v>507</v>
      </c>
      <c r="B454" s="134" t="str">
        <f>IFERROR(__xludf.DUMMYFUNCTION("IFERROR((FILTER(Data!H:H,Data!D:D=A454,Data!B:B=$B$1)),"""")"),"")</f>
        <v/>
      </c>
      <c r="C454" s="134" t="str">
        <f>IFERROR(__xludf.DUMMYFUNCTION("IFERROR((FILTER(Data!G:G,Data!D:D=A454,Data!B:B=$B$1)),"""")"),"")</f>
        <v/>
      </c>
      <c r="D454" s="134" t="str">
        <f>IFERROR(__xludf.DUMMYFUNCTION("IFERROR((FILTER(Data!J:J,Data!D:D=A454,Data!B:B=$B$1)),"""")"),"")</f>
        <v/>
      </c>
      <c r="E454" s="134" t="str">
        <f>IFERROR(__xludf.DUMMYFUNCTION("IFERROR((FILTER(Data!L:L,Data!D:D=A454,Data!B:B=$B$1)),"""")"),"")</f>
        <v/>
      </c>
      <c r="F454" s="134" t="str">
        <f>IFERROR(__xludf.DUMMYFUNCTION("IFERROR((FILTER(Data!K:K,Data!D:D=A454,Data!B:B=$B$1)),"""")"),"")</f>
        <v/>
      </c>
      <c r="G454" s="134" t="str">
        <f>IFERROR(__xludf.DUMMYFUNCTION("IFERROR((FILTER(Data!M:M,Data!D:D=A454,Data!B:B=$B$1)),"""")"),"")</f>
        <v/>
      </c>
      <c r="H454" s="134" t="str">
        <f>IFERROR(__xludf.DUMMYFUNCTION("IFERROR((FILTER(Data!G:G,Data!D:D=A454,Data!B:B=$B$1)*4)+(FILTER(Data!H:H,Data!D:D=A454,Data!B:B=$B$1)*2),"""")"),"")</f>
        <v/>
      </c>
      <c r="I454" s="15" t="str">
        <f>IFERROR(__xludf.DUMMYFUNCTION("IFERROR((FILTER(Data!K:K,Data!D:D=A454,Data!B:B=$B$1)*2)+(FILTER(Data!L:L,Data!D:D=A454,Data!B:B=$B$1)),"""")"),"")</f>
        <v/>
      </c>
      <c r="J454" s="134" t="str">
        <f>IFERROR(__xludf.DUMMYFUNCTION("IFERROR((FILTER(Data!N:N,Data!D:D=A454,Data!B:B=$B$1)),"""")"),"")</f>
        <v/>
      </c>
      <c r="K454" s="135" t="str">
        <f>IFERROR(__xludf.DUMMYFUNCTION("IFERROR((FILTER(Data!H:H,Data!D:D=A454,Data!B:B=$B$1)*2)+(FILTER(Data!L:L,Data!D:D=A454,Data!B:B=$B$1))+(FILTER(Data!G:G,Data!D:D=A454,Data!B:B=$B$1)*4)+(FILTER(Data!K:K,Data!D:D=A454,Data!B:B=$B$1)*2)+(((COUNTIF(FILTER(Data!N:N,Data!D:D=A454,Data!B:B=$B$"&amp;"1),""TRAVERSE"")*15)+(COUNTIF(FILTER(Data!N:N,Data!D:D=A454,Data!B:B=$B$1),""HIGH"")*10)+(COUNTIF(FILTER(Data!N:N,Data!D:D=A454,Data!B:B=$B$1),""MIDDLE"")*6)+(COUNTIF(FILTER(Data!N:N,Data!D:D=A454,Data!B:B=$B$1),""LOW"")*4))),"""")"),"")</f>
        <v/>
      </c>
      <c r="L454" s="136" t="str">
        <f>IFERROR(__xludf.DUMMYFUNCTION("IFERROR((FILTER(Data!P:P,Data!D:D=A454,Data!B:B=$B$1)),"""")"),"")</f>
        <v/>
      </c>
      <c r="M454" s="137" t="str">
        <f>IFERROR(__xludf.DUMMYFUNCTION("IFERROR((FILTER(Data!A:A,Data!D:D=A454,Data!B:B=$B$1)),"""")"),"")</f>
        <v/>
      </c>
      <c r="T454" s="52">
        <f>IFERROR(__xludf.DUMMYFUNCTION("((COUNTIF(FILTER(Data!N:N,Data!D:D=A454,Data!B:B=$B$1),""TRAVERSE"")*15)+(COUNTIF(FILTER(Data!N:N,Data!D:D=A454,Data!B:B=B$1),""HIGH"")*10)+(COUNTIF(FILTER(Data!N:N,Data!D:D=A454,Data!B:B=$B$1),""MIDDLE"")*6)+(COUNTIF(FILTER(Data!N:N,Data!D:D=A454,Data!B:"&amp;"B=$B$1),""LOW"")*4))"),0.0)</f>
        <v>0</v>
      </c>
      <c r="V454" s="138" t="str">
        <f>IF(Data!B446='Team Parser'!$B$1, Data!D446,"")</f>
        <v/>
      </c>
      <c r="W454" s="134" t="str">
        <f>IF(Data!$B446='Team Parser'!$B$1, Data!H446,"")</f>
        <v/>
      </c>
      <c r="X454" s="134" t="str">
        <f>IF(Data!$B446='Team Parser'!$B$1, Data!G446,"")</f>
        <v/>
      </c>
      <c r="Y454" s="134" t="str">
        <f>IF(Data!$B446='Team Parser'!$B$1, Data!L446,"")</f>
        <v/>
      </c>
      <c r="Z454" s="134" t="str">
        <f>IF(Data!$B446='Team Parser'!$B$1, Data!K446,"")</f>
        <v/>
      </c>
      <c r="AA454" s="134" t="str">
        <f>IF(Data!$B446='Team Parser'!$B$1, Data!M446,"")</f>
        <v/>
      </c>
      <c r="AB454" s="134" t="str">
        <f>IF(Data!$B446='Team Parser'!$B$1,((Z454*2)+(Y454)+(X454*4)+(W454*2)),"")</f>
        <v/>
      </c>
      <c r="AC454" s="134" t="str">
        <f>IF(Data!$B446='Team Parser'!$B$1, Data!N446,"")</f>
        <v/>
      </c>
      <c r="AD454" s="139" t="str">
        <f>IF(Data!$B446='Team Parser'!$B$1,(AB454+(COUNTIF(AC454,"TRAVERSE")*15)+(COUNTIF(AC454,"HIGH")*10)+(COUNTIF(AC454,"MIDDLE")*6)+(COUNTIF(AC454,"LOW")*4)),"")</f>
        <v/>
      </c>
    </row>
    <row r="455">
      <c r="A455" s="141" t="s">
        <v>507</v>
      </c>
      <c r="B455" s="134" t="str">
        <f>IFERROR(__xludf.DUMMYFUNCTION("IFERROR((FILTER(Data!H:H,Data!D:D=A455,Data!B:B=$B$1)),"""")"),"")</f>
        <v/>
      </c>
      <c r="C455" s="134" t="str">
        <f>IFERROR(__xludf.DUMMYFUNCTION("IFERROR((FILTER(Data!G:G,Data!D:D=A455,Data!B:B=$B$1)),"""")"),"")</f>
        <v/>
      </c>
      <c r="D455" s="134" t="str">
        <f>IFERROR(__xludf.DUMMYFUNCTION("IFERROR((FILTER(Data!J:J,Data!D:D=A455,Data!B:B=$B$1)),"""")"),"")</f>
        <v/>
      </c>
      <c r="E455" s="134" t="str">
        <f>IFERROR(__xludf.DUMMYFUNCTION("IFERROR((FILTER(Data!L:L,Data!D:D=A455,Data!B:B=$B$1)),"""")"),"")</f>
        <v/>
      </c>
      <c r="F455" s="134" t="str">
        <f>IFERROR(__xludf.DUMMYFUNCTION("IFERROR((FILTER(Data!K:K,Data!D:D=A455,Data!B:B=$B$1)),"""")"),"")</f>
        <v/>
      </c>
      <c r="G455" s="134" t="str">
        <f>IFERROR(__xludf.DUMMYFUNCTION("IFERROR((FILTER(Data!M:M,Data!D:D=A455,Data!B:B=$B$1)),"""")"),"")</f>
        <v/>
      </c>
      <c r="H455" s="134" t="str">
        <f>IFERROR(__xludf.DUMMYFUNCTION("IFERROR((FILTER(Data!G:G,Data!D:D=A455,Data!B:B=$B$1)*4)+(FILTER(Data!H:H,Data!D:D=A455,Data!B:B=$B$1)*2),"""")"),"")</f>
        <v/>
      </c>
      <c r="I455" s="15" t="str">
        <f>IFERROR(__xludf.DUMMYFUNCTION("IFERROR((FILTER(Data!K:K,Data!D:D=A455,Data!B:B=$B$1)*2)+(FILTER(Data!L:L,Data!D:D=A455,Data!B:B=$B$1)),"""")"),"")</f>
        <v/>
      </c>
      <c r="J455" s="134" t="str">
        <f>IFERROR(__xludf.DUMMYFUNCTION("IFERROR((FILTER(Data!N:N,Data!D:D=A455,Data!B:B=$B$1)),"""")"),"")</f>
        <v/>
      </c>
      <c r="K455" s="135" t="str">
        <f>IFERROR(__xludf.DUMMYFUNCTION("IFERROR((FILTER(Data!H:H,Data!D:D=A455,Data!B:B=$B$1)*2)+(FILTER(Data!L:L,Data!D:D=A455,Data!B:B=$B$1))+(FILTER(Data!G:G,Data!D:D=A455,Data!B:B=$B$1)*4)+(FILTER(Data!K:K,Data!D:D=A455,Data!B:B=$B$1)*2)+(((COUNTIF(FILTER(Data!N:N,Data!D:D=A455,Data!B:B=$B$"&amp;"1),""TRAVERSE"")*15)+(COUNTIF(FILTER(Data!N:N,Data!D:D=A455,Data!B:B=$B$1),""HIGH"")*10)+(COUNTIF(FILTER(Data!N:N,Data!D:D=A455,Data!B:B=$B$1),""MIDDLE"")*6)+(COUNTIF(FILTER(Data!N:N,Data!D:D=A455,Data!B:B=$B$1),""LOW"")*4))),"""")"),"")</f>
        <v/>
      </c>
      <c r="L455" s="136" t="str">
        <f>IFERROR(__xludf.DUMMYFUNCTION("IFERROR((FILTER(Data!P:P,Data!D:D=A455,Data!B:B=$B$1)),"""")"),"")</f>
        <v/>
      </c>
      <c r="M455" s="137" t="str">
        <f>IFERROR(__xludf.DUMMYFUNCTION("IFERROR((FILTER(Data!A:A,Data!D:D=A455,Data!B:B=$B$1)),"""")"),"")</f>
        <v/>
      </c>
      <c r="T455" s="52">
        <f>IFERROR(__xludf.DUMMYFUNCTION("((COUNTIF(FILTER(Data!N:N,Data!D:D=A455,Data!B:B=$B$1),""TRAVERSE"")*15)+(COUNTIF(FILTER(Data!N:N,Data!D:D=A455,Data!B:B=B$1),""HIGH"")*10)+(COUNTIF(FILTER(Data!N:N,Data!D:D=A455,Data!B:B=$B$1),""MIDDLE"")*6)+(COUNTIF(FILTER(Data!N:N,Data!D:D=A455,Data!B:"&amp;"B=$B$1),""LOW"")*4))"),0.0)</f>
        <v>0</v>
      </c>
      <c r="V455" s="138" t="str">
        <f>IF(Data!B447='Team Parser'!$B$1, Data!D447,"")</f>
        <v/>
      </c>
      <c r="W455" s="134" t="str">
        <f>IF(Data!$B447='Team Parser'!$B$1, Data!H447,"")</f>
        <v/>
      </c>
      <c r="X455" s="134" t="str">
        <f>IF(Data!$B447='Team Parser'!$B$1, Data!G447,"")</f>
        <v/>
      </c>
      <c r="Y455" s="134" t="str">
        <f>IF(Data!$B447='Team Parser'!$B$1, Data!L447,"")</f>
        <v/>
      </c>
      <c r="Z455" s="134" t="str">
        <f>IF(Data!$B447='Team Parser'!$B$1, Data!K447,"")</f>
        <v/>
      </c>
      <c r="AA455" s="134" t="str">
        <f>IF(Data!$B447='Team Parser'!$B$1, Data!M447,"")</f>
        <v/>
      </c>
      <c r="AB455" s="134" t="str">
        <f>IF(Data!$B447='Team Parser'!$B$1,((Z455*2)+(Y455)+(X455*4)+(W455*2)),"")</f>
        <v/>
      </c>
      <c r="AC455" s="134" t="str">
        <f>IF(Data!$B447='Team Parser'!$B$1, Data!N447,"")</f>
        <v/>
      </c>
      <c r="AD455" s="139" t="str">
        <f>IF(Data!$B447='Team Parser'!$B$1,(AB455+(COUNTIF(AC455,"TRAVERSE")*15)+(COUNTIF(AC455,"HIGH")*10)+(COUNTIF(AC455,"MIDDLE")*6)+(COUNTIF(AC455,"LOW")*4)),"")</f>
        <v/>
      </c>
    </row>
    <row r="456">
      <c r="A456" s="141" t="s">
        <v>507</v>
      </c>
      <c r="B456" s="134" t="str">
        <f>IFERROR(__xludf.DUMMYFUNCTION("IFERROR((FILTER(Data!H:H,Data!D:D=A456,Data!B:B=$B$1)),"""")"),"")</f>
        <v/>
      </c>
      <c r="C456" s="134" t="str">
        <f>IFERROR(__xludf.DUMMYFUNCTION("IFERROR((FILTER(Data!G:G,Data!D:D=A456,Data!B:B=$B$1)),"""")"),"")</f>
        <v/>
      </c>
      <c r="D456" s="134" t="str">
        <f>IFERROR(__xludf.DUMMYFUNCTION("IFERROR((FILTER(Data!J:J,Data!D:D=A456,Data!B:B=$B$1)),"""")"),"")</f>
        <v/>
      </c>
      <c r="E456" s="134" t="str">
        <f>IFERROR(__xludf.DUMMYFUNCTION("IFERROR((FILTER(Data!L:L,Data!D:D=A456,Data!B:B=$B$1)),"""")"),"")</f>
        <v/>
      </c>
      <c r="F456" s="134" t="str">
        <f>IFERROR(__xludf.DUMMYFUNCTION("IFERROR((FILTER(Data!K:K,Data!D:D=A456,Data!B:B=$B$1)),"""")"),"")</f>
        <v/>
      </c>
      <c r="G456" s="134" t="str">
        <f>IFERROR(__xludf.DUMMYFUNCTION("IFERROR((FILTER(Data!M:M,Data!D:D=A456,Data!B:B=$B$1)),"""")"),"")</f>
        <v/>
      </c>
      <c r="H456" s="134" t="str">
        <f>IFERROR(__xludf.DUMMYFUNCTION("IFERROR((FILTER(Data!G:G,Data!D:D=A456,Data!B:B=$B$1)*4)+(FILTER(Data!H:H,Data!D:D=A456,Data!B:B=$B$1)*2),"""")"),"")</f>
        <v/>
      </c>
      <c r="I456" s="15" t="str">
        <f>IFERROR(__xludf.DUMMYFUNCTION("IFERROR((FILTER(Data!K:K,Data!D:D=A456,Data!B:B=$B$1)*2)+(FILTER(Data!L:L,Data!D:D=A456,Data!B:B=$B$1)),"""")"),"")</f>
        <v/>
      </c>
      <c r="J456" s="134" t="str">
        <f>IFERROR(__xludf.DUMMYFUNCTION("IFERROR((FILTER(Data!N:N,Data!D:D=A456,Data!B:B=$B$1)),"""")"),"")</f>
        <v/>
      </c>
      <c r="K456" s="135" t="str">
        <f>IFERROR(__xludf.DUMMYFUNCTION("IFERROR((FILTER(Data!H:H,Data!D:D=A456,Data!B:B=$B$1)*2)+(FILTER(Data!L:L,Data!D:D=A456,Data!B:B=$B$1))+(FILTER(Data!G:G,Data!D:D=A456,Data!B:B=$B$1)*4)+(FILTER(Data!K:K,Data!D:D=A456,Data!B:B=$B$1)*2)+(((COUNTIF(FILTER(Data!N:N,Data!D:D=A456,Data!B:B=$B$"&amp;"1),""TRAVERSE"")*15)+(COUNTIF(FILTER(Data!N:N,Data!D:D=A456,Data!B:B=$B$1),""HIGH"")*10)+(COUNTIF(FILTER(Data!N:N,Data!D:D=A456,Data!B:B=$B$1),""MIDDLE"")*6)+(COUNTIF(FILTER(Data!N:N,Data!D:D=A456,Data!B:B=$B$1),""LOW"")*4))),"""")"),"")</f>
        <v/>
      </c>
      <c r="L456" s="136" t="str">
        <f>IFERROR(__xludf.DUMMYFUNCTION("IFERROR((FILTER(Data!P:P,Data!D:D=A456,Data!B:B=$B$1)),"""")"),"")</f>
        <v/>
      </c>
      <c r="M456" s="137" t="str">
        <f>IFERROR(__xludf.DUMMYFUNCTION("IFERROR((FILTER(Data!A:A,Data!D:D=A456,Data!B:B=$B$1)),"""")"),"")</f>
        <v/>
      </c>
      <c r="T456" s="52">
        <f>IFERROR(__xludf.DUMMYFUNCTION("((COUNTIF(FILTER(Data!N:N,Data!D:D=A456,Data!B:B=$B$1),""TRAVERSE"")*15)+(COUNTIF(FILTER(Data!N:N,Data!D:D=A456,Data!B:B=B$1),""HIGH"")*10)+(COUNTIF(FILTER(Data!N:N,Data!D:D=A456,Data!B:B=$B$1),""MIDDLE"")*6)+(COUNTIF(FILTER(Data!N:N,Data!D:D=A456,Data!B:"&amp;"B=$B$1),""LOW"")*4))"),0.0)</f>
        <v>0</v>
      </c>
      <c r="V456" s="138" t="str">
        <f>IF(Data!B448='Team Parser'!$B$1, Data!D448,"")</f>
        <v/>
      </c>
      <c r="W456" s="134" t="str">
        <f>IF(Data!$B448='Team Parser'!$B$1, Data!H448,"")</f>
        <v/>
      </c>
      <c r="X456" s="134" t="str">
        <f>IF(Data!$B448='Team Parser'!$B$1, Data!G448,"")</f>
        <v/>
      </c>
      <c r="Y456" s="134" t="str">
        <f>IF(Data!$B448='Team Parser'!$B$1, Data!L448,"")</f>
        <v/>
      </c>
      <c r="Z456" s="134" t="str">
        <f>IF(Data!$B448='Team Parser'!$B$1, Data!K448,"")</f>
        <v/>
      </c>
      <c r="AA456" s="134" t="str">
        <f>IF(Data!$B448='Team Parser'!$B$1, Data!M448,"")</f>
        <v/>
      </c>
      <c r="AB456" s="134" t="str">
        <f>IF(Data!$B448='Team Parser'!$B$1,((Z456*2)+(Y456)+(X456*4)+(W456*2)),"")</f>
        <v/>
      </c>
      <c r="AC456" s="134" t="str">
        <f>IF(Data!$B448='Team Parser'!$B$1, Data!N448,"")</f>
        <v/>
      </c>
      <c r="AD456" s="139" t="str">
        <f>IF(Data!$B448='Team Parser'!$B$1,(AB456+(COUNTIF(AC456,"TRAVERSE")*15)+(COUNTIF(AC456,"HIGH")*10)+(COUNTIF(AC456,"MIDDLE")*6)+(COUNTIF(AC456,"LOW")*4)),"")</f>
        <v/>
      </c>
    </row>
    <row r="457">
      <c r="A457" s="141" t="s">
        <v>507</v>
      </c>
      <c r="B457" s="134" t="str">
        <f>IFERROR(__xludf.DUMMYFUNCTION("IFERROR((FILTER(Data!H:H,Data!D:D=A457,Data!B:B=$B$1)),"""")"),"")</f>
        <v/>
      </c>
      <c r="C457" s="134" t="str">
        <f>IFERROR(__xludf.DUMMYFUNCTION("IFERROR((FILTER(Data!G:G,Data!D:D=A457,Data!B:B=$B$1)),"""")"),"")</f>
        <v/>
      </c>
      <c r="D457" s="134" t="str">
        <f>IFERROR(__xludf.DUMMYFUNCTION("IFERROR((FILTER(Data!J:J,Data!D:D=A457,Data!B:B=$B$1)),"""")"),"")</f>
        <v/>
      </c>
      <c r="E457" s="134" t="str">
        <f>IFERROR(__xludf.DUMMYFUNCTION("IFERROR((FILTER(Data!L:L,Data!D:D=A457,Data!B:B=$B$1)),"""")"),"")</f>
        <v/>
      </c>
      <c r="F457" s="134" t="str">
        <f>IFERROR(__xludf.DUMMYFUNCTION("IFERROR((FILTER(Data!K:K,Data!D:D=A457,Data!B:B=$B$1)),"""")"),"")</f>
        <v/>
      </c>
      <c r="G457" s="134" t="str">
        <f>IFERROR(__xludf.DUMMYFUNCTION("IFERROR((FILTER(Data!M:M,Data!D:D=A457,Data!B:B=$B$1)),"""")"),"")</f>
        <v/>
      </c>
      <c r="H457" s="134" t="str">
        <f>IFERROR(__xludf.DUMMYFUNCTION("IFERROR((FILTER(Data!G:G,Data!D:D=A457,Data!B:B=$B$1)*4)+(FILTER(Data!H:H,Data!D:D=A457,Data!B:B=$B$1)*2),"""")"),"")</f>
        <v/>
      </c>
      <c r="I457" s="15" t="str">
        <f>IFERROR(__xludf.DUMMYFUNCTION("IFERROR((FILTER(Data!K:K,Data!D:D=A457,Data!B:B=$B$1)*2)+(FILTER(Data!L:L,Data!D:D=A457,Data!B:B=$B$1)),"""")"),"")</f>
        <v/>
      </c>
      <c r="J457" s="134" t="str">
        <f>IFERROR(__xludf.DUMMYFUNCTION("IFERROR((FILTER(Data!N:N,Data!D:D=A457,Data!B:B=$B$1)),"""")"),"")</f>
        <v/>
      </c>
      <c r="K457" s="135" t="str">
        <f>IFERROR(__xludf.DUMMYFUNCTION("IFERROR((FILTER(Data!H:H,Data!D:D=A457,Data!B:B=$B$1)*2)+(FILTER(Data!L:L,Data!D:D=A457,Data!B:B=$B$1))+(FILTER(Data!G:G,Data!D:D=A457,Data!B:B=$B$1)*4)+(FILTER(Data!K:K,Data!D:D=A457,Data!B:B=$B$1)*2)+(((COUNTIF(FILTER(Data!N:N,Data!D:D=A457,Data!B:B=$B$"&amp;"1),""TRAVERSE"")*15)+(COUNTIF(FILTER(Data!N:N,Data!D:D=A457,Data!B:B=$B$1),""HIGH"")*10)+(COUNTIF(FILTER(Data!N:N,Data!D:D=A457,Data!B:B=$B$1),""MIDDLE"")*6)+(COUNTIF(FILTER(Data!N:N,Data!D:D=A457,Data!B:B=$B$1),""LOW"")*4))),"""")"),"")</f>
        <v/>
      </c>
      <c r="L457" s="136" t="str">
        <f>IFERROR(__xludf.DUMMYFUNCTION("IFERROR((FILTER(Data!P:P,Data!D:D=A457,Data!B:B=$B$1)),"""")"),"")</f>
        <v/>
      </c>
      <c r="M457" s="137" t="str">
        <f>IFERROR(__xludf.DUMMYFUNCTION("IFERROR((FILTER(Data!A:A,Data!D:D=A457,Data!B:B=$B$1)),"""")"),"")</f>
        <v/>
      </c>
      <c r="T457" s="52">
        <f>IFERROR(__xludf.DUMMYFUNCTION("((COUNTIF(FILTER(Data!N:N,Data!D:D=A457,Data!B:B=$B$1),""TRAVERSE"")*15)+(COUNTIF(FILTER(Data!N:N,Data!D:D=A457,Data!B:B=B$1),""HIGH"")*10)+(COUNTIF(FILTER(Data!N:N,Data!D:D=A457,Data!B:B=$B$1),""MIDDLE"")*6)+(COUNTIF(FILTER(Data!N:N,Data!D:D=A457,Data!B:"&amp;"B=$B$1),""LOW"")*4))"),0.0)</f>
        <v>0</v>
      </c>
      <c r="V457" s="138" t="str">
        <f>IF(Data!B449='Team Parser'!$B$1, Data!D449,"")</f>
        <v/>
      </c>
      <c r="W457" s="134" t="str">
        <f>IF(Data!$B449='Team Parser'!$B$1, Data!H449,"")</f>
        <v/>
      </c>
      <c r="X457" s="134" t="str">
        <f>IF(Data!$B449='Team Parser'!$B$1, Data!G449,"")</f>
        <v/>
      </c>
      <c r="Y457" s="134" t="str">
        <f>IF(Data!$B449='Team Parser'!$B$1, Data!L449,"")</f>
        <v/>
      </c>
      <c r="Z457" s="134" t="str">
        <f>IF(Data!$B449='Team Parser'!$B$1, Data!K449,"")</f>
        <v/>
      </c>
      <c r="AA457" s="134" t="str">
        <f>IF(Data!$B449='Team Parser'!$B$1, Data!M449,"")</f>
        <v/>
      </c>
      <c r="AB457" s="134" t="str">
        <f>IF(Data!$B449='Team Parser'!$B$1,((Z457*2)+(Y457)+(X457*4)+(W457*2)),"")</f>
        <v/>
      </c>
      <c r="AC457" s="134" t="str">
        <f>IF(Data!$B449='Team Parser'!$B$1, Data!N449,"")</f>
        <v/>
      </c>
      <c r="AD457" s="139" t="str">
        <f>IF(Data!$B449='Team Parser'!$B$1,(AB457+(COUNTIF(AC457,"TRAVERSE")*15)+(COUNTIF(AC457,"HIGH")*10)+(COUNTIF(AC457,"MIDDLE")*6)+(COUNTIF(AC457,"LOW")*4)),"")</f>
        <v/>
      </c>
    </row>
    <row r="458">
      <c r="A458" s="141" t="s">
        <v>507</v>
      </c>
      <c r="B458" s="134" t="str">
        <f>IFERROR(__xludf.DUMMYFUNCTION("IFERROR((FILTER(Data!H:H,Data!D:D=A458,Data!B:B=$B$1)),"""")"),"")</f>
        <v/>
      </c>
      <c r="C458" s="134" t="str">
        <f>IFERROR(__xludf.DUMMYFUNCTION("IFERROR((FILTER(Data!G:G,Data!D:D=A458,Data!B:B=$B$1)),"""")"),"")</f>
        <v/>
      </c>
      <c r="D458" s="134" t="str">
        <f>IFERROR(__xludf.DUMMYFUNCTION("IFERROR((FILTER(Data!J:J,Data!D:D=A458,Data!B:B=$B$1)),"""")"),"")</f>
        <v/>
      </c>
      <c r="E458" s="134" t="str">
        <f>IFERROR(__xludf.DUMMYFUNCTION("IFERROR((FILTER(Data!L:L,Data!D:D=A458,Data!B:B=$B$1)),"""")"),"")</f>
        <v/>
      </c>
      <c r="F458" s="134" t="str">
        <f>IFERROR(__xludf.DUMMYFUNCTION("IFERROR((FILTER(Data!K:K,Data!D:D=A458,Data!B:B=$B$1)),"""")"),"")</f>
        <v/>
      </c>
      <c r="G458" s="134" t="str">
        <f>IFERROR(__xludf.DUMMYFUNCTION("IFERROR((FILTER(Data!M:M,Data!D:D=A458,Data!B:B=$B$1)),"""")"),"")</f>
        <v/>
      </c>
      <c r="H458" s="134" t="str">
        <f>IFERROR(__xludf.DUMMYFUNCTION("IFERROR((FILTER(Data!G:G,Data!D:D=A458,Data!B:B=$B$1)*4)+(FILTER(Data!H:H,Data!D:D=A458,Data!B:B=$B$1)*2),"""")"),"")</f>
        <v/>
      </c>
      <c r="I458" s="15" t="str">
        <f>IFERROR(__xludf.DUMMYFUNCTION("IFERROR((FILTER(Data!K:K,Data!D:D=A458,Data!B:B=$B$1)*2)+(FILTER(Data!L:L,Data!D:D=A458,Data!B:B=$B$1)),"""")"),"")</f>
        <v/>
      </c>
      <c r="J458" s="134" t="str">
        <f>IFERROR(__xludf.DUMMYFUNCTION("IFERROR((FILTER(Data!N:N,Data!D:D=A458,Data!B:B=$B$1)),"""")"),"")</f>
        <v/>
      </c>
      <c r="K458" s="135" t="str">
        <f>IFERROR(__xludf.DUMMYFUNCTION("IFERROR((FILTER(Data!H:H,Data!D:D=A458,Data!B:B=$B$1)*2)+(FILTER(Data!L:L,Data!D:D=A458,Data!B:B=$B$1))+(FILTER(Data!G:G,Data!D:D=A458,Data!B:B=$B$1)*4)+(FILTER(Data!K:K,Data!D:D=A458,Data!B:B=$B$1)*2)+(((COUNTIF(FILTER(Data!N:N,Data!D:D=A458,Data!B:B=$B$"&amp;"1),""TRAVERSE"")*15)+(COUNTIF(FILTER(Data!N:N,Data!D:D=A458,Data!B:B=$B$1),""HIGH"")*10)+(COUNTIF(FILTER(Data!N:N,Data!D:D=A458,Data!B:B=$B$1),""MIDDLE"")*6)+(COUNTIF(FILTER(Data!N:N,Data!D:D=A458,Data!B:B=$B$1),""LOW"")*4))),"""")"),"")</f>
        <v/>
      </c>
      <c r="L458" s="136" t="str">
        <f>IFERROR(__xludf.DUMMYFUNCTION("IFERROR((FILTER(Data!P:P,Data!D:D=A458,Data!B:B=$B$1)),"""")"),"")</f>
        <v/>
      </c>
      <c r="M458" s="137" t="str">
        <f>IFERROR(__xludf.DUMMYFUNCTION("IFERROR((FILTER(Data!A:A,Data!D:D=A458,Data!B:B=$B$1)),"""")"),"")</f>
        <v/>
      </c>
      <c r="T458" s="52">
        <f>IFERROR(__xludf.DUMMYFUNCTION("((COUNTIF(FILTER(Data!N:N,Data!D:D=A458,Data!B:B=$B$1),""TRAVERSE"")*15)+(COUNTIF(FILTER(Data!N:N,Data!D:D=A458,Data!B:B=B$1),""HIGH"")*10)+(COUNTIF(FILTER(Data!N:N,Data!D:D=A458,Data!B:B=$B$1),""MIDDLE"")*6)+(COUNTIF(FILTER(Data!N:N,Data!D:D=A458,Data!B:"&amp;"B=$B$1),""LOW"")*4))"),0.0)</f>
        <v>0</v>
      </c>
      <c r="V458" s="138" t="str">
        <f>IF(Data!B450='Team Parser'!$B$1, Data!D450,"")</f>
        <v/>
      </c>
      <c r="W458" s="134" t="str">
        <f>IF(Data!$B450='Team Parser'!$B$1, Data!H450,"")</f>
        <v/>
      </c>
      <c r="X458" s="134" t="str">
        <f>IF(Data!$B450='Team Parser'!$B$1, Data!G450,"")</f>
        <v/>
      </c>
      <c r="Y458" s="134" t="str">
        <f>IF(Data!$B450='Team Parser'!$B$1, Data!L450,"")</f>
        <v/>
      </c>
      <c r="Z458" s="134" t="str">
        <f>IF(Data!$B450='Team Parser'!$B$1, Data!K450,"")</f>
        <v/>
      </c>
      <c r="AA458" s="134" t="str">
        <f>IF(Data!$B450='Team Parser'!$B$1, Data!M450,"")</f>
        <v/>
      </c>
      <c r="AB458" s="134" t="str">
        <f>IF(Data!$B450='Team Parser'!$B$1,((Z458*2)+(Y458)+(X458*4)+(W458*2)),"")</f>
        <v/>
      </c>
      <c r="AC458" s="134" t="str">
        <f>IF(Data!$B450='Team Parser'!$B$1, Data!N450,"")</f>
        <v/>
      </c>
      <c r="AD458" s="139" t="str">
        <f>IF(Data!$B450='Team Parser'!$B$1,(AB458+(COUNTIF(AC458,"TRAVERSE")*15)+(COUNTIF(AC458,"HIGH")*10)+(COUNTIF(AC458,"MIDDLE")*6)+(COUNTIF(AC458,"LOW")*4)),"")</f>
        <v/>
      </c>
    </row>
    <row r="459">
      <c r="A459" s="141" t="s">
        <v>507</v>
      </c>
      <c r="B459" s="134" t="str">
        <f>IFERROR(__xludf.DUMMYFUNCTION("IFERROR((FILTER(Data!H:H,Data!D:D=A459,Data!B:B=$B$1)),"""")"),"")</f>
        <v/>
      </c>
      <c r="C459" s="134" t="str">
        <f>IFERROR(__xludf.DUMMYFUNCTION("IFERROR((FILTER(Data!G:G,Data!D:D=A459,Data!B:B=$B$1)),"""")"),"")</f>
        <v/>
      </c>
      <c r="D459" s="134" t="str">
        <f>IFERROR(__xludf.DUMMYFUNCTION("IFERROR((FILTER(Data!J:J,Data!D:D=A459,Data!B:B=$B$1)),"""")"),"")</f>
        <v/>
      </c>
      <c r="E459" s="134" t="str">
        <f>IFERROR(__xludf.DUMMYFUNCTION("IFERROR((FILTER(Data!L:L,Data!D:D=A459,Data!B:B=$B$1)),"""")"),"")</f>
        <v/>
      </c>
      <c r="F459" s="134" t="str">
        <f>IFERROR(__xludf.DUMMYFUNCTION("IFERROR((FILTER(Data!K:K,Data!D:D=A459,Data!B:B=$B$1)),"""")"),"")</f>
        <v/>
      </c>
      <c r="G459" s="134" t="str">
        <f>IFERROR(__xludf.DUMMYFUNCTION("IFERROR((FILTER(Data!M:M,Data!D:D=A459,Data!B:B=$B$1)),"""")"),"")</f>
        <v/>
      </c>
      <c r="H459" s="134" t="str">
        <f>IFERROR(__xludf.DUMMYFUNCTION("IFERROR((FILTER(Data!G:G,Data!D:D=A459,Data!B:B=$B$1)*4)+(FILTER(Data!H:H,Data!D:D=A459,Data!B:B=$B$1)*2),"""")"),"")</f>
        <v/>
      </c>
      <c r="I459" s="15" t="str">
        <f>IFERROR(__xludf.DUMMYFUNCTION("IFERROR((FILTER(Data!K:K,Data!D:D=A459,Data!B:B=$B$1)*2)+(FILTER(Data!L:L,Data!D:D=A459,Data!B:B=$B$1)),"""")"),"")</f>
        <v/>
      </c>
      <c r="J459" s="134" t="str">
        <f>IFERROR(__xludf.DUMMYFUNCTION("IFERROR((FILTER(Data!N:N,Data!D:D=A459,Data!B:B=$B$1)),"""")"),"")</f>
        <v/>
      </c>
      <c r="K459" s="135" t="str">
        <f>IFERROR(__xludf.DUMMYFUNCTION("IFERROR((FILTER(Data!H:H,Data!D:D=A459,Data!B:B=$B$1)*2)+(FILTER(Data!L:L,Data!D:D=A459,Data!B:B=$B$1))+(FILTER(Data!G:G,Data!D:D=A459,Data!B:B=$B$1)*4)+(FILTER(Data!K:K,Data!D:D=A459,Data!B:B=$B$1)*2)+(((COUNTIF(FILTER(Data!N:N,Data!D:D=A459,Data!B:B=$B$"&amp;"1),""TRAVERSE"")*15)+(COUNTIF(FILTER(Data!N:N,Data!D:D=A459,Data!B:B=$B$1),""HIGH"")*10)+(COUNTIF(FILTER(Data!N:N,Data!D:D=A459,Data!B:B=$B$1),""MIDDLE"")*6)+(COUNTIF(FILTER(Data!N:N,Data!D:D=A459,Data!B:B=$B$1),""LOW"")*4))),"""")"),"")</f>
        <v/>
      </c>
      <c r="L459" s="136" t="str">
        <f>IFERROR(__xludf.DUMMYFUNCTION("IFERROR((FILTER(Data!P:P,Data!D:D=A459,Data!B:B=$B$1)),"""")"),"")</f>
        <v/>
      </c>
      <c r="M459" s="137" t="str">
        <f>IFERROR(__xludf.DUMMYFUNCTION("IFERROR((FILTER(Data!A:A,Data!D:D=A459,Data!B:B=$B$1)),"""")"),"")</f>
        <v/>
      </c>
      <c r="T459" s="52">
        <f>IFERROR(__xludf.DUMMYFUNCTION("((COUNTIF(FILTER(Data!N:N,Data!D:D=A459,Data!B:B=$B$1),""TRAVERSE"")*15)+(COUNTIF(FILTER(Data!N:N,Data!D:D=A459,Data!B:B=B$1),""HIGH"")*10)+(COUNTIF(FILTER(Data!N:N,Data!D:D=A459,Data!B:B=$B$1),""MIDDLE"")*6)+(COUNTIF(FILTER(Data!N:N,Data!D:D=A459,Data!B:"&amp;"B=$B$1),""LOW"")*4))"),0.0)</f>
        <v>0</v>
      </c>
      <c r="V459" s="138" t="str">
        <f>IF(Data!B451='Team Parser'!$B$1, Data!D451,"")</f>
        <v/>
      </c>
      <c r="W459" s="134" t="str">
        <f>IF(Data!$B451='Team Parser'!$B$1, Data!H451,"")</f>
        <v/>
      </c>
      <c r="X459" s="134" t="str">
        <f>IF(Data!$B451='Team Parser'!$B$1, Data!G451,"")</f>
        <v/>
      </c>
      <c r="Y459" s="134" t="str">
        <f>IF(Data!$B451='Team Parser'!$B$1, Data!L451,"")</f>
        <v/>
      </c>
      <c r="Z459" s="134" t="str">
        <f>IF(Data!$B451='Team Parser'!$B$1, Data!K451,"")</f>
        <v/>
      </c>
      <c r="AA459" s="134" t="str">
        <f>IF(Data!$B451='Team Parser'!$B$1, Data!M451,"")</f>
        <v/>
      </c>
      <c r="AB459" s="134" t="str">
        <f>IF(Data!$B451='Team Parser'!$B$1,((Z459*2)+(Y459)+(X459*4)+(W459*2)),"")</f>
        <v/>
      </c>
      <c r="AC459" s="134" t="str">
        <f>IF(Data!$B451='Team Parser'!$B$1, Data!N451,"")</f>
        <v/>
      </c>
      <c r="AD459" s="139" t="str">
        <f>IF(Data!$B451='Team Parser'!$B$1,(AB459+(COUNTIF(AC459,"TRAVERSE")*15)+(COUNTIF(AC459,"HIGH")*10)+(COUNTIF(AC459,"MIDDLE")*6)+(COUNTIF(AC459,"LOW")*4)),"")</f>
        <v/>
      </c>
    </row>
    <row r="460">
      <c r="A460" s="141" t="s">
        <v>507</v>
      </c>
      <c r="B460" s="134" t="str">
        <f>IFERROR(__xludf.DUMMYFUNCTION("IFERROR((FILTER(Data!H:H,Data!D:D=A460,Data!B:B=$B$1)),"""")"),"")</f>
        <v/>
      </c>
      <c r="C460" s="134" t="str">
        <f>IFERROR(__xludf.DUMMYFUNCTION("IFERROR((FILTER(Data!G:G,Data!D:D=A460,Data!B:B=$B$1)),"""")"),"")</f>
        <v/>
      </c>
      <c r="D460" s="134" t="str">
        <f>IFERROR(__xludf.DUMMYFUNCTION("IFERROR((FILTER(Data!J:J,Data!D:D=A460,Data!B:B=$B$1)),"""")"),"")</f>
        <v/>
      </c>
      <c r="E460" s="134" t="str">
        <f>IFERROR(__xludf.DUMMYFUNCTION("IFERROR((FILTER(Data!L:L,Data!D:D=A460,Data!B:B=$B$1)),"""")"),"")</f>
        <v/>
      </c>
      <c r="F460" s="134" t="str">
        <f>IFERROR(__xludf.DUMMYFUNCTION("IFERROR((FILTER(Data!K:K,Data!D:D=A460,Data!B:B=$B$1)),"""")"),"")</f>
        <v/>
      </c>
      <c r="G460" s="134" t="str">
        <f>IFERROR(__xludf.DUMMYFUNCTION("IFERROR((FILTER(Data!M:M,Data!D:D=A460,Data!B:B=$B$1)),"""")"),"")</f>
        <v/>
      </c>
      <c r="H460" s="134" t="str">
        <f>IFERROR(__xludf.DUMMYFUNCTION("IFERROR((FILTER(Data!G:G,Data!D:D=A460,Data!B:B=$B$1)*4)+(FILTER(Data!H:H,Data!D:D=A460,Data!B:B=$B$1)*2),"""")"),"")</f>
        <v/>
      </c>
      <c r="I460" s="15" t="str">
        <f>IFERROR(__xludf.DUMMYFUNCTION("IFERROR((FILTER(Data!K:K,Data!D:D=A460,Data!B:B=$B$1)*2)+(FILTER(Data!L:L,Data!D:D=A460,Data!B:B=$B$1)),"""")"),"")</f>
        <v/>
      </c>
      <c r="J460" s="134" t="str">
        <f>IFERROR(__xludf.DUMMYFUNCTION("IFERROR((FILTER(Data!N:N,Data!D:D=A460,Data!B:B=$B$1)),"""")"),"")</f>
        <v/>
      </c>
      <c r="K460" s="135" t="str">
        <f>IFERROR(__xludf.DUMMYFUNCTION("IFERROR((FILTER(Data!H:H,Data!D:D=A460,Data!B:B=$B$1)*2)+(FILTER(Data!L:L,Data!D:D=A460,Data!B:B=$B$1))+(FILTER(Data!G:G,Data!D:D=A460,Data!B:B=$B$1)*4)+(FILTER(Data!K:K,Data!D:D=A460,Data!B:B=$B$1)*2)+(((COUNTIF(FILTER(Data!N:N,Data!D:D=A460,Data!B:B=$B$"&amp;"1),""TRAVERSE"")*15)+(COUNTIF(FILTER(Data!N:N,Data!D:D=A460,Data!B:B=$B$1),""HIGH"")*10)+(COUNTIF(FILTER(Data!N:N,Data!D:D=A460,Data!B:B=$B$1),""MIDDLE"")*6)+(COUNTIF(FILTER(Data!N:N,Data!D:D=A460,Data!B:B=$B$1),""LOW"")*4))),"""")"),"")</f>
        <v/>
      </c>
      <c r="L460" s="136" t="str">
        <f>IFERROR(__xludf.DUMMYFUNCTION("IFERROR((FILTER(Data!P:P,Data!D:D=A460,Data!B:B=$B$1)),"""")"),"")</f>
        <v/>
      </c>
      <c r="M460" s="137" t="str">
        <f>IFERROR(__xludf.DUMMYFUNCTION("IFERROR((FILTER(Data!A:A,Data!D:D=A460,Data!B:B=$B$1)),"""")"),"")</f>
        <v/>
      </c>
      <c r="T460" s="52">
        <f>IFERROR(__xludf.DUMMYFUNCTION("((COUNTIF(FILTER(Data!N:N,Data!D:D=A460,Data!B:B=$B$1),""TRAVERSE"")*15)+(COUNTIF(FILTER(Data!N:N,Data!D:D=A460,Data!B:B=B$1),""HIGH"")*10)+(COUNTIF(FILTER(Data!N:N,Data!D:D=A460,Data!B:B=$B$1),""MIDDLE"")*6)+(COUNTIF(FILTER(Data!N:N,Data!D:D=A460,Data!B:"&amp;"B=$B$1),""LOW"")*4))"),0.0)</f>
        <v>0</v>
      </c>
      <c r="V460" s="138" t="str">
        <f>IF(Data!B452='Team Parser'!$B$1, Data!D452,"")</f>
        <v/>
      </c>
      <c r="W460" s="134" t="str">
        <f>IF(Data!$B452='Team Parser'!$B$1, Data!H452,"")</f>
        <v/>
      </c>
      <c r="X460" s="134" t="str">
        <f>IF(Data!$B452='Team Parser'!$B$1, Data!G452,"")</f>
        <v/>
      </c>
      <c r="Y460" s="134" t="str">
        <f>IF(Data!$B452='Team Parser'!$B$1, Data!L452,"")</f>
        <v/>
      </c>
      <c r="Z460" s="134" t="str">
        <f>IF(Data!$B452='Team Parser'!$B$1, Data!K452,"")</f>
        <v/>
      </c>
      <c r="AA460" s="134" t="str">
        <f>IF(Data!$B452='Team Parser'!$B$1, Data!M452,"")</f>
        <v/>
      </c>
      <c r="AB460" s="134" t="str">
        <f>IF(Data!$B452='Team Parser'!$B$1,((Z460*2)+(Y460)+(X460*4)+(W460*2)),"")</f>
        <v/>
      </c>
      <c r="AC460" s="134" t="str">
        <f>IF(Data!$B452='Team Parser'!$B$1, Data!N452,"")</f>
        <v/>
      </c>
      <c r="AD460" s="139" t="str">
        <f>IF(Data!$B452='Team Parser'!$B$1,(AB460+(COUNTIF(AC460,"TRAVERSE")*15)+(COUNTIF(AC460,"HIGH")*10)+(COUNTIF(AC460,"MIDDLE")*6)+(COUNTIF(AC460,"LOW")*4)),"")</f>
        <v/>
      </c>
    </row>
    <row r="461">
      <c r="A461" s="141" t="s">
        <v>507</v>
      </c>
      <c r="B461" s="134" t="str">
        <f>IFERROR(__xludf.DUMMYFUNCTION("IFERROR((FILTER(Data!H:H,Data!D:D=A461,Data!B:B=$B$1)),"""")"),"")</f>
        <v/>
      </c>
      <c r="C461" s="134" t="str">
        <f>IFERROR(__xludf.DUMMYFUNCTION("IFERROR((FILTER(Data!G:G,Data!D:D=A461,Data!B:B=$B$1)),"""")"),"")</f>
        <v/>
      </c>
      <c r="D461" s="134" t="str">
        <f>IFERROR(__xludf.DUMMYFUNCTION("IFERROR((FILTER(Data!J:J,Data!D:D=A461,Data!B:B=$B$1)),"""")"),"")</f>
        <v/>
      </c>
      <c r="E461" s="134" t="str">
        <f>IFERROR(__xludf.DUMMYFUNCTION("IFERROR((FILTER(Data!L:L,Data!D:D=A461,Data!B:B=$B$1)),"""")"),"")</f>
        <v/>
      </c>
      <c r="F461" s="134" t="str">
        <f>IFERROR(__xludf.DUMMYFUNCTION("IFERROR((FILTER(Data!K:K,Data!D:D=A461,Data!B:B=$B$1)),"""")"),"")</f>
        <v/>
      </c>
      <c r="G461" s="134" t="str">
        <f>IFERROR(__xludf.DUMMYFUNCTION("IFERROR((FILTER(Data!M:M,Data!D:D=A461,Data!B:B=$B$1)),"""")"),"")</f>
        <v/>
      </c>
      <c r="H461" s="134" t="str">
        <f>IFERROR(__xludf.DUMMYFUNCTION("IFERROR((FILTER(Data!G:G,Data!D:D=A461,Data!B:B=$B$1)*4)+(FILTER(Data!H:H,Data!D:D=A461,Data!B:B=$B$1)*2),"""")"),"")</f>
        <v/>
      </c>
      <c r="I461" s="15" t="str">
        <f>IFERROR(__xludf.DUMMYFUNCTION("IFERROR((FILTER(Data!K:K,Data!D:D=A461,Data!B:B=$B$1)*2)+(FILTER(Data!L:L,Data!D:D=A461,Data!B:B=$B$1)),"""")"),"")</f>
        <v/>
      </c>
      <c r="J461" s="134" t="str">
        <f>IFERROR(__xludf.DUMMYFUNCTION("IFERROR((FILTER(Data!N:N,Data!D:D=A461,Data!B:B=$B$1)),"""")"),"")</f>
        <v/>
      </c>
      <c r="K461" s="135" t="str">
        <f>IFERROR(__xludf.DUMMYFUNCTION("IFERROR((FILTER(Data!H:H,Data!D:D=A461,Data!B:B=$B$1)*2)+(FILTER(Data!L:L,Data!D:D=A461,Data!B:B=$B$1))+(FILTER(Data!G:G,Data!D:D=A461,Data!B:B=$B$1)*4)+(FILTER(Data!K:K,Data!D:D=A461,Data!B:B=$B$1)*2)+(((COUNTIF(FILTER(Data!N:N,Data!D:D=A461,Data!B:B=$B$"&amp;"1),""TRAVERSE"")*15)+(COUNTIF(FILTER(Data!N:N,Data!D:D=A461,Data!B:B=$B$1),""HIGH"")*10)+(COUNTIF(FILTER(Data!N:N,Data!D:D=A461,Data!B:B=$B$1),""MIDDLE"")*6)+(COUNTIF(FILTER(Data!N:N,Data!D:D=A461,Data!B:B=$B$1),""LOW"")*4))),"""")"),"")</f>
        <v/>
      </c>
      <c r="L461" s="136" t="str">
        <f>IFERROR(__xludf.DUMMYFUNCTION("IFERROR((FILTER(Data!P:P,Data!D:D=A461,Data!B:B=$B$1)),"""")"),"")</f>
        <v/>
      </c>
      <c r="M461" s="137" t="str">
        <f>IFERROR(__xludf.DUMMYFUNCTION("IFERROR((FILTER(Data!A:A,Data!D:D=A461,Data!B:B=$B$1)),"""")"),"")</f>
        <v/>
      </c>
      <c r="T461" s="52">
        <f>IFERROR(__xludf.DUMMYFUNCTION("((COUNTIF(FILTER(Data!N:N,Data!D:D=A461,Data!B:B=$B$1),""TRAVERSE"")*15)+(COUNTIF(FILTER(Data!N:N,Data!D:D=A461,Data!B:B=B$1),""HIGH"")*10)+(COUNTIF(FILTER(Data!N:N,Data!D:D=A461,Data!B:B=$B$1),""MIDDLE"")*6)+(COUNTIF(FILTER(Data!N:N,Data!D:D=A461,Data!B:"&amp;"B=$B$1),""LOW"")*4))"),0.0)</f>
        <v>0</v>
      </c>
      <c r="V461" s="138" t="str">
        <f>IF(Data!B453='Team Parser'!$B$1, Data!D453,"")</f>
        <v/>
      </c>
      <c r="W461" s="134" t="str">
        <f>IF(Data!$B453='Team Parser'!$B$1, Data!H453,"")</f>
        <v/>
      </c>
      <c r="X461" s="134" t="str">
        <f>IF(Data!$B453='Team Parser'!$B$1, Data!G453,"")</f>
        <v/>
      </c>
      <c r="Y461" s="134" t="str">
        <f>IF(Data!$B453='Team Parser'!$B$1, Data!L453,"")</f>
        <v/>
      </c>
      <c r="Z461" s="134" t="str">
        <f>IF(Data!$B453='Team Parser'!$B$1, Data!K453,"")</f>
        <v/>
      </c>
      <c r="AA461" s="134" t="str">
        <f>IF(Data!$B453='Team Parser'!$B$1, Data!M453,"")</f>
        <v/>
      </c>
      <c r="AB461" s="134" t="str">
        <f>IF(Data!$B453='Team Parser'!$B$1,((Z461*2)+(Y461)+(X461*4)+(W461*2)),"")</f>
        <v/>
      </c>
      <c r="AC461" s="134" t="str">
        <f>IF(Data!$B453='Team Parser'!$B$1, Data!N453,"")</f>
        <v/>
      </c>
      <c r="AD461" s="139" t="str">
        <f>IF(Data!$B453='Team Parser'!$B$1,(AB461+(COUNTIF(AC461,"TRAVERSE")*15)+(COUNTIF(AC461,"HIGH")*10)+(COUNTIF(AC461,"MIDDLE")*6)+(COUNTIF(AC461,"LOW")*4)),"")</f>
        <v/>
      </c>
    </row>
    <row r="462">
      <c r="A462" s="141" t="s">
        <v>507</v>
      </c>
      <c r="B462" s="134" t="str">
        <f>IFERROR(__xludf.DUMMYFUNCTION("IFERROR((FILTER(Data!H:H,Data!D:D=A462,Data!B:B=$B$1)),"""")"),"")</f>
        <v/>
      </c>
      <c r="C462" s="134" t="str">
        <f>IFERROR(__xludf.DUMMYFUNCTION("IFERROR((FILTER(Data!G:G,Data!D:D=A462,Data!B:B=$B$1)),"""")"),"")</f>
        <v/>
      </c>
      <c r="D462" s="134" t="str">
        <f>IFERROR(__xludf.DUMMYFUNCTION("IFERROR((FILTER(Data!J:J,Data!D:D=A462,Data!B:B=$B$1)),"""")"),"")</f>
        <v/>
      </c>
      <c r="E462" s="134" t="str">
        <f>IFERROR(__xludf.DUMMYFUNCTION("IFERROR((FILTER(Data!L:L,Data!D:D=A462,Data!B:B=$B$1)),"""")"),"")</f>
        <v/>
      </c>
      <c r="F462" s="134" t="str">
        <f>IFERROR(__xludf.DUMMYFUNCTION("IFERROR((FILTER(Data!K:K,Data!D:D=A462,Data!B:B=$B$1)),"""")"),"")</f>
        <v/>
      </c>
      <c r="G462" s="134" t="str">
        <f>IFERROR(__xludf.DUMMYFUNCTION("IFERROR((FILTER(Data!M:M,Data!D:D=A462,Data!B:B=$B$1)),"""")"),"")</f>
        <v/>
      </c>
      <c r="H462" s="134" t="str">
        <f>IFERROR(__xludf.DUMMYFUNCTION("IFERROR((FILTER(Data!G:G,Data!D:D=A462,Data!B:B=$B$1)*4)+(FILTER(Data!H:H,Data!D:D=A462,Data!B:B=$B$1)*2),"""")"),"")</f>
        <v/>
      </c>
      <c r="I462" s="15" t="str">
        <f>IFERROR(__xludf.DUMMYFUNCTION("IFERROR((FILTER(Data!K:K,Data!D:D=A462,Data!B:B=$B$1)*2)+(FILTER(Data!L:L,Data!D:D=A462,Data!B:B=$B$1)),"""")"),"")</f>
        <v/>
      </c>
      <c r="J462" s="134" t="str">
        <f>IFERROR(__xludf.DUMMYFUNCTION("IFERROR((FILTER(Data!N:N,Data!D:D=A462,Data!B:B=$B$1)),"""")"),"")</f>
        <v/>
      </c>
      <c r="K462" s="135" t="str">
        <f>IFERROR(__xludf.DUMMYFUNCTION("IFERROR((FILTER(Data!H:H,Data!D:D=A462,Data!B:B=$B$1)*2)+(FILTER(Data!L:L,Data!D:D=A462,Data!B:B=$B$1))+(FILTER(Data!G:G,Data!D:D=A462,Data!B:B=$B$1)*4)+(FILTER(Data!K:K,Data!D:D=A462,Data!B:B=$B$1)*2)+(((COUNTIF(FILTER(Data!N:N,Data!D:D=A462,Data!B:B=$B$"&amp;"1),""TRAVERSE"")*15)+(COUNTIF(FILTER(Data!N:N,Data!D:D=A462,Data!B:B=$B$1),""HIGH"")*10)+(COUNTIF(FILTER(Data!N:N,Data!D:D=A462,Data!B:B=$B$1),""MIDDLE"")*6)+(COUNTIF(FILTER(Data!N:N,Data!D:D=A462,Data!B:B=$B$1),""LOW"")*4))),"""")"),"")</f>
        <v/>
      </c>
      <c r="L462" s="136" t="str">
        <f>IFERROR(__xludf.DUMMYFUNCTION("IFERROR((FILTER(Data!P:P,Data!D:D=A462,Data!B:B=$B$1)),"""")"),"")</f>
        <v/>
      </c>
      <c r="M462" s="137" t="str">
        <f>IFERROR(__xludf.DUMMYFUNCTION("IFERROR((FILTER(Data!A:A,Data!D:D=A462,Data!B:B=$B$1)),"""")"),"")</f>
        <v/>
      </c>
      <c r="T462" s="52">
        <f>IFERROR(__xludf.DUMMYFUNCTION("((COUNTIF(FILTER(Data!N:N,Data!D:D=A462,Data!B:B=$B$1),""TRAVERSE"")*15)+(COUNTIF(FILTER(Data!N:N,Data!D:D=A462,Data!B:B=B$1),""HIGH"")*10)+(COUNTIF(FILTER(Data!N:N,Data!D:D=A462,Data!B:B=$B$1),""MIDDLE"")*6)+(COUNTIF(FILTER(Data!N:N,Data!D:D=A462,Data!B:"&amp;"B=$B$1),""LOW"")*4))"),0.0)</f>
        <v>0</v>
      </c>
      <c r="V462" s="138" t="str">
        <f>IF(Data!B454='Team Parser'!$B$1, Data!D454,"")</f>
        <v/>
      </c>
      <c r="W462" s="134" t="str">
        <f>IF(Data!$B454='Team Parser'!$B$1, Data!H454,"")</f>
        <v/>
      </c>
      <c r="X462" s="134" t="str">
        <f>IF(Data!$B454='Team Parser'!$B$1, Data!G454,"")</f>
        <v/>
      </c>
      <c r="Y462" s="134" t="str">
        <f>IF(Data!$B454='Team Parser'!$B$1, Data!L454,"")</f>
        <v/>
      </c>
      <c r="Z462" s="134" t="str">
        <f>IF(Data!$B454='Team Parser'!$B$1, Data!K454,"")</f>
        <v/>
      </c>
      <c r="AA462" s="134" t="str">
        <f>IF(Data!$B454='Team Parser'!$B$1, Data!M454,"")</f>
        <v/>
      </c>
      <c r="AB462" s="134" t="str">
        <f>IF(Data!$B454='Team Parser'!$B$1,((Z462*2)+(Y462)+(X462*4)+(W462*2)),"")</f>
        <v/>
      </c>
      <c r="AC462" s="134" t="str">
        <f>IF(Data!$B454='Team Parser'!$B$1, Data!N454,"")</f>
        <v/>
      </c>
      <c r="AD462" s="139" t="str">
        <f>IF(Data!$B454='Team Parser'!$B$1,(AB462+(COUNTIF(AC462,"TRAVERSE")*15)+(COUNTIF(AC462,"HIGH")*10)+(COUNTIF(AC462,"MIDDLE")*6)+(COUNTIF(AC462,"LOW")*4)),"")</f>
        <v/>
      </c>
    </row>
    <row r="463">
      <c r="A463" s="141" t="s">
        <v>507</v>
      </c>
      <c r="B463" s="134" t="str">
        <f>IFERROR(__xludf.DUMMYFUNCTION("IFERROR((FILTER(Data!H:H,Data!D:D=A463,Data!B:B=$B$1)),"""")"),"")</f>
        <v/>
      </c>
      <c r="C463" s="134" t="str">
        <f>IFERROR(__xludf.DUMMYFUNCTION("IFERROR((FILTER(Data!G:G,Data!D:D=A463,Data!B:B=$B$1)),"""")"),"")</f>
        <v/>
      </c>
      <c r="D463" s="134" t="str">
        <f>IFERROR(__xludf.DUMMYFUNCTION("IFERROR((FILTER(Data!J:J,Data!D:D=A463,Data!B:B=$B$1)),"""")"),"")</f>
        <v/>
      </c>
      <c r="E463" s="134" t="str">
        <f>IFERROR(__xludf.DUMMYFUNCTION("IFERROR((FILTER(Data!L:L,Data!D:D=A463,Data!B:B=$B$1)),"""")"),"")</f>
        <v/>
      </c>
      <c r="F463" s="134" t="str">
        <f>IFERROR(__xludf.DUMMYFUNCTION("IFERROR((FILTER(Data!K:K,Data!D:D=A463,Data!B:B=$B$1)),"""")"),"")</f>
        <v/>
      </c>
      <c r="G463" s="134" t="str">
        <f>IFERROR(__xludf.DUMMYFUNCTION("IFERROR((FILTER(Data!M:M,Data!D:D=A463,Data!B:B=$B$1)),"""")"),"")</f>
        <v/>
      </c>
      <c r="H463" s="134" t="str">
        <f>IFERROR(__xludf.DUMMYFUNCTION("IFERROR((FILTER(Data!G:G,Data!D:D=A463,Data!B:B=$B$1)*4)+(FILTER(Data!H:H,Data!D:D=A463,Data!B:B=$B$1)*2),"""")"),"")</f>
        <v/>
      </c>
      <c r="I463" s="15" t="str">
        <f>IFERROR(__xludf.DUMMYFUNCTION("IFERROR((FILTER(Data!K:K,Data!D:D=A463,Data!B:B=$B$1)*2)+(FILTER(Data!L:L,Data!D:D=A463,Data!B:B=$B$1)),"""")"),"")</f>
        <v/>
      </c>
      <c r="J463" s="134" t="str">
        <f>IFERROR(__xludf.DUMMYFUNCTION("IFERROR((FILTER(Data!N:N,Data!D:D=A463,Data!B:B=$B$1)),"""")"),"")</f>
        <v/>
      </c>
      <c r="K463" s="135" t="str">
        <f>IFERROR(__xludf.DUMMYFUNCTION("IFERROR((FILTER(Data!H:H,Data!D:D=A463,Data!B:B=$B$1)*2)+(FILTER(Data!L:L,Data!D:D=A463,Data!B:B=$B$1))+(FILTER(Data!G:G,Data!D:D=A463,Data!B:B=$B$1)*4)+(FILTER(Data!K:K,Data!D:D=A463,Data!B:B=$B$1)*2)+(((COUNTIF(FILTER(Data!N:N,Data!D:D=A463,Data!B:B=$B$"&amp;"1),""TRAVERSE"")*15)+(COUNTIF(FILTER(Data!N:N,Data!D:D=A463,Data!B:B=$B$1),""HIGH"")*10)+(COUNTIF(FILTER(Data!N:N,Data!D:D=A463,Data!B:B=$B$1),""MIDDLE"")*6)+(COUNTIF(FILTER(Data!N:N,Data!D:D=A463,Data!B:B=$B$1),""LOW"")*4))),"""")"),"")</f>
        <v/>
      </c>
      <c r="L463" s="136" t="str">
        <f>IFERROR(__xludf.DUMMYFUNCTION("IFERROR((FILTER(Data!P:P,Data!D:D=A463,Data!B:B=$B$1)),"""")"),"")</f>
        <v/>
      </c>
      <c r="M463" s="137" t="str">
        <f>IFERROR(__xludf.DUMMYFUNCTION("IFERROR((FILTER(Data!A:A,Data!D:D=A463,Data!B:B=$B$1)),"""")"),"")</f>
        <v/>
      </c>
      <c r="T463" s="52">
        <f>IFERROR(__xludf.DUMMYFUNCTION("((COUNTIF(FILTER(Data!N:N,Data!D:D=A463,Data!B:B=$B$1),""TRAVERSE"")*15)+(COUNTIF(FILTER(Data!N:N,Data!D:D=A463,Data!B:B=B$1),""HIGH"")*10)+(COUNTIF(FILTER(Data!N:N,Data!D:D=A463,Data!B:B=$B$1),""MIDDLE"")*6)+(COUNTIF(FILTER(Data!N:N,Data!D:D=A463,Data!B:"&amp;"B=$B$1),""LOW"")*4))"),0.0)</f>
        <v>0</v>
      </c>
      <c r="V463" s="138" t="str">
        <f>IF(Data!B455='Team Parser'!$B$1, Data!D455,"")</f>
        <v/>
      </c>
      <c r="W463" s="134" t="str">
        <f>IF(Data!$B455='Team Parser'!$B$1, Data!H455,"")</f>
        <v/>
      </c>
      <c r="X463" s="134" t="str">
        <f>IF(Data!$B455='Team Parser'!$B$1, Data!G455,"")</f>
        <v/>
      </c>
      <c r="Y463" s="134" t="str">
        <f>IF(Data!$B455='Team Parser'!$B$1, Data!L455,"")</f>
        <v/>
      </c>
      <c r="Z463" s="134" t="str">
        <f>IF(Data!$B455='Team Parser'!$B$1, Data!K455,"")</f>
        <v/>
      </c>
      <c r="AA463" s="134" t="str">
        <f>IF(Data!$B455='Team Parser'!$B$1, Data!M455,"")</f>
        <v/>
      </c>
      <c r="AB463" s="134" t="str">
        <f>IF(Data!$B455='Team Parser'!$B$1,((Z463*2)+(Y463)+(X463*4)+(W463*2)),"")</f>
        <v/>
      </c>
      <c r="AC463" s="134" t="str">
        <f>IF(Data!$B455='Team Parser'!$B$1, Data!N455,"")</f>
        <v/>
      </c>
      <c r="AD463" s="139" t="str">
        <f>IF(Data!$B455='Team Parser'!$B$1,(AB463+(COUNTIF(AC463,"TRAVERSE")*15)+(COUNTIF(AC463,"HIGH")*10)+(COUNTIF(AC463,"MIDDLE")*6)+(COUNTIF(AC463,"LOW")*4)),"")</f>
        <v/>
      </c>
    </row>
    <row r="464">
      <c r="A464" s="141" t="s">
        <v>507</v>
      </c>
      <c r="B464" s="134" t="str">
        <f>IFERROR(__xludf.DUMMYFUNCTION("IFERROR((FILTER(Data!H:H,Data!D:D=A464,Data!B:B=$B$1)),"""")"),"")</f>
        <v/>
      </c>
      <c r="C464" s="134" t="str">
        <f>IFERROR(__xludf.DUMMYFUNCTION("IFERROR((FILTER(Data!G:G,Data!D:D=A464,Data!B:B=$B$1)),"""")"),"")</f>
        <v/>
      </c>
      <c r="D464" s="134" t="str">
        <f>IFERROR(__xludf.DUMMYFUNCTION("IFERROR((FILTER(Data!J:J,Data!D:D=A464,Data!B:B=$B$1)),"""")"),"")</f>
        <v/>
      </c>
      <c r="E464" s="134" t="str">
        <f>IFERROR(__xludf.DUMMYFUNCTION("IFERROR((FILTER(Data!L:L,Data!D:D=A464,Data!B:B=$B$1)),"""")"),"")</f>
        <v/>
      </c>
      <c r="F464" s="134" t="str">
        <f>IFERROR(__xludf.DUMMYFUNCTION("IFERROR((FILTER(Data!K:K,Data!D:D=A464,Data!B:B=$B$1)),"""")"),"")</f>
        <v/>
      </c>
      <c r="G464" s="134" t="str">
        <f>IFERROR(__xludf.DUMMYFUNCTION("IFERROR((FILTER(Data!M:M,Data!D:D=A464,Data!B:B=$B$1)),"""")"),"")</f>
        <v/>
      </c>
      <c r="H464" s="134" t="str">
        <f>IFERROR(__xludf.DUMMYFUNCTION("IFERROR((FILTER(Data!G:G,Data!D:D=A464,Data!B:B=$B$1)*4)+(FILTER(Data!H:H,Data!D:D=A464,Data!B:B=$B$1)*2),"""")"),"")</f>
        <v/>
      </c>
      <c r="I464" s="15" t="str">
        <f>IFERROR(__xludf.DUMMYFUNCTION("IFERROR((FILTER(Data!K:K,Data!D:D=A464,Data!B:B=$B$1)*2)+(FILTER(Data!L:L,Data!D:D=A464,Data!B:B=$B$1)),"""")"),"")</f>
        <v/>
      </c>
      <c r="J464" s="134" t="str">
        <f>IFERROR(__xludf.DUMMYFUNCTION("IFERROR((FILTER(Data!N:N,Data!D:D=A464,Data!B:B=$B$1)),"""")"),"")</f>
        <v/>
      </c>
      <c r="K464" s="135" t="str">
        <f>IFERROR(__xludf.DUMMYFUNCTION("IFERROR((FILTER(Data!H:H,Data!D:D=A464,Data!B:B=$B$1)*2)+(FILTER(Data!L:L,Data!D:D=A464,Data!B:B=$B$1))+(FILTER(Data!G:G,Data!D:D=A464,Data!B:B=$B$1)*4)+(FILTER(Data!K:K,Data!D:D=A464,Data!B:B=$B$1)*2)+(((COUNTIF(FILTER(Data!N:N,Data!D:D=A464,Data!B:B=$B$"&amp;"1),""TRAVERSE"")*15)+(COUNTIF(FILTER(Data!N:N,Data!D:D=A464,Data!B:B=$B$1),""HIGH"")*10)+(COUNTIF(FILTER(Data!N:N,Data!D:D=A464,Data!B:B=$B$1),""MIDDLE"")*6)+(COUNTIF(FILTER(Data!N:N,Data!D:D=A464,Data!B:B=$B$1),""LOW"")*4))),"""")"),"")</f>
        <v/>
      </c>
      <c r="L464" s="136" t="str">
        <f>IFERROR(__xludf.DUMMYFUNCTION("IFERROR((FILTER(Data!P:P,Data!D:D=A464,Data!B:B=$B$1)),"""")"),"")</f>
        <v/>
      </c>
      <c r="M464" s="137" t="str">
        <f>IFERROR(__xludf.DUMMYFUNCTION("IFERROR((FILTER(Data!A:A,Data!D:D=A464,Data!B:B=$B$1)),"""")"),"")</f>
        <v/>
      </c>
      <c r="T464" s="52">
        <f>IFERROR(__xludf.DUMMYFUNCTION("((COUNTIF(FILTER(Data!N:N,Data!D:D=A464,Data!B:B=$B$1),""TRAVERSE"")*15)+(COUNTIF(FILTER(Data!N:N,Data!D:D=A464,Data!B:B=B$1),""HIGH"")*10)+(COUNTIF(FILTER(Data!N:N,Data!D:D=A464,Data!B:B=$B$1),""MIDDLE"")*6)+(COUNTIF(FILTER(Data!N:N,Data!D:D=A464,Data!B:"&amp;"B=$B$1),""LOW"")*4))"),0.0)</f>
        <v>0</v>
      </c>
      <c r="V464" s="138" t="str">
        <f>IF(Data!B456='Team Parser'!$B$1, Data!D456,"")</f>
        <v/>
      </c>
      <c r="W464" s="134" t="str">
        <f>IF(Data!$B456='Team Parser'!$B$1, Data!H456,"")</f>
        <v/>
      </c>
      <c r="X464" s="134" t="str">
        <f>IF(Data!$B456='Team Parser'!$B$1, Data!G456,"")</f>
        <v/>
      </c>
      <c r="Y464" s="134" t="str">
        <f>IF(Data!$B456='Team Parser'!$B$1, Data!L456,"")</f>
        <v/>
      </c>
      <c r="Z464" s="134" t="str">
        <f>IF(Data!$B456='Team Parser'!$B$1, Data!K456,"")</f>
        <v/>
      </c>
      <c r="AA464" s="134" t="str">
        <f>IF(Data!$B456='Team Parser'!$B$1, Data!M456,"")</f>
        <v/>
      </c>
      <c r="AB464" s="134" t="str">
        <f>IF(Data!$B456='Team Parser'!$B$1,((Z464*2)+(Y464)+(X464*4)+(W464*2)),"")</f>
        <v/>
      </c>
      <c r="AC464" s="134" t="str">
        <f>IF(Data!$B456='Team Parser'!$B$1, Data!N456,"")</f>
        <v/>
      </c>
      <c r="AD464" s="139" t="str">
        <f>IF(Data!$B456='Team Parser'!$B$1,(AB464+(COUNTIF(AC464,"TRAVERSE")*15)+(COUNTIF(AC464,"HIGH")*10)+(COUNTIF(AC464,"MIDDLE")*6)+(COUNTIF(AC464,"LOW")*4)),"")</f>
        <v/>
      </c>
    </row>
    <row r="465">
      <c r="A465" s="141" t="s">
        <v>507</v>
      </c>
      <c r="B465" s="134" t="str">
        <f>IFERROR(__xludf.DUMMYFUNCTION("IFERROR((FILTER(Data!H:H,Data!D:D=A465,Data!B:B=$B$1)),"""")"),"")</f>
        <v/>
      </c>
      <c r="C465" s="134" t="str">
        <f>IFERROR(__xludf.DUMMYFUNCTION("IFERROR((FILTER(Data!G:G,Data!D:D=A465,Data!B:B=$B$1)),"""")"),"")</f>
        <v/>
      </c>
      <c r="D465" s="134" t="str">
        <f>IFERROR(__xludf.DUMMYFUNCTION("IFERROR((FILTER(Data!J:J,Data!D:D=A465,Data!B:B=$B$1)),"""")"),"")</f>
        <v/>
      </c>
      <c r="E465" s="134" t="str">
        <f>IFERROR(__xludf.DUMMYFUNCTION("IFERROR((FILTER(Data!L:L,Data!D:D=A465,Data!B:B=$B$1)),"""")"),"")</f>
        <v/>
      </c>
      <c r="F465" s="134" t="str">
        <f>IFERROR(__xludf.DUMMYFUNCTION("IFERROR((FILTER(Data!K:K,Data!D:D=A465,Data!B:B=$B$1)),"""")"),"")</f>
        <v/>
      </c>
      <c r="G465" s="134" t="str">
        <f>IFERROR(__xludf.DUMMYFUNCTION("IFERROR((FILTER(Data!M:M,Data!D:D=A465,Data!B:B=$B$1)),"""")"),"")</f>
        <v/>
      </c>
      <c r="H465" s="134" t="str">
        <f>IFERROR(__xludf.DUMMYFUNCTION("IFERROR((FILTER(Data!G:G,Data!D:D=A465,Data!B:B=$B$1)*4)+(FILTER(Data!H:H,Data!D:D=A465,Data!B:B=$B$1)*2),"""")"),"")</f>
        <v/>
      </c>
      <c r="I465" s="15" t="str">
        <f>IFERROR(__xludf.DUMMYFUNCTION("IFERROR((FILTER(Data!K:K,Data!D:D=A465,Data!B:B=$B$1)*2)+(FILTER(Data!L:L,Data!D:D=A465,Data!B:B=$B$1)),"""")"),"")</f>
        <v/>
      </c>
      <c r="J465" s="134" t="str">
        <f>IFERROR(__xludf.DUMMYFUNCTION("IFERROR((FILTER(Data!N:N,Data!D:D=A465,Data!B:B=$B$1)),"""")"),"")</f>
        <v/>
      </c>
      <c r="K465" s="135" t="str">
        <f>IFERROR(__xludf.DUMMYFUNCTION("IFERROR((FILTER(Data!H:H,Data!D:D=A465,Data!B:B=$B$1)*2)+(FILTER(Data!L:L,Data!D:D=A465,Data!B:B=$B$1))+(FILTER(Data!G:G,Data!D:D=A465,Data!B:B=$B$1)*4)+(FILTER(Data!K:K,Data!D:D=A465,Data!B:B=$B$1)*2)+(((COUNTIF(FILTER(Data!N:N,Data!D:D=A465,Data!B:B=$B$"&amp;"1),""TRAVERSE"")*15)+(COUNTIF(FILTER(Data!N:N,Data!D:D=A465,Data!B:B=$B$1),""HIGH"")*10)+(COUNTIF(FILTER(Data!N:N,Data!D:D=A465,Data!B:B=$B$1),""MIDDLE"")*6)+(COUNTIF(FILTER(Data!N:N,Data!D:D=A465,Data!B:B=$B$1),""LOW"")*4))),"""")"),"")</f>
        <v/>
      </c>
      <c r="L465" s="136" t="str">
        <f>IFERROR(__xludf.DUMMYFUNCTION("IFERROR((FILTER(Data!P:P,Data!D:D=A465,Data!B:B=$B$1)),"""")"),"")</f>
        <v/>
      </c>
      <c r="M465" s="137" t="str">
        <f>IFERROR(__xludf.DUMMYFUNCTION("IFERROR((FILTER(Data!A:A,Data!D:D=A465,Data!B:B=$B$1)),"""")"),"")</f>
        <v/>
      </c>
      <c r="T465" s="52">
        <f>IFERROR(__xludf.DUMMYFUNCTION("((COUNTIF(FILTER(Data!N:N,Data!D:D=A465,Data!B:B=$B$1),""TRAVERSE"")*15)+(COUNTIF(FILTER(Data!N:N,Data!D:D=A465,Data!B:B=B$1),""HIGH"")*10)+(COUNTIF(FILTER(Data!N:N,Data!D:D=A465,Data!B:B=$B$1),""MIDDLE"")*6)+(COUNTIF(FILTER(Data!N:N,Data!D:D=A465,Data!B:"&amp;"B=$B$1),""LOW"")*4))"),0.0)</f>
        <v>0</v>
      </c>
      <c r="V465" s="138" t="str">
        <f>IF(Data!B457='Team Parser'!$B$1, Data!D457,"")</f>
        <v/>
      </c>
      <c r="W465" s="134" t="str">
        <f>IF(Data!$B457='Team Parser'!$B$1, Data!H457,"")</f>
        <v/>
      </c>
      <c r="X465" s="134" t="str">
        <f>IF(Data!$B457='Team Parser'!$B$1, Data!G457,"")</f>
        <v/>
      </c>
      <c r="Y465" s="134" t="str">
        <f>IF(Data!$B457='Team Parser'!$B$1, Data!L457,"")</f>
        <v/>
      </c>
      <c r="Z465" s="134" t="str">
        <f>IF(Data!$B457='Team Parser'!$B$1, Data!K457,"")</f>
        <v/>
      </c>
      <c r="AA465" s="134" t="str">
        <f>IF(Data!$B457='Team Parser'!$B$1, Data!M457,"")</f>
        <v/>
      </c>
      <c r="AB465" s="134" t="str">
        <f>IF(Data!$B457='Team Parser'!$B$1,((Z465*2)+(Y465)+(X465*4)+(W465*2)),"")</f>
        <v/>
      </c>
      <c r="AC465" s="134" t="str">
        <f>IF(Data!$B457='Team Parser'!$B$1, Data!N457,"")</f>
        <v/>
      </c>
      <c r="AD465" s="139" t="str">
        <f>IF(Data!$B457='Team Parser'!$B$1,(AB465+(COUNTIF(AC465,"TRAVERSE")*15)+(COUNTIF(AC465,"HIGH")*10)+(COUNTIF(AC465,"MIDDLE")*6)+(COUNTIF(AC465,"LOW")*4)),"")</f>
        <v/>
      </c>
    </row>
    <row r="466">
      <c r="A466" s="141" t="s">
        <v>507</v>
      </c>
      <c r="B466" s="134" t="str">
        <f>IFERROR(__xludf.DUMMYFUNCTION("IFERROR((FILTER(Data!H:H,Data!D:D=A466,Data!B:B=$B$1)),"""")"),"")</f>
        <v/>
      </c>
      <c r="C466" s="134" t="str">
        <f>IFERROR(__xludf.DUMMYFUNCTION("IFERROR((FILTER(Data!G:G,Data!D:D=A466,Data!B:B=$B$1)),"""")"),"")</f>
        <v/>
      </c>
      <c r="D466" s="134" t="str">
        <f>IFERROR(__xludf.DUMMYFUNCTION("IFERROR((FILTER(Data!J:J,Data!D:D=A466,Data!B:B=$B$1)),"""")"),"")</f>
        <v/>
      </c>
      <c r="E466" s="134" t="str">
        <f>IFERROR(__xludf.DUMMYFUNCTION("IFERROR((FILTER(Data!L:L,Data!D:D=A466,Data!B:B=$B$1)),"""")"),"")</f>
        <v/>
      </c>
      <c r="F466" s="134" t="str">
        <f>IFERROR(__xludf.DUMMYFUNCTION("IFERROR((FILTER(Data!K:K,Data!D:D=A466,Data!B:B=$B$1)),"""")"),"")</f>
        <v/>
      </c>
      <c r="G466" s="134" t="str">
        <f>IFERROR(__xludf.DUMMYFUNCTION("IFERROR((FILTER(Data!M:M,Data!D:D=A466,Data!B:B=$B$1)),"""")"),"")</f>
        <v/>
      </c>
      <c r="H466" s="134" t="str">
        <f>IFERROR(__xludf.DUMMYFUNCTION("IFERROR((FILTER(Data!G:G,Data!D:D=A466,Data!B:B=$B$1)*4)+(FILTER(Data!H:H,Data!D:D=A466,Data!B:B=$B$1)*2),"""")"),"")</f>
        <v/>
      </c>
      <c r="I466" s="15" t="str">
        <f>IFERROR(__xludf.DUMMYFUNCTION("IFERROR((FILTER(Data!K:K,Data!D:D=A466,Data!B:B=$B$1)*2)+(FILTER(Data!L:L,Data!D:D=A466,Data!B:B=$B$1)),"""")"),"")</f>
        <v/>
      </c>
      <c r="J466" s="134" t="str">
        <f>IFERROR(__xludf.DUMMYFUNCTION("IFERROR((FILTER(Data!N:N,Data!D:D=A466,Data!B:B=$B$1)),"""")"),"")</f>
        <v/>
      </c>
      <c r="K466" s="135" t="str">
        <f>IFERROR(__xludf.DUMMYFUNCTION("IFERROR((FILTER(Data!H:H,Data!D:D=A466,Data!B:B=$B$1)*2)+(FILTER(Data!L:L,Data!D:D=A466,Data!B:B=$B$1))+(FILTER(Data!G:G,Data!D:D=A466,Data!B:B=$B$1)*4)+(FILTER(Data!K:K,Data!D:D=A466,Data!B:B=$B$1)*2)+(((COUNTIF(FILTER(Data!N:N,Data!D:D=A466,Data!B:B=$B$"&amp;"1),""TRAVERSE"")*15)+(COUNTIF(FILTER(Data!N:N,Data!D:D=A466,Data!B:B=$B$1),""HIGH"")*10)+(COUNTIF(FILTER(Data!N:N,Data!D:D=A466,Data!B:B=$B$1),""MIDDLE"")*6)+(COUNTIF(FILTER(Data!N:N,Data!D:D=A466,Data!B:B=$B$1),""LOW"")*4))),"""")"),"")</f>
        <v/>
      </c>
      <c r="L466" s="136" t="str">
        <f>IFERROR(__xludf.DUMMYFUNCTION("IFERROR((FILTER(Data!P:P,Data!D:D=A466,Data!B:B=$B$1)),"""")"),"")</f>
        <v/>
      </c>
      <c r="M466" s="137" t="str">
        <f>IFERROR(__xludf.DUMMYFUNCTION("IFERROR((FILTER(Data!A:A,Data!D:D=A466,Data!B:B=$B$1)),"""")"),"")</f>
        <v/>
      </c>
      <c r="T466" s="52">
        <f>IFERROR(__xludf.DUMMYFUNCTION("((COUNTIF(FILTER(Data!N:N,Data!D:D=A466,Data!B:B=$B$1),""TRAVERSE"")*15)+(COUNTIF(FILTER(Data!N:N,Data!D:D=A466,Data!B:B=B$1),""HIGH"")*10)+(COUNTIF(FILTER(Data!N:N,Data!D:D=A466,Data!B:B=$B$1),""MIDDLE"")*6)+(COUNTIF(FILTER(Data!N:N,Data!D:D=A466,Data!B:"&amp;"B=$B$1),""LOW"")*4))"),0.0)</f>
        <v>0</v>
      </c>
      <c r="V466" s="138" t="str">
        <f>IF(Data!B458='Team Parser'!$B$1, Data!D458,"")</f>
        <v/>
      </c>
      <c r="W466" s="134" t="str">
        <f>IF(Data!$B458='Team Parser'!$B$1, Data!H458,"")</f>
        <v/>
      </c>
      <c r="X466" s="134" t="str">
        <f>IF(Data!$B458='Team Parser'!$B$1, Data!G458,"")</f>
        <v/>
      </c>
      <c r="Y466" s="134" t="str">
        <f>IF(Data!$B458='Team Parser'!$B$1, Data!L458,"")</f>
        <v/>
      </c>
      <c r="Z466" s="134" t="str">
        <f>IF(Data!$B458='Team Parser'!$B$1, Data!K458,"")</f>
        <v/>
      </c>
      <c r="AA466" s="134" t="str">
        <f>IF(Data!$B458='Team Parser'!$B$1, Data!M458,"")</f>
        <v/>
      </c>
      <c r="AB466" s="134" t="str">
        <f>IF(Data!$B458='Team Parser'!$B$1,((Z466*2)+(Y466)+(X466*4)+(W466*2)),"")</f>
        <v/>
      </c>
      <c r="AC466" s="134" t="str">
        <f>IF(Data!$B458='Team Parser'!$B$1, Data!N458,"")</f>
        <v/>
      </c>
      <c r="AD466" s="139" t="str">
        <f>IF(Data!$B458='Team Parser'!$B$1,(AB466+(COUNTIF(AC466,"TRAVERSE")*15)+(COUNTIF(AC466,"HIGH")*10)+(COUNTIF(AC466,"MIDDLE")*6)+(COUNTIF(AC466,"LOW")*4)),"")</f>
        <v/>
      </c>
    </row>
    <row r="467">
      <c r="A467" s="141" t="s">
        <v>507</v>
      </c>
      <c r="B467" s="134" t="str">
        <f>IFERROR(__xludf.DUMMYFUNCTION("IFERROR((FILTER(Data!H:H,Data!D:D=A467,Data!B:B=$B$1)),"""")"),"")</f>
        <v/>
      </c>
      <c r="C467" s="134" t="str">
        <f>IFERROR(__xludf.DUMMYFUNCTION("IFERROR((FILTER(Data!G:G,Data!D:D=A467,Data!B:B=$B$1)),"""")"),"")</f>
        <v/>
      </c>
      <c r="D467" s="134" t="str">
        <f>IFERROR(__xludf.DUMMYFUNCTION("IFERROR((FILTER(Data!J:J,Data!D:D=A467,Data!B:B=$B$1)),"""")"),"")</f>
        <v/>
      </c>
      <c r="E467" s="134" t="str">
        <f>IFERROR(__xludf.DUMMYFUNCTION("IFERROR((FILTER(Data!L:L,Data!D:D=A467,Data!B:B=$B$1)),"""")"),"")</f>
        <v/>
      </c>
      <c r="F467" s="134" t="str">
        <f>IFERROR(__xludf.DUMMYFUNCTION("IFERROR((FILTER(Data!K:K,Data!D:D=A467,Data!B:B=$B$1)),"""")"),"")</f>
        <v/>
      </c>
      <c r="G467" s="134" t="str">
        <f>IFERROR(__xludf.DUMMYFUNCTION("IFERROR((FILTER(Data!M:M,Data!D:D=A467,Data!B:B=$B$1)),"""")"),"")</f>
        <v/>
      </c>
      <c r="H467" s="134" t="str">
        <f>IFERROR(__xludf.DUMMYFUNCTION("IFERROR((FILTER(Data!G:G,Data!D:D=A467,Data!B:B=$B$1)*4)+(FILTER(Data!H:H,Data!D:D=A467,Data!B:B=$B$1)*2),"""")"),"")</f>
        <v/>
      </c>
      <c r="I467" s="15" t="str">
        <f>IFERROR(__xludf.DUMMYFUNCTION("IFERROR((FILTER(Data!K:K,Data!D:D=A467,Data!B:B=$B$1)*2)+(FILTER(Data!L:L,Data!D:D=A467,Data!B:B=$B$1)),"""")"),"")</f>
        <v/>
      </c>
      <c r="J467" s="134" t="str">
        <f>IFERROR(__xludf.DUMMYFUNCTION("IFERROR((FILTER(Data!N:N,Data!D:D=A467,Data!B:B=$B$1)),"""")"),"")</f>
        <v/>
      </c>
      <c r="K467" s="135" t="str">
        <f>IFERROR(__xludf.DUMMYFUNCTION("IFERROR((FILTER(Data!H:H,Data!D:D=A467,Data!B:B=$B$1)*2)+(FILTER(Data!L:L,Data!D:D=A467,Data!B:B=$B$1))+(FILTER(Data!G:G,Data!D:D=A467,Data!B:B=$B$1)*4)+(FILTER(Data!K:K,Data!D:D=A467,Data!B:B=$B$1)*2)+(((COUNTIF(FILTER(Data!N:N,Data!D:D=A467,Data!B:B=$B$"&amp;"1),""TRAVERSE"")*15)+(COUNTIF(FILTER(Data!N:N,Data!D:D=A467,Data!B:B=$B$1),""HIGH"")*10)+(COUNTIF(FILTER(Data!N:N,Data!D:D=A467,Data!B:B=$B$1),""MIDDLE"")*6)+(COUNTIF(FILTER(Data!N:N,Data!D:D=A467,Data!B:B=$B$1),""LOW"")*4))),"""")"),"")</f>
        <v/>
      </c>
      <c r="L467" s="136" t="str">
        <f>IFERROR(__xludf.DUMMYFUNCTION("IFERROR((FILTER(Data!P:P,Data!D:D=A467,Data!B:B=$B$1)),"""")"),"")</f>
        <v/>
      </c>
      <c r="M467" s="137" t="str">
        <f>IFERROR(__xludf.DUMMYFUNCTION("IFERROR((FILTER(Data!A:A,Data!D:D=A467,Data!B:B=$B$1)),"""")"),"")</f>
        <v/>
      </c>
      <c r="T467" s="52">
        <f>IFERROR(__xludf.DUMMYFUNCTION("((COUNTIF(FILTER(Data!N:N,Data!D:D=A467,Data!B:B=$B$1),""TRAVERSE"")*15)+(COUNTIF(FILTER(Data!N:N,Data!D:D=A467,Data!B:B=B$1),""HIGH"")*10)+(COUNTIF(FILTER(Data!N:N,Data!D:D=A467,Data!B:B=$B$1),""MIDDLE"")*6)+(COUNTIF(FILTER(Data!N:N,Data!D:D=A467,Data!B:"&amp;"B=$B$1),""LOW"")*4))"),0.0)</f>
        <v>0</v>
      </c>
      <c r="V467" s="138" t="str">
        <f>IF(Data!B459='Team Parser'!$B$1, Data!D459,"")</f>
        <v/>
      </c>
      <c r="W467" s="134" t="str">
        <f>IF(Data!$B459='Team Parser'!$B$1, Data!H459,"")</f>
        <v/>
      </c>
      <c r="X467" s="134" t="str">
        <f>IF(Data!$B459='Team Parser'!$B$1, Data!G459,"")</f>
        <v/>
      </c>
      <c r="Y467" s="134" t="str">
        <f>IF(Data!$B459='Team Parser'!$B$1, Data!L459,"")</f>
        <v/>
      </c>
      <c r="Z467" s="134" t="str">
        <f>IF(Data!$B459='Team Parser'!$B$1, Data!K459,"")</f>
        <v/>
      </c>
      <c r="AA467" s="134" t="str">
        <f>IF(Data!$B459='Team Parser'!$B$1, Data!M459,"")</f>
        <v/>
      </c>
      <c r="AB467" s="134" t="str">
        <f>IF(Data!$B459='Team Parser'!$B$1,((Z467*2)+(Y467)+(X467*4)+(W467*2)),"")</f>
        <v/>
      </c>
      <c r="AC467" s="134" t="str">
        <f>IF(Data!$B459='Team Parser'!$B$1, Data!N459,"")</f>
        <v/>
      </c>
      <c r="AD467" s="139" t="str">
        <f>IF(Data!$B459='Team Parser'!$B$1,(AB467+(COUNTIF(AC467,"TRAVERSE")*15)+(COUNTIF(AC467,"HIGH")*10)+(COUNTIF(AC467,"MIDDLE")*6)+(COUNTIF(AC467,"LOW")*4)),"")</f>
        <v/>
      </c>
    </row>
    <row r="468">
      <c r="A468" s="141" t="s">
        <v>507</v>
      </c>
      <c r="B468" s="134" t="str">
        <f>IFERROR(__xludf.DUMMYFUNCTION("IFERROR((FILTER(Data!H:H,Data!D:D=A468,Data!B:B=$B$1)),"""")"),"")</f>
        <v/>
      </c>
      <c r="C468" s="134" t="str">
        <f>IFERROR(__xludf.DUMMYFUNCTION("IFERROR((FILTER(Data!G:G,Data!D:D=A468,Data!B:B=$B$1)),"""")"),"")</f>
        <v/>
      </c>
      <c r="D468" s="134" t="str">
        <f>IFERROR(__xludf.DUMMYFUNCTION("IFERROR((FILTER(Data!J:J,Data!D:D=A468,Data!B:B=$B$1)),"""")"),"")</f>
        <v/>
      </c>
      <c r="E468" s="134" t="str">
        <f>IFERROR(__xludf.DUMMYFUNCTION("IFERROR((FILTER(Data!L:L,Data!D:D=A468,Data!B:B=$B$1)),"""")"),"")</f>
        <v/>
      </c>
      <c r="F468" s="134" t="str">
        <f>IFERROR(__xludf.DUMMYFUNCTION("IFERROR((FILTER(Data!K:K,Data!D:D=A468,Data!B:B=$B$1)),"""")"),"")</f>
        <v/>
      </c>
      <c r="G468" s="134" t="str">
        <f>IFERROR(__xludf.DUMMYFUNCTION("IFERROR((FILTER(Data!M:M,Data!D:D=A468,Data!B:B=$B$1)),"""")"),"")</f>
        <v/>
      </c>
      <c r="H468" s="134" t="str">
        <f>IFERROR(__xludf.DUMMYFUNCTION("IFERROR((FILTER(Data!G:G,Data!D:D=A468,Data!B:B=$B$1)*4)+(FILTER(Data!H:H,Data!D:D=A468,Data!B:B=$B$1)*2),"""")"),"")</f>
        <v/>
      </c>
      <c r="I468" s="15" t="str">
        <f>IFERROR(__xludf.DUMMYFUNCTION("IFERROR((FILTER(Data!K:K,Data!D:D=A468,Data!B:B=$B$1)*2)+(FILTER(Data!L:L,Data!D:D=A468,Data!B:B=$B$1)),"""")"),"")</f>
        <v/>
      </c>
      <c r="J468" s="134" t="str">
        <f>IFERROR(__xludf.DUMMYFUNCTION("IFERROR((FILTER(Data!N:N,Data!D:D=A468,Data!B:B=$B$1)),"""")"),"")</f>
        <v/>
      </c>
      <c r="K468" s="135" t="str">
        <f>IFERROR(__xludf.DUMMYFUNCTION("IFERROR((FILTER(Data!H:H,Data!D:D=A468,Data!B:B=$B$1)*2)+(FILTER(Data!L:L,Data!D:D=A468,Data!B:B=$B$1))+(FILTER(Data!G:G,Data!D:D=A468,Data!B:B=$B$1)*4)+(FILTER(Data!K:K,Data!D:D=A468,Data!B:B=$B$1)*2)+(((COUNTIF(FILTER(Data!N:N,Data!D:D=A468,Data!B:B=$B$"&amp;"1),""TRAVERSE"")*15)+(COUNTIF(FILTER(Data!N:N,Data!D:D=A468,Data!B:B=$B$1),""HIGH"")*10)+(COUNTIF(FILTER(Data!N:N,Data!D:D=A468,Data!B:B=$B$1),""MIDDLE"")*6)+(COUNTIF(FILTER(Data!N:N,Data!D:D=A468,Data!B:B=$B$1),""LOW"")*4))),"""")"),"")</f>
        <v/>
      </c>
      <c r="L468" s="136" t="str">
        <f>IFERROR(__xludf.DUMMYFUNCTION("IFERROR((FILTER(Data!P:P,Data!D:D=A468,Data!B:B=$B$1)),"""")"),"")</f>
        <v/>
      </c>
      <c r="M468" s="137" t="str">
        <f>IFERROR(__xludf.DUMMYFUNCTION("IFERROR((FILTER(Data!A:A,Data!D:D=A468,Data!B:B=$B$1)),"""")"),"")</f>
        <v/>
      </c>
      <c r="T468" s="52">
        <f>IFERROR(__xludf.DUMMYFUNCTION("((COUNTIF(FILTER(Data!N:N,Data!D:D=A468,Data!B:B=$B$1),""TRAVERSE"")*15)+(COUNTIF(FILTER(Data!N:N,Data!D:D=A468,Data!B:B=B$1),""HIGH"")*10)+(COUNTIF(FILTER(Data!N:N,Data!D:D=A468,Data!B:B=$B$1),""MIDDLE"")*6)+(COUNTIF(FILTER(Data!N:N,Data!D:D=A468,Data!B:"&amp;"B=$B$1),""LOW"")*4))"),0.0)</f>
        <v>0</v>
      </c>
      <c r="V468" s="138" t="str">
        <f>IF(Data!B460='Team Parser'!$B$1, Data!D460,"")</f>
        <v/>
      </c>
      <c r="W468" s="134" t="str">
        <f>IF(Data!$B460='Team Parser'!$B$1, Data!H460,"")</f>
        <v/>
      </c>
      <c r="X468" s="134" t="str">
        <f>IF(Data!$B460='Team Parser'!$B$1, Data!G460,"")</f>
        <v/>
      </c>
      <c r="Y468" s="134" t="str">
        <f>IF(Data!$B460='Team Parser'!$B$1, Data!L460,"")</f>
        <v/>
      </c>
      <c r="Z468" s="134" t="str">
        <f>IF(Data!$B460='Team Parser'!$B$1, Data!K460,"")</f>
        <v/>
      </c>
      <c r="AA468" s="134" t="str">
        <f>IF(Data!$B460='Team Parser'!$B$1, Data!M460,"")</f>
        <v/>
      </c>
      <c r="AB468" s="134" t="str">
        <f>IF(Data!$B460='Team Parser'!$B$1,((Z468*2)+(Y468)+(X468*4)+(W468*2)),"")</f>
        <v/>
      </c>
      <c r="AC468" s="134" t="str">
        <f>IF(Data!$B460='Team Parser'!$B$1, Data!N460,"")</f>
        <v/>
      </c>
      <c r="AD468" s="139" t="str">
        <f>IF(Data!$B460='Team Parser'!$B$1,(AB468+(COUNTIF(AC468,"TRAVERSE")*15)+(COUNTIF(AC468,"HIGH")*10)+(COUNTIF(AC468,"MIDDLE")*6)+(COUNTIF(AC468,"LOW")*4)),"")</f>
        <v/>
      </c>
    </row>
    <row r="469">
      <c r="A469" s="141" t="s">
        <v>507</v>
      </c>
      <c r="B469" s="134" t="str">
        <f>IFERROR(__xludf.DUMMYFUNCTION("IFERROR((FILTER(Data!H:H,Data!D:D=A469,Data!B:B=$B$1)),"""")"),"")</f>
        <v/>
      </c>
      <c r="C469" s="134" t="str">
        <f>IFERROR(__xludf.DUMMYFUNCTION("IFERROR((FILTER(Data!G:G,Data!D:D=A469,Data!B:B=$B$1)),"""")"),"")</f>
        <v/>
      </c>
      <c r="D469" s="134" t="str">
        <f>IFERROR(__xludf.DUMMYFUNCTION("IFERROR((FILTER(Data!J:J,Data!D:D=A469,Data!B:B=$B$1)),"""")"),"")</f>
        <v/>
      </c>
      <c r="E469" s="134" t="str">
        <f>IFERROR(__xludf.DUMMYFUNCTION("IFERROR((FILTER(Data!L:L,Data!D:D=A469,Data!B:B=$B$1)),"""")"),"")</f>
        <v/>
      </c>
      <c r="F469" s="134" t="str">
        <f>IFERROR(__xludf.DUMMYFUNCTION("IFERROR((FILTER(Data!K:K,Data!D:D=A469,Data!B:B=$B$1)),"""")"),"")</f>
        <v/>
      </c>
      <c r="G469" s="134" t="str">
        <f>IFERROR(__xludf.DUMMYFUNCTION("IFERROR((FILTER(Data!M:M,Data!D:D=A469,Data!B:B=$B$1)),"""")"),"")</f>
        <v/>
      </c>
      <c r="H469" s="134" t="str">
        <f>IFERROR(__xludf.DUMMYFUNCTION("IFERROR((FILTER(Data!G:G,Data!D:D=A469,Data!B:B=$B$1)*4)+(FILTER(Data!H:H,Data!D:D=A469,Data!B:B=$B$1)*2),"""")"),"")</f>
        <v/>
      </c>
      <c r="I469" s="15" t="str">
        <f>IFERROR(__xludf.DUMMYFUNCTION("IFERROR((FILTER(Data!K:K,Data!D:D=A469,Data!B:B=$B$1)*2)+(FILTER(Data!L:L,Data!D:D=A469,Data!B:B=$B$1)),"""")"),"")</f>
        <v/>
      </c>
      <c r="J469" s="134" t="str">
        <f>IFERROR(__xludf.DUMMYFUNCTION("IFERROR((FILTER(Data!N:N,Data!D:D=A469,Data!B:B=$B$1)),"""")"),"")</f>
        <v/>
      </c>
      <c r="K469" s="135" t="str">
        <f>IFERROR(__xludf.DUMMYFUNCTION("IFERROR((FILTER(Data!H:H,Data!D:D=A469,Data!B:B=$B$1)*2)+(FILTER(Data!L:L,Data!D:D=A469,Data!B:B=$B$1))+(FILTER(Data!G:G,Data!D:D=A469,Data!B:B=$B$1)*4)+(FILTER(Data!K:K,Data!D:D=A469,Data!B:B=$B$1)*2)+(((COUNTIF(FILTER(Data!N:N,Data!D:D=A469,Data!B:B=$B$"&amp;"1),""TRAVERSE"")*15)+(COUNTIF(FILTER(Data!N:N,Data!D:D=A469,Data!B:B=$B$1),""HIGH"")*10)+(COUNTIF(FILTER(Data!N:N,Data!D:D=A469,Data!B:B=$B$1),""MIDDLE"")*6)+(COUNTIF(FILTER(Data!N:N,Data!D:D=A469,Data!B:B=$B$1),""LOW"")*4))),"""")"),"")</f>
        <v/>
      </c>
      <c r="L469" s="136" t="str">
        <f>IFERROR(__xludf.DUMMYFUNCTION("IFERROR((FILTER(Data!P:P,Data!D:D=A469,Data!B:B=$B$1)),"""")"),"")</f>
        <v/>
      </c>
      <c r="M469" s="137" t="str">
        <f>IFERROR(__xludf.DUMMYFUNCTION("IFERROR((FILTER(Data!A:A,Data!D:D=A469,Data!B:B=$B$1)),"""")"),"")</f>
        <v/>
      </c>
      <c r="T469" s="52">
        <f>IFERROR(__xludf.DUMMYFUNCTION("((COUNTIF(FILTER(Data!N:N,Data!D:D=A469,Data!B:B=$B$1),""TRAVERSE"")*15)+(COUNTIF(FILTER(Data!N:N,Data!D:D=A469,Data!B:B=B$1),""HIGH"")*10)+(COUNTIF(FILTER(Data!N:N,Data!D:D=A469,Data!B:B=$B$1),""MIDDLE"")*6)+(COUNTIF(FILTER(Data!N:N,Data!D:D=A469,Data!B:"&amp;"B=$B$1),""LOW"")*4))"),0.0)</f>
        <v>0</v>
      </c>
      <c r="V469" s="138" t="str">
        <f>IF(Data!B461='Team Parser'!$B$1, Data!D461,"")</f>
        <v/>
      </c>
      <c r="W469" s="134" t="str">
        <f>IF(Data!$B461='Team Parser'!$B$1, Data!H461,"")</f>
        <v/>
      </c>
      <c r="X469" s="134" t="str">
        <f>IF(Data!$B461='Team Parser'!$B$1, Data!G461,"")</f>
        <v/>
      </c>
      <c r="Y469" s="134" t="str">
        <f>IF(Data!$B461='Team Parser'!$B$1, Data!L461,"")</f>
        <v/>
      </c>
      <c r="Z469" s="134" t="str">
        <f>IF(Data!$B461='Team Parser'!$B$1, Data!K461,"")</f>
        <v/>
      </c>
      <c r="AA469" s="134" t="str">
        <f>IF(Data!$B461='Team Parser'!$B$1, Data!M461,"")</f>
        <v/>
      </c>
      <c r="AB469" s="134" t="str">
        <f>IF(Data!$B461='Team Parser'!$B$1,((Z469*2)+(Y469)+(X469*4)+(W469*2)),"")</f>
        <v/>
      </c>
      <c r="AC469" s="134" t="str">
        <f>IF(Data!$B461='Team Parser'!$B$1, Data!N461,"")</f>
        <v/>
      </c>
      <c r="AD469" s="139" t="str">
        <f>IF(Data!$B461='Team Parser'!$B$1,(AB469+(COUNTIF(AC469,"TRAVERSE")*15)+(COUNTIF(AC469,"HIGH")*10)+(COUNTIF(AC469,"MIDDLE")*6)+(COUNTIF(AC469,"LOW")*4)),"")</f>
        <v/>
      </c>
    </row>
    <row r="470">
      <c r="A470" s="141" t="s">
        <v>507</v>
      </c>
      <c r="B470" s="134" t="str">
        <f>IFERROR(__xludf.DUMMYFUNCTION("IFERROR((FILTER(Data!H:H,Data!D:D=A470,Data!B:B=$B$1)),"""")"),"")</f>
        <v/>
      </c>
      <c r="C470" s="134" t="str">
        <f>IFERROR(__xludf.DUMMYFUNCTION("IFERROR((FILTER(Data!G:G,Data!D:D=A470,Data!B:B=$B$1)),"""")"),"")</f>
        <v/>
      </c>
      <c r="D470" s="134" t="str">
        <f>IFERROR(__xludf.DUMMYFUNCTION("IFERROR((FILTER(Data!J:J,Data!D:D=A470,Data!B:B=$B$1)),"""")"),"")</f>
        <v/>
      </c>
      <c r="E470" s="134" t="str">
        <f>IFERROR(__xludf.DUMMYFUNCTION("IFERROR((FILTER(Data!L:L,Data!D:D=A470,Data!B:B=$B$1)),"""")"),"")</f>
        <v/>
      </c>
      <c r="F470" s="134" t="str">
        <f>IFERROR(__xludf.DUMMYFUNCTION("IFERROR((FILTER(Data!K:K,Data!D:D=A470,Data!B:B=$B$1)),"""")"),"")</f>
        <v/>
      </c>
      <c r="G470" s="134" t="str">
        <f>IFERROR(__xludf.DUMMYFUNCTION("IFERROR((FILTER(Data!M:M,Data!D:D=A470,Data!B:B=$B$1)),"""")"),"")</f>
        <v/>
      </c>
      <c r="H470" s="134" t="str">
        <f>IFERROR(__xludf.DUMMYFUNCTION("IFERROR((FILTER(Data!G:G,Data!D:D=A470,Data!B:B=$B$1)*4)+(FILTER(Data!H:H,Data!D:D=A470,Data!B:B=$B$1)*2),"""")"),"")</f>
        <v/>
      </c>
      <c r="I470" s="15" t="str">
        <f>IFERROR(__xludf.DUMMYFUNCTION("IFERROR((FILTER(Data!K:K,Data!D:D=A470,Data!B:B=$B$1)*2)+(FILTER(Data!L:L,Data!D:D=A470,Data!B:B=$B$1)),"""")"),"")</f>
        <v/>
      </c>
      <c r="J470" s="134" t="str">
        <f>IFERROR(__xludf.DUMMYFUNCTION("IFERROR((FILTER(Data!N:N,Data!D:D=A470,Data!B:B=$B$1)),"""")"),"")</f>
        <v/>
      </c>
      <c r="K470" s="135" t="str">
        <f>IFERROR(__xludf.DUMMYFUNCTION("IFERROR((FILTER(Data!H:H,Data!D:D=A470,Data!B:B=$B$1)*2)+(FILTER(Data!L:L,Data!D:D=A470,Data!B:B=$B$1))+(FILTER(Data!G:G,Data!D:D=A470,Data!B:B=$B$1)*4)+(FILTER(Data!K:K,Data!D:D=A470,Data!B:B=$B$1)*2)+(((COUNTIF(FILTER(Data!N:N,Data!D:D=A470,Data!B:B=$B$"&amp;"1),""TRAVERSE"")*15)+(COUNTIF(FILTER(Data!N:N,Data!D:D=A470,Data!B:B=$B$1),""HIGH"")*10)+(COUNTIF(FILTER(Data!N:N,Data!D:D=A470,Data!B:B=$B$1),""MIDDLE"")*6)+(COUNTIF(FILTER(Data!N:N,Data!D:D=A470,Data!B:B=$B$1),""LOW"")*4))),"""")"),"")</f>
        <v/>
      </c>
      <c r="L470" s="136" t="str">
        <f>IFERROR(__xludf.DUMMYFUNCTION("IFERROR((FILTER(Data!P:P,Data!D:D=A470,Data!B:B=$B$1)),"""")"),"")</f>
        <v/>
      </c>
      <c r="M470" s="137" t="str">
        <f>IFERROR(__xludf.DUMMYFUNCTION("IFERROR((FILTER(Data!A:A,Data!D:D=A470,Data!B:B=$B$1)),"""")"),"")</f>
        <v/>
      </c>
      <c r="T470" s="52">
        <f>IFERROR(__xludf.DUMMYFUNCTION("((COUNTIF(FILTER(Data!N:N,Data!D:D=A470,Data!B:B=$B$1),""TRAVERSE"")*15)+(COUNTIF(FILTER(Data!N:N,Data!D:D=A470,Data!B:B=B$1),""HIGH"")*10)+(COUNTIF(FILTER(Data!N:N,Data!D:D=A470,Data!B:B=$B$1),""MIDDLE"")*6)+(COUNTIF(FILTER(Data!N:N,Data!D:D=A470,Data!B:"&amp;"B=$B$1),""LOW"")*4))"),0.0)</f>
        <v>0</v>
      </c>
      <c r="V470" s="138" t="str">
        <f>IF(Data!B462='Team Parser'!$B$1, Data!D462,"")</f>
        <v/>
      </c>
      <c r="W470" s="134" t="str">
        <f>IF(Data!$B462='Team Parser'!$B$1, Data!H462,"")</f>
        <v/>
      </c>
      <c r="X470" s="134" t="str">
        <f>IF(Data!$B462='Team Parser'!$B$1, Data!G462,"")</f>
        <v/>
      </c>
      <c r="Y470" s="134" t="str">
        <f>IF(Data!$B462='Team Parser'!$B$1, Data!L462,"")</f>
        <v/>
      </c>
      <c r="Z470" s="134" t="str">
        <f>IF(Data!$B462='Team Parser'!$B$1, Data!K462,"")</f>
        <v/>
      </c>
      <c r="AA470" s="134" t="str">
        <f>IF(Data!$B462='Team Parser'!$B$1, Data!M462,"")</f>
        <v/>
      </c>
      <c r="AB470" s="134" t="str">
        <f>IF(Data!$B462='Team Parser'!$B$1,((Z470*2)+(Y470)+(X470*4)+(W470*2)),"")</f>
        <v/>
      </c>
      <c r="AC470" s="134" t="str">
        <f>IF(Data!$B462='Team Parser'!$B$1, Data!N462,"")</f>
        <v/>
      </c>
      <c r="AD470" s="139" t="str">
        <f>IF(Data!$B462='Team Parser'!$B$1,(AB470+(COUNTIF(AC470,"TRAVERSE")*15)+(COUNTIF(AC470,"HIGH")*10)+(COUNTIF(AC470,"MIDDLE")*6)+(COUNTIF(AC470,"LOW")*4)),"")</f>
        <v/>
      </c>
    </row>
    <row r="471">
      <c r="A471" s="141" t="s">
        <v>507</v>
      </c>
      <c r="B471" s="134" t="str">
        <f>IFERROR(__xludf.DUMMYFUNCTION("IFERROR((FILTER(Data!H:H,Data!D:D=A471,Data!B:B=$B$1)),"""")"),"")</f>
        <v/>
      </c>
      <c r="C471" s="134" t="str">
        <f>IFERROR(__xludf.DUMMYFUNCTION("IFERROR((FILTER(Data!G:G,Data!D:D=A471,Data!B:B=$B$1)),"""")"),"")</f>
        <v/>
      </c>
      <c r="D471" s="134" t="str">
        <f>IFERROR(__xludf.DUMMYFUNCTION("IFERROR((FILTER(Data!J:J,Data!D:D=A471,Data!B:B=$B$1)),"""")"),"")</f>
        <v/>
      </c>
      <c r="E471" s="134" t="str">
        <f>IFERROR(__xludf.DUMMYFUNCTION("IFERROR((FILTER(Data!L:L,Data!D:D=A471,Data!B:B=$B$1)),"""")"),"")</f>
        <v/>
      </c>
      <c r="F471" s="134" t="str">
        <f>IFERROR(__xludf.DUMMYFUNCTION("IFERROR((FILTER(Data!K:K,Data!D:D=A471,Data!B:B=$B$1)),"""")"),"")</f>
        <v/>
      </c>
      <c r="G471" s="134" t="str">
        <f>IFERROR(__xludf.DUMMYFUNCTION("IFERROR((FILTER(Data!M:M,Data!D:D=A471,Data!B:B=$B$1)),"""")"),"")</f>
        <v/>
      </c>
      <c r="H471" s="134" t="str">
        <f>IFERROR(__xludf.DUMMYFUNCTION("IFERROR((FILTER(Data!G:G,Data!D:D=A471,Data!B:B=$B$1)*4)+(FILTER(Data!H:H,Data!D:D=A471,Data!B:B=$B$1)*2),"""")"),"")</f>
        <v/>
      </c>
      <c r="I471" s="15" t="str">
        <f>IFERROR(__xludf.DUMMYFUNCTION("IFERROR((FILTER(Data!K:K,Data!D:D=A471,Data!B:B=$B$1)*2)+(FILTER(Data!L:L,Data!D:D=A471,Data!B:B=$B$1)),"""")"),"")</f>
        <v/>
      </c>
      <c r="J471" s="134" t="str">
        <f>IFERROR(__xludf.DUMMYFUNCTION("IFERROR((FILTER(Data!N:N,Data!D:D=A471,Data!B:B=$B$1)),"""")"),"")</f>
        <v/>
      </c>
      <c r="K471" s="135" t="str">
        <f>IFERROR(__xludf.DUMMYFUNCTION("IFERROR((FILTER(Data!H:H,Data!D:D=A471,Data!B:B=$B$1)*2)+(FILTER(Data!L:L,Data!D:D=A471,Data!B:B=$B$1))+(FILTER(Data!G:G,Data!D:D=A471,Data!B:B=$B$1)*4)+(FILTER(Data!K:K,Data!D:D=A471,Data!B:B=$B$1)*2)+(((COUNTIF(FILTER(Data!N:N,Data!D:D=A471,Data!B:B=$B$"&amp;"1),""TRAVERSE"")*15)+(COUNTIF(FILTER(Data!N:N,Data!D:D=A471,Data!B:B=$B$1),""HIGH"")*10)+(COUNTIF(FILTER(Data!N:N,Data!D:D=A471,Data!B:B=$B$1),""MIDDLE"")*6)+(COUNTIF(FILTER(Data!N:N,Data!D:D=A471,Data!B:B=$B$1),""LOW"")*4))),"""")"),"")</f>
        <v/>
      </c>
      <c r="L471" s="136" t="str">
        <f>IFERROR(__xludf.DUMMYFUNCTION("IFERROR((FILTER(Data!P:P,Data!D:D=A471,Data!B:B=$B$1)),"""")"),"")</f>
        <v/>
      </c>
      <c r="M471" s="137" t="str">
        <f>IFERROR(__xludf.DUMMYFUNCTION("IFERROR((FILTER(Data!A:A,Data!D:D=A471,Data!B:B=$B$1)),"""")"),"")</f>
        <v/>
      </c>
      <c r="T471" s="52">
        <f>IFERROR(__xludf.DUMMYFUNCTION("((COUNTIF(FILTER(Data!N:N,Data!D:D=A471,Data!B:B=$B$1),""TRAVERSE"")*15)+(COUNTIF(FILTER(Data!N:N,Data!D:D=A471,Data!B:B=B$1),""HIGH"")*10)+(COUNTIF(FILTER(Data!N:N,Data!D:D=A471,Data!B:B=$B$1),""MIDDLE"")*6)+(COUNTIF(FILTER(Data!N:N,Data!D:D=A471,Data!B:"&amp;"B=$B$1),""LOW"")*4))"),0.0)</f>
        <v>0</v>
      </c>
      <c r="V471" s="138" t="str">
        <f>IF(Data!B463='Team Parser'!$B$1, Data!D463,"")</f>
        <v/>
      </c>
      <c r="W471" s="134" t="str">
        <f>IF(Data!$B463='Team Parser'!$B$1, Data!H463,"")</f>
        <v/>
      </c>
      <c r="X471" s="134" t="str">
        <f>IF(Data!$B463='Team Parser'!$B$1, Data!G463,"")</f>
        <v/>
      </c>
      <c r="Y471" s="134" t="str">
        <f>IF(Data!$B463='Team Parser'!$B$1, Data!L463,"")</f>
        <v/>
      </c>
      <c r="Z471" s="134" t="str">
        <f>IF(Data!$B463='Team Parser'!$B$1, Data!K463,"")</f>
        <v/>
      </c>
      <c r="AA471" s="134" t="str">
        <f>IF(Data!$B463='Team Parser'!$B$1, Data!M463,"")</f>
        <v/>
      </c>
      <c r="AB471" s="134" t="str">
        <f>IF(Data!$B463='Team Parser'!$B$1,((Z471*2)+(Y471)+(X471*4)+(W471*2)),"")</f>
        <v/>
      </c>
      <c r="AC471" s="134" t="str">
        <f>IF(Data!$B463='Team Parser'!$B$1, Data!N463,"")</f>
        <v/>
      </c>
      <c r="AD471" s="139" t="str">
        <f>IF(Data!$B463='Team Parser'!$B$1,(AB471+(COUNTIF(AC471,"TRAVERSE")*15)+(COUNTIF(AC471,"HIGH")*10)+(COUNTIF(AC471,"MIDDLE")*6)+(COUNTIF(AC471,"LOW")*4)),"")</f>
        <v/>
      </c>
    </row>
    <row r="472">
      <c r="A472" s="141" t="s">
        <v>507</v>
      </c>
      <c r="B472" s="134" t="str">
        <f>IFERROR(__xludf.DUMMYFUNCTION("IFERROR((FILTER(Data!H:H,Data!D:D=A472,Data!B:B=$B$1)),"""")"),"")</f>
        <v/>
      </c>
      <c r="C472" s="134" t="str">
        <f>IFERROR(__xludf.DUMMYFUNCTION("IFERROR((FILTER(Data!G:G,Data!D:D=A472,Data!B:B=$B$1)),"""")"),"")</f>
        <v/>
      </c>
      <c r="D472" s="134" t="str">
        <f>IFERROR(__xludf.DUMMYFUNCTION("IFERROR((FILTER(Data!J:J,Data!D:D=A472,Data!B:B=$B$1)),"""")"),"")</f>
        <v/>
      </c>
      <c r="E472" s="134" t="str">
        <f>IFERROR(__xludf.DUMMYFUNCTION("IFERROR((FILTER(Data!L:L,Data!D:D=A472,Data!B:B=$B$1)),"""")"),"")</f>
        <v/>
      </c>
      <c r="F472" s="134" t="str">
        <f>IFERROR(__xludf.DUMMYFUNCTION("IFERROR((FILTER(Data!K:K,Data!D:D=A472,Data!B:B=$B$1)),"""")"),"")</f>
        <v/>
      </c>
      <c r="G472" s="134" t="str">
        <f>IFERROR(__xludf.DUMMYFUNCTION("IFERROR((FILTER(Data!M:M,Data!D:D=A472,Data!B:B=$B$1)),"""")"),"")</f>
        <v/>
      </c>
      <c r="H472" s="134" t="str">
        <f>IFERROR(__xludf.DUMMYFUNCTION("IFERROR((FILTER(Data!G:G,Data!D:D=A472,Data!B:B=$B$1)*4)+(FILTER(Data!H:H,Data!D:D=A472,Data!B:B=$B$1)*2),"""")"),"")</f>
        <v/>
      </c>
      <c r="I472" s="15" t="str">
        <f>IFERROR(__xludf.DUMMYFUNCTION("IFERROR((FILTER(Data!K:K,Data!D:D=A472,Data!B:B=$B$1)*2)+(FILTER(Data!L:L,Data!D:D=A472,Data!B:B=$B$1)),"""")"),"")</f>
        <v/>
      </c>
      <c r="J472" s="134" t="str">
        <f>IFERROR(__xludf.DUMMYFUNCTION("IFERROR((FILTER(Data!N:N,Data!D:D=A472,Data!B:B=$B$1)),"""")"),"")</f>
        <v/>
      </c>
      <c r="K472" s="135" t="str">
        <f>IFERROR(__xludf.DUMMYFUNCTION("IFERROR((FILTER(Data!H:H,Data!D:D=A472,Data!B:B=$B$1)*2)+(FILTER(Data!L:L,Data!D:D=A472,Data!B:B=$B$1))+(FILTER(Data!G:G,Data!D:D=A472,Data!B:B=$B$1)*4)+(FILTER(Data!K:K,Data!D:D=A472,Data!B:B=$B$1)*2)+(((COUNTIF(FILTER(Data!N:N,Data!D:D=A472,Data!B:B=$B$"&amp;"1),""TRAVERSE"")*15)+(COUNTIF(FILTER(Data!N:N,Data!D:D=A472,Data!B:B=$B$1),""HIGH"")*10)+(COUNTIF(FILTER(Data!N:N,Data!D:D=A472,Data!B:B=$B$1),""MIDDLE"")*6)+(COUNTIF(FILTER(Data!N:N,Data!D:D=A472,Data!B:B=$B$1),""LOW"")*4))),"""")"),"")</f>
        <v/>
      </c>
      <c r="L472" s="136" t="str">
        <f>IFERROR(__xludf.DUMMYFUNCTION("IFERROR((FILTER(Data!P:P,Data!D:D=A472,Data!B:B=$B$1)),"""")"),"")</f>
        <v/>
      </c>
      <c r="M472" s="137" t="str">
        <f>IFERROR(__xludf.DUMMYFUNCTION("IFERROR((FILTER(Data!A:A,Data!D:D=A472,Data!B:B=$B$1)),"""")"),"")</f>
        <v/>
      </c>
      <c r="T472" s="52">
        <f>IFERROR(__xludf.DUMMYFUNCTION("((COUNTIF(FILTER(Data!N:N,Data!D:D=A472,Data!B:B=$B$1),""TRAVERSE"")*15)+(COUNTIF(FILTER(Data!N:N,Data!D:D=A472,Data!B:B=B$1),""HIGH"")*10)+(COUNTIF(FILTER(Data!N:N,Data!D:D=A472,Data!B:B=$B$1),""MIDDLE"")*6)+(COUNTIF(FILTER(Data!N:N,Data!D:D=A472,Data!B:"&amp;"B=$B$1),""LOW"")*4))"),0.0)</f>
        <v>0</v>
      </c>
      <c r="V472" s="138" t="str">
        <f>IF(Data!B464='Team Parser'!$B$1, Data!D464,"")</f>
        <v/>
      </c>
      <c r="W472" s="134" t="str">
        <f>IF(Data!$B464='Team Parser'!$B$1, Data!H464,"")</f>
        <v/>
      </c>
      <c r="X472" s="134" t="str">
        <f>IF(Data!$B464='Team Parser'!$B$1, Data!G464,"")</f>
        <v/>
      </c>
      <c r="Y472" s="134" t="str">
        <f>IF(Data!$B464='Team Parser'!$B$1, Data!L464,"")</f>
        <v/>
      </c>
      <c r="Z472" s="134" t="str">
        <f>IF(Data!$B464='Team Parser'!$B$1, Data!K464,"")</f>
        <v/>
      </c>
      <c r="AA472" s="134" t="str">
        <f>IF(Data!$B464='Team Parser'!$B$1, Data!M464,"")</f>
        <v/>
      </c>
      <c r="AB472" s="134" t="str">
        <f>IF(Data!$B464='Team Parser'!$B$1,((Z472*2)+(Y472)+(X472*4)+(W472*2)),"")</f>
        <v/>
      </c>
      <c r="AC472" s="134" t="str">
        <f>IF(Data!$B464='Team Parser'!$B$1, Data!N464,"")</f>
        <v/>
      </c>
      <c r="AD472" s="139" t="str">
        <f>IF(Data!$B464='Team Parser'!$B$1,(AB472+(COUNTIF(AC472,"TRAVERSE")*15)+(COUNTIF(AC472,"HIGH")*10)+(COUNTIF(AC472,"MIDDLE")*6)+(COUNTIF(AC472,"LOW")*4)),"")</f>
        <v/>
      </c>
    </row>
    <row r="473">
      <c r="A473" s="141" t="s">
        <v>507</v>
      </c>
      <c r="B473" s="134" t="str">
        <f>IFERROR(__xludf.DUMMYFUNCTION("IFERROR((FILTER(Data!H:H,Data!D:D=A473,Data!B:B=$B$1)),"""")"),"")</f>
        <v/>
      </c>
      <c r="C473" s="134" t="str">
        <f>IFERROR(__xludf.DUMMYFUNCTION("IFERROR((FILTER(Data!G:G,Data!D:D=A473,Data!B:B=$B$1)),"""")"),"")</f>
        <v/>
      </c>
      <c r="D473" s="134" t="str">
        <f>IFERROR(__xludf.DUMMYFUNCTION("IFERROR((FILTER(Data!J:J,Data!D:D=A473,Data!B:B=$B$1)),"""")"),"")</f>
        <v/>
      </c>
      <c r="E473" s="134" t="str">
        <f>IFERROR(__xludf.DUMMYFUNCTION("IFERROR((FILTER(Data!L:L,Data!D:D=A473,Data!B:B=$B$1)),"""")"),"")</f>
        <v/>
      </c>
      <c r="F473" s="134" t="str">
        <f>IFERROR(__xludf.DUMMYFUNCTION("IFERROR((FILTER(Data!K:K,Data!D:D=A473,Data!B:B=$B$1)),"""")"),"")</f>
        <v/>
      </c>
      <c r="G473" s="134" t="str">
        <f>IFERROR(__xludf.DUMMYFUNCTION("IFERROR((FILTER(Data!M:M,Data!D:D=A473,Data!B:B=$B$1)),"""")"),"")</f>
        <v/>
      </c>
      <c r="H473" s="134" t="str">
        <f>IFERROR(__xludf.DUMMYFUNCTION("IFERROR((FILTER(Data!G:G,Data!D:D=A473,Data!B:B=$B$1)*4)+(FILTER(Data!H:H,Data!D:D=A473,Data!B:B=$B$1)*2),"""")"),"")</f>
        <v/>
      </c>
      <c r="I473" s="15" t="str">
        <f>IFERROR(__xludf.DUMMYFUNCTION("IFERROR((FILTER(Data!K:K,Data!D:D=A473,Data!B:B=$B$1)*2)+(FILTER(Data!L:L,Data!D:D=A473,Data!B:B=$B$1)),"""")"),"")</f>
        <v/>
      </c>
      <c r="J473" s="134" t="str">
        <f>IFERROR(__xludf.DUMMYFUNCTION("IFERROR((FILTER(Data!N:N,Data!D:D=A473,Data!B:B=$B$1)),"""")"),"")</f>
        <v/>
      </c>
      <c r="K473" s="135" t="str">
        <f>IFERROR(__xludf.DUMMYFUNCTION("IFERROR((FILTER(Data!H:H,Data!D:D=A473,Data!B:B=$B$1)*2)+(FILTER(Data!L:L,Data!D:D=A473,Data!B:B=$B$1))+(FILTER(Data!G:G,Data!D:D=A473,Data!B:B=$B$1)*4)+(FILTER(Data!K:K,Data!D:D=A473,Data!B:B=$B$1)*2)+(((COUNTIF(FILTER(Data!N:N,Data!D:D=A473,Data!B:B=$B$"&amp;"1),""TRAVERSE"")*15)+(COUNTIF(FILTER(Data!N:N,Data!D:D=A473,Data!B:B=$B$1),""HIGH"")*10)+(COUNTIF(FILTER(Data!N:N,Data!D:D=A473,Data!B:B=$B$1),""MIDDLE"")*6)+(COUNTIF(FILTER(Data!N:N,Data!D:D=A473,Data!B:B=$B$1),""LOW"")*4))),"""")"),"")</f>
        <v/>
      </c>
      <c r="L473" s="136" t="str">
        <f>IFERROR(__xludf.DUMMYFUNCTION("IFERROR((FILTER(Data!P:P,Data!D:D=A473,Data!B:B=$B$1)),"""")"),"")</f>
        <v/>
      </c>
      <c r="M473" s="137" t="str">
        <f>IFERROR(__xludf.DUMMYFUNCTION("IFERROR((FILTER(Data!A:A,Data!D:D=A473,Data!B:B=$B$1)),"""")"),"")</f>
        <v/>
      </c>
      <c r="T473" s="52">
        <f>IFERROR(__xludf.DUMMYFUNCTION("((COUNTIF(FILTER(Data!N:N,Data!D:D=A473,Data!B:B=$B$1),""TRAVERSE"")*15)+(COUNTIF(FILTER(Data!N:N,Data!D:D=A473,Data!B:B=B$1),""HIGH"")*10)+(COUNTIF(FILTER(Data!N:N,Data!D:D=A473,Data!B:B=$B$1),""MIDDLE"")*6)+(COUNTIF(FILTER(Data!N:N,Data!D:D=A473,Data!B:"&amp;"B=$B$1),""LOW"")*4))"),0.0)</f>
        <v>0</v>
      </c>
      <c r="V473" s="138" t="str">
        <f>IF(Data!B465='Team Parser'!$B$1, Data!D465,"")</f>
        <v/>
      </c>
      <c r="W473" s="134" t="str">
        <f>IF(Data!$B465='Team Parser'!$B$1, Data!H465,"")</f>
        <v/>
      </c>
      <c r="X473" s="134" t="str">
        <f>IF(Data!$B465='Team Parser'!$B$1, Data!G465,"")</f>
        <v/>
      </c>
      <c r="Y473" s="134" t="str">
        <f>IF(Data!$B465='Team Parser'!$B$1, Data!L465,"")</f>
        <v/>
      </c>
      <c r="Z473" s="134" t="str">
        <f>IF(Data!$B465='Team Parser'!$B$1, Data!K465,"")</f>
        <v/>
      </c>
      <c r="AA473" s="134" t="str">
        <f>IF(Data!$B465='Team Parser'!$B$1, Data!M465,"")</f>
        <v/>
      </c>
      <c r="AB473" s="134" t="str">
        <f>IF(Data!$B465='Team Parser'!$B$1,((Z473*2)+(Y473)+(X473*4)+(W473*2)),"")</f>
        <v/>
      </c>
      <c r="AC473" s="134" t="str">
        <f>IF(Data!$B465='Team Parser'!$B$1, Data!N465,"")</f>
        <v/>
      </c>
      <c r="AD473" s="139" t="str">
        <f>IF(Data!$B465='Team Parser'!$B$1,(AB473+(COUNTIF(AC473,"TRAVERSE")*15)+(COUNTIF(AC473,"HIGH")*10)+(COUNTIF(AC473,"MIDDLE")*6)+(COUNTIF(AC473,"LOW")*4)),"")</f>
        <v/>
      </c>
    </row>
    <row r="474">
      <c r="A474" s="141" t="s">
        <v>507</v>
      </c>
      <c r="B474" s="134" t="str">
        <f>IFERROR(__xludf.DUMMYFUNCTION("IFERROR((FILTER(Data!H:H,Data!D:D=A474,Data!B:B=$B$1)),"""")"),"")</f>
        <v/>
      </c>
      <c r="C474" s="134" t="str">
        <f>IFERROR(__xludf.DUMMYFUNCTION("IFERROR((FILTER(Data!G:G,Data!D:D=A474,Data!B:B=$B$1)),"""")"),"")</f>
        <v/>
      </c>
      <c r="D474" s="134" t="str">
        <f>IFERROR(__xludf.DUMMYFUNCTION("IFERROR((FILTER(Data!J:J,Data!D:D=A474,Data!B:B=$B$1)),"""")"),"")</f>
        <v/>
      </c>
      <c r="E474" s="134" t="str">
        <f>IFERROR(__xludf.DUMMYFUNCTION("IFERROR((FILTER(Data!L:L,Data!D:D=A474,Data!B:B=$B$1)),"""")"),"")</f>
        <v/>
      </c>
      <c r="F474" s="134" t="str">
        <f>IFERROR(__xludf.DUMMYFUNCTION("IFERROR((FILTER(Data!K:K,Data!D:D=A474,Data!B:B=$B$1)),"""")"),"")</f>
        <v/>
      </c>
      <c r="G474" s="134" t="str">
        <f>IFERROR(__xludf.DUMMYFUNCTION("IFERROR((FILTER(Data!M:M,Data!D:D=A474,Data!B:B=$B$1)),"""")"),"")</f>
        <v/>
      </c>
      <c r="H474" s="134" t="str">
        <f>IFERROR(__xludf.DUMMYFUNCTION("IFERROR((FILTER(Data!G:G,Data!D:D=A474,Data!B:B=$B$1)*4)+(FILTER(Data!H:H,Data!D:D=A474,Data!B:B=$B$1)*2),"""")"),"")</f>
        <v/>
      </c>
      <c r="I474" s="15" t="str">
        <f>IFERROR(__xludf.DUMMYFUNCTION("IFERROR((FILTER(Data!K:K,Data!D:D=A474,Data!B:B=$B$1)*2)+(FILTER(Data!L:L,Data!D:D=A474,Data!B:B=$B$1)),"""")"),"")</f>
        <v/>
      </c>
      <c r="J474" s="134" t="str">
        <f>IFERROR(__xludf.DUMMYFUNCTION("IFERROR((FILTER(Data!N:N,Data!D:D=A474,Data!B:B=$B$1)),"""")"),"")</f>
        <v/>
      </c>
      <c r="K474" s="135" t="str">
        <f>IFERROR(__xludf.DUMMYFUNCTION("IFERROR((FILTER(Data!H:H,Data!D:D=A474,Data!B:B=$B$1)*2)+(FILTER(Data!L:L,Data!D:D=A474,Data!B:B=$B$1))+(FILTER(Data!G:G,Data!D:D=A474,Data!B:B=$B$1)*4)+(FILTER(Data!K:K,Data!D:D=A474,Data!B:B=$B$1)*2)+(((COUNTIF(FILTER(Data!N:N,Data!D:D=A474,Data!B:B=$B$"&amp;"1),""TRAVERSE"")*15)+(COUNTIF(FILTER(Data!N:N,Data!D:D=A474,Data!B:B=$B$1),""HIGH"")*10)+(COUNTIF(FILTER(Data!N:N,Data!D:D=A474,Data!B:B=$B$1),""MIDDLE"")*6)+(COUNTIF(FILTER(Data!N:N,Data!D:D=A474,Data!B:B=$B$1),""LOW"")*4))),"""")"),"")</f>
        <v/>
      </c>
      <c r="L474" s="136" t="str">
        <f>IFERROR(__xludf.DUMMYFUNCTION("IFERROR((FILTER(Data!P:P,Data!D:D=A474,Data!B:B=$B$1)),"""")"),"")</f>
        <v/>
      </c>
      <c r="M474" s="137" t="str">
        <f>IFERROR(__xludf.DUMMYFUNCTION("IFERROR((FILTER(Data!A:A,Data!D:D=A474,Data!B:B=$B$1)),"""")"),"")</f>
        <v/>
      </c>
      <c r="T474" s="52">
        <f>IFERROR(__xludf.DUMMYFUNCTION("((COUNTIF(FILTER(Data!N:N,Data!D:D=A474,Data!B:B=$B$1),""TRAVERSE"")*15)+(COUNTIF(FILTER(Data!N:N,Data!D:D=A474,Data!B:B=B$1),""HIGH"")*10)+(COUNTIF(FILTER(Data!N:N,Data!D:D=A474,Data!B:B=$B$1),""MIDDLE"")*6)+(COUNTIF(FILTER(Data!N:N,Data!D:D=A474,Data!B:"&amp;"B=$B$1),""LOW"")*4))"),0.0)</f>
        <v>0</v>
      </c>
      <c r="V474" s="138" t="str">
        <f>IF(Data!B466='Team Parser'!$B$1, Data!D466,"")</f>
        <v/>
      </c>
      <c r="W474" s="134" t="str">
        <f>IF(Data!$B466='Team Parser'!$B$1, Data!H466,"")</f>
        <v/>
      </c>
      <c r="X474" s="134" t="str">
        <f>IF(Data!$B466='Team Parser'!$B$1, Data!G466,"")</f>
        <v/>
      </c>
      <c r="Y474" s="134" t="str">
        <f>IF(Data!$B466='Team Parser'!$B$1, Data!L466,"")</f>
        <v/>
      </c>
      <c r="Z474" s="134" t="str">
        <f>IF(Data!$B466='Team Parser'!$B$1, Data!K466,"")</f>
        <v/>
      </c>
      <c r="AA474" s="134" t="str">
        <f>IF(Data!$B466='Team Parser'!$B$1, Data!M466,"")</f>
        <v/>
      </c>
      <c r="AB474" s="134" t="str">
        <f>IF(Data!$B466='Team Parser'!$B$1,((Z474*2)+(Y474)+(X474*4)+(W474*2)),"")</f>
        <v/>
      </c>
      <c r="AC474" s="134" t="str">
        <f>IF(Data!$B466='Team Parser'!$B$1, Data!N466,"")</f>
        <v/>
      </c>
      <c r="AD474" s="139" t="str">
        <f>IF(Data!$B466='Team Parser'!$B$1,(AB474+(COUNTIF(AC474,"TRAVERSE")*15)+(COUNTIF(AC474,"HIGH")*10)+(COUNTIF(AC474,"MIDDLE")*6)+(COUNTIF(AC474,"LOW")*4)),"")</f>
        <v/>
      </c>
    </row>
    <row r="475">
      <c r="A475" s="141" t="s">
        <v>507</v>
      </c>
      <c r="B475" s="134" t="str">
        <f>IFERROR(__xludf.DUMMYFUNCTION("IFERROR((FILTER(Data!H:H,Data!D:D=A475,Data!B:B=$B$1)),"""")"),"")</f>
        <v/>
      </c>
      <c r="C475" s="134" t="str">
        <f>IFERROR(__xludf.DUMMYFUNCTION("IFERROR((FILTER(Data!G:G,Data!D:D=A475,Data!B:B=$B$1)),"""")"),"")</f>
        <v/>
      </c>
      <c r="D475" s="134" t="str">
        <f>IFERROR(__xludf.DUMMYFUNCTION("IFERROR((FILTER(Data!J:J,Data!D:D=A475,Data!B:B=$B$1)),"""")"),"")</f>
        <v/>
      </c>
      <c r="E475" s="134" t="str">
        <f>IFERROR(__xludf.DUMMYFUNCTION("IFERROR((FILTER(Data!L:L,Data!D:D=A475,Data!B:B=$B$1)),"""")"),"")</f>
        <v/>
      </c>
      <c r="F475" s="134" t="str">
        <f>IFERROR(__xludf.DUMMYFUNCTION("IFERROR((FILTER(Data!K:K,Data!D:D=A475,Data!B:B=$B$1)),"""")"),"")</f>
        <v/>
      </c>
      <c r="G475" s="134" t="str">
        <f>IFERROR(__xludf.DUMMYFUNCTION("IFERROR((FILTER(Data!M:M,Data!D:D=A475,Data!B:B=$B$1)),"""")"),"")</f>
        <v/>
      </c>
      <c r="H475" s="134" t="str">
        <f>IFERROR(__xludf.DUMMYFUNCTION("IFERROR((FILTER(Data!G:G,Data!D:D=A475,Data!B:B=$B$1)*4)+(FILTER(Data!H:H,Data!D:D=A475,Data!B:B=$B$1)*2),"""")"),"")</f>
        <v/>
      </c>
      <c r="I475" s="15" t="str">
        <f>IFERROR(__xludf.DUMMYFUNCTION("IFERROR((FILTER(Data!K:K,Data!D:D=A475,Data!B:B=$B$1)*2)+(FILTER(Data!L:L,Data!D:D=A475,Data!B:B=$B$1)),"""")"),"")</f>
        <v/>
      </c>
      <c r="J475" s="134" t="str">
        <f>IFERROR(__xludf.DUMMYFUNCTION("IFERROR((FILTER(Data!N:N,Data!D:D=A475,Data!B:B=$B$1)),"""")"),"")</f>
        <v/>
      </c>
      <c r="K475" s="135" t="str">
        <f>IFERROR(__xludf.DUMMYFUNCTION("IFERROR((FILTER(Data!H:H,Data!D:D=A475,Data!B:B=$B$1)*2)+(FILTER(Data!L:L,Data!D:D=A475,Data!B:B=$B$1))+(FILTER(Data!G:G,Data!D:D=A475,Data!B:B=$B$1)*4)+(FILTER(Data!K:K,Data!D:D=A475,Data!B:B=$B$1)*2)+(((COUNTIF(FILTER(Data!N:N,Data!D:D=A475,Data!B:B=$B$"&amp;"1),""TRAVERSE"")*15)+(COUNTIF(FILTER(Data!N:N,Data!D:D=A475,Data!B:B=$B$1),""HIGH"")*10)+(COUNTIF(FILTER(Data!N:N,Data!D:D=A475,Data!B:B=$B$1),""MIDDLE"")*6)+(COUNTIF(FILTER(Data!N:N,Data!D:D=A475,Data!B:B=$B$1),""LOW"")*4))),"""")"),"")</f>
        <v/>
      </c>
      <c r="L475" s="136" t="str">
        <f>IFERROR(__xludf.DUMMYFUNCTION("IFERROR((FILTER(Data!P:P,Data!D:D=A475,Data!B:B=$B$1)),"""")"),"")</f>
        <v/>
      </c>
      <c r="M475" s="137" t="str">
        <f>IFERROR(__xludf.DUMMYFUNCTION("IFERROR((FILTER(Data!A:A,Data!D:D=A475,Data!B:B=$B$1)),"""")"),"")</f>
        <v/>
      </c>
      <c r="T475" s="52">
        <f>IFERROR(__xludf.DUMMYFUNCTION("((COUNTIF(FILTER(Data!N:N,Data!D:D=A475,Data!B:B=$B$1),""TRAVERSE"")*15)+(COUNTIF(FILTER(Data!N:N,Data!D:D=A475,Data!B:B=B$1),""HIGH"")*10)+(COUNTIF(FILTER(Data!N:N,Data!D:D=A475,Data!B:B=$B$1),""MIDDLE"")*6)+(COUNTIF(FILTER(Data!N:N,Data!D:D=A475,Data!B:"&amp;"B=$B$1),""LOW"")*4))"),0.0)</f>
        <v>0</v>
      </c>
      <c r="V475" s="138" t="str">
        <f>IF(Data!B467='Team Parser'!$B$1, Data!D467,"")</f>
        <v/>
      </c>
      <c r="W475" s="134" t="str">
        <f>IF(Data!$B467='Team Parser'!$B$1, Data!H467,"")</f>
        <v/>
      </c>
      <c r="X475" s="134" t="str">
        <f>IF(Data!$B467='Team Parser'!$B$1, Data!G467,"")</f>
        <v/>
      </c>
      <c r="Y475" s="134" t="str">
        <f>IF(Data!$B467='Team Parser'!$B$1, Data!L467,"")</f>
        <v/>
      </c>
      <c r="Z475" s="134" t="str">
        <f>IF(Data!$B467='Team Parser'!$B$1, Data!K467,"")</f>
        <v/>
      </c>
      <c r="AA475" s="134" t="str">
        <f>IF(Data!$B467='Team Parser'!$B$1, Data!M467,"")</f>
        <v/>
      </c>
      <c r="AB475" s="134" t="str">
        <f>IF(Data!$B467='Team Parser'!$B$1,((Z475*2)+(Y475)+(X475*4)+(W475*2)),"")</f>
        <v/>
      </c>
      <c r="AC475" s="134" t="str">
        <f>IF(Data!$B467='Team Parser'!$B$1, Data!N467,"")</f>
        <v/>
      </c>
      <c r="AD475" s="139" t="str">
        <f>IF(Data!$B467='Team Parser'!$B$1,(AB475+(COUNTIF(AC475,"TRAVERSE")*15)+(COUNTIF(AC475,"HIGH")*10)+(COUNTIF(AC475,"MIDDLE")*6)+(COUNTIF(AC475,"LOW")*4)),"")</f>
        <v/>
      </c>
    </row>
    <row r="476">
      <c r="A476" s="141" t="s">
        <v>507</v>
      </c>
      <c r="B476" s="134" t="str">
        <f>IFERROR(__xludf.DUMMYFUNCTION("IFERROR((FILTER(Data!H:H,Data!D:D=A476,Data!B:B=$B$1)),"""")"),"")</f>
        <v/>
      </c>
      <c r="C476" s="134" t="str">
        <f>IFERROR(__xludf.DUMMYFUNCTION("IFERROR((FILTER(Data!G:G,Data!D:D=A476,Data!B:B=$B$1)),"""")"),"")</f>
        <v/>
      </c>
      <c r="D476" s="134" t="str">
        <f>IFERROR(__xludf.DUMMYFUNCTION("IFERROR((FILTER(Data!J:J,Data!D:D=A476,Data!B:B=$B$1)),"""")"),"")</f>
        <v/>
      </c>
      <c r="E476" s="134" t="str">
        <f>IFERROR(__xludf.DUMMYFUNCTION("IFERROR((FILTER(Data!L:L,Data!D:D=A476,Data!B:B=$B$1)),"""")"),"")</f>
        <v/>
      </c>
      <c r="F476" s="134" t="str">
        <f>IFERROR(__xludf.DUMMYFUNCTION("IFERROR((FILTER(Data!K:K,Data!D:D=A476,Data!B:B=$B$1)),"""")"),"")</f>
        <v/>
      </c>
      <c r="G476" s="134" t="str">
        <f>IFERROR(__xludf.DUMMYFUNCTION("IFERROR((FILTER(Data!M:M,Data!D:D=A476,Data!B:B=$B$1)),"""")"),"")</f>
        <v/>
      </c>
      <c r="H476" s="134" t="str">
        <f>IFERROR(__xludf.DUMMYFUNCTION("IFERROR((FILTER(Data!G:G,Data!D:D=A476,Data!B:B=$B$1)*4)+(FILTER(Data!H:H,Data!D:D=A476,Data!B:B=$B$1)*2),"""")"),"")</f>
        <v/>
      </c>
      <c r="I476" s="15" t="str">
        <f>IFERROR(__xludf.DUMMYFUNCTION("IFERROR((FILTER(Data!K:K,Data!D:D=A476,Data!B:B=$B$1)*2)+(FILTER(Data!L:L,Data!D:D=A476,Data!B:B=$B$1)),"""")"),"")</f>
        <v/>
      </c>
      <c r="J476" s="134" t="str">
        <f>IFERROR(__xludf.DUMMYFUNCTION("IFERROR((FILTER(Data!N:N,Data!D:D=A476,Data!B:B=$B$1)),"""")"),"")</f>
        <v/>
      </c>
      <c r="K476" s="135" t="str">
        <f>IFERROR(__xludf.DUMMYFUNCTION("IFERROR((FILTER(Data!H:H,Data!D:D=A476,Data!B:B=$B$1)*2)+(FILTER(Data!L:L,Data!D:D=A476,Data!B:B=$B$1))+(FILTER(Data!G:G,Data!D:D=A476,Data!B:B=$B$1)*4)+(FILTER(Data!K:K,Data!D:D=A476,Data!B:B=$B$1)*2)+(((COUNTIF(FILTER(Data!N:N,Data!D:D=A476,Data!B:B=$B$"&amp;"1),""TRAVERSE"")*15)+(COUNTIF(FILTER(Data!N:N,Data!D:D=A476,Data!B:B=$B$1),""HIGH"")*10)+(COUNTIF(FILTER(Data!N:N,Data!D:D=A476,Data!B:B=$B$1),""MIDDLE"")*6)+(COUNTIF(FILTER(Data!N:N,Data!D:D=A476,Data!B:B=$B$1),""LOW"")*4))),"""")"),"")</f>
        <v/>
      </c>
      <c r="L476" s="136" t="str">
        <f>IFERROR(__xludf.DUMMYFUNCTION("IFERROR((FILTER(Data!P:P,Data!D:D=A476,Data!B:B=$B$1)),"""")"),"")</f>
        <v/>
      </c>
      <c r="M476" s="137" t="str">
        <f>IFERROR(__xludf.DUMMYFUNCTION("IFERROR((FILTER(Data!A:A,Data!D:D=A476,Data!B:B=$B$1)),"""")"),"")</f>
        <v/>
      </c>
      <c r="T476" s="52">
        <f>IFERROR(__xludf.DUMMYFUNCTION("((COUNTIF(FILTER(Data!N:N,Data!D:D=A476,Data!B:B=$B$1),""TRAVERSE"")*15)+(COUNTIF(FILTER(Data!N:N,Data!D:D=A476,Data!B:B=B$1),""HIGH"")*10)+(COUNTIF(FILTER(Data!N:N,Data!D:D=A476,Data!B:B=$B$1),""MIDDLE"")*6)+(COUNTIF(FILTER(Data!N:N,Data!D:D=A476,Data!B:"&amp;"B=$B$1),""LOW"")*4))"),0.0)</f>
        <v>0</v>
      </c>
      <c r="V476" s="138" t="str">
        <f>IF(Data!B468='Team Parser'!$B$1, Data!D468,"")</f>
        <v/>
      </c>
      <c r="W476" s="134" t="str">
        <f>IF(Data!$B468='Team Parser'!$B$1, Data!H468,"")</f>
        <v/>
      </c>
      <c r="X476" s="134" t="str">
        <f>IF(Data!$B468='Team Parser'!$B$1, Data!G468,"")</f>
        <v/>
      </c>
      <c r="Y476" s="134" t="str">
        <f>IF(Data!$B468='Team Parser'!$B$1, Data!L468,"")</f>
        <v/>
      </c>
      <c r="Z476" s="134" t="str">
        <f>IF(Data!$B468='Team Parser'!$B$1, Data!K468,"")</f>
        <v/>
      </c>
      <c r="AA476" s="134" t="str">
        <f>IF(Data!$B468='Team Parser'!$B$1, Data!M468,"")</f>
        <v/>
      </c>
      <c r="AB476" s="134" t="str">
        <f>IF(Data!$B468='Team Parser'!$B$1,((Z476*2)+(Y476)+(X476*4)+(W476*2)),"")</f>
        <v/>
      </c>
      <c r="AC476" s="134" t="str">
        <f>IF(Data!$B468='Team Parser'!$B$1, Data!N468,"")</f>
        <v/>
      </c>
      <c r="AD476" s="139" t="str">
        <f>IF(Data!$B468='Team Parser'!$B$1,(AB476+(COUNTIF(AC476,"TRAVERSE")*15)+(COUNTIF(AC476,"HIGH")*10)+(COUNTIF(AC476,"MIDDLE")*6)+(COUNTIF(AC476,"LOW")*4)),"")</f>
        <v/>
      </c>
    </row>
    <row r="477">
      <c r="A477" s="141" t="s">
        <v>507</v>
      </c>
      <c r="B477" s="134" t="str">
        <f>IFERROR(__xludf.DUMMYFUNCTION("IFERROR((FILTER(Data!H:H,Data!D:D=A477,Data!B:B=$B$1)),"""")"),"")</f>
        <v/>
      </c>
      <c r="C477" s="134" t="str">
        <f>IFERROR(__xludf.DUMMYFUNCTION("IFERROR((FILTER(Data!G:G,Data!D:D=A477,Data!B:B=$B$1)),"""")"),"")</f>
        <v/>
      </c>
      <c r="D477" s="134" t="str">
        <f>IFERROR(__xludf.DUMMYFUNCTION("IFERROR((FILTER(Data!J:J,Data!D:D=A477,Data!B:B=$B$1)),"""")"),"")</f>
        <v/>
      </c>
      <c r="E477" s="134" t="str">
        <f>IFERROR(__xludf.DUMMYFUNCTION("IFERROR((FILTER(Data!L:L,Data!D:D=A477,Data!B:B=$B$1)),"""")"),"")</f>
        <v/>
      </c>
      <c r="F477" s="134" t="str">
        <f>IFERROR(__xludf.DUMMYFUNCTION("IFERROR((FILTER(Data!K:K,Data!D:D=A477,Data!B:B=$B$1)),"""")"),"")</f>
        <v/>
      </c>
      <c r="G477" s="134" t="str">
        <f>IFERROR(__xludf.DUMMYFUNCTION("IFERROR((FILTER(Data!M:M,Data!D:D=A477,Data!B:B=$B$1)),"""")"),"")</f>
        <v/>
      </c>
      <c r="H477" s="134" t="str">
        <f>IFERROR(__xludf.DUMMYFUNCTION("IFERROR((FILTER(Data!G:G,Data!D:D=A477,Data!B:B=$B$1)*4)+(FILTER(Data!H:H,Data!D:D=A477,Data!B:B=$B$1)*2),"""")"),"")</f>
        <v/>
      </c>
      <c r="I477" s="15" t="str">
        <f>IFERROR(__xludf.DUMMYFUNCTION("IFERROR((FILTER(Data!K:K,Data!D:D=A477,Data!B:B=$B$1)*2)+(FILTER(Data!L:L,Data!D:D=A477,Data!B:B=$B$1)),"""")"),"")</f>
        <v/>
      </c>
      <c r="J477" s="134" t="str">
        <f>IFERROR(__xludf.DUMMYFUNCTION("IFERROR((FILTER(Data!N:N,Data!D:D=A477,Data!B:B=$B$1)),"""")"),"")</f>
        <v/>
      </c>
      <c r="K477" s="135" t="str">
        <f>IFERROR(__xludf.DUMMYFUNCTION("IFERROR((FILTER(Data!H:H,Data!D:D=A477,Data!B:B=$B$1)*2)+(FILTER(Data!L:L,Data!D:D=A477,Data!B:B=$B$1))+(FILTER(Data!G:G,Data!D:D=A477,Data!B:B=$B$1)*4)+(FILTER(Data!K:K,Data!D:D=A477,Data!B:B=$B$1)*2)+(((COUNTIF(FILTER(Data!N:N,Data!D:D=A477,Data!B:B=$B$"&amp;"1),""TRAVERSE"")*15)+(COUNTIF(FILTER(Data!N:N,Data!D:D=A477,Data!B:B=$B$1),""HIGH"")*10)+(COUNTIF(FILTER(Data!N:N,Data!D:D=A477,Data!B:B=$B$1),""MIDDLE"")*6)+(COUNTIF(FILTER(Data!N:N,Data!D:D=A477,Data!B:B=$B$1),""LOW"")*4))),"""")"),"")</f>
        <v/>
      </c>
      <c r="L477" s="136" t="str">
        <f>IFERROR(__xludf.DUMMYFUNCTION("IFERROR((FILTER(Data!P:P,Data!D:D=A477,Data!B:B=$B$1)),"""")"),"")</f>
        <v/>
      </c>
      <c r="M477" s="137" t="str">
        <f>IFERROR(__xludf.DUMMYFUNCTION("IFERROR((FILTER(Data!A:A,Data!D:D=A477,Data!B:B=$B$1)),"""")"),"")</f>
        <v/>
      </c>
      <c r="T477" s="52">
        <f>IFERROR(__xludf.DUMMYFUNCTION("((COUNTIF(FILTER(Data!N:N,Data!D:D=A477,Data!B:B=$B$1),""TRAVERSE"")*15)+(COUNTIF(FILTER(Data!N:N,Data!D:D=A477,Data!B:B=B$1),""HIGH"")*10)+(COUNTIF(FILTER(Data!N:N,Data!D:D=A477,Data!B:B=$B$1),""MIDDLE"")*6)+(COUNTIF(FILTER(Data!N:N,Data!D:D=A477,Data!B:"&amp;"B=$B$1),""LOW"")*4))"),0.0)</f>
        <v>0</v>
      </c>
      <c r="V477" s="138" t="str">
        <f>IF(Data!B469='Team Parser'!$B$1, Data!D469,"")</f>
        <v/>
      </c>
      <c r="W477" s="134" t="str">
        <f>IF(Data!$B469='Team Parser'!$B$1, Data!H469,"")</f>
        <v/>
      </c>
      <c r="X477" s="134" t="str">
        <f>IF(Data!$B469='Team Parser'!$B$1, Data!G469,"")</f>
        <v/>
      </c>
      <c r="Y477" s="134" t="str">
        <f>IF(Data!$B469='Team Parser'!$B$1, Data!L469,"")</f>
        <v/>
      </c>
      <c r="Z477" s="134" t="str">
        <f>IF(Data!$B469='Team Parser'!$B$1, Data!K469,"")</f>
        <v/>
      </c>
      <c r="AA477" s="134" t="str">
        <f>IF(Data!$B469='Team Parser'!$B$1, Data!M469,"")</f>
        <v/>
      </c>
      <c r="AB477" s="134" t="str">
        <f>IF(Data!$B469='Team Parser'!$B$1,((Z477*2)+(Y477)+(X477*4)+(W477*2)),"")</f>
        <v/>
      </c>
      <c r="AC477" s="134" t="str">
        <f>IF(Data!$B469='Team Parser'!$B$1, Data!N469,"")</f>
        <v/>
      </c>
      <c r="AD477" s="139" t="str">
        <f>IF(Data!$B469='Team Parser'!$B$1,(AB477+(COUNTIF(AC477,"TRAVERSE")*15)+(COUNTIF(AC477,"HIGH")*10)+(COUNTIF(AC477,"MIDDLE")*6)+(COUNTIF(AC477,"LOW")*4)),"")</f>
        <v/>
      </c>
    </row>
    <row r="478">
      <c r="A478" s="141" t="s">
        <v>507</v>
      </c>
      <c r="B478" s="134" t="str">
        <f>IFERROR(__xludf.DUMMYFUNCTION("IFERROR((FILTER(Data!H:H,Data!D:D=A478,Data!B:B=$B$1)),"""")"),"")</f>
        <v/>
      </c>
      <c r="C478" s="134" t="str">
        <f>IFERROR(__xludf.DUMMYFUNCTION("IFERROR((FILTER(Data!G:G,Data!D:D=A478,Data!B:B=$B$1)),"""")"),"")</f>
        <v/>
      </c>
      <c r="D478" s="134" t="str">
        <f>IFERROR(__xludf.DUMMYFUNCTION("IFERROR((FILTER(Data!J:J,Data!D:D=A478,Data!B:B=$B$1)),"""")"),"")</f>
        <v/>
      </c>
      <c r="E478" s="134" t="str">
        <f>IFERROR(__xludf.DUMMYFUNCTION("IFERROR((FILTER(Data!L:L,Data!D:D=A478,Data!B:B=$B$1)),"""")"),"")</f>
        <v/>
      </c>
      <c r="F478" s="134" t="str">
        <f>IFERROR(__xludf.DUMMYFUNCTION("IFERROR((FILTER(Data!K:K,Data!D:D=A478,Data!B:B=$B$1)),"""")"),"")</f>
        <v/>
      </c>
      <c r="G478" s="134" t="str">
        <f>IFERROR(__xludf.DUMMYFUNCTION("IFERROR((FILTER(Data!M:M,Data!D:D=A478,Data!B:B=$B$1)),"""")"),"")</f>
        <v/>
      </c>
      <c r="H478" s="134" t="str">
        <f>IFERROR(__xludf.DUMMYFUNCTION("IFERROR((FILTER(Data!G:G,Data!D:D=A478,Data!B:B=$B$1)*4)+(FILTER(Data!H:H,Data!D:D=A478,Data!B:B=$B$1)*2),"""")"),"")</f>
        <v/>
      </c>
      <c r="I478" s="15" t="str">
        <f>IFERROR(__xludf.DUMMYFUNCTION("IFERROR((FILTER(Data!K:K,Data!D:D=A478,Data!B:B=$B$1)*2)+(FILTER(Data!L:L,Data!D:D=A478,Data!B:B=$B$1)),"""")"),"")</f>
        <v/>
      </c>
      <c r="J478" s="134" t="str">
        <f>IFERROR(__xludf.DUMMYFUNCTION("IFERROR((FILTER(Data!N:N,Data!D:D=A478,Data!B:B=$B$1)),"""")"),"")</f>
        <v/>
      </c>
      <c r="K478" s="135" t="str">
        <f>IFERROR(__xludf.DUMMYFUNCTION("IFERROR((FILTER(Data!H:H,Data!D:D=A478,Data!B:B=$B$1)*2)+(FILTER(Data!L:L,Data!D:D=A478,Data!B:B=$B$1))+(FILTER(Data!G:G,Data!D:D=A478,Data!B:B=$B$1)*4)+(FILTER(Data!K:K,Data!D:D=A478,Data!B:B=$B$1)*2)+(((COUNTIF(FILTER(Data!N:N,Data!D:D=A478,Data!B:B=$B$"&amp;"1),""TRAVERSE"")*15)+(COUNTIF(FILTER(Data!N:N,Data!D:D=A478,Data!B:B=$B$1),""HIGH"")*10)+(COUNTIF(FILTER(Data!N:N,Data!D:D=A478,Data!B:B=$B$1),""MIDDLE"")*6)+(COUNTIF(FILTER(Data!N:N,Data!D:D=A478,Data!B:B=$B$1),""LOW"")*4))),"""")"),"")</f>
        <v/>
      </c>
      <c r="L478" s="136" t="str">
        <f>IFERROR(__xludf.DUMMYFUNCTION("IFERROR((FILTER(Data!P:P,Data!D:D=A478,Data!B:B=$B$1)),"""")"),"")</f>
        <v/>
      </c>
      <c r="M478" s="137" t="str">
        <f>IFERROR(__xludf.DUMMYFUNCTION("IFERROR((FILTER(Data!A:A,Data!D:D=A478,Data!B:B=$B$1)),"""")"),"")</f>
        <v/>
      </c>
      <c r="T478" s="52">
        <f>IFERROR(__xludf.DUMMYFUNCTION("((COUNTIF(FILTER(Data!N:N,Data!D:D=A478,Data!B:B=$B$1),""TRAVERSE"")*15)+(COUNTIF(FILTER(Data!N:N,Data!D:D=A478,Data!B:B=B$1),""HIGH"")*10)+(COUNTIF(FILTER(Data!N:N,Data!D:D=A478,Data!B:B=$B$1),""MIDDLE"")*6)+(COUNTIF(FILTER(Data!N:N,Data!D:D=A478,Data!B:"&amp;"B=$B$1),""LOW"")*4))"),0.0)</f>
        <v>0</v>
      </c>
      <c r="V478" s="138" t="str">
        <f>IF(Data!B470='Team Parser'!$B$1, Data!D470,"")</f>
        <v/>
      </c>
      <c r="W478" s="134" t="str">
        <f>IF(Data!$B470='Team Parser'!$B$1, Data!H470,"")</f>
        <v/>
      </c>
      <c r="X478" s="134" t="str">
        <f>IF(Data!$B470='Team Parser'!$B$1, Data!G470,"")</f>
        <v/>
      </c>
      <c r="Y478" s="134" t="str">
        <f>IF(Data!$B470='Team Parser'!$B$1, Data!L470,"")</f>
        <v/>
      </c>
      <c r="Z478" s="134" t="str">
        <f>IF(Data!$B470='Team Parser'!$B$1, Data!K470,"")</f>
        <v/>
      </c>
      <c r="AA478" s="134" t="str">
        <f>IF(Data!$B470='Team Parser'!$B$1, Data!M470,"")</f>
        <v/>
      </c>
      <c r="AB478" s="134" t="str">
        <f>IF(Data!$B470='Team Parser'!$B$1,((Z478*2)+(Y478)+(X478*4)+(W478*2)),"")</f>
        <v/>
      </c>
      <c r="AC478" s="134" t="str">
        <f>IF(Data!$B470='Team Parser'!$B$1, Data!N470,"")</f>
        <v/>
      </c>
      <c r="AD478" s="139" t="str">
        <f>IF(Data!$B470='Team Parser'!$B$1,(AB478+(COUNTIF(AC478,"TRAVERSE")*15)+(COUNTIF(AC478,"HIGH")*10)+(COUNTIF(AC478,"MIDDLE")*6)+(COUNTIF(AC478,"LOW")*4)),"")</f>
        <v/>
      </c>
    </row>
    <row r="479">
      <c r="A479" s="141" t="s">
        <v>507</v>
      </c>
      <c r="B479" s="134" t="str">
        <f>IFERROR(__xludf.DUMMYFUNCTION("IFERROR((FILTER(Data!H:H,Data!D:D=A479,Data!B:B=$B$1)),"""")"),"")</f>
        <v/>
      </c>
      <c r="C479" s="134" t="str">
        <f>IFERROR(__xludf.DUMMYFUNCTION("IFERROR((FILTER(Data!G:G,Data!D:D=A479,Data!B:B=$B$1)),"""")"),"")</f>
        <v/>
      </c>
      <c r="D479" s="134" t="str">
        <f>IFERROR(__xludf.DUMMYFUNCTION("IFERROR((FILTER(Data!J:J,Data!D:D=A479,Data!B:B=$B$1)),"""")"),"")</f>
        <v/>
      </c>
      <c r="E479" s="134" t="str">
        <f>IFERROR(__xludf.DUMMYFUNCTION("IFERROR((FILTER(Data!L:L,Data!D:D=A479,Data!B:B=$B$1)),"""")"),"")</f>
        <v/>
      </c>
      <c r="F479" s="134" t="str">
        <f>IFERROR(__xludf.DUMMYFUNCTION("IFERROR((FILTER(Data!K:K,Data!D:D=A479,Data!B:B=$B$1)),"""")"),"")</f>
        <v/>
      </c>
      <c r="G479" s="134" t="str">
        <f>IFERROR(__xludf.DUMMYFUNCTION("IFERROR((FILTER(Data!M:M,Data!D:D=A479,Data!B:B=$B$1)),"""")"),"")</f>
        <v/>
      </c>
      <c r="H479" s="134" t="str">
        <f>IFERROR(__xludf.DUMMYFUNCTION("IFERROR((FILTER(Data!G:G,Data!D:D=A479,Data!B:B=$B$1)*4)+(FILTER(Data!H:H,Data!D:D=A479,Data!B:B=$B$1)*2),"""")"),"")</f>
        <v/>
      </c>
      <c r="I479" s="15" t="str">
        <f>IFERROR(__xludf.DUMMYFUNCTION("IFERROR((FILTER(Data!K:K,Data!D:D=A479,Data!B:B=$B$1)*2)+(FILTER(Data!L:L,Data!D:D=A479,Data!B:B=$B$1)),"""")"),"")</f>
        <v/>
      </c>
      <c r="J479" s="134" t="str">
        <f>IFERROR(__xludf.DUMMYFUNCTION("IFERROR((FILTER(Data!N:N,Data!D:D=A479,Data!B:B=$B$1)),"""")"),"")</f>
        <v/>
      </c>
      <c r="K479" s="135" t="str">
        <f>IFERROR(__xludf.DUMMYFUNCTION("IFERROR((FILTER(Data!H:H,Data!D:D=A479,Data!B:B=$B$1)*2)+(FILTER(Data!L:L,Data!D:D=A479,Data!B:B=$B$1))+(FILTER(Data!G:G,Data!D:D=A479,Data!B:B=$B$1)*4)+(FILTER(Data!K:K,Data!D:D=A479,Data!B:B=$B$1)*2)+(((COUNTIF(FILTER(Data!N:N,Data!D:D=A479,Data!B:B=$B$"&amp;"1),""TRAVERSE"")*15)+(COUNTIF(FILTER(Data!N:N,Data!D:D=A479,Data!B:B=$B$1),""HIGH"")*10)+(COUNTIF(FILTER(Data!N:N,Data!D:D=A479,Data!B:B=$B$1),""MIDDLE"")*6)+(COUNTIF(FILTER(Data!N:N,Data!D:D=A479,Data!B:B=$B$1),""LOW"")*4))),"""")"),"")</f>
        <v/>
      </c>
      <c r="L479" s="136" t="str">
        <f>IFERROR(__xludf.DUMMYFUNCTION("IFERROR((FILTER(Data!P:P,Data!D:D=A479,Data!B:B=$B$1)),"""")"),"")</f>
        <v/>
      </c>
      <c r="M479" s="137" t="str">
        <f>IFERROR(__xludf.DUMMYFUNCTION("IFERROR((FILTER(Data!A:A,Data!D:D=A479,Data!B:B=$B$1)),"""")"),"")</f>
        <v/>
      </c>
      <c r="T479" s="52">
        <f>IFERROR(__xludf.DUMMYFUNCTION("((COUNTIF(FILTER(Data!N:N,Data!D:D=A479,Data!B:B=$B$1),""TRAVERSE"")*15)+(COUNTIF(FILTER(Data!N:N,Data!D:D=A479,Data!B:B=B$1),""HIGH"")*10)+(COUNTIF(FILTER(Data!N:N,Data!D:D=A479,Data!B:B=$B$1),""MIDDLE"")*6)+(COUNTIF(FILTER(Data!N:N,Data!D:D=A479,Data!B:"&amp;"B=$B$1),""LOW"")*4))"),0.0)</f>
        <v>0</v>
      </c>
      <c r="V479" s="138" t="str">
        <f>IF(Data!B471='Team Parser'!$B$1, Data!D471,"")</f>
        <v/>
      </c>
      <c r="W479" s="134" t="str">
        <f>IF(Data!$B471='Team Parser'!$B$1, Data!H471,"")</f>
        <v/>
      </c>
      <c r="X479" s="134" t="str">
        <f>IF(Data!$B471='Team Parser'!$B$1, Data!G471,"")</f>
        <v/>
      </c>
      <c r="Y479" s="134" t="str">
        <f>IF(Data!$B471='Team Parser'!$B$1, Data!L471,"")</f>
        <v/>
      </c>
      <c r="Z479" s="134" t="str">
        <f>IF(Data!$B471='Team Parser'!$B$1, Data!K471,"")</f>
        <v/>
      </c>
      <c r="AA479" s="134" t="str">
        <f>IF(Data!$B471='Team Parser'!$B$1, Data!M471,"")</f>
        <v/>
      </c>
      <c r="AB479" s="134" t="str">
        <f>IF(Data!$B471='Team Parser'!$B$1,((Z479*2)+(Y479)+(X479*4)+(W479*2)),"")</f>
        <v/>
      </c>
      <c r="AC479" s="134" t="str">
        <f>IF(Data!$B471='Team Parser'!$B$1, Data!N471,"")</f>
        <v/>
      </c>
      <c r="AD479" s="139" t="str">
        <f>IF(Data!$B471='Team Parser'!$B$1,(AB479+(COUNTIF(AC479,"TRAVERSE")*15)+(COUNTIF(AC479,"HIGH")*10)+(COUNTIF(AC479,"MIDDLE")*6)+(COUNTIF(AC479,"LOW")*4)),"")</f>
        <v/>
      </c>
    </row>
    <row r="480">
      <c r="A480" s="141" t="s">
        <v>507</v>
      </c>
      <c r="B480" s="134" t="str">
        <f>IFERROR(__xludf.DUMMYFUNCTION("IFERROR((FILTER(Data!H:H,Data!D:D=A480,Data!B:B=$B$1)),"""")"),"")</f>
        <v/>
      </c>
      <c r="C480" s="134" t="str">
        <f>IFERROR(__xludf.DUMMYFUNCTION("IFERROR((FILTER(Data!G:G,Data!D:D=A480,Data!B:B=$B$1)),"""")"),"")</f>
        <v/>
      </c>
      <c r="D480" s="134" t="str">
        <f>IFERROR(__xludf.DUMMYFUNCTION("IFERROR((FILTER(Data!J:J,Data!D:D=A480,Data!B:B=$B$1)),"""")"),"")</f>
        <v/>
      </c>
      <c r="E480" s="134" t="str">
        <f>IFERROR(__xludf.DUMMYFUNCTION("IFERROR((FILTER(Data!L:L,Data!D:D=A480,Data!B:B=$B$1)),"""")"),"")</f>
        <v/>
      </c>
      <c r="F480" s="134" t="str">
        <f>IFERROR(__xludf.DUMMYFUNCTION("IFERROR((FILTER(Data!K:K,Data!D:D=A480,Data!B:B=$B$1)),"""")"),"")</f>
        <v/>
      </c>
      <c r="G480" s="134" t="str">
        <f>IFERROR(__xludf.DUMMYFUNCTION("IFERROR((FILTER(Data!M:M,Data!D:D=A480,Data!B:B=$B$1)),"""")"),"")</f>
        <v/>
      </c>
      <c r="H480" s="134" t="str">
        <f>IFERROR(__xludf.DUMMYFUNCTION("IFERROR((FILTER(Data!G:G,Data!D:D=A480,Data!B:B=$B$1)*4)+(FILTER(Data!H:H,Data!D:D=A480,Data!B:B=$B$1)*2),"""")"),"")</f>
        <v/>
      </c>
      <c r="I480" s="15" t="str">
        <f>IFERROR(__xludf.DUMMYFUNCTION("IFERROR((FILTER(Data!K:K,Data!D:D=A480,Data!B:B=$B$1)*2)+(FILTER(Data!L:L,Data!D:D=A480,Data!B:B=$B$1)),"""")"),"")</f>
        <v/>
      </c>
      <c r="J480" s="134" t="str">
        <f>IFERROR(__xludf.DUMMYFUNCTION("IFERROR((FILTER(Data!N:N,Data!D:D=A480,Data!B:B=$B$1)),"""")"),"")</f>
        <v/>
      </c>
      <c r="K480" s="135" t="str">
        <f>IFERROR(__xludf.DUMMYFUNCTION("IFERROR((FILTER(Data!H:H,Data!D:D=A480,Data!B:B=$B$1)*2)+(FILTER(Data!L:L,Data!D:D=A480,Data!B:B=$B$1))+(FILTER(Data!G:G,Data!D:D=A480,Data!B:B=$B$1)*4)+(FILTER(Data!K:K,Data!D:D=A480,Data!B:B=$B$1)*2)+(((COUNTIF(FILTER(Data!N:N,Data!D:D=A480,Data!B:B=$B$"&amp;"1),""TRAVERSE"")*15)+(COUNTIF(FILTER(Data!N:N,Data!D:D=A480,Data!B:B=$B$1),""HIGH"")*10)+(COUNTIF(FILTER(Data!N:N,Data!D:D=A480,Data!B:B=$B$1),""MIDDLE"")*6)+(COUNTIF(FILTER(Data!N:N,Data!D:D=A480,Data!B:B=$B$1),""LOW"")*4))),"""")"),"")</f>
        <v/>
      </c>
      <c r="L480" s="136" t="str">
        <f>IFERROR(__xludf.DUMMYFUNCTION("IFERROR((FILTER(Data!P:P,Data!D:D=A480,Data!B:B=$B$1)),"""")"),"")</f>
        <v/>
      </c>
      <c r="M480" s="137" t="str">
        <f>IFERROR(__xludf.DUMMYFUNCTION("IFERROR((FILTER(Data!A:A,Data!D:D=A480,Data!B:B=$B$1)),"""")"),"")</f>
        <v/>
      </c>
      <c r="T480" s="52">
        <f>IFERROR(__xludf.DUMMYFUNCTION("((COUNTIF(FILTER(Data!N:N,Data!D:D=A480,Data!B:B=$B$1),""TRAVERSE"")*15)+(COUNTIF(FILTER(Data!N:N,Data!D:D=A480,Data!B:B=B$1),""HIGH"")*10)+(COUNTIF(FILTER(Data!N:N,Data!D:D=A480,Data!B:B=$B$1),""MIDDLE"")*6)+(COUNTIF(FILTER(Data!N:N,Data!D:D=A480,Data!B:"&amp;"B=$B$1),""LOW"")*4))"),0.0)</f>
        <v>0</v>
      </c>
      <c r="V480" s="138" t="str">
        <f>IF(Data!B472='Team Parser'!$B$1, Data!D472,"")</f>
        <v/>
      </c>
      <c r="W480" s="134" t="str">
        <f>IF(Data!$B472='Team Parser'!$B$1, Data!H472,"")</f>
        <v/>
      </c>
      <c r="X480" s="134" t="str">
        <f>IF(Data!$B472='Team Parser'!$B$1, Data!G472,"")</f>
        <v/>
      </c>
      <c r="Y480" s="134" t="str">
        <f>IF(Data!$B472='Team Parser'!$B$1, Data!L472,"")</f>
        <v/>
      </c>
      <c r="Z480" s="134" t="str">
        <f>IF(Data!$B472='Team Parser'!$B$1, Data!K472,"")</f>
        <v/>
      </c>
      <c r="AA480" s="134" t="str">
        <f>IF(Data!$B472='Team Parser'!$B$1, Data!M472,"")</f>
        <v/>
      </c>
      <c r="AB480" s="134" t="str">
        <f>IF(Data!$B472='Team Parser'!$B$1,((Z480*2)+(Y480)+(X480*4)+(W480*2)),"")</f>
        <v/>
      </c>
      <c r="AC480" s="134" t="str">
        <f>IF(Data!$B472='Team Parser'!$B$1, Data!N472,"")</f>
        <v/>
      </c>
      <c r="AD480" s="139" t="str">
        <f>IF(Data!$B472='Team Parser'!$B$1,(AB480+(COUNTIF(AC480,"TRAVERSE")*15)+(COUNTIF(AC480,"HIGH")*10)+(COUNTIF(AC480,"MIDDLE")*6)+(COUNTIF(AC480,"LOW")*4)),"")</f>
        <v/>
      </c>
    </row>
    <row r="481">
      <c r="A481" s="141" t="s">
        <v>507</v>
      </c>
      <c r="B481" s="134" t="str">
        <f>IFERROR(__xludf.DUMMYFUNCTION("IFERROR((FILTER(Data!H:H,Data!D:D=A481,Data!B:B=$B$1)),"""")"),"")</f>
        <v/>
      </c>
      <c r="C481" s="134" t="str">
        <f>IFERROR(__xludf.DUMMYFUNCTION("IFERROR((FILTER(Data!G:G,Data!D:D=A481,Data!B:B=$B$1)),"""")"),"")</f>
        <v/>
      </c>
      <c r="D481" s="134" t="str">
        <f>IFERROR(__xludf.DUMMYFUNCTION("IFERROR((FILTER(Data!J:J,Data!D:D=A481,Data!B:B=$B$1)),"""")"),"")</f>
        <v/>
      </c>
      <c r="E481" s="134" t="str">
        <f>IFERROR(__xludf.DUMMYFUNCTION("IFERROR((FILTER(Data!L:L,Data!D:D=A481,Data!B:B=$B$1)),"""")"),"")</f>
        <v/>
      </c>
      <c r="F481" s="134" t="str">
        <f>IFERROR(__xludf.DUMMYFUNCTION("IFERROR((FILTER(Data!K:K,Data!D:D=A481,Data!B:B=$B$1)),"""")"),"")</f>
        <v/>
      </c>
      <c r="G481" s="134" t="str">
        <f>IFERROR(__xludf.DUMMYFUNCTION("IFERROR((FILTER(Data!M:M,Data!D:D=A481,Data!B:B=$B$1)),"""")"),"")</f>
        <v/>
      </c>
      <c r="H481" s="134" t="str">
        <f>IFERROR(__xludf.DUMMYFUNCTION("IFERROR((FILTER(Data!G:G,Data!D:D=A481,Data!B:B=$B$1)*4)+(FILTER(Data!H:H,Data!D:D=A481,Data!B:B=$B$1)*2),"""")"),"")</f>
        <v/>
      </c>
      <c r="I481" s="15" t="str">
        <f>IFERROR(__xludf.DUMMYFUNCTION("IFERROR((FILTER(Data!K:K,Data!D:D=A481,Data!B:B=$B$1)*2)+(FILTER(Data!L:L,Data!D:D=A481,Data!B:B=$B$1)),"""")"),"")</f>
        <v/>
      </c>
      <c r="J481" s="134" t="str">
        <f>IFERROR(__xludf.DUMMYFUNCTION("IFERROR((FILTER(Data!N:N,Data!D:D=A481,Data!B:B=$B$1)),"""")"),"")</f>
        <v/>
      </c>
      <c r="K481" s="135" t="str">
        <f>IFERROR(__xludf.DUMMYFUNCTION("IFERROR((FILTER(Data!H:H,Data!D:D=A481,Data!B:B=$B$1)*2)+(FILTER(Data!L:L,Data!D:D=A481,Data!B:B=$B$1))+(FILTER(Data!G:G,Data!D:D=A481,Data!B:B=$B$1)*4)+(FILTER(Data!K:K,Data!D:D=A481,Data!B:B=$B$1)*2)+(((COUNTIF(FILTER(Data!N:N,Data!D:D=A481,Data!B:B=$B$"&amp;"1),""TRAVERSE"")*15)+(COUNTIF(FILTER(Data!N:N,Data!D:D=A481,Data!B:B=$B$1),""HIGH"")*10)+(COUNTIF(FILTER(Data!N:N,Data!D:D=A481,Data!B:B=$B$1),""MIDDLE"")*6)+(COUNTIF(FILTER(Data!N:N,Data!D:D=A481,Data!B:B=$B$1),""LOW"")*4))),"""")"),"")</f>
        <v/>
      </c>
      <c r="L481" s="136" t="str">
        <f>IFERROR(__xludf.DUMMYFUNCTION("IFERROR((FILTER(Data!P:P,Data!D:D=A481,Data!B:B=$B$1)),"""")"),"")</f>
        <v/>
      </c>
      <c r="M481" s="137" t="str">
        <f>IFERROR(__xludf.DUMMYFUNCTION("IFERROR((FILTER(Data!A:A,Data!D:D=A481,Data!B:B=$B$1)),"""")"),"")</f>
        <v/>
      </c>
      <c r="T481" s="52">
        <f>IFERROR(__xludf.DUMMYFUNCTION("((COUNTIF(FILTER(Data!N:N,Data!D:D=A481,Data!B:B=$B$1),""TRAVERSE"")*15)+(COUNTIF(FILTER(Data!N:N,Data!D:D=A481,Data!B:B=B$1),""HIGH"")*10)+(COUNTIF(FILTER(Data!N:N,Data!D:D=A481,Data!B:B=$B$1),""MIDDLE"")*6)+(COUNTIF(FILTER(Data!N:N,Data!D:D=A481,Data!B:"&amp;"B=$B$1),""LOW"")*4))"),0.0)</f>
        <v>0</v>
      </c>
      <c r="V481" s="138" t="str">
        <f>IF(Data!B473='Team Parser'!$B$1, Data!D473,"")</f>
        <v/>
      </c>
      <c r="W481" s="134" t="str">
        <f>IF(Data!$B473='Team Parser'!$B$1, Data!H473,"")</f>
        <v/>
      </c>
      <c r="X481" s="134" t="str">
        <f>IF(Data!$B473='Team Parser'!$B$1, Data!G473,"")</f>
        <v/>
      </c>
      <c r="Y481" s="134" t="str">
        <f>IF(Data!$B473='Team Parser'!$B$1, Data!L473,"")</f>
        <v/>
      </c>
      <c r="Z481" s="134" t="str">
        <f>IF(Data!$B473='Team Parser'!$B$1, Data!K473,"")</f>
        <v/>
      </c>
      <c r="AA481" s="134" t="str">
        <f>IF(Data!$B473='Team Parser'!$B$1, Data!M473,"")</f>
        <v/>
      </c>
      <c r="AB481" s="134" t="str">
        <f>IF(Data!$B473='Team Parser'!$B$1,((Z481*2)+(Y481)+(X481*4)+(W481*2)),"")</f>
        <v/>
      </c>
      <c r="AC481" s="134" t="str">
        <f>IF(Data!$B473='Team Parser'!$B$1, Data!N473,"")</f>
        <v/>
      </c>
      <c r="AD481" s="139" t="str">
        <f>IF(Data!$B473='Team Parser'!$B$1,(AB481+(COUNTIF(AC481,"TRAVERSE")*15)+(COUNTIF(AC481,"HIGH")*10)+(COUNTIF(AC481,"MIDDLE")*6)+(COUNTIF(AC481,"LOW")*4)),"")</f>
        <v/>
      </c>
    </row>
    <row r="482">
      <c r="A482" s="141" t="s">
        <v>507</v>
      </c>
      <c r="B482" s="134" t="str">
        <f>IFERROR(__xludf.DUMMYFUNCTION("IFERROR((FILTER(Data!H:H,Data!D:D=A482,Data!B:B=$B$1)),"""")"),"")</f>
        <v/>
      </c>
      <c r="C482" s="134" t="str">
        <f>IFERROR(__xludf.DUMMYFUNCTION("IFERROR((FILTER(Data!G:G,Data!D:D=A482,Data!B:B=$B$1)),"""")"),"")</f>
        <v/>
      </c>
      <c r="D482" s="134" t="str">
        <f>IFERROR(__xludf.DUMMYFUNCTION("IFERROR((FILTER(Data!J:J,Data!D:D=A482,Data!B:B=$B$1)),"""")"),"")</f>
        <v/>
      </c>
      <c r="E482" s="134" t="str">
        <f>IFERROR(__xludf.DUMMYFUNCTION("IFERROR((FILTER(Data!L:L,Data!D:D=A482,Data!B:B=$B$1)),"""")"),"")</f>
        <v/>
      </c>
      <c r="F482" s="134" t="str">
        <f>IFERROR(__xludf.DUMMYFUNCTION("IFERROR((FILTER(Data!K:K,Data!D:D=A482,Data!B:B=$B$1)),"""")"),"")</f>
        <v/>
      </c>
      <c r="G482" s="134" t="str">
        <f>IFERROR(__xludf.DUMMYFUNCTION("IFERROR((FILTER(Data!M:M,Data!D:D=A482,Data!B:B=$B$1)),"""")"),"")</f>
        <v/>
      </c>
      <c r="H482" s="134" t="str">
        <f>IFERROR(__xludf.DUMMYFUNCTION("IFERROR((FILTER(Data!G:G,Data!D:D=A482,Data!B:B=$B$1)*4)+(FILTER(Data!H:H,Data!D:D=A482,Data!B:B=$B$1)*2),"""")"),"")</f>
        <v/>
      </c>
      <c r="I482" s="15" t="str">
        <f>IFERROR(__xludf.DUMMYFUNCTION("IFERROR((FILTER(Data!K:K,Data!D:D=A482,Data!B:B=$B$1)*2)+(FILTER(Data!L:L,Data!D:D=A482,Data!B:B=$B$1)),"""")"),"")</f>
        <v/>
      </c>
      <c r="J482" s="134" t="str">
        <f>IFERROR(__xludf.DUMMYFUNCTION("IFERROR((FILTER(Data!N:N,Data!D:D=A482,Data!B:B=$B$1)),"""")"),"")</f>
        <v/>
      </c>
      <c r="K482" s="135" t="str">
        <f>IFERROR(__xludf.DUMMYFUNCTION("IFERROR((FILTER(Data!H:H,Data!D:D=A482,Data!B:B=$B$1)*2)+(FILTER(Data!L:L,Data!D:D=A482,Data!B:B=$B$1))+(FILTER(Data!G:G,Data!D:D=A482,Data!B:B=$B$1)*4)+(FILTER(Data!K:K,Data!D:D=A482,Data!B:B=$B$1)*2)+(((COUNTIF(FILTER(Data!N:N,Data!D:D=A482,Data!B:B=$B$"&amp;"1),""TRAVERSE"")*15)+(COUNTIF(FILTER(Data!N:N,Data!D:D=A482,Data!B:B=$B$1),""HIGH"")*10)+(COUNTIF(FILTER(Data!N:N,Data!D:D=A482,Data!B:B=$B$1),""MIDDLE"")*6)+(COUNTIF(FILTER(Data!N:N,Data!D:D=A482,Data!B:B=$B$1),""LOW"")*4))),"""")"),"")</f>
        <v/>
      </c>
      <c r="L482" s="136" t="str">
        <f>IFERROR(__xludf.DUMMYFUNCTION("IFERROR((FILTER(Data!P:P,Data!D:D=A482,Data!B:B=$B$1)),"""")"),"")</f>
        <v/>
      </c>
      <c r="M482" s="137" t="str">
        <f>IFERROR(__xludf.DUMMYFUNCTION("IFERROR((FILTER(Data!A:A,Data!D:D=A482,Data!B:B=$B$1)),"""")"),"")</f>
        <v/>
      </c>
      <c r="T482" s="52">
        <f>IFERROR(__xludf.DUMMYFUNCTION("((COUNTIF(FILTER(Data!N:N,Data!D:D=A482,Data!B:B=$B$1),""TRAVERSE"")*15)+(COUNTIF(FILTER(Data!N:N,Data!D:D=A482,Data!B:B=B$1),""HIGH"")*10)+(COUNTIF(FILTER(Data!N:N,Data!D:D=A482,Data!B:B=$B$1),""MIDDLE"")*6)+(COUNTIF(FILTER(Data!N:N,Data!D:D=A482,Data!B:"&amp;"B=$B$1),""LOW"")*4))"),0.0)</f>
        <v>0</v>
      </c>
      <c r="V482" s="138" t="str">
        <f>IF(Data!B474='Team Parser'!$B$1, Data!D474,"")</f>
        <v/>
      </c>
      <c r="W482" s="134" t="str">
        <f>IF(Data!$B474='Team Parser'!$B$1, Data!H474,"")</f>
        <v/>
      </c>
      <c r="X482" s="134" t="str">
        <f>IF(Data!$B474='Team Parser'!$B$1, Data!G474,"")</f>
        <v/>
      </c>
      <c r="Y482" s="134" t="str">
        <f>IF(Data!$B474='Team Parser'!$B$1, Data!L474,"")</f>
        <v/>
      </c>
      <c r="Z482" s="134" t="str">
        <f>IF(Data!$B474='Team Parser'!$B$1, Data!K474,"")</f>
        <v/>
      </c>
      <c r="AA482" s="134" t="str">
        <f>IF(Data!$B474='Team Parser'!$B$1, Data!M474,"")</f>
        <v/>
      </c>
      <c r="AB482" s="134" t="str">
        <f>IF(Data!$B474='Team Parser'!$B$1,((Z482*2)+(Y482)+(X482*4)+(W482*2)),"")</f>
        <v/>
      </c>
      <c r="AC482" s="134" t="str">
        <f>IF(Data!$B474='Team Parser'!$B$1, Data!N474,"")</f>
        <v/>
      </c>
      <c r="AD482" s="139" t="str">
        <f>IF(Data!$B474='Team Parser'!$B$1,(AB482+(COUNTIF(AC482,"TRAVERSE")*15)+(COUNTIF(AC482,"HIGH")*10)+(COUNTIF(AC482,"MIDDLE")*6)+(COUNTIF(AC482,"LOW")*4)),"")</f>
        <v/>
      </c>
    </row>
    <row r="483">
      <c r="A483" s="141" t="s">
        <v>507</v>
      </c>
      <c r="B483" s="134" t="str">
        <f>IFERROR(__xludf.DUMMYFUNCTION("IFERROR((FILTER(Data!H:H,Data!D:D=A483,Data!B:B=$B$1)),"""")"),"")</f>
        <v/>
      </c>
      <c r="C483" s="134" t="str">
        <f>IFERROR(__xludf.DUMMYFUNCTION("IFERROR((FILTER(Data!G:G,Data!D:D=A483,Data!B:B=$B$1)),"""")"),"")</f>
        <v/>
      </c>
      <c r="D483" s="134" t="str">
        <f>IFERROR(__xludf.DUMMYFUNCTION("IFERROR((FILTER(Data!J:J,Data!D:D=A483,Data!B:B=$B$1)),"""")"),"")</f>
        <v/>
      </c>
      <c r="E483" s="134" t="str">
        <f>IFERROR(__xludf.DUMMYFUNCTION("IFERROR((FILTER(Data!L:L,Data!D:D=A483,Data!B:B=$B$1)),"""")"),"")</f>
        <v/>
      </c>
      <c r="F483" s="134" t="str">
        <f>IFERROR(__xludf.DUMMYFUNCTION("IFERROR((FILTER(Data!K:K,Data!D:D=A483,Data!B:B=$B$1)),"""")"),"")</f>
        <v/>
      </c>
      <c r="G483" s="134" t="str">
        <f>IFERROR(__xludf.DUMMYFUNCTION("IFERROR((FILTER(Data!M:M,Data!D:D=A483,Data!B:B=$B$1)),"""")"),"")</f>
        <v/>
      </c>
      <c r="H483" s="134" t="str">
        <f>IFERROR(__xludf.DUMMYFUNCTION("IFERROR((FILTER(Data!G:G,Data!D:D=A483,Data!B:B=$B$1)*4)+(FILTER(Data!H:H,Data!D:D=A483,Data!B:B=$B$1)*2),"""")"),"")</f>
        <v/>
      </c>
      <c r="I483" s="15" t="str">
        <f>IFERROR(__xludf.DUMMYFUNCTION("IFERROR((FILTER(Data!K:K,Data!D:D=A483,Data!B:B=$B$1)*2)+(FILTER(Data!L:L,Data!D:D=A483,Data!B:B=$B$1)),"""")"),"")</f>
        <v/>
      </c>
      <c r="J483" s="134" t="str">
        <f>IFERROR(__xludf.DUMMYFUNCTION("IFERROR((FILTER(Data!N:N,Data!D:D=A483,Data!B:B=$B$1)),"""")"),"")</f>
        <v/>
      </c>
      <c r="K483" s="135" t="str">
        <f>IFERROR(__xludf.DUMMYFUNCTION("IFERROR((FILTER(Data!H:H,Data!D:D=A483,Data!B:B=$B$1)*2)+(FILTER(Data!L:L,Data!D:D=A483,Data!B:B=$B$1))+(FILTER(Data!G:G,Data!D:D=A483,Data!B:B=$B$1)*4)+(FILTER(Data!K:K,Data!D:D=A483,Data!B:B=$B$1)*2)+(((COUNTIF(FILTER(Data!N:N,Data!D:D=A483,Data!B:B=$B$"&amp;"1),""TRAVERSE"")*15)+(COUNTIF(FILTER(Data!N:N,Data!D:D=A483,Data!B:B=$B$1),""HIGH"")*10)+(COUNTIF(FILTER(Data!N:N,Data!D:D=A483,Data!B:B=$B$1),""MIDDLE"")*6)+(COUNTIF(FILTER(Data!N:N,Data!D:D=A483,Data!B:B=$B$1),""LOW"")*4))),"""")"),"")</f>
        <v/>
      </c>
      <c r="L483" s="136" t="str">
        <f>IFERROR(__xludf.DUMMYFUNCTION("IFERROR((FILTER(Data!P:P,Data!D:D=A483,Data!B:B=$B$1)),"""")"),"")</f>
        <v/>
      </c>
      <c r="M483" s="137" t="str">
        <f>IFERROR(__xludf.DUMMYFUNCTION("IFERROR((FILTER(Data!A:A,Data!D:D=A483,Data!B:B=$B$1)),"""")"),"")</f>
        <v/>
      </c>
      <c r="T483" s="52">
        <f>IFERROR(__xludf.DUMMYFUNCTION("((COUNTIF(FILTER(Data!N:N,Data!D:D=A483,Data!B:B=$B$1),""TRAVERSE"")*15)+(COUNTIF(FILTER(Data!N:N,Data!D:D=A483,Data!B:B=B$1),""HIGH"")*10)+(COUNTIF(FILTER(Data!N:N,Data!D:D=A483,Data!B:B=$B$1),""MIDDLE"")*6)+(COUNTIF(FILTER(Data!N:N,Data!D:D=A483,Data!B:"&amp;"B=$B$1),""LOW"")*4))"),0.0)</f>
        <v>0</v>
      </c>
      <c r="V483" s="138" t="str">
        <f>IF(Data!B475='Team Parser'!$B$1, Data!D475,"")</f>
        <v/>
      </c>
      <c r="W483" s="134" t="str">
        <f>IF(Data!$B475='Team Parser'!$B$1, Data!H475,"")</f>
        <v/>
      </c>
      <c r="X483" s="134" t="str">
        <f>IF(Data!$B475='Team Parser'!$B$1, Data!G475,"")</f>
        <v/>
      </c>
      <c r="Y483" s="134" t="str">
        <f>IF(Data!$B475='Team Parser'!$B$1, Data!L475,"")</f>
        <v/>
      </c>
      <c r="Z483" s="134" t="str">
        <f>IF(Data!$B475='Team Parser'!$B$1, Data!K475,"")</f>
        <v/>
      </c>
      <c r="AA483" s="134" t="str">
        <f>IF(Data!$B475='Team Parser'!$B$1, Data!M475,"")</f>
        <v/>
      </c>
      <c r="AB483" s="134" t="str">
        <f>IF(Data!$B475='Team Parser'!$B$1,((Z483*2)+(Y483)+(X483*4)+(W483*2)),"")</f>
        <v/>
      </c>
      <c r="AC483" s="134" t="str">
        <f>IF(Data!$B475='Team Parser'!$B$1, Data!N475,"")</f>
        <v/>
      </c>
      <c r="AD483" s="139" t="str">
        <f>IF(Data!$B475='Team Parser'!$B$1,(AB483+(COUNTIF(AC483,"TRAVERSE")*15)+(COUNTIF(AC483,"HIGH")*10)+(COUNTIF(AC483,"MIDDLE")*6)+(COUNTIF(AC483,"LOW")*4)),"")</f>
        <v/>
      </c>
    </row>
    <row r="484">
      <c r="A484" s="141" t="s">
        <v>507</v>
      </c>
      <c r="B484" s="134" t="str">
        <f>IFERROR(__xludf.DUMMYFUNCTION("IFERROR((FILTER(Data!H:H,Data!D:D=A484,Data!B:B=$B$1)),"""")"),"")</f>
        <v/>
      </c>
      <c r="C484" s="134" t="str">
        <f>IFERROR(__xludf.DUMMYFUNCTION("IFERROR((FILTER(Data!G:G,Data!D:D=A484,Data!B:B=$B$1)),"""")"),"")</f>
        <v/>
      </c>
      <c r="D484" s="134" t="str">
        <f>IFERROR(__xludf.DUMMYFUNCTION("IFERROR((FILTER(Data!J:J,Data!D:D=A484,Data!B:B=$B$1)),"""")"),"")</f>
        <v/>
      </c>
      <c r="E484" s="134" t="str">
        <f>IFERROR(__xludf.DUMMYFUNCTION("IFERROR((FILTER(Data!L:L,Data!D:D=A484,Data!B:B=$B$1)),"""")"),"")</f>
        <v/>
      </c>
      <c r="F484" s="134" t="str">
        <f>IFERROR(__xludf.DUMMYFUNCTION("IFERROR((FILTER(Data!K:K,Data!D:D=A484,Data!B:B=$B$1)),"""")"),"")</f>
        <v/>
      </c>
      <c r="G484" s="134" t="str">
        <f>IFERROR(__xludf.DUMMYFUNCTION("IFERROR((FILTER(Data!M:M,Data!D:D=A484,Data!B:B=$B$1)),"""")"),"")</f>
        <v/>
      </c>
      <c r="H484" s="134" t="str">
        <f>IFERROR(__xludf.DUMMYFUNCTION("IFERROR((FILTER(Data!G:G,Data!D:D=A484,Data!B:B=$B$1)*4)+(FILTER(Data!H:H,Data!D:D=A484,Data!B:B=$B$1)*2),"""")"),"")</f>
        <v/>
      </c>
      <c r="I484" s="15" t="str">
        <f>IFERROR(__xludf.DUMMYFUNCTION("IFERROR((FILTER(Data!K:K,Data!D:D=A484,Data!B:B=$B$1)*2)+(FILTER(Data!L:L,Data!D:D=A484,Data!B:B=$B$1)),"""")"),"")</f>
        <v/>
      </c>
      <c r="J484" s="134" t="str">
        <f>IFERROR(__xludf.DUMMYFUNCTION("IFERROR((FILTER(Data!N:N,Data!D:D=A484,Data!B:B=$B$1)),"""")"),"")</f>
        <v/>
      </c>
      <c r="K484" s="135" t="str">
        <f>IFERROR(__xludf.DUMMYFUNCTION("IFERROR((FILTER(Data!H:H,Data!D:D=A484,Data!B:B=$B$1)*2)+(FILTER(Data!L:L,Data!D:D=A484,Data!B:B=$B$1))+(FILTER(Data!G:G,Data!D:D=A484,Data!B:B=$B$1)*4)+(FILTER(Data!K:K,Data!D:D=A484,Data!B:B=$B$1)*2)+(((COUNTIF(FILTER(Data!N:N,Data!D:D=A484,Data!B:B=$B$"&amp;"1),""TRAVERSE"")*15)+(COUNTIF(FILTER(Data!N:N,Data!D:D=A484,Data!B:B=$B$1),""HIGH"")*10)+(COUNTIF(FILTER(Data!N:N,Data!D:D=A484,Data!B:B=$B$1),""MIDDLE"")*6)+(COUNTIF(FILTER(Data!N:N,Data!D:D=A484,Data!B:B=$B$1),""LOW"")*4))),"""")"),"")</f>
        <v/>
      </c>
      <c r="L484" s="136" t="str">
        <f>IFERROR(__xludf.DUMMYFUNCTION("IFERROR((FILTER(Data!P:P,Data!D:D=A484,Data!B:B=$B$1)),"""")"),"")</f>
        <v/>
      </c>
      <c r="M484" s="137" t="str">
        <f>IFERROR(__xludf.DUMMYFUNCTION("IFERROR((FILTER(Data!A:A,Data!D:D=A484,Data!B:B=$B$1)),"""")"),"")</f>
        <v/>
      </c>
      <c r="T484" s="52">
        <f>IFERROR(__xludf.DUMMYFUNCTION("((COUNTIF(FILTER(Data!N:N,Data!D:D=A484,Data!B:B=$B$1),""TRAVERSE"")*15)+(COUNTIF(FILTER(Data!N:N,Data!D:D=A484,Data!B:B=B$1),""HIGH"")*10)+(COUNTIF(FILTER(Data!N:N,Data!D:D=A484,Data!B:B=$B$1),""MIDDLE"")*6)+(COUNTIF(FILTER(Data!N:N,Data!D:D=A484,Data!B:"&amp;"B=$B$1),""LOW"")*4))"),0.0)</f>
        <v>0</v>
      </c>
      <c r="V484" s="138" t="str">
        <f>IF(Data!B476='Team Parser'!$B$1, Data!D476,"")</f>
        <v/>
      </c>
      <c r="W484" s="134" t="str">
        <f>IF(Data!$B476='Team Parser'!$B$1, Data!H476,"")</f>
        <v/>
      </c>
      <c r="X484" s="134" t="str">
        <f>IF(Data!$B476='Team Parser'!$B$1, Data!G476,"")</f>
        <v/>
      </c>
      <c r="Y484" s="134" t="str">
        <f>IF(Data!$B476='Team Parser'!$B$1, Data!L476,"")</f>
        <v/>
      </c>
      <c r="Z484" s="134" t="str">
        <f>IF(Data!$B476='Team Parser'!$B$1, Data!K476,"")</f>
        <v/>
      </c>
      <c r="AA484" s="134" t="str">
        <f>IF(Data!$B476='Team Parser'!$B$1, Data!M476,"")</f>
        <v/>
      </c>
      <c r="AB484" s="134" t="str">
        <f>IF(Data!$B476='Team Parser'!$B$1,((Z484*2)+(Y484)+(X484*4)+(W484*2)),"")</f>
        <v/>
      </c>
      <c r="AC484" s="134" t="str">
        <f>IF(Data!$B476='Team Parser'!$B$1, Data!N476,"")</f>
        <v/>
      </c>
      <c r="AD484" s="139" t="str">
        <f>IF(Data!$B476='Team Parser'!$B$1,(AB484+(COUNTIF(AC484,"TRAVERSE")*15)+(COUNTIF(AC484,"HIGH")*10)+(COUNTIF(AC484,"MIDDLE")*6)+(COUNTIF(AC484,"LOW")*4)),"")</f>
        <v/>
      </c>
    </row>
    <row r="485">
      <c r="A485" s="141" t="s">
        <v>507</v>
      </c>
      <c r="B485" s="134" t="str">
        <f>IFERROR(__xludf.DUMMYFUNCTION("IFERROR((FILTER(Data!H:H,Data!D:D=A485,Data!B:B=$B$1)),"""")"),"")</f>
        <v/>
      </c>
      <c r="C485" s="134" t="str">
        <f>IFERROR(__xludf.DUMMYFUNCTION("IFERROR((FILTER(Data!G:G,Data!D:D=A485,Data!B:B=$B$1)),"""")"),"")</f>
        <v/>
      </c>
      <c r="D485" s="134" t="str">
        <f>IFERROR(__xludf.DUMMYFUNCTION("IFERROR((FILTER(Data!J:J,Data!D:D=A485,Data!B:B=$B$1)),"""")"),"")</f>
        <v/>
      </c>
      <c r="E485" s="134" t="str">
        <f>IFERROR(__xludf.DUMMYFUNCTION("IFERROR((FILTER(Data!L:L,Data!D:D=A485,Data!B:B=$B$1)),"""")"),"")</f>
        <v/>
      </c>
      <c r="F485" s="134" t="str">
        <f>IFERROR(__xludf.DUMMYFUNCTION("IFERROR((FILTER(Data!K:K,Data!D:D=A485,Data!B:B=$B$1)),"""")"),"")</f>
        <v/>
      </c>
      <c r="G485" s="134" t="str">
        <f>IFERROR(__xludf.DUMMYFUNCTION("IFERROR((FILTER(Data!M:M,Data!D:D=A485,Data!B:B=$B$1)),"""")"),"")</f>
        <v/>
      </c>
      <c r="H485" s="134" t="str">
        <f>IFERROR(__xludf.DUMMYFUNCTION("IFERROR((FILTER(Data!G:G,Data!D:D=A485,Data!B:B=$B$1)*4)+(FILTER(Data!H:H,Data!D:D=A485,Data!B:B=$B$1)*2),"""")"),"")</f>
        <v/>
      </c>
      <c r="I485" s="15" t="str">
        <f>IFERROR(__xludf.DUMMYFUNCTION("IFERROR((FILTER(Data!K:K,Data!D:D=A485,Data!B:B=$B$1)*2)+(FILTER(Data!L:L,Data!D:D=A485,Data!B:B=$B$1)),"""")"),"")</f>
        <v/>
      </c>
      <c r="J485" s="134" t="str">
        <f>IFERROR(__xludf.DUMMYFUNCTION("IFERROR((FILTER(Data!N:N,Data!D:D=A485,Data!B:B=$B$1)),"""")"),"")</f>
        <v/>
      </c>
      <c r="K485" s="135" t="str">
        <f>IFERROR(__xludf.DUMMYFUNCTION("IFERROR((FILTER(Data!H:H,Data!D:D=A485,Data!B:B=$B$1)*2)+(FILTER(Data!L:L,Data!D:D=A485,Data!B:B=$B$1))+(FILTER(Data!G:G,Data!D:D=A485,Data!B:B=$B$1)*4)+(FILTER(Data!K:K,Data!D:D=A485,Data!B:B=$B$1)*2)+(((COUNTIF(FILTER(Data!N:N,Data!D:D=A485,Data!B:B=$B$"&amp;"1),""TRAVERSE"")*15)+(COUNTIF(FILTER(Data!N:N,Data!D:D=A485,Data!B:B=$B$1),""HIGH"")*10)+(COUNTIF(FILTER(Data!N:N,Data!D:D=A485,Data!B:B=$B$1),""MIDDLE"")*6)+(COUNTIF(FILTER(Data!N:N,Data!D:D=A485,Data!B:B=$B$1),""LOW"")*4))),"""")"),"")</f>
        <v/>
      </c>
      <c r="L485" s="136" t="str">
        <f>IFERROR(__xludf.DUMMYFUNCTION("IFERROR((FILTER(Data!P:P,Data!D:D=A485,Data!B:B=$B$1)),"""")"),"")</f>
        <v/>
      </c>
      <c r="M485" s="137" t="str">
        <f>IFERROR(__xludf.DUMMYFUNCTION("IFERROR((FILTER(Data!A:A,Data!D:D=A485,Data!B:B=$B$1)),"""")"),"")</f>
        <v/>
      </c>
      <c r="T485" s="52">
        <f>IFERROR(__xludf.DUMMYFUNCTION("((COUNTIF(FILTER(Data!N:N,Data!D:D=A485,Data!B:B=$B$1),""TRAVERSE"")*15)+(COUNTIF(FILTER(Data!N:N,Data!D:D=A485,Data!B:B=B$1),""HIGH"")*10)+(COUNTIF(FILTER(Data!N:N,Data!D:D=A485,Data!B:B=$B$1),""MIDDLE"")*6)+(COUNTIF(FILTER(Data!N:N,Data!D:D=A485,Data!B:"&amp;"B=$B$1),""LOW"")*4))"),0.0)</f>
        <v>0</v>
      </c>
      <c r="V485" s="138" t="str">
        <f>IF(Data!B477='Team Parser'!$B$1, Data!D477,"")</f>
        <v/>
      </c>
      <c r="W485" s="134" t="str">
        <f>IF(Data!$B477='Team Parser'!$B$1, Data!H477,"")</f>
        <v/>
      </c>
      <c r="X485" s="134" t="str">
        <f>IF(Data!$B477='Team Parser'!$B$1, Data!G477,"")</f>
        <v/>
      </c>
      <c r="Y485" s="134" t="str">
        <f>IF(Data!$B477='Team Parser'!$B$1, Data!L477,"")</f>
        <v/>
      </c>
      <c r="Z485" s="134" t="str">
        <f>IF(Data!$B477='Team Parser'!$B$1, Data!K477,"")</f>
        <v/>
      </c>
      <c r="AA485" s="134" t="str">
        <f>IF(Data!$B477='Team Parser'!$B$1, Data!M477,"")</f>
        <v/>
      </c>
      <c r="AB485" s="134" t="str">
        <f>IF(Data!$B477='Team Parser'!$B$1,((Z485*2)+(Y485)+(X485*4)+(W485*2)),"")</f>
        <v/>
      </c>
      <c r="AC485" s="134" t="str">
        <f>IF(Data!$B477='Team Parser'!$B$1, Data!N477,"")</f>
        <v/>
      </c>
      <c r="AD485" s="139" t="str">
        <f>IF(Data!$B477='Team Parser'!$B$1,(AB485+(COUNTIF(AC485,"TRAVERSE")*15)+(COUNTIF(AC485,"HIGH")*10)+(COUNTIF(AC485,"MIDDLE")*6)+(COUNTIF(AC485,"LOW")*4)),"")</f>
        <v/>
      </c>
    </row>
    <row r="486">
      <c r="A486" s="141" t="s">
        <v>507</v>
      </c>
      <c r="B486" s="134" t="str">
        <f>IFERROR(__xludf.DUMMYFUNCTION("IFERROR((FILTER(Data!H:H,Data!D:D=A486,Data!B:B=$B$1)),"""")"),"")</f>
        <v/>
      </c>
      <c r="C486" s="134" t="str">
        <f>IFERROR(__xludf.DUMMYFUNCTION("IFERROR((FILTER(Data!G:G,Data!D:D=A486,Data!B:B=$B$1)),"""")"),"")</f>
        <v/>
      </c>
      <c r="D486" s="134" t="str">
        <f>IFERROR(__xludf.DUMMYFUNCTION("IFERROR((FILTER(Data!J:J,Data!D:D=A486,Data!B:B=$B$1)),"""")"),"")</f>
        <v/>
      </c>
      <c r="E486" s="134" t="str">
        <f>IFERROR(__xludf.DUMMYFUNCTION("IFERROR((FILTER(Data!L:L,Data!D:D=A486,Data!B:B=$B$1)),"""")"),"")</f>
        <v/>
      </c>
      <c r="F486" s="134" t="str">
        <f>IFERROR(__xludf.DUMMYFUNCTION("IFERROR((FILTER(Data!K:K,Data!D:D=A486,Data!B:B=$B$1)),"""")"),"")</f>
        <v/>
      </c>
      <c r="G486" s="134" t="str">
        <f>IFERROR(__xludf.DUMMYFUNCTION("IFERROR((FILTER(Data!M:M,Data!D:D=A486,Data!B:B=$B$1)),"""")"),"")</f>
        <v/>
      </c>
      <c r="H486" s="134" t="str">
        <f>IFERROR(__xludf.DUMMYFUNCTION("IFERROR((FILTER(Data!G:G,Data!D:D=A486,Data!B:B=$B$1)*4)+(FILTER(Data!H:H,Data!D:D=A486,Data!B:B=$B$1)*2),"""")"),"")</f>
        <v/>
      </c>
      <c r="I486" s="15" t="str">
        <f>IFERROR(__xludf.DUMMYFUNCTION("IFERROR((FILTER(Data!K:K,Data!D:D=A486,Data!B:B=$B$1)*2)+(FILTER(Data!L:L,Data!D:D=A486,Data!B:B=$B$1)),"""")"),"")</f>
        <v/>
      </c>
      <c r="J486" s="134" t="str">
        <f>IFERROR(__xludf.DUMMYFUNCTION("IFERROR((FILTER(Data!N:N,Data!D:D=A486,Data!B:B=$B$1)),"""")"),"")</f>
        <v/>
      </c>
      <c r="K486" s="135" t="str">
        <f>IFERROR(__xludf.DUMMYFUNCTION("IFERROR((FILTER(Data!H:H,Data!D:D=A486,Data!B:B=$B$1)*2)+(FILTER(Data!L:L,Data!D:D=A486,Data!B:B=$B$1))+(FILTER(Data!G:G,Data!D:D=A486,Data!B:B=$B$1)*4)+(FILTER(Data!K:K,Data!D:D=A486,Data!B:B=$B$1)*2)+(((COUNTIF(FILTER(Data!N:N,Data!D:D=A486,Data!B:B=$B$"&amp;"1),""TRAVERSE"")*15)+(COUNTIF(FILTER(Data!N:N,Data!D:D=A486,Data!B:B=$B$1),""HIGH"")*10)+(COUNTIF(FILTER(Data!N:N,Data!D:D=A486,Data!B:B=$B$1),""MIDDLE"")*6)+(COUNTIF(FILTER(Data!N:N,Data!D:D=A486,Data!B:B=$B$1),""LOW"")*4))),"""")"),"")</f>
        <v/>
      </c>
      <c r="L486" s="136" t="str">
        <f>IFERROR(__xludf.DUMMYFUNCTION("IFERROR((FILTER(Data!P:P,Data!D:D=A486,Data!B:B=$B$1)),"""")"),"")</f>
        <v/>
      </c>
      <c r="M486" s="137" t="str">
        <f>IFERROR(__xludf.DUMMYFUNCTION("IFERROR((FILTER(Data!A:A,Data!D:D=A486,Data!B:B=$B$1)),"""")"),"")</f>
        <v/>
      </c>
      <c r="T486" s="52">
        <f>IFERROR(__xludf.DUMMYFUNCTION("((COUNTIF(FILTER(Data!N:N,Data!D:D=A486,Data!B:B=$B$1),""TRAVERSE"")*15)+(COUNTIF(FILTER(Data!N:N,Data!D:D=A486,Data!B:B=B$1),""HIGH"")*10)+(COUNTIF(FILTER(Data!N:N,Data!D:D=A486,Data!B:B=$B$1),""MIDDLE"")*6)+(COUNTIF(FILTER(Data!N:N,Data!D:D=A486,Data!B:"&amp;"B=$B$1),""LOW"")*4))"),0.0)</f>
        <v>0</v>
      </c>
      <c r="V486" s="138" t="str">
        <f>IF(Data!B478='Team Parser'!$B$1, Data!D478,"")</f>
        <v/>
      </c>
      <c r="W486" s="134" t="str">
        <f>IF(Data!$B478='Team Parser'!$B$1, Data!H478,"")</f>
        <v/>
      </c>
      <c r="X486" s="134" t="str">
        <f>IF(Data!$B478='Team Parser'!$B$1, Data!G478,"")</f>
        <v/>
      </c>
      <c r="Y486" s="134" t="str">
        <f>IF(Data!$B478='Team Parser'!$B$1, Data!L478,"")</f>
        <v/>
      </c>
      <c r="Z486" s="134" t="str">
        <f>IF(Data!$B478='Team Parser'!$B$1, Data!K478,"")</f>
        <v/>
      </c>
      <c r="AA486" s="134" t="str">
        <f>IF(Data!$B478='Team Parser'!$B$1, Data!M478,"")</f>
        <v/>
      </c>
      <c r="AB486" s="134" t="str">
        <f>IF(Data!$B478='Team Parser'!$B$1,((Z486*2)+(Y486)+(X486*4)+(W486*2)),"")</f>
        <v/>
      </c>
      <c r="AC486" s="134" t="str">
        <f>IF(Data!$B478='Team Parser'!$B$1, Data!N478,"")</f>
        <v/>
      </c>
      <c r="AD486" s="139" t="str">
        <f>IF(Data!$B478='Team Parser'!$B$1,(AB486+(COUNTIF(AC486,"TRAVERSE")*15)+(COUNTIF(AC486,"HIGH")*10)+(COUNTIF(AC486,"MIDDLE")*6)+(COUNTIF(AC486,"LOW")*4)),"")</f>
        <v/>
      </c>
    </row>
    <row r="487">
      <c r="A487" s="141" t="s">
        <v>507</v>
      </c>
      <c r="B487" s="134" t="str">
        <f>IFERROR(__xludf.DUMMYFUNCTION("IFERROR((FILTER(Data!H:H,Data!D:D=A487,Data!B:B=$B$1)),"""")"),"")</f>
        <v/>
      </c>
      <c r="C487" s="134" t="str">
        <f>IFERROR(__xludf.DUMMYFUNCTION("IFERROR((FILTER(Data!G:G,Data!D:D=A487,Data!B:B=$B$1)),"""")"),"")</f>
        <v/>
      </c>
      <c r="D487" s="134" t="str">
        <f>IFERROR(__xludf.DUMMYFUNCTION("IFERROR((FILTER(Data!J:J,Data!D:D=A487,Data!B:B=$B$1)),"""")"),"")</f>
        <v/>
      </c>
      <c r="E487" s="134" t="str">
        <f>IFERROR(__xludf.DUMMYFUNCTION("IFERROR((FILTER(Data!L:L,Data!D:D=A487,Data!B:B=$B$1)),"""")"),"")</f>
        <v/>
      </c>
      <c r="F487" s="134" t="str">
        <f>IFERROR(__xludf.DUMMYFUNCTION("IFERROR((FILTER(Data!K:K,Data!D:D=A487,Data!B:B=$B$1)),"""")"),"")</f>
        <v/>
      </c>
      <c r="G487" s="134" t="str">
        <f>IFERROR(__xludf.DUMMYFUNCTION("IFERROR((FILTER(Data!M:M,Data!D:D=A487,Data!B:B=$B$1)),"""")"),"")</f>
        <v/>
      </c>
      <c r="H487" s="134" t="str">
        <f>IFERROR(__xludf.DUMMYFUNCTION("IFERROR((FILTER(Data!G:G,Data!D:D=A487,Data!B:B=$B$1)*4)+(FILTER(Data!H:H,Data!D:D=A487,Data!B:B=$B$1)*2),"""")"),"")</f>
        <v/>
      </c>
      <c r="I487" s="15" t="str">
        <f>IFERROR(__xludf.DUMMYFUNCTION("IFERROR((FILTER(Data!K:K,Data!D:D=A487,Data!B:B=$B$1)*2)+(FILTER(Data!L:L,Data!D:D=A487,Data!B:B=$B$1)),"""")"),"")</f>
        <v/>
      </c>
      <c r="J487" s="134" t="str">
        <f>IFERROR(__xludf.DUMMYFUNCTION("IFERROR((FILTER(Data!N:N,Data!D:D=A487,Data!B:B=$B$1)),"""")"),"")</f>
        <v/>
      </c>
      <c r="K487" s="135" t="str">
        <f>IFERROR(__xludf.DUMMYFUNCTION("IFERROR((FILTER(Data!H:H,Data!D:D=A487,Data!B:B=$B$1)*2)+(FILTER(Data!L:L,Data!D:D=A487,Data!B:B=$B$1))+(FILTER(Data!G:G,Data!D:D=A487,Data!B:B=$B$1)*4)+(FILTER(Data!K:K,Data!D:D=A487,Data!B:B=$B$1)*2)+(((COUNTIF(FILTER(Data!N:N,Data!D:D=A487,Data!B:B=$B$"&amp;"1),""TRAVERSE"")*15)+(COUNTIF(FILTER(Data!N:N,Data!D:D=A487,Data!B:B=$B$1),""HIGH"")*10)+(COUNTIF(FILTER(Data!N:N,Data!D:D=A487,Data!B:B=$B$1),""MIDDLE"")*6)+(COUNTIF(FILTER(Data!N:N,Data!D:D=A487,Data!B:B=$B$1),""LOW"")*4))),"""")"),"")</f>
        <v/>
      </c>
      <c r="L487" s="136" t="str">
        <f>IFERROR(__xludf.DUMMYFUNCTION("IFERROR((FILTER(Data!P:P,Data!D:D=A487,Data!B:B=$B$1)),"""")"),"")</f>
        <v/>
      </c>
      <c r="M487" s="137" t="str">
        <f>IFERROR(__xludf.DUMMYFUNCTION("IFERROR((FILTER(Data!A:A,Data!D:D=A487,Data!B:B=$B$1)),"""")"),"")</f>
        <v/>
      </c>
      <c r="T487" s="52">
        <f>IFERROR(__xludf.DUMMYFUNCTION("((COUNTIF(FILTER(Data!N:N,Data!D:D=A487,Data!B:B=$B$1),""TRAVERSE"")*15)+(COUNTIF(FILTER(Data!N:N,Data!D:D=A487,Data!B:B=B$1),""HIGH"")*10)+(COUNTIF(FILTER(Data!N:N,Data!D:D=A487,Data!B:B=$B$1),""MIDDLE"")*6)+(COUNTIF(FILTER(Data!N:N,Data!D:D=A487,Data!B:"&amp;"B=$B$1),""LOW"")*4))"),0.0)</f>
        <v>0</v>
      </c>
      <c r="V487" s="138" t="str">
        <f>IF(Data!B479='Team Parser'!$B$1, Data!D479,"")</f>
        <v/>
      </c>
      <c r="W487" s="134" t="str">
        <f>IF(Data!$B479='Team Parser'!$B$1, Data!H479,"")</f>
        <v/>
      </c>
      <c r="X487" s="134" t="str">
        <f>IF(Data!$B479='Team Parser'!$B$1, Data!G479,"")</f>
        <v/>
      </c>
      <c r="Y487" s="134" t="str">
        <f>IF(Data!$B479='Team Parser'!$B$1, Data!L479,"")</f>
        <v/>
      </c>
      <c r="Z487" s="134" t="str">
        <f>IF(Data!$B479='Team Parser'!$B$1, Data!K479,"")</f>
        <v/>
      </c>
      <c r="AA487" s="134" t="str">
        <f>IF(Data!$B479='Team Parser'!$B$1, Data!M479,"")</f>
        <v/>
      </c>
      <c r="AB487" s="134" t="str">
        <f>IF(Data!$B479='Team Parser'!$B$1,((Z487*2)+(Y487)+(X487*4)+(W487*2)),"")</f>
        <v/>
      </c>
      <c r="AC487" s="134" t="str">
        <f>IF(Data!$B479='Team Parser'!$B$1, Data!N479,"")</f>
        <v/>
      </c>
      <c r="AD487" s="139" t="str">
        <f>IF(Data!$B479='Team Parser'!$B$1,(AB487+(COUNTIF(AC487,"TRAVERSE")*15)+(COUNTIF(AC487,"HIGH")*10)+(COUNTIF(AC487,"MIDDLE")*6)+(COUNTIF(AC487,"LOW")*4)),"")</f>
        <v/>
      </c>
    </row>
    <row r="488">
      <c r="A488" s="141" t="s">
        <v>507</v>
      </c>
      <c r="B488" s="134" t="str">
        <f>IFERROR(__xludf.DUMMYFUNCTION("IFERROR((FILTER(Data!H:H,Data!D:D=A488,Data!B:B=$B$1)),"""")"),"")</f>
        <v/>
      </c>
      <c r="C488" s="134" t="str">
        <f>IFERROR(__xludf.DUMMYFUNCTION("IFERROR((FILTER(Data!G:G,Data!D:D=A488,Data!B:B=$B$1)),"""")"),"")</f>
        <v/>
      </c>
      <c r="D488" s="134" t="str">
        <f>IFERROR(__xludf.DUMMYFUNCTION("IFERROR((FILTER(Data!J:J,Data!D:D=A488,Data!B:B=$B$1)),"""")"),"")</f>
        <v/>
      </c>
      <c r="E488" s="134" t="str">
        <f>IFERROR(__xludf.DUMMYFUNCTION("IFERROR((FILTER(Data!L:L,Data!D:D=A488,Data!B:B=$B$1)),"""")"),"")</f>
        <v/>
      </c>
      <c r="F488" s="134" t="str">
        <f>IFERROR(__xludf.DUMMYFUNCTION("IFERROR((FILTER(Data!K:K,Data!D:D=A488,Data!B:B=$B$1)),"""")"),"")</f>
        <v/>
      </c>
      <c r="G488" s="134" t="str">
        <f>IFERROR(__xludf.DUMMYFUNCTION("IFERROR((FILTER(Data!M:M,Data!D:D=A488,Data!B:B=$B$1)),"""")"),"")</f>
        <v/>
      </c>
      <c r="H488" s="134" t="str">
        <f>IFERROR(__xludf.DUMMYFUNCTION("IFERROR((FILTER(Data!G:G,Data!D:D=A488,Data!B:B=$B$1)*4)+(FILTER(Data!H:H,Data!D:D=A488,Data!B:B=$B$1)*2),"""")"),"")</f>
        <v/>
      </c>
      <c r="I488" s="15" t="str">
        <f>IFERROR(__xludf.DUMMYFUNCTION("IFERROR((FILTER(Data!K:K,Data!D:D=A488,Data!B:B=$B$1)*2)+(FILTER(Data!L:L,Data!D:D=A488,Data!B:B=$B$1)),"""")"),"")</f>
        <v/>
      </c>
      <c r="J488" s="134" t="str">
        <f>IFERROR(__xludf.DUMMYFUNCTION("IFERROR((FILTER(Data!N:N,Data!D:D=A488,Data!B:B=$B$1)),"""")"),"")</f>
        <v/>
      </c>
      <c r="K488" s="135" t="str">
        <f>IFERROR(__xludf.DUMMYFUNCTION("IFERROR((FILTER(Data!H:H,Data!D:D=A488,Data!B:B=$B$1)*2)+(FILTER(Data!L:L,Data!D:D=A488,Data!B:B=$B$1))+(FILTER(Data!G:G,Data!D:D=A488,Data!B:B=$B$1)*4)+(FILTER(Data!K:K,Data!D:D=A488,Data!B:B=$B$1)*2)+(((COUNTIF(FILTER(Data!N:N,Data!D:D=A488,Data!B:B=$B$"&amp;"1),""TRAVERSE"")*15)+(COUNTIF(FILTER(Data!N:N,Data!D:D=A488,Data!B:B=$B$1),""HIGH"")*10)+(COUNTIF(FILTER(Data!N:N,Data!D:D=A488,Data!B:B=$B$1),""MIDDLE"")*6)+(COUNTIF(FILTER(Data!N:N,Data!D:D=A488,Data!B:B=$B$1),""LOW"")*4))),"""")"),"")</f>
        <v/>
      </c>
      <c r="L488" s="136" t="str">
        <f>IFERROR(__xludf.DUMMYFUNCTION("IFERROR((FILTER(Data!P:P,Data!D:D=A488,Data!B:B=$B$1)),"""")"),"")</f>
        <v/>
      </c>
      <c r="M488" s="137" t="str">
        <f>IFERROR(__xludf.DUMMYFUNCTION("IFERROR((FILTER(Data!A:A,Data!D:D=A488,Data!B:B=$B$1)),"""")"),"")</f>
        <v/>
      </c>
      <c r="T488" s="52">
        <f>IFERROR(__xludf.DUMMYFUNCTION("((COUNTIF(FILTER(Data!N:N,Data!D:D=A488,Data!B:B=$B$1),""TRAVERSE"")*15)+(COUNTIF(FILTER(Data!N:N,Data!D:D=A488,Data!B:B=B$1),""HIGH"")*10)+(COUNTIF(FILTER(Data!N:N,Data!D:D=A488,Data!B:B=$B$1),""MIDDLE"")*6)+(COUNTIF(FILTER(Data!N:N,Data!D:D=A488,Data!B:"&amp;"B=$B$1),""LOW"")*4))"),0.0)</f>
        <v>0</v>
      </c>
      <c r="V488" s="138" t="str">
        <f>IF(Data!B480='Team Parser'!$B$1, Data!D480,"")</f>
        <v/>
      </c>
      <c r="W488" s="134" t="str">
        <f>IF(Data!$B480='Team Parser'!$B$1, Data!H480,"")</f>
        <v/>
      </c>
      <c r="X488" s="134" t="str">
        <f>IF(Data!$B480='Team Parser'!$B$1, Data!G480,"")</f>
        <v/>
      </c>
      <c r="Y488" s="134" t="str">
        <f>IF(Data!$B480='Team Parser'!$B$1, Data!L480,"")</f>
        <v/>
      </c>
      <c r="Z488" s="134" t="str">
        <f>IF(Data!$B480='Team Parser'!$B$1, Data!K480,"")</f>
        <v/>
      </c>
      <c r="AA488" s="134" t="str">
        <f>IF(Data!$B480='Team Parser'!$B$1, Data!M480,"")</f>
        <v/>
      </c>
      <c r="AB488" s="134" t="str">
        <f>IF(Data!$B480='Team Parser'!$B$1,((Z488*2)+(Y488)+(X488*4)+(W488*2)),"")</f>
        <v/>
      </c>
      <c r="AC488" s="134" t="str">
        <f>IF(Data!$B480='Team Parser'!$B$1, Data!N480,"")</f>
        <v/>
      </c>
      <c r="AD488" s="139" t="str">
        <f>IF(Data!$B480='Team Parser'!$B$1,(AB488+(COUNTIF(AC488,"TRAVERSE")*15)+(COUNTIF(AC488,"HIGH")*10)+(COUNTIF(AC488,"MIDDLE")*6)+(COUNTIF(AC488,"LOW")*4)),"")</f>
        <v/>
      </c>
    </row>
    <row r="489">
      <c r="A489" s="141" t="s">
        <v>507</v>
      </c>
      <c r="B489" s="134" t="str">
        <f>IFERROR(__xludf.DUMMYFUNCTION("IFERROR((FILTER(Data!H:H,Data!D:D=A489,Data!B:B=$B$1)),"""")"),"")</f>
        <v/>
      </c>
      <c r="C489" s="134" t="str">
        <f>IFERROR(__xludf.DUMMYFUNCTION("IFERROR((FILTER(Data!G:G,Data!D:D=A489,Data!B:B=$B$1)),"""")"),"")</f>
        <v/>
      </c>
      <c r="D489" s="134" t="str">
        <f>IFERROR(__xludf.DUMMYFUNCTION("IFERROR((FILTER(Data!J:J,Data!D:D=A489,Data!B:B=$B$1)),"""")"),"")</f>
        <v/>
      </c>
      <c r="E489" s="134" t="str">
        <f>IFERROR(__xludf.DUMMYFUNCTION("IFERROR((FILTER(Data!L:L,Data!D:D=A489,Data!B:B=$B$1)),"""")"),"")</f>
        <v/>
      </c>
      <c r="F489" s="134" t="str">
        <f>IFERROR(__xludf.DUMMYFUNCTION("IFERROR((FILTER(Data!K:K,Data!D:D=A489,Data!B:B=$B$1)),"""")"),"")</f>
        <v/>
      </c>
      <c r="G489" s="134" t="str">
        <f>IFERROR(__xludf.DUMMYFUNCTION("IFERROR((FILTER(Data!M:M,Data!D:D=A489,Data!B:B=$B$1)),"""")"),"")</f>
        <v/>
      </c>
      <c r="H489" s="134" t="str">
        <f>IFERROR(__xludf.DUMMYFUNCTION("IFERROR((FILTER(Data!G:G,Data!D:D=A489,Data!B:B=$B$1)*4)+(FILTER(Data!H:H,Data!D:D=A489,Data!B:B=$B$1)*2),"""")"),"")</f>
        <v/>
      </c>
      <c r="I489" s="15" t="str">
        <f>IFERROR(__xludf.DUMMYFUNCTION("IFERROR((FILTER(Data!K:K,Data!D:D=A489,Data!B:B=$B$1)*2)+(FILTER(Data!L:L,Data!D:D=A489,Data!B:B=$B$1)),"""")"),"")</f>
        <v/>
      </c>
      <c r="J489" s="134" t="str">
        <f>IFERROR(__xludf.DUMMYFUNCTION("IFERROR((FILTER(Data!N:N,Data!D:D=A489,Data!B:B=$B$1)),"""")"),"")</f>
        <v/>
      </c>
      <c r="K489" s="135" t="str">
        <f>IFERROR(__xludf.DUMMYFUNCTION("IFERROR((FILTER(Data!H:H,Data!D:D=A489,Data!B:B=$B$1)*2)+(FILTER(Data!L:L,Data!D:D=A489,Data!B:B=$B$1))+(FILTER(Data!G:G,Data!D:D=A489,Data!B:B=$B$1)*4)+(FILTER(Data!K:K,Data!D:D=A489,Data!B:B=$B$1)*2)+(((COUNTIF(FILTER(Data!N:N,Data!D:D=A489,Data!B:B=$B$"&amp;"1),""TRAVERSE"")*15)+(COUNTIF(FILTER(Data!N:N,Data!D:D=A489,Data!B:B=$B$1),""HIGH"")*10)+(COUNTIF(FILTER(Data!N:N,Data!D:D=A489,Data!B:B=$B$1),""MIDDLE"")*6)+(COUNTIF(FILTER(Data!N:N,Data!D:D=A489,Data!B:B=$B$1),""LOW"")*4))),"""")"),"")</f>
        <v/>
      </c>
      <c r="L489" s="136" t="str">
        <f>IFERROR(__xludf.DUMMYFUNCTION("IFERROR((FILTER(Data!P:P,Data!D:D=A489,Data!B:B=$B$1)),"""")"),"")</f>
        <v/>
      </c>
      <c r="M489" s="137" t="str">
        <f>IFERROR(__xludf.DUMMYFUNCTION("IFERROR((FILTER(Data!A:A,Data!D:D=A489,Data!B:B=$B$1)),"""")"),"")</f>
        <v/>
      </c>
      <c r="T489" s="52">
        <f>IFERROR(__xludf.DUMMYFUNCTION("((COUNTIF(FILTER(Data!N:N,Data!D:D=A489,Data!B:B=$B$1),""TRAVERSE"")*15)+(COUNTIF(FILTER(Data!N:N,Data!D:D=A489,Data!B:B=B$1),""HIGH"")*10)+(COUNTIF(FILTER(Data!N:N,Data!D:D=A489,Data!B:B=$B$1),""MIDDLE"")*6)+(COUNTIF(FILTER(Data!N:N,Data!D:D=A489,Data!B:"&amp;"B=$B$1),""LOW"")*4))"),0.0)</f>
        <v>0</v>
      </c>
      <c r="V489" s="138" t="str">
        <f>IF(Data!B481='Team Parser'!$B$1, Data!D481,"")</f>
        <v/>
      </c>
      <c r="W489" s="134" t="str">
        <f>IF(Data!$B481='Team Parser'!$B$1, Data!H481,"")</f>
        <v/>
      </c>
      <c r="X489" s="134" t="str">
        <f>IF(Data!$B481='Team Parser'!$B$1, Data!G481,"")</f>
        <v/>
      </c>
      <c r="Y489" s="134" t="str">
        <f>IF(Data!$B481='Team Parser'!$B$1, Data!L481,"")</f>
        <v/>
      </c>
      <c r="Z489" s="134" t="str">
        <f>IF(Data!$B481='Team Parser'!$B$1, Data!K481,"")</f>
        <v/>
      </c>
      <c r="AA489" s="134" t="str">
        <f>IF(Data!$B481='Team Parser'!$B$1, Data!M481,"")</f>
        <v/>
      </c>
      <c r="AB489" s="134" t="str">
        <f>IF(Data!$B481='Team Parser'!$B$1,((Z489*2)+(Y489)+(X489*4)+(W489*2)),"")</f>
        <v/>
      </c>
      <c r="AC489" s="134" t="str">
        <f>IF(Data!$B481='Team Parser'!$B$1, Data!N481,"")</f>
        <v/>
      </c>
      <c r="AD489" s="139" t="str">
        <f>IF(Data!$B481='Team Parser'!$B$1,(AB489+(COUNTIF(AC489,"TRAVERSE")*15)+(COUNTIF(AC489,"HIGH")*10)+(COUNTIF(AC489,"MIDDLE")*6)+(COUNTIF(AC489,"LOW")*4)),"")</f>
        <v/>
      </c>
    </row>
    <row r="490">
      <c r="A490" s="141" t="s">
        <v>507</v>
      </c>
      <c r="B490" s="134" t="str">
        <f>IFERROR(__xludf.DUMMYFUNCTION("IFERROR((FILTER(Data!H:H,Data!D:D=A490,Data!B:B=$B$1)),"""")"),"")</f>
        <v/>
      </c>
      <c r="C490" s="134" t="str">
        <f>IFERROR(__xludf.DUMMYFUNCTION("IFERROR((FILTER(Data!G:G,Data!D:D=A490,Data!B:B=$B$1)),"""")"),"")</f>
        <v/>
      </c>
      <c r="D490" s="134" t="str">
        <f>IFERROR(__xludf.DUMMYFUNCTION("IFERROR((FILTER(Data!J:J,Data!D:D=A490,Data!B:B=$B$1)),"""")"),"")</f>
        <v/>
      </c>
      <c r="E490" s="134" t="str">
        <f>IFERROR(__xludf.DUMMYFUNCTION("IFERROR((FILTER(Data!L:L,Data!D:D=A490,Data!B:B=$B$1)),"""")"),"")</f>
        <v/>
      </c>
      <c r="F490" s="134" t="str">
        <f>IFERROR(__xludf.DUMMYFUNCTION("IFERROR((FILTER(Data!K:K,Data!D:D=A490,Data!B:B=$B$1)),"""")"),"")</f>
        <v/>
      </c>
      <c r="G490" s="134" t="str">
        <f>IFERROR(__xludf.DUMMYFUNCTION("IFERROR((FILTER(Data!M:M,Data!D:D=A490,Data!B:B=$B$1)),"""")"),"")</f>
        <v/>
      </c>
      <c r="H490" s="134" t="str">
        <f>IFERROR(__xludf.DUMMYFUNCTION("IFERROR((FILTER(Data!G:G,Data!D:D=A490,Data!B:B=$B$1)*4)+(FILTER(Data!H:H,Data!D:D=A490,Data!B:B=$B$1)*2),"""")"),"")</f>
        <v/>
      </c>
      <c r="I490" s="15" t="str">
        <f>IFERROR(__xludf.DUMMYFUNCTION("IFERROR((FILTER(Data!K:K,Data!D:D=A490,Data!B:B=$B$1)*2)+(FILTER(Data!L:L,Data!D:D=A490,Data!B:B=$B$1)),"""")"),"")</f>
        <v/>
      </c>
      <c r="J490" s="134" t="str">
        <f>IFERROR(__xludf.DUMMYFUNCTION("IFERROR((FILTER(Data!N:N,Data!D:D=A490,Data!B:B=$B$1)),"""")"),"")</f>
        <v/>
      </c>
      <c r="K490" s="135" t="str">
        <f>IFERROR(__xludf.DUMMYFUNCTION("IFERROR((FILTER(Data!H:H,Data!D:D=A490,Data!B:B=$B$1)*2)+(FILTER(Data!L:L,Data!D:D=A490,Data!B:B=$B$1))+(FILTER(Data!G:G,Data!D:D=A490,Data!B:B=$B$1)*4)+(FILTER(Data!K:K,Data!D:D=A490,Data!B:B=$B$1)*2)+(((COUNTIF(FILTER(Data!N:N,Data!D:D=A490,Data!B:B=$B$"&amp;"1),""TRAVERSE"")*15)+(COUNTIF(FILTER(Data!N:N,Data!D:D=A490,Data!B:B=$B$1),""HIGH"")*10)+(COUNTIF(FILTER(Data!N:N,Data!D:D=A490,Data!B:B=$B$1),""MIDDLE"")*6)+(COUNTIF(FILTER(Data!N:N,Data!D:D=A490,Data!B:B=$B$1),""LOW"")*4))),"""")"),"")</f>
        <v/>
      </c>
      <c r="L490" s="136" t="str">
        <f>IFERROR(__xludf.DUMMYFUNCTION("IFERROR((FILTER(Data!P:P,Data!D:D=A490,Data!B:B=$B$1)),"""")"),"")</f>
        <v/>
      </c>
      <c r="M490" s="137" t="str">
        <f>IFERROR(__xludf.DUMMYFUNCTION("IFERROR((FILTER(Data!A:A,Data!D:D=A490,Data!B:B=$B$1)),"""")"),"")</f>
        <v/>
      </c>
      <c r="T490" s="52">
        <f>IFERROR(__xludf.DUMMYFUNCTION("((COUNTIF(FILTER(Data!N:N,Data!D:D=A490,Data!B:B=$B$1),""TRAVERSE"")*15)+(COUNTIF(FILTER(Data!N:N,Data!D:D=A490,Data!B:B=B$1),""HIGH"")*10)+(COUNTIF(FILTER(Data!N:N,Data!D:D=A490,Data!B:B=$B$1),""MIDDLE"")*6)+(COUNTIF(FILTER(Data!N:N,Data!D:D=A490,Data!B:"&amp;"B=$B$1),""LOW"")*4))"),0.0)</f>
        <v>0</v>
      </c>
      <c r="V490" s="138" t="str">
        <f>IF(Data!B482='Team Parser'!$B$1, Data!D482,"")</f>
        <v/>
      </c>
      <c r="W490" s="134" t="str">
        <f>IF(Data!$B482='Team Parser'!$B$1, Data!H482,"")</f>
        <v/>
      </c>
      <c r="X490" s="134" t="str">
        <f>IF(Data!$B482='Team Parser'!$B$1, Data!G482,"")</f>
        <v/>
      </c>
      <c r="Y490" s="134" t="str">
        <f>IF(Data!$B482='Team Parser'!$B$1, Data!L482,"")</f>
        <v/>
      </c>
      <c r="Z490" s="134" t="str">
        <f>IF(Data!$B482='Team Parser'!$B$1, Data!K482,"")</f>
        <v/>
      </c>
      <c r="AA490" s="134" t="str">
        <f>IF(Data!$B482='Team Parser'!$B$1, Data!M482,"")</f>
        <v/>
      </c>
      <c r="AB490" s="134" t="str">
        <f>IF(Data!$B482='Team Parser'!$B$1,((Z490*2)+(Y490)+(X490*4)+(W490*2)),"")</f>
        <v/>
      </c>
      <c r="AC490" s="134" t="str">
        <f>IF(Data!$B482='Team Parser'!$B$1, Data!N482,"")</f>
        <v/>
      </c>
      <c r="AD490" s="139" t="str">
        <f>IF(Data!$B482='Team Parser'!$B$1,(AB490+(COUNTIF(AC490,"TRAVERSE")*15)+(COUNTIF(AC490,"HIGH")*10)+(COUNTIF(AC490,"MIDDLE")*6)+(COUNTIF(AC490,"LOW")*4)),"")</f>
        <v/>
      </c>
    </row>
    <row r="491">
      <c r="A491" s="141" t="s">
        <v>507</v>
      </c>
      <c r="B491" s="134" t="str">
        <f>IFERROR(__xludf.DUMMYFUNCTION("IFERROR((FILTER(Data!H:H,Data!D:D=A491,Data!B:B=$B$1)),"""")"),"")</f>
        <v/>
      </c>
      <c r="C491" s="134" t="str">
        <f>IFERROR(__xludf.DUMMYFUNCTION("IFERROR((FILTER(Data!G:G,Data!D:D=A491,Data!B:B=$B$1)),"""")"),"")</f>
        <v/>
      </c>
      <c r="D491" s="134" t="str">
        <f>IFERROR(__xludf.DUMMYFUNCTION("IFERROR((FILTER(Data!J:J,Data!D:D=A491,Data!B:B=$B$1)),"""")"),"")</f>
        <v/>
      </c>
      <c r="E491" s="134" t="str">
        <f>IFERROR(__xludf.DUMMYFUNCTION("IFERROR((FILTER(Data!L:L,Data!D:D=A491,Data!B:B=$B$1)),"""")"),"")</f>
        <v/>
      </c>
      <c r="F491" s="134" t="str">
        <f>IFERROR(__xludf.DUMMYFUNCTION("IFERROR((FILTER(Data!K:K,Data!D:D=A491,Data!B:B=$B$1)),"""")"),"")</f>
        <v/>
      </c>
      <c r="G491" s="134" t="str">
        <f>IFERROR(__xludf.DUMMYFUNCTION("IFERROR((FILTER(Data!M:M,Data!D:D=A491,Data!B:B=$B$1)),"""")"),"")</f>
        <v/>
      </c>
      <c r="H491" s="134" t="str">
        <f>IFERROR(__xludf.DUMMYFUNCTION("IFERROR((FILTER(Data!G:G,Data!D:D=A491,Data!B:B=$B$1)*4)+(FILTER(Data!H:H,Data!D:D=A491,Data!B:B=$B$1)*2),"""")"),"")</f>
        <v/>
      </c>
      <c r="I491" s="15" t="str">
        <f>IFERROR(__xludf.DUMMYFUNCTION("IFERROR((FILTER(Data!K:K,Data!D:D=A491,Data!B:B=$B$1)*2)+(FILTER(Data!L:L,Data!D:D=A491,Data!B:B=$B$1)),"""")"),"")</f>
        <v/>
      </c>
      <c r="J491" s="134" t="str">
        <f>IFERROR(__xludf.DUMMYFUNCTION("IFERROR((FILTER(Data!N:N,Data!D:D=A491,Data!B:B=$B$1)),"""")"),"")</f>
        <v/>
      </c>
      <c r="K491" s="135" t="str">
        <f>IFERROR(__xludf.DUMMYFUNCTION("IFERROR((FILTER(Data!H:H,Data!D:D=A491,Data!B:B=$B$1)*2)+(FILTER(Data!L:L,Data!D:D=A491,Data!B:B=$B$1))+(FILTER(Data!G:G,Data!D:D=A491,Data!B:B=$B$1)*4)+(FILTER(Data!K:K,Data!D:D=A491,Data!B:B=$B$1)*2)+(((COUNTIF(FILTER(Data!N:N,Data!D:D=A491,Data!B:B=$B$"&amp;"1),""TRAVERSE"")*15)+(COUNTIF(FILTER(Data!N:N,Data!D:D=A491,Data!B:B=$B$1),""HIGH"")*10)+(COUNTIF(FILTER(Data!N:N,Data!D:D=A491,Data!B:B=$B$1),""MIDDLE"")*6)+(COUNTIF(FILTER(Data!N:N,Data!D:D=A491,Data!B:B=$B$1),""LOW"")*4))),"""")"),"")</f>
        <v/>
      </c>
      <c r="L491" s="136" t="str">
        <f>IFERROR(__xludf.DUMMYFUNCTION("IFERROR((FILTER(Data!P:P,Data!D:D=A491,Data!B:B=$B$1)),"""")"),"")</f>
        <v/>
      </c>
      <c r="M491" s="137" t="str">
        <f>IFERROR(__xludf.DUMMYFUNCTION("IFERROR((FILTER(Data!A:A,Data!D:D=A491,Data!B:B=$B$1)),"""")"),"")</f>
        <v/>
      </c>
      <c r="T491" s="52">
        <f>IFERROR(__xludf.DUMMYFUNCTION("((COUNTIF(FILTER(Data!N:N,Data!D:D=A491,Data!B:B=$B$1),""TRAVERSE"")*15)+(COUNTIF(FILTER(Data!N:N,Data!D:D=A491,Data!B:B=B$1),""HIGH"")*10)+(COUNTIF(FILTER(Data!N:N,Data!D:D=A491,Data!B:B=$B$1),""MIDDLE"")*6)+(COUNTIF(FILTER(Data!N:N,Data!D:D=A491,Data!B:"&amp;"B=$B$1),""LOW"")*4))"),0.0)</f>
        <v>0</v>
      </c>
      <c r="V491" s="138" t="str">
        <f>IF(Data!B483='Team Parser'!$B$1, Data!D483,"")</f>
        <v/>
      </c>
      <c r="W491" s="134" t="str">
        <f>IF(Data!$B483='Team Parser'!$B$1, Data!H483,"")</f>
        <v/>
      </c>
      <c r="X491" s="134" t="str">
        <f>IF(Data!$B483='Team Parser'!$B$1, Data!G483,"")</f>
        <v/>
      </c>
      <c r="Y491" s="134" t="str">
        <f>IF(Data!$B483='Team Parser'!$B$1, Data!L483,"")</f>
        <v/>
      </c>
      <c r="Z491" s="134" t="str">
        <f>IF(Data!$B483='Team Parser'!$B$1, Data!K483,"")</f>
        <v/>
      </c>
      <c r="AA491" s="134" t="str">
        <f>IF(Data!$B483='Team Parser'!$B$1, Data!M483,"")</f>
        <v/>
      </c>
      <c r="AB491" s="134" t="str">
        <f>IF(Data!$B483='Team Parser'!$B$1,((Z491*2)+(Y491)+(X491*4)+(W491*2)),"")</f>
        <v/>
      </c>
      <c r="AC491" s="134" t="str">
        <f>IF(Data!$B483='Team Parser'!$B$1, Data!N483,"")</f>
        <v/>
      </c>
      <c r="AD491" s="139" t="str">
        <f>IF(Data!$B483='Team Parser'!$B$1,(AB491+(COUNTIF(AC491,"TRAVERSE")*15)+(COUNTIF(AC491,"HIGH")*10)+(COUNTIF(AC491,"MIDDLE")*6)+(COUNTIF(AC491,"LOW")*4)),"")</f>
        <v/>
      </c>
    </row>
    <row r="492">
      <c r="A492" s="141" t="s">
        <v>507</v>
      </c>
      <c r="B492" s="134" t="str">
        <f>IFERROR(__xludf.DUMMYFUNCTION("IFERROR((FILTER(Data!H:H,Data!D:D=A492,Data!B:B=$B$1)),"""")"),"")</f>
        <v/>
      </c>
      <c r="C492" s="134" t="str">
        <f>IFERROR(__xludf.DUMMYFUNCTION("IFERROR((FILTER(Data!G:G,Data!D:D=A492,Data!B:B=$B$1)),"""")"),"")</f>
        <v/>
      </c>
      <c r="D492" s="134" t="str">
        <f>IFERROR(__xludf.DUMMYFUNCTION("IFERROR((FILTER(Data!J:J,Data!D:D=A492,Data!B:B=$B$1)),"""")"),"")</f>
        <v/>
      </c>
      <c r="E492" s="134" t="str">
        <f>IFERROR(__xludf.DUMMYFUNCTION("IFERROR((FILTER(Data!L:L,Data!D:D=A492,Data!B:B=$B$1)),"""")"),"")</f>
        <v/>
      </c>
      <c r="F492" s="134" t="str">
        <f>IFERROR(__xludf.DUMMYFUNCTION("IFERROR((FILTER(Data!K:K,Data!D:D=A492,Data!B:B=$B$1)),"""")"),"")</f>
        <v/>
      </c>
      <c r="G492" s="134" t="str">
        <f>IFERROR(__xludf.DUMMYFUNCTION("IFERROR((FILTER(Data!M:M,Data!D:D=A492,Data!B:B=$B$1)),"""")"),"")</f>
        <v/>
      </c>
      <c r="H492" s="134" t="str">
        <f>IFERROR(__xludf.DUMMYFUNCTION("IFERROR((FILTER(Data!G:G,Data!D:D=A492,Data!B:B=$B$1)*4)+(FILTER(Data!H:H,Data!D:D=A492,Data!B:B=$B$1)*2),"""")"),"")</f>
        <v/>
      </c>
      <c r="I492" s="15" t="str">
        <f>IFERROR(__xludf.DUMMYFUNCTION("IFERROR((FILTER(Data!K:K,Data!D:D=A492,Data!B:B=$B$1)*2)+(FILTER(Data!L:L,Data!D:D=A492,Data!B:B=$B$1)),"""")"),"")</f>
        <v/>
      </c>
      <c r="J492" s="134" t="str">
        <f>IFERROR(__xludf.DUMMYFUNCTION("IFERROR((FILTER(Data!N:N,Data!D:D=A492,Data!B:B=$B$1)),"""")"),"")</f>
        <v/>
      </c>
      <c r="K492" s="135" t="str">
        <f>IFERROR(__xludf.DUMMYFUNCTION("IFERROR((FILTER(Data!H:H,Data!D:D=A492,Data!B:B=$B$1)*2)+(FILTER(Data!L:L,Data!D:D=A492,Data!B:B=$B$1))+(FILTER(Data!G:G,Data!D:D=A492,Data!B:B=$B$1)*4)+(FILTER(Data!K:K,Data!D:D=A492,Data!B:B=$B$1)*2)+(((COUNTIF(FILTER(Data!N:N,Data!D:D=A492,Data!B:B=$B$"&amp;"1),""TRAVERSE"")*15)+(COUNTIF(FILTER(Data!N:N,Data!D:D=A492,Data!B:B=$B$1),""HIGH"")*10)+(COUNTIF(FILTER(Data!N:N,Data!D:D=A492,Data!B:B=$B$1),""MIDDLE"")*6)+(COUNTIF(FILTER(Data!N:N,Data!D:D=A492,Data!B:B=$B$1),""LOW"")*4))),"""")"),"")</f>
        <v/>
      </c>
      <c r="L492" s="136" t="str">
        <f>IFERROR(__xludf.DUMMYFUNCTION("IFERROR((FILTER(Data!P:P,Data!D:D=A492,Data!B:B=$B$1)),"""")"),"")</f>
        <v/>
      </c>
      <c r="M492" s="137" t="str">
        <f>IFERROR(__xludf.DUMMYFUNCTION("IFERROR((FILTER(Data!A:A,Data!D:D=A492,Data!B:B=$B$1)),"""")"),"")</f>
        <v/>
      </c>
      <c r="T492" s="52">
        <f>IFERROR(__xludf.DUMMYFUNCTION("((COUNTIF(FILTER(Data!N:N,Data!D:D=A492,Data!B:B=$B$1),""TRAVERSE"")*15)+(COUNTIF(FILTER(Data!N:N,Data!D:D=A492,Data!B:B=B$1),""HIGH"")*10)+(COUNTIF(FILTER(Data!N:N,Data!D:D=A492,Data!B:B=$B$1),""MIDDLE"")*6)+(COUNTIF(FILTER(Data!N:N,Data!D:D=A492,Data!B:"&amp;"B=$B$1),""LOW"")*4))"),0.0)</f>
        <v>0</v>
      </c>
      <c r="V492" s="138" t="str">
        <f>IF(Data!B484='Team Parser'!$B$1, Data!D484,"")</f>
        <v/>
      </c>
      <c r="W492" s="134" t="str">
        <f>IF(Data!$B484='Team Parser'!$B$1, Data!H484,"")</f>
        <v/>
      </c>
      <c r="X492" s="134" t="str">
        <f>IF(Data!$B484='Team Parser'!$B$1, Data!G484,"")</f>
        <v/>
      </c>
      <c r="Y492" s="134" t="str">
        <f>IF(Data!$B484='Team Parser'!$B$1, Data!L484,"")</f>
        <v/>
      </c>
      <c r="Z492" s="134" t="str">
        <f>IF(Data!$B484='Team Parser'!$B$1, Data!K484,"")</f>
        <v/>
      </c>
      <c r="AA492" s="134" t="str">
        <f>IF(Data!$B484='Team Parser'!$B$1, Data!M484,"")</f>
        <v/>
      </c>
      <c r="AB492" s="134" t="str">
        <f>IF(Data!$B484='Team Parser'!$B$1,((Z492*2)+(Y492)+(X492*4)+(W492*2)),"")</f>
        <v/>
      </c>
      <c r="AC492" s="134" t="str">
        <f>IF(Data!$B484='Team Parser'!$B$1, Data!N484,"")</f>
        <v/>
      </c>
      <c r="AD492" s="139" t="str">
        <f>IF(Data!$B484='Team Parser'!$B$1,(AB492+(COUNTIF(AC492,"TRAVERSE")*15)+(COUNTIF(AC492,"HIGH")*10)+(COUNTIF(AC492,"MIDDLE")*6)+(COUNTIF(AC492,"LOW")*4)),"")</f>
        <v/>
      </c>
    </row>
    <row r="493">
      <c r="A493" s="141" t="s">
        <v>507</v>
      </c>
      <c r="B493" s="134" t="str">
        <f>IFERROR(__xludf.DUMMYFUNCTION("IFERROR((FILTER(Data!H:H,Data!D:D=A493,Data!B:B=$B$1)),"""")"),"")</f>
        <v/>
      </c>
      <c r="C493" s="134" t="str">
        <f>IFERROR(__xludf.DUMMYFUNCTION("IFERROR((FILTER(Data!G:G,Data!D:D=A493,Data!B:B=$B$1)),"""")"),"")</f>
        <v/>
      </c>
      <c r="D493" s="134" t="str">
        <f>IFERROR(__xludf.DUMMYFUNCTION("IFERROR((FILTER(Data!J:J,Data!D:D=A493,Data!B:B=$B$1)),"""")"),"")</f>
        <v/>
      </c>
      <c r="E493" s="134" t="str">
        <f>IFERROR(__xludf.DUMMYFUNCTION("IFERROR((FILTER(Data!L:L,Data!D:D=A493,Data!B:B=$B$1)),"""")"),"")</f>
        <v/>
      </c>
      <c r="F493" s="134" t="str">
        <f>IFERROR(__xludf.DUMMYFUNCTION("IFERROR((FILTER(Data!K:K,Data!D:D=A493,Data!B:B=$B$1)),"""")"),"")</f>
        <v/>
      </c>
      <c r="G493" s="134" t="str">
        <f>IFERROR(__xludf.DUMMYFUNCTION("IFERROR((FILTER(Data!M:M,Data!D:D=A493,Data!B:B=$B$1)),"""")"),"")</f>
        <v/>
      </c>
      <c r="H493" s="134" t="str">
        <f>IFERROR(__xludf.DUMMYFUNCTION("IFERROR((FILTER(Data!G:G,Data!D:D=A493,Data!B:B=$B$1)*4)+(FILTER(Data!H:H,Data!D:D=A493,Data!B:B=$B$1)*2),"""")"),"")</f>
        <v/>
      </c>
      <c r="I493" s="15" t="str">
        <f>IFERROR(__xludf.DUMMYFUNCTION("IFERROR((FILTER(Data!K:K,Data!D:D=A493,Data!B:B=$B$1)*2)+(FILTER(Data!L:L,Data!D:D=A493,Data!B:B=$B$1)),"""")"),"")</f>
        <v/>
      </c>
      <c r="J493" s="134" t="str">
        <f>IFERROR(__xludf.DUMMYFUNCTION("IFERROR((FILTER(Data!N:N,Data!D:D=A493,Data!B:B=$B$1)),"""")"),"")</f>
        <v/>
      </c>
      <c r="K493" s="135" t="str">
        <f>IFERROR(__xludf.DUMMYFUNCTION("IFERROR((FILTER(Data!H:H,Data!D:D=A493,Data!B:B=$B$1)*2)+(FILTER(Data!L:L,Data!D:D=A493,Data!B:B=$B$1))+(FILTER(Data!G:G,Data!D:D=A493,Data!B:B=$B$1)*4)+(FILTER(Data!K:K,Data!D:D=A493,Data!B:B=$B$1)*2)+(((COUNTIF(FILTER(Data!N:N,Data!D:D=A493,Data!B:B=$B$"&amp;"1),""TRAVERSE"")*15)+(COUNTIF(FILTER(Data!N:N,Data!D:D=A493,Data!B:B=$B$1),""HIGH"")*10)+(COUNTIF(FILTER(Data!N:N,Data!D:D=A493,Data!B:B=$B$1),""MIDDLE"")*6)+(COUNTIF(FILTER(Data!N:N,Data!D:D=A493,Data!B:B=$B$1),""LOW"")*4))),"""")"),"")</f>
        <v/>
      </c>
      <c r="L493" s="136" t="str">
        <f>IFERROR(__xludf.DUMMYFUNCTION("IFERROR((FILTER(Data!P:P,Data!D:D=A493,Data!B:B=$B$1)),"""")"),"")</f>
        <v/>
      </c>
      <c r="M493" s="137" t="str">
        <f>IFERROR(__xludf.DUMMYFUNCTION("IFERROR((FILTER(Data!A:A,Data!D:D=A493,Data!B:B=$B$1)),"""")"),"")</f>
        <v/>
      </c>
      <c r="T493" s="52">
        <f>IFERROR(__xludf.DUMMYFUNCTION("((COUNTIF(FILTER(Data!N:N,Data!D:D=A493,Data!B:B=$B$1),""TRAVERSE"")*15)+(COUNTIF(FILTER(Data!N:N,Data!D:D=A493,Data!B:B=B$1),""HIGH"")*10)+(COUNTIF(FILTER(Data!N:N,Data!D:D=A493,Data!B:B=$B$1),""MIDDLE"")*6)+(COUNTIF(FILTER(Data!N:N,Data!D:D=A493,Data!B:"&amp;"B=$B$1),""LOW"")*4))"),0.0)</f>
        <v>0</v>
      </c>
      <c r="V493" s="138" t="str">
        <f>IF(Data!B485='Team Parser'!$B$1, Data!D485,"")</f>
        <v/>
      </c>
      <c r="W493" s="134" t="str">
        <f>IF(Data!$B485='Team Parser'!$B$1, Data!H485,"")</f>
        <v/>
      </c>
      <c r="X493" s="134" t="str">
        <f>IF(Data!$B485='Team Parser'!$B$1, Data!G485,"")</f>
        <v/>
      </c>
      <c r="Y493" s="134" t="str">
        <f>IF(Data!$B485='Team Parser'!$B$1, Data!L485,"")</f>
        <v/>
      </c>
      <c r="Z493" s="134" t="str">
        <f>IF(Data!$B485='Team Parser'!$B$1, Data!K485,"")</f>
        <v/>
      </c>
      <c r="AA493" s="134" t="str">
        <f>IF(Data!$B485='Team Parser'!$B$1, Data!M485,"")</f>
        <v/>
      </c>
      <c r="AB493" s="134" t="str">
        <f>IF(Data!$B485='Team Parser'!$B$1,((Z493*2)+(Y493)+(X493*4)+(W493*2)),"")</f>
        <v/>
      </c>
      <c r="AC493" s="134" t="str">
        <f>IF(Data!$B485='Team Parser'!$B$1, Data!N485,"")</f>
        <v/>
      </c>
      <c r="AD493" s="139" t="str">
        <f>IF(Data!$B485='Team Parser'!$B$1,(AB493+(COUNTIF(AC493,"TRAVERSE")*15)+(COUNTIF(AC493,"HIGH")*10)+(COUNTIF(AC493,"MIDDLE")*6)+(COUNTIF(AC493,"LOW")*4)),"")</f>
        <v/>
      </c>
    </row>
    <row r="494">
      <c r="A494" s="141" t="s">
        <v>507</v>
      </c>
      <c r="B494" s="134" t="str">
        <f>IFERROR(__xludf.DUMMYFUNCTION("IFERROR((FILTER(Data!H:H,Data!D:D=A494,Data!B:B=$B$1)),"""")"),"")</f>
        <v/>
      </c>
      <c r="C494" s="134" t="str">
        <f>IFERROR(__xludf.DUMMYFUNCTION("IFERROR((FILTER(Data!G:G,Data!D:D=A494,Data!B:B=$B$1)),"""")"),"")</f>
        <v/>
      </c>
      <c r="D494" s="134" t="str">
        <f>IFERROR(__xludf.DUMMYFUNCTION("IFERROR((FILTER(Data!J:J,Data!D:D=A494,Data!B:B=$B$1)),"""")"),"")</f>
        <v/>
      </c>
      <c r="E494" s="134" t="str">
        <f>IFERROR(__xludf.DUMMYFUNCTION("IFERROR((FILTER(Data!L:L,Data!D:D=A494,Data!B:B=$B$1)),"""")"),"")</f>
        <v/>
      </c>
      <c r="F494" s="134" t="str">
        <f>IFERROR(__xludf.DUMMYFUNCTION("IFERROR((FILTER(Data!K:K,Data!D:D=A494,Data!B:B=$B$1)),"""")"),"")</f>
        <v/>
      </c>
      <c r="G494" s="134" t="str">
        <f>IFERROR(__xludf.DUMMYFUNCTION("IFERROR((FILTER(Data!M:M,Data!D:D=A494,Data!B:B=$B$1)),"""")"),"")</f>
        <v/>
      </c>
      <c r="H494" s="134" t="str">
        <f>IFERROR(__xludf.DUMMYFUNCTION("IFERROR((FILTER(Data!G:G,Data!D:D=A494,Data!B:B=$B$1)*4)+(FILTER(Data!H:H,Data!D:D=A494,Data!B:B=$B$1)*2),"""")"),"")</f>
        <v/>
      </c>
      <c r="I494" s="15" t="str">
        <f>IFERROR(__xludf.DUMMYFUNCTION("IFERROR((FILTER(Data!K:K,Data!D:D=A494,Data!B:B=$B$1)*2)+(FILTER(Data!L:L,Data!D:D=A494,Data!B:B=$B$1)),"""")"),"")</f>
        <v/>
      </c>
      <c r="J494" s="134" t="str">
        <f>IFERROR(__xludf.DUMMYFUNCTION("IFERROR((FILTER(Data!N:N,Data!D:D=A494,Data!B:B=$B$1)),"""")"),"")</f>
        <v/>
      </c>
      <c r="K494" s="135" t="str">
        <f>IFERROR(__xludf.DUMMYFUNCTION("IFERROR((FILTER(Data!H:H,Data!D:D=A494,Data!B:B=$B$1)*2)+(FILTER(Data!L:L,Data!D:D=A494,Data!B:B=$B$1))+(FILTER(Data!G:G,Data!D:D=A494,Data!B:B=$B$1)*4)+(FILTER(Data!K:K,Data!D:D=A494,Data!B:B=$B$1)*2)+(((COUNTIF(FILTER(Data!N:N,Data!D:D=A494,Data!B:B=$B$"&amp;"1),""TRAVERSE"")*15)+(COUNTIF(FILTER(Data!N:N,Data!D:D=A494,Data!B:B=$B$1),""HIGH"")*10)+(COUNTIF(FILTER(Data!N:N,Data!D:D=A494,Data!B:B=$B$1),""MIDDLE"")*6)+(COUNTIF(FILTER(Data!N:N,Data!D:D=A494,Data!B:B=$B$1),""LOW"")*4))),"""")"),"")</f>
        <v/>
      </c>
      <c r="L494" s="136" t="str">
        <f>IFERROR(__xludf.DUMMYFUNCTION("IFERROR((FILTER(Data!P:P,Data!D:D=A494,Data!B:B=$B$1)),"""")"),"")</f>
        <v/>
      </c>
      <c r="M494" s="137" t="str">
        <f>IFERROR(__xludf.DUMMYFUNCTION("IFERROR((FILTER(Data!A:A,Data!D:D=A494,Data!B:B=$B$1)),"""")"),"")</f>
        <v/>
      </c>
      <c r="T494" s="52">
        <f>IFERROR(__xludf.DUMMYFUNCTION("((COUNTIF(FILTER(Data!N:N,Data!D:D=A494,Data!B:B=$B$1),""TRAVERSE"")*15)+(COUNTIF(FILTER(Data!N:N,Data!D:D=A494,Data!B:B=B$1),""HIGH"")*10)+(COUNTIF(FILTER(Data!N:N,Data!D:D=A494,Data!B:B=$B$1),""MIDDLE"")*6)+(COUNTIF(FILTER(Data!N:N,Data!D:D=A494,Data!B:"&amp;"B=$B$1),""LOW"")*4))"),0.0)</f>
        <v>0</v>
      </c>
      <c r="V494" s="138" t="str">
        <f>IF(Data!B486='Team Parser'!$B$1, Data!D486,"")</f>
        <v/>
      </c>
      <c r="W494" s="134" t="str">
        <f>IF(Data!$B486='Team Parser'!$B$1, Data!H486,"")</f>
        <v/>
      </c>
      <c r="X494" s="134" t="str">
        <f>IF(Data!$B486='Team Parser'!$B$1, Data!G486,"")</f>
        <v/>
      </c>
      <c r="Y494" s="134" t="str">
        <f>IF(Data!$B486='Team Parser'!$B$1, Data!L486,"")</f>
        <v/>
      </c>
      <c r="Z494" s="134" t="str">
        <f>IF(Data!$B486='Team Parser'!$B$1, Data!K486,"")</f>
        <v/>
      </c>
      <c r="AA494" s="134" t="str">
        <f>IF(Data!$B486='Team Parser'!$B$1, Data!M486,"")</f>
        <v/>
      </c>
      <c r="AB494" s="134" t="str">
        <f>IF(Data!$B486='Team Parser'!$B$1,((Z494*2)+(Y494)+(X494*4)+(W494*2)),"")</f>
        <v/>
      </c>
      <c r="AC494" s="134" t="str">
        <f>IF(Data!$B486='Team Parser'!$B$1, Data!N486,"")</f>
        <v/>
      </c>
      <c r="AD494" s="139" t="str">
        <f>IF(Data!$B486='Team Parser'!$B$1,(AB494+(COUNTIF(AC494,"TRAVERSE")*15)+(COUNTIF(AC494,"HIGH")*10)+(COUNTIF(AC494,"MIDDLE")*6)+(COUNTIF(AC494,"LOW")*4)),"")</f>
        <v/>
      </c>
    </row>
    <row r="495">
      <c r="A495" s="141" t="s">
        <v>507</v>
      </c>
      <c r="B495" s="134" t="str">
        <f>IFERROR(__xludf.DUMMYFUNCTION("IFERROR((FILTER(Data!H:H,Data!D:D=A495,Data!B:B=$B$1)),"""")"),"")</f>
        <v/>
      </c>
      <c r="C495" s="134" t="str">
        <f>IFERROR(__xludf.DUMMYFUNCTION("IFERROR((FILTER(Data!G:G,Data!D:D=A495,Data!B:B=$B$1)),"""")"),"")</f>
        <v/>
      </c>
      <c r="D495" s="134" t="str">
        <f>IFERROR(__xludf.DUMMYFUNCTION("IFERROR((FILTER(Data!J:J,Data!D:D=A495,Data!B:B=$B$1)),"""")"),"")</f>
        <v/>
      </c>
      <c r="E495" s="134" t="str">
        <f>IFERROR(__xludf.DUMMYFUNCTION("IFERROR((FILTER(Data!L:L,Data!D:D=A495,Data!B:B=$B$1)),"""")"),"")</f>
        <v/>
      </c>
      <c r="F495" s="134" t="str">
        <f>IFERROR(__xludf.DUMMYFUNCTION("IFERROR((FILTER(Data!K:K,Data!D:D=A495,Data!B:B=$B$1)),"""")"),"")</f>
        <v/>
      </c>
      <c r="G495" s="134" t="str">
        <f>IFERROR(__xludf.DUMMYFUNCTION("IFERROR((FILTER(Data!M:M,Data!D:D=A495,Data!B:B=$B$1)),"""")"),"")</f>
        <v/>
      </c>
      <c r="H495" s="134" t="str">
        <f>IFERROR(__xludf.DUMMYFUNCTION("IFERROR((FILTER(Data!G:G,Data!D:D=A495,Data!B:B=$B$1)*4)+(FILTER(Data!H:H,Data!D:D=A495,Data!B:B=$B$1)*2),"""")"),"")</f>
        <v/>
      </c>
      <c r="I495" s="15" t="str">
        <f>IFERROR(__xludf.DUMMYFUNCTION("IFERROR((FILTER(Data!K:K,Data!D:D=A495,Data!B:B=$B$1)*2)+(FILTER(Data!L:L,Data!D:D=A495,Data!B:B=$B$1)),"""")"),"")</f>
        <v/>
      </c>
      <c r="J495" s="134" t="str">
        <f>IFERROR(__xludf.DUMMYFUNCTION("IFERROR((FILTER(Data!N:N,Data!D:D=A495,Data!B:B=$B$1)),"""")"),"")</f>
        <v/>
      </c>
      <c r="K495" s="135" t="str">
        <f>IFERROR(__xludf.DUMMYFUNCTION("IFERROR((FILTER(Data!H:H,Data!D:D=A495,Data!B:B=$B$1)*2)+(FILTER(Data!L:L,Data!D:D=A495,Data!B:B=$B$1))+(FILTER(Data!G:G,Data!D:D=A495,Data!B:B=$B$1)*4)+(FILTER(Data!K:K,Data!D:D=A495,Data!B:B=$B$1)*2)+(((COUNTIF(FILTER(Data!N:N,Data!D:D=A495,Data!B:B=$B$"&amp;"1),""TRAVERSE"")*15)+(COUNTIF(FILTER(Data!N:N,Data!D:D=A495,Data!B:B=$B$1),""HIGH"")*10)+(COUNTIF(FILTER(Data!N:N,Data!D:D=A495,Data!B:B=$B$1),""MIDDLE"")*6)+(COUNTIF(FILTER(Data!N:N,Data!D:D=A495,Data!B:B=$B$1),""LOW"")*4))),"""")"),"")</f>
        <v/>
      </c>
      <c r="L495" s="136" t="str">
        <f>IFERROR(__xludf.DUMMYFUNCTION("IFERROR((FILTER(Data!P:P,Data!D:D=A495,Data!B:B=$B$1)),"""")"),"")</f>
        <v/>
      </c>
      <c r="M495" s="137" t="str">
        <f>IFERROR(__xludf.DUMMYFUNCTION("IFERROR((FILTER(Data!A:A,Data!D:D=A495,Data!B:B=$B$1)),"""")"),"")</f>
        <v/>
      </c>
      <c r="T495" s="52">
        <f>IFERROR(__xludf.DUMMYFUNCTION("((COUNTIF(FILTER(Data!N:N,Data!D:D=A495,Data!B:B=$B$1),""TRAVERSE"")*15)+(COUNTIF(FILTER(Data!N:N,Data!D:D=A495,Data!B:B=B$1),""HIGH"")*10)+(COUNTIF(FILTER(Data!N:N,Data!D:D=A495,Data!B:B=$B$1),""MIDDLE"")*6)+(COUNTIF(FILTER(Data!N:N,Data!D:D=A495,Data!B:"&amp;"B=$B$1),""LOW"")*4))"),0.0)</f>
        <v>0</v>
      </c>
      <c r="V495" s="138" t="str">
        <f>IF(Data!B487='Team Parser'!$B$1, Data!D487,"")</f>
        <v/>
      </c>
      <c r="W495" s="134" t="str">
        <f>IF(Data!$B487='Team Parser'!$B$1, Data!H487,"")</f>
        <v/>
      </c>
      <c r="X495" s="134" t="str">
        <f>IF(Data!$B487='Team Parser'!$B$1, Data!G487,"")</f>
        <v/>
      </c>
      <c r="Y495" s="134" t="str">
        <f>IF(Data!$B487='Team Parser'!$B$1, Data!L487,"")</f>
        <v/>
      </c>
      <c r="Z495" s="134" t="str">
        <f>IF(Data!$B487='Team Parser'!$B$1, Data!K487,"")</f>
        <v/>
      </c>
      <c r="AA495" s="134" t="str">
        <f>IF(Data!$B487='Team Parser'!$B$1, Data!M487,"")</f>
        <v/>
      </c>
      <c r="AB495" s="134" t="str">
        <f>IF(Data!$B487='Team Parser'!$B$1,((Z495*2)+(Y495)+(X495*4)+(W495*2)),"")</f>
        <v/>
      </c>
      <c r="AC495" s="134" t="str">
        <f>IF(Data!$B487='Team Parser'!$B$1, Data!N487,"")</f>
        <v/>
      </c>
      <c r="AD495" s="139" t="str">
        <f>IF(Data!$B487='Team Parser'!$B$1,(AB495+(COUNTIF(AC495,"TRAVERSE")*15)+(COUNTIF(AC495,"HIGH")*10)+(COUNTIF(AC495,"MIDDLE")*6)+(COUNTIF(AC495,"LOW")*4)),"")</f>
        <v/>
      </c>
    </row>
    <row r="496">
      <c r="A496" s="141" t="s">
        <v>507</v>
      </c>
      <c r="B496" s="134" t="str">
        <f>IFERROR(__xludf.DUMMYFUNCTION("IFERROR((FILTER(Data!H:H,Data!D:D=A496,Data!B:B=$B$1)),"""")"),"")</f>
        <v/>
      </c>
      <c r="C496" s="134" t="str">
        <f>IFERROR(__xludf.DUMMYFUNCTION("IFERROR((FILTER(Data!G:G,Data!D:D=A496,Data!B:B=$B$1)),"""")"),"")</f>
        <v/>
      </c>
      <c r="D496" s="134" t="str">
        <f>IFERROR(__xludf.DUMMYFUNCTION("IFERROR((FILTER(Data!J:J,Data!D:D=A496,Data!B:B=$B$1)),"""")"),"")</f>
        <v/>
      </c>
      <c r="E496" s="134" t="str">
        <f>IFERROR(__xludf.DUMMYFUNCTION("IFERROR((FILTER(Data!L:L,Data!D:D=A496,Data!B:B=$B$1)),"""")"),"")</f>
        <v/>
      </c>
      <c r="F496" s="134" t="str">
        <f>IFERROR(__xludf.DUMMYFUNCTION("IFERROR((FILTER(Data!K:K,Data!D:D=A496,Data!B:B=$B$1)),"""")"),"")</f>
        <v/>
      </c>
      <c r="G496" s="134" t="str">
        <f>IFERROR(__xludf.DUMMYFUNCTION("IFERROR((FILTER(Data!M:M,Data!D:D=A496,Data!B:B=$B$1)),"""")"),"")</f>
        <v/>
      </c>
      <c r="H496" s="134" t="str">
        <f>IFERROR(__xludf.DUMMYFUNCTION("IFERROR((FILTER(Data!G:G,Data!D:D=A496,Data!B:B=$B$1)*4)+(FILTER(Data!H:H,Data!D:D=A496,Data!B:B=$B$1)*2),"""")"),"")</f>
        <v/>
      </c>
      <c r="I496" s="15" t="str">
        <f>IFERROR(__xludf.DUMMYFUNCTION("IFERROR((FILTER(Data!K:K,Data!D:D=A496,Data!B:B=$B$1)*2)+(FILTER(Data!L:L,Data!D:D=A496,Data!B:B=$B$1)),"""")"),"")</f>
        <v/>
      </c>
      <c r="J496" s="134" t="str">
        <f>IFERROR(__xludf.DUMMYFUNCTION("IFERROR((FILTER(Data!N:N,Data!D:D=A496,Data!B:B=$B$1)),"""")"),"")</f>
        <v/>
      </c>
      <c r="K496" s="135" t="str">
        <f>IFERROR(__xludf.DUMMYFUNCTION("IFERROR((FILTER(Data!H:H,Data!D:D=A496,Data!B:B=$B$1)*2)+(FILTER(Data!L:L,Data!D:D=A496,Data!B:B=$B$1))+(FILTER(Data!G:G,Data!D:D=A496,Data!B:B=$B$1)*4)+(FILTER(Data!K:K,Data!D:D=A496,Data!B:B=$B$1)*2)+(((COUNTIF(FILTER(Data!N:N,Data!D:D=A496,Data!B:B=$B$"&amp;"1),""TRAVERSE"")*15)+(COUNTIF(FILTER(Data!N:N,Data!D:D=A496,Data!B:B=$B$1),""HIGH"")*10)+(COUNTIF(FILTER(Data!N:N,Data!D:D=A496,Data!B:B=$B$1),""MIDDLE"")*6)+(COUNTIF(FILTER(Data!N:N,Data!D:D=A496,Data!B:B=$B$1),""LOW"")*4))),"""")"),"")</f>
        <v/>
      </c>
      <c r="L496" s="136" t="str">
        <f>IFERROR(__xludf.DUMMYFUNCTION("IFERROR((FILTER(Data!P:P,Data!D:D=A496,Data!B:B=$B$1)),"""")"),"")</f>
        <v/>
      </c>
      <c r="M496" s="137" t="str">
        <f>IFERROR(__xludf.DUMMYFUNCTION("IFERROR((FILTER(Data!A:A,Data!D:D=A496,Data!B:B=$B$1)),"""")"),"")</f>
        <v/>
      </c>
      <c r="T496" s="52">
        <f>IFERROR(__xludf.DUMMYFUNCTION("((COUNTIF(FILTER(Data!N:N,Data!D:D=A496,Data!B:B=$B$1),""TRAVERSE"")*15)+(COUNTIF(FILTER(Data!N:N,Data!D:D=A496,Data!B:B=B$1),""HIGH"")*10)+(COUNTIF(FILTER(Data!N:N,Data!D:D=A496,Data!B:B=$B$1),""MIDDLE"")*6)+(COUNTIF(FILTER(Data!N:N,Data!D:D=A496,Data!B:"&amp;"B=$B$1),""LOW"")*4))"),0.0)</f>
        <v>0</v>
      </c>
      <c r="V496" s="138" t="str">
        <f>IF(Data!B488='Team Parser'!$B$1, Data!D488,"")</f>
        <v/>
      </c>
      <c r="W496" s="134" t="str">
        <f>IF(Data!$B488='Team Parser'!$B$1, Data!H488,"")</f>
        <v/>
      </c>
      <c r="X496" s="134" t="str">
        <f>IF(Data!$B488='Team Parser'!$B$1, Data!G488,"")</f>
        <v/>
      </c>
      <c r="Y496" s="134" t="str">
        <f>IF(Data!$B488='Team Parser'!$B$1, Data!L488,"")</f>
        <v/>
      </c>
      <c r="Z496" s="134" t="str">
        <f>IF(Data!$B488='Team Parser'!$B$1, Data!K488,"")</f>
        <v/>
      </c>
      <c r="AA496" s="134" t="str">
        <f>IF(Data!$B488='Team Parser'!$B$1, Data!M488,"")</f>
        <v/>
      </c>
      <c r="AB496" s="134" t="str">
        <f>IF(Data!$B488='Team Parser'!$B$1,((Z496*2)+(Y496)+(X496*4)+(W496*2)),"")</f>
        <v/>
      </c>
      <c r="AC496" s="134" t="str">
        <f>IF(Data!$B488='Team Parser'!$B$1, Data!N488,"")</f>
        <v/>
      </c>
      <c r="AD496" s="139" t="str">
        <f>IF(Data!$B488='Team Parser'!$B$1,(AB496+(COUNTIF(AC496,"TRAVERSE")*15)+(COUNTIF(AC496,"HIGH")*10)+(COUNTIF(AC496,"MIDDLE")*6)+(COUNTIF(AC496,"LOW")*4)),"")</f>
        <v/>
      </c>
    </row>
    <row r="497">
      <c r="A497" s="141" t="s">
        <v>507</v>
      </c>
      <c r="B497" s="134" t="str">
        <f>IFERROR(__xludf.DUMMYFUNCTION("IFERROR((FILTER(Data!H:H,Data!D:D=A497,Data!B:B=$B$1)),"""")"),"")</f>
        <v/>
      </c>
      <c r="C497" s="134" t="str">
        <f>IFERROR(__xludf.DUMMYFUNCTION("IFERROR((FILTER(Data!G:G,Data!D:D=A497,Data!B:B=$B$1)),"""")"),"")</f>
        <v/>
      </c>
      <c r="D497" s="134" t="str">
        <f>IFERROR(__xludf.DUMMYFUNCTION("IFERROR((FILTER(Data!J:J,Data!D:D=A497,Data!B:B=$B$1)),"""")"),"")</f>
        <v/>
      </c>
      <c r="E497" s="134" t="str">
        <f>IFERROR(__xludf.DUMMYFUNCTION("IFERROR((FILTER(Data!L:L,Data!D:D=A497,Data!B:B=$B$1)),"""")"),"")</f>
        <v/>
      </c>
      <c r="F497" s="134" t="str">
        <f>IFERROR(__xludf.DUMMYFUNCTION("IFERROR((FILTER(Data!K:K,Data!D:D=A497,Data!B:B=$B$1)),"""")"),"")</f>
        <v/>
      </c>
      <c r="G497" s="134" t="str">
        <f>IFERROR(__xludf.DUMMYFUNCTION("IFERROR((FILTER(Data!M:M,Data!D:D=A497,Data!B:B=$B$1)),"""")"),"")</f>
        <v/>
      </c>
      <c r="H497" s="134" t="str">
        <f>IFERROR(__xludf.DUMMYFUNCTION("IFERROR((FILTER(Data!G:G,Data!D:D=A497,Data!B:B=$B$1)*4)+(FILTER(Data!H:H,Data!D:D=A497,Data!B:B=$B$1)*2),"""")"),"")</f>
        <v/>
      </c>
      <c r="I497" s="15" t="str">
        <f>IFERROR(__xludf.DUMMYFUNCTION("IFERROR((FILTER(Data!K:K,Data!D:D=A497,Data!B:B=$B$1)*2)+(FILTER(Data!L:L,Data!D:D=A497,Data!B:B=$B$1)),"""")"),"")</f>
        <v/>
      </c>
      <c r="J497" s="134" t="str">
        <f>IFERROR(__xludf.DUMMYFUNCTION("IFERROR((FILTER(Data!N:N,Data!D:D=A497,Data!B:B=$B$1)),"""")"),"")</f>
        <v/>
      </c>
      <c r="K497" s="135" t="str">
        <f>IFERROR(__xludf.DUMMYFUNCTION("IFERROR((FILTER(Data!H:H,Data!D:D=A497,Data!B:B=$B$1)*2)+(FILTER(Data!L:L,Data!D:D=A497,Data!B:B=$B$1))+(FILTER(Data!G:G,Data!D:D=A497,Data!B:B=$B$1)*4)+(FILTER(Data!K:K,Data!D:D=A497,Data!B:B=$B$1)*2)+(((COUNTIF(FILTER(Data!N:N,Data!D:D=A497,Data!B:B=$B$"&amp;"1),""TRAVERSE"")*15)+(COUNTIF(FILTER(Data!N:N,Data!D:D=A497,Data!B:B=$B$1),""HIGH"")*10)+(COUNTIF(FILTER(Data!N:N,Data!D:D=A497,Data!B:B=$B$1),""MIDDLE"")*6)+(COUNTIF(FILTER(Data!N:N,Data!D:D=A497,Data!B:B=$B$1),""LOW"")*4))),"""")"),"")</f>
        <v/>
      </c>
      <c r="L497" s="136" t="str">
        <f>IFERROR(__xludf.DUMMYFUNCTION("IFERROR((FILTER(Data!P:P,Data!D:D=A497,Data!B:B=$B$1)),"""")"),"")</f>
        <v/>
      </c>
      <c r="M497" s="137" t="str">
        <f>IFERROR(__xludf.DUMMYFUNCTION("IFERROR((FILTER(Data!A:A,Data!D:D=A497,Data!B:B=$B$1)),"""")"),"")</f>
        <v/>
      </c>
      <c r="T497" s="52">
        <f>IFERROR(__xludf.DUMMYFUNCTION("((COUNTIF(FILTER(Data!N:N,Data!D:D=A497,Data!B:B=$B$1),""TRAVERSE"")*15)+(COUNTIF(FILTER(Data!N:N,Data!D:D=A497,Data!B:B=B$1),""HIGH"")*10)+(COUNTIF(FILTER(Data!N:N,Data!D:D=A497,Data!B:B=$B$1),""MIDDLE"")*6)+(COUNTIF(FILTER(Data!N:N,Data!D:D=A497,Data!B:"&amp;"B=$B$1),""LOW"")*4))"),0.0)</f>
        <v>0</v>
      </c>
      <c r="V497" s="138" t="str">
        <f>IF(Data!B489='Team Parser'!$B$1, Data!D489,"")</f>
        <v/>
      </c>
      <c r="W497" s="134" t="str">
        <f>IF(Data!$B489='Team Parser'!$B$1, Data!H489,"")</f>
        <v/>
      </c>
      <c r="X497" s="134" t="str">
        <f>IF(Data!$B489='Team Parser'!$B$1, Data!G489,"")</f>
        <v/>
      </c>
      <c r="Y497" s="134" t="str">
        <f>IF(Data!$B489='Team Parser'!$B$1, Data!L489,"")</f>
        <v/>
      </c>
      <c r="Z497" s="134" t="str">
        <f>IF(Data!$B489='Team Parser'!$B$1, Data!K489,"")</f>
        <v/>
      </c>
      <c r="AA497" s="134" t="str">
        <f>IF(Data!$B489='Team Parser'!$B$1, Data!M489,"")</f>
        <v/>
      </c>
      <c r="AB497" s="134" t="str">
        <f>IF(Data!$B489='Team Parser'!$B$1,((Z497*2)+(Y497)+(X497*4)+(W497*2)),"")</f>
        <v/>
      </c>
      <c r="AC497" s="134" t="str">
        <f>IF(Data!$B489='Team Parser'!$B$1, Data!N489,"")</f>
        <v/>
      </c>
      <c r="AD497" s="139" t="str">
        <f>IF(Data!$B489='Team Parser'!$B$1,(AB497+(COUNTIF(AC497,"TRAVERSE")*15)+(COUNTIF(AC497,"HIGH")*10)+(COUNTIF(AC497,"MIDDLE")*6)+(COUNTIF(AC497,"LOW")*4)),"")</f>
        <v/>
      </c>
    </row>
    <row r="498">
      <c r="A498" s="141" t="s">
        <v>507</v>
      </c>
      <c r="B498" s="134" t="str">
        <f>IFERROR(__xludf.DUMMYFUNCTION("IFERROR((FILTER(Data!H:H,Data!D:D=A498,Data!B:B=$B$1)),"""")"),"")</f>
        <v/>
      </c>
      <c r="C498" s="134" t="str">
        <f>IFERROR(__xludf.DUMMYFUNCTION("IFERROR((FILTER(Data!G:G,Data!D:D=A498,Data!B:B=$B$1)),"""")"),"")</f>
        <v/>
      </c>
      <c r="D498" s="134" t="str">
        <f>IFERROR(__xludf.DUMMYFUNCTION("IFERROR((FILTER(Data!J:J,Data!D:D=A498,Data!B:B=$B$1)),"""")"),"")</f>
        <v/>
      </c>
      <c r="E498" s="134" t="str">
        <f>IFERROR(__xludf.DUMMYFUNCTION("IFERROR((FILTER(Data!L:L,Data!D:D=A498,Data!B:B=$B$1)),"""")"),"")</f>
        <v/>
      </c>
      <c r="F498" s="134" t="str">
        <f>IFERROR(__xludf.DUMMYFUNCTION("IFERROR((FILTER(Data!K:K,Data!D:D=A498,Data!B:B=$B$1)),"""")"),"")</f>
        <v/>
      </c>
      <c r="G498" s="134" t="str">
        <f>IFERROR(__xludf.DUMMYFUNCTION("IFERROR((FILTER(Data!M:M,Data!D:D=A498,Data!B:B=$B$1)),"""")"),"")</f>
        <v/>
      </c>
      <c r="H498" s="134" t="str">
        <f>IFERROR(__xludf.DUMMYFUNCTION("IFERROR((FILTER(Data!G:G,Data!D:D=A498,Data!B:B=$B$1)*4)+(FILTER(Data!H:H,Data!D:D=A498,Data!B:B=$B$1)*2),"""")"),"")</f>
        <v/>
      </c>
      <c r="I498" s="15" t="str">
        <f>IFERROR(__xludf.DUMMYFUNCTION("IFERROR((FILTER(Data!K:K,Data!D:D=A498,Data!B:B=$B$1)*2)+(FILTER(Data!L:L,Data!D:D=A498,Data!B:B=$B$1)),"""")"),"")</f>
        <v/>
      </c>
      <c r="J498" s="134" t="str">
        <f>IFERROR(__xludf.DUMMYFUNCTION("IFERROR((FILTER(Data!N:N,Data!D:D=A498,Data!B:B=$B$1)),"""")"),"")</f>
        <v/>
      </c>
      <c r="K498" s="135" t="str">
        <f>IFERROR(__xludf.DUMMYFUNCTION("IFERROR((FILTER(Data!H:H,Data!D:D=A498,Data!B:B=$B$1)*2)+(FILTER(Data!L:L,Data!D:D=A498,Data!B:B=$B$1))+(FILTER(Data!G:G,Data!D:D=A498,Data!B:B=$B$1)*4)+(FILTER(Data!K:K,Data!D:D=A498,Data!B:B=$B$1)*2)+(((COUNTIF(FILTER(Data!N:N,Data!D:D=A498,Data!B:B=$B$"&amp;"1),""TRAVERSE"")*15)+(COUNTIF(FILTER(Data!N:N,Data!D:D=A498,Data!B:B=$B$1),""HIGH"")*10)+(COUNTIF(FILTER(Data!N:N,Data!D:D=A498,Data!B:B=$B$1),""MIDDLE"")*6)+(COUNTIF(FILTER(Data!N:N,Data!D:D=A498,Data!B:B=$B$1),""LOW"")*4))),"""")"),"")</f>
        <v/>
      </c>
      <c r="L498" s="136" t="str">
        <f>IFERROR(__xludf.DUMMYFUNCTION("IFERROR((FILTER(Data!P:P,Data!D:D=A498,Data!B:B=$B$1)),"""")"),"")</f>
        <v/>
      </c>
      <c r="M498" s="137" t="str">
        <f>IFERROR(__xludf.DUMMYFUNCTION("IFERROR((FILTER(Data!A:A,Data!D:D=A498,Data!B:B=$B$1)),"""")"),"")</f>
        <v/>
      </c>
      <c r="T498" s="52">
        <f>IFERROR(__xludf.DUMMYFUNCTION("((COUNTIF(FILTER(Data!N:N,Data!D:D=A498,Data!B:B=$B$1),""TRAVERSE"")*15)+(COUNTIF(FILTER(Data!N:N,Data!D:D=A498,Data!B:B=B$1),""HIGH"")*10)+(COUNTIF(FILTER(Data!N:N,Data!D:D=A498,Data!B:B=$B$1),""MIDDLE"")*6)+(COUNTIF(FILTER(Data!N:N,Data!D:D=A498,Data!B:"&amp;"B=$B$1),""LOW"")*4))"),0.0)</f>
        <v>0</v>
      </c>
      <c r="V498" s="138" t="str">
        <f>IF(Data!B490='Team Parser'!$B$1, Data!D490,"")</f>
        <v/>
      </c>
      <c r="W498" s="134" t="str">
        <f>IF(Data!$B490='Team Parser'!$B$1, Data!H490,"")</f>
        <v/>
      </c>
      <c r="X498" s="134" t="str">
        <f>IF(Data!$B490='Team Parser'!$B$1, Data!G490,"")</f>
        <v/>
      </c>
      <c r="Y498" s="134" t="str">
        <f>IF(Data!$B490='Team Parser'!$B$1, Data!L490,"")</f>
        <v/>
      </c>
      <c r="Z498" s="134" t="str">
        <f>IF(Data!$B490='Team Parser'!$B$1, Data!K490,"")</f>
        <v/>
      </c>
      <c r="AA498" s="134" t="str">
        <f>IF(Data!$B490='Team Parser'!$B$1, Data!M490,"")</f>
        <v/>
      </c>
      <c r="AB498" s="134" t="str">
        <f>IF(Data!$B490='Team Parser'!$B$1,((Z498*2)+(Y498)+(X498*4)+(W498*2)),"")</f>
        <v/>
      </c>
      <c r="AC498" s="134" t="str">
        <f>IF(Data!$B490='Team Parser'!$B$1, Data!N490,"")</f>
        <v/>
      </c>
      <c r="AD498" s="139" t="str">
        <f>IF(Data!$B490='Team Parser'!$B$1,(AB498+(COUNTIF(AC498,"TRAVERSE")*15)+(COUNTIF(AC498,"HIGH")*10)+(COUNTIF(AC498,"MIDDLE")*6)+(COUNTIF(AC498,"LOW")*4)),"")</f>
        <v/>
      </c>
    </row>
    <row r="499">
      <c r="A499" s="141" t="s">
        <v>507</v>
      </c>
      <c r="B499" s="134" t="str">
        <f>IFERROR(__xludf.DUMMYFUNCTION("IFERROR((FILTER(Data!H:H,Data!D:D=A499,Data!B:B=$B$1)),"""")"),"")</f>
        <v/>
      </c>
      <c r="C499" s="134" t="str">
        <f>IFERROR(__xludf.DUMMYFUNCTION("IFERROR((FILTER(Data!G:G,Data!D:D=A499,Data!B:B=$B$1)),"""")"),"")</f>
        <v/>
      </c>
      <c r="D499" s="134" t="str">
        <f>IFERROR(__xludf.DUMMYFUNCTION("IFERROR((FILTER(Data!J:J,Data!D:D=A499,Data!B:B=$B$1)),"""")"),"")</f>
        <v/>
      </c>
      <c r="E499" s="134" t="str">
        <f>IFERROR(__xludf.DUMMYFUNCTION("IFERROR((FILTER(Data!L:L,Data!D:D=A499,Data!B:B=$B$1)),"""")"),"")</f>
        <v/>
      </c>
      <c r="F499" s="134" t="str">
        <f>IFERROR(__xludf.DUMMYFUNCTION("IFERROR((FILTER(Data!K:K,Data!D:D=A499,Data!B:B=$B$1)),"""")"),"")</f>
        <v/>
      </c>
      <c r="G499" s="134" t="str">
        <f>IFERROR(__xludf.DUMMYFUNCTION("IFERROR((FILTER(Data!M:M,Data!D:D=A499,Data!B:B=$B$1)),"""")"),"")</f>
        <v/>
      </c>
      <c r="H499" s="134" t="str">
        <f>IFERROR(__xludf.DUMMYFUNCTION("IFERROR((FILTER(Data!G:G,Data!D:D=A499,Data!B:B=$B$1)*4)+(FILTER(Data!H:H,Data!D:D=A499,Data!B:B=$B$1)*2),"""")"),"")</f>
        <v/>
      </c>
      <c r="I499" s="15" t="str">
        <f>IFERROR(__xludf.DUMMYFUNCTION("IFERROR((FILTER(Data!K:K,Data!D:D=A499,Data!B:B=$B$1)*2)+(FILTER(Data!L:L,Data!D:D=A499,Data!B:B=$B$1)),"""")"),"")</f>
        <v/>
      </c>
      <c r="J499" s="134" t="str">
        <f>IFERROR(__xludf.DUMMYFUNCTION("IFERROR((FILTER(Data!N:N,Data!D:D=A499,Data!B:B=$B$1)),"""")"),"")</f>
        <v/>
      </c>
      <c r="K499" s="135" t="str">
        <f>IFERROR(__xludf.DUMMYFUNCTION("IFERROR((FILTER(Data!H:H,Data!D:D=A499,Data!B:B=$B$1)*2)+(FILTER(Data!L:L,Data!D:D=A499,Data!B:B=$B$1))+(FILTER(Data!G:G,Data!D:D=A499,Data!B:B=$B$1)*4)+(FILTER(Data!K:K,Data!D:D=A499,Data!B:B=$B$1)*2)+(((COUNTIF(FILTER(Data!N:N,Data!D:D=A499,Data!B:B=$B$"&amp;"1),""TRAVERSE"")*15)+(COUNTIF(FILTER(Data!N:N,Data!D:D=A499,Data!B:B=$B$1),""HIGH"")*10)+(COUNTIF(FILTER(Data!N:N,Data!D:D=A499,Data!B:B=$B$1),""MIDDLE"")*6)+(COUNTIF(FILTER(Data!N:N,Data!D:D=A499,Data!B:B=$B$1),""LOW"")*4))),"""")"),"")</f>
        <v/>
      </c>
      <c r="L499" s="136" t="str">
        <f>IFERROR(__xludf.DUMMYFUNCTION("IFERROR((FILTER(Data!P:P,Data!D:D=A499,Data!B:B=$B$1)),"""")"),"")</f>
        <v/>
      </c>
      <c r="M499" s="137" t="str">
        <f>IFERROR(__xludf.DUMMYFUNCTION("IFERROR((FILTER(Data!A:A,Data!D:D=A499,Data!B:B=$B$1)),"""")"),"")</f>
        <v/>
      </c>
      <c r="T499" s="52">
        <f>IFERROR(__xludf.DUMMYFUNCTION("((COUNTIF(FILTER(Data!N:N,Data!D:D=A499,Data!B:B=$B$1),""TRAVERSE"")*15)+(COUNTIF(FILTER(Data!N:N,Data!D:D=A499,Data!B:B=B$1),""HIGH"")*10)+(COUNTIF(FILTER(Data!N:N,Data!D:D=A499,Data!B:B=$B$1),""MIDDLE"")*6)+(COUNTIF(FILTER(Data!N:N,Data!D:D=A499,Data!B:"&amp;"B=$B$1),""LOW"")*4))"),0.0)</f>
        <v>0</v>
      </c>
      <c r="V499" s="138" t="str">
        <f>IF(Data!B491='Team Parser'!$B$1, Data!D491,"")</f>
        <v/>
      </c>
      <c r="W499" s="134" t="str">
        <f>IF(Data!$B491='Team Parser'!$B$1, Data!H491,"")</f>
        <v/>
      </c>
      <c r="X499" s="134" t="str">
        <f>IF(Data!$B491='Team Parser'!$B$1, Data!G491,"")</f>
        <v/>
      </c>
      <c r="Y499" s="134" t="str">
        <f>IF(Data!$B491='Team Parser'!$B$1, Data!L491,"")</f>
        <v/>
      </c>
      <c r="Z499" s="134" t="str">
        <f>IF(Data!$B491='Team Parser'!$B$1, Data!K491,"")</f>
        <v/>
      </c>
      <c r="AA499" s="134" t="str">
        <f>IF(Data!$B491='Team Parser'!$B$1, Data!M491,"")</f>
        <v/>
      </c>
      <c r="AB499" s="134" t="str">
        <f>IF(Data!$B491='Team Parser'!$B$1,((Z499*2)+(Y499)+(X499*4)+(W499*2)),"")</f>
        <v/>
      </c>
      <c r="AC499" s="134" t="str">
        <f>IF(Data!$B491='Team Parser'!$B$1, Data!N491,"")</f>
        <v/>
      </c>
      <c r="AD499" s="139" t="str">
        <f>IF(Data!$B491='Team Parser'!$B$1,(AB499+(COUNTIF(AC499,"TRAVERSE")*15)+(COUNTIF(AC499,"HIGH")*10)+(COUNTIF(AC499,"MIDDLE")*6)+(COUNTIF(AC499,"LOW")*4)),"")</f>
        <v/>
      </c>
    </row>
    <row r="500">
      <c r="A500" s="141" t="s">
        <v>507</v>
      </c>
      <c r="B500" s="134" t="str">
        <f>IFERROR(__xludf.DUMMYFUNCTION("IFERROR((FILTER(Data!H:H,Data!D:D=A500,Data!B:B=$B$1)),"""")"),"")</f>
        <v/>
      </c>
      <c r="C500" s="134" t="str">
        <f>IFERROR(__xludf.DUMMYFUNCTION("IFERROR((FILTER(Data!G:G,Data!D:D=A500,Data!B:B=$B$1)),"""")"),"")</f>
        <v/>
      </c>
      <c r="D500" s="134" t="str">
        <f>IFERROR(__xludf.DUMMYFUNCTION("IFERROR((FILTER(Data!J:J,Data!D:D=A500,Data!B:B=$B$1)),"""")"),"")</f>
        <v/>
      </c>
      <c r="E500" s="134" t="str">
        <f>IFERROR(__xludf.DUMMYFUNCTION("IFERROR((FILTER(Data!L:L,Data!D:D=A500,Data!B:B=$B$1)),"""")"),"")</f>
        <v/>
      </c>
      <c r="F500" s="134" t="str">
        <f>IFERROR(__xludf.DUMMYFUNCTION("IFERROR((FILTER(Data!K:K,Data!D:D=A500,Data!B:B=$B$1)),"""")"),"")</f>
        <v/>
      </c>
      <c r="G500" s="134" t="str">
        <f>IFERROR(__xludf.DUMMYFUNCTION("IFERROR((FILTER(Data!M:M,Data!D:D=A500,Data!B:B=$B$1)),"""")"),"")</f>
        <v/>
      </c>
      <c r="H500" s="134" t="str">
        <f>IFERROR(__xludf.DUMMYFUNCTION("IFERROR((FILTER(Data!G:G,Data!D:D=A500,Data!B:B=$B$1)*4)+(FILTER(Data!H:H,Data!D:D=A500,Data!B:B=$B$1)*2),"""")"),"")</f>
        <v/>
      </c>
      <c r="I500" s="15" t="str">
        <f>IFERROR(__xludf.DUMMYFUNCTION("IFERROR((FILTER(Data!K:K,Data!D:D=A500,Data!B:B=$B$1)*2)+(FILTER(Data!L:L,Data!D:D=A500,Data!B:B=$B$1)),"""")"),"")</f>
        <v/>
      </c>
      <c r="J500" s="134" t="str">
        <f>IFERROR(__xludf.DUMMYFUNCTION("IFERROR((FILTER(Data!N:N,Data!D:D=A500,Data!B:B=$B$1)),"""")"),"")</f>
        <v/>
      </c>
      <c r="K500" s="135" t="str">
        <f>IFERROR(__xludf.DUMMYFUNCTION("IFERROR((FILTER(Data!H:H,Data!D:D=A500,Data!B:B=$B$1)*2)+(FILTER(Data!L:L,Data!D:D=A500,Data!B:B=$B$1))+(FILTER(Data!G:G,Data!D:D=A500,Data!B:B=$B$1)*4)+(FILTER(Data!K:K,Data!D:D=A500,Data!B:B=$B$1)*2)+(((COUNTIF(FILTER(Data!N:N,Data!D:D=A500,Data!B:B=$B$"&amp;"1),""TRAVERSE"")*15)+(COUNTIF(FILTER(Data!N:N,Data!D:D=A500,Data!B:B=$B$1),""HIGH"")*10)+(COUNTIF(FILTER(Data!N:N,Data!D:D=A500,Data!B:B=$B$1),""MIDDLE"")*6)+(COUNTIF(FILTER(Data!N:N,Data!D:D=A500,Data!B:B=$B$1),""LOW"")*4))),"""")"),"")</f>
        <v/>
      </c>
      <c r="L500" s="136" t="str">
        <f>IFERROR(__xludf.DUMMYFUNCTION("IFERROR((FILTER(Data!P:P,Data!D:D=A500,Data!B:B=$B$1)),"""")"),"")</f>
        <v/>
      </c>
      <c r="M500" s="137" t="str">
        <f>IFERROR(__xludf.DUMMYFUNCTION("IFERROR((FILTER(Data!A:A,Data!D:D=A500,Data!B:B=$B$1)),"""")"),"")</f>
        <v/>
      </c>
      <c r="T500" s="52">
        <f>IFERROR(__xludf.DUMMYFUNCTION("((COUNTIF(FILTER(Data!N:N,Data!D:D=A500,Data!B:B=$B$1),""TRAVERSE"")*15)+(COUNTIF(FILTER(Data!N:N,Data!D:D=A500,Data!B:B=B$1),""HIGH"")*10)+(COUNTIF(FILTER(Data!N:N,Data!D:D=A500,Data!B:B=$B$1),""MIDDLE"")*6)+(COUNTIF(FILTER(Data!N:N,Data!D:D=A500,Data!B:"&amp;"B=$B$1),""LOW"")*4))"),0.0)</f>
        <v>0</v>
      </c>
      <c r="V500" s="138" t="str">
        <f>IF(Data!B492='Team Parser'!$B$1, Data!D492,"")</f>
        <v/>
      </c>
      <c r="W500" s="134" t="str">
        <f>IF(Data!$B492='Team Parser'!$B$1, Data!H492,"")</f>
        <v/>
      </c>
      <c r="X500" s="134" t="str">
        <f>IF(Data!$B492='Team Parser'!$B$1, Data!G492,"")</f>
        <v/>
      </c>
      <c r="Y500" s="134" t="str">
        <f>IF(Data!$B492='Team Parser'!$B$1, Data!L492,"")</f>
        <v/>
      </c>
      <c r="Z500" s="134" t="str">
        <f>IF(Data!$B492='Team Parser'!$B$1, Data!K492,"")</f>
        <v/>
      </c>
      <c r="AA500" s="134" t="str">
        <f>IF(Data!$B492='Team Parser'!$B$1, Data!M492,"")</f>
        <v/>
      </c>
      <c r="AB500" s="134" t="str">
        <f>IF(Data!$B492='Team Parser'!$B$1,((Z500*2)+(Y500)+(X500*4)+(W500*2)),"")</f>
        <v/>
      </c>
      <c r="AC500" s="134" t="str">
        <f>IF(Data!$B492='Team Parser'!$B$1, Data!N492,"")</f>
        <v/>
      </c>
      <c r="AD500" s="139" t="str">
        <f>IF(Data!$B492='Team Parser'!$B$1,(AB500+(COUNTIF(AC500,"TRAVERSE")*15)+(COUNTIF(AC500,"HIGH")*10)+(COUNTIF(AC500,"MIDDLE")*6)+(COUNTIF(AC500,"LOW")*4)),"")</f>
        <v/>
      </c>
    </row>
    <row r="501">
      <c r="A501" s="141" t="s">
        <v>507</v>
      </c>
      <c r="B501" s="134" t="str">
        <f>IFERROR(__xludf.DUMMYFUNCTION("IFERROR((FILTER(Data!H:H,Data!D:D=A501,Data!B:B=$B$1)),"""")"),"")</f>
        <v/>
      </c>
      <c r="C501" s="134" t="str">
        <f>IFERROR(__xludf.DUMMYFUNCTION("IFERROR((FILTER(Data!G:G,Data!D:D=A501,Data!B:B=$B$1)),"""")"),"")</f>
        <v/>
      </c>
      <c r="D501" s="134" t="str">
        <f>IFERROR(__xludf.DUMMYFUNCTION("IFERROR((FILTER(Data!J:J,Data!D:D=A501,Data!B:B=$B$1)),"""")"),"")</f>
        <v/>
      </c>
      <c r="E501" s="134" t="str">
        <f>IFERROR(__xludf.DUMMYFUNCTION("IFERROR((FILTER(Data!L:L,Data!D:D=A501,Data!B:B=$B$1)),"""")"),"")</f>
        <v/>
      </c>
      <c r="F501" s="134" t="str">
        <f>IFERROR(__xludf.DUMMYFUNCTION("IFERROR((FILTER(Data!K:K,Data!D:D=A501,Data!B:B=$B$1)),"""")"),"")</f>
        <v/>
      </c>
      <c r="G501" s="134" t="str">
        <f>IFERROR(__xludf.DUMMYFUNCTION("IFERROR((FILTER(Data!M:M,Data!D:D=A501,Data!B:B=$B$1)),"""")"),"")</f>
        <v/>
      </c>
      <c r="H501" s="134" t="str">
        <f>IFERROR(__xludf.DUMMYFUNCTION("IFERROR((FILTER(Data!G:G,Data!D:D=A501,Data!B:B=$B$1)*4)+(FILTER(Data!H:H,Data!D:D=A501,Data!B:B=$B$1)*2),"""")"),"")</f>
        <v/>
      </c>
      <c r="I501" s="15" t="str">
        <f>IFERROR(__xludf.DUMMYFUNCTION("IFERROR((FILTER(Data!K:K,Data!D:D=A501,Data!B:B=$B$1)*2)+(FILTER(Data!L:L,Data!D:D=A501,Data!B:B=$B$1)),"""")"),"")</f>
        <v/>
      </c>
      <c r="J501" s="134" t="str">
        <f>IFERROR(__xludf.DUMMYFUNCTION("IFERROR((FILTER(Data!N:N,Data!D:D=A501,Data!B:B=$B$1)),"""")"),"")</f>
        <v/>
      </c>
      <c r="K501" s="135" t="str">
        <f>IFERROR(__xludf.DUMMYFUNCTION("IFERROR((FILTER(Data!H:H,Data!D:D=A501,Data!B:B=$B$1)*2)+(FILTER(Data!L:L,Data!D:D=A501,Data!B:B=$B$1))+(FILTER(Data!G:G,Data!D:D=A501,Data!B:B=$B$1)*4)+(FILTER(Data!K:K,Data!D:D=A501,Data!B:B=$B$1)*2)+(((COUNTIF(FILTER(Data!N:N,Data!D:D=A501,Data!B:B=$B$"&amp;"1),""TRAVERSE"")*15)+(COUNTIF(FILTER(Data!N:N,Data!D:D=A501,Data!B:B=$B$1),""HIGH"")*10)+(COUNTIF(FILTER(Data!N:N,Data!D:D=A501,Data!B:B=$B$1),""MIDDLE"")*6)+(COUNTIF(FILTER(Data!N:N,Data!D:D=A501,Data!B:B=$B$1),""LOW"")*4))),"""")"),"")</f>
        <v/>
      </c>
      <c r="L501" s="136" t="str">
        <f>IFERROR(__xludf.DUMMYFUNCTION("IFERROR((FILTER(Data!P:P,Data!D:D=A501,Data!B:B=$B$1)),"""")"),"")</f>
        <v/>
      </c>
      <c r="M501" s="137" t="str">
        <f>IFERROR(__xludf.DUMMYFUNCTION("IFERROR((FILTER(Data!A:A,Data!D:D=A501,Data!B:B=$B$1)),"""")"),"")</f>
        <v/>
      </c>
      <c r="T501" s="52">
        <f>IFERROR(__xludf.DUMMYFUNCTION("((COUNTIF(FILTER(Data!N:N,Data!D:D=A501,Data!B:B=$B$1),""TRAVERSE"")*15)+(COUNTIF(FILTER(Data!N:N,Data!D:D=A501,Data!B:B=B$1),""HIGH"")*10)+(COUNTIF(FILTER(Data!N:N,Data!D:D=A501,Data!B:B=$B$1),""MIDDLE"")*6)+(COUNTIF(FILTER(Data!N:N,Data!D:D=A501,Data!B:"&amp;"B=$B$1),""LOW"")*4))"),0.0)</f>
        <v>0</v>
      </c>
      <c r="V501" s="138" t="str">
        <f>IF(Data!B493='Team Parser'!$B$1, Data!D493,"")</f>
        <v/>
      </c>
      <c r="W501" s="134" t="str">
        <f>IF(Data!$B493='Team Parser'!$B$1, Data!H493,"")</f>
        <v/>
      </c>
      <c r="X501" s="134" t="str">
        <f>IF(Data!$B493='Team Parser'!$B$1, Data!G493,"")</f>
        <v/>
      </c>
      <c r="Y501" s="134" t="str">
        <f>IF(Data!$B493='Team Parser'!$B$1, Data!L493,"")</f>
        <v/>
      </c>
      <c r="Z501" s="134" t="str">
        <f>IF(Data!$B493='Team Parser'!$B$1, Data!K493,"")</f>
        <v/>
      </c>
      <c r="AA501" s="134" t="str">
        <f>IF(Data!$B493='Team Parser'!$B$1, Data!M493,"")</f>
        <v/>
      </c>
      <c r="AB501" s="134" t="str">
        <f>IF(Data!$B493='Team Parser'!$B$1,((Z501*2)+(Y501)+(X501*4)+(W501*2)),"")</f>
        <v/>
      </c>
      <c r="AC501" s="134" t="str">
        <f>IF(Data!$B493='Team Parser'!$B$1, Data!N493,"")</f>
        <v/>
      </c>
      <c r="AD501" s="139" t="str">
        <f>IF(Data!$B493='Team Parser'!$B$1,(AB501+(COUNTIF(AC501,"TRAVERSE")*15)+(COUNTIF(AC501,"HIGH")*10)+(COUNTIF(AC501,"MIDDLE")*6)+(COUNTIF(AC501,"LOW")*4)),"")</f>
        <v/>
      </c>
    </row>
    <row r="502">
      <c r="A502" s="141" t="s">
        <v>507</v>
      </c>
      <c r="B502" s="134" t="str">
        <f>IFERROR(__xludf.DUMMYFUNCTION("IFERROR((FILTER(Data!H:H,Data!D:D=A502,Data!B:B=$B$1)),"""")"),"")</f>
        <v/>
      </c>
      <c r="C502" s="134" t="str">
        <f>IFERROR(__xludf.DUMMYFUNCTION("IFERROR((FILTER(Data!G:G,Data!D:D=A502,Data!B:B=$B$1)),"""")"),"")</f>
        <v/>
      </c>
      <c r="D502" s="134" t="str">
        <f>IFERROR(__xludf.DUMMYFUNCTION("IFERROR((FILTER(Data!J:J,Data!D:D=A502,Data!B:B=$B$1)),"""")"),"")</f>
        <v/>
      </c>
      <c r="E502" s="134" t="str">
        <f>IFERROR(__xludf.DUMMYFUNCTION("IFERROR((FILTER(Data!L:L,Data!D:D=A502,Data!B:B=$B$1)),"""")"),"")</f>
        <v/>
      </c>
      <c r="F502" s="134" t="str">
        <f>IFERROR(__xludf.DUMMYFUNCTION("IFERROR((FILTER(Data!K:K,Data!D:D=A502,Data!B:B=$B$1)),"""")"),"")</f>
        <v/>
      </c>
      <c r="G502" s="134" t="str">
        <f>IFERROR(__xludf.DUMMYFUNCTION("IFERROR((FILTER(Data!M:M,Data!D:D=A502,Data!B:B=$B$1)),"""")"),"")</f>
        <v/>
      </c>
      <c r="H502" s="134" t="str">
        <f>IFERROR(__xludf.DUMMYFUNCTION("IFERROR((FILTER(Data!G:G,Data!D:D=A502,Data!B:B=$B$1)*4)+(FILTER(Data!H:H,Data!D:D=A502,Data!B:B=$B$1)*2),"""")"),"")</f>
        <v/>
      </c>
      <c r="I502" s="15" t="str">
        <f>IFERROR(__xludf.DUMMYFUNCTION("IFERROR((FILTER(Data!K:K,Data!D:D=A502,Data!B:B=$B$1)*2)+(FILTER(Data!L:L,Data!D:D=A502,Data!B:B=$B$1)),"""")"),"")</f>
        <v/>
      </c>
      <c r="J502" s="134" t="str">
        <f>IFERROR(__xludf.DUMMYFUNCTION("IFERROR((FILTER(Data!N:N,Data!D:D=A502,Data!B:B=$B$1)),"""")"),"")</f>
        <v/>
      </c>
      <c r="K502" s="135" t="str">
        <f>IFERROR(__xludf.DUMMYFUNCTION("IFERROR((FILTER(Data!H:H,Data!D:D=A502,Data!B:B=$B$1)*2)+(FILTER(Data!L:L,Data!D:D=A502,Data!B:B=$B$1))+(FILTER(Data!G:G,Data!D:D=A502,Data!B:B=$B$1)*4)+(FILTER(Data!K:K,Data!D:D=A502,Data!B:B=$B$1)*2)+(((COUNTIF(FILTER(Data!N:N,Data!D:D=A502,Data!B:B=$B$"&amp;"1),""TRAVERSE"")*15)+(COUNTIF(FILTER(Data!N:N,Data!D:D=A502,Data!B:B=$B$1),""HIGH"")*10)+(COUNTIF(FILTER(Data!N:N,Data!D:D=A502,Data!B:B=$B$1),""MIDDLE"")*6)+(COUNTIF(FILTER(Data!N:N,Data!D:D=A502,Data!B:B=$B$1),""LOW"")*4))),"""")"),"")</f>
        <v/>
      </c>
      <c r="L502" s="136" t="str">
        <f>IFERROR(__xludf.DUMMYFUNCTION("IFERROR((FILTER(Data!P:P,Data!D:D=A502,Data!B:B=$B$1)),"""")"),"")</f>
        <v/>
      </c>
      <c r="M502" s="137" t="str">
        <f>IFERROR(__xludf.DUMMYFUNCTION("IFERROR((FILTER(Data!A:A,Data!D:D=A502,Data!B:B=$B$1)),"""")"),"")</f>
        <v/>
      </c>
      <c r="T502" s="52">
        <f>IFERROR(__xludf.DUMMYFUNCTION("((COUNTIF(FILTER(Data!N:N,Data!D:D=A502,Data!B:B=$B$1),""TRAVERSE"")*15)+(COUNTIF(FILTER(Data!N:N,Data!D:D=A502,Data!B:B=B$1),""HIGH"")*10)+(COUNTIF(FILTER(Data!N:N,Data!D:D=A502,Data!B:B=$B$1),""MIDDLE"")*6)+(COUNTIF(FILTER(Data!N:N,Data!D:D=A502,Data!B:"&amp;"B=$B$1),""LOW"")*4))"),0.0)</f>
        <v>0</v>
      </c>
      <c r="V502" s="138" t="str">
        <f>IF(Data!B494='Team Parser'!$B$1, Data!D494,"")</f>
        <v/>
      </c>
      <c r="W502" s="134" t="str">
        <f>IF(Data!$B494='Team Parser'!$B$1, Data!H494,"")</f>
        <v/>
      </c>
      <c r="X502" s="134" t="str">
        <f>IF(Data!$B494='Team Parser'!$B$1, Data!G494,"")</f>
        <v/>
      </c>
      <c r="Y502" s="134" t="str">
        <f>IF(Data!$B494='Team Parser'!$B$1, Data!L494,"")</f>
        <v/>
      </c>
      <c r="Z502" s="134" t="str">
        <f>IF(Data!$B494='Team Parser'!$B$1, Data!K494,"")</f>
        <v/>
      </c>
      <c r="AA502" s="134" t="str">
        <f>IF(Data!$B494='Team Parser'!$B$1, Data!M494,"")</f>
        <v/>
      </c>
      <c r="AB502" s="134" t="str">
        <f>IF(Data!$B494='Team Parser'!$B$1,((Z502*2)+(Y502)+(X502*4)+(W502*2)),"")</f>
        <v/>
      </c>
      <c r="AC502" s="134" t="str">
        <f>IF(Data!$B494='Team Parser'!$B$1, Data!N494,"")</f>
        <v/>
      </c>
      <c r="AD502" s="139" t="str">
        <f>IF(Data!$B494='Team Parser'!$B$1,(AB502+(COUNTIF(AC502,"TRAVERSE")*15)+(COUNTIF(AC502,"HIGH")*10)+(COUNTIF(AC502,"MIDDLE")*6)+(COUNTIF(AC502,"LOW")*4)),"")</f>
        <v/>
      </c>
    </row>
    <row r="503">
      <c r="A503" s="141" t="s">
        <v>507</v>
      </c>
      <c r="B503" s="134" t="str">
        <f>IFERROR(__xludf.DUMMYFUNCTION("IFERROR((FILTER(Data!H:H,Data!D:D=A503,Data!B:B=$B$1)),"""")"),"")</f>
        <v/>
      </c>
      <c r="C503" s="134" t="str">
        <f>IFERROR(__xludf.DUMMYFUNCTION("IFERROR((FILTER(Data!G:G,Data!D:D=A503,Data!B:B=$B$1)),"""")"),"")</f>
        <v/>
      </c>
      <c r="D503" s="134" t="str">
        <f>IFERROR(__xludf.DUMMYFUNCTION("IFERROR((FILTER(Data!J:J,Data!D:D=A503,Data!B:B=$B$1)),"""")"),"")</f>
        <v/>
      </c>
      <c r="E503" s="134" t="str">
        <f>IFERROR(__xludf.DUMMYFUNCTION("IFERROR((FILTER(Data!L:L,Data!D:D=A503,Data!B:B=$B$1)),"""")"),"")</f>
        <v/>
      </c>
      <c r="F503" s="134" t="str">
        <f>IFERROR(__xludf.DUMMYFUNCTION("IFERROR((FILTER(Data!K:K,Data!D:D=A503,Data!B:B=$B$1)),"""")"),"")</f>
        <v/>
      </c>
      <c r="G503" s="134" t="str">
        <f>IFERROR(__xludf.DUMMYFUNCTION("IFERROR((FILTER(Data!M:M,Data!D:D=A503,Data!B:B=$B$1)),"""")"),"")</f>
        <v/>
      </c>
      <c r="H503" s="134" t="str">
        <f>IFERROR(__xludf.DUMMYFUNCTION("IFERROR((FILTER(Data!G:G,Data!D:D=A503,Data!B:B=$B$1)*4)+(FILTER(Data!H:H,Data!D:D=A503,Data!B:B=$B$1)*2),"""")"),"")</f>
        <v/>
      </c>
      <c r="I503" s="15" t="str">
        <f>IFERROR(__xludf.DUMMYFUNCTION("IFERROR((FILTER(Data!K:K,Data!D:D=A503,Data!B:B=$B$1)*2)+(FILTER(Data!L:L,Data!D:D=A503,Data!B:B=$B$1)),"""")"),"")</f>
        <v/>
      </c>
      <c r="J503" s="134" t="str">
        <f>IFERROR(__xludf.DUMMYFUNCTION("IFERROR((FILTER(Data!N:N,Data!D:D=A503,Data!B:B=$B$1)),"""")"),"")</f>
        <v/>
      </c>
      <c r="K503" s="135" t="str">
        <f>IFERROR(__xludf.DUMMYFUNCTION("IFERROR((FILTER(Data!H:H,Data!D:D=A503,Data!B:B=$B$1)*2)+(FILTER(Data!L:L,Data!D:D=A503,Data!B:B=$B$1))+(FILTER(Data!G:G,Data!D:D=A503,Data!B:B=$B$1)*4)+(FILTER(Data!K:K,Data!D:D=A503,Data!B:B=$B$1)*2)+(((COUNTIF(FILTER(Data!N:N,Data!D:D=A503,Data!B:B=$B$"&amp;"1),""TRAVERSE"")*15)+(COUNTIF(FILTER(Data!N:N,Data!D:D=A503,Data!B:B=$B$1),""HIGH"")*10)+(COUNTIF(FILTER(Data!N:N,Data!D:D=A503,Data!B:B=$B$1),""MIDDLE"")*6)+(COUNTIF(FILTER(Data!N:N,Data!D:D=A503,Data!B:B=$B$1),""LOW"")*4))),"""")"),"")</f>
        <v/>
      </c>
      <c r="L503" s="136" t="str">
        <f>IFERROR(__xludf.DUMMYFUNCTION("IFERROR((FILTER(Data!P:P,Data!D:D=A503,Data!B:B=$B$1)),"""")"),"")</f>
        <v/>
      </c>
      <c r="M503" s="137" t="str">
        <f>IFERROR(__xludf.DUMMYFUNCTION("IFERROR((FILTER(Data!A:A,Data!D:D=A503,Data!B:B=$B$1)),"""")"),"")</f>
        <v/>
      </c>
      <c r="T503" s="52">
        <f>IFERROR(__xludf.DUMMYFUNCTION("((COUNTIF(FILTER(Data!N:N,Data!D:D=A503,Data!B:B=$B$1),""TRAVERSE"")*15)+(COUNTIF(FILTER(Data!N:N,Data!D:D=A503,Data!B:B=B$1),""HIGH"")*10)+(COUNTIF(FILTER(Data!N:N,Data!D:D=A503,Data!B:B=$B$1),""MIDDLE"")*6)+(COUNTIF(FILTER(Data!N:N,Data!D:D=A503,Data!B:"&amp;"B=$B$1),""LOW"")*4))"),0.0)</f>
        <v>0</v>
      </c>
      <c r="V503" s="138" t="str">
        <f>IF(Data!B495='Team Parser'!$B$1, Data!D495,"")</f>
        <v/>
      </c>
      <c r="W503" s="134" t="str">
        <f>IF(Data!$B495='Team Parser'!$B$1, Data!H495,"")</f>
        <v/>
      </c>
      <c r="X503" s="134" t="str">
        <f>IF(Data!$B495='Team Parser'!$B$1, Data!G495,"")</f>
        <v/>
      </c>
      <c r="Y503" s="134" t="str">
        <f>IF(Data!$B495='Team Parser'!$B$1, Data!L495,"")</f>
        <v/>
      </c>
      <c r="Z503" s="134" t="str">
        <f>IF(Data!$B495='Team Parser'!$B$1, Data!K495,"")</f>
        <v/>
      </c>
      <c r="AA503" s="134" t="str">
        <f>IF(Data!$B495='Team Parser'!$B$1, Data!M495,"")</f>
        <v/>
      </c>
      <c r="AB503" s="134" t="str">
        <f>IF(Data!$B495='Team Parser'!$B$1,((Z503*2)+(Y503)+(X503*4)+(W503*2)),"")</f>
        <v/>
      </c>
      <c r="AC503" s="134" t="str">
        <f>IF(Data!$B495='Team Parser'!$B$1, Data!N495,"")</f>
        <v/>
      </c>
      <c r="AD503" s="139" t="str">
        <f>IF(Data!$B495='Team Parser'!$B$1,(AB503+(COUNTIF(AC503,"TRAVERSE")*15)+(COUNTIF(AC503,"HIGH")*10)+(COUNTIF(AC503,"MIDDLE")*6)+(COUNTIF(AC503,"LOW")*4)),"")</f>
        <v/>
      </c>
    </row>
    <row r="504">
      <c r="A504" s="141" t="s">
        <v>507</v>
      </c>
      <c r="B504" s="134" t="str">
        <f>IFERROR(__xludf.DUMMYFUNCTION("IFERROR((FILTER(Data!H:H,Data!D:D=A504,Data!B:B=$B$1)),"""")"),"")</f>
        <v/>
      </c>
      <c r="C504" s="134" t="str">
        <f>IFERROR(__xludf.DUMMYFUNCTION("IFERROR((FILTER(Data!G:G,Data!D:D=A504,Data!B:B=$B$1)),"""")"),"")</f>
        <v/>
      </c>
      <c r="D504" s="134" t="str">
        <f>IFERROR(__xludf.DUMMYFUNCTION("IFERROR((FILTER(Data!J:J,Data!D:D=A504,Data!B:B=$B$1)),"""")"),"")</f>
        <v/>
      </c>
      <c r="E504" s="134" t="str">
        <f>IFERROR(__xludf.DUMMYFUNCTION("IFERROR((FILTER(Data!L:L,Data!D:D=A504,Data!B:B=$B$1)),"""")"),"")</f>
        <v/>
      </c>
      <c r="F504" s="134" t="str">
        <f>IFERROR(__xludf.DUMMYFUNCTION("IFERROR((FILTER(Data!K:K,Data!D:D=A504,Data!B:B=$B$1)),"""")"),"")</f>
        <v/>
      </c>
      <c r="G504" s="134" t="str">
        <f>IFERROR(__xludf.DUMMYFUNCTION("IFERROR((FILTER(Data!M:M,Data!D:D=A504,Data!B:B=$B$1)),"""")"),"")</f>
        <v/>
      </c>
      <c r="H504" s="134" t="str">
        <f>IFERROR(__xludf.DUMMYFUNCTION("IFERROR((FILTER(Data!G:G,Data!D:D=A504,Data!B:B=$B$1)*4)+(FILTER(Data!H:H,Data!D:D=A504,Data!B:B=$B$1)*2),"""")"),"")</f>
        <v/>
      </c>
      <c r="I504" s="15" t="str">
        <f>IFERROR(__xludf.DUMMYFUNCTION("IFERROR((FILTER(Data!K:K,Data!D:D=A504,Data!B:B=$B$1)*2)+(FILTER(Data!L:L,Data!D:D=A504,Data!B:B=$B$1)),"""")"),"")</f>
        <v/>
      </c>
      <c r="J504" s="134" t="str">
        <f>IFERROR(__xludf.DUMMYFUNCTION("IFERROR((FILTER(Data!N:N,Data!D:D=A504,Data!B:B=$B$1)),"""")"),"")</f>
        <v/>
      </c>
      <c r="K504" s="135" t="str">
        <f>IFERROR(__xludf.DUMMYFUNCTION("IFERROR((FILTER(Data!H:H,Data!D:D=A504,Data!B:B=$B$1)*2)+(FILTER(Data!L:L,Data!D:D=A504,Data!B:B=$B$1))+(FILTER(Data!G:G,Data!D:D=A504,Data!B:B=$B$1)*4)+(FILTER(Data!K:K,Data!D:D=A504,Data!B:B=$B$1)*2)+(((COUNTIF(FILTER(Data!N:N,Data!D:D=A504,Data!B:B=$B$"&amp;"1),""TRAVERSE"")*15)+(COUNTIF(FILTER(Data!N:N,Data!D:D=A504,Data!B:B=$B$1),""HIGH"")*10)+(COUNTIF(FILTER(Data!N:N,Data!D:D=A504,Data!B:B=$B$1),""MIDDLE"")*6)+(COUNTIF(FILTER(Data!N:N,Data!D:D=A504,Data!B:B=$B$1),""LOW"")*4))),"""")"),"")</f>
        <v/>
      </c>
      <c r="L504" s="136" t="str">
        <f>IFERROR(__xludf.DUMMYFUNCTION("IFERROR((FILTER(Data!P:P,Data!D:D=A504,Data!B:B=$B$1)),"""")"),"")</f>
        <v/>
      </c>
      <c r="M504" s="137" t="str">
        <f>IFERROR(__xludf.DUMMYFUNCTION("IFERROR((FILTER(Data!A:A,Data!D:D=A504,Data!B:B=$B$1)),"""")"),"")</f>
        <v/>
      </c>
      <c r="T504" s="52">
        <f>IFERROR(__xludf.DUMMYFUNCTION("((COUNTIF(FILTER(Data!N:N,Data!D:D=A504,Data!B:B=$B$1),""TRAVERSE"")*15)+(COUNTIF(FILTER(Data!N:N,Data!D:D=A504,Data!B:B=B$1),""HIGH"")*10)+(COUNTIF(FILTER(Data!N:N,Data!D:D=A504,Data!B:B=$B$1),""MIDDLE"")*6)+(COUNTIF(FILTER(Data!N:N,Data!D:D=A504,Data!B:"&amp;"B=$B$1),""LOW"")*4))"),0.0)</f>
        <v>0</v>
      </c>
      <c r="V504" s="138" t="str">
        <f>IF(Data!B496='Team Parser'!$B$1, Data!D496,"")</f>
        <v/>
      </c>
      <c r="W504" s="134" t="str">
        <f>IF(Data!$B496='Team Parser'!$B$1, Data!H496,"")</f>
        <v/>
      </c>
      <c r="X504" s="134" t="str">
        <f>IF(Data!$B496='Team Parser'!$B$1, Data!G496,"")</f>
        <v/>
      </c>
      <c r="Y504" s="134" t="str">
        <f>IF(Data!$B496='Team Parser'!$B$1, Data!L496,"")</f>
        <v/>
      </c>
      <c r="Z504" s="134" t="str">
        <f>IF(Data!$B496='Team Parser'!$B$1, Data!K496,"")</f>
        <v/>
      </c>
      <c r="AA504" s="134" t="str">
        <f>IF(Data!$B496='Team Parser'!$B$1, Data!M496,"")</f>
        <v/>
      </c>
      <c r="AB504" s="134" t="str">
        <f>IF(Data!$B496='Team Parser'!$B$1,((Z504*2)+(Y504)+(X504*4)+(W504*2)),"")</f>
        <v/>
      </c>
      <c r="AC504" s="134" t="str">
        <f>IF(Data!$B496='Team Parser'!$B$1, Data!N496,"")</f>
        <v/>
      </c>
      <c r="AD504" s="139" t="str">
        <f>IF(Data!$B496='Team Parser'!$B$1,(AB504+(COUNTIF(AC504,"TRAVERSE")*15)+(COUNTIF(AC504,"HIGH")*10)+(COUNTIF(AC504,"MIDDLE")*6)+(COUNTIF(AC504,"LOW")*4)),"")</f>
        <v/>
      </c>
    </row>
    <row r="505">
      <c r="A505" s="141" t="s">
        <v>507</v>
      </c>
      <c r="B505" s="134" t="str">
        <f>IFERROR(__xludf.DUMMYFUNCTION("IFERROR((FILTER(Data!H:H,Data!D:D=A505,Data!B:B=$B$1)),"""")"),"")</f>
        <v/>
      </c>
      <c r="C505" s="134" t="str">
        <f>IFERROR(__xludf.DUMMYFUNCTION("IFERROR((FILTER(Data!G:G,Data!D:D=A505,Data!B:B=$B$1)),"""")"),"")</f>
        <v/>
      </c>
      <c r="D505" s="134" t="str">
        <f>IFERROR(__xludf.DUMMYFUNCTION("IFERROR((FILTER(Data!J:J,Data!D:D=A505,Data!B:B=$B$1)),"""")"),"")</f>
        <v/>
      </c>
      <c r="E505" s="134" t="str">
        <f>IFERROR(__xludf.DUMMYFUNCTION("IFERROR((FILTER(Data!L:L,Data!D:D=A505,Data!B:B=$B$1)),"""")"),"")</f>
        <v/>
      </c>
      <c r="F505" s="134" t="str">
        <f>IFERROR(__xludf.DUMMYFUNCTION("IFERROR((FILTER(Data!K:K,Data!D:D=A505,Data!B:B=$B$1)),"""")"),"")</f>
        <v/>
      </c>
      <c r="G505" s="134" t="str">
        <f>IFERROR(__xludf.DUMMYFUNCTION("IFERROR((FILTER(Data!M:M,Data!D:D=A505,Data!B:B=$B$1)),"""")"),"")</f>
        <v/>
      </c>
      <c r="H505" s="134" t="str">
        <f>IFERROR(__xludf.DUMMYFUNCTION("IFERROR((FILTER(Data!G:G,Data!D:D=A505,Data!B:B=$B$1)*4)+(FILTER(Data!H:H,Data!D:D=A505,Data!B:B=$B$1)*2),"""")"),"")</f>
        <v/>
      </c>
      <c r="I505" s="15" t="str">
        <f>IFERROR(__xludf.DUMMYFUNCTION("IFERROR((FILTER(Data!K:K,Data!D:D=A505,Data!B:B=$B$1)*2)+(FILTER(Data!L:L,Data!D:D=A505,Data!B:B=$B$1)),"""")"),"")</f>
        <v/>
      </c>
      <c r="J505" s="134" t="str">
        <f>IFERROR(__xludf.DUMMYFUNCTION("IFERROR((FILTER(Data!N:N,Data!D:D=A505,Data!B:B=$B$1)),"""")"),"")</f>
        <v/>
      </c>
      <c r="K505" s="135" t="str">
        <f>IFERROR(__xludf.DUMMYFUNCTION("IFERROR((FILTER(Data!H:H,Data!D:D=A505,Data!B:B=$B$1)*2)+(FILTER(Data!L:L,Data!D:D=A505,Data!B:B=$B$1))+(FILTER(Data!G:G,Data!D:D=A505,Data!B:B=$B$1)*4)+(FILTER(Data!K:K,Data!D:D=A505,Data!B:B=$B$1)*2)+(((COUNTIF(FILTER(Data!N:N,Data!D:D=A505,Data!B:B=$B$"&amp;"1),""TRAVERSE"")*15)+(COUNTIF(FILTER(Data!N:N,Data!D:D=A505,Data!B:B=$B$1),""HIGH"")*10)+(COUNTIF(FILTER(Data!N:N,Data!D:D=A505,Data!B:B=$B$1),""MIDDLE"")*6)+(COUNTIF(FILTER(Data!N:N,Data!D:D=A505,Data!B:B=$B$1),""LOW"")*4))),"""")"),"")</f>
        <v/>
      </c>
      <c r="L505" s="136" t="str">
        <f>IFERROR(__xludf.DUMMYFUNCTION("IFERROR((FILTER(Data!P:P,Data!D:D=A505,Data!B:B=$B$1)),"""")"),"")</f>
        <v/>
      </c>
      <c r="M505" s="137" t="str">
        <f>IFERROR(__xludf.DUMMYFUNCTION("IFERROR((FILTER(Data!A:A,Data!D:D=A505,Data!B:B=$B$1)),"""")"),"")</f>
        <v/>
      </c>
      <c r="T505" s="52">
        <f>IFERROR(__xludf.DUMMYFUNCTION("((COUNTIF(FILTER(Data!N:N,Data!D:D=A505,Data!B:B=$B$1),""TRAVERSE"")*15)+(COUNTIF(FILTER(Data!N:N,Data!D:D=A505,Data!B:B=B$1),""HIGH"")*10)+(COUNTIF(FILTER(Data!N:N,Data!D:D=A505,Data!B:B=$B$1),""MIDDLE"")*6)+(COUNTIF(FILTER(Data!N:N,Data!D:D=A505,Data!B:"&amp;"B=$B$1),""LOW"")*4))"),0.0)</f>
        <v>0</v>
      </c>
      <c r="V505" s="138" t="str">
        <f>IF(Data!B497='Team Parser'!$B$1, Data!D497,"")</f>
        <v/>
      </c>
      <c r="W505" s="134" t="str">
        <f>IF(Data!$B497='Team Parser'!$B$1, Data!H497,"")</f>
        <v/>
      </c>
      <c r="X505" s="134" t="str">
        <f>IF(Data!$B497='Team Parser'!$B$1, Data!G497,"")</f>
        <v/>
      </c>
      <c r="Y505" s="134" t="str">
        <f>IF(Data!$B497='Team Parser'!$B$1, Data!L497,"")</f>
        <v/>
      </c>
      <c r="Z505" s="134" t="str">
        <f>IF(Data!$B497='Team Parser'!$B$1, Data!K497,"")</f>
        <v/>
      </c>
      <c r="AA505" s="134" t="str">
        <f>IF(Data!$B497='Team Parser'!$B$1, Data!M497,"")</f>
        <v/>
      </c>
      <c r="AB505" s="134" t="str">
        <f>IF(Data!$B497='Team Parser'!$B$1,((Z505*2)+(Y505)+(X505*4)+(W505*2)),"")</f>
        <v/>
      </c>
      <c r="AC505" s="134" t="str">
        <f>IF(Data!$B497='Team Parser'!$B$1, Data!N497,"")</f>
        <v/>
      </c>
      <c r="AD505" s="139" t="str">
        <f>IF(Data!$B497='Team Parser'!$B$1,(AB505+(COUNTIF(AC505,"TRAVERSE")*15)+(COUNTIF(AC505,"HIGH")*10)+(COUNTIF(AC505,"MIDDLE")*6)+(COUNTIF(AC505,"LOW")*4)),"")</f>
        <v/>
      </c>
    </row>
    <row r="506">
      <c r="A506" s="141" t="s">
        <v>507</v>
      </c>
      <c r="B506" s="134" t="str">
        <f>IFERROR(__xludf.DUMMYFUNCTION("IFERROR((FILTER(Data!H:H,Data!D:D=A506,Data!B:B=$B$1)),"""")"),"")</f>
        <v/>
      </c>
      <c r="C506" s="134" t="str">
        <f>IFERROR(__xludf.DUMMYFUNCTION("IFERROR((FILTER(Data!G:G,Data!D:D=A506,Data!B:B=$B$1)),"""")"),"")</f>
        <v/>
      </c>
      <c r="D506" s="134" t="str">
        <f>IFERROR(__xludf.DUMMYFUNCTION("IFERROR((FILTER(Data!J:J,Data!D:D=A506,Data!B:B=$B$1)),"""")"),"")</f>
        <v/>
      </c>
      <c r="E506" s="134" t="str">
        <f>IFERROR(__xludf.DUMMYFUNCTION("IFERROR((FILTER(Data!L:L,Data!D:D=A506,Data!B:B=$B$1)),"""")"),"")</f>
        <v/>
      </c>
      <c r="F506" s="134" t="str">
        <f>IFERROR(__xludf.DUMMYFUNCTION("IFERROR((FILTER(Data!K:K,Data!D:D=A506,Data!B:B=$B$1)),"""")"),"")</f>
        <v/>
      </c>
      <c r="G506" s="134" t="str">
        <f>IFERROR(__xludf.DUMMYFUNCTION("IFERROR((FILTER(Data!M:M,Data!D:D=A506,Data!B:B=$B$1)),"""")"),"")</f>
        <v/>
      </c>
      <c r="H506" s="134" t="str">
        <f>IFERROR(__xludf.DUMMYFUNCTION("IFERROR((FILTER(Data!G:G,Data!D:D=A506,Data!B:B=$B$1)*4)+(FILTER(Data!H:H,Data!D:D=A506,Data!B:B=$B$1)*2),"""")"),"")</f>
        <v/>
      </c>
      <c r="I506" s="15" t="str">
        <f>IFERROR(__xludf.DUMMYFUNCTION("IFERROR((FILTER(Data!K:K,Data!D:D=A506,Data!B:B=$B$1)*2)+(FILTER(Data!L:L,Data!D:D=A506,Data!B:B=$B$1)),"""")"),"")</f>
        <v/>
      </c>
      <c r="J506" s="134" t="str">
        <f>IFERROR(__xludf.DUMMYFUNCTION("IFERROR((FILTER(Data!N:N,Data!D:D=A506,Data!B:B=$B$1)),"""")"),"")</f>
        <v/>
      </c>
      <c r="K506" s="135" t="str">
        <f>IFERROR(__xludf.DUMMYFUNCTION("IFERROR((FILTER(Data!H:H,Data!D:D=A506,Data!B:B=$B$1)*2)+(FILTER(Data!L:L,Data!D:D=A506,Data!B:B=$B$1))+(FILTER(Data!G:G,Data!D:D=A506,Data!B:B=$B$1)*4)+(FILTER(Data!K:K,Data!D:D=A506,Data!B:B=$B$1)*2)+(((COUNTIF(FILTER(Data!N:N,Data!D:D=A506,Data!B:B=$B$"&amp;"1),""TRAVERSE"")*15)+(COUNTIF(FILTER(Data!N:N,Data!D:D=A506,Data!B:B=$B$1),""HIGH"")*10)+(COUNTIF(FILTER(Data!N:N,Data!D:D=A506,Data!B:B=$B$1),""MIDDLE"")*6)+(COUNTIF(FILTER(Data!N:N,Data!D:D=A506,Data!B:B=$B$1),""LOW"")*4))),"""")"),"")</f>
        <v/>
      </c>
      <c r="L506" s="136" t="str">
        <f>IFERROR(__xludf.DUMMYFUNCTION("IFERROR((FILTER(Data!P:P,Data!D:D=A506,Data!B:B=$B$1)),"""")"),"")</f>
        <v/>
      </c>
      <c r="M506" s="137" t="str">
        <f>IFERROR(__xludf.DUMMYFUNCTION("IFERROR((FILTER(Data!A:A,Data!D:D=A506,Data!B:B=$B$1)),"""")"),"")</f>
        <v/>
      </c>
      <c r="T506" s="52">
        <f>IFERROR(__xludf.DUMMYFUNCTION("((COUNTIF(FILTER(Data!N:N,Data!D:D=A506,Data!B:B=$B$1),""TRAVERSE"")*15)+(COUNTIF(FILTER(Data!N:N,Data!D:D=A506,Data!B:B=B$1),""HIGH"")*10)+(COUNTIF(FILTER(Data!N:N,Data!D:D=A506,Data!B:B=$B$1),""MIDDLE"")*6)+(COUNTIF(FILTER(Data!N:N,Data!D:D=A506,Data!B:"&amp;"B=$B$1),""LOW"")*4))"),0.0)</f>
        <v>0</v>
      </c>
      <c r="V506" s="138" t="str">
        <f>IF(Data!B498='Team Parser'!$B$1, Data!D498,"")</f>
        <v/>
      </c>
      <c r="W506" s="134" t="str">
        <f>IF(Data!$B498='Team Parser'!$B$1, Data!H498,"")</f>
        <v/>
      </c>
      <c r="X506" s="134" t="str">
        <f>IF(Data!$B498='Team Parser'!$B$1, Data!G498,"")</f>
        <v/>
      </c>
      <c r="Y506" s="134" t="str">
        <f>IF(Data!$B498='Team Parser'!$B$1, Data!L498,"")</f>
        <v/>
      </c>
      <c r="Z506" s="134" t="str">
        <f>IF(Data!$B498='Team Parser'!$B$1, Data!K498,"")</f>
        <v/>
      </c>
      <c r="AA506" s="134" t="str">
        <f>IF(Data!$B498='Team Parser'!$B$1, Data!M498,"")</f>
        <v/>
      </c>
      <c r="AB506" s="134" t="str">
        <f>IF(Data!$B498='Team Parser'!$B$1,((Z506*2)+(Y506)+(X506*4)+(W506*2)),"")</f>
        <v/>
      </c>
      <c r="AC506" s="134" t="str">
        <f>IF(Data!$B498='Team Parser'!$B$1, Data!N498,"")</f>
        <v/>
      </c>
      <c r="AD506" s="139" t="str">
        <f>IF(Data!$B498='Team Parser'!$B$1,(AB506+(COUNTIF(AC506,"TRAVERSE")*15)+(COUNTIF(AC506,"HIGH")*10)+(COUNTIF(AC506,"MIDDLE")*6)+(COUNTIF(AC506,"LOW")*4)),"")</f>
        <v/>
      </c>
    </row>
    <row r="507">
      <c r="A507" s="141" t="s">
        <v>507</v>
      </c>
      <c r="B507" s="134" t="str">
        <f>IFERROR(__xludf.DUMMYFUNCTION("IFERROR((FILTER(Data!H:H,Data!D:D=A507,Data!B:B=$B$1)),"""")"),"")</f>
        <v/>
      </c>
      <c r="C507" s="134" t="str">
        <f>IFERROR(__xludf.DUMMYFUNCTION("IFERROR((FILTER(Data!G:G,Data!D:D=A507,Data!B:B=$B$1)),"""")"),"")</f>
        <v/>
      </c>
      <c r="D507" s="134" t="str">
        <f>IFERROR(__xludf.DUMMYFUNCTION("IFERROR((FILTER(Data!J:J,Data!D:D=A507,Data!B:B=$B$1)),"""")"),"")</f>
        <v/>
      </c>
      <c r="E507" s="134" t="str">
        <f>IFERROR(__xludf.DUMMYFUNCTION("IFERROR((FILTER(Data!L:L,Data!D:D=A507,Data!B:B=$B$1)),"""")"),"")</f>
        <v/>
      </c>
      <c r="F507" s="134" t="str">
        <f>IFERROR(__xludf.DUMMYFUNCTION("IFERROR((FILTER(Data!K:K,Data!D:D=A507,Data!B:B=$B$1)),"""")"),"")</f>
        <v/>
      </c>
      <c r="G507" s="134" t="str">
        <f>IFERROR(__xludf.DUMMYFUNCTION("IFERROR((FILTER(Data!M:M,Data!D:D=A507,Data!B:B=$B$1)),"""")"),"")</f>
        <v/>
      </c>
      <c r="H507" s="134" t="str">
        <f>IFERROR(__xludf.DUMMYFUNCTION("IFERROR((FILTER(Data!G:G,Data!D:D=A507,Data!B:B=$B$1)*4)+(FILTER(Data!H:H,Data!D:D=A507,Data!B:B=$B$1)*2),"""")"),"")</f>
        <v/>
      </c>
      <c r="I507" s="15" t="str">
        <f>IFERROR(__xludf.DUMMYFUNCTION("IFERROR((FILTER(Data!K:K,Data!D:D=A507,Data!B:B=$B$1)*2)+(FILTER(Data!L:L,Data!D:D=A507,Data!B:B=$B$1)),"""")"),"")</f>
        <v/>
      </c>
      <c r="J507" s="134" t="str">
        <f>IFERROR(__xludf.DUMMYFUNCTION("IFERROR((FILTER(Data!N:N,Data!D:D=A507,Data!B:B=$B$1)),"""")"),"")</f>
        <v/>
      </c>
      <c r="K507" s="135" t="str">
        <f>IFERROR(__xludf.DUMMYFUNCTION("IFERROR((FILTER(Data!H:H,Data!D:D=A507,Data!B:B=$B$1)*2)+(FILTER(Data!L:L,Data!D:D=A507,Data!B:B=$B$1))+(FILTER(Data!G:G,Data!D:D=A507,Data!B:B=$B$1)*4)+(FILTER(Data!K:K,Data!D:D=A507,Data!B:B=$B$1)*2)+(((COUNTIF(FILTER(Data!N:N,Data!D:D=A507,Data!B:B=$B$"&amp;"1),""TRAVERSE"")*15)+(COUNTIF(FILTER(Data!N:N,Data!D:D=A507,Data!B:B=$B$1),""HIGH"")*10)+(COUNTIF(FILTER(Data!N:N,Data!D:D=A507,Data!B:B=$B$1),""MIDDLE"")*6)+(COUNTIF(FILTER(Data!N:N,Data!D:D=A507,Data!B:B=$B$1),""LOW"")*4))),"""")"),"")</f>
        <v/>
      </c>
      <c r="L507" s="136" t="str">
        <f>IFERROR(__xludf.DUMMYFUNCTION("IFERROR((FILTER(Data!P:P,Data!D:D=A507,Data!B:B=$B$1)),"""")"),"")</f>
        <v/>
      </c>
      <c r="M507" s="137" t="str">
        <f>IFERROR(__xludf.DUMMYFUNCTION("IFERROR((FILTER(Data!A:A,Data!D:D=A507,Data!B:B=$B$1)),"""")"),"")</f>
        <v/>
      </c>
      <c r="T507" s="52">
        <f>IFERROR(__xludf.DUMMYFUNCTION("((COUNTIF(FILTER(Data!N:N,Data!D:D=A507,Data!B:B=$B$1),""TRAVERSE"")*15)+(COUNTIF(FILTER(Data!N:N,Data!D:D=A507,Data!B:B=B$1),""HIGH"")*10)+(COUNTIF(FILTER(Data!N:N,Data!D:D=A507,Data!B:B=$B$1),""MIDDLE"")*6)+(COUNTIF(FILTER(Data!N:N,Data!D:D=A507,Data!B:"&amp;"B=$B$1),""LOW"")*4))"),0.0)</f>
        <v>0</v>
      </c>
      <c r="V507" s="138" t="str">
        <f>IF(Data!B499='Team Parser'!$B$1, Data!D499,"")</f>
        <v/>
      </c>
      <c r="W507" s="134" t="str">
        <f>IF(Data!$B499='Team Parser'!$B$1, Data!H499,"")</f>
        <v/>
      </c>
      <c r="X507" s="134" t="str">
        <f>IF(Data!$B499='Team Parser'!$B$1, Data!G499,"")</f>
        <v/>
      </c>
      <c r="Y507" s="134" t="str">
        <f>IF(Data!$B499='Team Parser'!$B$1, Data!L499,"")</f>
        <v/>
      </c>
      <c r="Z507" s="134" t="str">
        <f>IF(Data!$B499='Team Parser'!$B$1, Data!K499,"")</f>
        <v/>
      </c>
      <c r="AA507" s="134" t="str">
        <f>IF(Data!$B499='Team Parser'!$B$1, Data!M499,"")</f>
        <v/>
      </c>
      <c r="AB507" s="134" t="str">
        <f>IF(Data!$B499='Team Parser'!$B$1,((Z507*2)+(Y507)+(X507*4)+(W507*2)),"")</f>
        <v/>
      </c>
      <c r="AC507" s="134" t="str">
        <f>IF(Data!$B499='Team Parser'!$B$1, Data!N499,"")</f>
        <v/>
      </c>
      <c r="AD507" s="139" t="str">
        <f>IF(Data!$B499='Team Parser'!$B$1,(AB507+(COUNTIF(AC507,"TRAVERSE")*15)+(COUNTIF(AC507,"HIGH")*10)+(COUNTIF(AC507,"MIDDLE")*6)+(COUNTIF(AC507,"LOW")*4)),"")</f>
        <v/>
      </c>
    </row>
    <row r="508">
      <c r="A508" s="141" t="s">
        <v>507</v>
      </c>
      <c r="B508" s="134" t="str">
        <f>IFERROR(__xludf.DUMMYFUNCTION("IFERROR((FILTER(Data!H:H,Data!D:D=A508,Data!B:B=$B$1)),"""")"),"")</f>
        <v/>
      </c>
      <c r="C508" s="134" t="str">
        <f>IFERROR(__xludf.DUMMYFUNCTION("IFERROR((FILTER(Data!G:G,Data!D:D=A508,Data!B:B=$B$1)),"""")"),"")</f>
        <v/>
      </c>
      <c r="D508" s="134" t="str">
        <f>IFERROR(__xludf.DUMMYFUNCTION("IFERROR((FILTER(Data!J:J,Data!D:D=A508,Data!B:B=$B$1)),"""")"),"")</f>
        <v/>
      </c>
      <c r="E508" s="134" t="str">
        <f>IFERROR(__xludf.DUMMYFUNCTION("IFERROR((FILTER(Data!L:L,Data!D:D=A508,Data!B:B=$B$1)),"""")"),"")</f>
        <v/>
      </c>
      <c r="F508" s="134" t="str">
        <f>IFERROR(__xludf.DUMMYFUNCTION("IFERROR((FILTER(Data!K:K,Data!D:D=A508,Data!B:B=$B$1)),"""")"),"")</f>
        <v/>
      </c>
      <c r="G508" s="134" t="str">
        <f>IFERROR(__xludf.DUMMYFUNCTION("IFERROR((FILTER(Data!M:M,Data!D:D=A508,Data!B:B=$B$1)),"""")"),"")</f>
        <v/>
      </c>
      <c r="H508" s="134" t="str">
        <f>IFERROR(__xludf.DUMMYFUNCTION("IFERROR((FILTER(Data!G:G,Data!D:D=A508,Data!B:B=$B$1)*4)+(FILTER(Data!H:H,Data!D:D=A508,Data!B:B=$B$1)*2),"""")"),"")</f>
        <v/>
      </c>
      <c r="I508" s="15" t="str">
        <f>IFERROR(__xludf.DUMMYFUNCTION("IFERROR((FILTER(Data!K:K,Data!D:D=A508,Data!B:B=$B$1)*2)+(FILTER(Data!L:L,Data!D:D=A508,Data!B:B=$B$1)),"""")"),"")</f>
        <v/>
      </c>
      <c r="J508" s="134" t="str">
        <f>IFERROR(__xludf.DUMMYFUNCTION("IFERROR((FILTER(Data!N:N,Data!D:D=A508,Data!B:B=$B$1)),"""")"),"")</f>
        <v/>
      </c>
      <c r="K508" s="135" t="str">
        <f>IFERROR(__xludf.DUMMYFUNCTION("IFERROR((FILTER(Data!H:H,Data!D:D=A508,Data!B:B=$B$1)*2)+(FILTER(Data!L:L,Data!D:D=A508,Data!B:B=$B$1))+(FILTER(Data!G:G,Data!D:D=A508,Data!B:B=$B$1)*4)+(FILTER(Data!K:K,Data!D:D=A508,Data!B:B=$B$1)*2)+(((COUNTIF(FILTER(Data!N:N,Data!D:D=A508,Data!B:B=$B$"&amp;"1),""TRAVERSE"")*15)+(COUNTIF(FILTER(Data!N:N,Data!D:D=A508,Data!B:B=$B$1),""HIGH"")*10)+(COUNTIF(FILTER(Data!N:N,Data!D:D=A508,Data!B:B=$B$1),""MIDDLE"")*6)+(COUNTIF(FILTER(Data!N:N,Data!D:D=A508,Data!B:B=$B$1),""LOW"")*4))),"""")"),"")</f>
        <v/>
      </c>
      <c r="L508" s="136" t="str">
        <f>IFERROR(__xludf.DUMMYFUNCTION("IFERROR((FILTER(Data!P:P,Data!D:D=A508,Data!B:B=$B$1)),"""")"),"")</f>
        <v/>
      </c>
      <c r="M508" s="137" t="str">
        <f>IFERROR(__xludf.DUMMYFUNCTION("IFERROR((FILTER(Data!A:A,Data!D:D=A508,Data!B:B=$B$1)),"""")"),"")</f>
        <v/>
      </c>
      <c r="T508" s="52">
        <f>IFERROR(__xludf.DUMMYFUNCTION("((COUNTIF(FILTER(Data!N:N,Data!D:D=A508,Data!B:B=$B$1),""TRAVERSE"")*15)+(COUNTIF(FILTER(Data!N:N,Data!D:D=A508,Data!B:B=B$1),""HIGH"")*10)+(COUNTIF(FILTER(Data!N:N,Data!D:D=A508,Data!B:B=$B$1),""MIDDLE"")*6)+(COUNTIF(FILTER(Data!N:N,Data!D:D=A508,Data!B:"&amp;"B=$B$1),""LOW"")*4))"),0.0)</f>
        <v>0</v>
      </c>
      <c r="V508" s="138" t="str">
        <f>IF(Data!B500='Team Parser'!$B$1, Data!D500,"")</f>
        <v/>
      </c>
      <c r="W508" s="134" t="str">
        <f>IF(Data!$B500='Team Parser'!$B$1, Data!H500,"")</f>
        <v/>
      </c>
      <c r="X508" s="134" t="str">
        <f>IF(Data!$B500='Team Parser'!$B$1, Data!G500,"")</f>
        <v/>
      </c>
      <c r="Y508" s="134" t="str">
        <f>IF(Data!$B500='Team Parser'!$B$1, Data!L500,"")</f>
        <v/>
      </c>
      <c r="Z508" s="134" t="str">
        <f>IF(Data!$B500='Team Parser'!$B$1, Data!K500,"")</f>
        <v/>
      </c>
      <c r="AA508" s="134" t="str">
        <f>IF(Data!$B500='Team Parser'!$B$1, Data!M500,"")</f>
        <v/>
      </c>
      <c r="AB508" s="134" t="str">
        <f>IF(Data!$B500='Team Parser'!$B$1,((Z508*2)+(Y508)+(X508*4)+(W508*2)),"")</f>
        <v/>
      </c>
      <c r="AC508" s="134" t="str">
        <f>IF(Data!$B500='Team Parser'!$B$1, Data!N500,"")</f>
        <v/>
      </c>
      <c r="AD508" s="139" t="str">
        <f>IF(Data!$B500='Team Parser'!$B$1,(AB508+(COUNTIF(AC508,"TRAVERSE")*15)+(COUNTIF(AC508,"HIGH")*10)+(COUNTIF(AC508,"MIDDLE")*6)+(COUNTIF(AC508,"LOW")*4)),"")</f>
        <v/>
      </c>
    </row>
    <row r="509">
      <c r="A509" s="141" t="s">
        <v>507</v>
      </c>
      <c r="B509" s="134" t="str">
        <f>IFERROR(__xludf.DUMMYFUNCTION("IFERROR((FILTER(Data!H:H,Data!D:D=A509,Data!B:B=$B$1)),"""")"),"")</f>
        <v/>
      </c>
      <c r="C509" s="134" t="str">
        <f>IFERROR(__xludf.DUMMYFUNCTION("IFERROR((FILTER(Data!G:G,Data!D:D=A509,Data!B:B=$B$1)),"""")"),"")</f>
        <v/>
      </c>
      <c r="D509" s="134" t="str">
        <f>IFERROR(__xludf.DUMMYFUNCTION("IFERROR((FILTER(Data!J:J,Data!D:D=A509,Data!B:B=$B$1)),"""")"),"")</f>
        <v/>
      </c>
      <c r="E509" s="134" t="str">
        <f>IFERROR(__xludf.DUMMYFUNCTION("IFERROR((FILTER(Data!L:L,Data!D:D=A509,Data!B:B=$B$1)),"""")"),"")</f>
        <v/>
      </c>
      <c r="F509" s="134" t="str">
        <f>IFERROR(__xludf.DUMMYFUNCTION("IFERROR((FILTER(Data!K:K,Data!D:D=A509,Data!B:B=$B$1)),"""")"),"")</f>
        <v/>
      </c>
      <c r="G509" s="134" t="str">
        <f>IFERROR(__xludf.DUMMYFUNCTION("IFERROR((FILTER(Data!M:M,Data!D:D=A509,Data!B:B=$B$1)),"""")"),"")</f>
        <v/>
      </c>
      <c r="H509" s="134" t="str">
        <f>IFERROR(__xludf.DUMMYFUNCTION("IFERROR((FILTER(Data!G:G,Data!D:D=A509,Data!B:B=$B$1)*4)+(FILTER(Data!H:H,Data!D:D=A509,Data!B:B=$B$1)*2),"""")"),"")</f>
        <v/>
      </c>
      <c r="I509" s="15" t="str">
        <f>IFERROR(__xludf.DUMMYFUNCTION("IFERROR((FILTER(Data!K:K,Data!D:D=A509,Data!B:B=$B$1)*2)+(FILTER(Data!L:L,Data!D:D=A509,Data!B:B=$B$1)),"""")"),"")</f>
        <v/>
      </c>
      <c r="J509" s="134" t="str">
        <f>IFERROR(__xludf.DUMMYFUNCTION("IFERROR((FILTER(Data!N:N,Data!D:D=A509,Data!B:B=$B$1)),"""")"),"")</f>
        <v/>
      </c>
      <c r="K509" s="135" t="str">
        <f>IFERROR(__xludf.DUMMYFUNCTION("IFERROR((FILTER(Data!H:H,Data!D:D=A509,Data!B:B=$B$1)*2)+(FILTER(Data!L:L,Data!D:D=A509,Data!B:B=$B$1))+(FILTER(Data!G:G,Data!D:D=A509,Data!B:B=$B$1)*4)+(FILTER(Data!K:K,Data!D:D=A509,Data!B:B=$B$1)*2)+(((COUNTIF(FILTER(Data!N:N,Data!D:D=A509,Data!B:B=$B$"&amp;"1),""TRAVERSE"")*15)+(COUNTIF(FILTER(Data!N:N,Data!D:D=A509,Data!B:B=$B$1),""HIGH"")*10)+(COUNTIF(FILTER(Data!N:N,Data!D:D=A509,Data!B:B=$B$1),""MIDDLE"")*6)+(COUNTIF(FILTER(Data!N:N,Data!D:D=A509,Data!B:B=$B$1),""LOW"")*4))),"""")"),"")</f>
        <v/>
      </c>
      <c r="L509" s="136" t="str">
        <f>IFERROR(__xludf.DUMMYFUNCTION("IFERROR((FILTER(Data!P:P,Data!D:D=A509,Data!B:B=$B$1)),"""")"),"")</f>
        <v/>
      </c>
      <c r="M509" s="137" t="str">
        <f>IFERROR(__xludf.DUMMYFUNCTION("IFERROR((FILTER(Data!A:A,Data!D:D=A509,Data!B:B=$B$1)),"""")"),"")</f>
        <v/>
      </c>
      <c r="T509" s="52">
        <f>IFERROR(__xludf.DUMMYFUNCTION("((COUNTIF(FILTER(Data!N:N,Data!D:D=A509,Data!B:B=$B$1),""TRAVERSE"")*15)+(COUNTIF(FILTER(Data!N:N,Data!D:D=A509,Data!B:B=B$1),""HIGH"")*10)+(COUNTIF(FILTER(Data!N:N,Data!D:D=A509,Data!B:B=$B$1),""MIDDLE"")*6)+(COUNTIF(FILTER(Data!N:N,Data!D:D=A509,Data!B:"&amp;"B=$B$1),""LOW"")*4))"),0.0)</f>
        <v>0</v>
      </c>
      <c r="V509" s="138" t="str">
        <f>IF(Data!B501='Team Parser'!$B$1, Data!D501,"")</f>
        <v/>
      </c>
      <c r="W509" s="134" t="str">
        <f>IF(Data!$B501='Team Parser'!$B$1, Data!H501,"")</f>
        <v/>
      </c>
      <c r="X509" s="134" t="str">
        <f>IF(Data!$B501='Team Parser'!$B$1, Data!G501,"")</f>
        <v/>
      </c>
      <c r="Y509" s="134" t="str">
        <f>IF(Data!$B501='Team Parser'!$B$1, Data!L501,"")</f>
        <v/>
      </c>
      <c r="Z509" s="134" t="str">
        <f>IF(Data!$B501='Team Parser'!$B$1, Data!K501,"")</f>
        <v/>
      </c>
      <c r="AA509" s="134" t="str">
        <f>IF(Data!$B501='Team Parser'!$B$1, Data!M501,"")</f>
        <v/>
      </c>
      <c r="AB509" s="134" t="str">
        <f>IF(Data!$B501='Team Parser'!$B$1,((Z509*2)+(Y509)+(X509*4)+(W509*2)),"")</f>
        <v/>
      </c>
      <c r="AC509" s="134" t="str">
        <f>IF(Data!$B501='Team Parser'!$B$1, Data!N501,"")</f>
        <v/>
      </c>
      <c r="AD509" s="139" t="str">
        <f>IF(Data!$B501='Team Parser'!$B$1,(AB509+(COUNTIF(AC509,"TRAVERSE")*15)+(COUNTIF(AC509,"HIGH")*10)+(COUNTIF(AC509,"MIDDLE")*6)+(COUNTIF(AC509,"LOW")*4)),"")</f>
        <v/>
      </c>
    </row>
    <row r="510">
      <c r="A510" s="141" t="s">
        <v>507</v>
      </c>
      <c r="B510" s="134" t="str">
        <f>IFERROR(__xludf.DUMMYFUNCTION("IFERROR((FILTER(Data!H:H,Data!D:D=A510,Data!B:B=$B$1)),"""")"),"")</f>
        <v/>
      </c>
      <c r="C510" s="134" t="str">
        <f>IFERROR(__xludf.DUMMYFUNCTION("IFERROR((FILTER(Data!G:G,Data!D:D=A510,Data!B:B=$B$1)),"""")"),"")</f>
        <v/>
      </c>
      <c r="D510" s="134" t="str">
        <f>IFERROR(__xludf.DUMMYFUNCTION("IFERROR((FILTER(Data!J:J,Data!D:D=A510,Data!B:B=$B$1)),"""")"),"")</f>
        <v/>
      </c>
      <c r="E510" s="134" t="str">
        <f>IFERROR(__xludf.DUMMYFUNCTION("IFERROR((FILTER(Data!L:L,Data!D:D=A510,Data!B:B=$B$1)),"""")"),"")</f>
        <v/>
      </c>
      <c r="F510" s="134" t="str">
        <f>IFERROR(__xludf.DUMMYFUNCTION("IFERROR((FILTER(Data!K:K,Data!D:D=A510,Data!B:B=$B$1)),"""")"),"")</f>
        <v/>
      </c>
      <c r="G510" s="134" t="str">
        <f>IFERROR(__xludf.DUMMYFUNCTION("IFERROR((FILTER(Data!M:M,Data!D:D=A510,Data!B:B=$B$1)),"""")"),"")</f>
        <v/>
      </c>
      <c r="H510" s="134" t="str">
        <f>IFERROR(__xludf.DUMMYFUNCTION("IFERROR((FILTER(Data!G:G,Data!D:D=A510,Data!B:B=$B$1)*4)+(FILTER(Data!H:H,Data!D:D=A510,Data!B:B=$B$1)*2),"""")"),"")</f>
        <v/>
      </c>
      <c r="I510" s="15" t="str">
        <f>IFERROR(__xludf.DUMMYFUNCTION("IFERROR((FILTER(Data!K:K,Data!D:D=A510,Data!B:B=$B$1)*2)+(FILTER(Data!L:L,Data!D:D=A510,Data!B:B=$B$1)),"""")"),"")</f>
        <v/>
      </c>
      <c r="J510" s="134" t="str">
        <f>IFERROR(__xludf.DUMMYFUNCTION("IFERROR((FILTER(Data!N:N,Data!D:D=A510,Data!B:B=$B$1)),"""")"),"")</f>
        <v/>
      </c>
      <c r="K510" s="135" t="str">
        <f>IFERROR(__xludf.DUMMYFUNCTION("IFERROR((FILTER(Data!H:H,Data!D:D=A510,Data!B:B=$B$1)*2)+(FILTER(Data!L:L,Data!D:D=A510,Data!B:B=$B$1))+(FILTER(Data!G:G,Data!D:D=A510,Data!B:B=$B$1)*4)+(FILTER(Data!K:K,Data!D:D=A510,Data!B:B=$B$1)*2)+(((COUNTIF(FILTER(Data!N:N,Data!D:D=A510,Data!B:B=$B$"&amp;"1),""TRAVERSE"")*15)+(COUNTIF(FILTER(Data!N:N,Data!D:D=A510,Data!B:B=$B$1),""HIGH"")*10)+(COUNTIF(FILTER(Data!N:N,Data!D:D=A510,Data!B:B=$B$1),""MIDDLE"")*6)+(COUNTIF(FILTER(Data!N:N,Data!D:D=A510,Data!B:B=$B$1),""LOW"")*4))),"""")"),"")</f>
        <v/>
      </c>
      <c r="L510" s="136" t="str">
        <f>IFERROR(__xludf.DUMMYFUNCTION("IFERROR((FILTER(Data!P:P,Data!D:D=A510,Data!B:B=$B$1)),"""")"),"")</f>
        <v/>
      </c>
      <c r="M510" s="137" t="str">
        <f>IFERROR(__xludf.DUMMYFUNCTION("IFERROR((FILTER(Data!A:A,Data!D:D=A510,Data!B:B=$B$1)),"""")"),"")</f>
        <v/>
      </c>
      <c r="T510" s="52">
        <f>IFERROR(__xludf.DUMMYFUNCTION("((COUNTIF(FILTER(Data!N:N,Data!D:D=A510,Data!B:B=$B$1),""TRAVERSE"")*15)+(COUNTIF(FILTER(Data!N:N,Data!D:D=A510,Data!B:B=B$1),""HIGH"")*10)+(COUNTIF(FILTER(Data!N:N,Data!D:D=A510,Data!B:B=$B$1),""MIDDLE"")*6)+(COUNTIF(FILTER(Data!N:N,Data!D:D=A510,Data!B:"&amp;"B=$B$1),""LOW"")*4))"),0.0)</f>
        <v>0</v>
      </c>
      <c r="V510" s="138" t="str">
        <f>IF(Data!B502='Team Parser'!$B$1, Data!D502,"")</f>
        <v/>
      </c>
      <c r="W510" s="134" t="str">
        <f>IF(Data!$B502='Team Parser'!$B$1, Data!H502,"")</f>
        <v/>
      </c>
      <c r="X510" s="134" t="str">
        <f>IF(Data!$B502='Team Parser'!$B$1, Data!G502,"")</f>
        <v/>
      </c>
      <c r="Y510" s="134" t="str">
        <f>IF(Data!$B502='Team Parser'!$B$1, Data!L502,"")</f>
        <v/>
      </c>
      <c r="Z510" s="134" t="str">
        <f>IF(Data!$B502='Team Parser'!$B$1, Data!K502,"")</f>
        <v/>
      </c>
      <c r="AA510" s="134" t="str">
        <f>IF(Data!$B502='Team Parser'!$B$1, Data!M502,"")</f>
        <v/>
      </c>
      <c r="AB510" s="134" t="str">
        <f>IF(Data!$B502='Team Parser'!$B$1,((Z510*2)+(Y510)+(X510*4)+(W510*2)),"")</f>
        <v/>
      </c>
      <c r="AC510" s="134" t="str">
        <f>IF(Data!$B502='Team Parser'!$B$1, Data!N502,"")</f>
        <v/>
      </c>
      <c r="AD510" s="139" t="str">
        <f>IF(Data!$B502='Team Parser'!$B$1,(AB510+(COUNTIF(AC510,"TRAVERSE")*15)+(COUNTIF(AC510,"HIGH")*10)+(COUNTIF(AC510,"MIDDLE")*6)+(COUNTIF(AC510,"LOW")*4)),"")</f>
        <v/>
      </c>
    </row>
    <row r="511">
      <c r="A511" s="141" t="s">
        <v>507</v>
      </c>
      <c r="B511" s="134" t="str">
        <f>IFERROR(__xludf.DUMMYFUNCTION("IFERROR((FILTER(Data!H:H,Data!D:D=A511,Data!B:B=$B$1)),"""")"),"")</f>
        <v/>
      </c>
      <c r="C511" s="134" t="str">
        <f>IFERROR(__xludf.DUMMYFUNCTION("IFERROR((FILTER(Data!G:G,Data!D:D=A511,Data!B:B=$B$1)),"""")"),"")</f>
        <v/>
      </c>
      <c r="D511" s="134" t="str">
        <f>IFERROR(__xludf.DUMMYFUNCTION("IFERROR((FILTER(Data!J:J,Data!D:D=A511,Data!B:B=$B$1)),"""")"),"")</f>
        <v/>
      </c>
      <c r="E511" s="134" t="str">
        <f>IFERROR(__xludf.DUMMYFUNCTION("IFERROR((FILTER(Data!L:L,Data!D:D=A511,Data!B:B=$B$1)),"""")"),"")</f>
        <v/>
      </c>
      <c r="F511" s="134" t="str">
        <f>IFERROR(__xludf.DUMMYFUNCTION("IFERROR((FILTER(Data!K:K,Data!D:D=A511,Data!B:B=$B$1)),"""")"),"")</f>
        <v/>
      </c>
      <c r="G511" s="134" t="str">
        <f>IFERROR(__xludf.DUMMYFUNCTION("IFERROR((FILTER(Data!M:M,Data!D:D=A511,Data!B:B=$B$1)),"""")"),"")</f>
        <v/>
      </c>
      <c r="H511" s="134" t="str">
        <f>IFERROR(__xludf.DUMMYFUNCTION("IFERROR((FILTER(Data!G:G,Data!D:D=A511,Data!B:B=$B$1)*4)+(FILTER(Data!H:H,Data!D:D=A511,Data!B:B=$B$1)*2),"""")"),"")</f>
        <v/>
      </c>
      <c r="I511" s="15" t="str">
        <f>IFERROR(__xludf.DUMMYFUNCTION("IFERROR((FILTER(Data!K:K,Data!D:D=A511,Data!B:B=$B$1)*2)+(FILTER(Data!L:L,Data!D:D=A511,Data!B:B=$B$1)),"""")"),"")</f>
        <v/>
      </c>
      <c r="J511" s="134" t="str">
        <f>IFERROR(__xludf.DUMMYFUNCTION("IFERROR((FILTER(Data!N:N,Data!D:D=A511,Data!B:B=$B$1)),"""")"),"")</f>
        <v/>
      </c>
      <c r="K511" s="135" t="str">
        <f>IFERROR(__xludf.DUMMYFUNCTION("IFERROR((FILTER(Data!H:H,Data!D:D=A511,Data!B:B=$B$1)*2)+(FILTER(Data!L:L,Data!D:D=A511,Data!B:B=$B$1))+(FILTER(Data!G:G,Data!D:D=A511,Data!B:B=$B$1)*4)+(FILTER(Data!K:K,Data!D:D=A511,Data!B:B=$B$1)*2)+(((COUNTIF(FILTER(Data!N:N,Data!D:D=A511,Data!B:B=$B$"&amp;"1),""TRAVERSE"")*15)+(COUNTIF(FILTER(Data!N:N,Data!D:D=A511,Data!B:B=$B$1),""HIGH"")*10)+(COUNTIF(FILTER(Data!N:N,Data!D:D=A511,Data!B:B=$B$1),""MIDDLE"")*6)+(COUNTIF(FILTER(Data!N:N,Data!D:D=A511,Data!B:B=$B$1),""LOW"")*4))),"""")"),"")</f>
        <v/>
      </c>
      <c r="L511" s="136" t="str">
        <f>IFERROR(__xludf.DUMMYFUNCTION("IFERROR((FILTER(Data!P:P,Data!D:D=A511,Data!B:B=$B$1)),"""")"),"")</f>
        <v/>
      </c>
      <c r="M511" s="137" t="str">
        <f>IFERROR(__xludf.DUMMYFUNCTION("IFERROR((FILTER(Data!A:A,Data!D:D=A511,Data!B:B=$B$1)),"""")"),"")</f>
        <v/>
      </c>
      <c r="T511" s="52">
        <f>IFERROR(__xludf.DUMMYFUNCTION("((COUNTIF(FILTER(Data!N:N,Data!D:D=A511,Data!B:B=$B$1),""TRAVERSE"")*15)+(COUNTIF(FILTER(Data!N:N,Data!D:D=A511,Data!B:B=B$1),""HIGH"")*10)+(COUNTIF(FILTER(Data!N:N,Data!D:D=A511,Data!B:B=$B$1),""MIDDLE"")*6)+(COUNTIF(FILTER(Data!N:N,Data!D:D=A511,Data!B:"&amp;"B=$B$1),""LOW"")*4))"),0.0)</f>
        <v>0</v>
      </c>
      <c r="V511" s="138" t="str">
        <f>IF(Data!B503='Team Parser'!$B$1, Data!D503,"")</f>
        <v/>
      </c>
      <c r="W511" s="134" t="str">
        <f>IF(Data!$B503='Team Parser'!$B$1, Data!H503,"")</f>
        <v/>
      </c>
      <c r="X511" s="134" t="str">
        <f>IF(Data!$B503='Team Parser'!$B$1, Data!G503,"")</f>
        <v/>
      </c>
      <c r="Y511" s="134" t="str">
        <f>IF(Data!$B503='Team Parser'!$B$1, Data!L503,"")</f>
        <v/>
      </c>
      <c r="Z511" s="134" t="str">
        <f>IF(Data!$B503='Team Parser'!$B$1, Data!K503,"")</f>
        <v/>
      </c>
      <c r="AA511" s="134" t="str">
        <f>IF(Data!$B503='Team Parser'!$B$1, Data!M503,"")</f>
        <v/>
      </c>
      <c r="AB511" s="134" t="str">
        <f>IF(Data!$B503='Team Parser'!$B$1,((Z511*2)+(Y511)+(X511*4)+(W511*2)),"")</f>
        <v/>
      </c>
      <c r="AC511" s="134" t="str">
        <f>IF(Data!$B503='Team Parser'!$B$1, Data!N503,"")</f>
        <v/>
      </c>
      <c r="AD511" s="139" t="str">
        <f>IF(Data!$B503='Team Parser'!$B$1,(AB511+(COUNTIF(AC511,"TRAVERSE")*15)+(COUNTIF(AC511,"HIGH")*10)+(COUNTIF(AC511,"MIDDLE")*6)+(COUNTIF(AC511,"LOW")*4)),"")</f>
        <v/>
      </c>
    </row>
    <row r="512">
      <c r="A512" s="141" t="s">
        <v>507</v>
      </c>
      <c r="B512" s="134" t="str">
        <f>IFERROR(__xludf.DUMMYFUNCTION("IFERROR((FILTER(Data!H:H,Data!D:D=A512,Data!B:B=$B$1)),"""")"),"")</f>
        <v/>
      </c>
      <c r="C512" s="134" t="str">
        <f>IFERROR(__xludf.DUMMYFUNCTION("IFERROR((FILTER(Data!G:G,Data!D:D=A512,Data!B:B=$B$1)),"""")"),"")</f>
        <v/>
      </c>
      <c r="D512" s="134" t="str">
        <f>IFERROR(__xludf.DUMMYFUNCTION("IFERROR((FILTER(Data!J:J,Data!D:D=A512,Data!B:B=$B$1)),"""")"),"")</f>
        <v/>
      </c>
      <c r="E512" s="134" t="str">
        <f>IFERROR(__xludf.DUMMYFUNCTION("IFERROR((FILTER(Data!L:L,Data!D:D=A512,Data!B:B=$B$1)),"""")"),"")</f>
        <v/>
      </c>
      <c r="F512" s="134" t="str">
        <f>IFERROR(__xludf.DUMMYFUNCTION("IFERROR((FILTER(Data!K:K,Data!D:D=A512,Data!B:B=$B$1)),"""")"),"")</f>
        <v/>
      </c>
      <c r="G512" s="134" t="str">
        <f>IFERROR(__xludf.DUMMYFUNCTION("IFERROR((FILTER(Data!M:M,Data!D:D=A512,Data!B:B=$B$1)),"""")"),"")</f>
        <v/>
      </c>
      <c r="H512" s="134" t="str">
        <f>IFERROR(__xludf.DUMMYFUNCTION("IFERROR((FILTER(Data!G:G,Data!D:D=A512,Data!B:B=$B$1)*4)+(FILTER(Data!H:H,Data!D:D=A512,Data!B:B=$B$1)*2),"""")"),"")</f>
        <v/>
      </c>
      <c r="I512" s="15" t="str">
        <f>IFERROR(__xludf.DUMMYFUNCTION("IFERROR((FILTER(Data!K:K,Data!D:D=A512,Data!B:B=$B$1)*2)+(FILTER(Data!L:L,Data!D:D=A512,Data!B:B=$B$1)),"""")"),"")</f>
        <v/>
      </c>
      <c r="J512" s="134" t="str">
        <f>IFERROR(__xludf.DUMMYFUNCTION("IFERROR((FILTER(Data!N:N,Data!D:D=A512,Data!B:B=$B$1)),"""")"),"")</f>
        <v/>
      </c>
      <c r="K512" s="135" t="str">
        <f>IFERROR(__xludf.DUMMYFUNCTION("IFERROR((FILTER(Data!H:H,Data!D:D=A512,Data!B:B=$B$1)*2)+(FILTER(Data!L:L,Data!D:D=A512,Data!B:B=$B$1))+(FILTER(Data!G:G,Data!D:D=A512,Data!B:B=$B$1)*4)+(FILTER(Data!K:K,Data!D:D=A512,Data!B:B=$B$1)*2)+(((COUNTIF(FILTER(Data!N:N,Data!D:D=A512,Data!B:B=$B$"&amp;"1),""TRAVERSE"")*15)+(COUNTIF(FILTER(Data!N:N,Data!D:D=A512,Data!B:B=$B$1),""HIGH"")*10)+(COUNTIF(FILTER(Data!N:N,Data!D:D=A512,Data!B:B=$B$1),""MIDDLE"")*6)+(COUNTIF(FILTER(Data!N:N,Data!D:D=A512,Data!B:B=$B$1),""LOW"")*4))),"""")"),"")</f>
        <v/>
      </c>
      <c r="L512" s="136" t="str">
        <f>IFERROR(__xludf.DUMMYFUNCTION("IFERROR((FILTER(Data!P:P,Data!D:D=A512,Data!B:B=$B$1)),"""")"),"")</f>
        <v/>
      </c>
      <c r="M512" s="137" t="str">
        <f>IFERROR(__xludf.DUMMYFUNCTION("IFERROR((FILTER(Data!A:A,Data!D:D=A512,Data!B:B=$B$1)),"""")"),"")</f>
        <v/>
      </c>
      <c r="T512" s="52">
        <f>IFERROR(__xludf.DUMMYFUNCTION("((COUNTIF(FILTER(Data!N:N,Data!D:D=A512,Data!B:B=$B$1),""TRAVERSE"")*15)+(COUNTIF(FILTER(Data!N:N,Data!D:D=A512,Data!B:B=B$1),""HIGH"")*10)+(COUNTIF(FILTER(Data!N:N,Data!D:D=A512,Data!B:B=$B$1),""MIDDLE"")*6)+(COUNTIF(FILTER(Data!N:N,Data!D:D=A512,Data!B:"&amp;"B=$B$1),""LOW"")*4))"),0.0)</f>
        <v>0</v>
      </c>
      <c r="V512" s="138" t="str">
        <f>IF(Data!B504='Team Parser'!$B$1, Data!D504,"")</f>
        <v/>
      </c>
      <c r="W512" s="134" t="str">
        <f>IF(Data!$B504='Team Parser'!$B$1, Data!H504,"")</f>
        <v/>
      </c>
      <c r="X512" s="134" t="str">
        <f>IF(Data!$B504='Team Parser'!$B$1, Data!G504,"")</f>
        <v/>
      </c>
      <c r="Y512" s="134" t="str">
        <f>IF(Data!$B504='Team Parser'!$B$1, Data!L504,"")</f>
        <v/>
      </c>
      <c r="Z512" s="134" t="str">
        <f>IF(Data!$B504='Team Parser'!$B$1, Data!K504,"")</f>
        <v/>
      </c>
      <c r="AA512" s="134" t="str">
        <f>IF(Data!$B504='Team Parser'!$B$1, Data!M504,"")</f>
        <v/>
      </c>
      <c r="AB512" s="134" t="str">
        <f>IF(Data!$B504='Team Parser'!$B$1,((Z512*2)+(Y512)+(X512*4)+(W512*2)),"")</f>
        <v/>
      </c>
      <c r="AC512" s="134" t="str">
        <f>IF(Data!$B504='Team Parser'!$B$1, Data!N504,"")</f>
        <v/>
      </c>
      <c r="AD512" s="139" t="str">
        <f>IF(Data!$B504='Team Parser'!$B$1,(AB512+(COUNTIF(AC512,"TRAVERSE")*15)+(COUNTIF(AC512,"HIGH")*10)+(COUNTIF(AC512,"MIDDLE")*6)+(COUNTIF(AC512,"LOW")*4)),"")</f>
        <v/>
      </c>
    </row>
    <row r="513">
      <c r="A513" s="141" t="s">
        <v>507</v>
      </c>
      <c r="B513" s="134" t="str">
        <f>IFERROR(__xludf.DUMMYFUNCTION("IFERROR((FILTER(Data!H:H,Data!D:D=A513,Data!B:B=$B$1)),"""")"),"")</f>
        <v/>
      </c>
      <c r="C513" s="134" t="str">
        <f>IFERROR(__xludf.DUMMYFUNCTION("IFERROR((FILTER(Data!G:G,Data!D:D=A513,Data!B:B=$B$1)),"""")"),"")</f>
        <v/>
      </c>
      <c r="D513" s="134" t="str">
        <f>IFERROR(__xludf.DUMMYFUNCTION("IFERROR((FILTER(Data!J:J,Data!D:D=A513,Data!B:B=$B$1)),"""")"),"")</f>
        <v/>
      </c>
      <c r="E513" s="134" t="str">
        <f>IFERROR(__xludf.DUMMYFUNCTION("IFERROR((FILTER(Data!L:L,Data!D:D=A513,Data!B:B=$B$1)),"""")"),"")</f>
        <v/>
      </c>
      <c r="F513" s="134" t="str">
        <f>IFERROR(__xludf.DUMMYFUNCTION("IFERROR((FILTER(Data!K:K,Data!D:D=A513,Data!B:B=$B$1)),"""")"),"")</f>
        <v/>
      </c>
      <c r="G513" s="134" t="str">
        <f>IFERROR(__xludf.DUMMYFUNCTION("IFERROR((FILTER(Data!M:M,Data!D:D=A513,Data!B:B=$B$1)),"""")"),"")</f>
        <v/>
      </c>
      <c r="H513" s="134" t="str">
        <f>IFERROR(__xludf.DUMMYFUNCTION("IFERROR((FILTER(Data!G:G,Data!D:D=A513,Data!B:B=$B$1)*4)+(FILTER(Data!H:H,Data!D:D=A513,Data!B:B=$B$1)*2),"""")"),"")</f>
        <v/>
      </c>
      <c r="I513" s="15" t="str">
        <f>IFERROR(__xludf.DUMMYFUNCTION("IFERROR((FILTER(Data!K:K,Data!D:D=A513,Data!B:B=$B$1)*2)+(FILTER(Data!L:L,Data!D:D=A513,Data!B:B=$B$1)),"""")"),"")</f>
        <v/>
      </c>
      <c r="J513" s="134" t="str">
        <f>IFERROR(__xludf.DUMMYFUNCTION("IFERROR((FILTER(Data!N:N,Data!D:D=A513,Data!B:B=$B$1)),"""")"),"")</f>
        <v/>
      </c>
      <c r="K513" s="135" t="str">
        <f>IFERROR(__xludf.DUMMYFUNCTION("IFERROR((FILTER(Data!H:H,Data!D:D=A513,Data!B:B=$B$1)*2)+(FILTER(Data!L:L,Data!D:D=A513,Data!B:B=$B$1))+(FILTER(Data!G:G,Data!D:D=A513,Data!B:B=$B$1)*4)+(FILTER(Data!K:K,Data!D:D=A513,Data!B:B=$B$1)*2)+(((COUNTIF(FILTER(Data!N:N,Data!D:D=A513,Data!B:B=$B$"&amp;"1),""TRAVERSE"")*15)+(COUNTIF(FILTER(Data!N:N,Data!D:D=A513,Data!B:B=$B$1),""HIGH"")*10)+(COUNTIF(FILTER(Data!N:N,Data!D:D=A513,Data!B:B=$B$1),""MIDDLE"")*6)+(COUNTIF(FILTER(Data!N:N,Data!D:D=A513,Data!B:B=$B$1),""LOW"")*4))),"""")"),"")</f>
        <v/>
      </c>
      <c r="L513" s="136" t="str">
        <f>IFERROR(__xludf.DUMMYFUNCTION("IFERROR((FILTER(Data!P:P,Data!D:D=A513,Data!B:B=$B$1)),"""")"),"")</f>
        <v/>
      </c>
      <c r="M513" s="137" t="str">
        <f>IFERROR(__xludf.DUMMYFUNCTION("IFERROR((FILTER(Data!A:A,Data!D:D=A513,Data!B:B=$B$1)),"""")"),"")</f>
        <v/>
      </c>
      <c r="T513" s="52">
        <f>IFERROR(__xludf.DUMMYFUNCTION("((COUNTIF(FILTER(Data!N:N,Data!D:D=A513,Data!B:B=$B$1),""TRAVERSE"")*15)+(COUNTIF(FILTER(Data!N:N,Data!D:D=A513,Data!B:B=B$1),""HIGH"")*10)+(COUNTIF(FILTER(Data!N:N,Data!D:D=A513,Data!B:B=$B$1),""MIDDLE"")*6)+(COUNTIF(FILTER(Data!N:N,Data!D:D=A513,Data!B:"&amp;"B=$B$1),""LOW"")*4))"),0.0)</f>
        <v>0</v>
      </c>
      <c r="V513" s="138" t="str">
        <f>IF(Data!B505='Team Parser'!$B$1, Data!D505,"")</f>
        <v/>
      </c>
      <c r="W513" s="134" t="str">
        <f>IF(Data!$B505='Team Parser'!$B$1, Data!H505,"")</f>
        <v/>
      </c>
      <c r="X513" s="134" t="str">
        <f>IF(Data!$B505='Team Parser'!$B$1, Data!G505,"")</f>
        <v/>
      </c>
      <c r="Y513" s="134" t="str">
        <f>IF(Data!$B505='Team Parser'!$B$1, Data!L505,"")</f>
        <v/>
      </c>
      <c r="Z513" s="134" t="str">
        <f>IF(Data!$B505='Team Parser'!$B$1, Data!K505,"")</f>
        <v/>
      </c>
      <c r="AA513" s="134" t="str">
        <f>IF(Data!$B505='Team Parser'!$B$1, Data!M505,"")</f>
        <v/>
      </c>
      <c r="AB513" s="134" t="str">
        <f>IF(Data!$B505='Team Parser'!$B$1,((Z513*2)+(Y513)+(X513*4)+(W513*2)),"")</f>
        <v/>
      </c>
      <c r="AC513" s="134" t="str">
        <f>IF(Data!$B505='Team Parser'!$B$1, Data!N505,"")</f>
        <v/>
      </c>
      <c r="AD513" s="139" t="str">
        <f>IF(Data!$B505='Team Parser'!$B$1,(AB513+(COUNTIF(AC513,"TRAVERSE")*15)+(COUNTIF(AC513,"HIGH")*10)+(COUNTIF(AC513,"MIDDLE")*6)+(COUNTIF(AC513,"LOW")*4)),"")</f>
        <v/>
      </c>
    </row>
    <row r="514">
      <c r="A514" s="141" t="s">
        <v>507</v>
      </c>
      <c r="B514" s="134" t="str">
        <f>IFERROR(__xludf.DUMMYFUNCTION("IFERROR((FILTER(Data!H:H,Data!D:D=A514,Data!B:B=$B$1)),"""")"),"")</f>
        <v/>
      </c>
      <c r="C514" s="134" t="str">
        <f>IFERROR(__xludf.DUMMYFUNCTION("IFERROR((FILTER(Data!G:G,Data!D:D=A514,Data!B:B=$B$1)),"""")"),"")</f>
        <v/>
      </c>
      <c r="D514" s="134" t="str">
        <f>IFERROR(__xludf.DUMMYFUNCTION("IFERROR((FILTER(Data!J:J,Data!D:D=A514,Data!B:B=$B$1)),"""")"),"")</f>
        <v/>
      </c>
      <c r="E514" s="134" t="str">
        <f>IFERROR(__xludf.DUMMYFUNCTION("IFERROR((FILTER(Data!L:L,Data!D:D=A514,Data!B:B=$B$1)),"""")"),"")</f>
        <v/>
      </c>
      <c r="F514" s="134" t="str">
        <f>IFERROR(__xludf.DUMMYFUNCTION("IFERROR((FILTER(Data!K:K,Data!D:D=A514,Data!B:B=$B$1)),"""")"),"")</f>
        <v/>
      </c>
      <c r="G514" s="134" t="str">
        <f>IFERROR(__xludf.DUMMYFUNCTION("IFERROR((FILTER(Data!M:M,Data!D:D=A514,Data!B:B=$B$1)),"""")"),"")</f>
        <v/>
      </c>
      <c r="H514" s="134" t="str">
        <f>IFERROR(__xludf.DUMMYFUNCTION("IFERROR((FILTER(Data!G:G,Data!D:D=A514,Data!B:B=$B$1)*4)+(FILTER(Data!H:H,Data!D:D=A514,Data!B:B=$B$1)*2),"""")"),"")</f>
        <v/>
      </c>
      <c r="I514" s="15" t="str">
        <f>IFERROR(__xludf.DUMMYFUNCTION("IFERROR((FILTER(Data!K:K,Data!D:D=A514,Data!B:B=$B$1)*2)+(FILTER(Data!L:L,Data!D:D=A514,Data!B:B=$B$1)),"""")"),"")</f>
        <v/>
      </c>
      <c r="J514" s="134" t="str">
        <f>IFERROR(__xludf.DUMMYFUNCTION("IFERROR((FILTER(Data!N:N,Data!D:D=A514,Data!B:B=$B$1)),"""")"),"")</f>
        <v/>
      </c>
      <c r="K514" s="135" t="str">
        <f>IFERROR(__xludf.DUMMYFUNCTION("IFERROR((FILTER(Data!H:H,Data!D:D=A514,Data!B:B=$B$1)*2)+(FILTER(Data!L:L,Data!D:D=A514,Data!B:B=$B$1))+(FILTER(Data!G:G,Data!D:D=A514,Data!B:B=$B$1)*4)+(FILTER(Data!K:K,Data!D:D=A514,Data!B:B=$B$1)*2)+(((COUNTIF(FILTER(Data!N:N,Data!D:D=A514,Data!B:B=$B$"&amp;"1),""TRAVERSE"")*15)+(COUNTIF(FILTER(Data!N:N,Data!D:D=A514,Data!B:B=$B$1),""HIGH"")*10)+(COUNTIF(FILTER(Data!N:N,Data!D:D=A514,Data!B:B=$B$1),""MIDDLE"")*6)+(COUNTIF(FILTER(Data!N:N,Data!D:D=A514,Data!B:B=$B$1),""LOW"")*4))),"""")"),"")</f>
        <v/>
      </c>
      <c r="L514" s="136" t="str">
        <f>IFERROR(__xludf.DUMMYFUNCTION("IFERROR((FILTER(Data!P:P,Data!D:D=A514,Data!B:B=$B$1)),"""")"),"")</f>
        <v/>
      </c>
      <c r="M514" s="137" t="str">
        <f>IFERROR(__xludf.DUMMYFUNCTION("IFERROR((FILTER(Data!A:A,Data!D:D=A514,Data!B:B=$B$1)),"""")"),"")</f>
        <v/>
      </c>
      <c r="T514" s="52">
        <f>IFERROR(__xludf.DUMMYFUNCTION("((COUNTIF(FILTER(Data!N:N,Data!D:D=A514,Data!B:B=$B$1),""TRAVERSE"")*15)+(COUNTIF(FILTER(Data!N:N,Data!D:D=A514,Data!B:B=B$1),""HIGH"")*10)+(COUNTIF(FILTER(Data!N:N,Data!D:D=A514,Data!B:B=$B$1),""MIDDLE"")*6)+(COUNTIF(FILTER(Data!N:N,Data!D:D=A514,Data!B:"&amp;"B=$B$1),""LOW"")*4))"),0.0)</f>
        <v>0</v>
      </c>
      <c r="V514" s="138" t="str">
        <f>IF(Data!B506='Team Parser'!$B$1, Data!D506,"")</f>
        <v/>
      </c>
      <c r="W514" s="134" t="str">
        <f>IF(Data!$B506='Team Parser'!$B$1, Data!H506,"")</f>
        <v/>
      </c>
      <c r="X514" s="134" t="str">
        <f>IF(Data!$B506='Team Parser'!$B$1, Data!G506,"")</f>
        <v/>
      </c>
      <c r="Y514" s="134" t="str">
        <f>IF(Data!$B506='Team Parser'!$B$1, Data!L506,"")</f>
        <v/>
      </c>
      <c r="Z514" s="134" t="str">
        <f>IF(Data!$B506='Team Parser'!$B$1, Data!K506,"")</f>
        <v/>
      </c>
      <c r="AA514" s="134" t="str">
        <f>IF(Data!$B506='Team Parser'!$B$1, Data!M506,"")</f>
        <v/>
      </c>
      <c r="AB514" s="134" t="str">
        <f>IF(Data!$B506='Team Parser'!$B$1,((Z514*2)+(Y514)+(X514*4)+(W514*2)),"")</f>
        <v/>
      </c>
      <c r="AC514" s="134" t="str">
        <f>IF(Data!$B506='Team Parser'!$B$1, Data!N506,"")</f>
        <v/>
      </c>
      <c r="AD514" s="139" t="str">
        <f>IF(Data!$B506='Team Parser'!$B$1,(AB514+(COUNTIF(AC514,"TRAVERSE")*15)+(COUNTIF(AC514,"HIGH")*10)+(COUNTIF(AC514,"MIDDLE")*6)+(COUNTIF(AC514,"LOW")*4)),"")</f>
        <v/>
      </c>
    </row>
    <row r="515">
      <c r="A515" s="141" t="s">
        <v>507</v>
      </c>
      <c r="B515" s="134" t="str">
        <f>IFERROR(__xludf.DUMMYFUNCTION("IFERROR((FILTER(Data!H:H,Data!D:D=A515,Data!B:B=$B$1)),"""")"),"")</f>
        <v/>
      </c>
      <c r="C515" s="134" t="str">
        <f>IFERROR(__xludf.DUMMYFUNCTION("IFERROR((FILTER(Data!G:G,Data!D:D=A515,Data!B:B=$B$1)),"""")"),"")</f>
        <v/>
      </c>
      <c r="D515" s="134" t="str">
        <f>IFERROR(__xludf.DUMMYFUNCTION("IFERROR((FILTER(Data!J:J,Data!D:D=A515,Data!B:B=$B$1)),"""")"),"")</f>
        <v/>
      </c>
      <c r="E515" s="134" t="str">
        <f>IFERROR(__xludf.DUMMYFUNCTION("IFERROR((FILTER(Data!L:L,Data!D:D=A515,Data!B:B=$B$1)),"""")"),"")</f>
        <v/>
      </c>
      <c r="F515" s="134" t="str">
        <f>IFERROR(__xludf.DUMMYFUNCTION("IFERROR((FILTER(Data!K:K,Data!D:D=A515,Data!B:B=$B$1)),"""")"),"")</f>
        <v/>
      </c>
      <c r="G515" s="134" t="str">
        <f>IFERROR(__xludf.DUMMYFUNCTION("IFERROR((FILTER(Data!M:M,Data!D:D=A515,Data!B:B=$B$1)),"""")"),"")</f>
        <v/>
      </c>
      <c r="H515" s="134" t="str">
        <f>IFERROR(__xludf.DUMMYFUNCTION("IFERROR((FILTER(Data!G:G,Data!D:D=A515,Data!B:B=$B$1)*4)+(FILTER(Data!H:H,Data!D:D=A515,Data!B:B=$B$1)*2),"""")"),"")</f>
        <v/>
      </c>
      <c r="I515" s="15" t="str">
        <f>IFERROR(__xludf.DUMMYFUNCTION("IFERROR((FILTER(Data!K:K,Data!D:D=A515,Data!B:B=$B$1)*2)+(FILTER(Data!L:L,Data!D:D=A515,Data!B:B=$B$1)),"""")"),"")</f>
        <v/>
      </c>
      <c r="J515" s="134" t="str">
        <f>IFERROR(__xludf.DUMMYFUNCTION("IFERROR((FILTER(Data!N:N,Data!D:D=A515,Data!B:B=$B$1)),"""")"),"")</f>
        <v/>
      </c>
      <c r="K515" s="135" t="str">
        <f>IFERROR(__xludf.DUMMYFUNCTION("IFERROR((FILTER(Data!H:H,Data!D:D=A515,Data!B:B=$B$1)*2)+(FILTER(Data!L:L,Data!D:D=A515,Data!B:B=$B$1))+(FILTER(Data!G:G,Data!D:D=A515,Data!B:B=$B$1)*4)+(FILTER(Data!K:K,Data!D:D=A515,Data!B:B=$B$1)*2)+(((COUNTIF(FILTER(Data!N:N,Data!D:D=A515,Data!B:B=$B$"&amp;"1),""TRAVERSE"")*15)+(COUNTIF(FILTER(Data!N:N,Data!D:D=A515,Data!B:B=$B$1),""HIGH"")*10)+(COUNTIF(FILTER(Data!N:N,Data!D:D=A515,Data!B:B=$B$1),""MIDDLE"")*6)+(COUNTIF(FILTER(Data!N:N,Data!D:D=A515,Data!B:B=$B$1),""LOW"")*4))),"""")"),"")</f>
        <v/>
      </c>
      <c r="L515" s="136" t="str">
        <f>IFERROR(__xludf.DUMMYFUNCTION("IFERROR((FILTER(Data!P:P,Data!D:D=A515,Data!B:B=$B$1)),"""")"),"")</f>
        <v/>
      </c>
      <c r="M515" s="137" t="str">
        <f>IFERROR(__xludf.DUMMYFUNCTION("IFERROR((FILTER(Data!A:A,Data!D:D=A515,Data!B:B=$B$1)),"""")"),"")</f>
        <v/>
      </c>
      <c r="T515" s="52">
        <f>IFERROR(__xludf.DUMMYFUNCTION("((COUNTIF(FILTER(Data!N:N,Data!D:D=A515,Data!B:B=$B$1),""TRAVERSE"")*15)+(COUNTIF(FILTER(Data!N:N,Data!D:D=A515,Data!B:B=B$1),""HIGH"")*10)+(COUNTIF(FILTER(Data!N:N,Data!D:D=A515,Data!B:B=$B$1),""MIDDLE"")*6)+(COUNTIF(FILTER(Data!N:N,Data!D:D=A515,Data!B:"&amp;"B=$B$1),""LOW"")*4))"),0.0)</f>
        <v>0</v>
      </c>
      <c r="V515" s="138" t="str">
        <f>IF(Data!B507='Team Parser'!$B$1, Data!D507,"")</f>
        <v/>
      </c>
      <c r="W515" s="134" t="str">
        <f>IF(Data!$B507='Team Parser'!$B$1, Data!H507,"")</f>
        <v/>
      </c>
      <c r="X515" s="134" t="str">
        <f>IF(Data!$B507='Team Parser'!$B$1, Data!G507,"")</f>
        <v/>
      </c>
      <c r="Y515" s="134" t="str">
        <f>IF(Data!$B507='Team Parser'!$B$1, Data!L507,"")</f>
        <v/>
      </c>
      <c r="Z515" s="134" t="str">
        <f>IF(Data!$B507='Team Parser'!$B$1, Data!K507,"")</f>
        <v/>
      </c>
      <c r="AA515" s="134" t="str">
        <f>IF(Data!$B507='Team Parser'!$B$1, Data!M507,"")</f>
        <v/>
      </c>
      <c r="AB515" s="134" t="str">
        <f>IF(Data!$B507='Team Parser'!$B$1,((Z515*2)+(Y515)+(X515*4)+(W515*2)),"")</f>
        <v/>
      </c>
      <c r="AC515" s="134" t="str">
        <f>IF(Data!$B507='Team Parser'!$B$1, Data!N507,"")</f>
        <v/>
      </c>
      <c r="AD515" s="139" t="str">
        <f>IF(Data!$B507='Team Parser'!$B$1,(AB515+(COUNTIF(AC515,"TRAVERSE")*15)+(COUNTIF(AC515,"HIGH")*10)+(COUNTIF(AC515,"MIDDLE")*6)+(COUNTIF(AC515,"LOW")*4)),"")</f>
        <v/>
      </c>
    </row>
    <row r="516">
      <c r="A516" s="141" t="s">
        <v>507</v>
      </c>
      <c r="B516" s="134" t="str">
        <f>IFERROR(__xludf.DUMMYFUNCTION("IFERROR((FILTER(Data!H:H,Data!D:D=A516,Data!B:B=$B$1)),"""")"),"")</f>
        <v/>
      </c>
      <c r="C516" s="134" t="str">
        <f>IFERROR(__xludf.DUMMYFUNCTION("IFERROR((FILTER(Data!G:G,Data!D:D=A516,Data!B:B=$B$1)),"""")"),"")</f>
        <v/>
      </c>
      <c r="D516" s="134" t="str">
        <f>IFERROR(__xludf.DUMMYFUNCTION("IFERROR((FILTER(Data!J:J,Data!D:D=A516,Data!B:B=$B$1)),"""")"),"")</f>
        <v/>
      </c>
      <c r="E516" s="134" t="str">
        <f>IFERROR(__xludf.DUMMYFUNCTION("IFERROR((FILTER(Data!L:L,Data!D:D=A516,Data!B:B=$B$1)),"""")"),"")</f>
        <v/>
      </c>
      <c r="F516" s="134" t="str">
        <f>IFERROR(__xludf.DUMMYFUNCTION("IFERROR((FILTER(Data!K:K,Data!D:D=A516,Data!B:B=$B$1)),"""")"),"")</f>
        <v/>
      </c>
      <c r="G516" s="134" t="str">
        <f>IFERROR(__xludf.DUMMYFUNCTION("IFERROR((FILTER(Data!M:M,Data!D:D=A516,Data!B:B=$B$1)),"""")"),"")</f>
        <v/>
      </c>
      <c r="H516" s="134" t="str">
        <f>IFERROR(__xludf.DUMMYFUNCTION("IFERROR((FILTER(Data!G:G,Data!D:D=A516,Data!B:B=$B$1)*4)+(FILTER(Data!H:H,Data!D:D=A516,Data!B:B=$B$1)*2),"""")"),"")</f>
        <v/>
      </c>
      <c r="I516" s="15" t="str">
        <f>IFERROR(__xludf.DUMMYFUNCTION("IFERROR((FILTER(Data!K:K,Data!D:D=A516,Data!B:B=$B$1)*2)+(FILTER(Data!L:L,Data!D:D=A516,Data!B:B=$B$1)),"""")"),"")</f>
        <v/>
      </c>
      <c r="J516" s="134" t="str">
        <f>IFERROR(__xludf.DUMMYFUNCTION("IFERROR((FILTER(Data!N:N,Data!D:D=A516,Data!B:B=$B$1)),"""")"),"")</f>
        <v/>
      </c>
      <c r="K516" s="135" t="str">
        <f>IFERROR(__xludf.DUMMYFUNCTION("IFERROR((FILTER(Data!H:H,Data!D:D=A516,Data!B:B=$B$1)*2)+(FILTER(Data!L:L,Data!D:D=A516,Data!B:B=$B$1))+(FILTER(Data!G:G,Data!D:D=A516,Data!B:B=$B$1)*4)+(FILTER(Data!K:K,Data!D:D=A516,Data!B:B=$B$1)*2)+(((COUNTIF(FILTER(Data!N:N,Data!D:D=A516,Data!B:B=$B$"&amp;"1),""TRAVERSE"")*15)+(COUNTIF(FILTER(Data!N:N,Data!D:D=A516,Data!B:B=$B$1),""HIGH"")*10)+(COUNTIF(FILTER(Data!N:N,Data!D:D=A516,Data!B:B=$B$1),""MIDDLE"")*6)+(COUNTIF(FILTER(Data!N:N,Data!D:D=A516,Data!B:B=$B$1),""LOW"")*4))),"""")"),"")</f>
        <v/>
      </c>
      <c r="L516" s="136" t="str">
        <f>IFERROR(__xludf.DUMMYFUNCTION("IFERROR((FILTER(Data!P:P,Data!D:D=A516,Data!B:B=$B$1)),"""")"),"")</f>
        <v/>
      </c>
      <c r="M516" s="137" t="str">
        <f>IFERROR(__xludf.DUMMYFUNCTION("IFERROR((FILTER(Data!A:A,Data!D:D=A516,Data!B:B=$B$1)),"""")"),"")</f>
        <v/>
      </c>
      <c r="T516" s="52">
        <f>IFERROR(__xludf.DUMMYFUNCTION("((COUNTIF(FILTER(Data!N:N,Data!D:D=A516,Data!B:B=$B$1),""TRAVERSE"")*15)+(COUNTIF(FILTER(Data!N:N,Data!D:D=A516,Data!B:B=B$1),""HIGH"")*10)+(COUNTIF(FILTER(Data!N:N,Data!D:D=A516,Data!B:B=$B$1),""MIDDLE"")*6)+(COUNTIF(FILTER(Data!N:N,Data!D:D=A516,Data!B:"&amp;"B=$B$1),""LOW"")*4))"),0.0)</f>
        <v>0</v>
      </c>
      <c r="V516" s="138" t="str">
        <f>IF(Data!B508='Team Parser'!$B$1, Data!D508,"")</f>
        <v/>
      </c>
      <c r="W516" s="134" t="str">
        <f>IF(Data!$B508='Team Parser'!$B$1, Data!H508,"")</f>
        <v/>
      </c>
      <c r="X516" s="134" t="str">
        <f>IF(Data!$B508='Team Parser'!$B$1, Data!G508,"")</f>
        <v/>
      </c>
      <c r="Y516" s="134" t="str">
        <f>IF(Data!$B508='Team Parser'!$B$1, Data!L508,"")</f>
        <v/>
      </c>
      <c r="Z516" s="134" t="str">
        <f>IF(Data!$B508='Team Parser'!$B$1, Data!K508,"")</f>
        <v/>
      </c>
      <c r="AA516" s="134" t="str">
        <f>IF(Data!$B508='Team Parser'!$B$1, Data!M508,"")</f>
        <v/>
      </c>
      <c r="AB516" s="134" t="str">
        <f>IF(Data!$B508='Team Parser'!$B$1,((Z516*2)+(Y516)+(X516*4)+(W516*2)),"")</f>
        <v/>
      </c>
      <c r="AC516" s="134" t="str">
        <f>IF(Data!$B508='Team Parser'!$B$1, Data!N508,"")</f>
        <v/>
      </c>
      <c r="AD516" s="139" t="str">
        <f>IF(Data!$B508='Team Parser'!$B$1,(AB516+(COUNTIF(AC516,"TRAVERSE")*15)+(COUNTIF(AC516,"HIGH")*10)+(COUNTIF(AC516,"MIDDLE")*6)+(COUNTIF(AC516,"LOW")*4)),"")</f>
        <v/>
      </c>
    </row>
    <row r="517">
      <c r="A517" s="141" t="s">
        <v>507</v>
      </c>
      <c r="B517" s="134" t="str">
        <f>IFERROR(__xludf.DUMMYFUNCTION("IFERROR((FILTER(Data!H:H,Data!D:D=A517,Data!B:B=$B$1)),"""")"),"")</f>
        <v/>
      </c>
      <c r="C517" s="134" t="str">
        <f>IFERROR(__xludf.DUMMYFUNCTION("IFERROR((FILTER(Data!G:G,Data!D:D=A517,Data!B:B=$B$1)),"""")"),"")</f>
        <v/>
      </c>
      <c r="D517" s="134" t="str">
        <f>IFERROR(__xludf.DUMMYFUNCTION("IFERROR((FILTER(Data!J:J,Data!D:D=A517,Data!B:B=$B$1)),"""")"),"")</f>
        <v/>
      </c>
      <c r="E517" s="134" t="str">
        <f>IFERROR(__xludf.DUMMYFUNCTION("IFERROR((FILTER(Data!L:L,Data!D:D=A517,Data!B:B=$B$1)),"""")"),"")</f>
        <v/>
      </c>
      <c r="F517" s="134" t="str">
        <f>IFERROR(__xludf.DUMMYFUNCTION("IFERROR((FILTER(Data!K:K,Data!D:D=A517,Data!B:B=$B$1)),"""")"),"")</f>
        <v/>
      </c>
      <c r="G517" s="134" t="str">
        <f>IFERROR(__xludf.DUMMYFUNCTION("IFERROR((FILTER(Data!M:M,Data!D:D=A517,Data!B:B=$B$1)),"""")"),"")</f>
        <v/>
      </c>
      <c r="H517" s="134" t="str">
        <f>IFERROR(__xludf.DUMMYFUNCTION("IFERROR((FILTER(Data!G:G,Data!D:D=A517,Data!B:B=$B$1)*4)+(FILTER(Data!H:H,Data!D:D=A517,Data!B:B=$B$1)*2),"""")"),"")</f>
        <v/>
      </c>
      <c r="I517" s="15" t="str">
        <f>IFERROR(__xludf.DUMMYFUNCTION("IFERROR((FILTER(Data!K:K,Data!D:D=A517,Data!B:B=$B$1)*2)+(FILTER(Data!L:L,Data!D:D=A517,Data!B:B=$B$1)),"""")"),"")</f>
        <v/>
      </c>
      <c r="J517" s="134" t="str">
        <f>IFERROR(__xludf.DUMMYFUNCTION("IFERROR((FILTER(Data!N:N,Data!D:D=A517,Data!B:B=$B$1)),"""")"),"")</f>
        <v/>
      </c>
      <c r="K517" s="135" t="str">
        <f>IFERROR(__xludf.DUMMYFUNCTION("IFERROR((FILTER(Data!H:H,Data!D:D=A517,Data!B:B=$B$1)*2)+(FILTER(Data!L:L,Data!D:D=A517,Data!B:B=$B$1))+(FILTER(Data!G:G,Data!D:D=A517,Data!B:B=$B$1)*4)+(FILTER(Data!K:K,Data!D:D=A517,Data!B:B=$B$1)*2)+(((COUNTIF(FILTER(Data!N:N,Data!D:D=A517,Data!B:B=$B$"&amp;"1),""TRAVERSE"")*15)+(COUNTIF(FILTER(Data!N:N,Data!D:D=A517,Data!B:B=$B$1),""HIGH"")*10)+(COUNTIF(FILTER(Data!N:N,Data!D:D=A517,Data!B:B=$B$1),""MIDDLE"")*6)+(COUNTIF(FILTER(Data!N:N,Data!D:D=A517,Data!B:B=$B$1),""LOW"")*4))),"""")"),"")</f>
        <v/>
      </c>
      <c r="L517" s="136" t="str">
        <f>IFERROR(__xludf.DUMMYFUNCTION("IFERROR((FILTER(Data!P:P,Data!D:D=A517,Data!B:B=$B$1)),"""")"),"")</f>
        <v/>
      </c>
      <c r="M517" s="137" t="str">
        <f>IFERROR(__xludf.DUMMYFUNCTION("IFERROR((FILTER(Data!A:A,Data!D:D=A517,Data!B:B=$B$1)),"""")"),"")</f>
        <v/>
      </c>
      <c r="T517" s="52">
        <f>IFERROR(__xludf.DUMMYFUNCTION("((COUNTIF(FILTER(Data!N:N,Data!D:D=A517,Data!B:B=$B$1),""TRAVERSE"")*15)+(COUNTIF(FILTER(Data!N:N,Data!D:D=A517,Data!B:B=B$1),""HIGH"")*10)+(COUNTIF(FILTER(Data!N:N,Data!D:D=A517,Data!B:B=$B$1),""MIDDLE"")*6)+(COUNTIF(FILTER(Data!N:N,Data!D:D=A517,Data!B:"&amp;"B=$B$1),""LOW"")*4))"),0.0)</f>
        <v>0</v>
      </c>
      <c r="V517" s="138" t="str">
        <f>IF(Data!B509='Team Parser'!$B$1, Data!D509,"")</f>
        <v/>
      </c>
      <c r="W517" s="134" t="str">
        <f>IF(Data!$B509='Team Parser'!$B$1, Data!H509,"")</f>
        <v/>
      </c>
      <c r="X517" s="134" t="str">
        <f>IF(Data!$B509='Team Parser'!$B$1, Data!G509,"")</f>
        <v/>
      </c>
      <c r="Y517" s="134" t="str">
        <f>IF(Data!$B509='Team Parser'!$B$1, Data!L509,"")</f>
        <v/>
      </c>
      <c r="Z517" s="134" t="str">
        <f>IF(Data!$B509='Team Parser'!$B$1, Data!K509,"")</f>
        <v/>
      </c>
      <c r="AA517" s="134" t="str">
        <f>IF(Data!$B509='Team Parser'!$B$1, Data!M509,"")</f>
        <v/>
      </c>
      <c r="AB517" s="134" t="str">
        <f>IF(Data!$B509='Team Parser'!$B$1,((Z517*2)+(Y517)+(X517*4)+(W517*2)),"")</f>
        <v/>
      </c>
      <c r="AC517" s="134" t="str">
        <f>IF(Data!$B509='Team Parser'!$B$1, Data!N509,"")</f>
        <v/>
      </c>
      <c r="AD517" s="139" t="str">
        <f>IF(Data!$B509='Team Parser'!$B$1,(AB517+(COUNTIF(AC517,"TRAVERSE")*15)+(COUNTIF(AC517,"HIGH")*10)+(COUNTIF(AC517,"MIDDLE")*6)+(COUNTIF(AC517,"LOW")*4)),"")</f>
        <v/>
      </c>
    </row>
    <row r="518">
      <c r="A518" s="141" t="s">
        <v>507</v>
      </c>
      <c r="B518" s="134" t="str">
        <f>IFERROR(__xludf.DUMMYFUNCTION("IFERROR((FILTER(Data!H:H,Data!D:D=A518,Data!B:B=$B$1)),"""")"),"")</f>
        <v/>
      </c>
      <c r="C518" s="134" t="str">
        <f>IFERROR(__xludf.DUMMYFUNCTION("IFERROR((FILTER(Data!G:G,Data!D:D=A518,Data!B:B=$B$1)),"""")"),"")</f>
        <v/>
      </c>
      <c r="D518" s="134" t="str">
        <f>IFERROR(__xludf.DUMMYFUNCTION("IFERROR((FILTER(Data!J:J,Data!D:D=A518,Data!B:B=$B$1)),"""")"),"")</f>
        <v/>
      </c>
      <c r="E518" s="134" t="str">
        <f>IFERROR(__xludf.DUMMYFUNCTION("IFERROR((FILTER(Data!L:L,Data!D:D=A518,Data!B:B=$B$1)),"""")"),"")</f>
        <v/>
      </c>
      <c r="F518" s="134" t="str">
        <f>IFERROR(__xludf.DUMMYFUNCTION("IFERROR((FILTER(Data!K:K,Data!D:D=A518,Data!B:B=$B$1)),"""")"),"")</f>
        <v/>
      </c>
      <c r="G518" s="134" t="str">
        <f>IFERROR(__xludf.DUMMYFUNCTION("IFERROR((FILTER(Data!M:M,Data!D:D=A518,Data!B:B=$B$1)),"""")"),"")</f>
        <v/>
      </c>
      <c r="H518" s="134" t="str">
        <f>IFERROR(__xludf.DUMMYFUNCTION("IFERROR((FILTER(Data!G:G,Data!D:D=A518,Data!B:B=$B$1)*4)+(FILTER(Data!H:H,Data!D:D=A518,Data!B:B=$B$1)*2),"""")"),"")</f>
        <v/>
      </c>
      <c r="I518" s="15" t="str">
        <f>IFERROR(__xludf.DUMMYFUNCTION("IFERROR((FILTER(Data!K:K,Data!D:D=A518,Data!B:B=$B$1)*2)+(FILTER(Data!L:L,Data!D:D=A518,Data!B:B=$B$1)),"""")"),"")</f>
        <v/>
      </c>
      <c r="J518" s="134" t="str">
        <f>IFERROR(__xludf.DUMMYFUNCTION("IFERROR((FILTER(Data!N:N,Data!D:D=A518,Data!B:B=$B$1)),"""")"),"")</f>
        <v/>
      </c>
      <c r="K518" s="135" t="str">
        <f>IFERROR(__xludf.DUMMYFUNCTION("IFERROR((FILTER(Data!H:H,Data!D:D=A518,Data!B:B=$B$1)*2)+(FILTER(Data!L:L,Data!D:D=A518,Data!B:B=$B$1))+(FILTER(Data!G:G,Data!D:D=A518,Data!B:B=$B$1)*4)+(FILTER(Data!K:K,Data!D:D=A518,Data!B:B=$B$1)*2)+(((COUNTIF(FILTER(Data!N:N,Data!D:D=A518,Data!B:B=$B$"&amp;"1),""TRAVERSE"")*15)+(COUNTIF(FILTER(Data!N:N,Data!D:D=A518,Data!B:B=$B$1),""HIGH"")*10)+(COUNTIF(FILTER(Data!N:N,Data!D:D=A518,Data!B:B=$B$1),""MIDDLE"")*6)+(COUNTIF(FILTER(Data!N:N,Data!D:D=A518,Data!B:B=$B$1),""LOW"")*4))),"""")"),"")</f>
        <v/>
      </c>
      <c r="L518" s="136" t="str">
        <f>IFERROR(__xludf.DUMMYFUNCTION("IFERROR((FILTER(Data!P:P,Data!D:D=A518,Data!B:B=$B$1)),"""")"),"")</f>
        <v/>
      </c>
      <c r="M518" s="137" t="str">
        <f>IFERROR(__xludf.DUMMYFUNCTION("IFERROR((FILTER(Data!A:A,Data!D:D=A518,Data!B:B=$B$1)),"""")"),"")</f>
        <v/>
      </c>
      <c r="T518" s="52">
        <f>IFERROR(__xludf.DUMMYFUNCTION("((COUNTIF(FILTER(Data!N:N,Data!D:D=A518,Data!B:B=$B$1),""TRAVERSE"")*15)+(COUNTIF(FILTER(Data!N:N,Data!D:D=A518,Data!B:B=B$1),""HIGH"")*10)+(COUNTIF(FILTER(Data!N:N,Data!D:D=A518,Data!B:B=$B$1),""MIDDLE"")*6)+(COUNTIF(FILTER(Data!N:N,Data!D:D=A518,Data!B:"&amp;"B=$B$1),""LOW"")*4))"),0.0)</f>
        <v>0</v>
      </c>
      <c r="V518" s="138" t="str">
        <f>IF(Data!B510='Team Parser'!$B$1, Data!D510,"")</f>
        <v/>
      </c>
      <c r="W518" s="134" t="str">
        <f>IF(Data!$B510='Team Parser'!$B$1, Data!H510,"")</f>
        <v/>
      </c>
      <c r="X518" s="134" t="str">
        <f>IF(Data!$B510='Team Parser'!$B$1, Data!G510,"")</f>
        <v/>
      </c>
      <c r="Y518" s="134" t="str">
        <f>IF(Data!$B510='Team Parser'!$B$1, Data!L510,"")</f>
        <v/>
      </c>
      <c r="Z518" s="134" t="str">
        <f>IF(Data!$B510='Team Parser'!$B$1, Data!K510,"")</f>
        <v/>
      </c>
      <c r="AA518" s="134" t="str">
        <f>IF(Data!$B510='Team Parser'!$B$1, Data!M510,"")</f>
        <v/>
      </c>
      <c r="AB518" s="134" t="str">
        <f>IF(Data!$B510='Team Parser'!$B$1,((Z518*2)+(Y518)+(X518*4)+(W518*2)),"")</f>
        <v/>
      </c>
      <c r="AC518" s="134" t="str">
        <f>IF(Data!$B510='Team Parser'!$B$1, Data!N510,"")</f>
        <v/>
      </c>
      <c r="AD518" s="139" t="str">
        <f>IF(Data!$B510='Team Parser'!$B$1,(AB518+(COUNTIF(AC518,"TRAVERSE")*15)+(COUNTIF(AC518,"HIGH")*10)+(COUNTIF(AC518,"MIDDLE")*6)+(COUNTIF(AC518,"LOW")*4)),"")</f>
        <v/>
      </c>
    </row>
    <row r="519">
      <c r="A519" s="141" t="s">
        <v>507</v>
      </c>
      <c r="B519" s="134" t="str">
        <f>IFERROR(__xludf.DUMMYFUNCTION("IFERROR((FILTER(Data!H:H,Data!D:D=A519,Data!B:B=$B$1)),"""")"),"")</f>
        <v/>
      </c>
      <c r="C519" s="134" t="str">
        <f>IFERROR(__xludf.DUMMYFUNCTION("IFERROR((FILTER(Data!G:G,Data!D:D=A519,Data!B:B=$B$1)),"""")"),"")</f>
        <v/>
      </c>
      <c r="D519" s="134" t="str">
        <f>IFERROR(__xludf.DUMMYFUNCTION("IFERROR((FILTER(Data!J:J,Data!D:D=A519,Data!B:B=$B$1)),"""")"),"")</f>
        <v/>
      </c>
      <c r="E519" s="134" t="str">
        <f>IFERROR(__xludf.DUMMYFUNCTION("IFERROR((FILTER(Data!L:L,Data!D:D=A519,Data!B:B=$B$1)),"""")"),"")</f>
        <v/>
      </c>
      <c r="F519" s="134" t="str">
        <f>IFERROR(__xludf.DUMMYFUNCTION("IFERROR((FILTER(Data!K:K,Data!D:D=A519,Data!B:B=$B$1)),"""")"),"")</f>
        <v/>
      </c>
      <c r="G519" s="134" t="str">
        <f>IFERROR(__xludf.DUMMYFUNCTION("IFERROR((FILTER(Data!M:M,Data!D:D=A519,Data!B:B=$B$1)),"""")"),"")</f>
        <v/>
      </c>
      <c r="H519" s="134" t="str">
        <f>IFERROR(__xludf.DUMMYFUNCTION("IFERROR((FILTER(Data!G:G,Data!D:D=A519,Data!B:B=$B$1)*4)+(FILTER(Data!H:H,Data!D:D=A519,Data!B:B=$B$1)*2),"""")"),"")</f>
        <v/>
      </c>
      <c r="I519" s="15" t="str">
        <f>IFERROR(__xludf.DUMMYFUNCTION("IFERROR((FILTER(Data!K:K,Data!D:D=A519,Data!B:B=$B$1)*2)+(FILTER(Data!L:L,Data!D:D=A519,Data!B:B=$B$1)),"""")"),"")</f>
        <v/>
      </c>
      <c r="J519" s="134" t="str">
        <f>IFERROR(__xludf.DUMMYFUNCTION("IFERROR((FILTER(Data!N:N,Data!D:D=A519,Data!B:B=$B$1)),"""")"),"")</f>
        <v/>
      </c>
      <c r="K519" s="135" t="str">
        <f>IFERROR(__xludf.DUMMYFUNCTION("IFERROR((FILTER(Data!H:H,Data!D:D=A519,Data!B:B=$B$1)*2)+(FILTER(Data!L:L,Data!D:D=A519,Data!B:B=$B$1))+(FILTER(Data!G:G,Data!D:D=A519,Data!B:B=$B$1)*4)+(FILTER(Data!K:K,Data!D:D=A519,Data!B:B=$B$1)*2)+(((COUNTIF(FILTER(Data!N:N,Data!D:D=A519,Data!B:B=$B$"&amp;"1),""TRAVERSE"")*15)+(COUNTIF(FILTER(Data!N:N,Data!D:D=A519,Data!B:B=$B$1),""HIGH"")*10)+(COUNTIF(FILTER(Data!N:N,Data!D:D=A519,Data!B:B=$B$1),""MIDDLE"")*6)+(COUNTIF(FILTER(Data!N:N,Data!D:D=A519,Data!B:B=$B$1),""LOW"")*4))),"""")"),"")</f>
        <v/>
      </c>
      <c r="L519" s="136" t="str">
        <f>IFERROR(__xludf.DUMMYFUNCTION("IFERROR((FILTER(Data!P:P,Data!D:D=A519,Data!B:B=$B$1)),"""")"),"")</f>
        <v/>
      </c>
      <c r="M519" s="137" t="str">
        <f>IFERROR(__xludf.DUMMYFUNCTION("IFERROR((FILTER(Data!A:A,Data!D:D=A519,Data!B:B=$B$1)),"""")"),"")</f>
        <v/>
      </c>
      <c r="T519" s="52">
        <f>IFERROR(__xludf.DUMMYFUNCTION("((COUNTIF(FILTER(Data!N:N,Data!D:D=A519,Data!B:B=$B$1),""TRAVERSE"")*15)+(COUNTIF(FILTER(Data!N:N,Data!D:D=A519,Data!B:B=B$1),""HIGH"")*10)+(COUNTIF(FILTER(Data!N:N,Data!D:D=A519,Data!B:B=$B$1),""MIDDLE"")*6)+(COUNTIF(FILTER(Data!N:N,Data!D:D=A519,Data!B:"&amp;"B=$B$1),""LOW"")*4))"),0.0)</f>
        <v>0</v>
      </c>
      <c r="V519" s="138" t="str">
        <f>IF(Data!B511='Team Parser'!$B$1, Data!D511,"")</f>
        <v/>
      </c>
      <c r="W519" s="134" t="str">
        <f>IF(Data!$B511='Team Parser'!$B$1, Data!H511,"")</f>
        <v/>
      </c>
      <c r="X519" s="134" t="str">
        <f>IF(Data!$B511='Team Parser'!$B$1, Data!G511,"")</f>
        <v/>
      </c>
      <c r="Y519" s="134" t="str">
        <f>IF(Data!$B511='Team Parser'!$B$1, Data!L511,"")</f>
        <v/>
      </c>
      <c r="Z519" s="134" t="str">
        <f>IF(Data!$B511='Team Parser'!$B$1, Data!K511,"")</f>
        <v/>
      </c>
      <c r="AA519" s="134" t="str">
        <f>IF(Data!$B511='Team Parser'!$B$1, Data!M511,"")</f>
        <v/>
      </c>
      <c r="AB519" s="134" t="str">
        <f>IF(Data!$B511='Team Parser'!$B$1,((Z519*2)+(Y519)+(X519*4)+(W519*2)),"")</f>
        <v/>
      </c>
      <c r="AC519" s="134" t="str">
        <f>IF(Data!$B511='Team Parser'!$B$1, Data!N511,"")</f>
        <v/>
      </c>
      <c r="AD519" s="139" t="str">
        <f>IF(Data!$B511='Team Parser'!$B$1,(AB519+(COUNTIF(AC519,"TRAVERSE")*15)+(COUNTIF(AC519,"HIGH")*10)+(COUNTIF(AC519,"MIDDLE")*6)+(COUNTIF(AC519,"LOW")*4)),"")</f>
        <v/>
      </c>
    </row>
    <row r="520">
      <c r="A520" s="141" t="s">
        <v>507</v>
      </c>
      <c r="B520" s="134" t="str">
        <f>IFERROR(__xludf.DUMMYFUNCTION("IFERROR((FILTER(Data!H:H,Data!D:D=A520,Data!B:B=$B$1)),"""")"),"")</f>
        <v/>
      </c>
      <c r="C520" s="134" t="str">
        <f>IFERROR(__xludf.DUMMYFUNCTION("IFERROR((FILTER(Data!G:G,Data!D:D=A520,Data!B:B=$B$1)),"""")"),"")</f>
        <v/>
      </c>
      <c r="D520" s="134" t="str">
        <f>IFERROR(__xludf.DUMMYFUNCTION("IFERROR((FILTER(Data!J:J,Data!D:D=A520,Data!B:B=$B$1)),"""")"),"")</f>
        <v/>
      </c>
      <c r="E520" s="134" t="str">
        <f>IFERROR(__xludf.DUMMYFUNCTION("IFERROR((FILTER(Data!L:L,Data!D:D=A520,Data!B:B=$B$1)),"""")"),"")</f>
        <v/>
      </c>
      <c r="F520" s="134" t="str">
        <f>IFERROR(__xludf.DUMMYFUNCTION("IFERROR((FILTER(Data!K:K,Data!D:D=A520,Data!B:B=$B$1)),"""")"),"")</f>
        <v/>
      </c>
      <c r="G520" s="134" t="str">
        <f>IFERROR(__xludf.DUMMYFUNCTION("IFERROR((FILTER(Data!M:M,Data!D:D=A520,Data!B:B=$B$1)),"""")"),"")</f>
        <v/>
      </c>
      <c r="H520" s="134" t="str">
        <f>IFERROR(__xludf.DUMMYFUNCTION("IFERROR((FILTER(Data!G:G,Data!D:D=A520,Data!B:B=$B$1)*4)+(FILTER(Data!H:H,Data!D:D=A520,Data!B:B=$B$1)*2),"""")"),"")</f>
        <v/>
      </c>
      <c r="I520" s="15" t="str">
        <f>IFERROR(__xludf.DUMMYFUNCTION("IFERROR((FILTER(Data!K:K,Data!D:D=A520,Data!B:B=$B$1)*2)+(FILTER(Data!L:L,Data!D:D=A520,Data!B:B=$B$1)),"""")"),"")</f>
        <v/>
      </c>
      <c r="J520" s="134" t="str">
        <f>IFERROR(__xludf.DUMMYFUNCTION("IFERROR((FILTER(Data!N:N,Data!D:D=A520,Data!B:B=$B$1)),"""")"),"")</f>
        <v/>
      </c>
      <c r="K520" s="135" t="str">
        <f>IFERROR(__xludf.DUMMYFUNCTION("IFERROR((FILTER(Data!H:H,Data!D:D=A520,Data!B:B=$B$1)*2)+(FILTER(Data!L:L,Data!D:D=A520,Data!B:B=$B$1))+(FILTER(Data!G:G,Data!D:D=A520,Data!B:B=$B$1)*4)+(FILTER(Data!K:K,Data!D:D=A520,Data!B:B=$B$1)*2)+(((COUNTIF(FILTER(Data!N:N,Data!D:D=A520,Data!B:B=$B$"&amp;"1),""TRAVERSE"")*15)+(COUNTIF(FILTER(Data!N:N,Data!D:D=A520,Data!B:B=$B$1),""HIGH"")*10)+(COUNTIF(FILTER(Data!N:N,Data!D:D=A520,Data!B:B=$B$1),""MIDDLE"")*6)+(COUNTIF(FILTER(Data!N:N,Data!D:D=A520,Data!B:B=$B$1),""LOW"")*4))),"""")"),"")</f>
        <v/>
      </c>
      <c r="L520" s="136" t="str">
        <f>IFERROR(__xludf.DUMMYFUNCTION("IFERROR((FILTER(Data!P:P,Data!D:D=A520,Data!B:B=$B$1)),"""")"),"")</f>
        <v/>
      </c>
      <c r="M520" s="137" t="str">
        <f>IFERROR(__xludf.DUMMYFUNCTION("IFERROR((FILTER(Data!A:A,Data!D:D=A520,Data!B:B=$B$1)),"""")"),"")</f>
        <v/>
      </c>
      <c r="T520" s="52">
        <f>IFERROR(__xludf.DUMMYFUNCTION("((COUNTIF(FILTER(Data!N:N,Data!D:D=A520,Data!B:B=$B$1),""TRAVERSE"")*15)+(COUNTIF(FILTER(Data!N:N,Data!D:D=A520,Data!B:B=B$1),""HIGH"")*10)+(COUNTIF(FILTER(Data!N:N,Data!D:D=A520,Data!B:B=$B$1),""MIDDLE"")*6)+(COUNTIF(FILTER(Data!N:N,Data!D:D=A520,Data!B:"&amp;"B=$B$1),""LOW"")*4))"),0.0)</f>
        <v>0</v>
      </c>
      <c r="V520" s="138" t="str">
        <f>IF(Data!B512='Team Parser'!$B$1, Data!D512,"")</f>
        <v/>
      </c>
      <c r="W520" s="134" t="str">
        <f>IF(Data!$B512='Team Parser'!$B$1, Data!H512,"")</f>
        <v/>
      </c>
      <c r="X520" s="134" t="str">
        <f>IF(Data!$B512='Team Parser'!$B$1, Data!G512,"")</f>
        <v/>
      </c>
      <c r="Y520" s="134" t="str">
        <f>IF(Data!$B512='Team Parser'!$B$1, Data!L512,"")</f>
        <v/>
      </c>
      <c r="Z520" s="134" t="str">
        <f>IF(Data!$B512='Team Parser'!$B$1, Data!K512,"")</f>
        <v/>
      </c>
      <c r="AA520" s="134" t="str">
        <f>IF(Data!$B512='Team Parser'!$B$1, Data!M512,"")</f>
        <v/>
      </c>
      <c r="AB520" s="134" t="str">
        <f>IF(Data!$B512='Team Parser'!$B$1,((Z520*2)+(Y520)+(X520*4)+(W520*2)),"")</f>
        <v/>
      </c>
      <c r="AC520" s="134" t="str">
        <f>IF(Data!$B512='Team Parser'!$B$1, Data!N512,"")</f>
        <v/>
      </c>
      <c r="AD520" s="139" t="str">
        <f>IF(Data!$B512='Team Parser'!$B$1,(AB520+(COUNTIF(AC520,"TRAVERSE")*15)+(COUNTIF(AC520,"HIGH")*10)+(COUNTIF(AC520,"MIDDLE")*6)+(COUNTIF(AC520,"LOW")*4)),"")</f>
        <v/>
      </c>
    </row>
    <row r="521">
      <c r="A521" s="141" t="s">
        <v>507</v>
      </c>
      <c r="B521" s="134" t="str">
        <f>IFERROR(__xludf.DUMMYFUNCTION("IFERROR((FILTER(Data!H:H,Data!D:D=A521,Data!B:B=$B$1)),"""")"),"")</f>
        <v/>
      </c>
      <c r="C521" s="134" t="str">
        <f>IFERROR(__xludf.DUMMYFUNCTION("IFERROR((FILTER(Data!G:G,Data!D:D=A521,Data!B:B=$B$1)),"""")"),"")</f>
        <v/>
      </c>
      <c r="D521" s="134" t="str">
        <f>IFERROR(__xludf.DUMMYFUNCTION("IFERROR((FILTER(Data!J:J,Data!D:D=A521,Data!B:B=$B$1)),"""")"),"")</f>
        <v/>
      </c>
      <c r="E521" s="134" t="str">
        <f>IFERROR(__xludf.DUMMYFUNCTION("IFERROR((FILTER(Data!L:L,Data!D:D=A521,Data!B:B=$B$1)),"""")"),"")</f>
        <v/>
      </c>
      <c r="F521" s="134" t="str">
        <f>IFERROR(__xludf.DUMMYFUNCTION("IFERROR((FILTER(Data!K:K,Data!D:D=A521,Data!B:B=$B$1)),"""")"),"")</f>
        <v/>
      </c>
      <c r="G521" s="134" t="str">
        <f>IFERROR(__xludf.DUMMYFUNCTION("IFERROR((FILTER(Data!M:M,Data!D:D=A521,Data!B:B=$B$1)),"""")"),"")</f>
        <v/>
      </c>
      <c r="H521" s="134" t="str">
        <f>IFERROR(__xludf.DUMMYFUNCTION("IFERROR((FILTER(Data!G:G,Data!D:D=A521,Data!B:B=$B$1)*4)+(FILTER(Data!H:H,Data!D:D=A521,Data!B:B=$B$1)*2),"""")"),"")</f>
        <v/>
      </c>
      <c r="I521" s="15" t="str">
        <f>IFERROR(__xludf.DUMMYFUNCTION("IFERROR((FILTER(Data!K:K,Data!D:D=A521,Data!B:B=$B$1)*2)+(FILTER(Data!L:L,Data!D:D=A521,Data!B:B=$B$1)),"""")"),"")</f>
        <v/>
      </c>
      <c r="J521" s="134" t="str">
        <f>IFERROR(__xludf.DUMMYFUNCTION("IFERROR((FILTER(Data!N:N,Data!D:D=A521,Data!B:B=$B$1)),"""")"),"")</f>
        <v/>
      </c>
      <c r="K521" s="135" t="str">
        <f>IFERROR(__xludf.DUMMYFUNCTION("IFERROR((FILTER(Data!H:H,Data!D:D=A521,Data!B:B=$B$1)*2)+(FILTER(Data!L:L,Data!D:D=A521,Data!B:B=$B$1))+(FILTER(Data!G:G,Data!D:D=A521,Data!B:B=$B$1)*4)+(FILTER(Data!K:K,Data!D:D=A521,Data!B:B=$B$1)*2)+(((COUNTIF(FILTER(Data!N:N,Data!D:D=A521,Data!B:B=$B$"&amp;"1),""TRAVERSE"")*15)+(COUNTIF(FILTER(Data!N:N,Data!D:D=A521,Data!B:B=$B$1),""HIGH"")*10)+(COUNTIF(FILTER(Data!N:N,Data!D:D=A521,Data!B:B=$B$1),""MIDDLE"")*6)+(COUNTIF(FILTER(Data!N:N,Data!D:D=A521,Data!B:B=$B$1),""LOW"")*4))),"""")"),"")</f>
        <v/>
      </c>
      <c r="L521" s="136" t="str">
        <f>IFERROR(__xludf.DUMMYFUNCTION("IFERROR((FILTER(Data!P:P,Data!D:D=A521,Data!B:B=$B$1)),"""")"),"")</f>
        <v/>
      </c>
      <c r="M521" s="137" t="str">
        <f>IFERROR(__xludf.DUMMYFUNCTION("IFERROR((FILTER(Data!A:A,Data!D:D=A521,Data!B:B=$B$1)),"""")"),"")</f>
        <v/>
      </c>
      <c r="T521" s="52">
        <f>IFERROR(__xludf.DUMMYFUNCTION("((COUNTIF(FILTER(Data!N:N,Data!D:D=A521,Data!B:B=$B$1),""TRAVERSE"")*15)+(COUNTIF(FILTER(Data!N:N,Data!D:D=A521,Data!B:B=B$1),""HIGH"")*10)+(COUNTIF(FILTER(Data!N:N,Data!D:D=A521,Data!B:B=$B$1),""MIDDLE"")*6)+(COUNTIF(FILTER(Data!N:N,Data!D:D=A521,Data!B:"&amp;"B=$B$1),""LOW"")*4))"),0.0)</f>
        <v>0</v>
      </c>
      <c r="V521" s="138" t="str">
        <f>IF(Data!B513='Team Parser'!$B$1, Data!D513,"")</f>
        <v/>
      </c>
      <c r="W521" s="134" t="str">
        <f>IF(Data!$B513='Team Parser'!$B$1, Data!H513,"")</f>
        <v/>
      </c>
      <c r="X521" s="134" t="str">
        <f>IF(Data!$B513='Team Parser'!$B$1, Data!G513,"")</f>
        <v/>
      </c>
      <c r="Y521" s="134" t="str">
        <f>IF(Data!$B513='Team Parser'!$B$1, Data!L513,"")</f>
        <v/>
      </c>
      <c r="Z521" s="134" t="str">
        <f>IF(Data!$B513='Team Parser'!$B$1, Data!K513,"")</f>
        <v/>
      </c>
      <c r="AA521" s="134" t="str">
        <f>IF(Data!$B513='Team Parser'!$B$1, Data!M513,"")</f>
        <v/>
      </c>
      <c r="AB521" s="134" t="str">
        <f>IF(Data!$B513='Team Parser'!$B$1,((Z521*2)+(Y521)+(X521*4)+(W521*2)),"")</f>
        <v/>
      </c>
      <c r="AC521" s="134" t="str">
        <f>IF(Data!$B513='Team Parser'!$B$1, Data!N513,"")</f>
        <v/>
      </c>
      <c r="AD521" s="139" t="str">
        <f>IF(Data!$B513='Team Parser'!$B$1,(AB521+(COUNTIF(AC521,"TRAVERSE")*15)+(COUNTIF(AC521,"HIGH")*10)+(COUNTIF(AC521,"MIDDLE")*6)+(COUNTIF(AC521,"LOW")*4)),"")</f>
        <v/>
      </c>
    </row>
    <row r="522">
      <c r="A522" s="141" t="s">
        <v>507</v>
      </c>
      <c r="B522" s="134" t="str">
        <f>IFERROR(__xludf.DUMMYFUNCTION("IFERROR((FILTER(Data!H:H,Data!D:D=A522,Data!B:B=$B$1)),"""")"),"")</f>
        <v/>
      </c>
      <c r="C522" s="134" t="str">
        <f>IFERROR(__xludf.DUMMYFUNCTION("IFERROR((FILTER(Data!G:G,Data!D:D=A522,Data!B:B=$B$1)),"""")"),"")</f>
        <v/>
      </c>
      <c r="D522" s="134" t="str">
        <f>IFERROR(__xludf.DUMMYFUNCTION("IFERROR((FILTER(Data!J:J,Data!D:D=A522,Data!B:B=$B$1)),"""")"),"")</f>
        <v/>
      </c>
      <c r="E522" s="134" t="str">
        <f>IFERROR(__xludf.DUMMYFUNCTION("IFERROR((FILTER(Data!L:L,Data!D:D=A522,Data!B:B=$B$1)),"""")"),"")</f>
        <v/>
      </c>
      <c r="F522" s="134" t="str">
        <f>IFERROR(__xludf.DUMMYFUNCTION("IFERROR((FILTER(Data!K:K,Data!D:D=A522,Data!B:B=$B$1)),"""")"),"")</f>
        <v/>
      </c>
      <c r="G522" s="134" t="str">
        <f>IFERROR(__xludf.DUMMYFUNCTION("IFERROR((FILTER(Data!M:M,Data!D:D=A522,Data!B:B=$B$1)),"""")"),"")</f>
        <v/>
      </c>
      <c r="H522" s="134" t="str">
        <f>IFERROR(__xludf.DUMMYFUNCTION("IFERROR((FILTER(Data!G:G,Data!D:D=A522,Data!B:B=$B$1)*4)+(FILTER(Data!H:H,Data!D:D=A522,Data!B:B=$B$1)*2),"""")"),"")</f>
        <v/>
      </c>
      <c r="I522" s="15" t="str">
        <f>IFERROR(__xludf.DUMMYFUNCTION("IFERROR((FILTER(Data!K:K,Data!D:D=A522,Data!B:B=$B$1)*2)+(FILTER(Data!L:L,Data!D:D=A522,Data!B:B=$B$1)),"""")"),"")</f>
        <v/>
      </c>
      <c r="J522" s="134" t="str">
        <f>IFERROR(__xludf.DUMMYFUNCTION("IFERROR((FILTER(Data!N:N,Data!D:D=A522,Data!B:B=$B$1)),"""")"),"")</f>
        <v/>
      </c>
      <c r="K522" s="135" t="str">
        <f>IFERROR(__xludf.DUMMYFUNCTION("IFERROR((FILTER(Data!H:H,Data!D:D=A522,Data!B:B=$B$1)*2)+(FILTER(Data!L:L,Data!D:D=A522,Data!B:B=$B$1))+(FILTER(Data!G:G,Data!D:D=A522,Data!B:B=$B$1)*4)+(FILTER(Data!K:K,Data!D:D=A522,Data!B:B=$B$1)*2)+(((COUNTIF(FILTER(Data!N:N,Data!D:D=A522,Data!B:B=$B$"&amp;"1),""TRAVERSE"")*15)+(COUNTIF(FILTER(Data!N:N,Data!D:D=A522,Data!B:B=$B$1),""HIGH"")*10)+(COUNTIF(FILTER(Data!N:N,Data!D:D=A522,Data!B:B=$B$1),""MIDDLE"")*6)+(COUNTIF(FILTER(Data!N:N,Data!D:D=A522,Data!B:B=$B$1),""LOW"")*4))),"""")"),"")</f>
        <v/>
      </c>
      <c r="L522" s="136" t="str">
        <f>IFERROR(__xludf.DUMMYFUNCTION("IFERROR((FILTER(Data!P:P,Data!D:D=A522,Data!B:B=$B$1)),"""")"),"")</f>
        <v/>
      </c>
      <c r="M522" s="137" t="str">
        <f>IFERROR(__xludf.DUMMYFUNCTION("IFERROR((FILTER(Data!A:A,Data!D:D=A522,Data!B:B=$B$1)),"""")"),"")</f>
        <v/>
      </c>
      <c r="T522" s="52">
        <f>IFERROR(__xludf.DUMMYFUNCTION("((COUNTIF(FILTER(Data!N:N,Data!D:D=A522,Data!B:B=$B$1),""TRAVERSE"")*15)+(COUNTIF(FILTER(Data!N:N,Data!D:D=A522,Data!B:B=B$1),""HIGH"")*10)+(COUNTIF(FILTER(Data!N:N,Data!D:D=A522,Data!B:B=$B$1),""MIDDLE"")*6)+(COUNTIF(FILTER(Data!N:N,Data!D:D=A522,Data!B:"&amp;"B=$B$1),""LOW"")*4))"),0.0)</f>
        <v>0</v>
      </c>
      <c r="V522" s="138" t="str">
        <f>IF(Data!B514='Team Parser'!$B$1, Data!D514,"")</f>
        <v/>
      </c>
      <c r="W522" s="134" t="str">
        <f>IF(Data!$B514='Team Parser'!$B$1, Data!H514,"")</f>
        <v/>
      </c>
      <c r="X522" s="134" t="str">
        <f>IF(Data!$B514='Team Parser'!$B$1, Data!G514,"")</f>
        <v/>
      </c>
      <c r="Y522" s="134" t="str">
        <f>IF(Data!$B514='Team Parser'!$B$1, Data!L514,"")</f>
        <v/>
      </c>
      <c r="Z522" s="134" t="str">
        <f>IF(Data!$B514='Team Parser'!$B$1, Data!K514,"")</f>
        <v/>
      </c>
      <c r="AA522" s="134" t="str">
        <f>IF(Data!$B514='Team Parser'!$B$1, Data!M514,"")</f>
        <v/>
      </c>
      <c r="AB522" s="134" t="str">
        <f>IF(Data!$B514='Team Parser'!$B$1,((Z522*2)+(Y522)+(X522*4)+(W522*2)),"")</f>
        <v/>
      </c>
      <c r="AC522" s="134" t="str">
        <f>IF(Data!$B514='Team Parser'!$B$1, Data!N514,"")</f>
        <v/>
      </c>
      <c r="AD522" s="139" t="str">
        <f>IF(Data!$B514='Team Parser'!$B$1,(AB522+(COUNTIF(AC522,"TRAVERSE")*15)+(COUNTIF(AC522,"HIGH")*10)+(COUNTIF(AC522,"MIDDLE")*6)+(COUNTIF(AC522,"LOW")*4)),"")</f>
        <v/>
      </c>
    </row>
    <row r="523">
      <c r="A523" s="141" t="s">
        <v>507</v>
      </c>
      <c r="B523" s="134" t="str">
        <f>IFERROR(__xludf.DUMMYFUNCTION("IFERROR((FILTER(Data!H:H,Data!D:D=A523,Data!B:B=$B$1)),"""")"),"")</f>
        <v/>
      </c>
      <c r="C523" s="134" t="str">
        <f>IFERROR(__xludf.DUMMYFUNCTION("IFERROR((FILTER(Data!G:G,Data!D:D=A523,Data!B:B=$B$1)),"""")"),"")</f>
        <v/>
      </c>
      <c r="D523" s="134" t="str">
        <f>IFERROR(__xludf.DUMMYFUNCTION("IFERROR((FILTER(Data!J:J,Data!D:D=A523,Data!B:B=$B$1)),"""")"),"")</f>
        <v/>
      </c>
      <c r="E523" s="134" t="str">
        <f>IFERROR(__xludf.DUMMYFUNCTION("IFERROR((FILTER(Data!L:L,Data!D:D=A523,Data!B:B=$B$1)),"""")"),"")</f>
        <v/>
      </c>
      <c r="F523" s="134" t="str">
        <f>IFERROR(__xludf.DUMMYFUNCTION("IFERROR((FILTER(Data!K:K,Data!D:D=A523,Data!B:B=$B$1)),"""")"),"")</f>
        <v/>
      </c>
      <c r="G523" s="134" t="str">
        <f>IFERROR(__xludf.DUMMYFUNCTION("IFERROR((FILTER(Data!M:M,Data!D:D=A523,Data!B:B=$B$1)),"""")"),"")</f>
        <v/>
      </c>
      <c r="H523" s="134" t="str">
        <f>IFERROR(__xludf.DUMMYFUNCTION("IFERROR((FILTER(Data!G:G,Data!D:D=A523,Data!B:B=$B$1)*4)+(FILTER(Data!H:H,Data!D:D=A523,Data!B:B=$B$1)*2),"""")"),"")</f>
        <v/>
      </c>
      <c r="I523" s="15" t="str">
        <f>IFERROR(__xludf.DUMMYFUNCTION("IFERROR((FILTER(Data!K:K,Data!D:D=A523,Data!B:B=$B$1)*2)+(FILTER(Data!L:L,Data!D:D=A523,Data!B:B=$B$1)),"""")"),"")</f>
        <v/>
      </c>
      <c r="J523" s="134" t="str">
        <f>IFERROR(__xludf.DUMMYFUNCTION("IFERROR((FILTER(Data!N:N,Data!D:D=A523,Data!B:B=$B$1)),"""")"),"")</f>
        <v/>
      </c>
      <c r="K523" s="135" t="str">
        <f>IFERROR(__xludf.DUMMYFUNCTION("IFERROR((FILTER(Data!H:H,Data!D:D=A523,Data!B:B=$B$1)*2)+(FILTER(Data!L:L,Data!D:D=A523,Data!B:B=$B$1))+(FILTER(Data!G:G,Data!D:D=A523,Data!B:B=$B$1)*4)+(FILTER(Data!K:K,Data!D:D=A523,Data!B:B=$B$1)*2)+(((COUNTIF(FILTER(Data!N:N,Data!D:D=A523,Data!B:B=$B$"&amp;"1),""TRAVERSE"")*15)+(COUNTIF(FILTER(Data!N:N,Data!D:D=A523,Data!B:B=$B$1),""HIGH"")*10)+(COUNTIF(FILTER(Data!N:N,Data!D:D=A523,Data!B:B=$B$1),""MIDDLE"")*6)+(COUNTIF(FILTER(Data!N:N,Data!D:D=A523,Data!B:B=$B$1),""LOW"")*4))),"""")"),"")</f>
        <v/>
      </c>
      <c r="L523" s="136" t="str">
        <f>IFERROR(__xludf.DUMMYFUNCTION("IFERROR((FILTER(Data!P:P,Data!D:D=A523,Data!B:B=$B$1)),"""")"),"")</f>
        <v/>
      </c>
      <c r="M523" s="137" t="str">
        <f>IFERROR(__xludf.DUMMYFUNCTION("IFERROR((FILTER(Data!A:A,Data!D:D=A523,Data!B:B=$B$1)),"""")"),"")</f>
        <v/>
      </c>
      <c r="T523" s="52">
        <f>IFERROR(__xludf.DUMMYFUNCTION("((COUNTIF(FILTER(Data!N:N,Data!D:D=A523,Data!B:B=$B$1),""TRAVERSE"")*15)+(COUNTIF(FILTER(Data!N:N,Data!D:D=A523,Data!B:B=B$1),""HIGH"")*10)+(COUNTIF(FILTER(Data!N:N,Data!D:D=A523,Data!B:B=$B$1),""MIDDLE"")*6)+(COUNTIF(FILTER(Data!N:N,Data!D:D=A523,Data!B:"&amp;"B=$B$1),""LOW"")*4))"),0.0)</f>
        <v>0</v>
      </c>
      <c r="V523" s="138" t="str">
        <f>IF(Data!B515='Team Parser'!$B$1, Data!D515,"")</f>
        <v/>
      </c>
      <c r="W523" s="134" t="str">
        <f>IF(Data!$B515='Team Parser'!$B$1, Data!H515,"")</f>
        <v/>
      </c>
      <c r="X523" s="134" t="str">
        <f>IF(Data!$B515='Team Parser'!$B$1, Data!G515,"")</f>
        <v/>
      </c>
      <c r="Y523" s="134" t="str">
        <f>IF(Data!$B515='Team Parser'!$B$1, Data!L515,"")</f>
        <v/>
      </c>
      <c r="Z523" s="134" t="str">
        <f>IF(Data!$B515='Team Parser'!$B$1, Data!K515,"")</f>
        <v/>
      </c>
      <c r="AA523" s="134" t="str">
        <f>IF(Data!$B515='Team Parser'!$B$1, Data!M515,"")</f>
        <v/>
      </c>
      <c r="AB523" s="134" t="str">
        <f>IF(Data!$B515='Team Parser'!$B$1,((Z523*2)+(Y523)+(X523*4)+(W523*2)),"")</f>
        <v/>
      </c>
      <c r="AC523" s="134" t="str">
        <f>IF(Data!$B515='Team Parser'!$B$1, Data!N515,"")</f>
        <v/>
      </c>
      <c r="AD523" s="139" t="str">
        <f>IF(Data!$B515='Team Parser'!$B$1,(AB523+(COUNTIF(AC523,"TRAVERSE")*15)+(COUNTIF(AC523,"HIGH")*10)+(COUNTIF(AC523,"MIDDLE")*6)+(COUNTIF(AC523,"LOW")*4)),"")</f>
        <v/>
      </c>
    </row>
    <row r="524">
      <c r="A524" s="141" t="s">
        <v>507</v>
      </c>
      <c r="B524" s="134" t="str">
        <f>IFERROR(__xludf.DUMMYFUNCTION("IFERROR((FILTER(Data!H:H,Data!D:D=A524,Data!B:B=$B$1)),"""")"),"")</f>
        <v/>
      </c>
      <c r="C524" s="134" t="str">
        <f>IFERROR(__xludf.DUMMYFUNCTION("IFERROR((FILTER(Data!G:G,Data!D:D=A524,Data!B:B=$B$1)),"""")"),"")</f>
        <v/>
      </c>
      <c r="D524" s="134" t="str">
        <f>IFERROR(__xludf.DUMMYFUNCTION("IFERROR((FILTER(Data!J:J,Data!D:D=A524,Data!B:B=$B$1)),"""")"),"")</f>
        <v/>
      </c>
      <c r="E524" s="134" t="str">
        <f>IFERROR(__xludf.DUMMYFUNCTION("IFERROR((FILTER(Data!L:L,Data!D:D=A524,Data!B:B=$B$1)),"""")"),"")</f>
        <v/>
      </c>
      <c r="F524" s="134" t="str">
        <f>IFERROR(__xludf.DUMMYFUNCTION("IFERROR((FILTER(Data!K:K,Data!D:D=A524,Data!B:B=$B$1)),"""")"),"")</f>
        <v/>
      </c>
      <c r="G524" s="134" t="str">
        <f>IFERROR(__xludf.DUMMYFUNCTION("IFERROR((FILTER(Data!M:M,Data!D:D=A524,Data!B:B=$B$1)),"""")"),"")</f>
        <v/>
      </c>
      <c r="H524" s="134" t="str">
        <f>IFERROR(__xludf.DUMMYFUNCTION("IFERROR((FILTER(Data!G:G,Data!D:D=A524,Data!B:B=$B$1)*4)+(FILTER(Data!H:H,Data!D:D=A524,Data!B:B=$B$1)*2),"""")"),"")</f>
        <v/>
      </c>
      <c r="I524" s="15" t="str">
        <f>IFERROR(__xludf.DUMMYFUNCTION("IFERROR((FILTER(Data!K:K,Data!D:D=A524,Data!B:B=$B$1)*2)+(FILTER(Data!L:L,Data!D:D=A524,Data!B:B=$B$1)),"""")"),"")</f>
        <v/>
      </c>
      <c r="J524" s="134" t="str">
        <f>IFERROR(__xludf.DUMMYFUNCTION("IFERROR((FILTER(Data!N:N,Data!D:D=A524,Data!B:B=$B$1)),"""")"),"")</f>
        <v/>
      </c>
      <c r="K524" s="135" t="str">
        <f>IFERROR(__xludf.DUMMYFUNCTION("IFERROR((FILTER(Data!H:H,Data!D:D=A524,Data!B:B=$B$1)*2)+(FILTER(Data!L:L,Data!D:D=A524,Data!B:B=$B$1))+(FILTER(Data!G:G,Data!D:D=A524,Data!B:B=$B$1)*4)+(FILTER(Data!K:K,Data!D:D=A524,Data!B:B=$B$1)*2)+(((COUNTIF(FILTER(Data!N:N,Data!D:D=A524,Data!B:B=$B$"&amp;"1),""TRAVERSE"")*15)+(COUNTIF(FILTER(Data!N:N,Data!D:D=A524,Data!B:B=$B$1),""HIGH"")*10)+(COUNTIF(FILTER(Data!N:N,Data!D:D=A524,Data!B:B=$B$1),""MIDDLE"")*6)+(COUNTIF(FILTER(Data!N:N,Data!D:D=A524,Data!B:B=$B$1),""LOW"")*4))),"""")"),"")</f>
        <v/>
      </c>
      <c r="L524" s="136" t="str">
        <f>IFERROR(__xludf.DUMMYFUNCTION("IFERROR((FILTER(Data!P:P,Data!D:D=A524,Data!B:B=$B$1)),"""")"),"")</f>
        <v/>
      </c>
      <c r="M524" s="137" t="str">
        <f>IFERROR(__xludf.DUMMYFUNCTION("IFERROR((FILTER(Data!A:A,Data!D:D=A524,Data!B:B=$B$1)),"""")"),"")</f>
        <v/>
      </c>
      <c r="T524" s="52">
        <f>IFERROR(__xludf.DUMMYFUNCTION("((COUNTIF(FILTER(Data!N:N,Data!D:D=A524,Data!B:B=$B$1),""TRAVERSE"")*15)+(COUNTIF(FILTER(Data!N:N,Data!D:D=A524,Data!B:B=B$1),""HIGH"")*10)+(COUNTIF(FILTER(Data!N:N,Data!D:D=A524,Data!B:B=$B$1),""MIDDLE"")*6)+(COUNTIF(FILTER(Data!N:N,Data!D:D=A524,Data!B:"&amp;"B=$B$1),""LOW"")*4))"),0.0)</f>
        <v>0</v>
      </c>
      <c r="V524" s="138" t="str">
        <f>IF(Data!B516='Team Parser'!$B$1, Data!D516,"")</f>
        <v/>
      </c>
      <c r="W524" s="134" t="str">
        <f>IF(Data!$B516='Team Parser'!$B$1, Data!H516,"")</f>
        <v/>
      </c>
      <c r="X524" s="134" t="str">
        <f>IF(Data!$B516='Team Parser'!$B$1, Data!G516,"")</f>
        <v/>
      </c>
      <c r="Y524" s="134" t="str">
        <f>IF(Data!$B516='Team Parser'!$B$1, Data!L516,"")</f>
        <v/>
      </c>
      <c r="Z524" s="134" t="str">
        <f>IF(Data!$B516='Team Parser'!$B$1, Data!K516,"")</f>
        <v/>
      </c>
      <c r="AA524" s="134" t="str">
        <f>IF(Data!$B516='Team Parser'!$B$1, Data!M516,"")</f>
        <v/>
      </c>
      <c r="AB524" s="134" t="str">
        <f>IF(Data!$B516='Team Parser'!$B$1,((Z524*2)+(Y524)+(X524*4)+(W524*2)),"")</f>
        <v/>
      </c>
      <c r="AC524" s="134" t="str">
        <f>IF(Data!$B516='Team Parser'!$B$1, Data!N516,"")</f>
        <v/>
      </c>
      <c r="AD524" s="139" t="str">
        <f>IF(Data!$B516='Team Parser'!$B$1,(AB524+(COUNTIF(AC524,"TRAVERSE")*15)+(COUNTIF(AC524,"HIGH")*10)+(COUNTIF(AC524,"MIDDLE")*6)+(COUNTIF(AC524,"LOW")*4)),"")</f>
        <v/>
      </c>
    </row>
    <row r="525">
      <c r="A525" s="141" t="s">
        <v>507</v>
      </c>
      <c r="B525" s="134" t="str">
        <f>IFERROR(__xludf.DUMMYFUNCTION("IFERROR((FILTER(Data!H:H,Data!D:D=A525,Data!B:B=$B$1)),"""")"),"")</f>
        <v/>
      </c>
      <c r="C525" s="134" t="str">
        <f>IFERROR(__xludf.DUMMYFUNCTION("IFERROR((FILTER(Data!G:G,Data!D:D=A525,Data!B:B=$B$1)),"""")"),"")</f>
        <v/>
      </c>
      <c r="D525" s="134" t="str">
        <f>IFERROR(__xludf.DUMMYFUNCTION("IFERROR((FILTER(Data!J:J,Data!D:D=A525,Data!B:B=$B$1)),"""")"),"")</f>
        <v/>
      </c>
      <c r="E525" s="134" t="str">
        <f>IFERROR(__xludf.DUMMYFUNCTION("IFERROR((FILTER(Data!L:L,Data!D:D=A525,Data!B:B=$B$1)),"""")"),"")</f>
        <v/>
      </c>
      <c r="F525" s="134" t="str">
        <f>IFERROR(__xludf.DUMMYFUNCTION("IFERROR((FILTER(Data!K:K,Data!D:D=A525,Data!B:B=$B$1)),"""")"),"")</f>
        <v/>
      </c>
      <c r="G525" s="134" t="str">
        <f>IFERROR(__xludf.DUMMYFUNCTION("IFERROR((FILTER(Data!M:M,Data!D:D=A525,Data!B:B=$B$1)),"""")"),"")</f>
        <v/>
      </c>
      <c r="H525" s="134" t="str">
        <f>IFERROR(__xludf.DUMMYFUNCTION("IFERROR((FILTER(Data!G:G,Data!D:D=A525,Data!B:B=$B$1)*4)+(FILTER(Data!H:H,Data!D:D=A525,Data!B:B=$B$1)*2),"""")"),"")</f>
        <v/>
      </c>
      <c r="I525" s="15" t="str">
        <f>IFERROR(__xludf.DUMMYFUNCTION("IFERROR((FILTER(Data!K:K,Data!D:D=A525,Data!B:B=$B$1)*2)+(FILTER(Data!L:L,Data!D:D=A525,Data!B:B=$B$1)),"""")"),"")</f>
        <v/>
      </c>
      <c r="J525" s="134" t="str">
        <f>IFERROR(__xludf.DUMMYFUNCTION("IFERROR((FILTER(Data!N:N,Data!D:D=A525,Data!B:B=$B$1)),"""")"),"")</f>
        <v/>
      </c>
      <c r="K525" s="135" t="str">
        <f>IFERROR(__xludf.DUMMYFUNCTION("IFERROR((FILTER(Data!H:H,Data!D:D=A525,Data!B:B=$B$1)*2)+(FILTER(Data!L:L,Data!D:D=A525,Data!B:B=$B$1))+(FILTER(Data!G:G,Data!D:D=A525,Data!B:B=$B$1)*4)+(FILTER(Data!K:K,Data!D:D=A525,Data!B:B=$B$1)*2)+(((COUNTIF(FILTER(Data!N:N,Data!D:D=A525,Data!B:B=$B$"&amp;"1),""TRAVERSE"")*15)+(COUNTIF(FILTER(Data!N:N,Data!D:D=A525,Data!B:B=$B$1),""HIGH"")*10)+(COUNTIF(FILTER(Data!N:N,Data!D:D=A525,Data!B:B=$B$1),""MIDDLE"")*6)+(COUNTIF(FILTER(Data!N:N,Data!D:D=A525,Data!B:B=$B$1),""LOW"")*4))),"""")"),"")</f>
        <v/>
      </c>
      <c r="L525" s="136" t="str">
        <f>IFERROR(__xludf.DUMMYFUNCTION("IFERROR((FILTER(Data!P:P,Data!D:D=A525,Data!B:B=$B$1)),"""")"),"")</f>
        <v/>
      </c>
      <c r="M525" s="137" t="str">
        <f>IFERROR(__xludf.DUMMYFUNCTION("IFERROR((FILTER(Data!A:A,Data!D:D=A525,Data!B:B=$B$1)),"""")"),"")</f>
        <v/>
      </c>
      <c r="T525" s="52">
        <f>IFERROR(__xludf.DUMMYFUNCTION("((COUNTIF(FILTER(Data!N:N,Data!D:D=A525,Data!B:B=$B$1),""TRAVERSE"")*15)+(COUNTIF(FILTER(Data!N:N,Data!D:D=A525,Data!B:B=B$1),""HIGH"")*10)+(COUNTIF(FILTER(Data!N:N,Data!D:D=A525,Data!B:B=$B$1),""MIDDLE"")*6)+(COUNTIF(FILTER(Data!N:N,Data!D:D=A525,Data!B:"&amp;"B=$B$1),""LOW"")*4))"),0.0)</f>
        <v>0</v>
      </c>
      <c r="V525" s="138" t="str">
        <f>IF(Data!B517='Team Parser'!$B$1, Data!D517,"")</f>
        <v/>
      </c>
      <c r="W525" s="134" t="str">
        <f>IF(Data!$B517='Team Parser'!$B$1, Data!H517,"")</f>
        <v/>
      </c>
      <c r="X525" s="134" t="str">
        <f>IF(Data!$B517='Team Parser'!$B$1, Data!G517,"")</f>
        <v/>
      </c>
      <c r="Y525" s="134" t="str">
        <f>IF(Data!$B517='Team Parser'!$B$1, Data!L517,"")</f>
        <v/>
      </c>
      <c r="Z525" s="134" t="str">
        <f>IF(Data!$B517='Team Parser'!$B$1, Data!K517,"")</f>
        <v/>
      </c>
      <c r="AA525" s="134" t="str">
        <f>IF(Data!$B517='Team Parser'!$B$1, Data!M517,"")</f>
        <v/>
      </c>
      <c r="AB525" s="134" t="str">
        <f>IF(Data!$B517='Team Parser'!$B$1,((Z525*2)+(Y525)+(X525*4)+(W525*2)),"")</f>
        <v/>
      </c>
      <c r="AC525" s="134" t="str">
        <f>IF(Data!$B517='Team Parser'!$B$1, Data!N517,"")</f>
        <v/>
      </c>
      <c r="AD525" s="139" t="str">
        <f>IF(Data!$B517='Team Parser'!$B$1,(AB525+(COUNTIF(AC525,"TRAVERSE")*15)+(COUNTIF(AC525,"HIGH")*10)+(COUNTIF(AC525,"MIDDLE")*6)+(COUNTIF(AC525,"LOW")*4)),"")</f>
        <v/>
      </c>
    </row>
    <row r="526">
      <c r="A526" s="141" t="s">
        <v>507</v>
      </c>
      <c r="B526" s="134" t="str">
        <f>IFERROR(__xludf.DUMMYFUNCTION("IFERROR((FILTER(Data!H:H,Data!D:D=A526,Data!B:B=$B$1)),"""")"),"")</f>
        <v/>
      </c>
      <c r="C526" s="134" t="str">
        <f>IFERROR(__xludf.DUMMYFUNCTION("IFERROR((FILTER(Data!G:G,Data!D:D=A526,Data!B:B=$B$1)),"""")"),"")</f>
        <v/>
      </c>
      <c r="D526" s="134" t="str">
        <f>IFERROR(__xludf.DUMMYFUNCTION("IFERROR((FILTER(Data!J:J,Data!D:D=A526,Data!B:B=$B$1)),"""")"),"")</f>
        <v/>
      </c>
      <c r="E526" s="134" t="str">
        <f>IFERROR(__xludf.DUMMYFUNCTION("IFERROR((FILTER(Data!L:L,Data!D:D=A526,Data!B:B=$B$1)),"""")"),"")</f>
        <v/>
      </c>
      <c r="F526" s="134" t="str">
        <f>IFERROR(__xludf.DUMMYFUNCTION("IFERROR((FILTER(Data!K:K,Data!D:D=A526,Data!B:B=$B$1)),"""")"),"")</f>
        <v/>
      </c>
      <c r="G526" s="134" t="str">
        <f>IFERROR(__xludf.DUMMYFUNCTION("IFERROR((FILTER(Data!M:M,Data!D:D=A526,Data!B:B=$B$1)),"""")"),"")</f>
        <v/>
      </c>
      <c r="H526" s="134" t="str">
        <f>IFERROR(__xludf.DUMMYFUNCTION("IFERROR((FILTER(Data!G:G,Data!D:D=A526,Data!B:B=$B$1)*4)+(FILTER(Data!H:H,Data!D:D=A526,Data!B:B=$B$1)*2),"""")"),"")</f>
        <v/>
      </c>
      <c r="I526" s="15" t="str">
        <f>IFERROR(__xludf.DUMMYFUNCTION("IFERROR((FILTER(Data!K:K,Data!D:D=A526,Data!B:B=$B$1)*2)+(FILTER(Data!L:L,Data!D:D=A526,Data!B:B=$B$1)),"""")"),"")</f>
        <v/>
      </c>
      <c r="J526" s="134" t="str">
        <f>IFERROR(__xludf.DUMMYFUNCTION("IFERROR((FILTER(Data!N:N,Data!D:D=A526,Data!B:B=$B$1)),"""")"),"")</f>
        <v/>
      </c>
      <c r="K526" s="135" t="str">
        <f>IFERROR(__xludf.DUMMYFUNCTION("IFERROR((FILTER(Data!H:H,Data!D:D=A526,Data!B:B=$B$1)*2)+(FILTER(Data!L:L,Data!D:D=A526,Data!B:B=$B$1))+(FILTER(Data!G:G,Data!D:D=A526,Data!B:B=$B$1)*4)+(FILTER(Data!K:K,Data!D:D=A526,Data!B:B=$B$1)*2)+(((COUNTIF(FILTER(Data!N:N,Data!D:D=A526,Data!B:B=$B$"&amp;"1),""TRAVERSE"")*15)+(COUNTIF(FILTER(Data!N:N,Data!D:D=A526,Data!B:B=$B$1),""HIGH"")*10)+(COUNTIF(FILTER(Data!N:N,Data!D:D=A526,Data!B:B=$B$1),""MIDDLE"")*6)+(COUNTIF(FILTER(Data!N:N,Data!D:D=A526,Data!B:B=$B$1),""LOW"")*4))),"""")"),"")</f>
        <v/>
      </c>
      <c r="L526" s="136" t="str">
        <f>IFERROR(__xludf.DUMMYFUNCTION("IFERROR((FILTER(Data!P:P,Data!D:D=A526,Data!B:B=$B$1)),"""")"),"")</f>
        <v/>
      </c>
      <c r="M526" s="137" t="str">
        <f>IFERROR(__xludf.DUMMYFUNCTION("IFERROR((FILTER(Data!A:A,Data!D:D=A526,Data!B:B=$B$1)),"""")"),"")</f>
        <v/>
      </c>
      <c r="T526" s="52">
        <f>IFERROR(__xludf.DUMMYFUNCTION("((COUNTIF(FILTER(Data!N:N,Data!D:D=A526,Data!B:B=$B$1),""TRAVERSE"")*15)+(COUNTIF(FILTER(Data!N:N,Data!D:D=A526,Data!B:B=B$1),""HIGH"")*10)+(COUNTIF(FILTER(Data!N:N,Data!D:D=A526,Data!B:B=$B$1),""MIDDLE"")*6)+(COUNTIF(FILTER(Data!N:N,Data!D:D=A526,Data!B:"&amp;"B=$B$1),""LOW"")*4))"),0.0)</f>
        <v>0</v>
      </c>
      <c r="V526" s="138" t="str">
        <f>IF(Data!B518='Team Parser'!$B$1, Data!D518,"")</f>
        <v/>
      </c>
      <c r="W526" s="134" t="str">
        <f>IF(Data!$B518='Team Parser'!$B$1, Data!H518,"")</f>
        <v/>
      </c>
      <c r="X526" s="134" t="str">
        <f>IF(Data!$B518='Team Parser'!$B$1, Data!G518,"")</f>
        <v/>
      </c>
      <c r="Y526" s="134" t="str">
        <f>IF(Data!$B518='Team Parser'!$B$1, Data!L518,"")</f>
        <v/>
      </c>
      <c r="Z526" s="134" t="str">
        <f>IF(Data!$B518='Team Parser'!$B$1, Data!K518,"")</f>
        <v/>
      </c>
      <c r="AA526" s="134" t="str">
        <f>IF(Data!$B518='Team Parser'!$B$1, Data!M518,"")</f>
        <v/>
      </c>
      <c r="AB526" s="134" t="str">
        <f>IF(Data!$B518='Team Parser'!$B$1,((Z526*2)+(Y526)+(X526*4)+(W526*2)),"")</f>
        <v/>
      </c>
      <c r="AC526" s="134" t="str">
        <f>IF(Data!$B518='Team Parser'!$B$1, Data!N518,"")</f>
        <v/>
      </c>
      <c r="AD526" s="139" t="str">
        <f>IF(Data!$B518='Team Parser'!$B$1,(AB526+(COUNTIF(AC526,"TRAVERSE")*15)+(COUNTIF(AC526,"HIGH")*10)+(COUNTIF(AC526,"MIDDLE")*6)+(COUNTIF(AC526,"LOW")*4)),"")</f>
        <v/>
      </c>
    </row>
    <row r="527">
      <c r="A527" s="141" t="s">
        <v>507</v>
      </c>
      <c r="B527" s="134" t="str">
        <f>IFERROR(__xludf.DUMMYFUNCTION("IFERROR((FILTER(Data!H:H,Data!D:D=A527,Data!B:B=$B$1)),"""")"),"")</f>
        <v/>
      </c>
      <c r="C527" s="134" t="str">
        <f>IFERROR(__xludf.DUMMYFUNCTION("IFERROR((FILTER(Data!G:G,Data!D:D=A527,Data!B:B=$B$1)),"""")"),"")</f>
        <v/>
      </c>
      <c r="D527" s="134" t="str">
        <f>IFERROR(__xludf.DUMMYFUNCTION("IFERROR((FILTER(Data!J:J,Data!D:D=A527,Data!B:B=$B$1)),"""")"),"")</f>
        <v/>
      </c>
      <c r="E527" s="134" t="str">
        <f>IFERROR(__xludf.DUMMYFUNCTION("IFERROR((FILTER(Data!L:L,Data!D:D=A527,Data!B:B=$B$1)),"""")"),"")</f>
        <v/>
      </c>
      <c r="F527" s="134" t="str">
        <f>IFERROR(__xludf.DUMMYFUNCTION("IFERROR((FILTER(Data!K:K,Data!D:D=A527,Data!B:B=$B$1)),"""")"),"")</f>
        <v/>
      </c>
      <c r="G527" s="134" t="str">
        <f>IFERROR(__xludf.DUMMYFUNCTION("IFERROR((FILTER(Data!M:M,Data!D:D=A527,Data!B:B=$B$1)),"""")"),"")</f>
        <v/>
      </c>
      <c r="H527" s="134" t="str">
        <f>IFERROR(__xludf.DUMMYFUNCTION("IFERROR((FILTER(Data!G:G,Data!D:D=A527,Data!B:B=$B$1)*4)+(FILTER(Data!H:H,Data!D:D=A527,Data!B:B=$B$1)*2),"""")"),"")</f>
        <v/>
      </c>
      <c r="I527" s="15" t="str">
        <f>IFERROR(__xludf.DUMMYFUNCTION("IFERROR((FILTER(Data!K:K,Data!D:D=A527,Data!B:B=$B$1)*2)+(FILTER(Data!L:L,Data!D:D=A527,Data!B:B=$B$1)),"""")"),"")</f>
        <v/>
      </c>
      <c r="J527" s="134" t="str">
        <f>IFERROR(__xludf.DUMMYFUNCTION("IFERROR((FILTER(Data!N:N,Data!D:D=A527,Data!B:B=$B$1)),"""")"),"")</f>
        <v/>
      </c>
      <c r="K527" s="135" t="str">
        <f>IFERROR(__xludf.DUMMYFUNCTION("IFERROR((FILTER(Data!H:H,Data!D:D=A527,Data!B:B=$B$1)*2)+(FILTER(Data!L:L,Data!D:D=A527,Data!B:B=$B$1))+(FILTER(Data!G:G,Data!D:D=A527,Data!B:B=$B$1)*4)+(FILTER(Data!K:K,Data!D:D=A527,Data!B:B=$B$1)*2)+(((COUNTIF(FILTER(Data!N:N,Data!D:D=A527,Data!B:B=$B$"&amp;"1),""TRAVERSE"")*15)+(COUNTIF(FILTER(Data!N:N,Data!D:D=A527,Data!B:B=$B$1),""HIGH"")*10)+(COUNTIF(FILTER(Data!N:N,Data!D:D=A527,Data!B:B=$B$1),""MIDDLE"")*6)+(COUNTIF(FILTER(Data!N:N,Data!D:D=A527,Data!B:B=$B$1),""LOW"")*4))),"""")"),"")</f>
        <v/>
      </c>
      <c r="L527" s="136" t="str">
        <f>IFERROR(__xludf.DUMMYFUNCTION("IFERROR((FILTER(Data!P:P,Data!D:D=A527,Data!B:B=$B$1)),"""")"),"")</f>
        <v/>
      </c>
      <c r="M527" s="137" t="str">
        <f>IFERROR(__xludf.DUMMYFUNCTION("IFERROR((FILTER(Data!A:A,Data!D:D=A527,Data!B:B=$B$1)),"""")"),"")</f>
        <v/>
      </c>
      <c r="T527" s="52">
        <f>IFERROR(__xludf.DUMMYFUNCTION("((COUNTIF(FILTER(Data!N:N,Data!D:D=A527,Data!B:B=$B$1),""TRAVERSE"")*15)+(COUNTIF(FILTER(Data!N:N,Data!D:D=A527,Data!B:B=B$1),""HIGH"")*10)+(COUNTIF(FILTER(Data!N:N,Data!D:D=A527,Data!B:B=$B$1),""MIDDLE"")*6)+(COUNTIF(FILTER(Data!N:N,Data!D:D=A527,Data!B:"&amp;"B=$B$1),""LOW"")*4))"),0.0)</f>
        <v>0</v>
      </c>
      <c r="V527" s="138" t="str">
        <f>IF(Data!B519='Team Parser'!$B$1, Data!D519,"")</f>
        <v/>
      </c>
      <c r="W527" s="134" t="str">
        <f>IF(Data!$B519='Team Parser'!$B$1, Data!H519,"")</f>
        <v/>
      </c>
      <c r="X527" s="134" t="str">
        <f>IF(Data!$B519='Team Parser'!$B$1, Data!G519,"")</f>
        <v/>
      </c>
      <c r="Y527" s="134" t="str">
        <f>IF(Data!$B519='Team Parser'!$B$1, Data!L519,"")</f>
        <v/>
      </c>
      <c r="Z527" s="134" t="str">
        <f>IF(Data!$B519='Team Parser'!$B$1, Data!K519,"")</f>
        <v/>
      </c>
      <c r="AA527" s="134" t="str">
        <f>IF(Data!$B519='Team Parser'!$B$1, Data!M519,"")</f>
        <v/>
      </c>
      <c r="AB527" s="134" t="str">
        <f>IF(Data!$B519='Team Parser'!$B$1,((Z527*2)+(Y527)+(X527*4)+(W527*2)),"")</f>
        <v/>
      </c>
      <c r="AC527" s="134" t="str">
        <f>IF(Data!$B519='Team Parser'!$B$1, Data!N519,"")</f>
        <v/>
      </c>
      <c r="AD527" s="139" t="str">
        <f>IF(Data!$B519='Team Parser'!$B$1,(AB527+(COUNTIF(AC527,"TRAVERSE")*15)+(COUNTIF(AC527,"HIGH")*10)+(COUNTIF(AC527,"MIDDLE")*6)+(COUNTIF(AC527,"LOW")*4)),"")</f>
        <v/>
      </c>
    </row>
    <row r="528">
      <c r="A528" s="141" t="s">
        <v>507</v>
      </c>
      <c r="B528" s="134" t="str">
        <f>IFERROR(__xludf.DUMMYFUNCTION("IFERROR((FILTER(Data!H:H,Data!D:D=A528,Data!B:B=$B$1)),"""")"),"")</f>
        <v/>
      </c>
      <c r="C528" s="134" t="str">
        <f>IFERROR(__xludf.DUMMYFUNCTION("IFERROR((FILTER(Data!G:G,Data!D:D=A528,Data!B:B=$B$1)),"""")"),"")</f>
        <v/>
      </c>
      <c r="D528" s="134" t="str">
        <f>IFERROR(__xludf.DUMMYFUNCTION("IFERROR((FILTER(Data!J:J,Data!D:D=A528,Data!B:B=$B$1)),"""")"),"")</f>
        <v/>
      </c>
      <c r="E528" s="134" t="str">
        <f>IFERROR(__xludf.DUMMYFUNCTION("IFERROR((FILTER(Data!L:L,Data!D:D=A528,Data!B:B=$B$1)),"""")"),"")</f>
        <v/>
      </c>
      <c r="F528" s="134" t="str">
        <f>IFERROR(__xludf.DUMMYFUNCTION("IFERROR((FILTER(Data!K:K,Data!D:D=A528,Data!B:B=$B$1)),"""")"),"")</f>
        <v/>
      </c>
      <c r="G528" s="134" t="str">
        <f>IFERROR(__xludf.DUMMYFUNCTION("IFERROR((FILTER(Data!M:M,Data!D:D=A528,Data!B:B=$B$1)),"""")"),"")</f>
        <v/>
      </c>
      <c r="H528" s="134" t="str">
        <f>IFERROR(__xludf.DUMMYFUNCTION("IFERROR((FILTER(Data!G:G,Data!D:D=A528,Data!B:B=$B$1)*4)+(FILTER(Data!H:H,Data!D:D=A528,Data!B:B=$B$1)*2),"""")"),"")</f>
        <v/>
      </c>
      <c r="I528" s="15" t="str">
        <f>IFERROR(__xludf.DUMMYFUNCTION("IFERROR((FILTER(Data!K:K,Data!D:D=A528,Data!B:B=$B$1)*2)+(FILTER(Data!L:L,Data!D:D=A528,Data!B:B=$B$1)),"""")"),"")</f>
        <v/>
      </c>
      <c r="J528" s="134" t="str">
        <f>IFERROR(__xludf.DUMMYFUNCTION("IFERROR((FILTER(Data!N:N,Data!D:D=A528,Data!B:B=$B$1)),"""")"),"")</f>
        <v/>
      </c>
      <c r="K528" s="135" t="str">
        <f>IFERROR(__xludf.DUMMYFUNCTION("IFERROR((FILTER(Data!H:H,Data!D:D=A528,Data!B:B=$B$1)*2)+(FILTER(Data!L:L,Data!D:D=A528,Data!B:B=$B$1))+(FILTER(Data!G:G,Data!D:D=A528,Data!B:B=$B$1)*4)+(FILTER(Data!K:K,Data!D:D=A528,Data!B:B=$B$1)*2)+(((COUNTIF(FILTER(Data!N:N,Data!D:D=A528,Data!B:B=$B$"&amp;"1),""TRAVERSE"")*15)+(COUNTIF(FILTER(Data!N:N,Data!D:D=A528,Data!B:B=$B$1),""HIGH"")*10)+(COUNTIF(FILTER(Data!N:N,Data!D:D=A528,Data!B:B=$B$1),""MIDDLE"")*6)+(COUNTIF(FILTER(Data!N:N,Data!D:D=A528,Data!B:B=$B$1),""LOW"")*4))),"""")"),"")</f>
        <v/>
      </c>
      <c r="L528" s="136" t="str">
        <f>IFERROR(__xludf.DUMMYFUNCTION("IFERROR((FILTER(Data!P:P,Data!D:D=A528,Data!B:B=$B$1)),"""")"),"")</f>
        <v/>
      </c>
      <c r="M528" s="137" t="str">
        <f>IFERROR(__xludf.DUMMYFUNCTION("IFERROR((FILTER(Data!A:A,Data!D:D=A528,Data!B:B=$B$1)),"""")"),"")</f>
        <v/>
      </c>
      <c r="T528" s="52">
        <f>IFERROR(__xludf.DUMMYFUNCTION("((COUNTIF(FILTER(Data!N:N,Data!D:D=A528,Data!B:B=$B$1),""TRAVERSE"")*15)+(COUNTIF(FILTER(Data!N:N,Data!D:D=A528,Data!B:B=B$1),""HIGH"")*10)+(COUNTIF(FILTER(Data!N:N,Data!D:D=A528,Data!B:B=$B$1),""MIDDLE"")*6)+(COUNTIF(FILTER(Data!N:N,Data!D:D=A528,Data!B:"&amp;"B=$B$1),""LOW"")*4))"),0.0)</f>
        <v>0</v>
      </c>
      <c r="V528" s="138" t="str">
        <f>IF(Data!B520='Team Parser'!$B$1, Data!D520,"")</f>
        <v/>
      </c>
      <c r="W528" s="134" t="str">
        <f>IF(Data!$B520='Team Parser'!$B$1, Data!H520,"")</f>
        <v/>
      </c>
      <c r="X528" s="134" t="str">
        <f>IF(Data!$B520='Team Parser'!$B$1, Data!G520,"")</f>
        <v/>
      </c>
      <c r="Y528" s="134" t="str">
        <f>IF(Data!$B520='Team Parser'!$B$1, Data!L520,"")</f>
        <v/>
      </c>
      <c r="Z528" s="134" t="str">
        <f>IF(Data!$B520='Team Parser'!$B$1, Data!K520,"")</f>
        <v/>
      </c>
      <c r="AA528" s="134" t="str">
        <f>IF(Data!$B520='Team Parser'!$B$1, Data!M520,"")</f>
        <v/>
      </c>
      <c r="AB528" s="134" t="str">
        <f>IF(Data!$B520='Team Parser'!$B$1,((Z528*2)+(Y528)+(X528*4)+(W528*2)),"")</f>
        <v/>
      </c>
      <c r="AC528" s="134" t="str">
        <f>IF(Data!$B520='Team Parser'!$B$1, Data!N520,"")</f>
        <v/>
      </c>
      <c r="AD528" s="139" t="str">
        <f>IF(Data!$B520='Team Parser'!$B$1,(AB528+(COUNTIF(AC528,"TRAVERSE")*15)+(COUNTIF(AC528,"HIGH")*10)+(COUNTIF(AC528,"MIDDLE")*6)+(COUNTIF(AC528,"LOW")*4)),"")</f>
        <v/>
      </c>
    </row>
    <row r="529">
      <c r="A529" s="141" t="s">
        <v>507</v>
      </c>
      <c r="B529" s="134" t="str">
        <f>IFERROR(__xludf.DUMMYFUNCTION("IFERROR((FILTER(Data!H:H,Data!D:D=A529,Data!B:B=$B$1)),"""")"),"")</f>
        <v/>
      </c>
      <c r="C529" s="134" t="str">
        <f>IFERROR(__xludf.DUMMYFUNCTION("IFERROR((FILTER(Data!G:G,Data!D:D=A529,Data!B:B=$B$1)),"""")"),"")</f>
        <v/>
      </c>
      <c r="D529" s="134" t="str">
        <f>IFERROR(__xludf.DUMMYFUNCTION("IFERROR((FILTER(Data!J:J,Data!D:D=A529,Data!B:B=$B$1)),"""")"),"")</f>
        <v/>
      </c>
      <c r="E529" s="134" t="str">
        <f>IFERROR(__xludf.DUMMYFUNCTION("IFERROR((FILTER(Data!L:L,Data!D:D=A529,Data!B:B=$B$1)),"""")"),"")</f>
        <v/>
      </c>
      <c r="F529" s="134" t="str">
        <f>IFERROR(__xludf.DUMMYFUNCTION("IFERROR((FILTER(Data!K:K,Data!D:D=A529,Data!B:B=$B$1)),"""")"),"")</f>
        <v/>
      </c>
      <c r="G529" s="134" t="str">
        <f>IFERROR(__xludf.DUMMYFUNCTION("IFERROR((FILTER(Data!M:M,Data!D:D=A529,Data!B:B=$B$1)),"""")"),"")</f>
        <v/>
      </c>
      <c r="H529" s="134" t="str">
        <f>IFERROR(__xludf.DUMMYFUNCTION("IFERROR((FILTER(Data!G:G,Data!D:D=A529,Data!B:B=$B$1)*4)+(FILTER(Data!H:H,Data!D:D=A529,Data!B:B=$B$1)*2),"""")"),"")</f>
        <v/>
      </c>
      <c r="I529" s="15" t="str">
        <f>IFERROR(__xludf.DUMMYFUNCTION("IFERROR((FILTER(Data!K:K,Data!D:D=A529,Data!B:B=$B$1)*2)+(FILTER(Data!L:L,Data!D:D=A529,Data!B:B=$B$1)),"""")"),"")</f>
        <v/>
      </c>
      <c r="J529" s="134" t="str">
        <f>IFERROR(__xludf.DUMMYFUNCTION("IFERROR((FILTER(Data!N:N,Data!D:D=A529,Data!B:B=$B$1)),"""")"),"")</f>
        <v/>
      </c>
      <c r="K529" s="135" t="str">
        <f>IFERROR(__xludf.DUMMYFUNCTION("IFERROR((FILTER(Data!H:H,Data!D:D=A529,Data!B:B=$B$1)*2)+(FILTER(Data!L:L,Data!D:D=A529,Data!B:B=$B$1))+(FILTER(Data!G:G,Data!D:D=A529,Data!B:B=$B$1)*4)+(FILTER(Data!K:K,Data!D:D=A529,Data!B:B=$B$1)*2)+(((COUNTIF(FILTER(Data!N:N,Data!D:D=A529,Data!B:B=$B$"&amp;"1),""TRAVERSE"")*15)+(COUNTIF(FILTER(Data!N:N,Data!D:D=A529,Data!B:B=$B$1),""HIGH"")*10)+(COUNTIF(FILTER(Data!N:N,Data!D:D=A529,Data!B:B=$B$1),""MIDDLE"")*6)+(COUNTIF(FILTER(Data!N:N,Data!D:D=A529,Data!B:B=$B$1),""LOW"")*4))),"""")"),"")</f>
        <v/>
      </c>
      <c r="L529" s="136" t="str">
        <f>IFERROR(__xludf.DUMMYFUNCTION("IFERROR((FILTER(Data!P:P,Data!D:D=A529,Data!B:B=$B$1)),"""")"),"")</f>
        <v/>
      </c>
      <c r="M529" s="137" t="str">
        <f>IFERROR(__xludf.DUMMYFUNCTION("IFERROR((FILTER(Data!A:A,Data!D:D=A529,Data!B:B=$B$1)),"""")"),"")</f>
        <v/>
      </c>
      <c r="T529" s="52">
        <f>IFERROR(__xludf.DUMMYFUNCTION("((COUNTIF(FILTER(Data!N:N,Data!D:D=A529,Data!B:B=$B$1),""TRAVERSE"")*15)+(COUNTIF(FILTER(Data!N:N,Data!D:D=A529,Data!B:B=B$1),""HIGH"")*10)+(COUNTIF(FILTER(Data!N:N,Data!D:D=A529,Data!B:B=$B$1),""MIDDLE"")*6)+(COUNTIF(FILTER(Data!N:N,Data!D:D=A529,Data!B:"&amp;"B=$B$1),""LOW"")*4))"),0.0)</f>
        <v>0</v>
      </c>
      <c r="V529" s="138" t="str">
        <f>IF(Data!B521='Team Parser'!$B$1, Data!D521,"")</f>
        <v/>
      </c>
      <c r="W529" s="134" t="str">
        <f>IF(Data!$B521='Team Parser'!$B$1, Data!H521,"")</f>
        <v/>
      </c>
      <c r="X529" s="134" t="str">
        <f>IF(Data!$B521='Team Parser'!$B$1, Data!G521,"")</f>
        <v/>
      </c>
      <c r="Y529" s="134" t="str">
        <f>IF(Data!$B521='Team Parser'!$B$1, Data!L521,"")</f>
        <v/>
      </c>
      <c r="Z529" s="134" t="str">
        <f>IF(Data!$B521='Team Parser'!$B$1, Data!K521,"")</f>
        <v/>
      </c>
      <c r="AA529" s="134" t="str">
        <f>IF(Data!$B521='Team Parser'!$B$1, Data!M521,"")</f>
        <v/>
      </c>
      <c r="AB529" s="134" t="str">
        <f>IF(Data!$B521='Team Parser'!$B$1,((Z529*2)+(Y529)+(X529*4)+(W529*2)),"")</f>
        <v/>
      </c>
      <c r="AC529" s="134" t="str">
        <f>IF(Data!$B521='Team Parser'!$B$1, Data!N521,"")</f>
        <v/>
      </c>
      <c r="AD529" s="139" t="str">
        <f>IF(Data!$B521='Team Parser'!$B$1,(AB529+(COUNTIF(AC529,"TRAVERSE")*15)+(COUNTIF(AC529,"HIGH")*10)+(COUNTIF(AC529,"MIDDLE")*6)+(COUNTIF(AC529,"LOW")*4)),"")</f>
        <v/>
      </c>
    </row>
    <row r="530">
      <c r="A530" s="141" t="s">
        <v>507</v>
      </c>
      <c r="B530" s="134" t="str">
        <f>IFERROR(__xludf.DUMMYFUNCTION("IFERROR((FILTER(Data!H:H,Data!D:D=A530,Data!B:B=$B$1)),"""")"),"")</f>
        <v/>
      </c>
      <c r="C530" s="134" t="str">
        <f>IFERROR(__xludf.DUMMYFUNCTION("IFERROR((FILTER(Data!G:G,Data!D:D=A530,Data!B:B=$B$1)),"""")"),"")</f>
        <v/>
      </c>
      <c r="D530" s="134" t="str">
        <f>IFERROR(__xludf.DUMMYFUNCTION("IFERROR((FILTER(Data!J:J,Data!D:D=A530,Data!B:B=$B$1)),"""")"),"")</f>
        <v/>
      </c>
      <c r="E530" s="134" t="str">
        <f>IFERROR(__xludf.DUMMYFUNCTION("IFERROR((FILTER(Data!L:L,Data!D:D=A530,Data!B:B=$B$1)),"""")"),"")</f>
        <v/>
      </c>
      <c r="F530" s="134" t="str">
        <f>IFERROR(__xludf.DUMMYFUNCTION("IFERROR((FILTER(Data!K:K,Data!D:D=A530,Data!B:B=$B$1)),"""")"),"")</f>
        <v/>
      </c>
      <c r="G530" s="134" t="str">
        <f>IFERROR(__xludf.DUMMYFUNCTION("IFERROR((FILTER(Data!M:M,Data!D:D=A530,Data!B:B=$B$1)),"""")"),"")</f>
        <v/>
      </c>
      <c r="H530" s="134" t="str">
        <f>IFERROR(__xludf.DUMMYFUNCTION("IFERROR((FILTER(Data!G:G,Data!D:D=A530,Data!B:B=$B$1)*4)+(FILTER(Data!H:H,Data!D:D=A530,Data!B:B=$B$1)*2),"""")"),"")</f>
        <v/>
      </c>
      <c r="I530" s="15" t="str">
        <f>IFERROR(__xludf.DUMMYFUNCTION("IFERROR((FILTER(Data!K:K,Data!D:D=A530,Data!B:B=$B$1)*2)+(FILTER(Data!L:L,Data!D:D=A530,Data!B:B=$B$1)),"""")"),"")</f>
        <v/>
      </c>
      <c r="J530" s="134" t="str">
        <f>IFERROR(__xludf.DUMMYFUNCTION("IFERROR((FILTER(Data!N:N,Data!D:D=A530,Data!B:B=$B$1)),"""")"),"")</f>
        <v/>
      </c>
      <c r="K530" s="135" t="str">
        <f>IFERROR(__xludf.DUMMYFUNCTION("IFERROR((FILTER(Data!H:H,Data!D:D=A530,Data!B:B=$B$1)*2)+(FILTER(Data!L:L,Data!D:D=A530,Data!B:B=$B$1))+(FILTER(Data!G:G,Data!D:D=A530,Data!B:B=$B$1)*4)+(FILTER(Data!K:K,Data!D:D=A530,Data!B:B=$B$1)*2)+(((COUNTIF(FILTER(Data!N:N,Data!D:D=A530,Data!B:B=$B$"&amp;"1),""TRAVERSE"")*15)+(COUNTIF(FILTER(Data!N:N,Data!D:D=A530,Data!B:B=$B$1),""HIGH"")*10)+(COUNTIF(FILTER(Data!N:N,Data!D:D=A530,Data!B:B=$B$1),""MIDDLE"")*6)+(COUNTIF(FILTER(Data!N:N,Data!D:D=A530,Data!B:B=$B$1),""LOW"")*4))),"""")"),"")</f>
        <v/>
      </c>
      <c r="L530" s="136" t="str">
        <f>IFERROR(__xludf.DUMMYFUNCTION("IFERROR((FILTER(Data!P:P,Data!D:D=A530,Data!B:B=$B$1)),"""")"),"")</f>
        <v/>
      </c>
      <c r="M530" s="137" t="str">
        <f>IFERROR(__xludf.DUMMYFUNCTION("IFERROR((FILTER(Data!A:A,Data!D:D=A530,Data!B:B=$B$1)),"""")"),"")</f>
        <v/>
      </c>
      <c r="T530" s="52">
        <f>IFERROR(__xludf.DUMMYFUNCTION("((COUNTIF(FILTER(Data!N:N,Data!D:D=A530,Data!B:B=$B$1),""TRAVERSE"")*15)+(COUNTIF(FILTER(Data!N:N,Data!D:D=A530,Data!B:B=B$1),""HIGH"")*10)+(COUNTIF(FILTER(Data!N:N,Data!D:D=A530,Data!B:B=$B$1),""MIDDLE"")*6)+(COUNTIF(FILTER(Data!N:N,Data!D:D=A530,Data!B:"&amp;"B=$B$1),""LOW"")*4))"),0.0)</f>
        <v>0</v>
      </c>
      <c r="V530" s="138" t="str">
        <f>IF(Data!B522='Team Parser'!$B$1, Data!D522,"")</f>
        <v/>
      </c>
      <c r="W530" s="134" t="str">
        <f>IF(Data!$B522='Team Parser'!$B$1, Data!H522,"")</f>
        <v/>
      </c>
      <c r="X530" s="134" t="str">
        <f>IF(Data!$B522='Team Parser'!$B$1, Data!G522,"")</f>
        <v/>
      </c>
      <c r="Y530" s="134" t="str">
        <f>IF(Data!$B522='Team Parser'!$B$1, Data!L522,"")</f>
        <v/>
      </c>
      <c r="Z530" s="134" t="str">
        <f>IF(Data!$B522='Team Parser'!$B$1, Data!K522,"")</f>
        <v/>
      </c>
      <c r="AA530" s="134" t="str">
        <f>IF(Data!$B522='Team Parser'!$B$1, Data!M522,"")</f>
        <v/>
      </c>
      <c r="AB530" s="134" t="str">
        <f>IF(Data!$B522='Team Parser'!$B$1,((Z530*2)+(Y530)+(X530*4)+(W530*2)),"")</f>
        <v/>
      </c>
      <c r="AC530" s="134" t="str">
        <f>IF(Data!$B522='Team Parser'!$B$1, Data!N522,"")</f>
        <v/>
      </c>
      <c r="AD530" s="139" t="str">
        <f>IF(Data!$B522='Team Parser'!$B$1,(AB530+(COUNTIF(AC530,"TRAVERSE")*15)+(COUNTIF(AC530,"HIGH")*10)+(COUNTIF(AC530,"MIDDLE")*6)+(COUNTIF(AC530,"LOW")*4)),"")</f>
        <v/>
      </c>
    </row>
    <row r="531">
      <c r="A531" s="141" t="s">
        <v>507</v>
      </c>
      <c r="B531" s="134" t="str">
        <f>IFERROR(__xludf.DUMMYFUNCTION("IFERROR((FILTER(Data!H:H,Data!D:D=A531,Data!B:B=$B$1)),"""")"),"")</f>
        <v/>
      </c>
      <c r="C531" s="134" t="str">
        <f>IFERROR(__xludf.DUMMYFUNCTION("IFERROR((FILTER(Data!G:G,Data!D:D=A531,Data!B:B=$B$1)),"""")"),"")</f>
        <v/>
      </c>
      <c r="D531" s="134" t="str">
        <f>IFERROR(__xludf.DUMMYFUNCTION("IFERROR((FILTER(Data!J:J,Data!D:D=A531,Data!B:B=$B$1)),"""")"),"")</f>
        <v/>
      </c>
      <c r="E531" s="134" t="str">
        <f>IFERROR(__xludf.DUMMYFUNCTION("IFERROR((FILTER(Data!L:L,Data!D:D=A531,Data!B:B=$B$1)),"""")"),"")</f>
        <v/>
      </c>
      <c r="F531" s="134" t="str">
        <f>IFERROR(__xludf.DUMMYFUNCTION("IFERROR((FILTER(Data!K:K,Data!D:D=A531,Data!B:B=$B$1)),"""")"),"")</f>
        <v/>
      </c>
      <c r="G531" s="134" t="str">
        <f>IFERROR(__xludf.DUMMYFUNCTION("IFERROR((FILTER(Data!M:M,Data!D:D=A531,Data!B:B=$B$1)),"""")"),"")</f>
        <v/>
      </c>
      <c r="H531" s="134" t="str">
        <f>IFERROR(__xludf.DUMMYFUNCTION("IFERROR((FILTER(Data!G:G,Data!D:D=A531,Data!B:B=$B$1)*4)+(FILTER(Data!H:H,Data!D:D=A531,Data!B:B=$B$1)*2),"""")"),"")</f>
        <v/>
      </c>
      <c r="I531" s="15" t="str">
        <f>IFERROR(__xludf.DUMMYFUNCTION("IFERROR((FILTER(Data!K:K,Data!D:D=A531,Data!B:B=$B$1)*2)+(FILTER(Data!L:L,Data!D:D=A531,Data!B:B=$B$1)),"""")"),"")</f>
        <v/>
      </c>
      <c r="J531" s="134" t="str">
        <f>IFERROR(__xludf.DUMMYFUNCTION("IFERROR((FILTER(Data!N:N,Data!D:D=A531,Data!B:B=$B$1)),"""")"),"")</f>
        <v/>
      </c>
      <c r="K531" s="135" t="str">
        <f>IFERROR(__xludf.DUMMYFUNCTION("IFERROR((FILTER(Data!H:H,Data!D:D=A531,Data!B:B=$B$1)*2)+(FILTER(Data!L:L,Data!D:D=A531,Data!B:B=$B$1))+(FILTER(Data!G:G,Data!D:D=A531,Data!B:B=$B$1)*4)+(FILTER(Data!K:K,Data!D:D=A531,Data!B:B=$B$1)*2)+(((COUNTIF(FILTER(Data!N:N,Data!D:D=A531,Data!B:B=$B$"&amp;"1),""TRAVERSE"")*15)+(COUNTIF(FILTER(Data!N:N,Data!D:D=A531,Data!B:B=$B$1),""HIGH"")*10)+(COUNTIF(FILTER(Data!N:N,Data!D:D=A531,Data!B:B=$B$1),""MIDDLE"")*6)+(COUNTIF(FILTER(Data!N:N,Data!D:D=A531,Data!B:B=$B$1),""LOW"")*4))),"""")"),"")</f>
        <v/>
      </c>
      <c r="L531" s="136" t="str">
        <f>IFERROR(__xludf.DUMMYFUNCTION("IFERROR((FILTER(Data!P:P,Data!D:D=A531,Data!B:B=$B$1)),"""")"),"")</f>
        <v/>
      </c>
      <c r="M531" s="137" t="str">
        <f>IFERROR(__xludf.DUMMYFUNCTION("IFERROR((FILTER(Data!A:A,Data!D:D=A531,Data!B:B=$B$1)),"""")"),"")</f>
        <v/>
      </c>
      <c r="T531" s="52">
        <f>IFERROR(__xludf.DUMMYFUNCTION("((COUNTIF(FILTER(Data!N:N,Data!D:D=A531,Data!B:B=$B$1),""TRAVERSE"")*15)+(COUNTIF(FILTER(Data!N:N,Data!D:D=A531,Data!B:B=B$1),""HIGH"")*10)+(COUNTIF(FILTER(Data!N:N,Data!D:D=A531,Data!B:B=$B$1),""MIDDLE"")*6)+(COUNTIF(FILTER(Data!N:N,Data!D:D=A531,Data!B:"&amp;"B=$B$1),""LOW"")*4))"),0.0)</f>
        <v>0</v>
      </c>
      <c r="V531" s="138" t="str">
        <f>IF(Data!B523='Team Parser'!$B$1, Data!D523,"")</f>
        <v/>
      </c>
      <c r="W531" s="134" t="str">
        <f>IF(Data!$B523='Team Parser'!$B$1, Data!H523,"")</f>
        <v/>
      </c>
      <c r="X531" s="134" t="str">
        <f>IF(Data!$B523='Team Parser'!$B$1, Data!G523,"")</f>
        <v/>
      </c>
      <c r="Y531" s="134" t="str">
        <f>IF(Data!$B523='Team Parser'!$B$1, Data!L523,"")</f>
        <v/>
      </c>
      <c r="Z531" s="134" t="str">
        <f>IF(Data!$B523='Team Parser'!$B$1, Data!K523,"")</f>
        <v/>
      </c>
      <c r="AA531" s="134" t="str">
        <f>IF(Data!$B523='Team Parser'!$B$1, Data!M523,"")</f>
        <v/>
      </c>
      <c r="AB531" s="134" t="str">
        <f>IF(Data!$B523='Team Parser'!$B$1,((Z531*2)+(Y531)+(X531*4)+(W531*2)),"")</f>
        <v/>
      </c>
      <c r="AC531" s="134" t="str">
        <f>IF(Data!$B523='Team Parser'!$B$1, Data!N523,"")</f>
        <v/>
      </c>
      <c r="AD531" s="139" t="str">
        <f>IF(Data!$B523='Team Parser'!$B$1,(AB531+(COUNTIF(AC531,"TRAVERSE")*15)+(COUNTIF(AC531,"HIGH")*10)+(COUNTIF(AC531,"MIDDLE")*6)+(COUNTIF(AC531,"LOW")*4)),"")</f>
        <v/>
      </c>
    </row>
    <row r="532">
      <c r="A532" s="141" t="s">
        <v>507</v>
      </c>
      <c r="B532" s="134" t="str">
        <f>IFERROR(__xludf.DUMMYFUNCTION("IFERROR((FILTER(Data!H:H,Data!D:D=A532,Data!B:B=$B$1)),"""")"),"")</f>
        <v/>
      </c>
      <c r="C532" s="134" t="str">
        <f>IFERROR(__xludf.DUMMYFUNCTION("IFERROR((FILTER(Data!G:G,Data!D:D=A532,Data!B:B=$B$1)),"""")"),"")</f>
        <v/>
      </c>
      <c r="D532" s="134" t="str">
        <f>IFERROR(__xludf.DUMMYFUNCTION("IFERROR((FILTER(Data!J:J,Data!D:D=A532,Data!B:B=$B$1)),"""")"),"")</f>
        <v/>
      </c>
      <c r="E532" s="134" t="str">
        <f>IFERROR(__xludf.DUMMYFUNCTION("IFERROR((FILTER(Data!L:L,Data!D:D=A532,Data!B:B=$B$1)),"""")"),"")</f>
        <v/>
      </c>
      <c r="F532" s="134" t="str">
        <f>IFERROR(__xludf.DUMMYFUNCTION("IFERROR((FILTER(Data!K:K,Data!D:D=A532,Data!B:B=$B$1)),"""")"),"")</f>
        <v/>
      </c>
      <c r="G532" s="134" t="str">
        <f>IFERROR(__xludf.DUMMYFUNCTION("IFERROR((FILTER(Data!M:M,Data!D:D=A532,Data!B:B=$B$1)),"""")"),"")</f>
        <v/>
      </c>
      <c r="H532" s="134" t="str">
        <f>IFERROR(__xludf.DUMMYFUNCTION("IFERROR((FILTER(Data!G:G,Data!D:D=A532,Data!B:B=$B$1)*4)+(FILTER(Data!H:H,Data!D:D=A532,Data!B:B=$B$1)*2),"""")"),"")</f>
        <v/>
      </c>
      <c r="I532" s="15" t="str">
        <f>IFERROR(__xludf.DUMMYFUNCTION("IFERROR((FILTER(Data!K:K,Data!D:D=A532,Data!B:B=$B$1)*2)+(FILTER(Data!L:L,Data!D:D=A532,Data!B:B=$B$1)),"""")"),"")</f>
        <v/>
      </c>
      <c r="J532" s="134" t="str">
        <f>IFERROR(__xludf.DUMMYFUNCTION("IFERROR((FILTER(Data!N:N,Data!D:D=A532,Data!B:B=$B$1)),"""")"),"")</f>
        <v/>
      </c>
      <c r="K532" s="135" t="str">
        <f>IFERROR(__xludf.DUMMYFUNCTION("IFERROR((FILTER(Data!H:H,Data!D:D=A532,Data!B:B=$B$1)*2)+(FILTER(Data!L:L,Data!D:D=A532,Data!B:B=$B$1))+(FILTER(Data!G:G,Data!D:D=A532,Data!B:B=$B$1)*4)+(FILTER(Data!K:K,Data!D:D=A532,Data!B:B=$B$1)*2)+(((COUNTIF(FILTER(Data!N:N,Data!D:D=A532,Data!B:B=$B$"&amp;"1),""TRAVERSE"")*15)+(COUNTIF(FILTER(Data!N:N,Data!D:D=A532,Data!B:B=$B$1),""HIGH"")*10)+(COUNTIF(FILTER(Data!N:N,Data!D:D=A532,Data!B:B=$B$1),""MIDDLE"")*6)+(COUNTIF(FILTER(Data!N:N,Data!D:D=A532,Data!B:B=$B$1),""LOW"")*4))),"""")"),"")</f>
        <v/>
      </c>
      <c r="L532" s="136" t="str">
        <f>IFERROR(__xludf.DUMMYFUNCTION("IFERROR((FILTER(Data!P:P,Data!D:D=A532,Data!B:B=$B$1)),"""")"),"")</f>
        <v/>
      </c>
      <c r="M532" s="137" t="str">
        <f>IFERROR(__xludf.DUMMYFUNCTION("IFERROR((FILTER(Data!A:A,Data!D:D=A532,Data!B:B=$B$1)),"""")"),"")</f>
        <v/>
      </c>
      <c r="T532" s="52">
        <f>IFERROR(__xludf.DUMMYFUNCTION("((COUNTIF(FILTER(Data!N:N,Data!D:D=A532,Data!B:B=$B$1),""TRAVERSE"")*15)+(COUNTIF(FILTER(Data!N:N,Data!D:D=A532,Data!B:B=B$1),""HIGH"")*10)+(COUNTIF(FILTER(Data!N:N,Data!D:D=A532,Data!B:B=$B$1),""MIDDLE"")*6)+(COUNTIF(FILTER(Data!N:N,Data!D:D=A532,Data!B:"&amp;"B=$B$1),""LOW"")*4))"),0.0)</f>
        <v>0</v>
      </c>
      <c r="V532" s="138" t="str">
        <f>IF(Data!B524='Team Parser'!$B$1, Data!D524,"")</f>
        <v/>
      </c>
      <c r="W532" s="134" t="str">
        <f>IF(Data!$B524='Team Parser'!$B$1, Data!H524,"")</f>
        <v/>
      </c>
      <c r="X532" s="134" t="str">
        <f>IF(Data!$B524='Team Parser'!$B$1, Data!G524,"")</f>
        <v/>
      </c>
      <c r="Y532" s="134" t="str">
        <f>IF(Data!$B524='Team Parser'!$B$1, Data!L524,"")</f>
        <v/>
      </c>
      <c r="Z532" s="134" t="str">
        <f>IF(Data!$B524='Team Parser'!$B$1, Data!K524,"")</f>
        <v/>
      </c>
      <c r="AA532" s="134" t="str">
        <f>IF(Data!$B524='Team Parser'!$B$1, Data!M524,"")</f>
        <v/>
      </c>
      <c r="AB532" s="134" t="str">
        <f>IF(Data!$B524='Team Parser'!$B$1,((Z532*2)+(Y532)+(X532*4)+(W532*2)),"")</f>
        <v/>
      </c>
      <c r="AC532" s="134" t="str">
        <f>IF(Data!$B524='Team Parser'!$B$1, Data!N524,"")</f>
        <v/>
      </c>
      <c r="AD532" s="139" t="str">
        <f>IF(Data!$B524='Team Parser'!$B$1,(AB532+(COUNTIF(AC532,"TRAVERSE")*15)+(COUNTIF(AC532,"HIGH")*10)+(COUNTIF(AC532,"MIDDLE")*6)+(COUNTIF(AC532,"LOW")*4)),"")</f>
        <v/>
      </c>
    </row>
    <row r="533">
      <c r="A533" s="141" t="s">
        <v>507</v>
      </c>
      <c r="B533" s="134" t="str">
        <f>IFERROR(__xludf.DUMMYFUNCTION("IFERROR((FILTER(Data!H:H,Data!D:D=A533,Data!B:B=$B$1)),"""")"),"")</f>
        <v/>
      </c>
      <c r="C533" s="134" t="str">
        <f>IFERROR(__xludf.DUMMYFUNCTION("IFERROR((FILTER(Data!G:G,Data!D:D=A533,Data!B:B=$B$1)),"""")"),"")</f>
        <v/>
      </c>
      <c r="D533" s="134" t="str">
        <f>IFERROR(__xludf.DUMMYFUNCTION("IFERROR((FILTER(Data!J:J,Data!D:D=A533,Data!B:B=$B$1)),"""")"),"")</f>
        <v/>
      </c>
      <c r="E533" s="134" t="str">
        <f>IFERROR(__xludf.DUMMYFUNCTION("IFERROR((FILTER(Data!L:L,Data!D:D=A533,Data!B:B=$B$1)),"""")"),"")</f>
        <v/>
      </c>
      <c r="F533" s="134" t="str">
        <f>IFERROR(__xludf.DUMMYFUNCTION("IFERROR((FILTER(Data!K:K,Data!D:D=A533,Data!B:B=$B$1)),"""")"),"")</f>
        <v/>
      </c>
      <c r="G533" s="134" t="str">
        <f>IFERROR(__xludf.DUMMYFUNCTION("IFERROR((FILTER(Data!M:M,Data!D:D=A533,Data!B:B=$B$1)),"""")"),"")</f>
        <v/>
      </c>
      <c r="H533" s="134" t="str">
        <f>IFERROR(__xludf.DUMMYFUNCTION("IFERROR((FILTER(Data!G:G,Data!D:D=A533,Data!B:B=$B$1)*4)+(FILTER(Data!H:H,Data!D:D=A533,Data!B:B=$B$1)*2),"""")"),"")</f>
        <v/>
      </c>
      <c r="I533" s="15" t="str">
        <f>IFERROR(__xludf.DUMMYFUNCTION("IFERROR((FILTER(Data!K:K,Data!D:D=A533,Data!B:B=$B$1)*2)+(FILTER(Data!L:L,Data!D:D=A533,Data!B:B=$B$1)),"""")"),"")</f>
        <v/>
      </c>
      <c r="J533" s="134" t="str">
        <f>IFERROR(__xludf.DUMMYFUNCTION("IFERROR((FILTER(Data!N:N,Data!D:D=A533,Data!B:B=$B$1)),"""")"),"")</f>
        <v/>
      </c>
      <c r="K533" s="135" t="str">
        <f>IFERROR(__xludf.DUMMYFUNCTION("IFERROR((FILTER(Data!H:H,Data!D:D=A533,Data!B:B=$B$1)*2)+(FILTER(Data!L:L,Data!D:D=A533,Data!B:B=$B$1))+(FILTER(Data!G:G,Data!D:D=A533,Data!B:B=$B$1)*4)+(FILTER(Data!K:K,Data!D:D=A533,Data!B:B=$B$1)*2)+(((COUNTIF(FILTER(Data!N:N,Data!D:D=A533,Data!B:B=$B$"&amp;"1),""TRAVERSE"")*15)+(COUNTIF(FILTER(Data!N:N,Data!D:D=A533,Data!B:B=$B$1),""HIGH"")*10)+(COUNTIF(FILTER(Data!N:N,Data!D:D=A533,Data!B:B=$B$1),""MIDDLE"")*6)+(COUNTIF(FILTER(Data!N:N,Data!D:D=A533,Data!B:B=$B$1),""LOW"")*4))),"""")"),"")</f>
        <v/>
      </c>
      <c r="L533" s="136" t="str">
        <f>IFERROR(__xludf.DUMMYFUNCTION("IFERROR((FILTER(Data!P:P,Data!D:D=A533,Data!B:B=$B$1)),"""")"),"")</f>
        <v/>
      </c>
      <c r="M533" s="137" t="str">
        <f>IFERROR(__xludf.DUMMYFUNCTION("IFERROR((FILTER(Data!A:A,Data!D:D=A533,Data!B:B=$B$1)),"""")"),"")</f>
        <v/>
      </c>
      <c r="T533" s="52">
        <f>IFERROR(__xludf.DUMMYFUNCTION("((COUNTIF(FILTER(Data!N:N,Data!D:D=A533,Data!B:B=$B$1),""TRAVERSE"")*15)+(COUNTIF(FILTER(Data!N:N,Data!D:D=A533,Data!B:B=B$1),""HIGH"")*10)+(COUNTIF(FILTER(Data!N:N,Data!D:D=A533,Data!B:B=$B$1),""MIDDLE"")*6)+(COUNTIF(FILTER(Data!N:N,Data!D:D=A533,Data!B:"&amp;"B=$B$1),""LOW"")*4))"),0.0)</f>
        <v>0</v>
      </c>
      <c r="V533" s="138" t="str">
        <f>IF(Data!B525='Team Parser'!$B$1, Data!D525,"")</f>
        <v/>
      </c>
      <c r="W533" s="134" t="str">
        <f>IF(Data!$B525='Team Parser'!$B$1, Data!H525,"")</f>
        <v/>
      </c>
      <c r="X533" s="134" t="str">
        <f>IF(Data!$B525='Team Parser'!$B$1, Data!G525,"")</f>
        <v/>
      </c>
      <c r="Y533" s="134" t="str">
        <f>IF(Data!$B525='Team Parser'!$B$1, Data!L525,"")</f>
        <v/>
      </c>
      <c r="Z533" s="134" t="str">
        <f>IF(Data!$B525='Team Parser'!$B$1, Data!K525,"")</f>
        <v/>
      </c>
      <c r="AA533" s="134" t="str">
        <f>IF(Data!$B525='Team Parser'!$B$1, Data!M525,"")</f>
        <v/>
      </c>
      <c r="AB533" s="134" t="str">
        <f>IF(Data!$B525='Team Parser'!$B$1,((Z533*2)+(Y533)+(X533*4)+(W533*2)),"")</f>
        <v/>
      </c>
      <c r="AC533" s="134" t="str">
        <f>IF(Data!$B525='Team Parser'!$B$1, Data!N525,"")</f>
        <v/>
      </c>
      <c r="AD533" s="139" t="str">
        <f>IF(Data!$B525='Team Parser'!$B$1,(AB533+(COUNTIF(AC533,"TRAVERSE")*15)+(COUNTIF(AC533,"HIGH")*10)+(COUNTIF(AC533,"MIDDLE")*6)+(COUNTIF(AC533,"LOW")*4)),"")</f>
        <v/>
      </c>
    </row>
    <row r="534">
      <c r="A534" s="141" t="s">
        <v>507</v>
      </c>
      <c r="B534" s="134" t="str">
        <f>IFERROR(__xludf.DUMMYFUNCTION("IFERROR((FILTER(Data!H:H,Data!D:D=A534,Data!B:B=$B$1)),"""")"),"")</f>
        <v/>
      </c>
      <c r="C534" s="134" t="str">
        <f>IFERROR(__xludf.DUMMYFUNCTION("IFERROR((FILTER(Data!G:G,Data!D:D=A534,Data!B:B=$B$1)),"""")"),"")</f>
        <v/>
      </c>
      <c r="D534" s="134" t="str">
        <f>IFERROR(__xludf.DUMMYFUNCTION("IFERROR((FILTER(Data!J:J,Data!D:D=A534,Data!B:B=$B$1)),"""")"),"")</f>
        <v/>
      </c>
      <c r="E534" s="134" t="str">
        <f>IFERROR(__xludf.DUMMYFUNCTION("IFERROR((FILTER(Data!L:L,Data!D:D=A534,Data!B:B=$B$1)),"""")"),"")</f>
        <v/>
      </c>
      <c r="F534" s="134" t="str">
        <f>IFERROR(__xludf.DUMMYFUNCTION("IFERROR((FILTER(Data!K:K,Data!D:D=A534,Data!B:B=$B$1)),"""")"),"")</f>
        <v/>
      </c>
      <c r="G534" s="134" t="str">
        <f>IFERROR(__xludf.DUMMYFUNCTION("IFERROR((FILTER(Data!M:M,Data!D:D=A534,Data!B:B=$B$1)),"""")"),"")</f>
        <v/>
      </c>
      <c r="H534" s="134" t="str">
        <f>IFERROR(__xludf.DUMMYFUNCTION("IFERROR((FILTER(Data!G:G,Data!D:D=A534,Data!B:B=$B$1)*4)+(FILTER(Data!H:H,Data!D:D=A534,Data!B:B=$B$1)*2),"""")"),"")</f>
        <v/>
      </c>
      <c r="I534" s="15" t="str">
        <f>IFERROR(__xludf.DUMMYFUNCTION("IFERROR((FILTER(Data!K:K,Data!D:D=A534,Data!B:B=$B$1)*2)+(FILTER(Data!L:L,Data!D:D=A534,Data!B:B=$B$1)),"""")"),"")</f>
        <v/>
      </c>
      <c r="J534" s="134" t="str">
        <f>IFERROR(__xludf.DUMMYFUNCTION("IFERROR((FILTER(Data!N:N,Data!D:D=A534,Data!B:B=$B$1)),"""")"),"")</f>
        <v/>
      </c>
      <c r="K534" s="135" t="str">
        <f>IFERROR(__xludf.DUMMYFUNCTION("IFERROR((FILTER(Data!H:H,Data!D:D=A534,Data!B:B=$B$1)*2)+(FILTER(Data!L:L,Data!D:D=A534,Data!B:B=$B$1))+(FILTER(Data!G:G,Data!D:D=A534,Data!B:B=$B$1)*4)+(FILTER(Data!K:K,Data!D:D=A534,Data!B:B=$B$1)*2)+(((COUNTIF(FILTER(Data!N:N,Data!D:D=A534,Data!B:B=$B$"&amp;"1),""TRAVERSE"")*15)+(COUNTIF(FILTER(Data!N:N,Data!D:D=A534,Data!B:B=$B$1),""HIGH"")*10)+(COUNTIF(FILTER(Data!N:N,Data!D:D=A534,Data!B:B=$B$1),""MIDDLE"")*6)+(COUNTIF(FILTER(Data!N:N,Data!D:D=A534,Data!B:B=$B$1),""LOW"")*4))),"""")"),"")</f>
        <v/>
      </c>
      <c r="L534" s="136" t="str">
        <f>IFERROR(__xludf.DUMMYFUNCTION("IFERROR((FILTER(Data!P:P,Data!D:D=A534,Data!B:B=$B$1)),"""")"),"")</f>
        <v/>
      </c>
      <c r="M534" s="137" t="str">
        <f>IFERROR(__xludf.DUMMYFUNCTION("IFERROR((FILTER(Data!A:A,Data!D:D=A534,Data!B:B=$B$1)),"""")"),"")</f>
        <v/>
      </c>
      <c r="T534" s="52">
        <f>IFERROR(__xludf.DUMMYFUNCTION("((COUNTIF(FILTER(Data!N:N,Data!D:D=A534,Data!B:B=$B$1),""TRAVERSE"")*15)+(COUNTIF(FILTER(Data!N:N,Data!D:D=A534,Data!B:B=B$1),""HIGH"")*10)+(COUNTIF(FILTER(Data!N:N,Data!D:D=A534,Data!B:B=$B$1),""MIDDLE"")*6)+(COUNTIF(FILTER(Data!N:N,Data!D:D=A534,Data!B:"&amp;"B=$B$1),""LOW"")*4))"),0.0)</f>
        <v>0</v>
      </c>
      <c r="V534" s="138" t="str">
        <f>IF(Data!B526='Team Parser'!$B$1, Data!D526,"")</f>
        <v/>
      </c>
      <c r="W534" s="134" t="str">
        <f>IF(Data!$B526='Team Parser'!$B$1, Data!H526,"")</f>
        <v/>
      </c>
      <c r="X534" s="134" t="str">
        <f>IF(Data!$B526='Team Parser'!$B$1, Data!G526,"")</f>
        <v/>
      </c>
      <c r="Y534" s="134" t="str">
        <f>IF(Data!$B526='Team Parser'!$B$1, Data!L526,"")</f>
        <v/>
      </c>
      <c r="Z534" s="134" t="str">
        <f>IF(Data!$B526='Team Parser'!$B$1, Data!K526,"")</f>
        <v/>
      </c>
      <c r="AA534" s="134" t="str">
        <f>IF(Data!$B526='Team Parser'!$B$1, Data!M526,"")</f>
        <v/>
      </c>
      <c r="AB534" s="134" t="str">
        <f>IF(Data!$B526='Team Parser'!$B$1,((Z534*2)+(Y534)+(X534*4)+(W534*2)),"")</f>
        <v/>
      </c>
      <c r="AC534" s="134" t="str">
        <f>IF(Data!$B526='Team Parser'!$B$1, Data!N526,"")</f>
        <v/>
      </c>
      <c r="AD534" s="139" t="str">
        <f>IF(Data!$B526='Team Parser'!$B$1,(AB534+(COUNTIF(AC534,"TRAVERSE")*15)+(COUNTIF(AC534,"HIGH")*10)+(COUNTIF(AC534,"MIDDLE")*6)+(COUNTIF(AC534,"LOW")*4)),"")</f>
        <v/>
      </c>
    </row>
    <row r="535">
      <c r="A535" s="141" t="s">
        <v>507</v>
      </c>
      <c r="B535" s="134" t="str">
        <f>IFERROR(__xludf.DUMMYFUNCTION("IFERROR((FILTER(Data!H:H,Data!D:D=A535,Data!B:B=$B$1)),"""")"),"")</f>
        <v/>
      </c>
      <c r="C535" s="134" t="str">
        <f>IFERROR(__xludf.DUMMYFUNCTION("IFERROR((FILTER(Data!G:G,Data!D:D=A535,Data!B:B=$B$1)),"""")"),"")</f>
        <v/>
      </c>
      <c r="D535" s="134" t="str">
        <f>IFERROR(__xludf.DUMMYFUNCTION("IFERROR((FILTER(Data!J:J,Data!D:D=A535,Data!B:B=$B$1)),"""")"),"")</f>
        <v/>
      </c>
      <c r="E535" s="134" t="str">
        <f>IFERROR(__xludf.DUMMYFUNCTION("IFERROR((FILTER(Data!L:L,Data!D:D=A535,Data!B:B=$B$1)),"""")"),"")</f>
        <v/>
      </c>
      <c r="F535" s="134" t="str">
        <f>IFERROR(__xludf.DUMMYFUNCTION("IFERROR((FILTER(Data!K:K,Data!D:D=A535,Data!B:B=$B$1)),"""")"),"")</f>
        <v/>
      </c>
      <c r="G535" s="134" t="str">
        <f>IFERROR(__xludf.DUMMYFUNCTION("IFERROR((FILTER(Data!M:M,Data!D:D=A535,Data!B:B=$B$1)),"""")"),"")</f>
        <v/>
      </c>
      <c r="H535" s="134" t="str">
        <f>IFERROR(__xludf.DUMMYFUNCTION("IFERROR((FILTER(Data!G:G,Data!D:D=A535,Data!B:B=$B$1)*4)+(FILTER(Data!H:H,Data!D:D=A535,Data!B:B=$B$1)*2),"""")"),"")</f>
        <v/>
      </c>
      <c r="I535" s="15" t="str">
        <f>IFERROR(__xludf.DUMMYFUNCTION("IFERROR((FILTER(Data!K:K,Data!D:D=A535,Data!B:B=$B$1)*2)+(FILTER(Data!L:L,Data!D:D=A535,Data!B:B=$B$1)),"""")"),"")</f>
        <v/>
      </c>
      <c r="J535" s="134" t="str">
        <f>IFERROR(__xludf.DUMMYFUNCTION("IFERROR((FILTER(Data!N:N,Data!D:D=A535,Data!B:B=$B$1)),"""")"),"")</f>
        <v/>
      </c>
      <c r="K535" s="135" t="str">
        <f>IFERROR(__xludf.DUMMYFUNCTION("IFERROR((FILTER(Data!H:H,Data!D:D=A535,Data!B:B=$B$1)*2)+(FILTER(Data!L:L,Data!D:D=A535,Data!B:B=$B$1))+(FILTER(Data!G:G,Data!D:D=A535,Data!B:B=$B$1)*4)+(FILTER(Data!K:K,Data!D:D=A535,Data!B:B=$B$1)*2)+(((COUNTIF(FILTER(Data!N:N,Data!D:D=A535,Data!B:B=$B$"&amp;"1),""TRAVERSE"")*15)+(COUNTIF(FILTER(Data!N:N,Data!D:D=A535,Data!B:B=$B$1),""HIGH"")*10)+(COUNTIF(FILTER(Data!N:N,Data!D:D=A535,Data!B:B=$B$1),""MIDDLE"")*6)+(COUNTIF(FILTER(Data!N:N,Data!D:D=A535,Data!B:B=$B$1),""LOW"")*4))),"""")"),"")</f>
        <v/>
      </c>
      <c r="L535" s="136" t="str">
        <f>IFERROR(__xludf.DUMMYFUNCTION("IFERROR((FILTER(Data!P:P,Data!D:D=A535,Data!B:B=$B$1)),"""")"),"")</f>
        <v/>
      </c>
      <c r="M535" s="137" t="str">
        <f>IFERROR(__xludf.DUMMYFUNCTION("IFERROR((FILTER(Data!A:A,Data!D:D=A535,Data!B:B=$B$1)),"""")"),"")</f>
        <v/>
      </c>
      <c r="T535" s="52">
        <f>IFERROR(__xludf.DUMMYFUNCTION("((COUNTIF(FILTER(Data!N:N,Data!D:D=A535,Data!B:B=$B$1),""TRAVERSE"")*15)+(COUNTIF(FILTER(Data!N:N,Data!D:D=A535,Data!B:B=B$1),""HIGH"")*10)+(COUNTIF(FILTER(Data!N:N,Data!D:D=A535,Data!B:B=$B$1),""MIDDLE"")*6)+(COUNTIF(FILTER(Data!N:N,Data!D:D=A535,Data!B:"&amp;"B=$B$1),""LOW"")*4))"),0.0)</f>
        <v>0</v>
      </c>
      <c r="V535" s="138" t="str">
        <f>IF(Data!B527='Team Parser'!$B$1, Data!D527,"")</f>
        <v/>
      </c>
      <c r="W535" s="134" t="str">
        <f>IF(Data!$B527='Team Parser'!$B$1, Data!H527,"")</f>
        <v/>
      </c>
      <c r="X535" s="134" t="str">
        <f>IF(Data!$B527='Team Parser'!$B$1, Data!G527,"")</f>
        <v/>
      </c>
      <c r="Y535" s="134" t="str">
        <f>IF(Data!$B527='Team Parser'!$B$1, Data!L527,"")</f>
        <v/>
      </c>
      <c r="Z535" s="134" t="str">
        <f>IF(Data!$B527='Team Parser'!$B$1, Data!K527,"")</f>
        <v/>
      </c>
      <c r="AA535" s="134" t="str">
        <f>IF(Data!$B527='Team Parser'!$B$1, Data!M527,"")</f>
        <v/>
      </c>
      <c r="AB535" s="134" t="str">
        <f>IF(Data!$B527='Team Parser'!$B$1,((Z535*2)+(Y535)+(X535*4)+(W535*2)),"")</f>
        <v/>
      </c>
      <c r="AC535" s="134" t="str">
        <f>IF(Data!$B527='Team Parser'!$B$1, Data!N527,"")</f>
        <v/>
      </c>
      <c r="AD535" s="139" t="str">
        <f>IF(Data!$B527='Team Parser'!$B$1,(AB535+(COUNTIF(AC535,"TRAVERSE")*15)+(COUNTIF(AC535,"HIGH")*10)+(COUNTIF(AC535,"MIDDLE")*6)+(COUNTIF(AC535,"LOW")*4)),"")</f>
        <v/>
      </c>
    </row>
    <row r="536">
      <c r="A536" s="141" t="s">
        <v>507</v>
      </c>
      <c r="B536" s="134" t="str">
        <f>IFERROR(__xludf.DUMMYFUNCTION("IFERROR((FILTER(Data!H:H,Data!D:D=A536,Data!B:B=$B$1)),"""")"),"")</f>
        <v/>
      </c>
      <c r="C536" s="134" t="str">
        <f>IFERROR(__xludf.DUMMYFUNCTION("IFERROR((FILTER(Data!G:G,Data!D:D=A536,Data!B:B=$B$1)),"""")"),"")</f>
        <v/>
      </c>
      <c r="D536" s="134" t="str">
        <f>IFERROR(__xludf.DUMMYFUNCTION("IFERROR((FILTER(Data!J:J,Data!D:D=A536,Data!B:B=$B$1)),"""")"),"")</f>
        <v/>
      </c>
      <c r="E536" s="134" t="str">
        <f>IFERROR(__xludf.DUMMYFUNCTION("IFERROR((FILTER(Data!L:L,Data!D:D=A536,Data!B:B=$B$1)),"""")"),"")</f>
        <v/>
      </c>
      <c r="F536" s="134" t="str">
        <f>IFERROR(__xludf.DUMMYFUNCTION("IFERROR((FILTER(Data!K:K,Data!D:D=A536,Data!B:B=$B$1)),"""")"),"")</f>
        <v/>
      </c>
      <c r="G536" s="134" t="str">
        <f>IFERROR(__xludf.DUMMYFUNCTION("IFERROR((FILTER(Data!M:M,Data!D:D=A536,Data!B:B=$B$1)),"""")"),"")</f>
        <v/>
      </c>
      <c r="H536" s="134" t="str">
        <f>IFERROR(__xludf.DUMMYFUNCTION("IFERROR((FILTER(Data!G:G,Data!D:D=A536,Data!B:B=$B$1)*4)+(FILTER(Data!H:H,Data!D:D=A536,Data!B:B=$B$1)*2),"""")"),"")</f>
        <v/>
      </c>
      <c r="I536" s="15" t="str">
        <f>IFERROR(__xludf.DUMMYFUNCTION("IFERROR((FILTER(Data!K:K,Data!D:D=A536,Data!B:B=$B$1)*2)+(FILTER(Data!L:L,Data!D:D=A536,Data!B:B=$B$1)),"""")"),"")</f>
        <v/>
      </c>
      <c r="J536" s="134" t="str">
        <f>IFERROR(__xludf.DUMMYFUNCTION("IFERROR((FILTER(Data!N:N,Data!D:D=A536,Data!B:B=$B$1)),"""")"),"")</f>
        <v/>
      </c>
      <c r="K536" s="135" t="str">
        <f>IFERROR(__xludf.DUMMYFUNCTION("IFERROR((FILTER(Data!H:H,Data!D:D=A536,Data!B:B=$B$1)*2)+(FILTER(Data!L:L,Data!D:D=A536,Data!B:B=$B$1))+(FILTER(Data!G:G,Data!D:D=A536,Data!B:B=$B$1)*4)+(FILTER(Data!K:K,Data!D:D=A536,Data!B:B=$B$1)*2)+(((COUNTIF(FILTER(Data!N:N,Data!D:D=A536,Data!B:B=$B$"&amp;"1),""TRAVERSE"")*15)+(COUNTIF(FILTER(Data!N:N,Data!D:D=A536,Data!B:B=$B$1),""HIGH"")*10)+(COUNTIF(FILTER(Data!N:N,Data!D:D=A536,Data!B:B=$B$1),""MIDDLE"")*6)+(COUNTIF(FILTER(Data!N:N,Data!D:D=A536,Data!B:B=$B$1),""LOW"")*4))),"""")"),"")</f>
        <v/>
      </c>
      <c r="L536" s="136" t="str">
        <f>IFERROR(__xludf.DUMMYFUNCTION("IFERROR((FILTER(Data!P:P,Data!D:D=A536,Data!B:B=$B$1)),"""")"),"")</f>
        <v/>
      </c>
      <c r="M536" s="137" t="str">
        <f>IFERROR(__xludf.DUMMYFUNCTION("IFERROR((FILTER(Data!A:A,Data!D:D=A536,Data!B:B=$B$1)),"""")"),"")</f>
        <v/>
      </c>
      <c r="T536" s="52">
        <f>IFERROR(__xludf.DUMMYFUNCTION("((COUNTIF(FILTER(Data!N:N,Data!D:D=A536,Data!B:B=$B$1),""TRAVERSE"")*15)+(COUNTIF(FILTER(Data!N:N,Data!D:D=A536,Data!B:B=B$1),""HIGH"")*10)+(COUNTIF(FILTER(Data!N:N,Data!D:D=A536,Data!B:B=$B$1),""MIDDLE"")*6)+(COUNTIF(FILTER(Data!N:N,Data!D:D=A536,Data!B:"&amp;"B=$B$1),""LOW"")*4))"),0.0)</f>
        <v>0</v>
      </c>
      <c r="V536" s="138" t="str">
        <f>IF(Data!B528='Team Parser'!$B$1, Data!D528,"")</f>
        <v/>
      </c>
      <c r="W536" s="134" t="str">
        <f>IF(Data!$B528='Team Parser'!$B$1, Data!H528,"")</f>
        <v/>
      </c>
      <c r="X536" s="134" t="str">
        <f>IF(Data!$B528='Team Parser'!$B$1, Data!G528,"")</f>
        <v/>
      </c>
      <c r="Y536" s="134" t="str">
        <f>IF(Data!$B528='Team Parser'!$B$1, Data!L528,"")</f>
        <v/>
      </c>
      <c r="Z536" s="134" t="str">
        <f>IF(Data!$B528='Team Parser'!$B$1, Data!K528,"")</f>
        <v/>
      </c>
      <c r="AA536" s="134" t="str">
        <f>IF(Data!$B528='Team Parser'!$B$1, Data!M528,"")</f>
        <v/>
      </c>
      <c r="AB536" s="134" t="str">
        <f>IF(Data!$B528='Team Parser'!$B$1,((Z536*2)+(Y536)+(X536*4)+(W536*2)),"")</f>
        <v/>
      </c>
      <c r="AC536" s="134" t="str">
        <f>IF(Data!$B528='Team Parser'!$B$1, Data!N528,"")</f>
        <v/>
      </c>
      <c r="AD536" s="139" t="str">
        <f>IF(Data!$B528='Team Parser'!$B$1,(AB536+(COUNTIF(AC536,"TRAVERSE")*15)+(COUNTIF(AC536,"HIGH")*10)+(COUNTIF(AC536,"MIDDLE")*6)+(COUNTIF(AC536,"LOW")*4)),"")</f>
        <v/>
      </c>
    </row>
    <row r="537">
      <c r="A537" s="141" t="s">
        <v>507</v>
      </c>
      <c r="B537" s="134" t="str">
        <f>IFERROR(__xludf.DUMMYFUNCTION("IFERROR((FILTER(Data!H:H,Data!D:D=A537,Data!B:B=$B$1)),"""")"),"")</f>
        <v/>
      </c>
      <c r="C537" s="134" t="str">
        <f>IFERROR(__xludf.DUMMYFUNCTION("IFERROR((FILTER(Data!G:G,Data!D:D=A537,Data!B:B=$B$1)),"""")"),"")</f>
        <v/>
      </c>
      <c r="D537" s="134" t="str">
        <f>IFERROR(__xludf.DUMMYFUNCTION("IFERROR((FILTER(Data!J:J,Data!D:D=A537,Data!B:B=$B$1)),"""")"),"")</f>
        <v/>
      </c>
      <c r="E537" s="134" t="str">
        <f>IFERROR(__xludf.DUMMYFUNCTION("IFERROR((FILTER(Data!L:L,Data!D:D=A537,Data!B:B=$B$1)),"""")"),"")</f>
        <v/>
      </c>
      <c r="F537" s="134" t="str">
        <f>IFERROR(__xludf.DUMMYFUNCTION("IFERROR((FILTER(Data!K:K,Data!D:D=A537,Data!B:B=$B$1)),"""")"),"")</f>
        <v/>
      </c>
      <c r="G537" s="134" t="str">
        <f>IFERROR(__xludf.DUMMYFUNCTION("IFERROR((FILTER(Data!M:M,Data!D:D=A537,Data!B:B=$B$1)),"""")"),"")</f>
        <v/>
      </c>
      <c r="H537" s="134" t="str">
        <f>IFERROR(__xludf.DUMMYFUNCTION("IFERROR((FILTER(Data!G:G,Data!D:D=A537,Data!B:B=$B$1)*4)+(FILTER(Data!H:H,Data!D:D=A537,Data!B:B=$B$1)*2),"""")"),"")</f>
        <v/>
      </c>
      <c r="I537" s="15" t="str">
        <f>IFERROR(__xludf.DUMMYFUNCTION("IFERROR((FILTER(Data!K:K,Data!D:D=A537,Data!B:B=$B$1)*2)+(FILTER(Data!L:L,Data!D:D=A537,Data!B:B=$B$1)),"""")"),"")</f>
        <v/>
      </c>
      <c r="J537" s="134" t="str">
        <f>IFERROR(__xludf.DUMMYFUNCTION("IFERROR((FILTER(Data!N:N,Data!D:D=A537,Data!B:B=$B$1)),"""")"),"")</f>
        <v/>
      </c>
      <c r="K537" s="135" t="str">
        <f>IFERROR(__xludf.DUMMYFUNCTION("IFERROR((FILTER(Data!H:H,Data!D:D=A537,Data!B:B=$B$1)*2)+(FILTER(Data!L:L,Data!D:D=A537,Data!B:B=$B$1))+(FILTER(Data!G:G,Data!D:D=A537,Data!B:B=$B$1)*4)+(FILTER(Data!K:K,Data!D:D=A537,Data!B:B=$B$1)*2)+(((COUNTIF(FILTER(Data!N:N,Data!D:D=A537,Data!B:B=$B$"&amp;"1),""TRAVERSE"")*15)+(COUNTIF(FILTER(Data!N:N,Data!D:D=A537,Data!B:B=$B$1),""HIGH"")*10)+(COUNTIF(FILTER(Data!N:N,Data!D:D=A537,Data!B:B=$B$1),""MIDDLE"")*6)+(COUNTIF(FILTER(Data!N:N,Data!D:D=A537,Data!B:B=$B$1),""LOW"")*4))),"""")"),"")</f>
        <v/>
      </c>
      <c r="L537" s="136" t="str">
        <f>IFERROR(__xludf.DUMMYFUNCTION("IFERROR((FILTER(Data!P:P,Data!D:D=A537,Data!B:B=$B$1)),"""")"),"")</f>
        <v/>
      </c>
      <c r="M537" s="137" t="str">
        <f>IFERROR(__xludf.DUMMYFUNCTION("IFERROR((FILTER(Data!A:A,Data!D:D=A537,Data!B:B=$B$1)),"""")"),"")</f>
        <v/>
      </c>
      <c r="T537" s="52">
        <f>IFERROR(__xludf.DUMMYFUNCTION("((COUNTIF(FILTER(Data!N:N,Data!D:D=A537,Data!B:B=$B$1),""TRAVERSE"")*15)+(COUNTIF(FILTER(Data!N:N,Data!D:D=A537,Data!B:B=B$1),""HIGH"")*10)+(COUNTIF(FILTER(Data!N:N,Data!D:D=A537,Data!B:B=$B$1),""MIDDLE"")*6)+(COUNTIF(FILTER(Data!N:N,Data!D:D=A537,Data!B:"&amp;"B=$B$1),""LOW"")*4))"),0.0)</f>
        <v>0</v>
      </c>
      <c r="V537" s="138" t="str">
        <f>IF(Data!B529='Team Parser'!$B$1, Data!D529,"")</f>
        <v/>
      </c>
      <c r="W537" s="134" t="str">
        <f>IF(Data!$B529='Team Parser'!$B$1, Data!H529,"")</f>
        <v/>
      </c>
      <c r="X537" s="134" t="str">
        <f>IF(Data!$B529='Team Parser'!$B$1, Data!G529,"")</f>
        <v/>
      </c>
      <c r="Y537" s="134" t="str">
        <f>IF(Data!$B529='Team Parser'!$B$1, Data!L529,"")</f>
        <v/>
      </c>
      <c r="Z537" s="134" t="str">
        <f>IF(Data!$B529='Team Parser'!$B$1, Data!K529,"")</f>
        <v/>
      </c>
      <c r="AA537" s="134" t="str">
        <f>IF(Data!$B529='Team Parser'!$B$1, Data!M529,"")</f>
        <v/>
      </c>
      <c r="AB537" s="134" t="str">
        <f>IF(Data!$B529='Team Parser'!$B$1,((Z537*2)+(Y537)+(X537*4)+(W537*2)),"")</f>
        <v/>
      </c>
      <c r="AC537" s="134" t="str">
        <f>IF(Data!$B529='Team Parser'!$B$1, Data!N529,"")</f>
        <v/>
      </c>
      <c r="AD537" s="139" t="str">
        <f>IF(Data!$B529='Team Parser'!$B$1,(AB537+(COUNTIF(AC537,"TRAVERSE")*15)+(COUNTIF(AC537,"HIGH")*10)+(COUNTIF(AC537,"MIDDLE")*6)+(COUNTIF(AC537,"LOW")*4)),"")</f>
        <v/>
      </c>
    </row>
    <row r="538">
      <c r="A538" s="141" t="s">
        <v>507</v>
      </c>
      <c r="B538" s="134" t="str">
        <f>IFERROR(__xludf.DUMMYFUNCTION("IFERROR((FILTER(Data!H:H,Data!D:D=A538,Data!B:B=$B$1)),"""")"),"")</f>
        <v/>
      </c>
      <c r="C538" s="134" t="str">
        <f>IFERROR(__xludf.DUMMYFUNCTION("IFERROR((FILTER(Data!G:G,Data!D:D=A538,Data!B:B=$B$1)),"""")"),"")</f>
        <v/>
      </c>
      <c r="D538" s="134" t="str">
        <f>IFERROR(__xludf.DUMMYFUNCTION("IFERROR((FILTER(Data!J:J,Data!D:D=A538,Data!B:B=$B$1)),"""")"),"")</f>
        <v/>
      </c>
      <c r="E538" s="134" t="str">
        <f>IFERROR(__xludf.DUMMYFUNCTION("IFERROR((FILTER(Data!L:L,Data!D:D=A538,Data!B:B=$B$1)),"""")"),"")</f>
        <v/>
      </c>
      <c r="F538" s="134" t="str">
        <f>IFERROR(__xludf.DUMMYFUNCTION("IFERROR((FILTER(Data!K:K,Data!D:D=A538,Data!B:B=$B$1)),"""")"),"")</f>
        <v/>
      </c>
      <c r="G538" s="134" t="str">
        <f>IFERROR(__xludf.DUMMYFUNCTION("IFERROR((FILTER(Data!M:M,Data!D:D=A538,Data!B:B=$B$1)),"""")"),"")</f>
        <v/>
      </c>
      <c r="H538" s="134" t="str">
        <f>IFERROR(__xludf.DUMMYFUNCTION("IFERROR((FILTER(Data!G:G,Data!D:D=A538,Data!B:B=$B$1)*4)+(FILTER(Data!H:H,Data!D:D=A538,Data!B:B=$B$1)*2),"""")"),"")</f>
        <v/>
      </c>
      <c r="I538" s="15" t="str">
        <f>IFERROR(__xludf.DUMMYFUNCTION("IFERROR((FILTER(Data!K:K,Data!D:D=A538,Data!B:B=$B$1)*2)+(FILTER(Data!L:L,Data!D:D=A538,Data!B:B=$B$1)),"""")"),"")</f>
        <v/>
      </c>
      <c r="J538" s="134" t="str">
        <f>IFERROR(__xludf.DUMMYFUNCTION("IFERROR((FILTER(Data!N:N,Data!D:D=A538,Data!B:B=$B$1)),"""")"),"")</f>
        <v/>
      </c>
      <c r="K538" s="135" t="str">
        <f>IFERROR(__xludf.DUMMYFUNCTION("IFERROR((FILTER(Data!H:H,Data!D:D=A538,Data!B:B=$B$1)*2)+(FILTER(Data!L:L,Data!D:D=A538,Data!B:B=$B$1))+(FILTER(Data!G:G,Data!D:D=A538,Data!B:B=$B$1)*4)+(FILTER(Data!K:K,Data!D:D=A538,Data!B:B=$B$1)*2)+(((COUNTIF(FILTER(Data!N:N,Data!D:D=A538,Data!B:B=$B$"&amp;"1),""TRAVERSE"")*15)+(COUNTIF(FILTER(Data!N:N,Data!D:D=A538,Data!B:B=$B$1),""HIGH"")*10)+(COUNTIF(FILTER(Data!N:N,Data!D:D=A538,Data!B:B=$B$1),""MIDDLE"")*6)+(COUNTIF(FILTER(Data!N:N,Data!D:D=A538,Data!B:B=$B$1),""LOW"")*4))),"""")"),"")</f>
        <v/>
      </c>
      <c r="L538" s="136" t="str">
        <f>IFERROR(__xludf.DUMMYFUNCTION("IFERROR((FILTER(Data!P:P,Data!D:D=A538,Data!B:B=$B$1)),"""")"),"")</f>
        <v/>
      </c>
      <c r="M538" s="137" t="str">
        <f>IFERROR(__xludf.DUMMYFUNCTION("IFERROR((FILTER(Data!A:A,Data!D:D=A538,Data!B:B=$B$1)),"""")"),"")</f>
        <v/>
      </c>
      <c r="T538" s="52">
        <f>IFERROR(__xludf.DUMMYFUNCTION("((COUNTIF(FILTER(Data!N:N,Data!D:D=A538,Data!B:B=$B$1),""TRAVERSE"")*15)+(COUNTIF(FILTER(Data!N:N,Data!D:D=A538,Data!B:B=B$1),""HIGH"")*10)+(COUNTIF(FILTER(Data!N:N,Data!D:D=A538,Data!B:B=$B$1),""MIDDLE"")*6)+(COUNTIF(FILTER(Data!N:N,Data!D:D=A538,Data!B:"&amp;"B=$B$1),""LOW"")*4))"),0.0)</f>
        <v>0</v>
      </c>
      <c r="V538" s="138" t="str">
        <f>IF(Data!B530='Team Parser'!$B$1, Data!D530,"")</f>
        <v/>
      </c>
      <c r="W538" s="134" t="str">
        <f>IF(Data!$B530='Team Parser'!$B$1, Data!H530,"")</f>
        <v/>
      </c>
      <c r="X538" s="134" t="str">
        <f>IF(Data!$B530='Team Parser'!$B$1, Data!G530,"")</f>
        <v/>
      </c>
      <c r="Y538" s="134" t="str">
        <f>IF(Data!$B530='Team Parser'!$B$1, Data!L530,"")</f>
        <v/>
      </c>
      <c r="Z538" s="134" t="str">
        <f>IF(Data!$B530='Team Parser'!$B$1, Data!K530,"")</f>
        <v/>
      </c>
      <c r="AA538" s="134" t="str">
        <f>IF(Data!$B530='Team Parser'!$B$1, Data!M530,"")</f>
        <v/>
      </c>
      <c r="AB538" s="134" t="str">
        <f>IF(Data!$B530='Team Parser'!$B$1,((Z538*2)+(Y538)+(X538*4)+(W538*2)),"")</f>
        <v/>
      </c>
      <c r="AC538" s="134" t="str">
        <f>IF(Data!$B530='Team Parser'!$B$1, Data!N530,"")</f>
        <v/>
      </c>
      <c r="AD538" s="139" t="str">
        <f>IF(Data!$B530='Team Parser'!$B$1,(AB538+(COUNTIF(AC538,"TRAVERSE")*15)+(COUNTIF(AC538,"HIGH")*10)+(COUNTIF(AC538,"MIDDLE")*6)+(COUNTIF(AC538,"LOW")*4)),"")</f>
        <v/>
      </c>
    </row>
    <row r="539">
      <c r="A539" s="141" t="s">
        <v>507</v>
      </c>
      <c r="B539" s="134" t="str">
        <f>IFERROR(__xludf.DUMMYFUNCTION("IFERROR((FILTER(Data!H:H,Data!D:D=A539,Data!B:B=$B$1)),"""")"),"")</f>
        <v/>
      </c>
      <c r="C539" s="134" t="str">
        <f>IFERROR(__xludf.DUMMYFUNCTION("IFERROR((FILTER(Data!G:G,Data!D:D=A539,Data!B:B=$B$1)),"""")"),"")</f>
        <v/>
      </c>
      <c r="D539" s="134" t="str">
        <f>IFERROR(__xludf.DUMMYFUNCTION("IFERROR((FILTER(Data!J:J,Data!D:D=A539,Data!B:B=$B$1)),"""")"),"")</f>
        <v/>
      </c>
      <c r="E539" s="134" t="str">
        <f>IFERROR(__xludf.DUMMYFUNCTION("IFERROR((FILTER(Data!L:L,Data!D:D=A539,Data!B:B=$B$1)),"""")"),"")</f>
        <v/>
      </c>
      <c r="F539" s="134" t="str">
        <f>IFERROR(__xludf.DUMMYFUNCTION("IFERROR((FILTER(Data!K:K,Data!D:D=A539,Data!B:B=$B$1)),"""")"),"")</f>
        <v/>
      </c>
      <c r="G539" s="134" t="str">
        <f>IFERROR(__xludf.DUMMYFUNCTION("IFERROR((FILTER(Data!M:M,Data!D:D=A539,Data!B:B=$B$1)),"""")"),"")</f>
        <v/>
      </c>
      <c r="H539" s="134" t="str">
        <f>IFERROR(__xludf.DUMMYFUNCTION("IFERROR((FILTER(Data!G:G,Data!D:D=A539,Data!B:B=$B$1)*4)+(FILTER(Data!H:H,Data!D:D=A539,Data!B:B=$B$1)*2),"""")"),"")</f>
        <v/>
      </c>
      <c r="I539" s="15" t="str">
        <f>IFERROR(__xludf.DUMMYFUNCTION("IFERROR((FILTER(Data!K:K,Data!D:D=A539,Data!B:B=$B$1)*2)+(FILTER(Data!L:L,Data!D:D=A539,Data!B:B=$B$1)),"""")"),"")</f>
        <v/>
      </c>
      <c r="J539" s="134" t="str">
        <f>IFERROR(__xludf.DUMMYFUNCTION("IFERROR((FILTER(Data!N:N,Data!D:D=A539,Data!B:B=$B$1)),"""")"),"")</f>
        <v/>
      </c>
      <c r="K539" s="135" t="str">
        <f>IFERROR(__xludf.DUMMYFUNCTION("IFERROR((FILTER(Data!H:H,Data!D:D=A539,Data!B:B=$B$1)*2)+(FILTER(Data!L:L,Data!D:D=A539,Data!B:B=$B$1))+(FILTER(Data!G:G,Data!D:D=A539,Data!B:B=$B$1)*4)+(FILTER(Data!K:K,Data!D:D=A539,Data!B:B=$B$1)*2)+(((COUNTIF(FILTER(Data!N:N,Data!D:D=A539,Data!B:B=$B$"&amp;"1),""TRAVERSE"")*15)+(COUNTIF(FILTER(Data!N:N,Data!D:D=A539,Data!B:B=$B$1),""HIGH"")*10)+(COUNTIF(FILTER(Data!N:N,Data!D:D=A539,Data!B:B=$B$1),""MIDDLE"")*6)+(COUNTIF(FILTER(Data!N:N,Data!D:D=A539,Data!B:B=$B$1),""LOW"")*4))),"""")"),"")</f>
        <v/>
      </c>
      <c r="L539" s="136" t="str">
        <f>IFERROR(__xludf.DUMMYFUNCTION("IFERROR((FILTER(Data!P:P,Data!D:D=A539,Data!B:B=$B$1)),"""")"),"")</f>
        <v/>
      </c>
      <c r="M539" s="137" t="str">
        <f>IFERROR(__xludf.DUMMYFUNCTION("IFERROR((FILTER(Data!A:A,Data!D:D=A539,Data!B:B=$B$1)),"""")"),"")</f>
        <v/>
      </c>
      <c r="T539" s="52">
        <f>IFERROR(__xludf.DUMMYFUNCTION("((COUNTIF(FILTER(Data!N:N,Data!D:D=A539,Data!B:B=$B$1),""TRAVERSE"")*15)+(COUNTIF(FILTER(Data!N:N,Data!D:D=A539,Data!B:B=B$1),""HIGH"")*10)+(COUNTIF(FILTER(Data!N:N,Data!D:D=A539,Data!B:B=$B$1),""MIDDLE"")*6)+(COUNTIF(FILTER(Data!N:N,Data!D:D=A539,Data!B:"&amp;"B=$B$1),""LOW"")*4))"),0.0)</f>
        <v>0</v>
      </c>
      <c r="V539" s="138" t="str">
        <f>IF(Data!B531='Team Parser'!$B$1, Data!D531,"")</f>
        <v/>
      </c>
      <c r="W539" s="134" t="str">
        <f>IF(Data!$B531='Team Parser'!$B$1, Data!H531,"")</f>
        <v/>
      </c>
      <c r="X539" s="134" t="str">
        <f>IF(Data!$B531='Team Parser'!$B$1, Data!G531,"")</f>
        <v/>
      </c>
      <c r="Y539" s="134" t="str">
        <f>IF(Data!$B531='Team Parser'!$B$1, Data!L531,"")</f>
        <v/>
      </c>
      <c r="Z539" s="134" t="str">
        <f>IF(Data!$B531='Team Parser'!$B$1, Data!K531,"")</f>
        <v/>
      </c>
      <c r="AA539" s="134" t="str">
        <f>IF(Data!$B531='Team Parser'!$B$1, Data!M531,"")</f>
        <v/>
      </c>
      <c r="AB539" s="134" t="str">
        <f>IF(Data!$B531='Team Parser'!$B$1,((Z539*2)+(Y539)+(X539*4)+(W539*2)),"")</f>
        <v/>
      </c>
      <c r="AC539" s="134" t="str">
        <f>IF(Data!$B531='Team Parser'!$B$1, Data!N531,"")</f>
        <v/>
      </c>
      <c r="AD539" s="139" t="str">
        <f>IF(Data!$B531='Team Parser'!$B$1,(AB539+(COUNTIF(AC539,"TRAVERSE")*15)+(COUNTIF(AC539,"HIGH")*10)+(COUNTIF(AC539,"MIDDLE")*6)+(COUNTIF(AC539,"LOW")*4)),"")</f>
        <v/>
      </c>
    </row>
    <row r="540">
      <c r="A540" s="141" t="s">
        <v>507</v>
      </c>
      <c r="B540" s="134" t="str">
        <f>IFERROR(__xludf.DUMMYFUNCTION("IFERROR((FILTER(Data!H:H,Data!D:D=A540,Data!B:B=$B$1)),"""")"),"")</f>
        <v/>
      </c>
      <c r="C540" s="134" t="str">
        <f>IFERROR(__xludf.DUMMYFUNCTION("IFERROR((FILTER(Data!G:G,Data!D:D=A540,Data!B:B=$B$1)),"""")"),"")</f>
        <v/>
      </c>
      <c r="D540" s="134" t="str">
        <f>IFERROR(__xludf.DUMMYFUNCTION("IFERROR((FILTER(Data!J:J,Data!D:D=A540,Data!B:B=$B$1)),"""")"),"")</f>
        <v/>
      </c>
      <c r="E540" s="134" t="str">
        <f>IFERROR(__xludf.DUMMYFUNCTION("IFERROR((FILTER(Data!L:L,Data!D:D=A540,Data!B:B=$B$1)),"""")"),"")</f>
        <v/>
      </c>
      <c r="F540" s="134" t="str">
        <f>IFERROR(__xludf.DUMMYFUNCTION("IFERROR((FILTER(Data!K:K,Data!D:D=A540,Data!B:B=$B$1)),"""")"),"")</f>
        <v/>
      </c>
      <c r="G540" s="134" t="str">
        <f>IFERROR(__xludf.DUMMYFUNCTION("IFERROR((FILTER(Data!M:M,Data!D:D=A540,Data!B:B=$B$1)),"""")"),"")</f>
        <v/>
      </c>
      <c r="H540" s="134" t="str">
        <f>IFERROR(__xludf.DUMMYFUNCTION("IFERROR((FILTER(Data!G:G,Data!D:D=A540,Data!B:B=$B$1)*4)+(FILTER(Data!H:H,Data!D:D=A540,Data!B:B=$B$1)*2),"""")"),"")</f>
        <v/>
      </c>
      <c r="I540" s="15" t="str">
        <f>IFERROR(__xludf.DUMMYFUNCTION("IFERROR((FILTER(Data!K:K,Data!D:D=A540,Data!B:B=$B$1)*2)+(FILTER(Data!L:L,Data!D:D=A540,Data!B:B=$B$1)),"""")"),"")</f>
        <v/>
      </c>
      <c r="J540" s="134" t="str">
        <f>IFERROR(__xludf.DUMMYFUNCTION("IFERROR((FILTER(Data!N:N,Data!D:D=A540,Data!B:B=$B$1)),"""")"),"")</f>
        <v/>
      </c>
      <c r="K540" s="135" t="str">
        <f>IFERROR(__xludf.DUMMYFUNCTION("IFERROR((FILTER(Data!H:H,Data!D:D=A540,Data!B:B=$B$1)*2)+(FILTER(Data!L:L,Data!D:D=A540,Data!B:B=$B$1))+(FILTER(Data!G:G,Data!D:D=A540,Data!B:B=$B$1)*4)+(FILTER(Data!K:K,Data!D:D=A540,Data!B:B=$B$1)*2)+(((COUNTIF(FILTER(Data!N:N,Data!D:D=A540,Data!B:B=$B$"&amp;"1),""TRAVERSE"")*15)+(COUNTIF(FILTER(Data!N:N,Data!D:D=A540,Data!B:B=$B$1),""HIGH"")*10)+(COUNTIF(FILTER(Data!N:N,Data!D:D=A540,Data!B:B=$B$1),""MIDDLE"")*6)+(COUNTIF(FILTER(Data!N:N,Data!D:D=A540,Data!B:B=$B$1),""LOW"")*4))),"""")"),"")</f>
        <v/>
      </c>
      <c r="L540" s="136" t="str">
        <f>IFERROR(__xludf.DUMMYFUNCTION("IFERROR((FILTER(Data!P:P,Data!D:D=A540,Data!B:B=$B$1)),"""")"),"")</f>
        <v/>
      </c>
      <c r="M540" s="137" t="str">
        <f>IFERROR(__xludf.DUMMYFUNCTION("IFERROR((FILTER(Data!A:A,Data!D:D=A540,Data!B:B=$B$1)),"""")"),"")</f>
        <v/>
      </c>
      <c r="T540" s="52">
        <f>IFERROR(__xludf.DUMMYFUNCTION("((COUNTIF(FILTER(Data!N:N,Data!D:D=A540,Data!B:B=$B$1),""TRAVERSE"")*15)+(COUNTIF(FILTER(Data!N:N,Data!D:D=A540,Data!B:B=B$1),""HIGH"")*10)+(COUNTIF(FILTER(Data!N:N,Data!D:D=A540,Data!B:B=$B$1),""MIDDLE"")*6)+(COUNTIF(FILTER(Data!N:N,Data!D:D=A540,Data!B:"&amp;"B=$B$1),""LOW"")*4))"),0.0)</f>
        <v>0</v>
      </c>
      <c r="V540" s="138" t="str">
        <f>IF(Data!B532='Team Parser'!$B$1, Data!D532,"")</f>
        <v/>
      </c>
      <c r="W540" s="134" t="str">
        <f>IF(Data!$B532='Team Parser'!$B$1, Data!H532,"")</f>
        <v/>
      </c>
      <c r="X540" s="134" t="str">
        <f>IF(Data!$B532='Team Parser'!$B$1, Data!G532,"")</f>
        <v/>
      </c>
      <c r="Y540" s="134" t="str">
        <f>IF(Data!$B532='Team Parser'!$B$1, Data!L532,"")</f>
        <v/>
      </c>
      <c r="Z540" s="134" t="str">
        <f>IF(Data!$B532='Team Parser'!$B$1, Data!K532,"")</f>
        <v/>
      </c>
      <c r="AA540" s="134" t="str">
        <f>IF(Data!$B532='Team Parser'!$B$1, Data!M532,"")</f>
        <v/>
      </c>
      <c r="AB540" s="134" t="str">
        <f>IF(Data!$B532='Team Parser'!$B$1,((Z540*2)+(Y540)+(X540*4)+(W540*2)),"")</f>
        <v/>
      </c>
      <c r="AC540" s="134" t="str">
        <f>IF(Data!$B532='Team Parser'!$B$1, Data!N532,"")</f>
        <v/>
      </c>
      <c r="AD540" s="139" t="str">
        <f>IF(Data!$B532='Team Parser'!$B$1,(AB540+(COUNTIF(AC540,"TRAVERSE")*15)+(COUNTIF(AC540,"HIGH")*10)+(COUNTIF(AC540,"MIDDLE")*6)+(COUNTIF(AC540,"LOW")*4)),"")</f>
        <v/>
      </c>
    </row>
    <row r="541">
      <c r="A541" s="141" t="s">
        <v>507</v>
      </c>
      <c r="B541" s="134" t="str">
        <f>IFERROR(__xludf.DUMMYFUNCTION("IFERROR((FILTER(Data!H:H,Data!D:D=A541,Data!B:B=$B$1)),"""")"),"")</f>
        <v/>
      </c>
      <c r="C541" s="134" t="str">
        <f>IFERROR(__xludf.DUMMYFUNCTION("IFERROR((FILTER(Data!G:G,Data!D:D=A541,Data!B:B=$B$1)),"""")"),"")</f>
        <v/>
      </c>
      <c r="D541" s="134" t="str">
        <f>IFERROR(__xludf.DUMMYFUNCTION("IFERROR((FILTER(Data!J:J,Data!D:D=A541,Data!B:B=$B$1)),"""")"),"")</f>
        <v/>
      </c>
      <c r="E541" s="134" t="str">
        <f>IFERROR(__xludf.DUMMYFUNCTION("IFERROR((FILTER(Data!L:L,Data!D:D=A541,Data!B:B=$B$1)),"""")"),"")</f>
        <v/>
      </c>
      <c r="F541" s="134" t="str">
        <f>IFERROR(__xludf.DUMMYFUNCTION("IFERROR((FILTER(Data!K:K,Data!D:D=A541,Data!B:B=$B$1)),"""")"),"")</f>
        <v/>
      </c>
      <c r="G541" s="134" t="str">
        <f>IFERROR(__xludf.DUMMYFUNCTION("IFERROR((FILTER(Data!M:M,Data!D:D=A541,Data!B:B=$B$1)),"""")"),"")</f>
        <v/>
      </c>
      <c r="H541" s="134" t="str">
        <f>IFERROR(__xludf.DUMMYFUNCTION("IFERROR((FILTER(Data!G:G,Data!D:D=A541,Data!B:B=$B$1)*4)+(FILTER(Data!H:H,Data!D:D=A541,Data!B:B=$B$1)*2),"""")"),"")</f>
        <v/>
      </c>
      <c r="I541" s="15" t="str">
        <f>IFERROR(__xludf.DUMMYFUNCTION("IFERROR((FILTER(Data!K:K,Data!D:D=A541,Data!B:B=$B$1)*2)+(FILTER(Data!L:L,Data!D:D=A541,Data!B:B=$B$1)),"""")"),"")</f>
        <v/>
      </c>
      <c r="J541" s="134" t="str">
        <f>IFERROR(__xludf.DUMMYFUNCTION("IFERROR((FILTER(Data!N:N,Data!D:D=A541,Data!B:B=$B$1)),"""")"),"")</f>
        <v/>
      </c>
      <c r="K541" s="135" t="str">
        <f>IFERROR(__xludf.DUMMYFUNCTION("IFERROR((FILTER(Data!H:H,Data!D:D=A541,Data!B:B=$B$1)*2)+(FILTER(Data!L:L,Data!D:D=A541,Data!B:B=$B$1))+(FILTER(Data!G:G,Data!D:D=A541,Data!B:B=$B$1)*4)+(FILTER(Data!K:K,Data!D:D=A541,Data!B:B=$B$1)*2)+(((COUNTIF(FILTER(Data!N:N,Data!D:D=A541,Data!B:B=$B$"&amp;"1),""TRAVERSE"")*15)+(COUNTIF(FILTER(Data!N:N,Data!D:D=A541,Data!B:B=$B$1),""HIGH"")*10)+(COUNTIF(FILTER(Data!N:N,Data!D:D=A541,Data!B:B=$B$1),""MIDDLE"")*6)+(COUNTIF(FILTER(Data!N:N,Data!D:D=A541,Data!B:B=$B$1),""LOW"")*4))),"""")"),"")</f>
        <v/>
      </c>
      <c r="L541" s="136" t="str">
        <f>IFERROR(__xludf.DUMMYFUNCTION("IFERROR((FILTER(Data!P:P,Data!D:D=A541,Data!B:B=$B$1)),"""")"),"")</f>
        <v/>
      </c>
      <c r="M541" s="137" t="str">
        <f>IFERROR(__xludf.DUMMYFUNCTION("IFERROR((FILTER(Data!A:A,Data!D:D=A541,Data!B:B=$B$1)),"""")"),"")</f>
        <v/>
      </c>
      <c r="T541" s="52">
        <f>IFERROR(__xludf.DUMMYFUNCTION("((COUNTIF(FILTER(Data!N:N,Data!D:D=A541,Data!B:B=$B$1),""TRAVERSE"")*15)+(COUNTIF(FILTER(Data!N:N,Data!D:D=A541,Data!B:B=B$1),""HIGH"")*10)+(COUNTIF(FILTER(Data!N:N,Data!D:D=A541,Data!B:B=$B$1),""MIDDLE"")*6)+(COUNTIF(FILTER(Data!N:N,Data!D:D=A541,Data!B:"&amp;"B=$B$1),""LOW"")*4))"),0.0)</f>
        <v>0</v>
      </c>
      <c r="V541" s="138" t="str">
        <f>IF(Data!B533='Team Parser'!$B$1, Data!D533,"")</f>
        <v/>
      </c>
      <c r="W541" s="134" t="str">
        <f>IF(Data!$B533='Team Parser'!$B$1, Data!H533,"")</f>
        <v/>
      </c>
      <c r="X541" s="134" t="str">
        <f>IF(Data!$B533='Team Parser'!$B$1, Data!G533,"")</f>
        <v/>
      </c>
      <c r="Y541" s="134" t="str">
        <f>IF(Data!$B533='Team Parser'!$B$1, Data!L533,"")</f>
        <v/>
      </c>
      <c r="Z541" s="134" t="str">
        <f>IF(Data!$B533='Team Parser'!$B$1, Data!K533,"")</f>
        <v/>
      </c>
      <c r="AA541" s="134" t="str">
        <f>IF(Data!$B533='Team Parser'!$B$1, Data!M533,"")</f>
        <v/>
      </c>
      <c r="AB541" s="134" t="str">
        <f>IF(Data!$B533='Team Parser'!$B$1,((Z541*2)+(Y541)+(X541*4)+(W541*2)),"")</f>
        <v/>
      </c>
      <c r="AC541" s="134" t="str">
        <f>IF(Data!$B533='Team Parser'!$B$1, Data!N533,"")</f>
        <v/>
      </c>
      <c r="AD541" s="139" t="str">
        <f>IF(Data!$B533='Team Parser'!$B$1,(AB541+(COUNTIF(AC541,"TRAVERSE")*15)+(COUNTIF(AC541,"HIGH")*10)+(COUNTIF(AC541,"MIDDLE")*6)+(COUNTIF(AC541,"LOW")*4)),"")</f>
        <v/>
      </c>
    </row>
    <row r="542">
      <c r="A542" s="141" t="s">
        <v>507</v>
      </c>
      <c r="B542" s="134" t="str">
        <f>IFERROR(__xludf.DUMMYFUNCTION("IFERROR((FILTER(Data!H:H,Data!D:D=A542,Data!B:B=$B$1)),"""")"),"")</f>
        <v/>
      </c>
      <c r="C542" s="134" t="str">
        <f>IFERROR(__xludf.DUMMYFUNCTION("IFERROR((FILTER(Data!G:G,Data!D:D=A542,Data!B:B=$B$1)),"""")"),"")</f>
        <v/>
      </c>
      <c r="D542" s="134" t="str">
        <f>IFERROR(__xludf.DUMMYFUNCTION("IFERROR((FILTER(Data!J:J,Data!D:D=A542,Data!B:B=$B$1)),"""")"),"")</f>
        <v/>
      </c>
      <c r="E542" s="134" t="str">
        <f>IFERROR(__xludf.DUMMYFUNCTION("IFERROR((FILTER(Data!L:L,Data!D:D=A542,Data!B:B=$B$1)),"""")"),"")</f>
        <v/>
      </c>
      <c r="F542" s="134" t="str">
        <f>IFERROR(__xludf.DUMMYFUNCTION("IFERROR((FILTER(Data!K:K,Data!D:D=A542,Data!B:B=$B$1)),"""")"),"")</f>
        <v/>
      </c>
      <c r="G542" s="134" t="str">
        <f>IFERROR(__xludf.DUMMYFUNCTION("IFERROR((FILTER(Data!M:M,Data!D:D=A542,Data!B:B=$B$1)),"""")"),"")</f>
        <v/>
      </c>
      <c r="H542" s="134" t="str">
        <f>IFERROR(__xludf.DUMMYFUNCTION("IFERROR((FILTER(Data!G:G,Data!D:D=A542,Data!B:B=$B$1)*4)+(FILTER(Data!H:H,Data!D:D=A542,Data!B:B=$B$1)*2),"""")"),"")</f>
        <v/>
      </c>
      <c r="I542" s="15" t="str">
        <f>IFERROR(__xludf.DUMMYFUNCTION("IFERROR((FILTER(Data!K:K,Data!D:D=A542,Data!B:B=$B$1)*2)+(FILTER(Data!L:L,Data!D:D=A542,Data!B:B=$B$1)),"""")"),"")</f>
        <v/>
      </c>
      <c r="J542" s="134" t="str">
        <f>IFERROR(__xludf.DUMMYFUNCTION("IFERROR((FILTER(Data!N:N,Data!D:D=A542,Data!B:B=$B$1)),"""")"),"")</f>
        <v/>
      </c>
      <c r="K542" s="135" t="str">
        <f>IFERROR(__xludf.DUMMYFUNCTION("IFERROR((FILTER(Data!H:H,Data!D:D=A542,Data!B:B=$B$1)*2)+(FILTER(Data!L:L,Data!D:D=A542,Data!B:B=$B$1))+(FILTER(Data!G:G,Data!D:D=A542,Data!B:B=$B$1)*4)+(FILTER(Data!K:K,Data!D:D=A542,Data!B:B=$B$1)*2)+(((COUNTIF(FILTER(Data!N:N,Data!D:D=A542,Data!B:B=$B$"&amp;"1),""TRAVERSE"")*15)+(COUNTIF(FILTER(Data!N:N,Data!D:D=A542,Data!B:B=$B$1),""HIGH"")*10)+(COUNTIF(FILTER(Data!N:N,Data!D:D=A542,Data!B:B=$B$1),""MIDDLE"")*6)+(COUNTIF(FILTER(Data!N:N,Data!D:D=A542,Data!B:B=$B$1),""LOW"")*4))),"""")"),"")</f>
        <v/>
      </c>
      <c r="L542" s="136" t="str">
        <f>IFERROR(__xludf.DUMMYFUNCTION("IFERROR((FILTER(Data!P:P,Data!D:D=A542,Data!B:B=$B$1)),"""")"),"")</f>
        <v/>
      </c>
      <c r="M542" s="137" t="str">
        <f>IFERROR(__xludf.DUMMYFUNCTION("IFERROR((FILTER(Data!A:A,Data!D:D=A542,Data!B:B=$B$1)),"""")"),"")</f>
        <v/>
      </c>
      <c r="T542" s="52">
        <f>IFERROR(__xludf.DUMMYFUNCTION("((COUNTIF(FILTER(Data!N:N,Data!D:D=A542,Data!B:B=$B$1),""TRAVERSE"")*15)+(COUNTIF(FILTER(Data!N:N,Data!D:D=A542,Data!B:B=B$1),""HIGH"")*10)+(COUNTIF(FILTER(Data!N:N,Data!D:D=A542,Data!B:B=$B$1),""MIDDLE"")*6)+(COUNTIF(FILTER(Data!N:N,Data!D:D=A542,Data!B:"&amp;"B=$B$1),""LOW"")*4))"),0.0)</f>
        <v>0</v>
      </c>
      <c r="V542" s="138" t="str">
        <f>IF(Data!B534='Team Parser'!$B$1, Data!D534,"")</f>
        <v/>
      </c>
      <c r="W542" s="134" t="str">
        <f>IF(Data!$B534='Team Parser'!$B$1, Data!H534,"")</f>
        <v/>
      </c>
      <c r="X542" s="134" t="str">
        <f>IF(Data!$B534='Team Parser'!$B$1, Data!G534,"")</f>
        <v/>
      </c>
      <c r="Y542" s="134" t="str">
        <f>IF(Data!$B534='Team Parser'!$B$1, Data!L534,"")</f>
        <v/>
      </c>
      <c r="Z542" s="134" t="str">
        <f>IF(Data!$B534='Team Parser'!$B$1, Data!K534,"")</f>
        <v/>
      </c>
      <c r="AA542" s="134" t="str">
        <f>IF(Data!$B534='Team Parser'!$B$1, Data!M534,"")</f>
        <v/>
      </c>
      <c r="AB542" s="134" t="str">
        <f>IF(Data!$B534='Team Parser'!$B$1,((Z542*2)+(Y542)+(X542*4)+(W542*2)),"")</f>
        <v/>
      </c>
      <c r="AC542" s="134" t="str">
        <f>IF(Data!$B534='Team Parser'!$B$1, Data!N534,"")</f>
        <v/>
      </c>
      <c r="AD542" s="139" t="str">
        <f>IF(Data!$B534='Team Parser'!$B$1,(AB542+(COUNTIF(AC542,"TRAVERSE")*15)+(COUNTIF(AC542,"HIGH")*10)+(COUNTIF(AC542,"MIDDLE")*6)+(COUNTIF(AC542,"LOW")*4)),"")</f>
        <v/>
      </c>
    </row>
    <row r="543">
      <c r="A543" s="141" t="s">
        <v>507</v>
      </c>
      <c r="B543" s="134" t="str">
        <f>IFERROR(__xludf.DUMMYFUNCTION("IFERROR((FILTER(Data!H:H,Data!D:D=A543,Data!B:B=$B$1)),"""")"),"")</f>
        <v/>
      </c>
      <c r="C543" s="134" t="str">
        <f>IFERROR(__xludf.DUMMYFUNCTION("IFERROR((FILTER(Data!G:G,Data!D:D=A543,Data!B:B=$B$1)),"""")"),"")</f>
        <v/>
      </c>
      <c r="D543" s="134" t="str">
        <f>IFERROR(__xludf.DUMMYFUNCTION("IFERROR((FILTER(Data!J:J,Data!D:D=A543,Data!B:B=$B$1)),"""")"),"")</f>
        <v/>
      </c>
      <c r="E543" s="134" t="str">
        <f>IFERROR(__xludf.DUMMYFUNCTION("IFERROR((FILTER(Data!L:L,Data!D:D=A543,Data!B:B=$B$1)),"""")"),"")</f>
        <v/>
      </c>
      <c r="F543" s="134" t="str">
        <f>IFERROR(__xludf.DUMMYFUNCTION("IFERROR((FILTER(Data!K:K,Data!D:D=A543,Data!B:B=$B$1)),"""")"),"")</f>
        <v/>
      </c>
      <c r="G543" s="134" t="str">
        <f>IFERROR(__xludf.DUMMYFUNCTION("IFERROR((FILTER(Data!M:M,Data!D:D=A543,Data!B:B=$B$1)),"""")"),"")</f>
        <v/>
      </c>
      <c r="H543" s="134" t="str">
        <f>IFERROR(__xludf.DUMMYFUNCTION("IFERROR((FILTER(Data!G:G,Data!D:D=A543,Data!B:B=$B$1)*4)+(FILTER(Data!H:H,Data!D:D=A543,Data!B:B=$B$1)*2),"""")"),"")</f>
        <v/>
      </c>
      <c r="I543" s="15" t="str">
        <f>IFERROR(__xludf.DUMMYFUNCTION("IFERROR((FILTER(Data!K:K,Data!D:D=A543,Data!B:B=$B$1)*2)+(FILTER(Data!L:L,Data!D:D=A543,Data!B:B=$B$1)),"""")"),"")</f>
        <v/>
      </c>
      <c r="J543" s="134" t="str">
        <f>IFERROR(__xludf.DUMMYFUNCTION("IFERROR((FILTER(Data!N:N,Data!D:D=A543,Data!B:B=$B$1)),"""")"),"")</f>
        <v/>
      </c>
      <c r="K543" s="135" t="str">
        <f>IFERROR(__xludf.DUMMYFUNCTION("IFERROR((FILTER(Data!H:H,Data!D:D=A543,Data!B:B=$B$1)*2)+(FILTER(Data!L:L,Data!D:D=A543,Data!B:B=$B$1))+(FILTER(Data!G:G,Data!D:D=A543,Data!B:B=$B$1)*4)+(FILTER(Data!K:K,Data!D:D=A543,Data!B:B=$B$1)*2)+(((COUNTIF(FILTER(Data!N:N,Data!D:D=A543,Data!B:B=$B$"&amp;"1),""TRAVERSE"")*15)+(COUNTIF(FILTER(Data!N:N,Data!D:D=A543,Data!B:B=$B$1),""HIGH"")*10)+(COUNTIF(FILTER(Data!N:N,Data!D:D=A543,Data!B:B=$B$1),""MIDDLE"")*6)+(COUNTIF(FILTER(Data!N:N,Data!D:D=A543,Data!B:B=$B$1),""LOW"")*4))),"""")"),"")</f>
        <v/>
      </c>
      <c r="L543" s="136" t="str">
        <f>IFERROR(__xludf.DUMMYFUNCTION("IFERROR((FILTER(Data!P:P,Data!D:D=A543,Data!B:B=$B$1)),"""")"),"")</f>
        <v/>
      </c>
      <c r="M543" s="137" t="str">
        <f>IFERROR(__xludf.DUMMYFUNCTION("IFERROR((FILTER(Data!A:A,Data!D:D=A543,Data!B:B=$B$1)),"""")"),"")</f>
        <v/>
      </c>
      <c r="T543" s="52">
        <f>IFERROR(__xludf.DUMMYFUNCTION("((COUNTIF(FILTER(Data!N:N,Data!D:D=A543,Data!B:B=$B$1),""TRAVERSE"")*15)+(COUNTIF(FILTER(Data!N:N,Data!D:D=A543,Data!B:B=B$1),""HIGH"")*10)+(COUNTIF(FILTER(Data!N:N,Data!D:D=A543,Data!B:B=$B$1),""MIDDLE"")*6)+(COUNTIF(FILTER(Data!N:N,Data!D:D=A543,Data!B:"&amp;"B=$B$1),""LOW"")*4))"),0.0)</f>
        <v>0</v>
      </c>
      <c r="V543" s="138" t="str">
        <f>IF(Data!B535='Team Parser'!$B$1, Data!D535,"")</f>
        <v/>
      </c>
      <c r="W543" s="134" t="str">
        <f>IF(Data!$B535='Team Parser'!$B$1, Data!H535,"")</f>
        <v/>
      </c>
      <c r="X543" s="134" t="str">
        <f>IF(Data!$B535='Team Parser'!$B$1, Data!G535,"")</f>
        <v/>
      </c>
      <c r="Y543" s="134" t="str">
        <f>IF(Data!$B535='Team Parser'!$B$1, Data!L535,"")</f>
        <v/>
      </c>
      <c r="Z543" s="134" t="str">
        <f>IF(Data!$B535='Team Parser'!$B$1, Data!K535,"")</f>
        <v/>
      </c>
      <c r="AA543" s="134" t="str">
        <f>IF(Data!$B535='Team Parser'!$B$1, Data!M535,"")</f>
        <v/>
      </c>
      <c r="AB543" s="134" t="str">
        <f>IF(Data!$B535='Team Parser'!$B$1,((Z543*2)+(Y543)+(X543*4)+(W543*2)),"")</f>
        <v/>
      </c>
      <c r="AC543" s="134" t="str">
        <f>IF(Data!$B535='Team Parser'!$B$1, Data!N535,"")</f>
        <v/>
      </c>
      <c r="AD543" s="139" t="str">
        <f>IF(Data!$B535='Team Parser'!$B$1,(AB543+(COUNTIF(AC543,"TRAVERSE")*15)+(COUNTIF(AC543,"HIGH")*10)+(COUNTIF(AC543,"MIDDLE")*6)+(COUNTIF(AC543,"LOW")*4)),"")</f>
        <v/>
      </c>
    </row>
    <row r="544">
      <c r="A544" s="141" t="s">
        <v>507</v>
      </c>
      <c r="B544" s="134" t="str">
        <f>IFERROR(__xludf.DUMMYFUNCTION("IFERROR((FILTER(Data!H:H,Data!D:D=A544,Data!B:B=$B$1)),"""")"),"")</f>
        <v/>
      </c>
      <c r="C544" s="134" t="str">
        <f>IFERROR(__xludf.DUMMYFUNCTION("IFERROR((FILTER(Data!G:G,Data!D:D=A544,Data!B:B=$B$1)),"""")"),"")</f>
        <v/>
      </c>
      <c r="D544" s="134" t="str">
        <f>IFERROR(__xludf.DUMMYFUNCTION("IFERROR((FILTER(Data!J:J,Data!D:D=A544,Data!B:B=$B$1)),"""")"),"")</f>
        <v/>
      </c>
      <c r="E544" s="134" t="str">
        <f>IFERROR(__xludf.DUMMYFUNCTION("IFERROR((FILTER(Data!L:L,Data!D:D=A544,Data!B:B=$B$1)),"""")"),"")</f>
        <v/>
      </c>
      <c r="F544" s="134" t="str">
        <f>IFERROR(__xludf.DUMMYFUNCTION("IFERROR((FILTER(Data!K:K,Data!D:D=A544,Data!B:B=$B$1)),"""")"),"")</f>
        <v/>
      </c>
      <c r="G544" s="134" t="str">
        <f>IFERROR(__xludf.DUMMYFUNCTION("IFERROR((FILTER(Data!M:M,Data!D:D=A544,Data!B:B=$B$1)),"""")"),"")</f>
        <v/>
      </c>
      <c r="H544" s="134" t="str">
        <f>IFERROR(__xludf.DUMMYFUNCTION("IFERROR((FILTER(Data!G:G,Data!D:D=A544,Data!B:B=$B$1)*4)+(FILTER(Data!H:H,Data!D:D=A544,Data!B:B=$B$1)*2),"""")"),"")</f>
        <v/>
      </c>
      <c r="I544" s="15" t="str">
        <f>IFERROR(__xludf.DUMMYFUNCTION("IFERROR((FILTER(Data!K:K,Data!D:D=A544,Data!B:B=$B$1)*2)+(FILTER(Data!L:L,Data!D:D=A544,Data!B:B=$B$1)),"""")"),"")</f>
        <v/>
      </c>
      <c r="J544" s="134" t="str">
        <f>IFERROR(__xludf.DUMMYFUNCTION("IFERROR((FILTER(Data!N:N,Data!D:D=A544,Data!B:B=$B$1)),"""")"),"")</f>
        <v/>
      </c>
      <c r="K544" s="135" t="str">
        <f>IFERROR(__xludf.DUMMYFUNCTION("IFERROR((FILTER(Data!H:H,Data!D:D=A544,Data!B:B=$B$1)*2)+(FILTER(Data!L:L,Data!D:D=A544,Data!B:B=$B$1))+(FILTER(Data!G:G,Data!D:D=A544,Data!B:B=$B$1)*4)+(FILTER(Data!K:K,Data!D:D=A544,Data!B:B=$B$1)*2)+(((COUNTIF(FILTER(Data!N:N,Data!D:D=A544,Data!B:B=$B$"&amp;"1),""TRAVERSE"")*15)+(COUNTIF(FILTER(Data!N:N,Data!D:D=A544,Data!B:B=$B$1),""HIGH"")*10)+(COUNTIF(FILTER(Data!N:N,Data!D:D=A544,Data!B:B=$B$1),""MIDDLE"")*6)+(COUNTIF(FILTER(Data!N:N,Data!D:D=A544,Data!B:B=$B$1),""LOW"")*4))),"""")"),"")</f>
        <v/>
      </c>
      <c r="L544" s="136" t="str">
        <f>IFERROR(__xludf.DUMMYFUNCTION("IFERROR((FILTER(Data!P:P,Data!D:D=A544,Data!B:B=$B$1)),"""")"),"")</f>
        <v/>
      </c>
      <c r="M544" s="137" t="str">
        <f>IFERROR(__xludf.DUMMYFUNCTION("IFERROR((FILTER(Data!A:A,Data!D:D=A544,Data!B:B=$B$1)),"""")"),"")</f>
        <v/>
      </c>
      <c r="T544" s="52">
        <f>IFERROR(__xludf.DUMMYFUNCTION("((COUNTIF(FILTER(Data!N:N,Data!D:D=A544,Data!B:B=$B$1),""TRAVERSE"")*15)+(COUNTIF(FILTER(Data!N:N,Data!D:D=A544,Data!B:B=B$1),""HIGH"")*10)+(COUNTIF(FILTER(Data!N:N,Data!D:D=A544,Data!B:B=$B$1),""MIDDLE"")*6)+(COUNTIF(FILTER(Data!N:N,Data!D:D=A544,Data!B:"&amp;"B=$B$1),""LOW"")*4))"),0.0)</f>
        <v>0</v>
      </c>
      <c r="V544" s="138" t="str">
        <f>IF(Data!B536='Team Parser'!$B$1, Data!D536,"")</f>
        <v/>
      </c>
      <c r="W544" s="134" t="str">
        <f>IF(Data!$B536='Team Parser'!$B$1, Data!H536,"")</f>
        <v/>
      </c>
      <c r="X544" s="134" t="str">
        <f>IF(Data!$B536='Team Parser'!$B$1, Data!G536,"")</f>
        <v/>
      </c>
      <c r="Y544" s="134" t="str">
        <f>IF(Data!$B536='Team Parser'!$B$1, Data!L536,"")</f>
        <v/>
      </c>
      <c r="Z544" s="134" t="str">
        <f>IF(Data!$B536='Team Parser'!$B$1, Data!K536,"")</f>
        <v/>
      </c>
      <c r="AA544" s="134" t="str">
        <f>IF(Data!$B536='Team Parser'!$B$1, Data!M536,"")</f>
        <v/>
      </c>
      <c r="AB544" s="134" t="str">
        <f>IF(Data!$B536='Team Parser'!$B$1,((Z544*2)+(Y544)+(X544*4)+(W544*2)),"")</f>
        <v/>
      </c>
      <c r="AC544" s="134" t="str">
        <f>IF(Data!$B536='Team Parser'!$B$1, Data!N536,"")</f>
        <v/>
      </c>
      <c r="AD544" s="139" t="str">
        <f>IF(Data!$B536='Team Parser'!$B$1,(AB544+(COUNTIF(AC544,"TRAVERSE")*15)+(COUNTIF(AC544,"HIGH")*10)+(COUNTIF(AC544,"MIDDLE")*6)+(COUNTIF(AC544,"LOW")*4)),"")</f>
        <v/>
      </c>
    </row>
    <row r="545">
      <c r="A545" s="141" t="s">
        <v>507</v>
      </c>
      <c r="B545" s="134" t="str">
        <f>IFERROR(__xludf.DUMMYFUNCTION("IFERROR((FILTER(Data!H:H,Data!D:D=A545,Data!B:B=$B$1)),"""")"),"")</f>
        <v/>
      </c>
      <c r="C545" s="134" t="str">
        <f>IFERROR(__xludf.DUMMYFUNCTION("IFERROR((FILTER(Data!G:G,Data!D:D=A545,Data!B:B=$B$1)),"""")"),"")</f>
        <v/>
      </c>
      <c r="D545" s="134" t="str">
        <f>IFERROR(__xludf.DUMMYFUNCTION("IFERROR((FILTER(Data!J:J,Data!D:D=A545,Data!B:B=$B$1)),"""")"),"")</f>
        <v/>
      </c>
      <c r="E545" s="134" t="str">
        <f>IFERROR(__xludf.DUMMYFUNCTION("IFERROR((FILTER(Data!L:L,Data!D:D=A545,Data!B:B=$B$1)),"""")"),"")</f>
        <v/>
      </c>
      <c r="F545" s="134" t="str">
        <f>IFERROR(__xludf.DUMMYFUNCTION("IFERROR((FILTER(Data!K:K,Data!D:D=A545,Data!B:B=$B$1)),"""")"),"")</f>
        <v/>
      </c>
      <c r="G545" s="134" t="str">
        <f>IFERROR(__xludf.DUMMYFUNCTION("IFERROR((FILTER(Data!M:M,Data!D:D=A545,Data!B:B=$B$1)),"""")"),"")</f>
        <v/>
      </c>
      <c r="H545" s="134" t="str">
        <f>IFERROR(__xludf.DUMMYFUNCTION("IFERROR((FILTER(Data!G:G,Data!D:D=A545,Data!B:B=$B$1)*4)+(FILTER(Data!H:H,Data!D:D=A545,Data!B:B=$B$1)*2),"""")"),"")</f>
        <v/>
      </c>
      <c r="I545" s="15" t="str">
        <f>IFERROR(__xludf.DUMMYFUNCTION("IFERROR((FILTER(Data!K:K,Data!D:D=A545,Data!B:B=$B$1)*2)+(FILTER(Data!L:L,Data!D:D=A545,Data!B:B=$B$1)),"""")"),"")</f>
        <v/>
      </c>
      <c r="J545" s="134" t="str">
        <f>IFERROR(__xludf.DUMMYFUNCTION("IFERROR((FILTER(Data!N:N,Data!D:D=A545,Data!B:B=$B$1)),"""")"),"")</f>
        <v/>
      </c>
      <c r="K545" s="135" t="str">
        <f>IFERROR(__xludf.DUMMYFUNCTION("IFERROR((FILTER(Data!H:H,Data!D:D=A545,Data!B:B=$B$1)*2)+(FILTER(Data!L:L,Data!D:D=A545,Data!B:B=$B$1))+(FILTER(Data!G:G,Data!D:D=A545,Data!B:B=$B$1)*4)+(FILTER(Data!K:K,Data!D:D=A545,Data!B:B=$B$1)*2)+(((COUNTIF(FILTER(Data!N:N,Data!D:D=A545,Data!B:B=$B$"&amp;"1),""TRAVERSE"")*15)+(COUNTIF(FILTER(Data!N:N,Data!D:D=A545,Data!B:B=$B$1),""HIGH"")*10)+(COUNTIF(FILTER(Data!N:N,Data!D:D=A545,Data!B:B=$B$1),""MIDDLE"")*6)+(COUNTIF(FILTER(Data!N:N,Data!D:D=A545,Data!B:B=$B$1),""LOW"")*4))),"""")"),"")</f>
        <v/>
      </c>
      <c r="L545" s="136" t="str">
        <f>IFERROR(__xludf.DUMMYFUNCTION("IFERROR((FILTER(Data!P:P,Data!D:D=A545,Data!B:B=$B$1)),"""")"),"")</f>
        <v/>
      </c>
      <c r="M545" s="137" t="str">
        <f>IFERROR(__xludf.DUMMYFUNCTION("IFERROR((FILTER(Data!A:A,Data!D:D=A545,Data!B:B=$B$1)),"""")"),"")</f>
        <v/>
      </c>
      <c r="T545" s="52">
        <f>IFERROR(__xludf.DUMMYFUNCTION("((COUNTIF(FILTER(Data!N:N,Data!D:D=A545,Data!B:B=$B$1),""TRAVERSE"")*15)+(COUNTIF(FILTER(Data!N:N,Data!D:D=A545,Data!B:B=B$1),""HIGH"")*10)+(COUNTIF(FILTER(Data!N:N,Data!D:D=A545,Data!B:B=$B$1),""MIDDLE"")*6)+(COUNTIF(FILTER(Data!N:N,Data!D:D=A545,Data!B:"&amp;"B=$B$1),""LOW"")*4))"),0.0)</f>
        <v>0</v>
      </c>
      <c r="V545" s="138" t="str">
        <f>IF(Data!B537='Team Parser'!$B$1, Data!D537,"")</f>
        <v/>
      </c>
      <c r="W545" s="134" t="str">
        <f>IF(Data!$B537='Team Parser'!$B$1, Data!H537,"")</f>
        <v/>
      </c>
      <c r="X545" s="134" t="str">
        <f>IF(Data!$B537='Team Parser'!$B$1, Data!G537,"")</f>
        <v/>
      </c>
      <c r="Y545" s="134" t="str">
        <f>IF(Data!$B537='Team Parser'!$B$1, Data!L537,"")</f>
        <v/>
      </c>
      <c r="Z545" s="134" t="str">
        <f>IF(Data!$B537='Team Parser'!$B$1, Data!K537,"")</f>
        <v/>
      </c>
      <c r="AA545" s="134" t="str">
        <f>IF(Data!$B537='Team Parser'!$B$1, Data!M537,"")</f>
        <v/>
      </c>
      <c r="AB545" s="134" t="str">
        <f>IF(Data!$B537='Team Parser'!$B$1,((Z545*2)+(Y545)+(X545*4)+(W545*2)),"")</f>
        <v/>
      </c>
      <c r="AC545" s="134" t="str">
        <f>IF(Data!$B537='Team Parser'!$B$1, Data!N537,"")</f>
        <v/>
      </c>
      <c r="AD545" s="139" t="str">
        <f>IF(Data!$B537='Team Parser'!$B$1,(AB545+(COUNTIF(AC545,"TRAVERSE")*15)+(COUNTIF(AC545,"HIGH")*10)+(COUNTIF(AC545,"MIDDLE")*6)+(COUNTIF(AC545,"LOW")*4)),"")</f>
        <v/>
      </c>
    </row>
    <row r="546">
      <c r="A546" s="141" t="s">
        <v>507</v>
      </c>
      <c r="B546" s="134" t="str">
        <f>IFERROR(__xludf.DUMMYFUNCTION("IFERROR((FILTER(Data!H:H,Data!D:D=A546,Data!B:B=$B$1)),"""")"),"")</f>
        <v/>
      </c>
      <c r="C546" s="134" t="str">
        <f>IFERROR(__xludf.DUMMYFUNCTION("IFERROR((FILTER(Data!G:G,Data!D:D=A546,Data!B:B=$B$1)),"""")"),"")</f>
        <v/>
      </c>
      <c r="D546" s="134" t="str">
        <f>IFERROR(__xludf.DUMMYFUNCTION("IFERROR((FILTER(Data!J:J,Data!D:D=A546,Data!B:B=$B$1)),"""")"),"")</f>
        <v/>
      </c>
      <c r="E546" s="134" t="str">
        <f>IFERROR(__xludf.DUMMYFUNCTION("IFERROR((FILTER(Data!L:L,Data!D:D=A546,Data!B:B=$B$1)),"""")"),"")</f>
        <v/>
      </c>
      <c r="F546" s="134" t="str">
        <f>IFERROR(__xludf.DUMMYFUNCTION("IFERROR((FILTER(Data!K:K,Data!D:D=A546,Data!B:B=$B$1)),"""")"),"")</f>
        <v/>
      </c>
      <c r="G546" s="134" t="str">
        <f>IFERROR(__xludf.DUMMYFUNCTION("IFERROR((FILTER(Data!M:M,Data!D:D=A546,Data!B:B=$B$1)),"""")"),"")</f>
        <v/>
      </c>
      <c r="H546" s="134" t="str">
        <f>IFERROR(__xludf.DUMMYFUNCTION("IFERROR((FILTER(Data!G:G,Data!D:D=A546,Data!B:B=$B$1)*4)+(FILTER(Data!H:H,Data!D:D=A546,Data!B:B=$B$1)*2),"""")"),"")</f>
        <v/>
      </c>
      <c r="I546" s="15" t="str">
        <f>IFERROR(__xludf.DUMMYFUNCTION("IFERROR((FILTER(Data!K:K,Data!D:D=A546,Data!B:B=$B$1)*2)+(FILTER(Data!L:L,Data!D:D=A546,Data!B:B=$B$1)),"""")"),"")</f>
        <v/>
      </c>
      <c r="J546" s="134" t="str">
        <f>IFERROR(__xludf.DUMMYFUNCTION("IFERROR((FILTER(Data!N:N,Data!D:D=A546,Data!B:B=$B$1)),"""")"),"")</f>
        <v/>
      </c>
      <c r="K546" s="135" t="str">
        <f>IFERROR(__xludf.DUMMYFUNCTION("IFERROR((FILTER(Data!H:H,Data!D:D=A546,Data!B:B=$B$1)*2)+(FILTER(Data!L:L,Data!D:D=A546,Data!B:B=$B$1))+(FILTER(Data!G:G,Data!D:D=A546,Data!B:B=$B$1)*4)+(FILTER(Data!K:K,Data!D:D=A546,Data!B:B=$B$1)*2)+(((COUNTIF(FILTER(Data!N:N,Data!D:D=A546,Data!B:B=$B$"&amp;"1),""TRAVERSE"")*15)+(COUNTIF(FILTER(Data!N:N,Data!D:D=A546,Data!B:B=$B$1),""HIGH"")*10)+(COUNTIF(FILTER(Data!N:N,Data!D:D=A546,Data!B:B=$B$1),""MIDDLE"")*6)+(COUNTIF(FILTER(Data!N:N,Data!D:D=A546,Data!B:B=$B$1),""LOW"")*4))),"""")"),"")</f>
        <v/>
      </c>
      <c r="L546" s="136" t="str">
        <f>IFERROR(__xludf.DUMMYFUNCTION("IFERROR((FILTER(Data!P:P,Data!D:D=A546,Data!B:B=$B$1)),"""")"),"")</f>
        <v/>
      </c>
      <c r="M546" s="137" t="str">
        <f>IFERROR(__xludf.DUMMYFUNCTION("IFERROR((FILTER(Data!A:A,Data!D:D=A546,Data!B:B=$B$1)),"""")"),"")</f>
        <v/>
      </c>
      <c r="T546" s="52">
        <f>IFERROR(__xludf.DUMMYFUNCTION("((COUNTIF(FILTER(Data!N:N,Data!D:D=A546,Data!B:B=$B$1),""TRAVERSE"")*15)+(COUNTIF(FILTER(Data!N:N,Data!D:D=A546,Data!B:B=B$1),""HIGH"")*10)+(COUNTIF(FILTER(Data!N:N,Data!D:D=A546,Data!B:B=$B$1),""MIDDLE"")*6)+(COUNTIF(FILTER(Data!N:N,Data!D:D=A546,Data!B:"&amp;"B=$B$1),""LOW"")*4))"),0.0)</f>
        <v>0</v>
      </c>
      <c r="V546" s="138" t="str">
        <f>IF(Data!B538='Team Parser'!$B$1, Data!D538,"")</f>
        <v/>
      </c>
      <c r="W546" s="134" t="str">
        <f>IF(Data!$B538='Team Parser'!$B$1, Data!H538,"")</f>
        <v/>
      </c>
      <c r="X546" s="134" t="str">
        <f>IF(Data!$B538='Team Parser'!$B$1, Data!G538,"")</f>
        <v/>
      </c>
      <c r="Y546" s="134" t="str">
        <f>IF(Data!$B538='Team Parser'!$B$1, Data!L538,"")</f>
        <v/>
      </c>
      <c r="Z546" s="134" t="str">
        <f>IF(Data!$B538='Team Parser'!$B$1, Data!K538,"")</f>
        <v/>
      </c>
      <c r="AA546" s="134" t="str">
        <f>IF(Data!$B538='Team Parser'!$B$1, Data!M538,"")</f>
        <v/>
      </c>
      <c r="AB546" s="134" t="str">
        <f>IF(Data!$B538='Team Parser'!$B$1,((Z546*2)+(Y546)+(X546*4)+(W546*2)),"")</f>
        <v/>
      </c>
      <c r="AC546" s="134" t="str">
        <f>IF(Data!$B538='Team Parser'!$B$1, Data!N538,"")</f>
        <v/>
      </c>
      <c r="AD546" s="139" t="str">
        <f>IF(Data!$B538='Team Parser'!$B$1,(AB546+(COUNTIF(AC546,"TRAVERSE")*15)+(COUNTIF(AC546,"HIGH")*10)+(COUNTIF(AC546,"MIDDLE")*6)+(COUNTIF(AC546,"LOW")*4)),"")</f>
        <v/>
      </c>
    </row>
    <row r="547">
      <c r="A547" s="141" t="s">
        <v>507</v>
      </c>
      <c r="B547" s="134" t="str">
        <f>IFERROR(__xludf.DUMMYFUNCTION("IFERROR((FILTER(Data!H:H,Data!D:D=A547,Data!B:B=$B$1)),"""")"),"")</f>
        <v/>
      </c>
      <c r="C547" s="134" t="str">
        <f>IFERROR(__xludf.DUMMYFUNCTION("IFERROR((FILTER(Data!G:G,Data!D:D=A547,Data!B:B=$B$1)),"""")"),"")</f>
        <v/>
      </c>
      <c r="D547" s="134" t="str">
        <f>IFERROR(__xludf.DUMMYFUNCTION("IFERROR((FILTER(Data!J:J,Data!D:D=A547,Data!B:B=$B$1)),"""")"),"")</f>
        <v/>
      </c>
      <c r="E547" s="134" t="str">
        <f>IFERROR(__xludf.DUMMYFUNCTION("IFERROR((FILTER(Data!L:L,Data!D:D=A547,Data!B:B=$B$1)),"""")"),"")</f>
        <v/>
      </c>
      <c r="F547" s="134" t="str">
        <f>IFERROR(__xludf.DUMMYFUNCTION("IFERROR((FILTER(Data!K:K,Data!D:D=A547,Data!B:B=$B$1)),"""")"),"")</f>
        <v/>
      </c>
      <c r="G547" s="134" t="str">
        <f>IFERROR(__xludf.DUMMYFUNCTION("IFERROR((FILTER(Data!M:M,Data!D:D=A547,Data!B:B=$B$1)),"""")"),"")</f>
        <v/>
      </c>
      <c r="H547" s="134" t="str">
        <f>IFERROR(__xludf.DUMMYFUNCTION("IFERROR((FILTER(Data!G:G,Data!D:D=A547,Data!B:B=$B$1)*4)+(FILTER(Data!H:H,Data!D:D=A547,Data!B:B=$B$1)*2),"""")"),"")</f>
        <v/>
      </c>
      <c r="I547" s="15" t="str">
        <f>IFERROR(__xludf.DUMMYFUNCTION("IFERROR((FILTER(Data!K:K,Data!D:D=A547,Data!B:B=$B$1)*2)+(FILTER(Data!L:L,Data!D:D=A547,Data!B:B=$B$1)),"""")"),"")</f>
        <v/>
      </c>
      <c r="J547" s="134" t="str">
        <f>IFERROR(__xludf.DUMMYFUNCTION("IFERROR((FILTER(Data!N:N,Data!D:D=A547,Data!B:B=$B$1)),"""")"),"")</f>
        <v/>
      </c>
      <c r="K547" s="135" t="str">
        <f>IFERROR(__xludf.DUMMYFUNCTION("IFERROR((FILTER(Data!H:H,Data!D:D=A547,Data!B:B=$B$1)*2)+(FILTER(Data!L:L,Data!D:D=A547,Data!B:B=$B$1))+(FILTER(Data!G:G,Data!D:D=A547,Data!B:B=$B$1)*4)+(FILTER(Data!K:K,Data!D:D=A547,Data!B:B=$B$1)*2)+(((COUNTIF(FILTER(Data!N:N,Data!D:D=A547,Data!B:B=$B$"&amp;"1),""TRAVERSE"")*15)+(COUNTIF(FILTER(Data!N:N,Data!D:D=A547,Data!B:B=$B$1),""HIGH"")*10)+(COUNTIF(FILTER(Data!N:N,Data!D:D=A547,Data!B:B=$B$1),""MIDDLE"")*6)+(COUNTIF(FILTER(Data!N:N,Data!D:D=A547,Data!B:B=$B$1),""LOW"")*4))),"""")"),"")</f>
        <v/>
      </c>
      <c r="L547" s="136" t="str">
        <f>IFERROR(__xludf.DUMMYFUNCTION("IFERROR((FILTER(Data!P:P,Data!D:D=A547,Data!B:B=$B$1)),"""")"),"")</f>
        <v/>
      </c>
      <c r="M547" s="137" t="str">
        <f>IFERROR(__xludf.DUMMYFUNCTION("IFERROR((FILTER(Data!A:A,Data!D:D=A547,Data!B:B=$B$1)),"""")"),"")</f>
        <v/>
      </c>
      <c r="T547" s="52">
        <f>IFERROR(__xludf.DUMMYFUNCTION("((COUNTIF(FILTER(Data!N:N,Data!D:D=A547,Data!B:B=$B$1),""TRAVERSE"")*15)+(COUNTIF(FILTER(Data!N:N,Data!D:D=A547,Data!B:B=B$1),""HIGH"")*10)+(COUNTIF(FILTER(Data!N:N,Data!D:D=A547,Data!B:B=$B$1),""MIDDLE"")*6)+(COUNTIF(FILTER(Data!N:N,Data!D:D=A547,Data!B:"&amp;"B=$B$1),""LOW"")*4))"),0.0)</f>
        <v>0</v>
      </c>
      <c r="V547" s="138" t="str">
        <f>IF(Data!B539='Team Parser'!$B$1, Data!D539,"")</f>
        <v/>
      </c>
      <c r="W547" s="134" t="str">
        <f>IF(Data!$B539='Team Parser'!$B$1, Data!H539,"")</f>
        <v/>
      </c>
      <c r="X547" s="134" t="str">
        <f>IF(Data!$B539='Team Parser'!$B$1, Data!G539,"")</f>
        <v/>
      </c>
      <c r="Y547" s="134" t="str">
        <f>IF(Data!$B539='Team Parser'!$B$1, Data!L539,"")</f>
        <v/>
      </c>
      <c r="Z547" s="134" t="str">
        <f>IF(Data!$B539='Team Parser'!$B$1, Data!K539,"")</f>
        <v/>
      </c>
      <c r="AA547" s="134" t="str">
        <f>IF(Data!$B539='Team Parser'!$B$1, Data!M539,"")</f>
        <v/>
      </c>
      <c r="AB547" s="134" t="str">
        <f>IF(Data!$B539='Team Parser'!$B$1,((Z547*2)+(Y547)+(X547*4)+(W547*2)),"")</f>
        <v/>
      </c>
      <c r="AC547" s="134" t="str">
        <f>IF(Data!$B539='Team Parser'!$B$1, Data!N539,"")</f>
        <v/>
      </c>
      <c r="AD547" s="139" t="str">
        <f>IF(Data!$B539='Team Parser'!$B$1,(AB547+(COUNTIF(AC547,"TRAVERSE")*15)+(COUNTIF(AC547,"HIGH")*10)+(COUNTIF(AC547,"MIDDLE")*6)+(COUNTIF(AC547,"LOW")*4)),"")</f>
        <v/>
      </c>
    </row>
    <row r="548">
      <c r="A548" s="141" t="s">
        <v>507</v>
      </c>
      <c r="B548" s="134" t="str">
        <f>IFERROR(__xludf.DUMMYFUNCTION("IFERROR((FILTER(Data!H:H,Data!D:D=A548,Data!B:B=$B$1)),"""")"),"")</f>
        <v/>
      </c>
      <c r="C548" s="134" t="str">
        <f>IFERROR(__xludf.DUMMYFUNCTION("IFERROR((FILTER(Data!G:G,Data!D:D=A548,Data!B:B=$B$1)),"""")"),"")</f>
        <v/>
      </c>
      <c r="D548" s="134" t="str">
        <f>IFERROR(__xludf.DUMMYFUNCTION("IFERROR((FILTER(Data!J:J,Data!D:D=A548,Data!B:B=$B$1)),"""")"),"")</f>
        <v/>
      </c>
      <c r="E548" s="134" t="str">
        <f>IFERROR(__xludf.DUMMYFUNCTION("IFERROR((FILTER(Data!L:L,Data!D:D=A548,Data!B:B=$B$1)),"""")"),"")</f>
        <v/>
      </c>
      <c r="F548" s="134" t="str">
        <f>IFERROR(__xludf.DUMMYFUNCTION("IFERROR((FILTER(Data!K:K,Data!D:D=A548,Data!B:B=$B$1)),"""")"),"")</f>
        <v/>
      </c>
      <c r="G548" s="134" t="str">
        <f>IFERROR(__xludf.DUMMYFUNCTION("IFERROR((FILTER(Data!M:M,Data!D:D=A548,Data!B:B=$B$1)),"""")"),"")</f>
        <v/>
      </c>
      <c r="H548" s="134" t="str">
        <f>IFERROR(__xludf.DUMMYFUNCTION("IFERROR((FILTER(Data!G:G,Data!D:D=A548,Data!B:B=$B$1)*4)+(FILTER(Data!H:H,Data!D:D=A548,Data!B:B=$B$1)*2),"""")"),"")</f>
        <v/>
      </c>
      <c r="I548" s="15" t="str">
        <f>IFERROR(__xludf.DUMMYFUNCTION("IFERROR((FILTER(Data!K:K,Data!D:D=A548,Data!B:B=$B$1)*2)+(FILTER(Data!L:L,Data!D:D=A548,Data!B:B=$B$1)),"""")"),"")</f>
        <v/>
      </c>
      <c r="J548" s="134" t="str">
        <f>IFERROR(__xludf.DUMMYFUNCTION("IFERROR((FILTER(Data!N:N,Data!D:D=A548,Data!B:B=$B$1)),"""")"),"")</f>
        <v/>
      </c>
      <c r="K548" s="135" t="str">
        <f>IFERROR(__xludf.DUMMYFUNCTION("IFERROR((FILTER(Data!H:H,Data!D:D=A548,Data!B:B=$B$1)*2)+(FILTER(Data!L:L,Data!D:D=A548,Data!B:B=$B$1))+(FILTER(Data!G:G,Data!D:D=A548,Data!B:B=$B$1)*4)+(FILTER(Data!K:K,Data!D:D=A548,Data!B:B=$B$1)*2)+(((COUNTIF(FILTER(Data!N:N,Data!D:D=A548,Data!B:B=$B$"&amp;"1),""TRAVERSE"")*15)+(COUNTIF(FILTER(Data!N:N,Data!D:D=A548,Data!B:B=$B$1),""HIGH"")*10)+(COUNTIF(FILTER(Data!N:N,Data!D:D=A548,Data!B:B=$B$1),""MIDDLE"")*6)+(COUNTIF(FILTER(Data!N:N,Data!D:D=A548,Data!B:B=$B$1),""LOW"")*4))),"""")"),"")</f>
        <v/>
      </c>
      <c r="L548" s="136" t="str">
        <f>IFERROR(__xludf.DUMMYFUNCTION("IFERROR((FILTER(Data!P:P,Data!D:D=A548,Data!B:B=$B$1)),"""")"),"")</f>
        <v/>
      </c>
      <c r="M548" s="137" t="str">
        <f>IFERROR(__xludf.DUMMYFUNCTION("IFERROR((FILTER(Data!A:A,Data!D:D=A548,Data!B:B=$B$1)),"""")"),"")</f>
        <v/>
      </c>
      <c r="T548" s="52">
        <f>IFERROR(__xludf.DUMMYFUNCTION("((COUNTIF(FILTER(Data!N:N,Data!D:D=A548,Data!B:B=$B$1),""TRAVERSE"")*15)+(COUNTIF(FILTER(Data!N:N,Data!D:D=A548,Data!B:B=B$1),""HIGH"")*10)+(COUNTIF(FILTER(Data!N:N,Data!D:D=A548,Data!B:B=$B$1),""MIDDLE"")*6)+(COUNTIF(FILTER(Data!N:N,Data!D:D=A548,Data!B:"&amp;"B=$B$1),""LOW"")*4))"),0.0)</f>
        <v>0</v>
      </c>
      <c r="V548" s="138" t="str">
        <f>IF(Data!B540='Team Parser'!$B$1, Data!D540,"")</f>
        <v/>
      </c>
      <c r="W548" s="134" t="str">
        <f>IF(Data!$B540='Team Parser'!$B$1, Data!H540,"")</f>
        <v/>
      </c>
      <c r="X548" s="134" t="str">
        <f>IF(Data!$B540='Team Parser'!$B$1, Data!G540,"")</f>
        <v/>
      </c>
      <c r="Y548" s="134" t="str">
        <f>IF(Data!$B540='Team Parser'!$B$1, Data!L540,"")</f>
        <v/>
      </c>
      <c r="Z548" s="134" t="str">
        <f>IF(Data!$B540='Team Parser'!$B$1, Data!K540,"")</f>
        <v/>
      </c>
      <c r="AA548" s="134" t="str">
        <f>IF(Data!$B540='Team Parser'!$B$1, Data!M540,"")</f>
        <v/>
      </c>
      <c r="AB548" s="134" t="str">
        <f>IF(Data!$B540='Team Parser'!$B$1,((Z548*2)+(Y548)+(X548*4)+(W548*2)),"")</f>
        <v/>
      </c>
      <c r="AC548" s="134" t="str">
        <f>IF(Data!$B540='Team Parser'!$B$1, Data!N540,"")</f>
        <v/>
      </c>
      <c r="AD548" s="139" t="str">
        <f>IF(Data!$B540='Team Parser'!$B$1,(AB548+(COUNTIF(AC548,"TRAVERSE")*15)+(COUNTIF(AC548,"HIGH")*10)+(COUNTIF(AC548,"MIDDLE")*6)+(COUNTIF(AC548,"LOW")*4)),"")</f>
        <v/>
      </c>
    </row>
    <row r="549">
      <c r="A549" s="141" t="s">
        <v>507</v>
      </c>
      <c r="B549" s="134" t="str">
        <f>IFERROR(__xludf.DUMMYFUNCTION("IFERROR((FILTER(Data!H:H,Data!D:D=A549,Data!B:B=$B$1)),"""")"),"")</f>
        <v/>
      </c>
      <c r="C549" s="134" t="str">
        <f>IFERROR(__xludf.DUMMYFUNCTION("IFERROR((FILTER(Data!G:G,Data!D:D=A549,Data!B:B=$B$1)),"""")"),"")</f>
        <v/>
      </c>
      <c r="D549" s="134" t="str">
        <f>IFERROR(__xludf.DUMMYFUNCTION("IFERROR((FILTER(Data!J:J,Data!D:D=A549,Data!B:B=$B$1)),"""")"),"")</f>
        <v/>
      </c>
      <c r="E549" s="134" t="str">
        <f>IFERROR(__xludf.DUMMYFUNCTION("IFERROR((FILTER(Data!L:L,Data!D:D=A549,Data!B:B=$B$1)),"""")"),"")</f>
        <v/>
      </c>
      <c r="F549" s="134" t="str">
        <f>IFERROR(__xludf.DUMMYFUNCTION("IFERROR((FILTER(Data!K:K,Data!D:D=A549,Data!B:B=$B$1)),"""")"),"")</f>
        <v/>
      </c>
      <c r="G549" s="134" t="str">
        <f>IFERROR(__xludf.DUMMYFUNCTION("IFERROR((FILTER(Data!M:M,Data!D:D=A549,Data!B:B=$B$1)),"""")"),"")</f>
        <v/>
      </c>
      <c r="H549" s="134" t="str">
        <f>IFERROR(__xludf.DUMMYFUNCTION("IFERROR((FILTER(Data!G:G,Data!D:D=A549,Data!B:B=$B$1)*4)+(FILTER(Data!H:H,Data!D:D=A549,Data!B:B=$B$1)*2),"""")"),"")</f>
        <v/>
      </c>
      <c r="I549" s="15" t="str">
        <f>IFERROR(__xludf.DUMMYFUNCTION("IFERROR((FILTER(Data!K:K,Data!D:D=A549,Data!B:B=$B$1)*2)+(FILTER(Data!L:L,Data!D:D=A549,Data!B:B=$B$1)),"""")"),"")</f>
        <v/>
      </c>
      <c r="J549" s="134" t="str">
        <f>IFERROR(__xludf.DUMMYFUNCTION("IFERROR((FILTER(Data!N:N,Data!D:D=A549,Data!B:B=$B$1)),"""")"),"")</f>
        <v/>
      </c>
      <c r="K549" s="135" t="str">
        <f>IFERROR(__xludf.DUMMYFUNCTION("IFERROR((FILTER(Data!H:H,Data!D:D=A549,Data!B:B=$B$1)*2)+(FILTER(Data!L:L,Data!D:D=A549,Data!B:B=$B$1))+(FILTER(Data!G:G,Data!D:D=A549,Data!B:B=$B$1)*4)+(FILTER(Data!K:K,Data!D:D=A549,Data!B:B=$B$1)*2)+(((COUNTIF(FILTER(Data!N:N,Data!D:D=A549,Data!B:B=$B$"&amp;"1),""TRAVERSE"")*15)+(COUNTIF(FILTER(Data!N:N,Data!D:D=A549,Data!B:B=$B$1),""HIGH"")*10)+(COUNTIF(FILTER(Data!N:N,Data!D:D=A549,Data!B:B=$B$1),""MIDDLE"")*6)+(COUNTIF(FILTER(Data!N:N,Data!D:D=A549,Data!B:B=$B$1),""LOW"")*4))),"""")"),"")</f>
        <v/>
      </c>
      <c r="L549" s="136" t="str">
        <f>IFERROR(__xludf.DUMMYFUNCTION("IFERROR((FILTER(Data!P:P,Data!D:D=A549,Data!B:B=$B$1)),"""")"),"")</f>
        <v/>
      </c>
      <c r="M549" s="137" t="str">
        <f>IFERROR(__xludf.DUMMYFUNCTION("IFERROR((FILTER(Data!A:A,Data!D:D=A549,Data!B:B=$B$1)),"""")"),"")</f>
        <v/>
      </c>
      <c r="T549" s="52">
        <f>IFERROR(__xludf.DUMMYFUNCTION("((COUNTIF(FILTER(Data!N:N,Data!D:D=A549,Data!B:B=$B$1),""TRAVERSE"")*15)+(COUNTIF(FILTER(Data!N:N,Data!D:D=A549,Data!B:B=B$1),""HIGH"")*10)+(COUNTIF(FILTER(Data!N:N,Data!D:D=A549,Data!B:B=$B$1),""MIDDLE"")*6)+(COUNTIF(FILTER(Data!N:N,Data!D:D=A549,Data!B:"&amp;"B=$B$1),""LOW"")*4))"),0.0)</f>
        <v>0</v>
      </c>
      <c r="V549" s="138" t="str">
        <f>IF(Data!B541='Team Parser'!$B$1, Data!D541,"")</f>
        <v/>
      </c>
      <c r="W549" s="134" t="str">
        <f>IF(Data!$B541='Team Parser'!$B$1, Data!H541,"")</f>
        <v/>
      </c>
      <c r="X549" s="134" t="str">
        <f>IF(Data!$B541='Team Parser'!$B$1, Data!G541,"")</f>
        <v/>
      </c>
      <c r="Y549" s="134" t="str">
        <f>IF(Data!$B541='Team Parser'!$B$1, Data!L541,"")</f>
        <v/>
      </c>
      <c r="Z549" s="134" t="str">
        <f>IF(Data!$B541='Team Parser'!$B$1, Data!K541,"")</f>
        <v/>
      </c>
      <c r="AA549" s="134" t="str">
        <f>IF(Data!$B541='Team Parser'!$B$1, Data!M541,"")</f>
        <v/>
      </c>
      <c r="AB549" s="134" t="str">
        <f>IF(Data!$B541='Team Parser'!$B$1,((Z549*2)+(Y549)+(X549*4)+(W549*2)),"")</f>
        <v/>
      </c>
      <c r="AC549" s="134" t="str">
        <f>IF(Data!$B541='Team Parser'!$B$1, Data!N541,"")</f>
        <v/>
      </c>
      <c r="AD549" s="139" t="str">
        <f>IF(Data!$B541='Team Parser'!$B$1,(AB549+(COUNTIF(AC549,"TRAVERSE")*15)+(COUNTIF(AC549,"HIGH")*10)+(COUNTIF(AC549,"MIDDLE")*6)+(COUNTIF(AC549,"LOW")*4)),"")</f>
        <v/>
      </c>
    </row>
    <row r="550">
      <c r="A550" s="141" t="s">
        <v>507</v>
      </c>
      <c r="B550" s="134" t="str">
        <f>IFERROR(__xludf.DUMMYFUNCTION("IFERROR((FILTER(Data!H:H,Data!D:D=A550,Data!B:B=$B$1)),"""")"),"")</f>
        <v/>
      </c>
      <c r="C550" s="134" t="str">
        <f>IFERROR(__xludf.DUMMYFUNCTION("IFERROR((FILTER(Data!G:G,Data!D:D=A550,Data!B:B=$B$1)),"""")"),"")</f>
        <v/>
      </c>
      <c r="D550" s="134" t="str">
        <f>IFERROR(__xludf.DUMMYFUNCTION("IFERROR((FILTER(Data!J:J,Data!D:D=A550,Data!B:B=$B$1)),"""")"),"")</f>
        <v/>
      </c>
      <c r="E550" s="134" t="str">
        <f>IFERROR(__xludf.DUMMYFUNCTION("IFERROR((FILTER(Data!L:L,Data!D:D=A550,Data!B:B=$B$1)),"""")"),"")</f>
        <v/>
      </c>
      <c r="F550" s="134" t="str">
        <f>IFERROR(__xludf.DUMMYFUNCTION("IFERROR((FILTER(Data!K:K,Data!D:D=A550,Data!B:B=$B$1)),"""")"),"")</f>
        <v/>
      </c>
      <c r="G550" s="134" t="str">
        <f>IFERROR(__xludf.DUMMYFUNCTION("IFERROR((FILTER(Data!M:M,Data!D:D=A550,Data!B:B=$B$1)),"""")"),"")</f>
        <v/>
      </c>
      <c r="H550" s="134" t="str">
        <f>IFERROR(__xludf.DUMMYFUNCTION("IFERROR((FILTER(Data!G:G,Data!D:D=A550,Data!B:B=$B$1)*4)+(FILTER(Data!H:H,Data!D:D=A550,Data!B:B=$B$1)*2),"""")"),"")</f>
        <v/>
      </c>
      <c r="I550" s="15" t="str">
        <f>IFERROR(__xludf.DUMMYFUNCTION("IFERROR((FILTER(Data!K:K,Data!D:D=A550,Data!B:B=$B$1)*2)+(FILTER(Data!L:L,Data!D:D=A550,Data!B:B=$B$1)),"""")"),"")</f>
        <v/>
      </c>
      <c r="J550" s="134" t="str">
        <f>IFERROR(__xludf.DUMMYFUNCTION("IFERROR((FILTER(Data!N:N,Data!D:D=A550,Data!B:B=$B$1)),"""")"),"")</f>
        <v/>
      </c>
      <c r="K550" s="135" t="str">
        <f>IFERROR(__xludf.DUMMYFUNCTION("IFERROR((FILTER(Data!H:H,Data!D:D=A550,Data!B:B=$B$1)*2)+(FILTER(Data!L:L,Data!D:D=A550,Data!B:B=$B$1))+(FILTER(Data!G:G,Data!D:D=A550,Data!B:B=$B$1)*4)+(FILTER(Data!K:K,Data!D:D=A550,Data!B:B=$B$1)*2)+(((COUNTIF(FILTER(Data!N:N,Data!D:D=A550,Data!B:B=$B$"&amp;"1),""TRAVERSE"")*15)+(COUNTIF(FILTER(Data!N:N,Data!D:D=A550,Data!B:B=$B$1),""HIGH"")*10)+(COUNTIF(FILTER(Data!N:N,Data!D:D=A550,Data!B:B=$B$1),""MIDDLE"")*6)+(COUNTIF(FILTER(Data!N:N,Data!D:D=A550,Data!B:B=$B$1),""LOW"")*4))),"""")"),"")</f>
        <v/>
      </c>
      <c r="L550" s="136" t="str">
        <f>IFERROR(__xludf.DUMMYFUNCTION("IFERROR((FILTER(Data!P:P,Data!D:D=A550,Data!B:B=$B$1)),"""")"),"")</f>
        <v/>
      </c>
      <c r="M550" s="137" t="str">
        <f>IFERROR(__xludf.DUMMYFUNCTION("IFERROR((FILTER(Data!A:A,Data!D:D=A550,Data!B:B=$B$1)),"""")"),"")</f>
        <v/>
      </c>
      <c r="T550" s="52">
        <f>IFERROR(__xludf.DUMMYFUNCTION("((COUNTIF(FILTER(Data!N:N,Data!D:D=A550,Data!B:B=$B$1),""TRAVERSE"")*15)+(COUNTIF(FILTER(Data!N:N,Data!D:D=A550,Data!B:B=B$1),""HIGH"")*10)+(COUNTIF(FILTER(Data!N:N,Data!D:D=A550,Data!B:B=$B$1),""MIDDLE"")*6)+(COUNTIF(FILTER(Data!N:N,Data!D:D=A550,Data!B:"&amp;"B=$B$1),""LOW"")*4))"),0.0)</f>
        <v>0</v>
      </c>
      <c r="V550" s="138" t="str">
        <f>IF(Data!B542='Team Parser'!$B$1, Data!D542,"")</f>
        <v/>
      </c>
      <c r="W550" s="134" t="str">
        <f>IF(Data!$B542='Team Parser'!$B$1, Data!H542,"")</f>
        <v/>
      </c>
      <c r="X550" s="134" t="str">
        <f>IF(Data!$B542='Team Parser'!$B$1, Data!G542,"")</f>
        <v/>
      </c>
      <c r="Y550" s="134" t="str">
        <f>IF(Data!$B542='Team Parser'!$B$1, Data!L542,"")</f>
        <v/>
      </c>
      <c r="Z550" s="134" t="str">
        <f>IF(Data!$B542='Team Parser'!$B$1, Data!K542,"")</f>
        <v/>
      </c>
      <c r="AA550" s="134" t="str">
        <f>IF(Data!$B542='Team Parser'!$B$1, Data!M542,"")</f>
        <v/>
      </c>
      <c r="AB550" s="134" t="str">
        <f>IF(Data!$B542='Team Parser'!$B$1,((Z550*2)+(Y550)+(X550*4)+(W550*2)),"")</f>
        <v/>
      </c>
      <c r="AC550" s="134" t="str">
        <f>IF(Data!$B542='Team Parser'!$B$1, Data!N542,"")</f>
        <v/>
      </c>
      <c r="AD550" s="139" t="str">
        <f>IF(Data!$B542='Team Parser'!$B$1,(AB550+(COUNTIF(AC550,"TRAVERSE")*15)+(COUNTIF(AC550,"HIGH")*10)+(COUNTIF(AC550,"MIDDLE")*6)+(COUNTIF(AC550,"LOW")*4)),"")</f>
        <v/>
      </c>
    </row>
    <row r="551">
      <c r="A551" s="141" t="s">
        <v>507</v>
      </c>
      <c r="B551" s="134" t="str">
        <f>IFERROR(__xludf.DUMMYFUNCTION("IFERROR((FILTER(Data!H:H,Data!D:D=A551,Data!B:B=$B$1)),"""")"),"")</f>
        <v/>
      </c>
      <c r="C551" s="134" t="str">
        <f>IFERROR(__xludf.DUMMYFUNCTION("IFERROR((FILTER(Data!G:G,Data!D:D=A551,Data!B:B=$B$1)),"""")"),"")</f>
        <v/>
      </c>
      <c r="D551" s="134" t="str">
        <f>IFERROR(__xludf.DUMMYFUNCTION("IFERROR((FILTER(Data!J:J,Data!D:D=A551,Data!B:B=$B$1)),"""")"),"")</f>
        <v/>
      </c>
      <c r="E551" s="134" t="str">
        <f>IFERROR(__xludf.DUMMYFUNCTION("IFERROR((FILTER(Data!L:L,Data!D:D=A551,Data!B:B=$B$1)),"""")"),"")</f>
        <v/>
      </c>
      <c r="F551" s="134" t="str">
        <f>IFERROR(__xludf.DUMMYFUNCTION("IFERROR((FILTER(Data!K:K,Data!D:D=A551,Data!B:B=$B$1)),"""")"),"")</f>
        <v/>
      </c>
      <c r="G551" s="134" t="str">
        <f>IFERROR(__xludf.DUMMYFUNCTION("IFERROR((FILTER(Data!M:M,Data!D:D=A551,Data!B:B=$B$1)),"""")"),"")</f>
        <v/>
      </c>
      <c r="H551" s="134" t="str">
        <f>IFERROR(__xludf.DUMMYFUNCTION("IFERROR((FILTER(Data!G:G,Data!D:D=A551,Data!B:B=$B$1)*4)+(FILTER(Data!H:H,Data!D:D=A551,Data!B:B=$B$1)*2),"""")"),"")</f>
        <v/>
      </c>
      <c r="I551" s="15" t="str">
        <f>IFERROR(__xludf.DUMMYFUNCTION("IFERROR((FILTER(Data!K:K,Data!D:D=A551,Data!B:B=$B$1)*2)+(FILTER(Data!L:L,Data!D:D=A551,Data!B:B=$B$1)),"""")"),"")</f>
        <v/>
      </c>
      <c r="J551" s="134" t="str">
        <f>IFERROR(__xludf.DUMMYFUNCTION("IFERROR((FILTER(Data!N:N,Data!D:D=A551,Data!B:B=$B$1)),"""")"),"")</f>
        <v/>
      </c>
      <c r="K551" s="135" t="str">
        <f>IFERROR(__xludf.DUMMYFUNCTION("IFERROR((FILTER(Data!H:H,Data!D:D=A551,Data!B:B=$B$1)*2)+(FILTER(Data!L:L,Data!D:D=A551,Data!B:B=$B$1))+(FILTER(Data!G:G,Data!D:D=A551,Data!B:B=$B$1)*4)+(FILTER(Data!K:K,Data!D:D=A551,Data!B:B=$B$1)*2)+(((COUNTIF(FILTER(Data!N:N,Data!D:D=A551,Data!B:B=$B$"&amp;"1),""TRAVERSE"")*15)+(COUNTIF(FILTER(Data!N:N,Data!D:D=A551,Data!B:B=$B$1),""HIGH"")*10)+(COUNTIF(FILTER(Data!N:N,Data!D:D=A551,Data!B:B=$B$1),""MIDDLE"")*6)+(COUNTIF(FILTER(Data!N:N,Data!D:D=A551,Data!B:B=$B$1),""LOW"")*4))),"""")"),"")</f>
        <v/>
      </c>
      <c r="L551" s="136" t="str">
        <f>IFERROR(__xludf.DUMMYFUNCTION("IFERROR((FILTER(Data!P:P,Data!D:D=A551,Data!B:B=$B$1)),"""")"),"")</f>
        <v/>
      </c>
      <c r="M551" s="137" t="str">
        <f>IFERROR(__xludf.DUMMYFUNCTION("IFERROR((FILTER(Data!A:A,Data!D:D=A551,Data!B:B=$B$1)),"""")"),"")</f>
        <v/>
      </c>
      <c r="T551" s="52">
        <f>IFERROR(__xludf.DUMMYFUNCTION("((COUNTIF(FILTER(Data!N:N,Data!D:D=A551,Data!B:B=$B$1),""TRAVERSE"")*15)+(COUNTIF(FILTER(Data!N:N,Data!D:D=A551,Data!B:B=B$1),""HIGH"")*10)+(COUNTIF(FILTER(Data!N:N,Data!D:D=A551,Data!B:B=$B$1),""MIDDLE"")*6)+(COUNTIF(FILTER(Data!N:N,Data!D:D=A551,Data!B:"&amp;"B=$B$1),""LOW"")*4))"),0.0)</f>
        <v>0</v>
      </c>
      <c r="V551" s="138" t="str">
        <f>IF(Data!B543='Team Parser'!$B$1, Data!D543,"")</f>
        <v/>
      </c>
      <c r="W551" s="134" t="str">
        <f>IF(Data!$B543='Team Parser'!$B$1, Data!H543,"")</f>
        <v/>
      </c>
      <c r="X551" s="134" t="str">
        <f>IF(Data!$B543='Team Parser'!$B$1, Data!G543,"")</f>
        <v/>
      </c>
      <c r="Y551" s="134" t="str">
        <f>IF(Data!$B543='Team Parser'!$B$1, Data!L543,"")</f>
        <v/>
      </c>
      <c r="Z551" s="134" t="str">
        <f>IF(Data!$B543='Team Parser'!$B$1, Data!K543,"")</f>
        <v/>
      </c>
      <c r="AA551" s="134" t="str">
        <f>IF(Data!$B543='Team Parser'!$B$1, Data!M543,"")</f>
        <v/>
      </c>
      <c r="AB551" s="134" t="str">
        <f>IF(Data!$B543='Team Parser'!$B$1,((Z551*2)+(Y551)+(X551*4)+(W551*2)),"")</f>
        <v/>
      </c>
      <c r="AC551" s="134" t="str">
        <f>IF(Data!$B543='Team Parser'!$B$1, Data!N543,"")</f>
        <v/>
      </c>
      <c r="AD551" s="139" t="str">
        <f>IF(Data!$B543='Team Parser'!$B$1,(AB551+(COUNTIF(AC551,"TRAVERSE")*15)+(COUNTIF(AC551,"HIGH")*10)+(COUNTIF(AC551,"MIDDLE")*6)+(COUNTIF(AC551,"LOW")*4)),"")</f>
        <v/>
      </c>
    </row>
    <row r="552">
      <c r="A552" s="141" t="s">
        <v>507</v>
      </c>
      <c r="B552" s="134" t="str">
        <f>IFERROR(__xludf.DUMMYFUNCTION("IFERROR((FILTER(Data!H:H,Data!D:D=A552,Data!B:B=$B$1)),"""")"),"")</f>
        <v/>
      </c>
      <c r="C552" s="134" t="str">
        <f>IFERROR(__xludf.DUMMYFUNCTION("IFERROR((FILTER(Data!G:G,Data!D:D=A552,Data!B:B=$B$1)),"""")"),"")</f>
        <v/>
      </c>
      <c r="D552" s="134" t="str">
        <f>IFERROR(__xludf.DUMMYFUNCTION("IFERROR((FILTER(Data!J:J,Data!D:D=A552,Data!B:B=$B$1)),"""")"),"")</f>
        <v/>
      </c>
      <c r="E552" s="134" t="str">
        <f>IFERROR(__xludf.DUMMYFUNCTION("IFERROR((FILTER(Data!L:L,Data!D:D=A552,Data!B:B=$B$1)),"""")"),"")</f>
        <v/>
      </c>
      <c r="F552" s="134" t="str">
        <f>IFERROR(__xludf.DUMMYFUNCTION("IFERROR((FILTER(Data!K:K,Data!D:D=A552,Data!B:B=$B$1)),"""")"),"")</f>
        <v/>
      </c>
      <c r="G552" s="134" t="str">
        <f>IFERROR(__xludf.DUMMYFUNCTION("IFERROR((FILTER(Data!M:M,Data!D:D=A552,Data!B:B=$B$1)),"""")"),"")</f>
        <v/>
      </c>
      <c r="H552" s="134" t="str">
        <f>IFERROR(__xludf.DUMMYFUNCTION("IFERROR((FILTER(Data!G:G,Data!D:D=A552,Data!B:B=$B$1)*4)+(FILTER(Data!H:H,Data!D:D=A552,Data!B:B=$B$1)*2),"""")"),"")</f>
        <v/>
      </c>
      <c r="I552" s="15" t="str">
        <f>IFERROR(__xludf.DUMMYFUNCTION("IFERROR((FILTER(Data!K:K,Data!D:D=A552,Data!B:B=$B$1)*2)+(FILTER(Data!L:L,Data!D:D=A552,Data!B:B=$B$1)),"""")"),"")</f>
        <v/>
      </c>
      <c r="J552" s="134" t="str">
        <f>IFERROR(__xludf.DUMMYFUNCTION("IFERROR((FILTER(Data!N:N,Data!D:D=A552,Data!B:B=$B$1)),"""")"),"")</f>
        <v/>
      </c>
      <c r="K552" s="135" t="str">
        <f>IFERROR(__xludf.DUMMYFUNCTION("IFERROR((FILTER(Data!H:H,Data!D:D=A552,Data!B:B=$B$1)*2)+(FILTER(Data!L:L,Data!D:D=A552,Data!B:B=$B$1))+(FILTER(Data!G:G,Data!D:D=A552,Data!B:B=$B$1)*4)+(FILTER(Data!K:K,Data!D:D=A552,Data!B:B=$B$1)*2)+(((COUNTIF(FILTER(Data!N:N,Data!D:D=A552,Data!B:B=$B$"&amp;"1),""TRAVERSE"")*15)+(COUNTIF(FILTER(Data!N:N,Data!D:D=A552,Data!B:B=$B$1),""HIGH"")*10)+(COUNTIF(FILTER(Data!N:N,Data!D:D=A552,Data!B:B=$B$1),""MIDDLE"")*6)+(COUNTIF(FILTER(Data!N:N,Data!D:D=A552,Data!B:B=$B$1),""LOW"")*4))),"""")"),"")</f>
        <v/>
      </c>
      <c r="L552" s="136" t="str">
        <f>IFERROR(__xludf.DUMMYFUNCTION("IFERROR((FILTER(Data!P:P,Data!D:D=A552,Data!B:B=$B$1)),"""")"),"")</f>
        <v/>
      </c>
      <c r="M552" s="137" t="str">
        <f>IFERROR(__xludf.DUMMYFUNCTION("IFERROR((FILTER(Data!A:A,Data!D:D=A552,Data!B:B=$B$1)),"""")"),"")</f>
        <v/>
      </c>
      <c r="T552" s="52">
        <f>IFERROR(__xludf.DUMMYFUNCTION("((COUNTIF(FILTER(Data!N:N,Data!D:D=A552,Data!B:B=$B$1),""TRAVERSE"")*15)+(COUNTIF(FILTER(Data!N:N,Data!D:D=A552,Data!B:B=B$1),""HIGH"")*10)+(COUNTIF(FILTER(Data!N:N,Data!D:D=A552,Data!B:B=$B$1),""MIDDLE"")*6)+(COUNTIF(FILTER(Data!N:N,Data!D:D=A552,Data!B:"&amp;"B=$B$1),""LOW"")*4))"),0.0)</f>
        <v>0</v>
      </c>
      <c r="V552" s="138" t="str">
        <f>IF(Data!B544='Team Parser'!$B$1, Data!D544,"")</f>
        <v/>
      </c>
      <c r="W552" s="134" t="str">
        <f>IF(Data!$B544='Team Parser'!$B$1, Data!H544,"")</f>
        <v/>
      </c>
      <c r="X552" s="134" t="str">
        <f>IF(Data!$B544='Team Parser'!$B$1, Data!G544,"")</f>
        <v/>
      </c>
      <c r="Y552" s="134" t="str">
        <f>IF(Data!$B544='Team Parser'!$B$1, Data!L544,"")</f>
        <v/>
      </c>
      <c r="Z552" s="134" t="str">
        <f>IF(Data!$B544='Team Parser'!$B$1, Data!K544,"")</f>
        <v/>
      </c>
      <c r="AA552" s="134" t="str">
        <f>IF(Data!$B544='Team Parser'!$B$1, Data!M544,"")</f>
        <v/>
      </c>
      <c r="AB552" s="134" t="str">
        <f>IF(Data!$B544='Team Parser'!$B$1,((Z552*2)+(Y552)+(X552*4)+(W552*2)),"")</f>
        <v/>
      </c>
      <c r="AC552" s="134" t="str">
        <f>IF(Data!$B544='Team Parser'!$B$1, Data!N544,"")</f>
        <v/>
      </c>
      <c r="AD552" s="139" t="str">
        <f>IF(Data!$B544='Team Parser'!$B$1,(AB552+(COUNTIF(AC552,"TRAVERSE")*15)+(COUNTIF(AC552,"HIGH")*10)+(COUNTIF(AC552,"MIDDLE")*6)+(COUNTIF(AC552,"LOW")*4)),"")</f>
        <v/>
      </c>
    </row>
    <row r="553">
      <c r="A553" s="141" t="s">
        <v>507</v>
      </c>
      <c r="B553" s="134" t="str">
        <f>IFERROR(__xludf.DUMMYFUNCTION("IFERROR((FILTER(Data!H:H,Data!D:D=A553,Data!B:B=$B$1)),"""")"),"")</f>
        <v/>
      </c>
      <c r="C553" s="134" t="str">
        <f>IFERROR(__xludf.DUMMYFUNCTION("IFERROR((FILTER(Data!G:G,Data!D:D=A553,Data!B:B=$B$1)),"""")"),"")</f>
        <v/>
      </c>
      <c r="D553" s="134" t="str">
        <f>IFERROR(__xludf.DUMMYFUNCTION("IFERROR((FILTER(Data!J:J,Data!D:D=A553,Data!B:B=$B$1)),"""")"),"")</f>
        <v/>
      </c>
      <c r="E553" s="134" t="str">
        <f>IFERROR(__xludf.DUMMYFUNCTION("IFERROR((FILTER(Data!L:L,Data!D:D=A553,Data!B:B=$B$1)),"""")"),"")</f>
        <v/>
      </c>
      <c r="F553" s="134" t="str">
        <f>IFERROR(__xludf.DUMMYFUNCTION("IFERROR((FILTER(Data!K:K,Data!D:D=A553,Data!B:B=$B$1)),"""")"),"")</f>
        <v/>
      </c>
      <c r="G553" s="134" t="str">
        <f>IFERROR(__xludf.DUMMYFUNCTION("IFERROR((FILTER(Data!M:M,Data!D:D=A553,Data!B:B=$B$1)),"""")"),"")</f>
        <v/>
      </c>
      <c r="H553" s="134" t="str">
        <f>IFERROR(__xludf.DUMMYFUNCTION("IFERROR((FILTER(Data!G:G,Data!D:D=A553,Data!B:B=$B$1)*4)+(FILTER(Data!H:H,Data!D:D=A553,Data!B:B=$B$1)*2),"""")"),"")</f>
        <v/>
      </c>
      <c r="I553" s="15" t="str">
        <f>IFERROR(__xludf.DUMMYFUNCTION("IFERROR((FILTER(Data!K:K,Data!D:D=A553,Data!B:B=$B$1)*2)+(FILTER(Data!L:L,Data!D:D=A553,Data!B:B=$B$1)),"""")"),"")</f>
        <v/>
      </c>
      <c r="J553" s="134" t="str">
        <f>IFERROR(__xludf.DUMMYFUNCTION("IFERROR((FILTER(Data!N:N,Data!D:D=A553,Data!B:B=$B$1)),"""")"),"")</f>
        <v/>
      </c>
      <c r="K553" s="135" t="str">
        <f>IFERROR(__xludf.DUMMYFUNCTION("IFERROR((FILTER(Data!H:H,Data!D:D=A553,Data!B:B=$B$1)*2)+(FILTER(Data!L:L,Data!D:D=A553,Data!B:B=$B$1))+(FILTER(Data!G:G,Data!D:D=A553,Data!B:B=$B$1)*4)+(FILTER(Data!K:K,Data!D:D=A553,Data!B:B=$B$1)*2)+(((COUNTIF(FILTER(Data!N:N,Data!D:D=A553,Data!B:B=$B$"&amp;"1),""TRAVERSE"")*15)+(COUNTIF(FILTER(Data!N:N,Data!D:D=A553,Data!B:B=$B$1),""HIGH"")*10)+(COUNTIF(FILTER(Data!N:N,Data!D:D=A553,Data!B:B=$B$1),""MIDDLE"")*6)+(COUNTIF(FILTER(Data!N:N,Data!D:D=A553,Data!B:B=$B$1),""LOW"")*4))),"""")"),"")</f>
        <v/>
      </c>
      <c r="L553" s="136" t="str">
        <f>IFERROR(__xludf.DUMMYFUNCTION("IFERROR((FILTER(Data!P:P,Data!D:D=A553,Data!B:B=$B$1)),"""")"),"")</f>
        <v/>
      </c>
      <c r="M553" s="137" t="str">
        <f>IFERROR(__xludf.DUMMYFUNCTION("IFERROR((FILTER(Data!A:A,Data!D:D=A553,Data!B:B=$B$1)),"""")"),"")</f>
        <v/>
      </c>
      <c r="T553" s="52">
        <f>IFERROR(__xludf.DUMMYFUNCTION("((COUNTIF(FILTER(Data!N:N,Data!D:D=A553,Data!B:B=$B$1),""TRAVERSE"")*15)+(COUNTIF(FILTER(Data!N:N,Data!D:D=A553,Data!B:B=B$1),""HIGH"")*10)+(COUNTIF(FILTER(Data!N:N,Data!D:D=A553,Data!B:B=$B$1),""MIDDLE"")*6)+(COUNTIF(FILTER(Data!N:N,Data!D:D=A553,Data!B:"&amp;"B=$B$1),""LOW"")*4))"),0.0)</f>
        <v>0</v>
      </c>
      <c r="V553" s="138" t="str">
        <f>IF(Data!B545='Team Parser'!$B$1, Data!D545,"")</f>
        <v/>
      </c>
      <c r="W553" s="134" t="str">
        <f>IF(Data!$B545='Team Parser'!$B$1, Data!H545,"")</f>
        <v/>
      </c>
      <c r="X553" s="134" t="str">
        <f>IF(Data!$B545='Team Parser'!$B$1, Data!G545,"")</f>
        <v/>
      </c>
      <c r="Y553" s="134" t="str">
        <f>IF(Data!$B545='Team Parser'!$B$1, Data!L545,"")</f>
        <v/>
      </c>
      <c r="Z553" s="134" t="str">
        <f>IF(Data!$B545='Team Parser'!$B$1, Data!K545,"")</f>
        <v/>
      </c>
      <c r="AA553" s="134" t="str">
        <f>IF(Data!$B545='Team Parser'!$B$1, Data!M545,"")</f>
        <v/>
      </c>
      <c r="AB553" s="134" t="str">
        <f>IF(Data!$B545='Team Parser'!$B$1,((Z553*2)+(Y553)+(X553*4)+(W553*2)),"")</f>
        <v/>
      </c>
      <c r="AC553" s="134" t="str">
        <f>IF(Data!$B545='Team Parser'!$B$1, Data!N545,"")</f>
        <v/>
      </c>
      <c r="AD553" s="139" t="str">
        <f>IF(Data!$B545='Team Parser'!$B$1,(AB553+(COUNTIF(AC553,"TRAVERSE")*15)+(COUNTIF(AC553,"HIGH")*10)+(COUNTIF(AC553,"MIDDLE")*6)+(COUNTIF(AC553,"LOW")*4)),"")</f>
        <v/>
      </c>
    </row>
    <row r="554">
      <c r="A554" s="141" t="s">
        <v>507</v>
      </c>
      <c r="B554" s="134" t="str">
        <f>IFERROR(__xludf.DUMMYFUNCTION("IFERROR((FILTER(Data!H:H,Data!D:D=A554,Data!B:B=$B$1)),"""")"),"")</f>
        <v/>
      </c>
      <c r="C554" s="134" t="str">
        <f>IFERROR(__xludf.DUMMYFUNCTION("IFERROR((FILTER(Data!G:G,Data!D:D=A554,Data!B:B=$B$1)),"""")"),"")</f>
        <v/>
      </c>
      <c r="D554" s="134" t="str">
        <f>IFERROR(__xludf.DUMMYFUNCTION("IFERROR((FILTER(Data!J:J,Data!D:D=A554,Data!B:B=$B$1)),"""")"),"")</f>
        <v/>
      </c>
      <c r="E554" s="134" t="str">
        <f>IFERROR(__xludf.DUMMYFUNCTION("IFERROR((FILTER(Data!L:L,Data!D:D=A554,Data!B:B=$B$1)),"""")"),"")</f>
        <v/>
      </c>
      <c r="F554" s="134" t="str">
        <f>IFERROR(__xludf.DUMMYFUNCTION("IFERROR((FILTER(Data!K:K,Data!D:D=A554,Data!B:B=$B$1)),"""")"),"")</f>
        <v/>
      </c>
      <c r="G554" s="134" t="str">
        <f>IFERROR(__xludf.DUMMYFUNCTION("IFERROR((FILTER(Data!M:M,Data!D:D=A554,Data!B:B=$B$1)),"""")"),"")</f>
        <v/>
      </c>
      <c r="H554" s="134" t="str">
        <f>IFERROR(__xludf.DUMMYFUNCTION("IFERROR((FILTER(Data!G:G,Data!D:D=A554,Data!B:B=$B$1)*4)+(FILTER(Data!H:H,Data!D:D=A554,Data!B:B=$B$1)*2),"""")"),"")</f>
        <v/>
      </c>
      <c r="I554" s="15" t="str">
        <f>IFERROR(__xludf.DUMMYFUNCTION("IFERROR((FILTER(Data!K:K,Data!D:D=A554,Data!B:B=$B$1)*2)+(FILTER(Data!L:L,Data!D:D=A554,Data!B:B=$B$1)),"""")"),"")</f>
        <v/>
      </c>
      <c r="J554" s="134" t="str">
        <f>IFERROR(__xludf.DUMMYFUNCTION("IFERROR((FILTER(Data!N:N,Data!D:D=A554,Data!B:B=$B$1)),"""")"),"")</f>
        <v/>
      </c>
      <c r="K554" s="135" t="str">
        <f>IFERROR(__xludf.DUMMYFUNCTION("IFERROR((FILTER(Data!H:H,Data!D:D=A554,Data!B:B=$B$1)*2)+(FILTER(Data!L:L,Data!D:D=A554,Data!B:B=$B$1))+(FILTER(Data!G:G,Data!D:D=A554,Data!B:B=$B$1)*4)+(FILTER(Data!K:K,Data!D:D=A554,Data!B:B=$B$1)*2)+(((COUNTIF(FILTER(Data!N:N,Data!D:D=A554,Data!B:B=$B$"&amp;"1),""TRAVERSE"")*15)+(COUNTIF(FILTER(Data!N:N,Data!D:D=A554,Data!B:B=$B$1),""HIGH"")*10)+(COUNTIF(FILTER(Data!N:N,Data!D:D=A554,Data!B:B=$B$1),""MIDDLE"")*6)+(COUNTIF(FILTER(Data!N:N,Data!D:D=A554,Data!B:B=$B$1),""LOW"")*4))),"""")"),"")</f>
        <v/>
      </c>
      <c r="L554" s="136" t="str">
        <f>IFERROR(__xludf.DUMMYFUNCTION("IFERROR((FILTER(Data!P:P,Data!D:D=A554,Data!B:B=$B$1)),"""")"),"")</f>
        <v/>
      </c>
      <c r="M554" s="137" t="str">
        <f>IFERROR(__xludf.DUMMYFUNCTION("IFERROR((FILTER(Data!A:A,Data!D:D=A554,Data!B:B=$B$1)),"""")"),"")</f>
        <v/>
      </c>
      <c r="T554" s="52">
        <f>IFERROR(__xludf.DUMMYFUNCTION("((COUNTIF(FILTER(Data!N:N,Data!D:D=A554,Data!B:B=$B$1),""TRAVERSE"")*15)+(COUNTIF(FILTER(Data!N:N,Data!D:D=A554,Data!B:B=B$1),""HIGH"")*10)+(COUNTIF(FILTER(Data!N:N,Data!D:D=A554,Data!B:B=$B$1),""MIDDLE"")*6)+(COUNTIF(FILTER(Data!N:N,Data!D:D=A554,Data!B:"&amp;"B=$B$1),""LOW"")*4))"),0.0)</f>
        <v>0</v>
      </c>
      <c r="V554" s="138" t="str">
        <f>IF(Data!B546='Team Parser'!$B$1, Data!D546,"")</f>
        <v/>
      </c>
      <c r="W554" s="134" t="str">
        <f>IF(Data!$B546='Team Parser'!$B$1, Data!H546,"")</f>
        <v/>
      </c>
      <c r="X554" s="134" t="str">
        <f>IF(Data!$B546='Team Parser'!$B$1, Data!G546,"")</f>
        <v/>
      </c>
      <c r="Y554" s="134" t="str">
        <f>IF(Data!$B546='Team Parser'!$B$1, Data!L546,"")</f>
        <v/>
      </c>
      <c r="Z554" s="134" t="str">
        <f>IF(Data!$B546='Team Parser'!$B$1, Data!K546,"")</f>
        <v/>
      </c>
      <c r="AA554" s="134" t="str">
        <f>IF(Data!$B546='Team Parser'!$B$1, Data!M546,"")</f>
        <v/>
      </c>
      <c r="AB554" s="134" t="str">
        <f>IF(Data!$B546='Team Parser'!$B$1,((Z554*2)+(Y554)+(X554*4)+(W554*2)),"")</f>
        <v/>
      </c>
      <c r="AC554" s="134" t="str">
        <f>IF(Data!$B546='Team Parser'!$B$1, Data!N546,"")</f>
        <v/>
      </c>
      <c r="AD554" s="139" t="str">
        <f>IF(Data!$B546='Team Parser'!$B$1,(AB554+(COUNTIF(AC554,"TRAVERSE")*15)+(COUNTIF(AC554,"HIGH")*10)+(COUNTIF(AC554,"MIDDLE")*6)+(COUNTIF(AC554,"LOW")*4)),"")</f>
        <v/>
      </c>
    </row>
    <row r="555">
      <c r="A555" s="141" t="s">
        <v>507</v>
      </c>
      <c r="B555" s="134" t="str">
        <f>IFERROR(__xludf.DUMMYFUNCTION("IFERROR((FILTER(Data!H:H,Data!D:D=A555,Data!B:B=$B$1)),"""")"),"")</f>
        <v/>
      </c>
      <c r="C555" s="134" t="str">
        <f>IFERROR(__xludf.DUMMYFUNCTION("IFERROR((FILTER(Data!G:G,Data!D:D=A555,Data!B:B=$B$1)),"""")"),"")</f>
        <v/>
      </c>
      <c r="D555" s="134" t="str">
        <f>IFERROR(__xludf.DUMMYFUNCTION("IFERROR((FILTER(Data!J:J,Data!D:D=A555,Data!B:B=$B$1)),"""")"),"")</f>
        <v/>
      </c>
      <c r="E555" s="134" t="str">
        <f>IFERROR(__xludf.DUMMYFUNCTION("IFERROR((FILTER(Data!L:L,Data!D:D=A555,Data!B:B=$B$1)),"""")"),"")</f>
        <v/>
      </c>
      <c r="F555" s="134" t="str">
        <f>IFERROR(__xludf.DUMMYFUNCTION("IFERROR((FILTER(Data!K:K,Data!D:D=A555,Data!B:B=$B$1)),"""")"),"")</f>
        <v/>
      </c>
      <c r="G555" s="134" t="str">
        <f>IFERROR(__xludf.DUMMYFUNCTION("IFERROR((FILTER(Data!M:M,Data!D:D=A555,Data!B:B=$B$1)),"""")"),"")</f>
        <v/>
      </c>
      <c r="H555" s="134" t="str">
        <f>IFERROR(__xludf.DUMMYFUNCTION("IFERROR((FILTER(Data!G:G,Data!D:D=A555,Data!B:B=$B$1)*4)+(FILTER(Data!H:H,Data!D:D=A555,Data!B:B=$B$1)*2),"""")"),"")</f>
        <v/>
      </c>
      <c r="I555" s="15" t="str">
        <f>IFERROR(__xludf.DUMMYFUNCTION("IFERROR((FILTER(Data!K:K,Data!D:D=A555,Data!B:B=$B$1)*2)+(FILTER(Data!L:L,Data!D:D=A555,Data!B:B=$B$1)),"""")"),"")</f>
        <v/>
      </c>
      <c r="J555" s="134" t="str">
        <f>IFERROR(__xludf.DUMMYFUNCTION("IFERROR((FILTER(Data!N:N,Data!D:D=A555,Data!B:B=$B$1)),"""")"),"")</f>
        <v/>
      </c>
      <c r="K555" s="135" t="str">
        <f>IFERROR(__xludf.DUMMYFUNCTION("IFERROR((FILTER(Data!H:H,Data!D:D=A555,Data!B:B=$B$1)*2)+(FILTER(Data!L:L,Data!D:D=A555,Data!B:B=$B$1))+(FILTER(Data!G:G,Data!D:D=A555,Data!B:B=$B$1)*4)+(FILTER(Data!K:K,Data!D:D=A555,Data!B:B=$B$1)*2)+(((COUNTIF(FILTER(Data!N:N,Data!D:D=A555,Data!B:B=$B$"&amp;"1),""TRAVERSE"")*15)+(COUNTIF(FILTER(Data!N:N,Data!D:D=A555,Data!B:B=$B$1),""HIGH"")*10)+(COUNTIF(FILTER(Data!N:N,Data!D:D=A555,Data!B:B=$B$1),""MIDDLE"")*6)+(COUNTIF(FILTER(Data!N:N,Data!D:D=A555,Data!B:B=$B$1),""LOW"")*4))),"""")"),"")</f>
        <v/>
      </c>
      <c r="L555" s="136" t="str">
        <f>IFERROR(__xludf.DUMMYFUNCTION("IFERROR((FILTER(Data!P:P,Data!D:D=A555,Data!B:B=$B$1)),"""")"),"")</f>
        <v/>
      </c>
      <c r="M555" s="137" t="str">
        <f>IFERROR(__xludf.DUMMYFUNCTION("IFERROR((FILTER(Data!A:A,Data!D:D=A555,Data!B:B=$B$1)),"""")"),"")</f>
        <v/>
      </c>
      <c r="T555" s="52">
        <f>IFERROR(__xludf.DUMMYFUNCTION("((COUNTIF(FILTER(Data!N:N,Data!D:D=A555,Data!B:B=$B$1),""TRAVERSE"")*15)+(COUNTIF(FILTER(Data!N:N,Data!D:D=A555,Data!B:B=B$1),""HIGH"")*10)+(COUNTIF(FILTER(Data!N:N,Data!D:D=A555,Data!B:B=$B$1),""MIDDLE"")*6)+(COUNTIF(FILTER(Data!N:N,Data!D:D=A555,Data!B:"&amp;"B=$B$1),""LOW"")*4))"),0.0)</f>
        <v>0</v>
      </c>
      <c r="V555" s="138" t="str">
        <f>IF(Data!B547='Team Parser'!$B$1, Data!D547,"")</f>
        <v/>
      </c>
      <c r="W555" s="134" t="str">
        <f>IF(Data!$B547='Team Parser'!$B$1, Data!H547,"")</f>
        <v/>
      </c>
      <c r="X555" s="134" t="str">
        <f>IF(Data!$B547='Team Parser'!$B$1, Data!G547,"")</f>
        <v/>
      </c>
      <c r="Y555" s="134" t="str">
        <f>IF(Data!$B547='Team Parser'!$B$1, Data!L547,"")</f>
        <v/>
      </c>
      <c r="Z555" s="134" t="str">
        <f>IF(Data!$B547='Team Parser'!$B$1, Data!K547,"")</f>
        <v/>
      </c>
      <c r="AA555" s="134" t="str">
        <f>IF(Data!$B547='Team Parser'!$B$1, Data!M547,"")</f>
        <v/>
      </c>
      <c r="AB555" s="134" t="str">
        <f>IF(Data!$B547='Team Parser'!$B$1,((Z555*2)+(Y555)+(X555*4)+(W555*2)),"")</f>
        <v/>
      </c>
      <c r="AC555" s="134" t="str">
        <f>IF(Data!$B547='Team Parser'!$B$1, Data!N547,"")</f>
        <v/>
      </c>
      <c r="AD555" s="139" t="str">
        <f>IF(Data!$B547='Team Parser'!$B$1,(AB555+(COUNTIF(AC555,"TRAVERSE")*15)+(COUNTIF(AC555,"HIGH")*10)+(COUNTIF(AC555,"MIDDLE")*6)+(COUNTIF(AC555,"LOW")*4)),"")</f>
        <v/>
      </c>
    </row>
    <row r="556">
      <c r="A556" s="141" t="s">
        <v>507</v>
      </c>
      <c r="B556" s="134" t="str">
        <f>IFERROR(__xludf.DUMMYFUNCTION("IFERROR((FILTER(Data!H:H,Data!D:D=A556,Data!B:B=$B$1)),"""")"),"")</f>
        <v/>
      </c>
      <c r="C556" s="134" t="str">
        <f>IFERROR(__xludf.DUMMYFUNCTION("IFERROR((FILTER(Data!G:G,Data!D:D=A556,Data!B:B=$B$1)),"""")"),"")</f>
        <v/>
      </c>
      <c r="D556" s="134" t="str">
        <f>IFERROR(__xludf.DUMMYFUNCTION("IFERROR((FILTER(Data!J:J,Data!D:D=A556,Data!B:B=$B$1)),"""")"),"")</f>
        <v/>
      </c>
      <c r="E556" s="134" t="str">
        <f>IFERROR(__xludf.DUMMYFUNCTION("IFERROR((FILTER(Data!L:L,Data!D:D=A556,Data!B:B=$B$1)),"""")"),"")</f>
        <v/>
      </c>
      <c r="F556" s="134" t="str">
        <f>IFERROR(__xludf.DUMMYFUNCTION("IFERROR((FILTER(Data!K:K,Data!D:D=A556,Data!B:B=$B$1)),"""")"),"")</f>
        <v/>
      </c>
      <c r="G556" s="134" t="str">
        <f>IFERROR(__xludf.DUMMYFUNCTION("IFERROR((FILTER(Data!M:M,Data!D:D=A556,Data!B:B=$B$1)),"""")"),"")</f>
        <v/>
      </c>
      <c r="H556" s="134" t="str">
        <f>IFERROR(__xludf.DUMMYFUNCTION("IFERROR((FILTER(Data!G:G,Data!D:D=A556,Data!B:B=$B$1)*4)+(FILTER(Data!H:H,Data!D:D=A556,Data!B:B=$B$1)*2),"""")"),"")</f>
        <v/>
      </c>
      <c r="I556" s="15" t="str">
        <f>IFERROR(__xludf.DUMMYFUNCTION("IFERROR((FILTER(Data!K:K,Data!D:D=A556,Data!B:B=$B$1)*2)+(FILTER(Data!L:L,Data!D:D=A556,Data!B:B=$B$1)),"""")"),"")</f>
        <v/>
      </c>
      <c r="J556" s="134" t="str">
        <f>IFERROR(__xludf.DUMMYFUNCTION("IFERROR((FILTER(Data!N:N,Data!D:D=A556,Data!B:B=$B$1)),"""")"),"")</f>
        <v/>
      </c>
      <c r="K556" s="135" t="str">
        <f>IFERROR(__xludf.DUMMYFUNCTION("IFERROR((FILTER(Data!H:H,Data!D:D=A556,Data!B:B=$B$1)*2)+(FILTER(Data!L:L,Data!D:D=A556,Data!B:B=$B$1))+(FILTER(Data!G:G,Data!D:D=A556,Data!B:B=$B$1)*4)+(FILTER(Data!K:K,Data!D:D=A556,Data!B:B=$B$1)*2)+(((COUNTIF(FILTER(Data!N:N,Data!D:D=A556,Data!B:B=$B$"&amp;"1),""TRAVERSE"")*15)+(COUNTIF(FILTER(Data!N:N,Data!D:D=A556,Data!B:B=$B$1),""HIGH"")*10)+(COUNTIF(FILTER(Data!N:N,Data!D:D=A556,Data!B:B=$B$1),""MIDDLE"")*6)+(COUNTIF(FILTER(Data!N:N,Data!D:D=A556,Data!B:B=$B$1),""LOW"")*4))),"""")"),"")</f>
        <v/>
      </c>
      <c r="L556" s="136" t="str">
        <f>IFERROR(__xludf.DUMMYFUNCTION("IFERROR((FILTER(Data!P:P,Data!D:D=A556,Data!B:B=$B$1)),"""")"),"")</f>
        <v/>
      </c>
      <c r="M556" s="137" t="str">
        <f>IFERROR(__xludf.DUMMYFUNCTION("IFERROR((FILTER(Data!A:A,Data!D:D=A556,Data!B:B=$B$1)),"""")"),"")</f>
        <v/>
      </c>
      <c r="T556" s="52">
        <f>IFERROR(__xludf.DUMMYFUNCTION("((COUNTIF(FILTER(Data!N:N,Data!D:D=A556,Data!B:B=$B$1),""TRAVERSE"")*15)+(COUNTIF(FILTER(Data!N:N,Data!D:D=A556,Data!B:B=B$1),""HIGH"")*10)+(COUNTIF(FILTER(Data!N:N,Data!D:D=A556,Data!B:B=$B$1),""MIDDLE"")*6)+(COUNTIF(FILTER(Data!N:N,Data!D:D=A556,Data!B:"&amp;"B=$B$1),""LOW"")*4))"),0.0)</f>
        <v>0</v>
      </c>
      <c r="V556" s="138" t="str">
        <f>IF(Data!B548='Team Parser'!$B$1, Data!D548,"")</f>
        <v/>
      </c>
      <c r="W556" s="134" t="str">
        <f>IF(Data!$B548='Team Parser'!$B$1, Data!H548,"")</f>
        <v/>
      </c>
      <c r="X556" s="134" t="str">
        <f>IF(Data!$B548='Team Parser'!$B$1, Data!G548,"")</f>
        <v/>
      </c>
      <c r="Y556" s="134" t="str">
        <f>IF(Data!$B548='Team Parser'!$B$1, Data!L548,"")</f>
        <v/>
      </c>
      <c r="Z556" s="134" t="str">
        <f>IF(Data!$B548='Team Parser'!$B$1, Data!K548,"")</f>
        <v/>
      </c>
      <c r="AA556" s="134" t="str">
        <f>IF(Data!$B548='Team Parser'!$B$1, Data!M548,"")</f>
        <v/>
      </c>
      <c r="AB556" s="134" t="str">
        <f>IF(Data!$B548='Team Parser'!$B$1,((Z556*2)+(Y556)+(X556*4)+(W556*2)),"")</f>
        <v/>
      </c>
      <c r="AC556" s="134" t="str">
        <f>IF(Data!$B548='Team Parser'!$B$1, Data!N548,"")</f>
        <v/>
      </c>
      <c r="AD556" s="139" t="str">
        <f>IF(Data!$B548='Team Parser'!$B$1,(AB556+(COUNTIF(AC556,"TRAVERSE")*15)+(COUNTIF(AC556,"HIGH")*10)+(COUNTIF(AC556,"MIDDLE")*6)+(COUNTIF(AC556,"LOW")*4)),"")</f>
        <v/>
      </c>
    </row>
    <row r="557">
      <c r="A557" s="141" t="s">
        <v>507</v>
      </c>
      <c r="B557" s="134" t="str">
        <f>IFERROR(__xludf.DUMMYFUNCTION("IFERROR((FILTER(Data!H:H,Data!D:D=A557,Data!B:B=$B$1)),"""")"),"")</f>
        <v/>
      </c>
      <c r="C557" s="134" t="str">
        <f>IFERROR(__xludf.DUMMYFUNCTION("IFERROR((FILTER(Data!G:G,Data!D:D=A557,Data!B:B=$B$1)),"""")"),"")</f>
        <v/>
      </c>
      <c r="D557" s="134" t="str">
        <f>IFERROR(__xludf.DUMMYFUNCTION("IFERROR((FILTER(Data!J:J,Data!D:D=A557,Data!B:B=$B$1)),"""")"),"")</f>
        <v/>
      </c>
      <c r="E557" s="134" t="str">
        <f>IFERROR(__xludf.DUMMYFUNCTION("IFERROR((FILTER(Data!L:L,Data!D:D=A557,Data!B:B=$B$1)),"""")"),"")</f>
        <v/>
      </c>
      <c r="F557" s="134" t="str">
        <f>IFERROR(__xludf.DUMMYFUNCTION("IFERROR((FILTER(Data!K:K,Data!D:D=A557,Data!B:B=$B$1)),"""")"),"")</f>
        <v/>
      </c>
      <c r="G557" s="134" t="str">
        <f>IFERROR(__xludf.DUMMYFUNCTION("IFERROR((FILTER(Data!M:M,Data!D:D=A557,Data!B:B=$B$1)),"""")"),"")</f>
        <v/>
      </c>
      <c r="H557" s="134" t="str">
        <f>IFERROR(__xludf.DUMMYFUNCTION("IFERROR((FILTER(Data!G:G,Data!D:D=A557,Data!B:B=$B$1)*4)+(FILTER(Data!H:H,Data!D:D=A557,Data!B:B=$B$1)*2),"""")"),"")</f>
        <v/>
      </c>
      <c r="I557" s="15" t="str">
        <f>IFERROR(__xludf.DUMMYFUNCTION("IFERROR((FILTER(Data!K:K,Data!D:D=A557,Data!B:B=$B$1)*2)+(FILTER(Data!L:L,Data!D:D=A557,Data!B:B=$B$1)),"""")"),"")</f>
        <v/>
      </c>
      <c r="J557" s="134" t="str">
        <f>IFERROR(__xludf.DUMMYFUNCTION("IFERROR((FILTER(Data!N:N,Data!D:D=A557,Data!B:B=$B$1)),"""")"),"")</f>
        <v/>
      </c>
      <c r="K557" s="135" t="str">
        <f>IFERROR(__xludf.DUMMYFUNCTION("IFERROR((FILTER(Data!H:H,Data!D:D=A557,Data!B:B=$B$1)*2)+(FILTER(Data!L:L,Data!D:D=A557,Data!B:B=$B$1))+(FILTER(Data!G:G,Data!D:D=A557,Data!B:B=$B$1)*4)+(FILTER(Data!K:K,Data!D:D=A557,Data!B:B=$B$1)*2)+(((COUNTIF(FILTER(Data!N:N,Data!D:D=A557,Data!B:B=$B$"&amp;"1),""TRAVERSE"")*15)+(COUNTIF(FILTER(Data!N:N,Data!D:D=A557,Data!B:B=$B$1),""HIGH"")*10)+(COUNTIF(FILTER(Data!N:N,Data!D:D=A557,Data!B:B=$B$1),""MIDDLE"")*6)+(COUNTIF(FILTER(Data!N:N,Data!D:D=A557,Data!B:B=$B$1),""LOW"")*4))),"""")"),"")</f>
        <v/>
      </c>
      <c r="L557" s="136" t="str">
        <f>IFERROR(__xludf.DUMMYFUNCTION("IFERROR((FILTER(Data!P:P,Data!D:D=A557,Data!B:B=$B$1)),"""")"),"")</f>
        <v/>
      </c>
      <c r="M557" s="137" t="str">
        <f>IFERROR(__xludf.DUMMYFUNCTION("IFERROR((FILTER(Data!A:A,Data!D:D=A557,Data!B:B=$B$1)),"""")"),"")</f>
        <v/>
      </c>
      <c r="T557" s="52">
        <f>IFERROR(__xludf.DUMMYFUNCTION("((COUNTIF(FILTER(Data!N:N,Data!D:D=A557,Data!B:B=$B$1),""TRAVERSE"")*15)+(COUNTIF(FILTER(Data!N:N,Data!D:D=A557,Data!B:B=B$1),""HIGH"")*10)+(COUNTIF(FILTER(Data!N:N,Data!D:D=A557,Data!B:B=$B$1),""MIDDLE"")*6)+(COUNTIF(FILTER(Data!N:N,Data!D:D=A557,Data!B:"&amp;"B=$B$1),""LOW"")*4))"),0.0)</f>
        <v>0</v>
      </c>
      <c r="V557" s="138" t="str">
        <f>IF(Data!B549='Team Parser'!$B$1, Data!D549,"")</f>
        <v/>
      </c>
      <c r="W557" s="134" t="str">
        <f>IF(Data!$B549='Team Parser'!$B$1, Data!H549,"")</f>
        <v/>
      </c>
      <c r="X557" s="134" t="str">
        <f>IF(Data!$B549='Team Parser'!$B$1, Data!G549,"")</f>
        <v/>
      </c>
      <c r="Y557" s="134" t="str">
        <f>IF(Data!$B549='Team Parser'!$B$1, Data!L549,"")</f>
        <v/>
      </c>
      <c r="Z557" s="134" t="str">
        <f>IF(Data!$B549='Team Parser'!$B$1, Data!K549,"")</f>
        <v/>
      </c>
      <c r="AA557" s="134" t="str">
        <f>IF(Data!$B549='Team Parser'!$B$1, Data!M549,"")</f>
        <v/>
      </c>
      <c r="AB557" s="134" t="str">
        <f>IF(Data!$B549='Team Parser'!$B$1,((Z557*2)+(Y557)+(X557*4)+(W557*2)),"")</f>
        <v/>
      </c>
      <c r="AC557" s="134" t="str">
        <f>IF(Data!$B549='Team Parser'!$B$1, Data!N549,"")</f>
        <v/>
      </c>
      <c r="AD557" s="139" t="str">
        <f>IF(Data!$B549='Team Parser'!$B$1,(AB557+(COUNTIF(AC557,"TRAVERSE")*15)+(COUNTIF(AC557,"HIGH")*10)+(COUNTIF(AC557,"MIDDLE")*6)+(COUNTIF(AC557,"LOW")*4)),"")</f>
        <v/>
      </c>
    </row>
    <row r="558">
      <c r="A558" s="141" t="s">
        <v>507</v>
      </c>
      <c r="B558" s="134" t="str">
        <f>IFERROR(__xludf.DUMMYFUNCTION("IFERROR((FILTER(Data!H:H,Data!D:D=A558,Data!B:B=$B$1)),"""")"),"")</f>
        <v/>
      </c>
      <c r="C558" s="134" t="str">
        <f>IFERROR(__xludf.DUMMYFUNCTION("IFERROR((FILTER(Data!G:G,Data!D:D=A558,Data!B:B=$B$1)),"""")"),"")</f>
        <v/>
      </c>
      <c r="D558" s="134" t="str">
        <f>IFERROR(__xludf.DUMMYFUNCTION("IFERROR((FILTER(Data!J:J,Data!D:D=A558,Data!B:B=$B$1)),"""")"),"")</f>
        <v/>
      </c>
      <c r="E558" s="134" t="str">
        <f>IFERROR(__xludf.DUMMYFUNCTION("IFERROR((FILTER(Data!L:L,Data!D:D=A558,Data!B:B=$B$1)),"""")"),"")</f>
        <v/>
      </c>
      <c r="F558" s="134" t="str">
        <f>IFERROR(__xludf.DUMMYFUNCTION("IFERROR((FILTER(Data!K:K,Data!D:D=A558,Data!B:B=$B$1)),"""")"),"")</f>
        <v/>
      </c>
      <c r="G558" s="134" t="str">
        <f>IFERROR(__xludf.DUMMYFUNCTION("IFERROR((FILTER(Data!M:M,Data!D:D=A558,Data!B:B=$B$1)),"""")"),"")</f>
        <v/>
      </c>
      <c r="H558" s="134" t="str">
        <f>IFERROR(__xludf.DUMMYFUNCTION("IFERROR((FILTER(Data!G:G,Data!D:D=A558,Data!B:B=$B$1)*4)+(FILTER(Data!H:H,Data!D:D=A558,Data!B:B=$B$1)*2),"""")"),"")</f>
        <v/>
      </c>
      <c r="I558" s="15" t="str">
        <f>IFERROR(__xludf.DUMMYFUNCTION("IFERROR((FILTER(Data!K:K,Data!D:D=A558,Data!B:B=$B$1)*2)+(FILTER(Data!L:L,Data!D:D=A558,Data!B:B=$B$1)),"""")"),"")</f>
        <v/>
      </c>
      <c r="J558" s="134" t="str">
        <f>IFERROR(__xludf.DUMMYFUNCTION("IFERROR((FILTER(Data!N:N,Data!D:D=A558,Data!B:B=$B$1)),"""")"),"")</f>
        <v/>
      </c>
      <c r="K558" s="135" t="str">
        <f>IFERROR(__xludf.DUMMYFUNCTION("IFERROR((FILTER(Data!H:H,Data!D:D=A558,Data!B:B=$B$1)*2)+(FILTER(Data!L:L,Data!D:D=A558,Data!B:B=$B$1))+(FILTER(Data!G:G,Data!D:D=A558,Data!B:B=$B$1)*4)+(FILTER(Data!K:K,Data!D:D=A558,Data!B:B=$B$1)*2)+(((COUNTIF(FILTER(Data!N:N,Data!D:D=A558,Data!B:B=$B$"&amp;"1),""TRAVERSE"")*15)+(COUNTIF(FILTER(Data!N:N,Data!D:D=A558,Data!B:B=$B$1),""HIGH"")*10)+(COUNTIF(FILTER(Data!N:N,Data!D:D=A558,Data!B:B=$B$1),""MIDDLE"")*6)+(COUNTIF(FILTER(Data!N:N,Data!D:D=A558,Data!B:B=$B$1),""LOW"")*4))),"""")"),"")</f>
        <v/>
      </c>
      <c r="L558" s="136" t="str">
        <f>IFERROR(__xludf.DUMMYFUNCTION("IFERROR((FILTER(Data!P:P,Data!D:D=A558,Data!B:B=$B$1)),"""")"),"")</f>
        <v/>
      </c>
      <c r="M558" s="137" t="str">
        <f>IFERROR(__xludf.DUMMYFUNCTION("IFERROR((FILTER(Data!A:A,Data!D:D=A558,Data!B:B=$B$1)),"""")"),"")</f>
        <v/>
      </c>
      <c r="T558" s="52">
        <f>IFERROR(__xludf.DUMMYFUNCTION("((COUNTIF(FILTER(Data!N:N,Data!D:D=A558,Data!B:B=$B$1),""TRAVERSE"")*15)+(COUNTIF(FILTER(Data!N:N,Data!D:D=A558,Data!B:B=B$1),""HIGH"")*10)+(COUNTIF(FILTER(Data!N:N,Data!D:D=A558,Data!B:B=$B$1),""MIDDLE"")*6)+(COUNTIF(FILTER(Data!N:N,Data!D:D=A558,Data!B:"&amp;"B=$B$1),""LOW"")*4))"),0.0)</f>
        <v>0</v>
      </c>
      <c r="V558" s="138" t="str">
        <f>IF(Data!B550='Team Parser'!$B$1, Data!D550,"")</f>
        <v/>
      </c>
      <c r="W558" s="134" t="str">
        <f>IF(Data!$B550='Team Parser'!$B$1, Data!H550,"")</f>
        <v/>
      </c>
      <c r="X558" s="134" t="str">
        <f>IF(Data!$B550='Team Parser'!$B$1, Data!G550,"")</f>
        <v/>
      </c>
      <c r="Y558" s="134" t="str">
        <f>IF(Data!$B550='Team Parser'!$B$1, Data!L550,"")</f>
        <v/>
      </c>
      <c r="Z558" s="134" t="str">
        <f>IF(Data!$B550='Team Parser'!$B$1, Data!K550,"")</f>
        <v/>
      </c>
      <c r="AA558" s="134" t="str">
        <f>IF(Data!$B550='Team Parser'!$B$1, Data!M550,"")</f>
        <v/>
      </c>
      <c r="AB558" s="134" t="str">
        <f>IF(Data!$B550='Team Parser'!$B$1,((Z558*2)+(Y558)+(X558*4)+(W558*2)),"")</f>
        <v/>
      </c>
      <c r="AC558" s="134" t="str">
        <f>IF(Data!$B550='Team Parser'!$B$1, Data!N550,"")</f>
        <v/>
      </c>
      <c r="AD558" s="139" t="str">
        <f>IF(Data!$B550='Team Parser'!$B$1,(AB558+(COUNTIF(AC558,"TRAVERSE")*15)+(COUNTIF(AC558,"HIGH")*10)+(COUNTIF(AC558,"MIDDLE")*6)+(COUNTIF(AC558,"LOW")*4)),"")</f>
        <v/>
      </c>
    </row>
    <row r="559">
      <c r="A559" s="141" t="s">
        <v>507</v>
      </c>
      <c r="B559" s="134" t="str">
        <f>IFERROR(__xludf.DUMMYFUNCTION("IFERROR((FILTER(Data!H:H,Data!D:D=A559,Data!B:B=$B$1)),"""")"),"")</f>
        <v/>
      </c>
      <c r="C559" s="134" t="str">
        <f>IFERROR(__xludf.DUMMYFUNCTION("IFERROR((FILTER(Data!G:G,Data!D:D=A559,Data!B:B=$B$1)),"""")"),"")</f>
        <v/>
      </c>
      <c r="D559" s="134" t="str">
        <f>IFERROR(__xludf.DUMMYFUNCTION("IFERROR((FILTER(Data!J:J,Data!D:D=A559,Data!B:B=$B$1)),"""")"),"")</f>
        <v/>
      </c>
      <c r="E559" s="134" t="str">
        <f>IFERROR(__xludf.DUMMYFUNCTION("IFERROR((FILTER(Data!L:L,Data!D:D=A559,Data!B:B=$B$1)),"""")"),"")</f>
        <v/>
      </c>
      <c r="F559" s="134" t="str">
        <f>IFERROR(__xludf.DUMMYFUNCTION("IFERROR((FILTER(Data!K:K,Data!D:D=A559,Data!B:B=$B$1)),"""")"),"")</f>
        <v/>
      </c>
      <c r="G559" s="134" t="str">
        <f>IFERROR(__xludf.DUMMYFUNCTION("IFERROR((FILTER(Data!M:M,Data!D:D=A559,Data!B:B=$B$1)),"""")"),"")</f>
        <v/>
      </c>
      <c r="H559" s="134" t="str">
        <f>IFERROR(__xludf.DUMMYFUNCTION("IFERROR((FILTER(Data!G:G,Data!D:D=A559,Data!B:B=$B$1)*4)+(FILTER(Data!H:H,Data!D:D=A559,Data!B:B=$B$1)*2),"""")"),"")</f>
        <v/>
      </c>
      <c r="I559" s="15" t="str">
        <f>IFERROR(__xludf.DUMMYFUNCTION("IFERROR((FILTER(Data!K:K,Data!D:D=A559,Data!B:B=$B$1)*2)+(FILTER(Data!L:L,Data!D:D=A559,Data!B:B=$B$1)),"""")"),"")</f>
        <v/>
      </c>
      <c r="J559" s="134" t="str">
        <f>IFERROR(__xludf.DUMMYFUNCTION("IFERROR((FILTER(Data!N:N,Data!D:D=A559,Data!B:B=$B$1)),"""")"),"")</f>
        <v/>
      </c>
      <c r="K559" s="135" t="str">
        <f>IFERROR(__xludf.DUMMYFUNCTION("IFERROR((FILTER(Data!H:H,Data!D:D=A559,Data!B:B=$B$1)*2)+(FILTER(Data!L:L,Data!D:D=A559,Data!B:B=$B$1))+(FILTER(Data!G:G,Data!D:D=A559,Data!B:B=$B$1)*4)+(FILTER(Data!K:K,Data!D:D=A559,Data!B:B=$B$1)*2)+(((COUNTIF(FILTER(Data!N:N,Data!D:D=A559,Data!B:B=$B$"&amp;"1),""TRAVERSE"")*15)+(COUNTIF(FILTER(Data!N:N,Data!D:D=A559,Data!B:B=$B$1),""HIGH"")*10)+(COUNTIF(FILTER(Data!N:N,Data!D:D=A559,Data!B:B=$B$1),""MIDDLE"")*6)+(COUNTIF(FILTER(Data!N:N,Data!D:D=A559,Data!B:B=$B$1),""LOW"")*4))),"""")"),"")</f>
        <v/>
      </c>
      <c r="L559" s="136" t="str">
        <f>IFERROR(__xludf.DUMMYFUNCTION("IFERROR((FILTER(Data!P:P,Data!D:D=A559,Data!B:B=$B$1)),"""")"),"")</f>
        <v/>
      </c>
      <c r="M559" s="137" t="str">
        <f>IFERROR(__xludf.DUMMYFUNCTION("IFERROR((FILTER(Data!A:A,Data!D:D=A559,Data!B:B=$B$1)),"""")"),"")</f>
        <v/>
      </c>
      <c r="T559" s="52">
        <f>IFERROR(__xludf.DUMMYFUNCTION("((COUNTIF(FILTER(Data!N:N,Data!D:D=A559,Data!B:B=$B$1),""TRAVERSE"")*15)+(COUNTIF(FILTER(Data!N:N,Data!D:D=A559,Data!B:B=B$1),""HIGH"")*10)+(COUNTIF(FILTER(Data!N:N,Data!D:D=A559,Data!B:B=$B$1),""MIDDLE"")*6)+(COUNTIF(FILTER(Data!N:N,Data!D:D=A559,Data!B:"&amp;"B=$B$1),""LOW"")*4))"),0.0)</f>
        <v>0</v>
      </c>
      <c r="V559" s="138" t="str">
        <f>IF(Data!B551='Team Parser'!$B$1, Data!D551,"")</f>
        <v/>
      </c>
      <c r="W559" s="134" t="str">
        <f>IF(Data!$B551='Team Parser'!$B$1, Data!H551,"")</f>
        <v/>
      </c>
      <c r="X559" s="134" t="str">
        <f>IF(Data!$B551='Team Parser'!$B$1, Data!G551,"")</f>
        <v/>
      </c>
      <c r="Y559" s="134" t="str">
        <f>IF(Data!$B551='Team Parser'!$B$1, Data!L551,"")</f>
        <v/>
      </c>
      <c r="Z559" s="134" t="str">
        <f>IF(Data!$B551='Team Parser'!$B$1, Data!K551,"")</f>
        <v/>
      </c>
      <c r="AA559" s="134" t="str">
        <f>IF(Data!$B551='Team Parser'!$B$1, Data!M551,"")</f>
        <v/>
      </c>
      <c r="AB559" s="134" t="str">
        <f>IF(Data!$B551='Team Parser'!$B$1,((Z559*2)+(Y559)+(X559*4)+(W559*2)),"")</f>
        <v/>
      </c>
      <c r="AC559" s="134" t="str">
        <f>IF(Data!$B551='Team Parser'!$B$1, Data!N551,"")</f>
        <v/>
      </c>
      <c r="AD559" s="139" t="str">
        <f>IF(Data!$B551='Team Parser'!$B$1,(AB559+(COUNTIF(AC559,"TRAVERSE")*15)+(COUNTIF(AC559,"HIGH")*10)+(COUNTIF(AC559,"MIDDLE")*6)+(COUNTIF(AC559,"LOW")*4)),"")</f>
        <v/>
      </c>
    </row>
    <row r="560">
      <c r="A560" s="141" t="s">
        <v>507</v>
      </c>
      <c r="B560" s="134" t="str">
        <f>IFERROR(__xludf.DUMMYFUNCTION("IFERROR((FILTER(Data!H:H,Data!D:D=A560,Data!B:B=$B$1)),"""")"),"")</f>
        <v/>
      </c>
      <c r="C560" s="134" t="str">
        <f>IFERROR(__xludf.DUMMYFUNCTION("IFERROR((FILTER(Data!G:G,Data!D:D=A560,Data!B:B=$B$1)),"""")"),"")</f>
        <v/>
      </c>
      <c r="D560" s="134" t="str">
        <f>IFERROR(__xludf.DUMMYFUNCTION("IFERROR((FILTER(Data!J:J,Data!D:D=A560,Data!B:B=$B$1)),"""")"),"")</f>
        <v/>
      </c>
      <c r="E560" s="134" t="str">
        <f>IFERROR(__xludf.DUMMYFUNCTION("IFERROR((FILTER(Data!L:L,Data!D:D=A560,Data!B:B=$B$1)),"""")"),"")</f>
        <v/>
      </c>
      <c r="F560" s="134" t="str">
        <f>IFERROR(__xludf.DUMMYFUNCTION("IFERROR((FILTER(Data!K:K,Data!D:D=A560,Data!B:B=$B$1)),"""")"),"")</f>
        <v/>
      </c>
      <c r="G560" s="134" t="str">
        <f>IFERROR(__xludf.DUMMYFUNCTION("IFERROR((FILTER(Data!M:M,Data!D:D=A560,Data!B:B=$B$1)),"""")"),"")</f>
        <v/>
      </c>
      <c r="H560" s="134" t="str">
        <f>IFERROR(__xludf.DUMMYFUNCTION("IFERROR((FILTER(Data!G:G,Data!D:D=A560,Data!B:B=$B$1)*4)+(FILTER(Data!H:H,Data!D:D=A560,Data!B:B=$B$1)*2),"""")"),"")</f>
        <v/>
      </c>
      <c r="I560" s="15" t="str">
        <f>IFERROR(__xludf.DUMMYFUNCTION("IFERROR((FILTER(Data!K:K,Data!D:D=A560,Data!B:B=$B$1)*2)+(FILTER(Data!L:L,Data!D:D=A560,Data!B:B=$B$1)),"""")"),"")</f>
        <v/>
      </c>
      <c r="J560" s="134" t="str">
        <f>IFERROR(__xludf.DUMMYFUNCTION("IFERROR((FILTER(Data!N:N,Data!D:D=A560,Data!B:B=$B$1)),"""")"),"")</f>
        <v/>
      </c>
      <c r="K560" s="135" t="str">
        <f>IFERROR(__xludf.DUMMYFUNCTION("IFERROR((FILTER(Data!H:H,Data!D:D=A560,Data!B:B=$B$1)*2)+(FILTER(Data!L:L,Data!D:D=A560,Data!B:B=$B$1))+(FILTER(Data!G:G,Data!D:D=A560,Data!B:B=$B$1)*4)+(FILTER(Data!K:K,Data!D:D=A560,Data!B:B=$B$1)*2)+(((COUNTIF(FILTER(Data!N:N,Data!D:D=A560,Data!B:B=$B$"&amp;"1),""TRAVERSE"")*15)+(COUNTIF(FILTER(Data!N:N,Data!D:D=A560,Data!B:B=$B$1),""HIGH"")*10)+(COUNTIF(FILTER(Data!N:N,Data!D:D=A560,Data!B:B=$B$1),""MIDDLE"")*6)+(COUNTIF(FILTER(Data!N:N,Data!D:D=A560,Data!B:B=$B$1),""LOW"")*4))),"""")"),"")</f>
        <v/>
      </c>
      <c r="L560" s="136" t="str">
        <f>IFERROR(__xludf.DUMMYFUNCTION("IFERROR((FILTER(Data!P:P,Data!D:D=A560,Data!B:B=$B$1)),"""")"),"")</f>
        <v/>
      </c>
      <c r="M560" s="137" t="str">
        <f>IFERROR(__xludf.DUMMYFUNCTION("IFERROR((FILTER(Data!A:A,Data!D:D=A560,Data!B:B=$B$1)),"""")"),"")</f>
        <v/>
      </c>
      <c r="T560" s="52">
        <f>IFERROR(__xludf.DUMMYFUNCTION("((COUNTIF(FILTER(Data!N:N,Data!D:D=A560,Data!B:B=$B$1),""TRAVERSE"")*15)+(COUNTIF(FILTER(Data!N:N,Data!D:D=A560,Data!B:B=B$1),""HIGH"")*10)+(COUNTIF(FILTER(Data!N:N,Data!D:D=A560,Data!B:B=$B$1),""MIDDLE"")*6)+(COUNTIF(FILTER(Data!N:N,Data!D:D=A560,Data!B:"&amp;"B=$B$1),""LOW"")*4))"),0.0)</f>
        <v>0</v>
      </c>
      <c r="V560" s="138" t="str">
        <f>IF(Data!B552='Team Parser'!$B$1, Data!D552,"")</f>
        <v/>
      </c>
      <c r="W560" s="134" t="str">
        <f>IF(Data!$B552='Team Parser'!$B$1, Data!H552,"")</f>
        <v/>
      </c>
      <c r="X560" s="134" t="str">
        <f>IF(Data!$B552='Team Parser'!$B$1, Data!G552,"")</f>
        <v/>
      </c>
      <c r="Y560" s="134" t="str">
        <f>IF(Data!$B552='Team Parser'!$B$1, Data!L552,"")</f>
        <v/>
      </c>
      <c r="Z560" s="134" t="str">
        <f>IF(Data!$B552='Team Parser'!$B$1, Data!K552,"")</f>
        <v/>
      </c>
      <c r="AA560" s="134" t="str">
        <f>IF(Data!$B552='Team Parser'!$B$1, Data!M552,"")</f>
        <v/>
      </c>
      <c r="AB560" s="134" t="str">
        <f>IF(Data!$B552='Team Parser'!$B$1,((Z560*2)+(Y560)+(X560*4)+(W560*2)),"")</f>
        <v/>
      </c>
      <c r="AC560" s="134" t="str">
        <f>IF(Data!$B552='Team Parser'!$B$1, Data!N552,"")</f>
        <v/>
      </c>
      <c r="AD560" s="139" t="str">
        <f>IF(Data!$B552='Team Parser'!$B$1,(AB560+(COUNTIF(AC560,"TRAVERSE")*15)+(COUNTIF(AC560,"HIGH")*10)+(COUNTIF(AC560,"MIDDLE")*6)+(COUNTIF(AC560,"LOW")*4)),"")</f>
        <v/>
      </c>
    </row>
    <row r="561">
      <c r="A561" s="141" t="s">
        <v>507</v>
      </c>
      <c r="B561" s="134" t="str">
        <f>IFERROR(__xludf.DUMMYFUNCTION("IFERROR((FILTER(Data!H:H,Data!D:D=A561,Data!B:B=$B$1)),"""")"),"")</f>
        <v/>
      </c>
      <c r="C561" s="134" t="str">
        <f>IFERROR(__xludf.DUMMYFUNCTION("IFERROR((FILTER(Data!G:G,Data!D:D=A561,Data!B:B=$B$1)),"""")"),"")</f>
        <v/>
      </c>
      <c r="D561" s="134" t="str">
        <f>IFERROR(__xludf.DUMMYFUNCTION("IFERROR((FILTER(Data!J:J,Data!D:D=A561,Data!B:B=$B$1)),"""")"),"")</f>
        <v/>
      </c>
      <c r="E561" s="134" t="str">
        <f>IFERROR(__xludf.DUMMYFUNCTION("IFERROR((FILTER(Data!L:L,Data!D:D=A561,Data!B:B=$B$1)),"""")"),"")</f>
        <v/>
      </c>
      <c r="F561" s="134" t="str">
        <f>IFERROR(__xludf.DUMMYFUNCTION("IFERROR((FILTER(Data!K:K,Data!D:D=A561,Data!B:B=$B$1)),"""")"),"")</f>
        <v/>
      </c>
      <c r="G561" s="134" t="str">
        <f>IFERROR(__xludf.DUMMYFUNCTION("IFERROR((FILTER(Data!M:M,Data!D:D=A561,Data!B:B=$B$1)),"""")"),"")</f>
        <v/>
      </c>
      <c r="H561" s="134" t="str">
        <f>IFERROR(__xludf.DUMMYFUNCTION("IFERROR((FILTER(Data!G:G,Data!D:D=A561,Data!B:B=$B$1)*4)+(FILTER(Data!H:H,Data!D:D=A561,Data!B:B=$B$1)*2),"""")"),"")</f>
        <v/>
      </c>
      <c r="I561" s="15" t="str">
        <f>IFERROR(__xludf.DUMMYFUNCTION("IFERROR((FILTER(Data!K:K,Data!D:D=A561,Data!B:B=$B$1)*2)+(FILTER(Data!L:L,Data!D:D=A561,Data!B:B=$B$1)),"""")"),"")</f>
        <v/>
      </c>
      <c r="J561" s="134" t="str">
        <f>IFERROR(__xludf.DUMMYFUNCTION("IFERROR((FILTER(Data!N:N,Data!D:D=A561,Data!B:B=$B$1)),"""")"),"")</f>
        <v/>
      </c>
      <c r="K561" s="135" t="str">
        <f>IFERROR(__xludf.DUMMYFUNCTION("IFERROR((FILTER(Data!H:H,Data!D:D=A561,Data!B:B=$B$1)*2)+(FILTER(Data!L:L,Data!D:D=A561,Data!B:B=$B$1))+(FILTER(Data!G:G,Data!D:D=A561,Data!B:B=$B$1)*4)+(FILTER(Data!K:K,Data!D:D=A561,Data!B:B=$B$1)*2)+(((COUNTIF(FILTER(Data!N:N,Data!D:D=A561,Data!B:B=$B$"&amp;"1),""TRAVERSE"")*15)+(COUNTIF(FILTER(Data!N:N,Data!D:D=A561,Data!B:B=$B$1),""HIGH"")*10)+(COUNTIF(FILTER(Data!N:N,Data!D:D=A561,Data!B:B=$B$1),""MIDDLE"")*6)+(COUNTIF(FILTER(Data!N:N,Data!D:D=A561,Data!B:B=$B$1),""LOW"")*4))),"""")"),"")</f>
        <v/>
      </c>
      <c r="L561" s="136" t="str">
        <f>IFERROR(__xludf.DUMMYFUNCTION("IFERROR((FILTER(Data!P:P,Data!D:D=A561,Data!B:B=$B$1)),"""")"),"")</f>
        <v/>
      </c>
      <c r="M561" s="137" t="str">
        <f>IFERROR(__xludf.DUMMYFUNCTION("IFERROR((FILTER(Data!A:A,Data!D:D=A561,Data!B:B=$B$1)),"""")"),"")</f>
        <v/>
      </c>
      <c r="T561" s="52">
        <f>IFERROR(__xludf.DUMMYFUNCTION("((COUNTIF(FILTER(Data!N:N,Data!D:D=A561,Data!B:B=$B$1),""TRAVERSE"")*15)+(COUNTIF(FILTER(Data!N:N,Data!D:D=A561,Data!B:B=B$1),""HIGH"")*10)+(COUNTIF(FILTER(Data!N:N,Data!D:D=A561,Data!B:B=$B$1),""MIDDLE"")*6)+(COUNTIF(FILTER(Data!N:N,Data!D:D=A561,Data!B:"&amp;"B=$B$1),""LOW"")*4))"),0.0)</f>
        <v>0</v>
      </c>
      <c r="V561" s="138" t="str">
        <f>IF(Data!B553='Team Parser'!$B$1, Data!D553,"")</f>
        <v/>
      </c>
      <c r="W561" s="134" t="str">
        <f>IF(Data!$B553='Team Parser'!$B$1, Data!H553,"")</f>
        <v/>
      </c>
      <c r="X561" s="134" t="str">
        <f>IF(Data!$B553='Team Parser'!$B$1, Data!G553,"")</f>
        <v/>
      </c>
      <c r="Y561" s="134" t="str">
        <f>IF(Data!$B553='Team Parser'!$B$1, Data!L553,"")</f>
        <v/>
      </c>
      <c r="Z561" s="134" t="str">
        <f>IF(Data!$B553='Team Parser'!$B$1, Data!K553,"")</f>
        <v/>
      </c>
      <c r="AA561" s="134" t="str">
        <f>IF(Data!$B553='Team Parser'!$B$1, Data!M553,"")</f>
        <v/>
      </c>
      <c r="AB561" s="134" t="str">
        <f>IF(Data!$B553='Team Parser'!$B$1,((Z561*2)+(Y561)+(X561*4)+(W561*2)),"")</f>
        <v/>
      </c>
      <c r="AC561" s="134" t="str">
        <f>IF(Data!$B553='Team Parser'!$B$1, Data!N553,"")</f>
        <v/>
      </c>
      <c r="AD561" s="139" t="str">
        <f>IF(Data!$B553='Team Parser'!$B$1,(AB561+(COUNTIF(AC561,"TRAVERSE")*15)+(COUNTIF(AC561,"HIGH")*10)+(COUNTIF(AC561,"MIDDLE")*6)+(COUNTIF(AC561,"LOW")*4)),"")</f>
        <v/>
      </c>
    </row>
    <row r="562">
      <c r="A562" s="141" t="s">
        <v>507</v>
      </c>
      <c r="B562" s="134" t="str">
        <f>IFERROR(__xludf.DUMMYFUNCTION("IFERROR((FILTER(Data!H:H,Data!D:D=A562,Data!B:B=$B$1)),"""")"),"")</f>
        <v/>
      </c>
      <c r="C562" s="134" t="str">
        <f>IFERROR(__xludf.DUMMYFUNCTION("IFERROR((FILTER(Data!G:G,Data!D:D=A562,Data!B:B=$B$1)),"""")"),"")</f>
        <v/>
      </c>
      <c r="D562" s="134" t="str">
        <f>IFERROR(__xludf.DUMMYFUNCTION("IFERROR((FILTER(Data!J:J,Data!D:D=A562,Data!B:B=$B$1)),"""")"),"")</f>
        <v/>
      </c>
      <c r="E562" s="134" t="str">
        <f>IFERROR(__xludf.DUMMYFUNCTION("IFERROR((FILTER(Data!L:L,Data!D:D=A562,Data!B:B=$B$1)),"""")"),"")</f>
        <v/>
      </c>
      <c r="F562" s="134" t="str">
        <f>IFERROR(__xludf.DUMMYFUNCTION("IFERROR((FILTER(Data!K:K,Data!D:D=A562,Data!B:B=$B$1)),"""")"),"")</f>
        <v/>
      </c>
      <c r="G562" s="134" t="str">
        <f>IFERROR(__xludf.DUMMYFUNCTION("IFERROR((FILTER(Data!M:M,Data!D:D=A562,Data!B:B=$B$1)),"""")"),"")</f>
        <v/>
      </c>
      <c r="H562" s="134" t="str">
        <f>IFERROR(__xludf.DUMMYFUNCTION("IFERROR((FILTER(Data!G:G,Data!D:D=A562,Data!B:B=$B$1)*4)+(FILTER(Data!H:H,Data!D:D=A562,Data!B:B=$B$1)*2),"""")"),"")</f>
        <v/>
      </c>
      <c r="I562" s="15" t="str">
        <f>IFERROR(__xludf.DUMMYFUNCTION("IFERROR((FILTER(Data!K:K,Data!D:D=A562,Data!B:B=$B$1)*2)+(FILTER(Data!L:L,Data!D:D=A562,Data!B:B=$B$1)),"""")"),"")</f>
        <v/>
      </c>
      <c r="J562" s="134" t="str">
        <f>IFERROR(__xludf.DUMMYFUNCTION("IFERROR((FILTER(Data!N:N,Data!D:D=A562,Data!B:B=$B$1)),"""")"),"")</f>
        <v/>
      </c>
      <c r="K562" s="135" t="str">
        <f>IFERROR(__xludf.DUMMYFUNCTION("IFERROR((FILTER(Data!H:H,Data!D:D=A562,Data!B:B=$B$1)*2)+(FILTER(Data!L:L,Data!D:D=A562,Data!B:B=$B$1))+(FILTER(Data!G:G,Data!D:D=A562,Data!B:B=$B$1)*4)+(FILTER(Data!K:K,Data!D:D=A562,Data!B:B=$B$1)*2)+(((COUNTIF(FILTER(Data!N:N,Data!D:D=A562,Data!B:B=$B$"&amp;"1),""TRAVERSE"")*15)+(COUNTIF(FILTER(Data!N:N,Data!D:D=A562,Data!B:B=$B$1),""HIGH"")*10)+(COUNTIF(FILTER(Data!N:N,Data!D:D=A562,Data!B:B=$B$1),""MIDDLE"")*6)+(COUNTIF(FILTER(Data!N:N,Data!D:D=A562,Data!B:B=$B$1),""LOW"")*4))),"""")"),"")</f>
        <v/>
      </c>
      <c r="L562" s="136" t="str">
        <f>IFERROR(__xludf.DUMMYFUNCTION("IFERROR((FILTER(Data!P:P,Data!D:D=A562,Data!B:B=$B$1)),"""")"),"")</f>
        <v/>
      </c>
      <c r="M562" s="137" t="str">
        <f>IFERROR(__xludf.DUMMYFUNCTION("IFERROR((FILTER(Data!A:A,Data!D:D=A562,Data!B:B=$B$1)),"""")"),"")</f>
        <v/>
      </c>
      <c r="T562" s="52">
        <f>IFERROR(__xludf.DUMMYFUNCTION("((COUNTIF(FILTER(Data!N:N,Data!D:D=A562,Data!B:B=$B$1),""TRAVERSE"")*15)+(COUNTIF(FILTER(Data!N:N,Data!D:D=A562,Data!B:B=B$1),""HIGH"")*10)+(COUNTIF(FILTER(Data!N:N,Data!D:D=A562,Data!B:B=$B$1),""MIDDLE"")*6)+(COUNTIF(FILTER(Data!N:N,Data!D:D=A562,Data!B:"&amp;"B=$B$1),""LOW"")*4))"),0.0)</f>
        <v>0</v>
      </c>
      <c r="V562" s="138" t="str">
        <f>IF(Data!B554='Team Parser'!$B$1, Data!D554,"")</f>
        <v/>
      </c>
      <c r="W562" s="134" t="str">
        <f>IF(Data!$B554='Team Parser'!$B$1, Data!H554,"")</f>
        <v/>
      </c>
      <c r="X562" s="134" t="str">
        <f>IF(Data!$B554='Team Parser'!$B$1, Data!G554,"")</f>
        <v/>
      </c>
      <c r="Y562" s="134" t="str">
        <f>IF(Data!$B554='Team Parser'!$B$1, Data!L554,"")</f>
        <v/>
      </c>
      <c r="Z562" s="134" t="str">
        <f>IF(Data!$B554='Team Parser'!$B$1, Data!K554,"")</f>
        <v/>
      </c>
      <c r="AA562" s="134" t="str">
        <f>IF(Data!$B554='Team Parser'!$B$1, Data!M554,"")</f>
        <v/>
      </c>
      <c r="AB562" s="134" t="str">
        <f>IF(Data!$B554='Team Parser'!$B$1,((Z562*2)+(Y562)+(X562*4)+(W562*2)),"")</f>
        <v/>
      </c>
      <c r="AC562" s="134" t="str">
        <f>IF(Data!$B554='Team Parser'!$B$1, Data!N554,"")</f>
        <v/>
      </c>
      <c r="AD562" s="139" t="str">
        <f>IF(Data!$B554='Team Parser'!$B$1,(AB562+(COUNTIF(AC562,"TRAVERSE")*15)+(COUNTIF(AC562,"HIGH")*10)+(COUNTIF(AC562,"MIDDLE")*6)+(COUNTIF(AC562,"LOW")*4)),"")</f>
        <v/>
      </c>
    </row>
    <row r="563">
      <c r="A563" s="141" t="s">
        <v>507</v>
      </c>
      <c r="B563" s="134" t="str">
        <f>IFERROR(__xludf.DUMMYFUNCTION("IFERROR((FILTER(Data!H:H,Data!D:D=A563,Data!B:B=$B$1)),"""")"),"")</f>
        <v/>
      </c>
      <c r="C563" s="134" t="str">
        <f>IFERROR(__xludf.DUMMYFUNCTION("IFERROR((FILTER(Data!G:G,Data!D:D=A563,Data!B:B=$B$1)),"""")"),"")</f>
        <v/>
      </c>
      <c r="D563" s="134" t="str">
        <f>IFERROR(__xludf.DUMMYFUNCTION("IFERROR((FILTER(Data!J:J,Data!D:D=A563,Data!B:B=$B$1)),"""")"),"")</f>
        <v/>
      </c>
      <c r="E563" s="134" t="str">
        <f>IFERROR(__xludf.DUMMYFUNCTION("IFERROR((FILTER(Data!L:L,Data!D:D=A563,Data!B:B=$B$1)),"""")"),"")</f>
        <v/>
      </c>
      <c r="F563" s="134" t="str">
        <f>IFERROR(__xludf.DUMMYFUNCTION("IFERROR((FILTER(Data!K:K,Data!D:D=A563,Data!B:B=$B$1)),"""")"),"")</f>
        <v/>
      </c>
      <c r="G563" s="134" t="str">
        <f>IFERROR(__xludf.DUMMYFUNCTION("IFERROR((FILTER(Data!M:M,Data!D:D=A563,Data!B:B=$B$1)),"""")"),"")</f>
        <v/>
      </c>
      <c r="H563" s="134" t="str">
        <f>IFERROR(__xludf.DUMMYFUNCTION("IFERROR((FILTER(Data!G:G,Data!D:D=A563,Data!B:B=$B$1)*4)+(FILTER(Data!H:H,Data!D:D=A563,Data!B:B=$B$1)*2),"""")"),"")</f>
        <v/>
      </c>
      <c r="I563" s="15" t="str">
        <f>IFERROR(__xludf.DUMMYFUNCTION("IFERROR((FILTER(Data!K:K,Data!D:D=A563,Data!B:B=$B$1)*2)+(FILTER(Data!L:L,Data!D:D=A563,Data!B:B=$B$1)),"""")"),"")</f>
        <v/>
      </c>
      <c r="J563" s="134" t="str">
        <f>IFERROR(__xludf.DUMMYFUNCTION("IFERROR((FILTER(Data!N:N,Data!D:D=A563,Data!B:B=$B$1)),"""")"),"")</f>
        <v/>
      </c>
      <c r="K563" s="135" t="str">
        <f>IFERROR(__xludf.DUMMYFUNCTION("IFERROR((FILTER(Data!H:H,Data!D:D=A563,Data!B:B=$B$1)*2)+(FILTER(Data!L:L,Data!D:D=A563,Data!B:B=$B$1))+(FILTER(Data!G:G,Data!D:D=A563,Data!B:B=$B$1)*4)+(FILTER(Data!K:K,Data!D:D=A563,Data!B:B=$B$1)*2)+(((COUNTIF(FILTER(Data!N:N,Data!D:D=A563,Data!B:B=$B$"&amp;"1),""TRAVERSE"")*15)+(COUNTIF(FILTER(Data!N:N,Data!D:D=A563,Data!B:B=$B$1),""HIGH"")*10)+(COUNTIF(FILTER(Data!N:N,Data!D:D=A563,Data!B:B=$B$1),""MIDDLE"")*6)+(COUNTIF(FILTER(Data!N:N,Data!D:D=A563,Data!B:B=$B$1),""LOW"")*4))),"""")"),"")</f>
        <v/>
      </c>
      <c r="L563" s="136" t="str">
        <f>IFERROR(__xludf.DUMMYFUNCTION("IFERROR((FILTER(Data!P:P,Data!D:D=A563,Data!B:B=$B$1)),"""")"),"")</f>
        <v/>
      </c>
      <c r="M563" s="137" t="str">
        <f>IFERROR(__xludf.DUMMYFUNCTION("IFERROR((FILTER(Data!A:A,Data!D:D=A563,Data!B:B=$B$1)),"""")"),"")</f>
        <v/>
      </c>
      <c r="T563" s="52">
        <f>IFERROR(__xludf.DUMMYFUNCTION("((COUNTIF(FILTER(Data!N:N,Data!D:D=A563,Data!B:B=$B$1),""TRAVERSE"")*15)+(COUNTIF(FILTER(Data!N:N,Data!D:D=A563,Data!B:B=B$1),""HIGH"")*10)+(COUNTIF(FILTER(Data!N:N,Data!D:D=A563,Data!B:B=$B$1),""MIDDLE"")*6)+(COUNTIF(FILTER(Data!N:N,Data!D:D=A563,Data!B:"&amp;"B=$B$1),""LOW"")*4))"),0.0)</f>
        <v>0</v>
      </c>
      <c r="V563" s="138" t="str">
        <f>IF(Data!B555='Team Parser'!$B$1, Data!D555,"")</f>
        <v/>
      </c>
      <c r="W563" s="134" t="str">
        <f>IF(Data!$B555='Team Parser'!$B$1, Data!H555,"")</f>
        <v/>
      </c>
      <c r="X563" s="134" t="str">
        <f>IF(Data!$B555='Team Parser'!$B$1, Data!G555,"")</f>
        <v/>
      </c>
      <c r="Y563" s="134" t="str">
        <f>IF(Data!$B555='Team Parser'!$B$1, Data!L555,"")</f>
        <v/>
      </c>
      <c r="Z563" s="134" t="str">
        <f>IF(Data!$B555='Team Parser'!$B$1, Data!K555,"")</f>
        <v/>
      </c>
      <c r="AA563" s="134" t="str">
        <f>IF(Data!$B555='Team Parser'!$B$1, Data!M555,"")</f>
        <v/>
      </c>
      <c r="AB563" s="134" t="str">
        <f>IF(Data!$B555='Team Parser'!$B$1,((Z563*2)+(Y563)+(X563*4)+(W563*2)),"")</f>
        <v/>
      </c>
      <c r="AC563" s="134" t="str">
        <f>IF(Data!$B555='Team Parser'!$B$1, Data!N555,"")</f>
        <v/>
      </c>
      <c r="AD563" s="139" t="str">
        <f>IF(Data!$B555='Team Parser'!$B$1,(AB563+(COUNTIF(AC563,"TRAVERSE")*15)+(COUNTIF(AC563,"HIGH")*10)+(COUNTIF(AC563,"MIDDLE")*6)+(COUNTIF(AC563,"LOW")*4)),"")</f>
        <v/>
      </c>
    </row>
    <row r="564">
      <c r="A564" s="141" t="s">
        <v>507</v>
      </c>
      <c r="B564" s="134" t="str">
        <f>IFERROR(__xludf.DUMMYFUNCTION("IFERROR((FILTER(Data!H:H,Data!D:D=A564,Data!B:B=$B$1)),"""")"),"")</f>
        <v/>
      </c>
      <c r="C564" s="134" t="str">
        <f>IFERROR(__xludf.DUMMYFUNCTION("IFERROR((FILTER(Data!G:G,Data!D:D=A564,Data!B:B=$B$1)),"""")"),"")</f>
        <v/>
      </c>
      <c r="D564" s="134" t="str">
        <f>IFERROR(__xludf.DUMMYFUNCTION("IFERROR((FILTER(Data!J:J,Data!D:D=A564,Data!B:B=$B$1)),"""")"),"")</f>
        <v/>
      </c>
      <c r="E564" s="134" t="str">
        <f>IFERROR(__xludf.DUMMYFUNCTION("IFERROR((FILTER(Data!L:L,Data!D:D=A564,Data!B:B=$B$1)),"""")"),"")</f>
        <v/>
      </c>
      <c r="F564" s="134" t="str">
        <f>IFERROR(__xludf.DUMMYFUNCTION("IFERROR((FILTER(Data!K:K,Data!D:D=A564,Data!B:B=$B$1)),"""")"),"")</f>
        <v/>
      </c>
      <c r="G564" s="134" t="str">
        <f>IFERROR(__xludf.DUMMYFUNCTION("IFERROR((FILTER(Data!M:M,Data!D:D=A564,Data!B:B=$B$1)),"""")"),"")</f>
        <v/>
      </c>
      <c r="H564" s="134" t="str">
        <f>IFERROR(__xludf.DUMMYFUNCTION("IFERROR((FILTER(Data!G:G,Data!D:D=A564,Data!B:B=$B$1)*4)+(FILTER(Data!H:H,Data!D:D=A564,Data!B:B=$B$1)*2),"""")"),"")</f>
        <v/>
      </c>
      <c r="I564" s="15" t="str">
        <f>IFERROR(__xludf.DUMMYFUNCTION("IFERROR((FILTER(Data!K:K,Data!D:D=A564,Data!B:B=$B$1)*2)+(FILTER(Data!L:L,Data!D:D=A564,Data!B:B=$B$1)),"""")"),"")</f>
        <v/>
      </c>
      <c r="J564" s="134" t="str">
        <f>IFERROR(__xludf.DUMMYFUNCTION("IFERROR((FILTER(Data!N:N,Data!D:D=A564,Data!B:B=$B$1)),"""")"),"")</f>
        <v/>
      </c>
      <c r="K564" s="135" t="str">
        <f>IFERROR(__xludf.DUMMYFUNCTION("IFERROR((FILTER(Data!H:H,Data!D:D=A564,Data!B:B=$B$1)*2)+(FILTER(Data!L:L,Data!D:D=A564,Data!B:B=$B$1))+(FILTER(Data!G:G,Data!D:D=A564,Data!B:B=$B$1)*4)+(FILTER(Data!K:K,Data!D:D=A564,Data!B:B=$B$1)*2)+(((COUNTIF(FILTER(Data!N:N,Data!D:D=A564,Data!B:B=$B$"&amp;"1),""TRAVERSE"")*15)+(COUNTIF(FILTER(Data!N:N,Data!D:D=A564,Data!B:B=$B$1),""HIGH"")*10)+(COUNTIF(FILTER(Data!N:N,Data!D:D=A564,Data!B:B=$B$1),""MIDDLE"")*6)+(COUNTIF(FILTER(Data!N:N,Data!D:D=A564,Data!B:B=$B$1),""LOW"")*4))),"""")"),"")</f>
        <v/>
      </c>
      <c r="L564" s="136" t="str">
        <f>IFERROR(__xludf.DUMMYFUNCTION("IFERROR((FILTER(Data!P:P,Data!D:D=A564,Data!B:B=$B$1)),"""")"),"")</f>
        <v/>
      </c>
      <c r="M564" s="137" t="str">
        <f>IFERROR(__xludf.DUMMYFUNCTION("IFERROR((FILTER(Data!A:A,Data!D:D=A564,Data!B:B=$B$1)),"""")"),"")</f>
        <v/>
      </c>
      <c r="T564" s="52">
        <f>IFERROR(__xludf.DUMMYFUNCTION("((COUNTIF(FILTER(Data!N:N,Data!D:D=A564,Data!B:B=$B$1),""TRAVERSE"")*15)+(COUNTIF(FILTER(Data!N:N,Data!D:D=A564,Data!B:B=B$1),""HIGH"")*10)+(COUNTIF(FILTER(Data!N:N,Data!D:D=A564,Data!B:B=$B$1),""MIDDLE"")*6)+(COUNTIF(FILTER(Data!N:N,Data!D:D=A564,Data!B:"&amp;"B=$B$1),""LOW"")*4))"),0.0)</f>
        <v>0</v>
      </c>
      <c r="V564" s="138" t="str">
        <f>IF(Data!B556='Team Parser'!$B$1, Data!D556,"")</f>
        <v/>
      </c>
      <c r="W564" s="134" t="str">
        <f>IF(Data!$B556='Team Parser'!$B$1, Data!H556,"")</f>
        <v/>
      </c>
      <c r="X564" s="134" t="str">
        <f>IF(Data!$B556='Team Parser'!$B$1, Data!G556,"")</f>
        <v/>
      </c>
      <c r="Y564" s="134" t="str">
        <f>IF(Data!$B556='Team Parser'!$B$1, Data!L556,"")</f>
        <v/>
      </c>
      <c r="Z564" s="134" t="str">
        <f>IF(Data!$B556='Team Parser'!$B$1, Data!K556,"")</f>
        <v/>
      </c>
      <c r="AA564" s="134" t="str">
        <f>IF(Data!$B556='Team Parser'!$B$1, Data!M556,"")</f>
        <v/>
      </c>
      <c r="AB564" s="134" t="str">
        <f>IF(Data!$B556='Team Parser'!$B$1,((Z564*2)+(Y564)+(X564*4)+(W564*2)),"")</f>
        <v/>
      </c>
      <c r="AC564" s="134" t="str">
        <f>IF(Data!$B556='Team Parser'!$B$1, Data!N556,"")</f>
        <v/>
      </c>
      <c r="AD564" s="139" t="str">
        <f>IF(Data!$B556='Team Parser'!$B$1,(AB564+(COUNTIF(AC564,"TRAVERSE")*15)+(COUNTIF(AC564,"HIGH")*10)+(COUNTIF(AC564,"MIDDLE")*6)+(COUNTIF(AC564,"LOW")*4)),"")</f>
        <v/>
      </c>
    </row>
    <row r="565">
      <c r="A565" s="141" t="s">
        <v>507</v>
      </c>
      <c r="B565" s="134" t="str">
        <f>IFERROR(__xludf.DUMMYFUNCTION("IFERROR((FILTER(Data!H:H,Data!D:D=A565,Data!B:B=$B$1)),"""")"),"")</f>
        <v/>
      </c>
      <c r="C565" s="134" t="str">
        <f>IFERROR(__xludf.DUMMYFUNCTION("IFERROR((FILTER(Data!G:G,Data!D:D=A565,Data!B:B=$B$1)),"""")"),"")</f>
        <v/>
      </c>
      <c r="D565" s="134" t="str">
        <f>IFERROR(__xludf.DUMMYFUNCTION("IFERROR((FILTER(Data!J:J,Data!D:D=A565,Data!B:B=$B$1)),"""")"),"")</f>
        <v/>
      </c>
      <c r="E565" s="134" t="str">
        <f>IFERROR(__xludf.DUMMYFUNCTION("IFERROR((FILTER(Data!L:L,Data!D:D=A565,Data!B:B=$B$1)),"""")"),"")</f>
        <v/>
      </c>
      <c r="F565" s="134" t="str">
        <f>IFERROR(__xludf.DUMMYFUNCTION("IFERROR((FILTER(Data!K:K,Data!D:D=A565,Data!B:B=$B$1)),"""")"),"")</f>
        <v/>
      </c>
      <c r="G565" s="134" t="str">
        <f>IFERROR(__xludf.DUMMYFUNCTION("IFERROR((FILTER(Data!M:M,Data!D:D=A565,Data!B:B=$B$1)),"""")"),"")</f>
        <v/>
      </c>
      <c r="H565" s="134" t="str">
        <f>IFERROR(__xludf.DUMMYFUNCTION("IFERROR((FILTER(Data!G:G,Data!D:D=A565,Data!B:B=$B$1)*4)+(FILTER(Data!H:H,Data!D:D=A565,Data!B:B=$B$1)*2),"""")"),"")</f>
        <v/>
      </c>
      <c r="I565" s="15" t="str">
        <f>IFERROR(__xludf.DUMMYFUNCTION("IFERROR((FILTER(Data!K:K,Data!D:D=A565,Data!B:B=$B$1)*2)+(FILTER(Data!L:L,Data!D:D=A565,Data!B:B=$B$1)),"""")"),"")</f>
        <v/>
      </c>
      <c r="J565" s="134" t="str">
        <f>IFERROR(__xludf.DUMMYFUNCTION("IFERROR((FILTER(Data!N:N,Data!D:D=A565,Data!B:B=$B$1)),"""")"),"")</f>
        <v/>
      </c>
      <c r="K565" s="135" t="str">
        <f>IFERROR(__xludf.DUMMYFUNCTION("IFERROR((FILTER(Data!H:H,Data!D:D=A565,Data!B:B=$B$1)*2)+(FILTER(Data!L:L,Data!D:D=A565,Data!B:B=$B$1))+(FILTER(Data!G:G,Data!D:D=A565,Data!B:B=$B$1)*4)+(FILTER(Data!K:K,Data!D:D=A565,Data!B:B=$B$1)*2)+(((COUNTIF(FILTER(Data!N:N,Data!D:D=A565,Data!B:B=$B$"&amp;"1),""TRAVERSE"")*15)+(COUNTIF(FILTER(Data!N:N,Data!D:D=A565,Data!B:B=$B$1),""HIGH"")*10)+(COUNTIF(FILTER(Data!N:N,Data!D:D=A565,Data!B:B=$B$1),""MIDDLE"")*6)+(COUNTIF(FILTER(Data!N:N,Data!D:D=A565,Data!B:B=$B$1),""LOW"")*4))),"""")"),"")</f>
        <v/>
      </c>
      <c r="L565" s="136" t="str">
        <f>IFERROR(__xludf.DUMMYFUNCTION("IFERROR((FILTER(Data!P:P,Data!D:D=A565,Data!B:B=$B$1)),"""")"),"")</f>
        <v/>
      </c>
      <c r="M565" s="137" t="str">
        <f>IFERROR(__xludf.DUMMYFUNCTION("IFERROR((FILTER(Data!A:A,Data!D:D=A565,Data!B:B=$B$1)),"""")"),"")</f>
        <v/>
      </c>
      <c r="T565" s="52">
        <f>IFERROR(__xludf.DUMMYFUNCTION("((COUNTIF(FILTER(Data!N:N,Data!D:D=A565,Data!B:B=$B$1),""TRAVERSE"")*15)+(COUNTIF(FILTER(Data!N:N,Data!D:D=A565,Data!B:B=B$1),""HIGH"")*10)+(COUNTIF(FILTER(Data!N:N,Data!D:D=A565,Data!B:B=$B$1),""MIDDLE"")*6)+(COUNTIF(FILTER(Data!N:N,Data!D:D=A565,Data!B:"&amp;"B=$B$1),""LOW"")*4))"),0.0)</f>
        <v>0</v>
      </c>
      <c r="V565" s="138" t="str">
        <f>IF(Data!B557='Team Parser'!$B$1, Data!D557,"")</f>
        <v/>
      </c>
      <c r="W565" s="134" t="str">
        <f>IF(Data!$B557='Team Parser'!$B$1, Data!H557,"")</f>
        <v/>
      </c>
      <c r="X565" s="134" t="str">
        <f>IF(Data!$B557='Team Parser'!$B$1, Data!G557,"")</f>
        <v/>
      </c>
      <c r="Y565" s="134" t="str">
        <f>IF(Data!$B557='Team Parser'!$B$1, Data!L557,"")</f>
        <v/>
      </c>
      <c r="Z565" s="134" t="str">
        <f>IF(Data!$B557='Team Parser'!$B$1, Data!K557,"")</f>
        <v/>
      </c>
      <c r="AA565" s="134" t="str">
        <f>IF(Data!$B557='Team Parser'!$B$1, Data!M557,"")</f>
        <v/>
      </c>
      <c r="AB565" s="134" t="str">
        <f>IF(Data!$B557='Team Parser'!$B$1,((Z565*2)+(Y565)+(X565*4)+(W565*2)),"")</f>
        <v/>
      </c>
      <c r="AC565" s="134" t="str">
        <f>IF(Data!$B557='Team Parser'!$B$1, Data!N557,"")</f>
        <v/>
      </c>
      <c r="AD565" s="139" t="str">
        <f>IF(Data!$B557='Team Parser'!$B$1,(AB565+(COUNTIF(AC565,"TRAVERSE")*15)+(COUNTIF(AC565,"HIGH")*10)+(COUNTIF(AC565,"MIDDLE")*6)+(COUNTIF(AC565,"LOW")*4)),"")</f>
        <v/>
      </c>
    </row>
    <row r="566">
      <c r="A566" s="141" t="s">
        <v>507</v>
      </c>
      <c r="B566" s="134" t="str">
        <f>IFERROR(__xludf.DUMMYFUNCTION("IFERROR((FILTER(Data!H:H,Data!D:D=A566,Data!B:B=$B$1)),"""")"),"")</f>
        <v/>
      </c>
      <c r="C566" s="134" t="str">
        <f>IFERROR(__xludf.DUMMYFUNCTION("IFERROR((FILTER(Data!G:G,Data!D:D=A566,Data!B:B=$B$1)),"""")"),"")</f>
        <v/>
      </c>
      <c r="D566" s="134" t="str">
        <f>IFERROR(__xludf.DUMMYFUNCTION("IFERROR((FILTER(Data!J:J,Data!D:D=A566,Data!B:B=$B$1)),"""")"),"")</f>
        <v/>
      </c>
      <c r="E566" s="134" t="str">
        <f>IFERROR(__xludf.DUMMYFUNCTION("IFERROR((FILTER(Data!L:L,Data!D:D=A566,Data!B:B=$B$1)),"""")"),"")</f>
        <v/>
      </c>
      <c r="F566" s="134" t="str">
        <f>IFERROR(__xludf.DUMMYFUNCTION("IFERROR((FILTER(Data!K:K,Data!D:D=A566,Data!B:B=$B$1)),"""")"),"")</f>
        <v/>
      </c>
      <c r="G566" s="134" t="str">
        <f>IFERROR(__xludf.DUMMYFUNCTION("IFERROR((FILTER(Data!M:M,Data!D:D=A566,Data!B:B=$B$1)),"""")"),"")</f>
        <v/>
      </c>
      <c r="H566" s="134" t="str">
        <f>IFERROR(__xludf.DUMMYFUNCTION("IFERROR((FILTER(Data!G:G,Data!D:D=A566,Data!B:B=$B$1)*4)+(FILTER(Data!H:H,Data!D:D=A566,Data!B:B=$B$1)*2),"""")"),"")</f>
        <v/>
      </c>
      <c r="I566" s="15" t="str">
        <f>IFERROR(__xludf.DUMMYFUNCTION("IFERROR((FILTER(Data!K:K,Data!D:D=A566,Data!B:B=$B$1)*2)+(FILTER(Data!L:L,Data!D:D=A566,Data!B:B=$B$1)),"""")"),"")</f>
        <v/>
      </c>
      <c r="J566" s="134" t="str">
        <f>IFERROR(__xludf.DUMMYFUNCTION("IFERROR((FILTER(Data!N:N,Data!D:D=A566,Data!B:B=$B$1)),"""")"),"")</f>
        <v/>
      </c>
      <c r="K566" s="135" t="str">
        <f>IFERROR(__xludf.DUMMYFUNCTION("IFERROR((FILTER(Data!H:H,Data!D:D=A566,Data!B:B=$B$1)*2)+(FILTER(Data!L:L,Data!D:D=A566,Data!B:B=$B$1))+(FILTER(Data!G:G,Data!D:D=A566,Data!B:B=$B$1)*4)+(FILTER(Data!K:K,Data!D:D=A566,Data!B:B=$B$1)*2)+(((COUNTIF(FILTER(Data!N:N,Data!D:D=A566,Data!B:B=$B$"&amp;"1),""TRAVERSE"")*15)+(COUNTIF(FILTER(Data!N:N,Data!D:D=A566,Data!B:B=$B$1),""HIGH"")*10)+(COUNTIF(FILTER(Data!N:N,Data!D:D=A566,Data!B:B=$B$1),""MIDDLE"")*6)+(COUNTIF(FILTER(Data!N:N,Data!D:D=A566,Data!B:B=$B$1),""LOW"")*4))),"""")"),"")</f>
        <v/>
      </c>
      <c r="L566" s="136" t="str">
        <f>IFERROR(__xludf.DUMMYFUNCTION("IFERROR((FILTER(Data!P:P,Data!D:D=A566,Data!B:B=$B$1)),"""")"),"")</f>
        <v/>
      </c>
      <c r="M566" s="137" t="str">
        <f>IFERROR(__xludf.DUMMYFUNCTION("IFERROR((FILTER(Data!A:A,Data!D:D=A566,Data!B:B=$B$1)),"""")"),"")</f>
        <v/>
      </c>
      <c r="T566" s="52">
        <f>IFERROR(__xludf.DUMMYFUNCTION("((COUNTIF(FILTER(Data!N:N,Data!D:D=A566,Data!B:B=$B$1),""TRAVERSE"")*15)+(COUNTIF(FILTER(Data!N:N,Data!D:D=A566,Data!B:B=B$1),""HIGH"")*10)+(COUNTIF(FILTER(Data!N:N,Data!D:D=A566,Data!B:B=$B$1),""MIDDLE"")*6)+(COUNTIF(FILTER(Data!N:N,Data!D:D=A566,Data!B:"&amp;"B=$B$1),""LOW"")*4))"),0.0)</f>
        <v>0</v>
      </c>
      <c r="V566" s="138" t="str">
        <f>IF(Data!B558='Team Parser'!$B$1, Data!D558,"")</f>
        <v/>
      </c>
      <c r="W566" s="134" t="str">
        <f>IF(Data!$B558='Team Parser'!$B$1, Data!H558,"")</f>
        <v/>
      </c>
      <c r="X566" s="134" t="str">
        <f>IF(Data!$B558='Team Parser'!$B$1, Data!G558,"")</f>
        <v/>
      </c>
      <c r="Y566" s="134" t="str">
        <f>IF(Data!$B558='Team Parser'!$B$1, Data!L558,"")</f>
        <v/>
      </c>
      <c r="Z566" s="134" t="str">
        <f>IF(Data!$B558='Team Parser'!$B$1, Data!K558,"")</f>
        <v/>
      </c>
      <c r="AA566" s="134" t="str">
        <f>IF(Data!$B558='Team Parser'!$B$1, Data!M558,"")</f>
        <v/>
      </c>
      <c r="AB566" s="134" t="str">
        <f>IF(Data!$B558='Team Parser'!$B$1,((Z566*2)+(Y566)+(X566*4)+(W566*2)),"")</f>
        <v/>
      </c>
      <c r="AC566" s="134" t="str">
        <f>IF(Data!$B558='Team Parser'!$B$1, Data!N558,"")</f>
        <v/>
      </c>
      <c r="AD566" s="139" t="str">
        <f>IF(Data!$B558='Team Parser'!$B$1,(AB566+(COUNTIF(AC566,"TRAVERSE")*15)+(COUNTIF(AC566,"HIGH")*10)+(COUNTIF(AC566,"MIDDLE")*6)+(COUNTIF(AC566,"LOW")*4)),"")</f>
        <v/>
      </c>
    </row>
    <row r="567">
      <c r="A567" s="141" t="s">
        <v>507</v>
      </c>
      <c r="B567" s="134" t="str">
        <f>IFERROR(__xludf.DUMMYFUNCTION("IFERROR((FILTER(Data!H:H,Data!D:D=A567,Data!B:B=$B$1)),"""")"),"")</f>
        <v/>
      </c>
      <c r="C567" s="134" t="str">
        <f>IFERROR(__xludf.DUMMYFUNCTION("IFERROR((FILTER(Data!G:G,Data!D:D=A567,Data!B:B=$B$1)),"""")"),"")</f>
        <v/>
      </c>
      <c r="D567" s="134" t="str">
        <f>IFERROR(__xludf.DUMMYFUNCTION("IFERROR((FILTER(Data!J:J,Data!D:D=A567,Data!B:B=$B$1)),"""")"),"")</f>
        <v/>
      </c>
      <c r="E567" s="134" t="str">
        <f>IFERROR(__xludf.DUMMYFUNCTION("IFERROR((FILTER(Data!L:L,Data!D:D=A567,Data!B:B=$B$1)),"""")"),"")</f>
        <v/>
      </c>
      <c r="F567" s="134" t="str">
        <f>IFERROR(__xludf.DUMMYFUNCTION("IFERROR((FILTER(Data!K:K,Data!D:D=A567,Data!B:B=$B$1)),"""")"),"")</f>
        <v/>
      </c>
      <c r="G567" s="134" t="str">
        <f>IFERROR(__xludf.DUMMYFUNCTION("IFERROR((FILTER(Data!M:M,Data!D:D=A567,Data!B:B=$B$1)),"""")"),"")</f>
        <v/>
      </c>
      <c r="H567" s="134" t="str">
        <f>IFERROR(__xludf.DUMMYFUNCTION("IFERROR((FILTER(Data!G:G,Data!D:D=A567,Data!B:B=$B$1)*4)+(FILTER(Data!H:H,Data!D:D=A567,Data!B:B=$B$1)*2),"""")"),"")</f>
        <v/>
      </c>
      <c r="I567" s="15" t="str">
        <f>IFERROR(__xludf.DUMMYFUNCTION("IFERROR((FILTER(Data!K:K,Data!D:D=A567,Data!B:B=$B$1)*2)+(FILTER(Data!L:L,Data!D:D=A567,Data!B:B=$B$1)),"""")"),"")</f>
        <v/>
      </c>
      <c r="J567" s="134" t="str">
        <f>IFERROR(__xludf.DUMMYFUNCTION("IFERROR((FILTER(Data!N:N,Data!D:D=A567,Data!B:B=$B$1)),"""")"),"")</f>
        <v/>
      </c>
      <c r="K567" s="135" t="str">
        <f>IFERROR(__xludf.DUMMYFUNCTION("IFERROR((FILTER(Data!H:H,Data!D:D=A567,Data!B:B=$B$1)*2)+(FILTER(Data!L:L,Data!D:D=A567,Data!B:B=$B$1))+(FILTER(Data!G:G,Data!D:D=A567,Data!B:B=$B$1)*4)+(FILTER(Data!K:K,Data!D:D=A567,Data!B:B=$B$1)*2)+(((COUNTIF(FILTER(Data!N:N,Data!D:D=A567,Data!B:B=$B$"&amp;"1),""TRAVERSE"")*15)+(COUNTIF(FILTER(Data!N:N,Data!D:D=A567,Data!B:B=$B$1),""HIGH"")*10)+(COUNTIF(FILTER(Data!N:N,Data!D:D=A567,Data!B:B=$B$1),""MIDDLE"")*6)+(COUNTIF(FILTER(Data!N:N,Data!D:D=A567,Data!B:B=$B$1),""LOW"")*4))),"""")"),"")</f>
        <v/>
      </c>
      <c r="L567" s="136" t="str">
        <f>IFERROR(__xludf.DUMMYFUNCTION("IFERROR((FILTER(Data!P:P,Data!D:D=A567,Data!B:B=$B$1)),"""")"),"")</f>
        <v/>
      </c>
      <c r="M567" s="137" t="str">
        <f>IFERROR(__xludf.DUMMYFUNCTION("IFERROR((FILTER(Data!A:A,Data!D:D=A567,Data!B:B=$B$1)),"""")"),"")</f>
        <v/>
      </c>
      <c r="T567" s="52">
        <f>IFERROR(__xludf.DUMMYFUNCTION("((COUNTIF(FILTER(Data!N:N,Data!D:D=A567,Data!B:B=$B$1),""TRAVERSE"")*15)+(COUNTIF(FILTER(Data!N:N,Data!D:D=A567,Data!B:B=B$1),""HIGH"")*10)+(COUNTIF(FILTER(Data!N:N,Data!D:D=A567,Data!B:B=$B$1),""MIDDLE"")*6)+(COUNTIF(FILTER(Data!N:N,Data!D:D=A567,Data!B:"&amp;"B=$B$1),""LOW"")*4))"),0.0)</f>
        <v>0</v>
      </c>
      <c r="V567" s="138" t="str">
        <f>IF(Data!B559='Team Parser'!$B$1, Data!D559,"")</f>
        <v/>
      </c>
      <c r="W567" s="134" t="str">
        <f>IF(Data!$B559='Team Parser'!$B$1, Data!H559,"")</f>
        <v/>
      </c>
      <c r="X567" s="134" t="str">
        <f>IF(Data!$B559='Team Parser'!$B$1, Data!G559,"")</f>
        <v/>
      </c>
      <c r="Y567" s="134" t="str">
        <f>IF(Data!$B559='Team Parser'!$B$1, Data!L559,"")</f>
        <v/>
      </c>
      <c r="Z567" s="134" t="str">
        <f>IF(Data!$B559='Team Parser'!$B$1, Data!K559,"")</f>
        <v/>
      </c>
      <c r="AA567" s="134" t="str">
        <f>IF(Data!$B559='Team Parser'!$B$1, Data!M559,"")</f>
        <v/>
      </c>
      <c r="AB567" s="134" t="str">
        <f>IF(Data!$B559='Team Parser'!$B$1,((Z567*2)+(Y567)+(X567*4)+(W567*2)),"")</f>
        <v/>
      </c>
      <c r="AC567" s="134" t="str">
        <f>IF(Data!$B559='Team Parser'!$B$1, Data!N559,"")</f>
        <v/>
      </c>
      <c r="AD567" s="139" t="str">
        <f>IF(Data!$B559='Team Parser'!$B$1,(AB567+(COUNTIF(AC567,"TRAVERSE")*15)+(COUNTIF(AC567,"HIGH")*10)+(COUNTIF(AC567,"MIDDLE")*6)+(COUNTIF(AC567,"LOW")*4)),"")</f>
        <v/>
      </c>
    </row>
    <row r="568">
      <c r="A568" s="141" t="s">
        <v>507</v>
      </c>
      <c r="B568" s="134" t="str">
        <f>IFERROR(__xludf.DUMMYFUNCTION("IFERROR((FILTER(Data!H:H,Data!D:D=A568,Data!B:B=$B$1)),"""")"),"")</f>
        <v/>
      </c>
      <c r="C568" s="134" t="str">
        <f>IFERROR(__xludf.DUMMYFUNCTION("IFERROR((FILTER(Data!G:G,Data!D:D=A568,Data!B:B=$B$1)),"""")"),"")</f>
        <v/>
      </c>
      <c r="D568" s="134" t="str">
        <f>IFERROR(__xludf.DUMMYFUNCTION("IFERROR((FILTER(Data!J:J,Data!D:D=A568,Data!B:B=$B$1)),"""")"),"")</f>
        <v/>
      </c>
      <c r="E568" s="134" t="str">
        <f>IFERROR(__xludf.DUMMYFUNCTION("IFERROR((FILTER(Data!L:L,Data!D:D=A568,Data!B:B=$B$1)),"""")"),"")</f>
        <v/>
      </c>
      <c r="F568" s="134" t="str">
        <f>IFERROR(__xludf.DUMMYFUNCTION("IFERROR((FILTER(Data!K:K,Data!D:D=A568,Data!B:B=$B$1)),"""")"),"")</f>
        <v/>
      </c>
      <c r="G568" s="134" t="str">
        <f>IFERROR(__xludf.DUMMYFUNCTION("IFERROR((FILTER(Data!M:M,Data!D:D=A568,Data!B:B=$B$1)),"""")"),"")</f>
        <v/>
      </c>
      <c r="H568" s="134" t="str">
        <f>IFERROR(__xludf.DUMMYFUNCTION("IFERROR((FILTER(Data!G:G,Data!D:D=A568,Data!B:B=$B$1)*4)+(FILTER(Data!H:H,Data!D:D=A568,Data!B:B=$B$1)*2),"""")"),"")</f>
        <v/>
      </c>
      <c r="I568" s="15" t="str">
        <f>IFERROR(__xludf.DUMMYFUNCTION("IFERROR((FILTER(Data!K:K,Data!D:D=A568,Data!B:B=$B$1)*2)+(FILTER(Data!L:L,Data!D:D=A568,Data!B:B=$B$1)),"""")"),"")</f>
        <v/>
      </c>
      <c r="J568" s="134" t="str">
        <f>IFERROR(__xludf.DUMMYFUNCTION("IFERROR((FILTER(Data!N:N,Data!D:D=A568,Data!B:B=$B$1)),"""")"),"")</f>
        <v/>
      </c>
      <c r="K568" s="135" t="str">
        <f>IFERROR(__xludf.DUMMYFUNCTION("IFERROR((FILTER(Data!H:H,Data!D:D=A568,Data!B:B=$B$1)*2)+(FILTER(Data!L:L,Data!D:D=A568,Data!B:B=$B$1))+(FILTER(Data!G:G,Data!D:D=A568,Data!B:B=$B$1)*4)+(FILTER(Data!K:K,Data!D:D=A568,Data!B:B=$B$1)*2)+(((COUNTIF(FILTER(Data!N:N,Data!D:D=A568,Data!B:B=$B$"&amp;"1),""TRAVERSE"")*15)+(COUNTIF(FILTER(Data!N:N,Data!D:D=A568,Data!B:B=$B$1),""HIGH"")*10)+(COUNTIF(FILTER(Data!N:N,Data!D:D=A568,Data!B:B=$B$1),""MIDDLE"")*6)+(COUNTIF(FILTER(Data!N:N,Data!D:D=A568,Data!B:B=$B$1),""LOW"")*4))),"""")"),"")</f>
        <v/>
      </c>
      <c r="L568" s="136" t="str">
        <f>IFERROR(__xludf.DUMMYFUNCTION("IFERROR((FILTER(Data!P:P,Data!D:D=A568,Data!B:B=$B$1)),"""")"),"")</f>
        <v/>
      </c>
      <c r="M568" s="137" t="str">
        <f>IFERROR(__xludf.DUMMYFUNCTION("IFERROR((FILTER(Data!A:A,Data!D:D=A568,Data!B:B=$B$1)),"""")"),"")</f>
        <v/>
      </c>
      <c r="T568" s="52">
        <f>IFERROR(__xludf.DUMMYFUNCTION("((COUNTIF(FILTER(Data!N:N,Data!D:D=A568,Data!B:B=$B$1),""TRAVERSE"")*15)+(COUNTIF(FILTER(Data!N:N,Data!D:D=A568,Data!B:B=B$1),""HIGH"")*10)+(COUNTIF(FILTER(Data!N:N,Data!D:D=A568,Data!B:B=$B$1),""MIDDLE"")*6)+(COUNTIF(FILTER(Data!N:N,Data!D:D=A568,Data!B:"&amp;"B=$B$1),""LOW"")*4))"),0.0)</f>
        <v>0</v>
      </c>
      <c r="V568" s="138" t="str">
        <f>IF(Data!B560='Team Parser'!$B$1, Data!D560,"")</f>
        <v/>
      </c>
      <c r="W568" s="134" t="str">
        <f>IF(Data!$B560='Team Parser'!$B$1, Data!H560,"")</f>
        <v/>
      </c>
      <c r="X568" s="134" t="str">
        <f>IF(Data!$B560='Team Parser'!$B$1, Data!G560,"")</f>
        <v/>
      </c>
      <c r="Y568" s="134" t="str">
        <f>IF(Data!$B560='Team Parser'!$B$1, Data!L560,"")</f>
        <v/>
      </c>
      <c r="Z568" s="134" t="str">
        <f>IF(Data!$B560='Team Parser'!$B$1, Data!K560,"")</f>
        <v/>
      </c>
      <c r="AA568" s="134" t="str">
        <f>IF(Data!$B560='Team Parser'!$B$1, Data!M560,"")</f>
        <v/>
      </c>
      <c r="AB568" s="134" t="str">
        <f>IF(Data!$B560='Team Parser'!$B$1,((Z568*2)+(Y568)+(X568*4)+(W568*2)),"")</f>
        <v/>
      </c>
      <c r="AC568" s="134" t="str">
        <f>IF(Data!$B560='Team Parser'!$B$1, Data!N560,"")</f>
        <v/>
      </c>
      <c r="AD568" s="139" t="str">
        <f>IF(Data!$B560='Team Parser'!$B$1,(AB568+(COUNTIF(AC568,"TRAVERSE")*15)+(COUNTIF(AC568,"HIGH")*10)+(COUNTIF(AC568,"MIDDLE")*6)+(COUNTIF(AC568,"LOW")*4)),"")</f>
        <v/>
      </c>
    </row>
    <row r="569">
      <c r="A569" s="141" t="s">
        <v>507</v>
      </c>
      <c r="B569" s="134" t="str">
        <f>IFERROR(__xludf.DUMMYFUNCTION("IFERROR((FILTER(Data!H:H,Data!D:D=A569,Data!B:B=$B$1)),"""")"),"")</f>
        <v/>
      </c>
      <c r="C569" s="134" t="str">
        <f>IFERROR(__xludf.DUMMYFUNCTION("IFERROR((FILTER(Data!G:G,Data!D:D=A569,Data!B:B=$B$1)),"""")"),"")</f>
        <v/>
      </c>
      <c r="D569" s="134" t="str">
        <f>IFERROR(__xludf.DUMMYFUNCTION("IFERROR((FILTER(Data!J:J,Data!D:D=A569,Data!B:B=$B$1)),"""")"),"")</f>
        <v/>
      </c>
      <c r="E569" s="134" t="str">
        <f>IFERROR(__xludf.DUMMYFUNCTION("IFERROR((FILTER(Data!L:L,Data!D:D=A569,Data!B:B=$B$1)),"""")"),"")</f>
        <v/>
      </c>
      <c r="F569" s="134" t="str">
        <f>IFERROR(__xludf.DUMMYFUNCTION("IFERROR((FILTER(Data!K:K,Data!D:D=A569,Data!B:B=$B$1)),"""")"),"")</f>
        <v/>
      </c>
      <c r="G569" s="134" t="str">
        <f>IFERROR(__xludf.DUMMYFUNCTION("IFERROR((FILTER(Data!M:M,Data!D:D=A569,Data!B:B=$B$1)),"""")"),"")</f>
        <v/>
      </c>
      <c r="H569" s="134" t="str">
        <f>IFERROR(__xludf.DUMMYFUNCTION("IFERROR((FILTER(Data!G:G,Data!D:D=A569,Data!B:B=$B$1)*4)+(FILTER(Data!H:H,Data!D:D=A569,Data!B:B=$B$1)*2),"""")"),"")</f>
        <v/>
      </c>
      <c r="I569" s="15" t="str">
        <f>IFERROR(__xludf.DUMMYFUNCTION("IFERROR((FILTER(Data!K:K,Data!D:D=A569,Data!B:B=$B$1)*2)+(FILTER(Data!L:L,Data!D:D=A569,Data!B:B=$B$1)),"""")"),"")</f>
        <v/>
      </c>
      <c r="J569" s="134" t="str">
        <f>IFERROR(__xludf.DUMMYFUNCTION("IFERROR((FILTER(Data!N:N,Data!D:D=A569,Data!B:B=$B$1)),"""")"),"")</f>
        <v/>
      </c>
      <c r="K569" s="135" t="str">
        <f>IFERROR(__xludf.DUMMYFUNCTION("IFERROR((FILTER(Data!H:H,Data!D:D=A569,Data!B:B=$B$1)*2)+(FILTER(Data!L:L,Data!D:D=A569,Data!B:B=$B$1))+(FILTER(Data!G:G,Data!D:D=A569,Data!B:B=$B$1)*4)+(FILTER(Data!K:K,Data!D:D=A569,Data!B:B=$B$1)*2)+(((COUNTIF(FILTER(Data!N:N,Data!D:D=A569,Data!B:B=$B$"&amp;"1),""TRAVERSE"")*15)+(COUNTIF(FILTER(Data!N:N,Data!D:D=A569,Data!B:B=$B$1),""HIGH"")*10)+(COUNTIF(FILTER(Data!N:N,Data!D:D=A569,Data!B:B=$B$1),""MIDDLE"")*6)+(COUNTIF(FILTER(Data!N:N,Data!D:D=A569,Data!B:B=$B$1),""LOW"")*4))),"""")"),"")</f>
        <v/>
      </c>
      <c r="L569" s="136" t="str">
        <f>IFERROR(__xludf.DUMMYFUNCTION("IFERROR((FILTER(Data!P:P,Data!D:D=A569,Data!B:B=$B$1)),"""")"),"")</f>
        <v/>
      </c>
      <c r="M569" s="137" t="str">
        <f>IFERROR(__xludf.DUMMYFUNCTION("IFERROR((FILTER(Data!A:A,Data!D:D=A569,Data!B:B=$B$1)),"""")"),"")</f>
        <v/>
      </c>
      <c r="T569" s="52">
        <f>IFERROR(__xludf.DUMMYFUNCTION("((COUNTIF(FILTER(Data!N:N,Data!D:D=A569,Data!B:B=$B$1),""TRAVERSE"")*15)+(COUNTIF(FILTER(Data!N:N,Data!D:D=A569,Data!B:B=B$1),""HIGH"")*10)+(COUNTIF(FILTER(Data!N:N,Data!D:D=A569,Data!B:B=$B$1),""MIDDLE"")*6)+(COUNTIF(FILTER(Data!N:N,Data!D:D=A569,Data!B:"&amp;"B=$B$1),""LOW"")*4))"),0.0)</f>
        <v>0</v>
      </c>
      <c r="V569" s="138" t="str">
        <f>IF(Data!B561='Team Parser'!$B$1, Data!D561,"")</f>
        <v/>
      </c>
      <c r="W569" s="134" t="str">
        <f>IF(Data!$B561='Team Parser'!$B$1, Data!H561,"")</f>
        <v/>
      </c>
      <c r="X569" s="134" t="str">
        <f>IF(Data!$B561='Team Parser'!$B$1, Data!G561,"")</f>
        <v/>
      </c>
      <c r="Y569" s="134" t="str">
        <f>IF(Data!$B561='Team Parser'!$B$1, Data!L561,"")</f>
        <v/>
      </c>
      <c r="Z569" s="134" t="str">
        <f>IF(Data!$B561='Team Parser'!$B$1, Data!K561,"")</f>
        <v/>
      </c>
      <c r="AA569" s="134" t="str">
        <f>IF(Data!$B561='Team Parser'!$B$1, Data!M561,"")</f>
        <v/>
      </c>
      <c r="AB569" s="134" t="str">
        <f>IF(Data!$B561='Team Parser'!$B$1,((Z569*2)+(Y569)+(X569*4)+(W569*2)),"")</f>
        <v/>
      </c>
      <c r="AC569" s="134" t="str">
        <f>IF(Data!$B561='Team Parser'!$B$1, Data!N561,"")</f>
        <v/>
      </c>
      <c r="AD569" s="139" t="str">
        <f>IF(Data!$B561='Team Parser'!$B$1,(AB569+(COUNTIF(AC569,"TRAVERSE")*15)+(COUNTIF(AC569,"HIGH")*10)+(COUNTIF(AC569,"MIDDLE")*6)+(COUNTIF(AC569,"LOW")*4)),"")</f>
        <v/>
      </c>
    </row>
    <row r="570">
      <c r="A570" s="141" t="s">
        <v>507</v>
      </c>
      <c r="B570" s="134" t="str">
        <f>IFERROR(__xludf.DUMMYFUNCTION("IFERROR((FILTER(Data!H:H,Data!D:D=A570,Data!B:B=$B$1)),"""")"),"")</f>
        <v/>
      </c>
      <c r="C570" s="134" t="str">
        <f>IFERROR(__xludf.DUMMYFUNCTION("IFERROR((FILTER(Data!G:G,Data!D:D=A570,Data!B:B=$B$1)),"""")"),"")</f>
        <v/>
      </c>
      <c r="D570" s="134" t="str">
        <f>IFERROR(__xludf.DUMMYFUNCTION("IFERROR((FILTER(Data!J:J,Data!D:D=A570,Data!B:B=$B$1)),"""")"),"")</f>
        <v/>
      </c>
      <c r="E570" s="134" t="str">
        <f>IFERROR(__xludf.DUMMYFUNCTION("IFERROR((FILTER(Data!L:L,Data!D:D=A570,Data!B:B=$B$1)),"""")"),"")</f>
        <v/>
      </c>
      <c r="F570" s="134" t="str">
        <f>IFERROR(__xludf.DUMMYFUNCTION("IFERROR((FILTER(Data!K:K,Data!D:D=A570,Data!B:B=$B$1)),"""")"),"")</f>
        <v/>
      </c>
      <c r="G570" s="134" t="str">
        <f>IFERROR(__xludf.DUMMYFUNCTION("IFERROR((FILTER(Data!M:M,Data!D:D=A570,Data!B:B=$B$1)),"""")"),"")</f>
        <v/>
      </c>
      <c r="H570" s="134" t="str">
        <f>IFERROR(__xludf.DUMMYFUNCTION("IFERROR((FILTER(Data!G:G,Data!D:D=A570,Data!B:B=$B$1)*4)+(FILTER(Data!H:H,Data!D:D=A570,Data!B:B=$B$1)*2),"""")"),"")</f>
        <v/>
      </c>
      <c r="I570" s="15" t="str">
        <f>IFERROR(__xludf.DUMMYFUNCTION("IFERROR((FILTER(Data!K:K,Data!D:D=A570,Data!B:B=$B$1)*2)+(FILTER(Data!L:L,Data!D:D=A570,Data!B:B=$B$1)),"""")"),"")</f>
        <v/>
      </c>
      <c r="J570" s="134" t="str">
        <f>IFERROR(__xludf.DUMMYFUNCTION("IFERROR((FILTER(Data!N:N,Data!D:D=A570,Data!B:B=$B$1)),"""")"),"")</f>
        <v/>
      </c>
      <c r="K570" s="135" t="str">
        <f>IFERROR(__xludf.DUMMYFUNCTION("IFERROR((FILTER(Data!H:H,Data!D:D=A570,Data!B:B=$B$1)*2)+(FILTER(Data!L:L,Data!D:D=A570,Data!B:B=$B$1))+(FILTER(Data!G:G,Data!D:D=A570,Data!B:B=$B$1)*4)+(FILTER(Data!K:K,Data!D:D=A570,Data!B:B=$B$1)*2)+(((COUNTIF(FILTER(Data!N:N,Data!D:D=A570,Data!B:B=$B$"&amp;"1),""TRAVERSE"")*15)+(COUNTIF(FILTER(Data!N:N,Data!D:D=A570,Data!B:B=$B$1),""HIGH"")*10)+(COUNTIF(FILTER(Data!N:N,Data!D:D=A570,Data!B:B=$B$1),""MIDDLE"")*6)+(COUNTIF(FILTER(Data!N:N,Data!D:D=A570,Data!B:B=$B$1),""LOW"")*4))),"""")"),"")</f>
        <v/>
      </c>
      <c r="L570" s="136" t="str">
        <f>IFERROR(__xludf.DUMMYFUNCTION("IFERROR((FILTER(Data!P:P,Data!D:D=A570,Data!B:B=$B$1)),"""")"),"")</f>
        <v/>
      </c>
      <c r="M570" s="137" t="str">
        <f>IFERROR(__xludf.DUMMYFUNCTION("IFERROR((FILTER(Data!A:A,Data!D:D=A570,Data!B:B=$B$1)),"""")"),"")</f>
        <v/>
      </c>
      <c r="T570" s="52">
        <f>IFERROR(__xludf.DUMMYFUNCTION("((COUNTIF(FILTER(Data!N:N,Data!D:D=A570,Data!B:B=$B$1),""TRAVERSE"")*15)+(COUNTIF(FILTER(Data!N:N,Data!D:D=A570,Data!B:B=B$1),""HIGH"")*10)+(COUNTIF(FILTER(Data!N:N,Data!D:D=A570,Data!B:B=$B$1),""MIDDLE"")*6)+(COUNTIF(FILTER(Data!N:N,Data!D:D=A570,Data!B:"&amp;"B=$B$1),""LOW"")*4))"),0.0)</f>
        <v>0</v>
      </c>
      <c r="V570" s="138" t="str">
        <f>IF(Data!B562='Team Parser'!$B$1, Data!D562,"")</f>
        <v/>
      </c>
      <c r="W570" s="134" t="str">
        <f>IF(Data!$B562='Team Parser'!$B$1, Data!H562,"")</f>
        <v/>
      </c>
      <c r="X570" s="134" t="str">
        <f>IF(Data!$B562='Team Parser'!$B$1, Data!G562,"")</f>
        <v/>
      </c>
      <c r="Y570" s="134" t="str">
        <f>IF(Data!$B562='Team Parser'!$B$1, Data!L562,"")</f>
        <v/>
      </c>
      <c r="Z570" s="134" t="str">
        <f>IF(Data!$B562='Team Parser'!$B$1, Data!K562,"")</f>
        <v/>
      </c>
      <c r="AA570" s="134" t="str">
        <f>IF(Data!$B562='Team Parser'!$B$1, Data!M562,"")</f>
        <v/>
      </c>
      <c r="AB570" s="134" t="str">
        <f>IF(Data!$B562='Team Parser'!$B$1,((Z570*2)+(Y570)+(X570*4)+(W570*2)),"")</f>
        <v/>
      </c>
      <c r="AC570" s="134" t="str">
        <f>IF(Data!$B562='Team Parser'!$B$1, Data!N562,"")</f>
        <v/>
      </c>
      <c r="AD570" s="139" t="str">
        <f>IF(Data!$B562='Team Parser'!$B$1,(AB570+(COUNTIF(AC570,"TRAVERSE")*15)+(COUNTIF(AC570,"HIGH")*10)+(COUNTIF(AC570,"MIDDLE")*6)+(COUNTIF(AC570,"LOW")*4)),"")</f>
        <v/>
      </c>
    </row>
    <row r="571">
      <c r="A571" s="141" t="s">
        <v>507</v>
      </c>
      <c r="B571" s="134" t="str">
        <f>IFERROR(__xludf.DUMMYFUNCTION("IFERROR((FILTER(Data!H:H,Data!D:D=A571,Data!B:B=$B$1)),"""")"),"")</f>
        <v/>
      </c>
      <c r="C571" s="134" t="str">
        <f>IFERROR(__xludf.DUMMYFUNCTION("IFERROR((FILTER(Data!G:G,Data!D:D=A571,Data!B:B=$B$1)),"""")"),"")</f>
        <v/>
      </c>
      <c r="D571" s="134" t="str">
        <f>IFERROR(__xludf.DUMMYFUNCTION("IFERROR((FILTER(Data!J:J,Data!D:D=A571,Data!B:B=$B$1)),"""")"),"")</f>
        <v/>
      </c>
      <c r="E571" s="134" t="str">
        <f>IFERROR(__xludf.DUMMYFUNCTION("IFERROR((FILTER(Data!L:L,Data!D:D=A571,Data!B:B=$B$1)),"""")"),"")</f>
        <v/>
      </c>
      <c r="F571" s="134" t="str">
        <f>IFERROR(__xludf.DUMMYFUNCTION("IFERROR((FILTER(Data!K:K,Data!D:D=A571,Data!B:B=$B$1)),"""")"),"")</f>
        <v/>
      </c>
      <c r="G571" s="134" t="str">
        <f>IFERROR(__xludf.DUMMYFUNCTION("IFERROR((FILTER(Data!M:M,Data!D:D=A571,Data!B:B=$B$1)),"""")"),"")</f>
        <v/>
      </c>
      <c r="H571" s="134" t="str">
        <f>IFERROR(__xludf.DUMMYFUNCTION("IFERROR((FILTER(Data!G:G,Data!D:D=A571,Data!B:B=$B$1)*4)+(FILTER(Data!H:H,Data!D:D=A571,Data!B:B=$B$1)*2),"""")"),"")</f>
        <v/>
      </c>
      <c r="I571" s="15" t="str">
        <f>IFERROR(__xludf.DUMMYFUNCTION("IFERROR((FILTER(Data!K:K,Data!D:D=A571,Data!B:B=$B$1)*2)+(FILTER(Data!L:L,Data!D:D=A571,Data!B:B=$B$1)),"""")"),"")</f>
        <v/>
      </c>
      <c r="J571" s="134" t="str">
        <f>IFERROR(__xludf.DUMMYFUNCTION("IFERROR((FILTER(Data!N:N,Data!D:D=A571,Data!B:B=$B$1)),"""")"),"")</f>
        <v/>
      </c>
      <c r="K571" s="135" t="str">
        <f>IFERROR(__xludf.DUMMYFUNCTION("IFERROR((FILTER(Data!H:H,Data!D:D=A571,Data!B:B=$B$1)*2)+(FILTER(Data!L:L,Data!D:D=A571,Data!B:B=$B$1))+(FILTER(Data!G:G,Data!D:D=A571,Data!B:B=$B$1)*4)+(FILTER(Data!K:K,Data!D:D=A571,Data!B:B=$B$1)*2)+(((COUNTIF(FILTER(Data!N:N,Data!D:D=A571,Data!B:B=$B$"&amp;"1),""TRAVERSE"")*15)+(COUNTIF(FILTER(Data!N:N,Data!D:D=A571,Data!B:B=$B$1),""HIGH"")*10)+(COUNTIF(FILTER(Data!N:N,Data!D:D=A571,Data!B:B=$B$1),""MIDDLE"")*6)+(COUNTIF(FILTER(Data!N:N,Data!D:D=A571,Data!B:B=$B$1),""LOW"")*4))),"""")"),"")</f>
        <v/>
      </c>
      <c r="L571" s="136" t="str">
        <f>IFERROR(__xludf.DUMMYFUNCTION("IFERROR((FILTER(Data!P:P,Data!D:D=A571,Data!B:B=$B$1)),"""")"),"")</f>
        <v/>
      </c>
      <c r="M571" s="137" t="str">
        <f>IFERROR(__xludf.DUMMYFUNCTION("IFERROR((FILTER(Data!A:A,Data!D:D=A571,Data!B:B=$B$1)),"""")"),"")</f>
        <v/>
      </c>
      <c r="T571" s="52">
        <f>IFERROR(__xludf.DUMMYFUNCTION("((COUNTIF(FILTER(Data!N:N,Data!D:D=A571,Data!B:B=$B$1),""TRAVERSE"")*15)+(COUNTIF(FILTER(Data!N:N,Data!D:D=A571,Data!B:B=B$1),""HIGH"")*10)+(COUNTIF(FILTER(Data!N:N,Data!D:D=A571,Data!B:B=$B$1),""MIDDLE"")*6)+(COUNTIF(FILTER(Data!N:N,Data!D:D=A571,Data!B:"&amp;"B=$B$1),""LOW"")*4))"),0.0)</f>
        <v>0</v>
      </c>
      <c r="V571" s="138" t="str">
        <f>IF(Data!B563='Team Parser'!$B$1, Data!D563,"")</f>
        <v/>
      </c>
      <c r="W571" s="134" t="str">
        <f>IF(Data!$B563='Team Parser'!$B$1, Data!H563,"")</f>
        <v/>
      </c>
      <c r="X571" s="134" t="str">
        <f>IF(Data!$B563='Team Parser'!$B$1, Data!G563,"")</f>
        <v/>
      </c>
      <c r="Y571" s="134" t="str">
        <f>IF(Data!$B563='Team Parser'!$B$1, Data!L563,"")</f>
        <v/>
      </c>
      <c r="Z571" s="134" t="str">
        <f>IF(Data!$B563='Team Parser'!$B$1, Data!K563,"")</f>
        <v/>
      </c>
      <c r="AA571" s="134" t="str">
        <f>IF(Data!$B563='Team Parser'!$B$1, Data!M563,"")</f>
        <v/>
      </c>
      <c r="AB571" s="134" t="str">
        <f>IF(Data!$B563='Team Parser'!$B$1,((Z571*2)+(Y571)+(X571*4)+(W571*2)),"")</f>
        <v/>
      </c>
      <c r="AC571" s="134" t="str">
        <f>IF(Data!$B563='Team Parser'!$B$1, Data!N563,"")</f>
        <v/>
      </c>
      <c r="AD571" s="139" t="str">
        <f>IF(Data!$B563='Team Parser'!$B$1,(AB571+(COUNTIF(AC571,"TRAVERSE")*15)+(COUNTIF(AC571,"HIGH")*10)+(COUNTIF(AC571,"MIDDLE")*6)+(COUNTIF(AC571,"LOW")*4)),"")</f>
        <v/>
      </c>
    </row>
    <row r="572">
      <c r="A572" s="141" t="s">
        <v>507</v>
      </c>
      <c r="B572" s="134" t="str">
        <f>IFERROR(__xludf.DUMMYFUNCTION("IFERROR((FILTER(Data!H:H,Data!D:D=A572,Data!B:B=$B$1)),"""")"),"")</f>
        <v/>
      </c>
      <c r="C572" s="134" t="str">
        <f>IFERROR(__xludf.DUMMYFUNCTION("IFERROR((FILTER(Data!G:G,Data!D:D=A572,Data!B:B=$B$1)),"""")"),"")</f>
        <v/>
      </c>
      <c r="D572" s="134" t="str">
        <f>IFERROR(__xludf.DUMMYFUNCTION("IFERROR((FILTER(Data!J:J,Data!D:D=A572,Data!B:B=$B$1)),"""")"),"")</f>
        <v/>
      </c>
      <c r="E572" s="134" t="str">
        <f>IFERROR(__xludf.DUMMYFUNCTION("IFERROR((FILTER(Data!L:L,Data!D:D=A572,Data!B:B=$B$1)),"""")"),"")</f>
        <v/>
      </c>
      <c r="F572" s="134" t="str">
        <f>IFERROR(__xludf.DUMMYFUNCTION("IFERROR((FILTER(Data!K:K,Data!D:D=A572,Data!B:B=$B$1)),"""")"),"")</f>
        <v/>
      </c>
      <c r="G572" s="134" t="str">
        <f>IFERROR(__xludf.DUMMYFUNCTION("IFERROR((FILTER(Data!M:M,Data!D:D=A572,Data!B:B=$B$1)),"""")"),"")</f>
        <v/>
      </c>
      <c r="H572" s="134" t="str">
        <f>IFERROR(__xludf.DUMMYFUNCTION("IFERROR((FILTER(Data!G:G,Data!D:D=A572,Data!B:B=$B$1)*4)+(FILTER(Data!H:H,Data!D:D=A572,Data!B:B=$B$1)*2),"""")"),"")</f>
        <v/>
      </c>
      <c r="I572" s="15" t="str">
        <f>IFERROR(__xludf.DUMMYFUNCTION("IFERROR((FILTER(Data!K:K,Data!D:D=A572,Data!B:B=$B$1)*2)+(FILTER(Data!L:L,Data!D:D=A572,Data!B:B=$B$1)),"""")"),"")</f>
        <v/>
      </c>
      <c r="J572" s="134" t="str">
        <f>IFERROR(__xludf.DUMMYFUNCTION("IFERROR((FILTER(Data!N:N,Data!D:D=A572,Data!B:B=$B$1)),"""")"),"")</f>
        <v/>
      </c>
      <c r="K572" s="135" t="str">
        <f>IFERROR(__xludf.DUMMYFUNCTION("IFERROR((FILTER(Data!H:H,Data!D:D=A572,Data!B:B=$B$1)*2)+(FILTER(Data!L:L,Data!D:D=A572,Data!B:B=$B$1))+(FILTER(Data!G:G,Data!D:D=A572,Data!B:B=$B$1)*4)+(FILTER(Data!K:K,Data!D:D=A572,Data!B:B=$B$1)*2)+(((COUNTIF(FILTER(Data!N:N,Data!D:D=A572,Data!B:B=$B$"&amp;"1),""TRAVERSE"")*15)+(COUNTIF(FILTER(Data!N:N,Data!D:D=A572,Data!B:B=$B$1),""HIGH"")*10)+(COUNTIF(FILTER(Data!N:N,Data!D:D=A572,Data!B:B=$B$1),""MIDDLE"")*6)+(COUNTIF(FILTER(Data!N:N,Data!D:D=A572,Data!B:B=$B$1),""LOW"")*4))),"""")"),"")</f>
        <v/>
      </c>
      <c r="L572" s="136" t="str">
        <f>IFERROR(__xludf.DUMMYFUNCTION("IFERROR((FILTER(Data!P:P,Data!D:D=A572,Data!B:B=$B$1)),"""")"),"")</f>
        <v/>
      </c>
      <c r="M572" s="137" t="str">
        <f>IFERROR(__xludf.DUMMYFUNCTION("IFERROR((FILTER(Data!A:A,Data!D:D=A572,Data!B:B=$B$1)),"""")"),"")</f>
        <v/>
      </c>
      <c r="T572" s="52">
        <f>IFERROR(__xludf.DUMMYFUNCTION("((COUNTIF(FILTER(Data!N:N,Data!D:D=A572,Data!B:B=$B$1),""TRAVERSE"")*15)+(COUNTIF(FILTER(Data!N:N,Data!D:D=A572,Data!B:B=B$1),""HIGH"")*10)+(COUNTIF(FILTER(Data!N:N,Data!D:D=A572,Data!B:B=$B$1),""MIDDLE"")*6)+(COUNTIF(FILTER(Data!N:N,Data!D:D=A572,Data!B:"&amp;"B=$B$1),""LOW"")*4))"),0.0)</f>
        <v>0</v>
      </c>
      <c r="V572" s="138" t="str">
        <f>IF(Data!B564='Team Parser'!$B$1, Data!D564,"")</f>
        <v/>
      </c>
      <c r="W572" s="134" t="str">
        <f>IF(Data!$B564='Team Parser'!$B$1, Data!H564,"")</f>
        <v/>
      </c>
      <c r="X572" s="134" t="str">
        <f>IF(Data!$B564='Team Parser'!$B$1, Data!G564,"")</f>
        <v/>
      </c>
      <c r="Y572" s="134" t="str">
        <f>IF(Data!$B564='Team Parser'!$B$1, Data!L564,"")</f>
        <v/>
      </c>
      <c r="Z572" s="134" t="str">
        <f>IF(Data!$B564='Team Parser'!$B$1, Data!K564,"")</f>
        <v/>
      </c>
      <c r="AA572" s="134" t="str">
        <f>IF(Data!$B564='Team Parser'!$B$1, Data!M564,"")</f>
        <v/>
      </c>
      <c r="AB572" s="134" t="str">
        <f>IF(Data!$B564='Team Parser'!$B$1,((Z572*2)+(Y572)+(X572*4)+(W572*2)),"")</f>
        <v/>
      </c>
      <c r="AC572" s="134" t="str">
        <f>IF(Data!$B564='Team Parser'!$B$1, Data!N564,"")</f>
        <v/>
      </c>
      <c r="AD572" s="139" t="str">
        <f>IF(Data!$B564='Team Parser'!$B$1,(AB572+(COUNTIF(AC572,"TRAVERSE")*15)+(COUNTIF(AC572,"HIGH")*10)+(COUNTIF(AC572,"MIDDLE")*6)+(COUNTIF(AC572,"LOW")*4)),"")</f>
        <v/>
      </c>
    </row>
    <row r="573">
      <c r="A573" s="141" t="s">
        <v>507</v>
      </c>
      <c r="B573" s="134" t="str">
        <f>IFERROR(__xludf.DUMMYFUNCTION("IFERROR((FILTER(Data!H:H,Data!D:D=A573,Data!B:B=$B$1)),"""")"),"")</f>
        <v/>
      </c>
      <c r="C573" s="134" t="str">
        <f>IFERROR(__xludf.DUMMYFUNCTION("IFERROR((FILTER(Data!G:G,Data!D:D=A573,Data!B:B=$B$1)),"""")"),"")</f>
        <v/>
      </c>
      <c r="D573" s="134" t="str">
        <f>IFERROR(__xludf.DUMMYFUNCTION("IFERROR((FILTER(Data!J:J,Data!D:D=A573,Data!B:B=$B$1)),"""")"),"")</f>
        <v/>
      </c>
      <c r="E573" s="134" t="str">
        <f>IFERROR(__xludf.DUMMYFUNCTION("IFERROR((FILTER(Data!L:L,Data!D:D=A573,Data!B:B=$B$1)),"""")"),"")</f>
        <v/>
      </c>
      <c r="F573" s="134" t="str">
        <f>IFERROR(__xludf.DUMMYFUNCTION("IFERROR((FILTER(Data!K:K,Data!D:D=A573,Data!B:B=$B$1)),"""")"),"")</f>
        <v/>
      </c>
      <c r="G573" s="134" t="str">
        <f>IFERROR(__xludf.DUMMYFUNCTION("IFERROR((FILTER(Data!M:M,Data!D:D=A573,Data!B:B=$B$1)),"""")"),"")</f>
        <v/>
      </c>
      <c r="H573" s="134" t="str">
        <f>IFERROR(__xludf.DUMMYFUNCTION("IFERROR((FILTER(Data!G:G,Data!D:D=A573,Data!B:B=$B$1)*4)+(FILTER(Data!H:H,Data!D:D=A573,Data!B:B=$B$1)*2),"""")"),"")</f>
        <v/>
      </c>
      <c r="I573" s="15" t="str">
        <f>IFERROR(__xludf.DUMMYFUNCTION("IFERROR((FILTER(Data!K:K,Data!D:D=A573,Data!B:B=$B$1)*2)+(FILTER(Data!L:L,Data!D:D=A573,Data!B:B=$B$1)),"""")"),"")</f>
        <v/>
      </c>
      <c r="J573" s="134" t="str">
        <f>IFERROR(__xludf.DUMMYFUNCTION("IFERROR((FILTER(Data!N:N,Data!D:D=A573,Data!B:B=$B$1)),"""")"),"")</f>
        <v/>
      </c>
      <c r="K573" s="135" t="str">
        <f>IFERROR(__xludf.DUMMYFUNCTION("IFERROR((FILTER(Data!H:H,Data!D:D=A573,Data!B:B=$B$1)*2)+(FILTER(Data!L:L,Data!D:D=A573,Data!B:B=$B$1))+(FILTER(Data!G:G,Data!D:D=A573,Data!B:B=$B$1)*4)+(FILTER(Data!K:K,Data!D:D=A573,Data!B:B=$B$1)*2)+(((COUNTIF(FILTER(Data!N:N,Data!D:D=A573,Data!B:B=$B$"&amp;"1),""TRAVERSE"")*15)+(COUNTIF(FILTER(Data!N:N,Data!D:D=A573,Data!B:B=$B$1),""HIGH"")*10)+(COUNTIF(FILTER(Data!N:N,Data!D:D=A573,Data!B:B=$B$1),""MIDDLE"")*6)+(COUNTIF(FILTER(Data!N:N,Data!D:D=A573,Data!B:B=$B$1),""LOW"")*4))),"""")"),"")</f>
        <v/>
      </c>
      <c r="L573" s="136" t="str">
        <f>IFERROR(__xludf.DUMMYFUNCTION("IFERROR((FILTER(Data!P:P,Data!D:D=A573,Data!B:B=$B$1)),"""")"),"")</f>
        <v/>
      </c>
      <c r="M573" s="137" t="str">
        <f>IFERROR(__xludf.DUMMYFUNCTION("IFERROR((FILTER(Data!A:A,Data!D:D=A573,Data!B:B=$B$1)),"""")"),"")</f>
        <v/>
      </c>
      <c r="T573" s="52">
        <f>IFERROR(__xludf.DUMMYFUNCTION("((COUNTIF(FILTER(Data!N:N,Data!D:D=A573,Data!B:B=$B$1),""TRAVERSE"")*15)+(COUNTIF(FILTER(Data!N:N,Data!D:D=A573,Data!B:B=B$1),""HIGH"")*10)+(COUNTIF(FILTER(Data!N:N,Data!D:D=A573,Data!B:B=$B$1),""MIDDLE"")*6)+(COUNTIF(FILTER(Data!N:N,Data!D:D=A573,Data!B:"&amp;"B=$B$1),""LOW"")*4))"),0.0)</f>
        <v>0</v>
      </c>
      <c r="V573" s="138" t="str">
        <f>IF(Data!B565='Team Parser'!$B$1, Data!D565,"")</f>
        <v/>
      </c>
      <c r="W573" s="134" t="str">
        <f>IF(Data!$B565='Team Parser'!$B$1, Data!H565,"")</f>
        <v/>
      </c>
      <c r="X573" s="134" t="str">
        <f>IF(Data!$B565='Team Parser'!$B$1, Data!G565,"")</f>
        <v/>
      </c>
      <c r="Y573" s="134" t="str">
        <f>IF(Data!$B565='Team Parser'!$B$1, Data!L565,"")</f>
        <v/>
      </c>
      <c r="Z573" s="134" t="str">
        <f>IF(Data!$B565='Team Parser'!$B$1, Data!K565,"")</f>
        <v/>
      </c>
      <c r="AA573" s="134" t="str">
        <f>IF(Data!$B565='Team Parser'!$B$1, Data!M565,"")</f>
        <v/>
      </c>
      <c r="AB573" s="134" t="str">
        <f>IF(Data!$B565='Team Parser'!$B$1,((Z573*2)+(Y573)+(X573*4)+(W573*2)),"")</f>
        <v/>
      </c>
      <c r="AC573" s="134" t="str">
        <f>IF(Data!$B565='Team Parser'!$B$1, Data!N565,"")</f>
        <v/>
      </c>
      <c r="AD573" s="139" t="str">
        <f>IF(Data!$B565='Team Parser'!$B$1,(AB573+(COUNTIF(AC573,"TRAVERSE")*15)+(COUNTIF(AC573,"HIGH")*10)+(COUNTIF(AC573,"MIDDLE")*6)+(COUNTIF(AC573,"LOW")*4)),"")</f>
        <v/>
      </c>
    </row>
    <row r="574">
      <c r="A574" s="141" t="s">
        <v>507</v>
      </c>
      <c r="B574" s="134" t="str">
        <f>IFERROR(__xludf.DUMMYFUNCTION("IFERROR((FILTER(Data!H:H,Data!D:D=A574,Data!B:B=$B$1)),"""")"),"")</f>
        <v/>
      </c>
      <c r="C574" s="134" t="str">
        <f>IFERROR(__xludf.DUMMYFUNCTION("IFERROR((FILTER(Data!G:G,Data!D:D=A574,Data!B:B=$B$1)),"""")"),"")</f>
        <v/>
      </c>
      <c r="D574" s="134" t="str">
        <f>IFERROR(__xludf.DUMMYFUNCTION("IFERROR((FILTER(Data!J:J,Data!D:D=A574,Data!B:B=$B$1)),"""")"),"")</f>
        <v/>
      </c>
      <c r="E574" s="134" t="str">
        <f>IFERROR(__xludf.DUMMYFUNCTION("IFERROR((FILTER(Data!L:L,Data!D:D=A574,Data!B:B=$B$1)),"""")"),"")</f>
        <v/>
      </c>
      <c r="F574" s="134" t="str">
        <f>IFERROR(__xludf.DUMMYFUNCTION("IFERROR((FILTER(Data!K:K,Data!D:D=A574,Data!B:B=$B$1)),"""")"),"")</f>
        <v/>
      </c>
      <c r="G574" s="134" t="str">
        <f>IFERROR(__xludf.DUMMYFUNCTION("IFERROR((FILTER(Data!M:M,Data!D:D=A574,Data!B:B=$B$1)),"""")"),"")</f>
        <v/>
      </c>
      <c r="H574" s="134" t="str">
        <f>IFERROR(__xludf.DUMMYFUNCTION("IFERROR((FILTER(Data!G:G,Data!D:D=A574,Data!B:B=$B$1)*4)+(FILTER(Data!H:H,Data!D:D=A574,Data!B:B=$B$1)*2),"""")"),"")</f>
        <v/>
      </c>
      <c r="I574" s="15" t="str">
        <f>IFERROR(__xludf.DUMMYFUNCTION("IFERROR((FILTER(Data!K:K,Data!D:D=A574,Data!B:B=$B$1)*2)+(FILTER(Data!L:L,Data!D:D=A574,Data!B:B=$B$1)),"""")"),"")</f>
        <v/>
      </c>
      <c r="J574" s="134" t="str">
        <f>IFERROR(__xludf.DUMMYFUNCTION("IFERROR((FILTER(Data!N:N,Data!D:D=A574,Data!B:B=$B$1)),"""")"),"")</f>
        <v/>
      </c>
      <c r="K574" s="135" t="str">
        <f>IFERROR(__xludf.DUMMYFUNCTION("IFERROR((FILTER(Data!H:H,Data!D:D=A574,Data!B:B=$B$1)*2)+(FILTER(Data!L:L,Data!D:D=A574,Data!B:B=$B$1))+(FILTER(Data!G:G,Data!D:D=A574,Data!B:B=$B$1)*4)+(FILTER(Data!K:K,Data!D:D=A574,Data!B:B=$B$1)*2)+(((COUNTIF(FILTER(Data!N:N,Data!D:D=A574,Data!B:B=$B$"&amp;"1),""TRAVERSE"")*15)+(COUNTIF(FILTER(Data!N:N,Data!D:D=A574,Data!B:B=$B$1),""HIGH"")*10)+(COUNTIF(FILTER(Data!N:N,Data!D:D=A574,Data!B:B=$B$1),""MIDDLE"")*6)+(COUNTIF(FILTER(Data!N:N,Data!D:D=A574,Data!B:B=$B$1),""LOW"")*4))),"""")"),"")</f>
        <v/>
      </c>
      <c r="L574" s="136" t="str">
        <f>IFERROR(__xludf.DUMMYFUNCTION("IFERROR((FILTER(Data!P:P,Data!D:D=A574,Data!B:B=$B$1)),"""")"),"")</f>
        <v/>
      </c>
      <c r="M574" s="137" t="str">
        <f>IFERROR(__xludf.DUMMYFUNCTION("IFERROR((FILTER(Data!A:A,Data!D:D=A574,Data!B:B=$B$1)),"""")"),"")</f>
        <v/>
      </c>
      <c r="T574" s="52">
        <f>IFERROR(__xludf.DUMMYFUNCTION("((COUNTIF(FILTER(Data!N:N,Data!D:D=A574,Data!B:B=$B$1),""TRAVERSE"")*15)+(COUNTIF(FILTER(Data!N:N,Data!D:D=A574,Data!B:B=B$1),""HIGH"")*10)+(COUNTIF(FILTER(Data!N:N,Data!D:D=A574,Data!B:B=$B$1),""MIDDLE"")*6)+(COUNTIF(FILTER(Data!N:N,Data!D:D=A574,Data!B:"&amp;"B=$B$1),""LOW"")*4))"),0.0)</f>
        <v>0</v>
      </c>
      <c r="V574" s="138" t="str">
        <f>IF(Data!B566='Team Parser'!$B$1, Data!D566,"")</f>
        <v/>
      </c>
      <c r="W574" s="134" t="str">
        <f>IF(Data!$B566='Team Parser'!$B$1, Data!H566,"")</f>
        <v/>
      </c>
      <c r="X574" s="134" t="str">
        <f>IF(Data!$B566='Team Parser'!$B$1, Data!G566,"")</f>
        <v/>
      </c>
      <c r="Y574" s="134" t="str">
        <f>IF(Data!$B566='Team Parser'!$B$1, Data!L566,"")</f>
        <v/>
      </c>
      <c r="Z574" s="134" t="str">
        <f>IF(Data!$B566='Team Parser'!$B$1, Data!K566,"")</f>
        <v/>
      </c>
      <c r="AA574" s="134" t="str">
        <f>IF(Data!$B566='Team Parser'!$B$1, Data!M566,"")</f>
        <v/>
      </c>
      <c r="AB574" s="134" t="str">
        <f>IF(Data!$B566='Team Parser'!$B$1,((Z574*2)+(Y574)+(X574*4)+(W574*2)),"")</f>
        <v/>
      </c>
      <c r="AC574" s="134" t="str">
        <f>IF(Data!$B566='Team Parser'!$B$1, Data!N566,"")</f>
        <v/>
      </c>
      <c r="AD574" s="139" t="str">
        <f>IF(Data!$B566='Team Parser'!$B$1,(AB574+(COUNTIF(AC574,"TRAVERSE")*15)+(COUNTIF(AC574,"HIGH")*10)+(COUNTIF(AC574,"MIDDLE")*6)+(COUNTIF(AC574,"LOW")*4)),"")</f>
        <v/>
      </c>
    </row>
    <row r="575">
      <c r="A575" s="141" t="s">
        <v>507</v>
      </c>
      <c r="B575" s="134" t="str">
        <f>IFERROR(__xludf.DUMMYFUNCTION("IFERROR((FILTER(Data!H:H,Data!D:D=A575,Data!B:B=$B$1)),"""")"),"")</f>
        <v/>
      </c>
      <c r="C575" s="134" t="str">
        <f>IFERROR(__xludf.DUMMYFUNCTION("IFERROR((FILTER(Data!G:G,Data!D:D=A575,Data!B:B=$B$1)),"""")"),"")</f>
        <v/>
      </c>
      <c r="D575" s="134" t="str">
        <f>IFERROR(__xludf.DUMMYFUNCTION("IFERROR((FILTER(Data!J:J,Data!D:D=A575,Data!B:B=$B$1)),"""")"),"")</f>
        <v/>
      </c>
      <c r="E575" s="134" t="str">
        <f>IFERROR(__xludf.DUMMYFUNCTION("IFERROR((FILTER(Data!L:L,Data!D:D=A575,Data!B:B=$B$1)),"""")"),"")</f>
        <v/>
      </c>
      <c r="F575" s="134" t="str">
        <f>IFERROR(__xludf.DUMMYFUNCTION("IFERROR((FILTER(Data!K:K,Data!D:D=A575,Data!B:B=$B$1)),"""")"),"")</f>
        <v/>
      </c>
      <c r="G575" s="134" t="str">
        <f>IFERROR(__xludf.DUMMYFUNCTION("IFERROR((FILTER(Data!M:M,Data!D:D=A575,Data!B:B=$B$1)),"""")"),"")</f>
        <v/>
      </c>
      <c r="H575" s="134" t="str">
        <f>IFERROR(__xludf.DUMMYFUNCTION("IFERROR((FILTER(Data!G:G,Data!D:D=A575,Data!B:B=$B$1)*4)+(FILTER(Data!H:H,Data!D:D=A575,Data!B:B=$B$1)*2),"""")"),"")</f>
        <v/>
      </c>
      <c r="I575" s="15" t="str">
        <f>IFERROR(__xludf.DUMMYFUNCTION("IFERROR((FILTER(Data!K:K,Data!D:D=A575,Data!B:B=$B$1)*2)+(FILTER(Data!L:L,Data!D:D=A575,Data!B:B=$B$1)),"""")"),"")</f>
        <v/>
      </c>
      <c r="J575" s="134" t="str">
        <f>IFERROR(__xludf.DUMMYFUNCTION("IFERROR((FILTER(Data!N:N,Data!D:D=A575,Data!B:B=$B$1)),"""")"),"")</f>
        <v/>
      </c>
      <c r="K575" s="135" t="str">
        <f>IFERROR(__xludf.DUMMYFUNCTION("IFERROR((FILTER(Data!H:H,Data!D:D=A575,Data!B:B=$B$1)*2)+(FILTER(Data!L:L,Data!D:D=A575,Data!B:B=$B$1))+(FILTER(Data!G:G,Data!D:D=A575,Data!B:B=$B$1)*4)+(FILTER(Data!K:K,Data!D:D=A575,Data!B:B=$B$1)*2)+(((COUNTIF(FILTER(Data!N:N,Data!D:D=A575,Data!B:B=$B$"&amp;"1),""TRAVERSE"")*15)+(COUNTIF(FILTER(Data!N:N,Data!D:D=A575,Data!B:B=$B$1),""HIGH"")*10)+(COUNTIF(FILTER(Data!N:N,Data!D:D=A575,Data!B:B=$B$1),""MIDDLE"")*6)+(COUNTIF(FILTER(Data!N:N,Data!D:D=A575,Data!B:B=$B$1),""LOW"")*4))),"""")"),"")</f>
        <v/>
      </c>
      <c r="L575" s="136" t="str">
        <f>IFERROR(__xludf.DUMMYFUNCTION("IFERROR((FILTER(Data!P:P,Data!D:D=A575,Data!B:B=$B$1)),"""")"),"")</f>
        <v/>
      </c>
      <c r="M575" s="137" t="str">
        <f>IFERROR(__xludf.DUMMYFUNCTION("IFERROR((FILTER(Data!A:A,Data!D:D=A575,Data!B:B=$B$1)),"""")"),"")</f>
        <v/>
      </c>
      <c r="T575" s="52">
        <f>IFERROR(__xludf.DUMMYFUNCTION("((COUNTIF(FILTER(Data!N:N,Data!D:D=A575,Data!B:B=$B$1),""TRAVERSE"")*15)+(COUNTIF(FILTER(Data!N:N,Data!D:D=A575,Data!B:B=B$1),""HIGH"")*10)+(COUNTIF(FILTER(Data!N:N,Data!D:D=A575,Data!B:B=$B$1),""MIDDLE"")*6)+(COUNTIF(FILTER(Data!N:N,Data!D:D=A575,Data!B:"&amp;"B=$B$1),""LOW"")*4))"),0.0)</f>
        <v>0</v>
      </c>
      <c r="V575" s="138" t="str">
        <f>IF(Data!B567='Team Parser'!$B$1, Data!D567,"")</f>
        <v/>
      </c>
      <c r="W575" s="134" t="str">
        <f>IF(Data!$B567='Team Parser'!$B$1, Data!H567,"")</f>
        <v/>
      </c>
      <c r="X575" s="134" t="str">
        <f>IF(Data!$B567='Team Parser'!$B$1, Data!G567,"")</f>
        <v/>
      </c>
      <c r="Y575" s="134" t="str">
        <f>IF(Data!$B567='Team Parser'!$B$1, Data!L567,"")</f>
        <v/>
      </c>
      <c r="Z575" s="134" t="str">
        <f>IF(Data!$B567='Team Parser'!$B$1, Data!K567,"")</f>
        <v/>
      </c>
      <c r="AA575" s="134" t="str">
        <f>IF(Data!$B567='Team Parser'!$B$1, Data!M567,"")</f>
        <v/>
      </c>
      <c r="AB575" s="134" t="str">
        <f>IF(Data!$B567='Team Parser'!$B$1,((Z575*2)+(Y575)+(X575*4)+(W575*2)),"")</f>
        <v/>
      </c>
      <c r="AC575" s="134" t="str">
        <f>IF(Data!$B567='Team Parser'!$B$1, Data!N567,"")</f>
        <v/>
      </c>
      <c r="AD575" s="139" t="str">
        <f>IF(Data!$B567='Team Parser'!$B$1,(AB575+(COUNTIF(AC575,"TRAVERSE")*15)+(COUNTIF(AC575,"HIGH")*10)+(COUNTIF(AC575,"MIDDLE")*6)+(COUNTIF(AC575,"LOW")*4)),"")</f>
        <v/>
      </c>
    </row>
    <row r="576">
      <c r="A576" s="141" t="s">
        <v>507</v>
      </c>
      <c r="B576" s="134" t="str">
        <f>IFERROR(__xludf.DUMMYFUNCTION("IFERROR((FILTER(Data!H:H,Data!D:D=A576,Data!B:B=$B$1)),"""")"),"")</f>
        <v/>
      </c>
      <c r="C576" s="134" t="str">
        <f>IFERROR(__xludf.DUMMYFUNCTION("IFERROR((FILTER(Data!G:G,Data!D:D=A576,Data!B:B=$B$1)),"""")"),"")</f>
        <v/>
      </c>
      <c r="D576" s="134" t="str">
        <f>IFERROR(__xludf.DUMMYFUNCTION("IFERROR((FILTER(Data!J:J,Data!D:D=A576,Data!B:B=$B$1)),"""")"),"")</f>
        <v/>
      </c>
      <c r="E576" s="134" t="str">
        <f>IFERROR(__xludf.DUMMYFUNCTION("IFERROR((FILTER(Data!L:L,Data!D:D=A576,Data!B:B=$B$1)),"""")"),"")</f>
        <v/>
      </c>
      <c r="F576" s="134" t="str">
        <f>IFERROR(__xludf.DUMMYFUNCTION("IFERROR((FILTER(Data!K:K,Data!D:D=A576,Data!B:B=$B$1)),"""")"),"")</f>
        <v/>
      </c>
      <c r="G576" s="134" t="str">
        <f>IFERROR(__xludf.DUMMYFUNCTION("IFERROR((FILTER(Data!M:M,Data!D:D=A576,Data!B:B=$B$1)),"""")"),"")</f>
        <v/>
      </c>
      <c r="H576" s="134" t="str">
        <f>IFERROR(__xludf.DUMMYFUNCTION("IFERROR((FILTER(Data!G:G,Data!D:D=A576,Data!B:B=$B$1)*4)+(FILTER(Data!H:H,Data!D:D=A576,Data!B:B=$B$1)*2),"""")"),"")</f>
        <v/>
      </c>
      <c r="I576" s="15" t="str">
        <f>IFERROR(__xludf.DUMMYFUNCTION("IFERROR((FILTER(Data!K:K,Data!D:D=A576,Data!B:B=$B$1)*2)+(FILTER(Data!L:L,Data!D:D=A576,Data!B:B=$B$1)),"""")"),"")</f>
        <v/>
      </c>
      <c r="J576" s="134" t="str">
        <f>IFERROR(__xludf.DUMMYFUNCTION("IFERROR((FILTER(Data!N:N,Data!D:D=A576,Data!B:B=$B$1)),"""")"),"")</f>
        <v/>
      </c>
      <c r="K576" s="135" t="str">
        <f>IFERROR(__xludf.DUMMYFUNCTION("IFERROR((FILTER(Data!H:H,Data!D:D=A576,Data!B:B=$B$1)*2)+(FILTER(Data!L:L,Data!D:D=A576,Data!B:B=$B$1))+(FILTER(Data!G:G,Data!D:D=A576,Data!B:B=$B$1)*4)+(FILTER(Data!K:K,Data!D:D=A576,Data!B:B=$B$1)*2)+(((COUNTIF(FILTER(Data!N:N,Data!D:D=A576,Data!B:B=$B$"&amp;"1),""TRAVERSE"")*15)+(COUNTIF(FILTER(Data!N:N,Data!D:D=A576,Data!B:B=$B$1),""HIGH"")*10)+(COUNTIF(FILTER(Data!N:N,Data!D:D=A576,Data!B:B=$B$1),""MIDDLE"")*6)+(COUNTIF(FILTER(Data!N:N,Data!D:D=A576,Data!B:B=$B$1),""LOW"")*4))),"""")"),"")</f>
        <v/>
      </c>
      <c r="L576" s="136" t="str">
        <f>IFERROR(__xludf.DUMMYFUNCTION("IFERROR((FILTER(Data!P:P,Data!D:D=A576,Data!B:B=$B$1)),"""")"),"")</f>
        <v/>
      </c>
      <c r="M576" s="137" t="str">
        <f>IFERROR(__xludf.DUMMYFUNCTION("IFERROR((FILTER(Data!A:A,Data!D:D=A576,Data!B:B=$B$1)),"""")"),"")</f>
        <v/>
      </c>
      <c r="T576" s="52">
        <f>IFERROR(__xludf.DUMMYFUNCTION("((COUNTIF(FILTER(Data!N:N,Data!D:D=A576,Data!B:B=$B$1),""TRAVERSE"")*15)+(COUNTIF(FILTER(Data!N:N,Data!D:D=A576,Data!B:B=B$1),""HIGH"")*10)+(COUNTIF(FILTER(Data!N:N,Data!D:D=A576,Data!B:B=$B$1),""MIDDLE"")*6)+(COUNTIF(FILTER(Data!N:N,Data!D:D=A576,Data!B:"&amp;"B=$B$1),""LOW"")*4))"),0.0)</f>
        <v>0</v>
      </c>
      <c r="V576" s="138" t="str">
        <f>IF(Data!B568='Team Parser'!$B$1, Data!D568,"")</f>
        <v/>
      </c>
      <c r="W576" s="134" t="str">
        <f>IF(Data!$B568='Team Parser'!$B$1, Data!H568,"")</f>
        <v/>
      </c>
      <c r="X576" s="134" t="str">
        <f>IF(Data!$B568='Team Parser'!$B$1, Data!G568,"")</f>
        <v/>
      </c>
      <c r="Y576" s="134" t="str">
        <f>IF(Data!$B568='Team Parser'!$B$1, Data!L568,"")</f>
        <v/>
      </c>
      <c r="Z576" s="134" t="str">
        <f>IF(Data!$B568='Team Parser'!$B$1, Data!K568,"")</f>
        <v/>
      </c>
      <c r="AA576" s="134" t="str">
        <f>IF(Data!$B568='Team Parser'!$B$1, Data!M568,"")</f>
        <v/>
      </c>
      <c r="AB576" s="134" t="str">
        <f>IF(Data!$B568='Team Parser'!$B$1,((Z576*2)+(Y576)+(X576*4)+(W576*2)),"")</f>
        <v/>
      </c>
      <c r="AC576" s="134" t="str">
        <f>IF(Data!$B568='Team Parser'!$B$1, Data!N568,"")</f>
        <v/>
      </c>
      <c r="AD576" s="139" t="str">
        <f>IF(Data!$B568='Team Parser'!$B$1,(AB576+(COUNTIF(AC576,"TRAVERSE")*15)+(COUNTIF(AC576,"HIGH")*10)+(COUNTIF(AC576,"MIDDLE")*6)+(COUNTIF(AC576,"LOW")*4)),"")</f>
        <v/>
      </c>
    </row>
    <row r="577">
      <c r="A577" s="141" t="s">
        <v>507</v>
      </c>
      <c r="B577" s="134" t="str">
        <f>IFERROR(__xludf.DUMMYFUNCTION("IFERROR((FILTER(Data!H:H,Data!D:D=A577,Data!B:B=$B$1)),"""")"),"")</f>
        <v/>
      </c>
      <c r="C577" s="134" t="str">
        <f>IFERROR(__xludf.DUMMYFUNCTION("IFERROR((FILTER(Data!G:G,Data!D:D=A577,Data!B:B=$B$1)),"""")"),"")</f>
        <v/>
      </c>
      <c r="D577" s="134" t="str">
        <f>IFERROR(__xludf.DUMMYFUNCTION("IFERROR((FILTER(Data!J:J,Data!D:D=A577,Data!B:B=$B$1)),"""")"),"")</f>
        <v/>
      </c>
      <c r="E577" s="134" t="str">
        <f>IFERROR(__xludf.DUMMYFUNCTION("IFERROR((FILTER(Data!L:L,Data!D:D=A577,Data!B:B=$B$1)),"""")"),"")</f>
        <v/>
      </c>
      <c r="F577" s="134" t="str">
        <f>IFERROR(__xludf.DUMMYFUNCTION("IFERROR((FILTER(Data!K:K,Data!D:D=A577,Data!B:B=$B$1)),"""")"),"")</f>
        <v/>
      </c>
      <c r="G577" s="134" t="str">
        <f>IFERROR(__xludf.DUMMYFUNCTION("IFERROR((FILTER(Data!M:M,Data!D:D=A577,Data!B:B=$B$1)),"""")"),"")</f>
        <v/>
      </c>
      <c r="H577" s="134" t="str">
        <f>IFERROR(__xludf.DUMMYFUNCTION("IFERROR((FILTER(Data!G:G,Data!D:D=A577,Data!B:B=$B$1)*4)+(FILTER(Data!H:H,Data!D:D=A577,Data!B:B=$B$1)*2),"""")"),"")</f>
        <v/>
      </c>
      <c r="I577" s="15" t="str">
        <f>IFERROR(__xludf.DUMMYFUNCTION("IFERROR((FILTER(Data!K:K,Data!D:D=A577,Data!B:B=$B$1)*2)+(FILTER(Data!L:L,Data!D:D=A577,Data!B:B=$B$1)),"""")"),"")</f>
        <v/>
      </c>
      <c r="J577" s="134" t="str">
        <f>IFERROR(__xludf.DUMMYFUNCTION("IFERROR((FILTER(Data!N:N,Data!D:D=A577,Data!B:B=$B$1)),"""")"),"")</f>
        <v/>
      </c>
      <c r="K577" s="135" t="str">
        <f>IFERROR(__xludf.DUMMYFUNCTION("IFERROR((FILTER(Data!H:H,Data!D:D=A577,Data!B:B=$B$1)*2)+(FILTER(Data!L:L,Data!D:D=A577,Data!B:B=$B$1))+(FILTER(Data!G:G,Data!D:D=A577,Data!B:B=$B$1)*4)+(FILTER(Data!K:K,Data!D:D=A577,Data!B:B=$B$1)*2)+(((COUNTIF(FILTER(Data!N:N,Data!D:D=A577,Data!B:B=$B$"&amp;"1),""TRAVERSE"")*15)+(COUNTIF(FILTER(Data!N:N,Data!D:D=A577,Data!B:B=$B$1),""HIGH"")*10)+(COUNTIF(FILTER(Data!N:N,Data!D:D=A577,Data!B:B=$B$1),""MIDDLE"")*6)+(COUNTIF(FILTER(Data!N:N,Data!D:D=A577,Data!B:B=$B$1),""LOW"")*4))),"""")"),"")</f>
        <v/>
      </c>
      <c r="L577" s="136" t="str">
        <f>IFERROR(__xludf.DUMMYFUNCTION("IFERROR((FILTER(Data!P:P,Data!D:D=A577,Data!B:B=$B$1)),"""")"),"")</f>
        <v/>
      </c>
      <c r="M577" s="137" t="str">
        <f>IFERROR(__xludf.DUMMYFUNCTION("IFERROR((FILTER(Data!A:A,Data!D:D=A577,Data!B:B=$B$1)),"""")"),"")</f>
        <v/>
      </c>
      <c r="T577" s="52">
        <f>IFERROR(__xludf.DUMMYFUNCTION("((COUNTIF(FILTER(Data!N:N,Data!D:D=A577,Data!B:B=$B$1),""TRAVERSE"")*15)+(COUNTIF(FILTER(Data!N:N,Data!D:D=A577,Data!B:B=B$1),""HIGH"")*10)+(COUNTIF(FILTER(Data!N:N,Data!D:D=A577,Data!B:B=$B$1),""MIDDLE"")*6)+(COUNTIF(FILTER(Data!N:N,Data!D:D=A577,Data!B:"&amp;"B=$B$1),""LOW"")*4))"),0.0)</f>
        <v>0</v>
      </c>
      <c r="V577" s="138" t="str">
        <f>IF(Data!B569='Team Parser'!$B$1, Data!D569,"")</f>
        <v/>
      </c>
      <c r="W577" s="134" t="str">
        <f>IF(Data!$B569='Team Parser'!$B$1, Data!H569,"")</f>
        <v/>
      </c>
      <c r="X577" s="134" t="str">
        <f>IF(Data!$B569='Team Parser'!$B$1, Data!G569,"")</f>
        <v/>
      </c>
      <c r="Y577" s="134" t="str">
        <f>IF(Data!$B569='Team Parser'!$B$1, Data!L569,"")</f>
        <v/>
      </c>
      <c r="Z577" s="134" t="str">
        <f>IF(Data!$B569='Team Parser'!$B$1, Data!K569,"")</f>
        <v/>
      </c>
      <c r="AA577" s="134" t="str">
        <f>IF(Data!$B569='Team Parser'!$B$1, Data!M569,"")</f>
        <v/>
      </c>
      <c r="AB577" s="134" t="str">
        <f>IF(Data!$B569='Team Parser'!$B$1,((Z577*2)+(Y577)+(X577*4)+(W577*2)),"")</f>
        <v/>
      </c>
      <c r="AC577" s="134" t="str">
        <f>IF(Data!$B569='Team Parser'!$B$1, Data!N569,"")</f>
        <v/>
      </c>
      <c r="AD577" s="139" t="str">
        <f>IF(Data!$B569='Team Parser'!$B$1,(AB577+(COUNTIF(AC577,"TRAVERSE")*15)+(COUNTIF(AC577,"HIGH")*10)+(COUNTIF(AC577,"MIDDLE")*6)+(COUNTIF(AC577,"LOW")*4)),"")</f>
        <v/>
      </c>
    </row>
    <row r="578">
      <c r="A578" s="141" t="s">
        <v>507</v>
      </c>
      <c r="B578" s="134" t="str">
        <f>IFERROR(__xludf.DUMMYFUNCTION("IFERROR((FILTER(Data!H:H,Data!D:D=A578,Data!B:B=$B$1)),"""")"),"")</f>
        <v/>
      </c>
      <c r="C578" s="134" t="str">
        <f>IFERROR(__xludf.DUMMYFUNCTION("IFERROR((FILTER(Data!G:G,Data!D:D=A578,Data!B:B=$B$1)),"""")"),"")</f>
        <v/>
      </c>
      <c r="D578" s="134" t="str">
        <f>IFERROR(__xludf.DUMMYFUNCTION("IFERROR((FILTER(Data!J:J,Data!D:D=A578,Data!B:B=$B$1)),"""")"),"")</f>
        <v/>
      </c>
      <c r="E578" s="134" t="str">
        <f>IFERROR(__xludf.DUMMYFUNCTION("IFERROR((FILTER(Data!L:L,Data!D:D=A578,Data!B:B=$B$1)),"""")"),"")</f>
        <v/>
      </c>
      <c r="F578" s="134" t="str">
        <f>IFERROR(__xludf.DUMMYFUNCTION("IFERROR((FILTER(Data!K:K,Data!D:D=A578,Data!B:B=$B$1)),"""")"),"")</f>
        <v/>
      </c>
      <c r="G578" s="134" t="str">
        <f>IFERROR(__xludf.DUMMYFUNCTION("IFERROR((FILTER(Data!M:M,Data!D:D=A578,Data!B:B=$B$1)),"""")"),"")</f>
        <v/>
      </c>
      <c r="H578" s="134" t="str">
        <f>IFERROR(__xludf.DUMMYFUNCTION("IFERROR((FILTER(Data!G:G,Data!D:D=A578,Data!B:B=$B$1)*4)+(FILTER(Data!H:H,Data!D:D=A578,Data!B:B=$B$1)*2),"""")"),"")</f>
        <v/>
      </c>
      <c r="I578" s="15" t="str">
        <f>IFERROR(__xludf.DUMMYFUNCTION("IFERROR((FILTER(Data!K:K,Data!D:D=A578,Data!B:B=$B$1)*2)+(FILTER(Data!L:L,Data!D:D=A578,Data!B:B=$B$1)),"""")"),"")</f>
        <v/>
      </c>
      <c r="J578" s="134" t="str">
        <f>IFERROR(__xludf.DUMMYFUNCTION("IFERROR((FILTER(Data!N:N,Data!D:D=A578,Data!B:B=$B$1)),"""")"),"")</f>
        <v/>
      </c>
      <c r="K578" s="135" t="str">
        <f>IFERROR(__xludf.DUMMYFUNCTION("IFERROR((FILTER(Data!H:H,Data!D:D=A578,Data!B:B=$B$1)*2)+(FILTER(Data!L:L,Data!D:D=A578,Data!B:B=$B$1))+(FILTER(Data!G:G,Data!D:D=A578,Data!B:B=$B$1)*4)+(FILTER(Data!K:K,Data!D:D=A578,Data!B:B=$B$1)*2)+(((COUNTIF(FILTER(Data!N:N,Data!D:D=A578,Data!B:B=$B$"&amp;"1),""TRAVERSE"")*15)+(COUNTIF(FILTER(Data!N:N,Data!D:D=A578,Data!B:B=$B$1),""HIGH"")*10)+(COUNTIF(FILTER(Data!N:N,Data!D:D=A578,Data!B:B=$B$1),""MIDDLE"")*6)+(COUNTIF(FILTER(Data!N:N,Data!D:D=A578,Data!B:B=$B$1),""LOW"")*4))),"""")"),"")</f>
        <v/>
      </c>
      <c r="L578" s="136" t="str">
        <f>IFERROR(__xludf.DUMMYFUNCTION("IFERROR((FILTER(Data!P:P,Data!D:D=A578,Data!B:B=$B$1)),"""")"),"")</f>
        <v/>
      </c>
      <c r="M578" s="137" t="str">
        <f>IFERROR(__xludf.DUMMYFUNCTION("IFERROR((FILTER(Data!A:A,Data!D:D=A578,Data!B:B=$B$1)),"""")"),"")</f>
        <v/>
      </c>
      <c r="T578" s="52">
        <f>IFERROR(__xludf.DUMMYFUNCTION("((COUNTIF(FILTER(Data!N:N,Data!D:D=A578,Data!B:B=$B$1),""TRAVERSE"")*15)+(COUNTIF(FILTER(Data!N:N,Data!D:D=A578,Data!B:B=B$1),""HIGH"")*10)+(COUNTIF(FILTER(Data!N:N,Data!D:D=A578,Data!B:B=$B$1),""MIDDLE"")*6)+(COUNTIF(FILTER(Data!N:N,Data!D:D=A578,Data!B:"&amp;"B=$B$1),""LOW"")*4))"),0.0)</f>
        <v>0</v>
      </c>
      <c r="V578" s="138" t="str">
        <f>IF(Data!B570='Team Parser'!$B$1, Data!D570,"")</f>
        <v/>
      </c>
      <c r="W578" s="134" t="str">
        <f>IF(Data!$B570='Team Parser'!$B$1, Data!H570,"")</f>
        <v/>
      </c>
      <c r="X578" s="134" t="str">
        <f>IF(Data!$B570='Team Parser'!$B$1, Data!G570,"")</f>
        <v/>
      </c>
      <c r="Y578" s="134" t="str">
        <f>IF(Data!$B570='Team Parser'!$B$1, Data!L570,"")</f>
        <v/>
      </c>
      <c r="Z578" s="134" t="str">
        <f>IF(Data!$B570='Team Parser'!$B$1, Data!K570,"")</f>
        <v/>
      </c>
      <c r="AA578" s="134" t="str">
        <f>IF(Data!$B570='Team Parser'!$B$1, Data!M570,"")</f>
        <v/>
      </c>
      <c r="AB578" s="134" t="str">
        <f>IF(Data!$B570='Team Parser'!$B$1,((Z578*2)+(Y578)+(X578*4)+(W578*2)),"")</f>
        <v/>
      </c>
      <c r="AC578" s="134" t="str">
        <f>IF(Data!$B570='Team Parser'!$B$1, Data!N570,"")</f>
        <v/>
      </c>
      <c r="AD578" s="139" t="str">
        <f>IF(Data!$B570='Team Parser'!$B$1,(AB578+(COUNTIF(AC578,"TRAVERSE")*15)+(COUNTIF(AC578,"HIGH")*10)+(COUNTIF(AC578,"MIDDLE")*6)+(COUNTIF(AC578,"LOW")*4)),"")</f>
        <v/>
      </c>
    </row>
    <row r="579">
      <c r="A579" s="141" t="s">
        <v>507</v>
      </c>
      <c r="B579" s="134" t="str">
        <f>IFERROR(__xludf.DUMMYFUNCTION("IFERROR((FILTER(Data!H:H,Data!D:D=A579,Data!B:B=$B$1)),"""")"),"")</f>
        <v/>
      </c>
      <c r="C579" s="134" t="str">
        <f>IFERROR(__xludf.DUMMYFUNCTION("IFERROR((FILTER(Data!G:G,Data!D:D=A579,Data!B:B=$B$1)),"""")"),"")</f>
        <v/>
      </c>
      <c r="D579" s="134" t="str">
        <f>IFERROR(__xludf.DUMMYFUNCTION("IFERROR((FILTER(Data!J:J,Data!D:D=A579,Data!B:B=$B$1)),"""")"),"")</f>
        <v/>
      </c>
      <c r="E579" s="134" t="str">
        <f>IFERROR(__xludf.DUMMYFUNCTION("IFERROR((FILTER(Data!L:L,Data!D:D=A579,Data!B:B=$B$1)),"""")"),"")</f>
        <v/>
      </c>
      <c r="F579" s="134" t="str">
        <f>IFERROR(__xludf.DUMMYFUNCTION("IFERROR((FILTER(Data!K:K,Data!D:D=A579,Data!B:B=$B$1)),"""")"),"")</f>
        <v/>
      </c>
      <c r="G579" s="134" t="str">
        <f>IFERROR(__xludf.DUMMYFUNCTION("IFERROR((FILTER(Data!M:M,Data!D:D=A579,Data!B:B=$B$1)),"""")"),"")</f>
        <v/>
      </c>
      <c r="H579" s="134" t="str">
        <f>IFERROR(__xludf.DUMMYFUNCTION("IFERROR((FILTER(Data!G:G,Data!D:D=A579,Data!B:B=$B$1)*4)+(FILTER(Data!H:H,Data!D:D=A579,Data!B:B=$B$1)*2),"""")"),"")</f>
        <v/>
      </c>
      <c r="I579" s="15" t="str">
        <f>IFERROR(__xludf.DUMMYFUNCTION("IFERROR((FILTER(Data!K:K,Data!D:D=A579,Data!B:B=$B$1)*2)+(FILTER(Data!L:L,Data!D:D=A579,Data!B:B=$B$1)),"""")"),"")</f>
        <v/>
      </c>
      <c r="J579" s="134" t="str">
        <f>IFERROR(__xludf.DUMMYFUNCTION("IFERROR((FILTER(Data!N:N,Data!D:D=A579,Data!B:B=$B$1)),"""")"),"")</f>
        <v/>
      </c>
      <c r="K579" s="135" t="str">
        <f>IFERROR(__xludf.DUMMYFUNCTION("IFERROR((FILTER(Data!H:H,Data!D:D=A579,Data!B:B=$B$1)*2)+(FILTER(Data!L:L,Data!D:D=A579,Data!B:B=$B$1))+(FILTER(Data!G:G,Data!D:D=A579,Data!B:B=$B$1)*4)+(FILTER(Data!K:K,Data!D:D=A579,Data!B:B=$B$1)*2)+(((COUNTIF(FILTER(Data!N:N,Data!D:D=A579,Data!B:B=$B$"&amp;"1),""TRAVERSE"")*15)+(COUNTIF(FILTER(Data!N:N,Data!D:D=A579,Data!B:B=$B$1),""HIGH"")*10)+(COUNTIF(FILTER(Data!N:N,Data!D:D=A579,Data!B:B=$B$1),""MIDDLE"")*6)+(COUNTIF(FILTER(Data!N:N,Data!D:D=A579,Data!B:B=$B$1),""LOW"")*4))),"""")"),"")</f>
        <v/>
      </c>
      <c r="L579" s="136" t="str">
        <f>IFERROR(__xludf.DUMMYFUNCTION("IFERROR((FILTER(Data!P:P,Data!D:D=A579,Data!B:B=$B$1)),"""")"),"")</f>
        <v/>
      </c>
      <c r="M579" s="137" t="str">
        <f>IFERROR(__xludf.DUMMYFUNCTION("IFERROR((FILTER(Data!A:A,Data!D:D=A579,Data!B:B=$B$1)),"""")"),"")</f>
        <v/>
      </c>
      <c r="T579" s="52">
        <f>IFERROR(__xludf.DUMMYFUNCTION("((COUNTIF(FILTER(Data!N:N,Data!D:D=A579,Data!B:B=$B$1),""TRAVERSE"")*15)+(COUNTIF(FILTER(Data!N:N,Data!D:D=A579,Data!B:B=B$1),""HIGH"")*10)+(COUNTIF(FILTER(Data!N:N,Data!D:D=A579,Data!B:B=$B$1),""MIDDLE"")*6)+(COUNTIF(FILTER(Data!N:N,Data!D:D=A579,Data!B:"&amp;"B=$B$1),""LOW"")*4))"),0.0)</f>
        <v>0</v>
      </c>
      <c r="V579" s="138" t="str">
        <f>IF(Data!B571='Team Parser'!$B$1, Data!D571,"")</f>
        <v/>
      </c>
      <c r="W579" s="134" t="str">
        <f>IF(Data!$B571='Team Parser'!$B$1, Data!H571,"")</f>
        <v/>
      </c>
      <c r="X579" s="134" t="str">
        <f>IF(Data!$B571='Team Parser'!$B$1, Data!G571,"")</f>
        <v/>
      </c>
      <c r="Y579" s="134" t="str">
        <f>IF(Data!$B571='Team Parser'!$B$1, Data!L571,"")</f>
        <v/>
      </c>
      <c r="Z579" s="134" t="str">
        <f>IF(Data!$B571='Team Parser'!$B$1, Data!K571,"")</f>
        <v/>
      </c>
      <c r="AA579" s="134" t="str">
        <f>IF(Data!$B571='Team Parser'!$B$1, Data!M571,"")</f>
        <v/>
      </c>
      <c r="AB579" s="134" t="str">
        <f>IF(Data!$B571='Team Parser'!$B$1,((Z579*2)+(Y579)+(X579*4)+(W579*2)),"")</f>
        <v/>
      </c>
      <c r="AC579" s="134" t="str">
        <f>IF(Data!$B571='Team Parser'!$B$1, Data!N571,"")</f>
        <v/>
      </c>
      <c r="AD579" s="139" t="str">
        <f>IF(Data!$B571='Team Parser'!$B$1,(AB579+(COUNTIF(AC579,"TRAVERSE")*15)+(COUNTIF(AC579,"HIGH")*10)+(COUNTIF(AC579,"MIDDLE")*6)+(COUNTIF(AC579,"LOW")*4)),"")</f>
        <v/>
      </c>
    </row>
    <row r="580">
      <c r="A580" s="141" t="s">
        <v>507</v>
      </c>
      <c r="B580" s="134" t="str">
        <f>IFERROR(__xludf.DUMMYFUNCTION("IFERROR((FILTER(Data!H:H,Data!D:D=A580,Data!B:B=$B$1)),"""")"),"")</f>
        <v/>
      </c>
      <c r="C580" s="134" t="str">
        <f>IFERROR(__xludf.DUMMYFUNCTION("IFERROR((FILTER(Data!G:G,Data!D:D=A580,Data!B:B=$B$1)),"""")"),"")</f>
        <v/>
      </c>
      <c r="D580" s="134" t="str">
        <f>IFERROR(__xludf.DUMMYFUNCTION("IFERROR((FILTER(Data!J:J,Data!D:D=A580,Data!B:B=$B$1)),"""")"),"")</f>
        <v/>
      </c>
      <c r="E580" s="134" t="str">
        <f>IFERROR(__xludf.DUMMYFUNCTION("IFERROR((FILTER(Data!L:L,Data!D:D=A580,Data!B:B=$B$1)),"""")"),"")</f>
        <v/>
      </c>
      <c r="F580" s="134" t="str">
        <f>IFERROR(__xludf.DUMMYFUNCTION("IFERROR((FILTER(Data!K:K,Data!D:D=A580,Data!B:B=$B$1)),"""")"),"")</f>
        <v/>
      </c>
      <c r="G580" s="134" t="str">
        <f>IFERROR(__xludf.DUMMYFUNCTION("IFERROR((FILTER(Data!M:M,Data!D:D=A580,Data!B:B=$B$1)),"""")"),"")</f>
        <v/>
      </c>
      <c r="H580" s="134" t="str">
        <f>IFERROR(__xludf.DUMMYFUNCTION("IFERROR((FILTER(Data!G:G,Data!D:D=A580,Data!B:B=$B$1)*4)+(FILTER(Data!H:H,Data!D:D=A580,Data!B:B=$B$1)*2),"""")"),"")</f>
        <v/>
      </c>
      <c r="I580" s="15" t="str">
        <f>IFERROR(__xludf.DUMMYFUNCTION("IFERROR((FILTER(Data!K:K,Data!D:D=A580,Data!B:B=$B$1)*2)+(FILTER(Data!L:L,Data!D:D=A580,Data!B:B=$B$1)),"""")"),"")</f>
        <v/>
      </c>
      <c r="J580" s="134" t="str">
        <f>IFERROR(__xludf.DUMMYFUNCTION("IFERROR((FILTER(Data!N:N,Data!D:D=A580,Data!B:B=$B$1)),"""")"),"")</f>
        <v/>
      </c>
      <c r="K580" s="135" t="str">
        <f>IFERROR(__xludf.DUMMYFUNCTION("IFERROR((FILTER(Data!H:H,Data!D:D=A580,Data!B:B=$B$1)*2)+(FILTER(Data!L:L,Data!D:D=A580,Data!B:B=$B$1))+(FILTER(Data!G:G,Data!D:D=A580,Data!B:B=$B$1)*4)+(FILTER(Data!K:K,Data!D:D=A580,Data!B:B=$B$1)*2)+(((COUNTIF(FILTER(Data!N:N,Data!D:D=A580,Data!B:B=$B$"&amp;"1),""TRAVERSE"")*15)+(COUNTIF(FILTER(Data!N:N,Data!D:D=A580,Data!B:B=$B$1),""HIGH"")*10)+(COUNTIF(FILTER(Data!N:N,Data!D:D=A580,Data!B:B=$B$1),""MIDDLE"")*6)+(COUNTIF(FILTER(Data!N:N,Data!D:D=A580,Data!B:B=$B$1),""LOW"")*4))),"""")"),"")</f>
        <v/>
      </c>
      <c r="L580" s="136" t="str">
        <f>IFERROR(__xludf.DUMMYFUNCTION("IFERROR((FILTER(Data!P:P,Data!D:D=A580,Data!B:B=$B$1)),"""")"),"")</f>
        <v/>
      </c>
      <c r="M580" s="137" t="str">
        <f>IFERROR(__xludf.DUMMYFUNCTION("IFERROR((FILTER(Data!A:A,Data!D:D=A580,Data!B:B=$B$1)),"""")"),"")</f>
        <v/>
      </c>
      <c r="T580" s="52">
        <f>IFERROR(__xludf.DUMMYFUNCTION("((COUNTIF(FILTER(Data!N:N,Data!D:D=A580,Data!B:B=$B$1),""TRAVERSE"")*15)+(COUNTIF(FILTER(Data!N:N,Data!D:D=A580,Data!B:B=B$1),""HIGH"")*10)+(COUNTIF(FILTER(Data!N:N,Data!D:D=A580,Data!B:B=$B$1),""MIDDLE"")*6)+(COUNTIF(FILTER(Data!N:N,Data!D:D=A580,Data!B:"&amp;"B=$B$1),""LOW"")*4))"),0.0)</f>
        <v>0</v>
      </c>
      <c r="V580" s="138" t="str">
        <f>IF(Data!B572='Team Parser'!$B$1, Data!D572,"")</f>
        <v/>
      </c>
      <c r="W580" s="134" t="str">
        <f>IF(Data!$B572='Team Parser'!$B$1, Data!H572,"")</f>
        <v/>
      </c>
      <c r="X580" s="134" t="str">
        <f>IF(Data!$B572='Team Parser'!$B$1, Data!G572,"")</f>
        <v/>
      </c>
      <c r="Y580" s="134" t="str">
        <f>IF(Data!$B572='Team Parser'!$B$1, Data!L572,"")</f>
        <v/>
      </c>
      <c r="Z580" s="134" t="str">
        <f>IF(Data!$B572='Team Parser'!$B$1, Data!K572,"")</f>
        <v/>
      </c>
      <c r="AA580" s="134" t="str">
        <f>IF(Data!$B572='Team Parser'!$B$1, Data!M572,"")</f>
        <v/>
      </c>
      <c r="AB580" s="134" t="str">
        <f>IF(Data!$B572='Team Parser'!$B$1,((Z580*2)+(Y580)+(X580*4)+(W580*2)),"")</f>
        <v/>
      </c>
      <c r="AC580" s="134" t="str">
        <f>IF(Data!$B572='Team Parser'!$B$1, Data!N572,"")</f>
        <v/>
      </c>
      <c r="AD580" s="139" t="str">
        <f>IF(Data!$B572='Team Parser'!$B$1,(AB580+(COUNTIF(AC580,"TRAVERSE")*15)+(COUNTIF(AC580,"HIGH")*10)+(COUNTIF(AC580,"MIDDLE")*6)+(COUNTIF(AC580,"LOW")*4)),"")</f>
        <v/>
      </c>
    </row>
    <row r="581">
      <c r="A581" s="141" t="s">
        <v>507</v>
      </c>
      <c r="B581" s="134" t="str">
        <f>IFERROR(__xludf.DUMMYFUNCTION("IFERROR((FILTER(Data!H:H,Data!D:D=A581,Data!B:B=$B$1)),"""")"),"")</f>
        <v/>
      </c>
      <c r="C581" s="134" t="str">
        <f>IFERROR(__xludf.DUMMYFUNCTION("IFERROR((FILTER(Data!G:G,Data!D:D=A581,Data!B:B=$B$1)),"""")"),"")</f>
        <v/>
      </c>
      <c r="D581" s="134" t="str">
        <f>IFERROR(__xludf.DUMMYFUNCTION("IFERROR((FILTER(Data!J:J,Data!D:D=A581,Data!B:B=$B$1)),"""")"),"")</f>
        <v/>
      </c>
      <c r="E581" s="134" t="str">
        <f>IFERROR(__xludf.DUMMYFUNCTION("IFERROR((FILTER(Data!L:L,Data!D:D=A581,Data!B:B=$B$1)),"""")"),"")</f>
        <v/>
      </c>
      <c r="F581" s="134" t="str">
        <f>IFERROR(__xludf.DUMMYFUNCTION("IFERROR((FILTER(Data!K:K,Data!D:D=A581,Data!B:B=$B$1)),"""")"),"")</f>
        <v/>
      </c>
      <c r="G581" s="134" t="str">
        <f>IFERROR(__xludf.DUMMYFUNCTION("IFERROR((FILTER(Data!M:M,Data!D:D=A581,Data!B:B=$B$1)),"""")"),"")</f>
        <v/>
      </c>
      <c r="H581" s="134" t="str">
        <f>IFERROR(__xludf.DUMMYFUNCTION("IFERROR((FILTER(Data!G:G,Data!D:D=A581,Data!B:B=$B$1)*4)+(FILTER(Data!H:H,Data!D:D=A581,Data!B:B=$B$1)*2),"""")"),"")</f>
        <v/>
      </c>
      <c r="I581" s="15" t="str">
        <f>IFERROR(__xludf.DUMMYFUNCTION("IFERROR((FILTER(Data!K:K,Data!D:D=A581,Data!B:B=$B$1)*2)+(FILTER(Data!L:L,Data!D:D=A581,Data!B:B=$B$1)),"""")"),"")</f>
        <v/>
      </c>
      <c r="J581" s="134" t="str">
        <f>IFERROR(__xludf.DUMMYFUNCTION("IFERROR((FILTER(Data!N:N,Data!D:D=A581,Data!B:B=$B$1)),"""")"),"")</f>
        <v/>
      </c>
      <c r="K581" s="135" t="str">
        <f>IFERROR(__xludf.DUMMYFUNCTION("IFERROR((FILTER(Data!H:H,Data!D:D=A581,Data!B:B=$B$1)*2)+(FILTER(Data!L:L,Data!D:D=A581,Data!B:B=$B$1))+(FILTER(Data!G:G,Data!D:D=A581,Data!B:B=$B$1)*4)+(FILTER(Data!K:K,Data!D:D=A581,Data!B:B=$B$1)*2)+(((COUNTIF(FILTER(Data!N:N,Data!D:D=A581,Data!B:B=$B$"&amp;"1),""TRAVERSE"")*15)+(COUNTIF(FILTER(Data!N:N,Data!D:D=A581,Data!B:B=$B$1),""HIGH"")*10)+(COUNTIF(FILTER(Data!N:N,Data!D:D=A581,Data!B:B=$B$1),""MIDDLE"")*6)+(COUNTIF(FILTER(Data!N:N,Data!D:D=A581,Data!B:B=$B$1),""LOW"")*4))),"""")"),"")</f>
        <v/>
      </c>
      <c r="L581" s="136" t="str">
        <f>IFERROR(__xludf.DUMMYFUNCTION("IFERROR((FILTER(Data!P:P,Data!D:D=A581,Data!B:B=$B$1)),"""")"),"")</f>
        <v/>
      </c>
      <c r="M581" s="137" t="str">
        <f>IFERROR(__xludf.DUMMYFUNCTION("IFERROR((FILTER(Data!A:A,Data!D:D=A581,Data!B:B=$B$1)),"""")"),"")</f>
        <v/>
      </c>
      <c r="T581" s="52">
        <f>IFERROR(__xludf.DUMMYFUNCTION("((COUNTIF(FILTER(Data!N:N,Data!D:D=A581,Data!B:B=$B$1),""TRAVERSE"")*15)+(COUNTIF(FILTER(Data!N:N,Data!D:D=A581,Data!B:B=B$1),""HIGH"")*10)+(COUNTIF(FILTER(Data!N:N,Data!D:D=A581,Data!B:B=$B$1),""MIDDLE"")*6)+(COUNTIF(FILTER(Data!N:N,Data!D:D=A581,Data!B:"&amp;"B=$B$1),""LOW"")*4))"),0.0)</f>
        <v>0</v>
      </c>
      <c r="V581" s="138" t="str">
        <f>IF(Data!B573='Team Parser'!$B$1, Data!D573,"")</f>
        <v/>
      </c>
      <c r="W581" s="134" t="str">
        <f>IF(Data!$B573='Team Parser'!$B$1, Data!H573,"")</f>
        <v/>
      </c>
      <c r="X581" s="134" t="str">
        <f>IF(Data!$B573='Team Parser'!$B$1, Data!G573,"")</f>
        <v/>
      </c>
      <c r="Y581" s="134" t="str">
        <f>IF(Data!$B573='Team Parser'!$B$1, Data!L573,"")</f>
        <v/>
      </c>
      <c r="Z581" s="134" t="str">
        <f>IF(Data!$B573='Team Parser'!$B$1, Data!K573,"")</f>
        <v/>
      </c>
      <c r="AA581" s="134" t="str">
        <f>IF(Data!$B573='Team Parser'!$B$1, Data!M573,"")</f>
        <v/>
      </c>
      <c r="AB581" s="134" t="str">
        <f>IF(Data!$B573='Team Parser'!$B$1,((Z581*2)+(Y581)+(X581*4)+(W581*2)),"")</f>
        <v/>
      </c>
      <c r="AC581" s="134" t="str">
        <f>IF(Data!$B573='Team Parser'!$B$1, Data!N573,"")</f>
        <v/>
      </c>
      <c r="AD581" s="139" t="str">
        <f>IF(Data!$B573='Team Parser'!$B$1,(AB581+(COUNTIF(AC581,"TRAVERSE")*15)+(COUNTIF(AC581,"HIGH")*10)+(COUNTIF(AC581,"MIDDLE")*6)+(COUNTIF(AC581,"LOW")*4)),"")</f>
        <v/>
      </c>
    </row>
    <row r="582">
      <c r="A582" s="141" t="s">
        <v>507</v>
      </c>
      <c r="B582" s="134" t="str">
        <f>IFERROR(__xludf.DUMMYFUNCTION("IFERROR((FILTER(Data!H:H,Data!D:D=A582,Data!B:B=$B$1)),"""")"),"")</f>
        <v/>
      </c>
      <c r="C582" s="134" t="str">
        <f>IFERROR(__xludf.DUMMYFUNCTION("IFERROR((FILTER(Data!G:G,Data!D:D=A582,Data!B:B=$B$1)),"""")"),"")</f>
        <v/>
      </c>
      <c r="D582" s="134" t="str">
        <f>IFERROR(__xludf.DUMMYFUNCTION("IFERROR((FILTER(Data!J:J,Data!D:D=A582,Data!B:B=$B$1)),"""")"),"")</f>
        <v/>
      </c>
      <c r="E582" s="134" t="str">
        <f>IFERROR(__xludf.DUMMYFUNCTION("IFERROR((FILTER(Data!L:L,Data!D:D=A582,Data!B:B=$B$1)),"""")"),"")</f>
        <v/>
      </c>
      <c r="F582" s="134" t="str">
        <f>IFERROR(__xludf.DUMMYFUNCTION("IFERROR((FILTER(Data!K:K,Data!D:D=A582,Data!B:B=$B$1)),"""")"),"")</f>
        <v/>
      </c>
      <c r="G582" s="134" t="str">
        <f>IFERROR(__xludf.DUMMYFUNCTION("IFERROR((FILTER(Data!M:M,Data!D:D=A582,Data!B:B=$B$1)),"""")"),"")</f>
        <v/>
      </c>
      <c r="H582" s="134" t="str">
        <f>IFERROR(__xludf.DUMMYFUNCTION("IFERROR((FILTER(Data!G:G,Data!D:D=A582,Data!B:B=$B$1)*4)+(FILTER(Data!H:H,Data!D:D=A582,Data!B:B=$B$1)*2),"""")"),"")</f>
        <v/>
      </c>
      <c r="I582" s="15" t="str">
        <f>IFERROR(__xludf.DUMMYFUNCTION("IFERROR((FILTER(Data!K:K,Data!D:D=A582,Data!B:B=$B$1)*2)+(FILTER(Data!L:L,Data!D:D=A582,Data!B:B=$B$1)),"""")"),"")</f>
        <v/>
      </c>
      <c r="J582" s="134" t="str">
        <f>IFERROR(__xludf.DUMMYFUNCTION("IFERROR((FILTER(Data!N:N,Data!D:D=A582,Data!B:B=$B$1)),"""")"),"")</f>
        <v/>
      </c>
      <c r="K582" s="135" t="str">
        <f>IFERROR(__xludf.DUMMYFUNCTION("IFERROR((FILTER(Data!H:H,Data!D:D=A582,Data!B:B=$B$1)*2)+(FILTER(Data!L:L,Data!D:D=A582,Data!B:B=$B$1))+(FILTER(Data!G:G,Data!D:D=A582,Data!B:B=$B$1)*4)+(FILTER(Data!K:K,Data!D:D=A582,Data!B:B=$B$1)*2)+(((COUNTIF(FILTER(Data!N:N,Data!D:D=A582,Data!B:B=$B$"&amp;"1),""TRAVERSE"")*15)+(COUNTIF(FILTER(Data!N:N,Data!D:D=A582,Data!B:B=$B$1),""HIGH"")*10)+(COUNTIF(FILTER(Data!N:N,Data!D:D=A582,Data!B:B=$B$1),""MIDDLE"")*6)+(COUNTIF(FILTER(Data!N:N,Data!D:D=A582,Data!B:B=$B$1),""LOW"")*4))),"""")"),"")</f>
        <v/>
      </c>
      <c r="L582" s="136" t="str">
        <f>IFERROR(__xludf.DUMMYFUNCTION("IFERROR((FILTER(Data!P:P,Data!D:D=A582,Data!B:B=$B$1)),"""")"),"")</f>
        <v/>
      </c>
      <c r="M582" s="137" t="str">
        <f>IFERROR(__xludf.DUMMYFUNCTION("IFERROR((FILTER(Data!A:A,Data!D:D=A582,Data!B:B=$B$1)),"""")"),"")</f>
        <v/>
      </c>
      <c r="T582" s="52">
        <f>IFERROR(__xludf.DUMMYFUNCTION("((COUNTIF(FILTER(Data!N:N,Data!D:D=A582,Data!B:B=$B$1),""TRAVERSE"")*15)+(COUNTIF(FILTER(Data!N:N,Data!D:D=A582,Data!B:B=B$1),""HIGH"")*10)+(COUNTIF(FILTER(Data!N:N,Data!D:D=A582,Data!B:B=$B$1),""MIDDLE"")*6)+(COUNTIF(FILTER(Data!N:N,Data!D:D=A582,Data!B:"&amp;"B=$B$1),""LOW"")*4))"),0.0)</f>
        <v>0</v>
      </c>
      <c r="V582" s="138" t="str">
        <f>IF(Data!B574='Team Parser'!$B$1, Data!D574,"")</f>
        <v/>
      </c>
      <c r="W582" s="134" t="str">
        <f>IF(Data!$B574='Team Parser'!$B$1, Data!H574,"")</f>
        <v/>
      </c>
      <c r="X582" s="134" t="str">
        <f>IF(Data!$B574='Team Parser'!$B$1, Data!G574,"")</f>
        <v/>
      </c>
      <c r="Y582" s="134" t="str">
        <f>IF(Data!$B574='Team Parser'!$B$1, Data!L574,"")</f>
        <v/>
      </c>
      <c r="Z582" s="134" t="str">
        <f>IF(Data!$B574='Team Parser'!$B$1, Data!K574,"")</f>
        <v/>
      </c>
      <c r="AA582" s="134" t="str">
        <f>IF(Data!$B574='Team Parser'!$B$1, Data!M574,"")</f>
        <v/>
      </c>
      <c r="AB582" s="134" t="str">
        <f>IF(Data!$B574='Team Parser'!$B$1,((Z582*2)+(Y582)+(X582*4)+(W582*2)),"")</f>
        <v/>
      </c>
      <c r="AC582" s="134" t="str">
        <f>IF(Data!$B574='Team Parser'!$B$1, Data!N574,"")</f>
        <v/>
      </c>
      <c r="AD582" s="139" t="str">
        <f>IF(Data!$B574='Team Parser'!$B$1,(AB582+(COUNTIF(AC582,"TRAVERSE")*15)+(COUNTIF(AC582,"HIGH")*10)+(COUNTIF(AC582,"MIDDLE")*6)+(COUNTIF(AC582,"LOW")*4)),"")</f>
        <v/>
      </c>
    </row>
    <row r="583">
      <c r="A583" s="141" t="s">
        <v>507</v>
      </c>
      <c r="B583" s="134" t="str">
        <f>IFERROR(__xludf.DUMMYFUNCTION("IFERROR((FILTER(Data!H:H,Data!D:D=A583,Data!B:B=$B$1)),"""")"),"")</f>
        <v/>
      </c>
      <c r="C583" s="134" t="str">
        <f>IFERROR(__xludf.DUMMYFUNCTION("IFERROR((FILTER(Data!G:G,Data!D:D=A583,Data!B:B=$B$1)),"""")"),"")</f>
        <v/>
      </c>
      <c r="D583" s="134" t="str">
        <f>IFERROR(__xludf.DUMMYFUNCTION("IFERROR((FILTER(Data!J:J,Data!D:D=A583,Data!B:B=$B$1)),"""")"),"")</f>
        <v/>
      </c>
      <c r="E583" s="134" t="str">
        <f>IFERROR(__xludf.DUMMYFUNCTION("IFERROR((FILTER(Data!L:L,Data!D:D=A583,Data!B:B=$B$1)),"""")"),"")</f>
        <v/>
      </c>
      <c r="F583" s="134" t="str">
        <f>IFERROR(__xludf.DUMMYFUNCTION("IFERROR((FILTER(Data!K:K,Data!D:D=A583,Data!B:B=$B$1)),"""")"),"")</f>
        <v/>
      </c>
      <c r="G583" s="134" t="str">
        <f>IFERROR(__xludf.DUMMYFUNCTION("IFERROR((FILTER(Data!M:M,Data!D:D=A583,Data!B:B=$B$1)),"""")"),"")</f>
        <v/>
      </c>
      <c r="H583" s="134" t="str">
        <f>IFERROR(__xludf.DUMMYFUNCTION("IFERROR((FILTER(Data!G:G,Data!D:D=A583,Data!B:B=$B$1)*4)+(FILTER(Data!H:H,Data!D:D=A583,Data!B:B=$B$1)*2),"""")"),"")</f>
        <v/>
      </c>
      <c r="I583" s="15" t="str">
        <f>IFERROR(__xludf.DUMMYFUNCTION("IFERROR((FILTER(Data!K:K,Data!D:D=A583,Data!B:B=$B$1)*2)+(FILTER(Data!L:L,Data!D:D=A583,Data!B:B=$B$1)),"""")"),"")</f>
        <v/>
      </c>
      <c r="J583" s="134" t="str">
        <f>IFERROR(__xludf.DUMMYFUNCTION("IFERROR((FILTER(Data!N:N,Data!D:D=A583,Data!B:B=$B$1)),"""")"),"")</f>
        <v/>
      </c>
      <c r="K583" s="135" t="str">
        <f>IFERROR(__xludf.DUMMYFUNCTION("IFERROR((FILTER(Data!H:H,Data!D:D=A583,Data!B:B=$B$1)*2)+(FILTER(Data!L:L,Data!D:D=A583,Data!B:B=$B$1))+(FILTER(Data!G:G,Data!D:D=A583,Data!B:B=$B$1)*4)+(FILTER(Data!K:K,Data!D:D=A583,Data!B:B=$B$1)*2)+(((COUNTIF(FILTER(Data!N:N,Data!D:D=A583,Data!B:B=$B$"&amp;"1),""TRAVERSE"")*15)+(COUNTIF(FILTER(Data!N:N,Data!D:D=A583,Data!B:B=$B$1),""HIGH"")*10)+(COUNTIF(FILTER(Data!N:N,Data!D:D=A583,Data!B:B=$B$1),""MIDDLE"")*6)+(COUNTIF(FILTER(Data!N:N,Data!D:D=A583,Data!B:B=$B$1),""LOW"")*4))),"""")"),"")</f>
        <v/>
      </c>
      <c r="L583" s="136" t="str">
        <f>IFERROR(__xludf.DUMMYFUNCTION("IFERROR((FILTER(Data!P:P,Data!D:D=A583,Data!B:B=$B$1)),"""")"),"")</f>
        <v/>
      </c>
      <c r="M583" s="137" t="str">
        <f>IFERROR(__xludf.DUMMYFUNCTION("IFERROR((FILTER(Data!A:A,Data!D:D=A583,Data!B:B=$B$1)),"""")"),"")</f>
        <v/>
      </c>
      <c r="T583" s="52">
        <f>IFERROR(__xludf.DUMMYFUNCTION("((COUNTIF(FILTER(Data!N:N,Data!D:D=A583,Data!B:B=$B$1),""TRAVERSE"")*15)+(COUNTIF(FILTER(Data!N:N,Data!D:D=A583,Data!B:B=B$1),""HIGH"")*10)+(COUNTIF(FILTER(Data!N:N,Data!D:D=A583,Data!B:B=$B$1),""MIDDLE"")*6)+(COUNTIF(FILTER(Data!N:N,Data!D:D=A583,Data!B:"&amp;"B=$B$1),""LOW"")*4))"),0.0)</f>
        <v>0</v>
      </c>
      <c r="V583" s="138" t="str">
        <f>IF(Data!B575='Team Parser'!$B$1, Data!D575,"")</f>
        <v/>
      </c>
      <c r="W583" s="134" t="str">
        <f>IF(Data!$B575='Team Parser'!$B$1, Data!H575,"")</f>
        <v/>
      </c>
      <c r="X583" s="134" t="str">
        <f>IF(Data!$B575='Team Parser'!$B$1, Data!G575,"")</f>
        <v/>
      </c>
      <c r="Y583" s="134" t="str">
        <f>IF(Data!$B575='Team Parser'!$B$1, Data!L575,"")</f>
        <v/>
      </c>
      <c r="Z583" s="134" t="str">
        <f>IF(Data!$B575='Team Parser'!$B$1, Data!K575,"")</f>
        <v/>
      </c>
      <c r="AA583" s="134" t="str">
        <f>IF(Data!$B575='Team Parser'!$B$1, Data!M575,"")</f>
        <v/>
      </c>
      <c r="AB583" s="134" t="str">
        <f>IF(Data!$B575='Team Parser'!$B$1,((Z583*2)+(Y583)+(X583*4)+(W583*2)),"")</f>
        <v/>
      </c>
      <c r="AC583" s="134" t="str">
        <f>IF(Data!$B575='Team Parser'!$B$1, Data!N575,"")</f>
        <v/>
      </c>
      <c r="AD583" s="139" t="str">
        <f>IF(Data!$B575='Team Parser'!$B$1,(AB583+(COUNTIF(AC583,"TRAVERSE")*15)+(COUNTIF(AC583,"HIGH")*10)+(COUNTIF(AC583,"MIDDLE")*6)+(COUNTIF(AC583,"LOW")*4)),"")</f>
        <v/>
      </c>
    </row>
    <row r="584">
      <c r="A584" s="141" t="s">
        <v>507</v>
      </c>
      <c r="B584" s="134" t="str">
        <f>IFERROR(__xludf.DUMMYFUNCTION("IFERROR((FILTER(Data!H:H,Data!D:D=A584,Data!B:B=$B$1)),"""")"),"")</f>
        <v/>
      </c>
      <c r="C584" s="134" t="str">
        <f>IFERROR(__xludf.DUMMYFUNCTION("IFERROR((FILTER(Data!G:G,Data!D:D=A584,Data!B:B=$B$1)),"""")"),"")</f>
        <v/>
      </c>
      <c r="D584" s="134" t="str">
        <f>IFERROR(__xludf.DUMMYFUNCTION("IFERROR((FILTER(Data!J:J,Data!D:D=A584,Data!B:B=$B$1)),"""")"),"")</f>
        <v/>
      </c>
      <c r="E584" s="134" t="str">
        <f>IFERROR(__xludf.DUMMYFUNCTION("IFERROR((FILTER(Data!L:L,Data!D:D=A584,Data!B:B=$B$1)),"""")"),"")</f>
        <v/>
      </c>
      <c r="F584" s="134" t="str">
        <f>IFERROR(__xludf.DUMMYFUNCTION("IFERROR((FILTER(Data!K:K,Data!D:D=A584,Data!B:B=$B$1)),"""")"),"")</f>
        <v/>
      </c>
      <c r="G584" s="134" t="str">
        <f>IFERROR(__xludf.DUMMYFUNCTION("IFERROR((FILTER(Data!M:M,Data!D:D=A584,Data!B:B=$B$1)),"""")"),"")</f>
        <v/>
      </c>
      <c r="H584" s="134" t="str">
        <f>IFERROR(__xludf.DUMMYFUNCTION("IFERROR((FILTER(Data!G:G,Data!D:D=A584,Data!B:B=$B$1)*4)+(FILTER(Data!H:H,Data!D:D=A584,Data!B:B=$B$1)*2),"""")"),"")</f>
        <v/>
      </c>
      <c r="I584" s="15" t="str">
        <f>IFERROR(__xludf.DUMMYFUNCTION("IFERROR((FILTER(Data!K:K,Data!D:D=A584,Data!B:B=$B$1)*2)+(FILTER(Data!L:L,Data!D:D=A584,Data!B:B=$B$1)),"""")"),"")</f>
        <v/>
      </c>
      <c r="J584" s="134" t="str">
        <f>IFERROR(__xludf.DUMMYFUNCTION("IFERROR((FILTER(Data!N:N,Data!D:D=A584,Data!B:B=$B$1)),"""")"),"")</f>
        <v/>
      </c>
      <c r="K584" s="135" t="str">
        <f>IFERROR(__xludf.DUMMYFUNCTION("IFERROR((FILTER(Data!H:H,Data!D:D=A584,Data!B:B=$B$1)*2)+(FILTER(Data!L:L,Data!D:D=A584,Data!B:B=$B$1))+(FILTER(Data!G:G,Data!D:D=A584,Data!B:B=$B$1)*4)+(FILTER(Data!K:K,Data!D:D=A584,Data!B:B=$B$1)*2)+(((COUNTIF(FILTER(Data!N:N,Data!D:D=A584,Data!B:B=$B$"&amp;"1),""TRAVERSE"")*15)+(COUNTIF(FILTER(Data!N:N,Data!D:D=A584,Data!B:B=$B$1),""HIGH"")*10)+(COUNTIF(FILTER(Data!N:N,Data!D:D=A584,Data!B:B=$B$1),""MIDDLE"")*6)+(COUNTIF(FILTER(Data!N:N,Data!D:D=A584,Data!B:B=$B$1),""LOW"")*4))),"""")"),"")</f>
        <v/>
      </c>
      <c r="L584" s="136" t="str">
        <f>IFERROR(__xludf.DUMMYFUNCTION("IFERROR((FILTER(Data!P:P,Data!D:D=A584,Data!B:B=$B$1)),"""")"),"")</f>
        <v/>
      </c>
      <c r="M584" s="137" t="str">
        <f>IFERROR(__xludf.DUMMYFUNCTION("IFERROR((FILTER(Data!A:A,Data!D:D=A584,Data!B:B=$B$1)),"""")"),"")</f>
        <v/>
      </c>
      <c r="T584" s="52">
        <f>IFERROR(__xludf.DUMMYFUNCTION("((COUNTIF(FILTER(Data!N:N,Data!D:D=A584,Data!B:B=$B$1),""TRAVERSE"")*15)+(COUNTIF(FILTER(Data!N:N,Data!D:D=A584,Data!B:B=B$1),""HIGH"")*10)+(COUNTIF(FILTER(Data!N:N,Data!D:D=A584,Data!B:B=$B$1),""MIDDLE"")*6)+(COUNTIF(FILTER(Data!N:N,Data!D:D=A584,Data!B:"&amp;"B=$B$1),""LOW"")*4))"),0.0)</f>
        <v>0</v>
      </c>
      <c r="V584" s="138" t="str">
        <f>IF(Data!B576='Team Parser'!$B$1, Data!D576,"")</f>
        <v/>
      </c>
      <c r="W584" s="134" t="str">
        <f>IF(Data!$B576='Team Parser'!$B$1, Data!H576,"")</f>
        <v/>
      </c>
      <c r="X584" s="134" t="str">
        <f>IF(Data!$B576='Team Parser'!$B$1, Data!G576,"")</f>
        <v/>
      </c>
      <c r="Y584" s="134" t="str">
        <f>IF(Data!$B576='Team Parser'!$B$1, Data!L576,"")</f>
        <v/>
      </c>
      <c r="Z584" s="134" t="str">
        <f>IF(Data!$B576='Team Parser'!$B$1, Data!K576,"")</f>
        <v/>
      </c>
      <c r="AA584" s="134" t="str">
        <f>IF(Data!$B576='Team Parser'!$B$1, Data!M576,"")</f>
        <v/>
      </c>
      <c r="AB584" s="134" t="str">
        <f>IF(Data!$B576='Team Parser'!$B$1,((Z584*2)+(Y584)+(X584*4)+(W584*2)),"")</f>
        <v/>
      </c>
      <c r="AC584" s="134" t="str">
        <f>IF(Data!$B576='Team Parser'!$B$1, Data!N576,"")</f>
        <v/>
      </c>
      <c r="AD584" s="139" t="str">
        <f>IF(Data!$B576='Team Parser'!$B$1,(AB584+(COUNTIF(AC584,"TRAVERSE")*15)+(COUNTIF(AC584,"HIGH")*10)+(COUNTIF(AC584,"MIDDLE")*6)+(COUNTIF(AC584,"LOW")*4)),"")</f>
        <v/>
      </c>
    </row>
    <row r="585">
      <c r="A585" s="141" t="s">
        <v>507</v>
      </c>
      <c r="B585" s="134" t="str">
        <f>IFERROR(__xludf.DUMMYFUNCTION("IFERROR((FILTER(Data!H:H,Data!D:D=A585,Data!B:B=$B$1)),"""")"),"")</f>
        <v/>
      </c>
      <c r="C585" s="134" t="str">
        <f>IFERROR(__xludf.DUMMYFUNCTION("IFERROR((FILTER(Data!G:G,Data!D:D=A585,Data!B:B=$B$1)),"""")"),"")</f>
        <v/>
      </c>
      <c r="D585" s="134" t="str">
        <f>IFERROR(__xludf.DUMMYFUNCTION("IFERROR((FILTER(Data!J:J,Data!D:D=A585,Data!B:B=$B$1)),"""")"),"")</f>
        <v/>
      </c>
      <c r="E585" s="134" t="str">
        <f>IFERROR(__xludf.DUMMYFUNCTION("IFERROR((FILTER(Data!L:L,Data!D:D=A585,Data!B:B=$B$1)),"""")"),"")</f>
        <v/>
      </c>
      <c r="F585" s="134" t="str">
        <f>IFERROR(__xludf.DUMMYFUNCTION("IFERROR((FILTER(Data!K:K,Data!D:D=A585,Data!B:B=$B$1)),"""")"),"")</f>
        <v/>
      </c>
      <c r="G585" s="134" t="str">
        <f>IFERROR(__xludf.DUMMYFUNCTION("IFERROR((FILTER(Data!M:M,Data!D:D=A585,Data!B:B=$B$1)),"""")"),"")</f>
        <v/>
      </c>
      <c r="H585" s="134" t="str">
        <f>IFERROR(__xludf.DUMMYFUNCTION("IFERROR((FILTER(Data!G:G,Data!D:D=A585,Data!B:B=$B$1)*4)+(FILTER(Data!H:H,Data!D:D=A585,Data!B:B=$B$1)*2),"""")"),"")</f>
        <v/>
      </c>
      <c r="I585" s="15" t="str">
        <f>IFERROR(__xludf.DUMMYFUNCTION("IFERROR((FILTER(Data!K:K,Data!D:D=A585,Data!B:B=$B$1)*2)+(FILTER(Data!L:L,Data!D:D=A585,Data!B:B=$B$1)),"""")"),"")</f>
        <v/>
      </c>
      <c r="J585" s="134" t="str">
        <f>IFERROR(__xludf.DUMMYFUNCTION("IFERROR((FILTER(Data!N:N,Data!D:D=A585,Data!B:B=$B$1)),"""")"),"")</f>
        <v/>
      </c>
      <c r="K585" s="135" t="str">
        <f>IFERROR(__xludf.DUMMYFUNCTION("IFERROR((FILTER(Data!H:H,Data!D:D=A585,Data!B:B=$B$1)*2)+(FILTER(Data!L:L,Data!D:D=A585,Data!B:B=$B$1))+(FILTER(Data!G:G,Data!D:D=A585,Data!B:B=$B$1)*4)+(FILTER(Data!K:K,Data!D:D=A585,Data!B:B=$B$1)*2)+(((COUNTIF(FILTER(Data!N:N,Data!D:D=A585,Data!B:B=$B$"&amp;"1),""TRAVERSE"")*15)+(COUNTIF(FILTER(Data!N:N,Data!D:D=A585,Data!B:B=$B$1),""HIGH"")*10)+(COUNTIF(FILTER(Data!N:N,Data!D:D=A585,Data!B:B=$B$1),""MIDDLE"")*6)+(COUNTIF(FILTER(Data!N:N,Data!D:D=A585,Data!B:B=$B$1),""LOW"")*4))),"""")"),"")</f>
        <v/>
      </c>
      <c r="L585" s="136" t="str">
        <f>IFERROR(__xludf.DUMMYFUNCTION("IFERROR((FILTER(Data!P:P,Data!D:D=A585,Data!B:B=$B$1)),"""")"),"")</f>
        <v/>
      </c>
      <c r="M585" s="137" t="str">
        <f>IFERROR(__xludf.DUMMYFUNCTION("IFERROR((FILTER(Data!A:A,Data!D:D=A585,Data!B:B=$B$1)),"""")"),"")</f>
        <v/>
      </c>
      <c r="T585" s="52">
        <f>IFERROR(__xludf.DUMMYFUNCTION("((COUNTIF(FILTER(Data!N:N,Data!D:D=A585,Data!B:B=$B$1),""TRAVERSE"")*15)+(COUNTIF(FILTER(Data!N:N,Data!D:D=A585,Data!B:B=B$1),""HIGH"")*10)+(COUNTIF(FILTER(Data!N:N,Data!D:D=A585,Data!B:B=$B$1),""MIDDLE"")*6)+(COUNTIF(FILTER(Data!N:N,Data!D:D=A585,Data!B:"&amp;"B=$B$1),""LOW"")*4))"),0.0)</f>
        <v>0</v>
      </c>
      <c r="V585" s="138" t="str">
        <f>IF(Data!B577='Team Parser'!$B$1, Data!D577,"")</f>
        <v/>
      </c>
      <c r="W585" s="134" t="str">
        <f>IF(Data!$B577='Team Parser'!$B$1, Data!H577,"")</f>
        <v/>
      </c>
      <c r="X585" s="134" t="str">
        <f>IF(Data!$B577='Team Parser'!$B$1, Data!G577,"")</f>
        <v/>
      </c>
      <c r="Y585" s="134" t="str">
        <f>IF(Data!$B577='Team Parser'!$B$1, Data!L577,"")</f>
        <v/>
      </c>
      <c r="Z585" s="134" t="str">
        <f>IF(Data!$B577='Team Parser'!$B$1, Data!K577,"")</f>
        <v/>
      </c>
      <c r="AA585" s="134" t="str">
        <f>IF(Data!$B577='Team Parser'!$B$1, Data!M577,"")</f>
        <v/>
      </c>
      <c r="AB585" s="134" t="str">
        <f>IF(Data!$B577='Team Parser'!$B$1,((Z585*2)+(Y585)+(X585*4)+(W585*2)),"")</f>
        <v/>
      </c>
      <c r="AC585" s="134" t="str">
        <f>IF(Data!$B577='Team Parser'!$B$1, Data!N577,"")</f>
        <v/>
      </c>
      <c r="AD585" s="139" t="str">
        <f>IF(Data!$B577='Team Parser'!$B$1,(AB585+(COUNTIF(AC585,"TRAVERSE")*15)+(COUNTIF(AC585,"HIGH")*10)+(COUNTIF(AC585,"MIDDLE")*6)+(COUNTIF(AC585,"LOW")*4)),"")</f>
        <v/>
      </c>
    </row>
    <row r="586">
      <c r="A586" s="141" t="s">
        <v>507</v>
      </c>
      <c r="B586" s="134" t="str">
        <f>IFERROR(__xludf.DUMMYFUNCTION("IFERROR((FILTER(Data!H:H,Data!D:D=A586,Data!B:B=$B$1)),"""")"),"")</f>
        <v/>
      </c>
      <c r="C586" s="134" t="str">
        <f>IFERROR(__xludf.DUMMYFUNCTION("IFERROR((FILTER(Data!G:G,Data!D:D=A586,Data!B:B=$B$1)),"""")"),"")</f>
        <v/>
      </c>
      <c r="D586" s="134" t="str">
        <f>IFERROR(__xludf.DUMMYFUNCTION("IFERROR((FILTER(Data!J:J,Data!D:D=A586,Data!B:B=$B$1)),"""")"),"")</f>
        <v/>
      </c>
      <c r="E586" s="134" t="str">
        <f>IFERROR(__xludf.DUMMYFUNCTION("IFERROR((FILTER(Data!L:L,Data!D:D=A586,Data!B:B=$B$1)),"""")"),"")</f>
        <v/>
      </c>
      <c r="F586" s="134" t="str">
        <f>IFERROR(__xludf.DUMMYFUNCTION("IFERROR((FILTER(Data!K:K,Data!D:D=A586,Data!B:B=$B$1)),"""")"),"")</f>
        <v/>
      </c>
      <c r="G586" s="134" t="str">
        <f>IFERROR(__xludf.DUMMYFUNCTION("IFERROR((FILTER(Data!M:M,Data!D:D=A586,Data!B:B=$B$1)),"""")"),"")</f>
        <v/>
      </c>
      <c r="H586" s="134" t="str">
        <f>IFERROR(__xludf.DUMMYFUNCTION("IFERROR((FILTER(Data!G:G,Data!D:D=A586,Data!B:B=$B$1)*4)+(FILTER(Data!H:H,Data!D:D=A586,Data!B:B=$B$1)*2),"""")"),"")</f>
        <v/>
      </c>
      <c r="I586" s="15" t="str">
        <f>IFERROR(__xludf.DUMMYFUNCTION("IFERROR((FILTER(Data!K:K,Data!D:D=A586,Data!B:B=$B$1)*2)+(FILTER(Data!L:L,Data!D:D=A586,Data!B:B=$B$1)),"""")"),"")</f>
        <v/>
      </c>
      <c r="J586" s="134" t="str">
        <f>IFERROR(__xludf.DUMMYFUNCTION("IFERROR((FILTER(Data!N:N,Data!D:D=A586,Data!B:B=$B$1)),"""")"),"")</f>
        <v/>
      </c>
      <c r="K586" s="135" t="str">
        <f>IFERROR(__xludf.DUMMYFUNCTION("IFERROR((FILTER(Data!H:H,Data!D:D=A586,Data!B:B=$B$1)*2)+(FILTER(Data!L:L,Data!D:D=A586,Data!B:B=$B$1))+(FILTER(Data!G:G,Data!D:D=A586,Data!B:B=$B$1)*4)+(FILTER(Data!K:K,Data!D:D=A586,Data!B:B=$B$1)*2)+(((COUNTIF(FILTER(Data!N:N,Data!D:D=A586,Data!B:B=$B$"&amp;"1),""TRAVERSE"")*15)+(COUNTIF(FILTER(Data!N:N,Data!D:D=A586,Data!B:B=$B$1),""HIGH"")*10)+(COUNTIF(FILTER(Data!N:N,Data!D:D=A586,Data!B:B=$B$1),""MIDDLE"")*6)+(COUNTIF(FILTER(Data!N:N,Data!D:D=A586,Data!B:B=$B$1),""LOW"")*4))),"""")"),"")</f>
        <v/>
      </c>
      <c r="L586" s="136" t="str">
        <f>IFERROR(__xludf.DUMMYFUNCTION("IFERROR((FILTER(Data!P:P,Data!D:D=A586,Data!B:B=$B$1)),"""")"),"")</f>
        <v/>
      </c>
      <c r="M586" s="137" t="str">
        <f>IFERROR(__xludf.DUMMYFUNCTION("IFERROR((FILTER(Data!A:A,Data!D:D=A586,Data!B:B=$B$1)),"""")"),"")</f>
        <v/>
      </c>
      <c r="T586" s="52">
        <f>IFERROR(__xludf.DUMMYFUNCTION("((COUNTIF(FILTER(Data!N:N,Data!D:D=A586,Data!B:B=$B$1),""TRAVERSE"")*15)+(COUNTIF(FILTER(Data!N:N,Data!D:D=A586,Data!B:B=B$1),""HIGH"")*10)+(COUNTIF(FILTER(Data!N:N,Data!D:D=A586,Data!B:B=$B$1),""MIDDLE"")*6)+(COUNTIF(FILTER(Data!N:N,Data!D:D=A586,Data!B:"&amp;"B=$B$1),""LOW"")*4))"),0.0)</f>
        <v>0</v>
      </c>
      <c r="V586" s="138" t="str">
        <f>IF(Data!B578='Team Parser'!$B$1, Data!D578,"")</f>
        <v/>
      </c>
      <c r="W586" s="134" t="str">
        <f>IF(Data!$B578='Team Parser'!$B$1, Data!H578,"")</f>
        <v/>
      </c>
      <c r="X586" s="134" t="str">
        <f>IF(Data!$B578='Team Parser'!$B$1, Data!G578,"")</f>
        <v/>
      </c>
      <c r="Y586" s="134" t="str">
        <f>IF(Data!$B578='Team Parser'!$B$1, Data!L578,"")</f>
        <v/>
      </c>
      <c r="Z586" s="134" t="str">
        <f>IF(Data!$B578='Team Parser'!$B$1, Data!K578,"")</f>
        <v/>
      </c>
      <c r="AA586" s="134" t="str">
        <f>IF(Data!$B578='Team Parser'!$B$1, Data!M578,"")</f>
        <v/>
      </c>
      <c r="AB586" s="134" t="str">
        <f>IF(Data!$B578='Team Parser'!$B$1,((Z586*2)+(Y586)+(X586*4)+(W586*2)),"")</f>
        <v/>
      </c>
      <c r="AC586" s="134" t="str">
        <f>IF(Data!$B578='Team Parser'!$B$1, Data!N578,"")</f>
        <v/>
      </c>
      <c r="AD586" s="139" t="str">
        <f>IF(Data!$B578='Team Parser'!$B$1,(AB586+(COUNTIF(AC586,"TRAVERSE")*15)+(COUNTIF(AC586,"HIGH")*10)+(COUNTIF(AC586,"MIDDLE")*6)+(COUNTIF(AC586,"LOW")*4)),"")</f>
        <v/>
      </c>
    </row>
    <row r="587">
      <c r="A587" s="141" t="s">
        <v>507</v>
      </c>
      <c r="B587" s="134" t="str">
        <f>IFERROR(__xludf.DUMMYFUNCTION("IFERROR((FILTER(Data!H:H,Data!D:D=A587,Data!B:B=$B$1)),"""")"),"")</f>
        <v/>
      </c>
      <c r="C587" s="134" t="str">
        <f>IFERROR(__xludf.DUMMYFUNCTION("IFERROR((FILTER(Data!G:G,Data!D:D=A587,Data!B:B=$B$1)),"""")"),"")</f>
        <v/>
      </c>
      <c r="D587" s="134" t="str">
        <f>IFERROR(__xludf.DUMMYFUNCTION("IFERROR((FILTER(Data!J:J,Data!D:D=A587,Data!B:B=$B$1)),"""")"),"")</f>
        <v/>
      </c>
      <c r="E587" s="134" t="str">
        <f>IFERROR(__xludf.DUMMYFUNCTION("IFERROR((FILTER(Data!L:L,Data!D:D=A587,Data!B:B=$B$1)),"""")"),"")</f>
        <v/>
      </c>
      <c r="F587" s="134" t="str">
        <f>IFERROR(__xludf.DUMMYFUNCTION("IFERROR((FILTER(Data!K:K,Data!D:D=A587,Data!B:B=$B$1)),"""")"),"")</f>
        <v/>
      </c>
      <c r="G587" s="134" t="str">
        <f>IFERROR(__xludf.DUMMYFUNCTION("IFERROR((FILTER(Data!M:M,Data!D:D=A587,Data!B:B=$B$1)),"""")"),"")</f>
        <v/>
      </c>
      <c r="H587" s="134" t="str">
        <f>IFERROR(__xludf.DUMMYFUNCTION("IFERROR((FILTER(Data!G:G,Data!D:D=A587,Data!B:B=$B$1)*4)+(FILTER(Data!H:H,Data!D:D=A587,Data!B:B=$B$1)*2),"""")"),"")</f>
        <v/>
      </c>
      <c r="I587" s="15" t="str">
        <f>IFERROR(__xludf.DUMMYFUNCTION("IFERROR((FILTER(Data!K:K,Data!D:D=A587,Data!B:B=$B$1)*2)+(FILTER(Data!L:L,Data!D:D=A587,Data!B:B=$B$1)),"""")"),"")</f>
        <v/>
      </c>
      <c r="J587" s="134" t="str">
        <f>IFERROR(__xludf.DUMMYFUNCTION("IFERROR((FILTER(Data!N:N,Data!D:D=A587,Data!B:B=$B$1)),"""")"),"")</f>
        <v/>
      </c>
      <c r="K587" s="135" t="str">
        <f>IFERROR(__xludf.DUMMYFUNCTION("IFERROR((FILTER(Data!H:H,Data!D:D=A587,Data!B:B=$B$1)*2)+(FILTER(Data!L:L,Data!D:D=A587,Data!B:B=$B$1))+(FILTER(Data!G:G,Data!D:D=A587,Data!B:B=$B$1)*4)+(FILTER(Data!K:K,Data!D:D=A587,Data!B:B=$B$1)*2)+(((COUNTIF(FILTER(Data!N:N,Data!D:D=A587,Data!B:B=$B$"&amp;"1),""TRAVERSE"")*15)+(COUNTIF(FILTER(Data!N:N,Data!D:D=A587,Data!B:B=$B$1),""HIGH"")*10)+(COUNTIF(FILTER(Data!N:N,Data!D:D=A587,Data!B:B=$B$1),""MIDDLE"")*6)+(COUNTIF(FILTER(Data!N:N,Data!D:D=A587,Data!B:B=$B$1),""LOW"")*4))),"""")"),"")</f>
        <v/>
      </c>
      <c r="L587" s="136" t="str">
        <f>IFERROR(__xludf.DUMMYFUNCTION("IFERROR((FILTER(Data!P:P,Data!D:D=A587,Data!B:B=$B$1)),"""")"),"")</f>
        <v/>
      </c>
      <c r="M587" s="137" t="str">
        <f>IFERROR(__xludf.DUMMYFUNCTION("IFERROR((FILTER(Data!A:A,Data!D:D=A587,Data!B:B=$B$1)),"""")"),"")</f>
        <v/>
      </c>
      <c r="T587" s="52">
        <f>IFERROR(__xludf.DUMMYFUNCTION("((COUNTIF(FILTER(Data!N:N,Data!D:D=A587,Data!B:B=$B$1),""TRAVERSE"")*15)+(COUNTIF(FILTER(Data!N:N,Data!D:D=A587,Data!B:B=B$1),""HIGH"")*10)+(COUNTIF(FILTER(Data!N:N,Data!D:D=A587,Data!B:B=$B$1),""MIDDLE"")*6)+(COUNTIF(FILTER(Data!N:N,Data!D:D=A587,Data!B:"&amp;"B=$B$1),""LOW"")*4))"),0.0)</f>
        <v>0</v>
      </c>
      <c r="V587" s="138" t="str">
        <f>IF(Data!B579='Team Parser'!$B$1, Data!D579,"")</f>
        <v/>
      </c>
      <c r="W587" s="134" t="str">
        <f>IF(Data!$B579='Team Parser'!$B$1, Data!H579,"")</f>
        <v/>
      </c>
      <c r="X587" s="134" t="str">
        <f>IF(Data!$B579='Team Parser'!$B$1, Data!G579,"")</f>
        <v/>
      </c>
      <c r="Y587" s="134" t="str">
        <f>IF(Data!$B579='Team Parser'!$B$1, Data!L579,"")</f>
        <v/>
      </c>
      <c r="Z587" s="134" t="str">
        <f>IF(Data!$B579='Team Parser'!$B$1, Data!K579,"")</f>
        <v/>
      </c>
      <c r="AA587" s="134" t="str">
        <f>IF(Data!$B579='Team Parser'!$B$1, Data!M579,"")</f>
        <v/>
      </c>
      <c r="AB587" s="134" t="str">
        <f>IF(Data!$B579='Team Parser'!$B$1,((Z587*2)+(Y587)+(X587*4)+(W587*2)),"")</f>
        <v/>
      </c>
      <c r="AC587" s="134" t="str">
        <f>IF(Data!$B579='Team Parser'!$B$1, Data!N579,"")</f>
        <v/>
      </c>
      <c r="AD587" s="139" t="str">
        <f>IF(Data!$B579='Team Parser'!$B$1,(AB587+(COUNTIF(AC587,"TRAVERSE")*15)+(COUNTIF(AC587,"HIGH")*10)+(COUNTIF(AC587,"MIDDLE")*6)+(COUNTIF(AC587,"LOW")*4)),"")</f>
        <v/>
      </c>
    </row>
    <row r="588">
      <c r="A588" s="141" t="s">
        <v>507</v>
      </c>
      <c r="B588" s="134" t="str">
        <f>IFERROR(__xludf.DUMMYFUNCTION("IFERROR((FILTER(Data!H:H,Data!D:D=A588,Data!B:B=$B$1)),"""")"),"")</f>
        <v/>
      </c>
      <c r="C588" s="134" t="str">
        <f>IFERROR(__xludf.DUMMYFUNCTION("IFERROR((FILTER(Data!G:G,Data!D:D=A588,Data!B:B=$B$1)),"""")"),"")</f>
        <v/>
      </c>
      <c r="D588" s="134" t="str">
        <f>IFERROR(__xludf.DUMMYFUNCTION("IFERROR((FILTER(Data!J:J,Data!D:D=A588,Data!B:B=$B$1)),"""")"),"")</f>
        <v/>
      </c>
      <c r="E588" s="134" t="str">
        <f>IFERROR(__xludf.DUMMYFUNCTION("IFERROR((FILTER(Data!L:L,Data!D:D=A588,Data!B:B=$B$1)),"""")"),"")</f>
        <v/>
      </c>
      <c r="F588" s="134" t="str">
        <f>IFERROR(__xludf.DUMMYFUNCTION("IFERROR((FILTER(Data!K:K,Data!D:D=A588,Data!B:B=$B$1)),"""")"),"")</f>
        <v/>
      </c>
      <c r="G588" s="134" t="str">
        <f>IFERROR(__xludf.DUMMYFUNCTION("IFERROR((FILTER(Data!M:M,Data!D:D=A588,Data!B:B=$B$1)),"""")"),"")</f>
        <v/>
      </c>
      <c r="H588" s="134" t="str">
        <f>IFERROR(__xludf.DUMMYFUNCTION("IFERROR((FILTER(Data!G:G,Data!D:D=A588,Data!B:B=$B$1)*4)+(FILTER(Data!H:H,Data!D:D=A588,Data!B:B=$B$1)*2),"""")"),"")</f>
        <v/>
      </c>
      <c r="I588" s="15" t="str">
        <f>IFERROR(__xludf.DUMMYFUNCTION("IFERROR((FILTER(Data!K:K,Data!D:D=A588,Data!B:B=$B$1)*2)+(FILTER(Data!L:L,Data!D:D=A588,Data!B:B=$B$1)),"""")"),"")</f>
        <v/>
      </c>
      <c r="J588" s="134" t="str">
        <f>IFERROR(__xludf.DUMMYFUNCTION("IFERROR((FILTER(Data!N:N,Data!D:D=A588,Data!B:B=$B$1)),"""")"),"")</f>
        <v/>
      </c>
      <c r="K588" s="135" t="str">
        <f>IFERROR(__xludf.DUMMYFUNCTION("IFERROR((FILTER(Data!H:H,Data!D:D=A588,Data!B:B=$B$1)*2)+(FILTER(Data!L:L,Data!D:D=A588,Data!B:B=$B$1))+(FILTER(Data!G:G,Data!D:D=A588,Data!B:B=$B$1)*4)+(FILTER(Data!K:K,Data!D:D=A588,Data!B:B=$B$1)*2)+(((COUNTIF(FILTER(Data!N:N,Data!D:D=A588,Data!B:B=$B$"&amp;"1),""TRAVERSE"")*15)+(COUNTIF(FILTER(Data!N:N,Data!D:D=A588,Data!B:B=$B$1),""HIGH"")*10)+(COUNTIF(FILTER(Data!N:N,Data!D:D=A588,Data!B:B=$B$1),""MIDDLE"")*6)+(COUNTIF(FILTER(Data!N:N,Data!D:D=A588,Data!B:B=$B$1),""LOW"")*4))),"""")"),"")</f>
        <v/>
      </c>
      <c r="L588" s="136" t="str">
        <f>IFERROR(__xludf.DUMMYFUNCTION("IFERROR((FILTER(Data!P:P,Data!D:D=A588,Data!B:B=$B$1)),"""")"),"")</f>
        <v/>
      </c>
      <c r="M588" s="137" t="str">
        <f>IFERROR(__xludf.DUMMYFUNCTION("IFERROR((FILTER(Data!A:A,Data!D:D=A588,Data!B:B=$B$1)),"""")"),"")</f>
        <v/>
      </c>
      <c r="T588" s="52">
        <f>IFERROR(__xludf.DUMMYFUNCTION("((COUNTIF(FILTER(Data!N:N,Data!D:D=A588,Data!B:B=$B$1),""TRAVERSE"")*15)+(COUNTIF(FILTER(Data!N:N,Data!D:D=A588,Data!B:B=B$1),""HIGH"")*10)+(COUNTIF(FILTER(Data!N:N,Data!D:D=A588,Data!B:B=$B$1),""MIDDLE"")*6)+(COUNTIF(FILTER(Data!N:N,Data!D:D=A588,Data!B:"&amp;"B=$B$1),""LOW"")*4))"),0.0)</f>
        <v>0</v>
      </c>
      <c r="V588" s="138" t="str">
        <f>IF(Data!B580='Team Parser'!$B$1, Data!D580,"")</f>
        <v/>
      </c>
      <c r="W588" s="134" t="str">
        <f>IF(Data!$B580='Team Parser'!$B$1, Data!H580,"")</f>
        <v/>
      </c>
      <c r="X588" s="134" t="str">
        <f>IF(Data!$B580='Team Parser'!$B$1, Data!G580,"")</f>
        <v/>
      </c>
      <c r="Y588" s="134" t="str">
        <f>IF(Data!$B580='Team Parser'!$B$1, Data!L580,"")</f>
        <v/>
      </c>
      <c r="Z588" s="134" t="str">
        <f>IF(Data!$B580='Team Parser'!$B$1, Data!K580,"")</f>
        <v/>
      </c>
      <c r="AA588" s="134" t="str">
        <f>IF(Data!$B580='Team Parser'!$B$1, Data!M580,"")</f>
        <v/>
      </c>
      <c r="AB588" s="134" t="str">
        <f>IF(Data!$B580='Team Parser'!$B$1,((Z588*2)+(Y588)+(X588*4)+(W588*2)),"")</f>
        <v/>
      </c>
      <c r="AC588" s="134" t="str">
        <f>IF(Data!$B580='Team Parser'!$B$1, Data!N580,"")</f>
        <v/>
      </c>
      <c r="AD588" s="139" t="str">
        <f>IF(Data!$B580='Team Parser'!$B$1,(AB588+(COUNTIF(AC588,"TRAVERSE")*15)+(COUNTIF(AC588,"HIGH")*10)+(COUNTIF(AC588,"MIDDLE")*6)+(COUNTIF(AC588,"LOW")*4)),"")</f>
        <v/>
      </c>
    </row>
    <row r="589">
      <c r="A589" s="141" t="s">
        <v>507</v>
      </c>
      <c r="B589" s="134" t="str">
        <f>IFERROR(__xludf.DUMMYFUNCTION("IFERROR((FILTER(Data!H:H,Data!D:D=A589,Data!B:B=$B$1)),"""")"),"")</f>
        <v/>
      </c>
      <c r="C589" s="134" t="str">
        <f>IFERROR(__xludf.DUMMYFUNCTION("IFERROR((FILTER(Data!G:G,Data!D:D=A589,Data!B:B=$B$1)),"""")"),"")</f>
        <v/>
      </c>
      <c r="D589" s="134" t="str">
        <f>IFERROR(__xludf.DUMMYFUNCTION("IFERROR((FILTER(Data!J:J,Data!D:D=A589,Data!B:B=$B$1)),"""")"),"")</f>
        <v/>
      </c>
      <c r="E589" s="134" t="str">
        <f>IFERROR(__xludf.DUMMYFUNCTION("IFERROR((FILTER(Data!L:L,Data!D:D=A589,Data!B:B=$B$1)),"""")"),"")</f>
        <v/>
      </c>
      <c r="F589" s="134" t="str">
        <f>IFERROR(__xludf.DUMMYFUNCTION("IFERROR((FILTER(Data!K:K,Data!D:D=A589,Data!B:B=$B$1)),"""")"),"")</f>
        <v/>
      </c>
      <c r="G589" s="134" t="str">
        <f>IFERROR(__xludf.DUMMYFUNCTION("IFERROR((FILTER(Data!M:M,Data!D:D=A589,Data!B:B=$B$1)),"""")"),"")</f>
        <v/>
      </c>
      <c r="H589" s="134" t="str">
        <f>IFERROR(__xludf.DUMMYFUNCTION("IFERROR((FILTER(Data!G:G,Data!D:D=A589,Data!B:B=$B$1)*4)+(FILTER(Data!H:H,Data!D:D=A589,Data!B:B=$B$1)*2),"""")"),"")</f>
        <v/>
      </c>
      <c r="I589" s="15" t="str">
        <f>IFERROR(__xludf.DUMMYFUNCTION("IFERROR((FILTER(Data!K:K,Data!D:D=A589,Data!B:B=$B$1)*2)+(FILTER(Data!L:L,Data!D:D=A589,Data!B:B=$B$1)),"""")"),"")</f>
        <v/>
      </c>
      <c r="J589" s="134" t="str">
        <f>IFERROR(__xludf.DUMMYFUNCTION("IFERROR((FILTER(Data!N:N,Data!D:D=A589,Data!B:B=$B$1)),"""")"),"")</f>
        <v/>
      </c>
      <c r="K589" s="135" t="str">
        <f>IFERROR(__xludf.DUMMYFUNCTION("IFERROR((FILTER(Data!H:H,Data!D:D=A589,Data!B:B=$B$1)*2)+(FILTER(Data!L:L,Data!D:D=A589,Data!B:B=$B$1))+(FILTER(Data!G:G,Data!D:D=A589,Data!B:B=$B$1)*4)+(FILTER(Data!K:K,Data!D:D=A589,Data!B:B=$B$1)*2)+(((COUNTIF(FILTER(Data!N:N,Data!D:D=A589,Data!B:B=$B$"&amp;"1),""TRAVERSE"")*15)+(COUNTIF(FILTER(Data!N:N,Data!D:D=A589,Data!B:B=$B$1),""HIGH"")*10)+(COUNTIF(FILTER(Data!N:N,Data!D:D=A589,Data!B:B=$B$1),""MIDDLE"")*6)+(COUNTIF(FILTER(Data!N:N,Data!D:D=A589,Data!B:B=$B$1),""LOW"")*4))),"""")"),"")</f>
        <v/>
      </c>
      <c r="L589" s="136" t="str">
        <f>IFERROR(__xludf.DUMMYFUNCTION("IFERROR((FILTER(Data!P:P,Data!D:D=A589,Data!B:B=$B$1)),"""")"),"")</f>
        <v/>
      </c>
      <c r="M589" s="137" t="str">
        <f>IFERROR(__xludf.DUMMYFUNCTION("IFERROR((FILTER(Data!A:A,Data!D:D=A589,Data!B:B=$B$1)),"""")"),"")</f>
        <v/>
      </c>
      <c r="T589" s="52">
        <f>IFERROR(__xludf.DUMMYFUNCTION("((COUNTIF(FILTER(Data!N:N,Data!D:D=A589,Data!B:B=$B$1),""TRAVERSE"")*15)+(COUNTIF(FILTER(Data!N:N,Data!D:D=A589,Data!B:B=B$1),""HIGH"")*10)+(COUNTIF(FILTER(Data!N:N,Data!D:D=A589,Data!B:B=$B$1),""MIDDLE"")*6)+(COUNTIF(FILTER(Data!N:N,Data!D:D=A589,Data!B:"&amp;"B=$B$1),""LOW"")*4))"),0.0)</f>
        <v>0</v>
      </c>
      <c r="V589" s="138" t="str">
        <f>IF(Data!B581='Team Parser'!$B$1, Data!D581,"")</f>
        <v/>
      </c>
      <c r="W589" s="134" t="str">
        <f>IF(Data!$B581='Team Parser'!$B$1, Data!H581,"")</f>
        <v/>
      </c>
      <c r="X589" s="134" t="str">
        <f>IF(Data!$B581='Team Parser'!$B$1, Data!G581,"")</f>
        <v/>
      </c>
      <c r="Y589" s="134" t="str">
        <f>IF(Data!$B581='Team Parser'!$B$1, Data!L581,"")</f>
        <v/>
      </c>
      <c r="Z589" s="134" t="str">
        <f>IF(Data!$B581='Team Parser'!$B$1, Data!K581,"")</f>
        <v/>
      </c>
      <c r="AA589" s="134" t="str">
        <f>IF(Data!$B581='Team Parser'!$B$1, Data!M581,"")</f>
        <v/>
      </c>
      <c r="AB589" s="134" t="str">
        <f>IF(Data!$B581='Team Parser'!$B$1,((Z589*2)+(Y589)+(X589*4)+(W589*2)),"")</f>
        <v/>
      </c>
      <c r="AC589" s="134" t="str">
        <f>IF(Data!$B581='Team Parser'!$B$1, Data!N581,"")</f>
        <v/>
      </c>
      <c r="AD589" s="139" t="str">
        <f>IF(Data!$B581='Team Parser'!$B$1,(AB589+(COUNTIF(AC589,"TRAVERSE")*15)+(COUNTIF(AC589,"HIGH")*10)+(COUNTIF(AC589,"MIDDLE")*6)+(COUNTIF(AC589,"LOW")*4)),"")</f>
        <v/>
      </c>
    </row>
    <row r="590">
      <c r="A590" s="141" t="s">
        <v>507</v>
      </c>
      <c r="B590" s="134" t="str">
        <f>IFERROR(__xludf.DUMMYFUNCTION("IFERROR((FILTER(Data!H:H,Data!D:D=A590,Data!B:B=$B$1)),"""")"),"")</f>
        <v/>
      </c>
      <c r="C590" s="134" t="str">
        <f>IFERROR(__xludf.DUMMYFUNCTION("IFERROR((FILTER(Data!G:G,Data!D:D=A590,Data!B:B=$B$1)),"""")"),"")</f>
        <v/>
      </c>
      <c r="D590" s="134" t="str">
        <f>IFERROR(__xludf.DUMMYFUNCTION("IFERROR((FILTER(Data!J:J,Data!D:D=A590,Data!B:B=$B$1)),"""")"),"")</f>
        <v/>
      </c>
      <c r="E590" s="134" t="str">
        <f>IFERROR(__xludf.DUMMYFUNCTION("IFERROR((FILTER(Data!L:L,Data!D:D=A590,Data!B:B=$B$1)),"""")"),"")</f>
        <v/>
      </c>
      <c r="F590" s="134" t="str">
        <f>IFERROR(__xludf.DUMMYFUNCTION("IFERROR((FILTER(Data!K:K,Data!D:D=A590,Data!B:B=$B$1)),"""")"),"")</f>
        <v/>
      </c>
      <c r="G590" s="134" t="str">
        <f>IFERROR(__xludf.DUMMYFUNCTION("IFERROR((FILTER(Data!M:M,Data!D:D=A590,Data!B:B=$B$1)),"""")"),"")</f>
        <v/>
      </c>
      <c r="H590" s="134" t="str">
        <f>IFERROR(__xludf.DUMMYFUNCTION("IFERROR((FILTER(Data!G:G,Data!D:D=A590,Data!B:B=$B$1)*4)+(FILTER(Data!H:H,Data!D:D=A590,Data!B:B=$B$1)*2),"""")"),"")</f>
        <v/>
      </c>
      <c r="I590" s="15" t="str">
        <f>IFERROR(__xludf.DUMMYFUNCTION("IFERROR((FILTER(Data!K:K,Data!D:D=A590,Data!B:B=$B$1)*2)+(FILTER(Data!L:L,Data!D:D=A590,Data!B:B=$B$1)),"""")"),"")</f>
        <v/>
      </c>
      <c r="J590" s="134" t="str">
        <f>IFERROR(__xludf.DUMMYFUNCTION("IFERROR((FILTER(Data!N:N,Data!D:D=A590,Data!B:B=$B$1)),"""")"),"")</f>
        <v/>
      </c>
      <c r="K590" s="135" t="str">
        <f>IFERROR(__xludf.DUMMYFUNCTION("IFERROR((FILTER(Data!H:H,Data!D:D=A590,Data!B:B=$B$1)*2)+(FILTER(Data!L:L,Data!D:D=A590,Data!B:B=$B$1))+(FILTER(Data!G:G,Data!D:D=A590,Data!B:B=$B$1)*4)+(FILTER(Data!K:K,Data!D:D=A590,Data!B:B=$B$1)*2)+(((COUNTIF(FILTER(Data!N:N,Data!D:D=A590,Data!B:B=$B$"&amp;"1),""TRAVERSE"")*15)+(COUNTIF(FILTER(Data!N:N,Data!D:D=A590,Data!B:B=$B$1),""HIGH"")*10)+(COUNTIF(FILTER(Data!N:N,Data!D:D=A590,Data!B:B=$B$1),""MIDDLE"")*6)+(COUNTIF(FILTER(Data!N:N,Data!D:D=A590,Data!B:B=$B$1),""LOW"")*4))),"""")"),"")</f>
        <v/>
      </c>
      <c r="L590" s="136" t="str">
        <f>IFERROR(__xludf.DUMMYFUNCTION("IFERROR((FILTER(Data!P:P,Data!D:D=A590,Data!B:B=$B$1)),"""")"),"")</f>
        <v/>
      </c>
      <c r="M590" s="137" t="str">
        <f>IFERROR(__xludf.DUMMYFUNCTION("IFERROR((FILTER(Data!A:A,Data!D:D=A590,Data!B:B=$B$1)),"""")"),"")</f>
        <v/>
      </c>
      <c r="T590" s="52">
        <f>IFERROR(__xludf.DUMMYFUNCTION("((COUNTIF(FILTER(Data!N:N,Data!D:D=A590,Data!B:B=$B$1),""TRAVERSE"")*15)+(COUNTIF(FILTER(Data!N:N,Data!D:D=A590,Data!B:B=B$1),""HIGH"")*10)+(COUNTIF(FILTER(Data!N:N,Data!D:D=A590,Data!B:B=$B$1),""MIDDLE"")*6)+(COUNTIF(FILTER(Data!N:N,Data!D:D=A590,Data!B:"&amp;"B=$B$1),""LOW"")*4))"),0.0)</f>
        <v>0</v>
      </c>
      <c r="V590" s="138" t="str">
        <f>IF(Data!B582='Team Parser'!$B$1, Data!D582,"")</f>
        <v/>
      </c>
      <c r="W590" s="134" t="str">
        <f>IF(Data!$B582='Team Parser'!$B$1, Data!H582,"")</f>
        <v/>
      </c>
      <c r="X590" s="134" t="str">
        <f>IF(Data!$B582='Team Parser'!$B$1, Data!G582,"")</f>
        <v/>
      </c>
      <c r="Y590" s="134" t="str">
        <f>IF(Data!$B582='Team Parser'!$B$1, Data!L582,"")</f>
        <v/>
      </c>
      <c r="Z590" s="134" t="str">
        <f>IF(Data!$B582='Team Parser'!$B$1, Data!K582,"")</f>
        <v/>
      </c>
      <c r="AA590" s="134" t="str">
        <f>IF(Data!$B582='Team Parser'!$B$1, Data!M582,"")</f>
        <v/>
      </c>
      <c r="AB590" s="134" t="str">
        <f>IF(Data!$B582='Team Parser'!$B$1,((Z590*2)+(Y590)+(X590*4)+(W590*2)),"")</f>
        <v/>
      </c>
      <c r="AC590" s="134" t="str">
        <f>IF(Data!$B582='Team Parser'!$B$1, Data!N582,"")</f>
        <v/>
      </c>
      <c r="AD590" s="139" t="str">
        <f>IF(Data!$B582='Team Parser'!$B$1,(AB590+(COUNTIF(AC590,"TRAVERSE")*15)+(COUNTIF(AC590,"HIGH")*10)+(COUNTIF(AC590,"MIDDLE")*6)+(COUNTIF(AC590,"LOW")*4)),"")</f>
        <v/>
      </c>
    </row>
    <row r="591">
      <c r="A591" s="141" t="s">
        <v>507</v>
      </c>
      <c r="B591" s="134" t="str">
        <f>IFERROR(__xludf.DUMMYFUNCTION("IFERROR((FILTER(Data!H:H,Data!D:D=A591,Data!B:B=$B$1)),"""")"),"")</f>
        <v/>
      </c>
      <c r="C591" s="134" t="str">
        <f>IFERROR(__xludf.DUMMYFUNCTION("IFERROR((FILTER(Data!G:G,Data!D:D=A591,Data!B:B=$B$1)),"""")"),"")</f>
        <v/>
      </c>
      <c r="D591" s="134" t="str">
        <f>IFERROR(__xludf.DUMMYFUNCTION("IFERROR((FILTER(Data!J:J,Data!D:D=A591,Data!B:B=$B$1)),"""")"),"")</f>
        <v/>
      </c>
      <c r="E591" s="134" t="str">
        <f>IFERROR(__xludf.DUMMYFUNCTION("IFERROR((FILTER(Data!L:L,Data!D:D=A591,Data!B:B=$B$1)),"""")"),"")</f>
        <v/>
      </c>
      <c r="F591" s="134" t="str">
        <f>IFERROR(__xludf.DUMMYFUNCTION("IFERROR((FILTER(Data!K:K,Data!D:D=A591,Data!B:B=$B$1)),"""")"),"")</f>
        <v/>
      </c>
      <c r="G591" s="134" t="str">
        <f>IFERROR(__xludf.DUMMYFUNCTION("IFERROR((FILTER(Data!M:M,Data!D:D=A591,Data!B:B=$B$1)),"""")"),"")</f>
        <v/>
      </c>
      <c r="H591" s="134" t="str">
        <f>IFERROR(__xludf.DUMMYFUNCTION("IFERROR((FILTER(Data!G:G,Data!D:D=A591,Data!B:B=$B$1)*4)+(FILTER(Data!H:H,Data!D:D=A591,Data!B:B=$B$1)*2),"""")"),"")</f>
        <v/>
      </c>
      <c r="I591" s="15" t="str">
        <f>IFERROR(__xludf.DUMMYFUNCTION("IFERROR((FILTER(Data!K:K,Data!D:D=A591,Data!B:B=$B$1)*2)+(FILTER(Data!L:L,Data!D:D=A591,Data!B:B=$B$1)),"""")"),"")</f>
        <v/>
      </c>
      <c r="J591" s="134" t="str">
        <f>IFERROR(__xludf.DUMMYFUNCTION("IFERROR((FILTER(Data!N:N,Data!D:D=A591,Data!B:B=$B$1)),"""")"),"")</f>
        <v/>
      </c>
      <c r="K591" s="135" t="str">
        <f>IFERROR(__xludf.DUMMYFUNCTION("IFERROR((FILTER(Data!H:H,Data!D:D=A591,Data!B:B=$B$1)*2)+(FILTER(Data!L:L,Data!D:D=A591,Data!B:B=$B$1))+(FILTER(Data!G:G,Data!D:D=A591,Data!B:B=$B$1)*4)+(FILTER(Data!K:K,Data!D:D=A591,Data!B:B=$B$1)*2)+(((COUNTIF(FILTER(Data!N:N,Data!D:D=A591,Data!B:B=$B$"&amp;"1),""TRAVERSE"")*15)+(COUNTIF(FILTER(Data!N:N,Data!D:D=A591,Data!B:B=$B$1),""HIGH"")*10)+(COUNTIF(FILTER(Data!N:N,Data!D:D=A591,Data!B:B=$B$1),""MIDDLE"")*6)+(COUNTIF(FILTER(Data!N:N,Data!D:D=A591,Data!B:B=$B$1),""LOW"")*4))),"""")"),"")</f>
        <v/>
      </c>
      <c r="L591" s="136" t="str">
        <f>IFERROR(__xludf.DUMMYFUNCTION("IFERROR((FILTER(Data!P:P,Data!D:D=A591,Data!B:B=$B$1)),"""")"),"")</f>
        <v/>
      </c>
      <c r="M591" s="137" t="str">
        <f>IFERROR(__xludf.DUMMYFUNCTION("IFERROR((FILTER(Data!A:A,Data!D:D=A591,Data!B:B=$B$1)),"""")"),"")</f>
        <v/>
      </c>
      <c r="T591" s="52">
        <f>IFERROR(__xludf.DUMMYFUNCTION("((COUNTIF(FILTER(Data!N:N,Data!D:D=A591,Data!B:B=$B$1),""TRAVERSE"")*15)+(COUNTIF(FILTER(Data!N:N,Data!D:D=A591,Data!B:B=B$1),""HIGH"")*10)+(COUNTIF(FILTER(Data!N:N,Data!D:D=A591,Data!B:B=$B$1),""MIDDLE"")*6)+(COUNTIF(FILTER(Data!N:N,Data!D:D=A591,Data!B:"&amp;"B=$B$1),""LOW"")*4))"),0.0)</f>
        <v>0</v>
      </c>
      <c r="V591" s="138" t="str">
        <f>IF(Data!B583='Team Parser'!$B$1, Data!D583,"")</f>
        <v/>
      </c>
      <c r="W591" s="134" t="str">
        <f>IF(Data!$B583='Team Parser'!$B$1, Data!H583,"")</f>
        <v/>
      </c>
      <c r="X591" s="134" t="str">
        <f>IF(Data!$B583='Team Parser'!$B$1, Data!G583,"")</f>
        <v/>
      </c>
      <c r="Y591" s="134" t="str">
        <f>IF(Data!$B583='Team Parser'!$B$1, Data!L583,"")</f>
        <v/>
      </c>
      <c r="Z591" s="134" t="str">
        <f>IF(Data!$B583='Team Parser'!$B$1, Data!K583,"")</f>
        <v/>
      </c>
      <c r="AA591" s="134" t="str">
        <f>IF(Data!$B583='Team Parser'!$B$1, Data!M583,"")</f>
        <v/>
      </c>
      <c r="AB591" s="134" t="str">
        <f>IF(Data!$B583='Team Parser'!$B$1,((Z591*2)+(Y591)+(X591*4)+(W591*2)),"")</f>
        <v/>
      </c>
      <c r="AC591" s="134" t="str">
        <f>IF(Data!$B583='Team Parser'!$B$1, Data!N583,"")</f>
        <v/>
      </c>
      <c r="AD591" s="139" t="str">
        <f>IF(Data!$B583='Team Parser'!$B$1,(AB591+(COUNTIF(AC591,"TRAVERSE")*15)+(COUNTIF(AC591,"HIGH")*10)+(COUNTIF(AC591,"MIDDLE")*6)+(COUNTIF(AC591,"LOW")*4)),"")</f>
        <v/>
      </c>
    </row>
    <row r="592">
      <c r="A592" s="141" t="s">
        <v>507</v>
      </c>
      <c r="B592" s="134" t="str">
        <f>IFERROR(__xludf.DUMMYFUNCTION("IFERROR((FILTER(Data!H:H,Data!D:D=A592,Data!B:B=$B$1)),"""")"),"")</f>
        <v/>
      </c>
      <c r="C592" s="134" t="str">
        <f>IFERROR(__xludf.DUMMYFUNCTION("IFERROR((FILTER(Data!G:G,Data!D:D=A592,Data!B:B=$B$1)),"""")"),"")</f>
        <v/>
      </c>
      <c r="D592" s="134" t="str">
        <f>IFERROR(__xludf.DUMMYFUNCTION("IFERROR((FILTER(Data!J:J,Data!D:D=A592,Data!B:B=$B$1)),"""")"),"")</f>
        <v/>
      </c>
      <c r="E592" s="134" t="str">
        <f>IFERROR(__xludf.DUMMYFUNCTION("IFERROR((FILTER(Data!L:L,Data!D:D=A592,Data!B:B=$B$1)),"""")"),"")</f>
        <v/>
      </c>
      <c r="F592" s="134" t="str">
        <f>IFERROR(__xludf.DUMMYFUNCTION("IFERROR((FILTER(Data!K:K,Data!D:D=A592,Data!B:B=$B$1)),"""")"),"")</f>
        <v/>
      </c>
      <c r="G592" s="134" t="str">
        <f>IFERROR(__xludf.DUMMYFUNCTION("IFERROR((FILTER(Data!M:M,Data!D:D=A592,Data!B:B=$B$1)),"""")"),"")</f>
        <v/>
      </c>
      <c r="H592" s="134" t="str">
        <f>IFERROR(__xludf.DUMMYFUNCTION("IFERROR((FILTER(Data!G:G,Data!D:D=A592,Data!B:B=$B$1)*4)+(FILTER(Data!H:H,Data!D:D=A592,Data!B:B=$B$1)*2),"""")"),"")</f>
        <v/>
      </c>
      <c r="I592" s="15" t="str">
        <f>IFERROR(__xludf.DUMMYFUNCTION("IFERROR((FILTER(Data!K:K,Data!D:D=A592,Data!B:B=$B$1)*2)+(FILTER(Data!L:L,Data!D:D=A592,Data!B:B=$B$1)),"""")"),"")</f>
        <v/>
      </c>
      <c r="J592" s="134" t="str">
        <f>IFERROR(__xludf.DUMMYFUNCTION("IFERROR((FILTER(Data!N:N,Data!D:D=A592,Data!B:B=$B$1)),"""")"),"")</f>
        <v/>
      </c>
      <c r="K592" s="135" t="str">
        <f>IFERROR(__xludf.DUMMYFUNCTION("IFERROR((FILTER(Data!H:H,Data!D:D=A592,Data!B:B=$B$1)*2)+(FILTER(Data!L:L,Data!D:D=A592,Data!B:B=$B$1))+(FILTER(Data!G:G,Data!D:D=A592,Data!B:B=$B$1)*4)+(FILTER(Data!K:K,Data!D:D=A592,Data!B:B=$B$1)*2)+(((COUNTIF(FILTER(Data!N:N,Data!D:D=A592,Data!B:B=$B$"&amp;"1),""TRAVERSE"")*15)+(COUNTIF(FILTER(Data!N:N,Data!D:D=A592,Data!B:B=$B$1),""HIGH"")*10)+(COUNTIF(FILTER(Data!N:N,Data!D:D=A592,Data!B:B=$B$1),""MIDDLE"")*6)+(COUNTIF(FILTER(Data!N:N,Data!D:D=A592,Data!B:B=$B$1),""LOW"")*4))),"""")"),"")</f>
        <v/>
      </c>
      <c r="L592" s="136" t="str">
        <f>IFERROR(__xludf.DUMMYFUNCTION("IFERROR((FILTER(Data!P:P,Data!D:D=A592,Data!B:B=$B$1)),"""")"),"")</f>
        <v/>
      </c>
      <c r="M592" s="137" t="str">
        <f>IFERROR(__xludf.DUMMYFUNCTION("IFERROR((FILTER(Data!A:A,Data!D:D=A592,Data!B:B=$B$1)),"""")"),"")</f>
        <v/>
      </c>
      <c r="T592" s="52">
        <f>IFERROR(__xludf.DUMMYFUNCTION("((COUNTIF(FILTER(Data!N:N,Data!D:D=A592,Data!B:B=$B$1),""TRAVERSE"")*15)+(COUNTIF(FILTER(Data!N:N,Data!D:D=A592,Data!B:B=B$1),""HIGH"")*10)+(COUNTIF(FILTER(Data!N:N,Data!D:D=A592,Data!B:B=$B$1),""MIDDLE"")*6)+(COUNTIF(FILTER(Data!N:N,Data!D:D=A592,Data!B:"&amp;"B=$B$1),""LOW"")*4))"),0.0)</f>
        <v>0</v>
      </c>
      <c r="V592" s="138" t="str">
        <f>IF(Data!B584='Team Parser'!$B$1, Data!D584,"")</f>
        <v/>
      </c>
      <c r="W592" s="134" t="str">
        <f>IF(Data!$B584='Team Parser'!$B$1, Data!H584,"")</f>
        <v/>
      </c>
      <c r="X592" s="134" t="str">
        <f>IF(Data!$B584='Team Parser'!$B$1, Data!G584,"")</f>
        <v/>
      </c>
      <c r="Y592" s="134" t="str">
        <f>IF(Data!$B584='Team Parser'!$B$1, Data!L584,"")</f>
        <v/>
      </c>
      <c r="Z592" s="134" t="str">
        <f>IF(Data!$B584='Team Parser'!$B$1, Data!K584,"")</f>
        <v/>
      </c>
      <c r="AA592" s="134" t="str">
        <f>IF(Data!$B584='Team Parser'!$B$1, Data!M584,"")</f>
        <v/>
      </c>
      <c r="AB592" s="134" t="str">
        <f>IF(Data!$B584='Team Parser'!$B$1,((Z592*2)+(Y592)+(X592*4)+(W592*2)),"")</f>
        <v/>
      </c>
      <c r="AC592" s="134" t="str">
        <f>IF(Data!$B584='Team Parser'!$B$1, Data!N584,"")</f>
        <v/>
      </c>
      <c r="AD592" s="139" t="str">
        <f>IF(Data!$B584='Team Parser'!$B$1,(AB592+(COUNTIF(AC592,"TRAVERSE")*15)+(COUNTIF(AC592,"HIGH")*10)+(COUNTIF(AC592,"MIDDLE")*6)+(COUNTIF(AC592,"LOW")*4)),"")</f>
        <v/>
      </c>
    </row>
    <row r="593">
      <c r="A593" s="141" t="s">
        <v>507</v>
      </c>
      <c r="B593" s="134" t="str">
        <f>IFERROR(__xludf.DUMMYFUNCTION("IFERROR((FILTER(Data!H:H,Data!D:D=A593,Data!B:B=$B$1)),"""")"),"")</f>
        <v/>
      </c>
      <c r="C593" s="134" t="str">
        <f>IFERROR(__xludf.DUMMYFUNCTION("IFERROR((FILTER(Data!G:G,Data!D:D=A593,Data!B:B=$B$1)),"""")"),"")</f>
        <v/>
      </c>
      <c r="D593" s="134" t="str">
        <f>IFERROR(__xludf.DUMMYFUNCTION("IFERROR((FILTER(Data!J:J,Data!D:D=A593,Data!B:B=$B$1)),"""")"),"")</f>
        <v/>
      </c>
      <c r="E593" s="134" t="str">
        <f>IFERROR(__xludf.DUMMYFUNCTION("IFERROR((FILTER(Data!L:L,Data!D:D=A593,Data!B:B=$B$1)),"""")"),"")</f>
        <v/>
      </c>
      <c r="F593" s="134" t="str">
        <f>IFERROR(__xludf.DUMMYFUNCTION("IFERROR((FILTER(Data!K:K,Data!D:D=A593,Data!B:B=$B$1)),"""")"),"")</f>
        <v/>
      </c>
      <c r="G593" s="134" t="str">
        <f>IFERROR(__xludf.DUMMYFUNCTION("IFERROR((FILTER(Data!M:M,Data!D:D=A593,Data!B:B=$B$1)),"""")"),"")</f>
        <v/>
      </c>
      <c r="H593" s="134" t="str">
        <f>IFERROR(__xludf.DUMMYFUNCTION("IFERROR((FILTER(Data!G:G,Data!D:D=A593,Data!B:B=$B$1)*4)+(FILTER(Data!H:H,Data!D:D=A593,Data!B:B=$B$1)*2),"""")"),"")</f>
        <v/>
      </c>
      <c r="I593" s="15" t="str">
        <f>IFERROR(__xludf.DUMMYFUNCTION("IFERROR((FILTER(Data!K:K,Data!D:D=A593,Data!B:B=$B$1)*2)+(FILTER(Data!L:L,Data!D:D=A593,Data!B:B=$B$1)),"""")"),"")</f>
        <v/>
      </c>
      <c r="J593" s="134" t="str">
        <f>IFERROR(__xludf.DUMMYFUNCTION("IFERROR((FILTER(Data!N:N,Data!D:D=A593,Data!B:B=$B$1)),"""")"),"")</f>
        <v/>
      </c>
      <c r="K593" s="135" t="str">
        <f>IFERROR(__xludf.DUMMYFUNCTION("IFERROR((FILTER(Data!H:H,Data!D:D=A593,Data!B:B=$B$1)*2)+(FILTER(Data!L:L,Data!D:D=A593,Data!B:B=$B$1))+(FILTER(Data!G:G,Data!D:D=A593,Data!B:B=$B$1)*4)+(FILTER(Data!K:K,Data!D:D=A593,Data!B:B=$B$1)*2)+(((COUNTIF(FILTER(Data!N:N,Data!D:D=A593,Data!B:B=$B$"&amp;"1),""TRAVERSE"")*15)+(COUNTIF(FILTER(Data!N:N,Data!D:D=A593,Data!B:B=$B$1),""HIGH"")*10)+(COUNTIF(FILTER(Data!N:N,Data!D:D=A593,Data!B:B=$B$1),""MIDDLE"")*6)+(COUNTIF(FILTER(Data!N:N,Data!D:D=A593,Data!B:B=$B$1),""LOW"")*4))),"""")"),"")</f>
        <v/>
      </c>
      <c r="L593" s="136" t="str">
        <f>IFERROR(__xludf.DUMMYFUNCTION("IFERROR((FILTER(Data!P:P,Data!D:D=A593,Data!B:B=$B$1)),"""")"),"")</f>
        <v/>
      </c>
      <c r="M593" s="137" t="str">
        <f>IFERROR(__xludf.DUMMYFUNCTION("IFERROR((FILTER(Data!A:A,Data!D:D=A593,Data!B:B=$B$1)),"""")"),"")</f>
        <v/>
      </c>
      <c r="T593" s="52">
        <f>IFERROR(__xludf.DUMMYFUNCTION("((COUNTIF(FILTER(Data!N:N,Data!D:D=A593,Data!B:B=$B$1),""TRAVERSE"")*15)+(COUNTIF(FILTER(Data!N:N,Data!D:D=A593,Data!B:B=B$1),""HIGH"")*10)+(COUNTIF(FILTER(Data!N:N,Data!D:D=A593,Data!B:B=$B$1),""MIDDLE"")*6)+(COUNTIF(FILTER(Data!N:N,Data!D:D=A593,Data!B:"&amp;"B=$B$1),""LOW"")*4))"),0.0)</f>
        <v>0</v>
      </c>
      <c r="V593" s="138" t="str">
        <f>IF(Data!B585='Team Parser'!$B$1, Data!D585,"")</f>
        <v/>
      </c>
      <c r="W593" s="134" t="str">
        <f>IF(Data!$B585='Team Parser'!$B$1, Data!H585,"")</f>
        <v/>
      </c>
      <c r="X593" s="134" t="str">
        <f>IF(Data!$B585='Team Parser'!$B$1, Data!G585,"")</f>
        <v/>
      </c>
      <c r="Y593" s="134" t="str">
        <f>IF(Data!$B585='Team Parser'!$B$1, Data!L585,"")</f>
        <v/>
      </c>
      <c r="Z593" s="134" t="str">
        <f>IF(Data!$B585='Team Parser'!$B$1, Data!K585,"")</f>
        <v/>
      </c>
      <c r="AA593" s="134" t="str">
        <f>IF(Data!$B585='Team Parser'!$B$1, Data!M585,"")</f>
        <v/>
      </c>
      <c r="AB593" s="134" t="str">
        <f>IF(Data!$B585='Team Parser'!$B$1,((Z593*2)+(Y593)+(X593*4)+(W593*2)),"")</f>
        <v/>
      </c>
      <c r="AC593" s="134" t="str">
        <f>IF(Data!$B585='Team Parser'!$B$1, Data!N585,"")</f>
        <v/>
      </c>
      <c r="AD593" s="139" t="str">
        <f>IF(Data!$B585='Team Parser'!$B$1,(AB593+(COUNTIF(AC593,"TRAVERSE")*15)+(COUNTIF(AC593,"HIGH")*10)+(COUNTIF(AC593,"MIDDLE")*6)+(COUNTIF(AC593,"LOW")*4)),"")</f>
        <v/>
      </c>
    </row>
    <row r="594">
      <c r="A594" s="141" t="s">
        <v>507</v>
      </c>
      <c r="B594" s="134" t="str">
        <f>IFERROR(__xludf.DUMMYFUNCTION("IFERROR((FILTER(Data!H:H,Data!D:D=A594,Data!B:B=$B$1)),"""")"),"")</f>
        <v/>
      </c>
      <c r="C594" s="134" t="str">
        <f>IFERROR(__xludf.DUMMYFUNCTION("IFERROR((FILTER(Data!G:G,Data!D:D=A594,Data!B:B=$B$1)),"""")"),"")</f>
        <v/>
      </c>
      <c r="D594" s="134" t="str">
        <f>IFERROR(__xludf.DUMMYFUNCTION("IFERROR((FILTER(Data!J:J,Data!D:D=A594,Data!B:B=$B$1)),"""")"),"")</f>
        <v/>
      </c>
      <c r="E594" s="134" t="str">
        <f>IFERROR(__xludf.DUMMYFUNCTION("IFERROR((FILTER(Data!L:L,Data!D:D=A594,Data!B:B=$B$1)),"""")"),"")</f>
        <v/>
      </c>
      <c r="F594" s="134" t="str">
        <f>IFERROR(__xludf.DUMMYFUNCTION("IFERROR((FILTER(Data!K:K,Data!D:D=A594,Data!B:B=$B$1)),"""")"),"")</f>
        <v/>
      </c>
      <c r="G594" s="134" t="str">
        <f>IFERROR(__xludf.DUMMYFUNCTION("IFERROR((FILTER(Data!M:M,Data!D:D=A594,Data!B:B=$B$1)),"""")"),"")</f>
        <v/>
      </c>
      <c r="H594" s="134" t="str">
        <f>IFERROR(__xludf.DUMMYFUNCTION("IFERROR((FILTER(Data!G:G,Data!D:D=A594,Data!B:B=$B$1)*4)+(FILTER(Data!H:H,Data!D:D=A594,Data!B:B=$B$1)*2),"""")"),"")</f>
        <v/>
      </c>
      <c r="I594" s="15" t="str">
        <f>IFERROR(__xludf.DUMMYFUNCTION("IFERROR((FILTER(Data!K:K,Data!D:D=A594,Data!B:B=$B$1)*2)+(FILTER(Data!L:L,Data!D:D=A594,Data!B:B=$B$1)),"""")"),"")</f>
        <v/>
      </c>
      <c r="J594" s="134" t="str">
        <f>IFERROR(__xludf.DUMMYFUNCTION("IFERROR((FILTER(Data!N:N,Data!D:D=A594,Data!B:B=$B$1)),"""")"),"")</f>
        <v/>
      </c>
      <c r="K594" s="135" t="str">
        <f>IFERROR(__xludf.DUMMYFUNCTION("IFERROR((FILTER(Data!H:H,Data!D:D=A594,Data!B:B=$B$1)*2)+(FILTER(Data!L:L,Data!D:D=A594,Data!B:B=$B$1))+(FILTER(Data!G:G,Data!D:D=A594,Data!B:B=$B$1)*4)+(FILTER(Data!K:K,Data!D:D=A594,Data!B:B=$B$1)*2)+(((COUNTIF(FILTER(Data!N:N,Data!D:D=A594,Data!B:B=$B$"&amp;"1),""TRAVERSE"")*15)+(COUNTIF(FILTER(Data!N:N,Data!D:D=A594,Data!B:B=$B$1),""HIGH"")*10)+(COUNTIF(FILTER(Data!N:N,Data!D:D=A594,Data!B:B=$B$1),""MIDDLE"")*6)+(COUNTIF(FILTER(Data!N:N,Data!D:D=A594,Data!B:B=$B$1),""LOW"")*4))),"""")"),"")</f>
        <v/>
      </c>
      <c r="L594" s="136" t="str">
        <f>IFERROR(__xludf.DUMMYFUNCTION("IFERROR((FILTER(Data!P:P,Data!D:D=A594,Data!B:B=$B$1)),"""")"),"")</f>
        <v/>
      </c>
      <c r="M594" s="137" t="str">
        <f>IFERROR(__xludf.DUMMYFUNCTION("IFERROR((FILTER(Data!A:A,Data!D:D=A594,Data!B:B=$B$1)),"""")"),"")</f>
        <v/>
      </c>
      <c r="T594" s="52">
        <f>IFERROR(__xludf.DUMMYFUNCTION("((COUNTIF(FILTER(Data!N:N,Data!D:D=A594,Data!B:B=$B$1),""TRAVERSE"")*15)+(COUNTIF(FILTER(Data!N:N,Data!D:D=A594,Data!B:B=B$1),""HIGH"")*10)+(COUNTIF(FILTER(Data!N:N,Data!D:D=A594,Data!B:B=$B$1),""MIDDLE"")*6)+(COUNTIF(FILTER(Data!N:N,Data!D:D=A594,Data!B:"&amp;"B=$B$1),""LOW"")*4))"),0.0)</f>
        <v>0</v>
      </c>
      <c r="V594" s="138" t="str">
        <f>IF(Data!B586='Team Parser'!$B$1, Data!D586,"")</f>
        <v/>
      </c>
      <c r="W594" s="134" t="str">
        <f>IF(Data!$B586='Team Parser'!$B$1, Data!H586,"")</f>
        <v/>
      </c>
      <c r="X594" s="134" t="str">
        <f>IF(Data!$B586='Team Parser'!$B$1, Data!G586,"")</f>
        <v/>
      </c>
      <c r="Y594" s="134" t="str">
        <f>IF(Data!$B586='Team Parser'!$B$1, Data!L586,"")</f>
        <v/>
      </c>
      <c r="Z594" s="134" t="str">
        <f>IF(Data!$B586='Team Parser'!$B$1, Data!K586,"")</f>
        <v/>
      </c>
      <c r="AA594" s="134" t="str">
        <f>IF(Data!$B586='Team Parser'!$B$1, Data!M586,"")</f>
        <v/>
      </c>
      <c r="AB594" s="134" t="str">
        <f>IF(Data!$B586='Team Parser'!$B$1,((Z594*2)+(Y594)+(X594*4)+(W594*2)),"")</f>
        <v/>
      </c>
      <c r="AC594" s="134" t="str">
        <f>IF(Data!$B586='Team Parser'!$B$1, Data!N586,"")</f>
        <v/>
      </c>
      <c r="AD594" s="139" t="str">
        <f>IF(Data!$B586='Team Parser'!$B$1,(AB594+(COUNTIF(AC594,"TRAVERSE")*15)+(COUNTIF(AC594,"HIGH")*10)+(COUNTIF(AC594,"MIDDLE")*6)+(COUNTIF(AC594,"LOW")*4)),"")</f>
        <v/>
      </c>
    </row>
    <row r="595">
      <c r="A595" s="141" t="s">
        <v>507</v>
      </c>
      <c r="B595" s="134" t="str">
        <f>IFERROR(__xludf.DUMMYFUNCTION("IFERROR((FILTER(Data!H:H,Data!D:D=A595,Data!B:B=$B$1)),"""")"),"")</f>
        <v/>
      </c>
      <c r="C595" s="134" t="str">
        <f>IFERROR(__xludf.DUMMYFUNCTION("IFERROR((FILTER(Data!G:G,Data!D:D=A595,Data!B:B=$B$1)),"""")"),"")</f>
        <v/>
      </c>
      <c r="D595" s="134" t="str">
        <f>IFERROR(__xludf.DUMMYFUNCTION("IFERROR((FILTER(Data!J:J,Data!D:D=A595,Data!B:B=$B$1)),"""")"),"")</f>
        <v/>
      </c>
      <c r="E595" s="134" t="str">
        <f>IFERROR(__xludf.DUMMYFUNCTION("IFERROR((FILTER(Data!L:L,Data!D:D=A595,Data!B:B=$B$1)),"""")"),"")</f>
        <v/>
      </c>
      <c r="F595" s="134" t="str">
        <f>IFERROR(__xludf.DUMMYFUNCTION("IFERROR((FILTER(Data!K:K,Data!D:D=A595,Data!B:B=$B$1)),"""")"),"")</f>
        <v/>
      </c>
      <c r="G595" s="134" t="str">
        <f>IFERROR(__xludf.DUMMYFUNCTION("IFERROR((FILTER(Data!M:M,Data!D:D=A595,Data!B:B=$B$1)),"""")"),"")</f>
        <v/>
      </c>
      <c r="H595" s="134" t="str">
        <f>IFERROR(__xludf.DUMMYFUNCTION("IFERROR((FILTER(Data!G:G,Data!D:D=A595,Data!B:B=$B$1)*4)+(FILTER(Data!H:H,Data!D:D=A595,Data!B:B=$B$1)*2),"""")"),"")</f>
        <v/>
      </c>
      <c r="I595" s="15" t="str">
        <f>IFERROR(__xludf.DUMMYFUNCTION("IFERROR((FILTER(Data!K:K,Data!D:D=A595,Data!B:B=$B$1)*2)+(FILTER(Data!L:L,Data!D:D=A595,Data!B:B=$B$1)),"""")"),"")</f>
        <v/>
      </c>
      <c r="J595" s="134" t="str">
        <f>IFERROR(__xludf.DUMMYFUNCTION("IFERROR((FILTER(Data!N:N,Data!D:D=A595,Data!B:B=$B$1)),"""")"),"")</f>
        <v/>
      </c>
      <c r="K595" s="135" t="str">
        <f>IFERROR(__xludf.DUMMYFUNCTION("IFERROR((FILTER(Data!H:H,Data!D:D=A595,Data!B:B=$B$1)*2)+(FILTER(Data!L:L,Data!D:D=A595,Data!B:B=$B$1))+(FILTER(Data!G:G,Data!D:D=A595,Data!B:B=$B$1)*4)+(FILTER(Data!K:K,Data!D:D=A595,Data!B:B=$B$1)*2)+(((COUNTIF(FILTER(Data!N:N,Data!D:D=A595,Data!B:B=$B$"&amp;"1),""TRAVERSE"")*15)+(COUNTIF(FILTER(Data!N:N,Data!D:D=A595,Data!B:B=$B$1),""HIGH"")*10)+(COUNTIF(FILTER(Data!N:N,Data!D:D=A595,Data!B:B=$B$1),""MIDDLE"")*6)+(COUNTIF(FILTER(Data!N:N,Data!D:D=A595,Data!B:B=$B$1),""LOW"")*4))),"""")"),"")</f>
        <v/>
      </c>
      <c r="L595" s="136" t="str">
        <f>IFERROR(__xludf.DUMMYFUNCTION("IFERROR((FILTER(Data!P:P,Data!D:D=A595,Data!B:B=$B$1)),"""")"),"")</f>
        <v/>
      </c>
      <c r="M595" s="137" t="str">
        <f>IFERROR(__xludf.DUMMYFUNCTION("IFERROR((FILTER(Data!A:A,Data!D:D=A595,Data!B:B=$B$1)),"""")"),"")</f>
        <v/>
      </c>
      <c r="T595" s="52">
        <f>IFERROR(__xludf.DUMMYFUNCTION("((COUNTIF(FILTER(Data!N:N,Data!D:D=A595,Data!B:B=$B$1),""TRAVERSE"")*15)+(COUNTIF(FILTER(Data!N:N,Data!D:D=A595,Data!B:B=B$1),""HIGH"")*10)+(COUNTIF(FILTER(Data!N:N,Data!D:D=A595,Data!B:B=$B$1),""MIDDLE"")*6)+(COUNTIF(FILTER(Data!N:N,Data!D:D=A595,Data!B:"&amp;"B=$B$1),""LOW"")*4))"),0.0)</f>
        <v>0</v>
      </c>
      <c r="V595" s="138" t="str">
        <f>IF(Data!B587='Team Parser'!$B$1, Data!D587,"")</f>
        <v/>
      </c>
      <c r="W595" s="134" t="str">
        <f>IF(Data!$B587='Team Parser'!$B$1, Data!H587,"")</f>
        <v/>
      </c>
      <c r="X595" s="134" t="str">
        <f>IF(Data!$B587='Team Parser'!$B$1, Data!G587,"")</f>
        <v/>
      </c>
      <c r="Y595" s="134" t="str">
        <f>IF(Data!$B587='Team Parser'!$B$1, Data!L587,"")</f>
        <v/>
      </c>
      <c r="Z595" s="134" t="str">
        <f>IF(Data!$B587='Team Parser'!$B$1, Data!K587,"")</f>
        <v/>
      </c>
      <c r="AA595" s="134" t="str">
        <f>IF(Data!$B587='Team Parser'!$B$1, Data!M587,"")</f>
        <v/>
      </c>
      <c r="AB595" s="134" t="str">
        <f>IF(Data!$B587='Team Parser'!$B$1,((Z595*2)+(Y595)+(X595*4)+(W595*2)),"")</f>
        <v/>
      </c>
      <c r="AC595" s="134" t="str">
        <f>IF(Data!$B587='Team Parser'!$B$1, Data!N587,"")</f>
        <v/>
      </c>
      <c r="AD595" s="139" t="str">
        <f>IF(Data!$B587='Team Parser'!$B$1,(AB595+(COUNTIF(AC595,"TRAVERSE")*15)+(COUNTIF(AC595,"HIGH")*10)+(COUNTIF(AC595,"MIDDLE")*6)+(COUNTIF(AC595,"LOW")*4)),"")</f>
        <v/>
      </c>
    </row>
    <row r="596">
      <c r="A596" s="141" t="s">
        <v>507</v>
      </c>
      <c r="B596" s="134" t="str">
        <f>IFERROR(__xludf.DUMMYFUNCTION("IFERROR((FILTER(Data!H:H,Data!D:D=A596,Data!B:B=$B$1)),"""")"),"")</f>
        <v/>
      </c>
      <c r="C596" s="134" t="str">
        <f>IFERROR(__xludf.DUMMYFUNCTION("IFERROR((FILTER(Data!G:G,Data!D:D=A596,Data!B:B=$B$1)),"""")"),"")</f>
        <v/>
      </c>
      <c r="D596" s="134" t="str">
        <f>IFERROR(__xludf.DUMMYFUNCTION("IFERROR((FILTER(Data!J:J,Data!D:D=A596,Data!B:B=$B$1)),"""")"),"")</f>
        <v/>
      </c>
      <c r="E596" s="134" t="str">
        <f>IFERROR(__xludf.DUMMYFUNCTION("IFERROR((FILTER(Data!L:L,Data!D:D=A596,Data!B:B=$B$1)),"""")"),"")</f>
        <v/>
      </c>
      <c r="F596" s="134" t="str">
        <f>IFERROR(__xludf.DUMMYFUNCTION("IFERROR((FILTER(Data!K:K,Data!D:D=A596,Data!B:B=$B$1)),"""")"),"")</f>
        <v/>
      </c>
      <c r="G596" s="134" t="str">
        <f>IFERROR(__xludf.DUMMYFUNCTION("IFERROR((FILTER(Data!M:M,Data!D:D=A596,Data!B:B=$B$1)),"""")"),"")</f>
        <v/>
      </c>
      <c r="H596" s="134" t="str">
        <f>IFERROR(__xludf.DUMMYFUNCTION("IFERROR((FILTER(Data!G:G,Data!D:D=A596,Data!B:B=$B$1)*4)+(FILTER(Data!H:H,Data!D:D=A596,Data!B:B=$B$1)*2),"""")"),"")</f>
        <v/>
      </c>
      <c r="I596" s="15" t="str">
        <f>IFERROR(__xludf.DUMMYFUNCTION("IFERROR((FILTER(Data!K:K,Data!D:D=A596,Data!B:B=$B$1)*2)+(FILTER(Data!L:L,Data!D:D=A596,Data!B:B=$B$1)),"""")"),"")</f>
        <v/>
      </c>
      <c r="J596" s="134" t="str">
        <f>IFERROR(__xludf.DUMMYFUNCTION("IFERROR((FILTER(Data!N:N,Data!D:D=A596,Data!B:B=$B$1)),"""")"),"")</f>
        <v/>
      </c>
      <c r="K596" s="135" t="str">
        <f>IFERROR(__xludf.DUMMYFUNCTION("IFERROR((FILTER(Data!H:H,Data!D:D=A596,Data!B:B=$B$1)*2)+(FILTER(Data!L:L,Data!D:D=A596,Data!B:B=$B$1))+(FILTER(Data!G:G,Data!D:D=A596,Data!B:B=$B$1)*4)+(FILTER(Data!K:K,Data!D:D=A596,Data!B:B=$B$1)*2)+(((COUNTIF(FILTER(Data!N:N,Data!D:D=A596,Data!B:B=$B$"&amp;"1),""TRAVERSE"")*15)+(COUNTIF(FILTER(Data!N:N,Data!D:D=A596,Data!B:B=$B$1),""HIGH"")*10)+(COUNTIF(FILTER(Data!N:N,Data!D:D=A596,Data!B:B=$B$1),""MIDDLE"")*6)+(COUNTIF(FILTER(Data!N:N,Data!D:D=A596,Data!B:B=$B$1),""LOW"")*4))),"""")"),"")</f>
        <v/>
      </c>
      <c r="L596" s="136" t="str">
        <f>IFERROR(__xludf.DUMMYFUNCTION("IFERROR((FILTER(Data!P:P,Data!D:D=A596,Data!B:B=$B$1)),"""")"),"")</f>
        <v/>
      </c>
      <c r="M596" s="137" t="str">
        <f>IFERROR(__xludf.DUMMYFUNCTION("IFERROR((FILTER(Data!A:A,Data!D:D=A596,Data!B:B=$B$1)),"""")"),"")</f>
        <v/>
      </c>
      <c r="T596" s="52">
        <f>IFERROR(__xludf.DUMMYFUNCTION("((COUNTIF(FILTER(Data!N:N,Data!D:D=A596,Data!B:B=$B$1),""TRAVERSE"")*15)+(COUNTIF(FILTER(Data!N:N,Data!D:D=A596,Data!B:B=B$1),""HIGH"")*10)+(COUNTIF(FILTER(Data!N:N,Data!D:D=A596,Data!B:B=$B$1),""MIDDLE"")*6)+(COUNTIF(FILTER(Data!N:N,Data!D:D=A596,Data!B:"&amp;"B=$B$1),""LOW"")*4))"),0.0)</f>
        <v>0</v>
      </c>
      <c r="V596" s="138" t="str">
        <f>IF(Data!B588='Team Parser'!$B$1, Data!D588,"")</f>
        <v/>
      </c>
      <c r="W596" s="134" t="str">
        <f>IF(Data!$B588='Team Parser'!$B$1, Data!H588,"")</f>
        <v/>
      </c>
      <c r="X596" s="134" t="str">
        <f>IF(Data!$B588='Team Parser'!$B$1, Data!G588,"")</f>
        <v/>
      </c>
      <c r="Y596" s="134" t="str">
        <f>IF(Data!$B588='Team Parser'!$B$1, Data!L588,"")</f>
        <v/>
      </c>
      <c r="Z596" s="134" t="str">
        <f>IF(Data!$B588='Team Parser'!$B$1, Data!K588,"")</f>
        <v/>
      </c>
      <c r="AA596" s="134" t="str">
        <f>IF(Data!$B588='Team Parser'!$B$1, Data!M588,"")</f>
        <v/>
      </c>
      <c r="AB596" s="134" t="str">
        <f>IF(Data!$B588='Team Parser'!$B$1,((Z596*2)+(Y596)+(X596*4)+(W596*2)),"")</f>
        <v/>
      </c>
      <c r="AC596" s="134" t="str">
        <f>IF(Data!$B588='Team Parser'!$B$1, Data!N588,"")</f>
        <v/>
      </c>
      <c r="AD596" s="139" t="str">
        <f>IF(Data!$B588='Team Parser'!$B$1,(AB596+(COUNTIF(AC596,"TRAVERSE")*15)+(COUNTIF(AC596,"HIGH")*10)+(COUNTIF(AC596,"MIDDLE")*6)+(COUNTIF(AC596,"LOW")*4)),"")</f>
        <v/>
      </c>
    </row>
    <row r="597">
      <c r="A597" s="141" t="s">
        <v>507</v>
      </c>
      <c r="B597" s="134" t="str">
        <f>IFERROR(__xludf.DUMMYFUNCTION("IFERROR((FILTER(Data!H:H,Data!D:D=A597,Data!B:B=$B$1)),"""")"),"")</f>
        <v/>
      </c>
      <c r="C597" s="134" t="str">
        <f>IFERROR(__xludf.DUMMYFUNCTION("IFERROR((FILTER(Data!G:G,Data!D:D=A597,Data!B:B=$B$1)),"""")"),"")</f>
        <v/>
      </c>
      <c r="D597" s="134" t="str">
        <f>IFERROR(__xludf.DUMMYFUNCTION("IFERROR((FILTER(Data!J:J,Data!D:D=A597,Data!B:B=$B$1)),"""")"),"")</f>
        <v/>
      </c>
      <c r="E597" s="134" t="str">
        <f>IFERROR(__xludf.DUMMYFUNCTION("IFERROR((FILTER(Data!L:L,Data!D:D=A597,Data!B:B=$B$1)),"""")"),"")</f>
        <v/>
      </c>
      <c r="F597" s="134" t="str">
        <f>IFERROR(__xludf.DUMMYFUNCTION("IFERROR((FILTER(Data!K:K,Data!D:D=A597,Data!B:B=$B$1)),"""")"),"")</f>
        <v/>
      </c>
      <c r="G597" s="134" t="str">
        <f>IFERROR(__xludf.DUMMYFUNCTION("IFERROR((FILTER(Data!M:M,Data!D:D=A597,Data!B:B=$B$1)),"""")"),"")</f>
        <v/>
      </c>
      <c r="H597" s="134" t="str">
        <f>IFERROR(__xludf.DUMMYFUNCTION("IFERROR((FILTER(Data!G:G,Data!D:D=A597,Data!B:B=$B$1)*4)+(FILTER(Data!H:H,Data!D:D=A597,Data!B:B=$B$1)*2),"""")"),"")</f>
        <v/>
      </c>
      <c r="I597" s="15" t="str">
        <f>IFERROR(__xludf.DUMMYFUNCTION("IFERROR((FILTER(Data!K:K,Data!D:D=A597,Data!B:B=$B$1)*2)+(FILTER(Data!L:L,Data!D:D=A597,Data!B:B=$B$1)),"""")"),"")</f>
        <v/>
      </c>
      <c r="J597" s="134" t="str">
        <f>IFERROR(__xludf.DUMMYFUNCTION("IFERROR((FILTER(Data!N:N,Data!D:D=A597,Data!B:B=$B$1)),"""")"),"")</f>
        <v/>
      </c>
      <c r="K597" s="135" t="str">
        <f>IFERROR(__xludf.DUMMYFUNCTION("IFERROR((FILTER(Data!H:H,Data!D:D=A597,Data!B:B=$B$1)*2)+(FILTER(Data!L:L,Data!D:D=A597,Data!B:B=$B$1))+(FILTER(Data!G:G,Data!D:D=A597,Data!B:B=$B$1)*4)+(FILTER(Data!K:K,Data!D:D=A597,Data!B:B=$B$1)*2)+(((COUNTIF(FILTER(Data!N:N,Data!D:D=A597,Data!B:B=$B$"&amp;"1),""TRAVERSE"")*15)+(COUNTIF(FILTER(Data!N:N,Data!D:D=A597,Data!B:B=$B$1),""HIGH"")*10)+(COUNTIF(FILTER(Data!N:N,Data!D:D=A597,Data!B:B=$B$1),""MIDDLE"")*6)+(COUNTIF(FILTER(Data!N:N,Data!D:D=A597,Data!B:B=$B$1),""LOW"")*4))),"""")"),"")</f>
        <v/>
      </c>
      <c r="L597" s="136" t="str">
        <f>IFERROR(__xludf.DUMMYFUNCTION("IFERROR((FILTER(Data!P:P,Data!D:D=A597,Data!B:B=$B$1)),"""")"),"")</f>
        <v/>
      </c>
      <c r="M597" s="137" t="str">
        <f>IFERROR(__xludf.DUMMYFUNCTION("IFERROR((FILTER(Data!A:A,Data!D:D=A597,Data!B:B=$B$1)),"""")"),"")</f>
        <v/>
      </c>
      <c r="T597" s="52">
        <f>IFERROR(__xludf.DUMMYFUNCTION("((COUNTIF(FILTER(Data!N:N,Data!D:D=A597,Data!B:B=$B$1),""TRAVERSE"")*15)+(COUNTIF(FILTER(Data!N:N,Data!D:D=A597,Data!B:B=B$1),""HIGH"")*10)+(COUNTIF(FILTER(Data!N:N,Data!D:D=A597,Data!B:B=$B$1),""MIDDLE"")*6)+(COUNTIF(FILTER(Data!N:N,Data!D:D=A597,Data!B:"&amp;"B=$B$1),""LOW"")*4))"),0.0)</f>
        <v>0</v>
      </c>
      <c r="V597" s="138" t="str">
        <f>IF(Data!B589='Team Parser'!$B$1, Data!D589,"")</f>
        <v/>
      </c>
      <c r="W597" s="134" t="str">
        <f>IF(Data!$B589='Team Parser'!$B$1, Data!H589,"")</f>
        <v/>
      </c>
      <c r="X597" s="134" t="str">
        <f>IF(Data!$B589='Team Parser'!$B$1, Data!G589,"")</f>
        <v/>
      </c>
      <c r="Y597" s="134" t="str">
        <f>IF(Data!$B589='Team Parser'!$B$1, Data!L589,"")</f>
        <v/>
      </c>
      <c r="Z597" s="134" t="str">
        <f>IF(Data!$B589='Team Parser'!$B$1, Data!K589,"")</f>
        <v/>
      </c>
      <c r="AA597" s="134" t="str">
        <f>IF(Data!$B589='Team Parser'!$B$1, Data!M589,"")</f>
        <v/>
      </c>
      <c r="AB597" s="134" t="str">
        <f>IF(Data!$B589='Team Parser'!$B$1,((Z597*2)+(Y597)+(X597*4)+(W597*2)),"")</f>
        <v/>
      </c>
      <c r="AC597" s="134" t="str">
        <f>IF(Data!$B589='Team Parser'!$B$1, Data!N589,"")</f>
        <v/>
      </c>
      <c r="AD597" s="139" t="str">
        <f>IF(Data!$B589='Team Parser'!$B$1,(AB597+(COUNTIF(AC597,"TRAVERSE")*15)+(COUNTIF(AC597,"HIGH")*10)+(COUNTIF(AC597,"MIDDLE")*6)+(COUNTIF(AC597,"LOW")*4)),"")</f>
        <v/>
      </c>
    </row>
    <row r="598">
      <c r="A598" s="141" t="s">
        <v>507</v>
      </c>
      <c r="B598" s="134" t="str">
        <f>IFERROR(__xludf.DUMMYFUNCTION("IFERROR((FILTER(Data!H:H,Data!D:D=A598,Data!B:B=$B$1)),"""")"),"")</f>
        <v/>
      </c>
      <c r="C598" s="134" t="str">
        <f>IFERROR(__xludf.DUMMYFUNCTION("IFERROR((FILTER(Data!G:G,Data!D:D=A598,Data!B:B=$B$1)),"""")"),"")</f>
        <v/>
      </c>
      <c r="D598" s="134" t="str">
        <f>IFERROR(__xludf.DUMMYFUNCTION("IFERROR((FILTER(Data!J:J,Data!D:D=A598,Data!B:B=$B$1)),"""")"),"")</f>
        <v/>
      </c>
      <c r="E598" s="134" t="str">
        <f>IFERROR(__xludf.DUMMYFUNCTION("IFERROR((FILTER(Data!L:L,Data!D:D=A598,Data!B:B=$B$1)),"""")"),"")</f>
        <v/>
      </c>
      <c r="F598" s="134" t="str">
        <f>IFERROR(__xludf.DUMMYFUNCTION("IFERROR((FILTER(Data!K:K,Data!D:D=A598,Data!B:B=$B$1)),"""")"),"")</f>
        <v/>
      </c>
      <c r="G598" s="134" t="str">
        <f>IFERROR(__xludf.DUMMYFUNCTION("IFERROR((FILTER(Data!M:M,Data!D:D=A598,Data!B:B=$B$1)),"""")"),"")</f>
        <v/>
      </c>
      <c r="H598" s="134" t="str">
        <f>IFERROR(__xludf.DUMMYFUNCTION("IFERROR((FILTER(Data!G:G,Data!D:D=A598,Data!B:B=$B$1)*4)+(FILTER(Data!H:H,Data!D:D=A598,Data!B:B=$B$1)*2),"""")"),"")</f>
        <v/>
      </c>
      <c r="I598" s="15" t="str">
        <f>IFERROR(__xludf.DUMMYFUNCTION("IFERROR((FILTER(Data!K:K,Data!D:D=A598,Data!B:B=$B$1)*2)+(FILTER(Data!L:L,Data!D:D=A598,Data!B:B=$B$1)),"""")"),"")</f>
        <v/>
      </c>
      <c r="J598" s="134" t="str">
        <f>IFERROR(__xludf.DUMMYFUNCTION("IFERROR((FILTER(Data!N:N,Data!D:D=A598,Data!B:B=$B$1)),"""")"),"")</f>
        <v/>
      </c>
      <c r="K598" s="135" t="str">
        <f>IFERROR(__xludf.DUMMYFUNCTION("IFERROR((FILTER(Data!H:H,Data!D:D=A598,Data!B:B=$B$1)*2)+(FILTER(Data!L:L,Data!D:D=A598,Data!B:B=$B$1))+(FILTER(Data!G:G,Data!D:D=A598,Data!B:B=$B$1)*4)+(FILTER(Data!K:K,Data!D:D=A598,Data!B:B=$B$1)*2)+(((COUNTIF(FILTER(Data!N:N,Data!D:D=A598,Data!B:B=$B$"&amp;"1),""TRAVERSE"")*15)+(COUNTIF(FILTER(Data!N:N,Data!D:D=A598,Data!B:B=$B$1),""HIGH"")*10)+(COUNTIF(FILTER(Data!N:N,Data!D:D=A598,Data!B:B=$B$1),""MIDDLE"")*6)+(COUNTIF(FILTER(Data!N:N,Data!D:D=A598,Data!B:B=$B$1),""LOW"")*4))),"""")"),"")</f>
        <v/>
      </c>
      <c r="L598" s="136" t="str">
        <f>IFERROR(__xludf.DUMMYFUNCTION("IFERROR((FILTER(Data!P:P,Data!D:D=A598,Data!B:B=$B$1)),"""")"),"")</f>
        <v/>
      </c>
      <c r="M598" s="137" t="str">
        <f>IFERROR(__xludf.DUMMYFUNCTION("IFERROR((FILTER(Data!A:A,Data!D:D=A598,Data!B:B=$B$1)),"""")"),"")</f>
        <v/>
      </c>
      <c r="T598" s="52">
        <f>IFERROR(__xludf.DUMMYFUNCTION("((COUNTIF(FILTER(Data!N:N,Data!D:D=A598,Data!B:B=$B$1),""TRAVERSE"")*15)+(COUNTIF(FILTER(Data!N:N,Data!D:D=A598,Data!B:B=B$1),""HIGH"")*10)+(COUNTIF(FILTER(Data!N:N,Data!D:D=A598,Data!B:B=$B$1),""MIDDLE"")*6)+(COUNTIF(FILTER(Data!N:N,Data!D:D=A598,Data!B:"&amp;"B=$B$1),""LOW"")*4))"),0.0)</f>
        <v>0</v>
      </c>
      <c r="V598" s="138" t="str">
        <f>IF(Data!B590='Team Parser'!$B$1, Data!D590,"")</f>
        <v/>
      </c>
      <c r="W598" s="134" t="str">
        <f>IF(Data!$B590='Team Parser'!$B$1, Data!H590,"")</f>
        <v/>
      </c>
      <c r="X598" s="134" t="str">
        <f>IF(Data!$B590='Team Parser'!$B$1, Data!G590,"")</f>
        <v/>
      </c>
      <c r="Y598" s="134" t="str">
        <f>IF(Data!$B590='Team Parser'!$B$1, Data!L590,"")</f>
        <v/>
      </c>
      <c r="Z598" s="134" t="str">
        <f>IF(Data!$B590='Team Parser'!$B$1, Data!K590,"")</f>
        <v/>
      </c>
      <c r="AA598" s="134" t="str">
        <f>IF(Data!$B590='Team Parser'!$B$1, Data!M590,"")</f>
        <v/>
      </c>
      <c r="AB598" s="134" t="str">
        <f>IF(Data!$B590='Team Parser'!$B$1,((Z598*2)+(Y598)+(X598*4)+(W598*2)),"")</f>
        <v/>
      </c>
      <c r="AC598" s="134" t="str">
        <f>IF(Data!$B590='Team Parser'!$B$1, Data!N590,"")</f>
        <v/>
      </c>
      <c r="AD598" s="139" t="str">
        <f>IF(Data!$B590='Team Parser'!$B$1,(AB598+(COUNTIF(AC598,"TRAVERSE")*15)+(COUNTIF(AC598,"HIGH")*10)+(COUNTIF(AC598,"MIDDLE")*6)+(COUNTIF(AC598,"LOW")*4)),"")</f>
        <v/>
      </c>
    </row>
    <row r="599">
      <c r="A599" s="141" t="s">
        <v>507</v>
      </c>
      <c r="B599" s="134" t="str">
        <f>IFERROR(__xludf.DUMMYFUNCTION("IFERROR((FILTER(Data!H:H,Data!D:D=A599,Data!B:B=$B$1)),"""")"),"")</f>
        <v/>
      </c>
      <c r="C599" s="134" t="str">
        <f>IFERROR(__xludf.DUMMYFUNCTION("IFERROR((FILTER(Data!G:G,Data!D:D=A599,Data!B:B=$B$1)),"""")"),"")</f>
        <v/>
      </c>
      <c r="D599" s="134" t="str">
        <f>IFERROR(__xludf.DUMMYFUNCTION("IFERROR((FILTER(Data!J:J,Data!D:D=A599,Data!B:B=$B$1)),"""")"),"")</f>
        <v/>
      </c>
      <c r="E599" s="134" t="str">
        <f>IFERROR(__xludf.DUMMYFUNCTION("IFERROR((FILTER(Data!L:L,Data!D:D=A599,Data!B:B=$B$1)),"""")"),"")</f>
        <v/>
      </c>
      <c r="F599" s="134" t="str">
        <f>IFERROR(__xludf.DUMMYFUNCTION("IFERROR((FILTER(Data!K:K,Data!D:D=A599,Data!B:B=$B$1)),"""")"),"")</f>
        <v/>
      </c>
      <c r="G599" s="134" t="str">
        <f>IFERROR(__xludf.DUMMYFUNCTION("IFERROR((FILTER(Data!M:M,Data!D:D=A599,Data!B:B=$B$1)),"""")"),"")</f>
        <v/>
      </c>
      <c r="H599" s="134" t="str">
        <f>IFERROR(__xludf.DUMMYFUNCTION("IFERROR((FILTER(Data!G:G,Data!D:D=A599,Data!B:B=$B$1)*4)+(FILTER(Data!H:H,Data!D:D=A599,Data!B:B=$B$1)*2),"""")"),"")</f>
        <v/>
      </c>
      <c r="I599" s="15" t="str">
        <f>IFERROR(__xludf.DUMMYFUNCTION("IFERROR((FILTER(Data!K:K,Data!D:D=A599,Data!B:B=$B$1)*2)+(FILTER(Data!L:L,Data!D:D=A599,Data!B:B=$B$1)),"""")"),"")</f>
        <v/>
      </c>
      <c r="J599" s="134" t="str">
        <f>IFERROR(__xludf.DUMMYFUNCTION("IFERROR((FILTER(Data!N:N,Data!D:D=A599,Data!B:B=$B$1)),"""")"),"")</f>
        <v/>
      </c>
      <c r="K599" s="135" t="str">
        <f>IFERROR(__xludf.DUMMYFUNCTION("IFERROR((FILTER(Data!H:H,Data!D:D=A599,Data!B:B=$B$1)*2)+(FILTER(Data!L:L,Data!D:D=A599,Data!B:B=$B$1))+(FILTER(Data!G:G,Data!D:D=A599,Data!B:B=$B$1)*4)+(FILTER(Data!K:K,Data!D:D=A599,Data!B:B=$B$1)*2)+(((COUNTIF(FILTER(Data!N:N,Data!D:D=A599,Data!B:B=$B$"&amp;"1),""TRAVERSE"")*15)+(COUNTIF(FILTER(Data!N:N,Data!D:D=A599,Data!B:B=$B$1),""HIGH"")*10)+(COUNTIF(FILTER(Data!N:N,Data!D:D=A599,Data!B:B=$B$1),""MIDDLE"")*6)+(COUNTIF(FILTER(Data!N:N,Data!D:D=A599,Data!B:B=$B$1),""LOW"")*4))),"""")"),"")</f>
        <v/>
      </c>
      <c r="L599" s="136" t="str">
        <f>IFERROR(__xludf.DUMMYFUNCTION("IFERROR((FILTER(Data!P:P,Data!D:D=A599,Data!B:B=$B$1)),"""")"),"")</f>
        <v/>
      </c>
      <c r="M599" s="137" t="str">
        <f>IFERROR(__xludf.DUMMYFUNCTION("IFERROR((FILTER(Data!A:A,Data!D:D=A599,Data!B:B=$B$1)),"""")"),"")</f>
        <v/>
      </c>
      <c r="T599" s="52">
        <f>IFERROR(__xludf.DUMMYFUNCTION("((COUNTIF(FILTER(Data!N:N,Data!D:D=A599,Data!B:B=$B$1),""TRAVERSE"")*15)+(COUNTIF(FILTER(Data!N:N,Data!D:D=A599,Data!B:B=B$1),""HIGH"")*10)+(COUNTIF(FILTER(Data!N:N,Data!D:D=A599,Data!B:B=$B$1),""MIDDLE"")*6)+(COUNTIF(FILTER(Data!N:N,Data!D:D=A599,Data!B:"&amp;"B=$B$1),""LOW"")*4))"),0.0)</f>
        <v>0</v>
      </c>
      <c r="V599" s="138" t="str">
        <f>IF(Data!B591='Team Parser'!$B$1, Data!D591,"")</f>
        <v/>
      </c>
      <c r="W599" s="134" t="str">
        <f>IF(Data!$B591='Team Parser'!$B$1, Data!H591,"")</f>
        <v/>
      </c>
      <c r="X599" s="134" t="str">
        <f>IF(Data!$B591='Team Parser'!$B$1, Data!G591,"")</f>
        <v/>
      </c>
      <c r="Y599" s="134" t="str">
        <f>IF(Data!$B591='Team Parser'!$B$1, Data!L591,"")</f>
        <v/>
      </c>
      <c r="Z599" s="134" t="str">
        <f>IF(Data!$B591='Team Parser'!$B$1, Data!K591,"")</f>
        <v/>
      </c>
      <c r="AA599" s="134" t="str">
        <f>IF(Data!$B591='Team Parser'!$B$1, Data!M591,"")</f>
        <v/>
      </c>
      <c r="AB599" s="134" t="str">
        <f>IF(Data!$B591='Team Parser'!$B$1,((Z599*2)+(Y599)+(X599*4)+(W599*2)),"")</f>
        <v/>
      </c>
      <c r="AC599" s="134" t="str">
        <f>IF(Data!$B591='Team Parser'!$B$1, Data!N591,"")</f>
        <v/>
      </c>
      <c r="AD599" s="139" t="str">
        <f>IF(Data!$B591='Team Parser'!$B$1,(AB599+(COUNTIF(AC599,"TRAVERSE")*15)+(COUNTIF(AC599,"HIGH")*10)+(COUNTIF(AC599,"MIDDLE")*6)+(COUNTIF(AC599,"LOW")*4)),"")</f>
        <v/>
      </c>
    </row>
    <row r="600">
      <c r="A600" s="141" t="s">
        <v>507</v>
      </c>
      <c r="B600" s="134" t="str">
        <f>IFERROR(__xludf.DUMMYFUNCTION("IFERROR((FILTER(Data!H:H,Data!D:D=A600,Data!B:B=$B$1)),"""")"),"")</f>
        <v/>
      </c>
      <c r="C600" s="134" t="str">
        <f>IFERROR(__xludf.DUMMYFUNCTION("IFERROR((FILTER(Data!G:G,Data!D:D=A600,Data!B:B=$B$1)),"""")"),"")</f>
        <v/>
      </c>
      <c r="D600" s="134" t="str">
        <f>IFERROR(__xludf.DUMMYFUNCTION("IFERROR((FILTER(Data!J:J,Data!D:D=A600,Data!B:B=$B$1)),"""")"),"")</f>
        <v/>
      </c>
      <c r="E600" s="134" t="str">
        <f>IFERROR(__xludf.DUMMYFUNCTION("IFERROR((FILTER(Data!L:L,Data!D:D=A600,Data!B:B=$B$1)),"""")"),"")</f>
        <v/>
      </c>
      <c r="F600" s="134" t="str">
        <f>IFERROR(__xludf.DUMMYFUNCTION("IFERROR((FILTER(Data!K:K,Data!D:D=A600,Data!B:B=$B$1)),"""")"),"")</f>
        <v/>
      </c>
      <c r="G600" s="134" t="str">
        <f>IFERROR(__xludf.DUMMYFUNCTION("IFERROR((FILTER(Data!M:M,Data!D:D=A600,Data!B:B=$B$1)),"""")"),"")</f>
        <v/>
      </c>
      <c r="H600" s="134" t="str">
        <f>IFERROR(__xludf.DUMMYFUNCTION("IFERROR((FILTER(Data!G:G,Data!D:D=A600,Data!B:B=$B$1)*4)+(FILTER(Data!H:H,Data!D:D=A600,Data!B:B=$B$1)*2),"""")"),"")</f>
        <v/>
      </c>
      <c r="I600" s="15" t="str">
        <f>IFERROR(__xludf.DUMMYFUNCTION("IFERROR((FILTER(Data!K:K,Data!D:D=A600,Data!B:B=$B$1)*2)+(FILTER(Data!L:L,Data!D:D=A600,Data!B:B=$B$1)),"""")"),"")</f>
        <v/>
      </c>
      <c r="J600" s="134" t="str">
        <f>IFERROR(__xludf.DUMMYFUNCTION("IFERROR((FILTER(Data!N:N,Data!D:D=A600,Data!B:B=$B$1)),"""")"),"")</f>
        <v/>
      </c>
      <c r="K600" s="135" t="str">
        <f>IFERROR(__xludf.DUMMYFUNCTION("IFERROR((FILTER(Data!H:H,Data!D:D=A600,Data!B:B=$B$1)*2)+(FILTER(Data!L:L,Data!D:D=A600,Data!B:B=$B$1))+(FILTER(Data!G:G,Data!D:D=A600,Data!B:B=$B$1)*4)+(FILTER(Data!K:K,Data!D:D=A600,Data!B:B=$B$1)*2)+(((COUNTIF(FILTER(Data!N:N,Data!D:D=A600,Data!B:B=$B$"&amp;"1),""TRAVERSE"")*15)+(COUNTIF(FILTER(Data!N:N,Data!D:D=A600,Data!B:B=$B$1),""HIGH"")*10)+(COUNTIF(FILTER(Data!N:N,Data!D:D=A600,Data!B:B=$B$1),""MIDDLE"")*6)+(COUNTIF(FILTER(Data!N:N,Data!D:D=A600,Data!B:B=$B$1),""LOW"")*4))),"""")"),"")</f>
        <v/>
      </c>
      <c r="L600" s="136" t="str">
        <f>IFERROR(__xludf.DUMMYFUNCTION("IFERROR((FILTER(Data!P:P,Data!D:D=A600,Data!B:B=$B$1)),"""")"),"")</f>
        <v/>
      </c>
      <c r="M600" s="137" t="str">
        <f>IFERROR(__xludf.DUMMYFUNCTION("IFERROR((FILTER(Data!A:A,Data!D:D=A600,Data!B:B=$B$1)),"""")"),"")</f>
        <v/>
      </c>
      <c r="T600" s="52">
        <f>IFERROR(__xludf.DUMMYFUNCTION("((COUNTIF(FILTER(Data!N:N,Data!D:D=A600,Data!B:B=$B$1),""TRAVERSE"")*15)+(COUNTIF(FILTER(Data!N:N,Data!D:D=A600,Data!B:B=B$1),""HIGH"")*10)+(COUNTIF(FILTER(Data!N:N,Data!D:D=A600,Data!B:B=$B$1),""MIDDLE"")*6)+(COUNTIF(FILTER(Data!N:N,Data!D:D=A600,Data!B:"&amp;"B=$B$1),""LOW"")*4))"),0.0)</f>
        <v>0</v>
      </c>
      <c r="V600" s="138" t="str">
        <f>IF(Data!B592='Team Parser'!$B$1, Data!D592,"")</f>
        <v/>
      </c>
      <c r="W600" s="134" t="str">
        <f>IF(Data!$B592='Team Parser'!$B$1, Data!H592,"")</f>
        <v/>
      </c>
      <c r="X600" s="134" t="str">
        <f>IF(Data!$B592='Team Parser'!$B$1, Data!G592,"")</f>
        <v/>
      </c>
      <c r="Y600" s="134" t="str">
        <f>IF(Data!$B592='Team Parser'!$B$1, Data!L592,"")</f>
        <v/>
      </c>
      <c r="Z600" s="134" t="str">
        <f>IF(Data!$B592='Team Parser'!$B$1, Data!K592,"")</f>
        <v/>
      </c>
      <c r="AA600" s="134" t="str">
        <f>IF(Data!$B592='Team Parser'!$B$1, Data!M592,"")</f>
        <v/>
      </c>
      <c r="AB600" s="134" t="str">
        <f>IF(Data!$B592='Team Parser'!$B$1,((Z600*2)+(Y600)+(X600*4)+(W600*2)),"")</f>
        <v/>
      </c>
      <c r="AC600" s="134" t="str">
        <f>IF(Data!$B592='Team Parser'!$B$1, Data!N592,"")</f>
        <v/>
      </c>
      <c r="AD600" s="139" t="str">
        <f>IF(Data!$B592='Team Parser'!$B$1,(AB600+(COUNTIF(AC600,"TRAVERSE")*15)+(COUNTIF(AC600,"HIGH")*10)+(COUNTIF(AC600,"MIDDLE")*6)+(COUNTIF(AC600,"LOW")*4)),"")</f>
        <v/>
      </c>
    </row>
    <row r="601">
      <c r="A601" s="141" t="s">
        <v>507</v>
      </c>
      <c r="B601" s="134" t="str">
        <f>IFERROR(__xludf.DUMMYFUNCTION("IFERROR((FILTER(Data!H:H,Data!D:D=A601,Data!B:B=$B$1)),"""")"),"")</f>
        <v/>
      </c>
      <c r="C601" s="134" t="str">
        <f>IFERROR(__xludf.DUMMYFUNCTION("IFERROR((FILTER(Data!G:G,Data!D:D=A601,Data!B:B=$B$1)),"""")"),"")</f>
        <v/>
      </c>
      <c r="D601" s="134" t="str">
        <f>IFERROR(__xludf.DUMMYFUNCTION("IFERROR((FILTER(Data!J:J,Data!D:D=A601,Data!B:B=$B$1)),"""")"),"")</f>
        <v/>
      </c>
      <c r="E601" s="134" t="str">
        <f>IFERROR(__xludf.DUMMYFUNCTION("IFERROR((FILTER(Data!L:L,Data!D:D=A601,Data!B:B=$B$1)),"""")"),"")</f>
        <v/>
      </c>
      <c r="F601" s="134" t="str">
        <f>IFERROR(__xludf.DUMMYFUNCTION("IFERROR((FILTER(Data!K:K,Data!D:D=A601,Data!B:B=$B$1)),"""")"),"")</f>
        <v/>
      </c>
      <c r="G601" s="134" t="str">
        <f>IFERROR(__xludf.DUMMYFUNCTION("IFERROR((FILTER(Data!M:M,Data!D:D=A601,Data!B:B=$B$1)),"""")"),"")</f>
        <v/>
      </c>
      <c r="H601" s="134" t="str">
        <f>IFERROR(__xludf.DUMMYFUNCTION("IFERROR((FILTER(Data!G:G,Data!D:D=A601,Data!B:B=$B$1)*4)+(FILTER(Data!H:H,Data!D:D=A601,Data!B:B=$B$1)*2),"""")"),"")</f>
        <v/>
      </c>
      <c r="I601" s="15" t="str">
        <f>IFERROR(__xludf.DUMMYFUNCTION("IFERROR((FILTER(Data!K:K,Data!D:D=A601,Data!B:B=$B$1)*2)+(FILTER(Data!L:L,Data!D:D=A601,Data!B:B=$B$1)),"""")"),"")</f>
        <v/>
      </c>
      <c r="J601" s="134" t="str">
        <f>IFERROR(__xludf.DUMMYFUNCTION("IFERROR((FILTER(Data!N:N,Data!D:D=A601,Data!B:B=$B$1)),"""")"),"")</f>
        <v/>
      </c>
      <c r="K601" s="135" t="str">
        <f>IFERROR(__xludf.DUMMYFUNCTION("IFERROR((FILTER(Data!H:H,Data!D:D=A601,Data!B:B=$B$1)*2)+(FILTER(Data!L:L,Data!D:D=A601,Data!B:B=$B$1))+(FILTER(Data!G:G,Data!D:D=A601,Data!B:B=$B$1)*4)+(FILTER(Data!K:K,Data!D:D=A601,Data!B:B=$B$1)*2)+(((COUNTIF(FILTER(Data!N:N,Data!D:D=A601,Data!B:B=$B$"&amp;"1),""TRAVERSE"")*15)+(COUNTIF(FILTER(Data!N:N,Data!D:D=A601,Data!B:B=$B$1),""HIGH"")*10)+(COUNTIF(FILTER(Data!N:N,Data!D:D=A601,Data!B:B=$B$1),""MIDDLE"")*6)+(COUNTIF(FILTER(Data!N:N,Data!D:D=A601,Data!B:B=$B$1),""LOW"")*4))),"""")"),"")</f>
        <v/>
      </c>
      <c r="L601" s="136" t="str">
        <f>IFERROR(__xludf.DUMMYFUNCTION("IFERROR((FILTER(Data!P:P,Data!D:D=A601,Data!B:B=$B$1)),"""")"),"")</f>
        <v/>
      </c>
      <c r="M601" s="137" t="str">
        <f>IFERROR(__xludf.DUMMYFUNCTION("IFERROR((FILTER(Data!A:A,Data!D:D=A601,Data!B:B=$B$1)),"""")"),"")</f>
        <v/>
      </c>
      <c r="T601" s="52">
        <f>IFERROR(__xludf.DUMMYFUNCTION("((COUNTIF(FILTER(Data!N:N,Data!D:D=A601,Data!B:B=$B$1),""TRAVERSE"")*15)+(COUNTIF(FILTER(Data!N:N,Data!D:D=A601,Data!B:B=B$1),""HIGH"")*10)+(COUNTIF(FILTER(Data!N:N,Data!D:D=A601,Data!B:B=$B$1),""MIDDLE"")*6)+(COUNTIF(FILTER(Data!N:N,Data!D:D=A601,Data!B:"&amp;"B=$B$1),""LOW"")*4))"),0.0)</f>
        <v>0</v>
      </c>
      <c r="V601" s="138" t="str">
        <f>IF(Data!B593='Team Parser'!$B$1, Data!D593,"")</f>
        <v/>
      </c>
      <c r="W601" s="134" t="str">
        <f>IF(Data!$B593='Team Parser'!$B$1, Data!H593,"")</f>
        <v/>
      </c>
      <c r="X601" s="134" t="str">
        <f>IF(Data!$B593='Team Parser'!$B$1, Data!G593,"")</f>
        <v/>
      </c>
      <c r="Y601" s="134" t="str">
        <f>IF(Data!$B593='Team Parser'!$B$1, Data!L593,"")</f>
        <v/>
      </c>
      <c r="Z601" s="134" t="str">
        <f>IF(Data!$B593='Team Parser'!$B$1, Data!K593,"")</f>
        <v/>
      </c>
      <c r="AA601" s="134" t="str">
        <f>IF(Data!$B593='Team Parser'!$B$1, Data!M593,"")</f>
        <v/>
      </c>
      <c r="AB601" s="134" t="str">
        <f>IF(Data!$B593='Team Parser'!$B$1,((Z601*2)+(Y601)+(X601*4)+(W601*2)),"")</f>
        <v/>
      </c>
      <c r="AC601" s="134" t="str">
        <f>IF(Data!$B593='Team Parser'!$B$1, Data!N593,"")</f>
        <v/>
      </c>
      <c r="AD601" s="139" t="str">
        <f>IF(Data!$B593='Team Parser'!$B$1,(AB601+(COUNTIF(AC601,"TRAVERSE")*15)+(COUNTIF(AC601,"HIGH")*10)+(COUNTIF(AC601,"MIDDLE")*6)+(COUNTIF(AC601,"LOW")*4)),"")</f>
        <v/>
      </c>
    </row>
    <row r="602">
      <c r="A602" s="141" t="s">
        <v>507</v>
      </c>
      <c r="B602" s="134" t="str">
        <f>IFERROR(__xludf.DUMMYFUNCTION("IFERROR((FILTER(Data!H:H,Data!D:D=A602,Data!B:B=$B$1)),"""")"),"")</f>
        <v/>
      </c>
      <c r="C602" s="134" t="str">
        <f>IFERROR(__xludf.DUMMYFUNCTION("IFERROR((FILTER(Data!G:G,Data!D:D=A602,Data!B:B=$B$1)),"""")"),"")</f>
        <v/>
      </c>
      <c r="D602" s="134" t="str">
        <f>IFERROR(__xludf.DUMMYFUNCTION("IFERROR((FILTER(Data!J:J,Data!D:D=A602,Data!B:B=$B$1)),"""")"),"")</f>
        <v/>
      </c>
      <c r="E602" s="134" t="str">
        <f>IFERROR(__xludf.DUMMYFUNCTION("IFERROR((FILTER(Data!L:L,Data!D:D=A602,Data!B:B=$B$1)),"""")"),"")</f>
        <v/>
      </c>
      <c r="F602" s="134" t="str">
        <f>IFERROR(__xludf.DUMMYFUNCTION("IFERROR((FILTER(Data!K:K,Data!D:D=A602,Data!B:B=$B$1)),"""")"),"")</f>
        <v/>
      </c>
      <c r="G602" s="134" t="str">
        <f>IFERROR(__xludf.DUMMYFUNCTION("IFERROR((FILTER(Data!M:M,Data!D:D=A602,Data!B:B=$B$1)),"""")"),"")</f>
        <v/>
      </c>
      <c r="H602" s="134" t="str">
        <f>IFERROR(__xludf.DUMMYFUNCTION("IFERROR((FILTER(Data!G:G,Data!D:D=A602,Data!B:B=$B$1)*4)+(FILTER(Data!H:H,Data!D:D=A602,Data!B:B=$B$1)*2),"""")"),"")</f>
        <v/>
      </c>
      <c r="I602" s="15" t="str">
        <f>IFERROR(__xludf.DUMMYFUNCTION("IFERROR((FILTER(Data!K:K,Data!D:D=A602,Data!B:B=$B$1)*2)+(FILTER(Data!L:L,Data!D:D=A602,Data!B:B=$B$1)),"""")"),"")</f>
        <v/>
      </c>
      <c r="J602" s="134" t="str">
        <f>IFERROR(__xludf.DUMMYFUNCTION("IFERROR((FILTER(Data!N:N,Data!D:D=A602,Data!B:B=$B$1)),"""")"),"")</f>
        <v/>
      </c>
      <c r="K602" s="135" t="str">
        <f>IFERROR(__xludf.DUMMYFUNCTION("IFERROR((FILTER(Data!H:H,Data!D:D=A602,Data!B:B=$B$1)*2)+(FILTER(Data!L:L,Data!D:D=A602,Data!B:B=$B$1))+(FILTER(Data!G:G,Data!D:D=A602,Data!B:B=$B$1)*4)+(FILTER(Data!K:K,Data!D:D=A602,Data!B:B=$B$1)*2)+(((COUNTIF(FILTER(Data!N:N,Data!D:D=A602,Data!B:B=$B$"&amp;"1),""TRAVERSE"")*15)+(COUNTIF(FILTER(Data!N:N,Data!D:D=A602,Data!B:B=$B$1),""HIGH"")*10)+(COUNTIF(FILTER(Data!N:N,Data!D:D=A602,Data!B:B=$B$1),""MIDDLE"")*6)+(COUNTIF(FILTER(Data!N:N,Data!D:D=A602,Data!B:B=$B$1),""LOW"")*4))),"""")"),"")</f>
        <v/>
      </c>
      <c r="L602" s="136" t="str">
        <f>IFERROR(__xludf.DUMMYFUNCTION("IFERROR((FILTER(Data!P:P,Data!D:D=A602,Data!B:B=$B$1)),"""")"),"")</f>
        <v/>
      </c>
      <c r="M602" s="137" t="str">
        <f>IFERROR(__xludf.DUMMYFUNCTION("IFERROR((FILTER(Data!A:A,Data!D:D=A602,Data!B:B=$B$1)),"""")"),"")</f>
        <v/>
      </c>
      <c r="T602" s="52">
        <f>IFERROR(__xludf.DUMMYFUNCTION("((COUNTIF(FILTER(Data!N:N,Data!D:D=A602,Data!B:B=$B$1),""TRAVERSE"")*15)+(COUNTIF(FILTER(Data!N:N,Data!D:D=A602,Data!B:B=B$1),""HIGH"")*10)+(COUNTIF(FILTER(Data!N:N,Data!D:D=A602,Data!B:B=$B$1),""MIDDLE"")*6)+(COUNTIF(FILTER(Data!N:N,Data!D:D=A602,Data!B:"&amp;"B=$B$1),""LOW"")*4))"),0.0)</f>
        <v>0</v>
      </c>
      <c r="V602" s="138" t="str">
        <f>IF(Data!B594='Team Parser'!$B$1, Data!D594,"")</f>
        <v/>
      </c>
      <c r="W602" s="134" t="str">
        <f>IF(Data!$B594='Team Parser'!$B$1, Data!H594,"")</f>
        <v/>
      </c>
      <c r="X602" s="134" t="str">
        <f>IF(Data!$B594='Team Parser'!$B$1, Data!G594,"")</f>
        <v/>
      </c>
      <c r="Y602" s="134" t="str">
        <f>IF(Data!$B594='Team Parser'!$B$1, Data!L594,"")</f>
        <v/>
      </c>
      <c r="Z602" s="134" t="str">
        <f>IF(Data!$B594='Team Parser'!$B$1, Data!K594,"")</f>
        <v/>
      </c>
      <c r="AA602" s="134" t="str">
        <f>IF(Data!$B594='Team Parser'!$B$1, Data!M594,"")</f>
        <v/>
      </c>
      <c r="AB602" s="134" t="str">
        <f>IF(Data!$B594='Team Parser'!$B$1,((Z602*2)+(Y602)+(X602*4)+(W602*2)),"")</f>
        <v/>
      </c>
      <c r="AC602" s="134" t="str">
        <f>IF(Data!$B594='Team Parser'!$B$1, Data!N594,"")</f>
        <v/>
      </c>
      <c r="AD602" s="139" t="str">
        <f>IF(Data!$B594='Team Parser'!$B$1,(AB602+(COUNTIF(AC602,"TRAVERSE")*15)+(COUNTIF(AC602,"HIGH")*10)+(COUNTIF(AC602,"MIDDLE")*6)+(COUNTIF(AC602,"LOW")*4)),"")</f>
        <v/>
      </c>
    </row>
    <row r="603">
      <c r="A603" s="141" t="s">
        <v>507</v>
      </c>
      <c r="B603" s="134" t="str">
        <f>IFERROR(__xludf.DUMMYFUNCTION("IFERROR((FILTER(Data!H:H,Data!D:D=A603,Data!B:B=$B$1)),"""")"),"")</f>
        <v/>
      </c>
      <c r="C603" s="134" t="str">
        <f>IFERROR(__xludf.DUMMYFUNCTION("IFERROR((FILTER(Data!G:G,Data!D:D=A603,Data!B:B=$B$1)),"""")"),"")</f>
        <v/>
      </c>
      <c r="D603" s="134" t="str">
        <f>IFERROR(__xludf.DUMMYFUNCTION("IFERROR((FILTER(Data!J:J,Data!D:D=A603,Data!B:B=$B$1)),"""")"),"")</f>
        <v/>
      </c>
      <c r="E603" s="134" t="str">
        <f>IFERROR(__xludf.DUMMYFUNCTION("IFERROR((FILTER(Data!L:L,Data!D:D=A603,Data!B:B=$B$1)),"""")"),"")</f>
        <v/>
      </c>
      <c r="F603" s="134" t="str">
        <f>IFERROR(__xludf.DUMMYFUNCTION("IFERROR((FILTER(Data!K:K,Data!D:D=A603,Data!B:B=$B$1)),"""")"),"")</f>
        <v/>
      </c>
      <c r="G603" s="134" t="str">
        <f>IFERROR(__xludf.DUMMYFUNCTION("IFERROR((FILTER(Data!M:M,Data!D:D=A603,Data!B:B=$B$1)),"""")"),"")</f>
        <v/>
      </c>
      <c r="H603" s="134" t="str">
        <f>IFERROR(__xludf.DUMMYFUNCTION("IFERROR((FILTER(Data!G:G,Data!D:D=A603,Data!B:B=$B$1)*4)+(FILTER(Data!H:H,Data!D:D=A603,Data!B:B=$B$1)*2),"""")"),"")</f>
        <v/>
      </c>
      <c r="I603" s="15" t="str">
        <f>IFERROR(__xludf.DUMMYFUNCTION("IFERROR((FILTER(Data!K:K,Data!D:D=A603,Data!B:B=$B$1)*2)+(FILTER(Data!L:L,Data!D:D=A603,Data!B:B=$B$1)),"""")"),"")</f>
        <v/>
      </c>
      <c r="J603" s="134" t="str">
        <f>IFERROR(__xludf.DUMMYFUNCTION("IFERROR((FILTER(Data!N:N,Data!D:D=A603,Data!B:B=$B$1)),"""")"),"")</f>
        <v/>
      </c>
      <c r="K603" s="135" t="str">
        <f>IFERROR(__xludf.DUMMYFUNCTION("IFERROR((FILTER(Data!H:H,Data!D:D=A603,Data!B:B=$B$1)*2)+(FILTER(Data!L:L,Data!D:D=A603,Data!B:B=$B$1))+(FILTER(Data!G:G,Data!D:D=A603,Data!B:B=$B$1)*4)+(FILTER(Data!K:K,Data!D:D=A603,Data!B:B=$B$1)*2)+(((COUNTIF(FILTER(Data!N:N,Data!D:D=A603,Data!B:B=$B$"&amp;"1),""TRAVERSE"")*15)+(COUNTIF(FILTER(Data!N:N,Data!D:D=A603,Data!B:B=$B$1),""HIGH"")*10)+(COUNTIF(FILTER(Data!N:N,Data!D:D=A603,Data!B:B=$B$1),""MIDDLE"")*6)+(COUNTIF(FILTER(Data!N:N,Data!D:D=A603,Data!B:B=$B$1),""LOW"")*4))),"""")"),"")</f>
        <v/>
      </c>
      <c r="L603" s="136" t="str">
        <f>IFERROR(__xludf.DUMMYFUNCTION("IFERROR((FILTER(Data!P:P,Data!D:D=A603,Data!B:B=$B$1)),"""")"),"")</f>
        <v/>
      </c>
      <c r="M603" s="137" t="str">
        <f>IFERROR(__xludf.DUMMYFUNCTION("IFERROR((FILTER(Data!A:A,Data!D:D=A603,Data!B:B=$B$1)),"""")"),"")</f>
        <v/>
      </c>
      <c r="T603" s="52">
        <f>IFERROR(__xludf.DUMMYFUNCTION("((COUNTIF(FILTER(Data!N:N,Data!D:D=A603,Data!B:B=$B$1),""TRAVERSE"")*15)+(COUNTIF(FILTER(Data!N:N,Data!D:D=A603,Data!B:B=B$1),""HIGH"")*10)+(COUNTIF(FILTER(Data!N:N,Data!D:D=A603,Data!B:B=$B$1),""MIDDLE"")*6)+(COUNTIF(FILTER(Data!N:N,Data!D:D=A603,Data!B:"&amp;"B=$B$1),""LOW"")*4))"),0.0)</f>
        <v>0</v>
      </c>
      <c r="V603" s="138" t="str">
        <f>IF(Data!B595='Team Parser'!$B$1, Data!D595,"")</f>
        <v/>
      </c>
      <c r="W603" s="134" t="str">
        <f>IF(Data!$B595='Team Parser'!$B$1, Data!H595,"")</f>
        <v/>
      </c>
      <c r="X603" s="134" t="str">
        <f>IF(Data!$B595='Team Parser'!$B$1, Data!G595,"")</f>
        <v/>
      </c>
      <c r="Y603" s="134" t="str">
        <f>IF(Data!$B595='Team Parser'!$B$1, Data!L595,"")</f>
        <v/>
      </c>
      <c r="Z603" s="134" t="str">
        <f>IF(Data!$B595='Team Parser'!$B$1, Data!K595,"")</f>
        <v/>
      </c>
      <c r="AA603" s="134" t="str">
        <f>IF(Data!$B595='Team Parser'!$B$1, Data!M595,"")</f>
        <v/>
      </c>
      <c r="AB603" s="134" t="str">
        <f>IF(Data!$B595='Team Parser'!$B$1,((Z603*2)+(Y603)+(X603*4)+(W603*2)),"")</f>
        <v/>
      </c>
      <c r="AC603" s="134" t="str">
        <f>IF(Data!$B595='Team Parser'!$B$1, Data!N595,"")</f>
        <v/>
      </c>
      <c r="AD603" s="139" t="str">
        <f>IF(Data!$B595='Team Parser'!$B$1,(AB603+(COUNTIF(AC603,"TRAVERSE")*15)+(COUNTIF(AC603,"HIGH")*10)+(COUNTIF(AC603,"MIDDLE")*6)+(COUNTIF(AC603,"LOW")*4)),"")</f>
        <v/>
      </c>
    </row>
    <row r="604">
      <c r="A604" s="141" t="s">
        <v>507</v>
      </c>
      <c r="B604" s="134" t="str">
        <f>IFERROR(__xludf.DUMMYFUNCTION("IFERROR((FILTER(Data!H:H,Data!D:D=A604,Data!B:B=$B$1)),"""")"),"")</f>
        <v/>
      </c>
      <c r="C604" s="134" t="str">
        <f>IFERROR(__xludf.DUMMYFUNCTION("IFERROR((FILTER(Data!G:G,Data!D:D=A604,Data!B:B=$B$1)),"""")"),"")</f>
        <v/>
      </c>
      <c r="D604" s="134" t="str">
        <f>IFERROR(__xludf.DUMMYFUNCTION("IFERROR((FILTER(Data!J:J,Data!D:D=A604,Data!B:B=$B$1)),"""")"),"")</f>
        <v/>
      </c>
      <c r="E604" s="134" t="str">
        <f>IFERROR(__xludf.DUMMYFUNCTION("IFERROR((FILTER(Data!L:L,Data!D:D=A604,Data!B:B=$B$1)),"""")"),"")</f>
        <v/>
      </c>
      <c r="F604" s="134" t="str">
        <f>IFERROR(__xludf.DUMMYFUNCTION("IFERROR((FILTER(Data!K:K,Data!D:D=A604,Data!B:B=$B$1)),"""")"),"")</f>
        <v/>
      </c>
      <c r="G604" s="134" t="str">
        <f>IFERROR(__xludf.DUMMYFUNCTION("IFERROR((FILTER(Data!M:M,Data!D:D=A604,Data!B:B=$B$1)),"""")"),"")</f>
        <v/>
      </c>
      <c r="H604" s="134" t="str">
        <f>IFERROR(__xludf.DUMMYFUNCTION("IFERROR((FILTER(Data!G:G,Data!D:D=A604,Data!B:B=$B$1)*4)+(FILTER(Data!H:H,Data!D:D=A604,Data!B:B=$B$1)*2),"""")"),"")</f>
        <v/>
      </c>
      <c r="I604" s="15" t="str">
        <f>IFERROR(__xludf.DUMMYFUNCTION("IFERROR((FILTER(Data!K:K,Data!D:D=A604,Data!B:B=$B$1)*2)+(FILTER(Data!L:L,Data!D:D=A604,Data!B:B=$B$1)),"""")"),"")</f>
        <v/>
      </c>
      <c r="J604" s="134" t="str">
        <f>IFERROR(__xludf.DUMMYFUNCTION("IFERROR((FILTER(Data!N:N,Data!D:D=A604,Data!B:B=$B$1)),"""")"),"")</f>
        <v/>
      </c>
      <c r="K604" s="135" t="str">
        <f>IFERROR(__xludf.DUMMYFUNCTION("IFERROR((FILTER(Data!H:H,Data!D:D=A604,Data!B:B=$B$1)*2)+(FILTER(Data!L:L,Data!D:D=A604,Data!B:B=$B$1))+(FILTER(Data!G:G,Data!D:D=A604,Data!B:B=$B$1)*4)+(FILTER(Data!K:K,Data!D:D=A604,Data!B:B=$B$1)*2)+(((COUNTIF(FILTER(Data!N:N,Data!D:D=A604,Data!B:B=$B$"&amp;"1),""TRAVERSE"")*15)+(COUNTIF(FILTER(Data!N:N,Data!D:D=A604,Data!B:B=$B$1),""HIGH"")*10)+(COUNTIF(FILTER(Data!N:N,Data!D:D=A604,Data!B:B=$B$1),""MIDDLE"")*6)+(COUNTIF(FILTER(Data!N:N,Data!D:D=A604,Data!B:B=$B$1),""LOW"")*4))),"""")"),"")</f>
        <v/>
      </c>
      <c r="L604" s="136" t="str">
        <f>IFERROR(__xludf.DUMMYFUNCTION("IFERROR((FILTER(Data!P:P,Data!D:D=A604,Data!B:B=$B$1)),"""")"),"")</f>
        <v/>
      </c>
      <c r="M604" s="137" t="str">
        <f>IFERROR(__xludf.DUMMYFUNCTION("IFERROR((FILTER(Data!A:A,Data!D:D=A604,Data!B:B=$B$1)),"""")"),"")</f>
        <v/>
      </c>
      <c r="T604" s="52">
        <f>IFERROR(__xludf.DUMMYFUNCTION("((COUNTIF(FILTER(Data!N:N,Data!D:D=A604,Data!B:B=$B$1),""TRAVERSE"")*15)+(COUNTIF(FILTER(Data!N:N,Data!D:D=A604,Data!B:B=B$1),""HIGH"")*10)+(COUNTIF(FILTER(Data!N:N,Data!D:D=A604,Data!B:B=$B$1),""MIDDLE"")*6)+(COUNTIF(FILTER(Data!N:N,Data!D:D=A604,Data!B:"&amp;"B=$B$1),""LOW"")*4))"),0.0)</f>
        <v>0</v>
      </c>
      <c r="V604" s="138" t="str">
        <f>IF(Data!B596='Team Parser'!$B$1, Data!D596,"")</f>
        <v/>
      </c>
      <c r="W604" s="134" t="str">
        <f>IF(Data!$B596='Team Parser'!$B$1, Data!H596,"")</f>
        <v/>
      </c>
      <c r="X604" s="134" t="str">
        <f>IF(Data!$B596='Team Parser'!$B$1, Data!G596,"")</f>
        <v/>
      </c>
      <c r="Y604" s="134" t="str">
        <f>IF(Data!$B596='Team Parser'!$B$1, Data!L596,"")</f>
        <v/>
      </c>
      <c r="Z604" s="134" t="str">
        <f>IF(Data!$B596='Team Parser'!$B$1, Data!K596,"")</f>
        <v/>
      </c>
      <c r="AA604" s="134" t="str">
        <f>IF(Data!$B596='Team Parser'!$B$1, Data!M596,"")</f>
        <v/>
      </c>
      <c r="AB604" s="134" t="str">
        <f>IF(Data!$B596='Team Parser'!$B$1,((Z604*2)+(Y604)+(X604*4)+(W604*2)),"")</f>
        <v/>
      </c>
      <c r="AC604" s="134" t="str">
        <f>IF(Data!$B596='Team Parser'!$B$1, Data!N596,"")</f>
        <v/>
      </c>
      <c r="AD604" s="139" t="str">
        <f>IF(Data!$B596='Team Parser'!$B$1,(AB604+(COUNTIF(AC604,"TRAVERSE")*15)+(COUNTIF(AC604,"HIGH")*10)+(COUNTIF(AC604,"MIDDLE")*6)+(COUNTIF(AC604,"LOW")*4)),"")</f>
        <v/>
      </c>
    </row>
    <row r="605">
      <c r="A605" s="141" t="s">
        <v>507</v>
      </c>
      <c r="B605" s="134" t="str">
        <f>IFERROR(__xludf.DUMMYFUNCTION("IFERROR((FILTER(Data!H:H,Data!D:D=A605,Data!B:B=$B$1)),"""")"),"")</f>
        <v/>
      </c>
      <c r="C605" s="134" t="str">
        <f>IFERROR(__xludf.DUMMYFUNCTION("IFERROR((FILTER(Data!G:G,Data!D:D=A605,Data!B:B=$B$1)),"""")"),"")</f>
        <v/>
      </c>
      <c r="D605" s="134" t="str">
        <f>IFERROR(__xludf.DUMMYFUNCTION("IFERROR((FILTER(Data!J:J,Data!D:D=A605,Data!B:B=$B$1)),"""")"),"")</f>
        <v/>
      </c>
      <c r="E605" s="134" t="str">
        <f>IFERROR(__xludf.DUMMYFUNCTION("IFERROR((FILTER(Data!L:L,Data!D:D=A605,Data!B:B=$B$1)),"""")"),"")</f>
        <v/>
      </c>
      <c r="F605" s="134" t="str">
        <f>IFERROR(__xludf.DUMMYFUNCTION("IFERROR((FILTER(Data!K:K,Data!D:D=A605,Data!B:B=$B$1)),"""")"),"")</f>
        <v/>
      </c>
      <c r="G605" s="134" t="str">
        <f>IFERROR(__xludf.DUMMYFUNCTION("IFERROR((FILTER(Data!M:M,Data!D:D=A605,Data!B:B=$B$1)),"""")"),"")</f>
        <v/>
      </c>
      <c r="H605" s="134" t="str">
        <f>IFERROR(__xludf.DUMMYFUNCTION("IFERROR((FILTER(Data!G:G,Data!D:D=A605,Data!B:B=$B$1)*4)+(FILTER(Data!H:H,Data!D:D=A605,Data!B:B=$B$1)*2),"""")"),"")</f>
        <v/>
      </c>
      <c r="I605" s="15" t="str">
        <f>IFERROR(__xludf.DUMMYFUNCTION("IFERROR((FILTER(Data!K:K,Data!D:D=A605,Data!B:B=$B$1)*2)+(FILTER(Data!L:L,Data!D:D=A605,Data!B:B=$B$1)),"""")"),"")</f>
        <v/>
      </c>
      <c r="J605" s="134" t="str">
        <f>IFERROR(__xludf.DUMMYFUNCTION("IFERROR((FILTER(Data!N:N,Data!D:D=A605,Data!B:B=$B$1)),"""")"),"")</f>
        <v/>
      </c>
      <c r="K605" s="135" t="str">
        <f>IFERROR(__xludf.DUMMYFUNCTION("IFERROR((FILTER(Data!H:H,Data!D:D=A605,Data!B:B=$B$1)*2)+(FILTER(Data!L:L,Data!D:D=A605,Data!B:B=$B$1))+(FILTER(Data!G:G,Data!D:D=A605,Data!B:B=$B$1)*4)+(FILTER(Data!K:K,Data!D:D=A605,Data!B:B=$B$1)*2)+(((COUNTIF(FILTER(Data!N:N,Data!D:D=A605,Data!B:B=$B$"&amp;"1),""TRAVERSE"")*15)+(COUNTIF(FILTER(Data!N:N,Data!D:D=A605,Data!B:B=$B$1),""HIGH"")*10)+(COUNTIF(FILTER(Data!N:N,Data!D:D=A605,Data!B:B=$B$1),""MIDDLE"")*6)+(COUNTIF(FILTER(Data!N:N,Data!D:D=A605,Data!B:B=$B$1),""LOW"")*4))),"""")"),"")</f>
        <v/>
      </c>
      <c r="L605" s="136" t="str">
        <f>IFERROR(__xludf.DUMMYFUNCTION("IFERROR((FILTER(Data!P:P,Data!D:D=A605,Data!B:B=$B$1)),"""")"),"")</f>
        <v/>
      </c>
      <c r="M605" s="137" t="str">
        <f>IFERROR(__xludf.DUMMYFUNCTION("IFERROR((FILTER(Data!A:A,Data!D:D=A605,Data!B:B=$B$1)),"""")"),"")</f>
        <v/>
      </c>
      <c r="T605" s="52">
        <f>IFERROR(__xludf.DUMMYFUNCTION("((COUNTIF(FILTER(Data!N:N,Data!D:D=A605,Data!B:B=$B$1),""TRAVERSE"")*15)+(COUNTIF(FILTER(Data!N:N,Data!D:D=A605,Data!B:B=B$1),""HIGH"")*10)+(COUNTIF(FILTER(Data!N:N,Data!D:D=A605,Data!B:B=$B$1),""MIDDLE"")*6)+(COUNTIF(FILTER(Data!N:N,Data!D:D=A605,Data!B:"&amp;"B=$B$1),""LOW"")*4))"),0.0)</f>
        <v>0</v>
      </c>
      <c r="V605" s="138" t="str">
        <f>IF(Data!B597='Team Parser'!$B$1, Data!D597,"")</f>
        <v/>
      </c>
      <c r="W605" s="134" t="str">
        <f>IF(Data!$B597='Team Parser'!$B$1, Data!H597,"")</f>
        <v/>
      </c>
      <c r="X605" s="134" t="str">
        <f>IF(Data!$B597='Team Parser'!$B$1, Data!G597,"")</f>
        <v/>
      </c>
      <c r="Y605" s="134" t="str">
        <f>IF(Data!$B597='Team Parser'!$B$1, Data!L597,"")</f>
        <v/>
      </c>
      <c r="Z605" s="134" t="str">
        <f>IF(Data!$B597='Team Parser'!$B$1, Data!K597,"")</f>
        <v/>
      </c>
      <c r="AA605" s="134" t="str">
        <f>IF(Data!$B597='Team Parser'!$B$1, Data!M597,"")</f>
        <v/>
      </c>
      <c r="AB605" s="134" t="str">
        <f>IF(Data!$B597='Team Parser'!$B$1,((Z605*2)+(Y605)+(X605*4)+(W605*2)),"")</f>
        <v/>
      </c>
      <c r="AC605" s="134" t="str">
        <f>IF(Data!$B597='Team Parser'!$B$1, Data!N597,"")</f>
        <v/>
      </c>
      <c r="AD605" s="139" t="str">
        <f>IF(Data!$B597='Team Parser'!$B$1,(AB605+(COUNTIF(AC605,"TRAVERSE")*15)+(COUNTIF(AC605,"HIGH")*10)+(COUNTIF(AC605,"MIDDLE")*6)+(COUNTIF(AC605,"LOW")*4)),"")</f>
        <v/>
      </c>
    </row>
    <row r="606">
      <c r="A606" s="141" t="s">
        <v>507</v>
      </c>
      <c r="B606" s="134" t="str">
        <f>IFERROR(__xludf.DUMMYFUNCTION("IFERROR((FILTER(Data!H:H,Data!D:D=A606,Data!B:B=$B$1)),"""")"),"")</f>
        <v/>
      </c>
      <c r="C606" s="134" t="str">
        <f>IFERROR(__xludf.DUMMYFUNCTION("IFERROR((FILTER(Data!G:G,Data!D:D=A606,Data!B:B=$B$1)),"""")"),"")</f>
        <v/>
      </c>
      <c r="D606" s="134" t="str">
        <f>IFERROR(__xludf.DUMMYFUNCTION("IFERROR((FILTER(Data!J:J,Data!D:D=A606,Data!B:B=$B$1)),"""")"),"")</f>
        <v/>
      </c>
      <c r="E606" s="134" t="str">
        <f>IFERROR(__xludf.DUMMYFUNCTION("IFERROR((FILTER(Data!L:L,Data!D:D=A606,Data!B:B=$B$1)),"""")"),"")</f>
        <v/>
      </c>
      <c r="F606" s="134" t="str">
        <f>IFERROR(__xludf.DUMMYFUNCTION("IFERROR((FILTER(Data!K:K,Data!D:D=A606,Data!B:B=$B$1)),"""")"),"")</f>
        <v/>
      </c>
      <c r="G606" s="134" t="str">
        <f>IFERROR(__xludf.DUMMYFUNCTION("IFERROR((FILTER(Data!M:M,Data!D:D=A606,Data!B:B=$B$1)),"""")"),"")</f>
        <v/>
      </c>
      <c r="H606" s="134" t="str">
        <f>IFERROR(__xludf.DUMMYFUNCTION("IFERROR((FILTER(Data!G:G,Data!D:D=A606,Data!B:B=$B$1)*4)+(FILTER(Data!H:H,Data!D:D=A606,Data!B:B=$B$1)*2),"""")"),"")</f>
        <v/>
      </c>
      <c r="I606" s="15" t="str">
        <f>IFERROR(__xludf.DUMMYFUNCTION("IFERROR((FILTER(Data!K:K,Data!D:D=A606,Data!B:B=$B$1)*2)+(FILTER(Data!L:L,Data!D:D=A606,Data!B:B=$B$1)),"""")"),"")</f>
        <v/>
      </c>
      <c r="J606" s="134" t="str">
        <f>IFERROR(__xludf.DUMMYFUNCTION("IFERROR((FILTER(Data!N:N,Data!D:D=A606,Data!B:B=$B$1)),"""")"),"")</f>
        <v/>
      </c>
      <c r="K606" s="135" t="str">
        <f>IFERROR(__xludf.DUMMYFUNCTION("IFERROR((FILTER(Data!H:H,Data!D:D=A606,Data!B:B=$B$1)*2)+(FILTER(Data!L:L,Data!D:D=A606,Data!B:B=$B$1))+(FILTER(Data!G:G,Data!D:D=A606,Data!B:B=$B$1)*4)+(FILTER(Data!K:K,Data!D:D=A606,Data!B:B=$B$1)*2)+(((COUNTIF(FILTER(Data!N:N,Data!D:D=A606,Data!B:B=$B$"&amp;"1),""TRAVERSE"")*15)+(COUNTIF(FILTER(Data!N:N,Data!D:D=A606,Data!B:B=$B$1),""HIGH"")*10)+(COUNTIF(FILTER(Data!N:N,Data!D:D=A606,Data!B:B=$B$1),""MIDDLE"")*6)+(COUNTIF(FILTER(Data!N:N,Data!D:D=A606,Data!B:B=$B$1),""LOW"")*4))),"""")"),"")</f>
        <v/>
      </c>
      <c r="L606" s="136" t="str">
        <f>IFERROR(__xludf.DUMMYFUNCTION("IFERROR((FILTER(Data!P:P,Data!D:D=A606,Data!B:B=$B$1)),"""")"),"")</f>
        <v/>
      </c>
      <c r="M606" s="137" t="str">
        <f>IFERROR(__xludf.DUMMYFUNCTION("IFERROR((FILTER(Data!A:A,Data!D:D=A606,Data!B:B=$B$1)),"""")"),"")</f>
        <v/>
      </c>
      <c r="T606" s="52">
        <f>IFERROR(__xludf.DUMMYFUNCTION("((COUNTIF(FILTER(Data!N:N,Data!D:D=A606,Data!B:B=$B$1),""TRAVERSE"")*15)+(COUNTIF(FILTER(Data!N:N,Data!D:D=A606,Data!B:B=B$1),""HIGH"")*10)+(COUNTIF(FILTER(Data!N:N,Data!D:D=A606,Data!B:B=$B$1),""MIDDLE"")*6)+(COUNTIF(FILTER(Data!N:N,Data!D:D=A606,Data!B:"&amp;"B=$B$1),""LOW"")*4))"),0.0)</f>
        <v>0</v>
      </c>
      <c r="V606" s="138" t="str">
        <f>IF(Data!B598='Team Parser'!$B$1, Data!D598,"")</f>
        <v/>
      </c>
      <c r="W606" s="134" t="str">
        <f>IF(Data!$B598='Team Parser'!$B$1, Data!H598,"")</f>
        <v/>
      </c>
      <c r="X606" s="134" t="str">
        <f>IF(Data!$B598='Team Parser'!$B$1, Data!G598,"")</f>
        <v/>
      </c>
      <c r="Y606" s="134" t="str">
        <f>IF(Data!$B598='Team Parser'!$B$1, Data!L598,"")</f>
        <v/>
      </c>
      <c r="Z606" s="134" t="str">
        <f>IF(Data!$B598='Team Parser'!$B$1, Data!K598,"")</f>
        <v/>
      </c>
      <c r="AA606" s="134" t="str">
        <f>IF(Data!$B598='Team Parser'!$B$1, Data!M598,"")</f>
        <v/>
      </c>
      <c r="AB606" s="134" t="str">
        <f>IF(Data!$B598='Team Parser'!$B$1,((Z606*2)+(Y606)+(X606*4)+(W606*2)),"")</f>
        <v/>
      </c>
      <c r="AC606" s="134" t="str">
        <f>IF(Data!$B598='Team Parser'!$B$1, Data!N598,"")</f>
        <v/>
      </c>
      <c r="AD606" s="139" t="str">
        <f>IF(Data!$B598='Team Parser'!$B$1,(AB606+(COUNTIF(AC606,"TRAVERSE")*15)+(COUNTIF(AC606,"HIGH")*10)+(COUNTIF(AC606,"MIDDLE")*6)+(COUNTIF(AC606,"LOW")*4)),"")</f>
        <v/>
      </c>
    </row>
    <row r="607">
      <c r="A607" s="141" t="s">
        <v>507</v>
      </c>
      <c r="B607" s="134" t="str">
        <f>IFERROR(__xludf.DUMMYFUNCTION("IFERROR((FILTER(Data!H:H,Data!D:D=A607,Data!B:B=$B$1)),"""")"),"")</f>
        <v/>
      </c>
      <c r="C607" s="134" t="str">
        <f>IFERROR(__xludf.DUMMYFUNCTION("IFERROR((FILTER(Data!G:G,Data!D:D=A607,Data!B:B=$B$1)),"""")"),"")</f>
        <v/>
      </c>
      <c r="D607" s="134" t="str">
        <f>IFERROR(__xludf.DUMMYFUNCTION("IFERROR((FILTER(Data!J:J,Data!D:D=A607,Data!B:B=$B$1)),"""")"),"")</f>
        <v/>
      </c>
      <c r="E607" s="134" t="str">
        <f>IFERROR(__xludf.DUMMYFUNCTION("IFERROR((FILTER(Data!L:L,Data!D:D=A607,Data!B:B=$B$1)),"""")"),"")</f>
        <v/>
      </c>
      <c r="F607" s="134" t="str">
        <f>IFERROR(__xludf.DUMMYFUNCTION("IFERROR((FILTER(Data!K:K,Data!D:D=A607,Data!B:B=$B$1)),"""")"),"")</f>
        <v/>
      </c>
      <c r="G607" s="134" t="str">
        <f>IFERROR(__xludf.DUMMYFUNCTION("IFERROR((FILTER(Data!M:M,Data!D:D=A607,Data!B:B=$B$1)),"""")"),"")</f>
        <v/>
      </c>
      <c r="H607" s="134" t="str">
        <f>IFERROR(__xludf.DUMMYFUNCTION("IFERROR((FILTER(Data!G:G,Data!D:D=A607,Data!B:B=$B$1)*4)+(FILTER(Data!H:H,Data!D:D=A607,Data!B:B=$B$1)*2),"""")"),"")</f>
        <v/>
      </c>
      <c r="I607" s="15" t="str">
        <f>IFERROR(__xludf.DUMMYFUNCTION("IFERROR((FILTER(Data!K:K,Data!D:D=A607,Data!B:B=$B$1)*2)+(FILTER(Data!L:L,Data!D:D=A607,Data!B:B=$B$1)),"""")"),"")</f>
        <v/>
      </c>
      <c r="J607" s="134" t="str">
        <f>IFERROR(__xludf.DUMMYFUNCTION("IFERROR((FILTER(Data!N:N,Data!D:D=A607,Data!B:B=$B$1)),"""")"),"")</f>
        <v/>
      </c>
      <c r="K607" s="135" t="str">
        <f>IFERROR(__xludf.DUMMYFUNCTION("IFERROR((FILTER(Data!H:H,Data!D:D=A607,Data!B:B=$B$1)*2)+(FILTER(Data!L:L,Data!D:D=A607,Data!B:B=$B$1))+(FILTER(Data!G:G,Data!D:D=A607,Data!B:B=$B$1)*4)+(FILTER(Data!K:K,Data!D:D=A607,Data!B:B=$B$1)*2)+(((COUNTIF(FILTER(Data!N:N,Data!D:D=A607,Data!B:B=$B$"&amp;"1),""TRAVERSE"")*15)+(COUNTIF(FILTER(Data!N:N,Data!D:D=A607,Data!B:B=$B$1),""HIGH"")*10)+(COUNTIF(FILTER(Data!N:N,Data!D:D=A607,Data!B:B=$B$1),""MIDDLE"")*6)+(COUNTIF(FILTER(Data!N:N,Data!D:D=A607,Data!B:B=$B$1),""LOW"")*4))),"""")"),"")</f>
        <v/>
      </c>
      <c r="L607" s="136" t="str">
        <f>IFERROR(__xludf.DUMMYFUNCTION("IFERROR((FILTER(Data!P:P,Data!D:D=A607,Data!B:B=$B$1)),"""")"),"")</f>
        <v/>
      </c>
      <c r="M607" s="137" t="str">
        <f>IFERROR(__xludf.DUMMYFUNCTION("IFERROR((FILTER(Data!A:A,Data!D:D=A607,Data!B:B=$B$1)),"""")"),"")</f>
        <v/>
      </c>
      <c r="T607" s="52">
        <f>IFERROR(__xludf.DUMMYFUNCTION("((COUNTIF(FILTER(Data!N:N,Data!D:D=A607,Data!B:B=$B$1),""TRAVERSE"")*15)+(COUNTIF(FILTER(Data!N:N,Data!D:D=A607,Data!B:B=B$1),""HIGH"")*10)+(COUNTIF(FILTER(Data!N:N,Data!D:D=A607,Data!B:B=$B$1),""MIDDLE"")*6)+(COUNTIF(FILTER(Data!N:N,Data!D:D=A607,Data!B:"&amp;"B=$B$1),""LOW"")*4))"),0.0)</f>
        <v>0</v>
      </c>
      <c r="V607" s="138" t="str">
        <f>IF(Data!B599='Team Parser'!$B$1, Data!D599,"")</f>
        <v/>
      </c>
      <c r="W607" s="134" t="str">
        <f>IF(Data!$B599='Team Parser'!$B$1, Data!H599,"")</f>
        <v/>
      </c>
      <c r="X607" s="134" t="str">
        <f>IF(Data!$B599='Team Parser'!$B$1, Data!G599,"")</f>
        <v/>
      </c>
      <c r="Y607" s="134" t="str">
        <f>IF(Data!$B599='Team Parser'!$B$1, Data!L599,"")</f>
        <v/>
      </c>
      <c r="Z607" s="134" t="str">
        <f>IF(Data!$B599='Team Parser'!$B$1, Data!K599,"")</f>
        <v/>
      </c>
      <c r="AA607" s="134" t="str">
        <f>IF(Data!$B599='Team Parser'!$B$1, Data!M599,"")</f>
        <v/>
      </c>
      <c r="AB607" s="134" t="str">
        <f>IF(Data!$B599='Team Parser'!$B$1,((Z607*2)+(Y607)+(X607*4)+(W607*2)),"")</f>
        <v/>
      </c>
      <c r="AC607" s="134" t="str">
        <f>IF(Data!$B599='Team Parser'!$B$1, Data!N599,"")</f>
        <v/>
      </c>
      <c r="AD607" s="139" t="str">
        <f>IF(Data!$B599='Team Parser'!$B$1,(AB607+(COUNTIF(AC607,"TRAVERSE")*15)+(COUNTIF(AC607,"HIGH")*10)+(COUNTIF(AC607,"MIDDLE")*6)+(COUNTIF(AC607,"LOW")*4)),"")</f>
        <v/>
      </c>
    </row>
    <row r="608">
      <c r="A608" s="141" t="s">
        <v>507</v>
      </c>
      <c r="B608" s="134" t="str">
        <f>IFERROR(__xludf.DUMMYFUNCTION("IFERROR((FILTER(Data!H:H,Data!D:D=A608,Data!B:B=$B$1)),"""")"),"")</f>
        <v/>
      </c>
      <c r="C608" s="134" t="str">
        <f>IFERROR(__xludf.DUMMYFUNCTION("IFERROR((FILTER(Data!G:G,Data!D:D=A608,Data!B:B=$B$1)),"""")"),"")</f>
        <v/>
      </c>
      <c r="D608" s="134" t="str">
        <f>IFERROR(__xludf.DUMMYFUNCTION("IFERROR((FILTER(Data!J:J,Data!D:D=A608,Data!B:B=$B$1)),"""")"),"")</f>
        <v/>
      </c>
      <c r="E608" s="134" t="str">
        <f>IFERROR(__xludf.DUMMYFUNCTION("IFERROR((FILTER(Data!L:L,Data!D:D=A608,Data!B:B=$B$1)),"""")"),"")</f>
        <v/>
      </c>
      <c r="F608" s="134" t="str">
        <f>IFERROR(__xludf.DUMMYFUNCTION("IFERROR((FILTER(Data!K:K,Data!D:D=A608,Data!B:B=$B$1)),"""")"),"")</f>
        <v/>
      </c>
      <c r="G608" s="134" t="str">
        <f>IFERROR(__xludf.DUMMYFUNCTION("IFERROR((FILTER(Data!M:M,Data!D:D=A608,Data!B:B=$B$1)),"""")"),"")</f>
        <v/>
      </c>
      <c r="H608" s="134" t="str">
        <f>IFERROR(__xludf.DUMMYFUNCTION("IFERROR((FILTER(Data!G:G,Data!D:D=A608,Data!B:B=$B$1)*4)+(FILTER(Data!H:H,Data!D:D=A608,Data!B:B=$B$1)*2),"""")"),"")</f>
        <v/>
      </c>
      <c r="I608" s="15" t="str">
        <f>IFERROR(__xludf.DUMMYFUNCTION("IFERROR((FILTER(Data!K:K,Data!D:D=A608,Data!B:B=$B$1)*2)+(FILTER(Data!L:L,Data!D:D=A608,Data!B:B=$B$1)),"""")"),"")</f>
        <v/>
      </c>
      <c r="J608" s="134" t="str">
        <f>IFERROR(__xludf.DUMMYFUNCTION("IFERROR((FILTER(Data!N:N,Data!D:D=A608,Data!B:B=$B$1)),"""")"),"")</f>
        <v/>
      </c>
      <c r="K608" s="135" t="str">
        <f>IFERROR(__xludf.DUMMYFUNCTION("IFERROR((FILTER(Data!H:H,Data!D:D=A608,Data!B:B=$B$1)*2)+(FILTER(Data!L:L,Data!D:D=A608,Data!B:B=$B$1))+(FILTER(Data!G:G,Data!D:D=A608,Data!B:B=$B$1)*4)+(FILTER(Data!K:K,Data!D:D=A608,Data!B:B=$B$1)*2)+(((COUNTIF(FILTER(Data!N:N,Data!D:D=A608,Data!B:B=$B$"&amp;"1),""TRAVERSE"")*15)+(COUNTIF(FILTER(Data!N:N,Data!D:D=A608,Data!B:B=$B$1),""HIGH"")*10)+(COUNTIF(FILTER(Data!N:N,Data!D:D=A608,Data!B:B=$B$1),""MIDDLE"")*6)+(COUNTIF(FILTER(Data!N:N,Data!D:D=A608,Data!B:B=$B$1),""LOW"")*4))),"""")"),"")</f>
        <v/>
      </c>
      <c r="L608" s="136" t="str">
        <f>IFERROR(__xludf.DUMMYFUNCTION("IFERROR((FILTER(Data!P:P,Data!D:D=A608,Data!B:B=$B$1)),"""")"),"")</f>
        <v/>
      </c>
      <c r="M608" s="137" t="str">
        <f>IFERROR(__xludf.DUMMYFUNCTION("IFERROR((FILTER(Data!A:A,Data!D:D=A608,Data!B:B=$B$1)),"""")"),"")</f>
        <v/>
      </c>
      <c r="T608" s="52">
        <f>IFERROR(__xludf.DUMMYFUNCTION("((COUNTIF(FILTER(Data!N:N,Data!D:D=A608,Data!B:B=$B$1),""TRAVERSE"")*15)+(COUNTIF(FILTER(Data!N:N,Data!D:D=A608,Data!B:B=B$1),""HIGH"")*10)+(COUNTIF(FILTER(Data!N:N,Data!D:D=A608,Data!B:B=$B$1),""MIDDLE"")*6)+(COUNTIF(FILTER(Data!N:N,Data!D:D=A608,Data!B:"&amp;"B=$B$1),""LOW"")*4))"),0.0)</f>
        <v>0</v>
      </c>
      <c r="V608" s="138" t="str">
        <f>IF(Data!B600='Team Parser'!$B$1, Data!D600,"")</f>
        <v/>
      </c>
      <c r="W608" s="134" t="str">
        <f>IF(Data!$B600='Team Parser'!$B$1, Data!H600,"")</f>
        <v/>
      </c>
      <c r="X608" s="134" t="str">
        <f>IF(Data!$B600='Team Parser'!$B$1, Data!G600,"")</f>
        <v/>
      </c>
      <c r="Y608" s="134" t="str">
        <f>IF(Data!$B600='Team Parser'!$B$1, Data!L600,"")</f>
        <v/>
      </c>
      <c r="Z608" s="134" t="str">
        <f>IF(Data!$B600='Team Parser'!$B$1, Data!K600,"")</f>
        <v/>
      </c>
      <c r="AA608" s="134" t="str">
        <f>IF(Data!$B600='Team Parser'!$B$1, Data!M600,"")</f>
        <v/>
      </c>
      <c r="AB608" s="134" t="str">
        <f>IF(Data!$B600='Team Parser'!$B$1,((Z608*2)+(Y608)+(X608*4)+(W608*2)),"")</f>
        <v/>
      </c>
      <c r="AC608" s="134" t="str">
        <f>IF(Data!$B600='Team Parser'!$B$1, Data!N600,"")</f>
        <v/>
      </c>
      <c r="AD608" s="139" t="str">
        <f>IF(Data!$B600='Team Parser'!$B$1,(AB608+(COUNTIF(AC608,"TRAVERSE")*15)+(COUNTIF(AC608,"HIGH")*10)+(COUNTIF(AC608,"MIDDLE")*6)+(COUNTIF(AC608,"LOW")*4)),"")</f>
        <v/>
      </c>
    </row>
    <row r="609">
      <c r="A609" s="141" t="s">
        <v>507</v>
      </c>
      <c r="B609" s="134" t="str">
        <f>IFERROR(__xludf.DUMMYFUNCTION("IFERROR((FILTER(Data!H:H,Data!D:D=A609,Data!B:B=$B$1)),"""")"),"")</f>
        <v/>
      </c>
      <c r="C609" s="134" t="str">
        <f>IFERROR(__xludf.DUMMYFUNCTION("IFERROR((FILTER(Data!G:G,Data!D:D=A609,Data!B:B=$B$1)),"""")"),"")</f>
        <v/>
      </c>
      <c r="D609" s="134" t="str">
        <f>IFERROR(__xludf.DUMMYFUNCTION("IFERROR((FILTER(Data!J:J,Data!D:D=A609,Data!B:B=$B$1)),"""")"),"")</f>
        <v/>
      </c>
      <c r="E609" s="134" t="str">
        <f>IFERROR(__xludf.DUMMYFUNCTION("IFERROR((FILTER(Data!L:L,Data!D:D=A609,Data!B:B=$B$1)),"""")"),"")</f>
        <v/>
      </c>
      <c r="F609" s="134" t="str">
        <f>IFERROR(__xludf.DUMMYFUNCTION("IFERROR((FILTER(Data!K:K,Data!D:D=A609,Data!B:B=$B$1)),"""")"),"")</f>
        <v/>
      </c>
      <c r="G609" s="134" t="str">
        <f>IFERROR(__xludf.DUMMYFUNCTION("IFERROR((FILTER(Data!M:M,Data!D:D=A609,Data!B:B=$B$1)),"""")"),"")</f>
        <v/>
      </c>
      <c r="H609" s="134" t="str">
        <f>IFERROR(__xludf.DUMMYFUNCTION("IFERROR((FILTER(Data!G:G,Data!D:D=A609,Data!B:B=$B$1)*4)+(FILTER(Data!H:H,Data!D:D=A609,Data!B:B=$B$1)*2),"""")"),"")</f>
        <v/>
      </c>
      <c r="I609" s="15" t="str">
        <f>IFERROR(__xludf.DUMMYFUNCTION("IFERROR((FILTER(Data!K:K,Data!D:D=A609,Data!B:B=$B$1)*2)+(FILTER(Data!L:L,Data!D:D=A609,Data!B:B=$B$1)),"""")"),"")</f>
        <v/>
      </c>
      <c r="J609" s="134" t="str">
        <f>IFERROR(__xludf.DUMMYFUNCTION("IFERROR((FILTER(Data!N:N,Data!D:D=A609,Data!B:B=$B$1)),"""")"),"")</f>
        <v/>
      </c>
      <c r="K609" s="135" t="str">
        <f>IFERROR(__xludf.DUMMYFUNCTION("IFERROR((FILTER(Data!H:H,Data!D:D=A609,Data!B:B=$B$1)*2)+(FILTER(Data!L:L,Data!D:D=A609,Data!B:B=$B$1))+(FILTER(Data!G:G,Data!D:D=A609,Data!B:B=$B$1)*4)+(FILTER(Data!K:K,Data!D:D=A609,Data!B:B=$B$1)*2)+(((COUNTIF(FILTER(Data!N:N,Data!D:D=A609,Data!B:B=$B$"&amp;"1),""TRAVERSE"")*15)+(COUNTIF(FILTER(Data!N:N,Data!D:D=A609,Data!B:B=$B$1),""HIGH"")*10)+(COUNTIF(FILTER(Data!N:N,Data!D:D=A609,Data!B:B=$B$1),""MIDDLE"")*6)+(COUNTIF(FILTER(Data!N:N,Data!D:D=A609,Data!B:B=$B$1),""LOW"")*4))),"""")"),"")</f>
        <v/>
      </c>
      <c r="L609" s="136" t="str">
        <f>IFERROR(__xludf.DUMMYFUNCTION("IFERROR((FILTER(Data!P:P,Data!D:D=A609,Data!B:B=$B$1)),"""")"),"")</f>
        <v/>
      </c>
      <c r="M609" s="137" t="str">
        <f>IFERROR(__xludf.DUMMYFUNCTION("IFERROR((FILTER(Data!A:A,Data!D:D=A609,Data!B:B=$B$1)),"""")"),"")</f>
        <v/>
      </c>
      <c r="T609" s="52">
        <f>IFERROR(__xludf.DUMMYFUNCTION("((COUNTIF(FILTER(Data!N:N,Data!D:D=A609,Data!B:B=$B$1),""TRAVERSE"")*15)+(COUNTIF(FILTER(Data!N:N,Data!D:D=A609,Data!B:B=B$1),""HIGH"")*10)+(COUNTIF(FILTER(Data!N:N,Data!D:D=A609,Data!B:B=$B$1),""MIDDLE"")*6)+(COUNTIF(FILTER(Data!N:N,Data!D:D=A609,Data!B:"&amp;"B=$B$1),""LOW"")*4))"),0.0)</f>
        <v>0</v>
      </c>
      <c r="V609" s="138" t="str">
        <f>IF(Data!B601='Team Parser'!$B$1, Data!D601,"")</f>
        <v/>
      </c>
      <c r="W609" s="134" t="str">
        <f>IF(Data!$B601='Team Parser'!$B$1, Data!H601,"")</f>
        <v/>
      </c>
      <c r="X609" s="134" t="str">
        <f>IF(Data!$B601='Team Parser'!$B$1, Data!G601,"")</f>
        <v/>
      </c>
      <c r="Y609" s="134" t="str">
        <f>IF(Data!$B601='Team Parser'!$B$1, Data!L601,"")</f>
        <v/>
      </c>
      <c r="Z609" s="134" t="str">
        <f>IF(Data!$B601='Team Parser'!$B$1, Data!K601,"")</f>
        <v/>
      </c>
      <c r="AA609" s="134" t="str">
        <f>IF(Data!$B601='Team Parser'!$B$1, Data!M601,"")</f>
        <v/>
      </c>
      <c r="AB609" s="134" t="str">
        <f>IF(Data!$B601='Team Parser'!$B$1,((Z609*2)+(Y609)+(X609*4)+(W609*2)),"")</f>
        <v/>
      </c>
      <c r="AC609" s="134" t="str">
        <f>IF(Data!$B601='Team Parser'!$B$1, Data!N601,"")</f>
        <v/>
      </c>
      <c r="AD609" s="139" t="str">
        <f>IF(Data!$B601='Team Parser'!$B$1,(AB609+(COUNTIF(AC609,"TRAVERSE")*15)+(COUNTIF(AC609,"HIGH")*10)+(COUNTIF(AC609,"MIDDLE")*6)+(COUNTIF(AC609,"LOW")*4)),"")</f>
        <v/>
      </c>
    </row>
    <row r="610">
      <c r="A610" s="141" t="s">
        <v>507</v>
      </c>
      <c r="B610" s="134" t="str">
        <f>IFERROR(__xludf.DUMMYFUNCTION("IFERROR((FILTER(Data!H:H,Data!D:D=A610,Data!B:B=$B$1)),"""")"),"")</f>
        <v/>
      </c>
      <c r="C610" s="134" t="str">
        <f>IFERROR(__xludf.DUMMYFUNCTION("IFERROR((FILTER(Data!G:G,Data!D:D=A610,Data!B:B=$B$1)),"""")"),"")</f>
        <v/>
      </c>
      <c r="D610" s="134" t="str">
        <f>IFERROR(__xludf.DUMMYFUNCTION("IFERROR((FILTER(Data!J:J,Data!D:D=A610,Data!B:B=$B$1)),"""")"),"")</f>
        <v/>
      </c>
      <c r="E610" s="134" t="str">
        <f>IFERROR(__xludf.DUMMYFUNCTION("IFERROR((FILTER(Data!L:L,Data!D:D=A610,Data!B:B=$B$1)),"""")"),"")</f>
        <v/>
      </c>
      <c r="F610" s="134" t="str">
        <f>IFERROR(__xludf.DUMMYFUNCTION("IFERROR((FILTER(Data!K:K,Data!D:D=A610,Data!B:B=$B$1)),"""")"),"")</f>
        <v/>
      </c>
      <c r="G610" s="134" t="str">
        <f>IFERROR(__xludf.DUMMYFUNCTION("IFERROR((FILTER(Data!M:M,Data!D:D=A610,Data!B:B=$B$1)),"""")"),"")</f>
        <v/>
      </c>
      <c r="H610" s="134" t="str">
        <f>IFERROR(__xludf.DUMMYFUNCTION("IFERROR((FILTER(Data!G:G,Data!D:D=A610,Data!B:B=$B$1)*4)+(FILTER(Data!H:H,Data!D:D=A610,Data!B:B=$B$1)*2),"""")"),"")</f>
        <v/>
      </c>
      <c r="I610" s="15" t="str">
        <f>IFERROR(__xludf.DUMMYFUNCTION("IFERROR((FILTER(Data!K:K,Data!D:D=A610,Data!B:B=$B$1)*2)+(FILTER(Data!L:L,Data!D:D=A610,Data!B:B=$B$1)),"""")"),"")</f>
        <v/>
      </c>
      <c r="J610" s="134" t="str">
        <f>IFERROR(__xludf.DUMMYFUNCTION("IFERROR((FILTER(Data!N:N,Data!D:D=A610,Data!B:B=$B$1)),"""")"),"")</f>
        <v/>
      </c>
      <c r="K610" s="135" t="str">
        <f>IFERROR(__xludf.DUMMYFUNCTION("IFERROR((FILTER(Data!H:H,Data!D:D=A610,Data!B:B=$B$1)*2)+(FILTER(Data!L:L,Data!D:D=A610,Data!B:B=$B$1))+(FILTER(Data!G:G,Data!D:D=A610,Data!B:B=$B$1)*4)+(FILTER(Data!K:K,Data!D:D=A610,Data!B:B=$B$1)*2)+(((COUNTIF(FILTER(Data!N:N,Data!D:D=A610,Data!B:B=$B$"&amp;"1),""TRAVERSE"")*15)+(COUNTIF(FILTER(Data!N:N,Data!D:D=A610,Data!B:B=$B$1),""HIGH"")*10)+(COUNTIF(FILTER(Data!N:N,Data!D:D=A610,Data!B:B=$B$1),""MIDDLE"")*6)+(COUNTIF(FILTER(Data!N:N,Data!D:D=A610,Data!B:B=$B$1),""LOW"")*4))),"""")"),"")</f>
        <v/>
      </c>
      <c r="L610" s="136" t="str">
        <f>IFERROR(__xludf.DUMMYFUNCTION("IFERROR((FILTER(Data!P:P,Data!D:D=A610,Data!B:B=$B$1)),"""")"),"")</f>
        <v/>
      </c>
      <c r="M610" s="137" t="str">
        <f>IFERROR(__xludf.DUMMYFUNCTION("IFERROR((FILTER(Data!A:A,Data!D:D=A610,Data!B:B=$B$1)),"""")"),"")</f>
        <v/>
      </c>
      <c r="T610" s="52">
        <f>IFERROR(__xludf.DUMMYFUNCTION("((COUNTIF(FILTER(Data!N:N,Data!D:D=A610,Data!B:B=$B$1),""TRAVERSE"")*15)+(COUNTIF(FILTER(Data!N:N,Data!D:D=A610,Data!B:B=B$1),""HIGH"")*10)+(COUNTIF(FILTER(Data!N:N,Data!D:D=A610,Data!B:B=$B$1),""MIDDLE"")*6)+(COUNTIF(FILTER(Data!N:N,Data!D:D=A610,Data!B:"&amp;"B=$B$1),""LOW"")*4))"),0.0)</f>
        <v>0</v>
      </c>
      <c r="V610" s="138" t="str">
        <f>IF(Data!B602='Team Parser'!$B$1, Data!D602,"")</f>
        <v/>
      </c>
      <c r="W610" s="134" t="str">
        <f>IF(Data!$B602='Team Parser'!$B$1, Data!H602,"")</f>
        <v/>
      </c>
      <c r="X610" s="134" t="str">
        <f>IF(Data!$B602='Team Parser'!$B$1, Data!G602,"")</f>
        <v/>
      </c>
      <c r="Y610" s="134" t="str">
        <f>IF(Data!$B602='Team Parser'!$B$1, Data!L602,"")</f>
        <v/>
      </c>
      <c r="Z610" s="134" t="str">
        <f>IF(Data!$B602='Team Parser'!$B$1, Data!K602,"")</f>
        <v/>
      </c>
      <c r="AA610" s="134" t="str">
        <f>IF(Data!$B602='Team Parser'!$B$1, Data!M602,"")</f>
        <v/>
      </c>
      <c r="AB610" s="134" t="str">
        <f>IF(Data!$B602='Team Parser'!$B$1,((Z610*2)+(Y610)+(X610*4)+(W610*2)),"")</f>
        <v/>
      </c>
      <c r="AC610" s="134" t="str">
        <f>IF(Data!$B602='Team Parser'!$B$1, Data!N602,"")</f>
        <v/>
      </c>
      <c r="AD610" s="139" t="str">
        <f>IF(Data!$B602='Team Parser'!$B$1,(AB610+(COUNTIF(AC610,"TRAVERSE")*15)+(COUNTIF(AC610,"HIGH")*10)+(COUNTIF(AC610,"MIDDLE")*6)+(COUNTIF(AC610,"LOW")*4)),"")</f>
        <v/>
      </c>
    </row>
    <row r="611">
      <c r="A611" s="141" t="s">
        <v>507</v>
      </c>
      <c r="B611" s="134" t="str">
        <f>IFERROR(__xludf.DUMMYFUNCTION("IFERROR((FILTER(Data!H:H,Data!D:D=A611,Data!B:B=$B$1)),"""")"),"")</f>
        <v/>
      </c>
      <c r="C611" s="134" t="str">
        <f>IFERROR(__xludf.DUMMYFUNCTION("IFERROR((FILTER(Data!G:G,Data!D:D=A611,Data!B:B=$B$1)),"""")"),"")</f>
        <v/>
      </c>
      <c r="D611" s="134" t="str">
        <f>IFERROR(__xludf.DUMMYFUNCTION("IFERROR((FILTER(Data!J:J,Data!D:D=A611,Data!B:B=$B$1)),"""")"),"")</f>
        <v/>
      </c>
      <c r="E611" s="134" t="str">
        <f>IFERROR(__xludf.DUMMYFUNCTION("IFERROR((FILTER(Data!L:L,Data!D:D=A611,Data!B:B=$B$1)),"""")"),"")</f>
        <v/>
      </c>
      <c r="F611" s="134" t="str">
        <f>IFERROR(__xludf.DUMMYFUNCTION("IFERROR((FILTER(Data!K:K,Data!D:D=A611,Data!B:B=$B$1)),"""")"),"")</f>
        <v/>
      </c>
      <c r="G611" s="134" t="str">
        <f>IFERROR(__xludf.DUMMYFUNCTION("IFERROR((FILTER(Data!M:M,Data!D:D=A611,Data!B:B=$B$1)),"""")"),"")</f>
        <v/>
      </c>
      <c r="H611" s="134" t="str">
        <f>IFERROR(__xludf.DUMMYFUNCTION("IFERROR((FILTER(Data!G:G,Data!D:D=A611,Data!B:B=$B$1)*4)+(FILTER(Data!H:H,Data!D:D=A611,Data!B:B=$B$1)*2),"""")"),"")</f>
        <v/>
      </c>
      <c r="I611" s="15" t="str">
        <f>IFERROR(__xludf.DUMMYFUNCTION("IFERROR((FILTER(Data!K:K,Data!D:D=A611,Data!B:B=$B$1)*2)+(FILTER(Data!L:L,Data!D:D=A611,Data!B:B=$B$1)),"""")"),"")</f>
        <v/>
      </c>
      <c r="J611" s="134" t="str">
        <f>IFERROR(__xludf.DUMMYFUNCTION("IFERROR((FILTER(Data!N:N,Data!D:D=A611,Data!B:B=$B$1)),"""")"),"")</f>
        <v/>
      </c>
      <c r="K611" s="135" t="str">
        <f>IFERROR(__xludf.DUMMYFUNCTION("IFERROR((FILTER(Data!H:H,Data!D:D=A611,Data!B:B=$B$1)*2)+(FILTER(Data!L:L,Data!D:D=A611,Data!B:B=$B$1))+(FILTER(Data!G:G,Data!D:D=A611,Data!B:B=$B$1)*4)+(FILTER(Data!K:K,Data!D:D=A611,Data!B:B=$B$1)*2)+(((COUNTIF(FILTER(Data!N:N,Data!D:D=A611,Data!B:B=$B$"&amp;"1),""TRAVERSE"")*15)+(COUNTIF(FILTER(Data!N:N,Data!D:D=A611,Data!B:B=$B$1),""HIGH"")*10)+(COUNTIF(FILTER(Data!N:N,Data!D:D=A611,Data!B:B=$B$1),""MIDDLE"")*6)+(COUNTIF(FILTER(Data!N:N,Data!D:D=A611,Data!B:B=$B$1),""LOW"")*4))),"""")"),"")</f>
        <v/>
      </c>
      <c r="L611" s="136" t="str">
        <f>IFERROR(__xludf.DUMMYFUNCTION("IFERROR((FILTER(Data!P:P,Data!D:D=A611,Data!B:B=$B$1)),"""")"),"")</f>
        <v/>
      </c>
      <c r="M611" s="137" t="str">
        <f>IFERROR(__xludf.DUMMYFUNCTION("IFERROR((FILTER(Data!A:A,Data!D:D=A611,Data!B:B=$B$1)),"""")"),"")</f>
        <v/>
      </c>
      <c r="T611" s="52">
        <f>IFERROR(__xludf.DUMMYFUNCTION("((COUNTIF(FILTER(Data!N:N,Data!D:D=A611,Data!B:B=$B$1),""TRAVERSE"")*15)+(COUNTIF(FILTER(Data!N:N,Data!D:D=A611,Data!B:B=B$1),""HIGH"")*10)+(COUNTIF(FILTER(Data!N:N,Data!D:D=A611,Data!B:B=$B$1),""MIDDLE"")*6)+(COUNTIF(FILTER(Data!N:N,Data!D:D=A611,Data!B:"&amp;"B=$B$1),""LOW"")*4))"),0.0)</f>
        <v>0</v>
      </c>
      <c r="V611" s="138" t="str">
        <f>IF(Data!B603='Team Parser'!$B$1, Data!D603,"")</f>
        <v/>
      </c>
      <c r="W611" s="134" t="str">
        <f>IF(Data!$B603='Team Parser'!$B$1, Data!H603,"")</f>
        <v/>
      </c>
      <c r="X611" s="134" t="str">
        <f>IF(Data!$B603='Team Parser'!$B$1, Data!G603,"")</f>
        <v/>
      </c>
      <c r="Y611" s="134" t="str">
        <f>IF(Data!$B603='Team Parser'!$B$1, Data!L603,"")</f>
        <v/>
      </c>
      <c r="Z611" s="134" t="str">
        <f>IF(Data!$B603='Team Parser'!$B$1, Data!K603,"")</f>
        <v/>
      </c>
      <c r="AA611" s="134" t="str">
        <f>IF(Data!$B603='Team Parser'!$B$1, Data!M603,"")</f>
        <v/>
      </c>
      <c r="AB611" s="134" t="str">
        <f>IF(Data!$B603='Team Parser'!$B$1,((Z611*2)+(Y611)+(X611*4)+(W611*2)),"")</f>
        <v/>
      </c>
      <c r="AC611" s="134" t="str">
        <f>IF(Data!$B603='Team Parser'!$B$1, Data!N603,"")</f>
        <v/>
      </c>
      <c r="AD611" s="139" t="str">
        <f>IF(Data!$B603='Team Parser'!$B$1,(AB611+(COUNTIF(AC611,"TRAVERSE")*15)+(COUNTIF(AC611,"HIGH")*10)+(COUNTIF(AC611,"MIDDLE")*6)+(COUNTIF(AC611,"LOW")*4)),"")</f>
        <v/>
      </c>
    </row>
    <row r="612">
      <c r="A612" s="141" t="s">
        <v>507</v>
      </c>
      <c r="B612" s="134" t="str">
        <f>IFERROR(__xludf.DUMMYFUNCTION("IFERROR((FILTER(Data!H:H,Data!D:D=A612,Data!B:B=$B$1)),"""")"),"")</f>
        <v/>
      </c>
      <c r="C612" s="134" t="str">
        <f>IFERROR(__xludf.DUMMYFUNCTION("IFERROR((FILTER(Data!G:G,Data!D:D=A612,Data!B:B=$B$1)),"""")"),"")</f>
        <v/>
      </c>
      <c r="D612" s="134" t="str">
        <f>IFERROR(__xludf.DUMMYFUNCTION("IFERROR((FILTER(Data!J:J,Data!D:D=A612,Data!B:B=$B$1)),"""")"),"")</f>
        <v/>
      </c>
      <c r="E612" s="134" t="str">
        <f>IFERROR(__xludf.DUMMYFUNCTION("IFERROR((FILTER(Data!L:L,Data!D:D=A612,Data!B:B=$B$1)),"""")"),"")</f>
        <v/>
      </c>
      <c r="F612" s="134" t="str">
        <f>IFERROR(__xludf.DUMMYFUNCTION("IFERROR((FILTER(Data!K:K,Data!D:D=A612,Data!B:B=$B$1)),"""")"),"")</f>
        <v/>
      </c>
      <c r="G612" s="134" t="str">
        <f>IFERROR(__xludf.DUMMYFUNCTION("IFERROR((FILTER(Data!M:M,Data!D:D=A612,Data!B:B=$B$1)),"""")"),"")</f>
        <v/>
      </c>
      <c r="H612" s="134" t="str">
        <f>IFERROR(__xludf.DUMMYFUNCTION("IFERROR((FILTER(Data!G:G,Data!D:D=A612,Data!B:B=$B$1)*4)+(FILTER(Data!H:H,Data!D:D=A612,Data!B:B=$B$1)*2),"""")"),"")</f>
        <v/>
      </c>
      <c r="I612" s="15" t="str">
        <f>IFERROR(__xludf.DUMMYFUNCTION("IFERROR((FILTER(Data!K:K,Data!D:D=A612,Data!B:B=$B$1)*2)+(FILTER(Data!L:L,Data!D:D=A612,Data!B:B=$B$1)),"""")"),"")</f>
        <v/>
      </c>
      <c r="J612" s="134" t="str">
        <f>IFERROR(__xludf.DUMMYFUNCTION("IFERROR((FILTER(Data!N:N,Data!D:D=A612,Data!B:B=$B$1)),"""")"),"")</f>
        <v/>
      </c>
      <c r="K612" s="135" t="str">
        <f>IFERROR(__xludf.DUMMYFUNCTION("IFERROR((FILTER(Data!H:H,Data!D:D=A612,Data!B:B=$B$1)*2)+(FILTER(Data!L:L,Data!D:D=A612,Data!B:B=$B$1))+(FILTER(Data!G:G,Data!D:D=A612,Data!B:B=$B$1)*4)+(FILTER(Data!K:K,Data!D:D=A612,Data!B:B=$B$1)*2)+(((COUNTIF(FILTER(Data!N:N,Data!D:D=A612,Data!B:B=$B$"&amp;"1),""TRAVERSE"")*15)+(COUNTIF(FILTER(Data!N:N,Data!D:D=A612,Data!B:B=$B$1),""HIGH"")*10)+(COUNTIF(FILTER(Data!N:N,Data!D:D=A612,Data!B:B=$B$1),""MIDDLE"")*6)+(COUNTIF(FILTER(Data!N:N,Data!D:D=A612,Data!B:B=$B$1),""LOW"")*4))),"""")"),"")</f>
        <v/>
      </c>
      <c r="L612" s="136" t="str">
        <f>IFERROR(__xludf.DUMMYFUNCTION("IFERROR((FILTER(Data!P:P,Data!D:D=A612,Data!B:B=$B$1)),"""")"),"")</f>
        <v/>
      </c>
      <c r="M612" s="137" t="str">
        <f>IFERROR(__xludf.DUMMYFUNCTION("IFERROR((FILTER(Data!A:A,Data!D:D=A612,Data!B:B=$B$1)),"""")"),"")</f>
        <v/>
      </c>
      <c r="T612" s="52">
        <f>IFERROR(__xludf.DUMMYFUNCTION("((COUNTIF(FILTER(Data!N:N,Data!D:D=A612,Data!B:B=$B$1),""TRAVERSE"")*15)+(COUNTIF(FILTER(Data!N:N,Data!D:D=A612,Data!B:B=B$1),""HIGH"")*10)+(COUNTIF(FILTER(Data!N:N,Data!D:D=A612,Data!B:B=$B$1),""MIDDLE"")*6)+(COUNTIF(FILTER(Data!N:N,Data!D:D=A612,Data!B:"&amp;"B=$B$1),""LOW"")*4))"),0.0)</f>
        <v>0</v>
      </c>
      <c r="V612" s="138" t="str">
        <f>IF(Data!B604='Team Parser'!$B$1, Data!D604,"")</f>
        <v/>
      </c>
      <c r="W612" s="134" t="str">
        <f>IF(Data!$B604='Team Parser'!$B$1, Data!H604,"")</f>
        <v/>
      </c>
      <c r="X612" s="134" t="str">
        <f>IF(Data!$B604='Team Parser'!$B$1, Data!G604,"")</f>
        <v/>
      </c>
      <c r="Y612" s="134" t="str">
        <f>IF(Data!$B604='Team Parser'!$B$1, Data!L604,"")</f>
        <v/>
      </c>
      <c r="Z612" s="134" t="str">
        <f>IF(Data!$B604='Team Parser'!$B$1, Data!K604,"")</f>
        <v/>
      </c>
      <c r="AA612" s="134" t="str">
        <f>IF(Data!$B604='Team Parser'!$B$1, Data!M604,"")</f>
        <v/>
      </c>
      <c r="AB612" s="134" t="str">
        <f>IF(Data!$B604='Team Parser'!$B$1,((Z612*2)+(Y612)+(X612*4)+(W612*2)),"")</f>
        <v/>
      </c>
      <c r="AC612" s="134" t="str">
        <f>IF(Data!$B604='Team Parser'!$B$1, Data!N604,"")</f>
        <v/>
      </c>
      <c r="AD612" s="139" t="str">
        <f>IF(Data!$B604='Team Parser'!$B$1,(AB612+(COUNTIF(AC612,"TRAVERSE")*15)+(COUNTIF(AC612,"HIGH")*10)+(COUNTIF(AC612,"MIDDLE")*6)+(COUNTIF(AC612,"LOW")*4)),"")</f>
        <v/>
      </c>
    </row>
    <row r="613">
      <c r="A613" s="141" t="s">
        <v>507</v>
      </c>
      <c r="B613" s="134" t="str">
        <f>IFERROR(__xludf.DUMMYFUNCTION("IFERROR((FILTER(Data!H:H,Data!D:D=A613,Data!B:B=$B$1)),"""")"),"")</f>
        <v/>
      </c>
      <c r="C613" s="134" t="str">
        <f>IFERROR(__xludf.DUMMYFUNCTION("IFERROR((FILTER(Data!G:G,Data!D:D=A613,Data!B:B=$B$1)),"""")"),"")</f>
        <v/>
      </c>
      <c r="D613" s="134" t="str">
        <f>IFERROR(__xludf.DUMMYFUNCTION("IFERROR((FILTER(Data!J:J,Data!D:D=A613,Data!B:B=$B$1)),"""")"),"")</f>
        <v/>
      </c>
      <c r="E613" s="134" t="str">
        <f>IFERROR(__xludf.DUMMYFUNCTION("IFERROR((FILTER(Data!L:L,Data!D:D=A613,Data!B:B=$B$1)),"""")"),"")</f>
        <v/>
      </c>
      <c r="F613" s="134" t="str">
        <f>IFERROR(__xludf.DUMMYFUNCTION("IFERROR((FILTER(Data!K:K,Data!D:D=A613,Data!B:B=$B$1)),"""")"),"")</f>
        <v/>
      </c>
      <c r="G613" s="134" t="str">
        <f>IFERROR(__xludf.DUMMYFUNCTION("IFERROR((FILTER(Data!M:M,Data!D:D=A613,Data!B:B=$B$1)),"""")"),"")</f>
        <v/>
      </c>
      <c r="H613" s="134" t="str">
        <f>IFERROR(__xludf.DUMMYFUNCTION("IFERROR((FILTER(Data!G:G,Data!D:D=A613,Data!B:B=$B$1)*4)+(FILTER(Data!H:H,Data!D:D=A613,Data!B:B=$B$1)*2),"""")"),"")</f>
        <v/>
      </c>
      <c r="I613" s="15" t="str">
        <f>IFERROR(__xludf.DUMMYFUNCTION("IFERROR((FILTER(Data!K:K,Data!D:D=A613,Data!B:B=$B$1)*2)+(FILTER(Data!L:L,Data!D:D=A613,Data!B:B=$B$1)),"""")"),"")</f>
        <v/>
      </c>
      <c r="J613" s="134" t="str">
        <f>IFERROR(__xludf.DUMMYFUNCTION("IFERROR((FILTER(Data!N:N,Data!D:D=A613,Data!B:B=$B$1)),"""")"),"")</f>
        <v/>
      </c>
      <c r="K613" s="135" t="str">
        <f>IFERROR(__xludf.DUMMYFUNCTION("IFERROR((FILTER(Data!H:H,Data!D:D=A613,Data!B:B=$B$1)*2)+(FILTER(Data!L:L,Data!D:D=A613,Data!B:B=$B$1))+(FILTER(Data!G:G,Data!D:D=A613,Data!B:B=$B$1)*4)+(FILTER(Data!K:K,Data!D:D=A613,Data!B:B=$B$1)*2)+(((COUNTIF(FILTER(Data!N:N,Data!D:D=A613,Data!B:B=$B$"&amp;"1),""TRAVERSE"")*15)+(COUNTIF(FILTER(Data!N:N,Data!D:D=A613,Data!B:B=$B$1),""HIGH"")*10)+(COUNTIF(FILTER(Data!N:N,Data!D:D=A613,Data!B:B=$B$1),""MIDDLE"")*6)+(COUNTIF(FILTER(Data!N:N,Data!D:D=A613,Data!B:B=$B$1),""LOW"")*4))),"""")"),"")</f>
        <v/>
      </c>
      <c r="L613" s="136" t="str">
        <f>IFERROR(__xludf.DUMMYFUNCTION("IFERROR((FILTER(Data!P:P,Data!D:D=A613,Data!B:B=$B$1)),"""")"),"")</f>
        <v/>
      </c>
      <c r="M613" s="137" t="str">
        <f>IFERROR(__xludf.DUMMYFUNCTION("IFERROR((FILTER(Data!A:A,Data!D:D=A613,Data!B:B=$B$1)),"""")"),"")</f>
        <v/>
      </c>
      <c r="T613" s="52">
        <f>IFERROR(__xludf.DUMMYFUNCTION("((COUNTIF(FILTER(Data!N:N,Data!D:D=A613,Data!B:B=$B$1),""TRAVERSE"")*15)+(COUNTIF(FILTER(Data!N:N,Data!D:D=A613,Data!B:B=B$1),""HIGH"")*10)+(COUNTIF(FILTER(Data!N:N,Data!D:D=A613,Data!B:B=$B$1),""MIDDLE"")*6)+(COUNTIF(FILTER(Data!N:N,Data!D:D=A613,Data!B:"&amp;"B=$B$1),""LOW"")*4))"),0.0)</f>
        <v>0</v>
      </c>
      <c r="V613" s="138" t="str">
        <f>IF(Data!B605='Team Parser'!$B$1, Data!D605,"")</f>
        <v/>
      </c>
      <c r="W613" s="134" t="str">
        <f>IF(Data!$B605='Team Parser'!$B$1, Data!H605,"")</f>
        <v/>
      </c>
      <c r="X613" s="134" t="str">
        <f>IF(Data!$B605='Team Parser'!$B$1, Data!G605,"")</f>
        <v/>
      </c>
      <c r="Y613" s="134" t="str">
        <f>IF(Data!$B605='Team Parser'!$B$1, Data!L605,"")</f>
        <v/>
      </c>
      <c r="Z613" s="134" t="str">
        <f>IF(Data!$B605='Team Parser'!$B$1, Data!K605,"")</f>
        <v/>
      </c>
      <c r="AA613" s="134" t="str">
        <f>IF(Data!$B605='Team Parser'!$B$1, Data!M605,"")</f>
        <v/>
      </c>
      <c r="AB613" s="134" t="str">
        <f>IF(Data!$B605='Team Parser'!$B$1,((Z613*2)+(Y613)+(X613*4)+(W613*2)),"")</f>
        <v/>
      </c>
      <c r="AC613" s="134" t="str">
        <f>IF(Data!$B605='Team Parser'!$B$1, Data!N605,"")</f>
        <v/>
      </c>
      <c r="AD613" s="139" t="str">
        <f>IF(Data!$B605='Team Parser'!$B$1,(AB613+(COUNTIF(AC613,"TRAVERSE")*15)+(COUNTIF(AC613,"HIGH")*10)+(COUNTIF(AC613,"MIDDLE")*6)+(COUNTIF(AC613,"LOW")*4)),"")</f>
        <v/>
      </c>
    </row>
    <row r="614">
      <c r="A614" s="141" t="s">
        <v>507</v>
      </c>
      <c r="B614" s="134" t="str">
        <f>IFERROR(__xludf.DUMMYFUNCTION("IFERROR((FILTER(Data!H:H,Data!D:D=A614,Data!B:B=$B$1)),"""")"),"")</f>
        <v/>
      </c>
      <c r="C614" s="134" t="str">
        <f>IFERROR(__xludf.DUMMYFUNCTION("IFERROR((FILTER(Data!G:G,Data!D:D=A614,Data!B:B=$B$1)),"""")"),"")</f>
        <v/>
      </c>
      <c r="D614" s="134" t="str">
        <f>IFERROR(__xludf.DUMMYFUNCTION("IFERROR((FILTER(Data!J:J,Data!D:D=A614,Data!B:B=$B$1)),"""")"),"")</f>
        <v/>
      </c>
      <c r="E614" s="134" t="str">
        <f>IFERROR(__xludf.DUMMYFUNCTION("IFERROR((FILTER(Data!L:L,Data!D:D=A614,Data!B:B=$B$1)),"""")"),"")</f>
        <v/>
      </c>
      <c r="F614" s="134" t="str">
        <f>IFERROR(__xludf.DUMMYFUNCTION("IFERROR((FILTER(Data!K:K,Data!D:D=A614,Data!B:B=$B$1)),"""")"),"")</f>
        <v/>
      </c>
      <c r="G614" s="134" t="str">
        <f>IFERROR(__xludf.DUMMYFUNCTION("IFERROR((FILTER(Data!M:M,Data!D:D=A614,Data!B:B=$B$1)),"""")"),"")</f>
        <v/>
      </c>
      <c r="H614" s="134" t="str">
        <f>IFERROR(__xludf.DUMMYFUNCTION("IFERROR((FILTER(Data!G:G,Data!D:D=A614,Data!B:B=$B$1)*4)+(FILTER(Data!H:H,Data!D:D=A614,Data!B:B=$B$1)*2),"""")"),"")</f>
        <v/>
      </c>
      <c r="I614" s="15" t="str">
        <f>IFERROR(__xludf.DUMMYFUNCTION("IFERROR((FILTER(Data!K:K,Data!D:D=A614,Data!B:B=$B$1)*2)+(FILTER(Data!L:L,Data!D:D=A614,Data!B:B=$B$1)),"""")"),"")</f>
        <v/>
      </c>
      <c r="J614" s="134" t="str">
        <f>IFERROR(__xludf.DUMMYFUNCTION("IFERROR((FILTER(Data!N:N,Data!D:D=A614,Data!B:B=$B$1)),"""")"),"")</f>
        <v/>
      </c>
      <c r="K614" s="135" t="str">
        <f>IFERROR(__xludf.DUMMYFUNCTION("IFERROR((FILTER(Data!H:H,Data!D:D=A614,Data!B:B=$B$1)*2)+(FILTER(Data!L:L,Data!D:D=A614,Data!B:B=$B$1))+(FILTER(Data!G:G,Data!D:D=A614,Data!B:B=$B$1)*4)+(FILTER(Data!K:K,Data!D:D=A614,Data!B:B=$B$1)*2)+(((COUNTIF(FILTER(Data!N:N,Data!D:D=A614,Data!B:B=$B$"&amp;"1),""TRAVERSE"")*15)+(COUNTIF(FILTER(Data!N:N,Data!D:D=A614,Data!B:B=$B$1),""HIGH"")*10)+(COUNTIF(FILTER(Data!N:N,Data!D:D=A614,Data!B:B=$B$1),""MIDDLE"")*6)+(COUNTIF(FILTER(Data!N:N,Data!D:D=A614,Data!B:B=$B$1),""LOW"")*4))),"""")"),"")</f>
        <v/>
      </c>
      <c r="L614" s="136" t="str">
        <f>IFERROR(__xludf.DUMMYFUNCTION("IFERROR((FILTER(Data!P:P,Data!D:D=A614,Data!B:B=$B$1)),"""")"),"")</f>
        <v/>
      </c>
      <c r="M614" s="137" t="str">
        <f>IFERROR(__xludf.DUMMYFUNCTION("IFERROR((FILTER(Data!A:A,Data!D:D=A614,Data!B:B=$B$1)),"""")"),"")</f>
        <v/>
      </c>
      <c r="T614" s="52">
        <f>IFERROR(__xludf.DUMMYFUNCTION("((COUNTIF(FILTER(Data!N:N,Data!D:D=A614,Data!B:B=$B$1),""TRAVERSE"")*15)+(COUNTIF(FILTER(Data!N:N,Data!D:D=A614,Data!B:B=B$1),""HIGH"")*10)+(COUNTIF(FILTER(Data!N:N,Data!D:D=A614,Data!B:B=$B$1),""MIDDLE"")*6)+(COUNTIF(FILTER(Data!N:N,Data!D:D=A614,Data!B:"&amp;"B=$B$1),""LOW"")*4))"),0.0)</f>
        <v>0</v>
      </c>
      <c r="V614" s="138" t="str">
        <f>IF(Data!B606='Team Parser'!$B$1, Data!D606,"")</f>
        <v/>
      </c>
      <c r="W614" s="134" t="str">
        <f>IF(Data!$B606='Team Parser'!$B$1, Data!H606,"")</f>
        <v/>
      </c>
      <c r="X614" s="134" t="str">
        <f>IF(Data!$B606='Team Parser'!$B$1, Data!G606,"")</f>
        <v/>
      </c>
      <c r="Y614" s="134" t="str">
        <f>IF(Data!$B606='Team Parser'!$B$1, Data!L606,"")</f>
        <v/>
      </c>
      <c r="Z614" s="134" t="str">
        <f>IF(Data!$B606='Team Parser'!$B$1, Data!K606,"")</f>
        <v/>
      </c>
      <c r="AA614" s="134" t="str">
        <f>IF(Data!$B606='Team Parser'!$B$1, Data!M606,"")</f>
        <v/>
      </c>
      <c r="AB614" s="134" t="str">
        <f>IF(Data!$B606='Team Parser'!$B$1,((Z614*2)+(Y614)+(X614*4)+(W614*2)),"")</f>
        <v/>
      </c>
      <c r="AC614" s="134" t="str">
        <f>IF(Data!$B606='Team Parser'!$B$1, Data!N606,"")</f>
        <v/>
      </c>
      <c r="AD614" s="139" t="str">
        <f>IF(Data!$B606='Team Parser'!$B$1,(AB614+(COUNTIF(AC614,"TRAVERSE")*15)+(COUNTIF(AC614,"HIGH")*10)+(COUNTIF(AC614,"MIDDLE")*6)+(COUNTIF(AC614,"LOW")*4)),"")</f>
        <v/>
      </c>
    </row>
    <row r="615">
      <c r="A615" s="141" t="s">
        <v>507</v>
      </c>
      <c r="B615" s="134" t="str">
        <f>IFERROR(__xludf.DUMMYFUNCTION("IFERROR((FILTER(Data!H:H,Data!D:D=A615,Data!B:B=$B$1)),"""")"),"")</f>
        <v/>
      </c>
      <c r="C615" s="134" t="str">
        <f>IFERROR(__xludf.DUMMYFUNCTION("IFERROR((FILTER(Data!G:G,Data!D:D=A615,Data!B:B=$B$1)),"""")"),"")</f>
        <v/>
      </c>
      <c r="D615" s="134" t="str">
        <f>IFERROR(__xludf.DUMMYFUNCTION("IFERROR((FILTER(Data!J:J,Data!D:D=A615,Data!B:B=$B$1)),"""")"),"")</f>
        <v/>
      </c>
      <c r="E615" s="134" t="str">
        <f>IFERROR(__xludf.DUMMYFUNCTION("IFERROR((FILTER(Data!L:L,Data!D:D=A615,Data!B:B=$B$1)),"""")"),"")</f>
        <v/>
      </c>
      <c r="F615" s="134" t="str">
        <f>IFERROR(__xludf.DUMMYFUNCTION("IFERROR((FILTER(Data!K:K,Data!D:D=A615,Data!B:B=$B$1)),"""")"),"")</f>
        <v/>
      </c>
      <c r="G615" s="134" t="str">
        <f>IFERROR(__xludf.DUMMYFUNCTION("IFERROR((FILTER(Data!M:M,Data!D:D=A615,Data!B:B=$B$1)),"""")"),"")</f>
        <v/>
      </c>
      <c r="H615" s="134" t="str">
        <f>IFERROR(__xludf.DUMMYFUNCTION("IFERROR((FILTER(Data!G:G,Data!D:D=A615,Data!B:B=$B$1)*4)+(FILTER(Data!H:H,Data!D:D=A615,Data!B:B=$B$1)*2),"""")"),"")</f>
        <v/>
      </c>
      <c r="I615" s="15" t="str">
        <f>IFERROR(__xludf.DUMMYFUNCTION("IFERROR((FILTER(Data!K:K,Data!D:D=A615,Data!B:B=$B$1)*2)+(FILTER(Data!L:L,Data!D:D=A615,Data!B:B=$B$1)),"""")"),"")</f>
        <v/>
      </c>
      <c r="J615" s="134" t="str">
        <f>IFERROR(__xludf.DUMMYFUNCTION("IFERROR((FILTER(Data!N:N,Data!D:D=A615,Data!B:B=$B$1)),"""")"),"")</f>
        <v/>
      </c>
      <c r="K615" s="135" t="str">
        <f>IFERROR(__xludf.DUMMYFUNCTION("IFERROR((FILTER(Data!H:H,Data!D:D=A615,Data!B:B=$B$1)*2)+(FILTER(Data!L:L,Data!D:D=A615,Data!B:B=$B$1))+(FILTER(Data!G:G,Data!D:D=A615,Data!B:B=$B$1)*4)+(FILTER(Data!K:K,Data!D:D=A615,Data!B:B=$B$1)*2)+(((COUNTIF(FILTER(Data!N:N,Data!D:D=A615,Data!B:B=$B$"&amp;"1),""TRAVERSE"")*15)+(COUNTIF(FILTER(Data!N:N,Data!D:D=A615,Data!B:B=$B$1),""HIGH"")*10)+(COUNTIF(FILTER(Data!N:N,Data!D:D=A615,Data!B:B=$B$1),""MIDDLE"")*6)+(COUNTIF(FILTER(Data!N:N,Data!D:D=A615,Data!B:B=$B$1),""LOW"")*4))),"""")"),"")</f>
        <v/>
      </c>
      <c r="L615" s="136" t="str">
        <f>IFERROR(__xludf.DUMMYFUNCTION("IFERROR((FILTER(Data!P:P,Data!D:D=A615,Data!B:B=$B$1)),"""")"),"")</f>
        <v/>
      </c>
      <c r="M615" s="137" t="str">
        <f>IFERROR(__xludf.DUMMYFUNCTION("IFERROR((FILTER(Data!A:A,Data!D:D=A615,Data!B:B=$B$1)),"""")"),"")</f>
        <v/>
      </c>
      <c r="T615" s="52">
        <f>IFERROR(__xludf.DUMMYFUNCTION("((COUNTIF(FILTER(Data!N:N,Data!D:D=A615,Data!B:B=$B$1),""TRAVERSE"")*15)+(COUNTIF(FILTER(Data!N:N,Data!D:D=A615,Data!B:B=B$1),""HIGH"")*10)+(COUNTIF(FILTER(Data!N:N,Data!D:D=A615,Data!B:B=$B$1),""MIDDLE"")*6)+(COUNTIF(FILTER(Data!N:N,Data!D:D=A615,Data!B:"&amp;"B=$B$1),""LOW"")*4))"),0.0)</f>
        <v>0</v>
      </c>
      <c r="V615" s="138" t="str">
        <f>IF(Data!B607='Team Parser'!$B$1, Data!D607,"")</f>
        <v/>
      </c>
      <c r="W615" s="134" t="str">
        <f>IF(Data!$B607='Team Parser'!$B$1, Data!H607,"")</f>
        <v/>
      </c>
      <c r="X615" s="134" t="str">
        <f>IF(Data!$B607='Team Parser'!$B$1, Data!G607,"")</f>
        <v/>
      </c>
      <c r="Y615" s="134" t="str">
        <f>IF(Data!$B607='Team Parser'!$B$1, Data!L607,"")</f>
        <v/>
      </c>
      <c r="Z615" s="134" t="str">
        <f>IF(Data!$B607='Team Parser'!$B$1, Data!K607,"")</f>
        <v/>
      </c>
      <c r="AA615" s="134" t="str">
        <f>IF(Data!$B607='Team Parser'!$B$1, Data!M607,"")</f>
        <v/>
      </c>
      <c r="AB615" s="134" t="str">
        <f>IF(Data!$B607='Team Parser'!$B$1,((Z615*2)+(Y615)+(X615*4)+(W615*2)),"")</f>
        <v/>
      </c>
      <c r="AC615" s="134" t="str">
        <f>IF(Data!$B607='Team Parser'!$B$1, Data!N607,"")</f>
        <v/>
      </c>
      <c r="AD615" s="139" t="str">
        <f>IF(Data!$B607='Team Parser'!$B$1,(AB615+(COUNTIF(AC615,"TRAVERSE")*15)+(COUNTIF(AC615,"HIGH")*10)+(COUNTIF(AC615,"MIDDLE")*6)+(COUNTIF(AC615,"LOW")*4)),"")</f>
        <v/>
      </c>
    </row>
    <row r="616">
      <c r="A616" s="141" t="s">
        <v>507</v>
      </c>
      <c r="B616" s="134" t="str">
        <f>IFERROR(__xludf.DUMMYFUNCTION("IFERROR((FILTER(Data!H:H,Data!D:D=A616,Data!B:B=$B$1)),"""")"),"")</f>
        <v/>
      </c>
      <c r="C616" s="134" t="str">
        <f>IFERROR(__xludf.DUMMYFUNCTION("IFERROR((FILTER(Data!G:G,Data!D:D=A616,Data!B:B=$B$1)),"""")"),"")</f>
        <v/>
      </c>
      <c r="D616" s="134" t="str">
        <f>IFERROR(__xludf.DUMMYFUNCTION("IFERROR((FILTER(Data!J:J,Data!D:D=A616,Data!B:B=$B$1)),"""")"),"")</f>
        <v/>
      </c>
      <c r="E616" s="134" t="str">
        <f>IFERROR(__xludf.DUMMYFUNCTION("IFERROR((FILTER(Data!L:L,Data!D:D=A616,Data!B:B=$B$1)),"""")"),"")</f>
        <v/>
      </c>
      <c r="F616" s="134" t="str">
        <f>IFERROR(__xludf.DUMMYFUNCTION("IFERROR((FILTER(Data!K:K,Data!D:D=A616,Data!B:B=$B$1)),"""")"),"")</f>
        <v/>
      </c>
      <c r="G616" s="134" t="str">
        <f>IFERROR(__xludf.DUMMYFUNCTION("IFERROR((FILTER(Data!M:M,Data!D:D=A616,Data!B:B=$B$1)),"""")"),"")</f>
        <v/>
      </c>
      <c r="H616" s="134" t="str">
        <f>IFERROR(__xludf.DUMMYFUNCTION("IFERROR((FILTER(Data!G:G,Data!D:D=A616,Data!B:B=$B$1)*4)+(FILTER(Data!H:H,Data!D:D=A616,Data!B:B=$B$1)*2),"""")"),"")</f>
        <v/>
      </c>
      <c r="I616" s="15" t="str">
        <f>IFERROR(__xludf.DUMMYFUNCTION("IFERROR((FILTER(Data!K:K,Data!D:D=A616,Data!B:B=$B$1)*2)+(FILTER(Data!L:L,Data!D:D=A616,Data!B:B=$B$1)),"""")"),"")</f>
        <v/>
      </c>
      <c r="J616" s="134" t="str">
        <f>IFERROR(__xludf.DUMMYFUNCTION("IFERROR((FILTER(Data!N:N,Data!D:D=A616,Data!B:B=$B$1)),"""")"),"")</f>
        <v/>
      </c>
      <c r="K616" s="135" t="str">
        <f>IFERROR(__xludf.DUMMYFUNCTION("IFERROR((FILTER(Data!H:H,Data!D:D=A616,Data!B:B=$B$1)*2)+(FILTER(Data!L:L,Data!D:D=A616,Data!B:B=$B$1))+(FILTER(Data!G:G,Data!D:D=A616,Data!B:B=$B$1)*4)+(FILTER(Data!K:K,Data!D:D=A616,Data!B:B=$B$1)*2)+(((COUNTIF(FILTER(Data!N:N,Data!D:D=A616,Data!B:B=$B$"&amp;"1),""TRAVERSE"")*15)+(COUNTIF(FILTER(Data!N:N,Data!D:D=A616,Data!B:B=$B$1),""HIGH"")*10)+(COUNTIF(FILTER(Data!N:N,Data!D:D=A616,Data!B:B=$B$1),""MIDDLE"")*6)+(COUNTIF(FILTER(Data!N:N,Data!D:D=A616,Data!B:B=$B$1),""LOW"")*4))),"""")"),"")</f>
        <v/>
      </c>
      <c r="L616" s="136" t="str">
        <f>IFERROR(__xludf.DUMMYFUNCTION("IFERROR((FILTER(Data!P:P,Data!D:D=A616,Data!B:B=$B$1)),"""")"),"")</f>
        <v/>
      </c>
      <c r="M616" s="137" t="str">
        <f>IFERROR(__xludf.DUMMYFUNCTION("IFERROR((FILTER(Data!A:A,Data!D:D=A616,Data!B:B=$B$1)),"""")"),"")</f>
        <v/>
      </c>
      <c r="T616" s="52">
        <f>IFERROR(__xludf.DUMMYFUNCTION("((COUNTIF(FILTER(Data!N:N,Data!D:D=A616,Data!B:B=$B$1),""TRAVERSE"")*15)+(COUNTIF(FILTER(Data!N:N,Data!D:D=A616,Data!B:B=B$1),""HIGH"")*10)+(COUNTIF(FILTER(Data!N:N,Data!D:D=A616,Data!B:B=$B$1),""MIDDLE"")*6)+(COUNTIF(FILTER(Data!N:N,Data!D:D=A616,Data!B:"&amp;"B=$B$1),""LOW"")*4))"),0.0)</f>
        <v>0</v>
      </c>
      <c r="V616" s="138" t="str">
        <f>IF(Data!B608='Team Parser'!$B$1, Data!D608,"")</f>
        <v/>
      </c>
      <c r="W616" s="134" t="str">
        <f>IF(Data!$B608='Team Parser'!$B$1, Data!H608,"")</f>
        <v/>
      </c>
      <c r="X616" s="134" t="str">
        <f>IF(Data!$B608='Team Parser'!$B$1, Data!G608,"")</f>
        <v/>
      </c>
      <c r="Y616" s="134" t="str">
        <f>IF(Data!$B608='Team Parser'!$B$1, Data!L608,"")</f>
        <v/>
      </c>
      <c r="Z616" s="134" t="str">
        <f>IF(Data!$B608='Team Parser'!$B$1, Data!K608,"")</f>
        <v/>
      </c>
      <c r="AA616" s="134" t="str">
        <f>IF(Data!$B608='Team Parser'!$B$1, Data!M608,"")</f>
        <v/>
      </c>
      <c r="AB616" s="134" t="str">
        <f>IF(Data!$B608='Team Parser'!$B$1,((Z616*2)+(Y616)+(X616*4)+(W616*2)),"")</f>
        <v/>
      </c>
      <c r="AC616" s="134" t="str">
        <f>IF(Data!$B608='Team Parser'!$B$1, Data!N608,"")</f>
        <v/>
      </c>
      <c r="AD616" s="139" t="str">
        <f>IF(Data!$B608='Team Parser'!$B$1,(AB616+(COUNTIF(AC616,"TRAVERSE")*15)+(COUNTIF(AC616,"HIGH")*10)+(COUNTIF(AC616,"MIDDLE")*6)+(COUNTIF(AC616,"LOW")*4)),"")</f>
        <v/>
      </c>
    </row>
    <row r="617">
      <c r="A617" s="141" t="s">
        <v>507</v>
      </c>
      <c r="B617" s="134" t="str">
        <f>IFERROR(__xludf.DUMMYFUNCTION("IFERROR((FILTER(Data!H:H,Data!D:D=A617,Data!B:B=$B$1)),"""")"),"")</f>
        <v/>
      </c>
      <c r="C617" s="134" t="str">
        <f>IFERROR(__xludf.DUMMYFUNCTION("IFERROR((FILTER(Data!G:G,Data!D:D=A617,Data!B:B=$B$1)),"""")"),"")</f>
        <v/>
      </c>
      <c r="D617" s="134" t="str">
        <f>IFERROR(__xludf.DUMMYFUNCTION("IFERROR((FILTER(Data!J:J,Data!D:D=A617,Data!B:B=$B$1)),"""")"),"")</f>
        <v/>
      </c>
      <c r="E617" s="134" t="str">
        <f>IFERROR(__xludf.DUMMYFUNCTION("IFERROR((FILTER(Data!L:L,Data!D:D=A617,Data!B:B=$B$1)),"""")"),"")</f>
        <v/>
      </c>
      <c r="F617" s="134" t="str">
        <f>IFERROR(__xludf.DUMMYFUNCTION("IFERROR((FILTER(Data!K:K,Data!D:D=A617,Data!B:B=$B$1)),"""")"),"")</f>
        <v/>
      </c>
      <c r="G617" s="134" t="str">
        <f>IFERROR(__xludf.DUMMYFUNCTION("IFERROR((FILTER(Data!M:M,Data!D:D=A617,Data!B:B=$B$1)),"""")"),"")</f>
        <v/>
      </c>
      <c r="H617" s="134" t="str">
        <f>IFERROR(__xludf.DUMMYFUNCTION("IFERROR((FILTER(Data!G:G,Data!D:D=A617,Data!B:B=$B$1)*4)+(FILTER(Data!H:H,Data!D:D=A617,Data!B:B=$B$1)*2),"""")"),"")</f>
        <v/>
      </c>
      <c r="I617" s="15" t="str">
        <f>IFERROR(__xludf.DUMMYFUNCTION("IFERROR((FILTER(Data!K:K,Data!D:D=A617,Data!B:B=$B$1)*2)+(FILTER(Data!L:L,Data!D:D=A617,Data!B:B=$B$1)),"""")"),"")</f>
        <v/>
      </c>
      <c r="J617" s="134" t="str">
        <f>IFERROR(__xludf.DUMMYFUNCTION("IFERROR((FILTER(Data!N:N,Data!D:D=A617,Data!B:B=$B$1)),"""")"),"")</f>
        <v/>
      </c>
      <c r="K617" s="135" t="str">
        <f>IFERROR(__xludf.DUMMYFUNCTION("IFERROR((FILTER(Data!H:H,Data!D:D=A617,Data!B:B=$B$1)*2)+(FILTER(Data!L:L,Data!D:D=A617,Data!B:B=$B$1))+(FILTER(Data!G:G,Data!D:D=A617,Data!B:B=$B$1)*4)+(FILTER(Data!K:K,Data!D:D=A617,Data!B:B=$B$1)*2)+(((COUNTIF(FILTER(Data!N:N,Data!D:D=A617,Data!B:B=$B$"&amp;"1),""TRAVERSE"")*15)+(COUNTIF(FILTER(Data!N:N,Data!D:D=A617,Data!B:B=$B$1),""HIGH"")*10)+(COUNTIF(FILTER(Data!N:N,Data!D:D=A617,Data!B:B=$B$1),""MIDDLE"")*6)+(COUNTIF(FILTER(Data!N:N,Data!D:D=A617,Data!B:B=$B$1),""LOW"")*4))),"""")"),"")</f>
        <v/>
      </c>
      <c r="L617" s="136" t="str">
        <f>IFERROR(__xludf.DUMMYFUNCTION("IFERROR((FILTER(Data!P:P,Data!D:D=A617,Data!B:B=$B$1)),"""")"),"")</f>
        <v/>
      </c>
      <c r="M617" s="137" t="str">
        <f>IFERROR(__xludf.DUMMYFUNCTION("IFERROR((FILTER(Data!A:A,Data!D:D=A617,Data!B:B=$B$1)),"""")"),"")</f>
        <v/>
      </c>
      <c r="T617" s="52">
        <f>IFERROR(__xludf.DUMMYFUNCTION("((COUNTIF(FILTER(Data!N:N,Data!D:D=A617,Data!B:B=$B$1),""TRAVERSE"")*15)+(COUNTIF(FILTER(Data!N:N,Data!D:D=A617,Data!B:B=B$1),""HIGH"")*10)+(COUNTIF(FILTER(Data!N:N,Data!D:D=A617,Data!B:B=$B$1),""MIDDLE"")*6)+(COUNTIF(FILTER(Data!N:N,Data!D:D=A617,Data!B:"&amp;"B=$B$1),""LOW"")*4))"),0.0)</f>
        <v>0</v>
      </c>
      <c r="V617" s="138" t="str">
        <f>IF(Data!B609='Team Parser'!$B$1, Data!D609,"")</f>
        <v/>
      </c>
      <c r="W617" s="134" t="str">
        <f>IF(Data!$B609='Team Parser'!$B$1, Data!H609,"")</f>
        <v/>
      </c>
      <c r="X617" s="134" t="str">
        <f>IF(Data!$B609='Team Parser'!$B$1, Data!G609,"")</f>
        <v/>
      </c>
      <c r="Y617" s="134" t="str">
        <f>IF(Data!$B609='Team Parser'!$B$1, Data!L609,"")</f>
        <v/>
      </c>
      <c r="Z617" s="134" t="str">
        <f>IF(Data!$B609='Team Parser'!$B$1, Data!K609,"")</f>
        <v/>
      </c>
      <c r="AA617" s="134" t="str">
        <f>IF(Data!$B609='Team Parser'!$B$1, Data!M609,"")</f>
        <v/>
      </c>
      <c r="AB617" s="134" t="str">
        <f>IF(Data!$B609='Team Parser'!$B$1,((Z617*2)+(Y617)+(X617*4)+(W617*2)),"")</f>
        <v/>
      </c>
      <c r="AC617" s="134" t="str">
        <f>IF(Data!$B609='Team Parser'!$B$1, Data!N609,"")</f>
        <v/>
      </c>
      <c r="AD617" s="139" t="str">
        <f>IF(Data!$B609='Team Parser'!$B$1,(AB617+(COUNTIF(AC617,"TRAVERSE")*15)+(COUNTIF(AC617,"HIGH")*10)+(COUNTIF(AC617,"MIDDLE")*6)+(COUNTIF(AC617,"LOW")*4)),"")</f>
        <v/>
      </c>
    </row>
    <row r="618">
      <c r="A618" s="141" t="s">
        <v>507</v>
      </c>
      <c r="B618" s="134" t="str">
        <f>IFERROR(__xludf.DUMMYFUNCTION("IFERROR((FILTER(Data!H:H,Data!D:D=A618,Data!B:B=$B$1)),"""")"),"")</f>
        <v/>
      </c>
      <c r="C618" s="134" t="str">
        <f>IFERROR(__xludf.DUMMYFUNCTION("IFERROR((FILTER(Data!G:G,Data!D:D=A618,Data!B:B=$B$1)),"""")"),"")</f>
        <v/>
      </c>
      <c r="D618" s="134" t="str">
        <f>IFERROR(__xludf.DUMMYFUNCTION("IFERROR((FILTER(Data!J:J,Data!D:D=A618,Data!B:B=$B$1)),"""")"),"")</f>
        <v/>
      </c>
      <c r="E618" s="134" t="str">
        <f>IFERROR(__xludf.DUMMYFUNCTION("IFERROR((FILTER(Data!L:L,Data!D:D=A618,Data!B:B=$B$1)),"""")"),"")</f>
        <v/>
      </c>
      <c r="F618" s="134" t="str">
        <f>IFERROR(__xludf.DUMMYFUNCTION("IFERROR((FILTER(Data!K:K,Data!D:D=A618,Data!B:B=$B$1)),"""")"),"")</f>
        <v/>
      </c>
      <c r="G618" s="134" t="str">
        <f>IFERROR(__xludf.DUMMYFUNCTION("IFERROR((FILTER(Data!M:M,Data!D:D=A618,Data!B:B=$B$1)),"""")"),"")</f>
        <v/>
      </c>
      <c r="H618" s="134" t="str">
        <f>IFERROR(__xludf.DUMMYFUNCTION("IFERROR((FILTER(Data!G:G,Data!D:D=A618,Data!B:B=$B$1)*4)+(FILTER(Data!H:H,Data!D:D=A618,Data!B:B=$B$1)*2),"""")"),"")</f>
        <v/>
      </c>
      <c r="I618" s="15" t="str">
        <f>IFERROR(__xludf.DUMMYFUNCTION("IFERROR((FILTER(Data!K:K,Data!D:D=A618,Data!B:B=$B$1)*2)+(FILTER(Data!L:L,Data!D:D=A618,Data!B:B=$B$1)),"""")"),"")</f>
        <v/>
      </c>
      <c r="J618" s="134" t="str">
        <f>IFERROR(__xludf.DUMMYFUNCTION("IFERROR((FILTER(Data!N:N,Data!D:D=A618,Data!B:B=$B$1)),"""")"),"")</f>
        <v/>
      </c>
      <c r="K618" s="135" t="str">
        <f>IFERROR(__xludf.DUMMYFUNCTION("IFERROR((FILTER(Data!H:H,Data!D:D=A618,Data!B:B=$B$1)*2)+(FILTER(Data!L:L,Data!D:D=A618,Data!B:B=$B$1))+(FILTER(Data!G:G,Data!D:D=A618,Data!B:B=$B$1)*4)+(FILTER(Data!K:K,Data!D:D=A618,Data!B:B=$B$1)*2)+(((COUNTIF(FILTER(Data!N:N,Data!D:D=A618,Data!B:B=$B$"&amp;"1),""TRAVERSE"")*15)+(COUNTIF(FILTER(Data!N:N,Data!D:D=A618,Data!B:B=$B$1),""HIGH"")*10)+(COUNTIF(FILTER(Data!N:N,Data!D:D=A618,Data!B:B=$B$1),""MIDDLE"")*6)+(COUNTIF(FILTER(Data!N:N,Data!D:D=A618,Data!B:B=$B$1),""LOW"")*4))),"""")"),"")</f>
        <v/>
      </c>
      <c r="L618" s="136" t="str">
        <f>IFERROR(__xludf.DUMMYFUNCTION("IFERROR((FILTER(Data!P:P,Data!D:D=A618,Data!B:B=$B$1)),"""")"),"")</f>
        <v/>
      </c>
      <c r="M618" s="137" t="str">
        <f>IFERROR(__xludf.DUMMYFUNCTION("IFERROR((FILTER(Data!A:A,Data!D:D=A618,Data!B:B=$B$1)),"""")"),"")</f>
        <v/>
      </c>
      <c r="T618" s="52">
        <f>IFERROR(__xludf.DUMMYFUNCTION("((COUNTIF(FILTER(Data!N:N,Data!D:D=A618,Data!B:B=$B$1),""TRAVERSE"")*15)+(COUNTIF(FILTER(Data!N:N,Data!D:D=A618,Data!B:B=B$1),""HIGH"")*10)+(COUNTIF(FILTER(Data!N:N,Data!D:D=A618,Data!B:B=$B$1),""MIDDLE"")*6)+(COUNTIF(FILTER(Data!N:N,Data!D:D=A618,Data!B:"&amp;"B=$B$1),""LOW"")*4))"),0.0)</f>
        <v>0</v>
      </c>
      <c r="V618" s="138" t="str">
        <f>IF(Data!B610='Team Parser'!$B$1, Data!D610,"")</f>
        <v/>
      </c>
      <c r="W618" s="134" t="str">
        <f>IF(Data!$B610='Team Parser'!$B$1, Data!H610,"")</f>
        <v/>
      </c>
      <c r="X618" s="134" t="str">
        <f>IF(Data!$B610='Team Parser'!$B$1, Data!G610,"")</f>
        <v/>
      </c>
      <c r="Y618" s="134" t="str">
        <f>IF(Data!$B610='Team Parser'!$B$1, Data!L610,"")</f>
        <v/>
      </c>
      <c r="Z618" s="134" t="str">
        <f>IF(Data!$B610='Team Parser'!$B$1, Data!K610,"")</f>
        <v/>
      </c>
      <c r="AA618" s="134" t="str">
        <f>IF(Data!$B610='Team Parser'!$B$1, Data!M610,"")</f>
        <v/>
      </c>
      <c r="AB618" s="134" t="str">
        <f>IF(Data!$B610='Team Parser'!$B$1,((Z618*2)+(Y618)+(X618*4)+(W618*2)),"")</f>
        <v/>
      </c>
      <c r="AC618" s="134" t="str">
        <f>IF(Data!$B610='Team Parser'!$B$1, Data!N610,"")</f>
        <v/>
      </c>
      <c r="AD618" s="139" t="str">
        <f>IF(Data!$B610='Team Parser'!$B$1,(AB618+(COUNTIF(AC618,"TRAVERSE")*15)+(COUNTIF(AC618,"HIGH")*10)+(COUNTIF(AC618,"MIDDLE")*6)+(COUNTIF(AC618,"LOW")*4)),"")</f>
        <v/>
      </c>
    </row>
    <row r="619">
      <c r="A619" s="141" t="s">
        <v>507</v>
      </c>
      <c r="B619" s="134" t="str">
        <f>IFERROR(__xludf.DUMMYFUNCTION("IFERROR((FILTER(Data!H:H,Data!D:D=A619,Data!B:B=$B$1)),"""")"),"")</f>
        <v/>
      </c>
      <c r="C619" s="134" t="str">
        <f>IFERROR(__xludf.DUMMYFUNCTION("IFERROR((FILTER(Data!G:G,Data!D:D=A619,Data!B:B=$B$1)),"""")"),"")</f>
        <v/>
      </c>
      <c r="D619" s="134" t="str">
        <f>IFERROR(__xludf.DUMMYFUNCTION("IFERROR((FILTER(Data!J:J,Data!D:D=A619,Data!B:B=$B$1)),"""")"),"")</f>
        <v/>
      </c>
      <c r="E619" s="134" t="str">
        <f>IFERROR(__xludf.DUMMYFUNCTION("IFERROR((FILTER(Data!L:L,Data!D:D=A619,Data!B:B=$B$1)),"""")"),"")</f>
        <v/>
      </c>
      <c r="F619" s="134" t="str">
        <f>IFERROR(__xludf.DUMMYFUNCTION("IFERROR((FILTER(Data!K:K,Data!D:D=A619,Data!B:B=$B$1)),"""")"),"")</f>
        <v/>
      </c>
      <c r="G619" s="134" t="str">
        <f>IFERROR(__xludf.DUMMYFUNCTION("IFERROR((FILTER(Data!M:M,Data!D:D=A619,Data!B:B=$B$1)),"""")"),"")</f>
        <v/>
      </c>
      <c r="H619" s="134" t="str">
        <f>IFERROR(__xludf.DUMMYFUNCTION("IFERROR((FILTER(Data!G:G,Data!D:D=A619,Data!B:B=$B$1)*4)+(FILTER(Data!H:H,Data!D:D=A619,Data!B:B=$B$1)*2),"""")"),"")</f>
        <v/>
      </c>
      <c r="I619" s="15" t="str">
        <f>IFERROR(__xludf.DUMMYFUNCTION("IFERROR((FILTER(Data!K:K,Data!D:D=A619,Data!B:B=$B$1)*2)+(FILTER(Data!L:L,Data!D:D=A619,Data!B:B=$B$1)),"""")"),"")</f>
        <v/>
      </c>
      <c r="J619" s="134" t="str">
        <f>IFERROR(__xludf.DUMMYFUNCTION("IFERROR((FILTER(Data!N:N,Data!D:D=A619,Data!B:B=$B$1)),"""")"),"")</f>
        <v/>
      </c>
      <c r="K619" s="135" t="str">
        <f>IFERROR(__xludf.DUMMYFUNCTION("IFERROR((FILTER(Data!H:H,Data!D:D=A619,Data!B:B=$B$1)*2)+(FILTER(Data!L:L,Data!D:D=A619,Data!B:B=$B$1))+(FILTER(Data!G:G,Data!D:D=A619,Data!B:B=$B$1)*4)+(FILTER(Data!K:K,Data!D:D=A619,Data!B:B=$B$1)*2)+(((COUNTIF(FILTER(Data!N:N,Data!D:D=A619,Data!B:B=$B$"&amp;"1),""TRAVERSE"")*15)+(COUNTIF(FILTER(Data!N:N,Data!D:D=A619,Data!B:B=$B$1),""HIGH"")*10)+(COUNTIF(FILTER(Data!N:N,Data!D:D=A619,Data!B:B=$B$1),""MIDDLE"")*6)+(COUNTIF(FILTER(Data!N:N,Data!D:D=A619,Data!B:B=$B$1),""LOW"")*4))),"""")"),"")</f>
        <v/>
      </c>
      <c r="L619" s="136" t="str">
        <f>IFERROR(__xludf.DUMMYFUNCTION("IFERROR((FILTER(Data!P:P,Data!D:D=A619,Data!B:B=$B$1)),"""")"),"")</f>
        <v/>
      </c>
      <c r="M619" s="137" t="str">
        <f>IFERROR(__xludf.DUMMYFUNCTION("IFERROR((FILTER(Data!A:A,Data!D:D=A619,Data!B:B=$B$1)),"""")"),"")</f>
        <v/>
      </c>
      <c r="T619" s="52">
        <f>IFERROR(__xludf.DUMMYFUNCTION("((COUNTIF(FILTER(Data!N:N,Data!D:D=A619,Data!B:B=$B$1),""TRAVERSE"")*15)+(COUNTIF(FILTER(Data!N:N,Data!D:D=A619,Data!B:B=B$1),""HIGH"")*10)+(COUNTIF(FILTER(Data!N:N,Data!D:D=A619,Data!B:B=$B$1),""MIDDLE"")*6)+(COUNTIF(FILTER(Data!N:N,Data!D:D=A619,Data!B:"&amp;"B=$B$1),""LOW"")*4))"),0.0)</f>
        <v>0</v>
      </c>
      <c r="V619" s="138" t="str">
        <f>IF(Data!B611='Team Parser'!$B$1, Data!D611,"")</f>
        <v/>
      </c>
      <c r="W619" s="134" t="str">
        <f>IF(Data!$B611='Team Parser'!$B$1, Data!H611,"")</f>
        <v/>
      </c>
      <c r="X619" s="134" t="str">
        <f>IF(Data!$B611='Team Parser'!$B$1, Data!G611,"")</f>
        <v/>
      </c>
      <c r="Y619" s="134" t="str">
        <f>IF(Data!$B611='Team Parser'!$B$1, Data!L611,"")</f>
        <v/>
      </c>
      <c r="Z619" s="134" t="str">
        <f>IF(Data!$B611='Team Parser'!$B$1, Data!K611,"")</f>
        <v/>
      </c>
      <c r="AA619" s="134" t="str">
        <f>IF(Data!$B611='Team Parser'!$B$1, Data!M611,"")</f>
        <v/>
      </c>
      <c r="AB619" s="134" t="str">
        <f>IF(Data!$B611='Team Parser'!$B$1,((Z619*2)+(Y619)+(X619*4)+(W619*2)),"")</f>
        <v/>
      </c>
      <c r="AC619" s="134" t="str">
        <f>IF(Data!$B611='Team Parser'!$B$1, Data!N611,"")</f>
        <v/>
      </c>
      <c r="AD619" s="139" t="str">
        <f>IF(Data!$B611='Team Parser'!$B$1,(AB619+(COUNTIF(AC619,"TRAVERSE")*15)+(COUNTIF(AC619,"HIGH")*10)+(COUNTIF(AC619,"MIDDLE")*6)+(COUNTIF(AC619,"LOW")*4)),"")</f>
        <v/>
      </c>
    </row>
    <row r="620">
      <c r="A620" s="141" t="s">
        <v>507</v>
      </c>
      <c r="B620" s="134" t="str">
        <f>IFERROR(__xludf.DUMMYFUNCTION("IFERROR((FILTER(Data!H:H,Data!D:D=A620,Data!B:B=$B$1)),"""")"),"")</f>
        <v/>
      </c>
      <c r="C620" s="134" t="str">
        <f>IFERROR(__xludf.DUMMYFUNCTION("IFERROR((FILTER(Data!G:G,Data!D:D=A620,Data!B:B=$B$1)),"""")"),"")</f>
        <v/>
      </c>
      <c r="D620" s="134" t="str">
        <f>IFERROR(__xludf.DUMMYFUNCTION("IFERROR((FILTER(Data!J:J,Data!D:D=A620,Data!B:B=$B$1)),"""")"),"")</f>
        <v/>
      </c>
      <c r="E620" s="134" t="str">
        <f>IFERROR(__xludf.DUMMYFUNCTION("IFERROR((FILTER(Data!L:L,Data!D:D=A620,Data!B:B=$B$1)),"""")"),"")</f>
        <v/>
      </c>
      <c r="F620" s="134" t="str">
        <f>IFERROR(__xludf.DUMMYFUNCTION("IFERROR((FILTER(Data!K:K,Data!D:D=A620,Data!B:B=$B$1)),"""")"),"")</f>
        <v/>
      </c>
      <c r="G620" s="134" t="str">
        <f>IFERROR(__xludf.DUMMYFUNCTION("IFERROR((FILTER(Data!M:M,Data!D:D=A620,Data!B:B=$B$1)),"""")"),"")</f>
        <v/>
      </c>
      <c r="H620" s="134" t="str">
        <f>IFERROR(__xludf.DUMMYFUNCTION("IFERROR((FILTER(Data!G:G,Data!D:D=A620,Data!B:B=$B$1)*4)+(FILTER(Data!H:H,Data!D:D=A620,Data!B:B=$B$1)*2),"""")"),"")</f>
        <v/>
      </c>
      <c r="I620" s="15" t="str">
        <f>IFERROR(__xludf.DUMMYFUNCTION("IFERROR((FILTER(Data!K:K,Data!D:D=A620,Data!B:B=$B$1)*2)+(FILTER(Data!L:L,Data!D:D=A620,Data!B:B=$B$1)),"""")"),"")</f>
        <v/>
      </c>
      <c r="J620" s="134" t="str">
        <f>IFERROR(__xludf.DUMMYFUNCTION("IFERROR((FILTER(Data!N:N,Data!D:D=A620,Data!B:B=$B$1)),"""")"),"")</f>
        <v/>
      </c>
      <c r="K620" s="135" t="str">
        <f>IFERROR(__xludf.DUMMYFUNCTION("IFERROR((FILTER(Data!H:H,Data!D:D=A620,Data!B:B=$B$1)*2)+(FILTER(Data!L:L,Data!D:D=A620,Data!B:B=$B$1))+(FILTER(Data!G:G,Data!D:D=A620,Data!B:B=$B$1)*4)+(FILTER(Data!K:K,Data!D:D=A620,Data!B:B=$B$1)*2)+(((COUNTIF(FILTER(Data!N:N,Data!D:D=A620,Data!B:B=$B$"&amp;"1),""TRAVERSE"")*15)+(COUNTIF(FILTER(Data!N:N,Data!D:D=A620,Data!B:B=$B$1),""HIGH"")*10)+(COUNTIF(FILTER(Data!N:N,Data!D:D=A620,Data!B:B=$B$1),""MIDDLE"")*6)+(COUNTIF(FILTER(Data!N:N,Data!D:D=A620,Data!B:B=$B$1),""LOW"")*4))),"""")"),"")</f>
        <v/>
      </c>
      <c r="L620" s="136" t="str">
        <f>IFERROR(__xludf.DUMMYFUNCTION("IFERROR((FILTER(Data!P:P,Data!D:D=A620,Data!B:B=$B$1)),"""")"),"")</f>
        <v/>
      </c>
      <c r="M620" s="137" t="str">
        <f>IFERROR(__xludf.DUMMYFUNCTION("IFERROR((FILTER(Data!A:A,Data!D:D=A620,Data!B:B=$B$1)),"""")"),"")</f>
        <v/>
      </c>
      <c r="T620" s="52">
        <f>IFERROR(__xludf.DUMMYFUNCTION("((COUNTIF(FILTER(Data!N:N,Data!D:D=A620,Data!B:B=$B$1),""TRAVERSE"")*15)+(COUNTIF(FILTER(Data!N:N,Data!D:D=A620,Data!B:B=B$1),""HIGH"")*10)+(COUNTIF(FILTER(Data!N:N,Data!D:D=A620,Data!B:B=$B$1),""MIDDLE"")*6)+(COUNTIF(FILTER(Data!N:N,Data!D:D=A620,Data!B:"&amp;"B=$B$1),""LOW"")*4))"),0.0)</f>
        <v>0</v>
      </c>
      <c r="V620" s="138" t="str">
        <f>IF(Data!B612='Team Parser'!$B$1, Data!D612,"")</f>
        <v/>
      </c>
      <c r="W620" s="134" t="str">
        <f>IF(Data!$B612='Team Parser'!$B$1, Data!H612,"")</f>
        <v/>
      </c>
      <c r="X620" s="134" t="str">
        <f>IF(Data!$B612='Team Parser'!$B$1, Data!G612,"")</f>
        <v/>
      </c>
      <c r="Y620" s="134" t="str">
        <f>IF(Data!$B612='Team Parser'!$B$1, Data!L612,"")</f>
        <v/>
      </c>
      <c r="Z620" s="134" t="str">
        <f>IF(Data!$B612='Team Parser'!$B$1, Data!K612,"")</f>
        <v/>
      </c>
      <c r="AA620" s="134" t="str">
        <f>IF(Data!$B612='Team Parser'!$B$1, Data!M612,"")</f>
        <v/>
      </c>
      <c r="AB620" s="134" t="str">
        <f>IF(Data!$B612='Team Parser'!$B$1,((Z620*2)+(Y620)+(X620*4)+(W620*2)),"")</f>
        <v/>
      </c>
      <c r="AC620" s="134" t="str">
        <f>IF(Data!$B612='Team Parser'!$B$1, Data!N612,"")</f>
        <v/>
      </c>
      <c r="AD620" s="139" t="str">
        <f>IF(Data!$B612='Team Parser'!$B$1,(AB620+(COUNTIF(AC620,"TRAVERSE")*15)+(COUNTIF(AC620,"HIGH")*10)+(COUNTIF(AC620,"MIDDLE")*6)+(COUNTIF(AC620,"LOW")*4)),"")</f>
        <v/>
      </c>
    </row>
    <row r="621">
      <c r="A621" s="141" t="s">
        <v>507</v>
      </c>
      <c r="B621" s="134" t="str">
        <f>IFERROR(__xludf.DUMMYFUNCTION("IFERROR((FILTER(Data!H:H,Data!D:D=A621,Data!B:B=$B$1)),"""")"),"")</f>
        <v/>
      </c>
      <c r="C621" s="134" t="str">
        <f>IFERROR(__xludf.DUMMYFUNCTION("IFERROR((FILTER(Data!G:G,Data!D:D=A621,Data!B:B=$B$1)),"""")"),"")</f>
        <v/>
      </c>
      <c r="D621" s="134" t="str">
        <f>IFERROR(__xludf.DUMMYFUNCTION("IFERROR((FILTER(Data!J:J,Data!D:D=A621,Data!B:B=$B$1)),"""")"),"")</f>
        <v/>
      </c>
      <c r="E621" s="134" t="str">
        <f>IFERROR(__xludf.DUMMYFUNCTION("IFERROR((FILTER(Data!L:L,Data!D:D=A621,Data!B:B=$B$1)),"""")"),"")</f>
        <v/>
      </c>
      <c r="F621" s="134" t="str">
        <f>IFERROR(__xludf.DUMMYFUNCTION("IFERROR((FILTER(Data!K:K,Data!D:D=A621,Data!B:B=$B$1)),"""")"),"")</f>
        <v/>
      </c>
      <c r="G621" s="134" t="str">
        <f>IFERROR(__xludf.DUMMYFUNCTION("IFERROR((FILTER(Data!M:M,Data!D:D=A621,Data!B:B=$B$1)),"""")"),"")</f>
        <v/>
      </c>
      <c r="H621" s="134" t="str">
        <f>IFERROR(__xludf.DUMMYFUNCTION("IFERROR((FILTER(Data!G:G,Data!D:D=A621,Data!B:B=$B$1)*4)+(FILTER(Data!H:H,Data!D:D=A621,Data!B:B=$B$1)*2),"""")"),"")</f>
        <v/>
      </c>
      <c r="I621" s="15" t="str">
        <f>IFERROR(__xludf.DUMMYFUNCTION("IFERROR((FILTER(Data!K:K,Data!D:D=A621,Data!B:B=$B$1)*2)+(FILTER(Data!L:L,Data!D:D=A621,Data!B:B=$B$1)),"""")"),"")</f>
        <v/>
      </c>
      <c r="J621" s="134" t="str">
        <f>IFERROR(__xludf.DUMMYFUNCTION("IFERROR((FILTER(Data!N:N,Data!D:D=A621,Data!B:B=$B$1)),"""")"),"")</f>
        <v/>
      </c>
      <c r="K621" s="135" t="str">
        <f>IFERROR(__xludf.DUMMYFUNCTION("IFERROR((FILTER(Data!H:H,Data!D:D=A621,Data!B:B=$B$1)*2)+(FILTER(Data!L:L,Data!D:D=A621,Data!B:B=$B$1))+(FILTER(Data!G:G,Data!D:D=A621,Data!B:B=$B$1)*4)+(FILTER(Data!K:K,Data!D:D=A621,Data!B:B=$B$1)*2)+(((COUNTIF(FILTER(Data!N:N,Data!D:D=A621,Data!B:B=$B$"&amp;"1),""TRAVERSE"")*15)+(COUNTIF(FILTER(Data!N:N,Data!D:D=A621,Data!B:B=$B$1),""HIGH"")*10)+(COUNTIF(FILTER(Data!N:N,Data!D:D=A621,Data!B:B=$B$1),""MIDDLE"")*6)+(COUNTIF(FILTER(Data!N:N,Data!D:D=A621,Data!B:B=$B$1),""LOW"")*4))),"""")"),"")</f>
        <v/>
      </c>
      <c r="L621" s="136" t="str">
        <f>IFERROR(__xludf.DUMMYFUNCTION("IFERROR((FILTER(Data!P:P,Data!D:D=A621,Data!B:B=$B$1)),"""")"),"")</f>
        <v/>
      </c>
      <c r="M621" s="137" t="str">
        <f>IFERROR(__xludf.DUMMYFUNCTION("IFERROR((FILTER(Data!A:A,Data!D:D=A621,Data!B:B=$B$1)),"""")"),"")</f>
        <v/>
      </c>
      <c r="T621" s="52">
        <f>IFERROR(__xludf.DUMMYFUNCTION("((COUNTIF(FILTER(Data!N:N,Data!D:D=A621,Data!B:B=$B$1),""TRAVERSE"")*15)+(COUNTIF(FILTER(Data!N:N,Data!D:D=A621,Data!B:B=B$1),""HIGH"")*10)+(COUNTIF(FILTER(Data!N:N,Data!D:D=A621,Data!B:B=$B$1),""MIDDLE"")*6)+(COUNTIF(FILTER(Data!N:N,Data!D:D=A621,Data!B:"&amp;"B=$B$1),""LOW"")*4))"),0.0)</f>
        <v>0</v>
      </c>
      <c r="V621" s="138" t="str">
        <f>IF(Data!B613='Team Parser'!$B$1, Data!D613,"")</f>
        <v/>
      </c>
      <c r="W621" s="134" t="str">
        <f>IF(Data!$B613='Team Parser'!$B$1, Data!H613,"")</f>
        <v/>
      </c>
      <c r="X621" s="134" t="str">
        <f>IF(Data!$B613='Team Parser'!$B$1, Data!G613,"")</f>
        <v/>
      </c>
      <c r="Y621" s="134" t="str">
        <f>IF(Data!$B613='Team Parser'!$B$1, Data!L613,"")</f>
        <v/>
      </c>
      <c r="Z621" s="134" t="str">
        <f>IF(Data!$B613='Team Parser'!$B$1, Data!K613,"")</f>
        <v/>
      </c>
      <c r="AA621" s="134" t="str">
        <f>IF(Data!$B613='Team Parser'!$B$1, Data!M613,"")</f>
        <v/>
      </c>
      <c r="AB621" s="134" t="str">
        <f>IF(Data!$B613='Team Parser'!$B$1,((Z621*2)+(Y621)+(X621*4)+(W621*2)),"")</f>
        <v/>
      </c>
      <c r="AC621" s="134" t="str">
        <f>IF(Data!$B613='Team Parser'!$B$1, Data!N613,"")</f>
        <v/>
      </c>
      <c r="AD621" s="139" t="str">
        <f>IF(Data!$B613='Team Parser'!$B$1,(AB621+(COUNTIF(AC621,"TRAVERSE")*15)+(COUNTIF(AC621,"HIGH")*10)+(COUNTIF(AC621,"MIDDLE")*6)+(COUNTIF(AC621,"LOW")*4)),"")</f>
        <v/>
      </c>
    </row>
    <row r="622">
      <c r="A622" s="141" t="s">
        <v>507</v>
      </c>
      <c r="B622" s="134" t="str">
        <f>IFERROR(__xludf.DUMMYFUNCTION("IFERROR((FILTER(Data!H:H,Data!D:D=A622,Data!B:B=$B$1)),"""")"),"")</f>
        <v/>
      </c>
      <c r="C622" s="134" t="str">
        <f>IFERROR(__xludf.DUMMYFUNCTION("IFERROR((FILTER(Data!G:G,Data!D:D=A622,Data!B:B=$B$1)),"""")"),"")</f>
        <v/>
      </c>
      <c r="D622" s="134" t="str">
        <f>IFERROR(__xludf.DUMMYFUNCTION("IFERROR((FILTER(Data!J:J,Data!D:D=A622,Data!B:B=$B$1)),"""")"),"")</f>
        <v/>
      </c>
      <c r="E622" s="134" t="str">
        <f>IFERROR(__xludf.DUMMYFUNCTION("IFERROR((FILTER(Data!L:L,Data!D:D=A622,Data!B:B=$B$1)),"""")"),"")</f>
        <v/>
      </c>
      <c r="F622" s="134" t="str">
        <f>IFERROR(__xludf.DUMMYFUNCTION("IFERROR((FILTER(Data!K:K,Data!D:D=A622,Data!B:B=$B$1)),"""")"),"")</f>
        <v/>
      </c>
      <c r="G622" s="134" t="str">
        <f>IFERROR(__xludf.DUMMYFUNCTION("IFERROR((FILTER(Data!M:M,Data!D:D=A622,Data!B:B=$B$1)),"""")"),"")</f>
        <v/>
      </c>
      <c r="H622" s="134" t="str">
        <f>IFERROR(__xludf.DUMMYFUNCTION("IFERROR((FILTER(Data!G:G,Data!D:D=A622,Data!B:B=$B$1)*4)+(FILTER(Data!H:H,Data!D:D=A622,Data!B:B=$B$1)*2),"""")"),"")</f>
        <v/>
      </c>
      <c r="I622" s="15" t="str">
        <f>IFERROR(__xludf.DUMMYFUNCTION("IFERROR((FILTER(Data!K:K,Data!D:D=A622,Data!B:B=$B$1)*2)+(FILTER(Data!L:L,Data!D:D=A622,Data!B:B=$B$1)),"""")"),"")</f>
        <v/>
      </c>
      <c r="J622" s="134" t="str">
        <f>IFERROR(__xludf.DUMMYFUNCTION("IFERROR((FILTER(Data!N:N,Data!D:D=A622,Data!B:B=$B$1)),"""")"),"")</f>
        <v/>
      </c>
      <c r="K622" s="135" t="str">
        <f>IFERROR(__xludf.DUMMYFUNCTION("IFERROR((FILTER(Data!H:H,Data!D:D=A622,Data!B:B=$B$1)*2)+(FILTER(Data!L:L,Data!D:D=A622,Data!B:B=$B$1))+(FILTER(Data!G:G,Data!D:D=A622,Data!B:B=$B$1)*4)+(FILTER(Data!K:K,Data!D:D=A622,Data!B:B=$B$1)*2)+(((COUNTIF(FILTER(Data!N:N,Data!D:D=A622,Data!B:B=$B$"&amp;"1),""TRAVERSE"")*15)+(COUNTIF(FILTER(Data!N:N,Data!D:D=A622,Data!B:B=$B$1),""HIGH"")*10)+(COUNTIF(FILTER(Data!N:N,Data!D:D=A622,Data!B:B=$B$1),""MIDDLE"")*6)+(COUNTIF(FILTER(Data!N:N,Data!D:D=A622,Data!B:B=$B$1),""LOW"")*4))),"""")"),"")</f>
        <v/>
      </c>
      <c r="L622" s="136" t="str">
        <f>IFERROR(__xludf.DUMMYFUNCTION("IFERROR((FILTER(Data!P:P,Data!D:D=A622,Data!B:B=$B$1)),"""")"),"")</f>
        <v/>
      </c>
      <c r="M622" s="137" t="str">
        <f>IFERROR(__xludf.DUMMYFUNCTION("IFERROR((FILTER(Data!A:A,Data!D:D=A622,Data!B:B=$B$1)),"""")"),"")</f>
        <v/>
      </c>
      <c r="T622" s="52">
        <f>IFERROR(__xludf.DUMMYFUNCTION("((COUNTIF(FILTER(Data!N:N,Data!D:D=A622,Data!B:B=$B$1),""TRAVERSE"")*15)+(COUNTIF(FILTER(Data!N:N,Data!D:D=A622,Data!B:B=B$1),""HIGH"")*10)+(COUNTIF(FILTER(Data!N:N,Data!D:D=A622,Data!B:B=$B$1),""MIDDLE"")*6)+(COUNTIF(FILTER(Data!N:N,Data!D:D=A622,Data!B:"&amp;"B=$B$1),""LOW"")*4))"),0.0)</f>
        <v>0</v>
      </c>
      <c r="V622" s="138" t="str">
        <f>IF(Data!B614='Team Parser'!$B$1, Data!D614,"")</f>
        <v/>
      </c>
      <c r="W622" s="134" t="str">
        <f>IF(Data!$B614='Team Parser'!$B$1, Data!H614,"")</f>
        <v/>
      </c>
      <c r="X622" s="134" t="str">
        <f>IF(Data!$B614='Team Parser'!$B$1, Data!G614,"")</f>
        <v/>
      </c>
      <c r="Y622" s="134" t="str">
        <f>IF(Data!$B614='Team Parser'!$B$1, Data!L614,"")</f>
        <v/>
      </c>
      <c r="Z622" s="134" t="str">
        <f>IF(Data!$B614='Team Parser'!$B$1, Data!K614,"")</f>
        <v/>
      </c>
      <c r="AA622" s="134" t="str">
        <f>IF(Data!$B614='Team Parser'!$B$1, Data!M614,"")</f>
        <v/>
      </c>
      <c r="AB622" s="134" t="str">
        <f>IF(Data!$B614='Team Parser'!$B$1,((Z622*2)+(Y622)+(X622*4)+(W622*2)),"")</f>
        <v/>
      </c>
      <c r="AC622" s="134" t="str">
        <f>IF(Data!$B614='Team Parser'!$B$1, Data!N614,"")</f>
        <v/>
      </c>
      <c r="AD622" s="139" t="str">
        <f>IF(Data!$B614='Team Parser'!$B$1,(AB622+(COUNTIF(AC622,"TRAVERSE")*15)+(COUNTIF(AC622,"HIGH")*10)+(COUNTIF(AC622,"MIDDLE")*6)+(COUNTIF(AC622,"LOW")*4)),"")</f>
        <v/>
      </c>
    </row>
    <row r="623">
      <c r="A623" s="141" t="s">
        <v>507</v>
      </c>
      <c r="B623" s="134" t="str">
        <f>IFERROR(__xludf.DUMMYFUNCTION("IFERROR((FILTER(Data!H:H,Data!D:D=A623,Data!B:B=$B$1)),"""")"),"")</f>
        <v/>
      </c>
      <c r="C623" s="134" t="str">
        <f>IFERROR(__xludf.DUMMYFUNCTION("IFERROR((FILTER(Data!G:G,Data!D:D=A623,Data!B:B=$B$1)),"""")"),"")</f>
        <v/>
      </c>
      <c r="D623" s="134" t="str">
        <f>IFERROR(__xludf.DUMMYFUNCTION("IFERROR((FILTER(Data!J:J,Data!D:D=A623,Data!B:B=$B$1)),"""")"),"")</f>
        <v/>
      </c>
      <c r="E623" s="134" t="str">
        <f>IFERROR(__xludf.DUMMYFUNCTION("IFERROR((FILTER(Data!L:L,Data!D:D=A623,Data!B:B=$B$1)),"""")"),"")</f>
        <v/>
      </c>
      <c r="F623" s="134" t="str">
        <f>IFERROR(__xludf.DUMMYFUNCTION("IFERROR((FILTER(Data!K:K,Data!D:D=A623,Data!B:B=$B$1)),"""")"),"")</f>
        <v/>
      </c>
      <c r="G623" s="134" t="str">
        <f>IFERROR(__xludf.DUMMYFUNCTION("IFERROR((FILTER(Data!M:M,Data!D:D=A623,Data!B:B=$B$1)),"""")"),"")</f>
        <v/>
      </c>
      <c r="H623" s="134" t="str">
        <f>IFERROR(__xludf.DUMMYFUNCTION("IFERROR((FILTER(Data!G:G,Data!D:D=A623,Data!B:B=$B$1)*4)+(FILTER(Data!H:H,Data!D:D=A623,Data!B:B=$B$1)*2),"""")"),"")</f>
        <v/>
      </c>
      <c r="I623" s="15" t="str">
        <f>IFERROR(__xludf.DUMMYFUNCTION("IFERROR((FILTER(Data!K:K,Data!D:D=A623,Data!B:B=$B$1)*2)+(FILTER(Data!L:L,Data!D:D=A623,Data!B:B=$B$1)),"""")"),"")</f>
        <v/>
      </c>
      <c r="J623" s="134" t="str">
        <f>IFERROR(__xludf.DUMMYFUNCTION("IFERROR((FILTER(Data!N:N,Data!D:D=A623,Data!B:B=$B$1)),"""")"),"")</f>
        <v/>
      </c>
      <c r="K623" s="135" t="str">
        <f>IFERROR(__xludf.DUMMYFUNCTION("IFERROR((FILTER(Data!H:H,Data!D:D=A623,Data!B:B=$B$1)*2)+(FILTER(Data!L:L,Data!D:D=A623,Data!B:B=$B$1))+(FILTER(Data!G:G,Data!D:D=A623,Data!B:B=$B$1)*4)+(FILTER(Data!K:K,Data!D:D=A623,Data!B:B=$B$1)*2)+(((COUNTIF(FILTER(Data!N:N,Data!D:D=A623,Data!B:B=$B$"&amp;"1),""TRAVERSE"")*15)+(COUNTIF(FILTER(Data!N:N,Data!D:D=A623,Data!B:B=$B$1),""HIGH"")*10)+(COUNTIF(FILTER(Data!N:N,Data!D:D=A623,Data!B:B=$B$1),""MIDDLE"")*6)+(COUNTIF(FILTER(Data!N:N,Data!D:D=A623,Data!B:B=$B$1),""LOW"")*4))),"""")"),"")</f>
        <v/>
      </c>
      <c r="L623" s="136" t="str">
        <f>IFERROR(__xludf.DUMMYFUNCTION("IFERROR((FILTER(Data!P:P,Data!D:D=A623,Data!B:B=$B$1)),"""")"),"")</f>
        <v/>
      </c>
      <c r="M623" s="137" t="str">
        <f>IFERROR(__xludf.DUMMYFUNCTION("IFERROR((FILTER(Data!A:A,Data!D:D=A623,Data!B:B=$B$1)),"""")"),"")</f>
        <v/>
      </c>
      <c r="T623" s="52">
        <f>IFERROR(__xludf.DUMMYFUNCTION("((COUNTIF(FILTER(Data!N:N,Data!D:D=A623,Data!B:B=$B$1),""TRAVERSE"")*15)+(COUNTIF(FILTER(Data!N:N,Data!D:D=A623,Data!B:B=B$1),""HIGH"")*10)+(COUNTIF(FILTER(Data!N:N,Data!D:D=A623,Data!B:B=$B$1),""MIDDLE"")*6)+(COUNTIF(FILTER(Data!N:N,Data!D:D=A623,Data!B:"&amp;"B=$B$1),""LOW"")*4))"),0.0)</f>
        <v>0</v>
      </c>
      <c r="V623" s="138" t="str">
        <f>IF(Data!B615='Team Parser'!$B$1, Data!D615,"")</f>
        <v/>
      </c>
      <c r="W623" s="134" t="str">
        <f>IF(Data!$B615='Team Parser'!$B$1, Data!H615,"")</f>
        <v/>
      </c>
      <c r="X623" s="134" t="str">
        <f>IF(Data!$B615='Team Parser'!$B$1, Data!G615,"")</f>
        <v/>
      </c>
      <c r="Y623" s="134" t="str">
        <f>IF(Data!$B615='Team Parser'!$B$1, Data!L615,"")</f>
        <v/>
      </c>
      <c r="Z623" s="134" t="str">
        <f>IF(Data!$B615='Team Parser'!$B$1, Data!K615,"")</f>
        <v/>
      </c>
      <c r="AA623" s="134" t="str">
        <f>IF(Data!$B615='Team Parser'!$B$1, Data!M615,"")</f>
        <v/>
      </c>
      <c r="AB623" s="134" t="str">
        <f>IF(Data!$B615='Team Parser'!$B$1,((Z623*2)+(Y623)+(X623*4)+(W623*2)),"")</f>
        <v/>
      </c>
      <c r="AC623" s="134" t="str">
        <f>IF(Data!$B615='Team Parser'!$B$1, Data!N615,"")</f>
        <v/>
      </c>
      <c r="AD623" s="139" t="str">
        <f>IF(Data!$B615='Team Parser'!$B$1,(AB623+(COUNTIF(AC623,"TRAVERSE")*15)+(COUNTIF(AC623,"HIGH")*10)+(COUNTIF(AC623,"MIDDLE")*6)+(COUNTIF(AC623,"LOW")*4)),"")</f>
        <v/>
      </c>
    </row>
    <row r="624">
      <c r="A624" s="141" t="s">
        <v>507</v>
      </c>
      <c r="B624" s="134" t="str">
        <f>IFERROR(__xludf.DUMMYFUNCTION("IFERROR((FILTER(Data!H:H,Data!D:D=A624,Data!B:B=$B$1)),"""")"),"")</f>
        <v/>
      </c>
      <c r="C624" s="134" t="str">
        <f>IFERROR(__xludf.DUMMYFUNCTION("IFERROR((FILTER(Data!G:G,Data!D:D=A624,Data!B:B=$B$1)),"""")"),"")</f>
        <v/>
      </c>
      <c r="D624" s="134" t="str">
        <f>IFERROR(__xludf.DUMMYFUNCTION("IFERROR((FILTER(Data!J:J,Data!D:D=A624,Data!B:B=$B$1)),"""")"),"")</f>
        <v/>
      </c>
      <c r="E624" s="134" t="str">
        <f>IFERROR(__xludf.DUMMYFUNCTION("IFERROR((FILTER(Data!L:L,Data!D:D=A624,Data!B:B=$B$1)),"""")"),"")</f>
        <v/>
      </c>
      <c r="F624" s="134" t="str">
        <f>IFERROR(__xludf.DUMMYFUNCTION("IFERROR((FILTER(Data!K:K,Data!D:D=A624,Data!B:B=$B$1)),"""")"),"")</f>
        <v/>
      </c>
      <c r="G624" s="134" t="str">
        <f>IFERROR(__xludf.DUMMYFUNCTION("IFERROR((FILTER(Data!M:M,Data!D:D=A624,Data!B:B=$B$1)),"""")"),"")</f>
        <v/>
      </c>
      <c r="H624" s="134" t="str">
        <f>IFERROR(__xludf.DUMMYFUNCTION("IFERROR((FILTER(Data!G:G,Data!D:D=A624,Data!B:B=$B$1)*4)+(FILTER(Data!H:H,Data!D:D=A624,Data!B:B=$B$1)*2),"""")"),"")</f>
        <v/>
      </c>
      <c r="I624" s="15" t="str">
        <f>IFERROR(__xludf.DUMMYFUNCTION("IFERROR((FILTER(Data!K:K,Data!D:D=A624,Data!B:B=$B$1)*2)+(FILTER(Data!L:L,Data!D:D=A624,Data!B:B=$B$1)),"""")"),"")</f>
        <v/>
      </c>
      <c r="J624" s="134" t="str">
        <f>IFERROR(__xludf.DUMMYFUNCTION("IFERROR((FILTER(Data!N:N,Data!D:D=A624,Data!B:B=$B$1)),"""")"),"")</f>
        <v/>
      </c>
      <c r="K624" s="135" t="str">
        <f>IFERROR(__xludf.DUMMYFUNCTION("IFERROR((FILTER(Data!H:H,Data!D:D=A624,Data!B:B=$B$1)*2)+(FILTER(Data!L:L,Data!D:D=A624,Data!B:B=$B$1))+(FILTER(Data!G:G,Data!D:D=A624,Data!B:B=$B$1)*4)+(FILTER(Data!K:K,Data!D:D=A624,Data!B:B=$B$1)*2)+(((COUNTIF(FILTER(Data!N:N,Data!D:D=A624,Data!B:B=$B$"&amp;"1),""TRAVERSE"")*15)+(COUNTIF(FILTER(Data!N:N,Data!D:D=A624,Data!B:B=$B$1),""HIGH"")*10)+(COUNTIF(FILTER(Data!N:N,Data!D:D=A624,Data!B:B=$B$1),""MIDDLE"")*6)+(COUNTIF(FILTER(Data!N:N,Data!D:D=A624,Data!B:B=$B$1),""LOW"")*4))),"""")"),"")</f>
        <v/>
      </c>
      <c r="L624" s="136" t="str">
        <f>IFERROR(__xludf.DUMMYFUNCTION("IFERROR((FILTER(Data!P:P,Data!D:D=A624,Data!B:B=$B$1)),"""")"),"")</f>
        <v/>
      </c>
      <c r="M624" s="137" t="str">
        <f>IFERROR(__xludf.DUMMYFUNCTION("IFERROR((FILTER(Data!A:A,Data!D:D=A624,Data!B:B=$B$1)),"""")"),"")</f>
        <v/>
      </c>
      <c r="T624" s="52">
        <f>IFERROR(__xludf.DUMMYFUNCTION("((COUNTIF(FILTER(Data!N:N,Data!D:D=A624,Data!B:B=$B$1),""TRAVERSE"")*15)+(COUNTIF(FILTER(Data!N:N,Data!D:D=A624,Data!B:B=B$1),""HIGH"")*10)+(COUNTIF(FILTER(Data!N:N,Data!D:D=A624,Data!B:B=$B$1),""MIDDLE"")*6)+(COUNTIF(FILTER(Data!N:N,Data!D:D=A624,Data!B:"&amp;"B=$B$1),""LOW"")*4))"),0.0)</f>
        <v>0</v>
      </c>
      <c r="V624" s="138" t="str">
        <f>IF(Data!B616='Team Parser'!$B$1, Data!D616,"")</f>
        <v/>
      </c>
      <c r="W624" s="134" t="str">
        <f>IF(Data!$B616='Team Parser'!$B$1, Data!H616,"")</f>
        <v/>
      </c>
      <c r="X624" s="134" t="str">
        <f>IF(Data!$B616='Team Parser'!$B$1, Data!G616,"")</f>
        <v/>
      </c>
      <c r="Y624" s="134" t="str">
        <f>IF(Data!$B616='Team Parser'!$B$1, Data!L616,"")</f>
        <v/>
      </c>
      <c r="Z624" s="134" t="str">
        <f>IF(Data!$B616='Team Parser'!$B$1, Data!K616,"")</f>
        <v/>
      </c>
      <c r="AA624" s="134" t="str">
        <f>IF(Data!$B616='Team Parser'!$B$1, Data!M616,"")</f>
        <v/>
      </c>
      <c r="AB624" s="134" t="str">
        <f>IF(Data!$B616='Team Parser'!$B$1,((Z624*2)+(Y624)+(X624*4)+(W624*2)),"")</f>
        <v/>
      </c>
      <c r="AC624" s="134" t="str">
        <f>IF(Data!$B616='Team Parser'!$B$1, Data!N616,"")</f>
        <v/>
      </c>
      <c r="AD624" s="139" t="str">
        <f>IF(Data!$B616='Team Parser'!$B$1,(AB624+(COUNTIF(AC624,"TRAVERSE")*15)+(COUNTIF(AC624,"HIGH")*10)+(COUNTIF(AC624,"MIDDLE")*6)+(COUNTIF(AC624,"LOW")*4)),"")</f>
        <v/>
      </c>
    </row>
    <row r="625">
      <c r="A625" s="141" t="s">
        <v>507</v>
      </c>
      <c r="B625" s="134" t="str">
        <f>IFERROR(__xludf.DUMMYFUNCTION("IFERROR((FILTER(Data!H:H,Data!D:D=A625,Data!B:B=$B$1)),"""")"),"")</f>
        <v/>
      </c>
      <c r="C625" s="134" t="str">
        <f>IFERROR(__xludf.DUMMYFUNCTION("IFERROR((FILTER(Data!G:G,Data!D:D=A625,Data!B:B=$B$1)),"""")"),"")</f>
        <v/>
      </c>
      <c r="D625" s="134" t="str">
        <f>IFERROR(__xludf.DUMMYFUNCTION("IFERROR((FILTER(Data!J:J,Data!D:D=A625,Data!B:B=$B$1)),"""")"),"")</f>
        <v/>
      </c>
      <c r="E625" s="134" t="str">
        <f>IFERROR(__xludf.DUMMYFUNCTION("IFERROR((FILTER(Data!L:L,Data!D:D=A625,Data!B:B=$B$1)),"""")"),"")</f>
        <v/>
      </c>
      <c r="F625" s="134" t="str">
        <f>IFERROR(__xludf.DUMMYFUNCTION("IFERROR((FILTER(Data!K:K,Data!D:D=A625,Data!B:B=$B$1)),"""")"),"")</f>
        <v/>
      </c>
      <c r="G625" s="134" t="str">
        <f>IFERROR(__xludf.DUMMYFUNCTION("IFERROR((FILTER(Data!M:M,Data!D:D=A625,Data!B:B=$B$1)),"""")"),"")</f>
        <v/>
      </c>
      <c r="H625" s="134" t="str">
        <f>IFERROR(__xludf.DUMMYFUNCTION("IFERROR((FILTER(Data!G:G,Data!D:D=A625,Data!B:B=$B$1)*4)+(FILTER(Data!H:H,Data!D:D=A625,Data!B:B=$B$1)*2),"""")"),"")</f>
        <v/>
      </c>
      <c r="I625" s="15" t="str">
        <f>IFERROR(__xludf.DUMMYFUNCTION("IFERROR((FILTER(Data!K:K,Data!D:D=A625,Data!B:B=$B$1)*2)+(FILTER(Data!L:L,Data!D:D=A625,Data!B:B=$B$1)),"""")"),"")</f>
        <v/>
      </c>
      <c r="J625" s="134" t="str">
        <f>IFERROR(__xludf.DUMMYFUNCTION("IFERROR((FILTER(Data!N:N,Data!D:D=A625,Data!B:B=$B$1)),"""")"),"")</f>
        <v/>
      </c>
      <c r="K625" s="135" t="str">
        <f>IFERROR(__xludf.DUMMYFUNCTION("IFERROR((FILTER(Data!H:H,Data!D:D=A625,Data!B:B=$B$1)*2)+(FILTER(Data!L:L,Data!D:D=A625,Data!B:B=$B$1))+(FILTER(Data!G:G,Data!D:D=A625,Data!B:B=$B$1)*4)+(FILTER(Data!K:K,Data!D:D=A625,Data!B:B=$B$1)*2)+(((COUNTIF(FILTER(Data!N:N,Data!D:D=A625,Data!B:B=$B$"&amp;"1),""TRAVERSE"")*15)+(COUNTIF(FILTER(Data!N:N,Data!D:D=A625,Data!B:B=$B$1),""HIGH"")*10)+(COUNTIF(FILTER(Data!N:N,Data!D:D=A625,Data!B:B=$B$1),""MIDDLE"")*6)+(COUNTIF(FILTER(Data!N:N,Data!D:D=A625,Data!B:B=$B$1),""LOW"")*4))),"""")"),"")</f>
        <v/>
      </c>
      <c r="L625" s="136" t="str">
        <f>IFERROR(__xludf.DUMMYFUNCTION("IFERROR((FILTER(Data!P:P,Data!D:D=A625,Data!B:B=$B$1)),"""")"),"")</f>
        <v/>
      </c>
      <c r="M625" s="137" t="str">
        <f>IFERROR(__xludf.DUMMYFUNCTION("IFERROR((FILTER(Data!A:A,Data!D:D=A625,Data!B:B=$B$1)),"""")"),"")</f>
        <v/>
      </c>
      <c r="T625" s="52">
        <f>IFERROR(__xludf.DUMMYFUNCTION("((COUNTIF(FILTER(Data!N:N,Data!D:D=A625,Data!B:B=$B$1),""TRAVERSE"")*15)+(COUNTIF(FILTER(Data!N:N,Data!D:D=A625,Data!B:B=B$1),""HIGH"")*10)+(COUNTIF(FILTER(Data!N:N,Data!D:D=A625,Data!B:B=$B$1),""MIDDLE"")*6)+(COUNTIF(FILTER(Data!N:N,Data!D:D=A625,Data!B:"&amp;"B=$B$1),""LOW"")*4))"),0.0)</f>
        <v>0</v>
      </c>
      <c r="V625" s="138" t="str">
        <f>IF(Data!B617='Team Parser'!$B$1, Data!D617,"")</f>
        <v/>
      </c>
      <c r="W625" s="134" t="str">
        <f>IF(Data!$B617='Team Parser'!$B$1, Data!H617,"")</f>
        <v/>
      </c>
      <c r="X625" s="134" t="str">
        <f>IF(Data!$B617='Team Parser'!$B$1, Data!G617,"")</f>
        <v/>
      </c>
      <c r="Y625" s="134" t="str">
        <f>IF(Data!$B617='Team Parser'!$B$1, Data!L617,"")</f>
        <v/>
      </c>
      <c r="Z625" s="134" t="str">
        <f>IF(Data!$B617='Team Parser'!$B$1, Data!K617,"")</f>
        <v/>
      </c>
      <c r="AA625" s="134" t="str">
        <f>IF(Data!$B617='Team Parser'!$B$1, Data!M617,"")</f>
        <v/>
      </c>
      <c r="AB625" s="134" t="str">
        <f>IF(Data!$B617='Team Parser'!$B$1,((Z625*2)+(Y625)+(X625*4)+(W625*2)),"")</f>
        <v/>
      </c>
      <c r="AC625" s="134" t="str">
        <f>IF(Data!$B617='Team Parser'!$B$1, Data!N617,"")</f>
        <v/>
      </c>
      <c r="AD625" s="139" t="str">
        <f>IF(Data!$B617='Team Parser'!$B$1,(AB625+(COUNTIF(AC625,"TRAVERSE")*15)+(COUNTIF(AC625,"HIGH")*10)+(COUNTIF(AC625,"MIDDLE")*6)+(COUNTIF(AC625,"LOW")*4)),"")</f>
        <v/>
      </c>
    </row>
    <row r="626">
      <c r="A626" s="141" t="s">
        <v>507</v>
      </c>
      <c r="B626" s="134" t="str">
        <f>IFERROR(__xludf.DUMMYFUNCTION("IFERROR((FILTER(Data!H:H,Data!D:D=A626,Data!B:B=$B$1)),"""")"),"")</f>
        <v/>
      </c>
      <c r="C626" s="134" t="str">
        <f>IFERROR(__xludf.DUMMYFUNCTION("IFERROR((FILTER(Data!G:G,Data!D:D=A626,Data!B:B=$B$1)),"""")"),"")</f>
        <v/>
      </c>
      <c r="D626" s="134" t="str">
        <f>IFERROR(__xludf.DUMMYFUNCTION("IFERROR((FILTER(Data!J:J,Data!D:D=A626,Data!B:B=$B$1)),"""")"),"")</f>
        <v/>
      </c>
      <c r="E626" s="134" t="str">
        <f>IFERROR(__xludf.DUMMYFUNCTION("IFERROR((FILTER(Data!L:L,Data!D:D=A626,Data!B:B=$B$1)),"""")"),"")</f>
        <v/>
      </c>
      <c r="F626" s="134" t="str">
        <f>IFERROR(__xludf.DUMMYFUNCTION("IFERROR((FILTER(Data!K:K,Data!D:D=A626,Data!B:B=$B$1)),"""")"),"")</f>
        <v/>
      </c>
      <c r="G626" s="134" t="str">
        <f>IFERROR(__xludf.DUMMYFUNCTION("IFERROR((FILTER(Data!M:M,Data!D:D=A626,Data!B:B=$B$1)),"""")"),"")</f>
        <v/>
      </c>
      <c r="H626" s="134" t="str">
        <f>IFERROR(__xludf.DUMMYFUNCTION("IFERROR((FILTER(Data!G:G,Data!D:D=A626,Data!B:B=$B$1)*4)+(FILTER(Data!H:H,Data!D:D=A626,Data!B:B=$B$1)*2),"""")"),"")</f>
        <v/>
      </c>
      <c r="I626" s="15" t="str">
        <f>IFERROR(__xludf.DUMMYFUNCTION("IFERROR((FILTER(Data!K:K,Data!D:D=A626,Data!B:B=$B$1)*2)+(FILTER(Data!L:L,Data!D:D=A626,Data!B:B=$B$1)),"""")"),"")</f>
        <v/>
      </c>
      <c r="J626" s="134" t="str">
        <f>IFERROR(__xludf.DUMMYFUNCTION("IFERROR((FILTER(Data!N:N,Data!D:D=A626,Data!B:B=$B$1)),"""")"),"")</f>
        <v/>
      </c>
      <c r="K626" s="135" t="str">
        <f>IFERROR(__xludf.DUMMYFUNCTION("IFERROR((FILTER(Data!H:H,Data!D:D=A626,Data!B:B=$B$1)*2)+(FILTER(Data!L:L,Data!D:D=A626,Data!B:B=$B$1))+(FILTER(Data!G:G,Data!D:D=A626,Data!B:B=$B$1)*4)+(FILTER(Data!K:K,Data!D:D=A626,Data!B:B=$B$1)*2)+(((COUNTIF(FILTER(Data!N:N,Data!D:D=A626,Data!B:B=$B$"&amp;"1),""TRAVERSE"")*15)+(COUNTIF(FILTER(Data!N:N,Data!D:D=A626,Data!B:B=$B$1),""HIGH"")*10)+(COUNTIF(FILTER(Data!N:N,Data!D:D=A626,Data!B:B=$B$1),""MIDDLE"")*6)+(COUNTIF(FILTER(Data!N:N,Data!D:D=A626,Data!B:B=$B$1),""LOW"")*4))),"""")"),"")</f>
        <v/>
      </c>
      <c r="L626" s="136" t="str">
        <f>IFERROR(__xludf.DUMMYFUNCTION("IFERROR((FILTER(Data!P:P,Data!D:D=A626,Data!B:B=$B$1)),"""")"),"")</f>
        <v/>
      </c>
      <c r="M626" s="137" t="str">
        <f>IFERROR(__xludf.DUMMYFUNCTION("IFERROR((FILTER(Data!A:A,Data!D:D=A626,Data!B:B=$B$1)),"""")"),"")</f>
        <v/>
      </c>
      <c r="T626" s="52">
        <f>IFERROR(__xludf.DUMMYFUNCTION("((COUNTIF(FILTER(Data!N:N,Data!D:D=A626,Data!B:B=$B$1),""TRAVERSE"")*15)+(COUNTIF(FILTER(Data!N:N,Data!D:D=A626,Data!B:B=B$1),""HIGH"")*10)+(COUNTIF(FILTER(Data!N:N,Data!D:D=A626,Data!B:B=$B$1),""MIDDLE"")*6)+(COUNTIF(FILTER(Data!N:N,Data!D:D=A626,Data!B:"&amp;"B=$B$1),""LOW"")*4))"),0.0)</f>
        <v>0</v>
      </c>
      <c r="V626" s="138" t="str">
        <f>IF(Data!B618='Team Parser'!$B$1, Data!D618,"")</f>
        <v/>
      </c>
      <c r="W626" s="134" t="str">
        <f>IF(Data!$B618='Team Parser'!$B$1, Data!H618,"")</f>
        <v/>
      </c>
      <c r="X626" s="134" t="str">
        <f>IF(Data!$B618='Team Parser'!$B$1, Data!G618,"")</f>
        <v/>
      </c>
      <c r="Y626" s="134" t="str">
        <f>IF(Data!$B618='Team Parser'!$B$1, Data!L618,"")</f>
        <v/>
      </c>
      <c r="Z626" s="134" t="str">
        <f>IF(Data!$B618='Team Parser'!$B$1, Data!K618,"")</f>
        <v/>
      </c>
      <c r="AA626" s="134" t="str">
        <f>IF(Data!$B618='Team Parser'!$B$1, Data!M618,"")</f>
        <v/>
      </c>
      <c r="AB626" s="134" t="str">
        <f>IF(Data!$B618='Team Parser'!$B$1,((Z626*2)+(Y626)+(X626*4)+(W626*2)),"")</f>
        <v/>
      </c>
      <c r="AC626" s="134" t="str">
        <f>IF(Data!$B618='Team Parser'!$B$1, Data!N618,"")</f>
        <v/>
      </c>
      <c r="AD626" s="139" t="str">
        <f>IF(Data!$B618='Team Parser'!$B$1,(AB626+(COUNTIF(AC626,"TRAVERSE")*15)+(COUNTIF(AC626,"HIGH")*10)+(COUNTIF(AC626,"MIDDLE")*6)+(COUNTIF(AC626,"LOW")*4)),"")</f>
        <v/>
      </c>
    </row>
    <row r="627">
      <c r="A627" s="141" t="s">
        <v>507</v>
      </c>
      <c r="B627" s="134" t="str">
        <f>IFERROR(__xludf.DUMMYFUNCTION("IFERROR((FILTER(Data!H:H,Data!D:D=A627,Data!B:B=$B$1)),"""")"),"")</f>
        <v/>
      </c>
      <c r="C627" s="134" t="str">
        <f>IFERROR(__xludf.DUMMYFUNCTION("IFERROR((FILTER(Data!G:G,Data!D:D=A627,Data!B:B=$B$1)),"""")"),"")</f>
        <v/>
      </c>
      <c r="D627" s="134" t="str">
        <f>IFERROR(__xludf.DUMMYFUNCTION("IFERROR((FILTER(Data!J:J,Data!D:D=A627,Data!B:B=$B$1)),"""")"),"")</f>
        <v/>
      </c>
      <c r="E627" s="134" t="str">
        <f>IFERROR(__xludf.DUMMYFUNCTION("IFERROR((FILTER(Data!L:L,Data!D:D=A627,Data!B:B=$B$1)),"""")"),"")</f>
        <v/>
      </c>
      <c r="F627" s="134" t="str">
        <f>IFERROR(__xludf.DUMMYFUNCTION("IFERROR((FILTER(Data!K:K,Data!D:D=A627,Data!B:B=$B$1)),"""")"),"")</f>
        <v/>
      </c>
      <c r="G627" s="134" t="str">
        <f>IFERROR(__xludf.DUMMYFUNCTION("IFERROR((FILTER(Data!M:M,Data!D:D=A627,Data!B:B=$B$1)),"""")"),"")</f>
        <v/>
      </c>
      <c r="H627" s="134" t="str">
        <f>IFERROR(__xludf.DUMMYFUNCTION("IFERROR((FILTER(Data!G:G,Data!D:D=A627,Data!B:B=$B$1)*4)+(FILTER(Data!H:H,Data!D:D=A627,Data!B:B=$B$1)*2),"""")"),"")</f>
        <v/>
      </c>
      <c r="I627" s="15" t="str">
        <f>IFERROR(__xludf.DUMMYFUNCTION("IFERROR((FILTER(Data!K:K,Data!D:D=A627,Data!B:B=$B$1)*2)+(FILTER(Data!L:L,Data!D:D=A627,Data!B:B=$B$1)),"""")"),"")</f>
        <v/>
      </c>
      <c r="J627" s="134" t="str">
        <f>IFERROR(__xludf.DUMMYFUNCTION("IFERROR((FILTER(Data!N:N,Data!D:D=A627,Data!B:B=$B$1)),"""")"),"")</f>
        <v/>
      </c>
      <c r="K627" s="135" t="str">
        <f>IFERROR(__xludf.DUMMYFUNCTION("IFERROR((FILTER(Data!H:H,Data!D:D=A627,Data!B:B=$B$1)*2)+(FILTER(Data!L:L,Data!D:D=A627,Data!B:B=$B$1))+(FILTER(Data!G:G,Data!D:D=A627,Data!B:B=$B$1)*4)+(FILTER(Data!K:K,Data!D:D=A627,Data!B:B=$B$1)*2)+(((COUNTIF(FILTER(Data!N:N,Data!D:D=A627,Data!B:B=$B$"&amp;"1),""TRAVERSE"")*15)+(COUNTIF(FILTER(Data!N:N,Data!D:D=A627,Data!B:B=$B$1),""HIGH"")*10)+(COUNTIF(FILTER(Data!N:N,Data!D:D=A627,Data!B:B=$B$1),""MIDDLE"")*6)+(COUNTIF(FILTER(Data!N:N,Data!D:D=A627,Data!B:B=$B$1),""LOW"")*4))),"""")"),"")</f>
        <v/>
      </c>
      <c r="L627" s="136" t="str">
        <f>IFERROR(__xludf.DUMMYFUNCTION("IFERROR((FILTER(Data!P:P,Data!D:D=A627,Data!B:B=$B$1)),"""")"),"")</f>
        <v/>
      </c>
      <c r="M627" s="137" t="str">
        <f>IFERROR(__xludf.DUMMYFUNCTION("IFERROR((FILTER(Data!A:A,Data!D:D=A627,Data!B:B=$B$1)),"""")"),"")</f>
        <v/>
      </c>
      <c r="T627" s="52">
        <f>IFERROR(__xludf.DUMMYFUNCTION("((COUNTIF(FILTER(Data!N:N,Data!D:D=A627,Data!B:B=$B$1),""TRAVERSE"")*15)+(COUNTIF(FILTER(Data!N:N,Data!D:D=A627,Data!B:B=B$1),""HIGH"")*10)+(COUNTIF(FILTER(Data!N:N,Data!D:D=A627,Data!B:B=$B$1),""MIDDLE"")*6)+(COUNTIF(FILTER(Data!N:N,Data!D:D=A627,Data!B:"&amp;"B=$B$1),""LOW"")*4))"),0.0)</f>
        <v>0</v>
      </c>
      <c r="V627" s="138" t="str">
        <f>IF(Data!B619='Team Parser'!$B$1, Data!D619,"")</f>
        <v/>
      </c>
      <c r="W627" s="134" t="str">
        <f>IF(Data!$B619='Team Parser'!$B$1, Data!H619,"")</f>
        <v/>
      </c>
      <c r="X627" s="134" t="str">
        <f>IF(Data!$B619='Team Parser'!$B$1, Data!G619,"")</f>
        <v/>
      </c>
      <c r="Y627" s="134" t="str">
        <f>IF(Data!$B619='Team Parser'!$B$1, Data!L619,"")</f>
        <v/>
      </c>
      <c r="Z627" s="134" t="str">
        <f>IF(Data!$B619='Team Parser'!$B$1, Data!K619,"")</f>
        <v/>
      </c>
      <c r="AA627" s="134" t="str">
        <f>IF(Data!$B619='Team Parser'!$B$1, Data!M619,"")</f>
        <v/>
      </c>
      <c r="AB627" s="134" t="str">
        <f>IF(Data!$B619='Team Parser'!$B$1,((Z627*2)+(Y627)+(X627*4)+(W627*2)),"")</f>
        <v/>
      </c>
      <c r="AC627" s="134" t="str">
        <f>IF(Data!$B619='Team Parser'!$B$1, Data!N619,"")</f>
        <v/>
      </c>
      <c r="AD627" s="139" t="str">
        <f>IF(Data!$B619='Team Parser'!$B$1,(AB627+(COUNTIF(AC627,"TRAVERSE")*15)+(COUNTIF(AC627,"HIGH")*10)+(COUNTIF(AC627,"MIDDLE")*6)+(COUNTIF(AC627,"LOW")*4)),"")</f>
        <v/>
      </c>
    </row>
    <row r="628">
      <c r="A628" s="141" t="s">
        <v>507</v>
      </c>
      <c r="B628" s="134" t="str">
        <f>IFERROR(__xludf.DUMMYFUNCTION("IFERROR((FILTER(Data!H:H,Data!D:D=A628,Data!B:B=$B$1)),"""")"),"")</f>
        <v/>
      </c>
      <c r="C628" s="134" t="str">
        <f>IFERROR(__xludf.DUMMYFUNCTION("IFERROR((FILTER(Data!G:G,Data!D:D=A628,Data!B:B=$B$1)),"""")"),"")</f>
        <v/>
      </c>
      <c r="D628" s="134" t="str">
        <f>IFERROR(__xludf.DUMMYFUNCTION("IFERROR((FILTER(Data!J:J,Data!D:D=A628,Data!B:B=$B$1)),"""")"),"")</f>
        <v/>
      </c>
      <c r="E628" s="134" t="str">
        <f>IFERROR(__xludf.DUMMYFUNCTION("IFERROR((FILTER(Data!L:L,Data!D:D=A628,Data!B:B=$B$1)),"""")"),"")</f>
        <v/>
      </c>
      <c r="F628" s="134" t="str">
        <f>IFERROR(__xludf.DUMMYFUNCTION("IFERROR((FILTER(Data!K:K,Data!D:D=A628,Data!B:B=$B$1)),"""")"),"")</f>
        <v/>
      </c>
      <c r="G628" s="134" t="str">
        <f>IFERROR(__xludf.DUMMYFUNCTION("IFERROR((FILTER(Data!M:M,Data!D:D=A628,Data!B:B=$B$1)),"""")"),"")</f>
        <v/>
      </c>
      <c r="H628" s="134" t="str">
        <f>IFERROR(__xludf.DUMMYFUNCTION("IFERROR((FILTER(Data!G:G,Data!D:D=A628,Data!B:B=$B$1)*4)+(FILTER(Data!H:H,Data!D:D=A628,Data!B:B=$B$1)*2),"""")"),"")</f>
        <v/>
      </c>
      <c r="I628" s="15" t="str">
        <f>IFERROR(__xludf.DUMMYFUNCTION("IFERROR((FILTER(Data!K:K,Data!D:D=A628,Data!B:B=$B$1)*2)+(FILTER(Data!L:L,Data!D:D=A628,Data!B:B=$B$1)),"""")"),"")</f>
        <v/>
      </c>
      <c r="J628" s="134" t="str">
        <f>IFERROR(__xludf.DUMMYFUNCTION("IFERROR((FILTER(Data!N:N,Data!D:D=A628,Data!B:B=$B$1)),"""")"),"")</f>
        <v/>
      </c>
      <c r="K628" s="135" t="str">
        <f>IFERROR(__xludf.DUMMYFUNCTION("IFERROR((FILTER(Data!H:H,Data!D:D=A628,Data!B:B=$B$1)*2)+(FILTER(Data!L:L,Data!D:D=A628,Data!B:B=$B$1))+(FILTER(Data!G:G,Data!D:D=A628,Data!B:B=$B$1)*4)+(FILTER(Data!K:K,Data!D:D=A628,Data!B:B=$B$1)*2)+(((COUNTIF(FILTER(Data!N:N,Data!D:D=A628,Data!B:B=$B$"&amp;"1),""TRAVERSE"")*15)+(COUNTIF(FILTER(Data!N:N,Data!D:D=A628,Data!B:B=$B$1),""HIGH"")*10)+(COUNTIF(FILTER(Data!N:N,Data!D:D=A628,Data!B:B=$B$1),""MIDDLE"")*6)+(COUNTIF(FILTER(Data!N:N,Data!D:D=A628,Data!B:B=$B$1),""LOW"")*4))),"""")"),"")</f>
        <v/>
      </c>
      <c r="L628" s="136" t="str">
        <f>IFERROR(__xludf.DUMMYFUNCTION("IFERROR((FILTER(Data!P:P,Data!D:D=A628,Data!B:B=$B$1)),"""")"),"")</f>
        <v/>
      </c>
      <c r="M628" s="137" t="str">
        <f>IFERROR(__xludf.DUMMYFUNCTION("IFERROR((FILTER(Data!A:A,Data!D:D=A628,Data!B:B=$B$1)),"""")"),"")</f>
        <v/>
      </c>
      <c r="T628" s="52">
        <f>IFERROR(__xludf.DUMMYFUNCTION("((COUNTIF(FILTER(Data!N:N,Data!D:D=A628,Data!B:B=$B$1),""TRAVERSE"")*15)+(COUNTIF(FILTER(Data!N:N,Data!D:D=A628,Data!B:B=B$1),""HIGH"")*10)+(COUNTIF(FILTER(Data!N:N,Data!D:D=A628,Data!B:B=$B$1),""MIDDLE"")*6)+(COUNTIF(FILTER(Data!N:N,Data!D:D=A628,Data!B:"&amp;"B=$B$1),""LOW"")*4))"),0.0)</f>
        <v>0</v>
      </c>
      <c r="V628" s="138" t="str">
        <f>IF(Data!B620='Team Parser'!$B$1, Data!D620,"")</f>
        <v/>
      </c>
      <c r="W628" s="134" t="str">
        <f>IF(Data!$B620='Team Parser'!$B$1, Data!H620,"")</f>
        <v/>
      </c>
      <c r="X628" s="134" t="str">
        <f>IF(Data!$B620='Team Parser'!$B$1, Data!G620,"")</f>
        <v/>
      </c>
      <c r="Y628" s="134" t="str">
        <f>IF(Data!$B620='Team Parser'!$B$1, Data!L620,"")</f>
        <v/>
      </c>
      <c r="Z628" s="134" t="str">
        <f>IF(Data!$B620='Team Parser'!$B$1, Data!K620,"")</f>
        <v/>
      </c>
      <c r="AA628" s="134" t="str">
        <f>IF(Data!$B620='Team Parser'!$B$1, Data!M620,"")</f>
        <v/>
      </c>
      <c r="AB628" s="134" t="str">
        <f>IF(Data!$B620='Team Parser'!$B$1,((Z628*2)+(Y628)+(X628*4)+(W628*2)),"")</f>
        <v/>
      </c>
      <c r="AC628" s="134" t="str">
        <f>IF(Data!$B620='Team Parser'!$B$1, Data!N620,"")</f>
        <v/>
      </c>
      <c r="AD628" s="139" t="str">
        <f>IF(Data!$B620='Team Parser'!$B$1,(AB628+(COUNTIF(AC628,"TRAVERSE")*15)+(COUNTIF(AC628,"HIGH")*10)+(COUNTIF(AC628,"MIDDLE")*6)+(COUNTIF(AC628,"LOW")*4)),"")</f>
        <v/>
      </c>
    </row>
    <row r="629">
      <c r="A629" s="141" t="s">
        <v>507</v>
      </c>
      <c r="B629" s="134" t="str">
        <f>IFERROR(__xludf.DUMMYFUNCTION("IFERROR((FILTER(Data!H:H,Data!D:D=A629,Data!B:B=$B$1)),"""")"),"")</f>
        <v/>
      </c>
      <c r="C629" s="134" t="str">
        <f>IFERROR(__xludf.DUMMYFUNCTION("IFERROR((FILTER(Data!G:G,Data!D:D=A629,Data!B:B=$B$1)),"""")"),"")</f>
        <v/>
      </c>
      <c r="D629" s="134" t="str">
        <f>IFERROR(__xludf.DUMMYFUNCTION("IFERROR((FILTER(Data!J:J,Data!D:D=A629,Data!B:B=$B$1)),"""")"),"")</f>
        <v/>
      </c>
      <c r="E629" s="134" t="str">
        <f>IFERROR(__xludf.DUMMYFUNCTION("IFERROR((FILTER(Data!L:L,Data!D:D=A629,Data!B:B=$B$1)),"""")"),"")</f>
        <v/>
      </c>
      <c r="F629" s="134" t="str">
        <f>IFERROR(__xludf.DUMMYFUNCTION("IFERROR((FILTER(Data!K:K,Data!D:D=A629,Data!B:B=$B$1)),"""")"),"")</f>
        <v/>
      </c>
      <c r="G629" s="134" t="str">
        <f>IFERROR(__xludf.DUMMYFUNCTION("IFERROR((FILTER(Data!M:M,Data!D:D=A629,Data!B:B=$B$1)),"""")"),"")</f>
        <v/>
      </c>
      <c r="H629" s="134" t="str">
        <f>IFERROR(__xludf.DUMMYFUNCTION("IFERROR((FILTER(Data!G:G,Data!D:D=A629,Data!B:B=$B$1)*4)+(FILTER(Data!H:H,Data!D:D=A629,Data!B:B=$B$1)*2),"""")"),"")</f>
        <v/>
      </c>
      <c r="I629" s="15" t="str">
        <f>IFERROR(__xludf.DUMMYFUNCTION("IFERROR((FILTER(Data!K:K,Data!D:D=A629,Data!B:B=$B$1)*2)+(FILTER(Data!L:L,Data!D:D=A629,Data!B:B=$B$1)),"""")"),"")</f>
        <v/>
      </c>
      <c r="J629" s="134" t="str">
        <f>IFERROR(__xludf.DUMMYFUNCTION("IFERROR((FILTER(Data!N:N,Data!D:D=A629,Data!B:B=$B$1)),"""")"),"")</f>
        <v/>
      </c>
      <c r="K629" s="135" t="str">
        <f>IFERROR(__xludf.DUMMYFUNCTION("IFERROR((FILTER(Data!H:H,Data!D:D=A629,Data!B:B=$B$1)*2)+(FILTER(Data!L:L,Data!D:D=A629,Data!B:B=$B$1))+(FILTER(Data!G:G,Data!D:D=A629,Data!B:B=$B$1)*4)+(FILTER(Data!K:K,Data!D:D=A629,Data!B:B=$B$1)*2)+(((COUNTIF(FILTER(Data!N:N,Data!D:D=A629,Data!B:B=$B$"&amp;"1),""TRAVERSE"")*15)+(COUNTIF(FILTER(Data!N:N,Data!D:D=A629,Data!B:B=$B$1),""HIGH"")*10)+(COUNTIF(FILTER(Data!N:N,Data!D:D=A629,Data!B:B=$B$1),""MIDDLE"")*6)+(COUNTIF(FILTER(Data!N:N,Data!D:D=A629,Data!B:B=$B$1),""LOW"")*4))),"""")"),"")</f>
        <v/>
      </c>
      <c r="L629" s="136" t="str">
        <f>IFERROR(__xludf.DUMMYFUNCTION("IFERROR((FILTER(Data!P:P,Data!D:D=A629,Data!B:B=$B$1)),"""")"),"")</f>
        <v/>
      </c>
      <c r="M629" s="137" t="str">
        <f>IFERROR(__xludf.DUMMYFUNCTION("IFERROR((FILTER(Data!A:A,Data!D:D=A629,Data!B:B=$B$1)),"""")"),"")</f>
        <v/>
      </c>
      <c r="T629" s="52">
        <f>IFERROR(__xludf.DUMMYFUNCTION("((COUNTIF(FILTER(Data!N:N,Data!D:D=A629,Data!B:B=$B$1),""TRAVERSE"")*15)+(COUNTIF(FILTER(Data!N:N,Data!D:D=A629,Data!B:B=B$1),""HIGH"")*10)+(COUNTIF(FILTER(Data!N:N,Data!D:D=A629,Data!B:B=$B$1),""MIDDLE"")*6)+(COUNTIF(FILTER(Data!N:N,Data!D:D=A629,Data!B:"&amp;"B=$B$1),""LOW"")*4))"),0.0)</f>
        <v>0</v>
      </c>
      <c r="V629" s="138" t="str">
        <f>IF(Data!B621='Team Parser'!$B$1, Data!D621,"")</f>
        <v/>
      </c>
      <c r="W629" s="134" t="str">
        <f>IF(Data!$B621='Team Parser'!$B$1, Data!H621,"")</f>
        <v/>
      </c>
      <c r="X629" s="134" t="str">
        <f>IF(Data!$B621='Team Parser'!$B$1, Data!G621,"")</f>
        <v/>
      </c>
      <c r="Y629" s="134" t="str">
        <f>IF(Data!$B621='Team Parser'!$B$1, Data!L621,"")</f>
        <v/>
      </c>
      <c r="Z629" s="134" t="str">
        <f>IF(Data!$B621='Team Parser'!$B$1, Data!K621,"")</f>
        <v/>
      </c>
      <c r="AA629" s="134" t="str">
        <f>IF(Data!$B621='Team Parser'!$B$1, Data!M621,"")</f>
        <v/>
      </c>
      <c r="AB629" s="134" t="str">
        <f>IF(Data!$B621='Team Parser'!$B$1,((Z629*2)+(Y629)+(X629*4)+(W629*2)),"")</f>
        <v/>
      </c>
      <c r="AC629" s="134" t="str">
        <f>IF(Data!$B621='Team Parser'!$B$1, Data!N621,"")</f>
        <v/>
      </c>
      <c r="AD629" s="139" t="str">
        <f>IF(Data!$B621='Team Parser'!$B$1,(AB629+(COUNTIF(AC629,"TRAVERSE")*15)+(COUNTIF(AC629,"HIGH")*10)+(COUNTIF(AC629,"MIDDLE")*6)+(COUNTIF(AC629,"LOW")*4)),"")</f>
        <v/>
      </c>
    </row>
    <row r="630">
      <c r="A630" s="141" t="s">
        <v>507</v>
      </c>
      <c r="B630" s="134" t="str">
        <f>IFERROR(__xludf.DUMMYFUNCTION("IFERROR((FILTER(Data!H:H,Data!D:D=A630,Data!B:B=$B$1)),"""")"),"")</f>
        <v/>
      </c>
      <c r="C630" s="134" t="str">
        <f>IFERROR(__xludf.DUMMYFUNCTION("IFERROR((FILTER(Data!G:G,Data!D:D=A630,Data!B:B=$B$1)),"""")"),"")</f>
        <v/>
      </c>
      <c r="D630" s="134" t="str">
        <f>IFERROR(__xludf.DUMMYFUNCTION("IFERROR((FILTER(Data!J:J,Data!D:D=A630,Data!B:B=$B$1)),"""")"),"")</f>
        <v/>
      </c>
      <c r="E630" s="134" t="str">
        <f>IFERROR(__xludf.DUMMYFUNCTION("IFERROR((FILTER(Data!L:L,Data!D:D=A630,Data!B:B=$B$1)),"""")"),"")</f>
        <v/>
      </c>
      <c r="F630" s="134" t="str">
        <f>IFERROR(__xludf.DUMMYFUNCTION("IFERROR((FILTER(Data!K:K,Data!D:D=A630,Data!B:B=$B$1)),"""")"),"")</f>
        <v/>
      </c>
      <c r="G630" s="134" t="str">
        <f>IFERROR(__xludf.DUMMYFUNCTION("IFERROR((FILTER(Data!M:M,Data!D:D=A630,Data!B:B=$B$1)),"""")"),"")</f>
        <v/>
      </c>
      <c r="H630" s="134" t="str">
        <f>IFERROR(__xludf.DUMMYFUNCTION("IFERROR((FILTER(Data!G:G,Data!D:D=A630,Data!B:B=$B$1)*4)+(FILTER(Data!H:H,Data!D:D=A630,Data!B:B=$B$1)*2),"""")"),"")</f>
        <v/>
      </c>
      <c r="I630" s="15" t="str">
        <f>IFERROR(__xludf.DUMMYFUNCTION("IFERROR((FILTER(Data!K:K,Data!D:D=A630,Data!B:B=$B$1)*2)+(FILTER(Data!L:L,Data!D:D=A630,Data!B:B=$B$1)),"""")"),"")</f>
        <v/>
      </c>
      <c r="J630" s="134" t="str">
        <f>IFERROR(__xludf.DUMMYFUNCTION("IFERROR((FILTER(Data!N:N,Data!D:D=A630,Data!B:B=$B$1)),"""")"),"")</f>
        <v/>
      </c>
      <c r="K630" s="135" t="str">
        <f>IFERROR(__xludf.DUMMYFUNCTION("IFERROR((FILTER(Data!H:H,Data!D:D=A630,Data!B:B=$B$1)*2)+(FILTER(Data!L:L,Data!D:D=A630,Data!B:B=$B$1))+(FILTER(Data!G:G,Data!D:D=A630,Data!B:B=$B$1)*4)+(FILTER(Data!K:K,Data!D:D=A630,Data!B:B=$B$1)*2)+(((COUNTIF(FILTER(Data!N:N,Data!D:D=A630,Data!B:B=$B$"&amp;"1),""TRAVERSE"")*15)+(COUNTIF(FILTER(Data!N:N,Data!D:D=A630,Data!B:B=$B$1),""HIGH"")*10)+(COUNTIF(FILTER(Data!N:N,Data!D:D=A630,Data!B:B=$B$1),""MIDDLE"")*6)+(COUNTIF(FILTER(Data!N:N,Data!D:D=A630,Data!B:B=$B$1),""LOW"")*4))),"""")"),"")</f>
        <v/>
      </c>
      <c r="L630" s="136" t="str">
        <f>IFERROR(__xludf.DUMMYFUNCTION("IFERROR((FILTER(Data!P:P,Data!D:D=A630,Data!B:B=$B$1)),"""")"),"")</f>
        <v/>
      </c>
      <c r="M630" s="137" t="str">
        <f>IFERROR(__xludf.DUMMYFUNCTION("IFERROR((FILTER(Data!A:A,Data!D:D=A630,Data!B:B=$B$1)),"""")"),"")</f>
        <v/>
      </c>
      <c r="T630" s="52">
        <f>IFERROR(__xludf.DUMMYFUNCTION("((COUNTIF(FILTER(Data!N:N,Data!D:D=A630,Data!B:B=$B$1),""TRAVERSE"")*15)+(COUNTIF(FILTER(Data!N:N,Data!D:D=A630,Data!B:B=B$1),""HIGH"")*10)+(COUNTIF(FILTER(Data!N:N,Data!D:D=A630,Data!B:B=$B$1),""MIDDLE"")*6)+(COUNTIF(FILTER(Data!N:N,Data!D:D=A630,Data!B:"&amp;"B=$B$1),""LOW"")*4))"),0.0)</f>
        <v>0</v>
      </c>
      <c r="V630" s="138" t="str">
        <f>IF(Data!B622='Team Parser'!$B$1, Data!D622,"")</f>
        <v/>
      </c>
      <c r="W630" s="134" t="str">
        <f>IF(Data!$B622='Team Parser'!$B$1, Data!H622,"")</f>
        <v/>
      </c>
      <c r="X630" s="134" t="str">
        <f>IF(Data!$B622='Team Parser'!$B$1, Data!G622,"")</f>
        <v/>
      </c>
      <c r="Y630" s="134" t="str">
        <f>IF(Data!$B622='Team Parser'!$B$1, Data!L622,"")</f>
        <v/>
      </c>
      <c r="Z630" s="134" t="str">
        <f>IF(Data!$B622='Team Parser'!$B$1, Data!K622,"")</f>
        <v/>
      </c>
      <c r="AA630" s="134" t="str">
        <f>IF(Data!$B622='Team Parser'!$B$1, Data!M622,"")</f>
        <v/>
      </c>
      <c r="AB630" s="134" t="str">
        <f>IF(Data!$B622='Team Parser'!$B$1,((Z630*2)+(Y630)+(X630*4)+(W630*2)),"")</f>
        <v/>
      </c>
      <c r="AC630" s="134" t="str">
        <f>IF(Data!$B622='Team Parser'!$B$1, Data!N622,"")</f>
        <v/>
      </c>
      <c r="AD630" s="139" t="str">
        <f>IF(Data!$B622='Team Parser'!$B$1,(AB630+(COUNTIF(AC630,"TRAVERSE")*15)+(COUNTIF(AC630,"HIGH")*10)+(COUNTIF(AC630,"MIDDLE")*6)+(COUNTIF(AC630,"LOW")*4)),"")</f>
        <v/>
      </c>
    </row>
    <row r="631">
      <c r="A631" s="141" t="s">
        <v>507</v>
      </c>
      <c r="B631" s="134" t="str">
        <f>IFERROR(__xludf.DUMMYFUNCTION("IFERROR((FILTER(Data!H:H,Data!D:D=A631,Data!B:B=$B$1)),"""")"),"")</f>
        <v/>
      </c>
      <c r="C631" s="134" t="str">
        <f>IFERROR(__xludf.DUMMYFUNCTION("IFERROR((FILTER(Data!G:G,Data!D:D=A631,Data!B:B=$B$1)),"""")"),"")</f>
        <v/>
      </c>
      <c r="D631" s="134" t="str">
        <f>IFERROR(__xludf.DUMMYFUNCTION("IFERROR((FILTER(Data!J:J,Data!D:D=A631,Data!B:B=$B$1)),"""")"),"")</f>
        <v/>
      </c>
      <c r="E631" s="134" t="str">
        <f>IFERROR(__xludf.DUMMYFUNCTION("IFERROR((FILTER(Data!L:L,Data!D:D=A631,Data!B:B=$B$1)),"""")"),"")</f>
        <v/>
      </c>
      <c r="F631" s="134" t="str">
        <f>IFERROR(__xludf.DUMMYFUNCTION("IFERROR((FILTER(Data!K:K,Data!D:D=A631,Data!B:B=$B$1)),"""")"),"")</f>
        <v/>
      </c>
      <c r="G631" s="134" t="str">
        <f>IFERROR(__xludf.DUMMYFUNCTION("IFERROR((FILTER(Data!M:M,Data!D:D=A631,Data!B:B=$B$1)),"""")"),"")</f>
        <v/>
      </c>
      <c r="H631" s="134" t="str">
        <f>IFERROR(__xludf.DUMMYFUNCTION("IFERROR((FILTER(Data!G:G,Data!D:D=A631,Data!B:B=$B$1)*4)+(FILTER(Data!H:H,Data!D:D=A631,Data!B:B=$B$1)*2),"""")"),"")</f>
        <v/>
      </c>
      <c r="I631" s="15" t="str">
        <f>IFERROR(__xludf.DUMMYFUNCTION("IFERROR((FILTER(Data!K:K,Data!D:D=A631,Data!B:B=$B$1)*2)+(FILTER(Data!L:L,Data!D:D=A631,Data!B:B=$B$1)),"""")"),"")</f>
        <v/>
      </c>
      <c r="J631" s="134" t="str">
        <f>IFERROR(__xludf.DUMMYFUNCTION("IFERROR((FILTER(Data!N:N,Data!D:D=A631,Data!B:B=$B$1)),"""")"),"")</f>
        <v/>
      </c>
      <c r="K631" s="135" t="str">
        <f>IFERROR(__xludf.DUMMYFUNCTION("IFERROR((FILTER(Data!H:H,Data!D:D=A631,Data!B:B=$B$1)*2)+(FILTER(Data!L:L,Data!D:D=A631,Data!B:B=$B$1))+(FILTER(Data!G:G,Data!D:D=A631,Data!B:B=$B$1)*4)+(FILTER(Data!K:K,Data!D:D=A631,Data!B:B=$B$1)*2)+(((COUNTIF(FILTER(Data!N:N,Data!D:D=A631,Data!B:B=$B$"&amp;"1),""TRAVERSE"")*15)+(COUNTIF(FILTER(Data!N:N,Data!D:D=A631,Data!B:B=$B$1),""HIGH"")*10)+(COUNTIF(FILTER(Data!N:N,Data!D:D=A631,Data!B:B=$B$1),""MIDDLE"")*6)+(COUNTIF(FILTER(Data!N:N,Data!D:D=A631,Data!B:B=$B$1),""LOW"")*4))),"""")"),"")</f>
        <v/>
      </c>
      <c r="L631" s="136" t="str">
        <f>IFERROR(__xludf.DUMMYFUNCTION("IFERROR((FILTER(Data!P:P,Data!D:D=A631,Data!B:B=$B$1)),"""")"),"")</f>
        <v/>
      </c>
      <c r="M631" s="137" t="str">
        <f>IFERROR(__xludf.DUMMYFUNCTION("IFERROR((FILTER(Data!A:A,Data!D:D=A631,Data!B:B=$B$1)),"""")"),"")</f>
        <v/>
      </c>
      <c r="T631" s="52">
        <f>IFERROR(__xludf.DUMMYFUNCTION("((COUNTIF(FILTER(Data!N:N,Data!D:D=A631,Data!B:B=$B$1),""TRAVERSE"")*15)+(COUNTIF(FILTER(Data!N:N,Data!D:D=A631,Data!B:B=B$1),""HIGH"")*10)+(COUNTIF(FILTER(Data!N:N,Data!D:D=A631,Data!B:B=$B$1),""MIDDLE"")*6)+(COUNTIF(FILTER(Data!N:N,Data!D:D=A631,Data!B:"&amp;"B=$B$1),""LOW"")*4))"),0.0)</f>
        <v>0</v>
      </c>
      <c r="V631" s="138" t="str">
        <f>IF(Data!B623='Team Parser'!$B$1, Data!D623,"")</f>
        <v/>
      </c>
      <c r="W631" s="134" t="str">
        <f>IF(Data!$B623='Team Parser'!$B$1, Data!H623,"")</f>
        <v/>
      </c>
      <c r="X631" s="134" t="str">
        <f>IF(Data!$B623='Team Parser'!$B$1, Data!G623,"")</f>
        <v/>
      </c>
      <c r="Y631" s="134" t="str">
        <f>IF(Data!$B623='Team Parser'!$B$1, Data!L623,"")</f>
        <v/>
      </c>
      <c r="Z631" s="134" t="str">
        <f>IF(Data!$B623='Team Parser'!$B$1, Data!K623,"")</f>
        <v/>
      </c>
      <c r="AA631" s="134" t="str">
        <f>IF(Data!$B623='Team Parser'!$B$1, Data!M623,"")</f>
        <v/>
      </c>
      <c r="AB631" s="134" t="str">
        <f>IF(Data!$B623='Team Parser'!$B$1,((Z631*2)+(Y631)+(X631*4)+(W631*2)),"")</f>
        <v/>
      </c>
      <c r="AC631" s="134" t="str">
        <f>IF(Data!$B623='Team Parser'!$B$1, Data!N623,"")</f>
        <v/>
      </c>
      <c r="AD631" s="139" t="str">
        <f>IF(Data!$B623='Team Parser'!$B$1,(AB631+(COUNTIF(AC631,"TRAVERSE")*15)+(COUNTIF(AC631,"HIGH")*10)+(COUNTIF(AC631,"MIDDLE")*6)+(COUNTIF(AC631,"LOW")*4)),"")</f>
        <v/>
      </c>
    </row>
    <row r="632">
      <c r="A632" s="141" t="s">
        <v>507</v>
      </c>
      <c r="B632" s="134" t="str">
        <f>IFERROR(__xludf.DUMMYFUNCTION("IFERROR((FILTER(Data!H:H,Data!D:D=A632,Data!B:B=$B$1)),"""")"),"")</f>
        <v/>
      </c>
      <c r="C632" s="134" t="str">
        <f>IFERROR(__xludf.DUMMYFUNCTION("IFERROR((FILTER(Data!G:G,Data!D:D=A632,Data!B:B=$B$1)),"""")"),"")</f>
        <v/>
      </c>
      <c r="D632" s="134" t="str">
        <f>IFERROR(__xludf.DUMMYFUNCTION("IFERROR((FILTER(Data!J:J,Data!D:D=A632,Data!B:B=$B$1)),"""")"),"")</f>
        <v/>
      </c>
      <c r="E632" s="134" t="str">
        <f>IFERROR(__xludf.DUMMYFUNCTION("IFERROR((FILTER(Data!L:L,Data!D:D=A632,Data!B:B=$B$1)),"""")"),"")</f>
        <v/>
      </c>
      <c r="F632" s="134" t="str">
        <f>IFERROR(__xludf.DUMMYFUNCTION("IFERROR((FILTER(Data!K:K,Data!D:D=A632,Data!B:B=$B$1)),"""")"),"")</f>
        <v/>
      </c>
      <c r="G632" s="134" t="str">
        <f>IFERROR(__xludf.DUMMYFUNCTION("IFERROR((FILTER(Data!M:M,Data!D:D=A632,Data!B:B=$B$1)),"""")"),"")</f>
        <v/>
      </c>
      <c r="H632" s="134" t="str">
        <f>IFERROR(__xludf.DUMMYFUNCTION("IFERROR((FILTER(Data!G:G,Data!D:D=A632,Data!B:B=$B$1)*4)+(FILTER(Data!H:H,Data!D:D=A632,Data!B:B=$B$1)*2),"""")"),"")</f>
        <v/>
      </c>
      <c r="I632" s="15" t="str">
        <f>IFERROR(__xludf.DUMMYFUNCTION("IFERROR((FILTER(Data!K:K,Data!D:D=A632,Data!B:B=$B$1)*2)+(FILTER(Data!L:L,Data!D:D=A632,Data!B:B=$B$1)),"""")"),"")</f>
        <v/>
      </c>
      <c r="J632" s="134" t="str">
        <f>IFERROR(__xludf.DUMMYFUNCTION("IFERROR((FILTER(Data!N:N,Data!D:D=A632,Data!B:B=$B$1)),"""")"),"")</f>
        <v/>
      </c>
      <c r="K632" s="135" t="str">
        <f>IFERROR(__xludf.DUMMYFUNCTION("IFERROR((FILTER(Data!H:H,Data!D:D=A632,Data!B:B=$B$1)*2)+(FILTER(Data!L:L,Data!D:D=A632,Data!B:B=$B$1))+(FILTER(Data!G:G,Data!D:D=A632,Data!B:B=$B$1)*4)+(FILTER(Data!K:K,Data!D:D=A632,Data!B:B=$B$1)*2)+(((COUNTIF(FILTER(Data!N:N,Data!D:D=A632,Data!B:B=$B$"&amp;"1),""TRAVERSE"")*15)+(COUNTIF(FILTER(Data!N:N,Data!D:D=A632,Data!B:B=$B$1),""HIGH"")*10)+(COUNTIF(FILTER(Data!N:N,Data!D:D=A632,Data!B:B=$B$1),""MIDDLE"")*6)+(COUNTIF(FILTER(Data!N:N,Data!D:D=A632,Data!B:B=$B$1),""LOW"")*4))),"""")"),"")</f>
        <v/>
      </c>
      <c r="L632" s="136" t="str">
        <f>IFERROR(__xludf.DUMMYFUNCTION("IFERROR((FILTER(Data!P:P,Data!D:D=A632,Data!B:B=$B$1)),"""")"),"")</f>
        <v/>
      </c>
      <c r="M632" s="137" t="str">
        <f>IFERROR(__xludf.DUMMYFUNCTION("IFERROR((FILTER(Data!A:A,Data!D:D=A632,Data!B:B=$B$1)),"""")"),"")</f>
        <v/>
      </c>
      <c r="T632" s="52">
        <f>IFERROR(__xludf.DUMMYFUNCTION("((COUNTIF(FILTER(Data!N:N,Data!D:D=A632,Data!B:B=$B$1),""TRAVERSE"")*15)+(COUNTIF(FILTER(Data!N:N,Data!D:D=A632,Data!B:B=B$1),""HIGH"")*10)+(COUNTIF(FILTER(Data!N:N,Data!D:D=A632,Data!B:B=$B$1),""MIDDLE"")*6)+(COUNTIF(FILTER(Data!N:N,Data!D:D=A632,Data!B:"&amp;"B=$B$1),""LOW"")*4))"),0.0)</f>
        <v>0</v>
      </c>
      <c r="V632" s="138" t="str">
        <f>IF(Data!B624='Team Parser'!$B$1, Data!D624,"")</f>
        <v/>
      </c>
      <c r="W632" s="134" t="str">
        <f>IF(Data!$B624='Team Parser'!$B$1, Data!H624,"")</f>
        <v/>
      </c>
      <c r="X632" s="134" t="str">
        <f>IF(Data!$B624='Team Parser'!$B$1, Data!G624,"")</f>
        <v/>
      </c>
      <c r="Y632" s="134" t="str">
        <f>IF(Data!$B624='Team Parser'!$B$1, Data!L624,"")</f>
        <v/>
      </c>
      <c r="Z632" s="134" t="str">
        <f>IF(Data!$B624='Team Parser'!$B$1, Data!K624,"")</f>
        <v/>
      </c>
      <c r="AA632" s="134" t="str">
        <f>IF(Data!$B624='Team Parser'!$B$1, Data!M624,"")</f>
        <v/>
      </c>
      <c r="AB632" s="134" t="str">
        <f>IF(Data!$B624='Team Parser'!$B$1,((Z632*2)+(Y632)+(X632*4)+(W632*2)),"")</f>
        <v/>
      </c>
      <c r="AC632" s="134" t="str">
        <f>IF(Data!$B624='Team Parser'!$B$1, Data!N624,"")</f>
        <v/>
      </c>
      <c r="AD632" s="139" t="str">
        <f>IF(Data!$B624='Team Parser'!$B$1,(AB632+(COUNTIF(AC632,"TRAVERSE")*15)+(COUNTIF(AC632,"HIGH")*10)+(COUNTIF(AC632,"MIDDLE")*6)+(COUNTIF(AC632,"LOW")*4)),"")</f>
        <v/>
      </c>
    </row>
    <row r="633">
      <c r="A633" s="141" t="s">
        <v>507</v>
      </c>
      <c r="B633" s="134" t="str">
        <f>IFERROR(__xludf.DUMMYFUNCTION("IFERROR((FILTER(Data!H:H,Data!D:D=A633,Data!B:B=$B$1)),"""")"),"")</f>
        <v/>
      </c>
      <c r="C633" s="134" t="str">
        <f>IFERROR(__xludf.DUMMYFUNCTION("IFERROR((FILTER(Data!G:G,Data!D:D=A633,Data!B:B=$B$1)),"""")"),"")</f>
        <v/>
      </c>
      <c r="D633" s="134" t="str">
        <f>IFERROR(__xludf.DUMMYFUNCTION("IFERROR((FILTER(Data!J:J,Data!D:D=A633,Data!B:B=$B$1)),"""")"),"")</f>
        <v/>
      </c>
      <c r="E633" s="134" t="str">
        <f>IFERROR(__xludf.DUMMYFUNCTION("IFERROR((FILTER(Data!L:L,Data!D:D=A633,Data!B:B=$B$1)),"""")"),"")</f>
        <v/>
      </c>
      <c r="F633" s="134" t="str">
        <f>IFERROR(__xludf.DUMMYFUNCTION("IFERROR((FILTER(Data!K:K,Data!D:D=A633,Data!B:B=$B$1)),"""")"),"")</f>
        <v/>
      </c>
      <c r="G633" s="134" t="str">
        <f>IFERROR(__xludf.DUMMYFUNCTION("IFERROR((FILTER(Data!M:M,Data!D:D=A633,Data!B:B=$B$1)),"""")"),"")</f>
        <v/>
      </c>
      <c r="H633" s="134" t="str">
        <f>IFERROR(__xludf.DUMMYFUNCTION("IFERROR((FILTER(Data!G:G,Data!D:D=A633,Data!B:B=$B$1)*4)+(FILTER(Data!H:H,Data!D:D=A633,Data!B:B=$B$1)*2),"""")"),"")</f>
        <v/>
      </c>
      <c r="I633" s="15" t="str">
        <f>IFERROR(__xludf.DUMMYFUNCTION("IFERROR((FILTER(Data!K:K,Data!D:D=A633,Data!B:B=$B$1)*2)+(FILTER(Data!L:L,Data!D:D=A633,Data!B:B=$B$1)),"""")"),"")</f>
        <v/>
      </c>
      <c r="J633" s="134" t="str">
        <f>IFERROR(__xludf.DUMMYFUNCTION("IFERROR((FILTER(Data!N:N,Data!D:D=A633,Data!B:B=$B$1)),"""")"),"")</f>
        <v/>
      </c>
      <c r="K633" s="135" t="str">
        <f>IFERROR(__xludf.DUMMYFUNCTION("IFERROR((FILTER(Data!H:H,Data!D:D=A633,Data!B:B=$B$1)*2)+(FILTER(Data!L:L,Data!D:D=A633,Data!B:B=$B$1))+(FILTER(Data!G:G,Data!D:D=A633,Data!B:B=$B$1)*4)+(FILTER(Data!K:K,Data!D:D=A633,Data!B:B=$B$1)*2)+(((COUNTIF(FILTER(Data!N:N,Data!D:D=A633,Data!B:B=$B$"&amp;"1),""TRAVERSE"")*15)+(COUNTIF(FILTER(Data!N:N,Data!D:D=A633,Data!B:B=$B$1),""HIGH"")*10)+(COUNTIF(FILTER(Data!N:N,Data!D:D=A633,Data!B:B=$B$1),""MIDDLE"")*6)+(COUNTIF(FILTER(Data!N:N,Data!D:D=A633,Data!B:B=$B$1),""LOW"")*4))),"""")"),"")</f>
        <v/>
      </c>
      <c r="L633" s="136" t="str">
        <f>IFERROR(__xludf.DUMMYFUNCTION("IFERROR((FILTER(Data!P:P,Data!D:D=A633,Data!B:B=$B$1)),"""")"),"")</f>
        <v/>
      </c>
      <c r="M633" s="137" t="str">
        <f>IFERROR(__xludf.DUMMYFUNCTION("IFERROR((FILTER(Data!A:A,Data!D:D=A633,Data!B:B=$B$1)),"""")"),"")</f>
        <v/>
      </c>
      <c r="T633" s="52">
        <f>IFERROR(__xludf.DUMMYFUNCTION("((COUNTIF(FILTER(Data!N:N,Data!D:D=A633,Data!B:B=$B$1),""TRAVERSE"")*15)+(COUNTIF(FILTER(Data!N:N,Data!D:D=A633,Data!B:B=B$1),""HIGH"")*10)+(COUNTIF(FILTER(Data!N:N,Data!D:D=A633,Data!B:B=$B$1),""MIDDLE"")*6)+(COUNTIF(FILTER(Data!N:N,Data!D:D=A633,Data!B:"&amp;"B=$B$1),""LOW"")*4))"),0.0)</f>
        <v>0</v>
      </c>
      <c r="V633" s="138" t="str">
        <f>IF(Data!B625='Team Parser'!$B$1, Data!D625,"")</f>
        <v/>
      </c>
      <c r="W633" s="134" t="str">
        <f>IF(Data!$B625='Team Parser'!$B$1, Data!H625,"")</f>
        <v/>
      </c>
      <c r="X633" s="134" t="str">
        <f>IF(Data!$B625='Team Parser'!$B$1, Data!G625,"")</f>
        <v/>
      </c>
      <c r="Y633" s="134" t="str">
        <f>IF(Data!$B625='Team Parser'!$B$1, Data!L625,"")</f>
        <v/>
      </c>
      <c r="Z633" s="134" t="str">
        <f>IF(Data!$B625='Team Parser'!$B$1, Data!K625,"")</f>
        <v/>
      </c>
      <c r="AA633" s="134" t="str">
        <f>IF(Data!$B625='Team Parser'!$B$1, Data!M625,"")</f>
        <v/>
      </c>
      <c r="AB633" s="134" t="str">
        <f>IF(Data!$B625='Team Parser'!$B$1,((Z633*2)+(Y633)+(X633*4)+(W633*2)),"")</f>
        <v/>
      </c>
      <c r="AC633" s="134" t="str">
        <f>IF(Data!$B625='Team Parser'!$B$1, Data!N625,"")</f>
        <v/>
      </c>
      <c r="AD633" s="139" t="str">
        <f>IF(Data!$B625='Team Parser'!$B$1,(AB633+(COUNTIF(AC633,"TRAVERSE")*15)+(COUNTIF(AC633,"HIGH")*10)+(COUNTIF(AC633,"MIDDLE")*6)+(COUNTIF(AC633,"LOW")*4)),"")</f>
        <v/>
      </c>
    </row>
    <row r="634">
      <c r="A634" s="141" t="s">
        <v>507</v>
      </c>
      <c r="B634" s="134" t="str">
        <f>IFERROR(__xludf.DUMMYFUNCTION("IFERROR((FILTER(Data!H:H,Data!D:D=A634,Data!B:B=$B$1)),"""")"),"")</f>
        <v/>
      </c>
      <c r="C634" s="134" t="str">
        <f>IFERROR(__xludf.DUMMYFUNCTION("IFERROR((FILTER(Data!G:G,Data!D:D=A634,Data!B:B=$B$1)),"""")"),"")</f>
        <v/>
      </c>
      <c r="D634" s="134" t="str">
        <f>IFERROR(__xludf.DUMMYFUNCTION("IFERROR((FILTER(Data!J:J,Data!D:D=A634,Data!B:B=$B$1)),"""")"),"")</f>
        <v/>
      </c>
      <c r="E634" s="134" t="str">
        <f>IFERROR(__xludf.DUMMYFUNCTION("IFERROR((FILTER(Data!L:L,Data!D:D=A634,Data!B:B=$B$1)),"""")"),"")</f>
        <v/>
      </c>
      <c r="F634" s="134" t="str">
        <f>IFERROR(__xludf.DUMMYFUNCTION("IFERROR((FILTER(Data!K:K,Data!D:D=A634,Data!B:B=$B$1)),"""")"),"")</f>
        <v/>
      </c>
      <c r="G634" s="134" t="str">
        <f>IFERROR(__xludf.DUMMYFUNCTION("IFERROR((FILTER(Data!M:M,Data!D:D=A634,Data!B:B=$B$1)),"""")"),"")</f>
        <v/>
      </c>
      <c r="H634" s="134" t="str">
        <f>IFERROR(__xludf.DUMMYFUNCTION("IFERROR((FILTER(Data!G:G,Data!D:D=A634,Data!B:B=$B$1)*4)+(FILTER(Data!H:H,Data!D:D=A634,Data!B:B=$B$1)*2),"""")"),"")</f>
        <v/>
      </c>
      <c r="I634" s="15" t="str">
        <f>IFERROR(__xludf.DUMMYFUNCTION("IFERROR((FILTER(Data!K:K,Data!D:D=A634,Data!B:B=$B$1)*2)+(FILTER(Data!L:L,Data!D:D=A634,Data!B:B=$B$1)),"""")"),"")</f>
        <v/>
      </c>
      <c r="J634" s="134" t="str">
        <f>IFERROR(__xludf.DUMMYFUNCTION("IFERROR((FILTER(Data!N:N,Data!D:D=A634,Data!B:B=$B$1)),"""")"),"")</f>
        <v/>
      </c>
      <c r="K634" s="135" t="str">
        <f>IFERROR(__xludf.DUMMYFUNCTION("IFERROR((FILTER(Data!H:H,Data!D:D=A634,Data!B:B=$B$1)*2)+(FILTER(Data!L:L,Data!D:D=A634,Data!B:B=$B$1))+(FILTER(Data!G:G,Data!D:D=A634,Data!B:B=$B$1)*4)+(FILTER(Data!K:K,Data!D:D=A634,Data!B:B=$B$1)*2)+(((COUNTIF(FILTER(Data!N:N,Data!D:D=A634,Data!B:B=$B$"&amp;"1),""TRAVERSE"")*15)+(COUNTIF(FILTER(Data!N:N,Data!D:D=A634,Data!B:B=$B$1),""HIGH"")*10)+(COUNTIF(FILTER(Data!N:N,Data!D:D=A634,Data!B:B=$B$1),""MIDDLE"")*6)+(COUNTIF(FILTER(Data!N:N,Data!D:D=A634,Data!B:B=$B$1),""LOW"")*4))),"""")"),"")</f>
        <v/>
      </c>
      <c r="L634" s="136" t="str">
        <f>IFERROR(__xludf.DUMMYFUNCTION("IFERROR((FILTER(Data!P:P,Data!D:D=A634,Data!B:B=$B$1)),"""")"),"")</f>
        <v/>
      </c>
      <c r="M634" s="137" t="str">
        <f>IFERROR(__xludf.DUMMYFUNCTION("IFERROR((FILTER(Data!A:A,Data!D:D=A634,Data!B:B=$B$1)),"""")"),"")</f>
        <v/>
      </c>
      <c r="T634" s="52">
        <f>IFERROR(__xludf.DUMMYFUNCTION("((COUNTIF(FILTER(Data!N:N,Data!D:D=A634,Data!B:B=$B$1),""TRAVERSE"")*15)+(COUNTIF(FILTER(Data!N:N,Data!D:D=A634,Data!B:B=B$1),""HIGH"")*10)+(COUNTIF(FILTER(Data!N:N,Data!D:D=A634,Data!B:B=$B$1),""MIDDLE"")*6)+(COUNTIF(FILTER(Data!N:N,Data!D:D=A634,Data!B:"&amp;"B=$B$1),""LOW"")*4))"),0.0)</f>
        <v>0</v>
      </c>
      <c r="V634" s="138" t="str">
        <f>IF(Data!B626='Team Parser'!$B$1, Data!D626,"")</f>
        <v/>
      </c>
      <c r="W634" s="134" t="str">
        <f>IF(Data!$B626='Team Parser'!$B$1, Data!H626,"")</f>
        <v/>
      </c>
      <c r="X634" s="134" t="str">
        <f>IF(Data!$B626='Team Parser'!$B$1, Data!G626,"")</f>
        <v/>
      </c>
      <c r="Y634" s="134" t="str">
        <f>IF(Data!$B626='Team Parser'!$B$1, Data!L626,"")</f>
        <v/>
      </c>
      <c r="Z634" s="134" t="str">
        <f>IF(Data!$B626='Team Parser'!$B$1, Data!K626,"")</f>
        <v/>
      </c>
      <c r="AA634" s="134" t="str">
        <f>IF(Data!$B626='Team Parser'!$B$1, Data!M626,"")</f>
        <v/>
      </c>
      <c r="AB634" s="134" t="str">
        <f>IF(Data!$B626='Team Parser'!$B$1,((Z634*2)+(Y634)+(X634*4)+(W634*2)),"")</f>
        <v/>
      </c>
      <c r="AC634" s="134" t="str">
        <f>IF(Data!$B626='Team Parser'!$B$1, Data!N626,"")</f>
        <v/>
      </c>
      <c r="AD634" s="139" t="str">
        <f>IF(Data!$B626='Team Parser'!$B$1,(AB634+(COUNTIF(AC634,"TRAVERSE")*15)+(COUNTIF(AC634,"HIGH")*10)+(COUNTIF(AC634,"MIDDLE")*6)+(COUNTIF(AC634,"LOW")*4)),"")</f>
        <v/>
      </c>
    </row>
    <row r="635">
      <c r="A635" s="141" t="s">
        <v>507</v>
      </c>
      <c r="B635" s="134" t="str">
        <f>IFERROR(__xludf.DUMMYFUNCTION("IFERROR((FILTER(Data!H:H,Data!D:D=A635,Data!B:B=$B$1)),"""")"),"")</f>
        <v/>
      </c>
      <c r="C635" s="134" t="str">
        <f>IFERROR(__xludf.DUMMYFUNCTION("IFERROR((FILTER(Data!G:G,Data!D:D=A635,Data!B:B=$B$1)),"""")"),"")</f>
        <v/>
      </c>
      <c r="D635" s="134" t="str">
        <f>IFERROR(__xludf.DUMMYFUNCTION("IFERROR((FILTER(Data!J:J,Data!D:D=A635,Data!B:B=$B$1)),"""")"),"")</f>
        <v/>
      </c>
      <c r="E635" s="134" t="str">
        <f>IFERROR(__xludf.DUMMYFUNCTION("IFERROR((FILTER(Data!L:L,Data!D:D=A635,Data!B:B=$B$1)),"""")"),"")</f>
        <v/>
      </c>
      <c r="F635" s="134" t="str">
        <f>IFERROR(__xludf.DUMMYFUNCTION("IFERROR((FILTER(Data!K:K,Data!D:D=A635,Data!B:B=$B$1)),"""")"),"")</f>
        <v/>
      </c>
      <c r="G635" s="134" t="str">
        <f>IFERROR(__xludf.DUMMYFUNCTION("IFERROR((FILTER(Data!M:M,Data!D:D=A635,Data!B:B=$B$1)),"""")"),"")</f>
        <v/>
      </c>
      <c r="H635" s="134" t="str">
        <f>IFERROR(__xludf.DUMMYFUNCTION("IFERROR((FILTER(Data!G:G,Data!D:D=A635,Data!B:B=$B$1)*4)+(FILTER(Data!H:H,Data!D:D=A635,Data!B:B=$B$1)*2),"""")"),"")</f>
        <v/>
      </c>
      <c r="I635" s="15" t="str">
        <f>IFERROR(__xludf.DUMMYFUNCTION("IFERROR((FILTER(Data!K:K,Data!D:D=A635,Data!B:B=$B$1)*2)+(FILTER(Data!L:L,Data!D:D=A635,Data!B:B=$B$1)),"""")"),"")</f>
        <v/>
      </c>
      <c r="J635" s="134" t="str">
        <f>IFERROR(__xludf.DUMMYFUNCTION("IFERROR((FILTER(Data!N:N,Data!D:D=A635,Data!B:B=$B$1)),"""")"),"")</f>
        <v/>
      </c>
      <c r="K635" s="135" t="str">
        <f>IFERROR(__xludf.DUMMYFUNCTION("IFERROR((FILTER(Data!H:H,Data!D:D=A635,Data!B:B=$B$1)*2)+(FILTER(Data!L:L,Data!D:D=A635,Data!B:B=$B$1))+(FILTER(Data!G:G,Data!D:D=A635,Data!B:B=$B$1)*4)+(FILTER(Data!K:K,Data!D:D=A635,Data!B:B=$B$1)*2)+(((COUNTIF(FILTER(Data!N:N,Data!D:D=A635,Data!B:B=$B$"&amp;"1),""TRAVERSE"")*15)+(COUNTIF(FILTER(Data!N:N,Data!D:D=A635,Data!B:B=$B$1),""HIGH"")*10)+(COUNTIF(FILTER(Data!N:N,Data!D:D=A635,Data!B:B=$B$1),""MIDDLE"")*6)+(COUNTIF(FILTER(Data!N:N,Data!D:D=A635,Data!B:B=$B$1),""LOW"")*4))),"""")"),"")</f>
        <v/>
      </c>
      <c r="L635" s="136" t="str">
        <f>IFERROR(__xludf.DUMMYFUNCTION("IFERROR((FILTER(Data!P:P,Data!D:D=A635,Data!B:B=$B$1)),"""")"),"")</f>
        <v/>
      </c>
      <c r="M635" s="137" t="str">
        <f>IFERROR(__xludf.DUMMYFUNCTION("IFERROR((FILTER(Data!A:A,Data!D:D=A635,Data!B:B=$B$1)),"""")"),"")</f>
        <v/>
      </c>
      <c r="T635" s="52">
        <f>IFERROR(__xludf.DUMMYFUNCTION("((COUNTIF(FILTER(Data!N:N,Data!D:D=A635,Data!B:B=$B$1),""TRAVERSE"")*15)+(COUNTIF(FILTER(Data!N:N,Data!D:D=A635,Data!B:B=B$1),""HIGH"")*10)+(COUNTIF(FILTER(Data!N:N,Data!D:D=A635,Data!B:B=$B$1),""MIDDLE"")*6)+(COUNTIF(FILTER(Data!N:N,Data!D:D=A635,Data!B:"&amp;"B=$B$1),""LOW"")*4))"),0.0)</f>
        <v>0</v>
      </c>
      <c r="V635" s="138" t="str">
        <f>IF(Data!B627='Team Parser'!$B$1, Data!D627,"")</f>
        <v/>
      </c>
      <c r="W635" s="134" t="str">
        <f>IF(Data!$B627='Team Parser'!$B$1, Data!H627,"")</f>
        <v/>
      </c>
      <c r="X635" s="134" t="str">
        <f>IF(Data!$B627='Team Parser'!$B$1, Data!G627,"")</f>
        <v/>
      </c>
      <c r="Y635" s="134" t="str">
        <f>IF(Data!$B627='Team Parser'!$B$1, Data!L627,"")</f>
        <v/>
      </c>
      <c r="Z635" s="134" t="str">
        <f>IF(Data!$B627='Team Parser'!$B$1, Data!K627,"")</f>
        <v/>
      </c>
      <c r="AA635" s="134" t="str">
        <f>IF(Data!$B627='Team Parser'!$B$1, Data!M627,"")</f>
        <v/>
      </c>
      <c r="AB635" s="134" t="str">
        <f>IF(Data!$B627='Team Parser'!$B$1,((Z635*2)+(Y635)+(X635*4)+(W635*2)),"")</f>
        <v/>
      </c>
      <c r="AC635" s="134" t="str">
        <f>IF(Data!$B627='Team Parser'!$B$1, Data!N627,"")</f>
        <v/>
      </c>
      <c r="AD635" s="139" t="str">
        <f>IF(Data!$B627='Team Parser'!$B$1,(AB635+(COUNTIF(AC635,"TRAVERSE")*15)+(COUNTIF(AC635,"HIGH")*10)+(COUNTIF(AC635,"MIDDLE")*6)+(COUNTIF(AC635,"LOW")*4)),"")</f>
        <v/>
      </c>
    </row>
    <row r="636">
      <c r="A636" s="141" t="s">
        <v>507</v>
      </c>
      <c r="B636" s="134" t="str">
        <f>IFERROR(__xludf.DUMMYFUNCTION("IFERROR((FILTER(Data!H:H,Data!D:D=A636,Data!B:B=$B$1)),"""")"),"")</f>
        <v/>
      </c>
      <c r="C636" s="134" t="str">
        <f>IFERROR(__xludf.DUMMYFUNCTION("IFERROR((FILTER(Data!G:G,Data!D:D=A636,Data!B:B=$B$1)),"""")"),"")</f>
        <v/>
      </c>
      <c r="D636" s="134" t="str">
        <f>IFERROR(__xludf.DUMMYFUNCTION("IFERROR((FILTER(Data!J:J,Data!D:D=A636,Data!B:B=$B$1)),"""")"),"")</f>
        <v/>
      </c>
      <c r="E636" s="134" t="str">
        <f>IFERROR(__xludf.DUMMYFUNCTION("IFERROR((FILTER(Data!L:L,Data!D:D=A636,Data!B:B=$B$1)),"""")"),"")</f>
        <v/>
      </c>
      <c r="F636" s="134" t="str">
        <f>IFERROR(__xludf.DUMMYFUNCTION("IFERROR((FILTER(Data!K:K,Data!D:D=A636,Data!B:B=$B$1)),"""")"),"")</f>
        <v/>
      </c>
      <c r="G636" s="134" t="str">
        <f>IFERROR(__xludf.DUMMYFUNCTION("IFERROR((FILTER(Data!M:M,Data!D:D=A636,Data!B:B=$B$1)),"""")"),"")</f>
        <v/>
      </c>
      <c r="H636" s="134" t="str">
        <f>IFERROR(__xludf.DUMMYFUNCTION("IFERROR((FILTER(Data!G:G,Data!D:D=A636,Data!B:B=$B$1)*4)+(FILTER(Data!H:H,Data!D:D=A636,Data!B:B=$B$1)*2),"""")"),"")</f>
        <v/>
      </c>
      <c r="I636" s="15" t="str">
        <f>IFERROR(__xludf.DUMMYFUNCTION("IFERROR((FILTER(Data!K:K,Data!D:D=A636,Data!B:B=$B$1)*2)+(FILTER(Data!L:L,Data!D:D=A636,Data!B:B=$B$1)),"""")"),"")</f>
        <v/>
      </c>
      <c r="J636" s="134" t="str">
        <f>IFERROR(__xludf.DUMMYFUNCTION("IFERROR((FILTER(Data!N:N,Data!D:D=A636,Data!B:B=$B$1)),"""")"),"")</f>
        <v/>
      </c>
      <c r="K636" s="135" t="str">
        <f>IFERROR(__xludf.DUMMYFUNCTION("IFERROR((FILTER(Data!H:H,Data!D:D=A636,Data!B:B=$B$1)*2)+(FILTER(Data!L:L,Data!D:D=A636,Data!B:B=$B$1))+(FILTER(Data!G:G,Data!D:D=A636,Data!B:B=$B$1)*4)+(FILTER(Data!K:K,Data!D:D=A636,Data!B:B=$B$1)*2)+(((COUNTIF(FILTER(Data!N:N,Data!D:D=A636,Data!B:B=$B$"&amp;"1),""TRAVERSE"")*15)+(COUNTIF(FILTER(Data!N:N,Data!D:D=A636,Data!B:B=$B$1),""HIGH"")*10)+(COUNTIF(FILTER(Data!N:N,Data!D:D=A636,Data!B:B=$B$1),""MIDDLE"")*6)+(COUNTIF(FILTER(Data!N:N,Data!D:D=A636,Data!B:B=$B$1),""LOW"")*4))),"""")"),"")</f>
        <v/>
      </c>
      <c r="L636" s="136" t="str">
        <f>IFERROR(__xludf.DUMMYFUNCTION("IFERROR((FILTER(Data!P:P,Data!D:D=A636,Data!B:B=$B$1)),"""")"),"")</f>
        <v/>
      </c>
      <c r="M636" s="137" t="str">
        <f>IFERROR(__xludf.DUMMYFUNCTION("IFERROR((FILTER(Data!A:A,Data!D:D=A636,Data!B:B=$B$1)),"""")"),"")</f>
        <v/>
      </c>
      <c r="T636" s="52">
        <f>IFERROR(__xludf.DUMMYFUNCTION("((COUNTIF(FILTER(Data!N:N,Data!D:D=A636,Data!B:B=$B$1),""TRAVERSE"")*15)+(COUNTIF(FILTER(Data!N:N,Data!D:D=A636,Data!B:B=B$1),""HIGH"")*10)+(COUNTIF(FILTER(Data!N:N,Data!D:D=A636,Data!B:B=$B$1),""MIDDLE"")*6)+(COUNTIF(FILTER(Data!N:N,Data!D:D=A636,Data!B:"&amp;"B=$B$1),""LOW"")*4))"),0.0)</f>
        <v>0</v>
      </c>
      <c r="V636" s="138" t="str">
        <f>IF(Data!B628='Team Parser'!$B$1, Data!D628,"")</f>
        <v/>
      </c>
      <c r="W636" s="134" t="str">
        <f>IF(Data!$B628='Team Parser'!$B$1, Data!H628,"")</f>
        <v/>
      </c>
      <c r="X636" s="134" t="str">
        <f>IF(Data!$B628='Team Parser'!$B$1, Data!G628,"")</f>
        <v/>
      </c>
      <c r="Y636" s="134" t="str">
        <f>IF(Data!$B628='Team Parser'!$B$1, Data!L628,"")</f>
        <v/>
      </c>
      <c r="Z636" s="134" t="str">
        <f>IF(Data!$B628='Team Parser'!$B$1, Data!K628,"")</f>
        <v/>
      </c>
      <c r="AA636" s="134" t="str">
        <f>IF(Data!$B628='Team Parser'!$B$1, Data!M628,"")</f>
        <v/>
      </c>
      <c r="AB636" s="134" t="str">
        <f>IF(Data!$B628='Team Parser'!$B$1,((Z636*2)+(Y636)+(X636*4)+(W636*2)),"")</f>
        <v/>
      </c>
      <c r="AC636" s="134" t="str">
        <f>IF(Data!$B628='Team Parser'!$B$1, Data!N628,"")</f>
        <v/>
      </c>
      <c r="AD636" s="139" t="str">
        <f>IF(Data!$B628='Team Parser'!$B$1,(AB636+(COUNTIF(AC636,"TRAVERSE")*15)+(COUNTIF(AC636,"HIGH")*10)+(COUNTIF(AC636,"MIDDLE")*6)+(COUNTIF(AC636,"LOW")*4)),"")</f>
        <v/>
      </c>
    </row>
    <row r="637">
      <c r="A637" s="141" t="s">
        <v>507</v>
      </c>
      <c r="B637" s="134" t="str">
        <f>IFERROR(__xludf.DUMMYFUNCTION("IFERROR((FILTER(Data!H:H,Data!D:D=A637,Data!B:B=$B$1)),"""")"),"")</f>
        <v/>
      </c>
      <c r="C637" s="134" t="str">
        <f>IFERROR(__xludf.DUMMYFUNCTION("IFERROR((FILTER(Data!G:G,Data!D:D=A637,Data!B:B=$B$1)),"""")"),"")</f>
        <v/>
      </c>
      <c r="D637" s="134" t="str">
        <f>IFERROR(__xludf.DUMMYFUNCTION("IFERROR((FILTER(Data!J:J,Data!D:D=A637,Data!B:B=$B$1)),"""")"),"")</f>
        <v/>
      </c>
      <c r="E637" s="134" t="str">
        <f>IFERROR(__xludf.DUMMYFUNCTION("IFERROR((FILTER(Data!L:L,Data!D:D=A637,Data!B:B=$B$1)),"""")"),"")</f>
        <v/>
      </c>
      <c r="F637" s="134" t="str">
        <f>IFERROR(__xludf.DUMMYFUNCTION("IFERROR((FILTER(Data!K:K,Data!D:D=A637,Data!B:B=$B$1)),"""")"),"")</f>
        <v/>
      </c>
      <c r="G637" s="134" t="str">
        <f>IFERROR(__xludf.DUMMYFUNCTION("IFERROR((FILTER(Data!M:M,Data!D:D=A637,Data!B:B=$B$1)),"""")"),"")</f>
        <v/>
      </c>
      <c r="H637" s="134" t="str">
        <f>IFERROR(__xludf.DUMMYFUNCTION("IFERROR((FILTER(Data!G:G,Data!D:D=A637,Data!B:B=$B$1)*4)+(FILTER(Data!H:H,Data!D:D=A637,Data!B:B=$B$1)*2),"""")"),"")</f>
        <v/>
      </c>
      <c r="I637" s="15" t="str">
        <f>IFERROR(__xludf.DUMMYFUNCTION("IFERROR((FILTER(Data!K:K,Data!D:D=A637,Data!B:B=$B$1)*2)+(FILTER(Data!L:L,Data!D:D=A637,Data!B:B=$B$1)),"""")"),"")</f>
        <v/>
      </c>
      <c r="J637" s="134" t="str">
        <f>IFERROR(__xludf.DUMMYFUNCTION("IFERROR((FILTER(Data!N:N,Data!D:D=A637,Data!B:B=$B$1)),"""")"),"")</f>
        <v/>
      </c>
      <c r="K637" s="135" t="str">
        <f>IFERROR(__xludf.DUMMYFUNCTION("IFERROR((FILTER(Data!H:H,Data!D:D=A637,Data!B:B=$B$1)*2)+(FILTER(Data!L:L,Data!D:D=A637,Data!B:B=$B$1))+(FILTER(Data!G:G,Data!D:D=A637,Data!B:B=$B$1)*4)+(FILTER(Data!K:K,Data!D:D=A637,Data!B:B=$B$1)*2)+(((COUNTIF(FILTER(Data!N:N,Data!D:D=A637,Data!B:B=$B$"&amp;"1),""TRAVERSE"")*15)+(COUNTIF(FILTER(Data!N:N,Data!D:D=A637,Data!B:B=$B$1),""HIGH"")*10)+(COUNTIF(FILTER(Data!N:N,Data!D:D=A637,Data!B:B=$B$1),""MIDDLE"")*6)+(COUNTIF(FILTER(Data!N:N,Data!D:D=A637,Data!B:B=$B$1),""LOW"")*4))),"""")"),"")</f>
        <v/>
      </c>
      <c r="L637" s="136" t="str">
        <f>IFERROR(__xludf.DUMMYFUNCTION("IFERROR((FILTER(Data!P:P,Data!D:D=A637,Data!B:B=$B$1)),"""")"),"")</f>
        <v/>
      </c>
      <c r="M637" s="137" t="str">
        <f>IFERROR(__xludf.DUMMYFUNCTION("IFERROR((FILTER(Data!A:A,Data!D:D=A637,Data!B:B=$B$1)),"""")"),"")</f>
        <v/>
      </c>
      <c r="T637" s="52">
        <f>IFERROR(__xludf.DUMMYFUNCTION("((COUNTIF(FILTER(Data!N:N,Data!D:D=A637,Data!B:B=$B$1),""TRAVERSE"")*15)+(COUNTIF(FILTER(Data!N:N,Data!D:D=A637,Data!B:B=B$1),""HIGH"")*10)+(COUNTIF(FILTER(Data!N:N,Data!D:D=A637,Data!B:B=$B$1),""MIDDLE"")*6)+(COUNTIF(FILTER(Data!N:N,Data!D:D=A637,Data!B:"&amp;"B=$B$1),""LOW"")*4))"),0.0)</f>
        <v>0</v>
      </c>
      <c r="V637" s="138" t="str">
        <f>IF(Data!B629='Team Parser'!$B$1, Data!D629,"")</f>
        <v/>
      </c>
      <c r="W637" s="134" t="str">
        <f>IF(Data!$B629='Team Parser'!$B$1, Data!H629,"")</f>
        <v/>
      </c>
      <c r="X637" s="134" t="str">
        <f>IF(Data!$B629='Team Parser'!$B$1, Data!G629,"")</f>
        <v/>
      </c>
      <c r="Y637" s="134" t="str">
        <f>IF(Data!$B629='Team Parser'!$B$1, Data!L629,"")</f>
        <v/>
      </c>
      <c r="Z637" s="134" t="str">
        <f>IF(Data!$B629='Team Parser'!$B$1, Data!K629,"")</f>
        <v/>
      </c>
      <c r="AA637" s="134" t="str">
        <f>IF(Data!$B629='Team Parser'!$B$1, Data!M629,"")</f>
        <v/>
      </c>
      <c r="AB637" s="134" t="str">
        <f>IF(Data!$B629='Team Parser'!$B$1,((Z637*2)+(Y637)+(X637*4)+(W637*2)),"")</f>
        <v/>
      </c>
      <c r="AC637" s="134" t="str">
        <f>IF(Data!$B629='Team Parser'!$B$1, Data!N629,"")</f>
        <v/>
      </c>
      <c r="AD637" s="139" t="str">
        <f>IF(Data!$B629='Team Parser'!$B$1,(AB637+(COUNTIF(AC637,"TRAVERSE")*15)+(COUNTIF(AC637,"HIGH")*10)+(COUNTIF(AC637,"MIDDLE")*6)+(COUNTIF(AC637,"LOW")*4)),"")</f>
        <v/>
      </c>
    </row>
    <row r="638">
      <c r="A638" s="141" t="s">
        <v>507</v>
      </c>
      <c r="B638" s="134" t="str">
        <f>IFERROR(__xludf.DUMMYFUNCTION("IFERROR((FILTER(Data!H:H,Data!D:D=A638,Data!B:B=$B$1)),"""")"),"")</f>
        <v/>
      </c>
      <c r="C638" s="134" t="str">
        <f>IFERROR(__xludf.DUMMYFUNCTION("IFERROR((FILTER(Data!G:G,Data!D:D=A638,Data!B:B=$B$1)),"""")"),"")</f>
        <v/>
      </c>
      <c r="D638" s="134" t="str">
        <f>IFERROR(__xludf.DUMMYFUNCTION("IFERROR((FILTER(Data!J:J,Data!D:D=A638,Data!B:B=$B$1)),"""")"),"")</f>
        <v/>
      </c>
      <c r="E638" s="134" t="str">
        <f>IFERROR(__xludf.DUMMYFUNCTION("IFERROR((FILTER(Data!L:L,Data!D:D=A638,Data!B:B=$B$1)),"""")"),"")</f>
        <v/>
      </c>
      <c r="F638" s="134" t="str">
        <f>IFERROR(__xludf.DUMMYFUNCTION("IFERROR((FILTER(Data!K:K,Data!D:D=A638,Data!B:B=$B$1)),"""")"),"")</f>
        <v/>
      </c>
      <c r="G638" s="134" t="str">
        <f>IFERROR(__xludf.DUMMYFUNCTION("IFERROR((FILTER(Data!M:M,Data!D:D=A638,Data!B:B=$B$1)),"""")"),"")</f>
        <v/>
      </c>
      <c r="H638" s="134" t="str">
        <f>IFERROR(__xludf.DUMMYFUNCTION("IFERROR((FILTER(Data!G:G,Data!D:D=A638,Data!B:B=$B$1)*4)+(FILTER(Data!H:H,Data!D:D=A638,Data!B:B=$B$1)*2),"""")"),"")</f>
        <v/>
      </c>
      <c r="I638" s="15" t="str">
        <f>IFERROR(__xludf.DUMMYFUNCTION("IFERROR((FILTER(Data!K:K,Data!D:D=A638,Data!B:B=$B$1)*2)+(FILTER(Data!L:L,Data!D:D=A638,Data!B:B=$B$1)),"""")"),"")</f>
        <v/>
      </c>
      <c r="J638" s="134" t="str">
        <f>IFERROR(__xludf.DUMMYFUNCTION("IFERROR((FILTER(Data!N:N,Data!D:D=A638,Data!B:B=$B$1)),"""")"),"")</f>
        <v/>
      </c>
      <c r="K638" s="135" t="str">
        <f>IFERROR(__xludf.DUMMYFUNCTION("IFERROR((FILTER(Data!H:H,Data!D:D=A638,Data!B:B=$B$1)*2)+(FILTER(Data!L:L,Data!D:D=A638,Data!B:B=$B$1))+(FILTER(Data!G:G,Data!D:D=A638,Data!B:B=$B$1)*4)+(FILTER(Data!K:K,Data!D:D=A638,Data!B:B=$B$1)*2)+(((COUNTIF(FILTER(Data!N:N,Data!D:D=A638,Data!B:B=$B$"&amp;"1),""TRAVERSE"")*15)+(COUNTIF(FILTER(Data!N:N,Data!D:D=A638,Data!B:B=$B$1),""HIGH"")*10)+(COUNTIF(FILTER(Data!N:N,Data!D:D=A638,Data!B:B=$B$1),""MIDDLE"")*6)+(COUNTIF(FILTER(Data!N:N,Data!D:D=A638,Data!B:B=$B$1),""LOW"")*4))),"""")"),"")</f>
        <v/>
      </c>
      <c r="L638" s="136" t="str">
        <f>IFERROR(__xludf.DUMMYFUNCTION("IFERROR((FILTER(Data!P:P,Data!D:D=A638,Data!B:B=$B$1)),"""")"),"")</f>
        <v/>
      </c>
      <c r="M638" s="137" t="str">
        <f>IFERROR(__xludf.DUMMYFUNCTION("IFERROR((FILTER(Data!A:A,Data!D:D=A638,Data!B:B=$B$1)),"""")"),"")</f>
        <v/>
      </c>
      <c r="T638" s="52">
        <f>IFERROR(__xludf.DUMMYFUNCTION("((COUNTIF(FILTER(Data!N:N,Data!D:D=A638,Data!B:B=$B$1),""TRAVERSE"")*15)+(COUNTIF(FILTER(Data!N:N,Data!D:D=A638,Data!B:B=B$1),""HIGH"")*10)+(COUNTIF(FILTER(Data!N:N,Data!D:D=A638,Data!B:B=$B$1),""MIDDLE"")*6)+(COUNTIF(FILTER(Data!N:N,Data!D:D=A638,Data!B:"&amp;"B=$B$1),""LOW"")*4))"),0.0)</f>
        <v>0</v>
      </c>
      <c r="V638" s="138" t="str">
        <f>IF(Data!B630='Team Parser'!$B$1, Data!D630,"")</f>
        <v/>
      </c>
      <c r="W638" s="134" t="str">
        <f>IF(Data!$B630='Team Parser'!$B$1, Data!H630,"")</f>
        <v/>
      </c>
      <c r="X638" s="134" t="str">
        <f>IF(Data!$B630='Team Parser'!$B$1, Data!G630,"")</f>
        <v/>
      </c>
      <c r="Y638" s="134" t="str">
        <f>IF(Data!$B630='Team Parser'!$B$1, Data!L630,"")</f>
        <v/>
      </c>
      <c r="Z638" s="134" t="str">
        <f>IF(Data!$B630='Team Parser'!$B$1, Data!K630,"")</f>
        <v/>
      </c>
      <c r="AA638" s="134" t="str">
        <f>IF(Data!$B630='Team Parser'!$B$1, Data!M630,"")</f>
        <v/>
      </c>
      <c r="AB638" s="134" t="str">
        <f>IF(Data!$B630='Team Parser'!$B$1,((Z638*2)+(Y638)+(X638*4)+(W638*2)),"")</f>
        <v/>
      </c>
      <c r="AC638" s="134" t="str">
        <f>IF(Data!$B630='Team Parser'!$B$1, Data!N630,"")</f>
        <v/>
      </c>
      <c r="AD638" s="139" t="str">
        <f>IF(Data!$B630='Team Parser'!$B$1,(AB638+(COUNTIF(AC638,"TRAVERSE")*15)+(COUNTIF(AC638,"HIGH")*10)+(COUNTIF(AC638,"MIDDLE")*6)+(COUNTIF(AC638,"LOW")*4)),"")</f>
        <v/>
      </c>
    </row>
    <row r="639">
      <c r="A639" s="141" t="s">
        <v>507</v>
      </c>
      <c r="B639" s="134" t="str">
        <f>IFERROR(__xludf.DUMMYFUNCTION("IFERROR((FILTER(Data!H:H,Data!D:D=A639,Data!B:B=$B$1)),"""")"),"")</f>
        <v/>
      </c>
      <c r="C639" s="134" t="str">
        <f>IFERROR(__xludf.DUMMYFUNCTION("IFERROR((FILTER(Data!G:G,Data!D:D=A639,Data!B:B=$B$1)),"""")"),"")</f>
        <v/>
      </c>
      <c r="D639" s="134" t="str">
        <f>IFERROR(__xludf.DUMMYFUNCTION("IFERROR((FILTER(Data!J:J,Data!D:D=A639,Data!B:B=$B$1)),"""")"),"")</f>
        <v/>
      </c>
      <c r="E639" s="134" t="str">
        <f>IFERROR(__xludf.DUMMYFUNCTION("IFERROR((FILTER(Data!L:L,Data!D:D=A639,Data!B:B=$B$1)),"""")"),"")</f>
        <v/>
      </c>
      <c r="F639" s="134" t="str">
        <f>IFERROR(__xludf.DUMMYFUNCTION("IFERROR((FILTER(Data!K:K,Data!D:D=A639,Data!B:B=$B$1)),"""")"),"")</f>
        <v/>
      </c>
      <c r="G639" s="134" t="str">
        <f>IFERROR(__xludf.DUMMYFUNCTION("IFERROR((FILTER(Data!M:M,Data!D:D=A639,Data!B:B=$B$1)),"""")"),"")</f>
        <v/>
      </c>
      <c r="H639" s="134" t="str">
        <f>IFERROR(__xludf.DUMMYFUNCTION("IFERROR((FILTER(Data!G:G,Data!D:D=A639,Data!B:B=$B$1)*4)+(FILTER(Data!H:H,Data!D:D=A639,Data!B:B=$B$1)*2),"""")"),"")</f>
        <v/>
      </c>
      <c r="I639" s="15" t="str">
        <f>IFERROR(__xludf.DUMMYFUNCTION("IFERROR((FILTER(Data!K:K,Data!D:D=A639,Data!B:B=$B$1)*2)+(FILTER(Data!L:L,Data!D:D=A639,Data!B:B=$B$1)),"""")"),"")</f>
        <v/>
      </c>
      <c r="J639" s="134" t="str">
        <f>IFERROR(__xludf.DUMMYFUNCTION("IFERROR((FILTER(Data!N:N,Data!D:D=A639,Data!B:B=$B$1)),"""")"),"")</f>
        <v/>
      </c>
      <c r="K639" s="135" t="str">
        <f>IFERROR(__xludf.DUMMYFUNCTION("IFERROR((FILTER(Data!H:H,Data!D:D=A639,Data!B:B=$B$1)*2)+(FILTER(Data!L:L,Data!D:D=A639,Data!B:B=$B$1))+(FILTER(Data!G:G,Data!D:D=A639,Data!B:B=$B$1)*4)+(FILTER(Data!K:K,Data!D:D=A639,Data!B:B=$B$1)*2)+(((COUNTIF(FILTER(Data!N:N,Data!D:D=A639,Data!B:B=$B$"&amp;"1),""TRAVERSE"")*15)+(COUNTIF(FILTER(Data!N:N,Data!D:D=A639,Data!B:B=$B$1),""HIGH"")*10)+(COUNTIF(FILTER(Data!N:N,Data!D:D=A639,Data!B:B=$B$1),""MIDDLE"")*6)+(COUNTIF(FILTER(Data!N:N,Data!D:D=A639,Data!B:B=$B$1),""LOW"")*4))),"""")"),"")</f>
        <v/>
      </c>
      <c r="L639" s="136" t="str">
        <f>IFERROR(__xludf.DUMMYFUNCTION("IFERROR((FILTER(Data!P:P,Data!D:D=A639,Data!B:B=$B$1)),"""")"),"")</f>
        <v/>
      </c>
      <c r="M639" s="137" t="str">
        <f>IFERROR(__xludf.DUMMYFUNCTION("IFERROR((FILTER(Data!A:A,Data!D:D=A639,Data!B:B=$B$1)),"""")"),"")</f>
        <v/>
      </c>
      <c r="T639" s="52">
        <f>IFERROR(__xludf.DUMMYFUNCTION("((COUNTIF(FILTER(Data!N:N,Data!D:D=A639,Data!B:B=$B$1),""TRAVERSE"")*15)+(COUNTIF(FILTER(Data!N:N,Data!D:D=A639,Data!B:B=B$1),""HIGH"")*10)+(COUNTIF(FILTER(Data!N:N,Data!D:D=A639,Data!B:B=$B$1),""MIDDLE"")*6)+(COUNTIF(FILTER(Data!N:N,Data!D:D=A639,Data!B:"&amp;"B=$B$1),""LOW"")*4))"),0.0)</f>
        <v>0</v>
      </c>
      <c r="V639" s="138" t="str">
        <f>IF(Data!B631='Team Parser'!$B$1, Data!D631,"")</f>
        <v/>
      </c>
      <c r="W639" s="134" t="str">
        <f>IF(Data!$B631='Team Parser'!$B$1, Data!H631,"")</f>
        <v/>
      </c>
      <c r="X639" s="134" t="str">
        <f>IF(Data!$B631='Team Parser'!$B$1, Data!G631,"")</f>
        <v/>
      </c>
      <c r="Y639" s="134" t="str">
        <f>IF(Data!$B631='Team Parser'!$B$1, Data!L631,"")</f>
        <v/>
      </c>
      <c r="Z639" s="134" t="str">
        <f>IF(Data!$B631='Team Parser'!$B$1, Data!K631,"")</f>
        <v/>
      </c>
      <c r="AA639" s="134" t="str">
        <f>IF(Data!$B631='Team Parser'!$B$1, Data!M631,"")</f>
        <v/>
      </c>
      <c r="AB639" s="134" t="str">
        <f>IF(Data!$B631='Team Parser'!$B$1,((Z639*2)+(Y639)+(X639*4)+(W639*2)),"")</f>
        <v/>
      </c>
      <c r="AC639" s="134" t="str">
        <f>IF(Data!$B631='Team Parser'!$B$1, Data!N631,"")</f>
        <v/>
      </c>
      <c r="AD639" s="139" t="str">
        <f>IF(Data!$B631='Team Parser'!$B$1,(AB639+(COUNTIF(AC639,"TRAVERSE")*15)+(COUNTIF(AC639,"HIGH")*10)+(COUNTIF(AC639,"MIDDLE")*6)+(COUNTIF(AC639,"LOW")*4)),"")</f>
        <v/>
      </c>
    </row>
    <row r="640">
      <c r="A640" s="141" t="s">
        <v>507</v>
      </c>
      <c r="B640" s="134" t="str">
        <f>IFERROR(__xludf.DUMMYFUNCTION("IFERROR((FILTER(Data!H:H,Data!D:D=A640,Data!B:B=$B$1)),"""")"),"")</f>
        <v/>
      </c>
      <c r="C640" s="134" t="str">
        <f>IFERROR(__xludf.DUMMYFUNCTION("IFERROR((FILTER(Data!G:G,Data!D:D=A640,Data!B:B=$B$1)),"""")"),"")</f>
        <v/>
      </c>
      <c r="D640" s="134" t="str">
        <f>IFERROR(__xludf.DUMMYFUNCTION("IFERROR((FILTER(Data!J:J,Data!D:D=A640,Data!B:B=$B$1)),"""")"),"")</f>
        <v/>
      </c>
      <c r="E640" s="134" t="str">
        <f>IFERROR(__xludf.DUMMYFUNCTION("IFERROR((FILTER(Data!L:L,Data!D:D=A640,Data!B:B=$B$1)),"""")"),"")</f>
        <v/>
      </c>
      <c r="F640" s="134" t="str">
        <f>IFERROR(__xludf.DUMMYFUNCTION("IFERROR((FILTER(Data!K:K,Data!D:D=A640,Data!B:B=$B$1)),"""")"),"")</f>
        <v/>
      </c>
      <c r="G640" s="134" t="str">
        <f>IFERROR(__xludf.DUMMYFUNCTION("IFERROR((FILTER(Data!M:M,Data!D:D=A640,Data!B:B=$B$1)),"""")"),"")</f>
        <v/>
      </c>
      <c r="H640" s="134" t="str">
        <f>IFERROR(__xludf.DUMMYFUNCTION("IFERROR((FILTER(Data!G:G,Data!D:D=A640,Data!B:B=$B$1)*4)+(FILTER(Data!H:H,Data!D:D=A640,Data!B:B=$B$1)*2),"""")"),"")</f>
        <v/>
      </c>
      <c r="I640" s="15" t="str">
        <f>IFERROR(__xludf.DUMMYFUNCTION("IFERROR((FILTER(Data!K:K,Data!D:D=A640,Data!B:B=$B$1)*2)+(FILTER(Data!L:L,Data!D:D=A640,Data!B:B=$B$1)),"""")"),"")</f>
        <v/>
      </c>
      <c r="J640" s="134" t="str">
        <f>IFERROR(__xludf.DUMMYFUNCTION("IFERROR((FILTER(Data!N:N,Data!D:D=A640,Data!B:B=$B$1)),"""")"),"")</f>
        <v/>
      </c>
      <c r="K640" s="135" t="str">
        <f>IFERROR(__xludf.DUMMYFUNCTION("IFERROR((FILTER(Data!H:H,Data!D:D=A640,Data!B:B=$B$1)*2)+(FILTER(Data!L:L,Data!D:D=A640,Data!B:B=$B$1))+(FILTER(Data!G:G,Data!D:D=A640,Data!B:B=$B$1)*4)+(FILTER(Data!K:K,Data!D:D=A640,Data!B:B=$B$1)*2)+(((COUNTIF(FILTER(Data!N:N,Data!D:D=A640,Data!B:B=$B$"&amp;"1),""TRAVERSE"")*15)+(COUNTIF(FILTER(Data!N:N,Data!D:D=A640,Data!B:B=$B$1),""HIGH"")*10)+(COUNTIF(FILTER(Data!N:N,Data!D:D=A640,Data!B:B=$B$1),""MIDDLE"")*6)+(COUNTIF(FILTER(Data!N:N,Data!D:D=A640,Data!B:B=$B$1),""LOW"")*4))),"""")"),"")</f>
        <v/>
      </c>
      <c r="L640" s="136" t="str">
        <f>IFERROR(__xludf.DUMMYFUNCTION("IFERROR((FILTER(Data!P:P,Data!D:D=A640,Data!B:B=$B$1)),"""")"),"")</f>
        <v/>
      </c>
      <c r="M640" s="137" t="str">
        <f>IFERROR(__xludf.DUMMYFUNCTION("IFERROR((FILTER(Data!A:A,Data!D:D=A640,Data!B:B=$B$1)),"""")"),"")</f>
        <v/>
      </c>
      <c r="T640" s="52">
        <f>IFERROR(__xludf.DUMMYFUNCTION("((COUNTIF(FILTER(Data!N:N,Data!D:D=A640,Data!B:B=$B$1),""TRAVERSE"")*15)+(COUNTIF(FILTER(Data!N:N,Data!D:D=A640,Data!B:B=B$1),""HIGH"")*10)+(COUNTIF(FILTER(Data!N:N,Data!D:D=A640,Data!B:B=$B$1),""MIDDLE"")*6)+(COUNTIF(FILTER(Data!N:N,Data!D:D=A640,Data!B:"&amp;"B=$B$1),""LOW"")*4))"),0.0)</f>
        <v>0</v>
      </c>
      <c r="V640" s="138" t="str">
        <f>IF(Data!B632='Team Parser'!$B$1, Data!D632,"")</f>
        <v/>
      </c>
      <c r="W640" s="134" t="str">
        <f>IF(Data!$B632='Team Parser'!$B$1, Data!H632,"")</f>
        <v/>
      </c>
      <c r="X640" s="134" t="str">
        <f>IF(Data!$B632='Team Parser'!$B$1, Data!G632,"")</f>
        <v/>
      </c>
      <c r="Y640" s="134" t="str">
        <f>IF(Data!$B632='Team Parser'!$B$1, Data!L632,"")</f>
        <v/>
      </c>
      <c r="Z640" s="134" t="str">
        <f>IF(Data!$B632='Team Parser'!$B$1, Data!K632,"")</f>
        <v/>
      </c>
      <c r="AA640" s="134" t="str">
        <f>IF(Data!$B632='Team Parser'!$B$1, Data!M632,"")</f>
        <v/>
      </c>
      <c r="AB640" s="134" t="str">
        <f>IF(Data!$B632='Team Parser'!$B$1,((Z640*2)+(Y640)+(X640*4)+(W640*2)),"")</f>
        <v/>
      </c>
      <c r="AC640" s="134" t="str">
        <f>IF(Data!$B632='Team Parser'!$B$1, Data!N632,"")</f>
        <v/>
      </c>
      <c r="AD640" s="139" t="str">
        <f>IF(Data!$B632='Team Parser'!$B$1,(AB640+(COUNTIF(AC640,"TRAVERSE")*15)+(COUNTIF(AC640,"HIGH")*10)+(COUNTIF(AC640,"MIDDLE")*6)+(COUNTIF(AC640,"LOW")*4)),"")</f>
        <v/>
      </c>
    </row>
    <row r="641">
      <c r="A641" s="141" t="s">
        <v>507</v>
      </c>
      <c r="B641" s="134" t="str">
        <f>IFERROR(__xludf.DUMMYFUNCTION("IFERROR((FILTER(Data!H:H,Data!D:D=A641,Data!B:B=$B$1)),"""")"),"")</f>
        <v/>
      </c>
      <c r="C641" s="134" t="str">
        <f>IFERROR(__xludf.DUMMYFUNCTION("IFERROR((FILTER(Data!G:G,Data!D:D=A641,Data!B:B=$B$1)),"""")"),"")</f>
        <v/>
      </c>
      <c r="D641" s="134" t="str">
        <f>IFERROR(__xludf.DUMMYFUNCTION("IFERROR((FILTER(Data!J:J,Data!D:D=A641,Data!B:B=$B$1)),"""")"),"")</f>
        <v/>
      </c>
      <c r="E641" s="134" t="str">
        <f>IFERROR(__xludf.DUMMYFUNCTION("IFERROR((FILTER(Data!L:L,Data!D:D=A641,Data!B:B=$B$1)),"""")"),"")</f>
        <v/>
      </c>
      <c r="F641" s="134" t="str">
        <f>IFERROR(__xludf.DUMMYFUNCTION("IFERROR((FILTER(Data!K:K,Data!D:D=A641,Data!B:B=$B$1)),"""")"),"")</f>
        <v/>
      </c>
      <c r="G641" s="134" t="str">
        <f>IFERROR(__xludf.DUMMYFUNCTION("IFERROR((FILTER(Data!M:M,Data!D:D=A641,Data!B:B=$B$1)),"""")"),"")</f>
        <v/>
      </c>
      <c r="H641" s="134" t="str">
        <f>IFERROR(__xludf.DUMMYFUNCTION("IFERROR((FILTER(Data!G:G,Data!D:D=A641,Data!B:B=$B$1)*4)+(FILTER(Data!H:H,Data!D:D=A641,Data!B:B=$B$1)*2),"""")"),"")</f>
        <v/>
      </c>
      <c r="I641" s="15" t="str">
        <f>IFERROR(__xludf.DUMMYFUNCTION("IFERROR((FILTER(Data!K:K,Data!D:D=A641,Data!B:B=$B$1)*2)+(FILTER(Data!L:L,Data!D:D=A641,Data!B:B=$B$1)),"""")"),"")</f>
        <v/>
      </c>
      <c r="J641" s="134" t="str">
        <f>IFERROR(__xludf.DUMMYFUNCTION("IFERROR((FILTER(Data!N:N,Data!D:D=A641,Data!B:B=$B$1)),"""")"),"")</f>
        <v/>
      </c>
      <c r="K641" s="135" t="str">
        <f>IFERROR(__xludf.DUMMYFUNCTION("IFERROR((FILTER(Data!H:H,Data!D:D=A641,Data!B:B=$B$1)*2)+(FILTER(Data!L:L,Data!D:D=A641,Data!B:B=$B$1))+(FILTER(Data!G:G,Data!D:D=A641,Data!B:B=$B$1)*4)+(FILTER(Data!K:K,Data!D:D=A641,Data!B:B=$B$1)*2)+(((COUNTIF(FILTER(Data!N:N,Data!D:D=A641,Data!B:B=$B$"&amp;"1),""TRAVERSE"")*15)+(COUNTIF(FILTER(Data!N:N,Data!D:D=A641,Data!B:B=$B$1),""HIGH"")*10)+(COUNTIF(FILTER(Data!N:N,Data!D:D=A641,Data!B:B=$B$1),""MIDDLE"")*6)+(COUNTIF(FILTER(Data!N:N,Data!D:D=A641,Data!B:B=$B$1),""LOW"")*4))),"""")"),"")</f>
        <v/>
      </c>
      <c r="L641" s="136" t="str">
        <f>IFERROR(__xludf.DUMMYFUNCTION("IFERROR((FILTER(Data!P:P,Data!D:D=A641,Data!B:B=$B$1)),"""")"),"")</f>
        <v/>
      </c>
      <c r="M641" s="137" t="str">
        <f>IFERROR(__xludf.DUMMYFUNCTION("IFERROR((FILTER(Data!A:A,Data!D:D=A641,Data!B:B=$B$1)),"""")"),"")</f>
        <v/>
      </c>
      <c r="T641" s="52">
        <f>IFERROR(__xludf.DUMMYFUNCTION("((COUNTIF(FILTER(Data!N:N,Data!D:D=A641,Data!B:B=$B$1),""TRAVERSE"")*15)+(COUNTIF(FILTER(Data!N:N,Data!D:D=A641,Data!B:B=B$1),""HIGH"")*10)+(COUNTIF(FILTER(Data!N:N,Data!D:D=A641,Data!B:B=$B$1),""MIDDLE"")*6)+(COUNTIF(FILTER(Data!N:N,Data!D:D=A641,Data!B:"&amp;"B=$B$1),""LOW"")*4))"),0.0)</f>
        <v>0</v>
      </c>
      <c r="V641" s="138" t="str">
        <f>IF(Data!B633='Team Parser'!$B$1, Data!D633,"")</f>
        <v/>
      </c>
      <c r="W641" s="134" t="str">
        <f>IF(Data!$B633='Team Parser'!$B$1, Data!H633,"")</f>
        <v/>
      </c>
      <c r="X641" s="134" t="str">
        <f>IF(Data!$B633='Team Parser'!$B$1, Data!G633,"")</f>
        <v/>
      </c>
      <c r="Y641" s="134" t="str">
        <f>IF(Data!$B633='Team Parser'!$B$1, Data!L633,"")</f>
        <v/>
      </c>
      <c r="Z641" s="134" t="str">
        <f>IF(Data!$B633='Team Parser'!$B$1, Data!K633,"")</f>
        <v/>
      </c>
      <c r="AA641" s="134" t="str">
        <f>IF(Data!$B633='Team Parser'!$B$1, Data!M633,"")</f>
        <v/>
      </c>
      <c r="AB641" s="134" t="str">
        <f>IF(Data!$B633='Team Parser'!$B$1,((Z641*2)+(Y641)+(X641*4)+(W641*2)),"")</f>
        <v/>
      </c>
      <c r="AC641" s="134" t="str">
        <f>IF(Data!$B633='Team Parser'!$B$1, Data!N633,"")</f>
        <v/>
      </c>
      <c r="AD641" s="139" t="str">
        <f>IF(Data!$B633='Team Parser'!$B$1,(AB641+(COUNTIF(AC641,"TRAVERSE")*15)+(COUNTIF(AC641,"HIGH")*10)+(COUNTIF(AC641,"MIDDLE")*6)+(COUNTIF(AC641,"LOW")*4)),"")</f>
        <v/>
      </c>
    </row>
    <row r="642">
      <c r="A642" s="141" t="s">
        <v>507</v>
      </c>
      <c r="B642" s="134" t="str">
        <f>IFERROR(__xludf.DUMMYFUNCTION("IFERROR((FILTER(Data!H:H,Data!D:D=A642,Data!B:B=$B$1)),"""")"),"")</f>
        <v/>
      </c>
      <c r="C642" s="134" t="str">
        <f>IFERROR(__xludf.DUMMYFUNCTION("IFERROR((FILTER(Data!G:G,Data!D:D=A642,Data!B:B=$B$1)),"""")"),"")</f>
        <v/>
      </c>
      <c r="D642" s="134" t="str">
        <f>IFERROR(__xludf.DUMMYFUNCTION("IFERROR((FILTER(Data!J:J,Data!D:D=A642,Data!B:B=$B$1)),"""")"),"")</f>
        <v/>
      </c>
      <c r="E642" s="134" t="str">
        <f>IFERROR(__xludf.DUMMYFUNCTION("IFERROR((FILTER(Data!L:L,Data!D:D=A642,Data!B:B=$B$1)),"""")"),"")</f>
        <v/>
      </c>
      <c r="F642" s="134" t="str">
        <f>IFERROR(__xludf.DUMMYFUNCTION("IFERROR((FILTER(Data!K:K,Data!D:D=A642,Data!B:B=$B$1)),"""")"),"")</f>
        <v/>
      </c>
      <c r="G642" s="134" t="str">
        <f>IFERROR(__xludf.DUMMYFUNCTION("IFERROR((FILTER(Data!M:M,Data!D:D=A642,Data!B:B=$B$1)),"""")"),"")</f>
        <v/>
      </c>
      <c r="H642" s="134" t="str">
        <f>IFERROR(__xludf.DUMMYFUNCTION("IFERROR((FILTER(Data!G:G,Data!D:D=A642,Data!B:B=$B$1)*4)+(FILTER(Data!H:H,Data!D:D=A642,Data!B:B=$B$1)*2),"""")"),"")</f>
        <v/>
      </c>
      <c r="I642" s="15" t="str">
        <f>IFERROR(__xludf.DUMMYFUNCTION("IFERROR((FILTER(Data!K:K,Data!D:D=A642,Data!B:B=$B$1)*2)+(FILTER(Data!L:L,Data!D:D=A642,Data!B:B=$B$1)),"""")"),"")</f>
        <v/>
      </c>
      <c r="J642" s="134" t="str">
        <f>IFERROR(__xludf.DUMMYFUNCTION("IFERROR((FILTER(Data!N:N,Data!D:D=A642,Data!B:B=$B$1)),"""")"),"")</f>
        <v/>
      </c>
      <c r="K642" s="135" t="str">
        <f>IFERROR(__xludf.DUMMYFUNCTION("IFERROR((FILTER(Data!H:H,Data!D:D=A642,Data!B:B=$B$1)*2)+(FILTER(Data!L:L,Data!D:D=A642,Data!B:B=$B$1))+(FILTER(Data!G:G,Data!D:D=A642,Data!B:B=$B$1)*4)+(FILTER(Data!K:K,Data!D:D=A642,Data!B:B=$B$1)*2)+(((COUNTIF(FILTER(Data!N:N,Data!D:D=A642,Data!B:B=$B$"&amp;"1),""TRAVERSE"")*15)+(COUNTIF(FILTER(Data!N:N,Data!D:D=A642,Data!B:B=$B$1),""HIGH"")*10)+(COUNTIF(FILTER(Data!N:N,Data!D:D=A642,Data!B:B=$B$1),""MIDDLE"")*6)+(COUNTIF(FILTER(Data!N:N,Data!D:D=A642,Data!B:B=$B$1),""LOW"")*4))),"""")"),"")</f>
        <v/>
      </c>
      <c r="L642" s="136" t="str">
        <f>IFERROR(__xludf.DUMMYFUNCTION("IFERROR((FILTER(Data!P:P,Data!D:D=A642,Data!B:B=$B$1)),"""")"),"")</f>
        <v/>
      </c>
      <c r="M642" s="137" t="str">
        <f>IFERROR(__xludf.DUMMYFUNCTION("IFERROR((FILTER(Data!A:A,Data!D:D=A642,Data!B:B=$B$1)),"""")"),"")</f>
        <v/>
      </c>
      <c r="T642" s="52">
        <f>IFERROR(__xludf.DUMMYFUNCTION("((COUNTIF(FILTER(Data!N:N,Data!D:D=A642,Data!B:B=$B$1),""TRAVERSE"")*15)+(COUNTIF(FILTER(Data!N:N,Data!D:D=A642,Data!B:B=B$1),""HIGH"")*10)+(COUNTIF(FILTER(Data!N:N,Data!D:D=A642,Data!B:B=$B$1),""MIDDLE"")*6)+(COUNTIF(FILTER(Data!N:N,Data!D:D=A642,Data!B:"&amp;"B=$B$1),""LOW"")*4))"),0.0)</f>
        <v>0</v>
      </c>
      <c r="V642" s="138" t="str">
        <f>IF(Data!B634='Team Parser'!$B$1, Data!D634,"")</f>
        <v/>
      </c>
      <c r="W642" s="134" t="str">
        <f>IF(Data!$B634='Team Parser'!$B$1, Data!H634,"")</f>
        <v/>
      </c>
      <c r="X642" s="134" t="str">
        <f>IF(Data!$B634='Team Parser'!$B$1, Data!G634,"")</f>
        <v/>
      </c>
      <c r="Y642" s="134" t="str">
        <f>IF(Data!$B634='Team Parser'!$B$1, Data!L634,"")</f>
        <v/>
      </c>
      <c r="Z642" s="134" t="str">
        <f>IF(Data!$B634='Team Parser'!$B$1, Data!K634,"")</f>
        <v/>
      </c>
      <c r="AA642" s="134" t="str">
        <f>IF(Data!$B634='Team Parser'!$B$1, Data!M634,"")</f>
        <v/>
      </c>
      <c r="AB642" s="134" t="str">
        <f>IF(Data!$B634='Team Parser'!$B$1,((Z642*2)+(Y642)+(X642*4)+(W642*2)),"")</f>
        <v/>
      </c>
      <c r="AC642" s="134" t="str">
        <f>IF(Data!$B634='Team Parser'!$B$1, Data!N634,"")</f>
        <v/>
      </c>
      <c r="AD642" s="139" t="str">
        <f>IF(Data!$B634='Team Parser'!$B$1,(AB642+(COUNTIF(AC642,"TRAVERSE")*15)+(COUNTIF(AC642,"HIGH")*10)+(COUNTIF(AC642,"MIDDLE")*6)+(COUNTIF(AC642,"LOW")*4)),"")</f>
        <v/>
      </c>
    </row>
    <row r="643">
      <c r="A643" s="141" t="s">
        <v>507</v>
      </c>
      <c r="B643" s="134" t="str">
        <f>IFERROR(__xludf.DUMMYFUNCTION("IFERROR((FILTER(Data!H:H,Data!D:D=A643,Data!B:B=$B$1)),"""")"),"")</f>
        <v/>
      </c>
      <c r="C643" s="134" t="str">
        <f>IFERROR(__xludf.DUMMYFUNCTION("IFERROR((FILTER(Data!G:G,Data!D:D=A643,Data!B:B=$B$1)),"""")"),"")</f>
        <v/>
      </c>
      <c r="D643" s="134" t="str">
        <f>IFERROR(__xludf.DUMMYFUNCTION("IFERROR((FILTER(Data!J:J,Data!D:D=A643,Data!B:B=$B$1)),"""")"),"")</f>
        <v/>
      </c>
      <c r="E643" s="134" t="str">
        <f>IFERROR(__xludf.DUMMYFUNCTION("IFERROR((FILTER(Data!L:L,Data!D:D=A643,Data!B:B=$B$1)),"""")"),"")</f>
        <v/>
      </c>
      <c r="F643" s="134" t="str">
        <f>IFERROR(__xludf.DUMMYFUNCTION("IFERROR((FILTER(Data!K:K,Data!D:D=A643,Data!B:B=$B$1)),"""")"),"")</f>
        <v/>
      </c>
      <c r="G643" s="134" t="str">
        <f>IFERROR(__xludf.DUMMYFUNCTION("IFERROR((FILTER(Data!M:M,Data!D:D=A643,Data!B:B=$B$1)),"""")"),"")</f>
        <v/>
      </c>
      <c r="H643" s="134" t="str">
        <f>IFERROR(__xludf.DUMMYFUNCTION("IFERROR((FILTER(Data!G:G,Data!D:D=A643,Data!B:B=$B$1)*4)+(FILTER(Data!H:H,Data!D:D=A643,Data!B:B=$B$1)*2),"""")"),"")</f>
        <v/>
      </c>
      <c r="I643" s="15" t="str">
        <f>IFERROR(__xludf.DUMMYFUNCTION("IFERROR((FILTER(Data!K:K,Data!D:D=A643,Data!B:B=$B$1)*2)+(FILTER(Data!L:L,Data!D:D=A643,Data!B:B=$B$1)),"""")"),"")</f>
        <v/>
      </c>
      <c r="J643" s="134" t="str">
        <f>IFERROR(__xludf.DUMMYFUNCTION("IFERROR((FILTER(Data!N:N,Data!D:D=A643,Data!B:B=$B$1)),"""")"),"")</f>
        <v/>
      </c>
      <c r="K643" s="135" t="str">
        <f>IFERROR(__xludf.DUMMYFUNCTION("IFERROR((FILTER(Data!H:H,Data!D:D=A643,Data!B:B=$B$1)*2)+(FILTER(Data!L:L,Data!D:D=A643,Data!B:B=$B$1))+(FILTER(Data!G:G,Data!D:D=A643,Data!B:B=$B$1)*4)+(FILTER(Data!K:K,Data!D:D=A643,Data!B:B=$B$1)*2)+(((COUNTIF(FILTER(Data!N:N,Data!D:D=A643,Data!B:B=$B$"&amp;"1),""TRAVERSE"")*15)+(COUNTIF(FILTER(Data!N:N,Data!D:D=A643,Data!B:B=$B$1),""HIGH"")*10)+(COUNTIF(FILTER(Data!N:N,Data!D:D=A643,Data!B:B=$B$1),""MIDDLE"")*6)+(COUNTIF(FILTER(Data!N:N,Data!D:D=A643,Data!B:B=$B$1),""LOW"")*4))),"""")"),"")</f>
        <v/>
      </c>
      <c r="L643" s="136" t="str">
        <f>IFERROR(__xludf.DUMMYFUNCTION("IFERROR((FILTER(Data!P:P,Data!D:D=A643,Data!B:B=$B$1)),"""")"),"")</f>
        <v/>
      </c>
      <c r="M643" s="137" t="str">
        <f>IFERROR(__xludf.DUMMYFUNCTION("IFERROR((FILTER(Data!A:A,Data!D:D=A643,Data!B:B=$B$1)),"""")"),"")</f>
        <v/>
      </c>
      <c r="T643" s="52">
        <f>IFERROR(__xludf.DUMMYFUNCTION("((COUNTIF(FILTER(Data!N:N,Data!D:D=A643,Data!B:B=$B$1),""TRAVERSE"")*15)+(COUNTIF(FILTER(Data!N:N,Data!D:D=A643,Data!B:B=B$1),""HIGH"")*10)+(COUNTIF(FILTER(Data!N:N,Data!D:D=A643,Data!B:B=$B$1),""MIDDLE"")*6)+(COUNTIF(FILTER(Data!N:N,Data!D:D=A643,Data!B:"&amp;"B=$B$1),""LOW"")*4))"),0.0)</f>
        <v>0</v>
      </c>
      <c r="V643" s="138" t="str">
        <f>IF(Data!B635='Team Parser'!$B$1, Data!D635,"")</f>
        <v/>
      </c>
      <c r="W643" s="134" t="str">
        <f>IF(Data!$B635='Team Parser'!$B$1, Data!H635,"")</f>
        <v/>
      </c>
      <c r="X643" s="134" t="str">
        <f>IF(Data!$B635='Team Parser'!$B$1, Data!G635,"")</f>
        <v/>
      </c>
      <c r="Y643" s="134" t="str">
        <f>IF(Data!$B635='Team Parser'!$B$1, Data!L635,"")</f>
        <v/>
      </c>
      <c r="Z643" s="134" t="str">
        <f>IF(Data!$B635='Team Parser'!$B$1, Data!K635,"")</f>
        <v/>
      </c>
      <c r="AA643" s="134" t="str">
        <f>IF(Data!$B635='Team Parser'!$B$1, Data!M635,"")</f>
        <v/>
      </c>
      <c r="AB643" s="134" t="str">
        <f>IF(Data!$B635='Team Parser'!$B$1,((Z643*2)+(Y643)+(X643*4)+(W643*2)),"")</f>
        <v/>
      </c>
      <c r="AC643" s="134" t="str">
        <f>IF(Data!$B635='Team Parser'!$B$1, Data!N635,"")</f>
        <v/>
      </c>
      <c r="AD643" s="139" t="str">
        <f>IF(Data!$B635='Team Parser'!$B$1,(AB643+(COUNTIF(AC643,"TRAVERSE")*15)+(COUNTIF(AC643,"HIGH")*10)+(COUNTIF(AC643,"MIDDLE")*6)+(COUNTIF(AC643,"LOW")*4)),"")</f>
        <v/>
      </c>
    </row>
    <row r="644">
      <c r="A644" s="141" t="s">
        <v>507</v>
      </c>
      <c r="B644" s="134" t="str">
        <f>IFERROR(__xludf.DUMMYFUNCTION("IFERROR((FILTER(Data!H:H,Data!D:D=A644,Data!B:B=$B$1)),"""")"),"")</f>
        <v/>
      </c>
      <c r="C644" s="134" t="str">
        <f>IFERROR(__xludf.DUMMYFUNCTION("IFERROR((FILTER(Data!G:G,Data!D:D=A644,Data!B:B=$B$1)),"""")"),"")</f>
        <v/>
      </c>
      <c r="D644" s="134" t="str">
        <f>IFERROR(__xludf.DUMMYFUNCTION("IFERROR((FILTER(Data!J:J,Data!D:D=A644,Data!B:B=$B$1)),"""")"),"")</f>
        <v/>
      </c>
      <c r="E644" s="134" t="str">
        <f>IFERROR(__xludf.DUMMYFUNCTION("IFERROR((FILTER(Data!L:L,Data!D:D=A644,Data!B:B=$B$1)),"""")"),"")</f>
        <v/>
      </c>
      <c r="F644" s="134" t="str">
        <f>IFERROR(__xludf.DUMMYFUNCTION("IFERROR((FILTER(Data!K:K,Data!D:D=A644,Data!B:B=$B$1)),"""")"),"")</f>
        <v/>
      </c>
      <c r="G644" s="134" t="str">
        <f>IFERROR(__xludf.DUMMYFUNCTION("IFERROR((FILTER(Data!M:M,Data!D:D=A644,Data!B:B=$B$1)),"""")"),"")</f>
        <v/>
      </c>
      <c r="H644" s="134" t="str">
        <f>IFERROR(__xludf.DUMMYFUNCTION("IFERROR((FILTER(Data!G:G,Data!D:D=A644,Data!B:B=$B$1)*4)+(FILTER(Data!H:H,Data!D:D=A644,Data!B:B=$B$1)*2),"""")"),"")</f>
        <v/>
      </c>
      <c r="I644" s="15" t="str">
        <f>IFERROR(__xludf.DUMMYFUNCTION("IFERROR((FILTER(Data!K:K,Data!D:D=A644,Data!B:B=$B$1)*2)+(FILTER(Data!L:L,Data!D:D=A644,Data!B:B=$B$1)),"""")"),"")</f>
        <v/>
      </c>
      <c r="J644" s="134" t="str">
        <f>IFERROR(__xludf.DUMMYFUNCTION("IFERROR((FILTER(Data!N:N,Data!D:D=A644,Data!B:B=$B$1)),"""")"),"")</f>
        <v/>
      </c>
      <c r="K644" s="135" t="str">
        <f>IFERROR(__xludf.DUMMYFUNCTION("IFERROR((FILTER(Data!H:H,Data!D:D=A644,Data!B:B=$B$1)*2)+(FILTER(Data!L:L,Data!D:D=A644,Data!B:B=$B$1))+(FILTER(Data!G:G,Data!D:D=A644,Data!B:B=$B$1)*4)+(FILTER(Data!K:K,Data!D:D=A644,Data!B:B=$B$1)*2)+(((COUNTIF(FILTER(Data!N:N,Data!D:D=A644,Data!B:B=$B$"&amp;"1),""TRAVERSE"")*15)+(COUNTIF(FILTER(Data!N:N,Data!D:D=A644,Data!B:B=$B$1),""HIGH"")*10)+(COUNTIF(FILTER(Data!N:N,Data!D:D=A644,Data!B:B=$B$1),""MIDDLE"")*6)+(COUNTIF(FILTER(Data!N:N,Data!D:D=A644,Data!B:B=$B$1),""LOW"")*4))),"""")"),"")</f>
        <v/>
      </c>
      <c r="L644" s="136" t="str">
        <f>IFERROR(__xludf.DUMMYFUNCTION("IFERROR((FILTER(Data!P:P,Data!D:D=A644,Data!B:B=$B$1)),"""")"),"")</f>
        <v/>
      </c>
      <c r="M644" s="137" t="str">
        <f>IFERROR(__xludf.DUMMYFUNCTION("IFERROR((FILTER(Data!A:A,Data!D:D=A644,Data!B:B=$B$1)),"""")"),"")</f>
        <v/>
      </c>
      <c r="T644" s="52">
        <f>IFERROR(__xludf.DUMMYFUNCTION("((COUNTIF(FILTER(Data!N:N,Data!D:D=A644,Data!B:B=$B$1),""TRAVERSE"")*15)+(COUNTIF(FILTER(Data!N:N,Data!D:D=A644,Data!B:B=B$1),""HIGH"")*10)+(COUNTIF(FILTER(Data!N:N,Data!D:D=A644,Data!B:B=$B$1),""MIDDLE"")*6)+(COUNTIF(FILTER(Data!N:N,Data!D:D=A644,Data!B:"&amp;"B=$B$1),""LOW"")*4))"),0.0)</f>
        <v>0</v>
      </c>
      <c r="V644" s="138" t="str">
        <f>IF(Data!B636='Team Parser'!$B$1, Data!D636,"")</f>
        <v/>
      </c>
      <c r="W644" s="134" t="str">
        <f>IF(Data!$B636='Team Parser'!$B$1, Data!H636,"")</f>
        <v/>
      </c>
      <c r="X644" s="134" t="str">
        <f>IF(Data!$B636='Team Parser'!$B$1, Data!G636,"")</f>
        <v/>
      </c>
      <c r="Y644" s="134" t="str">
        <f>IF(Data!$B636='Team Parser'!$B$1, Data!L636,"")</f>
        <v/>
      </c>
      <c r="Z644" s="134" t="str">
        <f>IF(Data!$B636='Team Parser'!$B$1, Data!K636,"")</f>
        <v/>
      </c>
      <c r="AA644" s="134" t="str">
        <f>IF(Data!$B636='Team Parser'!$B$1, Data!M636,"")</f>
        <v/>
      </c>
      <c r="AB644" s="134" t="str">
        <f>IF(Data!$B636='Team Parser'!$B$1,((Z644*2)+(Y644)+(X644*4)+(W644*2)),"")</f>
        <v/>
      </c>
      <c r="AC644" s="134" t="str">
        <f>IF(Data!$B636='Team Parser'!$B$1, Data!N636,"")</f>
        <v/>
      </c>
      <c r="AD644" s="139" t="str">
        <f>IF(Data!$B636='Team Parser'!$B$1,(AB644+(COUNTIF(AC644,"TRAVERSE")*15)+(COUNTIF(AC644,"HIGH")*10)+(COUNTIF(AC644,"MIDDLE")*6)+(COUNTIF(AC644,"LOW")*4)),"")</f>
        <v/>
      </c>
    </row>
    <row r="645">
      <c r="A645" s="141" t="s">
        <v>507</v>
      </c>
      <c r="B645" s="134" t="str">
        <f>IFERROR(__xludf.DUMMYFUNCTION("IFERROR((FILTER(Data!H:H,Data!D:D=A645,Data!B:B=$B$1)),"""")"),"")</f>
        <v/>
      </c>
      <c r="C645" s="134" t="str">
        <f>IFERROR(__xludf.DUMMYFUNCTION("IFERROR((FILTER(Data!G:G,Data!D:D=A645,Data!B:B=$B$1)),"""")"),"")</f>
        <v/>
      </c>
      <c r="D645" s="134" t="str">
        <f>IFERROR(__xludf.DUMMYFUNCTION("IFERROR((FILTER(Data!J:J,Data!D:D=A645,Data!B:B=$B$1)),"""")"),"")</f>
        <v/>
      </c>
      <c r="E645" s="134" t="str">
        <f>IFERROR(__xludf.DUMMYFUNCTION("IFERROR((FILTER(Data!L:L,Data!D:D=A645,Data!B:B=$B$1)),"""")"),"")</f>
        <v/>
      </c>
      <c r="F645" s="134" t="str">
        <f>IFERROR(__xludf.DUMMYFUNCTION("IFERROR((FILTER(Data!K:K,Data!D:D=A645,Data!B:B=$B$1)),"""")"),"")</f>
        <v/>
      </c>
      <c r="G645" s="134" t="str">
        <f>IFERROR(__xludf.DUMMYFUNCTION("IFERROR((FILTER(Data!M:M,Data!D:D=A645,Data!B:B=$B$1)),"""")"),"")</f>
        <v/>
      </c>
      <c r="H645" s="134" t="str">
        <f>IFERROR(__xludf.DUMMYFUNCTION("IFERROR((FILTER(Data!G:G,Data!D:D=A645,Data!B:B=$B$1)*4)+(FILTER(Data!H:H,Data!D:D=A645,Data!B:B=$B$1)*2),"""")"),"")</f>
        <v/>
      </c>
      <c r="I645" s="15" t="str">
        <f>IFERROR(__xludf.DUMMYFUNCTION("IFERROR((FILTER(Data!K:K,Data!D:D=A645,Data!B:B=$B$1)*2)+(FILTER(Data!L:L,Data!D:D=A645,Data!B:B=$B$1)),"""")"),"")</f>
        <v/>
      </c>
      <c r="J645" s="134" t="str">
        <f>IFERROR(__xludf.DUMMYFUNCTION("IFERROR((FILTER(Data!N:N,Data!D:D=A645,Data!B:B=$B$1)),"""")"),"")</f>
        <v/>
      </c>
      <c r="K645" s="135" t="str">
        <f>IFERROR(__xludf.DUMMYFUNCTION("IFERROR((FILTER(Data!H:H,Data!D:D=A645,Data!B:B=$B$1)*2)+(FILTER(Data!L:L,Data!D:D=A645,Data!B:B=$B$1))+(FILTER(Data!G:G,Data!D:D=A645,Data!B:B=$B$1)*4)+(FILTER(Data!K:K,Data!D:D=A645,Data!B:B=$B$1)*2)+(((COUNTIF(FILTER(Data!N:N,Data!D:D=A645,Data!B:B=$B$"&amp;"1),""TRAVERSE"")*15)+(COUNTIF(FILTER(Data!N:N,Data!D:D=A645,Data!B:B=$B$1),""HIGH"")*10)+(COUNTIF(FILTER(Data!N:N,Data!D:D=A645,Data!B:B=$B$1),""MIDDLE"")*6)+(COUNTIF(FILTER(Data!N:N,Data!D:D=A645,Data!B:B=$B$1),""LOW"")*4))),"""")"),"")</f>
        <v/>
      </c>
      <c r="L645" s="136" t="str">
        <f>IFERROR(__xludf.DUMMYFUNCTION("IFERROR((FILTER(Data!P:P,Data!D:D=A645,Data!B:B=$B$1)),"""")"),"")</f>
        <v/>
      </c>
      <c r="M645" s="137" t="str">
        <f>IFERROR(__xludf.DUMMYFUNCTION("IFERROR((FILTER(Data!A:A,Data!D:D=A645,Data!B:B=$B$1)),"""")"),"")</f>
        <v/>
      </c>
      <c r="T645" s="52">
        <f>IFERROR(__xludf.DUMMYFUNCTION("((COUNTIF(FILTER(Data!N:N,Data!D:D=A645,Data!B:B=$B$1),""TRAVERSE"")*15)+(COUNTIF(FILTER(Data!N:N,Data!D:D=A645,Data!B:B=B$1),""HIGH"")*10)+(COUNTIF(FILTER(Data!N:N,Data!D:D=A645,Data!B:B=$B$1),""MIDDLE"")*6)+(COUNTIF(FILTER(Data!N:N,Data!D:D=A645,Data!B:"&amp;"B=$B$1),""LOW"")*4))"),0.0)</f>
        <v>0</v>
      </c>
      <c r="V645" s="138" t="str">
        <f>IF(Data!B637='Team Parser'!$B$1, Data!D637,"")</f>
        <v/>
      </c>
      <c r="W645" s="134" t="str">
        <f>IF(Data!$B637='Team Parser'!$B$1, Data!H637,"")</f>
        <v/>
      </c>
      <c r="X645" s="134" t="str">
        <f>IF(Data!$B637='Team Parser'!$B$1, Data!G637,"")</f>
        <v/>
      </c>
      <c r="Y645" s="134" t="str">
        <f>IF(Data!$B637='Team Parser'!$B$1, Data!L637,"")</f>
        <v/>
      </c>
      <c r="Z645" s="134" t="str">
        <f>IF(Data!$B637='Team Parser'!$B$1, Data!K637,"")</f>
        <v/>
      </c>
      <c r="AA645" s="134" t="str">
        <f>IF(Data!$B637='Team Parser'!$B$1, Data!M637,"")</f>
        <v/>
      </c>
      <c r="AB645" s="134" t="str">
        <f>IF(Data!$B637='Team Parser'!$B$1,((Z645*2)+(Y645)+(X645*4)+(W645*2)),"")</f>
        <v/>
      </c>
      <c r="AC645" s="134" t="str">
        <f>IF(Data!$B637='Team Parser'!$B$1, Data!N637,"")</f>
        <v/>
      </c>
      <c r="AD645" s="139" t="str">
        <f>IF(Data!$B637='Team Parser'!$B$1,(AB645+(COUNTIF(AC645,"TRAVERSE")*15)+(COUNTIF(AC645,"HIGH")*10)+(COUNTIF(AC645,"MIDDLE")*6)+(COUNTIF(AC645,"LOW")*4)),"")</f>
        <v/>
      </c>
    </row>
    <row r="646">
      <c r="A646" s="141" t="s">
        <v>507</v>
      </c>
      <c r="B646" s="134" t="str">
        <f>IFERROR(__xludf.DUMMYFUNCTION("IFERROR((FILTER(Data!H:H,Data!D:D=A646,Data!B:B=$B$1)),"""")"),"")</f>
        <v/>
      </c>
      <c r="C646" s="134" t="str">
        <f>IFERROR(__xludf.DUMMYFUNCTION("IFERROR((FILTER(Data!G:G,Data!D:D=A646,Data!B:B=$B$1)),"""")"),"")</f>
        <v/>
      </c>
      <c r="D646" s="134" t="str">
        <f>IFERROR(__xludf.DUMMYFUNCTION("IFERROR((FILTER(Data!J:J,Data!D:D=A646,Data!B:B=$B$1)),"""")"),"")</f>
        <v/>
      </c>
      <c r="E646" s="134" t="str">
        <f>IFERROR(__xludf.DUMMYFUNCTION("IFERROR((FILTER(Data!L:L,Data!D:D=A646,Data!B:B=$B$1)),"""")"),"")</f>
        <v/>
      </c>
      <c r="F646" s="134" t="str">
        <f>IFERROR(__xludf.DUMMYFUNCTION("IFERROR((FILTER(Data!K:K,Data!D:D=A646,Data!B:B=$B$1)),"""")"),"")</f>
        <v/>
      </c>
      <c r="G646" s="134" t="str">
        <f>IFERROR(__xludf.DUMMYFUNCTION("IFERROR((FILTER(Data!M:M,Data!D:D=A646,Data!B:B=$B$1)),"""")"),"")</f>
        <v/>
      </c>
      <c r="H646" s="134" t="str">
        <f>IFERROR(__xludf.DUMMYFUNCTION("IFERROR((FILTER(Data!G:G,Data!D:D=A646,Data!B:B=$B$1)*4)+(FILTER(Data!H:H,Data!D:D=A646,Data!B:B=$B$1)*2),"""")"),"")</f>
        <v/>
      </c>
      <c r="I646" s="15" t="str">
        <f>IFERROR(__xludf.DUMMYFUNCTION("IFERROR((FILTER(Data!K:K,Data!D:D=A646,Data!B:B=$B$1)*2)+(FILTER(Data!L:L,Data!D:D=A646,Data!B:B=$B$1)),"""")"),"")</f>
        <v/>
      </c>
      <c r="J646" s="134" t="str">
        <f>IFERROR(__xludf.DUMMYFUNCTION("IFERROR((FILTER(Data!N:N,Data!D:D=A646,Data!B:B=$B$1)),"""")"),"")</f>
        <v/>
      </c>
      <c r="K646" s="135" t="str">
        <f>IFERROR(__xludf.DUMMYFUNCTION("IFERROR((FILTER(Data!H:H,Data!D:D=A646,Data!B:B=$B$1)*2)+(FILTER(Data!L:L,Data!D:D=A646,Data!B:B=$B$1))+(FILTER(Data!G:G,Data!D:D=A646,Data!B:B=$B$1)*4)+(FILTER(Data!K:K,Data!D:D=A646,Data!B:B=$B$1)*2)+(((COUNTIF(FILTER(Data!N:N,Data!D:D=A646,Data!B:B=$B$"&amp;"1),""TRAVERSE"")*15)+(COUNTIF(FILTER(Data!N:N,Data!D:D=A646,Data!B:B=$B$1),""HIGH"")*10)+(COUNTIF(FILTER(Data!N:N,Data!D:D=A646,Data!B:B=$B$1),""MIDDLE"")*6)+(COUNTIF(FILTER(Data!N:N,Data!D:D=A646,Data!B:B=$B$1),""LOW"")*4))),"""")"),"")</f>
        <v/>
      </c>
      <c r="L646" s="136" t="str">
        <f>IFERROR(__xludf.DUMMYFUNCTION("IFERROR((FILTER(Data!P:P,Data!D:D=A646,Data!B:B=$B$1)),"""")"),"")</f>
        <v/>
      </c>
      <c r="M646" s="137" t="str">
        <f>IFERROR(__xludf.DUMMYFUNCTION("IFERROR((FILTER(Data!A:A,Data!D:D=A646,Data!B:B=$B$1)),"""")"),"")</f>
        <v/>
      </c>
      <c r="T646" s="52">
        <f>IFERROR(__xludf.DUMMYFUNCTION("((COUNTIF(FILTER(Data!N:N,Data!D:D=A646,Data!B:B=$B$1),""TRAVERSE"")*15)+(COUNTIF(FILTER(Data!N:N,Data!D:D=A646,Data!B:B=B$1),""HIGH"")*10)+(COUNTIF(FILTER(Data!N:N,Data!D:D=A646,Data!B:B=$B$1),""MIDDLE"")*6)+(COUNTIF(FILTER(Data!N:N,Data!D:D=A646,Data!B:"&amp;"B=$B$1),""LOW"")*4))"),0.0)</f>
        <v>0</v>
      </c>
      <c r="V646" s="138" t="str">
        <f>IF(Data!B638='Team Parser'!$B$1, Data!D638,"")</f>
        <v/>
      </c>
      <c r="W646" s="134" t="str">
        <f>IF(Data!$B638='Team Parser'!$B$1, Data!H638,"")</f>
        <v/>
      </c>
      <c r="X646" s="134" t="str">
        <f>IF(Data!$B638='Team Parser'!$B$1, Data!G638,"")</f>
        <v/>
      </c>
      <c r="Y646" s="134" t="str">
        <f>IF(Data!$B638='Team Parser'!$B$1, Data!L638,"")</f>
        <v/>
      </c>
      <c r="Z646" s="134" t="str">
        <f>IF(Data!$B638='Team Parser'!$B$1, Data!K638,"")</f>
        <v/>
      </c>
      <c r="AA646" s="134" t="str">
        <f>IF(Data!$B638='Team Parser'!$B$1, Data!M638,"")</f>
        <v/>
      </c>
      <c r="AB646" s="134" t="str">
        <f>IF(Data!$B638='Team Parser'!$B$1,((Z646*2)+(Y646)+(X646*4)+(W646*2)),"")</f>
        <v/>
      </c>
      <c r="AC646" s="134" t="str">
        <f>IF(Data!$B638='Team Parser'!$B$1, Data!N638,"")</f>
        <v/>
      </c>
      <c r="AD646" s="139" t="str">
        <f>IF(Data!$B638='Team Parser'!$B$1,(AB646+(COUNTIF(AC646,"TRAVERSE")*15)+(COUNTIF(AC646,"HIGH")*10)+(COUNTIF(AC646,"MIDDLE")*6)+(COUNTIF(AC646,"LOW")*4)),"")</f>
        <v/>
      </c>
    </row>
    <row r="647">
      <c r="A647" s="141" t="s">
        <v>507</v>
      </c>
      <c r="B647" s="134" t="str">
        <f>IFERROR(__xludf.DUMMYFUNCTION("IFERROR((FILTER(Data!H:H,Data!D:D=A647,Data!B:B=$B$1)),"""")"),"")</f>
        <v/>
      </c>
      <c r="C647" s="134" t="str">
        <f>IFERROR(__xludf.DUMMYFUNCTION("IFERROR((FILTER(Data!G:G,Data!D:D=A647,Data!B:B=$B$1)),"""")"),"")</f>
        <v/>
      </c>
      <c r="D647" s="134" t="str">
        <f>IFERROR(__xludf.DUMMYFUNCTION("IFERROR((FILTER(Data!J:J,Data!D:D=A647,Data!B:B=$B$1)),"""")"),"")</f>
        <v/>
      </c>
      <c r="E647" s="134" t="str">
        <f>IFERROR(__xludf.DUMMYFUNCTION("IFERROR((FILTER(Data!L:L,Data!D:D=A647,Data!B:B=$B$1)),"""")"),"")</f>
        <v/>
      </c>
      <c r="F647" s="134" t="str">
        <f>IFERROR(__xludf.DUMMYFUNCTION("IFERROR((FILTER(Data!K:K,Data!D:D=A647,Data!B:B=$B$1)),"""")"),"")</f>
        <v/>
      </c>
      <c r="G647" s="134" t="str">
        <f>IFERROR(__xludf.DUMMYFUNCTION("IFERROR((FILTER(Data!M:M,Data!D:D=A647,Data!B:B=$B$1)),"""")"),"")</f>
        <v/>
      </c>
      <c r="H647" s="134" t="str">
        <f>IFERROR(__xludf.DUMMYFUNCTION("IFERROR((FILTER(Data!G:G,Data!D:D=A647,Data!B:B=$B$1)*4)+(FILTER(Data!H:H,Data!D:D=A647,Data!B:B=$B$1)*2),"""")"),"")</f>
        <v/>
      </c>
      <c r="I647" s="15" t="str">
        <f>IFERROR(__xludf.DUMMYFUNCTION("IFERROR((FILTER(Data!K:K,Data!D:D=A647,Data!B:B=$B$1)*2)+(FILTER(Data!L:L,Data!D:D=A647,Data!B:B=$B$1)),"""")"),"")</f>
        <v/>
      </c>
      <c r="J647" s="134" t="str">
        <f>IFERROR(__xludf.DUMMYFUNCTION("IFERROR((FILTER(Data!N:N,Data!D:D=A647,Data!B:B=$B$1)),"""")"),"")</f>
        <v/>
      </c>
      <c r="K647" s="135" t="str">
        <f>IFERROR(__xludf.DUMMYFUNCTION("IFERROR((FILTER(Data!H:H,Data!D:D=A647,Data!B:B=$B$1)*2)+(FILTER(Data!L:L,Data!D:D=A647,Data!B:B=$B$1))+(FILTER(Data!G:G,Data!D:D=A647,Data!B:B=$B$1)*4)+(FILTER(Data!K:K,Data!D:D=A647,Data!B:B=$B$1)*2)+(((COUNTIF(FILTER(Data!N:N,Data!D:D=A647,Data!B:B=$B$"&amp;"1),""TRAVERSE"")*15)+(COUNTIF(FILTER(Data!N:N,Data!D:D=A647,Data!B:B=$B$1),""HIGH"")*10)+(COUNTIF(FILTER(Data!N:N,Data!D:D=A647,Data!B:B=$B$1),""MIDDLE"")*6)+(COUNTIF(FILTER(Data!N:N,Data!D:D=A647,Data!B:B=$B$1),""LOW"")*4))),"""")"),"")</f>
        <v/>
      </c>
      <c r="L647" s="136" t="str">
        <f>IFERROR(__xludf.DUMMYFUNCTION("IFERROR((FILTER(Data!P:P,Data!D:D=A647,Data!B:B=$B$1)),"""")"),"")</f>
        <v/>
      </c>
      <c r="M647" s="137" t="str">
        <f>IFERROR(__xludf.DUMMYFUNCTION("IFERROR((FILTER(Data!A:A,Data!D:D=A647,Data!B:B=$B$1)),"""")"),"")</f>
        <v/>
      </c>
      <c r="T647" s="52">
        <f>IFERROR(__xludf.DUMMYFUNCTION("((COUNTIF(FILTER(Data!N:N,Data!D:D=A647,Data!B:B=$B$1),""TRAVERSE"")*15)+(COUNTIF(FILTER(Data!N:N,Data!D:D=A647,Data!B:B=B$1),""HIGH"")*10)+(COUNTIF(FILTER(Data!N:N,Data!D:D=A647,Data!B:B=$B$1),""MIDDLE"")*6)+(COUNTIF(FILTER(Data!N:N,Data!D:D=A647,Data!B:"&amp;"B=$B$1),""LOW"")*4))"),0.0)</f>
        <v>0</v>
      </c>
      <c r="V647" s="138" t="str">
        <f>IF(Data!B639='Team Parser'!$B$1, Data!D639,"")</f>
        <v/>
      </c>
      <c r="W647" s="134" t="str">
        <f>IF(Data!$B639='Team Parser'!$B$1, Data!H639,"")</f>
        <v/>
      </c>
      <c r="X647" s="134" t="str">
        <f>IF(Data!$B639='Team Parser'!$B$1, Data!G639,"")</f>
        <v/>
      </c>
      <c r="Y647" s="134" t="str">
        <f>IF(Data!$B639='Team Parser'!$B$1, Data!L639,"")</f>
        <v/>
      </c>
      <c r="Z647" s="134" t="str">
        <f>IF(Data!$B639='Team Parser'!$B$1, Data!K639,"")</f>
        <v/>
      </c>
      <c r="AA647" s="134" t="str">
        <f>IF(Data!$B639='Team Parser'!$B$1, Data!M639,"")</f>
        <v/>
      </c>
      <c r="AB647" s="134" t="str">
        <f>IF(Data!$B639='Team Parser'!$B$1,((Z647*2)+(Y647)+(X647*4)+(W647*2)),"")</f>
        <v/>
      </c>
      <c r="AC647" s="134" t="str">
        <f>IF(Data!$B639='Team Parser'!$B$1, Data!N639,"")</f>
        <v/>
      </c>
      <c r="AD647" s="139" t="str">
        <f>IF(Data!$B639='Team Parser'!$B$1,(AB647+(COUNTIF(AC647,"TRAVERSE")*15)+(COUNTIF(AC647,"HIGH")*10)+(COUNTIF(AC647,"MIDDLE")*6)+(COUNTIF(AC647,"LOW")*4)),"")</f>
        <v/>
      </c>
    </row>
    <row r="648">
      <c r="A648" s="141" t="s">
        <v>507</v>
      </c>
      <c r="B648" s="134" t="str">
        <f>IFERROR(__xludf.DUMMYFUNCTION("IFERROR((FILTER(Data!H:H,Data!D:D=A648,Data!B:B=$B$1)),"""")"),"")</f>
        <v/>
      </c>
      <c r="C648" s="134" t="str">
        <f>IFERROR(__xludf.DUMMYFUNCTION("IFERROR((FILTER(Data!G:G,Data!D:D=A648,Data!B:B=$B$1)),"""")"),"")</f>
        <v/>
      </c>
      <c r="D648" s="134" t="str">
        <f>IFERROR(__xludf.DUMMYFUNCTION("IFERROR((FILTER(Data!J:J,Data!D:D=A648,Data!B:B=$B$1)),"""")"),"")</f>
        <v/>
      </c>
      <c r="E648" s="134" t="str">
        <f>IFERROR(__xludf.DUMMYFUNCTION("IFERROR((FILTER(Data!L:L,Data!D:D=A648,Data!B:B=$B$1)),"""")"),"")</f>
        <v/>
      </c>
      <c r="F648" s="134" t="str">
        <f>IFERROR(__xludf.DUMMYFUNCTION("IFERROR((FILTER(Data!K:K,Data!D:D=A648,Data!B:B=$B$1)),"""")"),"")</f>
        <v/>
      </c>
      <c r="G648" s="134" t="str">
        <f>IFERROR(__xludf.DUMMYFUNCTION("IFERROR((FILTER(Data!M:M,Data!D:D=A648,Data!B:B=$B$1)),"""")"),"")</f>
        <v/>
      </c>
      <c r="H648" s="134" t="str">
        <f>IFERROR(__xludf.DUMMYFUNCTION("IFERROR((FILTER(Data!G:G,Data!D:D=A648,Data!B:B=$B$1)*4)+(FILTER(Data!H:H,Data!D:D=A648,Data!B:B=$B$1)*2),"""")"),"")</f>
        <v/>
      </c>
      <c r="I648" s="15" t="str">
        <f>IFERROR(__xludf.DUMMYFUNCTION("IFERROR((FILTER(Data!K:K,Data!D:D=A648,Data!B:B=$B$1)*2)+(FILTER(Data!L:L,Data!D:D=A648,Data!B:B=$B$1)),"""")"),"")</f>
        <v/>
      </c>
      <c r="J648" s="134" t="str">
        <f>IFERROR(__xludf.DUMMYFUNCTION("IFERROR((FILTER(Data!N:N,Data!D:D=A648,Data!B:B=$B$1)),"""")"),"")</f>
        <v/>
      </c>
      <c r="K648" s="135" t="str">
        <f>IFERROR(__xludf.DUMMYFUNCTION("IFERROR((FILTER(Data!H:H,Data!D:D=A648,Data!B:B=$B$1)*2)+(FILTER(Data!L:L,Data!D:D=A648,Data!B:B=$B$1))+(FILTER(Data!G:G,Data!D:D=A648,Data!B:B=$B$1)*4)+(FILTER(Data!K:K,Data!D:D=A648,Data!B:B=$B$1)*2)+(((COUNTIF(FILTER(Data!N:N,Data!D:D=A648,Data!B:B=$B$"&amp;"1),""TRAVERSE"")*15)+(COUNTIF(FILTER(Data!N:N,Data!D:D=A648,Data!B:B=$B$1),""HIGH"")*10)+(COUNTIF(FILTER(Data!N:N,Data!D:D=A648,Data!B:B=$B$1),""MIDDLE"")*6)+(COUNTIF(FILTER(Data!N:N,Data!D:D=A648,Data!B:B=$B$1),""LOW"")*4))),"""")"),"")</f>
        <v/>
      </c>
      <c r="L648" s="136" t="str">
        <f>IFERROR(__xludf.DUMMYFUNCTION("IFERROR((FILTER(Data!P:P,Data!D:D=A648,Data!B:B=$B$1)),"""")"),"")</f>
        <v/>
      </c>
      <c r="M648" s="137" t="str">
        <f>IFERROR(__xludf.DUMMYFUNCTION("IFERROR((FILTER(Data!A:A,Data!D:D=A648,Data!B:B=$B$1)),"""")"),"")</f>
        <v/>
      </c>
      <c r="T648" s="52">
        <f>IFERROR(__xludf.DUMMYFUNCTION("((COUNTIF(FILTER(Data!N:N,Data!D:D=A648,Data!B:B=$B$1),""TRAVERSE"")*15)+(COUNTIF(FILTER(Data!N:N,Data!D:D=A648,Data!B:B=B$1),""HIGH"")*10)+(COUNTIF(FILTER(Data!N:N,Data!D:D=A648,Data!B:B=$B$1),""MIDDLE"")*6)+(COUNTIF(FILTER(Data!N:N,Data!D:D=A648,Data!B:"&amp;"B=$B$1),""LOW"")*4))"),0.0)</f>
        <v>0</v>
      </c>
      <c r="V648" s="138" t="str">
        <f>IF(Data!B640='Team Parser'!$B$1, Data!D640,"")</f>
        <v/>
      </c>
      <c r="W648" s="134" t="str">
        <f>IF(Data!$B640='Team Parser'!$B$1, Data!H640,"")</f>
        <v/>
      </c>
      <c r="X648" s="134" t="str">
        <f>IF(Data!$B640='Team Parser'!$B$1, Data!G640,"")</f>
        <v/>
      </c>
      <c r="Y648" s="134" t="str">
        <f>IF(Data!$B640='Team Parser'!$B$1, Data!L640,"")</f>
        <v/>
      </c>
      <c r="Z648" s="134" t="str">
        <f>IF(Data!$B640='Team Parser'!$B$1, Data!K640,"")</f>
        <v/>
      </c>
      <c r="AA648" s="134" t="str">
        <f>IF(Data!$B640='Team Parser'!$B$1, Data!M640,"")</f>
        <v/>
      </c>
      <c r="AB648" s="134" t="str">
        <f>IF(Data!$B640='Team Parser'!$B$1,((Z648*2)+(Y648)+(X648*4)+(W648*2)),"")</f>
        <v/>
      </c>
      <c r="AC648" s="134" t="str">
        <f>IF(Data!$B640='Team Parser'!$B$1, Data!N640,"")</f>
        <v/>
      </c>
      <c r="AD648" s="139" t="str">
        <f>IF(Data!$B640='Team Parser'!$B$1,(AB648+(COUNTIF(AC648,"TRAVERSE")*15)+(COUNTIF(AC648,"HIGH")*10)+(COUNTIF(AC648,"MIDDLE")*6)+(COUNTIF(AC648,"LOW")*4)),"")</f>
        <v/>
      </c>
    </row>
    <row r="649">
      <c r="A649" s="141" t="s">
        <v>507</v>
      </c>
      <c r="B649" s="134" t="str">
        <f>IFERROR(__xludf.DUMMYFUNCTION("IFERROR((FILTER(Data!H:H,Data!D:D=A649,Data!B:B=$B$1)),"""")"),"")</f>
        <v/>
      </c>
      <c r="C649" s="134" t="str">
        <f>IFERROR(__xludf.DUMMYFUNCTION("IFERROR((FILTER(Data!G:G,Data!D:D=A649,Data!B:B=$B$1)),"""")"),"")</f>
        <v/>
      </c>
      <c r="D649" s="134" t="str">
        <f>IFERROR(__xludf.DUMMYFUNCTION("IFERROR((FILTER(Data!J:J,Data!D:D=A649,Data!B:B=$B$1)),"""")"),"")</f>
        <v/>
      </c>
      <c r="E649" s="134" t="str">
        <f>IFERROR(__xludf.DUMMYFUNCTION("IFERROR((FILTER(Data!L:L,Data!D:D=A649,Data!B:B=$B$1)),"""")"),"")</f>
        <v/>
      </c>
      <c r="F649" s="134" t="str">
        <f>IFERROR(__xludf.DUMMYFUNCTION("IFERROR((FILTER(Data!K:K,Data!D:D=A649,Data!B:B=$B$1)),"""")"),"")</f>
        <v/>
      </c>
      <c r="G649" s="134" t="str">
        <f>IFERROR(__xludf.DUMMYFUNCTION("IFERROR((FILTER(Data!M:M,Data!D:D=A649,Data!B:B=$B$1)),"""")"),"")</f>
        <v/>
      </c>
      <c r="H649" s="134" t="str">
        <f>IFERROR(__xludf.DUMMYFUNCTION("IFERROR((FILTER(Data!G:G,Data!D:D=A649,Data!B:B=$B$1)*4)+(FILTER(Data!H:H,Data!D:D=A649,Data!B:B=$B$1)*2),"""")"),"")</f>
        <v/>
      </c>
      <c r="I649" s="15" t="str">
        <f>IFERROR(__xludf.DUMMYFUNCTION("IFERROR((FILTER(Data!K:K,Data!D:D=A649,Data!B:B=$B$1)*2)+(FILTER(Data!L:L,Data!D:D=A649,Data!B:B=$B$1)),"""")"),"")</f>
        <v/>
      </c>
      <c r="J649" s="134" t="str">
        <f>IFERROR(__xludf.DUMMYFUNCTION("IFERROR((FILTER(Data!N:N,Data!D:D=A649,Data!B:B=$B$1)),"""")"),"")</f>
        <v/>
      </c>
      <c r="K649" s="135" t="str">
        <f>IFERROR(__xludf.DUMMYFUNCTION("IFERROR((FILTER(Data!H:H,Data!D:D=A649,Data!B:B=$B$1)*2)+(FILTER(Data!L:L,Data!D:D=A649,Data!B:B=$B$1))+(FILTER(Data!G:G,Data!D:D=A649,Data!B:B=$B$1)*4)+(FILTER(Data!K:K,Data!D:D=A649,Data!B:B=$B$1)*2)+(((COUNTIF(FILTER(Data!N:N,Data!D:D=A649,Data!B:B=$B$"&amp;"1),""TRAVERSE"")*15)+(COUNTIF(FILTER(Data!N:N,Data!D:D=A649,Data!B:B=$B$1),""HIGH"")*10)+(COUNTIF(FILTER(Data!N:N,Data!D:D=A649,Data!B:B=$B$1),""MIDDLE"")*6)+(COUNTIF(FILTER(Data!N:N,Data!D:D=A649,Data!B:B=$B$1),""LOW"")*4))),"""")"),"")</f>
        <v/>
      </c>
      <c r="L649" s="136" t="str">
        <f>IFERROR(__xludf.DUMMYFUNCTION("IFERROR((FILTER(Data!P:P,Data!D:D=A649,Data!B:B=$B$1)),"""")"),"")</f>
        <v/>
      </c>
      <c r="M649" s="137" t="str">
        <f>IFERROR(__xludf.DUMMYFUNCTION("IFERROR((FILTER(Data!A:A,Data!D:D=A649,Data!B:B=$B$1)),"""")"),"")</f>
        <v/>
      </c>
      <c r="T649" s="52">
        <f>IFERROR(__xludf.DUMMYFUNCTION("((COUNTIF(FILTER(Data!N:N,Data!D:D=A649,Data!B:B=$B$1),""TRAVERSE"")*15)+(COUNTIF(FILTER(Data!N:N,Data!D:D=A649,Data!B:B=B$1),""HIGH"")*10)+(COUNTIF(FILTER(Data!N:N,Data!D:D=A649,Data!B:B=$B$1),""MIDDLE"")*6)+(COUNTIF(FILTER(Data!N:N,Data!D:D=A649,Data!B:"&amp;"B=$B$1),""LOW"")*4))"),0.0)</f>
        <v>0</v>
      </c>
      <c r="V649" s="138" t="str">
        <f>IF(Data!B641='Team Parser'!$B$1, Data!D641,"")</f>
        <v/>
      </c>
      <c r="W649" s="134" t="str">
        <f>IF(Data!$B641='Team Parser'!$B$1, Data!H641,"")</f>
        <v/>
      </c>
      <c r="X649" s="134" t="str">
        <f>IF(Data!$B641='Team Parser'!$B$1, Data!G641,"")</f>
        <v/>
      </c>
      <c r="Y649" s="134" t="str">
        <f>IF(Data!$B641='Team Parser'!$B$1, Data!L641,"")</f>
        <v/>
      </c>
      <c r="Z649" s="134" t="str">
        <f>IF(Data!$B641='Team Parser'!$B$1, Data!K641,"")</f>
        <v/>
      </c>
      <c r="AA649" s="134" t="str">
        <f>IF(Data!$B641='Team Parser'!$B$1, Data!M641,"")</f>
        <v/>
      </c>
      <c r="AB649" s="134" t="str">
        <f>IF(Data!$B641='Team Parser'!$B$1,((Z649*2)+(Y649)+(X649*4)+(W649*2)),"")</f>
        <v/>
      </c>
      <c r="AC649" s="134" t="str">
        <f>IF(Data!$B641='Team Parser'!$B$1, Data!N641,"")</f>
        <v/>
      </c>
      <c r="AD649" s="139" t="str">
        <f>IF(Data!$B641='Team Parser'!$B$1,(AB649+(COUNTIF(AC649,"TRAVERSE")*15)+(COUNTIF(AC649,"HIGH")*10)+(COUNTIF(AC649,"MIDDLE")*6)+(COUNTIF(AC649,"LOW")*4)),"")</f>
        <v/>
      </c>
    </row>
    <row r="650">
      <c r="A650" s="141" t="s">
        <v>507</v>
      </c>
      <c r="B650" s="134" t="str">
        <f>IFERROR(__xludf.DUMMYFUNCTION("IFERROR((FILTER(Data!H:H,Data!D:D=A650,Data!B:B=$B$1)),"""")"),"")</f>
        <v/>
      </c>
      <c r="C650" s="134" t="str">
        <f>IFERROR(__xludf.DUMMYFUNCTION("IFERROR((FILTER(Data!G:G,Data!D:D=A650,Data!B:B=$B$1)),"""")"),"")</f>
        <v/>
      </c>
      <c r="D650" s="134" t="str">
        <f>IFERROR(__xludf.DUMMYFUNCTION("IFERROR((FILTER(Data!J:J,Data!D:D=A650,Data!B:B=$B$1)),"""")"),"")</f>
        <v/>
      </c>
      <c r="E650" s="134" t="str">
        <f>IFERROR(__xludf.DUMMYFUNCTION("IFERROR((FILTER(Data!L:L,Data!D:D=A650,Data!B:B=$B$1)),"""")"),"")</f>
        <v/>
      </c>
      <c r="F650" s="134" t="str">
        <f>IFERROR(__xludf.DUMMYFUNCTION("IFERROR((FILTER(Data!K:K,Data!D:D=A650,Data!B:B=$B$1)),"""")"),"")</f>
        <v/>
      </c>
      <c r="G650" s="134" t="str">
        <f>IFERROR(__xludf.DUMMYFUNCTION("IFERROR((FILTER(Data!M:M,Data!D:D=A650,Data!B:B=$B$1)),"""")"),"")</f>
        <v/>
      </c>
      <c r="H650" s="134" t="str">
        <f>IFERROR(__xludf.DUMMYFUNCTION("IFERROR((FILTER(Data!G:G,Data!D:D=A650,Data!B:B=$B$1)*4)+(FILTER(Data!H:H,Data!D:D=A650,Data!B:B=$B$1)*2),"""")"),"")</f>
        <v/>
      </c>
      <c r="I650" s="15" t="str">
        <f>IFERROR(__xludf.DUMMYFUNCTION("IFERROR((FILTER(Data!K:K,Data!D:D=A650,Data!B:B=$B$1)*2)+(FILTER(Data!L:L,Data!D:D=A650,Data!B:B=$B$1)),"""")"),"")</f>
        <v/>
      </c>
      <c r="J650" s="134" t="str">
        <f>IFERROR(__xludf.DUMMYFUNCTION("IFERROR((FILTER(Data!N:N,Data!D:D=A650,Data!B:B=$B$1)),"""")"),"")</f>
        <v/>
      </c>
      <c r="K650" s="135" t="str">
        <f>IFERROR(__xludf.DUMMYFUNCTION("IFERROR((FILTER(Data!H:H,Data!D:D=A650,Data!B:B=$B$1)*2)+(FILTER(Data!L:L,Data!D:D=A650,Data!B:B=$B$1))+(FILTER(Data!G:G,Data!D:D=A650,Data!B:B=$B$1)*4)+(FILTER(Data!K:K,Data!D:D=A650,Data!B:B=$B$1)*2)+(((COUNTIF(FILTER(Data!N:N,Data!D:D=A650,Data!B:B=$B$"&amp;"1),""TRAVERSE"")*15)+(COUNTIF(FILTER(Data!N:N,Data!D:D=A650,Data!B:B=$B$1),""HIGH"")*10)+(COUNTIF(FILTER(Data!N:N,Data!D:D=A650,Data!B:B=$B$1),""MIDDLE"")*6)+(COUNTIF(FILTER(Data!N:N,Data!D:D=A650,Data!B:B=$B$1),""LOW"")*4))),"""")"),"")</f>
        <v/>
      </c>
      <c r="L650" s="136" t="str">
        <f>IFERROR(__xludf.DUMMYFUNCTION("IFERROR((FILTER(Data!P:P,Data!D:D=A650,Data!B:B=$B$1)),"""")"),"")</f>
        <v/>
      </c>
      <c r="M650" s="137" t="str">
        <f>IFERROR(__xludf.DUMMYFUNCTION("IFERROR((FILTER(Data!A:A,Data!D:D=A650,Data!B:B=$B$1)),"""")"),"")</f>
        <v/>
      </c>
      <c r="T650" s="52">
        <f>IFERROR(__xludf.DUMMYFUNCTION("((COUNTIF(FILTER(Data!N:N,Data!D:D=A650,Data!B:B=$B$1),""TRAVERSE"")*15)+(COUNTIF(FILTER(Data!N:N,Data!D:D=A650,Data!B:B=B$1),""HIGH"")*10)+(COUNTIF(FILTER(Data!N:N,Data!D:D=A650,Data!B:B=$B$1),""MIDDLE"")*6)+(COUNTIF(FILTER(Data!N:N,Data!D:D=A650,Data!B:"&amp;"B=$B$1),""LOW"")*4))"),0.0)</f>
        <v>0</v>
      </c>
      <c r="V650" s="138" t="str">
        <f>IF(Data!B642='Team Parser'!$B$1, Data!D642,"")</f>
        <v/>
      </c>
      <c r="W650" s="134" t="str">
        <f>IF(Data!$B642='Team Parser'!$B$1, Data!H642,"")</f>
        <v/>
      </c>
      <c r="X650" s="134" t="str">
        <f>IF(Data!$B642='Team Parser'!$B$1, Data!G642,"")</f>
        <v/>
      </c>
      <c r="Y650" s="134" t="str">
        <f>IF(Data!$B642='Team Parser'!$B$1, Data!L642,"")</f>
        <v/>
      </c>
      <c r="Z650" s="134" t="str">
        <f>IF(Data!$B642='Team Parser'!$B$1, Data!K642,"")</f>
        <v/>
      </c>
      <c r="AA650" s="134" t="str">
        <f>IF(Data!$B642='Team Parser'!$B$1, Data!M642,"")</f>
        <v/>
      </c>
      <c r="AB650" s="134" t="str">
        <f>IF(Data!$B642='Team Parser'!$B$1,((Z650*2)+(Y650)+(X650*4)+(W650*2)),"")</f>
        <v/>
      </c>
      <c r="AC650" s="134" t="str">
        <f>IF(Data!$B642='Team Parser'!$B$1, Data!N642,"")</f>
        <v/>
      </c>
      <c r="AD650" s="139" t="str">
        <f>IF(Data!$B642='Team Parser'!$B$1,(AB650+(COUNTIF(AC650,"TRAVERSE")*15)+(COUNTIF(AC650,"HIGH")*10)+(COUNTIF(AC650,"MIDDLE")*6)+(COUNTIF(AC650,"LOW")*4)),"")</f>
        <v/>
      </c>
    </row>
    <row r="651">
      <c r="A651" s="141" t="s">
        <v>507</v>
      </c>
      <c r="B651" s="134" t="str">
        <f>IFERROR(__xludf.DUMMYFUNCTION("IFERROR((FILTER(Data!H:H,Data!D:D=A651,Data!B:B=$B$1)),"""")"),"")</f>
        <v/>
      </c>
      <c r="C651" s="134" t="str">
        <f>IFERROR(__xludf.DUMMYFUNCTION("IFERROR((FILTER(Data!G:G,Data!D:D=A651,Data!B:B=$B$1)),"""")"),"")</f>
        <v/>
      </c>
      <c r="D651" s="134" t="str">
        <f>IFERROR(__xludf.DUMMYFUNCTION("IFERROR((FILTER(Data!J:J,Data!D:D=A651,Data!B:B=$B$1)),"""")"),"")</f>
        <v/>
      </c>
      <c r="E651" s="134" t="str">
        <f>IFERROR(__xludf.DUMMYFUNCTION("IFERROR((FILTER(Data!L:L,Data!D:D=A651,Data!B:B=$B$1)),"""")"),"")</f>
        <v/>
      </c>
      <c r="F651" s="134" t="str">
        <f>IFERROR(__xludf.DUMMYFUNCTION("IFERROR((FILTER(Data!K:K,Data!D:D=A651,Data!B:B=$B$1)),"""")"),"")</f>
        <v/>
      </c>
      <c r="G651" s="134" t="str">
        <f>IFERROR(__xludf.DUMMYFUNCTION("IFERROR((FILTER(Data!M:M,Data!D:D=A651,Data!B:B=$B$1)),"""")"),"")</f>
        <v/>
      </c>
      <c r="H651" s="134" t="str">
        <f>IFERROR(__xludf.DUMMYFUNCTION("IFERROR((FILTER(Data!G:G,Data!D:D=A651,Data!B:B=$B$1)*4)+(FILTER(Data!H:H,Data!D:D=A651,Data!B:B=$B$1)*2),"""")"),"")</f>
        <v/>
      </c>
      <c r="I651" s="15" t="str">
        <f>IFERROR(__xludf.DUMMYFUNCTION("IFERROR((FILTER(Data!K:K,Data!D:D=A651,Data!B:B=$B$1)*2)+(FILTER(Data!L:L,Data!D:D=A651,Data!B:B=$B$1)),"""")"),"")</f>
        <v/>
      </c>
      <c r="J651" s="134" t="str">
        <f>IFERROR(__xludf.DUMMYFUNCTION("IFERROR((FILTER(Data!N:N,Data!D:D=A651,Data!B:B=$B$1)),"""")"),"")</f>
        <v/>
      </c>
      <c r="K651" s="135" t="str">
        <f>IFERROR(__xludf.DUMMYFUNCTION("IFERROR((FILTER(Data!H:H,Data!D:D=A651,Data!B:B=$B$1)*2)+(FILTER(Data!L:L,Data!D:D=A651,Data!B:B=$B$1))+(FILTER(Data!G:G,Data!D:D=A651,Data!B:B=$B$1)*4)+(FILTER(Data!K:K,Data!D:D=A651,Data!B:B=$B$1)*2)+(((COUNTIF(FILTER(Data!N:N,Data!D:D=A651,Data!B:B=$B$"&amp;"1),""TRAVERSE"")*15)+(COUNTIF(FILTER(Data!N:N,Data!D:D=A651,Data!B:B=$B$1),""HIGH"")*10)+(COUNTIF(FILTER(Data!N:N,Data!D:D=A651,Data!B:B=$B$1),""MIDDLE"")*6)+(COUNTIF(FILTER(Data!N:N,Data!D:D=A651,Data!B:B=$B$1),""LOW"")*4))),"""")"),"")</f>
        <v/>
      </c>
      <c r="L651" s="136" t="str">
        <f>IFERROR(__xludf.DUMMYFUNCTION("IFERROR((FILTER(Data!P:P,Data!D:D=A651,Data!B:B=$B$1)),"""")"),"")</f>
        <v/>
      </c>
      <c r="M651" s="137" t="str">
        <f>IFERROR(__xludf.DUMMYFUNCTION("IFERROR((FILTER(Data!A:A,Data!D:D=A651,Data!B:B=$B$1)),"""")"),"")</f>
        <v/>
      </c>
      <c r="T651" s="52">
        <f>IFERROR(__xludf.DUMMYFUNCTION("((COUNTIF(FILTER(Data!N:N,Data!D:D=A651,Data!B:B=$B$1),""TRAVERSE"")*15)+(COUNTIF(FILTER(Data!N:N,Data!D:D=A651,Data!B:B=B$1),""HIGH"")*10)+(COUNTIF(FILTER(Data!N:N,Data!D:D=A651,Data!B:B=$B$1),""MIDDLE"")*6)+(COUNTIF(FILTER(Data!N:N,Data!D:D=A651,Data!B:"&amp;"B=$B$1),""LOW"")*4))"),0.0)</f>
        <v>0</v>
      </c>
      <c r="V651" s="138" t="str">
        <f>IF(Data!B643='Team Parser'!$B$1, Data!D643,"")</f>
        <v/>
      </c>
      <c r="W651" s="134" t="str">
        <f>IF(Data!$B643='Team Parser'!$B$1, Data!H643,"")</f>
        <v/>
      </c>
      <c r="X651" s="134" t="str">
        <f>IF(Data!$B643='Team Parser'!$B$1, Data!G643,"")</f>
        <v/>
      </c>
      <c r="Y651" s="134" t="str">
        <f>IF(Data!$B643='Team Parser'!$B$1, Data!L643,"")</f>
        <v/>
      </c>
      <c r="Z651" s="134" t="str">
        <f>IF(Data!$B643='Team Parser'!$B$1, Data!K643,"")</f>
        <v/>
      </c>
      <c r="AA651" s="134" t="str">
        <f>IF(Data!$B643='Team Parser'!$B$1, Data!M643,"")</f>
        <v/>
      </c>
      <c r="AB651" s="134" t="str">
        <f>IF(Data!$B643='Team Parser'!$B$1,((Z651*2)+(Y651)+(X651*4)+(W651*2)),"")</f>
        <v/>
      </c>
      <c r="AC651" s="134" t="str">
        <f>IF(Data!$B643='Team Parser'!$B$1, Data!N643,"")</f>
        <v/>
      </c>
      <c r="AD651" s="139" t="str">
        <f>IF(Data!$B643='Team Parser'!$B$1,(AB651+(COUNTIF(AC651,"TRAVERSE")*15)+(COUNTIF(AC651,"HIGH")*10)+(COUNTIF(AC651,"MIDDLE")*6)+(COUNTIF(AC651,"LOW")*4)),"")</f>
        <v/>
      </c>
    </row>
    <row r="652">
      <c r="A652" s="141" t="s">
        <v>507</v>
      </c>
      <c r="B652" s="134" t="str">
        <f>IFERROR(__xludf.DUMMYFUNCTION("IFERROR((FILTER(Data!H:H,Data!D:D=A652,Data!B:B=$B$1)),"""")"),"")</f>
        <v/>
      </c>
      <c r="C652" s="134" t="str">
        <f>IFERROR(__xludf.DUMMYFUNCTION("IFERROR((FILTER(Data!G:G,Data!D:D=A652,Data!B:B=$B$1)),"""")"),"")</f>
        <v/>
      </c>
      <c r="D652" s="134" t="str">
        <f>IFERROR(__xludf.DUMMYFUNCTION("IFERROR((FILTER(Data!J:J,Data!D:D=A652,Data!B:B=$B$1)),"""")"),"")</f>
        <v/>
      </c>
      <c r="E652" s="134" t="str">
        <f>IFERROR(__xludf.DUMMYFUNCTION("IFERROR((FILTER(Data!L:L,Data!D:D=A652,Data!B:B=$B$1)),"""")"),"")</f>
        <v/>
      </c>
      <c r="F652" s="134" t="str">
        <f>IFERROR(__xludf.DUMMYFUNCTION("IFERROR((FILTER(Data!K:K,Data!D:D=A652,Data!B:B=$B$1)),"""")"),"")</f>
        <v/>
      </c>
      <c r="G652" s="134" t="str">
        <f>IFERROR(__xludf.DUMMYFUNCTION("IFERROR((FILTER(Data!M:M,Data!D:D=A652,Data!B:B=$B$1)),"""")"),"")</f>
        <v/>
      </c>
      <c r="H652" s="134" t="str">
        <f>IFERROR(__xludf.DUMMYFUNCTION("IFERROR((FILTER(Data!G:G,Data!D:D=A652,Data!B:B=$B$1)*4)+(FILTER(Data!H:H,Data!D:D=A652,Data!B:B=$B$1)*2),"""")"),"")</f>
        <v/>
      </c>
      <c r="I652" s="15" t="str">
        <f>IFERROR(__xludf.DUMMYFUNCTION("IFERROR((FILTER(Data!K:K,Data!D:D=A652,Data!B:B=$B$1)*2)+(FILTER(Data!L:L,Data!D:D=A652,Data!B:B=$B$1)),"""")"),"")</f>
        <v/>
      </c>
      <c r="J652" s="134" t="str">
        <f>IFERROR(__xludf.DUMMYFUNCTION("IFERROR((FILTER(Data!N:N,Data!D:D=A652,Data!B:B=$B$1)),"""")"),"")</f>
        <v/>
      </c>
      <c r="K652" s="135" t="str">
        <f>IFERROR(__xludf.DUMMYFUNCTION("IFERROR((FILTER(Data!H:H,Data!D:D=A652,Data!B:B=$B$1)*2)+(FILTER(Data!L:L,Data!D:D=A652,Data!B:B=$B$1))+(FILTER(Data!G:G,Data!D:D=A652,Data!B:B=$B$1)*4)+(FILTER(Data!K:K,Data!D:D=A652,Data!B:B=$B$1)*2)+(((COUNTIF(FILTER(Data!N:N,Data!D:D=A652,Data!B:B=$B$"&amp;"1),""TRAVERSE"")*15)+(COUNTIF(FILTER(Data!N:N,Data!D:D=A652,Data!B:B=$B$1),""HIGH"")*10)+(COUNTIF(FILTER(Data!N:N,Data!D:D=A652,Data!B:B=$B$1),""MIDDLE"")*6)+(COUNTIF(FILTER(Data!N:N,Data!D:D=A652,Data!B:B=$B$1),""LOW"")*4))),"""")"),"")</f>
        <v/>
      </c>
      <c r="L652" s="136" t="str">
        <f>IFERROR(__xludf.DUMMYFUNCTION("IFERROR((FILTER(Data!P:P,Data!D:D=A652,Data!B:B=$B$1)),"""")"),"")</f>
        <v/>
      </c>
      <c r="M652" s="137" t="str">
        <f>IFERROR(__xludf.DUMMYFUNCTION("IFERROR((FILTER(Data!A:A,Data!D:D=A652,Data!B:B=$B$1)),"""")"),"")</f>
        <v/>
      </c>
      <c r="T652" s="52">
        <f>IFERROR(__xludf.DUMMYFUNCTION("((COUNTIF(FILTER(Data!N:N,Data!D:D=A652,Data!B:B=$B$1),""TRAVERSE"")*15)+(COUNTIF(FILTER(Data!N:N,Data!D:D=A652,Data!B:B=B$1),""HIGH"")*10)+(COUNTIF(FILTER(Data!N:N,Data!D:D=A652,Data!B:B=$B$1),""MIDDLE"")*6)+(COUNTIF(FILTER(Data!N:N,Data!D:D=A652,Data!B:"&amp;"B=$B$1),""LOW"")*4))"),0.0)</f>
        <v>0</v>
      </c>
      <c r="V652" s="138" t="str">
        <f>IF(Data!B644='Team Parser'!$B$1, Data!D644,"")</f>
        <v/>
      </c>
      <c r="W652" s="134" t="str">
        <f>IF(Data!$B644='Team Parser'!$B$1, Data!H644,"")</f>
        <v/>
      </c>
      <c r="X652" s="134" t="str">
        <f>IF(Data!$B644='Team Parser'!$B$1, Data!G644,"")</f>
        <v/>
      </c>
      <c r="Y652" s="134" t="str">
        <f>IF(Data!$B644='Team Parser'!$B$1, Data!L644,"")</f>
        <v/>
      </c>
      <c r="Z652" s="134" t="str">
        <f>IF(Data!$B644='Team Parser'!$B$1, Data!K644,"")</f>
        <v/>
      </c>
      <c r="AA652" s="134" t="str">
        <f>IF(Data!$B644='Team Parser'!$B$1, Data!M644,"")</f>
        <v/>
      </c>
      <c r="AB652" s="134" t="str">
        <f>IF(Data!$B644='Team Parser'!$B$1,((Z652*2)+(Y652)+(X652*4)+(W652*2)),"")</f>
        <v/>
      </c>
      <c r="AC652" s="134" t="str">
        <f>IF(Data!$B644='Team Parser'!$B$1, Data!N644,"")</f>
        <v/>
      </c>
      <c r="AD652" s="139" t="str">
        <f>IF(Data!$B644='Team Parser'!$B$1,(AB652+(COUNTIF(AC652,"TRAVERSE")*15)+(COUNTIF(AC652,"HIGH")*10)+(COUNTIF(AC652,"MIDDLE")*6)+(COUNTIF(AC652,"LOW")*4)),"")</f>
        <v/>
      </c>
    </row>
    <row r="653">
      <c r="A653" s="141" t="s">
        <v>507</v>
      </c>
      <c r="B653" s="134" t="str">
        <f>IFERROR(__xludf.DUMMYFUNCTION("IFERROR((FILTER(Data!H:H,Data!D:D=A653,Data!B:B=$B$1)),"""")"),"")</f>
        <v/>
      </c>
      <c r="C653" s="134" t="str">
        <f>IFERROR(__xludf.DUMMYFUNCTION("IFERROR((FILTER(Data!G:G,Data!D:D=A653,Data!B:B=$B$1)),"""")"),"")</f>
        <v/>
      </c>
      <c r="D653" s="134" t="str">
        <f>IFERROR(__xludf.DUMMYFUNCTION("IFERROR((FILTER(Data!J:J,Data!D:D=A653,Data!B:B=$B$1)),"""")"),"")</f>
        <v/>
      </c>
      <c r="E653" s="134" t="str">
        <f>IFERROR(__xludf.DUMMYFUNCTION("IFERROR((FILTER(Data!L:L,Data!D:D=A653,Data!B:B=$B$1)),"""")"),"")</f>
        <v/>
      </c>
      <c r="F653" s="134" t="str">
        <f>IFERROR(__xludf.DUMMYFUNCTION("IFERROR((FILTER(Data!K:K,Data!D:D=A653,Data!B:B=$B$1)),"""")"),"")</f>
        <v/>
      </c>
      <c r="G653" s="134" t="str">
        <f>IFERROR(__xludf.DUMMYFUNCTION("IFERROR((FILTER(Data!M:M,Data!D:D=A653,Data!B:B=$B$1)),"""")"),"")</f>
        <v/>
      </c>
      <c r="H653" s="134" t="str">
        <f>IFERROR(__xludf.DUMMYFUNCTION("IFERROR((FILTER(Data!G:G,Data!D:D=A653,Data!B:B=$B$1)*4)+(FILTER(Data!H:H,Data!D:D=A653,Data!B:B=$B$1)*2),"""")"),"")</f>
        <v/>
      </c>
      <c r="I653" s="15" t="str">
        <f>IFERROR(__xludf.DUMMYFUNCTION("IFERROR((FILTER(Data!K:K,Data!D:D=A653,Data!B:B=$B$1)*2)+(FILTER(Data!L:L,Data!D:D=A653,Data!B:B=$B$1)),"""")"),"")</f>
        <v/>
      </c>
      <c r="J653" s="134" t="str">
        <f>IFERROR(__xludf.DUMMYFUNCTION("IFERROR((FILTER(Data!N:N,Data!D:D=A653,Data!B:B=$B$1)),"""")"),"")</f>
        <v/>
      </c>
      <c r="K653" s="135" t="str">
        <f>IFERROR(__xludf.DUMMYFUNCTION("IFERROR((FILTER(Data!H:H,Data!D:D=A653,Data!B:B=$B$1)*2)+(FILTER(Data!L:L,Data!D:D=A653,Data!B:B=$B$1))+(FILTER(Data!G:G,Data!D:D=A653,Data!B:B=$B$1)*4)+(FILTER(Data!K:K,Data!D:D=A653,Data!B:B=$B$1)*2)+(((COUNTIF(FILTER(Data!N:N,Data!D:D=A653,Data!B:B=$B$"&amp;"1),""TRAVERSE"")*15)+(COUNTIF(FILTER(Data!N:N,Data!D:D=A653,Data!B:B=$B$1),""HIGH"")*10)+(COUNTIF(FILTER(Data!N:N,Data!D:D=A653,Data!B:B=$B$1),""MIDDLE"")*6)+(COUNTIF(FILTER(Data!N:N,Data!D:D=A653,Data!B:B=$B$1),""LOW"")*4))),"""")"),"")</f>
        <v/>
      </c>
      <c r="L653" s="136" t="str">
        <f>IFERROR(__xludf.DUMMYFUNCTION("IFERROR((FILTER(Data!P:P,Data!D:D=A653,Data!B:B=$B$1)),"""")"),"")</f>
        <v/>
      </c>
      <c r="M653" s="137" t="str">
        <f>IFERROR(__xludf.DUMMYFUNCTION("IFERROR((FILTER(Data!A:A,Data!D:D=A653,Data!B:B=$B$1)),"""")"),"")</f>
        <v/>
      </c>
      <c r="T653" s="52">
        <f>IFERROR(__xludf.DUMMYFUNCTION("((COUNTIF(FILTER(Data!N:N,Data!D:D=A653,Data!B:B=$B$1),""TRAVERSE"")*15)+(COUNTIF(FILTER(Data!N:N,Data!D:D=A653,Data!B:B=B$1),""HIGH"")*10)+(COUNTIF(FILTER(Data!N:N,Data!D:D=A653,Data!B:B=$B$1),""MIDDLE"")*6)+(COUNTIF(FILTER(Data!N:N,Data!D:D=A653,Data!B:"&amp;"B=$B$1),""LOW"")*4))"),0.0)</f>
        <v>0</v>
      </c>
      <c r="V653" s="138" t="str">
        <f>IF(Data!B645='Team Parser'!$B$1, Data!D645,"")</f>
        <v/>
      </c>
      <c r="W653" s="134" t="str">
        <f>IF(Data!$B645='Team Parser'!$B$1, Data!H645,"")</f>
        <v/>
      </c>
      <c r="X653" s="134" t="str">
        <f>IF(Data!$B645='Team Parser'!$B$1, Data!G645,"")</f>
        <v/>
      </c>
      <c r="Y653" s="134" t="str">
        <f>IF(Data!$B645='Team Parser'!$B$1, Data!L645,"")</f>
        <v/>
      </c>
      <c r="Z653" s="134" t="str">
        <f>IF(Data!$B645='Team Parser'!$B$1, Data!K645,"")</f>
        <v/>
      </c>
      <c r="AA653" s="134" t="str">
        <f>IF(Data!$B645='Team Parser'!$B$1, Data!M645,"")</f>
        <v/>
      </c>
      <c r="AB653" s="134" t="str">
        <f>IF(Data!$B645='Team Parser'!$B$1,((Z653*2)+(Y653)+(X653*4)+(W653*2)),"")</f>
        <v/>
      </c>
      <c r="AC653" s="134" t="str">
        <f>IF(Data!$B645='Team Parser'!$B$1, Data!N645,"")</f>
        <v/>
      </c>
      <c r="AD653" s="139" t="str">
        <f>IF(Data!$B645='Team Parser'!$B$1,(AB653+(COUNTIF(AC653,"TRAVERSE")*15)+(COUNTIF(AC653,"HIGH")*10)+(COUNTIF(AC653,"MIDDLE")*6)+(COUNTIF(AC653,"LOW")*4)),"")</f>
        <v/>
      </c>
    </row>
    <row r="654">
      <c r="A654" s="141" t="s">
        <v>507</v>
      </c>
      <c r="B654" s="134" t="str">
        <f>IFERROR(__xludf.DUMMYFUNCTION("IFERROR((FILTER(Data!H:H,Data!D:D=A654,Data!B:B=$B$1)),"""")"),"")</f>
        <v/>
      </c>
      <c r="C654" s="134" t="str">
        <f>IFERROR(__xludf.DUMMYFUNCTION("IFERROR((FILTER(Data!G:G,Data!D:D=A654,Data!B:B=$B$1)),"""")"),"")</f>
        <v/>
      </c>
      <c r="D654" s="134" t="str">
        <f>IFERROR(__xludf.DUMMYFUNCTION("IFERROR((FILTER(Data!J:J,Data!D:D=A654,Data!B:B=$B$1)),"""")"),"")</f>
        <v/>
      </c>
      <c r="E654" s="134" t="str">
        <f>IFERROR(__xludf.DUMMYFUNCTION("IFERROR((FILTER(Data!L:L,Data!D:D=A654,Data!B:B=$B$1)),"""")"),"")</f>
        <v/>
      </c>
      <c r="F654" s="134" t="str">
        <f>IFERROR(__xludf.DUMMYFUNCTION("IFERROR((FILTER(Data!K:K,Data!D:D=A654,Data!B:B=$B$1)),"""")"),"")</f>
        <v/>
      </c>
      <c r="G654" s="134" t="str">
        <f>IFERROR(__xludf.DUMMYFUNCTION("IFERROR((FILTER(Data!M:M,Data!D:D=A654,Data!B:B=$B$1)),"""")"),"")</f>
        <v/>
      </c>
      <c r="H654" s="134" t="str">
        <f>IFERROR(__xludf.DUMMYFUNCTION("IFERROR((FILTER(Data!G:G,Data!D:D=A654,Data!B:B=$B$1)*4)+(FILTER(Data!H:H,Data!D:D=A654,Data!B:B=$B$1)*2),"""")"),"")</f>
        <v/>
      </c>
      <c r="I654" s="15" t="str">
        <f>IFERROR(__xludf.DUMMYFUNCTION("IFERROR((FILTER(Data!K:K,Data!D:D=A654,Data!B:B=$B$1)*2)+(FILTER(Data!L:L,Data!D:D=A654,Data!B:B=$B$1)),"""")"),"")</f>
        <v/>
      </c>
      <c r="J654" s="134" t="str">
        <f>IFERROR(__xludf.DUMMYFUNCTION("IFERROR((FILTER(Data!N:N,Data!D:D=A654,Data!B:B=$B$1)),"""")"),"")</f>
        <v/>
      </c>
      <c r="K654" s="135" t="str">
        <f>IFERROR(__xludf.DUMMYFUNCTION("IFERROR((FILTER(Data!H:H,Data!D:D=A654,Data!B:B=$B$1)*2)+(FILTER(Data!L:L,Data!D:D=A654,Data!B:B=$B$1))+(FILTER(Data!G:G,Data!D:D=A654,Data!B:B=$B$1)*4)+(FILTER(Data!K:K,Data!D:D=A654,Data!B:B=$B$1)*2)+(((COUNTIF(FILTER(Data!N:N,Data!D:D=A654,Data!B:B=$B$"&amp;"1),""TRAVERSE"")*15)+(COUNTIF(FILTER(Data!N:N,Data!D:D=A654,Data!B:B=$B$1),""HIGH"")*10)+(COUNTIF(FILTER(Data!N:N,Data!D:D=A654,Data!B:B=$B$1),""MIDDLE"")*6)+(COUNTIF(FILTER(Data!N:N,Data!D:D=A654,Data!B:B=$B$1),""LOW"")*4))),"""")"),"")</f>
        <v/>
      </c>
      <c r="L654" s="136" t="str">
        <f>IFERROR(__xludf.DUMMYFUNCTION("IFERROR((FILTER(Data!P:P,Data!D:D=A654,Data!B:B=$B$1)),"""")"),"")</f>
        <v/>
      </c>
      <c r="M654" s="137" t="str">
        <f>IFERROR(__xludf.DUMMYFUNCTION("IFERROR((FILTER(Data!A:A,Data!D:D=A654,Data!B:B=$B$1)),"""")"),"")</f>
        <v/>
      </c>
      <c r="T654" s="52">
        <f>IFERROR(__xludf.DUMMYFUNCTION("((COUNTIF(FILTER(Data!N:N,Data!D:D=A654,Data!B:B=$B$1),""TRAVERSE"")*15)+(COUNTIF(FILTER(Data!N:N,Data!D:D=A654,Data!B:B=B$1),""HIGH"")*10)+(COUNTIF(FILTER(Data!N:N,Data!D:D=A654,Data!B:B=$B$1),""MIDDLE"")*6)+(COUNTIF(FILTER(Data!N:N,Data!D:D=A654,Data!B:"&amp;"B=$B$1),""LOW"")*4))"),0.0)</f>
        <v>0</v>
      </c>
      <c r="V654" s="138" t="str">
        <f>IF(Data!B646='Team Parser'!$B$1, Data!D646,"")</f>
        <v/>
      </c>
      <c r="W654" s="134" t="str">
        <f>IF(Data!$B646='Team Parser'!$B$1, Data!H646,"")</f>
        <v/>
      </c>
      <c r="X654" s="134" t="str">
        <f>IF(Data!$B646='Team Parser'!$B$1, Data!G646,"")</f>
        <v/>
      </c>
      <c r="Y654" s="134" t="str">
        <f>IF(Data!$B646='Team Parser'!$B$1, Data!L646,"")</f>
        <v/>
      </c>
      <c r="Z654" s="134" t="str">
        <f>IF(Data!$B646='Team Parser'!$B$1, Data!K646,"")</f>
        <v/>
      </c>
      <c r="AA654" s="134" t="str">
        <f>IF(Data!$B646='Team Parser'!$B$1, Data!M646,"")</f>
        <v/>
      </c>
      <c r="AB654" s="134" t="str">
        <f>IF(Data!$B646='Team Parser'!$B$1,((Z654*2)+(Y654)+(X654*4)+(W654*2)),"")</f>
        <v/>
      </c>
      <c r="AC654" s="134" t="str">
        <f>IF(Data!$B646='Team Parser'!$B$1, Data!N646,"")</f>
        <v/>
      </c>
      <c r="AD654" s="139" t="str">
        <f>IF(Data!$B646='Team Parser'!$B$1,(AB654+(COUNTIF(AC654,"TRAVERSE")*15)+(COUNTIF(AC654,"HIGH")*10)+(COUNTIF(AC654,"MIDDLE")*6)+(COUNTIF(AC654,"LOW")*4)),"")</f>
        <v/>
      </c>
    </row>
    <row r="655">
      <c r="A655" s="141" t="s">
        <v>507</v>
      </c>
      <c r="B655" s="134" t="str">
        <f>IFERROR(__xludf.DUMMYFUNCTION("IFERROR((FILTER(Data!H:H,Data!D:D=A655,Data!B:B=$B$1)),"""")"),"")</f>
        <v/>
      </c>
      <c r="C655" s="134" t="str">
        <f>IFERROR(__xludf.DUMMYFUNCTION("IFERROR((FILTER(Data!G:G,Data!D:D=A655,Data!B:B=$B$1)),"""")"),"")</f>
        <v/>
      </c>
      <c r="D655" s="134" t="str">
        <f>IFERROR(__xludf.DUMMYFUNCTION("IFERROR((FILTER(Data!J:J,Data!D:D=A655,Data!B:B=$B$1)),"""")"),"")</f>
        <v/>
      </c>
      <c r="E655" s="134" t="str">
        <f>IFERROR(__xludf.DUMMYFUNCTION("IFERROR((FILTER(Data!L:L,Data!D:D=A655,Data!B:B=$B$1)),"""")"),"")</f>
        <v/>
      </c>
      <c r="F655" s="134" t="str">
        <f>IFERROR(__xludf.DUMMYFUNCTION("IFERROR((FILTER(Data!K:K,Data!D:D=A655,Data!B:B=$B$1)),"""")"),"")</f>
        <v/>
      </c>
      <c r="G655" s="134" t="str">
        <f>IFERROR(__xludf.DUMMYFUNCTION("IFERROR((FILTER(Data!M:M,Data!D:D=A655,Data!B:B=$B$1)),"""")"),"")</f>
        <v/>
      </c>
      <c r="H655" s="134" t="str">
        <f>IFERROR(__xludf.DUMMYFUNCTION("IFERROR((FILTER(Data!G:G,Data!D:D=A655,Data!B:B=$B$1)*4)+(FILTER(Data!H:H,Data!D:D=A655,Data!B:B=$B$1)*2),"""")"),"")</f>
        <v/>
      </c>
      <c r="I655" s="15" t="str">
        <f>IFERROR(__xludf.DUMMYFUNCTION("IFERROR((FILTER(Data!K:K,Data!D:D=A655,Data!B:B=$B$1)*2)+(FILTER(Data!L:L,Data!D:D=A655,Data!B:B=$B$1)),"""")"),"")</f>
        <v/>
      </c>
      <c r="J655" s="134" t="str">
        <f>IFERROR(__xludf.DUMMYFUNCTION("IFERROR((FILTER(Data!N:N,Data!D:D=A655,Data!B:B=$B$1)),"""")"),"")</f>
        <v/>
      </c>
      <c r="K655" s="135" t="str">
        <f>IFERROR(__xludf.DUMMYFUNCTION("IFERROR((FILTER(Data!H:H,Data!D:D=A655,Data!B:B=$B$1)*2)+(FILTER(Data!L:L,Data!D:D=A655,Data!B:B=$B$1))+(FILTER(Data!G:G,Data!D:D=A655,Data!B:B=$B$1)*4)+(FILTER(Data!K:K,Data!D:D=A655,Data!B:B=$B$1)*2)+(((COUNTIF(FILTER(Data!N:N,Data!D:D=A655,Data!B:B=$B$"&amp;"1),""TRAVERSE"")*15)+(COUNTIF(FILTER(Data!N:N,Data!D:D=A655,Data!B:B=$B$1),""HIGH"")*10)+(COUNTIF(FILTER(Data!N:N,Data!D:D=A655,Data!B:B=$B$1),""MIDDLE"")*6)+(COUNTIF(FILTER(Data!N:N,Data!D:D=A655,Data!B:B=$B$1),""LOW"")*4))),"""")"),"")</f>
        <v/>
      </c>
      <c r="L655" s="136" t="str">
        <f>IFERROR(__xludf.DUMMYFUNCTION("IFERROR((FILTER(Data!P:P,Data!D:D=A655,Data!B:B=$B$1)),"""")"),"")</f>
        <v/>
      </c>
      <c r="M655" s="137" t="str">
        <f>IFERROR(__xludf.DUMMYFUNCTION("IFERROR((FILTER(Data!A:A,Data!D:D=A655,Data!B:B=$B$1)),"""")"),"")</f>
        <v/>
      </c>
      <c r="T655" s="52">
        <f>IFERROR(__xludf.DUMMYFUNCTION("((COUNTIF(FILTER(Data!N:N,Data!D:D=A655,Data!B:B=$B$1),""TRAVERSE"")*15)+(COUNTIF(FILTER(Data!N:N,Data!D:D=A655,Data!B:B=B$1),""HIGH"")*10)+(COUNTIF(FILTER(Data!N:N,Data!D:D=A655,Data!B:B=$B$1),""MIDDLE"")*6)+(COUNTIF(FILTER(Data!N:N,Data!D:D=A655,Data!B:"&amp;"B=$B$1),""LOW"")*4))"),0.0)</f>
        <v>0</v>
      </c>
      <c r="V655" s="138" t="str">
        <f>IF(Data!B647='Team Parser'!$B$1, Data!D647,"")</f>
        <v/>
      </c>
      <c r="W655" s="134" t="str">
        <f>IF(Data!$B647='Team Parser'!$B$1, Data!H647,"")</f>
        <v/>
      </c>
      <c r="X655" s="134" t="str">
        <f>IF(Data!$B647='Team Parser'!$B$1, Data!G647,"")</f>
        <v/>
      </c>
      <c r="Y655" s="134" t="str">
        <f>IF(Data!$B647='Team Parser'!$B$1, Data!L647,"")</f>
        <v/>
      </c>
      <c r="Z655" s="134" t="str">
        <f>IF(Data!$B647='Team Parser'!$B$1, Data!K647,"")</f>
        <v/>
      </c>
      <c r="AA655" s="134" t="str">
        <f>IF(Data!$B647='Team Parser'!$B$1, Data!M647,"")</f>
        <v/>
      </c>
      <c r="AB655" s="134" t="str">
        <f>IF(Data!$B647='Team Parser'!$B$1,((Z655*2)+(Y655)+(X655*4)+(W655*2)),"")</f>
        <v/>
      </c>
      <c r="AC655" s="134" t="str">
        <f>IF(Data!$B647='Team Parser'!$B$1, Data!N647,"")</f>
        <v/>
      </c>
      <c r="AD655" s="139" t="str">
        <f>IF(Data!$B647='Team Parser'!$B$1,(AB655+(COUNTIF(AC655,"TRAVERSE")*15)+(COUNTIF(AC655,"HIGH")*10)+(COUNTIF(AC655,"MIDDLE")*6)+(COUNTIF(AC655,"LOW")*4)),"")</f>
        <v/>
      </c>
    </row>
    <row r="656">
      <c r="A656" s="141" t="s">
        <v>507</v>
      </c>
      <c r="B656" s="134" t="str">
        <f>IFERROR(__xludf.DUMMYFUNCTION("IFERROR((FILTER(Data!H:H,Data!D:D=A656,Data!B:B=$B$1)),"""")"),"")</f>
        <v/>
      </c>
      <c r="C656" s="134" t="str">
        <f>IFERROR(__xludf.DUMMYFUNCTION("IFERROR((FILTER(Data!G:G,Data!D:D=A656,Data!B:B=$B$1)),"""")"),"")</f>
        <v/>
      </c>
      <c r="D656" s="134" t="str">
        <f>IFERROR(__xludf.DUMMYFUNCTION("IFERROR((FILTER(Data!J:J,Data!D:D=A656,Data!B:B=$B$1)),"""")"),"")</f>
        <v/>
      </c>
      <c r="E656" s="134" t="str">
        <f>IFERROR(__xludf.DUMMYFUNCTION("IFERROR((FILTER(Data!L:L,Data!D:D=A656,Data!B:B=$B$1)),"""")"),"")</f>
        <v/>
      </c>
      <c r="F656" s="134" t="str">
        <f>IFERROR(__xludf.DUMMYFUNCTION("IFERROR((FILTER(Data!K:K,Data!D:D=A656,Data!B:B=$B$1)),"""")"),"")</f>
        <v/>
      </c>
      <c r="G656" s="134" t="str">
        <f>IFERROR(__xludf.DUMMYFUNCTION("IFERROR((FILTER(Data!M:M,Data!D:D=A656,Data!B:B=$B$1)),"""")"),"")</f>
        <v/>
      </c>
      <c r="H656" s="134" t="str">
        <f>IFERROR(__xludf.DUMMYFUNCTION("IFERROR((FILTER(Data!G:G,Data!D:D=A656,Data!B:B=$B$1)*4)+(FILTER(Data!H:H,Data!D:D=A656,Data!B:B=$B$1)*2),"""")"),"")</f>
        <v/>
      </c>
      <c r="I656" s="15" t="str">
        <f>IFERROR(__xludf.DUMMYFUNCTION("IFERROR((FILTER(Data!K:K,Data!D:D=A656,Data!B:B=$B$1)*2)+(FILTER(Data!L:L,Data!D:D=A656,Data!B:B=$B$1)),"""")"),"")</f>
        <v/>
      </c>
      <c r="J656" s="134" t="str">
        <f>IFERROR(__xludf.DUMMYFUNCTION("IFERROR((FILTER(Data!N:N,Data!D:D=A656,Data!B:B=$B$1)),"""")"),"")</f>
        <v/>
      </c>
      <c r="K656" s="135" t="str">
        <f>IFERROR(__xludf.DUMMYFUNCTION("IFERROR((FILTER(Data!H:H,Data!D:D=A656,Data!B:B=$B$1)*2)+(FILTER(Data!L:L,Data!D:D=A656,Data!B:B=$B$1))+(FILTER(Data!G:G,Data!D:D=A656,Data!B:B=$B$1)*4)+(FILTER(Data!K:K,Data!D:D=A656,Data!B:B=$B$1)*2)+(((COUNTIF(FILTER(Data!N:N,Data!D:D=A656,Data!B:B=$B$"&amp;"1),""TRAVERSE"")*15)+(COUNTIF(FILTER(Data!N:N,Data!D:D=A656,Data!B:B=$B$1),""HIGH"")*10)+(COUNTIF(FILTER(Data!N:N,Data!D:D=A656,Data!B:B=$B$1),""MIDDLE"")*6)+(COUNTIF(FILTER(Data!N:N,Data!D:D=A656,Data!B:B=$B$1),""LOW"")*4))),"""")"),"")</f>
        <v/>
      </c>
      <c r="L656" s="136" t="str">
        <f>IFERROR(__xludf.DUMMYFUNCTION("IFERROR((FILTER(Data!P:P,Data!D:D=A656,Data!B:B=$B$1)),"""")"),"")</f>
        <v/>
      </c>
      <c r="M656" s="137" t="str">
        <f>IFERROR(__xludf.DUMMYFUNCTION("IFERROR((FILTER(Data!A:A,Data!D:D=A656,Data!B:B=$B$1)),"""")"),"")</f>
        <v/>
      </c>
      <c r="T656" s="52">
        <f>IFERROR(__xludf.DUMMYFUNCTION("((COUNTIF(FILTER(Data!N:N,Data!D:D=A656,Data!B:B=$B$1),""TRAVERSE"")*15)+(COUNTIF(FILTER(Data!N:N,Data!D:D=A656,Data!B:B=B$1),""HIGH"")*10)+(COUNTIF(FILTER(Data!N:N,Data!D:D=A656,Data!B:B=$B$1),""MIDDLE"")*6)+(COUNTIF(FILTER(Data!N:N,Data!D:D=A656,Data!B:"&amp;"B=$B$1),""LOW"")*4))"),0.0)</f>
        <v>0</v>
      </c>
      <c r="V656" s="138" t="str">
        <f>IF(Data!B648='Team Parser'!$B$1, Data!D648,"")</f>
        <v/>
      </c>
      <c r="W656" s="134" t="str">
        <f>IF(Data!$B648='Team Parser'!$B$1, Data!H648,"")</f>
        <v/>
      </c>
      <c r="X656" s="134" t="str">
        <f>IF(Data!$B648='Team Parser'!$B$1, Data!G648,"")</f>
        <v/>
      </c>
      <c r="Y656" s="134" t="str">
        <f>IF(Data!$B648='Team Parser'!$B$1, Data!L648,"")</f>
        <v/>
      </c>
      <c r="Z656" s="134" t="str">
        <f>IF(Data!$B648='Team Parser'!$B$1, Data!K648,"")</f>
        <v/>
      </c>
      <c r="AA656" s="134" t="str">
        <f>IF(Data!$B648='Team Parser'!$B$1, Data!M648,"")</f>
        <v/>
      </c>
      <c r="AB656" s="134" t="str">
        <f>IF(Data!$B648='Team Parser'!$B$1,((Z656*2)+(Y656)+(X656*4)+(W656*2)),"")</f>
        <v/>
      </c>
      <c r="AC656" s="134" t="str">
        <f>IF(Data!$B648='Team Parser'!$B$1, Data!N648,"")</f>
        <v/>
      </c>
      <c r="AD656" s="139" t="str">
        <f>IF(Data!$B648='Team Parser'!$B$1,(AB656+(COUNTIF(AC656,"TRAVERSE")*15)+(COUNTIF(AC656,"HIGH")*10)+(COUNTIF(AC656,"MIDDLE")*6)+(COUNTIF(AC656,"LOW")*4)),"")</f>
        <v/>
      </c>
    </row>
    <row r="657">
      <c r="A657" s="141" t="s">
        <v>507</v>
      </c>
      <c r="B657" s="134" t="str">
        <f>IFERROR(__xludf.DUMMYFUNCTION("IFERROR((FILTER(Data!H:H,Data!D:D=A657,Data!B:B=$B$1)),"""")"),"")</f>
        <v/>
      </c>
      <c r="C657" s="134" t="str">
        <f>IFERROR(__xludf.DUMMYFUNCTION("IFERROR((FILTER(Data!G:G,Data!D:D=A657,Data!B:B=$B$1)),"""")"),"")</f>
        <v/>
      </c>
      <c r="D657" s="134" t="str">
        <f>IFERROR(__xludf.DUMMYFUNCTION("IFERROR((FILTER(Data!J:J,Data!D:D=A657,Data!B:B=$B$1)),"""")"),"")</f>
        <v/>
      </c>
      <c r="E657" s="134" t="str">
        <f>IFERROR(__xludf.DUMMYFUNCTION("IFERROR((FILTER(Data!L:L,Data!D:D=A657,Data!B:B=$B$1)),"""")"),"")</f>
        <v/>
      </c>
      <c r="F657" s="134" t="str">
        <f>IFERROR(__xludf.DUMMYFUNCTION("IFERROR((FILTER(Data!K:K,Data!D:D=A657,Data!B:B=$B$1)),"""")"),"")</f>
        <v/>
      </c>
      <c r="G657" s="134" t="str">
        <f>IFERROR(__xludf.DUMMYFUNCTION("IFERROR((FILTER(Data!M:M,Data!D:D=A657,Data!B:B=$B$1)),"""")"),"")</f>
        <v/>
      </c>
      <c r="H657" s="134" t="str">
        <f>IFERROR(__xludf.DUMMYFUNCTION("IFERROR((FILTER(Data!G:G,Data!D:D=A657,Data!B:B=$B$1)*4)+(FILTER(Data!H:H,Data!D:D=A657,Data!B:B=$B$1)*2),"""")"),"")</f>
        <v/>
      </c>
      <c r="I657" s="15" t="str">
        <f>IFERROR(__xludf.DUMMYFUNCTION("IFERROR((FILTER(Data!K:K,Data!D:D=A657,Data!B:B=$B$1)*2)+(FILTER(Data!L:L,Data!D:D=A657,Data!B:B=$B$1)),"""")"),"")</f>
        <v/>
      </c>
      <c r="J657" s="134" t="str">
        <f>IFERROR(__xludf.DUMMYFUNCTION("IFERROR((FILTER(Data!N:N,Data!D:D=A657,Data!B:B=$B$1)),"""")"),"")</f>
        <v/>
      </c>
      <c r="K657" s="135" t="str">
        <f>IFERROR(__xludf.DUMMYFUNCTION("IFERROR((FILTER(Data!H:H,Data!D:D=A657,Data!B:B=$B$1)*2)+(FILTER(Data!L:L,Data!D:D=A657,Data!B:B=$B$1))+(FILTER(Data!G:G,Data!D:D=A657,Data!B:B=$B$1)*4)+(FILTER(Data!K:K,Data!D:D=A657,Data!B:B=$B$1)*2)+(((COUNTIF(FILTER(Data!N:N,Data!D:D=A657,Data!B:B=$B$"&amp;"1),""TRAVERSE"")*15)+(COUNTIF(FILTER(Data!N:N,Data!D:D=A657,Data!B:B=$B$1),""HIGH"")*10)+(COUNTIF(FILTER(Data!N:N,Data!D:D=A657,Data!B:B=$B$1),""MIDDLE"")*6)+(COUNTIF(FILTER(Data!N:N,Data!D:D=A657,Data!B:B=$B$1),""LOW"")*4))),"""")"),"")</f>
        <v/>
      </c>
      <c r="L657" s="136" t="str">
        <f>IFERROR(__xludf.DUMMYFUNCTION("IFERROR((FILTER(Data!P:P,Data!D:D=A657,Data!B:B=$B$1)),"""")"),"")</f>
        <v/>
      </c>
      <c r="M657" s="137" t="str">
        <f>IFERROR(__xludf.DUMMYFUNCTION("IFERROR((FILTER(Data!A:A,Data!D:D=A657,Data!B:B=$B$1)),"""")"),"")</f>
        <v/>
      </c>
      <c r="T657" s="52">
        <f>IFERROR(__xludf.DUMMYFUNCTION("((COUNTIF(FILTER(Data!N:N,Data!D:D=A657,Data!B:B=$B$1),""TRAVERSE"")*15)+(COUNTIF(FILTER(Data!N:N,Data!D:D=A657,Data!B:B=B$1),""HIGH"")*10)+(COUNTIF(FILTER(Data!N:N,Data!D:D=A657,Data!B:B=$B$1),""MIDDLE"")*6)+(COUNTIF(FILTER(Data!N:N,Data!D:D=A657,Data!B:"&amp;"B=$B$1),""LOW"")*4))"),0.0)</f>
        <v>0</v>
      </c>
      <c r="V657" s="138" t="str">
        <f>IF(Data!B649='Team Parser'!$B$1, Data!D649,"")</f>
        <v/>
      </c>
      <c r="W657" s="134" t="str">
        <f>IF(Data!$B649='Team Parser'!$B$1, Data!H649,"")</f>
        <v/>
      </c>
      <c r="X657" s="134" t="str">
        <f>IF(Data!$B649='Team Parser'!$B$1, Data!G649,"")</f>
        <v/>
      </c>
      <c r="Y657" s="134" t="str">
        <f>IF(Data!$B649='Team Parser'!$B$1, Data!L649,"")</f>
        <v/>
      </c>
      <c r="Z657" s="134" t="str">
        <f>IF(Data!$B649='Team Parser'!$B$1, Data!K649,"")</f>
        <v/>
      </c>
      <c r="AA657" s="134" t="str">
        <f>IF(Data!$B649='Team Parser'!$B$1, Data!M649,"")</f>
        <v/>
      </c>
      <c r="AB657" s="134" t="str">
        <f>IF(Data!$B649='Team Parser'!$B$1,((Z657*2)+(Y657)+(X657*4)+(W657*2)),"")</f>
        <v/>
      </c>
      <c r="AC657" s="134" t="str">
        <f>IF(Data!$B649='Team Parser'!$B$1, Data!N649,"")</f>
        <v/>
      </c>
      <c r="AD657" s="139" t="str">
        <f>IF(Data!$B649='Team Parser'!$B$1,(AB657+(COUNTIF(AC657,"TRAVERSE")*15)+(COUNTIF(AC657,"HIGH")*10)+(COUNTIF(AC657,"MIDDLE")*6)+(COUNTIF(AC657,"LOW")*4)),"")</f>
        <v/>
      </c>
    </row>
    <row r="658">
      <c r="A658" s="141" t="s">
        <v>507</v>
      </c>
      <c r="B658" s="134" t="str">
        <f>IFERROR(__xludf.DUMMYFUNCTION("IFERROR((FILTER(Data!H:H,Data!D:D=A658,Data!B:B=$B$1)),"""")"),"")</f>
        <v/>
      </c>
      <c r="C658" s="134" t="str">
        <f>IFERROR(__xludf.DUMMYFUNCTION("IFERROR((FILTER(Data!G:G,Data!D:D=A658,Data!B:B=$B$1)),"""")"),"")</f>
        <v/>
      </c>
      <c r="D658" s="134" t="str">
        <f>IFERROR(__xludf.DUMMYFUNCTION("IFERROR((FILTER(Data!J:J,Data!D:D=A658,Data!B:B=$B$1)),"""")"),"")</f>
        <v/>
      </c>
      <c r="E658" s="134" t="str">
        <f>IFERROR(__xludf.DUMMYFUNCTION("IFERROR((FILTER(Data!L:L,Data!D:D=A658,Data!B:B=$B$1)),"""")"),"")</f>
        <v/>
      </c>
      <c r="F658" s="134" t="str">
        <f>IFERROR(__xludf.DUMMYFUNCTION("IFERROR((FILTER(Data!K:K,Data!D:D=A658,Data!B:B=$B$1)),"""")"),"")</f>
        <v/>
      </c>
      <c r="G658" s="134" t="str">
        <f>IFERROR(__xludf.DUMMYFUNCTION("IFERROR((FILTER(Data!M:M,Data!D:D=A658,Data!B:B=$B$1)),"""")"),"")</f>
        <v/>
      </c>
      <c r="H658" s="134" t="str">
        <f>IFERROR(__xludf.DUMMYFUNCTION("IFERROR((FILTER(Data!G:G,Data!D:D=A658,Data!B:B=$B$1)*4)+(FILTER(Data!H:H,Data!D:D=A658,Data!B:B=$B$1)*2),"""")"),"")</f>
        <v/>
      </c>
      <c r="I658" s="15" t="str">
        <f>IFERROR(__xludf.DUMMYFUNCTION("IFERROR((FILTER(Data!K:K,Data!D:D=A658,Data!B:B=$B$1)*2)+(FILTER(Data!L:L,Data!D:D=A658,Data!B:B=$B$1)),"""")"),"")</f>
        <v/>
      </c>
      <c r="J658" s="134" t="str">
        <f>IFERROR(__xludf.DUMMYFUNCTION("IFERROR((FILTER(Data!N:N,Data!D:D=A658,Data!B:B=$B$1)),"""")"),"")</f>
        <v/>
      </c>
      <c r="K658" s="135" t="str">
        <f>IFERROR(__xludf.DUMMYFUNCTION("IFERROR((FILTER(Data!H:H,Data!D:D=A658,Data!B:B=$B$1)*2)+(FILTER(Data!L:L,Data!D:D=A658,Data!B:B=$B$1))+(FILTER(Data!G:G,Data!D:D=A658,Data!B:B=$B$1)*4)+(FILTER(Data!K:K,Data!D:D=A658,Data!B:B=$B$1)*2)+(((COUNTIF(FILTER(Data!N:N,Data!D:D=A658,Data!B:B=$B$"&amp;"1),""TRAVERSE"")*15)+(COUNTIF(FILTER(Data!N:N,Data!D:D=A658,Data!B:B=$B$1),""HIGH"")*10)+(COUNTIF(FILTER(Data!N:N,Data!D:D=A658,Data!B:B=$B$1),""MIDDLE"")*6)+(COUNTIF(FILTER(Data!N:N,Data!D:D=A658,Data!B:B=$B$1),""LOW"")*4))),"""")"),"")</f>
        <v/>
      </c>
      <c r="L658" s="136" t="str">
        <f>IFERROR(__xludf.DUMMYFUNCTION("IFERROR((FILTER(Data!P:P,Data!D:D=A658,Data!B:B=$B$1)),"""")"),"")</f>
        <v/>
      </c>
      <c r="M658" s="137" t="str">
        <f>IFERROR(__xludf.DUMMYFUNCTION("IFERROR((FILTER(Data!A:A,Data!D:D=A658,Data!B:B=$B$1)),"""")"),"")</f>
        <v/>
      </c>
      <c r="T658" s="52">
        <f>IFERROR(__xludf.DUMMYFUNCTION("((COUNTIF(FILTER(Data!N:N,Data!D:D=A658,Data!B:B=$B$1),""TRAVERSE"")*15)+(COUNTIF(FILTER(Data!N:N,Data!D:D=A658,Data!B:B=B$1),""HIGH"")*10)+(COUNTIF(FILTER(Data!N:N,Data!D:D=A658,Data!B:B=$B$1),""MIDDLE"")*6)+(COUNTIF(FILTER(Data!N:N,Data!D:D=A658,Data!B:"&amp;"B=$B$1),""LOW"")*4))"),0.0)</f>
        <v>0</v>
      </c>
      <c r="V658" s="138" t="str">
        <f>IF(Data!B650='Team Parser'!$B$1, Data!D650,"")</f>
        <v/>
      </c>
      <c r="W658" s="134" t="str">
        <f>IF(Data!$B650='Team Parser'!$B$1, Data!H650,"")</f>
        <v/>
      </c>
      <c r="X658" s="134" t="str">
        <f>IF(Data!$B650='Team Parser'!$B$1, Data!G650,"")</f>
        <v/>
      </c>
      <c r="Y658" s="134" t="str">
        <f>IF(Data!$B650='Team Parser'!$B$1, Data!L650,"")</f>
        <v/>
      </c>
      <c r="Z658" s="134" t="str">
        <f>IF(Data!$B650='Team Parser'!$B$1, Data!K650,"")</f>
        <v/>
      </c>
      <c r="AA658" s="134" t="str">
        <f>IF(Data!$B650='Team Parser'!$B$1, Data!M650,"")</f>
        <v/>
      </c>
      <c r="AB658" s="134" t="str">
        <f>IF(Data!$B650='Team Parser'!$B$1,((Z658*2)+(Y658)+(X658*4)+(W658*2)),"")</f>
        <v/>
      </c>
      <c r="AC658" s="134" t="str">
        <f>IF(Data!$B650='Team Parser'!$B$1, Data!N650,"")</f>
        <v/>
      </c>
      <c r="AD658" s="139" t="str">
        <f>IF(Data!$B650='Team Parser'!$B$1,(AB658+(COUNTIF(AC658,"TRAVERSE")*15)+(COUNTIF(AC658,"HIGH")*10)+(COUNTIF(AC658,"MIDDLE")*6)+(COUNTIF(AC658,"LOW")*4)),"")</f>
        <v/>
      </c>
    </row>
    <row r="659">
      <c r="A659" s="141" t="s">
        <v>507</v>
      </c>
      <c r="B659" s="134" t="str">
        <f>IFERROR(__xludf.DUMMYFUNCTION("IFERROR((FILTER(Data!H:H,Data!D:D=A659,Data!B:B=$B$1)),"""")"),"")</f>
        <v/>
      </c>
      <c r="C659" s="134" t="str">
        <f>IFERROR(__xludf.DUMMYFUNCTION("IFERROR((FILTER(Data!G:G,Data!D:D=A659,Data!B:B=$B$1)),"""")"),"")</f>
        <v/>
      </c>
      <c r="D659" s="134" t="str">
        <f>IFERROR(__xludf.DUMMYFUNCTION("IFERROR((FILTER(Data!J:J,Data!D:D=A659,Data!B:B=$B$1)),"""")"),"")</f>
        <v/>
      </c>
      <c r="E659" s="134" t="str">
        <f>IFERROR(__xludf.DUMMYFUNCTION("IFERROR((FILTER(Data!L:L,Data!D:D=A659,Data!B:B=$B$1)),"""")"),"")</f>
        <v/>
      </c>
      <c r="F659" s="134" t="str">
        <f>IFERROR(__xludf.DUMMYFUNCTION("IFERROR((FILTER(Data!K:K,Data!D:D=A659,Data!B:B=$B$1)),"""")"),"")</f>
        <v/>
      </c>
      <c r="G659" s="134" t="str">
        <f>IFERROR(__xludf.DUMMYFUNCTION("IFERROR((FILTER(Data!M:M,Data!D:D=A659,Data!B:B=$B$1)),"""")"),"")</f>
        <v/>
      </c>
      <c r="H659" s="134" t="str">
        <f>IFERROR(__xludf.DUMMYFUNCTION("IFERROR((FILTER(Data!G:G,Data!D:D=A659,Data!B:B=$B$1)*4)+(FILTER(Data!H:H,Data!D:D=A659,Data!B:B=$B$1)*2),"""")"),"")</f>
        <v/>
      </c>
      <c r="I659" s="15" t="str">
        <f>IFERROR(__xludf.DUMMYFUNCTION("IFERROR((FILTER(Data!K:K,Data!D:D=A659,Data!B:B=$B$1)*2)+(FILTER(Data!L:L,Data!D:D=A659,Data!B:B=$B$1)),"""")"),"")</f>
        <v/>
      </c>
      <c r="J659" s="134" t="str">
        <f>IFERROR(__xludf.DUMMYFUNCTION("IFERROR((FILTER(Data!N:N,Data!D:D=A659,Data!B:B=$B$1)),"""")"),"")</f>
        <v/>
      </c>
      <c r="K659" s="135" t="str">
        <f>IFERROR(__xludf.DUMMYFUNCTION("IFERROR((FILTER(Data!H:H,Data!D:D=A659,Data!B:B=$B$1)*2)+(FILTER(Data!L:L,Data!D:D=A659,Data!B:B=$B$1))+(FILTER(Data!G:G,Data!D:D=A659,Data!B:B=$B$1)*4)+(FILTER(Data!K:K,Data!D:D=A659,Data!B:B=$B$1)*2)+(((COUNTIF(FILTER(Data!N:N,Data!D:D=A659,Data!B:B=$B$"&amp;"1),""TRAVERSE"")*15)+(COUNTIF(FILTER(Data!N:N,Data!D:D=A659,Data!B:B=$B$1),""HIGH"")*10)+(COUNTIF(FILTER(Data!N:N,Data!D:D=A659,Data!B:B=$B$1),""MIDDLE"")*6)+(COUNTIF(FILTER(Data!N:N,Data!D:D=A659,Data!B:B=$B$1),""LOW"")*4))),"""")"),"")</f>
        <v/>
      </c>
      <c r="L659" s="136" t="str">
        <f>IFERROR(__xludf.DUMMYFUNCTION("IFERROR((FILTER(Data!P:P,Data!D:D=A659,Data!B:B=$B$1)),"""")"),"")</f>
        <v/>
      </c>
      <c r="M659" s="137" t="str">
        <f>IFERROR(__xludf.DUMMYFUNCTION("IFERROR((FILTER(Data!A:A,Data!D:D=A659,Data!B:B=$B$1)),"""")"),"")</f>
        <v/>
      </c>
      <c r="T659" s="52">
        <f>IFERROR(__xludf.DUMMYFUNCTION("((COUNTIF(FILTER(Data!N:N,Data!D:D=A659,Data!B:B=$B$1),""TRAVERSE"")*15)+(COUNTIF(FILTER(Data!N:N,Data!D:D=A659,Data!B:B=B$1),""HIGH"")*10)+(COUNTIF(FILTER(Data!N:N,Data!D:D=A659,Data!B:B=$B$1),""MIDDLE"")*6)+(COUNTIF(FILTER(Data!N:N,Data!D:D=A659,Data!B:"&amp;"B=$B$1),""LOW"")*4))"),0.0)</f>
        <v>0</v>
      </c>
      <c r="V659" s="138" t="str">
        <f>IF(Data!B651='Team Parser'!$B$1, Data!D651,"")</f>
        <v/>
      </c>
      <c r="W659" s="134" t="str">
        <f>IF(Data!$B651='Team Parser'!$B$1, Data!H651,"")</f>
        <v/>
      </c>
      <c r="X659" s="134" t="str">
        <f>IF(Data!$B651='Team Parser'!$B$1, Data!G651,"")</f>
        <v/>
      </c>
      <c r="Y659" s="134" t="str">
        <f>IF(Data!$B651='Team Parser'!$B$1, Data!L651,"")</f>
        <v/>
      </c>
      <c r="Z659" s="134" t="str">
        <f>IF(Data!$B651='Team Parser'!$B$1, Data!K651,"")</f>
        <v/>
      </c>
      <c r="AA659" s="134" t="str">
        <f>IF(Data!$B651='Team Parser'!$B$1, Data!M651,"")</f>
        <v/>
      </c>
      <c r="AB659" s="134" t="str">
        <f>IF(Data!$B651='Team Parser'!$B$1,((Z659*2)+(Y659)+(X659*4)+(W659*2)),"")</f>
        <v/>
      </c>
      <c r="AC659" s="134" t="str">
        <f>IF(Data!$B651='Team Parser'!$B$1, Data!N651,"")</f>
        <v/>
      </c>
      <c r="AD659" s="139" t="str">
        <f>IF(Data!$B651='Team Parser'!$B$1,(AB659+(COUNTIF(AC659,"TRAVERSE")*15)+(COUNTIF(AC659,"HIGH")*10)+(COUNTIF(AC659,"MIDDLE")*6)+(COUNTIF(AC659,"LOW")*4)),"")</f>
        <v/>
      </c>
    </row>
    <row r="660">
      <c r="A660" s="141" t="s">
        <v>507</v>
      </c>
      <c r="B660" s="134" t="str">
        <f>IFERROR(__xludf.DUMMYFUNCTION("IFERROR((FILTER(Data!H:H,Data!D:D=A660,Data!B:B=$B$1)),"""")"),"")</f>
        <v/>
      </c>
      <c r="C660" s="134" t="str">
        <f>IFERROR(__xludf.DUMMYFUNCTION("IFERROR((FILTER(Data!G:G,Data!D:D=A660,Data!B:B=$B$1)),"""")"),"")</f>
        <v/>
      </c>
      <c r="D660" s="134" t="str">
        <f>IFERROR(__xludf.DUMMYFUNCTION("IFERROR((FILTER(Data!J:J,Data!D:D=A660,Data!B:B=$B$1)),"""")"),"")</f>
        <v/>
      </c>
      <c r="E660" s="134" t="str">
        <f>IFERROR(__xludf.DUMMYFUNCTION("IFERROR((FILTER(Data!L:L,Data!D:D=A660,Data!B:B=$B$1)),"""")"),"")</f>
        <v/>
      </c>
      <c r="F660" s="134" t="str">
        <f>IFERROR(__xludf.DUMMYFUNCTION("IFERROR((FILTER(Data!K:K,Data!D:D=A660,Data!B:B=$B$1)),"""")"),"")</f>
        <v/>
      </c>
      <c r="G660" s="134" t="str">
        <f>IFERROR(__xludf.DUMMYFUNCTION("IFERROR((FILTER(Data!M:M,Data!D:D=A660,Data!B:B=$B$1)),"""")"),"")</f>
        <v/>
      </c>
      <c r="H660" s="134" t="str">
        <f>IFERROR(__xludf.DUMMYFUNCTION("IFERROR((FILTER(Data!G:G,Data!D:D=A660,Data!B:B=$B$1)*4)+(FILTER(Data!H:H,Data!D:D=A660,Data!B:B=$B$1)*2),"""")"),"")</f>
        <v/>
      </c>
      <c r="I660" s="15" t="str">
        <f>IFERROR(__xludf.DUMMYFUNCTION("IFERROR((FILTER(Data!K:K,Data!D:D=A660,Data!B:B=$B$1)*2)+(FILTER(Data!L:L,Data!D:D=A660,Data!B:B=$B$1)),"""")"),"")</f>
        <v/>
      </c>
      <c r="J660" s="134" t="str">
        <f>IFERROR(__xludf.DUMMYFUNCTION("IFERROR((FILTER(Data!N:N,Data!D:D=A660,Data!B:B=$B$1)),"""")"),"")</f>
        <v/>
      </c>
      <c r="K660" s="135" t="str">
        <f>IFERROR(__xludf.DUMMYFUNCTION("IFERROR((FILTER(Data!H:H,Data!D:D=A660,Data!B:B=$B$1)*2)+(FILTER(Data!L:L,Data!D:D=A660,Data!B:B=$B$1))+(FILTER(Data!G:G,Data!D:D=A660,Data!B:B=$B$1)*4)+(FILTER(Data!K:K,Data!D:D=A660,Data!B:B=$B$1)*2)+(((COUNTIF(FILTER(Data!N:N,Data!D:D=A660,Data!B:B=$B$"&amp;"1),""TRAVERSE"")*15)+(COUNTIF(FILTER(Data!N:N,Data!D:D=A660,Data!B:B=$B$1),""HIGH"")*10)+(COUNTIF(FILTER(Data!N:N,Data!D:D=A660,Data!B:B=$B$1),""MIDDLE"")*6)+(COUNTIF(FILTER(Data!N:N,Data!D:D=A660,Data!B:B=$B$1),""LOW"")*4))),"""")"),"")</f>
        <v/>
      </c>
      <c r="L660" s="136" t="str">
        <f>IFERROR(__xludf.DUMMYFUNCTION("IFERROR((FILTER(Data!P:P,Data!D:D=A660,Data!B:B=$B$1)),"""")"),"")</f>
        <v/>
      </c>
      <c r="M660" s="137" t="str">
        <f>IFERROR(__xludf.DUMMYFUNCTION("IFERROR((FILTER(Data!A:A,Data!D:D=A660,Data!B:B=$B$1)),"""")"),"")</f>
        <v/>
      </c>
      <c r="T660" s="52">
        <f>IFERROR(__xludf.DUMMYFUNCTION("((COUNTIF(FILTER(Data!N:N,Data!D:D=A660,Data!B:B=$B$1),""TRAVERSE"")*15)+(COUNTIF(FILTER(Data!N:N,Data!D:D=A660,Data!B:B=B$1),""HIGH"")*10)+(COUNTIF(FILTER(Data!N:N,Data!D:D=A660,Data!B:B=$B$1),""MIDDLE"")*6)+(COUNTIF(FILTER(Data!N:N,Data!D:D=A660,Data!B:"&amp;"B=$B$1),""LOW"")*4))"),0.0)</f>
        <v>0</v>
      </c>
      <c r="V660" s="138" t="str">
        <f>IF(Data!B652='Team Parser'!$B$1, Data!D652,"")</f>
        <v/>
      </c>
      <c r="W660" s="134" t="str">
        <f>IF(Data!$B652='Team Parser'!$B$1, Data!H652,"")</f>
        <v/>
      </c>
      <c r="X660" s="134" t="str">
        <f>IF(Data!$B652='Team Parser'!$B$1, Data!G652,"")</f>
        <v/>
      </c>
      <c r="Y660" s="134" t="str">
        <f>IF(Data!$B652='Team Parser'!$B$1, Data!L652,"")</f>
        <v/>
      </c>
      <c r="Z660" s="134" t="str">
        <f>IF(Data!$B652='Team Parser'!$B$1, Data!K652,"")</f>
        <v/>
      </c>
      <c r="AA660" s="134" t="str">
        <f>IF(Data!$B652='Team Parser'!$B$1, Data!M652,"")</f>
        <v/>
      </c>
      <c r="AB660" s="134" t="str">
        <f>IF(Data!$B652='Team Parser'!$B$1,((Z660*2)+(Y660)+(X660*4)+(W660*2)),"")</f>
        <v/>
      </c>
      <c r="AC660" s="134" t="str">
        <f>IF(Data!$B652='Team Parser'!$B$1, Data!N652,"")</f>
        <v/>
      </c>
      <c r="AD660" s="139" t="str">
        <f>IF(Data!$B652='Team Parser'!$B$1,(AB660+(COUNTIF(AC660,"TRAVERSE")*15)+(COUNTIF(AC660,"HIGH")*10)+(COUNTIF(AC660,"MIDDLE")*6)+(COUNTIF(AC660,"LOW")*4)),"")</f>
        <v/>
      </c>
    </row>
    <row r="661">
      <c r="A661" s="141" t="s">
        <v>507</v>
      </c>
      <c r="B661" s="134" t="str">
        <f>IFERROR(__xludf.DUMMYFUNCTION("IFERROR((FILTER(Data!H:H,Data!D:D=A661,Data!B:B=$B$1)),"""")"),"")</f>
        <v/>
      </c>
      <c r="C661" s="134" t="str">
        <f>IFERROR(__xludf.DUMMYFUNCTION("IFERROR((FILTER(Data!G:G,Data!D:D=A661,Data!B:B=$B$1)),"""")"),"")</f>
        <v/>
      </c>
      <c r="D661" s="134" t="str">
        <f>IFERROR(__xludf.DUMMYFUNCTION("IFERROR((FILTER(Data!J:J,Data!D:D=A661,Data!B:B=$B$1)),"""")"),"")</f>
        <v/>
      </c>
      <c r="E661" s="134" t="str">
        <f>IFERROR(__xludf.DUMMYFUNCTION("IFERROR((FILTER(Data!L:L,Data!D:D=A661,Data!B:B=$B$1)),"""")"),"")</f>
        <v/>
      </c>
      <c r="F661" s="134" t="str">
        <f>IFERROR(__xludf.DUMMYFUNCTION("IFERROR((FILTER(Data!K:K,Data!D:D=A661,Data!B:B=$B$1)),"""")"),"")</f>
        <v/>
      </c>
      <c r="G661" s="134" t="str">
        <f>IFERROR(__xludf.DUMMYFUNCTION("IFERROR((FILTER(Data!M:M,Data!D:D=A661,Data!B:B=$B$1)),"""")"),"")</f>
        <v/>
      </c>
      <c r="H661" s="134" t="str">
        <f>IFERROR(__xludf.DUMMYFUNCTION("IFERROR((FILTER(Data!G:G,Data!D:D=A661,Data!B:B=$B$1)*4)+(FILTER(Data!H:H,Data!D:D=A661,Data!B:B=$B$1)*2),"""")"),"")</f>
        <v/>
      </c>
      <c r="I661" s="15" t="str">
        <f>IFERROR(__xludf.DUMMYFUNCTION("IFERROR((FILTER(Data!K:K,Data!D:D=A661,Data!B:B=$B$1)*2)+(FILTER(Data!L:L,Data!D:D=A661,Data!B:B=$B$1)),"""")"),"")</f>
        <v/>
      </c>
      <c r="J661" s="134" t="str">
        <f>IFERROR(__xludf.DUMMYFUNCTION("IFERROR((FILTER(Data!N:N,Data!D:D=A661,Data!B:B=$B$1)),"""")"),"")</f>
        <v/>
      </c>
      <c r="K661" s="135" t="str">
        <f>IFERROR(__xludf.DUMMYFUNCTION("IFERROR((FILTER(Data!H:H,Data!D:D=A661,Data!B:B=$B$1)*2)+(FILTER(Data!L:L,Data!D:D=A661,Data!B:B=$B$1))+(FILTER(Data!G:G,Data!D:D=A661,Data!B:B=$B$1)*4)+(FILTER(Data!K:K,Data!D:D=A661,Data!B:B=$B$1)*2)+(((COUNTIF(FILTER(Data!N:N,Data!D:D=A661,Data!B:B=$B$"&amp;"1),""TRAVERSE"")*15)+(COUNTIF(FILTER(Data!N:N,Data!D:D=A661,Data!B:B=$B$1),""HIGH"")*10)+(COUNTIF(FILTER(Data!N:N,Data!D:D=A661,Data!B:B=$B$1),""MIDDLE"")*6)+(COUNTIF(FILTER(Data!N:N,Data!D:D=A661,Data!B:B=$B$1),""LOW"")*4))),"""")"),"")</f>
        <v/>
      </c>
      <c r="L661" s="136" t="str">
        <f>IFERROR(__xludf.DUMMYFUNCTION("IFERROR((FILTER(Data!P:P,Data!D:D=A661,Data!B:B=$B$1)),"""")"),"")</f>
        <v/>
      </c>
      <c r="M661" s="137" t="str">
        <f>IFERROR(__xludf.DUMMYFUNCTION("IFERROR((FILTER(Data!A:A,Data!D:D=A661,Data!B:B=$B$1)),"""")"),"")</f>
        <v/>
      </c>
      <c r="T661" s="52">
        <f>IFERROR(__xludf.DUMMYFUNCTION("((COUNTIF(FILTER(Data!N:N,Data!D:D=A661,Data!B:B=$B$1),""TRAVERSE"")*15)+(COUNTIF(FILTER(Data!N:N,Data!D:D=A661,Data!B:B=B$1),""HIGH"")*10)+(COUNTIF(FILTER(Data!N:N,Data!D:D=A661,Data!B:B=$B$1),""MIDDLE"")*6)+(COUNTIF(FILTER(Data!N:N,Data!D:D=A661,Data!B:"&amp;"B=$B$1),""LOW"")*4))"),0.0)</f>
        <v>0</v>
      </c>
      <c r="V661" s="138" t="str">
        <f>IF(Data!B653='Team Parser'!$B$1, Data!D653,"")</f>
        <v/>
      </c>
      <c r="W661" s="134" t="str">
        <f>IF(Data!$B653='Team Parser'!$B$1, Data!H653,"")</f>
        <v/>
      </c>
      <c r="X661" s="134" t="str">
        <f>IF(Data!$B653='Team Parser'!$B$1, Data!G653,"")</f>
        <v/>
      </c>
      <c r="Y661" s="134" t="str">
        <f>IF(Data!$B653='Team Parser'!$B$1, Data!L653,"")</f>
        <v/>
      </c>
      <c r="Z661" s="134" t="str">
        <f>IF(Data!$B653='Team Parser'!$B$1, Data!K653,"")</f>
        <v/>
      </c>
      <c r="AA661" s="134" t="str">
        <f>IF(Data!$B653='Team Parser'!$B$1, Data!M653,"")</f>
        <v/>
      </c>
      <c r="AB661" s="134" t="str">
        <f>IF(Data!$B653='Team Parser'!$B$1,((Z661*2)+(Y661)+(X661*4)+(W661*2)),"")</f>
        <v/>
      </c>
      <c r="AC661" s="134" t="str">
        <f>IF(Data!$B653='Team Parser'!$B$1, Data!N653,"")</f>
        <v/>
      </c>
      <c r="AD661" s="139" t="str">
        <f>IF(Data!$B653='Team Parser'!$B$1,(AB661+(COUNTIF(AC661,"TRAVERSE")*15)+(COUNTIF(AC661,"HIGH")*10)+(COUNTIF(AC661,"MIDDLE")*6)+(COUNTIF(AC661,"LOW")*4)),"")</f>
        <v/>
      </c>
    </row>
    <row r="662">
      <c r="A662" s="141" t="s">
        <v>507</v>
      </c>
      <c r="B662" s="134" t="str">
        <f>IFERROR(__xludf.DUMMYFUNCTION("IFERROR((FILTER(Data!H:H,Data!D:D=A662,Data!B:B=$B$1)),"""")"),"")</f>
        <v/>
      </c>
      <c r="C662" s="134" t="str">
        <f>IFERROR(__xludf.DUMMYFUNCTION("IFERROR((FILTER(Data!G:G,Data!D:D=A662,Data!B:B=$B$1)),"""")"),"")</f>
        <v/>
      </c>
      <c r="D662" s="134" t="str">
        <f>IFERROR(__xludf.DUMMYFUNCTION("IFERROR((FILTER(Data!J:J,Data!D:D=A662,Data!B:B=$B$1)),"""")"),"")</f>
        <v/>
      </c>
      <c r="E662" s="134" t="str">
        <f>IFERROR(__xludf.DUMMYFUNCTION("IFERROR((FILTER(Data!L:L,Data!D:D=A662,Data!B:B=$B$1)),"""")"),"")</f>
        <v/>
      </c>
      <c r="F662" s="134" t="str">
        <f>IFERROR(__xludf.DUMMYFUNCTION("IFERROR((FILTER(Data!K:K,Data!D:D=A662,Data!B:B=$B$1)),"""")"),"")</f>
        <v/>
      </c>
      <c r="G662" s="134" t="str">
        <f>IFERROR(__xludf.DUMMYFUNCTION("IFERROR((FILTER(Data!M:M,Data!D:D=A662,Data!B:B=$B$1)),"""")"),"")</f>
        <v/>
      </c>
      <c r="H662" s="134" t="str">
        <f>IFERROR(__xludf.DUMMYFUNCTION("IFERROR((FILTER(Data!G:G,Data!D:D=A662,Data!B:B=$B$1)*4)+(FILTER(Data!H:H,Data!D:D=A662,Data!B:B=$B$1)*2),"""")"),"")</f>
        <v/>
      </c>
      <c r="I662" s="15" t="str">
        <f>IFERROR(__xludf.DUMMYFUNCTION("IFERROR((FILTER(Data!K:K,Data!D:D=A662,Data!B:B=$B$1)*2)+(FILTER(Data!L:L,Data!D:D=A662,Data!B:B=$B$1)),"""")"),"")</f>
        <v/>
      </c>
      <c r="J662" s="134" t="str">
        <f>IFERROR(__xludf.DUMMYFUNCTION("IFERROR((FILTER(Data!N:N,Data!D:D=A662,Data!B:B=$B$1)),"""")"),"")</f>
        <v/>
      </c>
      <c r="K662" s="135" t="str">
        <f>IFERROR(__xludf.DUMMYFUNCTION("IFERROR((FILTER(Data!H:H,Data!D:D=A662,Data!B:B=$B$1)*2)+(FILTER(Data!L:L,Data!D:D=A662,Data!B:B=$B$1))+(FILTER(Data!G:G,Data!D:D=A662,Data!B:B=$B$1)*4)+(FILTER(Data!K:K,Data!D:D=A662,Data!B:B=$B$1)*2)+(((COUNTIF(FILTER(Data!N:N,Data!D:D=A662,Data!B:B=$B$"&amp;"1),""TRAVERSE"")*15)+(COUNTIF(FILTER(Data!N:N,Data!D:D=A662,Data!B:B=$B$1),""HIGH"")*10)+(COUNTIF(FILTER(Data!N:N,Data!D:D=A662,Data!B:B=$B$1),""MIDDLE"")*6)+(COUNTIF(FILTER(Data!N:N,Data!D:D=A662,Data!B:B=$B$1),""LOW"")*4))),"""")"),"")</f>
        <v/>
      </c>
      <c r="L662" s="136" t="str">
        <f>IFERROR(__xludf.DUMMYFUNCTION("IFERROR((FILTER(Data!P:P,Data!D:D=A662,Data!B:B=$B$1)),"""")"),"")</f>
        <v/>
      </c>
      <c r="M662" s="137" t="str">
        <f>IFERROR(__xludf.DUMMYFUNCTION("IFERROR((FILTER(Data!A:A,Data!D:D=A662,Data!B:B=$B$1)),"""")"),"")</f>
        <v/>
      </c>
      <c r="T662" s="52">
        <f>IFERROR(__xludf.DUMMYFUNCTION("((COUNTIF(FILTER(Data!N:N,Data!D:D=A662,Data!B:B=$B$1),""TRAVERSE"")*15)+(COUNTIF(FILTER(Data!N:N,Data!D:D=A662,Data!B:B=B$1),""HIGH"")*10)+(COUNTIF(FILTER(Data!N:N,Data!D:D=A662,Data!B:B=$B$1),""MIDDLE"")*6)+(COUNTIF(FILTER(Data!N:N,Data!D:D=A662,Data!B:"&amp;"B=$B$1),""LOW"")*4))"),0.0)</f>
        <v>0</v>
      </c>
      <c r="V662" s="138" t="str">
        <f>IF(Data!B654='Team Parser'!$B$1, Data!D654,"")</f>
        <v/>
      </c>
      <c r="W662" s="134" t="str">
        <f>IF(Data!$B654='Team Parser'!$B$1, Data!H654,"")</f>
        <v/>
      </c>
      <c r="X662" s="134" t="str">
        <f>IF(Data!$B654='Team Parser'!$B$1, Data!G654,"")</f>
        <v/>
      </c>
      <c r="Y662" s="134" t="str">
        <f>IF(Data!$B654='Team Parser'!$B$1, Data!L654,"")</f>
        <v/>
      </c>
      <c r="Z662" s="134" t="str">
        <f>IF(Data!$B654='Team Parser'!$B$1, Data!K654,"")</f>
        <v/>
      </c>
      <c r="AA662" s="134" t="str">
        <f>IF(Data!$B654='Team Parser'!$B$1, Data!M654,"")</f>
        <v/>
      </c>
      <c r="AB662" s="134" t="str">
        <f>IF(Data!$B654='Team Parser'!$B$1,((Z662*2)+(Y662)+(X662*4)+(W662*2)),"")</f>
        <v/>
      </c>
      <c r="AC662" s="134" t="str">
        <f>IF(Data!$B654='Team Parser'!$B$1, Data!N654,"")</f>
        <v/>
      </c>
      <c r="AD662" s="139" t="str">
        <f>IF(Data!$B654='Team Parser'!$B$1,(AB662+(COUNTIF(AC662,"TRAVERSE")*15)+(COUNTIF(AC662,"HIGH")*10)+(COUNTIF(AC662,"MIDDLE")*6)+(COUNTIF(AC662,"LOW")*4)),"")</f>
        <v/>
      </c>
    </row>
    <row r="663">
      <c r="A663" s="141" t="s">
        <v>507</v>
      </c>
      <c r="B663" s="134" t="str">
        <f>IFERROR(__xludf.DUMMYFUNCTION("IFERROR((FILTER(Data!H:H,Data!D:D=A663,Data!B:B=$B$1)),"""")"),"")</f>
        <v/>
      </c>
      <c r="C663" s="134" t="str">
        <f>IFERROR(__xludf.DUMMYFUNCTION("IFERROR((FILTER(Data!G:G,Data!D:D=A663,Data!B:B=$B$1)),"""")"),"")</f>
        <v/>
      </c>
      <c r="D663" s="134" t="str">
        <f>IFERROR(__xludf.DUMMYFUNCTION("IFERROR((FILTER(Data!J:J,Data!D:D=A663,Data!B:B=$B$1)),"""")"),"")</f>
        <v/>
      </c>
      <c r="E663" s="134" t="str">
        <f>IFERROR(__xludf.DUMMYFUNCTION("IFERROR((FILTER(Data!L:L,Data!D:D=A663,Data!B:B=$B$1)),"""")"),"")</f>
        <v/>
      </c>
      <c r="F663" s="134" t="str">
        <f>IFERROR(__xludf.DUMMYFUNCTION("IFERROR((FILTER(Data!K:K,Data!D:D=A663,Data!B:B=$B$1)),"""")"),"")</f>
        <v/>
      </c>
      <c r="G663" s="134" t="str">
        <f>IFERROR(__xludf.DUMMYFUNCTION("IFERROR((FILTER(Data!M:M,Data!D:D=A663,Data!B:B=$B$1)),"""")"),"")</f>
        <v/>
      </c>
      <c r="H663" s="134" t="str">
        <f>IFERROR(__xludf.DUMMYFUNCTION("IFERROR((FILTER(Data!G:G,Data!D:D=A663,Data!B:B=$B$1)*4)+(FILTER(Data!H:H,Data!D:D=A663,Data!B:B=$B$1)*2),"""")"),"")</f>
        <v/>
      </c>
      <c r="I663" s="15" t="str">
        <f>IFERROR(__xludf.DUMMYFUNCTION("IFERROR((FILTER(Data!K:K,Data!D:D=A663,Data!B:B=$B$1)*2)+(FILTER(Data!L:L,Data!D:D=A663,Data!B:B=$B$1)),"""")"),"")</f>
        <v/>
      </c>
      <c r="J663" s="134" t="str">
        <f>IFERROR(__xludf.DUMMYFUNCTION("IFERROR((FILTER(Data!N:N,Data!D:D=A663,Data!B:B=$B$1)),"""")"),"")</f>
        <v/>
      </c>
      <c r="K663" s="135" t="str">
        <f>IFERROR(__xludf.DUMMYFUNCTION("IFERROR((FILTER(Data!H:H,Data!D:D=A663,Data!B:B=$B$1)*2)+(FILTER(Data!L:L,Data!D:D=A663,Data!B:B=$B$1))+(FILTER(Data!G:G,Data!D:D=A663,Data!B:B=$B$1)*4)+(FILTER(Data!K:K,Data!D:D=A663,Data!B:B=$B$1)*2)+(((COUNTIF(FILTER(Data!N:N,Data!D:D=A663,Data!B:B=$B$"&amp;"1),""TRAVERSE"")*15)+(COUNTIF(FILTER(Data!N:N,Data!D:D=A663,Data!B:B=$B$1),""HIGH"")*10)+(COUNTIF(FILTER(Data!N:N,Data!D:D=A663,Data!B:B=$B$1),""MIDDLE"")*6)+(COUNTIF(FILTER(Data!N:N,Data!D:D=A663,Data!B:B=$B$1),""LOW"")*4))),"""")"),"")</f>
        <v/>
      </c>
      <c r="L663" s="136" t="str">
        <f>IFERROR(__xludf.DUMMYFUNCTION("IFERROR((FILTER(Data!P:P,Data!D:D=A663,Data!B:B=$B$1)),"""")"),"")</f>
        <v/>
      </c>
      <c r="M663" s="137" t="str">
        <f>IFERROR(__xludf.DUMMYFUNCTION("IFERROR((FILTER(Data!A:A,Data!D:D=A663,Data!B:B=$B$1)),"""")"),"")</f>
        <v/>
      </c>
      <c r="T663" s="52">
        <f>IFERROR(__xludf.DUMMYFUNCTION("((COUNTIF(FILTER(Data!N:N,Data!D:D=A663,Data!B:B=$B$1),""TRAVERSE"")*15)+(COUNTIF(FILTER(Data!N:N,Data!D:D=A663,Data!B:B=B$1),""HIGH"")*10)+(COUNTIF(FILTER(Data!N:N,Data!D:D=A663,Data!B:B=$B$1),""MIDDLE"")*6)+(COUNTIF(FILTER(Data!N:N,Data!D:D=A663,Data!B:"&amp;"B=$B$1),""LOW"")*4))"),0.0)</f>
        <v>0</v>
      </c>
      <c r="V663" s="138" t="str">
        <f>IF(Data!B655='Team Parser'!$B$1, Data!D655,"")</f>
        <v/>
      </c>
      <c r="W663" s="134" t="str">
        <f>IF(Data!$B655='Team Parser'!$B$1, Data!H655,"")</f>
        <v/>
      </c>
      <c r="X663" s="134" t="str">
        <f>IF(Data!$B655='Team Parser'!$B$1, Data!G655,"")</f>
        <v/>
      </c>
      <c r="Y663" s="134" t="str">
        <f>IF(Data!$B655='Team Parser'!$B$1, Data!L655,"")</f>
        <v/>
      </c>
      <c r="Z663" s="134" t="str">
        <f>IF(Data!$B655='Team Parser'!$B$1, Data!K655,"")</f>
        <v/>
      </c>
      <c r="AA663" s="134" t="str">
        <f>IF(Data!$B655='Team Parser'!$B$1, Data!M655,"")</f>
        <v/>
      </c>
      <c r="AB663" s="134" t="str">
        <f>IF(Data!$B655='Team Parser'!$B$1,((Z663*2)+(Y663)+(X663*4)+(W663*2)),"")</f>
        <v/>
      </c>
      <c r="AC663" s="134" t="str">
        <f>IF(Data!$B655='Team Parser'!$B$1, Data!N655,"")</f>
        <v/>
      </c>
      <c r="AD663" s="139" t="str">
        <f>IF(Data!$B655='Team Parser'!$B$1,(AB663+(COUNTIF(AC663,"TRAVERSE")*15)+(COUNTIF(AC663,"HIGH")*10)+(COUNTIF(AC663,"MIDDLE")*6)+(COUNTIF(AC663,"LOW")*4)),"")</f>
        <v/>
      </c>
    </row>
    <row r="664">
      <c r="A664" s="141" t="s">
        <v>507</v>
      </c>
      <c r="B664" s="134" t="str">
        <f>IFERROR(__xludf.DUMMYFUNCTION("IFERROR((FILTER(Data!H:H,Data!D:D=A664,Data!B:B=$B$1)),"""")"),"")</f>
        <v/>
      </c>
      <c r="C664" s="134" t="str">
        <f>IFERROR(__xludf.DUMMYFUNCTION("IFERROR((FILTER(Data!G:G,Data!D:D=A664,Data!B:B=$B$1)),"""")"),"")</f>
        <v/>
      </c>
      <c r="D664" s="134" t="str">
        <f>IFERROR(__xludf.DUMMYFUNCTION("IFERROR((FILTER(Data!J:J,Data!D:D=A664,Data!B:B=$B$1)),"""")"),"")</f>
        <v/>
      </c>
      <c r="E664" s="134" t="str">
        <f>IFERROR(__xludf.DUMMYFUNCTION("IFERROR((FILTER(Data!L:L,Data!D:D=A664,Data!B:B=$B$1)),"""")"),"")</f>
        <v/>
      </c>
      <c r="F664" s="134" t="str">
        <f>IFERROR(__xludf.DUMMYFUNCTION("IFERROR((FILTER(Data!K:K,Data!D:D=A664,Data!B:B=$B$1)),"""")"),"")</f>
        <v/>
      </c>
      <c r="G664" s="134" t="str">
        <f>IFERROR(__xludf.DUMMYFUNCTION("IFERROR((FILTER(Data!M:M,Data!D:D=A664,Data!B:B=$B$1)),"""")"),"")</f>
        <v/>
      </c>
      <c r="H664" s="134" t="str">
        <f>IFERROR(__xludf.DUMMYFUNCTION("IFERROR((FILTER(Data!G:G,Data!D:D=A664,Data!B:B=$B$1)*4)+(FILTER(Data!H:H,Data!D:D=A664,Data!B:B=$B$1)*2),"""")"),"")</f>
        <v/>
      </c>
      <c r="I664" s="15" t="str">
        <f>IFERROR(__xludf.DUMMYFUNCTION("IFERROR((FILTER(Data!K:K,Data!D:D=A664,Data!B:B=$B$1)*2)+(FILTER(Data!L:L,Data!D:D=A664,Data!B:B=$B$1)),"""")"),"")</f>
        <v/>
      </c>
      <c r="J664" s="134" t="str">
        <f>IFERROR(__xludf.DUMMYFUNCTION("IFERROR((FILTER(Data!N:N,Data!D:D=A664,Data!B:B=$B$1)),"""")"),"")</f>
        <v/>
      </c>
      <c r="K664" s="135" t="str">
        <f>IFERROR(__xludf.DUMMYFUNCTION("IFERROR((FILTER(Data!H:H,Data!D:D=A664,Data!B:B=$B$1)*2)+(FILTER(Data!L:L,Data!D:D=A664,Data!B:B=$B$1))+(FILTER(Data!G:G,Data!D:D=A664,Data!B:B=$B$1)*4)+(FILTER(Data!K:K,Data!D:D=A664,Data!B:B=$B$1)*2)+(((COUNTIF(FILTER(Data!N:N,Data!D:D=A664,Data!B:B=$B$"&amp;"1),""TRAVERSE"")*15)+(COUNTIF(FILTER(Data!N:N,Data!D:D=A664,Data!B:B=$B$1),""HIGH"")*10)+(COUNTIF(FILTER(Data!N:N,Data!D:D=A664,Data!B:B=$B$1),""MIDDLE"")*6)+(COUNTIF(FILTER(Data!N:N,Data!D:D=A664,Data!B:B=$B$1),""LOW"")*4))),"""")"),"")</f>
        <v/>
      </c>
      <c r="L664" s="136" t="str">
        <f>IFERROR(__xludf.DUMMYFUNCTION("IFERROR((FILTER(Data!P:P,Data!D:D=A664,Data!B:B=$B$1)),"""")"),"")</f>
        <v/>
      </c>
      <c r="M664" s="137" t="str">
        <f>IFERROR(__xludf.DUMMYFUNCTION("IFERROR((FILTER(Data!A:A,Data!D:D=A664,Data!B:B=$B$1)),"""")"),"")</f>
        <v/>
      </c>
      <c r="T664" s="52">
        <f>IFERROR(__xludf.DUMMYFUNCTION("((COUNTIF(FILTER(Data!N:N,Data!D:D=A664,Data!B:B=$B$1),""TRAVERSE"")*15)+(COUNTIF(FILTER(Data!N:N,Data!D:D=A664,Data!B:B=B$1),""HIGH"")*10)+(COUNTIF(FILTER(Data!N:N,Data!D:D=A664,Data!B:B=$B$1),""MIDDLE"")*6)+(COUNTIF(FILTER(Data!N:N,Data!D:D=A664,Data!B:"&amp;"B=$B$1),""LOW"")*4))"),0.0)</f>
        <v>0</v>
      </c>
      <c r="V664" s="138" t="str">
        <f>IF(Data!B656='Team Parser'!$B$1, Data!D656,"")</f>
        <v/>
      </c>
      <c r="W664" s="134" t="str">
        <f>IF(Data!$B656='Team Parser'!$B$1, Data!H656,"")</f>
        <v/>
      </c>
      <c r="X664" s="134" t="str">
        <f>IF(Data!$B656='Team Parser'!$B$1, Data!G656,"")</f>
        <v/>
      </c>
      <c r="Y664" s="134" t="str">
        <f>IF(Data!$B656='Team Parser'!$B$1, Data!L656,"")</f>
        <v/>
      </c>
      <c r="Z664" s="134" t="str">
        <f>IF(Data!$B656='Team Parser'!$B$1, Data!K656,"")</f>
        <v/>
      </c>
      <c r="AA664" s="134" t="str">
        <f>IF(Data!$B656='Team Parser'!$B$1, Data!M656,"")</f>
        <v/>
      </c>
      <c r="AB664" s="134" t="str">
        <f>IF(Data!$B656='Team Parser'!$B$1,((Z664*2)+(Y664)+(X664*4)+(W664*2)),"")</f>
        <v/>
      </c>
      <c r="AC664" s="134" t="str">
        <f>IF(Data!$B656='Team Parser'!$B$1, Data!N656,"")</f>
        <v/>
      </c>
      <c r="AD664" s="139" t="str">
        <f>IF(Data!$B656='Team Parser'!$B$1,(AB664+(COUNTIF(AC664,"TRAVERSE")*15)+(COUNTIF(AC664,"HIGH")*10)+(COUNTIF(AC664,"MIDDLE")*6)+(COUNTIF(AC664,"LOW")*4)),"")</f>
        <v/>
      </c>
    </row>
    <row r="665">
      <c r="A665" s="141" t="s">
        <v>507</v>
      </c>
      <c r="B665" s="134" t="str">
        <f>IFERROR(__xludf.DUMMYFUNCTION("IFERROR((FILTER(Data!H:H,Data!D:D=A665,Data!B:B=$B$1)),"""")"),"")</f>
        <v/>
      </c>
      <c r="C665" s="134" t="str">
        <f>IFERROR(__xludf.DUMMYFUNCTION("IFERROR((FILTER(Data!G:G,Data!D:D=A665,Data!B:B=$B$1)),"""")"),"")</f>
        <v/>
      </c>
      <c r="D665" s="134" t="str">
        <f>IFERROR(__xludf.DUMMYFUNCTION("IFERROR((FILTER(Data!J:J,Data!D:D=A665,Data!B:B=$B$1)),"""")"),"")</f>
        <v/>
      </c>
      <c r="E665" s="134" t="str">
        <f>IFERROR(__xludf.DUMMYFUNCTION("IFERROR((FILTER(Data!L:L,Data!D:D=A665,Data!B:B=$B$1)),"""")"),"")</f>
        <v/>
      </c>
      <c r="F665" s="134" t="str">
        <f>IFERROR(__xludf.DUMMYFUNCTION("IFERROR((FILTER(Data!K:K,Data!D:D=A665,Data!B:B=$B$1)),"""")"),"")</f>
        <v/>
      </c>
      <c r="G665" s="134" t="str">
        <f>IFERROR(__xludf.DUMMYFUNCTION("IFERROR((FILTER(Data!M:M,Data!D:D=A665,Data!B:B=$B$1)),"""")"),"")</f>
        <v/>
      </c>
      <c r="H665" s="134" t="str">
        <f>IFERROR(__xludf.DUMMYFUNCTION("IFERROR((FILTER(Data!G:G,Data!D:D=A665,Data!B:B=$B$1)*4)+(FILTER(Data!H:H,Data!D:D=A665,Data!B:B=$B$1)*2),"""")"),"")</f>
        <v/>
      </c>
      <c r="I665" s="15" t="str">
        <f>IFERROR(__xludf.DUMMYFUNCTION("IFERROR((FILTER(Data!K:K,Data!D:D=A665,Data!B:B=$B$1)*2)+(FILTER(Data!L:L,Data!D:D=A665,Data!B:B=$B$1)),"""")"),"")</f>
        <v/>
      </c>
      <c r="J665" s="134" t="str">
        <f>IFERROR(__xludf.DUMMYFUNCTION("IFERROR((FILTER(Data!N:N,Data!D:D=A665,Data!B:B=$B$1)),"""")"),"")</f>
        <v/>
      </c>
      <c r="K665" s="135" t="str">
        <f>IFERROR(__xludf.DUMMYFUNCTION("IFERROR((FILTER(Data!H:H,Data!D:D=A665,Data!B:B=$B$1)*2)+(FILTER(Data!L:L,Data!D:D=A665,Data!B:B=$B$1))+(FILTER(Data!G:G,Data!D:D=A665,Data!B:B=$B$1)*4)+(FILTER(Data!K:K,Data!D:D=A665,Data!B:B=$B$1)*2)+(((COUNTIF(FILTER(Data!N:N,Data!D:D=A665,Data!B:B=$B$"&amp;"1),""TRAVERSE"")*15)+(COUNTIF(FILTER(Data!N:N,Data!D:D=A665,Data!B:B=$B$1),""HIGH"")*10)+(COUNTIF(FILTER(Data!N:N,Data!D:D=A665,Data!B:B=$B$1),""MIDDLE"")*6)+(COUNTIF(FILTER(Data!N:N,Data!D:D=A665,Data!B:B=$B$1),""LOW"")*4))),"""")"),"")</f>
        <v/>
      </c>
      <c r="L665" s="136" t="str">
        <f>IFERROR(__xludf.DUMMYFUNCTION("IFERROR((FILTER(Data!P:P,Data!D:D=A665,Data!B:B=$B$1)),"""")"),"")</f>
        <v/>
      </c>
      <c r="M665" s="137" t="str">
        <f>IFERROR(__xludf.DUMMYFUNCTION("IFERROR((FILTER(Data!A:A,Data!D:D=A665,Data!B:B=$B$1)),"""")"),"")</f>
        <v/>
      </c>
      <c r="T665" s="52">
        <f>IFERROR(__xludf.DUMMYFUNCTION("((COUNTIF(FILTER(Data!N:N,Data!D:D=A665,Data!B:B=$B$1),""TRAVERSE"")*15)+(COUNTIF(FILTER(Data!N:N,Data!D:D=A665,Data!B:B=B$1),""HIGH"")*10)+(COUNTIF(FILTER(Data!N:N,Data!D:D=A665,Data!B:B=$B$1),""MIDDLE"")*6)+(COUNTIF(FILTER(Data!N:N,Data!D:D=A665,Data!B:"&amp;"B=$B$1),""LOW"")*4))"),0.0)</f>
        <v>0</v>
      </c>
      <c r="V665" s="138" t="str">
        <f>IF(Data!B657='Team Parser'!$B$1, Data!D657,"")</f>
        <v/>
      </c>
      <c r="W665" s="134" t="str">
        <f>IF(Data!$B657='Team Parser'!$B$1, Data!H657,"")</f>
        <v/>
      </c>
      <c r="X665" s="134" t="str">
        <f>IF(Data!$B657='Team Parser'!$B$1, Data!G657,"")</f>
        <v/>
      </c>
      <c r="Y665" s="134" t="str">
        <f>IF(Data!$B657='Team Parser'!$B$1, Data!L657,"")</f>
        <v/>
      </c>
      <c r="Z665" s="134" t="str">
        <f>IF(Data!$B657='Team Parser'!$B$1, Data!K657,"")</f>
        <v/>
      </c>
      <c r="AA665" s="134" t="str">
        <f>IF(Data!$B657='Team Parser'!$B$1, Data!M657,"")</f>
        <v/>
      </c>
      <c r="AB665" s="134" t="str">
        <f>IF(Data!$B657='Team Parser'!$B$1,((Z665*2)+(Y665)+(X665*4)+(W665*2)),"")</f>
        <v/>
      </c>
      <c r="AC665" s="134" t="str">
        <f>IF(Data!$B657='Team Parser'!$B$1, Data!N657,"")</f>
        <v/>
      </c>
      <c r="AD665" s="139" t="str">
        <f>IF(Data!$B657='Team Parser'!$B$1,(AB665+(COUNTIF(AC665,"TRAVERSE")*15)+(COUNTIF(AC665,"HIGH")*10)+(COUNTIF(AC665,"MIDDLE")*6)+(COUNTIF(AC665,"LOW")*4)),"")</f>
        <v/>
      </c>
    </row>
    <row r="666">
      <c r="A666" s="141" t="s">
        <v>507</v>
      </c>
      <c r="B666" s="134" t="str">
        <f>IFERROR(__xludf.DUMMYFUNCTION("IFERROR((FILTER(Data!H:H,Data!D:D=A666,Data!B:B=$B$1)),"""")"),"")</f>
        <v/>
      </c>
      <c r="C666" s="134" t="str">
        <f>IFERROR(__xludf.DUMMYFUNCTION("IFERROR((FILTER(Data!G:G,Data!D:D=A666,Data!B:B=$B$1)),"""")"),"")</f>
        <v/>
      </c>
      <c r="D666" s="134" t="str">
        <f>IFERROR(__xludf.DUMMYFUNCTION("IFERROR((FILTER(Data!J:J,Data!D:D=A666,Data!B:B=$B$1)),"""")"),"")</f>
        <v/>
      </c>
      <c r="E666" s="134" t="str">
        <f>IFERROR(__xludf.DUMMYFUNCTION("IFERROR((FILTER(Data!L:L,Data!D:D=A666,Data!B:B=$B$1)),"""")"),"")</f>
        <v/>
      </c>
      <c r="F666" s="134" t="str">
        <f>IFERROR(__xludf.DUMMYFUNCTION("IFERROR((FILTER(Data!K:K,Data!D:D=A666,Data!B:B=$B$1)),"""")"),"")</f>
        <v/>
      </c>
      <c r="G666" s="134" t="str">
        <f>IFERROR(__xludf.DUMMYFUNCTION("IFERROR((FILTER(Data!M:M,Data!D:D=A666,Data!B:B=$B$1)),"""")"),"")</f>
        <v/>
      </c>
      <c r="H666" s="134" t="str">
        <f>IFERROR(__xludf.DUMMYFUNCTION("IFERROR((FILTER(Data!G:G,Data!D:D=A666,Data!B:B=$B$1)*4)+(FILTER(Data!H:H,Data!D:D=A666,Data!B:B=$B$1)*2),"""")"),"")</f>
        <v/>
      </c>
      <c r="I666" s="15" t="str">
        <f>IFERROR(__xludf.DUMMYFUNCTION("IFERROR((FILTER(Data!K:K,Data!D:D=A666,Data!B:B=$B$1)*2)+(FILTER(Data!L:L,Data!D:D=A666,Data!B:B=$B$1)),"""")"),"")</f>
        <v/>
      </c>
      <c r="J666" s="134" t="str">
        <f>IFERROR(__xludf.DUMMYFUNCTION("IFERROR((FILTER(Data!N:N,Data!D:D=A666,Data!B:B=$B$1)),"""")"),"")</f>
        <v/>
      </c>
      <c r="K666" s="135" t="str">
        <f>IFERROR(__xludf.DUMMYFUNCTION("IFERROR((FILTER(Data!H:H,Data!D:D=A666,Data!B:B=$B$1)*2)+(FILTER(Data!L:L,Data!D:D=A666,Data!B:B=$B$1))+(FILTER(Data!G:G,Data!D:D=A666,Data!B:B=$B$1)*4)+(FILTER(Data!K:K,Data!D:D=A666,Data!B:B=$B$1)*2)+(((COUNTIF(FILTER(Data!N:N,Data!D:D=A666,Data!B:B=$B$"&amp;"1),""TRAVERSE"")*15)+(COUNTIF(FILTER(Data!N:N,Data!D:D=A666,Data!B:B=$B$1),""HIGH"")*10)+(COUNTIF(FILTER(Data!N:N,Data!D:D=A666,Data!B:B=$B$1),""MIDDLE"")*6)+(COUNTIF(FILTER(Data!N:N,Data!D:D=A666,Data!B:B=$B$1),""LOW"")*4))),"""")"),"")</f>
        <v/>
      </c>
      <c r="L666" s="136" t="str">
        <f>IFERROR(__xludf.DUMMYFUNCTION("IFERROR((FILTER(Data!P:P,Data!D:D=A666,Data!B:B=$B$1)),"""")"),"")</f>
        <v/>
      </c>
      <c r="M666" s="137" t="str">
        <f>IFERROR(__xludf.DUMMYFUNCTION("IFERROR((FILTER(Data!A:A,Data!D:D=A666,Data!B:B=$B$1)),"""")"),"")</f>
        <v/>
      </c>
      <c r="T666" s="52">
        <f>IFERROR(__xludf.DUMMYFUNCTION("((COUNTIF(FILTER(Data!N:N,Data!D:D=A666,Data!B:B=$B$1),""TRAVERSE"")*15)+(COUNTIF(FILTER(Data!N:N,Data!D:D=A666,Data!B:B=B$1),""HIGH"")*10)+(COUNTIF(FILTER(Data!N:N,Data!D:D=A666,Data!B:B=$B$1),""MIDDLE"")*6)+(COUNTIF(FILTER(Data!N:N,Data!D:D=A666,Data!B:"&amp;"B=$B$1),""LOW"")*4))"),0.0)</f>
        <v>0</v>
      </c>
      <c r="V666" s="138" t="str">
        <f>IF(Data!B658='Team Parser'!$B$1, Data!D658,"")</f>
        <v/>
      </c>
      <c r="W666" s="134" t="str">
        <f>IF(Data!$B658='Team Parser'!$B$1, Data!H658,"")</f>
        <v/>
      </c>
      <c r="X666" s="134" t="str">
        <f>IF(Data!$B658='Team Parser'!$B$1, Data!G658,"")</f>
        <v/>
      </c>
      <c r="Y666" s="134" t="str">
        <f>IF(Data!$B658='Team Parser'!$B$1, Data!L658,"")</f>
        <v/>
      </c>
      <c r="Z666" s="134" t="str">
        <f>IF(Data!$B658='Team Parser'!$B$1, Data!K658,"")</f>
        <v/>
      </c>
      <c r="AA666" s="134" t="str">
        <f>IF(Data!$B658='Team Parser'!$B$1, Data!M658,"")</f>
        <v/>
      </c>
      <c r="AB666" s="134" t="str">
        <f>IF(Data!$B658='Team Parser'!$B$1,((Z666*2)+(Y666)+(X666*4)+(W666*2)),"")</f>
        <v/>
      </c>
      <c r="AC666" s="134" t="str">
        <f>IF(Data!$B658='Team Parser'!$B$1, Data!N658,"")</f>
        <v/>
      </c>
      <c r="AD666" s="139" t="str">
        <f>IF(Data!$B658='Team Parser'!$B$1,(AB666+(COUNTIF(AC666,"TRAVERSE")*15)+(COUNTIF(AC666,"HIGH")*10)+(COUNTIF(AC666,"MIDDLE")*6)+(COUNTIF(AC666,"LOW")*4)),"")</f>
        <v/>
      </c>
    </row>
    <row r="667">
      <c r="A667" s="141" t="s">
        <v>507</v>
      </c>
      <c r="B667" s="134" t="str">
        <f>IFERROR(__xludf.DUMMYFUNCTION("IFERROR((FILTER(Data!H:H,Data!D:D=A667,Data!B:B=$B$1)),"""")"),"")</f>
        <v/>
      </c>
      <c r="C667" s="134" t="str">
        <f>IFERROR(__xludf.DUMMYFUNCTION("IFERROR((FILTER(Data!G:G,Data!D:D=A667,Data!B:B=$B$1)),"""")"),"")</f>
        <v/>
      </c>
      <c r="D667" s="134" t="str">
        <f>IFERROR(__xludf.DUMMYFUNCTION("IFERROR((FILTER(Data!J:J,Data!D:D=A667,Data!B:B=$B$1)),"""")"),"")</f>
        <v/>
      </c>
      <c r="E667" s="134" t="str">
        <f>IFERROR(__xludf.DUMMYFUNCTION("IFERROR((FILTER(Data!L:L,Data!D:D=A667,Data!B:B=$B$1)),"""")"),"")</f>
        <v/>
      </c>
      <c r="F667" s="134" t="str">
        <f>IFERROR(__xludf.DUMMYFUNCTION("IFERROR((FILTER(Data!K:K,Data!D:D=A667,Data!B:B=$B$1)),"""")"),"")</f>
        <v/>
      </c>
      <c r="G667" s="134" t="str">
        <f>IFERROR(__xludf.DUMMYFUNCTION("IFERROR((FILTER(Data!M:M,Data!D:D=A667,Data!B:B=$B$1)),"""")"),"")</f>
        <v/>
      </c>
      <c r="H667" s="134" t="str">
        <f>IFERROR(__xludf.DUMMYFUNCTION("IFERROR((FILTER(Data!G:G,Data!D:D=A667,Data!B:B=$B$1)*4)+(FILTER(Data!H:H,Data!D:D=A667,Data!B:B=$B$1)*2),"""")"),"")</f>
        <v/>
      </c>
      <c r="I667" s="15" t="str">
        <f>IFERROR(__xludf.DUMMYFUNCTION("IFERROR((FILTER(Data!K:K,Data!D:D=A667,Data!B:B=$B$1)*2)+(FILTER(Data!L:L,Data!D:D=A667,Data!B:B=$B$1)),"""")"),"")</f>
        <v/>
      </c>
      <c r="J667" s="134" t="str">
        <f>IFERROR(__xludf.DUMMYFUNCTION("IFERROR((FILTER(Data!N:N,Data!D:D=A667,Data!B:B=$B$1)),"""")"),"")</f>
        <v/>
      </c>
      <c r="K667" s="135" t="str">
        <f>IFERROR(__xludf.DUMMYFUNCTION("IFERROR((FILTER(Data!H:H,Data!D:D=A667,Data!B:B=$B$1)*2)+(FILTER(Data!L:L,Data!D:D=A667,Data!B:B=$B$1))+(FILTER(Data!G:G,Data!D:D=A667,Data!B:B=$B$1)*4)+(FILTER(Data!K:K,Data!D:D=A667,Data!B:B=$B$1)*2)+(((COUNTIF(FILTER(Data!N:N,Data!D:D=A667,Data!B:B=$B$"&amp;"1),""TRAVERSE"")*15)+(COUNTIF(FILTER(Data!N:N,Data!D:D=A667,Data!B:B=$B$1),""HIGH"")*10)+(COUNTIF(FILTER(Data!N:N,Data!D:D=A667,Data!B:B=$B$1),""MIDDLE"")*6)+(COUNTIF(FILTER(Data!N:N,Data!D:D=A667,Data!B:B=$B$1),""LOW"")*4))),"""")"),"")</f>
        <v/>
      </c>
      <c r="L667" s="136" t="str">
        <f>IFERROR(__xludf.DUMMYFUNCTION("IFERROR((FILTER(Data!P:P,Data!D:D=A667,Data!B:B=$B$1)),"""")"),"")</f>
        <v/>
      </c>
      <c r="M667" s="137" t="str">
        <f>IFERROR(__xludf.DUMMYFUNCTION("IFERROR((FILTER(Data!A:A,Data!D:D=A667,Data!B:B=$B$1)),"""")"),"")</f>
        <v/>
      </c>
      <c r="T667" s="52">
        <f>IFERROR(__xludf.DUMMYFUNCTION("((COUNTIF(FILTER(Data!N:N,Data!D:D=A667,Data!B:B=$B$1),""TRAVERSE"")*15)+(COUNTIF(FILTER(Data!N:N,Data!D:D=A667,Data!B:B=B$1),""HIGH"")*10)+(COUNTIF(FILTER(Data!N:N,Data!D:D=A667,Data!B:B=$B$1),""MIDDLE"")*6)+(COUNTIF(FILTER(Data!N:N,Data!D:D=A667,Data!B:"&amp;"B=$B$1),""LOW"")*4))"),0.0)</f>
        <v>0</v>
      </c>
      <c r="V667" s="138" t="str">
        <f>IF(Data!B659='Team Parser'!$B$1, Data!D659,"")</f>
        <v/>
      </c>
      <c r="W667" s="134" t="str">
        <f>IF(Data!$B659='Team Parser'!$B$1, Data!H659,"")</f>
        <v/>
      </c>
      <c r="X667" s="134" t="str">
        <f>IF(Data!$B659='Team Parser'!$B$1, Data!G659,"")</f>
        <v/>
      </c>
      <c r="Y667" s="134" t="str">
        <f>IF(Data!$B659='Team Parser'!$B$1, Data!L659,"")</f>
        <v/>
      </c>
      <c r="Z667" s="134" t="str">
        <f>IF(Data!$B659='Team Parser'!$B$1, Data!K659,"")</f>
        <v/>
      </c>
      <c r="AA667" s="134" t="str">
        <f>IF(Data!$B659='Team Parser'!$B$1, Data!M659,"")</f>
        <v/>
      </c>
      <c r="AB667" s="134" t="str">
        <f>IF(Data!$B659='Team Parser'!$B$1,((Z667*2)+(Y667)+(X667*4)+(W667*2)),"")</f>
        <v/>
      </c>
      <c r="AC667" s="134" t="str">
        <f>IF(Data!$B659='Team Parser'!$B$1, Data!N659,"")</f>
        <v/>
      </c>
      <c r="AD667" s="139" t="str">
        <f>IF(Data!$B659='Team Parser'!$B$1,(AB667+(COUNTIF(AC667,"TRAVERSE")*15)+(COUNTIF(AC667,"HIGH")*10)+(COUNTIF(AC667,"MIDDLE")*6)+(COUNTIF(AC667,"LOW")*4)),"")</f>
        <v/>
      </c>
    </row>
    <row r="668">
      <c r="A668" s="141" t="s">
        <v>507</v>
      </c>
      <c r="B668" s="134" t="str">
        <f>IFERROR(__xludf.DUMMYFUNCTION("IFERROR((FILTER(Data!H:H,Data!D:D=A668,Data!B:B=$B$1)),"""")"),"")</f>
        <v/>
      </c>
      <c r="C668" s="134" t="str">
        <f>IFERROR(__xludf.DUMMYFUNCTION("IFERROR((FILTER(Data!G:G,Data!D:D=A668,Data!B:B=$B$1)),"""")"),"")</f>
        <v/>
      </c>
      <c r="D668" s="134" t="str">
        <f>IFERROR(__xludf.DUMMYFUNCTION("IFERROR((FILTER(Data!J:J,Data!D:D=A668,Data!B:B=$B$1)),"""")"),"")</f>
        <v/>
      </c>
      <c r="E668" s="134" t="str">
        <f>IFERROR(__xludf.DUMMYFUNCTION("IFERROR((FILTER(Data!L:L,Data!D:D=A668,Data!B:B=$B$1)),"""")"),"")</f>
        <v/>
      </c>
      <c r="F668" s="134" t="str">
        <f>IFERROR(__xludf.DUMMYFUNCTION("IFERROR((FILTER(Data!K:K,Data!D:D=A668,Data!B:B=$B$1)),"""")"),"")</f>
        <v/>
      </c>
      <c r="G668" s="134" t="str">
        <f>IFERROR(__xludf.DUMMYFUNCTION("IFERROR((FILTER(Data!M:M,Data!D:D=A668,Data!B:B=$B$1)),"""")"),"")</f>
        <v/>
      </c>
      <c r="H668" s="134" t="str">
        <f>IFERROR(__xludf.DUMMYFUNCTION("IFERROR((FILTER(Data!G:G,Data!D:D=A668,Data!B:B=$B$1)*4)+(FILTER(Data!H:H,Data!D:D=A668,Data!B:B=$B$1)*2),"""")"),"")</f>
        <v/>
      </c>
      <c r="I668" s="15" t="str">
        <f>IFERROR(__xludf.DUMMYFUNCTION("IFERROR((FILTER(Data!K:K,Data!D:D=A668,Data!B:B=$B$1)*2)+(FILTER(Data!L:L,Data!D:D=A668,Data!B:B=$B$1)),"""")"),"")</f>
        <v/>
      </c>
      <c r="J668" s="134" t="str">
        <f>IFERROR(__xludf.DUMMYFUNCTION("IFERROR((FILTER(Data!N:N,Data!D:D=A668,Data!B:B=$B$1)),"""")"),"")</f>
        <v/>
      </c>
      <c r="K668" s="135" t="str">
        <f>IFERROR(__xludf.DUMMYFUNCTION("IFERROR((FILTER(Data!H:H,Data!D:D=A668,Data!B:B=$B$1)*2)+(FILTER(Data!L:L,Data!D:D=A668,Data!B:B=$B$1))+(FILTER(Data!G:G,Data!D:D=A668,Data!B:B=$B$1)*4)+(FILTER(Data!K:K,Data!D:D=A668,Data!B:B=$B$1)*2)+(((COUNTIF(FILTER(Data!N:N,Data!D:D=A668,Data!B:B=$B$"&amp;"1),""TRAVERSE"")*15)+(COUNTIF(FILTER(Data!N:N,Data!D:D=A668,Data!B:B=$B$1),""HIGH"")*10)+(COUNTIF(FILTER(Data!N:N,Data!D:D=A668,Data!B:B=$B$1),""MIDDLE"")*6)+(COUNTIF(FILTER(Data!N:N,Data!D:D=A668,Data!B:B=$B$1),""LOW"")*4))),"""")"),"")</f>
        <v/>
      </c>
      <c r="L668" s="136" t="str">
        <f>IFERROR(__xludf.DUMMYFUNCTION("IFERROR((FILTER(Data!P:P,Data!D:D=A668,Data!B:B=$B$1)),"""")"),"")</f>
        <v/>
      </c>
      <c r="M668" s="137" t="str">
        <f>IFERROR(__xludf.DUMMYFUNCTION("IFERROR((FILTER(Data!A:A,Data!D:D=A668,Data!B:B=$B$1)),"""")"),"")</f>
        <v/>
      </c>
      <c r="T668" s="52">
        <f>IFERROR(__xludf.DUMMYFUNCTION("((COUNTIF(FILTER(Data!N:N,Data!D:D=A668,Data!B:B=$B$1),""TRAVERSE"")*15)+(COUNTIF(FILTER(Data!N:N,Data!D:D=A668,Data!B:B=B$1),""HIGH"")*10)+(COUNTIF(FILTER(Data!N:N,Data!D:D=A668,Data!B:B=$B$1),""MIDDLE"")*6)+(COUNTIF(FILTER(Data!N:N,Data!D:D=A668,Data!B:"&amp;"B=$B$1),""LOW"")*4))"),0.0)</f>
        <v>0</v>
      </c>
      <c r="V668" s="138" t="str">
        <f>IF(Data!B660='Team Parser'!$B$1, Data!D660,"")</f>
        <v/>
      </c>
      <c r="W668" s="134" t="str">
        <f>IF(Data!$B660='Team Parser'!$B$1, Data!H660,"")</f>
        <v/>
      </c>
      <c r="X668" s="134" t="str">
        <f>IF(Data!$B660='Team Parser'!$B$1, Data!G660,"")</f>
        <v/>
      </c>
      <c r="Y668" s="134" t="str">
        <f>IF(Data!$B660='Team Parser'!$B$1, Data!L660,"")</f>
        <v/>
      </c>
      <c r="Z668" s="134" t="str">
        <f>IF(Data!$B660='Team Parser'!$B$1, Data!K660,"")</f>
        <v/>
      </c>
      <c r="AA668" s="134" t="str">
        <f>IF(Data!$B660='Team Parser'!$B$1, Data!M660,"")</f>
        <v/>
      </c>
      <c r="AB668" s="134" t="str">
        <f>IF(Data!$B660='Team Parser'!$B$1,((Z668*2)+(Y668)+(X668*4)+(W668*2)),"")</f>
        <v/>
      </c>
      <c r="AC668" s="134" t="str">
        <f>IF(Data!$B660='Team Parser'!$B$1, Data!N660,"")</f>
        <v/>
      </c>
      <c r="AD668" s="139" t="str">
        <f>IF(Data!$B660='Team Parser'!$B$1,(AB668+(COUNTIF(AC668,"TRAVERSE")*15)+(COUNTIF(AC668,"HIGH")*10)+(COUNTIF(AC668,"MIDDLE")*6)+(COUNTIF(AC668,"LOW")*4)),"")</f>
        <v/>
      </c>
    </row>
    <row r="669">
      <c r="A669" s="141" t="s">
        <v>507</v>
      </c>
      <c r="B669" s="134" t="str">
        <f>IFERROR(__xludf.DUMMYFUNCTION("IFERROR((FILTER(Data!H:H,Data!D:D=A669,Data!B:B=$B$1)),"""")"),"")</f>
        <v/>
      </c>
      <c r="C669" s="134" t="str">
        <f>IFERROR(__xludf.DUMMYFUNCTION("IFERROR((FILTER(Data!G:G,Data!D:D=A669,Data!B:B=$B$1)),"""")"),"")</f>
        <v/>
      </c>
      <c r="D669" s="134" t="str">
        <f>IFERROR(__xludf.DUMMYFUNCTION("IFERROR((FILTER(Data!J:J,Data!D:D=A669,Data!B:B=$B$1)),"""")"),"")</f>
        <v/>
      </c>
      <c r="E669" s="134" t="str">
        <f>IFERROR(__xludf.DUMMYFUNCTION("IFERROR((FILTER(Data!L:L,Data!D:D=A669,Data!B:B=$B$1)),"""")"),"")</f>
        <v/>
      </c>
      <c r="F669" s="134" t="str">
        <f>IFERROR(__xludf.DUMMYFUNCTION("IFERROR((FILTER(Data!K:K,Data!D:D=A669,Data!B:B=$B$1)),"""")"),"")</f>
        <v/>
      </c>
      <c r="G669" s="134" t="str">
        <f>IFERROR(__xludf.DUMMYFUNCTION("IFERROR((FILTER(Data!M:M,Data!D:D=A669,Data!B:B=$B$1)),"""")"),"")</f>
        <v/>
      </c>
      <c r="H669" s="134" t="str">
        <f>IFERROR(__xludf.DUMMYFUNCTION("IFERROR((FILTER(Data!G:G,Data!D:D=A669,Data!B:B=$B$1)*4)+(FILTER(Data!H:H,Data!D:D=A669,Data!B:B=$B$1)*2),"""")"),"")</f>
        <v/>
      </c>
      <c r="I669" s="15" t="str">
        <f>IFERROR(__xludf.DUMMYFUNCTION("IFERROR((FILTER(Data!K:K,Data!D:D=A669,Data!B:B=$B$1)*2)+(FILTER(Data!L:L,Data!D:D=A669,Data!B:B=$B$1)),"""")"),"")</f>
        <v/>
      </c>
      <c r="J669" s="134" t="str">
        <f>IFERROR(__xludf.DUMMYFUNCTION("IFERROR((FILTER(Data!N:N,Data!D:D=A669,Data!B:B=$B$1)),"""")"),"")</f>
        <v/>
      </c>
      <c r="K669" s="135" t="str">
        <f>IFERROR(__xludf.DUMMYFUNCTION("IFERROR((FILTER(Data!H:H,Data!D:D=A669,Data!B:B=$B$1)*2)+(FILTER(Data!L:L,Data!D:D=A669,Data!B:B=$B$1))+(FILTER(Data!G:G,Data!D:D=A669,Data!B:B=$B$1)*4)+(FILTER(Data!K:K,Data!D:D=A669,Data!B:B=$B$1)*2)+(((COUNTIF(FILTER(Data!N:N,Data!D:D=A669,Data!B:B=$B$"&amp;"1),""TRAVERSE"")*15)+(COUNTIF(FILTER(Data!N:N,Data!D:D=A669,Data!B:B=$B$1),""HIGH"")*10)+(COUNTIF(FILTER(Data!N:N,Data!D:D=A669,Data!B:B=$B$1),""MIDDLE"")*6)+(COUNTIF(FILTER(Data!N:N,Data!D:D=A669,Data!B:B=$B$1),""LOW"")*4))),"""")"),"")</f>
        <v/>
      </c>
      <c r="L669" s="136" t="str">
        <f>IFERROR(__xludf.DUMMYFUNCTION("IFERROR((FILTER(Data!P:P,Data!D:D=A669,Data!B:B=$B$1)),"""")"),"")</f>
        <v/>
      </c>
      <c r="M669" s="137" t="str">
        <f>IFERROR(__xludf.DUMMYFUNCTION("IFERROR((FILTER(Data!A:A,Data!D:D=A669,Data!B:B=$B$1)),"""")"),"")</f>
        <v/>
      </c>
      <c r="T669" s="52">
        <f>IFERROR(__xludf.DUMMYFUNCTION("((COUNTIF(FILTER(Data!N:N,Data!D:D=A669,Data!B:B=$B$1),""TRAVERSE"")*15)+(COUNTIF(FILTER(Data!N:N,Data!D:D=A669,Data!B:B=B$1),""HIGH"")*10)+(COUNTIF(FILTER(Data!N:N,Data!D:D=A669,Data!B:B=$B$1),""MIDDLE"")*6)+(COUNTIF(FILTER(Data!N:N,Data!D:D=A669,Data!B:"&amp;"B=$B$1),""LOW"")*4))"),0.0)</f>
        <v>0</v>
      </c>
      <c r="V669" s="138" t="str">
        <f>IF(Data!B661='Team Parser'!$B$1, Data!D661,"")</f>
        <v/>
      </c>
      <c r="W669" s="134" t="str">
        <f>IF(Data!$B661='Team Parser'!$B$1, Data!H661,"")</f>
        <v/>
      </c>
      <c r="X669" s="134" t="str">
        <f>IF(Data!$B661='Team Parser'!$B$1, Data!G661,"")</f>
        <v/>
      </c>
      <c r="Y669" s="134" t="str">
        <f>IF(Data!$B661='Team Parser'!$B$1, Data!L661,"")</f>
        <v/>
      </c>
      <c r="Z669" s="134" t="str">
        <f>IF(Data!$B661='Team Parser'!$B$1, Data!K661,"")</f>
        <v/>
      </c>
      <c r="AA669" s="134" t="str">
        <f>IF(Data!$B661='Team Parser'!$B$1, Data!M661,"")</f>
        <v/>
      </c>
      <c r="AB669" s="134" t="str">
        <f>IF(Data!$B661='Team Parser'!$B$1,((Z669*2)+(Y669)+(X669*4)+(W669*2)),"")</f>
        <v/>
      </c>
      <c r="AC669" s="134" t="str">
        <f>IF(Data!$B661='Team Parser'!$B$1, Data!N661,"")</f>
        <v/>
      </c>
      <c r="AD669" s="139" t="str">
        <f>IF(Data!$B661='Team Parser'!$B$1,(AB669+(COUNTIF(AC669,"TRAVERSE")*15)+(COUNTIF(AC669,"HIGH")*10)+(COUNTIF(AC669,"MIDDLE")*6)+(COUNTIF(AC669,"LOW")*4)),"")</f>
        <v/>
      </c>
    </row>
    <row r="670">
      <c r="A670" s="141" t="s">
        <v>507</v>
      </c>
      <c r="B670" s="134" t="str">
        <f>IFERROR(__xludf.DUMMYFUNCTION("IFERROR((FILTER(Data!H:H,Data!D:D=A670,Data!B:B=$B$1)),"""")"),"")</f>
        <v/>
      </c>
      <c r="C670" s="134" t="str">
        <f>IFERROR(__xludf.DUMMYFUNCTION("IFERROR((FILTER(Data!G:G,Data!D:D=A670,Data!B:B=$B$1)),"""")"),"")</f>
        <v/>
      </c>
      <c r="D670" s="134" t="str">
        <f>IFERROR(__xludf.DUMMYFUNCTION("IFERROR((FILTER(Data!J:J,Data!D:D=A670,Data!B:B=$B$1)),"""")"),"")</f>
        <v/>
      </c>
      <c r="E670" s="134" t="str">
        <f>IFERROR(__xludf.DUMMYFUNCTION("IFERROR((FILTER(Data!L:L,Data!D:D=A670,Data!B:B=$B$1)),"""")"),"")</f>
        <v/>
      </c>
      <c r="F670" s="134" t="str">
        <f>IFERROR(__xludf.DUMMYFUNCTION("IFERROR((FILTER(Data!K:K,Data!D:D=A670,Data!B:B=$B$1)),"""")"),"")</f>
        <v/>
      </c>
      <c r="G670" s="134" t="str">
        <f>IFERROR(__xludf.DUMMYFUNCTION("IFERROR((FILTER(Data!M:M,Data!D:D=A670,Data!B:B=$B$1)),"""")"),"")</f>
        <v/>
      </c>
      <c r="H670" s="134" t="str">
        <f>IFERROR(__xludf.DUMMYFUNCTION("IFERROR((FILTER(Data!G:G,Data!D:D=A670,Data!B:B=$B$1)*4)+(FILTER(Data!H:H,Data!D:D=A670,Data!B:B=$B$1)*2),"""")"),"")</f>
        <v/>
      </c>
      <c r="I670" s="15" t="str">
        <f>IFERROR(__xludf.DUMMYFUNCTION("IFERROR((FILTER(Data!K:K,Data!D:D=A670,Data!B:B=$B$1)*2)+(FILTER(Data!L:L,Data!D:D=A670,Data!B:B=$B$1)),"""")"),"")</f>
        <v/>
      </c>
      <c r="J670" s="134" t="str">
        <f>IFERROR(__xludf.DUMMYFUNCTION("IFERROR((FILTER(Data!N:N,Data!D:D=A670,Data!B:B=$B$1)),"""")"),"")</f>
        <v/>
      </c>
      <c r="K670" s="135" t="str">
        <f>IFERROR(__xludf.DUMMYFUNCTION("IFERROR((FILTER(Data!H:H,Data!D:D=A670,Data!B:B=$B$1)*2)+(FILTER(Data!L:L,Data!D:D=A670,Data!B:B=$B$1))+(FILTER(Data!G:G,Data!D:D=A670,Data!B:B=$B$1)*4)+(FILTER(Data!K:K,Data!D:D=A670,Data!B:B=$B$1)*2)+(((COUNTIF(FILTER(Data!N:N,Data!D:D=A670,Data!B:B=$B$"&amp;"1),""TRAVERSE"")*15)+(COUNTIF(FILTER(Data!N:N,Data!D:D=A670,Data!B:B=$B$1),""HIGH"")*10)+(COUNTIF(FILTER(Data!N:N,Data!D:D=A670,Data!B:B=$B$1),""MIDDLE"")*6)+(COUNTIF(FILTER(Data!N:N,Data!D:D=A670,Data!B:B=$B$1),""LOW"")*4))),"""")"),"")</f>
        <v/>
      </c>
      <c r="L670" s="136" t="str">
        <f>IFERROR(__xludf.DUMMYFUNCTION("IFERROR((FILTER(Data!P:P,Data!D:D=A670,Data!B:B=$B$1)),"""")"),"")</f>
        <v/>
      </c>
      <c r="M670" s="137" t="str">
        <f>IFERROR(__xludf.DUMMYFUNCTION("IFERROR((FILTER(Data!A:A,Data!D:D=A670,Data!B:B=$B$1)),"""")"),"")</f>
        <v/>
      </c>
      <c r="T670" s="52">
        <f>IFERROR(__xludf.DUMMYFUNCTION("((COUNTIF(FILTER(Data!N:N,Data!D:D=A670,Data!B:B=$B$1),""TRAVERSE"")*15)+(COUNTIF(FILTER(Data!N:N,Data!D:D=A670,Data!B:B=B$1),""HIGH"")*10)+(COUNTIF(FILTER(Data!N:N,Data!D:D=A670,Data!B:B=$B$1),""MIDDLE"")*6)+(COUNTIF(FILTER(Data!N:N,Data!D:D=A670,Data!B:"&amp;"B=$B$1),""LOW"")*4))"),0.0)</f>
        <v>0</v>
      </c>
      <c r="V670" s="138" t="str">
        <f>IF(Data!B662='Team Parser'!$B$1, Data!D662,"")</f>
        <v/>
      </c>
      <c r="W670" s="134" t="str">
        <f>IF(Data!$B662='Team Parser'!$B$1, Data!H662,"")</f>
        <v/>
      </c>
      <c r="X670" s="134" t="str">
        <f>IF(Data!$B662='Team Parser'!$B$1, Data!G662,"")</f>
        <v/>
      </c>
      <c r="Y670" s="134" t="str">
        <f>IF(Data!$B662='Team Parser'!$B$1, Data!L662,"")</f>
        <v/>
      </c>
      <c r="Z670" s="134" t="str">
        <f>IF(Data!$B662='Team Parser'!$B$1, Data!K662,"")</f>
        <v/>
      </c>
      <c r="AA670" s="134" t="str">
        <f>IF(Data!$B662='Team Parser'!$B$1, Data!M662,"")</f>
        <v/>
      </c>
      <c r="AB670" s="134" t="str">
        <f>IF(Data!$B662='Team Parser'!$B$1,((Z670*2)+(Y670)+(X670*4)+(W670*2)),"")</f>
        <v/>
      </c>
      <c r="AC670" s="134" t="str">
        <f>IF(Data!$B662='Team Parser'!$B$1, Data!N662,"")</f>
        <v/>
      </c>
      <c r="AD670" s="139" t="str">
        <f>IF(Data!$B662='Team Parser'!$B$1,(AB670+(COUNTIF(AC670,"TRAVERSE")*15)+(COUNTIF(AC670,"HIGH")*10)+(COUNTIF(AC670,"MIDDLE")*6)+(COUNTIF(AC670,"LOW")*4)),"")</f>
        <v/>
      </c>
    </row>
    <row r="671">
      <c r="A671" s="141" t="s">
        <v>507</v>
      </c>
      <c r="B671" s="134" t="str">
        <f>IFERROR(__xludf.DUMMYFUNCTION("IFERROR((FILTER(Data!H:H,Data!D:D=A671,Data!B:B=$B$1)),"""")"),"")</f>
        <v/>
      </c>
      <c r="C671" s="134" t="str">
        <f>IFERROR(__xludf.DUMMYFUNCTION("IFERROR((FILTER(Data!G:G,Data!D:D=A671,Data!B:B=$B$1)),"""")"),"")</f>
        <v/>
      </c>
      <c r="D671" s="134" t="str">
        <f>IFERROR(__xludf.DUMMYFUNCTION("IFERROR((FILTER(Data!J:J,Data!D:D=A671,Data!B:B=$B$1)),"""")"),"")</f>
        <v/>
      </c>
      <c r="E671" s="134" t="str">
        <f>IFERROR(__xludf.DUMMYFUNCTION("IFERROR((FILTER(Data!L:L,Data!D:D=A671,Data!B:B=$B$1)),"""")"),"")</f>
        <v/>
      </c>
      <c r="F671" s="134" t="str">
        <f>IFERROR(__xludf.DUMMYFUNCTION("IFERROR((FILTER(Data!K:K,Data!D:D=A671,Data!B:B=$B$1)),"""")"),"")</f>
        <v/>
      </c>
      <c r="G671" s="134" t="str">
        <f>IFERROR(__xludf.DUMMYFUNCTION("IFERROR((FILTER(Data!M:M,Data!D:D=A671,Data!B:B=$B$1)),"""")"),"")</f>
        <v/>
      </c>
      <c r="H671" s="134" t="str">
        <f>IFERROR(__xludf.DUMMYFUNCTION("IFERROR((FILTER(Data!G:G,Data!D:D=A671,Data!B:B=$B$1)*4)+(FILTER(Data!H:H,Data!D:D=A671,Data!B:B=$B$1)*2),"""")"),"")</f>
        <v/>
      </c>
      <c r="I671" s="15" t="str">
        <f>IFERROR(__xludf.DUMMYFUNCTION("IFERROR((FILTER(Data!K:K,Data!D:D=A671,Data!B:B=$B$1)*2)+(FILTER(Data!L:L,Data!D:D=A671,Data!B:B=$B$1)),"""")"),"")</f>
        <v/>
      </c>
      <c r="J671" s="134" t="str">
        <f>IFERROR(__xludf.DUMMYFUNCTION("IFERROR((FILTER(Data!N:N,Data!D:D=A671,Data!B:B=$B$1)),"""")"),"")</f>
        <v/>
      </c>
      <c r="K671" s="135" t="str">
        <f>IFERROR(__xludf.DUMMYFUNCTION("IFERROR((FILTER(Data!H:H,Data!D:D=A671,Data!B:B=$B$1)*2)+(FILTER(Data!L:L,Data!D:D=A671,Data!B:B=$B$1))+(FILTER(Data!G:G,Data!D:D=A671,Data!B:B=$B$1)*4)+(FILTER(Data!K:K,Data!D:D=A671,Data!B:B=$B$1)*2)+(((COUNTIF(FILTER(Data!N:N,Data!D:D=A671,Data!B:B=$B$"&amp;"1),""TRAVERSE"")*15)+(COUNTIF(FILTER(Data!N:N,Data!D:D=A671,Data!B:B=$B$1),""HIGH"")*10)+(COUNTIF(FILTER(Data!N:N,Data!D:D=A671,Data!B:B=$B$1),""MIDDLE"")*6)+(COUNTIF(FILTER(Data!N:N,Data!D:D=A671,Data!B:B=$B$1),""LOW"")*4))),"""")"),"")</f>
        <v/>
      </c>
      <c r="L671" s="136" t="str">
        <f>IFERROR(__xludf.DUMMYFUNCTION("IFERROR((FILTER(Data!P:P,Data!D:D=A671,Data!B:B=$B$1)),"""")"),"")</f>
        <v/>
      </c>
      <c r="M671" s="137" t="str">
        <f>IFERROR(__xludf.DUMMYFUNCTION("IFERROR((FILTER(Data!A:A,Data!D:D=A671,Data!B:B=$B$1)),"""")"),"")</f>
        <v/>
      </c>
      <c r="T671" s="52">
        <f>IFERROR(__xludf.DUMMYFUNCTION("((COUNTIF(FILTER(Data!N:N,Data!D:D=A671,Data!B:B=$B$1),""TRAVERSE"")*15)+(COUNTIF(FILTER(Data!N:N,Data!D:D=A671,Data!B:B=B$1),""HIGH"")*10)+(COUNTIF(FILTER(Data!N:N,Data!D:D=A671,Data!B:B=$B$1),""MIDDLE"")*6)+(COUNTIF(FILTER(Data!N:N,Data!D:D=A671,Data!B:"&amp;"B=$B$1),""LOW"")*4))"),0.0)</f>
        <v>0</v>
      </c>
      <c r="V671" s="138" t="str">
        <f>IF(Data!B663='Team Parser'!$B$1, Data!D663,"")</f>
        <v/>
      </c>
      <c r="W671" s="134" t="str">
        <f>IF(Data!$B663='Team Parser'!$B$1, Data!H663,"")</f>
        <v/>
      </c>
      <c r="X671" s="134" t="str">
        <f>IF(Data!$B663='Team Parser'!$B$1, Data!G663,"")</f>
        <v/>
      </c>
      <c r="Y671" s="134" t="str">
        <f>IF(Data!$B663='Team Parser'!$B$1, Data!L663,"")</f>
        <v/>
      </c>
      <c r="Z671" s="134" t="str">
        <f>IF(Data!$B663='Team Parser'!$B$1, Data!K663,"")</f>
        <v/>
      </c>
      <c r="AA671" s="134" t="str">
        <f>IF(Data!$B663='Team Parser'!$B$1, Data!M663,"")</f>
        <v/>
      </c>
      <c r="AB671" s="134" t="str">
        <f>IF(Data!$B663='Team Parser'!$B$1,((Z671*2)+(Y671)+(X671*4)+(W671*2)),"")</f>
        <v/>
      </c>
      <c r="AC671" s="134" t="str">
        <f>IF(Data!$B663='Team Parser'!$B$1, Data!N663,"")</f>
        <v/>
      </c>
      <c r="AD671" s="139" t="str">
        <f>IF(Data!$B663='Team Parser'!$B$1,(AB671+(COUNTIF(AC671,"TRAVERSE")*15)+(COUNTIF(AC671,"HIGH")*10)+(COUNTIF(AC671,"MIDDLE")*6)+(COUNTIF(AC671,"LOW")*4)),"")</f>
        <v/>
      </c>
    </row>
    <row r="672">
      <c r="A672" s="141" t="s">
        <v>507</v>
      </c>
      <c r="B672" s="134" t="str">
        <f>IFERROR(__xludf.DUMMYFUNCTION("IFERROR((FILTER(Data!H:H,Data!D:D=A672,Data!B:B=$B$1)),"""")"),"")</f>
        <v/>
      </c>
      <c r="C672" s="134" t="str">
        <f>IFERROR(__xludf.DUMMYFUNCTION("IFERROR((FILTER(Data!G:G,Data!D:D=A672,Data!B:B=$B$1)),"""")"),"")</f>
        <v/>
      </c>
      <c r="D672" s="134" t="str">
        <f>IFERROR(__xludf.DUMMYFUNCTION("IFERROR((FILTER(Data!J:J,Data!D:D=A672,Data!B:B=$B$1)),"""")"),"")</f>
        <v/>
      </c>
      <c r="E672" s="134" t="str">
        <f>IFERROR(__xludf.DUMMYFUNCTION("IFERROR((FILTER(Data!L:L,Data!D:D=A672,Data!B:B=$B$1)),"""")"),"")</f>
        <v/>
      </c>
      <c r="F672" s="134" t="str">
        <f>IFERROR(__xludf.DUMMYFUNCTION("IFERROR((FILTER(Data!K:K,Data!D:D=A672,Data!B:B=$B$1)),"""")"),"")</f>
        <v/>
      </c>
      <c r="G672" s="134" t="str">
        <f>IFERROR(__xludf.DUMMYFUNCTION("IFERROR((FILTER(Data!M:M,Data!D:D=A672,Data!B:B=$B$1)),"""")"),"")</f>
        <v/>
      </c>
      <c r="H672" s="134" t="str">
        <f>IFERROR(__xludf.DUMMYFUNCTION("IFERROR((FILTER(Data!G:G,Data!D:D=A672,Data!B:B=$B$1)*4)+(FILTER(Data!H:H,Data!D:D=A672,Data!B:B=$B$1)*2),"""")"),"")</f>
        <v/>
      </c>
      <c r="I672" s="15" t="str">
        <f>IFERROR(__xludf.DUMMYFUNCTION("IFERROR((FILTER(Data!K:K,Data!D:D=A672,Data!B:B=$B$1)*2)+(FILTER(Data!L:L,Data!D:D=A672,Data!B:B=$B$1)),"""")"),"")</f>
        <v/>
      </c>
      <c r="J672" s="134" t="str">
        <f>IFERROR(__xludf.DUMMYFUNCTION("IFERROR((FILTER(Data!N:N,Data!D:D=A672,Data!B:B=$B$1)),"""")"),"")</f>
        <v/>
      </c>
      <c r="K672" s="135" t="str">
        <f>IFERROR(__xludf.DUMMYFUNCTION("IFERROR((FILTER(Data!H:H,Data!D:D=A672,Data!B:B=$B$1)*2)+(FILTER(Data!L:L,Data!D:D=A672,Data!B:B=$B$1))+(FILTER(Data!G:G,Data!D:D=A672,Data!B:B=$B$1)*4)+(FILTER(Data!K:K,Data!D:D=A672,Data!B:B=$B$1)*2)+(((COUNTIF(FILTER(Data!N:N,Data!D:D=A672,Data!B:B=$B$"&amp;"1),""TRAVERSE"")*15)+(COUNTIF(FILTER(Data!N:N,Data!D:D=A672,Data!B:B=$B$1),""HIGH"")*10)+(COUNTIF(FILTER(Data!N:N,Data!D:D=A672,Data!B:B=$B$1),""MIDDLE"")*6)+(COUNTIF(FILTER(Data!N:N,Data!D:D=A672,Data!B:B=$B$1),""LOW"")*4))),"""")"),"")</f>
        <v/>
      </c>
      <c r="L672" s="136" t="str">
        <f>IFERROR(__xludf.DUMMYFUNCTION("IFERROR((FILTER(Data!P:P,Data!D:D=A672,Data!B:B=$B$1)),"""")"),"")</f>
        <v/>
      </c>
      <c r="M672" s="137" t="str">
        <f>IFERROR(__xludf.DUMMYFUNCTION("IFERROR((FILTER(Data!A:A,Data!D:D=A672,Data!B:B=$B$1)),"""")"),"")</f>
        <v/>
      </c>
      <c r="T672" s="52">
        <f>IFERROR(__xludf.DUMMYFUNCTION("((COUNTIF(FILTER(Data!N:N,Data!D:D=A672,Data!B:B=$B$1),""TRAVERSE"")*15)+(COUNTIF(FILTER(Data!N:N,Data!D:D=A672,Data!B:B=B$1),""HIGH"")*10)+(COUNTIF(FILTER(Data!N:N,Data!D:D=A672,Data!B:B=$B$1),""MIDDLE"")*6)+(COUNTIF(FILTER(Data!N:N,Data!D:D=A672,Data!B:"&amp;"B=$B$1),""LOW"")*4))"),0.0)</f>
        <v>0</v>
      </c>
      <c r="V672" s="138" t="str">
        <f>IF(Data!B664='Team Parser'!$B$1, Data!D664,"")</f>
        <v/>
      </c>
      <c r="W672" s="134" t="str">
        <f>IF(Data!$B664='Team Parser'!$B$1, Data!H664,"")</f>
        <v/>
      </c>
      <c r="X672" s="134" t="str">
        <f>IF(Data!$B664='Team Parser'!$B$1, Data!G664,"")</f>
        <v/>
      </c>
      <c r="Y672" s="134" t="str">
        <f>IF(Data!$B664='Team Parser'!$B$1, Data!L664,"")</f>
        <v/>
      </c>
      <c r="Z672" s="134" t="str">
        <f>IF(Data!$B664='Team Parser'!$B$1, Data!K664,"")</f>
        <v/>
      </c>
      <c r="AA672" s="134" t="str">
        <f>IF(Data!$B664='Team Parser'!$B$1, Data!M664,"")</f>
        <v/>
      </c>
      <c r="AB672" s="134" t="str">
        <f>IF(Data!$B664='Team Parser'!$B$1,((Z672*2)+(Y672)+(X672*4)+(W672*2)),"")</f>
        <v/>
      </c>
      <c r="AC672" s="134" t="str">
        <f>IF(Data!$B664='Team Parser'!$B$1, Data!N664,"")</f>
        <v/>
      </c>
      <c r="AD672" s="139" t="str">
        <f>IF(Data!$B664='Team Parser'!$B$1,(AB672+(COUNTIF(AC672,"TRAVERSE")*15)+(COUNTIF(AC672,"HIGH")*10)+(COUNTIF(AC672,"MIDDLE")*6)+(COUNTIF(AC672,"LOW")*4)),"")</f>
        <v/>
      </c>
    </row>
    <row r="673">
      <c r="A673" s="141" t="s">
        <v>507</v>
      </c>
      <c r="B673" s="134" t="str">
        <f>IFERROR(__xludf.DUMMYFUNCTION("IFERROR((FILTER(Data!H:H,Data!D:D=A673,Data!B:B=$B$1)),"""")"),"")</f>
        <v/>
      </c>
      <c r="C673" s="134" t="str">
        <f>IFERROR(__xludf.DUMMYFUNCTION("IFERROR((FILTER(Data!G:G,Data!D:D=A673,Data!B:B=$B$1)),"""")"),"")</f>
        <v/>
      </c>
      <c r="D673" s="134" t="str">
        <f>IFERROR(__xludf.DUMMYFUNCTION("IFERROR((FILTER(Data!J:J,Data!D:D=A673,Data!B:B=$B$1)),"""")"),"")</f>
        <v/>
      </c>
      <c r="E673" s="134" t="str">
        <f>IFERROR(__xludf.DUMMYFUNCTION("IFERROR((FILTER(Data!L:L,Data!D:D=A673,Data!B:B=$B$1)),"""")"),"")</f>
        <v/>
      </c>
      <c r="F673" s="134" t="str">
        <f>IFERROR(__xludf.DUMMYFUNCTION("IFERROR((FILTER(Data!K:K,Data!D:D=A673,Data!B:B=$B$1)),"""")"),"")</f>
        <v/>
      </c>
      <c r="G673" s="134" t="str">
        <f>IFERROR(__xludf.DUMMYFUNCTION("IFERROR((FILTER(Data!M:M,Data!D:D=A673,Data!B:B=$B$1)),"""")"),"")</f>
        <v/>
      </c>
      <c r="H673" s="134" t="str">
        <f>IFERROR(__xludf.DUMMYFUNCTION("IFERROR((FILTER(Data!G:G,Data!D:D=A673,Data!B:B=$B$1)*4)+(FILTER(Data!H:H,Data!D:D=A673,Data!B:B=$B$1)*2),"""")"),"")</f>
        <v/>
      </c>
      <c r="I673" s="15" t="str">
        <f>IFERROR(__xludf.DUMMYFUNCTION("IFERROR((FILTER(Data!K:K,Data!D:D=A673,Data!B:B=$B$1)*2)+(FILTER(Data!L:L,Data!D:D=A673,Data!B:B=$B$1)),"""")"),"")</f>
        <v/>
      </c>
      <c r="J673" s="134" t="str">
        <f>IFERROR(__xludf.DUMMYFUNCTION("IFERROR((FILTER(Data!N:N,Data!D:D=A673,Data!B:B=$B$1)),"""")"),"")</f>
        <v/>
      </c>
      <c r="K673" s="135" t="str">
        <f>IFERROR(__xludf.DUMMYFUNCTION("IFERROR((FILTER(Data!H:H,Data!D:D=A673,Data!B:B=$B$1)*2)+(FILTER(Data!L:L,Data!D:D=A673,Data!B:B=$B$1))+(FILTER(Data!G:G,Data!D:D=A673,Data!B:B=$B$1)*4)+(FILTER(Data!K:K,Data!D:D=A673,Data!B:B=$B$1)*2)+(((COUNTIF(FILTER(Data!N:N,Data!D:D=A673,Data!B:B=$B$"&amp;"1),""TRAVERSE"")*15)+(COUNTIF(FILTER(Data!N:N,Data!D:D=A673,Data!B:B=$B$1),""HIGH"")*10)+(COUNTIF(FILTER(Data!N:N,Data!D:D=A673,Data!B:B=$B$1),""MIDDLE"")*6)+(COUNTIF(FILTER(Data!N:N,Data!D:D=A673,Data!B:B=$B$1),""LOW"")*4))),"""")"),"")</f>
        <v/>
      </c>
      <c r="L673" s="136" t="str">
        <f>IFERROR(__xludf.DUMMYFUNCTION("IFERROR((FILTER(Data!P:P,Data!D:D=A673,Data!B:B=$B$1)),"""")"),"")</f>
        <v/>
      </c>
      <c r="M673" s="137" t="str">
        <f>IFERROR(__xludf.DUMMYFUNCTION("IFERROR((FILTER(Data!A:A,Data!D:D=A673,Data!B:B=$B$1)),"""")"),"")</f>
        <v/>
      </c>
      <c r="T673" s="52">
        <f>IFERROR(__xludf.DUMMYFUNCTION("((COUNTIF(FILTER(Data!N:N,Data!D:D=A673,Data!B:B=$B$1),""TRAVERSE"")*15)+(COUNTIF(FILTER(Data!N:N,Data!D:D=A673,Data!B:B=B$1),""HIGH"")*10)+(COUNTIF(FILTER(Data!N:N,Data!D:D=A673,Data!B:B=$B$1),""MIDDLE"")*6)+(COUNTIF(FILTER(Data!N:N,Data!D:D=A673,Data!B:"&amp;"B=$B$1),""LOW"")*4))"),0.0)</f>
        <v>0</v>
      </c>
      <c r="V673" s="138" t="str">
        <f>IF(Data!B665='Team Parser'!$B$1, Data!D665,"")</f>
        <v/>
      </c>
      <c r="W673" s="134" t="str">
        <f>IF(Data!$B665='Team Parser'!$B$1, Data!H665,"")</f>
        <v/>
      </c>
      <c r="X673" s="134" t="str">
        <f>IF(Data!$B665='Team Parser'!$B$1, Data!G665,"")</f>
        <v/>
      </c>
      <c r="Y673" s="134" t="str">
        <f>IF(Data!$B665='Team Parser'!$B$1, Data!L665,"")</f>
        <v/>
      </c>
      <c r="Z673" s="134" t="str">
        <f>IF(Data!$B665='Team Parser'!$B$1, Data!K665,"")</f>
        <v/>
      </c>
      <c r="AA673" s="134" t="str">
        <f>IF(Data!$B665='Team Parser'!$B$1, Data!M665,"")</f>
        <v/>
      </c>
      <c r="AB673" s="134" t="str">
        <f>IF(Data!$B665='Team Parser'!$B$1,((Z673*2)+(Y673)+(X673*4)+(W673*2)),"")</f>
        <v/>
      </c>
      <c r="AC673" s="134" t="str">
        <f>IF(Data!$B665='Team Parser'!$B$1, Data!N665,"")</f>
        <v/>
      </c>
      <c r="AD673" s="139" t="str">
        <f>IF(Data!$B665='Team Parser'!$B$1,(AB673+(COUNTIF(AC673,"TRAVERSE")*15)+(COUNTIF(AC673,"HIGH")*10)+(COUNTIF(AC673,"MIDDLE")*6)+(COUNTIF(AC673,"LOW")*4)),"")</f>
        <v/>
      </c>
    </row>
    <row r="674">
      <c r="A674" s="141" t="s">
        <v>507</v>
      </c>
      <c r="B674" s="134" t="str">
        <f>IFERROR(__xludf.DUMMYFUNCTION("IFERROR((FILTER(Data!H:H,Data!D:D=A674,Data!B:B=$B$1)),"""")"),"")</f>
        <v/>
      </c>
      <c r="C674" s="134" t="str">
        <f>IFERROR(__xludf.DUMMYFUNCTION("IFERROR((FILTER(Data!G:G,Data!D:D=A674,Data!B:B=$B$1)),"""")"),"")</f>
        <v/>
      </c>
      <c r="D674" s="134" t="str">
        <f>IFERROR(__xludf.DUMMYFUNCTION("IFERROR((FILTER(Data!J:J,Data!D:D=A674,Data!B:B=$B$1)),"""")"),"")</f>
        <v/>
      </c>
      <c r="E674" s="134" t="str">
        <f>IFERROR(__xludf.DUMMYFUNCTION("IFERROR((FILTER(Data!L:L,Data!D:D=A674,Data!B:B=$B$1)),"""")"),"")</f>
        <v/>
      </c>
      <c r="F674" s="134" t="str">
        <f>IFERROR(__xludf.DUMMYFUNCTION("IFERROR((FILTER(Data!K:K,Data!D:D=A674,Data!B:B=$B$1)),"""")"),"")</f>
        <v/>
      </c>
      <c r="G674" s="134" t="str">
        <f>IFERROR(__xludf.DUMMYFUNCTION("IFERROR((FILTER(Data!M:M,Data!D:D=A674,Data!B:B=$B$1)),"""")"),"")</f>
        <v/>
      </c>
      <c r="H674" s="134" t="str">
        <f>IFERROR(__xludf.DUMMYFUNCTION("IFERROR((FILTER(Data!G:G,Data!D:D=A674,Data!B:B=$B$1)*4)+(FILTER(Data!H:H,Data!D:D=A674,Data!B:B=$B$1)*2),"""")"),"")</f>
        <v/>
      </c>
      <c r="I674" s="15" t="str">
        <f>IFERROR(__xludf.DUMMYFUNCTION("IFERROR((FILTER(Data!K:K,Data!D:D=A674,Data!B:B=$B$1)*2)+(FILTER(Data!L:L,Data!D:D=A674,Data!B:B=$B$1)),"""")"),"")</f>
        <v/>
      </c>
      <c r="J674" s="134" t="str">
        <f>IFERROR(__xludf.DUMMYFUNCTION("IFERROR((FILTER(Data!N:N,Data!D:D=A674,Data!B:B=$B$1)),"""")"),"")</f>
        <v/>
      </c>
      <c r="K674" s="135" t="str">
        <f>IFERROR(__xludf.DUMMYFUNCTION("IFERROR((FILTER(Data!H:H,Data!D:D=A674,Data!B:B=$B$1)*2)+(FILTER(Data!L:L,Data!D:D=A674,Data!B:B=$B$1))+(FILTER(Data!G:G,Data!D:D=A674,Data!B:B=$B$1)*4)+(FILTER(Data!K:K,Data!D:D=A674,Data!B:B=$B$1)*2)+(((COUNTIF(FILTER(Data!N:N,Data!D:D=A674,Data!B:B=$B$"&amp;"1),""TRAVERSE"")*15)+(COUNTIF(FILTER(Data!N:N,Data!D:D=A674,Data!B:B=$B$1),""HIGH"")*10)+(COUNTIF(FILTER(Data!N:N,Data!D:D=A674,Data!B:B=$B$1),""MIDDLE"")*6)+(COUNTIF(FILTER(Data!N:N,Data!D:D=A674,Data!B:B=$B$1),""LOW"")*4))),"""")"),"")</f>
        <v/>
      </c>
      <c r="L674" s="136" t="str">
        <f>IFERROR(__xludf.DUMMYFUNCTION("IFERROR((FILTER(Data!P:P,Data!D:D=A674,Data!B:B=$B$1)),"""")"),"")</f>
        <v/>
      </c>
      <c r="M674" s="137" t="str">
        <f>IFERROR(__xludf.DUMMYFUNCTION("IFERROR((FILTER(Data!A:A,Data!D:D=A674,Data!B:B=$B$1)),"""")"),"")</f>
        <v/>
      </c>
      <c r="T674" s="52">
        <f>IFERROR(__xludf.DUMMYFUNCTION("((COUNTIF(FILTER(Data!N:N,Data!D:D=A674,Data!B:B=$B$1),""TRAVERSE"")*15)+(COUNTIF(FILTER(Data!N:N,Data!D:D=A674,Data!B:B=B$1),""HIGH"")*10)+(COUNTIF(FILTER(Data!N:N,Data!D:D=A674,Data!B:B=$B$1),""MIDDLE"")*6)+(COUNTIF(FILTER(Data!N:N,Data!D:D=A674,Data!B:"&amp;"B=$B$1),""LOW"")*4))"),0.0)</f>
        <v>0</v>
      </c>
      <c r="V674" s="138" t="str">
        <f>IF(Data!B666='Team Parser'!$B$1, Data!D666,"")</f>
        <v/>
      </c>
      <c r="W674" s="134" t="str">
        <f>IF(Data!$B666='Team Parser'!$B$1, Data!H666,"")</f>
        <v/>
      </c>
      <c r="X674" s="134" t="str">
        <f>IF(Data!$B666='Team Parser'!$B$1, Data!G666,"")</f>
        <v/>
      </c>
      <c r="Y674" s="134" t="str">
        <f>IF(Data!$B666='Team Parser'!$B$1, Data!L666,"")</f>
        <v/>
      </c>
      <c r="Z674" s="134" t="str">
        <f>IF(Data!$B666='Team Parser'!$B$1, Data!K666,"")</f>
        <v/>
      </c>
      <c r="AA674" s="134" t="str">
        <f>IF(Data!$B666='Team Parser'!$B$1, Data!M666,"")</f>
        <v/>
      </c>
      <c r="AB674" s="134" t="str">
        <f>IF(Data!$B666='Team Parser'!$B$1,((Z674*2)+(Y674)+(X674*4)+(W674*2)),"")</f>
        <v/>
      </c>
      <c r="AC674" s="134" t="str">
        <f>IF(Data!$B666='Team Parser'!$B$1, Data!N666,"")</f>
        <v/>
      </c>
      <c r="AD674" s="139" t="str">
        <f>IF(Data!$B666='Team Parser'!$B$1,(AB674+(COUNTIF(AC674,"TRAVERSE")*15)+(COUNTIF(AC674,"HIGH")*10)+(COUNTIF(AC674,"MIDDLE")*6)+(COUNTIF(AC674,"LOW")*4)),"")</f>
        <v/>
      </c>
    </row>
    <row r="675">
      <c r="A675" s="141" t="s">
        <v>507</v>
      </c>
      <c r="B675" s="134" t="str">
        <f>IFERROR(__xludf.DUMMYFUNCTION("IFERROR((FILTER(Data!H:H,Data!D:D=A675,Data!B:B=$B$1)),"""")"),"")</f>
        <v/>
      </c>
      <c r="C675" s="134" t="str">
        <f>IFERROR(__xludf.DUMMYFUNCTION("IFERROR((FILTER(Data!G:G,Data!D:D=A675,Data!B:B=$B$1)),"""")"),"")</f>
        <v/>
      </c>
      <c r="D675" s="134" t="str">
        <f>IFERROR(__xludf.DUMMYFUNCTION("IFERROR((FILTER(Data!J:J,Data!D:D=A675,Data!B:B=$B$1)),"""")"),"")</f>
        <v/>
      </c>
      <c r="E675" s="134" t="str">
        <f>IFERROR(__xludf.DUMMYFUNCTION("IFERROR((FILTER(Data!L:L,Data!D:D=A675,Data!B:B=$B$1)),"""")"),"")</f>
        <v/>
      </c>
      <c r="F675" s="134" t="str">
        <f>IFERROR(__xludf.DUMMYFUNCTION("IFERROR((FILTER(Data!K:K,Data!D:D=A675,Data!B:B=$B$1)),"""")"),"")</f>
        <v/>
      </c>
      <c r="G675" s="134" t="str">
        <f>IFERROR(__xludf.DUMMYFUNCTION("IFERROR((FILTER(Data!M:M,Data!D:D=A675,Data!B:B=$B$1)),"""")"),"")</f>
        <v/>
      </c>
      <c r="H675" s="134" t="str">
        <f>IFERROR(__xludf.DUMMYFUNCTION("IFERROR((FILTER(Data!G:G,Data!D:D=A675,Data!B:B=$B$1)*4)+(FILTER(Data!H:H,Data!D:D=A675,Data!B:B=$B$1)*2),"""")"),"")</f>
        <v/>
      </c>
      <c r="I675" s="15" t="str">
        <f>IFERROR(__xludf.DUMMYFUNCTION("IFERROR((FILTER(Data!K:K,Data!D:D=A675,Data!B:B=$B$1)*2)+(FILTER(Data!L:L,Data!D:D=A675,Data!B:B=$B$1)),"""")"),"")</f>
        <v/>
      </c>
      <c r="J675" s="134" t="str">
        <f>IFERROR(__xludf.DUMMYFUNCTION("IFERROR((FILTER(Data!N:N,Data!D:D=A675,Data!B:B=$B$1)),"""")"),"")</f>
        <v/>
      </c>
      <c r="K675" s="135" t="str">
        <f>IFERROR(__xludf.DUMMYFUNCTION("IFERROR((FILTER(Data!H:H,Data!D:D=A675,Data!B:B=$B$1)*2)+(FILTER(Data!L:L,Data!D:D=A675,Data!B:B=$B$1))+(FILTER(Data!G:G,Data!D:D=A675,Data!B:B=$B$1)*4)+(FILTER(Data!K:K,Data!D:D=A675,Data!B:B=$B$1)*2)+(((COUNTIF(FILTER(Data!N:N,Data!D:D=A675,Data!B:B=$B$"&amp;"1),""TRAVERSE"")*15)+(COUNTIF(FILTER(Data!N:N,Data!D:D=A675,Data!B:B=$B$1),""HIGH"")*10)+(COUNTIF(FILTER(Data!N:N,Data!D:D=A675,Data!B:B=$B$1),""MIDDLE"")*6)+(COUNTIF(FILTER(Data!N:N,Data!D:D=A675,Data!B:B=$B$1),""LOW"")*4))),"""")"),"")</f>
        <v/>
      </c>
      <c r="L675" s="136" t="str">
        <f>IFERROR(__xludf.DUMMYFUNCTION("IFERROR((FILTER(Data!P:P,Data!D:D=A675,Data!B:B=$B$1)),"""")"),"")</f>
        <v/>
      </c>
      <c r="M675" s="137" t="str">
        <f>IFERROR(__xludf.DUMMYFUNCTION("IFERROR((FILTER(Data!A:A,Data!D:D=A675,Data!B:B=$B$1)),"""")"),"")</f>
        <v/>
      </c>
      <c r="T675" s="52">
        <f>IFERROR(__xludf.DUMMYFUNCTION("((COUNTIF(FILTER(Data!N:N,Data!D:D=A675,Data!B:B=$B$1),""TRAVERSE"")*15)+(COUNTIF(FILTER(Data!N:N,Data!D:D=A675,Data!B:B=B$1),""HIGH"")*10)+(COUNTIF(FILTER(Data!N:N,Data!D:D=A675,Data!B:B=$B$1),""MIDDLE"")*6)+(COUNTIF(FILTER(Data!N:N,Data!D:D=A675,Data!B:"&amp;"B=$B$1),""LOW"")*4))"),0.0)</f>
        <v>0</v>
      </c>
      <c r="V675" s="138" t="str">
        <f>IF(Data!B667='Team Parser'!$B$1, Data!D667,"")</f>
        <v/>
      </c>
      <c r="W675" s="134" t="str">
        <f>IF(Data!$B667='Team Parser'!$B$1, Data!H667,"")</f>
        <v/>
      </c>
      <c r="X675" s="134" t="str">
        <f>IF(Data!$B667='Team Parser'!$B$1, Data!G667,"")</f>
        <v/>
      </c>
      <c r="Y675" s="134" t="str">
        <f>IF(Data!$B667='Team Parser'!$B$1, Data!L667,"")</f>
        <v/>
      </c>
      <c r="Z675" s="134" t="str">
        <f>IF(Data!$B667='Team Parser'!$B$1, Data!K667,"")</f>
        <v/>
      </c>
      <c r="AA675" s="134" t="str">
        <f>IF(Data!$B667='Team Parser'!$B$1, Data!M667,"")</f>
        <v/>
      </c>
      <c r="AB675" s="134" t="str">
        <f>IF(Data!$B667='Team Parser'!$B$1,((Z675*2)+(Y675)+(X675*4)+(W675*2)),"")</f>
        <v/>
      </c>
      <c r="AC675" s="134" t="str">
        <f>IF(Data!$B667='Team Parser'!$B$1, Data!N667,"")</f>
        <v/>
      </c>
      <c r="AD675" s="139" t="str">
        <f>IF(Data!$B667='Team Parser'!$B$1,(AB675+(COUNTIF(AC675,"TRAVERSE")*15)+(COUNTIF(AC675,"HIGH")*10)+(COUNTIF(AC675,"MIDDLE")*6)+(COUNTIF(AC675,"LOW")*4)),"")</f>
        <v/>
      </c>
    </row>
    <row r="676">
      <c r="A676" s="141" t="s">
        <v>507</v>
      </c>
      <c r="B676" s="134" t="str">
        <f>IFERROR(__xludf.DUMMYFUNCTION("IFERROR((FILTER(Data!H:H,Data!D:D=A676,Data!B:B=$B$1)),"""")"),"")</f>
        <v/>
      </c>
      <c r="C676" s="134" t="str">
        <f>IFERROR(__xludf.DUMMYFUNCTION("IFERROR((FILTER(Data!G:G,Data!D:D=A676,Data!B:B=$B$1)),"""")"),"")</f>
        <v/>
      </c>
      <c r="D676" s="134" t="str">
        <f>IFERROR(__xludf.DUMMYFUNCTION("IFERROR((FILTER(Data!J:J,Data!D:D=A676,Data!B:B=$B$1)),"""")"),"")</f>
        <v/>
      </c>
      <c r="E676" s="134" t="str">
        <f>IFERROR(__xludf.DUMMYFUNCTION("IFERROR((FILTER(Data!L:L,Data!D:D=A676,Data!B:B=$B$1)),"""")"),"")</f>
        <v/>
      </c>
      <c r="F676" s="134" t="str">
        <f>IFERROR(__xludf.DUMMYFUNCTION("IFERROR((FILTER(Data!K:K,Data!D:D=A676,Data!B:B=$B$1)),"""")"),"")</f>
        <v/>
      </c>
      <c r="G676" s="134" t="str">
        <f>IFERROR(__xludf.DUMMYFUNCTION("IFERROR((FILTER(Data!M:M,Data!D:D=A676,Data!B:B=$B$1)),"""")"),"")</f>
        <v/>
      </c>
      <c r="H676" s="134" t="str">
        <f>IFERROR(__xludf.DUMMYFUNCTION("IFERROR((FILTER(Data!G:G,Data!D:D=A676,Data!B:B=$B$1)*4)+(FILTER(Data!H:H,Data!D:D=A676,Data!B:B=$B$1)*2),"""")"),"")</f>
        <v/>
      </c>
      <c r="I676" s="15" t="str">
        <f>IFERROR(__xludf.DUMMYFUNCTION("IFERROR((FILTER(Data!K:K,Data!D:D=A676,Data!B:B=$B$1)*2)+(FILTER(Data!L:L,Data!D:D=A676,Data!B:B=$B$1)),"""")"),"")</f>
        <v/>
      </c>
      <c r="J676" s="134" t="str">
        <f>IFERROR(__xludf.DUMMYFUNCTION("IFERROR((FILTER(Data!N:N,Data!D:D=A676,Data!B:B=$B$1)),"""")"),"")</f>
        <v/>
      </c>
      <c r="K676" s="135" t="str">
        <f>IFERROR(__xludf.DUMMYFUNCTION("IFERROR((FILTER(Data!H:H,Data!D:D=A676,Data!B:B=$B$1)*2)+(FILTER(Data!L:L,Data!D:D=A676,Data!B:B=$B$1))+(FILTER(Data!G:G,Data!D:D=A676,Data!B:B=$B$1)*4)+(FILTER(Data!K:K,Data!D:D=A676,Data!B:B=$B$1)*2)+(((COUNTIF(FILTER(Data!N:N,Data!D:D=A676,Data!B:B=$B$"&amp;"1),""TRAVERSE"")*15)+(COUNTIF(FILTER(Data!N:N,Data!D:D=A676,Data!B:B=$B$1),""HIGH"")*10)+(COUNTIF(FILTER(Data!N:N,Data!D:D=A676,Data!B:B=$B$1),""MIDDLE"")*6)+(COUNTIF(FILTER(Data!N:N,Data!D:D=A676,Data!B:B=$B$1),""LOW"")*4))),"""")"),"")</f>
        <v/>
      </c>
      <c r="L676" s="136" t="str">
        <f>IFERROR(__xludf.DUMMYFUNCTION("IFERROR((FILTER(Data!P:P,Data!D:D=A676,Data!B:B=$B$1)),"""")"),"")</f>
        <v/>
      </c>
      <c r="M676" s="137" t="str">
        <f>IFERROR(__xludf.DUMMYFUNCTION("IFERROR((FILTER(Data!A:A,Data!D:D=A676,Data!B:B=$B$1)),"""")"),"")</f>
        <v/>
      </c>
      <c r="T676" s="52">
        <f>IFERROR(__xludf.DUMMYFUNCTION("((COUNTIF(FILTER(Data!N:N,Data!D:D=A676,Data!B:B=$B$1),""TRAVERSE"")*15)+(COUNTIF(FILTER(Data!N:N,Data!D:D=A676,Data!B:B=B$1),""HIGH"")*10)+(COUNTIF(FILTER(Data!N:N,Data!D:D=A676,Data!B:B=$B$1),""MIDDLE"")*6)+(COUNTIF(FILTER(Data!N:N,Data!D:D=A676,Data!B:"&amp;"B=$B$1),""LOW"")*4))"),0.0)</f>
        <v>0</v>
      </c>
      <c r="V676" s="138" t="str">
        <f>IF(Data!B668='Team Parser'!$B$1, Data!D668,"")</f>
        <v/>
      </c>
      <c r="W676" s="134" t="str">
        <f>IF(Data!$B668='Team Parser'!$B$1, Data!H668,"")</f>
        <v/>
      </c>
      <c r="X676" s="134" t="str">
        <f>IF(Data!$B668='Team Parser'!$B$1, Data!G668,"")</f>
        <v/>
      </c>
      <c r="Y676" s="134" t="str">
        <f>IF(Data!$B668='Team Parser'!$B$1, Data!L668,"")</f>
        <v/>
      </c>
      <c r="Z676" s="134" t="str">
        <f>IF(Data!$B668='Team Parser'!$B$1, Data!K668,"")</f>
        <v/>
      </c>
      <c r="AA676" s="134" t="str">
        <f>IF(Data!$B668='Team Parser'!$B$1, Data!M668,"")</f>
        <v/>
      </c>
      <c r="AB676" s="134" t="str">
        <f>IF(Data!$B668='Team Parser'!$B$1,((Z676*2)+(Y676)+(X676*4)+(W676*2)),"")</f>
        <v/>
      </c>
      <c r="AC676" s="134" t="str">
        <f>IF(Data!$B668='Team Parser'!$B$1, Data!N668,"")</f>
        <v/>
      </c>
      <c r="AD676" s="139" t="str">
        <f>IF(Data!$B668='Team Parser'!$B$1,(AB676+(COUNTIF(AC676,"TRAVERSE")*15)+(COUNTIF(AC676,"HIGH")*10)+(COUNTIF(AC676,"MIDDLE")*6)+(COUNTIF(AC676,"LOW")*4)),"")</f>
        <v/>
      </c>
    </row>
    <row r="677">
      <c r="A677" s="141" t="s">
        <v>507</v>
      </c>
      <c r="B677" s="134" t="str">
        <f>IFERROR(__xludf.DUMMYFUNCTION("IFERROR((FILTER(Data!H:H,Data!D:D=A677,Data!B:B=$B$1)),"""")"),"")</f>
        <v/>
      </c>
      <c r="C677" s="134" t="str">
        <f>IFERROR(__xludf.DUMMYFUNCTION("IFERROR((FILTER(Data!G:G,Data!D:D=A677,Data!B:B=$B$1)),"""")"),"")</f>
        <v/>
      </c>
      <c r="D677" s="134" t="str">
        <f>IFERROR(__xludf.DUMMYFUNCTION("IFERROR((FILTER(Data!J:J,Data!D:D=A677,Data!B:B=$B$1)),"""")"),"")</f>
        <v/>
      </c>
      <c r="E677" s="134" t="str">
        <f>IFERROR(__xludf.DUMMYFUNCTION("IFERROR((FILTER(Data!L:L,Data!D:D=A677,Data!B:B=$B$1)),"""")"),"")</f>
        <v/>
      </c>
      <c r="F677" s="134" t="str">
        <f>IFERROR(__xludf.DUMMYFUNCTION("IFERROR((FILTER(Data!K:K,Data!D:D=A677,Data!B:B=$B$1)),"""")"),"")</f>
        <v/>
      </c>
      <c r="G677" s="134" t="str">
        <f>IFERROR(__xludf.DUMMYFUNCTION("IFERROR((FILTER(Data!M:M,Data!D:D=A677,Data!B:B=$B$1)),"""")"),"")</f>
        <v/>
      </c>
      <c r="H677" s="134" t="str">
        <f>IFERROR(__xludf.DUMMYFUNCTION("IFERROR((FILTER(Data!G:G,Data!D:D=A677,Data!B:B=$B$1)*4)+(FILTER(Data!H:H,Data!D:D=A677,Data!B:B=$B$1)*2),"""")"),"")</f>
        <v/>
      </c>
      <c r="I677" s="15" t="str">
        <f>IFERROR(__xludf.DUMMYFUNCTION("IFERROR((FILTER(Data!K:K,Data!D:D=A677,Data!B:B=$B$1)*2)+(FILTER(Data!L:L,Data!D:D=A677,Data!B:B=$B$1)),"""")"),"")</f>
        <v/>
      </c>
      <c r="J677" s="134" t="str">
        <f>IFERROR(__xludf.DUMMYFUNCTION("IFERROR((FILTER(Data!N:N,Data!D:D=A677,Data!B:B=$B$1)),"""")"),"")</f>
        <v/>
      </c>
      <c r="K677" s="135" t="str">
        <f>IFERROR(__xludf.DUMMYFUNCTION("IFERROR((FILTER(Data!H:H,Data!D:D=A677,Data!B:B=$B$1)*2)+(FILTER(Data!L:L,Data!D:D=A677,Data!B:B=$B$1))+(FILTER(Data!G:G,Data!D:D=A677,Data!B:B=$B$1)*4)+(FILTER(Data!K:K,Data!D:D=A677,Data!B:B=$B$1)*2)+(((COUNTIF(FILTER(Data!N:N,Data!D:D=A677,Data!B:B=$B$"&amp;"1),""TRAVERSE"")*15)+(COUNTIF(FILTER(Data!N:N,Data!D:D=A677,Data!B:B=$B$1),""HIGH"")*10)+(COUNTIF(FILTER(Data!N:N,Data!D:D=A677,Data!B:B=$B$1),""MIDDLE"")*6)+(COUNTIF(FILTER(Data!N:N,Data!D:D=A677,Data!B:B=$B$1),""LOW"")*4))),"""")"),"")</f>
        <v/>
      </c>
      <c r="L677" s="136" t="str">
        <f>IFERROR(__xludf.DUMMYFUNCTION("IFERROR((FILTER(Data!P:P,Data!D:D=A677,Data!B:B=$B$1)),"""")"),"")</f>
        <v/>
      </c>
      <c r="M677" s="137" t="str">
        <f>IFERROR(__xludf.DUMMYFUNCTION("IFERROR((FILTER(Data!A:A,Data!D:D=A677,Data!B:B=$B$1)),"""")"),"")</f>
        <v/>
      </c>
      <c r="T677" s="52">
        <f>IFERROR(__xludf.DUMMYFUNCTION("((COUNTIF(FILTER(Data!N:N,Data!D:D=A677,Data!B:B=$B$1),""TRAVERSE"")*15)+(COUNTIF(FILTER(Data!N:N,Data!D:D=A677,Data!B:B=B$1),""HIGH"")*10)+(COUNTIF(FILTER(Data!N:N,Data!D:D=A677,Data!B:B=$B$1),""MIDDLE"")*6)+(COUNTIF(FILTER(Data!N:N,Data!D:D=A677,Data!B:"&amp;"B=$B$1),""LOW"")*4))"),0.0)</f>
        <v>0</v>
      </c>
      <c r="V677" s="138" t="str">
        <f>IF(Data!B669='Team Parser'!$B$1, Data!D669,"")</f>
        <v/>
      </c>
      <c r="W677" s="134" t="str">
        <f>IF(Data!$B669='Team Parser'!$B$1, Data!H669,"")</f>
        <v/>
      </c>
      <c r="X677" s="134" t="str">
        <f>IF(Data!$B669='Team Parser'!$B$1, Data!G669,"")</f>
        <v/>
      </c>
      <c r="Y677" s="134" t="str">
        <f>IF(Data!$B669='Team Parser'!$B$1, Data!L669,"")</f>
        <v/>
      </c>
      <c r="Z677" s="134" t="str">
        <f>IF(Data!$B669='Team Parser'!$B$1, Data!K669,"")</f>
        <v/>
      </c>
      <c r="AA677" s="134" t="str">
        <f>IF(Data!$B669='Team Parser'!$B$1, Data!M669,"")</f>
        <v/>
      </c>
      <c r="AB677" s="134" t="str">
        <f>IF(Data!$B669='Team Parser'!$B$1,((Z677*2)+(Y677)+(X677*4)+(W677*2)),"")</f>
        <v/>
      </c>
      <c r="AC677" s="134" t="str">
        <f>IF(Data!$B669='Team Parser'!$B$1, Data!N669,"")</f>
        <v/>
      </c>
      <c r="AD677" s="139" t="str">
        <f>IF(Data!$B669='Team Parser'!$B$1,(AB677+(COUNTIF(AC677,"TRAVERSE")*15)+(COUNTIF(AC677,"HIGH")*10)+(COUNTIF(AC677,"MIDDLE")*6)+(COUNTIF(AC677,"LOW")*4)),"")</f>
        <v/>
      </c>
    </row>
    <row r="678">
      <c r="A678" s="141" t="s">
        <v>507</v>
      </c>
      <c r="B678" s="134" t="str">
        <f>IFERROR(__xludf.DUMMYFUNCTION("IFERROR((FILTER(Data!H:H,Data!D:D=A678,Data!B:B=$B$1)),"""")"),"")</f>
        <v/>
      </c>
      <c r="C678" s="134" t="str">
        <f>IFERROR(__xludf.DUMMYFUNCTION("IFERROR((FILTER(Data!G:G,Data!D:D=A678,Data!B:B=$B$1)),"""")"),"")</f>
        <v/>
      </c>
      <c r="D678" s="134" t="str">
        <f>IFERROR(__xludf.DUMMYFUNCTION("IFERROR((FILTER(Data!J:J,Data!D:D=A678,Data!B:B=$B$1)),"""")"),"")</f>
        <v/>
      </c>
      <c r="E678" s="134" t="str">
        <f>IFERROR(__xludf.DUMMYFUNCTION("IFERROR((FILTER(Data!L:L,Data!D:D=A678,Data!B:B=$B$1)),"""")"),"")</f>
        <v/>
      </c>
      <c r="F678" s="134" t="str">
        <f>IFERROR(__xludf.DUMMYFUNCTION("IFERROR((FILTER(Data!K:K,Data!D:D=A678,Data!B:B=$B$1)),"""")"),"")</f>
        <v/>
      </c>
      <c r="G678" s="134" t="str">
        <f>IFERROR(__xludf.DUMMYFUNCTION("IFERROR((FILTER(Data!M:M,Data!D:D=A678,Data!B:B=$B$1)),"""")"),"")</f>
        <v/>
      </c>
      <c r="H678" s="134" t="str">
        <f>IFERROR(__xludf.DUMMYFUNCTION("IFERROR((FILTER(Data!G:G,Data!D:D=A678,Data!B:B=$B$1)*4)+(FILTER(Data!H:H,Data!D:D=A678,Data!B:B=$B$1)*2),"""")"),"")</f>
        <v/>
      </c>
      <c r="I678" s="15" t="str">
        <f>IFERROR(__xludf.DUMMYFUNCTION("IFERROR((FILTER(Data!K:K,Data!D:D=A678,Data!B:B=$B$1)*2)+(FILTER(Data!L:L,Data!D:D=A678,Data!B:B=$B$1)),"""")"),"")</f>
        <v/>
      </c>
      <c r="J678" s="134" t="str">
        <f>IFERROR(__xludf.DUMMYFUNCTION("IFERROR((FILTER(Data!N:N,Data!D:D=A678,Data!B:B=$B$1)),"""")"),"")</f>
        <v/>
      </c>
      <c r="K678" s="135" t="str">
        <f>IFERROR(__xludf.DUMMYFUNCTION("IFERROR((FILTER(Data!H:H,Data!D:D=A678,Data!B:B=$B$1)*2)+(FILTER(Data!L:L,Data!D:D=A678,Data!B:B=$B$1))+(FILTER(Data!G:G,Data!D:D=A678,Data!B:B=$B$1)*4)+(FILTER(Data!K:K,Data!D:D=A678,Data!B:B=$B$1)*2)+(((COUNTIF(FILTER(Data!N:N,Data!D:D=A678,Data!B:B=$B$"&amp;"1),""TRAVERSE"")*15)+(COUNTIF(FILTER(Data!N:N,Data!D:D=A678,Data!B:B=$B$1),""HIGH"")*10)+(COUNTIF(FILTER(Data!N:N,Data!D:D=A678,Data!B:B=$B$1),""MIDDLE"")*6)+(COUNTIF(FILTER(Data!N:N,Data!D:D=A678,Data!B:B=$B$1),""LOW"")*4))),"""")"),"")</f>
        <v/>
      </c>
      <c r="L678" s="136" t="str">
        <f>IFERROR(__xludf.DUMMYFUNCTION("IFERROR((FILTER(Data!P:P,Data!D:D=A678,Data!B:B=$B$1)),"""")"),"")</f>
        <v/>
      </c>
      <c r="M678" s="137" t="str">
        <f>IFERROR(__xludf.DUMMYFUNCTION("IFERROR((FILTER(Data!A:A,Data!D:D=A678,Data!B:B=$B$1)),"""")"),"")</f>
        <v/>
      </c>
      <c r="T678" s="52">
        <f>IFERROR(__xludf.DUMMYFUNCTION("((COUNTIF(FILTER(Data!N:N,Data!D:D=A678,Data!B:B=$B$1),""TRAVERSE"")*15)+(COUNTIF(FILTER(Data!N:N,Data!D:D=A678,Data!B:B=B$1),""HIGH"")*10)+(COUNTIF(FILTER(Data!N:N,Data!D:D=A678,Data!B:B=$B$1),""MIDDLE"")*6)+(COUNTIF(FILTER(Data!N:N,Data!D:D=A678,Data!B:"&amp;"B=$B$1),""LOW"")*4))"),0.0)</f>
        <v>0</v>
      </c>
      <c r="V678" s="138" t="str">
        <f>IF(Data!B670='Team Parser'!$B$1, Data!D670,"")</f>
        <v/>
      </c>
      <c r="W678" s="134" t="str">
        <f>IF(Data!$B670='Team Parser'!$B$1, Data!H670,"")</f>
        <v/>
      </c>
      <c r="X678" s="134" t="str">
        <f>IF(Data!$B670='Team Parser'!$B$1, Data!G670,"")</f>
        <v/>
      </c>
      <c r="Y678" s="134" t="str">
        <f>IF(Data!$B670='Team Parser'!$B$1, Data!L670,"")</f>
        <v/>
      </c>
      <c r="Z678" s="134" t="str">
        <f>IF(Data!$B670='Team Parser'!$B$1, Data!K670,"")</f>
        <v/>
      </c>
      <c r="AA678" s="134" t="str">
        <f>IF(Data!$B670='Team Parser'!$B$1, Data!M670,"")</f>
        <v/>
      </c>
      <c r="AB678" s="134" t="str">
        <f>IF(Data!$B670='Team Parser'!$B$1,((Z678*2)+(Y678)+(X678*4)+(W678*2)),"")</f>
        <v/>
      </c>
      <c r="AC678" s="134" t="str">
        <f>IF(Data!$B670='Team Parser'!$B$1, Data!N670,"")</f>
        <v/>
      </c>
      <c r="AD678" s="139" t="str">
        <f>IF(Data!$B670='Team Parser'!$B$1,(AB678+(COUNTIF(AC678,"TRAVERSE")*15)+(COUNTIF(AC678,"HIGH")*10)+(COUNTIF(AC678,"MIDDLE")*6)+(COUNTIF(AC678,"LOW")*4)),"")</f>
        <v/>
      </c>
    </row>
    <row r="679">
      <c r="A679" s="141" t="s">
        <v>507</v>
      </c>
      <c r="B679" s="134" t="str">
        <f>IFERROR(__xludf.DUMMYFUNCTION("IFERROR((FILTER(Data!H:H,Data!D:D=A679,Data!B:B=$B$1)),"""")"),"")</f>
        <v/>
      </c>
      <c r="C679" s="134" t="str">
        <f>IFERROR(__xludf.DUMMYFUNCTION("IFERROR((FILTER(Data!G:G,Data!D:D=A679,Data!B:B=$B$1)),"""")"),"")</f>
        <v/>
      </c>
      <c r="D679" s="134" t="str">
        <f>IFERROR(__xludf.DUMMYFUNCTION("IFERROR((FILTER(Data!J:J,Data!D:D=A679,Data!B:B=$B$1)),"""")"),"")</f>
        <v/>
      </c>
      <c r="E679" s="134" t="str">
        <f>IFERROR(__xludf.DUMMYFUNCTION("IFERROR((FILTER(Data!L:L,Data!D:D=A679,Data!B:B=$B$1)),"""")"),"")</f>
        <v/>
      </c>
      <c r="F679" s="134" t="str">
        <f>IFERROR(__xludf.DUMMYFUNCTION("IFERROR((FILTER(Data!K:K,Data!D:D=A679,Data!B:B=$B$1)),"""")"),"")</f>
        <v/>
      </c>
      <c r="G679" s="134" t="str">
        <f>IFERROR(__xludf.DUMMYFUNCTION("IFERROR((FILTER(Data!M:M,Data!D:D=A679,Data!B:B=$B$1)),"""")"),"")</f>
        <v/>
      </c>
      <c r="H679" s="134" t="str">
        <f>IFERROR(__xludf.DUMMYFUNCTION("IFERROR((FILTER(Data!G:G,Data!D:D=A679,Data!B:B=$B$1)*4)+(FILTER(Data!H:H,Data!D:D=A679,Data!B:B=$B$1)*2),"""")"),"")</f>
        <v/>
      </c>
      <c r="I679" s="15" t="str">
        <f>IFERROR(__xludf.DUMMYFUNCTION("IFERROR((FILTER(Data!K:K,Data!D:D=A679,Data!B:B=$B$1)*2)+(FILTER(Data!L:L,Data!D:D=A679,Data!B:B=$B$1)),"""")"),"")</f>
        <v/>
      </c>
      <c r="J679" s="134" t="str">
        <f>IFERROR(__xludf.DUMMYFUNCTION("IFERROR((FILTER(Data!N:N,Data!D:D=A679,Data!B:B=$B$1)),"""")"),"")</f>
        <v/>
      </c>
      <c r="K679" s="135" t="str">
        <f>IFERROR(__xludf.DUMMYFUNCTION("IFERROR((FILTER(Data!H:H,Data!D:D=A679,Data!B:B=$B$1)*2)+(FILTER(Data!L:L,Data!D:D=A679,Data!B:B=$B$1))+(FILTER(Data!G:G,Data!D:D=A679,Data!B:B=$B$1)*4)+(FILTER(Data!K:K,Data!D:D=A679,Data!B:B=$B$1)*2)+(((COUNTIF(FILTER(Data!N:N,Data!D:D=A679,Data!B:B=$B$"&amp;"1),""TRAVERSE"")*15)+(COUNTIF(FILTER(Data!N:N,Data!D:D=A679,Data!B:B=$B$1),""HIGH"")*10)+(COUNTIF(FILTER(Data!N:N,Data!D:D=A679,Data!B:B=$B$1),""MIDDLE"")*6)+(COUNTIF(FILTER(Data!N:N,Data!D:D=A679,Data!B:B=$B$1),""LOW"")*4))),"""")"),"")</f>
        <v/>
      </c>
      <c r="L679" s="136" t="str">
        <f>IFERROR(__xludf.DUMMYFUNCTION("IFERROR((FILTER(Data!P:P,Data!D:D=A679,Data!B:B=$B$1)),"""")"),"")</f>
        <v/>
      </c>
      <c r="M679" s="137" t="str">
        <f>IFERROR(__xludf.DUMMYFUNCTION("IFERROR((FILTER(Data!A:A,Data!D:D=A679,Data!B:B=$B$1)),"""")"),"")</f>
        <v/>
      </c>
      <c r="T679" s="52">
        <f>IFERROR(__xludf.DUMMYFUNCTION("((COUNTIF(FILTER(Data!N:N,Data!D:D=A679,Data!B:B=$B$1),""TRAVERSE"")*15)+(COUNTIF(FILTER(Data!N:N,Data!D:D=A679,Data!B:B=B$1),""HIGH"")*10)+(COUNTIF(FILTER(Data!N:N,Data!D:D=A679,Data!B:B=$B$1),""MIDDLE"")*6)+(COUNTIF(FILTER(Data!N:N,Data!D:D=A679,Data!B:"&amp;"B=$B$1),""LOW"")*4))"),0.0)</f>
        <v>0</v>
      </c>
      <c r="V679" s="138" t="str">
        <f>IF(Data!B671='Team Parser'!$B$1, Data!D671,"")</f>
        <v/>
      </c>
      <c r="W679" s="134" t="str">
        <f>IF(Data!$B671='Team Parser'!$B$1, Data!H671,"")</f>
        <v/>
      </c>
      <c r="X679" s="134" t="str">
        <f>IF(Data!$B671='Team Parser'!$B$1, Data!G671,"")</f>
        <v/>
      </c>
      <c r="Y679" s="134" t="str">
        <f>IF(Data!$B671='Team Parser'!$B$1, Data!L671,"")</f>
        <v/>
      </c>
      <c r="Z679" s="134" t="str">
        <f>IF(Data!$B671='Team Parser'!$B$1, Data!K671,"")</f>
        <v/>
      </c>
      <c r="AA679" s="134" t="str">
        <f>IF(Data!$B671='Team Parser'!$B$1, Data!M671,"")</f>
        <v/>
      </c>
      <c r="AB679" s="134" t="str">
        <f>IF(Data!$B671='Team Parser'!$B$1,((Z679*2)+(Y679)+(X679*4)+(W679*2)),"")</f>
        <v/>
      </c>
      <c r="AC679" s="134" t="str">
        <f>IF(Data!$B671='Team Parser'!$B$1, Data!N671,"")</f>
        <v/>
      </c>
      <c r="AD679" s="139" t="str">
        <f>IF(Data!$B671='Team Parser'!$B$1,(AB679+(COUNTIF(AC679,"TRAVERSE")*15)+(COUNTIF(AC679,"HIGH")*10)+(COUNTIF(AC679,"MIDDLE")*6)+(COUNTIF(AC679,"LOW")*4)),"")</f>
        <v/>
      </c>
    </row>
    <row r="680">
      <c r="A680" s="141" t="s">
        <v>507</v>
      </c>
      <c r="B680" s="134" t="str">
        <f>IFERROR(__xludf.DUMMYFUNCTION("IFERROR((FILTER(Data!H:H,Data!D:D=A680,Data!B:B=$B$1)),"""")"),"")</f>
        <v/>
      </c>
      <c r="C680" s="134" t="str">
        <f>IFERROR(__xludf.DUMMYFUNCTION("IFERROR((FILTER(Data!G:G,Data!D:D=A680,Data!B:B=$B$1)),"""")"),"")</f>
        <v/>
      </c>
      <c r="D680" s="134" t="str">
        <f>IFERROR(__xludf.DUMMYFUNCTION("IFERROR((FILTER(Data!J:J,Data!D:D=A680,Data!B:B=$B$1)),"""")"),"")</f>
        <v/>
      </c>
      <c r="E680" s="134" t="str">
        <f>IFERROR(__xludf.DUMMYFUNCTION("IFERROR((FILTER(Data!L:L,Data!D:D=A680,Data!B:B=$B$1)),"""")"),"")</f>
        <v/>
      </c>
      <c r="F680" s="134" t="str">
        <f>IFERROR(__xludf.DUMMYFUNCTION("IFERROR((FILTER(Data!K:K,Data!D:D=A680,Data!B:B=$B$1)),"""")"),"")</f>
        <v/>
      </c>
      <c r="G680" s="134" t="str">
        <f>IFERROR(__xludf.DUMMYFUNCTION("IFERROR((FILTER(Data!M:M,Data!D:D=A680,Data!B:B=$B$1)),"""")"),"")</f>
        <v/>
      </c>
      <c r="H680" s="134" t="str">
        <f>IFERROR(__xludf.DUMMYFUNCTION("IFERROR((FILTER(Data!G:G,Data!D:D=A680,Data!B:B=$B$1)*4)+(FILTER(Data!H:H,Data!D:D=A680,Data!B:B=$B$1)*2),"""")"),"")</f>
        <v/>
      </c>
      <c r="I680" s="15" t="str">
        <f>IFERROR(__xludf.DUMMYFUNCTION("IFERROR((FILTER(Data!K:K,Data!D:D=A680,Data!B:B=$B$1)*2)+(FILTER(Data!L:L,Data!D:D=A680,Data!B:B=$B$1)),"""")"),"")</f>
        <v/>
      </c>
      <c r="J680" s="134" t="str">
        <f>IFERROR(__xludf.DUMMYFUNCTION("IFERROR((FILTER(Data!N:N,Data!D:D=A680,Data!B:B=$B$1)),"""")"),"")</f>
        <v/>
      </c>
      <c r="K680" s="135" t="str">
        <f>IFERROR(__xludf.DUMMYFUNCTION("IFERROR((FILTER(Data!H:H,Data!D:D=A680,Data!B:B=$B$1)*2)+(FILTER(Data!L:L,Data!D:D=A680,Data!B:B=$B$1))+(FILTER(Data!G:G,Data!D:D=A680,Data!B:B=$B$1)*4)+(FILTER(Data!K:K,Data!D:D=A680,Data!B:B=$B$1)*2)+(((COUNTIF(FILTER(Data!N:N,Data!D:D=A680,Data!B:B=$B$"&amp;"1),""TRAVERSE"")*15)+(COUNTIF(FILTER(Data!N:N,Data!D:D=A680,Data!B:B=$B$1),""HIGH"")*10)+(COUNTIF(FILTER(Data!N:N,Data!D:D=A680,Data!B:B=$B$1),""MIDDLE"")*6)+(COUNTIF(FILTER(Data!N:N,Data!D:D=A680,Data!B:B=$B$1),""LOW"")*4))),"""")"),"")</f>
        <v/>
      </c>
      <c r="L680" s="136" t="str">
        <f>IFERROR(__xludf.DUMMYFUNCTION("IFERROR((FILTER(Data!P:P,Data!D:D=A680,Data!B:B=$B$1)),"""")"),"")</f>
        <v/>
      </c>
      <c r="M680" s="137" t="str">
        <f>IFERROR(__xludf.DUMMYFUNCTION("IFERROR((FILTER(Data!A:A,Data!D:D=A680,Data!B:B=$B$1)),"""")"),"")</f>
        <v/>
      </c>
      <c r="T680" s="52">
        <f>IFERROR(__xludf.DUMMYFUNCTION("((COUNTIF(FILTER(Data!N:N,Data!D:D=A680,Data!B:B=$B$1),""TRAVERSE"")*15)+(COUNTIF(FILTER(Data!N:N,Data!D:D=A680,Data!B:B=B$1),""HIGH"")*10)+(COUNTIF(FILTER(Data!N:N,Data!D:D=A680,Data!B:B=$B$1),""MIDDLE"")*6)+(COUNTIF(FILTER(Data!N:N,Data!D:D=A680,Data!B:"&amp;"B=$B$1),""LOW"")*4))"),0.0)</f>
        <v>0</v>
      </c>
      <c r="V680" s="138" t="str">
        <f>IF(Data!B672='Team Parser'!$B$1, Data!D672,"")</f>
        <v/>
      </c>
      <c r="W680" s="134" t="str">
        <f>IF(Data!$B672='Team Parser'!$B$1, Data!H672,"")</f>
        <v/>
      </c>
      <c r="X680" s="134" t="str">
        <f>IF(Data!$B672='Team Parser'!$B$1, Data!G672,"")</f>
        <v/>
      </c>
      <c r="Y680" s="134" t="str">
        <f>IF(Data!$B672='Team Parser'!$B$1, Data!L672,"")</f>
        <v/>
      </c>
      <c r="Z680" s="134" t="str">
        <f>IF(Data!$B672='Team Parser'!$B$1, Data!K672,"")</f>
        <v/>
      </c>
      <c r="AA680" s="134" t="str">
        <f>IF(Data!$B672='Team Parser'!$B$1, Data!M672,"")</f>
        <v/>
      </c>
      <c r="AB680" s="134" t="str">
        <f>IF(Data!$B672='Team Parser'!$B$1,((Z680*2)+(Y680)+(X680*4)+(W680*2)),"")</f>
        <v/>
      </c>
      <c r="AC680" s="134" t="str">
        <f>IF(Data!$B672='Team Parser'!$B$1, Data!N672,"")</f>
        <v/>
      </c>
      <c r="AD680" s="139" t="str">
        <f>IF(Data!$B672='Team Parser'!$B$1,(AB680+(COUNTIF(AC680,"TRAVERSE")*15)+(COUNTIF(AC680,"HIGH")*10)+(COUNTIF(AC680,"MIDDLE")*6)+(COUNTIF(AC680,"LOW")*4)),"")</f>
        <v/>
      </c>
    </row>
    <row r="681">
      <c r="A681" s="141" t="s">
        <v>507</v>
      </c>
      <c r="B681" s="134" t="str">
        <f>IFERROR(__xludf.DUMMYFUNCTION("IFERROR((FILTER(Data!H:H,Data!D:D=A681,Data!B:B=$B$1)),"""")"),"")</f>
        <v/>
      </c>
      <c r="C681" s="134" t="str">
        <f>IFERROR(__xludf.DUMMYFUNCTION("IFERROR((FILTER(Data!G:G,Data!D:D=A681,Data!B:B=$B$1)),"""")"),"")</f>
        <v/>
      </c>
      <c r="D681" s="134" t="str">
        <f>IFERROR(__xludf.DUMMYFUNCTION("IFERROR((FILTER(Data!J:J,Data!D:D=A681,Data!B:B=$B$1)),"""")"),"")</f>
        <v/>
      </c>
      <c r="E681" s="134" t="str">
        <f>IFERROR(__xludf.DUMMYFUNCTION("IFERROR((FILTER(Data!L:L,Data!D:D=A681,Data!B:B=$B$1)),"""")"),"")</f>
        <v/>
      </c>
      <c r="F681" s="134" t="str">
        <f>IFERROR(__xludf.DUMMYFUNCTION("IFERROR((FILTER(Data!K:K,Data!D:D=A681,Data!B:B=$B$1)),"""")"),"")</f>
        <v/>
      </c>
      <c r="G681" s="134" t="str">
        <f>IFERROR(__xludf.DUMMYFUNCTION("IFERROR((FILTER(Data!M:M,Data!D:D=A681,Data!B:B=$B$1)),"""")"),"")</f>
        <v/>
      </c>
      <c r="H681" s="134" t="str">
        <f>IFERROR(__xludf.DUMMYFUNCTION("IFERROR((FILTER(Data!G:G,Data!D:D=A681,Data!B:B=$B$1)*4)+(FILTER(Data!H:H,Data!D:D=A681,Data!B:B=$B$1)*2),"""")"),"")</f>
        <v/>
      </c>
      <c r="I681" s="15" t="str">
        <f>IFERROR(__xludf.DUMMYFUNCTION("IFERROR((FILTER(Data!K:K,Data!D:D=A681,Data!B:B=$B$1)*2)+(FILTER(Data!L:L,Data!D:D=A681,Data!B:B=$B$1)),"""")"),"")</f>
        <v/>
      </c>
      <c r="J681" s="134" t="str">
        <f>IFERROR(__xludf.DUMMYFUNCTION("IFERROR((FILTER(Data!N:N,Data!D:D=A681,Data!B:B=$B$1)),"""")"),"")</f>
        <v/>
      </c>
      <c r="K681" s="135" t="str">
        <f>IFERROR(__xludf.DUMMYFUNCTION("IFERROR((FILTER(Data!H:H,Data!D:D=A681,Data!B:B=$B$1)*2)+(FILTER(Data!L:L,Data!D:D=A681,Data!B:B=$B$1))+(FILTER(Data!G:G,Data!D:D=A681,Data!B:B=$B$1)*4)+(FILTER(Data!K:K,Data!D:D=A681,Data!B:B=$B$1)*2)+(((COUNTIF(FILTER(Data!N:N,Data!D:D=A681,Data!B:B=$B$"&amp;"1),""TRAVERSE"")*15)+(COUNTIF(FILTER(Data!N:N,Data!D:D=A681,Data!B:B=$B$1),""HIGH"")*10)+(COUNTIF(FILTER(Data!N:N,Data!D:D=A681,Data!B:B=$B$1),""MIDDLE"")*6)+(COUNTIF(FILTER(Data!N:N,Data!D:D=A681,Data!B:B=$B$1),""LOW"")*4))),"""")"),"")</f>
        <v/>
      </c>
      <c r="L681" s="136" t="str">
        <f>IFERROR(__xludf.DUMMYFUNCTION("IFERROR((FILTER(Data!P:P,Data!D:D=A681,Data!B:B=$B$1)),"""")"),"")</f>
        <v/>
      </c>
      <c r="M681" s="137" t="str">
        <f>IFERROR(__xludf.DUMMYFUNCTION("IFERROR((FILTER(Data!A:A,Data!D:D=A681,Data!B:B=$B$1)),"""")"),"")</f>
        <v/>
      </c>
      <c r="T681" s="52">
        <f>IFERROR(__xludf.DUMMYFUNCTION("((COUNTIF(FILTER(Data!N:N,Data!D:D=A681,Data!B:B=$B$1),""TRAVERSE"")*15)+(COUNTIF(FILTER(Data!N:N,Data!D:D=A681,Data!B:B=B$1),""HIGH"")*10)+(COUNTIF(FILTER(Data!N:N,Data!D:D=A681,Data!B:B=$B$1),""MIDDLE"")*6)+(COUNTIF(FILTER(Data!N:N,Data!D:D=A681,Data!B:"&amp;"B=$B$1),""LOW"")*4))"),0.0)</f>
        <v>0</v>
      </c>
      <c r="V681" s="138" t="str">
        <f>IF(Data!B673='Team Parser'!$B$1, Data!D673,"")</f>
        <v/>
      </c>
      <c r="W681" s="134" t="str">
        <f>IF(Data!$B673='Team Parser'!$B$1, Data!H673,"")</f>
        <v/>
      </c>
      <c r="X681" s="134" t="str">
        <f>IF(Data!$B673='Team Parser'!$B$1, Data!G673,"")</f>
        <v/>
      </c>
      <c r="Y681" s="134" t="str">
        <f>IF(Data!$B673='Team Parser'!$B$1, Data!L673,"")</f>
        <v/>
      </c>
      <c r="Z681" s="134" t="str">
        <f>IF(Data!$B673='Team Parser'!$B$1, Data!K673,"")</f>
        <v/>
      </c>
      <c r="AA681" s="134" t="str">
        <f>IF(Data!$B673='Team Parser'!$B$1, Data!M673,"")</f>
        <v/>
      </c>
      <c r="AB681" s="134" t="str">
        <f>IF(Data!$B673='Team Parser'!$B$1,((Z681*2)+(Y681)+(X681*4)+(W681*2)),"")</f>
        <v/>
      </c>
      <c r="AC681" s="134" t="str">
        <f>IF(Data!$B673='Team Parser'!$B$1, Data!N673,"")</f>
        <v/>
      </c>
      <c r="AD681" s="139" t="str">
        <f>IF(Data!$B673='Team Parser'!$B$1,(AB681+(COUNTIF(AC681,"TRAVERSE")*15)+(COUNTIF(AC681,"HIGH")*10)+(COUNTIF(AC681,"MIDDLE")*6)+(COUNTIF(AC681,"LOW")*4)),"")</f>
        <v/>
      </c>
    </row>
    <row r="682">
      <c r="A682" s="141" t="s">
        <v>507</v>
      </c>
      <c r="B682" s="134" t="str">
        <f>IFERROR(__xludf.DUMMYFUNCTION("IFERROR((FILTER(Data!H:H,Data!D:D=A682,Data!B:B=$B$1)),"""")"),"")</f>
        <v/>
      </c>
      <c r="C682" s="134" t="str">
        <f>IFERROR(__xludf.DUMMYFUNCTION("IFERROR((FILTER(Data!G:G,Data!D:D=A682,Data!B:B=$B$1)),"""")"),"")</f>
        <v/>
      </c>
      <c r="D682" s="134" t="str">
        <f>IFERROR(__xludf.DUMMYFUNCTION("IFERROR((FILTER(Data!J:J,Data!D:D=A682,Data!B:B=$B$1)),"""")"),"")</f>
        <v/>
      </c>
      <c r="E682" s="134" t="str">
        <f>IFERROR(__xludf.DUMMYFUNCTION("IFERROR((FILTER(Data!L:L,Data!D:D=A682,Data!B:B=$B$1)),"""")"),"")</f>
        <v/>
      </c>
      <c r="F682" s="134" t="str">
        <f>IFERROR(__xludf.DUMMYFUNCTION("IFERROR((FILTER(Data!K:K,Data!D:D=A682,Data!B:B=$B$1)),"""")"),"")</f>
        <v/>
      </c>
      <c r="G682" s="134" t="str">
        <f>IFERROR(__xludf.DUMMYFUNCTION("IFERROR((FILTER(Data!M:M,Data!D:D=A682,Data!B:B=$B$1)),"""")"),"")</f>
        <v/>
      </c>
      <c r="H682" s="134" t="str">
        <f>IFERROR(__xludf.DUMMYFUNCTION("IFERROR((FILTER(Data!G:G,Data!D:D=A682,Data!B:B=$B$1)*4)+(FILTER(Data!H:H,Data!D:D=A682,Data!B:B=$B$1)*2),"""")"),"")</f>
        <v/>
      </c>
      <c r="I682" s="15" t="str">
        <f>IFERROR(__xludf.DUMMYFUNCTION("IFERROR((FILTER(Data!K:K,Data!D:D=A682,Data!B:B=$B$1)*2)+(FILTER(Data!L:L,Data!D:D=A682,Data!B:B=$B$1)),"""")"),"")</f>
        <v/>
      </c>
      <c r="J682" s="134" t="str">
        <f>IFERROR(__xludf.DUMMYFUNCTION("IFERROR((FILTER(Data!N:N,Data!D:D=A682,Data!B:B=$B$1)),"""")"),"")</f>
        <v/>
      </c>
      <c r="K682" s="135" t="str">
        <f>IFERROR(__xludf.DUMMYFUNCTION("IFERROR((FILTER(Data!H:H,Data!D:D=A682,Data!B:B=$B$1)*2)+(FILTER(Data!L:L,Data!D:D=A682,Data!B:B=$B$1))+(FILTER(Data!G:G,Data!D:D=A682,Data!B:B=$B$1)*4)+(FILTER(Data!K:K,Data!D:D=A682,Data!B:B=$B$1)*2)+(((COUNTIF(FILTER(Data!N:N,Data!D:D=A682,Data!B:B=$B$"&amp;"1),""TRAVERSE"")*15)+(COUNTIF(FILTER(Data!N:N,Data!D:D=A682,Data!B:B=$B$1),""HIGH"")*10)+(COUNTIF(FILTER(Data!N:N,Data!D:D=A682,Data!B:B=$B$1),""MIDDLE"")*6)+(COUNTIF(FILTER(Data!N:N,Data!D:D=A682,Data!B:B=$B$1),""LOW"")*4))),"""")"),"")</f>
        <v/>
      </c>
      <c r="L682" s="136" t="str">
        <f>IFERROR(__xludf.DUMMYFUNCTION("IFERROR((FILTER(Data!P:P,Data!D:D=A682,Data!B:B=$B$1)),"""")"),"")</f>
        <v/>
      </c>
      <c r="M682" s="137" t="str">
        <f>IFERROR(__xludf.DUMMYFUNCTION("IFERROR((FILTER(Data!A:A,Data!D:D=A682,Data!B:B=$B$1)),"""")"),"")</f>
        <v/>
      </c>
      <c r="T682" s="52">
        <f>IFERROR(__xludf.DUMMYFUNCTION("((COUNTIF(FILTER(Data!N:N,Data!D:D=A682,Data!B:B=$B$1),""TRAVERSE"")*15)+(COUNTIF(FILTER(Data!N:N,Data!D:D=A682,Data!B:B=B$1),""HIGH"")*10)+(COUNTIF(FILTER(Data!N:N,Data!D:D=A682,Data!B:B=$B$1),""MIDDLE"")*6)+(COUNTIF(FILTER(Data!N:N,Data!D:D=A682,Data!B:"&amp;"B=$B$1),""LOW"")*4))"),0.0)</f>
        <v>0</v>
      </c>
      <c r="V682" s="138" t="str">
        <f>IF(Data!B674='Team Parser'!$B$1, Data!D674,"")</f>
        <v/>
      </c>
      <c r="W682" s="134" t="str">
        <f>IF(Data!$B674='Team Parser'!$B$1, Data!H674,"")</f>
        <v/>
      </c>
      <c r="X682" s="134" t="str">
        <f>IF(Data!$B674='Team Parser'!$B$1, Data!G674,"")</f>
        <v/>
      </c>
      <c r="Y682" s="134" t="str">
        <f>IF(Data!$B674='Team Parser'!$B$1, Data!L674,"")</f>
        <v/>
      </c>
      <c r="Z682" s="134" t="str">
        <f>IF(Data!$B674='Team Parser'!$B$1, Data!K674,"")</f>
        <v/>
      </c>
      <c r="AA682" s="134" t="str">
        <f>IF(Data!$B674='Team Parser'!$B$1, Data!M674,"")</f>
        <v/>
      </c>
      <c r="AB682" s="134" t="str">
        <f>IF(Data!$B674='Team Parser'!$B$1,((Z682*2)+(Y682)+(X682*4)+(W682*2)),"")</f>
        <v/>
      </c>
      <c r="AC682" s="134" t="str">
        <f>IF(Data!$B674='Team Parser'!$B$1, Data!N674,"")</f>
        <v/>
      </c>
      <c r="AD682" s="139" t="str">
        <f>IF(Data!$B674='Team Parser'!$B$1,(AB682+(COUNTIF(AC682,"TRAVERSE")*15)+(COUNTIF(AC682,"HIGH")*10)+(COUNTIF(AC682,"MIDDLE")*6)+(COUNTIF(AC682,"LOW")*4)),"")</f>
        <v/>
      </c>
    </row>
    <row r="683">
      <c r="A683" s="141" t="s">
        <v>507</v>
      </c>
      <c r="B683" s="134" t="str">
        <f>IFERROR(__xludf.DUMMYFUNCTION("IFERROR((FILTER(Data!H:H,Data!D:D=A683,Data!B:B=$B$1)),"""")"),"")</f>
        <v/>
      </c>
      <c r="C683" s="134" t="str">
        <f>IFERROR(__xludf.DUMMYFUNCTION("IFERROR((FILTER(Data!G:G,Data!D:D=A683,Data!B:B=$B$1)),"""")"),"")</f>
        <v/>
      </c>
      <c r="D683" s="134" t="str">
        <f>IFERROR(__xludf.DUMMYFUNCTION("IFERROR((FILTER(Data!J:J,Data!D:D=A683,Data!B:B=$B$1)),"""")"),"")</f>
        <v/>
      </c>
      <c r="E683" s="134" t="str">
        <f>IFERROR(__xludf.DUMMYFUNCTION("IFERROR((FILTER(Data!L:L,Data!D:D=A683,Data!B:B=$B$1)),"""")"),"")</f>
        <v/>
      </c>
      <c r="F683" s="134" t="str">
        <f>IFERROR(__xludf.DUMMYFUNCTION("IFERROR((FILTER(Data!K:K,Data!D:D=A683,Data!B:B=$B$1)),"""")"),"")</f>
        <v/>
      </c>
      <c r="G683" s="134" t="str">
        <f>IFERROR(__xludf.DUMMYFUNCTION("IFERROR((FILTER(Data!M:M,Data!D:D=A683,Data!B:B=$B$1)),"""")"),"")</f>
        <v/>
      </c>
      <c r="H683" s="134" t="str">
        <f>IFERROR(__xludf.DUMMYFUNCTION("IFERROR((FILTER(Data!G:G,Data!D:D=A683,Data!B:B=$B$1)*4)+(FILTER(Data!H:H,Data!D:D=A683,Data!B:B=$B$1)*2),"""")"),"")</f>
        <v/>
      </c>
      <c r="I683" s="15" t="str">
        <f>IFERROR(__xludf.DUMMYFUNCTION("IFERROR((FILTER(Data!K:K,Data!D:D=A683,Data!B:B=$B$1)*2)+(FILTER(Data!L:L,Data!D:D=A683,Data!B:B=$B$1)),"""")"),"")</f>
        <v/>
      </c>
      <c r="J683" s="134" t="str">
        <f>IFERROR(__xludf.DUMMYFUNCTION("IFERROR((FILTER(Data!N:N,Data!D:D=A683,Data!B:B=$B$1)),"""")"),"")</f>
        <v/>
      </c>
      <c r="K683" s="135" t="str">
        <f>IFERROR(__xludf.DUMMYFUNCTION("IFERROR((FILTER(Data!H:H,Data!D:D=A683,Data!B:B=$B$1)*2)+(FILTER(Data!L:L,Data!D:D=A683,Data!B:B=$B$1))+(FILTER(Data!G:G,Data!D:D=A683,Data!B:B=$B$1)*4)+(FILTER(Data!K:K,Data!D:D=A683,Data!B:B=$B$1)*2)+(((COUNTIF(FILTER(Data!N:N,Data!D:D=A683,Data!B:B=$B$"&amp;"1),""TRAVERSE"")*15)+(COUNTIF(FILTER(Data!N:N,Data!D:D=A683,Data!B:B=$B$1),""HIGH"")*10)+(COUNTIF(FILTER(Data!N:N,Data!D:D=A683,Data!B:B=$B$1),""MIDDLE"")*6)+(COUNTIF(FILTER(Data!N:N,Data!D:D=A683,Data!B:B=$B$1),""LOW"")*4))),"""")"),"")</f>
        <v/>
      </c>
      <c r="L683" s="136" t="str">
        <f>IFERROR(__xludf.DUMMYFUNCTION("IFERROR((FILTER(Data!P:P,Data!D:D=A683,Data!B:B=$B$1)),"""")"),"")</f>
        <v/>
      </c>
      <c r="M683" s="137" t="str">
        <f>IFERROR(__xludf.DUMMYFUNCTION("IFERROR((FILTER(Data!A:A,Data!D:D=A683,Data!B:B=$B$1)),"""")"),"")</f>
        <v/>
      </c>
      <c r="T683" s="52">
        <f>IFERROR(__xludf.DUMMYFUNCTION("((COUNTIF(FILTER(Data!N:N,Data!D:D=A683,Data!B:B=$B$1),""TRAVERSE"")*15)+(COUNTIF(FILTER(Data!N:N,Data!D:D=A683,Data!B:B=B$1),""HIGH"")*10)+(COUNTIF(FILTER(Data!N:N,Data!D:D=A683,Data!B:B=$B$1),""MIDDLE"")*6)+(COUNTIF(FILTER(Data!N:N,Data!D:D=A683,Data!B:"&amp;"B=$B$1),""LOW"")*4))"),0.0)</f>
        <v>0</v>
      </c>
      <c r="V683" s="138" t="str">
        <f>IF(Data!B675='Team Parser'!$B$1, Data!D675,"")</f>
        <v/>
      </c>
      <c r="W683" s="134" t="str">
        <f>IF(Data!$B675='Team Parser'!$B$1, Data!H675,"")</f>
        <v/>
      </c>
      <c r="X683" s="134" t="str">
        <f>IF(Data!$B675='Team Parser'!$B$1, Data!G675,"")</f>
        <v/>
      </c>
      <c r="Y683" s="134" t="str">
        <f>IF(Data!$B675='Team Parser'!$B$1, Data!L675,"")</f>
        <v/>
      </c>
      <c r="Z683" s="134" t="str">
        <f>IF(Data!$B675='Team Parser'!$B$1, Data!K675,"")</f>
        <v/>
      </c>
      <c r="AA683" s="134" t="str">
        <f>IF(Data!$B675='Team Parser'!$B$1, Data!M675,"")</f>
        <v/>
      </c>
      <c r="AB683" s="134" t="str">
        <f>IF(Data!$B675='Team Parser'!$B$1,((Z683*2)+(Y683)+(X683*4)+(W683*2)),"")</f>
        <v/>
      </c>
      <c r="AC683" s="134" t="str">
        <f>IF(Data!$B675='Team Parser'!$B$1, Data!N675,"")</f>
        <v/>
      </c>
      <c r="AD683" s="139" t="str">
        <f>IF(Data!$B675='Team Parser'!$B$1,(AB683+(COUNTIF(AC683,"TRAVERSE")*15)+(COUNTIF(AC683,"HIGH")*10)+(COUNTIF(AC683,"MIDDLE")*6)+(COUNTIF(AC683,"LOW")*4)),"")</f>
        <v/>
      </c>
    </row>
    <row r="684">
      <c r="A684" s="141" t="s">
        <v>507</v>
      </c>
      <c r="B684" s="134" t="str">
        <f>IFERROR(__xludf.DUMMYFUNCTION("IFERROR((FILTER(Data!H:H,Data!D:D=A684,Data!B:B=$B$1)),"""")"),"")</f>
        <v/>
      </c>
      <c r="C684" s="134" t="str">
        <f>IFERROR(__xludf.DUMMYFUNCTION("IFERROR((FILTER(Data!G:G,Data!D:D=A684,Data!B:B=$B$1)),"""")"),"")</f>
        <v/>
      </c>
      <c r="D684" s="134" t="str">
        <f>IFERROR(__xludf.DUMMYFUNCTION("IFERROR((FILTER(Data!J:J,Data!D:D=A684,Data!B:B=$B$1)),"""")"),"")</f>
        <v/>
      </c>
      <c r="E684" s="134" t="str">
        <f>IFERROR(__xludf.DUMMYFUNCTION("IFERROR((FILTER(Data!L:L,Data!D:D=A684,Data!B:B=$B$1)),"""")"),"")</f>
        <v/>
      </c>
      <c r="F684" s="134" t="str">
        <f>IFERROR(__xludf.DUMMYFUNCTION("IFERROR((FILTER(Data!K:K,Data!D:D=A684,Data!B:B=$B$1)),"""")"),"")</f>
        <v/>
      </c>
      <c r="G684" s="134" t="str">
        <f>IFERROR(__xludf.DUMMYFUNCTION("IFERROR((FILTER(Data!M:M,Data!D:D=A684,Data!B:B=$B$1)),"""")"),"")</f>
        <v/>
      </c>
      <c r="H684" s="134" t="str">
        <f>IFERROR(__xludf.DUMMYFUNCTION("IFERROR((FILTER(Data!G:G,Data!D:D=A684,Data!B:B=$B$1)*4)+(FILTER(Data!H:H,Data!D:D=A684,Data!B:B=$B$1)*2),"""")"),"")</f>
        <v/>
      </c>
      <c r="I684" s="15" t="str">
        <f>IFERROR(__xludf.DUMMYFUNCTION("IFERROR((FILTER(Data!K:K,Data!D:D=A684,Data!B:B=$B$1)*2)+(FILTER(Data!L:L,Data!D:D=A684,Data!B:B=$B$1)),"""")"),"")</f>
        <v/>
      </c>
      <c r="J684" s="134" t="str">
        <f>IFERROR(__xludf.DUMMYFUNCTION("IFERROR((FILTER(Data!N:N,Data!D:D=A684,Data!B:B=$B$1)),"""")"),"")</f>
        <v/>
      </c>
      <c r="K684" s="135" t="str">
        <f>IFERROR(__xludf.DUMMYFUNCTION("IFERROR((FILTER(Data!H:H,Data!D:D=A684,Data!B:B=$B$1)*2)+(FILTER(Data!L:L,Data!D:D=A684,Data!B:B=$B$1))+(FILTER(Data!G:G,Data!D:D=A684,Data!B:B=$B$1)*4)+(FILTER(Data!K:K,Data!D:D=A684,Data!B:B=$B$1)*2)+(((COUNTIF(FILTER(Data!N:N,Data!D:D=A684,Data!B:B=$B$"&amp;"1),""TRAVERSE"")*15)+(COUNTIF(FILTER(Data!N:N,Data!D:D=A684,Data!B:B=$B$1),""HIGH"")*10)+(COUNTIF(FILTER(Data!N:N,Data!D:D=A684,Data!B:B=$B$1),""MIDDLE"")*6)+(COUNTIF(FILTER(Data!N:N,Data!D:D=A684,Data!B:B=$B$1),""LOW"")*4))),"""")"),"")</f>
        <v/>
      </c>
      <c r="L684" s="136" t="str">
        <f>IFERROR(__xludf.DUMMYFUNCTION("IFERROR((FILTER(Data!P:P,Data!D:D=A684,Data!B:B=$B$1)),"""")"),"")</f>
        <v/>
      </c>
      <c r="M684" s="137" t="str">
        <f>IFERROR(__xludf.DUMMYFUNCTION("IFERROR((FILTER(Data!A:A,Data!D:D=A684,Data!B:B=$B$1)),"""")"),"")</f>
        <v/>
      </c>
      <c r="T684" s="52">
        <f>IFERROR(__xludf.DUMMYFUNCTION("((COUNTIF(FILTER(Data!N:N,Data!D:D=A684,Data!B:B=$B$1),""TRAVERSE"")*15)+(COUNTIF(FILTER(Data!N:N,Data!D:D=A684,Data!B:B=B$1),""HIGH"")*10)+(COUNTIF(FILTER(Data!N:N,Data!D:D=A684,Data!B:B=$B$1),""MIDDLE"")*6)+(COUNTIF(FILTER(Data!N:N,Data!D:D=A684,Data!B:"&amp;"B=$B$1),""LOW"")*4))"),0.0)</f>
        <v>0</v>
      </c>
      <c r="V684" s="138" t="str">
        <f>IF(Data!B676='Team Parser'!$B$1, Data!D676,"")</f>
        <v/>
      </c>
      <c r="W684" s="134" t="str">
        <f>IF(Data!$B676='Team Parser'!$B$1, Data!H676,"")</f>
        <v/>
      </c>
      <c r="X684" s="134" t="str">
        <f>IF(Data!$B676='Team Parser'!$B$1, Data!G676,"")</f>
        <v/>
      </c>
      <c r="Y684" s="134" t="str">
        <f>IF(Data!$B676='Team Parser'!$B$1, Data!L676,"")</f>
        <v/>
      </c>
      <c r="Z684" s="134" t="str">
        <f>IF(Data!$B676='Team Parser'!$B$1, Data!K676,"")</f>
        <v/>
      </c>
      <c r="AA684" s="134" t="str">
        <f>IF(Data!$B676='Team Parser'!$B$1, Data!M676,"")</f>
        <v/>
      </c>
      <c r="AB684" s="134" t="str">
        <f>IF(Data!$B676='Team Parser'!$B$1,((Z684*2)+(Y684)+(X684*4)+(W684*2)),"")</f>
        <v/>
      </c>
      <c r="AC684" s="134" t="str">
        <f>IF(Data!$B676='Team Parser'!$B$1, Data!N676,"")</f>
        <v/>
      </c>
      <c r="AD684" s="139" t="str">
        <f>IF(Data!$B676='Team Parser'!$B$1,(AB684+(COUNTIF(AC684,"TRAVERSE")*15)+(COUNTIF(AC684,"HIGH")*10)+(COUNTIF(AC684,"MIDDLE")*6)+(COUNTIF(AC684,"LOW")*4)),"")</f>
        <v/>
      </c>
    </row>
    <row r="685">
      <c r="A685" s="141" t="s">
        <v>507</v>
      </c>
      <c r="B685" s="134" t="str">
        <f>IFERROR(__xludf.DUMMYFUNCTION("IFERROR((FILTER(Data!H:H,Data!D:D=A685,Data!B:B=$B$1)),"""")"),"")</f>
        <v/>
      </c>
      <c r="C685" s="134" t="str">
        <f>IFERROR(__xludf.DUMMYFUNCTION("IFERROR((FILTER(Data!G:G,Data!D:D=A685,Data!B:B=$B$1)),"""")"),"")</f>
        <v/>
      </c>
      <c r="D685" s="134" t="str">
        <f>IFERROR(__xludf.DUMMYFUNCTION("IFERROR((FILTER(Data!J:J,Data!D:D=A685,Data!B:B=$B$1)),"""")"),"")</f>
        <v/>
      </c>
      <c r="E685" s="134" t="str">
        <f>IFERROR(__xludf.DUMMYFUNCTION("IFERROR((FILTER(Data!L:L,Data!D:D=A685,Data!B:B=$B$1)),"""")"),"")</f>
        <v/>
      </c>
      <c r="F685" s="134" t="str">
        <f>IFERROR(__xludf.DUMMYFUNCTION("IFERROR((FILTER(Data!K:K,Data!D:D=A685,Data!B:B=$B$1)),"""")"),"")</f>
        <v/>
      </c>
      <c r="G685" s="134" t="str">
        <f>IFERROR(__xludf.DUMMYFUNCTION("IFERROR((FILTER(Data!M:M,Data!D:D=A685,Data!B:B=$B$1)),"""")"),"")</f>
        <v/>
      </c>
      <c r="H685" s="134" t="str">
        <f>IFERROR(__xludf.DUMMYFUNCTION("IFERROR((FILTER(Data!G:G,Data!D:D=A685,Data!B:B=$B$1)*4)+(FILTER(Data!H:H,Data!D:D=A685,Data!B:B=$B$1)*2),"""")"),"")</f>
        <v/>
      </c>
      <c r="I685" s="15" t="str">
        <f>IFERROR(__xludf.DUMMYFUNCTION("IFERROR((FILTER(Data!K:K,Data!D:D=A685,Data!B:B=$B$1)*2)+(FILTER(Data!L:L,Data!D:D=A685,Data!B:B=$B$1)),"""")"),"")</f>
        <v/>
      </c>
      <c r="J685" s="134" t="str">
        <f>IFERROR(__xludf.DUMMYFUNCTION("IFERROR((FILTER(Data!N:N,Data!D:D=A685,Data!B:B=$B$1)),"""")"),"")</f>
        <v/>
      </c>
      <c r="K685" s="135" t="str">
        <f>IFERROR(__xludf.DUMMYFUNCTION("IFERROR((FILTER(Data!H:H,Data!D:D=A685,Data!B:B=$B$1)*2)+(FILTER(Data!L:L,Data!D:D=A685,Data!B:B=$B$1))+(FILTER(Data!G:G,Data!D:D=A685,Data!B:B=$B$1)*4)+(FILTER(Data!K:K,Data!D:D=A685,Data!B:B=$B$1)*2)+(((COUNTIF(FILTER(Data!N:N,Data!D:D=A685,Data!B:B=$B$"&amp;"1),""TRAVERSE"")*15)+(COUNTIF(FILTER(Data!N:N,Data!D:D=A685,Data!B:B=$B$1),""HIGH"")*10)+(COUNTIF(FILTER(Data!N:N,Data!D:D=A685,Data!B:B=$B$1),""MIDDLE"")*6)+(COUNTIF(FILTER(Data!N:N,Data!D:D=A685,Data!B:B=$B$1),""LOW"")*4))),"""")"),"")</f>
        <v/>
      </c>
      <c r="L685" s="136" t="str">
        <f>IFERROR(__xludf.DUMMYFUNCTION("IFERROR((FILTER(Data!P:P,Data!D:D=A685,Data!B:B=$B$1)),"""")"),"")</f>
        <v/>
      </c>
      <c r="M685" s="137" t="str">
        <f>IFERROR(__xludf.DUMMYFUNCTION("IFERROR((FILTER(Data!A:A,Data!D:D=A685,Data!B:B=$B$1)),"""")"),"")</f>
        <v/>
      </c>
      <c r="T685" s="52">
        <f>IFERROR(__xludf.DUMMYFUNCTION("((COUNTIF(FILTER(Data!N:N,Data!D:D=A685,Data!B:B=$B$1),""TRAVERSE"")*15)+(COUNTIF(FILTER(Data!N:N,Data!D:D=A685,Data!B:B=B$1),""HIGH"")*10)+(COUNTIF(FILTER(Data!N:N,Data!D:D=A685,Data!B:B=$B$1),""MIDDLE"")*6)+(COUNTIF(FILTER(Data!N:N,Data!D:D=A685,Data!B:"&amp;"B=$B$1),""LOW"")*4))"),0.0)</f>
        <v>0</v>
      </c>
      <c r="V685" s="138" t="str">
        <f>IF(Data!B677='Team Parser'!$B$1, Data!D677,"")</f>
        <v/>
      </c>
      <c r="W685" s="134" t="str">
        <f>IF(Data!$B677='Team Parser'!$B$1, Data!H677,"")</f>
        <v/>
      </c>
      <c r="X685" s="134" t="str">
        <f>IF(Data!$B677='Team Parser'!$B$1, Data!G677,"")</f>
        <v/>
      </c>
      <c r="Y685" s="134" t="str">
        <f>IF(Data!$B677='Team Parser'!$B$1, Data!L677,"")</f>
        <v/>
      </c>
      <c r="Z685" s="134" t="str">
        <f>IF(Data!$B677='Team Parser'!$B$1, Data!K677,"")</f>
        <v/>
      </c>
      <c r="AA685" s="134" t="str">
        <f>IF(Data!$B677='Team Parser'!$B$1, Data!M677,"")</f>
        <v/>
      </c>
      <c r="AB685" s="134" t="str">
        <f>IF(Data!$B677='Team Parser'!$B$1,((Z685*2)+(Y685)+(X685*4)+(W685*2)),"")</f>
        <v/>
      </c>
      <c r="AC685" s="134" t="str">
        <f>IF(Data!$B677='Team Parser'!$B$1, Data!N677,"")</f>
        <v/>
      </c>
      <c r="AD685" s="139" t="str">
        <f>IF(Data!$B677='Team Parser'!$B$1,(AB685+(COUNTIF(AC685,"TRAVERSE")*15)+(COUNTIF(AC685,"HIGH")*10)+(COUNTIF(AC685,"MIDDLE")*6)+(COUNTIF(AC685,"LOW")*4)),"")</f>
        <v/>
      </c>
    </row>
    <row r="686">
      <c r="A686" s="141" t="s">
        <v>507</v>
      </c>
      <c r="B686" s="134" t="str">
        <f>IFERROR(__xludf.DUMMYFUNCTION("IFERROR((FILTER(Data!H:H,Data!D:D=A686,Data!B:B=$B$1)),"""")"),"")</f>
        <v/>
      </c>
      <c r="C686" s="134" t="str">
        <f>IFERROR(__xludf.DUMMYFUNCTION("IFERROR((FILTER(Data!G:G,Data!D:D=A686,Data!B:B=$B$1)),"""")"),"")</f>
        <v/>
      </c>
      <c r="D686" s="134" t="str">
        <f>IFERROR(__xludf.DUMMYFUNCTION("IFERROR((FILTER(Data!J:J,Data!D:D=A686,Data!B:B=$B$1)),"""")"),"")</f>
        <v/>
      </c>
      <c r="E686" s="134" t="str">
        <f>IFERROR(__xludf.DUMMYFUNCTION("IFERROR((FILTER(Data!L:L,Data!D:D=A686,Data!B:B=$B$1)),"""")"),"")</f>
        <v/>
      </c>
      <c r="F686" s="134" t="str">
        <f>IFERROR(__xludf.DUMMYFUNCTION("IFERROR((FILTER(Data!K:K,Data!D:D=A686,Data!B:B=$B$1)),"""")"),"")</f>
        <v/>
      </c>
      <c r="G686" s="134" t="str">
        <f>IFERROR(__xludf.DUMMYFUNCTION("IFERROR((FILTER(Data!M:M,Data!D:D=A686,Data!B:B=$B$1)),"""")"),"")</f>
        <v/>
      </c>
      <c r="H686" s="134" t="str">
        <f>IFERROR(__xludf.DUMMYFUNCTION("IFERROR((FILTER(Data!G:G,Data!D:D=A686,Data!B:B=$B$1)*4)+(FILTER(Data!H:H,Data!D:D=A686,Data!B:B=$B$1)*2),"""")"),"")</f>
        <v/>
      </c>
      <c r="I686" s="15" t="str">
        <f>IFERROR(__xludf.DUMMYFUNCTION("IFERROR((FILTER(Data!K:K,Data!D:D=A686,Data!B:B=$B$1)*2)+(FILTER(Data!L:L,Data!D:D=A686,Data!B:B=$B$1)),"""")"),"")</f>
        <v/>
      </c>
      <c r="J686" s="134" t="str">
        <f>IFERROR(__xludf.DUMMYFUNCTION("IFERROR((FILTER(Data!N:N,Data!D:D=A686,Data!B:B=$B$1)),"""")"),"")</f>
        <v/>
      </c>
      <c r="K686" s="135" t="str">
        <f>IFERROR(__xludf.DUMMYFUNCTION("IFERROR((FILTER(Data!H:H,Data!D:D=A686,Data!B:B=$B$1)*2)+(FILTER(Data!L:L,Data!D:D=A686,Data!B:B=$B$1))+(FILTER(Data!G:G,Data!D:D=A686,Data!B:B=$B$1)*4)+(FILTER(Data!K:K,Data!D:D=A686,Data!B:B=$B$1)*2)+(((COUNTIF(FILTER(Data!N:N,Data!D:D=A686,Data!B:B=$B$"&amp;"1),""TRAVERSE"")*15)+(COUNTIF(FILTER(Data!N:N,Data!D:D=A686,Data!B:B=$B$1),""HIGH"")*10)+(COUNTIF(FILTER(Data!N:N,Data!D:D=A686,Data!B:B=$B$1),""MIDDLE"")*6)+(COUNTIF(FILTER(Data!N:N,Data!D:D=A686,Data!B:B=$B$1),""LOW"")*4))),"""")"),"")</f>
        <v/>
      </c>
      <c r="L686" s="136" t="str">
        <f>IFERROR(__xludf.DUMMYFUNCTION("IFERROR((FILTER(Data!P:P,Data!D:D=A686,Data!B:B=$B$1)),"""")"),"")</f>
        <v/>
      </c>
      <c r="M686" s="137" t="str">
        <f>IFERROR(__xludf.DUMMYFUNCTION("IFERROR((FILTER(Data!A:A,Data!D:D=A686,Data!B:B=$B$1)),"""")"),"")</f>
        <v/>
      </c>
      <c r="T686" s="52">
        <f>IFERROR(__xludf.DUMMYFUNCTION("((COUNTIF(FILTER(Data!N:N,Data!D:D=A686,Data!B:B=$B$1),""TRAVERSE"")*15)+(COUNTIF(FILTER(Data!N:N,Data!D:D=A686,Data!B:B=B$1),""HIGH"")*10)+(COUNTIF(FILTER(Data!N:N,Data!D:D=A686,Data!B:B=$B$1),""MIDDLE"")*6)+(COUNTIF(FILTER(Data!N:N,Data!D:D=A686,Data!B:"&amp;"B=$B$1),""LOW"")*4))"),0.0)</f>
        <v>0</v>
      </c>
      <c r="V686" s="138" t="str">
        <f>IF(Data!B678='Team Parser'!$B$1, Data!D678,"")</f>
        <v/>
      </c>
      <c r="W686" s="134" t="str">
        <f>IF(Data!$B678='Team Parser'!$B$1, Data!H678,"")</f>
        <v/>
      </c>
      <c r="X686" s="134" t="str">
        <f>IF(Data!$B678='Team Parser'!$B$1, Data!G678,"")</f>
        <v/>
      </c>
      <c r="Y686" s="134" t="str">
        <f>IF(Data!$B678='Team Parser'!$B$1, Data!L678,"")</f>
        <v/>
      </c>
      <c r="Z686" s="134" t="str">
        <f>IF(Data!$B678='Team Parser'!$B$1, Data!K678,"")</f>
        <v/>
      </c>
      <c r="AA686" s="134" t="str">
        <f>IF(Data!$B678='Team Parser'!$B$1, Data!M678,"")</f>
        <v/>
      </c>
      <c r="AB686" s="134" t="str">
        <f>IF(Data!$B678='Team Parser'!$B$1,((Z686*2)+(Y686)+(X686*4)+(W686*2)),"")</f>
        <v/>
      </c>
      <c r="AC686" s="134" t="str">
        <f>IF(Data!$B678='Team Parser'!$B$1, Data!N678,"")</f>
        <v/>
      </c>
      <c r="AD686" s="139" t="str">
        <f>IF(Data!$B678='Team Parser'!$B$1,(AB686+(COUNTIF(AC686,"TRAVERSE")*15)+(COUNTIF(AC686,"HIGH")*10)+(COUNTIF(AC686,"MIDDLE")*6)+(COUNTIF(AC686,"LOW")*4)),"")</f>
        <v/>
      </c>
    </row>
    <row r="687">
      <c r="A687" s="141" t="s">
        <v>507</v>
      </c>
      <c r="B687" s="134" t="str">
        <f>IFERROR(__xludf.DUMMYFUNCTION("IFERROR((FILTER(Data!H:H,Data!D:D=A687,Data!B:B=$B$1)),"""")"),"")</f>
        <v/>
      </c>
      <c r="C687" s="134" t="str">
        <f>IFERROR(__xludf.DUMMYFUNCTION("IFERROR((FILTER(Data!G:G,Data!D:D=A687,Data!B:B=$B$1)),"""")"),"")</f>
        <v/>
      </c>
      <c r="D687" s="134" t="str">
        <f>IFERROR(__xludf.DUMMYFUNCTION("IFERROR((FILTER(Data!J:J,Data!D:D=A687,Data!B:B=$B$1)),"""")"),"")</f>
        <v/>
      </c>
      <c r="E687" s="134" t="str">
        <f>IFERROR(__xludf.DUMMYFUNCTION("IFERROR((FILTER(Data!L:L,Data!D:D=A687,Data!B:B=$B$1)),"""")"),"")</f>
        <v/>
      </c>
      <c r="F687" s="134" t="str">
        <f>IFERROR(__xludf.DUMMYFUNCTION("IFERROR((FILTER(Data!K:K,Data!D:D=A687,Data!B:B=$B$1)),"""")"),"")</f>
        <v/>
      </c>
      <c r="G687" s="134" t="str">
        <f>IFERROR(__xludf.DUMMYFUNCTION("IFERROR((FILTER(Data!M:M,Data!D:D=A687,Data!B:B=$B$1)),"""")"),"")</f>
        <v/>
      </c>
      <c r="H687" s="134" t="str">
        <f>IFERROR(__xludf.DUMMYFUNCTION("IFERROR((FILTER(Data!G:G,Data!D:D=A687,Data!B:B=$B$1)*4)+(FILTER(Data!H:H,Data!D:D=A687,Data!B:B=$B$1)*2),"""")"),"")</f>
        <v/>
      </c>
      <c r="I687" s="15" t="str">
        <f>IFERROR(__xludf.DUMMYFUNCTION("IFERROR((FILTER(Data!K:K,Data!D:D=A687,Data!B:B=$B$1)*2)+(FILTER(Data!L:L,Data!D:D=A687,Data!B:B=$B$1)),"""")"),"")</f>
        <v/>
      </c>
      <c r="J687" s="134" t="str">
        <f>IFERROR(__xludf.DUMMYFUNCTION("IFERROR((FILTER(Data!N:N,Data!D:D=A687,Data!B:B=$B$1)),"""")"),"")</f>
        <v/>
      </c>
      <c r="K687" s="135" t="str">
        <f>IFERROR(__xludf.DUMMYFUNCTION("IFERROR((FILTER(Data!H:H,Data!D:D=A687,Data!B:B=$B$1)*2)+(FILTER(Data!L:L,Data!D:D=A687,Data!B:B=$B$1))+(FILTER(Data!G:G,Data!D:D=A687,Data!B:B=$B$1)*4)+(FILTER(Data!K:K,Data!D:D=A687,Data!B:B=$B$1)*2)+(((COUNTIF(FILTER(Data!N:N,Data!D:D=A687,Data!B:B=$B$"&amp;"1),""TRAVERSE"")*15)+(COUNTIF(FILTER(Data!N:N,Data!D:D=A687,Data!B:B=$B$1),""HIGH"")*10)+(COUNTIF(FILTER(Data!N:N,Data!D:D=A687,Data!B:B=$B$1),""MIDDLE"")*6)+(COUNTIF(FILTER(Data!N:N,Data!D:D=A687,Data!B:B=$B$1),""LOW"")*4))),"""")"),"")</f>
        <v/>
      </c>
      <c r="L687" s="136" t="str">
        <f>IFERROR(__xludf.DUMMYFUNCTION("IFERROR((FILTER(Data!P:P,Data!D:D=A687,Data!B:B=$B$1)),"""")"),"")</f>
        <v/>
      </c>
      <c r="M687" s="137" t="str">
        <f>IFERROR(__xludf.DUMMYFUNCTION("IFERROR((FILTER(Data!A:A,Data!D:D=A687,Data!B:B=$B$1)),"""")"),"")</f>
        <v/>
      </c>
      <c r="T687" s="52">
        <f>IFERROR(__xludf.DUMMYFUNCTION("((COUNTIF(FILTER(Data!N:N,Data!D:D=A687,Data!B:B=$B$1),""TRAVERSE"")*15)+(COUNTIF(FILTER(Data!N:N,Data!D:D=A687,Data!B:B=B$1),""HIGH"")*10)+(COUNTIF(FILTER(Data!N:N,Data!D:D=A687,Data!B:B=$B$1),""MIDDLE"")*6)+(COUNTIF(FILTER(Data!N:N,Data!D:D=A687,Data!B:"&amp;"B=$B$1),""LOW"")*4))"),0.0)</f>
        <v>0</v>
      </c>
      <c r="V687" s="138" t="str">
        <f>IF(Data!B679='Team Parser'!$B$1, Data!D679,"")</f>
        <v/>
      </c>
      <c r="W687" s="134" t="str">
        <f>IF(Data!$B679='Team Parser'!$B$1, Data!H679,"")</f>
        <v/>
      </c>
      <c r="X687" s="134" t="str">
        <f>IF(Data!$B679='Team Parser'!$B$1, Data!G679,"")</f>
        <v/>
      </c>
      <c r="Y687" s="134" t="str">
        <f>IF(Data!$B679='Team Parser'!$B$1, Data!L679,"")</f>
        <v/>
      </c>
      <c r="Z687" s="134" t="str">
        <f>IF(Data!$B679='Team Parser'!$B$1, Data!K679,"")</f>
        <v/>
      </c>
      <c r="AA687" s="134" t="str">
        <f>IF(Data!$B679='Team Parser'!$B$1, Data!M679,"")</f>
        <v/>
      </c>
      <c r="AB687" s="134" t="str">
        <f>IF(Data!$B679='Team Parser'!$B$1,((Z687*2)+(Y687)+(X687*4)+(W687*2)),"")</f>
        <v/>
      </c>
      <c r="AC687" s="134" t="str">
        <f>IF(Data!$B679='Team Parser'!$B$1, Data!N679,"")</f>
        <v/>
      </c>
      <c r="AD687" s="139" t="str">
        <f>IF(Data!$B679='Team Parser'!$B$1,(AB687+(COUNTIF(AC687,"TRAVERSE")*15)+(COUNTIF(AC687,"HIGH")*10)+(COUNTIF(AC687,"MIDDLE")*6)+(COUNTIF(AC687,"LOW")*4)),"")</f>
        <v/>
      </c>
    </row>
    <row r="688">
      <c r="A688" s="141" t="s">
        <v>507</v>
      </c>
      <c r="B688" s="134" t="str">
        <f>IFERROR(__xludf.DUMMYFUNCTION("IFERROR((FILTER(Data!H:H,Data!D:D=A688,Data!B:B=$B$1)),"""")"),"")</f>
        <v/>
      </c>
      <c r="C688" s="134" t="str">
        <f>IFERROR(__xludf.DUMMYFUNCTION("IFERROR((FILTER(Data!G:G,Data!D:D=A688,Data!B:B=$B$1)),"""")"),"")</f>
        <v/>
      </c>
      <c r="D688" s="134" t="str">
        <f>IFERROR(__xludf.DUMMYFUNCTION("IFERROR((FILTER(Data!J:J,Data!D:D=A688,Data!B:B=$B$1)),"""")"),"")</f>
        <v/>
      </c>
      <c r="E688" s="134" t="str">
        <f>IFERROR(__xludf.DUMMYFUNCTION("IFERROR((FILTER(Data!L:L,Data!D:D=A688,Data!B:B=$B$1)),"""")"),"")</f>
        <v/>
      </c>
      <c r="F688" s="134" t="str">
        <f>IFERROR(__xludf.DUMMYFUNCTION("IFERROR((FILTER(Data!K:K,Data!D:D=A688,Data!B:B=$B$1)),"""")"),"")</f>
        <v/>
      </c>
      <c r="G688" s="134" t="str">
        <f>IFERROR(__xludf.DUMMYFUNCTION("IFERROR((FILTER(Data!M:M,Data!D:D=A688,Data!B:B=$B$1)),"""")"),"")</f>
        <v/>
      </c>
      <c r="H688" s="134" t="str">
        <f>IFERROR(__xludf.DUMMYFUNCTION("IFERROR((FILTER(Data!G:G,Data!D:D=A688,Data!B:B=$B$1)*4)+(FILTER(Data!H:H,Data!D:D=A688,Data!B:B=$B$1)*2),"""")"),"")</f>
        <v/>
      </c>
      <c r="I688" s="15" t="str">
        <f>IFERROR(__xludf.DUMMYFUNCTION("IFERROR((FILTER(Data!K:K,Data!D:D=A688,Data!B:B=$B$1)*2)+(FILTER(Data!L:L,Data!D:D=A688,Data!B:B=$B$1)),"""")"),"")</f>
        <v/>
      </c>
      <c r="J688" s="134" t="str">
        <f>IFERROR(__xludf.DUMMYFUNCTION("IFERROR((FILTER(Data!N:N,Data!D:D=A688,Data!B:B=$B$1)),"""")"),"")</f>
        <v/>
      </c>
      <c r="K688" s="135" t="str">
        <f>IFERROR(__xludf.DUMMYFUNCTION("IFERROR((FILTER(Data!H:H,Data!D:D=A688,Data!B:B=$B$1)*2)+(FILTER(Data!L:L,Data!D:D=A688,Data!B:B=$B$1))+(FILTER(Data!G:G,Data!D:D=A688,Data!B:B=$B$1)*4)+(FILTER(Data!K:K,Data!D:D=A688,Data!B:B=$B$1)*2)+(((COUNTIF(FILTER(Data!N:N,Data!D:D=A688,Data!B:B=$B$"&amp;"1),""TRAVERSE"")*15)+(COUNTIF(FILTER(Data!N:N,Data!D:D=A688,Data!B:B=$B$1),""HIGH"")*10)+(COUNTIF(FILTER(Data!N:N,Data!D:D=A688,Data!B:B=$B$1),""MIDDLE"")*6)+(COUNTIF(FILTER(Data!N:N,Data!D:D=A688,Data!B:B=$B$1),""LOW"")*4))),"""")"),"")</f>
        <v/>
      </c>
      <c r="L688" s="136" t="str">
        <f>IFERROR(__xludf.DUMMYFUNCTION("IFERROR((FILTER(Data!P:P,Data!D:D=A688,Data!B:B=$B$1)),"""")"),"")</f>
        <v/>
      </c>
      <c r="M688" s="137" t="str">
        <f>IFERROR(__xludf.DUMMYFUNCTION("IFERROR((FILTER(Data!A:A,Data!D:D=A688,Data!B:B=$B$1)),"""")"),"")</f>
        <v/>
      </c>
      <c r="T688" s="52">
        <f>IFERROR(__xludf.DUMMYFUNCTION("((COUNTIF(FILTER(Data!N:N,Data!D:D=A688,Data!B:B=$B$1),""TRAVERSE"")*15)+(COUNTIF(FILTER(Data!N:N,Data!D:D=A688,Data!B:B=B$1),""HIGH"")*10)+(COUNTIF(FILTER(Data!N:N,Data!D:D=A688,Data!B:B=$B$1),""MIDDLE"")*6)+(COUNTIF(FILTER(Data!N:N,Data!D:D=A688,Data!B:"&amp;"B=$B$1),""LOW"")*4))"),0.0)</f>
        <v>0</v>
      </c>
      <c r="V688" s="138" t="str">
        <f>IF(Data!B680='Team Parser'!$B$1, Data!D680,"")</f>
        <v/>
      </c>
      <c r="W688" s="134" t="str">
        <f>IF(Data!$B680='Team Parser'!$B$1, Data!H680,"")</f>
        <v/>
      </c>
      <c r="X688" s="134" t="str">
        <f>IF(Data!$B680='Team Parser'!$B$1, Data!G680,"")</f>
        <v/>
      </c>
      <c r="Y688" s="134" t="str">
        <f>IF(Data!$B680='Team Parser'!$B$1, Data!L680,"")</f>
        <v/>
      </c>
      <c r="Z688" s="134" t="str">
        <f>IF(Data!$B680='Team Parser'!$B$1, Data!K680,"")</f>
        <v/>
      </c>
      <c r="AA688" s="134" t="str">
        <f>IF(Data!$B680='Team Parser'!$B$1, Data!M680,"")</f>
        <v/>
      </c>
      <c r="AB688" s="134" t="str">
        <f>IF(Data!$B680='Team Parser'!$B$1,((Z688*2)+(Y688)+(X688*4)+(W688*2)),"")</f>
        <v/>
      </c>
      <c r="AC688" s="134" t="str">
        <f>IF(Data!$B680='Team Parser'!$B$1, Data!N680,"")</f>
        <v/>
      </c>
      <c r="AD688" s="139" t="str">
        <f>IF(Data!$B680='Team Parser'!$B$1,(AB688+(COUNTIF(AC688,"TRAVERSE")*15)+(COUNTIF(AC688,"HIGH")*10)+(COUNTIF(AC688,"MIDDLE")*6)+(COUNTIF(AC688,"LOW")*4)),"")</f>
        <v/>
      </c>
    </row>
    <row r="689">
      <c r="A689" s="141" t="s">
        <v>507</v>
      </c>
      <c r="B689" s="134" t="str">
        <f>IFERROR(__xludf.DUMMYFUNCTION("IFERROR((FILTER(Data!H:H,Data!D:D=A689,Data!B:B=$B$1)),"""")"),"")</f>
        <v/>
      </c>
      <c r="C689" s="134" t="str">
        <f>IFERROR(__xludf.DUMMYFUNCTION("IFERROR((FILTER(Data!G:G,Data!D:D=A689,Data!B:B=$B$1)),"""")"),"")</f>
        <v/>
      </c>
      <c r="D689" s="134" t="str">
        <f>IFERROR(__xludf.DUMMYFUNCTION("IFERROR((FILTER(Data!J:J,Data!D:D=A689,Data!B:B=$B$1)),"""")"),"")</f>
        <v/>
      </c>
      <c r="E689" s="134" t="str">
        <f>IFERROR(__xludf.DUMMYFUNCTION("IFERROR((FILTER(Data!L:L,Data!D:D=A689,Data!B:B=$B$1)),"""")"),"")</f>
        <v/>
      </c>
      <c r="F689" s="134" t="str">
        <f>IFERROR(__xludf.DUMMYFUNCTION("IFERROR((FILTER(Data!K:K,Data!D:D=A689,Data!B:B=$B$1)),"""")"),"")</f>
        <v/>
      </c>
      <c r="G689" s="134" t="str">
        <f>IFERROR(__xludf.DUMMYFUNCTION("IFERROR((FILTER(Data!M:M,Data!D:D=A689,Data!B:B=$B$1)),"""")"),"")</f>
        <v/>
      </c>
      <c r="H689" s="134" t="str">
        <f>IFERROR(__xludf.DUMMYFUNCTION("IFERROR((FILTER(Data!G:G,Data!D:D=A689,Data!B:B=$B$1)*4)+(FILTER(Data!H:H,Data!D:D=A689,Data!B:B=$B$1)*2),"""")"),"")</f>
        <v/>
      </c>
      <c r="I689" s="15" t="str">
        <f>IFERROR(__xludf.DUMMYFUNCTION("IFERROR((FILTER(Data!K:K,Data!D:D=A689,Data!B:B=$B$1)*2)+(FILTER(Data!L:L,Data!D:D=A689,Data!B:B=$B$1)),"""")"),"")</f>
        <v/>
      </c>
      <c r="J689" s="134" t="str">
        <f>IFERROR(__xludf.DUMMYFUNCTION("IFERROR((FILTER(Data!N:N,Data!D:D=A689,Data!B:B=$B$1)),"""")"),"")</f>
        <v/>
      </c>
      <c r="K689" s="135" t="str">
        <f>IFERROR(__xludf.DUMMYFUNCTION("IFERROR((FILTER(Data!H:H,Data!D:D=A689,Data!B:B=$B$1)*2)+(FILTER(Data!L:L,Data!D:D=A689,Data!B:B=$B$1))+(FILTER(Data!G:G,Data!D:D=A689,Data!B:B=$B$1)*4)+(FILTER(Data!K:K,Data!D:D=A689,Data!B:B=$B$1)*2)+(((COUNTIF(FILTER(Data!N:N,Data!D:D=A689,Data!B:B=$B$"&amp;"1),""TRAVERSE"")*15)+(COUNTIF(FILTER(Data!N:N,Data!D:D=A689,Data!B:B=$B$1),""HIGH"")*10)+(COUNTIF(FILTER(Data!N:N,Data!D:D=A689,Data!B:B=$B$1),""MIDDLE"")*6)+(COUNTIF(FILTER(Data!N:N,Data!D:D=A689,Data!B:B=$B$1),""LOW"")*4))),"""")"),"")</f>
        <v/>
      </c>
      <c r="L689" s="136" t="str">
        <f>IFERROR(__xludf.DUMMYFUNCTION("IFERROR((FILTER(Data!P:P,Data!D:D=A689,Data!B:B=$B$1)),"""")"),"")</f>
        <v/>
      </c>
      <c r="M689" s="137" t="str">
        <f>IFERROR(__xludf.DUMMYFUNCTION("IFERROR((FILTER(Data!A:A,Data!D:D=A689,Data!B:B=$B$1)),"""")"),"")</f>
        <v/>
      </c>
      <c r="T689" s="52">
        <f>IFERROR(__xludf.DUMMYFUNCTION("((COUNTIF(FILTER(Data!N:N,Data!D:D=A689,Data!B:B=$B$1),""TRAVERSE"")*15)+(COUNTIF(FILTER(Data!N:N,Data!D:D=A689,Data!B:B=B$1),""HIGH"")*10)+(COUNTIF(FILTER(Data!N:N,Data!D:D=A689,Data!B:B=$B$1),""MIDDLE"")*6)+(COUNTIF(FILTER(Data!N:N,Data!D:D=A689,Data!B:"&amp;"B=$B$1),""LOW"")*4))"),0.0)</f>
        <v>0</v>
      </c>
      <c r="V689" s="138" t="str">
        <f>IF(Data!B681='Team Parser'!$B$1, Data!D681,"")</f>
        <v/>
      </c>
      <c r="W689" s="134" t="str">
        <f>IF(Data!$B681='Team Parser'!$B$1, Data!H681,"")</f>
        <v/>
      </c>
      <c r="X689" s="134" t="str">
        <f>IF(Data!$B681='Team Parser'!$B$1, Data!G681,"")</f>
        <v/>
      </c>
      <c r="Y689" s="134" t="str">
        <f>IF(Data!$B681='Team Parser'!$B$1, Data!L681,"")</f>
        <v/>
      </c>
      <c r="Z689" s="134" t="str">
        <f>IF(Data!$B681='Team Parser'!$B$1, Data!K681,"")</f>
        <v/>
      </c>
      <c r="AA689" s="134" t="str">
        <f>IF(Data!$B681='Team Parser'!$B$1, Data!M681,"")</f>
        <v/>
      </c>
      <c r="AB689" s="134" t="str">
        <f>IF(Data!$B681='Team Parser'!$B$1,((Z689*2)+(Y689)+(X689*4)+(W689*2)),"")</f>
        <v/>
      </c>
      <c r="AC689" s="134" t="str">
        <f>IF(Data!$B681='Team Parser'!$B$1, Data!N681,"")</f>
        <v/>
      </c>
      <c r="AD689" s="139" t="str">
        <f>IF(Data!$B681='Team Parser'!$B$1,(AB689+(COUNTIF(AC689,"TRAVERSE")*15)+(COUNTIF(AC689,"HIGH")*10)+(COUNTIF(AC689,"MIDDLE")*6)+(COUNTIF(AC689,"LOW")*4)),"")</f>
        <v/>
      </c>
    </row>
    <row r="690">
      <c r="A690" s="141" t="s">
        <v>507</v>
      </c>
      <c r="B690" s="134" t="str">
        <f>IFERROR(__xludf.DUMMYFUNCTION("IFERROR((FILTER(Data!H:H,Data!D:D=A690,Data!B:B=$B$1)),"""")"),"")</f>
        <v/>
      </c>
      <c r="C690" s="134" t="str">
        <f>IFERROR(__xludf.DUMMYFUNCTION("IFERROR((FILTER(Data!G:G,Data!D:D=A690,Data!B:B=$B$1)),"""")"),"")</f>
        <v/>
      </c>
      <c r="D690" s="134" t="str">
        <f>IFERROR(__xludf.DUMMYFUNCTION("IFERROR((FILTER(Data!J:J,Data!D:D=A690,Data!B:B=$B$1)),"""")"),"")</f>
        <v/>
      </c>
      <c r="E690" s="134" t="str">
        <f>IFERROR(__xludf.DUMMYFUNCTION("IFERROR((FILTER(Data!L:L,Data!D:D=A690,Data!B:B=$B$1)),"""")"),"")</f>
        <v/>
      </c>
      <c r="F690" s="134" t="str">
        <f>IFERROR(__xludf.DUMMYFUNCTION("IFERROR((FILTER(Data!K:K,Data!D:D=A690,Data!B:B=$B$1)),"""")"),"")</f>
        <v/>
      </c>
      <c r="G690" s="134" t="str">
        <f>IFERROR(__xludf.DUMMYFUNCTION("IFERROR((FILTER(Data!M:M,Data!D:D=A690,Data!B:B=$B$1)),"""")"),"")</f>
        <v/>
      </c>
      <c r="H690" s="134" t="str">
        <f>IFERROR(__xludf.DUMMYFUNCTION("IFERROR((FILTER(Data!G:G,Data!D:D=A690,Data!B:B=$B$1)*4)+(FILTER(Data!H:H,Data!D:D=A690,Data!B:B=$B$1)*2),"""")"),"")</f>
        <v/>
      </c>
      <c r="I690" s="15" t="str">
        <f>IFERROR(__xludf.DUMMYFUNCTION("IFERROR((FILTER(Data!K:K,Data!D:D=A690,Data!B:B=$B$1)*2)+(FILTER(Data!L:L,Data!D:D=A690,Data!B:B=$B$1)),"""")"),"")</f>
        <v/>
      </c>
      <c r="J690" s="134" t="str">
        <f>IFERROR(__xludf.DUMMYFUNCTION("IFERROR((FILTER(Data!N:N,Data!D:D=A690,Data!B:B=$B$1)),"""")"),"")</f>
        <v/>
      </c>
      <c r="K690" s="135" t="str">
        <f>IFERROR(__xludf.DUMMYFUNCTION("IFERROR((FILTER(Data!H:H,Data!D:D=A690,Data!B:B=$B$1)*2)+(FILTER(Data!L:L,Data!D:D=A690,Data!B:B=$B$1))+(FILTER(Data!G:G,Data!D:D=A690,Data!B:B=$B$1)*4)+(FILTER(Data!K:K,Data!D:D=A690,Data!B:B=$B$1)*2)+(((COUNTIF(FILTER(Data!N:N,Data!D:D=A690,Data!B:B=$B$"&amp;"1),""TRAVERSE"")*15)+(COUNTIF(FILTER(Data!N:N,Data!D:D=A690,Data!B:B=$B$1),""HIGH"")*10)+(COUNTIF(FILTER(Data!N:N,Data!D:D=A690,Data!B:B=$B$1),""MIDDLE"")*6)+(COUNTIF(FILTER(Data!N:N,Data!D:D=A690,Data!B:B=$B$1),""LOW"")*4))),"""")"),"")</f>
        <v/>
      </c>
      <c r="L690" s="136" t="str">
        <f>IFERROR(__xludf.DUMMYFUNCTION("IFERROR((FILTER(Data!P:P,Data!D:D=A690,Data!B:B=$B$1)),"""")"),"")</f>
        <v/>
      </c>
      <c r="M690" s="137" t="str">
        <f>IFERROR(__xludf.DUMMYFUNCTION("IFERROR((FILTER(Data!A:A,Data!D:D=A690,Data!B:B=$B$1)),"""")"),"")</f>
        <v/>
      </c>
      <c r="T690" s="52">
        <f>IFERROR(__xludf.DUMMYFUNCTION("((COUNTIF(FILTER(Data!N:N,Data!D:D=A690,Data!B:B=$B$1),""TRAVERSE"")*15)+(COUNTIF(FILTER(Data!N:N,Data!D:D=A690,Data!B:B=B$1),""HIGH"")*10)+(COUNTIF(FILTER(Data!N:N,Data!D:D=A690,Data!B:B=$B$1),""MIDDLE"")*6)+(COUNTIF(FILTER(Data!N:N,Data!D:D=A690,Data!B:"&amp;"B=$B$1),""LOW"")*4))"),0.0)</f>
        <v>0</v>
      </c>
      <c r="V690" s="138" t="str">
        <f>IF(Data!B682='Team Parser'!$B$1, Data!D682,"")</f>
        <v/>
      </c>
      <c r="W690" s="134" t="str">
        <f>IF(Data!$B682='Team Parser'!$B$1, Data!H682,"")</f>
        <v/>
      </c>
      <c r="X690" s="134" t="str">
        <f>IF(Data!$B682='Team Parser'!$B$1, Data!G682,"")</f>
        <v/>
      </c>
      <c r="Y690" s="134" t="str">
        <f>IF(Data!$B682='Team Parser'!$B$1, Data!L682,"")</f>
        <v/>
      </c>
      <c r="Z690" s="134" t="str">
        <f>IF(Data!$B682='Team Parser'!$B$1, Data!K682,"")</f>
        <v/>
      </c>
      <c r="AA690" s="134" t="str">
        <f>IF(Data!$B682='Team Parser'!$B$1, Data!M682,"")</f>
        <v/>
      </c>
      <c r="AB690" s="134" t="str">
        <f>IF(Data!$B682='Team Parser'!$B$1,((Z690*2)+(Y690)+(X690*4)+(W690*2)),"")</f>
        <v/>
      </c>
      <c r="AC690" s="134" t="str">
        <f>IF(Data!$B682='Team Parser'!$B$1, Data!N682,"")</f>
        <v/>
      </c>
      <c r="AD690" s="139" t="str">
        <f>IF(Data!$B682='Team Parser'!$B$1,(AB690+(COUNTIF(AC690,"TRAVERSE")*15)+(COUNTIF(AC690,"HIGH")*10)+(COUNTIF(AC690,"MIDDLE")*6)+(COUNTIF(AC690,"LOW")*4)),"")</f>
        <v/>
      </c>
    </row>
    <row r="691">
      <c r="A691" s="141" t="s">
        <v>507</v>
      </c>
      <c r="B691" s="134" t="str">
        <f>IFERROR(__xludf.DUMMYFUNCTION("IFERROR((FILTER(Data!H:H,Data!D:D=A691,Data!B:B=$B$1)),"""")"),"")</f>
        <v/>
      </c>
      <c r="C691" s="134" t="str">
        <f>IFERROR(__xludf.DUMMYFUNCTION("IFERROR((FILTER(Data!G:G,Data!D:D=A691,Data!B:B=$B$1)),"""")"),"")</f>
        <v/>
      </c>
      <c r="D691" s="134" t="str">
        <f>IFERROR(__xludf.DUMMYFUNCTION("IFERROR((FILTER(Data!J:J,Data!D:D=A691,Data!B:B=$B$1)),"""")"),"")</f>
        <v/>
      </c>
      <c r="E691" s="134" t="str">
        <f>IFERROR(__xludf.DUMMYFUNCTION("IFERROR((FILTER(Data!L:L,Data!D:D=A691,Data!B:B=$B$1)),"""")"),"")</f>
        <v/>
      </c>
      <c r="F691" s="134" t="str">
        <f>IFERROR(__xludf.DUMMYFUNCTION("IFERROR((FILTER(Data!K:K,Data!D:D=A691,Data!B:B=$B$1)),"""")"),"")</f>
        <v/>
      </c>
      <c r="G691" s="134" t="str">
        <f>IFERROR(__xludf.DUMMYFUNCTION("IFERROR((FILTER(Data!M:M,Data!D:D=A691,Data!B:B=$B$1)),"""")"),"")</f>
        <v/>
      </c>
      <c r="H691" s="134" t="str">
        <f>IFERROR(__xludf.DUMMYFUNCTION("IFERROR((FILTER(Data!G:G,Data!D:D=A691,Data!B:B=$B$1)*4)+(FILTER(Data!H:H,Data!D:D=A691,Data!B:B=$B$1)*2),"""")"),"")</f>
        <v/>
      </c>
      <c r="I691" s="15" t="str">
        <f>IFERROR(__xludf.DUMMYFUNCTION("IFERROR((FILTER(Data!K:K,Data!D:D=A691,Data!B:B=$B$1)*2)+(FILTER(Data!L:L,Data!D:D=A691,Data!B:B=$B$1)),"""")"),"")</f>
        <v/>
      </c>
      <c r="J691" s="134" t="str">
        <f>IFERROR(__xludf.DUMMYFUNCTION("IFERROR((FILTER(Data!N:N,Data!D:D=A691,Data!B:B=$B$1)),"""")"),"")</f>
        <v/>
      </c>
      <c r="K691" s="135" t="str">
        <f>IFERROR(__xludf.DUMMYFUNCTION("IFERROR((FILTER(Data!H:H,Data!D:D=A691,Data!B:B=$B$1)*2)+(FILTER(Data!L:L,Data!D:D=A691,Data!B:B=$B$1))+(FILTER(Data!G:G,Data!D:D=A691,Data!B:B=$B$1)*4)+(FILTER(Data!K:K,Data!D:D=A691,Data!B:B=$B$1)*2)+(((COUNTIF(FILTER(Data!N:N,Data!D:D=A691,Data!B:B=$B$"&amp;"1),""TRAVERSE"")*15)+(COUNTIF(FILTER(Data!N:N,Data!D:D=A691,Data!B:B=$B$1),""HIGH"")*10)+(COUNTIF(FILTER(Data!N:N,Data!D:D=A691,Data!B:B=$B$1),""MIDDLE"")*6)+(COUNTIF(FILTER(Data!N:N,Data!D:D=A691,Data!B:B=$B$1),""LOW"")*4))),"""")"),"")</f>
        <v/>
      </c>
      <c r="L691" s="136" t="str">
        <f>IFERROR(__xludf.DUMMYFUNCTION("IFERROR((FILTER(Data!P:P,Data!D:D=A691,Data!B:B=$B$1)),"""")"),"")</f>
        <v/>
      </c>
      <c r="M691" s="137" t="str">
        <f>IFERROR(__xludf.DUMMYFUNCTION("IFERROR((FILTER(Data!A:A,Data!D:D=A691,Data!B:B=$B$1)),"""")"),"")</f>
        <v/>
      </c>
      <c r="T691" s="52">
        <f>IFERROR(__xludf.DUMMYFUNCTION("((COUNTIF(FILTER(Data!N:N,Data!D:D=A691,Data!B:B=$B$1),""TRAVERSE"")*15)+(COUNTIF(FILTER(Data!N:N,Data!D:D=A691,Data!B:B=B$1),""HIGH"")*10)+(COUNTIF(FILTER(Data!N:N,Data!D:D=A691,Data!B:B=$B$1),""MIDDLE"")*6)+(COUNTIF(FILTER(Data!N:N,Data!D:D=A691,Data!B:"&amp;"B=$B$1),""LOW"")*4))"),0.0)</f>
        <v>0</v>
      </c>
      <c r="V691" s="138" t="str">
        <f>IF(Data!B683='Team Parser'!$B$1, Data!D683,"")</f>
        <v/>
      </c>
      <c r="W691" s="134" t="str">
        <f>IF(Data!$B683='Team Parser'!$B$1, Data!H683,"")</f>
        <v/>
      </c>
      <c r="X691" s="134" t="str">
        <f>IF(Data!$B683='Team Parser'!$B$1, Data!G683,"")</f>
        <v/>
      </c>
      <c r="Y691" s="134" t="str">
        <f>IF(Data!$B683='Team Parser'!$B$1, Data!L683,"")</f>
        <v/>
      </c>
      <c r="Z691" s="134" t="str">
        <f>IF(Data!$B683='Team Parser'!$B$1, Data!K683,"")</f>
        <v/>
      </c>
      <c r="AA691" s="134" t="str">
        <f>IF(Data!$B683='Team Parser'!$B$1, Data!M683,"")</f>
        <v/>
      </c>
      <c r="AB691" s="134" t="str">
        <f>IF(Data!$B683='Team Parser'!$B$1,((Z691*2)+(Y691)+(X691*4)+(W691*2)),"")</f>
        <v/>
      </c>
      <c r="AC691" s="134" t="str">
        <f>IF(Data!$B683='Team Parser'!$B$1, Data!N683,"")</f>
        <v/>
      </c>
      <c r="AD691" s="139" t="str">
        <f>IF(Data!$B683='Team Parser'!$B$1,(AB691+(COUNTIF(AC691,"TRAVERSE")*15)+(COUNTIF(AC691,"HIGH")*10)+(COUNTIF(AC691,"MIDDLE")*6)+(COUNTIF(AC691,"LOW")*4)),"")</f>
        <v/>
      </c>
    </row>
    <row r="692">
      <c r="A692" s="141" t="s">
        <v>507</v>
      </c>
      <c r="B692" s="134" t="str">
        <f>IFERROR(__xludf.DUMMYFUNCTION("IFERROR((FILTER(Data!H:H,Data!D:D=A692,Data!B:B=$B$1)),"""")"),"")</f>
        <v/>
      </c>
      <c r="C692" s="134" t="str">
        <f>IFERROR(__xludf.DUMMYFUNCTION("IFERROR((FILTER(Data!G:G,Data!D:D=A692,Data!B:B=$B$1)),"""")"),"")</f>
        <v/>
      </c>
      <c r="D692" s="134" t="str">
        <f>IFERROR(__xludf.DUMMYFUNCTION("IFERROR((FILTER(Data!J:J,Data!D:D=A692,Data!B:B=$B$1)),"""")"),"")</f>
        <v/>
      </c>
      <c r="E692" s="134" t="str">
        <f>IFERROR(__xludf.DUMMYFUNCTION("IFERROR((FILTER(Data!L:L,Data!D:D=A692,Data!B:B=$B$1)),"""")"),"")</f>
        <v/>
      </c>
      <c r="F692" s="134" t="str">
        <f>IFERROR(__xludf.DUMMYFUNCTION("IFERROR((FILTER(Data!K:K,Data!D:D=A692,Data!B:B=$B$1)),"""")"),"")</f>
        <v/>
      </c>
      <c r="G692" s="134" t="str">
        <f>IFERROR(__xludf.DUMMYFUNCTION("IFERROR((FILTER(Data!M:M,Data!D:D=A692,Data!B:B=$B$1)),"""")"),"")</f>
        <v/>
      </c>
      <c r="H692" s="134" t="str">
        <f>IFERROR(__xludf.DUMMYFUNCTION("IFERROR((FILTER(Data!G:G,Data!D:D=A692,Data!B:B=$B$1)*4)+(FILTER(Data!H:H,Data!D:D=A692,Data!B:B=$B$1)*2),"""")"),"")</f>
        <v/>
      </c>
      <c r="I692" s="15" t="str">
        <f>IFERROR(__xludf.DUMMYFUNCTION("IFERROR((FILTER(Data!K:K,Data!D:D=A692,Data!B:B=$B$1)*2)+(FILTER(Data!L:L,Data!D:D=A692,Data!B:B=$B$1)),"""")"),"")</f>
        <v/>
      </c>
      <c r="J692" s="134" t="str">
        <f>IFERROR(__xludf.DUMMYFUNCTION("IFERROR((FILTER(Data!N:N,Data!D:D=A692,Data!B:B=$B$1)),"""")"),"")</f>
        <v/>
      </c>
      <c r="K692" s="135" t="str">
        <f>IFERROR(__xludf.DUMMYFUNCTION("IFERROR((FILTER(Data!H:H,Data!D:D=A692,Data!B:B=$B$1)*2)+(FILTER(Data!L:L,Data!D:D=A692,Data!B:B=$B$1))+(FILTER(Data!G:G,Data!D:D=A692,Data!B:B=$B$1)*4)+(FILTER(Data!K:K,Data!D:D=A692,Data!B:B=$B$1)*2)+(((COUNTIF(FILTER(Data!N:N,Data!D:D=A692,Data!B:B=$B$"&amp;"1),""TRAVERSE"")*15)+(COUNTIF(FILTER(Data!N:N,Data!D:D=A692,Data!B:B=$B$1),""HIGH"")*10)+(COUNTIF(FILTER(Data!N:N,Data!D:D=A692,Data!B:B=$B$1),""MIDDLE"")*6)+(COUNTIF(FILTER(Data!N:N,Data!D:D=A692,Data!B:B=$B$1),""LOW"")*4))),"""")"),"")</f>
        <v/>
      </c>
      <c r="L692" s="136" t="str">
        <f>IFERROR(__xludf.DUMMYFUNCTION("IFERROR((FILTER(Data!P:P,Data!D:D=A692,Data!B:B=$B$1)),"""")"),"")</f>
        <v/>
      </c>
      <c r="M692" s="137" t="str">
        <f>IFERROR(__xludf.DUMMYFUNCTION("IFERROR((FILTER(Data!A:A,Data!D:D=A692,Data!B:B=$B$1)),"""")"),"")</f>
        <v/>
      </c>
      <c r="T692" s="52">
        <f>IFERROR(__xludf.DUMMYFUNCTION("((COUNTIF(FILTER(Data!N:N,Data!D:D=A692,Data!B:B=$B$1),""TRAVERSE"")*15)+(COUNTIF(FILTER(Data!N:N,Data!D:D=A692,Data!B:B=B$1),""HIGH"")*10)+(COUNTIF(FILTER(Data!N:N,Data!D:D=A692,Data!B:B=$B$1),""MIDDLE"")*6)+(COUNTIF(FILTER(Data!N:N,Data!D:D=A692,Data!B:"&amp;"B=$B$1),""LOW"")*4))"),0.0)</f>
        <v>0</v>
      </c>
      <c r="V692" s="138" t="str">
        <f>IF(Data!B684='Team Parser'!$B$1, Data!D684,"")</f>
        <v/>
      </c>
      <c r="W692" s="134" t="str">
        <f>IF(Data!$B684='Team Parser'!$B$1, Data!H684,"")</f>
        <v/>
      </c>
      <c r="X692" s="134" t="str">
        <f>IF(Data!$B684='Team Parser'!$B$1, Data!G684,"")</f>
        <v/>
      </c>
      <c r="Y692" s="134" t="str">
        <f>IF(Data!$B684='Team Parser'!$B$1, Data!L684,"")</f>
        <v/>
      </c>
      <c r="Z692" s="134" t="str">
        <f>IF(Data!$B684='Team Parser'!$B$1, Data!K684,"")</f>
        <v/>
      </c>
      <c r="AA692" s="134" t="str">
        <f>IF(Data!$B684='Team Parser'!$B$1, Data!M684,"")</f>
        <v/>
      </c>
      <c r="AB692" s="134" t="str">
        <f>IF(Data!$B684='Team Parser'!$B$1,((Z692*2)+(Y692)+(X692*4)+(W692*2)),"")</f>
        <v/>
      </c>
      <c r="AC692" s="134" t="str">
        <f>IF(Data!$B684='Team Parser'!$B$1, Data!N684,"")</f>
        <v/>
      </c>
      <c r="AD692" s="139" t="str">
        <f>IF(Data!$B684='Team Parser'!$B$1,(AB692+(COUNTIF(AC692,"TRAVERSE")*15)+(COUNTIF(AC692,"HIGH")*10)+(COUNTIF(AC692,"MIDDLE")*6)+(COUNTIF(AC692,"LOW")*4)),"")</f>
        <v/>
      </c>
    </row>
    <row r="693">
      <c r="A693" s="141" t="s">
        <v>507</v>
      </c>
      <c r="B693" s="134" t="str">
        <f>IFERROR(__xludf.DUMMYFUNCTION("IFERROR((FILTER(Data!H:H,Data!D:D=A693,Data!B:B=$B$1)),"""")"),"")</f>
        <v/>
      </c>
      <c r="C693" s="134" t="str">
        <f>IFERROR(__xludf.DUMMYFUNCTION("IFERROR((FILTER(Data!G:G,Data!D:D=A693,Data!B:B=$B$1)),"""")"),"")</f>
        <v/>
      </c>
      <c r="D693" s="134" t="str">
        <f>IFERROR(__xludf.DUMMYFUNCTION("IFERROR((FILTER(Data!J:J,Data!D:D=A693,Data!B:B=$B$1)),"""")"),"")</f>
        <v/>
      </c>
      <c r="E693" s="134" t="str">
        <f>IFERROR(__xludf.DUMMYFUNCTION("IFERROR((FILTER(Data!L:L,Data!D:D=A693,Data!B:B=$B$1)),"""")"),"")</f>
        <v/>
      </c>
      <c r="F693" s="134" t="str">
        <f>IFERROR(__xludf.DUMMYFUNCTION("IFERROR((FILTER(Data!K:K,Data!D:D=A693,Data!B:B=$B$1)),"""")"),"")</f>
        <v/>
      </c>
      <c r="G693" s="134" t="str">
        <f>IFERROR(__xludf.DUMMYFUNCTION("IFERROR((FILTER(Data!M:M,Data!D:D=A693,Data!B:B=$B$1)),"""")"),"")</f>
        <v/>
      </c>
      <c r="H693" s="134" t="str">
        <f>IFERROR(__xludf.DUMMYFUNCTION("IFERROR((FILTER(Data!G:G,Data!D:D=A693,Data!B:B=$B$1)*4)+(FILTER(Data!H:H,Data!D:D=A693,Data!B:B=$B$1)*2),"""")"),"")</f>
        <v/>
      </c>
      <c r="I693" s="15" t="str">
        <f>IFERROR(__xludf.DUMMYFUNCTION("IFERROR((FILTER(Data!K:K,Data!D:D=A693,Data!B:B=$B$1)*2)+(FILTER(Data!L:L,Data!D:D=A693,Data!B:B=$B$1)),"""")"),"")</f>
        <v/>
      </c>
      <c r="J693" s="134" t="str">
        <f>IFERROR(__xludf.DUMMYFUNCTION("IFERROR((FILTER(Data!N:N,Data!D:D=A693,Data!B:B=$B$1)),"""")"),"")</f>
        <v/>
      </c>
      <c r="K693" s="135" t="str">
        <f>IFERROR(__xludf.DUMMYFUNCTION("IFERROR((FILTER(Data!H:H,Data!D:D=A693,Data!B:B=$B$1)*2)+(FILTER(Data!L:L,Data!D:D=A693,Data!B:B=$B$1))+(FILTER(Data!G:G,Data!D:D=A693,Data!B:B=$B$1)*4)+(FILTER(Data!K:K,Data!D:D=A693,Data!B:B=$B$1)*2)+(((COUNTIF(FILTER(Data!N:N,Data!D:D=A693,Data!B:B=$B$"&amp;"1),""TRAVERSE"")*15)+(COUNTIF(FILTER(Data!N:N,Data!D:D=A693,Data!B:B=$B$1),""HIGH"")*10)+(COUNTIF(FILTER(Data!N:N,Data!D:D=A693,Data!B:B=$B$1),""MIDDLE"")*6)+(COUNTIF(FILTER(Data!N:N,Data!D:D=A693,Data!B:B=$B$1),""LOW"")*4))),"""")"),"")</f>
        <v/>
      </c>
      <c r="L693" s="136" t="str">
        <f>IFERROR(__xludf.DUMMYFUNCTION("IFERROR((FILTER(Data!P:P,Data!D:D=A693,Data!B:B=$B$1)),"""")"),"")</f>
        <v/>
      </c>
      <c r="M693" s="137" t="str">
        <f>IFERROR(__xludf.DUMMYFUNCTION("IFERROR((FILTER(Data!A:A,Data!D:D=A693,Data!B:B=$B$1)),"""")"),"")</f>
        <v/>
      </c>
      <c r="T693" s="52">
        <f>IFERROR(__xludf.DUMMYFUNCTION("((COUNTIF(FILTER(Data!N:N,Data!D:D=A693,Data!B:B=$B$1),""TRAVERSE"")*15)+(COUNTIF(FILTER(Data!N:N,Data!D:D=A693,Data!B:B=B$1),""HIGH"")*10)+(COUNTIF(FILTER(Data!N:N,Data!D:D=A693,Data!B:B=$B$1),""MIDDLE"")*6)+(COUNTIF(FILTER(Data!N:N,Data!D:D=A693,Data!B:"&amp;"B=$B$1),""LOW"")*4))"),0.0)</f>
        <v>0</v>
      </c>
      <c r="V693" s="138" t="str">
        <f>IF(Data!B685='Team Parser'!$B$1, Data!D685,"")</f>
        <v/>
      </c>
      <c r="W693" s="134" t="str">
        <f>IF(Data!$B685='Team Parser'!$B$1, Data!H685,"")</f>
        <v/>
      </c>
      <c r="X693" s="134" t="str">
        <f>IF(Data!$B685='Team Parser'!$B$1, Data!G685,"")</f>
        <v/>
      </c>
      <c r="Y693" s="134" t="str">
        <f>IF(Data!$B685='Team Parser'!$B$1, Data!L685,"")</f>
        <v/>
      </c>
      <c r="Z693" s="134" t="str">
        <f>IF(Data!$B685='Team Parser'!$B$1, Data!K685,"")</f>
        <v/>
      </c>
      <c r="AA693" s="134" t="str">
        <f>IF(Data!$B685='Team Parser'!$B$1, Data!M685,"")</f>
        <v/>
      </c>
      <c r="AB693" s="134" t="str">
        <f>IF(Data!$B685='Team Parser'!$B$1,((Z693*2)+(Y693)+(X693*4)+(W693*2)),"")</f>
        <v/>
      </c>
      <c r="AC693" s="134" t="str">
        <f>IF(Data!$B685='Team Parser'!$B$1, Data!N685,"")</f>
        <v/>
      </c>
      <c r="AD693" s="139" t="str">
        <f>IF(Data!$B685='Team Parser'!$B$1,(AB693+(COUNTIF(AC693,"TRAVERSE")*15)+(COUNTIF(AC693,"HIGH")*10)+(COUNTIF(AC693,"MIDDLE")*6)+(COUNTIF(AC693,"LOW")*4)),"")</f>
        <v/>
      </c>
    </row>
    <row r="694">
      <c r="A694" s="141" t="s">
        <v>507</v>
      </c>
      <c r="B694" s="134" t="str">
        <f>IFERROR(__xludf.DUMMYFUNCTION("IFERROR((FILTER(Data!H:H,Data!D:D=A694,Data!B:B=$B$1)),"""")"),"")</f>
        <v/>
      </c>
      <c r="C694" s="134" t="str">
        <f>IFERROR(__xludf.DUMMYFUNCTION("IFERROR((FILTER(Data!G:G,Data!D:D=A694,Data!B:B=$B$1)),"""")"),"")</f>
        <v/>
      </c>
      <c r="D694" s="134" t="str">
        <f>IFERROR(__xludf.DUMMYFUNCTION("IFERROR((FILTER(Data!J:J,Data!D:D=A694,Data!B:B=$B$1)),"""")"),"")</f>
        <v/>
      </c>
      <c r="E694" s="134" t="str">
        <f>IFERROR(__xludf.DUMMYFUNCTION("IFERROR((FILTER(Data!L:L,Data!D:D=A694,Data!B:B=$B$1)),"""")"),"")</f>
        <v/>
      </c>
      <c r="F694" s="134" t="str">
        <f>IFERROR(__xludf.DUMMYFUNCTION("IFERROR((FILTER(Data!K:K,Data!D:D=A694,Data!B:B=$B$1)),"""")"),"")</f>
        <v/>
      </c>
      <c r="G694" s="134" t="str">
        <f>IFERROR(__xludf.DUMMYFUNCTION("IFERROR((FILTER(Data!M:M,Data!D:D=A694,Data!B:B=$B$1)),"""")"),"")</f>
        <v/>
      </c>
      <c r="H694" s="134" t="str">
        <f>IFERROR(__xludf.DUMMYFUNCTION("IFERROR((FILTER(Data!G:G,Data!D:D=A694,Data!B:B=$B$1)*4)+(FILTER(Data!H:H,Data!D:D=A694,Data!B:B=$B$1)*2),"""")"),"")</f>
        <v/>
      </c>
      <c r="I694" s="15" t="str">
        <f>IFERROR(__xludf.DUMMYFUNCTION("IFERROR((FILTER(Data!K:K,Data!D:D=A694,Data!B:B=$B$1)*2)+(FILTER(Data!L:L,Data!D:D=A694,Data!B:B=$B$1)),"""")"),"")</f>
        <v/>
      </c>
      <c r="J694" s="134" t="str">
        <f>IFERROR(__xludf.DUMMYFUNCTION("IFERROR((FILTER(Data!N:N,Data!D:D=A694,Data!B:B=$B$1)),"""")"),"")</f>
        <v/>
      </c>
      <c r="K694" s="135" t="str">
        <f>IFERROR(__xludf.DUMMYFUNCTION("IFERROR((FILTER(Data!H:H,Data!D:D=A694,Data!B:B=$B$1)*2)+(FILTER(Data!L:L,Data!D:D=A694,Data!B:B=$B$1))+(FILTER(Data!G:G,Data!D:D=A694,Data!B:B=$B$1)*4)+(FILTER(Data!K:K,Data!D:D=A694,Data!B:B=$B$1)*2)+(((COUNTIF(FILTER(Data!N:N,Data!D:D=A694,Data!B:B=$B$"&amp;"1),""TRAVERSE"")*15)+(COUNTIF(FILTER(Data!N:N,Data!D:D=A694,Data!B:B=$B$1),""HIGH"")*10)+(COUNTIF(FILTER(Data!N:N,Data!D:D=A694,Data!B:B=$B$1),""MIDDLE"")*6)+(COUNTIF(FILTER(Data!N:N,Data!D:D=A694,Data!B:B=$B$1),""LOW"")*4))),"""")"),"")</f>
        <v/>
      </c>
      <c r="L694" s="136" t="str">
        <f>IFERROR(__xludf.DUMMYFUNCTION("IFERROR((FILTER(Data!P:P,Data!D:D=A694,Data!B:B=$B$1)),"""")"),"")</f>
        <v/>
      </c>
      <c r="M694" s="137" t="str">
        <f>IFERROR(__xludf.DUMMYFUNCTION("IFERROR((FILTER(Data!A:A,Data!D:D=A694,Data!B:B=$B$1)),"""")"),"")</f>
        <v/>
      </c>
      <c r="T694" s="52">
        <f>IFERROR(__xludf.DUMMYFUNCTION("((COUNTIF(FILTER(Data!N:N,Data!D:D=A694,Data!B:B=$B$1),""TRAVERSE"")*15)+(COUNTIF(FILTER(Data!N:N,Data!D:D=A694,Data!B:B=B$1),""HIGH"")*10)+(COUNTIF(FILTER(Data!N:N,Data!D:D=A694,Data!B:B=$B$1),""MIDDLE"")*6)+(COUNTIF(FILTER(Data!N:N,Data!D:D=A694,Data!B:"&amp;"B=$B$1),""LOW"")*4))"),0.0)</f>
        <v>0</v>
      </c>
      <c r="V694" s="138" t="str">
        <f>IF(Data!B686='Team Parser'!$B$1, Data!D686,"")</f>
        <v/>
      </c>
      <c r="W694" s="134" t="str">
        <f>IF(Data!$B686='Team Parser'!$B$1, Data!H686,"")</f>
        <v/>
      </c>
      <c r="X694" s="134" t="str">
        <f>IF(Data!$B686='Team Parser'!$B$1, Data!G686,"")</f>
        <v/>
      </c>
      <c r="Y694" s="134" t="str">
        <f>IF(Data!$B686='Team Parser'!$B$1, Data!L686,"")</f>
        <v/>
      </c>
      <c r="Z694" s="134" t="str">
        <f>IF(Data!$B686='Team Parser'!$B$1, Data!K686,"")</f>
        <v/>
      </c>
      <c r="AA694" s="134" t="str">
        <f>IF(Data!$B686='Team Parser'!$B$1, Data!M686,"")</f>
        <v/>
      </c>
      <c r="AB694" s="134" t="str">
        <f>IF(Data!$B686='Team Parser'!$B$1,((Z694*2)+(Y694)+(X694*4)+(W694*2)),"")</f>
        <v/>
      </c>
      <c r="AC694" s="134" t="str">
        <f>IF(Data!$B686='Team Parser'!$B$1, Data!N686,"")</f>
        <v/>
      </c>
      <c r="AD694" s="139" t="str">
        <f>IF(Data!$B686='Team Parser'!$B$1,(AB694+(COUNTIF(AC694,"TRAVERSE")*15)+(COUNTIF(AC694,"HIGH")*10)+(COUNTIF(AC694,"MIDDLE")*6)+(COUNTIF(AC694,"LOW")*4)),"")</f>
        <v/>
      </c>
    </row>
    <row r="695">
      <c r="A695" s="141" t="s">
        <v>507</v>
      </c>
      <c r="B695" s="134" t="str">
        <f>IFERROR(__xludf.DUMMYFUNCTION("IFERROR((FILTER(Data!H:H,Data!D:D=A695,Data!B:B=$B$1)),"""")"),"")</f>
        <v/>
      </c>
      <c r="C695" s="134" t="str">
        <f>IFERROR(__xludf.DUMMYFUNCTION("IFERROR((FILTER(Data!G:G,Data!D:D=A695,Data!B:B=$B$1)),"""")"),"")</f>
        <v/>
      </c>
      <c r="D695" s="134" t="str">
        <f>IFERROR(__xludf.DUMMYFUNCTION("IFERROR((FILTER(Data!J:J,Data!D:D=A695,Data!B:B=$B$1)),"""")"),"")</f>
        <v/>
      </c>
      <c r="E695" s="134" t="str">
        <f>IFERROR(__xludf.DUMMYFUNCTION("IFERROR((FILTER(Data!L:L,Data!D:D=A695,Data!B:B=$B$1)),"""")"),"")</f>
        <v/>
      </c>
      <c r="F695" s="134" t="str">
        <f>IFERROR(__xludf.DUMMYFUNCTION("IFERROR((FILTER(Data!K:K,Data!D:D=A695,Data!B:B=$B$1)),"""")"),"")</f>
        <v/>
      </c>
      <c r="G695" s="134" t="str">
        <f>IFERROR(__xludf.DUMMYFUNCTION("IFERROR((FILTER(Data!M:M,Data!D:D=A695,Data!B:B=$B$1)),"""")"),"")</f>
        <v/>
      </c>
      <c r="H695" s="134" t="str">
        <f>IFERROR(__xludf.DUMMYFUNCTION("IFERROR((FILTER(Data!G:G,Data!D:D=A695,Data!B:B=$B$1)*4)+(FILTER(Data!H:H,Data!D:D=A695,Data!B:B=$B$1)*2),"""")"),"")</f>
        <v/>
      </c>
      <c r="I695" s="15" t="str">
        <f>IFERROR(__xludf.DUMMYFUNCTION("IFERROR((FILTER(Data!K:K,Data!D:D=A695,Data!B:B=$B$1)*2)+(FILTER(Data!L:L,Data!D:D=A695,Data!B:B=$B$1)),"""")"),"")</f>
        <v/>
      </c>
      <c r="J695" s="134" t="str">
        <f>IFERROR(__xludf.DUMMYFUNCTION("IFERROR((FILTER(Data!N:N,Data!D:D=A695,Data!B:B=$B$1)),"""")"),"")</f>
        <v/>
      </c>
      <c r="K695" s="135" t="str">
        <f>IFERROR(__xludf.DUMMYFUNCTION("IFERROR((FILTER(Data!H:H,Data!D:D=A695,Data!B:B=$B$1)*2)+(FILTER(Data!L:L,Data!D:D=A695,Data!B:B=$B$1))+(FILTER(Data!G:G,Data!D:D=A695,Data!B:B=$B$1)*4)+(FILTER(Data!K:K,Data!D:D=A695,Data!B:B=$B$1)*2)+(((COUNTIF(FILTER(Data!N:N,Data!D:D=A695,Data!B:B=$B$"&amp;"1),""TRAVERSE"")*15)+(COUNTIF(FILTER(Data!N:N,Data!D:D=A695,Data!B:B=$B$1),""HIGH"")*10)+(COUNTIF(FILTER(Data!N:N,Data!D:D=A695,Data!B:B=$B$1),""MIDDLE"")*6)+(COUNTIF(FILTER(Data!N:N,Data!D:D=A695,Data!B:B=$B$1),""LOW"")*4))),"""")"),"")</f>
        <v/>
      </c>
      <c r="L695" s="136" t="str">
        <f>IFERROR(__xludf.DUMMYFUNCTION("IFERROR((FILTER(Data!P:P,Data!D:D=A695,Data!B:B=$B$1)),"""")"),"")</f>
        <v/>
      </c>
      <c r="M695" s="137" t="str">
        <f>IFERROR(__xludf.DUMMYFUNCTION("IFERROR((FILTER(Data!A:A,Data!D:D=A695,Data!B:B=$B$1)),"""")"),"")</f>
        <v/>
      </c>
      <c r="T695" s="52">
        <f>IFERROR(__xludf.DUMMYFUNCTION("((COUNTIF(FILTER(Data!N:N,Data!D:D=A695,Data!B:B=$B$1),""TRAVERSE"")*15)+(COUNTIF(FILTER(Data!N:N,Data!D:D=A695,Data!B:B=B$1),""HIGH"")*10)+(COUNTIF(FILTER(Data!N:N,Data!D:D=A695,Data!B:B=$B$1),""MIDDLE"")*6)+(COUNTIF(FILTER(Data!N:N,Data!D:D=A695,Data!B:"&amp;"B=$B$1),""LOW"")*4))"),0.0)</f>
        <v>0</v>
      </c>
      <c r="V695" s="138" t="str">
        <f>IF(Data!B687='Team Parser'!$B$1, Data!D687,"")</f>
        <v/>
      </c>
      <c r="W695" s="134" t="str">
        <f>IF(Data!$B687='Team Parser'!$B$1, Data!H687,"")</f>
        <v/>
      </c>
      <c r="X695" s="134" t="str">
        <f>IF(Data!$B687='Team Parser'!$B$1, Data!G687,"")</f>
        <v/>
      </c>
      <c r="Y695" s="134" t="str">
        <f>IF(Data!$B687='Team Parser'!$B$1, Data!L687,"")</f>
        <v/>
      </c>
      <c r="Z695" s="134" t="str">
        <f>IF(Data!$B687='Team Parser'!$B$1, Data!K687,"")</f>
        <v/>
      </c>
      <c r="AA695" s="134" t="str">
        <f>IF(Data!$B687='Team Parser'!$B$1, Data!M687,"")</f>
        <v/>
      </c>
      <c r="AB695" s="134" t="str">
        <f>IF(Data!$B687='Team Parser'!$B$1,((Z695*2)+(Y695)+(X695*4)+(W695*2)),"")</f>
        <v/>
      </c>
      <c r="AC695" s="134" t="str">
        <f>IF(Data!$B687='Team Parser'!$B$1, Data!N687,"")</f>
        <v/>
      </c>
      <c r="AD695" s="139" t="str">
        <f>IF(Data!$B687='Team Parser'!$B$1,(AB695+(COUNTIF(AC695,"TRAVERSE")*15)+(COUNTIF(AC695,"HIGH")*10)+(COUNTIF(AC695,"MIDDLE")*6)+(COUNTIF(AC695,"LOW")*4)),"")</f>
        <v/>
      </c>
    </row>
    <row r="696">
      <c r="A696" s="141" t="s">
        <v>507</v>
      </c>
      <c r="B696" s="134" t="str">
        <f>IFERROR(__xludf.DUMMYFUNCTION("IFERROR((FILTER(Data!H:H,Data!D:D=A696,Data!B:B=$B$1)),"""")"),"")</f>
        <v/>
      </c>
      <c r="C696" s="134" t="str">
        <f>IFERROR(__xludf.DUMMYFUNCTION("IFERROR((FILTER(Data!G:G,Data!D:D=A696,Data!B:B=$B$1)),"""")"),"")</f>
        <v/>
      </c>
      <c r="D696" s="134" t="str">
        <f>IFERROR(__xludf.DUMMYFUNCTION("IFERROR((FILTER(Data!J:J,Data!D:D=A696,Data!B:B=$B$1)),"""")"),"")</f>
        <v/>
      </c>
      <c r="E696" s="134" t="str">
        <f>IFERROR(__xludf.DUMMYFUNCTION("IFERROR((FILTER(Data!L:L,Data!D:D=A696,Data!B:B=$B$1)),"""")"),"")</f>
        <v/>
      </c>
      <c r="F696" s="134" t="str">
        <f>IFERROR(__xludf.DUMMYFUNCTION("IFERROR((FILTER(Data!K:K,Data!D:D=A696,Data!B:B=$B$1)),"""")"),"")</f>
        <v/>
      </c>
      <c r="G696" s="134" t="str">
        <f>IFERROR(__xludf.DUMMYFUNCTION("IFERROR((FILTER(Data!M:M,Data!D:D=A696,Data!B:B=$B$1)),"""")"),"")</f>
        <v/>
      </c>
      <c r="H696" s="134" t="str">
        <f>IFERROR(__xludf.DUMMYFUNCTION("IFERROR((FILTER(Data!G:G,Data!D:D=A696,Data!B:B=$B$1)*4)+(FILTER(Data!H:H,Data!D:D=A696,Data!B:B=$B$1)*2),"""")"),"")</f>
        <v/>
      </c>
      <c r="I696" s="15" t="str">
        <f>IFERROR(__xludf.DUMMYFUNCTION("IFERROR((FILTER(Data!K:K,Data!D:D=A696,Data!B:B=$B$1)*2)+(FILTER(Data!L:L,Data!D:D=A696,Data!B:B=$B$1)),"""")"),"")</f>
        <v/>
      </c>
      <c r="J696" s="134" t="str">
        <f>IFERROR(__xludf.DUMMYFUNCTION("IFERROR((FILTER(Data!N:N,Data!D:D=A696,Data!B:B=$B$1)),"""")"),"")</f>
        <v/>
      </c>
      <c r="K696" s="135" t="str">
        <f>IFERROR(__xludf.DUMMYFUNCTION("IFERROR((FILTER(Data!H:H,Data!D:D=A696,Data!B:B=$B$1)*2)+(FILTER(Data!L:L,Data!D:D=A696,Data!B:B=$B$1))+(FILTER(Data!G:G,Data!D:D=A696,Data!B:B=$B$1)*4)+(FILTER(Data!K:K,Data!D:D=A696,Data!B:B=$B$1)*2)+(((COUNTIF(FILTER(Data!N:N,Data!D:D=A696,Data!B:B=$B$"&amp;"1),""TRAVERSE"")*15)+(COUNTIF(FILTER(Data!N:N,Data!D:D=A696,Data!B:B=$B$1),""HIGH"")*10)+(COUNTIF(FILTER(Data!N:N,Data!D:D=A696,Data!B:B=$B$1),""MIDDLE"")*6)+(COUNTIF(FILTER(Data!N:N,Data!D:D=A696,Data!B:B=$B$1),""LOW"")*4))),"""")"),"")</f>
        <v/>
      </c>
      <c r="L696" s="136" t="str">
        <f>IFERROR(__xludf.DUMMYFUNCTION("IFERROR((FILTER(Data!P:P,Data!D:D=A696,Data!B:B=$B$1)),"""")"),"")</f>
        <v/>
      </c>
      <c r="M696" s="137" t="str">
        <f>IFERROR(__xludf.DUMMYFUNCTION("IFERROR((FILTER(Data!A:A,Data!D:D=A696,Data!B:B=$B$1)),"""")"),"")</f>
        <v/>
      </c>
      <c r="T696" s="52">
        <f>IFERROR(__xludf.DUMMYFUNCTION("((COUNTIF(FILTER(Data!N:N,Data!D:D=A696,Data!B:B=$B$1),""TRAVERSE"")*15)+(COUNTIF(FILTER(Data!N:N,Data!D:D=A696,Data!B:B=B$1),""HIGH"")*10)+(COUNTIF(FILTER(Data!N:N,Data!D:D=A696,Data!B:B=$B$1),""MIDDLE"")*6)+(COUNTIF(FILTER(Data!N:N,Data!D:D=A696,Data!B:"&amp;"B=$B$1),""LOW"")*4))"),0.0)</f>
        <v>0</v>
      </c>
      <c r="V696" s="138" t="str">
        <f>IF(Data!B688='Team Parser'!$B$1, Data!D688,"")</f>
        <v/>
      </c>
      <c r="W696" s="134" t="str">
        <f>IF(Data!$B688='Team Parser'!$B$1, Data!H688,"")</f>
        <v/>
      </c>
      <c r="X696" s="134" t="str">
        <f>IF(Data!$B688='Team Parser'!$B$1, Data!G688,"")</f>
        <v/>
      </c>
      <c r="Y696" s="134" t="str">
        <f>IF(Data!$B688='Team Parser'!$B$1, Data!L688,"")</f>
        <v/>
      </c>
      <c r="Z696" s="134" t="str">
        <f>IF(Data!$B688='Team Parser'!$B$1, Data!K688,"")</f>
        <v/>
      </c>
      <c r="AA696" s="134" t="str">
        <f>IF(Data!$B688='Team Parser'!$B$1, Data!M688,"")</f>
        <v/>
      </c>
      <c r="AB696" s="134" t="str">
        <f>IF(Data!$B688='Team Parser'!$B$1,((Z696*2)+(Y696)+(X696*4)+(W696*2)),"")</f>
        <v/>
      </c>
      <c r="AC696" s="134" t="str">
        <f>IF(Data!$B688='Team Parser'!$B$1, Data!N688,"")</f>
        <v/>
      </c>
      <c r="AD696" s="139" t="str">
        <f>IF(Data!$B688='Team Parser'!$B$1,(AB696+(COUNTIF(AC696,"TRAVERSE")*15)+(COUNTIF(AC696,"HIGH")*10)+(COUNTIF(AC696,"MIDDLE")*6)+(COUNTIF(AC696,"LOW")*4)),"")</f>
        <v/>
      </c>
    </row>
    <row r="697">
      <c r="A697" s="141" t="s">
        <v>507</v>
      </c>
      <c r="B697" s="134" t="str">
        <f>IFERROR(__xludf.DUMMYFUNCTION("IFERROR((FILTER(Data!H:H,Data!D:D=A697,Data!B:B=$B$1)),"""")"),"")</f>
        <v/>
      </c>
      <c r="C697" s="134" t="str">
        <f>IFERROR(__xludf.DUMMYFUNCTION("IFERROR((FILTER(Data!G:G,Data!D:D=A697,Data!B:B=$B$1)),"""")"),"")</f>
        <v/>
      </c>
      <c r="D697" s="134" t="str">
        <f>IFERROR(__xludf.DUMMYFUNCTION("IFERROR((FILTER(Data!J:J,Data!D:D=A697,Data!B:B=$B$1)),"""")"),"")</f>
        <v/>
      </c>
      <c r="E697" s="134" t="str">
        <f>IFERROR(__xludf.DUMMYFUNCTION("IFERROR((FILTER(Data!L:L,Data!D:D=A697,Data!B:B=$B$1)),"""")"),"")</f>
        <v/>
      </c>
      <c r="F697" s="134" t="str">
        <f>IFERROR(__xludf.DUMMYFUNCTION("IFERROR((FILTER(Data!K:K,Data!D:D=A697,Data!B:B=$B$1)),"""")"),"")</f>
        <v/>
      </c>
      <c r="G697" s="134" t="str">
        <f>IFERROR(__xludf.DUMMYFUNCTION("IFERROR((FILTER(Data!M:M,Data!D:D=A697,Data!B:B=$B$1)),"""")"),"")</f>
        <v/>
      </c>
      <c r="H697" s="134" t="str">
        <f>IFERROR(__xludf.DUMMYFUNCTION("IFERROR((FILTER(Data!G:G,Data!D:D=A697,Data!B:B=$B$1)*4)+(FILTER(Data!H:H,Data!D:D=A697,Data!B:B=$B$1)*2),"""")"),"")</f>
        <v/>
      </c>
      <c r="I697" s="15" t="str">
        <f>IFERROR(__xludf.DUMMYFUNCTION("IFERROR((FILTER(Data!K:K,Data!D:D=A697,Data!B:B=$B$1)*2)+(FILTER(Data!L:L,Data!D:D=A697,Data!B:B=$B$1)),"""")"),"")</f>
        <v/>
      </c>
      <c r="J697" s="134" t="str">
        <f>IFERROR(__xludf.DUMMYFUNCTION("IFERROR((FILTER(Data!N:N,Data!D:D=A697,Data!B:B=$B$1)),"""")"),"")</f>
        <v/>
      </c>
      <c r="K697" s="135" t="str">
        <f>IFERROR(__xludf.DUMMYFUNCTION("IFERROR((FILTER(Data!H:H,Data!D:D=A697,Data!B:B=$B$1)*2)+(FILTER(Data!L:L,Data!D:D=A697,Data!B:B=$B$1))+(FILTER(Data!G:G,Data!D:D=A697,Data!B:B=$B$1)*4)+(FILTER(Data!K:K,Data!D:D=A697,Data!B:B=$B$1)*2)+(((COUNTIF(FILTER(Data!N:N,Data!D:D=A697,Data!B:B=$B$"&amp;"1),""TRAVERSE"")*15)+(COUNTIF(FILTER(Data!N:N,Data!D:D=A697,Data!B:B=$B$1),""HIGH"")*10)+(COUNTIF(FILTER(Data!N:N,Data!D:D=A697,Data!B:B=$B$1),""MIDDLE"")*6)+(COUNTIF(FILTER(Data!N:N,Data!D:D=A697,Data!B:B=$B$1),""LOW"")*4))),"""")"),"")</f>
        <v/>
      </c>
      <c r="L697" s="136" t="str">
        <f>IFERROR(__xludf.DUMMYFUNCTION("IFERROR((FILTER(Data!P:P,Data!D:D=A697,Data!B:B=$B$1)),"""")"),"")</f>
        <v/>
      </c>
      <c r="M697" s="137" t="str">
        <f>IFERROR(__xludf.DUMMYFUNCTION("IFERROR((FILTER(Data!A:A,Data!D:D=A697,Data!B:B=$B$1)),"""")"),"")</f>
        <v/>
      </c>
      <c r="T697" s="52">
        <f>IFERROR(__xludf.DUMMYFUNCTION("((COUNTIF(FILTER(Data!N:N,Data!D:D=A697,Data!B:B=$B$1),""TRAVERSE"")*15)+(COUNTIF(FILTER(Data!N:N,Data!D:D=A697,Data!B:B=B$1),""HIGH"")*10)+(COUNTIF(FILTER(Data!N:N,Data!D:D=A697,Data!B:B=$B$1),""MIDDLE"")*6)+(COUNTIF(FILTER(Data!N:N,Data!D:D=A697,Data!B:"&amp;"B=$B$1),""LOW"")*4))"),0.0)</f>
        <v>0</v>
      </c>
      <c r="V697" s="138" t="str">
        <f>IF(Data!B689='Team Parser'!$B$1, Data!D689,"")</f>
        <v/>
      </c>
      <c r="W697" s="134" t="str">
        <f>IF(Data!$B689='Team Parser'!$B$1, Data!H689,"")</f>
        <v/>
      </c>
      <c r="X697" s="134" t="str">
        <f>IF(Data!$B689='Team Parser'!$B$1, Data!G689,"")</f>
        <v/>
      </c>
      <c r="Y697" s="134" t="str">
        <f>IF(Data!$B689='Team Parser'!$B$1, Data!L689,"")</f>
        <v/>
      </c>
      <c r="Z697" s="134" t="str">
        <f>IF(Data!$B689='Team Parser'!$B$1, Data!K689,"")</f>
        <v/>
      </c>
      <c r="AA697" s="134" t="str">
        <f>IF(Data!$B689='Team Parser'!$B$1, Data!M689,"")</f>
        <v/>
      </c>
      <c r="AB697" s="134" t="str">
        <f>IF(Data!$B689='Team Parser'!$B$1,((Z697*2)+(Y697)+(X697*4)+(W697*2)),"")</f>
        <v/>
      </c>
      <c r="AC697" s="134" t="str">
        <f>IF(Data!$B689='Team Parser'!$B$1, Data!N689,"")</f>
        <v/>
      </c>
      <c r="AD697" s="139" t="str">
        <f>IF(Data!$B689='Team Parser'!$B$1,(AB697+(COUNTIF(AC697,"TRAVERSE")*15)+(COUNTIF(AC697,"HIGH")*10)+(COUNTIF(AC697,"MIDDLE")*6)+(COUNTIF(AC697,"LOW")*4)),"")</f>
        <v/>
      </c>
    </row>
    <row r="698">
      <c r="A698" s="141" t="s">
        <v>507</v>
      </c>
      <c r="B698" s="134" t="str">
        <f>IFERROR(__xludf.DUMMYFUNCTION("IFERROR((FILTER(Data!H:H,Data!D:D=A698,Data!B:B=$B$1)),"""")"),"")</f>
        <v/>
      </c>
      <c r="C698" s="134" t="str">
        <f>IFERROR(__xludf.DUMMYFUNCTION("IFERROR((FILTER(Data!G:G,Data!D:D=A698,Data!B:B=$B$1)),"""")"),"")</f>
        <v/>
      </c>
      <c r="D698" s="134" t="str">
        <f>IFERROR(__xludf.DUMMYFUNCTION("IFERROR((FILTER(Data!J:J,Data!D:D=A698,Data!B:B=$B$1)),"""")"),"")</f>
        <v/>
      </c>
      <c r="E698" s="134" t="str">
        <f>IFERROR(__xludf.DUMMYFUNCTION("IFERROR((FILTER(Data!L:L,Data!D:D=A698,Data!B:B=$B$1)),"""")"),"")</f>
        <v/>
      </c>
      <c r="F698" s="134" t="str">
        <f>IFERROR(__xludf.DUMMYFUNCTION("IFERROR((FILTER(Data!K:K,Data!D:D=A698,Data!B:B=$B$1)),"""")"),"")</f>
        <v/>
      </c>
      <c r="G698" s="134" t="str">
        <f>IFERROR(__xludf.DUMMYFUNCTION("IFERROR((FILTER(Data!M:M,Data!D:D=A698,Data!B:B=$B$1)),"""")"),"")</f>
        <v/>
      </c>
      <c r="H698" s="134" t="str">
        <f>IFERROR(__xludf.DUMMYFUNCTION("IFERROR((FILTER(Data!G:G,Data!D:D=A698,Data!B:B=$B$1)*4)+(FILTER(Data!H:H,Data!D:D=A698,Data!B:B=$B$1)*2),"""")"),"")</f>
        <v/>
      </c>
      <c r="I698" s="15" t="str">
        <f>IFERROR(__xludf.DUMMYFUNCTION("IFERROR((FILTER(Data!K:K,Data!D:D=A698,Data!B:B=$B$1)*2)+(FILTER(Data!L:L,Data!D:D=A698,Data!B:B=$B$1)),"""")"),"")</f>
        <v/>
      </c>
      <c r="J698" s="134" t="str">
        <f>IFERROR(__xludf.DUMMYFUNCTION("IFERROR((FILTER(Data!N:N,Data!D:D=A698,Data!B:B=$B$1)),"""")"),"")</f>
        <v/>
      </c>
      <c r="K698" s="135" t="str">
        <f>IFERROR(__xludf.DUMMYFUNCTION("IFERROR((FILTER(Data!H:H,Data!D:D=A698,Data!B:B=$B$1)*2)+(FILTER(Data!L:L,Data!D:D=A698,Data!B:B=$B$1))+(FILTER(Data!G:G,Data!D:D=A698,Data!B:B=$B$1)*4)+(FILTER(Data!K:K,Data!D:D=A698,Data!B:B=$B$1)*2)+(((COUNTIF(FILTER(Data!N:N,Data!D:D=A698,Data!B:B=$B$"&amp;"1),""TRAVERSE"")*15)+(COUNTIF(FILTER(Data!N:N,Data!D:D=A698,Data!B:B=$B$1),""HIGH"")*10)+(COUNTIF(FILTER(Data!N:N,Data!D:D=A698,Data!B:B=$B$1),""MIDDLE"")*6)+(COUNTIF(FILTER(Data!N:N,Data!D:D=A698,Data!B:B=$B$1),""LOW"")*4))),"""")"),"")</f>
        <v/>
      </c>
      <c r="L698" s="136" t="str">
        <f>IFERROR(__xludf.DUMMYFUNCTION("IFERROR((FILTER(Data!P:P,Data!D:D=A698,Data!B:B=$B$1)),"""")"),"")</f>
        <v/>
      </c>
      <c r="M698" s="137" t="str">
        <f>IFERROR(__xludf.DUMMYFUNCTION("IFERROR((FILTER(Data!A:A,Data!D:D=A698,Data!B:B=$B$1)),"""")"),"")</f>
        <v/>
      </c>
      <c r="T698" s="52">
        <f>IFERROR(__xludf.DUMMYFUNCTION("((COUNTIF(FILTER(Data!N:N,Data!D:D=A698,Data!B:B=$B$1),""TRAVERSE"")*15)+(COUNTIF(FILTER(Data!N:N,Data!D:D=A698,Data!B:B=B$1),""HIGH"")*10)+(COUNTIF(FILTER(Data!N:N,Data!D:D=A698,Data!B:B=$B$1),""MIDDLE"")*6)+(COUNTIF(FILTER(Data!N:N,Data!D:D=A698,Data!B:"&amp;"B=$B$1),""LOW"")*4))"),0.0)</f>
        <v>0</v>
      </c>
      <c r="V698" s="138" t="str">
        <f>IF(Data!B690='Team Parser'!$B$1, Data!D690,"")</f>
        <v/>
      </c>
      <c r="W698" s="134" t="str">
        <f>IF(Data!$B690='Team Parser'!$B$1, Data!H690,"")</f>
        <v/>
      </c>
      <c r="X698" s="134" t="str">
        <f>IF(Data!$B690='Team Parser'!$B$1, Data!G690,"")</f>
        <v/>
      </c>
      <c r="Y698" s="134" t="str">
        <f>IF(Data!$B690='Team Parser'!$B$1, Data!L690,"")</f>
        <v/>
      </c>
      <c r="Z698" s="134" t="str">
        <f>IF(Data!$B690='Team Parser'!$B$1, Data!K690,"")</f>
        <v/>
      </c>
      <c r="AA698" s="134" t="str">
        <f>IF(Data!$B690='Team Parser'!$B$1, Data!M690,"")</f>
        <v/>
      </c>
      <c r="AB698" s="134" t="str">
        <f>IF(Data!$B690='Team Parser'!$B$1,((Z698*2)+(Y698)+(X698*4)+(W698*2)),"")</f>
        <v/>
      </c>
      <c r="AC698" s="134" t="str">
        <f>IF(Data!$B690='Team Parser'!$B$1, Data!N690,"")</f>
        <v/>
      </c>
      <c r="AD698" s="139" t="str">
        <f>IF(Data!$B690='Team Parser'!$B$1,(AB698+(COUNTIF(AC698,"TRAVERSE")*15)+(COUNTIF(AC698,"HIGH")*10)+(COUNTIF(AC698,"MIDDLE")*6)+(COUNTIF(AC698,"LOW")*4)),"")</f>
        <v/>
      </c>
    </row>
    <row r="699">
      <c r="A699" s="141" t="s">
        <v>507</v>
      </c>
      <c r="B699" s="134" t="str">
        <f>IFERROR(__xludf.DUMMYFUNCTION("IFERROR((FILTER(Data!H:H,Data!D:D=A699,Data!B:B=$B$1)),"""")"),"")</f>
        <v/>
      </c>
      <c r="C699" s="134" t="str">
        <f>IFERROR(__xludf.DUMMYFUNCTION("IFERROR((FILTER(Data!G:G,Data!D:D=A699,Data!B:B=$B$1)),"""")"),"")</f>
        <v/>
      </c>
      <c r="D699" s="134" t="str">
        <f>IFERROR(__xludf.DUMMYFUNCTION("IFERROR((FILTER(Data!J:J,Data!D:D=A699,Data!B:B=$B$1)),"""")"),"")</f>
        <v/>
      </c>
      <c r="E699" s="134" t="str">
        <f>IFERROR(__xludf.DUMMYFUNCTION("IFERROR((FILTER(Data!L:L,Data!D:D=A699,Data!B:B=$B$1)),"""")"),"")</f>
        <v/>
      </c>
      <c r="F699" s="134" t="str">
        <f>IFERROR(__xludf.DUMMYFUNCTION("IFERROR((FILTER(Data!K:K,Data!D:D=A699,Data!B:B=$B$1)),"""")"),"")</f>
        <v/>
      </c>
      <c r="G699" s="134" t="str">
        <f>IFERROR(__xludf.DUMMYFUNCTION("IFERROR((FILTER(Data!M:M,Data!D:D=A699,Data!B:B=$B$1)),"""")"),"")</f>
        <v/>
      </c>
      <c r="H699" s="134" t="str">
        <f>IFERROR(__xludf.DUMMYFUNCTION("IFERROR((FILTER(Data!G:G,Data!D:D=A699,Data!B:B=$B$1)*4)+(FILTER(Data!H:H,Data!D:D=A699,Data!B:B=$B$1)*2),"""")"),"")</f>
        <v/>
      </c>
      <c r="I699" s="15" t="str">
        <f>IFERROR(__xludf.DUMMYFUNCTION("IFERROR((FILTER(Data!K:K,Data!D:D=A699,Data!B:B=$B$1)*2)+(FILTER(Data!L:L,Data!D:D=A699,Data!B:B=$B$1)),"""")"),"")</f>
        <v/>
      </c>
      <c r="J699" s="134" t="str">
        <f>IFERROR(__xludf.DUMMYFUNCTION("IFERROR((FILTER(Data!N:N,Data!D:D=A699,Data!B:B=$B$1)),"""")"),"")</f>
        <v/>
      </c>
      <c r="K699" s="135" t="str">
        <f>IFERROR(__xludf.DUMMYFUNCTION("IFERROR((FILTER(Data!H:H,Data!D:D=A699,Data!B:B=$B$1)*2)+(FILTER(Data!L:L,Data!D:D=A699,Data!B:B=$B$1))+(FILTER(Data!G:G,Data!D:D=A699,Data!B:B=$B$1)*4)+(FILTER(Data!K:K,Data!D:D=A699,Data!B:B=$B$1)*2)+(((COUNTIF(FILTER(Data!N:N,Data!D:D=A699,Data!B:B=$B$"&amp;"1),""TRAVERSE"")*15)+(COUNTIF(FILTER(Data!N:N,Data!D:D=A699,Data!B:B=$B$1),""HIGH"")*10)+(COUNTIF(FILTER(Data!N:N,Data!D:D=A699,Data!B:B=$B$1),""MIDDLE"")*6)+(COUNTIF(FILTER(Data!N:N,Data!D:D=A699,Data!B:B=$B$1),""LOW"")*4))),"""")"),"")</f>
        <v/>
      </c>
      <c r="L699" s="136" t="str">
        <f>IFERROR(__xludf.DUMMYFUNCTION("IFERROR((FILTER(Data!P:P,Data!D:D=A699,Data!B:B=$B$1)),"""")"),"")</f>
        <v/>
      </c>
      <c r="M699" s="137" t="str">
        <f>IFERROR(__xludf.DUMMYFUNCTION("IFERROR((FILTER(Data!A:A,Data!D:D=A699,Data!B:B=$B$1)),"""")"),"")</f>
        <v/>
      </c>
      <c r="T699" s="52">
        <f>IFERROR(__xludf.DUMMYFUNCTION("((COUNTIF(FILTER(Data!N:N,Data!D:D=A699,Data!B:B=$B$1),""TRAVERSE"")*15)+(COUNTIF(FILTER(Data!N:N,Data!D:D=A699,Data!B:B=B$1),""HIGH"")*10)+(COUNTIF(FILTER(Data!N:N,Data!D:D=A699,Data!B:B=$B$1),""MIDDLE"")*6)+(COUNTIF(FILTER(Data!N:N,Data!D:D=A699,Data!B:"&amp;"B=$B$1),""LOW"")*4))"),0.0)</f>
        <v>0</v>
      </c>
      <c r="V699" s="138" t="str">
        <f>IF(Data!B691='Team Parser'!$B$1, Data!D691,"")</f>
        <v/>
      </c>
      <c r="W699" s="134" t="str">
        <f>IF(Data!$B691='Team Parser'!$B$1, Data!H691,"")</f>
        <v/>
      </c>
      <c r="X699" s="134" t="str">
        <f>IF(Data!$B691='Team Parser'!$B$1, Data!G691,"")</f>
        <v/>
      </c>
      <c r="Y699" s="134" t="str">
        <f>IF(Data!$B691='Team Parser'!$B$1, Data!L691,"")</f>
        <v/>
      </c>
      <c r="Z699" s="134" t="str">
        <f>IF(Data!$B691='Team Parser'!$B$1, Data!K691,"")</f>
        <v/>
      </c>
      <c r="AA699" s="134" t="str">
        <f>IF(Data!$B691='Team Parser'!$B$1, Data!M691,"")</f>
        <v/>
      </c>
      <c r="AB699" s="134" t="str">
        <f>IF(Data!$B691='Team Parser'!$B$1,((Z699*2)+(Y699)+(X699*4)+(W699*2)),"")</f>
        <v/>
      </c>
      <c r="AC699" s="134" t="str">
        <f>IF(Data!$B691='Team Parser'!$B$1, Data!N691,"")</f>
        <v/>
      </c>
      <c r="AD699" s="139" t="str">
        <f>IF(Data!$B691='Team Parser'!$B$1,(AB699+(COUNTIF(AC699,"TRAVERSE")*15)+(COUNTIF(AC699,"HIGH")*10)+(COUNTIF(AC699,"MIDDLE")*6)+(COUNTIF(AC699,"LOW")*4)),"")</f>
        <v/>
      </c>
    </row>
    <row r="700">
      <c r="A700" s="141" t="s">
        <v>507</v>
      </c>
      <c r="B700" s="134" t="str">
        <f>IFERROR(__xludf.DUMMYFUNCTION("IFERROR((FILTER(Data!H:H,Data!D:D=A700,Data!B:B=$B$1)),"""")"),"")</f>
        <v/>
      </c>
      <c r="C700" s="134" t="str">
        <f>IFERROR(__xludf.DUMMYFUNCTION("IFERROR((FILTER(Data!G:G,Data!D:D=A700,Data!B:B=$B$1)),"""")"),"")</f>
        <v/>
      </c>
      <c r="D700" s="134" t="str">
        <f>IFERROR(__xludf.DUMMYFUNCTION("IFERROR((FILTER(Data!J:J,Data!D:D=A700,Data!B:B=$B$1)),"""")"),"")</f>
        <v/>
      </c>
      <c r="E700" s="134" t="str">
        <f>IFERROR(__xludf.DUMMYFUNCTION("IFERROR((FILTER(Data!L:L,Data!D:D=A700,Data!B:B=$B$1)),"""")"),"")</f>
        <v/>
      </c>
      <c r="F700" s="134" t="str">
        <f>IFERROR(__xludf.DUMMYFUNCTION("IFERROR((FILTER(Data!K:K,Data!D:D=A700,Data!B:B=$B$1)),"""")"),"")</f>
        <v/>
      </c>
      <c r="G700" s="134" t="str">
        <f>IFERROR(__xludf.DUMMYFUNCTION("IFERROR((FILTER(Data!M:M,Data!D:D=A700,Data!B:B=$B$1)),"""")"),"")</f>
        <v/>
      </c>
      <c r="H700" s="134" t="str">
        <f>IFERROR(__xludf.DUMMYFUNCTION("IFERROR((FILTER(Data!G:G,Data!D:D=A700,Data!B:B=$B$1)*4)+(FILTER(Data!H:H,Data!D:D=A700,Data!B:B=$B$1)*2),"""")"),"")</f>
        <v/>
      </c>
      <c r="I700" s="15" t="str">
        <f>IFERROR(__xludf.DUMMYFUNCTION("IFERROR((FILTER(Data!K:K,Data!D:D=A700,Data!B:B=$B$1)*2)+(FILTER(Data!L:L,Data!D:D=A700,Data!B:B=$B$1)),"""")"),"")</f>
        <v/>
      </c>
      <c r="J700" s="134" t="str">
        <f>IFERROR(__xludf.DUMMYFUNCTION("IFERROR((FILTER(Data!N:N,Data!D:D=A700,Data!B:B=$B$1)),"""")"),"")</f>
        <v/>
      </c>
      <c r="K700" s="135" t="str">
        <f>IFERROR(__xludf.DUMMYFUNCTION("IFERROR((FILTER(Data!H:H,Data!D:D=A700,Data!B:B=$B$1)*2)+(FILTER(Data!L:L,Data!D:D=A700,Data!B:B=$B$1))+(FILTER(Data!G:G,Data!D:D=A700,Data!B:B=$B$1)*4)+(FILTER(Data!K:K,Data!D:D=A700,Data!B:B=$B$1)*2)+(((COUNTIF(FILTER(Data!N:N,Data!D:D=A700,Data!B:B=$B$"&amp;"1),""TRAVERSE"")*15)+(COUNTIF(FILTER(Data!N:N,Data!D:D=A700,Data!B:B=$B$1),""HIGH"")*10)+(COUNTIF(FILTER(Data!N:N,Data!D:D=A700,Data!B:B=$B$1),""MIDDLE"")*6)+(COUNTIF(FILTER(Data!N:N,Data!D:D=A700,Data!B:B=$B$1),""LOW"")*4))),"""")"),"")</f>
        <v/>
      </c>
      <c r="L700" s="136" t="str">
        <f>IFERROR(__xludf.DUMMYFUNCTION("IFERROR((FILTER(Data!P:P,Data!D:D=A700,Data!B:B=$B$1)),"""")"),"")</f>
        <v/>
      </c>
      <c r="M700" s="137" t="str">
        <f>IFERROR(__xludf.DUMMYFUNCTION("IFERROR((FILTER(Data!A:A,Data!D:D=A700,Data!B:B=$B$1)),"""")"),"")</f>
        <v/>
      </c>
      <c r="T700" s="52">
        <f>IFERROR(__xludf.DUMMYFUNCTION("((COUNTIF(FILTER(Data!N:N,Data!D:D=A700,Data!B:B=$B$1),""TRAVERSE"")*15)+(COUNTIF(FILTER(Data!N:N,Data!D:D=A700,Data!B:B=B$1),""HIGH"")*10)+(COUNTIF(FILTER(Data!N:N,Data!D:D=A700,Data!B:B=$B$1),""MIDDLE"")*6)+(COUNTIF(FILTER(Data!N:N,Data!D:D=A700,Data!B:"&amp;"B=$B$1),""LOW"")*4))"),0.0)</f>
        <v>0</v>
      </c>
      <c r="V700" s="138" t="str">
        <f>IF(Data!B692='Team Parser'!$B$1, Data!D692,"")</f>
        <v/>
      </c>
      <c r="W700" s="134" t="str">
        <f>IF(Data!$B692='Team Parser'!$B$1, Data!H692,"")</f>
        <v/>
      </c>
      <c r="X700" s="134" t="str">
        <f>IF(Data!$B692='Team Parser'!$B$1, Data!G692,"")</f>
        <v/>
      </c>
      <c r="Y700" s="134" t="str">
        <f>IF(Data!$B692='Team Parser'!$B$1, Data!L692,"")</f>
        <v/>
      </c>
      <c r="Z700" s="134" t="str">
        <f>IF(Data!$B692='Team Parser'!$B$1, Data!K692,"")</f>
        <v/>
      </c>
      <c r="AA700" s="134" t="str">
        <f>IF(Data!$B692='Team Parser'!$B$1, Data!M692,"")</f>
        <v/>
      </c>
      <c r="AB700" s="134" t="str">
        <f>IF(Data!$B692='Team Parser'!$B$1,((Z700*2)+(Y700)+(X700*4)+(W700*2)),"")</f>
        <v/>
      </c>
      <c r="AC700" s="134" t="str">
        <f>IF(Data!$B692='Team Parser'!$B$1, Data!N692,"")</f>
        <v/>
      </c>
      <c r="AD700" s="139" t="str">
        <f>IF(Data!$B692='Team Parser'!$B$1,(AB700+(COUNTIF(AC700,"TRAVERSE")*15)+(COUNTIF(AC700,"HIGH")*10)+(COUNTIF(AC700,"MIDDLE")*6)+(COUNTIF(AC700,"LOW")*4)),"")</f>
        <v/>
      </c>
    </row>
    <row r="701">
      <c r="A701" s="141" t="s">
        <v>507</v>
      </c>
      <c r="B701" s="134" t="str">
        <f>IFERROR(__xludf.DUMMYFUNCTION("IFERROR((FILTER(Data!H:H,Data!D:D=A701,Data!B:B=$B$1)),"""")"),"")</f>
        <v/>
      </c>
      <c r="C701" s="134" t="str">
        <f>IFERROR(__xludf.DUMMYFUNCTION("IFERROR((FILTER(Data!G:G,Data!D:D=A701,Data!B:B=$B$1)),"""")"),"")</f>
        <v/>
      </c>
      <c r="D701" s="134" t="str">
        <f>IFERROR(__xludf.DUMMYFUNCTION("IFERROR((FILTER(Data!J:J,Data!D:D=A701,Data!B:B=$B$1)),"""")"),"")</f>
        <v/>
      </c>
      <c r="E701" s="134" t="str">
        <f>IFERROR(__xludf.DUMMYFUNCTION("IFERROR((FILTER(Data!L:L,Data!D:D=A701,Data!B:B=$B$1)),"""")"),"")</f>
        <v/>
      </c>
      <c r="F701" s="134" t="str">
        <f>IFERROR(__xludf.DUMMYFUNCTION("IFERROR((FILTER(Data!K:K,Data!D:D=A701,Data!B:B=$B$1)),"""")"),"")</f>
        <v/>
      </c>
      <c r="G701" s="134" t="str">
        <f>IFERROR(__xludf.DUMMYFUNCTION("IFERROR((FILTER(Data!M:M,Data!D:D=A701,Data!B:B=$B$1)),"""")"),"")</f>
        <v/>
      </c>
      <c r="H701" s="134" t="str">
        <f>IFERROR(__xludf.DUMMYFUNCTION("IFERROR((FILTER(Data!G:G,Data!D:D=A701,Data!B:B=$B$1)*4)+(FILTER(Data!H:H,Data!D:D=A701,Data!B:B=$B$1)*2),"""")"),"")</f>
        <v/>
      </c>
      <c r="I701" s="15" t="str">
        <f>IFERROR(__xludf.DUMMYFUNCTION("IFERROR((FILTER(Data!K:K,Data!D:D=A701,Data!B:B=$B$1)*2)+(FILTER(Data!L:L,Data!D:D=A701,Data!B:B=$B$1)),"""")"),"")</f>
        <v/>
      </c>
      <c r="J701" s="134" t="str">
        <f>IFERROR(__xludf.DUMMYFUNCTION("IFERROR((FILTER(Data!N:N,Data!D:D=A701,Data!B:B=$B$1)),"""")"),"")</f>
        <v/>
      </c>
      <c r="K701" s="135" t="str">
        <f>IFERROR(__xludf.DUMMYFUNCTION("IFERROR((FILTER(Data!H:H,Data!D:D=A701,Data!B:B=$B$1)*2)+(FILTER(Data!L:L,Data!D:D=A701,Data!B:B=$B$1))+(FILTER(Data!G:G,Data!D:D=A701,Data!B:B=$B$1)*4)+(FILTER(Data!K:K,Data!D:D=A701,Data!B:B=$B$1)*2)+(((COUNTIF(FILTER(Data!N:N,Data!D:D=A701,Data!B:B=$B$"&amp;"1),""TRAVERSE"")*15)+(COUNTIF(FILTER(Data!N:N,Data!D:D=A701,Data!B:B=$B$1),""HIGH"")*10)+(COUNTIF(FILTER(Data!N:N,Data!D:D=A701,Data!B:B=$B$1),""MIDDLE"")*6)+(COUNTIF(FILTER(Data!N:N,Data!D:D=A701,Data!B:B=$B$1),""LOW"")*4))),"""")"),"")</f>
        <v/>
      </c>
      <c r="L701" s="136" t="str">
        <f>IFERROR(__xludf.DUMMYFUNCTION("IFERROR((FILTER(Data!P:P,Data!D:D=A701,Data!B:B=$B$1)),"""")"),"")</f>
        <v/>
      </c>
      <c r="M701" s="137" t="str">
        <f>IFERROR(__xludf.DUMMYFUNCTION("IFERROR((FILTER(Data!A:A,Data!D:D=A701,Data!B:B=$B$1)),"""")"),"")</f>
        <v/>
      </c>
      <c r="T701" s="52">
        <f>IFERROR(__xludf.DUMMYFUNCTION("((COUNTIF(FILTER(Data!N:N,Data!D:D=A701,Data!B:B=$B$1),""TRAVERSE"")*15)+(COUNTIF(FILTER(Data!N:N,Data!D:D=A701,Data!B:B=B$1),""HIGH"")*10)+(COUNTIF(FILTER(Data!N:N,Data!D:D=A701,Data!B:B=$B$1),""MIDDLE"")*6)+(COUNTIF(FILTER(Data!N:N,Data!D:D=A701,Data!B:"&amp;"B=$B$1),""LOW"")*4))"),0.0)</f>
        <v>0</v>
      </c>
      <c r="V701" s="138" t="str">
        <f>IF(Data!B693='Team Parser'!$B$1, Data!D693,"")</f>
        <v/>
      </c>
      <c r="W701" s="134" t="str">
        <f>IF(Data!$B693='Team Parser'!$B$1, Data!H693,"")</f>
        <v/>
      </c>
      <c r="X701" s="134" t="str">
        <f>IF(Data!$B693='Team Parser'!$B$1, Data!G693,"")</f>
        <v/>
      </c>
      <c r="Y701" s="134" t="str">
        <f>IF(Data!$B693='Team Parser'!$B$1, Data!L693,"")</f>
        <v/>
      </c>
      <c r="Z701" s="134" t="str">
        <f>IF(Data!$B693='Team Parser'!$B$1, Data!K693,"")</f>
        <v/>
      </c>
      <c r="AA701" s="134" t="str">
        <f>IF(Data!$B693='Team Parser'!$B$1, Data!M693,"")</f>
        <v/>
      </c>
      <c r="AB701" s="134" t="str">
        <f>IF(Data!$B693='Team Parser'!$B$1,((Z701*2)+(Y701)+(X701*4)+(W701*2)),"")</f>
        <v/>
      </c>
      <c r="AC701" s="134" t="str">
        <f>IF(Data!$B693='Team Parser'!$B$1, Data!N693,"")</f>
        <v/>
      </c>
      <c r="AD701" s="139" t="str">
        <f>IF(Data!$B693='Team Parser'!$B$1,(AB701+(COUNTIF(AC701,"TRAVERSE")*15)+(COUNTIF(AC701,"HIGH")*10)+(COUNTIF(AC701,"MIDDLE")*6)+(COUNTIF(AC701,"LOW")*4)),"")</f>
        <v/>
      </c>
    </row>
    <row r="702">
      <c r="A702" s="141" t="s">
        <v>507</v>
      </c>
      <c r="B702" s="134" t="str">
        <f>IFERROR(__xludf.DUMMYFUNCTION("IFERROR((FILTER(Data!H:H,Data!D:D=A702,Data!B:B=$B$1)),"""")"),"")</f>
        <v/>
      </c>
      <c r="C702" s="134" t="str">
        <f>IFERROR(__xludf.DUMMYFUNCTION("IFERROR((FILTER(Data!G:G,Data!D:D=A702,Data!B:B=$B$1)),"""")"),"")</f>
        <v/>
      </c>
      <c r="D702" s="134" t="str">
        <f>IFERROR(__xludf.DUMMYFUNCTION("IFERROR((FILTER(Data!J:J,Data!D:D=A702,Data!B:B=$B$1)),"""")"),"")</f>
        <v/>
      </c>
      <c r="E702" s="134" t="str">
        <f>IFERROR(__xludf.DUMMYFUNCTION("IFERROR((FILTER(Data!L:L,Data!D:D=A702,Data!B:B=$B$1)),"""")"),"")</f>
        <v/>
      </c>
      <c r="F702" s="134" t="str">
        <f>IFERROR(__xludf.DUMMYFUNCTION("IFERROR((FILTER(Data!K:K,Data!D:D=A702,Data!B:B=$B$1)),"""")"),"")</f>
        <v/>
      </c>
      <c r="G702" s="134" t="str">
        <f>IFERROR(__xludf.DUMMYFUNCTION("IFERROR((FILTER(Data!M:M,Data!D:D=A702,Data!B:B=$B$1)),"""")"),"")</f>
        <v/>
      </c>
      <c r="H702" s="134" t="str">
        <f>IFERROR(__xludf.DUMMYFUNCTION("IFERROR((FILTER(Data!G:G,Data!D:D=A702,Data!B:B=$B$1)*4)+(FILTER(Data!H:H,Data!D:D=A702,Data!B:B=$B$1)*2),"""")"),"")</f>
        <v/>
      </c>
      <c r="I702" s="15" t="str">
        <f>IFERROR(__xludf.DUMMYFUNCTION("IFERROR((FILTER(Data!K:K,Data!D:D=A702,Data!B:B=$B$1)*2)+(FILTER(Data!L:L,Data!D:D=A702,Data!B:B=$B$1)),"""")"),"")</f>
        <v/>
      </c>
      <c r="J702" s="134" t="str">
        <f>IFERROR(__xludf.DUMMYFUNCTION("IFERROR((FILTER(Data!N:N,Data!D:D=A702,Data!B:B=$B$1)),"""")"),"")</f>
        <v/>
      </c>
      <c r="K702" s="135" t="str">
        <f>IFERROR(__xludf.DUMMYFUNCTION("IFERROR((FILTER(Data!H:H,Data!D:D=A702,Data!B:B=$B$1)*2)+(FILTER(Data!L:L,Data!D:D=A702,Data!B:B=$B$1))+(FILTER(Data!G:G,Data!D:D=A702,Data!B:B=$B$1)*4)+(FILTER(Data!K:K,Data!D:D=A702,Data!B:B=$B$1)*2)+(((COUNTIF(FILTER(Data!N:N,Data!D:D=A702,Data!B:B=$B$"&amp;"1),""TRAVERSE"")*15)+(COUNTIF(FILTER(Data!N:N,Data!D:D=A702,Data!B:B=$B$1),""HIGH"")*10)+(COUNTIF(FILTER(Data!N:N,Data!D:D=A702,Data!B:B=$B$1),""MIDDLE"")*6)+(COUNTIF(FILTER(Data!N:N,Data!D:D=A702,Data!B:B=$B$1),""LOW"")*4))),"""")"),"")</f>
        <v/>
      </c>
      <c r="L702" s="136" t="str">
        <f>IFERROR(__xludf.DUMMYFUNCTION("IFERROR((FILTER(Data!P:P,Data!D:D=A702,Data!B:B=$B$1)),"""")"),"")</f>
        <v/>
      </c>
      <c r="M702" s="137" t="str">
        <f>IFERROR(__xludf.DUMMYFUNCTION("IFERROR((FILTER(Data!A:A,Data!D:D=A702,Data!B:B=$B$1)),"""")"),"")</f>
        <v/>
      </c>
      <c r="T702" s="52">
        <f>IFERROR(__xludf.DUMMYFUNCTION("((COUNTIF(FILTER(Data!N:N,Data!D:D=A702,Data!B:B=$B$1),""TRAVERSE"")*15)+(COUNTIF(FILTER(Data!N:N,Data!D:D=A702,Data!B:B=B$1),""HIGH"")*10)+(COUNTIF(FILTER(Data!N:N,Data!D:D=A702,Data!B:B=$B$1),""MIDDLE"")*6)+(COUNTIF(FILTER(Data!N:N,Data!D:D=A702,Data!B:"&amp;"B=$B$1),""LOW"")*4))"),0.0)</f>
        <v>0</v>
      </c>
      <c r="V702" s="138" t="str">
        <f>IF(Data!B694='Team Parser'!$B$1, Data!D694,"")</f>
        <v/>
      </c>
      <c r="W702" s="134" t="str">
        <f>IF(Data!$B694='Team Parser'!$B$1, Data!H694,"")</f>
        <v/>
      </c>
      <c r="X702" s="134" t="str">
        <f>IF(Data!$B694='Team Parser'!$B$1, Data!G694,"")</f>
        <v/>
      </c>
      <c r="Y702" s="134" t="str">
        <f>IF(Data!$B694='Team Parser'!$B$1, Data!L694,"")</f>
        <v/>
      </c>
      <c r="Z702" s="134" t="str">
        <f>IF(Data!$B694='Team Parser'!$B$1, Data!K694,"")</f>
        <v/>
      </c>
      <c r="AA702" s="134" t="str">
        <f>IF(Data!$B694='Team Parser'!$B$1, Data!M694,"")</f>
        <v/>
      </c>
      <c r="AB702" s="134" t="str">
        <f>IF(Data!$B694='Team Parser'!$B$1,((Z702*2)+(Y702)+(X702*4)+(W702*2)),"")</f>
        <v/>
      </c>
      <c r="AC702" s="134" t="str">
        <f>IF(Data!$B694='Team Parser'!$B$1, Data!N694,"")</f>
        <v/>
      </c>
      <c r="AD702" s="139" t="str">
        <f>IF(Data!$B694='Team Parser'!$B$1,(AB702+(COUNTIF(AC702,"TRAVERSE")*15)+(COUNTIF(AC702,"HIGH")*10)+(COUNTIF(AC702,"MIDDLE")*6)+(COUNTIF(AC702,"LOW")*4)),"")</f>
        <v/>
      </c>
    </row>
    <row r="703">
      <c r="A703" s="141" t="s">
        <v>507</v>
      </c>
      <c r="B703" s="134" t="str">
        <f>IFERROR(__xludf.DUMMYFUNCTION("IFERROR((FILTER(Data!H:H,Data!D:D=A703,Data!B:B=$B$1)),"""")"),"")</f>
        <v/>
      </c>
      <c r="C703" s="134" t="str">
        <f>IFERROR(__xludf.DUMMYFUNCTION("IFERROR((FILTER(Data!G:G,Data!D:D=A703,Data!B:B=$B$1)),"""")"),"")</f>
        <v/>
      </c>
      <c r="D703" s="134" t="str">
        <f>IFERROR(__xludf.DUMMYFUNCTION("IFERROR((FILTER(Data!J:J,Data!D:D=A703,Data!B:B=$B$1)),"""")"),"")</f>
        <v/>
      </c>
      <c r="E703" s="134" t="str">
        <f>IFERROR(__xludf.DUMMYFUNCTION("IFERROR((FILTER(Data!L:L,Data!D:D=A703,Data!B:B=$B$1)),"""")"),"")</f>
        <v/>
      </c>
      <c r="F703" s="134" t="str">
        <f>IFERROR(__xludf.DUMMYFUNCTION("IFERROR((FILTER(Data!K:K,Data!D:D=A703,Data!B:B=$B$1)),"""")"),"")</f>
        <v/>
      </c>
      <c r="G703" s="134" t="str">
        <f>IFERROR(__xludf.DUMMYFUNCTION("IFERROR((FILTER(Data!M:M,Data!D:D=A703,Data!B:B=$B$1)),"""")"),"")</f>
        <v/>
      </c>
      <c r="H703" s="134" t="str">
        <f>IFERROR(__xludf.DUMMYFUNCTION("IFERROR((FILTER(Data!G:G,Data!D:D=A703,Data!B:B=$B$1)*4)+(FILTER(Data!H:H,Data!D:D=A703,Data!B:B=$B$1)*2),"""")"),"")</f>
        <v/>
      </c>
      <c r="I703" s="15" t="str">
        <f>IFERROR(__xludf.DUMMYFUNCTION("IFERROR((FILTER(Data!K:K,Data!D:D=A703,Data!B:B=$B$1)*2)+(FILTER(Data!L:L,Data!D:D=A703,Data!B:B=$B$1)),"""")"),"")</f>
        <v/>
      </c>
      <c r="J703" s="134" t="str">
        <f>IFERROR(__xludf.DUMMYFUNCTION("IFERROR((FILTER(Data!N:N,Data!D:D=A703,Data!B:B=$B$1)),"""")"),"")</f>
        <v/>
      </c>
      <c r="K703" s="135" t="str">
        <f>IFERROR(__xludf.DUMMYFUNCTION("IFERROR((FILTER(Data!H:H,Data!D:D=A703,Data!B:B=$B$1)*2)+(FILTER(Data!L:L,Data!D:D=A703,Data!B:B=$B$1))+(FILTER(Data!G:G,Data!D:D=A703,Data!B:B=$B$1)*4)+(FILTER(Data!K:K,Data!D:D=A703,Data!B:B=$B$1)*2)+(((COUNTIF(FILTER(Data!N:N,Data!D:D=A703,Data!B:B=$B$"&amp;"1),""TRAVERSE"")*15)+(COUNTIF(FILTER(Data!N:N,Data!D:D=A703,Data!B:B=$B$1),""HIGH"")*10)+(COUNTIF(FILTER(Data!N:N,Data!D:D=A703,Data!B:B=$B$1),""MIDDLE"")*6)+(COUNTIF(FILTER(Data!N:N,Data!D:D=A703,Data!B:B=$B$1),""LOW"")*4))),"""")"),"")</f>
        <v/>
      </c>
      <c r="L703" s="136" t="str">
        <f>IFERROR(__xludf.DUMMYFUNCTION("IFERROR((FILTER(Data!P:P,Data!D:D=A703,Data!B:B=$B$1)),"""")"),"")</f>
        <v/>
      </c>
      <c r="M703" s="137" t="str">
        <f>IFERROR(__xludf.DUMMYFUNCTION("IFERROR((FILTER(Data!A:A,Data!D:D=A703,Data!B:B=$B$1)),"""")"),"")</f>
        <v/>
      </c>
      <c r="T703" s="52">
        <f>IFERROR(__xludf.DUMMYFUNCTION("((COUNTIF(FILTER(Data!N:N,Data!D:D=A703,Data!B:B=$B$1),""TRAVERSE"")*15)+(COUNTIF(FILTER(Data!N:N,Data!D:D=A703,Data!B:B=B$1),""HIGH"")*10)+(COUNTIF(FILTER(Data!N:N,Data!D:D=A703,Data!B:B=$B$1),""MIDDLE"")*6)+(COUNTIF(FILTER(Data!N:N,Data!D:D=A703,Data!B:"&amp;"B=$B$1),""LOW"")*4))"),0.0)</f>
        <v>0</v>
      </c>
      <c r="V703" s="138" t="str">
        <f>IF(Data!B695='Team Parser'!$B$1, Data!D695,"")</f>
        <v/>
      </c>
      <c r="W703" s="134" t="str">
        <f>IF(Data!$B695='Team Parser'!$B$1, Data!H695,"")</f>
        <v/>
      </c>
      <c r="X703" s="134" t="str">
        <f>IF(Data!$B695='Team Parser'!$B$1, Data!G695,"")</f>
        <v/>
      </c>
      <c r="Y703" s="134" t="str">
        <f>IF(Data!$B695='Team Parser'!$B$1, Data!L695,"")</f>
        <v/>
      </c>
      <c r="Z703" s="134" t="str">
        <f>IF(Data!$B695='Team Parser'!$B$1, Data!K695,"")</f>
        <v/>
      </c>
      <c r="AA703" s="134" t="str">
        <f>IF(Data!$B695='Team Parser'!$B$1, Data!M695,"")</f>
        <v/>
      </c>
      <c r="AB703" s="134" t="str">
        <f>IF(Data!$B695='Team Parser'!$B$1,((Z703*2)+(Y703)+(X703*4)+(W703*2)),"")</f>
        <v/>
      </c>
      <c r="AC703" s="134" t="str">
        <f>IF(Data!$B695='Team Parser'!$B$1, Data!N695,"")</f>
        <v/>
      </c>
      <c r="AD703" s="139" t="str">
        <f>IF(Data!$B695='Team Parser'!$B$1,(AB703+(COUNTIF(AC703,"TRAVERSE")*15)+(COUNTIF(AC703,"HIGH")*10)+(COUNTIF(AC703,"MIDDLE")*6)+(COUNTIF(AC703,"LOW")*4)),"")</f>
        <v/>
      </c>
    </row>
    <row r="704">
      <c r="A704" s="141" t="s">
        <v>507</v>
      </c>
      <c r="B704" s="134" t="str">
        <f>IFERROR(__xludf.DUMMYFUNCTION("IFERROR((FILTER(Data!H:H,Data!D:D=A704,Data!B:B=$B$1)),"""")"),"")</f>
        <v/>
      </c>
      <c r="C704" s="134" t="str">
        <f>IFERROR(__xludf.DUMMYFUNCTION("IFERROR((FILTER(Data!G:G,Data!D:D=A704,Data!B:B=$B$1)),"""")"),"")</f>
        <v/>
      </c>
      <c r="D704" s="134" t="str">
        <f>IFERROR(__xludf.DUMMYFUNCTION("IFERROR((FILTER(Data!J:J,Data!D:D=A704,Data!B:B=$B$1)),"""")"),"")</f>
        <v/>
      </c>
      <c r="E704" s="134" t="str">
        <f>IFERROR(__xludf.DUMMYFUNCTION("IFERROR((FILTER(Data!L:L,Data!D:D=A704,Data!B:B=$B$1)),"""")"),"")</f>
        <v/>
      </c>
      <c r="F704" s="134" t="str">
        <f>IFERROR(__xludf.DUMMYFUNCTION("IFERROR((FILTER(Data!K:K,Data!D:D=A704,Data!B:B=$B$1)),"""")"),"")</f>
        <v/>
      </c>
      <c r="G704" s="134" t="str">
        <f>IFERROR(__xludf.DUMMYFUNCTION("IFERROR((FILTER(Data!M:M,Data!D:D=A704,Data!B:B=$B$1)),"""")"),"")</f>
        <v/>
      </c>
      <c r="H704" s="134" t="str">
        <f>IFERROR(__xludf.DUMMYFUNCTION("IFERROR((FILTER(Data!G:G,Data!D:D=A704,Data!B:B=$B$1)*4)+(FILTER(Data!H:H,Data!D:D=A704,Data!B:B=$B$1)*2),"""")"),"")</f>
        <v/>
      </c>
      <c r="I704" s="15" t="str">
        <f>IFERROR(__xludf.DUMMYFUNCTION("IFERROR((FILTER(Data!K:K,Data!D:D=A704,Data!B:B=$B$1)*2)+(FILTER(Data!L:L,Data!D:D=A704,Data!B:B=$B$1)),"""")"),"")</f>
        <v/>
      </c>
      <c r="J704" s="134" t="str">
        <f>IFERROR(__xludf.DUMMYFUNCTION("IFERROR((FILTER(Data!N:N,Data!D:D=A704,Data!B:B=$B$1)),"""")"),"")</f>
        <v/>
      </c>
      <c r="K704" s="135" t="str">
        <f>IFERROR(__xludf.DUMMYFUNCTION("IFERROR((FILTER(Data!H:H,Data!D:D=A704,Data!B:B=$B$1)*2)+(FILTER(Data!L:L,Data!D:D=A704,Data!B:B=$B$1))+(FILTER(Data!G:G,Data!D:D=A704,Data!B:B=$B$1)*4)+(FILTER(Data!K:K,Data!D:D=A704,Data!B:B=$B$1)*2)+(((COUNTIF(FILTER(Data!N:N,Data!D:D=A704,Data!B:B=$B$"&amp;"1),""TRAVERSE"")*15)+(COUNTIF(FILTER(Data!N:N,Data!D:D=A704,Data!B:B=$B$1),""HIGH"")*10)+(COUNTIF(FILTER(Data!N:N,Data!D:D=A704,Data!B:B=$B$1),""MIDDLE"")*6)+(COUNTIF(FILTER(Data!N:N,Data!D:D=A704,Data!B:B=$B$1),""LOW"")*4))),"""")"),"")</f>
        <v/>
      </c>
      <c r="L704" s="136" t="str">
        <f>IFERROR(__xludf.DUMMYFUNCTION("IFERROR((FILTER(Data!P:P,Data!D:D=A704,Data!B:B=$B$1)),"""")"),"")</f>
        <v/>
      </c>
      <c r="M704" s="137" t="str">
        <f>IFERROR(__xludf.DUMMYFUNCTION("IFERROR((FILTER(Data!A:A,Data!D:D=A704,Data!B:B=$B$1)),"""")"),"")</f>
        <v/>
      </c>
      <c r="T704" s="52">
        <f>IFERROR(__xludf.DUMMYFUNCTION("((COUNTIF(FILTER(Data!N:N,Data!D:D=A704,Data!B:B=$B$1),""TRAVERSE"")*15)+(COUNTIF(FILTER(Data!N:N,Data!D:D=A704,Data!B:B=B$1),""HIGH"")*10)+(COUNTIF(FILTER(Data!N:N,Data!D:D=A704,Data!B:B=$B$1),""MIDDLE"")*6)+(COUNTIF(FILTER(Data!N:N,Data!D:D=A704,Data!B:"&amp;"B=$B$1),""LOW"")*4))"),0.0)</f>
        <v>0</v>
      </c>
      <c r="V704" s="138" t="str">
        <f>IF(Data!B696='Team Parser'!$B$1, Data!D696,"")</f>
        <v/>
      </c>
      <c r="W704" s="134" t="str">
        <f>IF(Data!$B696='Team Parser'!$B$1, Data!H696,"")</f>
        <v/>
      </c>
      <c r="X704" s="134" t="str">
        <f>IF(Data!$B696='Team Parser'!$B$1, Data!G696,"")</f>
        <v/>
      </c>
      <c r="Y704" s="134" t="str">
        <f>IF(Data!$B696='Team Parser'!$B$1, Data!L696,"")</f>
        <v/>
      </c>
      <c r="Z704" s="134" t="str">
        <f>IF(Data!$B696='Team Parser'!$B$1, Data!K696,"")</f>
        <v/>
      </c>
      <c r="AA704" s="134" t="str">
        <f>IF(Data!$B696='Team Parser'!$B$1, Data!M696,"")</f>
        <v/>
      </c>
      <c r="AB704" s="134" t="str">
        <f>IF(Data!$B696='Team Parser'!$B$1,((Z704*2)+(Y704)+(X704*4)+(W704*2)),"")</f>
        <v/>
      </c>
      <c r="AC704" s="134" t="str">
        <f>IF(Data!$B696='Team Parser'!$B$1, Data!N696,"")</f>
        <v/>
      </c>
      <c r="AD704" s="139" t="str">
        <f>IF(Data!$B696='Team Parser'!$B$1,(AB704+(COUNTIF(AC704,"TRAVERSE")*15)+(COUNTIF(AC704,"HIGH")*10)+(COUNTIF(AC704,"MIDDLE")*6)+(COUNTIF(AC704,"LOW")*4)),"")</f>
        <v/>
      </c>
    </row>
    <row r="705">
      <c r="A705" s="141" t="s">
        <v>507</v>
      </c>
      <c r="B705" s="134" t="str">
        <f>IFERROR(__xludf.DUMMYFUNCTION("IFERROR((FILTER(Data!H:H,Data!D:D=A705,Data!B:B=$B$1)),"""")"),"")</f>
        <v/>
      </c>
      <c r="C705" s="134" t="str">
        <f>IFERROR(__xludf.DUMMYFUNCTION("IFERROR((FILTER(Data!G:G,Data!D:D=A705,Data!B:B=$B$1)),"""")"),"")</f>
        <v/>
      </c>
      <c r="D705" s="134" t="str">
        <f>IFERROR(__xludf.DUMMYFUNCTION("IFERROR((FILTER(Data!J:J,Data!D:D=A705,Data!B:B=$B$1)),"""")"),"")</f>
        <v/>
      </c>
      <c r="E705" s="134" t="str">
        <f>IFERROR(__xludf.DUMMYFUNCTION("IFERROR((FILTER(Data!L:L,Data!D:D=A705,Data!B:B=$B$1)),"""")"),"")</f>
        <v/>
      </c>
      <c r="F705" s="134" t="str">
        <f>IFERROR(__xludf.DUMMYFUNCTION("IFERROR((FILTER(Data!K:K,Data!D:D=A705,Data!B:B=$B$1)),"""")"),"")</f>
        <v/>
      </c>
      <c r="G705" s="134" t="str">
        <f>IFERROR(__xludf.DUMMYFUNCTION("IFERROR((FILTER(Data!M:M,Data!D:D=A705,Data!B:B=$B$1)),"""")"),"")</f>
        <v/>
      </c>
      <c r="H705" s="134" t="str">
        <f>IFERROR(__xludf.DUMMYFUNCTION("IFERROR((FILTER(Data!G:G,Data!D:D=A705,Data!B:B=$B$1)*4)+(FILTER(Data!H:H,Data!D:D=A705,Data!B:B=$B$1)*2),"""")"),"")</f>
        <v/>
      </c>
      <c r="I705" s="15" t="str">
        <f>IFERROR(__xludf.DUMMYFUNCTION("IFERROR((FILTER(Data!K:K,Data!D:D=A705,Data!B:B=$B$1)*2)+(FILTER(Data!L:L,Data!D:D=A705,Data!B:B=$B$1)),"""")"),"")</f>
        <v/>
      </c>
      <c r="J705" s="134" t="str">
        <f>IFERROR(__xludf.DUMMYFUNCTION("IFERROR((FILTER(Data!N:N,Data!D:D=A705,Data!B:B=$B$1)),"""")"),"")</f>
        <v/>
      </c>
      <c r="K705" s="135" t="str">
        <f>IFERROR(__xludf.DUMMYFUNCTION("IFERROR((FILTER(Data!H:H,Data!D:D=A705,Data!B:B=$B$1)*2)+(FILTER(Data!L:L,Data!D:D=A705,Data!B:B=$B$1))+(FILTER(Data!G:G,Data!D:D=A705,Data!B:B=$B$1)*4)+(FILTER(Data!K:K,Data!D:D=A705,Data!B:B=$B$1)*2)+(((COUNTIF(FILTER(Data!N:N,Data!D:D=A705,Data!B:B=$B$"&amp;"1),""TRAVERSE"")*15)+(COUNTIF(FILTER(Data!N:N,Data!D:D=A705,Data!B:B=$B$1),""HIGH"")*10)+(COUNTIF(FILTER(Data!N:N,Data!D:D=A705,Data!B:B=$B$1),""MIDDLE"")*6)+(COUNTIF(FILTER(Data!N:N,Data!D:D=A705,Data!B:B=$B$1),""LOW"")*4))),"""")"),"")</f>
        <v/>
      </c>
      <c r="L705" s="136" t="str">
        <f>IFERROR(__xludf.DUMMYFUNCTION("IFERROR((FILTER(Data!P:P,Data!D:D=A705,Data!B:B=$B$1)),"""")"),"")</f>
        <v/>
      </c>
      <c r="M705" s="137" t="str">
        <f>IFERROR(__xludf.DUMMYFUNCTION("IFERROR((FILTER(Data!A:A,Data!D:D=A705,Data!B:B=$B$1)),"""")"),"")</f>
        <v/>
      </c>
      <c r="T705" s="52">
        <f>IFERROR(__xludf.DUMMYFUNCTION("((COUNTIF(FILTER(Data!N:N,Data!D:D=A705,Data!B:B=$B$1),""TRAVERSE"")*15)+(COUNTIF(FILTER(Data!N:N,Data!D:D=A705,Data!B:B=B$1),""HIGH"")*10)+(COUNTIF(FILTER(Data!N:N,Data!D:D=A705,Data!B:B=$B$1),""MIDDLE"")*6)+(COUNTIF(FILTER(Data!N:N,Data!D:D=A705,Data!B:"&amp;"B=$B$1),""LOW"")*4))"),0.0)</f>
        <v>0</v>
      </c>
      <c r="V705" s="138" t="str">
        <f>IF(Data!B697='Team Parser'!$B$1, Data!D697,"")</f>
        <v/>
      </c>
      <c r="W705" s="134" t="str">
        <f>IF(Data!$B697='Team Parser'!$B$1, Data!H697,"")</f>
        <v/>
      </c>
      <c r="X705" s="134" t="str">
        <f>IF(Data!$B697='Team Parser'!$B$1, Data!G697,"")</f>
        <v/>
      </c>
      <c r="Y705" s="134" t="str">
        <f>IF(Data!$B697='Team Parser'!$B$1, Data!L697,"")</f>
        <v/>
      </c>
      <c r="Z705" s="134" t="str">
        <f>IF(Data!$B697='Team Parser'!$B$1, Data!K697,"")</f>
        <v/>
      </c>
      <c r="AA705" s="134" t="str">
        <f>IF(Data!$B697='Team Parser'!$B$1, Data!M697,"")</f>
        <v/>
      </c>
      <c r="AB705" s="134" t="str">
        <f>IF(Data!$B697='Team Parser'!$B$1,((Z705*2)+(Y705)+(X705*4)+(W705*2)),"")</f>
        <v/>
      </c>
      <c r="AC705" s="134" t="str">
        <f>IF(Data!$B697='Team Parser'!$B$1, Data!N697,"")</f>
        <v/>
      </c>
      <c r="AD705" s="139" t="str">
        <f>IF(Data!$B697='Team Parser'!$B$1,(AB705+(COUNTIF(AC705,"TRAVERSE")*15)+(COUNTIF(AC705,"HIGH")*10)+(COUNTIF(AC705,"MIDDLE")*6)+(COUNTIF(AC705,"LOW")*4)),"")</f>
        <v/>
      </c>
    </row>
    <row r="706">
      <c r="A706" s="141" t="s">
        <v>507</v>
      </c>
      <c r="B706" s="134" t="str">
        <f>IFERROR(__xludf.DUMMYFUNCTION("IFERROR((FILTER(Data!H:H,Data!D:D=A706,Data!B:B=$B$1)),"""")"),"")</f>
        <v/>
      </c>
      <c r="C706" s="134" t="str">
        <f>IFERROR(__xludf.DUMMYFUNCTION("IFERROR((FILTER(Data!G:G,Data!D:D=A706,Data!B:B=$B$1)),"""")"),"")</f>
        <v/>
      </c>
      <c r="D706" s="134" t="str">
        <f>IFERROR(__xludf.DUMMYFUNCTION("IFERROR((FILTER(Data!J:J,Data!D:D=A706,Data!B:B=$B$1)),"""")"),"")</f>
        <v/>
      </c>
      <c r="E706" s="134" t="str">
        <f>IFERROR(__xludf.DUMMYFUNCTION("IFERROR((FILTER(Data!L:L,Data!D:D=A706,Data!B:B=$B$1)),"""")"),"")</f>
        <v/>
      </c>
      <c r="F706" s="134" t="str">
        <f>IFERROR(__xludf.DUMMYFUNCTION("IFERROR((FILTER(Data!K:K,Data!D:D=A706,Data!B:B=$B$1)),"""")"),"")</f>
        <v/>
      </c>
      <c r="G706" s="134" t="str">
        <f>IFERROR(__xludf.DUMMYFUNCTION("IFERROR((FILTER(Data!M:M,Data!D:D=A706,Data!B:B=$B$1)),"""")"),"")</f>
        <v/>
      </c>
      <c r="H706" s="134" t="str">
        <f>IFERROR(__xludf.DUMMYFUNCTION("IFERROR((FILTER(Data!G:G,Data!D:D=A706,Data!B:B=$B$1)*4)+(FILTER(Data!H:H,Data!D:D=A706,Data!B:B=$B$1)*2),"""")"),"")</f>
        <v/>
      </c>
      <c r="I706" s="15" t="str">
        <f>IFERROR(__xludf.DUMMYFUNCTION("IFERROR((FILTER(Data!K:K,Data!D:D=A706,Data!B:B=$B$1)*2)+(FILTER(Data!L:L,Data!D:D=A706,Data!B:B=$B$1)),"""")"),"")</f>
        <v/>
      </c>
      <c r="J706" s="134" t="str">
        <f>IFERROR(__xludf.DUMMYFUNCTION("IFERROR((FILTER(Data!N:N,Data!D:D=A706,Data!B:B=$B$1)),"""")"),"")</f>
        <v/>
      </c>
      <c r="K706" s="135" t="str">
        <f>IFERROR(__xludf.DUMMYFUNCTION("IFERROR((FILTER(Data!H:H,Data!D:D=A706,Data!B:B=$B$1)*2)+(FILTER(Data!L:L,Data!D:D=A706,Data!B:B=$B$1))+(FILTER(Data!G:G,Data!D:D=A706,Data!B:B=$B$1)*4)+(FILTER(Data!K:K,Data!D:D=A706,Data!B:B=$B$1)*2)+(((COUNTIF(FILTER(Data!N:N,Data!D:D=A706,Data!B:B=$B$"&amp;"1),""TRAVERSE"")*15)+(COUNTIF(FILTER(Data!N:N,Data!D:D=A706,Data!B:B=$B$1),""HIGH"")*10)+(COUNTIF(FILTER(Data!N:N,Data!D:D=A706,Data!B:B=$B$1),""MIDDLE"")*6)+(COUNTIF(FILTER(Data!N:N,Data!D:D=A706,Data!B:B=$B$1),""LOW"")*4))),"""")"),"")</f>
        <v/>
      </c>
      <c r="L706" s="136" t="str">
        <f>IFERROR(__xludf.DUMMYFUNCTION("IFERROR((FILTER(Data!P:P,Data!D:D=A706,Data!B:B=$B$1)),"""")"),"")</f>
        <v/>
      </c>
      <c r="M706" s="137" t="str">
        <f>IFERROR(__xludf.DUMMYFUNCTION("IFERROR((FILTER(Data!A:A,Data!D:D=A706,Data!B:B=$B$1)),"""")"),"")</f>
        <v/>
      </c>
      <c r="T706" s="52">
        <f>IFERROR(__xludf.DUMMYFUNCTION("((COUNTIF(FILTER(Data!N:N,Data!D:D=A706,Data!B:B=$B$1),""TRAVERSE"")*15)+(COUNTIF(FILTER(Data!N:N,Data!D:D=A706,Data!B:B=B$1),""HIGH"")*10)+(COUNTIF(FILTER(Data!N:N,Data!D:D=A706,Data!B:B=$B$1),""MIDDLE"")*6)+(COUNTIF(FILTER(Data!N:N,Data!D:D=A706,Data!B:"&amp;"B=$B$1),""LOW"")*4))"),0.0)</f>
        <v>0</v>
      </c>
      <c r="V706" s="138" t="str">
        <f>IF(Data!B698='Team Parser'!$B$1, Data!D698,"")</f>
        <v/>
      </c>
      <c r="W706" s="134" t="str">
        <f>IF(Data!$B698='Team Parser'!$B$1, Data!H698,"")</f>
        <v/>
      </c>
      <c r="X706" s="134" t="str">
        <f>IF(Data!$B698='Team Parser'!$B$1, Data!G698,"")</f>
        <v/>
      </c>
      <c r="Y706" s="134" t="str">
        <f>IF(Data!$B698='Team Parser'!$B$1, Data!L698,"")</f>
        <v/>
      </c>
      <c r="Z706" s="134" t="str">
        <f>IF(Data!$B698='Team Parser'!$B$1, Data!K698,"")</f>
        <v/>
      </c>
      <c r="AA706" s="134" t="str">
        <f>IF(Data!$B698='Team Parser'!$B$1, Data!M698,"")</f>
        <v/>
      </c>
      <c r="AB706" s="134" t="str">
        <f>IF(Data!$B698='Team Parser'!$B$1,((Z706*2)+(Y706)+(X706*4)+(W706*2)),"")</f>
        <v/>
      </c>
      <c r="AC706" s="134" t="str">
        <f>IF(Data!$B698='Team Parser'!$B$1, Data!N698,"")</f>
        <v/>
      </c>
      <c r="AD706" s="139" t="str">
        <f>IF(Data!$B698='Team Parser'!$B$1,(AB706+(COUNTIF(AC706,"TRAVERSE")*15)+(COUNTIF(AC706,"HIGH")*10)+(COUNTIF(AC706,"MIDDLE")*6)+(COUNTIF(AC706,"LOW")*4)),"")</f>
        <v/>
      </c>
    </row>
    <row r="707">
      <c r="A707" s="141" t="s">
        <v>507</v>
      </c>
      <c r="B707" s="134" t="str">
        <f>IFERROR(__xludf.DUMMYFUNCTION("IFERROR((FILTER(Data!H:H,Data!D:D=A707,Data!B:B=$B$1)),"""")"),"")</f>
        <v/>
      </c>
      <c r="C707" s="134" t="str">
        <f>IFERROR(__xludf.DUMMYFUNCTION("IFERROR((FILTER(Data!G:G,Data!D:D=A707,Data!B:B=$B$1)),"""")"),"")</f>
        <v/>
      </c>
      <c r="D707" s="134" t="str">
        <f>IFERROR(__xludf.DUMMYFUNCTION("IFERROR((FILTER(Data!J:J,Data!D:D=A707,Data!B:B=$B$1)),"""")"),"")</f>
        <v/>
      </c>
      <c r="E707" s="134" t="str">
        <f>IFERROR(__xludf.DUMMYFUNCTION("IFERROR((FILTER(Data!L:L,Data!D:D=A707,Data!B:B=$B$1)),"""")"),"")</f>
        <v/>
      </c>
      <c r="F707" s="134" t="str">
        <f>IFERROR(__xludf.DUMMYFUNCTION("IFERROR((FILTER(Data!K:K,Data!D:D=A707,Data!B:B=$B$1)),"""")"),"")</f>
        <v/>
      </c>
      <c r="G707" s="134" t="str">
        <f>IFERROR(__xludf.DUMMYFUNCTION("IFERROR((FILTER(Data!M:M,Data!D:D=A707,Data!B:B=$B$1)),"""")"),"")</f>
        <v/>
      </c>
      <c r="H707" s="134" t="str">
        <f>IFERROR(__xludf.DUMMYFUNCTION("IFERROR((FILTER(Data!G:G,Data!D:D=A707,Data!B:B=$B$1)*4)+(FILTER(Data!H:H,Data!D:D=A707,Data!B:B=$B$1)*2),"""")"),"")</f>
        <v/>
      </c>
      <c r="I707" s="15" t="str">
        <f>IFERROR(__xludf.DUMMYFUNCTION("IFERROR((FILTER(Data!K:K,Data!D:D=A707,Data!B:B=$B$1)*2)+(FILTER(Data!L:L,Data!D:D=A707,Data!B:B=$B$1)),"""")"),"")</f>
        <v/>
      </c>
      <c r="J707" s="134" t="str">
        <f>IFERROR(__xludf.DUMMYFUNCTION("IFERROR((FILTER(Data!N:N,Data!D:D=A707,Data!B:B=$B$1)),"""")"),"")</f>
        <v/>
      </c>
      <c r="K707" s="135" t="str">
        <f>IFERROR(__xludf.DUMMYFUNCTION("IFERROR((FILTER(Data!H:H,Data!D:D=A707,Data!B:B=$B$1)*2)+(FILTER(Data!L:L,Data!D:D=A707,Data!B:B=$B$1))+(FILTER(Data!G:G,Data!D:D=A707,Data!B:B=$B$1)*4)+(FILTER(Data!K:K,Data!D:D=A707,Data!B:B=$B$1)*2)+(((COUNTIF(FILTER(Data!N:N,Data!D:D=A707,Data!B:B=$B$"&amp;"1),""TRAVERSE"")*15)+(COUNTIF(FILTER(Data!N:N,Data!D:D=A707,Data!B:B=$B$1),""HIGH"")*10)+(COUNTIF(FILTER(Data!N:N,Data!D:D=A707,Data!B:B=$B$1),""MIDDLE"")*6)+(COUNTIF(FILTER(Data!N:N,Data!D:D=A707,Data!B:B=$B$1),""LOW"")*4))),"""")"),"")</f>
        <v/>
      </c>
      <c r="L707" s="136" t="str">
        <f>IFERROR(__xludf.DUMMYFUNCTION("IFERROR((FILTER(Data!P:P,Data!D:D=A707,Data!B:B=$B$1)),"""")"),"")</f>
        <v/>
      </c>
      <c r="M707" s="137" t="str">
        <f>IFERROR(__xludf.DUMMYFUNCTION("IFERROR((FILTER(Data!A:A,Data!D:D=A707,Data!B:B=$B$1)),"""")"),"")</f>
        <v/>
      </c>
      <c r="T707" s="52">
        <f>IFERROR(__xludf.DUMMYFUNCTION("((COUNTIF(FILTER(Data!N:N,Data!D:D=A707,Data!B:B=$B$1),""TRAVERSE"")*15)+(COUNTIF(FILTER(Data!N:N,Data!D:D=A707,Data!B:B=B$1),""HIGH"")*10)+(COUNTIF(FILTER(Data!N:N,Data!D:D=A707,Data!B:B=$B$1),""MIDDLE"")*6)+(COUNTIF(FILTER(Data!N:N,Data!D:D=A707,Data!B:"&amp;"B=$B$1),""LOW"")*4))"),0.0)</f>
        <v>0</v>
      </c>
      <c r="V707" s="138" t="str">
        <f>IF(Data!B699='Team Parser'!$B$1, Data!D699,"")</f>
        <v/>
      </c>
      <c r="W707" s="134" t="str">
        <f>IF(Data!$B699='Team Parser'!$B$1, Data!H699,"")</f>
        <v/>
      </c>
      <c r="X707" s="134" t="str">
        <f>IF(Data!$B699='Team Parser'!$B$1, Data!G699,"")</f>
        <v/>
      </c>
      <c r="Y707" s="134" t="str">
        <f>IF(Data!$B699='Team Parser'!$B$1, Data!L699,"")</f>
        <v/>
      </c>
      <c r="Z707" s="134" t="str">
        <f>IF(Data!$B699='Team Parser'!$B$1, Data!K699,"")</f>
        <v/>
      </c>
      <c r="AA707" s="134" t="str">
        <f>IF(Data!$B699='Team Parser'!$B$1, Data!M699,"")</f>
        <v/>
      </c>
      <c r="AB707" s="134" t="str">
        <f>IF(Data!$B699='Team Parser'!$B$1,((Z707*2)+(Y707)+(X707*4)+(W707*2)),"")</f>
        <v/>
      </c>
      <c r="AC707" s="134" t="str">
        <f>IF(Data!$B699='Team Parser'!$B$1, Data!N699,"")</f>
        <v/>
      </c>
      <c r="AD707" s="139" t="str">
        <f>IF(Data!$B699='Team Parser'!$B$1,(AB707+(COUNTIF(AC707,"TRAVERSE")*15)+(COUNTIF(AC707,"HIGH")*10)+(COUNTIF(AC707,"MIDDLE")*6)+(COUNTIF(AC707,"LOW")*4)),"")</f>
        <v/>
      </c>
    </row>
    <row r="708">
      <c r="A708" s="141" t="s">
        <v>507</v>
      </c>
      <c r="B708" s="134" t="str">
        <f>IFERROR(__xludf.DUMMYFUNCTION("IFERROR((FILTER(Data!H:H,Data!D:D=A708,Data!B:B=$B$1)),"""")"),"")</f>
        <v/>
      </c>
      <c r="C708" s="134" t="str">
        <f>IFERROR(__xludf.DUMMYFUNCTION("IFERROR((FILTER(Data!G:G,Data!D:D=A708,Data!B:B=$B$1)),"""")"),"")</f>
        <v/>
      </c>
      <c r="D708" s="134" t="str">
        <f>IFERROR(__xludf.DUMMYFUNCTION("IFERROR((FILTER(Data!J:J,Data!D:D=A708,Data!B:B=$B$1)),"""")"),"")</f>
        <v/>
      </c>
      <c r="E708" s="134" t="str">
        <f>IFERROR(__xludf.DUMMYFUNCTION("IFERROR((FILTER(Data!L:L,Data!D:D=A708,Data!B:B=$B$1)),"""")"),"")</f>
        <v/>
      </c>
      <c r="F708" s="134" t="str">
        <f>IFERROR(__xludf.DUMMYFUNCTION("IFERROR((FILTER(Data!K:K,Data!D:D=A708,Data!B:B=$B$1)),"""")"),"")</f>
        <v/>
      </c>
      <c r="G708" s="134" t="str">
        <f>IFERROR(__xludf.DUMMYFUNCTION("IFERROR((FILTER(Data!M:M,Data!D:D=A708,Data!B:B=$B$1)),"""")"),"")</f>
        <v/>
      </c>
      <c r="H708" s="134" t="str">
        <f>IFERROR(__xludf.DUMMYFUNCTION("IFERROR((FILTER(Data!G:G,Data!D:D=A708,Data!B:B=$B$1)*4)+(FILTER(Data!H:H,Data!D:D=A708,Data!B:B=$B$1)*2),"""")"),"")</f>
        <v/>
      </c>
      <c r="I708" s="15" t="str">
        <f>IFERROR(__xludf.DUMMYFUNCTION("IFERROR((FILTER(Data!K:K,Data!D:D=A708,Data!B:B=$B$1)*2)+(FILTER(Data!L:L,Data!D:D=A708,Data!B:B=$B$1)),"""")"),"")</f>
        <v/>
      </c>
      <c r="J708" s="134" t="str">
        <f>IFERROR(__xludf.DUMMYFUNCTION("IFERROR((FILTER(Data!N:N,Data!D:D=A708,Data!B:B=$B$1)),"""")"),"")</f>
        <v/>
      </c>
      <c r="K708" s="135" t="str">
        <f>IFERROR(__xludf.DUMMYFUNCTION("IFERROR((FILTER(Data!H:H,Data!D:D=A708,Data!B:B=$B$1)*2)+(FILTER(Data!L:L,Data!D:D=A708,Data!B:B=$B$1))+(FILTER(Data!G:G,Data!D:D=A708,Data!B:B=$B$1)*4)+(FILTER(Data!K:K,Data!D:D=A708,Data!B:B=$B$1)*2)+(((COUNTIF(FILTER(Data!N:N,Data!D:D=A708,Data!B:B=$B$"&amp;"1),""TRAVERSE"")*15)+(COUNTIF(FILTER(Data!N:N,Data!D:D=A708,Data!B:B=$B$1),""HIGH"")*10)+(COUNTIF(FILTER(Data!N:N,Data!D:D=A708,Data!B:B=$B$1),""MIDDLE"")*6)+(COUNTIF(FILTER(Data!N:N,Data!D:D=A708,Data!B:B=$B$1),""LOW"")*4))),"""")"),"")</f>
        <v/>
      </c>
      <c r="L708" s="136" t="str">
        <f>IFERROR(__xludf.DUMMYFUNCTION("IFERROR((FILTER(Data!P:P,Data!D:D=A708,Data!B:B=$B$1)),"""")"),"")</f>
        <v/>
      </c>
      <c r="M708" s="137" t="str">
        <f>IFERROR(__xludf.DUMMYFUNCTION("IFERROR((FILTER(Data!A:A,Data!D:D=A708,Data!B:B=$B$1)),"""")"),"")</f>
        <v/>
      </c>
      <c r="T708" s="52">
        <f>IFERROR(__xludf.DUMMYFUNCTION("((COUNTIF(FILTER(Data!N:N,Data!D:D=A708,Data!B:B=$B$1),""TRAVERSE"")*15)+(COUNTIF(FILTER(Data!N:N,Data!D:D=A708,Data!B:B=B$1),""HIGH"")*10)+(COUNTIF(FILTER(Data!N:N,Data!D:D=A708,Data!B:B=$B$1),""MIDDLE"")*6)+(COUNTIF(FILTER(Data!N:N,Data!D:D=A708,Data!B:"&amp;"B=$B$1),""LOW"")*4))"),0.0)</f>
        <v>0</v>
      </c>
      <c r="V708" s="138" t="str">
        <f>IF(Data!B700='Team Parser'!$B$1, Data!D700,"")</f>
        <v/>
      </c>
      <c r="W708" s="134" t="str">
        <f>IF(Data!$B700='Team Parser'!$B$1, Data!H700,"")</f>
        <v/>
      </c>
      <c r="X708" s="134" t="str">
        <f>IF(Data!$B700='Team Parser'!$B$1, Data!G700,"")</f>
        <v/>
      </c>
      <c r="Y708" s="134" t="str">
        <f>IF(Data!$B700='Team Parser'!$B$1, Data!L700,"")</f>
        <v/>
      </c>
      <c r="Z708" s="134" t="str">
        <f>IF(Data!$B700='Team Parser'!$B$1, Data!K700,"")</f>
        <v/>
      </c>
      <c r="AA708" s="134" t="str">
        <f>IF(Data!$B700='Team Parser'!$B$1, Data!M700,"")</f>
        <v/>
      </c>
      <c r="AB708" s="134" t="str">
        <f>IF(Data!$B700='Team Parser'!$B$1,((Z708*2)+(Y708)+(X708*4)+(W708*2)),"")</f>
        <v/>
      </c>
      <c r="AC708" s="134" t="str">
        <f>IF(Data!$B700='Team Parser'!$B$1, Data!N700,"")</f>
        <v/>
      </c>
      <c r="AD708" s="139" t="str">
        <f>IF(Data!$B700='Team Parser'!$B$1,(AB708+(COUNTIF(AC708,"TRAVERSE")*15)+(COUNTIF(AC708,"HIGH")*10)+(COUNTIF(AC708,"MIDDLE")*6)+(COUNTIF(AC708,"LOW")*4)),"")</f>
        <v/>
      </c>
    </row>
    <row r="709">
      <c r="A709" s="141" t="s">
        <v>507</v>
      </c>
      <c r="B709" s="134" t="str">
        <f>IFERROR(__xludf.DUMMYFUNCTION("IFERROR((FILTER(Data!H:H,Data!D:D=A709,Data!B:B=$B$1)),"""")"),"")</f>
        <v/>
      </c>
      <c r="C709" s="134" t="str">
        <f>IFERROR(__xludf.DUMMYFUNCTION("IFERROR((FILTER(Data!G:G,Data!D:D=A709,Data!B:B=$B$1)),"""")"),"")</f>
        <v/>
      </c>
      <c r="D709" s="134" t="str">
        <f>IFERROR(__xludf.DUMMYFUNCTION("IFERROR((FILTER(Data!J:J,Data!D:D=A709,Data!B:B=$B$1)),"""")"),"")</f>
        <v/>
      </c>
      <c r="E709" s="134" t="str">
        <f>IFERROR(__xludf.DUMMYFUNCTION("IFERROR((FILTER(Data!L:L,Data!D:D=A709,Data!B:B=$B$1)),"""")"),"")</f>
        <v/>
      </c>
      <c r="F709" s="134" t="str">
        <f>IFERROR(__xludf.DUMMYFUNCTION("IFERROR((FILTER(Data!K:K,Data!D:D=A709,Data!B:B=$B$1)),"""")"),"")</f>
        <v/>
      </c>
      <c r="G709" s="134" t="str">
        <f>IFERROR(__xludf.DUMMYFUNCTION("IFERROR((FILTER(Data!M:M,Data!D:D=A709,Data!B:B=$B$1)),"""")"),"")</f>
        <v/>
      </c>
      <c r="H709" s="134" t="str">
        <f>IFERROR(__xludf.DUMMYFUNCTION("IFERROR((FILTER(Data!G:G,Data!D:D=A709,Data!B:B=$B$1)*4)+(FILTER(Data!H:H,Data!D:D=A709,Data!B:B=$B$1)*2),"""")"),"")</f>
        <v/>
      </c>
      <c r="I709" s="15" t="str">
        <f>IFERROR(__xludf.DUMMYFUNCTION("IFERROR((FILTER(Data!K:K,Data!D:D=A709,Data!B:B=$B$1)*2)+(FILTER(Data!L:L,Data!D:D=A709,Data!B:B=$B$1)),"""")"),"")</f>
        <v/>
      </c>
      <c r="J709" s="134" t="str">
        <f>IFERROR(__xludf.DUMMYFUNCTION("IFERROR((FILTER(Data!N:N,Data!D:D=A709,Data!B:B=$B$1)),"""")"),"")</f>
        <v/>
      </c>
      <c r="K709" s="135" t="str">
        <f>IFERROR(__xludf.DUMMYFUNCTION("IFERROR((FILTER(Data!H:H,Data!D:D=A709,Data!B:B=$B$1)*2)+(FILTER(Data!L:L,Data!D:D=A709,Data!B:B=$B$1))+(FILTER(Data!G:G,Data!D:D=A709,Data!B:B=$B$1)*4)+(FILTER(Data!K:K,Data!D:D=A709,Data!B:B=$B$1)*2)+(((COUNTIF(FILTER(Data!N:N,Data!D:D=A709,Data!B:B=$B$"&amp;"1),""TRAVERSE"")*15)+(COUNTIF(FILTER(Data!N:N,Data!D:D=A709,Data!B:B=$B$1),""HIGH"")*10)+(COUNTIF(FILTER(Data!N:N,Data!D:D=A709,Data!B:B=$B$1),""MIDDLE"")*6)+(COUNTIF(FILTER(Data!N:N,Data!D:D=A709,Data!B:B=$B$1),""LOW"")*4))),"""")"),"")</f>
        <v/>
      </c>
      <c r="L709" s="136" t="str">
        <f>IFERROR(__xludf.DUMMYFUNCTION("IFERROR((FILTER(Data!P:P,Data!D:D=A709,Data!B:B=$B$1)),"""")"),"")</f>
        <v/>
      </c>
      <c r="M709" s="137" t="str">
        <f>IFERROR(__xludf.DUMMYFUNCTION("IFERROR((FILTER(Data!A:A,Data!D:D=A709,Data!B:B=$B$1)),"""")"),"")</f>
        <v/>
      </c>
      <c r="T709" s="52">
        <f>IFERROR(__xludf.DUMMYFUNCTION("((COUNTIF(FILTER(Data!N:N,Data!D:D=A709,Data!B:B=$B$1),""TRAVERSE"")*15)+(COUNTIF(FILTER(Data!N:N,Data!D:D=A709,Data!B:B=B$1),""HIGH"")*10)+(COUNTIF(FILTER(Data!N:N,Data!D:D=A709,Data!B:B=$B$1),""MIDDLE"")*6)+(COUNTIF(FILTER(Data!N:N,Data!D:D=A709,Data!B:"&amp;"B=$B$1),""LOW"")*4))"),0.0)</f>
        <v>0</v>
      </c>
      <c r="V709" s="138" t="str">
        <f>IF(Data!B701='Team Parser'!$B$1, Data!D701,"")</f>
        <v/>
      </c>
      <c r="W709" s="134" t="str">
        <f>IF(Data!$B701='Team Parser'!$B$1, Data!H701,"")</f>
        <v/>
      </c>
      <c r="X709" s="134" t="str">
        <f>IF(Data!$B701='Team Parser'!$B$1, Data!G701,"")</f>
        <v/>
      </c>
      <c r="Y709" s="134" t="str">
        <f>IF(Data!$B701='Team Parser'!$B$1, Data!L701,"")</f>
        <v/>
      </c>
      <c r="Z709" s="134" t="str">
        <f>IF(Data!$B701='Team Parser'!$B$1, Data!K701,"")</f>
        <v/>
      </c>
      <c r="AA709" s="134" t="str">
        <f>IF(Data!$B701='Team Parser'!$B$1, Data!M701,"")</f>
        <v/>
      </c>
      <c r="AB709" s="134" t="str">
        <f>IF(Data!$B701='Team Parser'!$B$1,((Z709*2)+(Y709)+(X709*4)+(W709*2)),"")</f>
        <v/>
      </c>
      <c r="AC709" s="134" t="str">
        <f>IF(Data!$B701='Team Parser'!$B$1, Data!N701,"")</f>
        <v/>
      </c>
      <c r="AD709" s="139" t="str">
        <f>IF(Data!$B701='Team Parser'!$B$1,(AB709+(COUNTIF(AC709,"TRAVERSE")*15)+(COUNTIF(AC709,"HIGH")*10)+(COUNTIF(AC709,"MIDDLE")*6)+(COUNTIF(AC709,"LOW")*4)),"")</f>
        <v/>
      </c>
    </row>
    <row r="710">
      <c r="A710" s="141" t="s">
        <v>507</v>
      </c>
      <c r="B710" s="134" t="str">
        <f>IFERROR(__xludf.DUMMYFUNCTION("IFERROR((FILTER(Data!H:H,Data!D:D=A710,Data!B:B=$B$1)),"""")"),"")</f>
        <v/>
      </c>
      <c r="C710" s="134" t="str">
        <f>IFERROR(__xludf.DUMMYFUNCTION("IFERROR((FILTER(Data!G:G,Data!D:D=A710,Data!B:B=$B$1)),"""")"),"")</f>
        <v/>
      </c>
      <c r="D710" s="134" t="str">
        <f>IFERROR(__xludf.DUMMYFUNCTION("IFERROR((FILTER(Data!J:J,Data!D:D=A710,Data!B:B=$B$1)),"""")"),"")</f>
        <v/>
      </c>
      <c r="E710" s="134" t="str">
        <f>IFERROR(__xludf.DUMMYFUNCTION("IFERROR((FILTER(Data!L:L,Data!D:D=A710,Data!B:B=$B$1)),"""")"),"")</f>
        <v/>
      </c>
      <c r="F710" s="134" t="str">
        <f>IFERROR(__xludf.DUMMYFUNCTION("IFERROR((FILTER(Data!K:K,Data!D:D=A710,Data!B:B=$B$1)),"""")"),"")</f>
        <v/>
      </c>
      <c r="G710" s="134" t="str">
        <f>IFERROR(__xludf.DUMMYFUNCTION("IFERROR((FILTER(Data!M:M,Data!D:D=A710,Data!B:B=$B$1)),"""")"),"")</f>
        <v/>
      </c>
      <c r="H710" s="134" t="str">
        <f>IFERROR(__xludf.DUMMYFUNCTION("IFERROR((FILTER(Data!G:G,Data!D:D=A710,Data!B:B=$B$1)*4)+(FILTER(Data!H:H,Data!D:D=A710,Data!B:B=$B$1)*2),"""")"),"")</f>
        <v/>
      </c>
      <c r="I710" s="15" t="str">
        <f>IFERROR(__xludf.DUMMYFUNCTION("IFERROR((FILTER(Data!K:K,Data!D:D=A710,Data!B:B=$B$1)*2)+(FILTER(Data!L:L,Data!D:D=A710,Data!B:B=$B$1)),"""")"),"")</f>
        <v/>
      </c>
      <c r="J710" s="134" t="str">
        <f>IFERROR(__xludf.DUMMYFUNCTION("IFERROR((FILTER(Data!N:N,Data!D:D=A710,Data!B:B=$B$1)),"""")"),"")</f>
        <v/>
      </c>
      <c r="K710" s="135" t="str">
        <f>IFERROR(__xludf.DUMMYFUNCTION("IFERROR((FILTER(Data!H:H,Data!D:D=A710,Data!B:B=$B$1)*2)+(FILTER(Data!L:L,Data!D:D=A710,Data!B:B=$B$1))+(FILTER(Data!G:G,Data!D:D=A710,Data!B:B=$B$1)*4)+(FILTER(Data!K:K,Data!D:D=A710,Data!B:B=$B$1)*2)+(((COUNTIF(FILTER(Data!N:N,Data!D:D=A710,Data!B:B=$B$"&amp;"1),""TRAVERSE"")*15)+(COUNTIF(FILTER(Data!N:N,Data!D:D=A710,Data!B:B=$B$1),""HIGH"")*10)+(COUNTIF(FILTER(Data!N:N,Data!D:D=A710,Data!B:B=$B$1),""MIDDLE"")*6)+(COUNTIF(FILTER(Data!N:N,Data!D:D=A710,Data!B:B=$B$1),""LOW"")*4))),"""")"),"")</f>
        <v/>
      </c>
      <c r="L710" s="136" t="str">
        <f>IFERROR(__xludf.DUMMYFUNCTION("IFERROR((FILTER(Data!P:P,Data!D:D=A710,Data!B:B=$B$1)),"""")"),"")</f>
        <v/>
      </c>
      <c r="M710" s="137" t="str">
        <f>IFERROR(__xludf.DUMMYFUNCTION("IFERROR((FILTER(Data!A:A,Data!D:D=A710,Data!B:B=$B$1)),"""")"),"")</f>
        <v/>
      </c>
      <c r="T710" s="52">
        <f>IFERROR(__xludf.DUMMYFUNCTION("((COUNTIF(FILTER(Data!N:N,Data!D:D=A710,Data!B:B=$B$1),""TRAVERSE"")*15)+(COUNTIF(FILTER(Data!N:N,Data!D:D=A710,Data!B:B=B$1),""HIGH"")*10)+(COUNTIF(FILTER(Data!N:N,Data!D:D=A710,Data!B:B=$B$1),""MIDDLE"")*6)+(COUNTIF(FILTER(Data!N:N,Data!D:D=A710,Data!B:"&amp;"B=$B$1),""LOW"")*4))"),0.0)</f>
        <v>0</v>
      </c>
      <c r="V710" s="138" t="str">
        <f>IF(Data!B702='Team Parser'!$B$1, Data!D702,"")</f>
        <v/>
      </c>
      <c r="W710" s="134" t="str">
        <f>IF(Data!$B702='Team Parser'!$B$1, Data!H702,"")</f>
        <v/>
      </c>
      <c r="X710" s="134" t="str">
        <f>IF(Data!$B702='Team Parser'!$B$1, Data!G702,"")</f>
        <v/>
      </c>
      <c r="Y710" s="134" t="str">
        <f>IF(Data!$B702='Team Parser'!$B$1, Data!L702,"")</f>
        <v/>
      </c>
      <c r="Z710" s="134" t="str">
        <f>IF(Data!$B702='Team Parser'!$B$1, Data!K702,"")</f>
        <v/>
      </c>
      <c r="AA710" s="134" t="str">
        <f>IF(Data!$B702='Team Parser'!$B$1, Data!M702,"")</f>
        <v/>
      </c>
      <c r="AB710" s="134" t="str">
        <f>IF(Data!$B702='Team Parser'!$B$1,((Z710*2)+(Y710)+(X710*4)+(W710*2)),"")</f>
        <v/>
      </c>
      <c r="AC710" s="134" t="str">
        <f>IF(Data!$B702='Team Parser'!$B$1, Data!N702,"")</f>
        <v/>
      </c>
      <c r="AD710" s="139" t="str">
        <f>IF(Data!$B702='Team Parser'!$B$1,(AB710+(COUNTIF(AC710,"TRAVERSE")*15)+(COUNTIF(AC710,"HIGH")*10)+(COUNTIF(AC710,"MIDDLE")*6)+(COUNTIF(AC710,"LOW")*4)),"")</f>
        <v/>
      </c>
    </row>
    <row r="711">
      <c r="A711" s="141" t="s">
        <v>507</v>
      </c>
      <c r="B711" s="134" t="str">
        <f>IFERROR(__xludf.DUMMYFUNCTION("IFERROR((FILTER(Data!H:H,Data!D:D=A711,Data!B:B=$B$1)),"""")"),"")</f>
        <v/>
      </c>
      <c r="C711" s="134" t="str">
        <f>IFERROR(__xludf.DUMMYFUNCTION("IFERROR((FILTER(Data!G:G,Data!D:D=A711,Data!B:B=$B$1)),"""")"),"")</f>
        <v/>
      </c>
      <c r="D711" s="134" t="str">
        <f>IFERROR(__xludf.DUMMYFUNCTION("IFERROR((FILTER(Data!J:J,Data!D:D=A711,Data!B:B=$B$1)),"""")"),"")</f>
        <v/>
      </c>
      <c r="E711" s="134" t="str">
        <f>IFERROR(__xludf.DUMMYFUNCTION("IFERROR((FILTER(Data!L:L,Data!D:D=A711,Data!B:B=$B$1)),"""")"),"")</f>
        <v/>
      </c>
      <c r="F711" s="134" t="str">
        <f>IFERROR(__xludf.DUMMYFUNCTION("IFERROR((FILTER(Data!K:K,Data!D:D=A711,Data!B:B=$B$1)),"""")"),"")</f>
        <v/>
      </c>
      <c r="G711" s="134" t="str">
        <f>IFERROR(__xludf.DUMMYFUNCTION("IFERROR((FILTER(Data!M:M,Data!D:D=A711,Data!B:B=$B$1)),"""")"),"")</f>
        <v/>
      </c>
      <c r="H711" s="134" t="str">
        <f>IFERROR(__xludf.DUMMYFUNCTION("IFERROR((FILTER(Data!G:G,Data!D:D=A711,Data!B:B=$B$1)*4)+(FILTER(Data!H:H,Data!D:D=A711,Data!B:B=$B$1)*2),"""")"),"")</f>
        <v/>
      </c>
      <c r="I711" s="15" t="str">
        <f>IFERROR(__xludf.DUMMYFUNCTION("IFERROR((FILTER(Data!K:K,Data!D:D=A711,Data!B:B=$B$1)*2)+(FILTER(Data!L:L,Data!D:D=A711,Data!B:B=$B$1)),"""")"),"")</f>
        <v/>
      </c>
      <c r="J711" s="134" t="str">
        <f>IFERROR(__xludf.DUMMYFUNCTION("IFERROR((FILTER(Data!N:N,Data!D:D=A711,Data!B:B=$B$1)),"""")"),"")</f>
        <v/>
      </c>
      <c r="K711" s="135" t="str">
        <f>IFERROR(__xludf.DUMMYFUNCTION("IFERROR((FILTER(Data!H:H,Data!D:D=A711,Data!B:B=$B$1)*2)+(FILTER(Data!L:L,Data!D:D=A711,Data!B:B=$B$1))+(FILTER(Data!G:G,Data!D:D=A711,Data!B:B=$B$1)*4)+(FILTER(Data!K:K,Data!D:D=A711,Data!B:B=$B$1)*2)+(((COUNTIF(FILTER(Data!N:N,Data!D:D=A711,Data!B:B=$B$"&amp;"1),""TRAVERSE"")*15)+(COUNTIF(FILTER(Data!N:N,Data!D:D=A711,Data!B:B=$B$1),""HIGH"")*10)+(COUNTIF(FILTER(Data!N:N,Data!D:D=A711,Data!B:B=$B$1),""MIDDLE"")*6)+(COUNTIF(FILTER(Data!N:N,Data!D:D=A711,Data!B:B=$B$1),""LOW"")*4))),"""")"),"")</f>
        <v/>
      </c>
      <c r="L711" s="136" t="str">
        <f>IFERROR(__xludf.DUMMYFUNCTION("IFERROR((FILTER(Data!P:P,Data!D:D=A711,Data!B:B=$B$1)),"""")"),"")</f>
        <v/>
      </c>
      <c r="M711" s="137" t="str">
        <f>IFERROR(__xludf.DUMMYFUNCTION("IFERROR((FILTER(Data!A:A,Data!D:D=A711,Data!B:B=$B$1)),"""")"),"")</f>
        <v/>
      </c>
      <c r="T711" s="52">
        <f>IFERROR(__xludf.DUMMYFUNCTION("((COUNTIF(FILTER(Data!N:N,Data!D:D=A711,Data!B:B=$B$1),""TRAVERSE"")*15)+(COUNTIF(FILTER(Data!N:N,Data!D:D=A711,Data!B:B=B$1),""HIGH"")*10)+(COUNTIF(FILTER(Data!N:N,Data!D:D=A711,Data!B:B=$B$1),""MIDDLE"")*6)+(COUNTIF(FILTER(Data!N:N,Data!D:D=A711,Data!B:"&amp;"B=$B$1),""LOW"")*4))"),0.0)</f>
        <v>0</v>
      </c>
      <c r="V711" s="138" t="str">
        <f>IF(Data!B703='Team Parser'!$B$1, Data!D703,"")</f>
        <v/>
      </c>
      <c r="W711" s="134" t="str">
        <f>IF(Data!$B703='Team Parser'!$B$1, Data!H703,"")</f>
        <v/>
      </c>
      <c r="X711" s="134" t="str">
        <f>IF(Data!$B703='Team Parser'!$B$1, Data!G703,"")</f>
        <v/>
      </c>
      <c r="Y711" s="134" t="str">
        <f>IF(Data!$B703='Team Parser'!$B$1, Data!L703,"")</f>
        <v/>
      </c>
      <c r="Z711" s="134" t="str">
        <f>IF(Data!$B703='Team Parser'!$B$1, Data!K703,"")</f>
        <v/>
      </c>
      <c r="AA711" s="134" t="str">
        <f>IF(Data!$B703='Team Parser'!$B$1, Data!M703,"")</f>
        <v/>
      </c>
      <c r="AB711" s="134" t="str">
        <f>IF(Data!$B703='Team Parser'!$B$1,((Z711*2)+(Y711)+(X711*4)+(W711*2)),"")</f>
        <v/>
      </c>
      <c r="AC711" s="134" t="str">
        <f>IF(Data!$B703='Team Parser'!$B$1, Data!N703,"")</f>
        <v/>
      </c>
      <c r="AD711" s="139" t="str">
        <f>IF(Data!$B703='Team Parser'!$B$1,(AB711+(COUNTIF(AC711,"TRAVERSE")*15)+(COUNTIF(AC711,"HIGH")*10)+(COUNTIF(AC711,"MIDDLE")*6)+(COUNTIF(AC711,"LOW")*4)),"")</f>
        <v/>
      </c>
    </row>
    <row r="712">
      <c r="A712" s="141" t="s">
        <v>507</v>
      </c>
      <c r="B712" s="134" t="str">
        <f>IFERROR(__xludf.DUMMYFUNCTION("IFERROR((FILTER(Data!H:H,Data!D:D=A712,Data!B:B=$B$1)),"""")"),"")</f>
        <v/>
      </c>
      <c r="C712" s="134" t="str">
        <f>IFERROR(__xludf.DUMMYFUNCTION("IFERROR((FILTER(Data!G:G,Data!D:D=A712,Data!B:B=$B$1)),"""")"),"")</f>
        <v/>
      </c>
      <c r="D712" s="134" t="str">
        <f>IFERROR(__xludf.DUMMYFUNCTION("IFERROR((FILTER(Data!J:J,Data!D:D=A712,Data!B:B=$B$1)),"""")"),"")</f>
        <v/>
      </c>
      <c r="E712" s="134" t="str">
        <f>IFERROR(__xludf.DUMMYFUNCTION("IFERROR((FILTER(Data!L:L,Data!D:D=A712,Data!B:B=$B$1)),"""")"),"")</f>
        <v/>
      </c>
      <c r="F712" s="134" t="str">
        <f>IFERROR(__xludf.DUMMYFUNCTION("IFERROR((FILTER(Data!K:K,Data!D:D=A712,Data!B:B=$B$1)),"""")"),"")</f>
        <v/>
      </c>
      <c r="G712" s="134" t="str">
        <f>IFERROR(__xludf.DUMMYFUNCTION("IFERROR((FILTER(Data!M:M,Data!D:D=A712,Data!B:B=$B$1)),"""")"),"")</f>
        <v/>
      </c>
      <c r="H712" s="134" t="str">
        <f>IFERROR(__xludf.DUMMYFUNCTION("IFERROR((FILTER(Data!G:G,Data!D:D=A712,Data!B:B=$B$1)*4)+(FILTER(Data!H:H,Data!D:D=A712,Data!B:B=$B$1)*2),"""")"),"")</f>
        <v/>
      </c>
      <c r="I712" s="15" t="str">
        <f>IFERROR(__xludf.DUMMYFUNCTION("IFERROR((FILTER(Data!K:K,Data!D:D=A712,Data!B:B=$B$1)*2)+(FILTER(Data!L:L,Data!D:D=A712,Data!B:B=$B$1)),"""")"),"")</f>
        <v/>
      </c>
      <c r="J712" s="134" t="str">
        <f>IFERROR(__xludf.DUMMYFUNCTION("IFERROR((FILTER(Data!N:N,Data!D:D=A712,Data!B:B=$B$1)),"""")"),"")</f>
        <v/>
      </c>
      <c r="K712" s="135" t="str">
        <f>IFERROR(__xludf.DUMMYFUNCTION("IFERROR((FILTER(Data!H:H,Data!D:D=A712,Data!B:B=$B$1)*2)+(FILTER(Data!L:L,Data!D:D=A712,Data!B:B=$B$1))+(FILTER(Data!G:G,Data!D:D=A712,Data!B:B=$B$1)*4)+(FILTER(Data!K:K,Data!D:D=A712,Data!B:B=$B$1)*2)+(((COUNTIF(FILTER(Data!N:N,Data!D:D=A712,Data!B:B=$B$"&amp;"1),""TRAVERSE"")*15)+(COUNTIF(FILTER(Data!N:N,Data!D:D=A712,Data!B:B=$B$1),""HIGH"")*10)+(COUNTIF(FILTER(Data!N:N,Data!D:D=A712,Data!B:B=$B$1),""MIDDLE"")*6)+(COUNTIF(FILTER(Data!N:N,Data!D:D=A712,Data!B:B=$B$1),""LOW"")*4))),"""")"),"")</f>
        <v/>
      </c>
      <c r="L712" s="136" t="str">
        <f>IFERROR(__xludf.DUMMYFUNCTION("IFERROR((FILTER(Data!P:P,Data!D:D=A712,Data!B:B=$B$1)),"""")"),"")</f>
        <v/>
      </c>
      <c r="M712" s="137" t="str">
        <f>IFERROR(__xludf.DUMMYFUNCTION("IFERROR((FILTER(Data!A:A,Data!D:D=A712,Data!B:B=$B$1)),"""")"),"")</f>
        <v/>
      </c>
      <c r="T712" s="52">
        <f>IFERROR(__xludf.DUMMYFUNCTION("((COUNTIF(FILTER(Data!N:N,Data!D:D=A712,Data!B:B=$B$1),""TRAVERSE"")*15)+(COUNTIF(FILTER(Data!N:N,Data!D:D=A712,Data!B:B=B$1),""HIGH"")*10)+(COUNTIF(FILTER(Data!N:N,Data!D:D=A712,Data!B:B=$B$1),""MIDDLE"")*6)+(COUNTIF(FILTER(Data!N:N,Data!D:D=A712,Data!B:"&amp;"B=$B$1),""LOW"")*4))"),0.0)</f>
        <v>0</v>
      </c>
      <c r="V712" s="138" t="str">
        <f>IF(Data!B704='Team Parser'!$B$1, Data!D704,"")</f>
        <v/>
      </c>
      <c r="W712" s="134" t="str">
        <f>IF(Data!$B704='Team Parser'!$B$1, Data!H704,"")</f>
        <v/>
      </c>
      <c r="X712" s="134" t="str">
        <f>IF(Data!$B704='Team Parser'!$B$1, Data!G704,"")</f>
        <v/>
      </c>
      <c r="Y712" s="134" t="str">
        <f>IF(Data!$B704='Team Parser'!$B$1, Data!L704,"")</f>
        <v/>
      </c>
      <c r="Z712" s="134" t="str">
        <f>IF(Data!$B704='Team Parser'!$B$1, Data!K704,"")</f>
        <v/>
      </c>
      <c r="AA712" s="134" t="str">
        <f>IF(Data!$B704='Team Parser'!$B$1, Data!M704,"")</f>
        <v/>
      </c>
      <c r="AB712" s="134" t="str">
        <f>IF(Data!$B704='Team Parser'!$B$1,((Z712*2)+(Y712)+(X712*4)+(W712*2)),"")</f>
        <v/>
      </c>
      <c r="AC712" s="134" t="str">
        <f>IF(Data!$B704='Team Parser'!$B$1, Data!N704,"")</f>
        <v/>
      </c>
      <c r="AD712" s="139" t="str">
        <f>IF(Data!$B704='Team Parser'!$B$1,(AB712+(COUNTIF(AC712,"TRAVERSE")*15)+(COUNTIF(AC712,"HIGH")*10)+(COUNTIF(AC712,"MIDDLE")*6)+(COUNTIF(AC712,"LOW")*4)),"")</f>
        <v/>
      </c>
    </row>
    <row r="713">
      <c r="A713" s="141" t="s">
        <v>507</v>
      </c>
      <c r="B713" s="134" t="str">
        <f>IFERROR(__xludf.DUMMYFUNCTION("IFERROR((FILTER(Data!H:H,Data!D:D=A713,Data!B:B=$B$1)),"""")"),"")</f>
        <v/>
      </c>
      <c r="C713" s="134" t="str">
        <f>IFERROR(__xludf.DUMMYFUNCTION("IFERROR((FILTER(Data!G:G,Data!D:D=A713,Data!B:B=$B$1)),"""")"),"")</f>
        <v/>
      </c>
      <c r="D713" s="134" t="str">
        <f>IFERROR(__xludf.DUMMYFUNCTION("IFERROR((FILTER(Data!J:J,Data!D:D=A713,Data!B:B=$B$1)),"""")"),"")</f>
        <v/>
      </c>
      <c r="E713" s="134" t="str">
        <f>IFERROR(__xludf.DUMMYFUNCTION("IFERROR((FILTER(Data!L:L,Data!D:D=A713,Data!B:B=$B$1)),"""")"),"")</f>
        <v/>
      </c>
      <c r="F713" s="134" t="str">
        <f>IFERROR(__xludf.DUMMYFUNCTION("IFERROR((FILTER(Data!K:K,Data!D:D=A713,Data!B:B=$B$1)),"""")"),"")</f>
        <v/>
      </c>
      <c r="G713" s="134" t="str">
        <f>IFERROR(__xludf.DUMMYFUNCTION("IFERROR((FILTER(Data!M:M,Data!D:D=A713,Data!B:B=$B$1)),"""")"),"")</f>
        <v/>
      </c>
      <c r="H713" s="134" t="str">
        <f>IFERROR(__xludf.DUMMYFUNCTION("IFERROR((FILTER(Data!G:G,Data!D:D=A713,Data!B:B=$B$1)*4)+(FILTER(Data!H:H,Data!D:D=A713,Data!B:B=$B$1)*2),"""")"),"")</f>
        <v/>
      </c>
      <c r="I713" s="15" t="str">
        <f>IFERROR(__xludf.DUMMYFUNCTION("IFERROR((FILTER(Data!K:K,Data!D:D=A713,Data!B:B=$B$1)*2)+(FILTER(Data!L:L,Data!D:D=A713,Data!B:B=$B$1)),"""")"),"")</f>
        <v/>
      </c>
      <c r="J713" s="134" t="str">
        <f>IFERROR(__xludf.DUMMYFUNCTION("IFERROR((FILTER(Data!N:N,Data!D:D=A713,Data!B:B=$B$1)),"""")"),"")</f>
        <v/>
      </c>
      <c r="K713" s="135" t="str">
        <f>IFERROR(__xludf.DUMMYFUNCTION("IFERROR((FILTER(Data!H:H,Data!D:D=A713,Data!B:B=$B$1)*2)+(FILTER(Data!L:L,Data!D:D=A713,Data!B:B=$B$1))+(FILTER(Data!G:G,Data!D:D=A713,Data!B:B=$B$1)*4)+(FILTER(Data!K:K,Data!D:D=A713,Data!B:B=$B$1)*2)+(((COUNTIF(FILTER(Data!N:N,Data!D:D=A713,Data!B:B=$B$"&amp;"1),""TRAVERSE"")*15)+(COUNTIF(FILTER(Data!N:N,Data!D:D=A713,Data!B:B=$B$1),""HIGH"")*10)+(COUNTIF(FILTER(Data!N:N,Data!D:D=A713,Data!B:B=$B$1),""MIDDLE"")*6)+(COUNTIF(FILTER(Data!N:N,Data!D:D=A713,Data!B:B=$B$1),""LOW"")*4))),"""")"),"")</f>
        <v/>
      </c>
      <c r="L713" s="136" t="str">
        <f>IFERROR(__xludf.DUMMYFUNCTION("IFERROR((FILTER(Data!P:P,Data!D:D=A713,Data!B:B=$B$1)),"""")"),"")</f>
        <v/>
      </c>
      <c r="M713" s="137" t="str">
        <f>IFERROR(__xludf.DUMMYFUNCTION("IFERROR((FILTER(Data!A:A,Data!D:D=A713,Data!B:B=$B$1)),"""")"),"")</f>
        <v/>
      </c>
      <c r="T713" s="52">
        <f>IFERROR(__xludf.DUMMYFUNCTION("((COUNTIF(FILTER(Data!N:N,Data!D:D=A713,Data!B:B=$B$1),""TRAVERSE"")*15)+(COUNTIF(FILTER(Data!N:N,Data!D:D=A713,Data!B:B=B$1),""HIGH"")*10)+(COUNTIF(FILTER(Data!N:N,Data!D:D=A713,Data!B:B=$B$1),""MIDDLE"")*6)+(COUNTIF(FILTER(Data!N:N,Data!D:D=A713,Data!B:"&amp;"B=$B$1),""LOW"")*4))"),0.0)</f>
        <v>0</v>
      </c>
      <c r="V713" s="138" t="str">
        <f>IF(Data!B705='Team Parser'!$B$1, Data!D705,"")</f>
        <v/>
      </c>
      <c r="W713" s="134" t="str">
        <f>IF(Data!$B705='Team Parser'!$B$1, Data!H705,"")</f>
        <v/>
      </c>
      <c r="X713" s="134" t="str">
        <f>IF(Data!$B705='Team Parser'!$B$1, Data!G705,"")</f>
        <v/>
      </c>
      <c r="Y713" s="134" t="str">
        <f>IF(Data!$B705='Team Parser'!$B$1, Data!L705,"")</f>
        <v/>
      </c>
      <c r="Z713" s="134" t="str">
        <f>IF(Data!$B705='Team Parser'!$B$1, Data!K705,"")</f>
        <v/>
      </c>
      <c r="AA713" s="134" t="str">
        <f>IF(Data!$B705='Team Parser'!$B$1, Data!M705,"")</f>
        <v/>
      </c>
      <c r="AB713" s="134" t="str">
        <f>IF(Data!$B705='Team Parser'!$B$1,((Z713*2)+(Y713)+(X713*4)+(W713*2)),"")</f>
        <v/>
      </c>
      <c r="AC713" s="134" t="str">
        <f>IF(Data!$B705='Team Parser'!$B$1, Data!N705,"")</f>
        <v/>
      </c>
      <c r="AD713" s="139" t="str">
        <f>IF(Data!$B705='Team Parser'!$B$1,(AB713+(COUNTIF(AC713,"TRAVERSE")*15)+(COUNTIF(AC713,"HIGH")*10)+(COUNTIF(AC713,"MIDDLE")*6)+(COUNTIF(AC713,"LOW")*4)),"")</f>
        <v/>
      </c>
    </row>
    <row r="714">
      <c r="A714" s="141" t="s">
        <v>507</v>
      </c>
      <c r="B714" s="134" t="str">
        <f>IFERROR(__xludf.DUMMYFUNCTION("IFERROR((FILTER(Data!H:H,Data!D:D=A714,Data!B:B=$B$1)),"""")"),"")</f>
        <v/>
      </c>
      <c r="C714" s="134" t="str">
        <f>IFERROR(__xludf.DUMMYFUNCTION("IFERROR((FILTER(Data!G:G,Data!D:D=A714,Data!B:B=$B$1)),"""")"),"")</f>
        <v/>
      </c>
      <c r="D714" s="134" t="str">
        <f>IFERROR(__xludf.DUMMYFUNCTION("IFERROR((FILTER(Data!J:J,Data!D:D=A714,Data!B:B=$B$1)),"""")"),"")</f>
        <v/>
      </c>
      <c r="E714" s="134" t="str">
        <f>IFERROR(__xludf.DUMMYFUNCTION("IFERROR((FILTER(Data!L:L,Data!D:D=A714,Data!B:B=$B$1)),"""")"),"")</f>
        <v/>
      </c>
      <c r="F714" s="134" t="str">
        <f>IFERROR(__xludf.DUMMYFUNCTION("IFERROR((FILTER(Data!K:K,Data!D:D=A714,Data!B:B=$B$1)),"""")"),"")</f>
        <v/>
      </c>
      <c r="G714" s="134" t="str">
        <f>IFERROR(__xludf.DUMMYFUNCTION("IFERROR((FILTER(Data!M:M,Data!D:D=A714,Data!B:B=$B$1)),"""")"),"")</f>
        <v/>
      </c>
      <c r="H714" s="134" t="str">
        <f>IFERROR(__xludf.DUMMYFUNCTION("IFERROR((FILTER(Data!G:G,Data!D:D=A714,Data!B:B=$B$1)*4)+(FILTER(Data!H:H,Data!D:D=A714,Data!B:B=$B$1)*2),"""")"),"")</f>
        <v/>
      </c>
      <c r="I714" s="15" t="str">
        <f>IFERROR(__xludf.DUMMYFUNCTION("IFERROR((FILTER(Data!K:K,Data!D:D=A714,Data!B:B=$B$1)*2)+(FILTER(Data!L:L,Data!D:D=A714,Data!B:B=$B$1)),"""")"),"")</f>
        <v/>
      </c>
      <c r="J714" s="134" t="str">
        <f>IFERROR(__xludf.DUMMYFUNCTION("IFERROR((FILTER(Data!N:N,Data!D:D=A714,Data!B:B=$B$1)),"""")"),"")</f>
        <v/>
      </c>
      <c r="K714" s="135" t="str">
        <f>IFERROR(__xludf.DUMMYFUNCTION("IFERROR((FILTER(Data!H:H,Data!D:D=A714,Data!B:B=$B$1)*2)+(FILTER(Data!L:L,Data!D:D=A714,Data!B:B=$B$1))+(FILTER(Data!G:G,Data!D:D=A714,Data!B:B=$B$1)*4)+(FILTER(Data!K:K,Data!D:D=A714,Data!B:B=$B$1)*2)+(((COUNTIF(FILTER(Data!N:N,Data!D:D=A714,Data!B:B=$B$"&amp;"1),""TRAVERSE"")*15)+(COUNTIF(FILTER(Data!N:N,Data!D:D=A714,Data!B:B=$B$1),""HIGH"")*10)+(COUNTIF(FILTER(Data!N:N,Data!D:D=A714,Data!B:B=$B$1),""MIDDLE"")*6)+(COUNTIF(FILTER(Data!N:N,Data!D:D=A714,Data!B:B=$B$1),""LOW"")*4))),"""")"),"")</f>
        <v/>
      </c>
      <c r="L714" s="136" t="str">
        <f>IFERROR(__xludf.DUMMYFUNCTION("IFERROR((FILTER(Data!P:P,Data!D:D=A714,Data!B:B=$B$1)),"""")"),"")</f>
        <v/>
      </c>
      <c r="M714" s="137" t="str">
        <f>IFERROR(__xludf.DUMMYFUNCTION("IFERROR((FILTER(Data!A:A,Data!D:D=A714,Data!B:B=$B$1)),"""")"),"")</f>
        <v/>
      </c>
      <c r="T714" s="52">
        <f>IFERROR(__xludf.DUMMYFUNCTION("((COUNTIF(FILTER(Data!N:N,Data!D:D=A714,Data!B:B=$B$1),""TRAVERSE"")*15)+(COUNTIF(FILTER(Data!N:N,Data!D:D=A714,Data!B:B=B$1),""HIGH"")*10)+(COUNTIF(FILTER(Data!N:N,Data!D:D=A714,Data!B:B=$B$1),""MIDDLE"")*6)+(COUNTIF(FILTER(Data!N:N,Data!D:D=A714,Data!B:"&amp;"B=$B$1),""LOW"")*4))"),0.0)</f>
        <v>0</v>
      </c>
      <c r="V714" s="138" t="str">
        <f>IF(Data!B706='Team Parser'!$B$1, Data!D706,"")</f>
        <v/>
      </c>
      <c r="W714" s="134" t="str">
        <f>IF(Data!$B706='Team Parser'!$B$1, Data!H706,"")</f>
        <v/>
      </c>
      <c r="X714" s="134" t="str">
        <f>IF(Data!$B706='Team Parser'!$B$1, Data!G706,"")</f>
        <v/>
      </c>
      <c r="Y714" s="134" t="str">
        <f>IF(Data!$B706='Team Parser'!$B$1, Data!L706,"")</f>
        <v/>
      </c>
      <c r="Z714" s="134" t="str">
        <f>IF(Data!$B706='Team Parser'!$B$1, Data!K706,"")</f>
        <v/>
      </c>
      <c r="AA714" s="134" t="str">
        <f>IF(Data!$B706='Team Parser'!$B$1, Data!M706,"")</f>
        <v/>
      </c>
      <c r="AB714" s="134" t="str">
        <f>IF(Data!$B706='Team Parser'!$B$1,((Z714*2)+(Y714)+(X714*4)+(W714*2)),"")</f>
        <v/>
      </c>
      <c r="AC714" s="134" t="str">
        <f>IF(Data!$B706='Team Parser'!$B$1, Data!N706,"")</f>
        <v/>
      </c>
      <c r="AD714" s="139" t="str">
        <f>IF(Data!$B706='Team Parser'!$B$1,(AB714+(COUNTIF(AC714,"TRAVERSE")*15)+(COUNTIF(AC714,"HIGH")*10)+(COUNTIF(AC714,"MIDDLE")*6)+(COUNTIF(AC714,"LOW")*4)),"")</f>
        <v/>
      </c>
    </row>
    <row r="715">
      <c r="A715" s="141" t="s">
        <v>507</v>
      </c>
      <c r="B715" s="134" t="str">
        <f>IFERROR(__xludf.DUMMYFUNCTION("IFERROR((FILTER(Data!H:H,Data!D:D=A715,Data!B:B=$B$1)),"""")"),"")</f>
        <v/>
      </c>
      <c r="C715" s="134" t="str">
        <f>IFERROR(__xludf.DUMMYFUNCTION("IFERROR((FILTER(Data!G:G,Data!D:D=A715,Data!B:B=$B$1)),"""")"),"")</f>
        <v/>
      </c>
      <c r="D715" s="134" t="str">
        <f>IFERROR(__xludf.DUMMYFUNCTION("IFERROR((FILTER(Data!J:J,Data!D:D=A715,Data!B:B=$B$1)),"""")"),"")</f>
        <v/>
      </c>
      <c r="E715" s="134" t="str">
        <f>IFERROR(__xludf.DUMMYFUNCTION("IFERROR((FILTER(Data!L:L,Data!D:D=A715,Data!B:B=$B$1)),"""")"),"")</f>
        <v/>
      </c>
      <c r="F715" s="134" t="str">
        <f>IFERROR(__xludf.DUMMYFUNCTION("IFERROR((FILTER(Data!K:K,Data!D:D=A715,Data!B:B=$B$1)),"""")"),"")</f>
        <v/>
      </c>
      <c r="G715" s="134" t="str">
        <f>IFERROR(__xludf.DUMMYFUNCTION("IFERROR((FILTER(Data!M:M,Data!D:D=A715,Data!B:B=$B$1)),"""")"),"")</f>
        <v/>
      </c>
      <c r="H715" s="134" t="str">
        <f>IFERROR(__xludf.DUMMYFUNCTION("IFERROR((FILTER(Data!G:G,Data!D:D=A715,Data!B:B=$B$1)*4)+(FILTER(Data!H:H,Data!D:D=A715,Data!B:B=$B$1)*2),"""")"),"")</f>
        <v/>
      </c>
      <c r="I715" s="15" t="str">
        <f>IFERROR(__xludf.DUMMYFUNCTION("IFERROR((FILTER(Data!K:K,Data!D:D=A715,Data!B:B=$B$1)*2)+(FILTER(Data!L:L,Data!D:D=A715,Data!B:B=$B$1)),"""")"),"")</f>
        <v/>
      </c>
      <c r="J715" s="134" t="str">
        <f>IFERROR(__xludf.DUMMYFUNCTION("IFERROR((FILTER(Data!N:N,Data!D:D=A715,Data!B:B=$B$1)),"""")"),"")</f>
        <v/>
      </c>
      <c r="K715" s="135" t="str">
        <f>IFERROR(__xludf.DUMMYFUNCTION("IFERROR((FILTER(Data!H:H,Data!D:D=A715,Data!B:B=$B$1)*2)+(FILTER(Data!L:L,Data!D:D=A715,Data!B:B=$B$1))+(FILTER(Data!G:G,Data!D:D=A715,Data!B:B=$B$1)*4)+(FILTER(Data!K:K,Data!D:D=A715,Data!B:B=$B$1)*2)+(((COUNTIF(FILTER(Data!N:N,Data!D:D=A715,Data!B:B=$B$"&amp;"1),""TRAVERSE"")*15)+(COUNTIF(FILTER(Data!N:N,Data!D:D=A715,Data!B:B=$B$1),""HIGH"")*10)+(COUNTIF(FILTER(Data!N:N,Data!D:D=A715,Data!B:B=$B$1),""MIDDLE"")*6)+(COUNTIF(FILTER(Data!N:N,Data!D:D=A715,Data!B:B=$B$1),""LOW"")*4))),"""")"),"")</f>
        <v/>
      </c>
      <c r="L715" s="136" t="str">
        <f>IFERROR(__xludf.DUMMYFUNCTION("IFERROR((FILTER(Data!P:P,Data!D:D=A715,Data!B:B=$B$1)),"""")"),"")</f>
        <v/>
      </c>
      <c r="M715" s="137" t="str">
        <f>IFERROR(__xludf.DUMMYFUNCTION("IFERROR((FILTER(Data!A:A,Data!D:D=A715,Data!B:B=$B$1)),"""")"),"")</f>
        <v/>
      </c>
      <c r="T715" s="52">
        <f>IFERROR(__xludf.DUMMYFUNCTION("((COUNTIF(FILTER(Data!N:N,Data!D:D=A715,Data!B:B=$B$1),""TRAVERSE"")*15)+(COUNTIF(FILTER(Data!N:N,Data!D:D=A715,Data!B:B=B$1),""HIGH"")*10)+(COUNTIF(FILTER(Data!N:N,Data!D:D=A715,Data!B:B=$B$1),""MIDDLE"")*6)+(COUNTIF(FILTER(Data!N:N,Data!D:D=A715,Data!B:"&amp;"B=$B$1),""LOW"")*4))"),0.0)</f>
        <v>0</v>
      </c>
      <c r="V715" s="138" t="str">
        <f>IF(Data!B707='Team Parser'!$B$1, Data!D707,"")</f>
        <v/>
      </c>
      <c r="W715" s="134" t="str">
        <f>IF(Data!$B707='Team Parser'!$B$1, Data!H707,"")</f>
        <v/>
      </c>
      <c r="X715" s="134" t="str">
        <f>IF(Data!$B707='Team Parser'!$B$1, Data!G707,"")</f>
        <v/>
      </c>
      <c r="Y715" s="134" t="str">
        <f>IF(Data!$B707='Team Parser'!$B$1, Data!L707,"")</f>
        <v/>
      </c>
      <c r="Z715" s="134" t="str">
        <f>IF(Data!$B707='Team Parser'!$B$1, Data!K707,"")</f>
        <v/>
      </c>
      <c r="AA715" s="134" t="str">
        <f>IF(Data!$B707='Team Parser'!$B$1, Data!M707,"")</f>
        <v/>
      </c>
      <c r="AB715" s="134" t="str">
        <f>IF(Data!$B707='Team Parser'!$B$1,((Z715*2)+(Y715)+(X715*4)+(W715*2)),"")</f>
        <v/>
      </c>
      <c r="AC715" s="134" t="str">
        <f>IF(Data!$B707='Team Parser'!$B$1, Data!N707,"")</f>
        <v/>
      </c>
      <c r="AD715" s="139" t="str">
        <f>IF(Data!$B707='Team Parser'!$B$1,(AB715+(COUNTIF(AC715,"TRAVERSE")*15)+(COUNTIF(AC715,"HIGH")*10)+(COUNTIF(AC715,"MIDDLE")*6)+(COUNTIF(AC715,"LOW")*4)),"")</f>
        <v/>
      </c>
    </row>
    <row r="716">
      <c r="A716" s="141" t="s">
        <v>507</v>
      </c>
      <c r="B716" s="134" t="str">
        <f>IFERROR(__xludf.DUMMYFUNCTION("IFERROR((FILTER(Data!H:H,Data!D:D=A716,Data!B:B=$B$1)),"""")"),"")</f>
        <v/>
      </c>
      <c r="C716" s="134" t="str">
        <f>IFERROR(__xludf.DUMMYFUNCTION("IFERROR((FILTER(Data!G:G,Data!D:D=A716,Data!B:B=$B$1)),"""")"),"")</f>
        <v/>
      </c>
      <c r="D716" s="134" t="str">
        <f>IFERROR(__xludf.DUMMYFUNCTION("IFERROR((FILTER(Data!J:J,Data!D:D=A716,Data!B:B=$B$1)),"""")"),"")</f>
        <v/>
      </c>
      <c r="E716" s="134" t="str">
        <f>IFERROR(__xludf.DUMMYFUNCTION("IFERROR((FILTER(Data!L:L,Data!D:D=A716,Data!B:B=$B$1)),"""")"),"")</f>
        <v/>
      </c>
      <c r="F716" s="134" t="str">
        <f>IFERROR(__xludf.DUMMYFUNCTION("IFERROR((FILTER(Data!K:K,Data!D:D=A716,Data!B:B=$B$1)),"""")"),"")</f>
        <v/>
      </c>
      <c r="G716" s="134" t="str">
        <f>IFERROR(__xludf.DUMMYFUNCTION("IFERROR((FILTER(Data!M:M,Data!D:D=A716,Data!B:B=$B$1)),"""")"),"")</f>
        <v/>
      </c>
      <c r="H716" s="134" t="str">
        <f>IFERROR(__xludf.DUMMYFUNCTION("IFERROR((FILTER(Data!G:G,Data!D:D=A716,Data!B:B=$B$1)*4)+(FILTER(Data!H:H,Data!D:D=A716,Data!B:B=$B$1)*2),"""")"),"")</f>
        <v/>
      </c>
      <c r="I716" s="15" t="str">
        <f>IFERROR(__xludf.DUMMYFUNCTION("IFERROR((FILTER(Data!K:K,Data!D:D=A716,Data!B:B=$B$1)*2)+(FILTER(Data!L:L,Data!D:D=A716,Data!B:B=$B$1)),"""")"),"")</f>
        <v/>
      </c>
      <c r="J716" s="134" t="str">
        <f>IFERROR(__xludf.DUMMYFUNCTION("IFERROR((FILTER(Data!N:N,Data!D:D=A716,Data!B:B=$B$1)),"""")"),"")</f>
        <v/>
      </c>
      <c r="K716" s="135" t="str">
        <f>IFERROR(__xludf.DUMMYFUNCTION("IFERROR((FILTER(Data!H:H,Data!D:D=A716,Data!B:B=$B$1)*2)+(FILTER(Data!L:L,Data!D:D=A716,Data!B:B=$B$1))+(FILTER(Data!G:G,Data!D:D=A716,Data!B:B=$B$1)*4)+(FILTER(Data!K:K,Data!D:D=A716,Data!B:B=$B$1)*2)+(((COUNTIF(FILTER(Data!N:N,Data!D:D=A716,Data!B:B=$B$"&amp;"1),""TRAVERSE"")*15)+(COUNTIF(FILTER(Data!N:N,Data!D:D=A716,Data!B:B=$B$1),""HIGH"")*10)+(COUNTIF(FILTER(Data!N:N,Data!D:D=A716,Data!B:B=$B$1),""MIDDLE"")*6)+(COUNTIF(FILTER(Data!N:N,Data!D:D=A716,Data!B:B=$B$1),""LOW"")*4))),"""")"),"")</f>
        <v/>
      </c>
      <c r="L716" s="136" t="str">
        <f>IFERROR(__xludf.DUMMYFUNCTION("IFERROR((FILTER(Data!P:P,Data!D:D=A716,Data!B:B=$B$1)),"""")"),"")</f>
        <v/>
      </c>
      <c r="M716" s="137" t="str">
        <f>IFERROR(__xludf.DUMMYFUNCTION("IFERROR((FILTER(Data!A:A,Data!D:D=A716,Data!B:B=$B$1)),"""")"),"")</f>
        <v/>
      </c>
      <c r="T716" s="52">
        <f>IFERROR(__xludf.DUMMYFUNCTION("((COUNTIF(FILTER(Data!N:N,Data!D:D=A716,Data!B:B=$B$1),""TRAVERSE"")*15)+(COUNTIF(FILTER(Data!N:N,Data!D:D=A716,Data!B:B=B$1),""HIGH"")*10)+(COUNTIF(FILTER(Data!N:N,Data!D:D=A716,Data!B:B=$B$1),""MIDDLE"")*6)+(COUNTIF(FILTER(Data!N:N,Data!D:D=A716,Data!B:"&amp;"B=$B$1),""LOW"")*4))"),0.0)</f>
        <v>0</v>
      </c>
      <c r="V716" s="138" t="str">
        <f>IF(Data!B708='Team Parser'!$B$1, Data!D708,"")</f>
        <v/>
      </c>
      <c r="W716" s="134" t="str">
        <f>IF(Data!$B708='Team Parser'!$B$1, Data!H708,"")</f>
        <v/>
      </c>
      <c r="X716" s="134" t="str">
        <f>IF(Data!$B708='Team Parser'!$B$1, Data!G708,"")</f>
        <v/>
      </c>
      <c r="Y716" s="134" t="str">
        <f>IF(Data!$B708='Team Parser'!$B$1, Data!L708,"")</f>
        <v/>
      </c>
      <c r="Z716" s="134" t="str">
        <f>IF(Data!$B708='Team Parser'!$B$1, Data!K708,"")</f>
        <v/>
      </c>
      <c r="AA716" s="134" t="str">
        <f>IF(Data!$B708='Team Parser'!$B$1, Data!M708,"")</f>
        <v/>
      </c>
      <c r="AB716" s="134" t="str">
        <f>IF(Data!$B708='Team Parser'!$B$1,((Z716*2)+(Y716)+(X716*4)+(W716*2)),"")</f>
        <v/>
      </c>
      <c r="AC716" s="134" t="str">
        <f>IF(Data!$B708='Team Parser'!$B$1, Data!N708,"")</f>
        <v/>
      </c>
      <c r="AD716" s="139" t="str">
        <f>IF(Data!$B708='Team Parser'!$B$1,(AB716+(COUNTIF(AC716,"TRAVERSE")*15)+(COUNTIF(AC716,"HIGH")*10)+(COUNTIF(AC716,"MIDDLE")*6)+(COUNTIF(AC716,"LOW")*4)),"")</f>
        <v/>
      </c>
    </row>
    <row r="717">
      <c r="A717" s="141" t="s">
        <v>507</v>
      </c>
      <c r="B717" s="134" t="str">
        <f>IFERROR(__xludf.DUMMYFUNCTION("IFERROR((FILTER(Data!H:H,Data!D:D=A717,Data!B:B=$B$1)),"""")"),"")</f>
        <v/>
      </c>
      <c r="C717" s="134" t="str">
        <f>IFERROR(__xludf.DUMMYFUNCTION("IFERROR((FILTER(Data!G:G,Data!D:D=A717,Data!B:B=$B$1)),"""")"),"")</f>
        <v/>
      </c>
      <c r="D717" s="134" t="str">
        <f>IFERROR(__xludf.DUMMYFUNCTION("IFERROR((FILTER(Data!J:J,Data!D:D=A717,Data!B:B=$B$1)),"""")"),"")</f>
        <v/>
      </c>
      <c r="E717" s="134" t="str">
        <f>IFERROR(__xludf.DUMMYFUNCTION("IFERROR((FILTER(Data!L:L,Data!D:D=A717,Data!B:B=$B$1)),"""")"),"")</f>
        <v/>
      </c>
      <c r="F717" s="134" t="str">
        <f>IFERROR(__xludf.DUMMYFUNCTION("IFERROR((FILTER(Data!K:K,Data!D:D=A717,Data!B:B=$B$1)),"""")"),"")</f>
        <v/>
      </c>
      <c r="G717" s="134" t="str">
        <f>IFERROR(__xludf.DUMMYFUNCTION("IFERROR((FILTER(Data!M:M,Data!D:D=A717,Data!B:B=$B$1)),"""")"),"")</f>
        <v/>
      </c>
      <c r="H717" s="134" t="str">
        <f>IFERROR(__xludf.DUMMYFUNCTION("IFERROR((FILTER(Data!G:G,Data!D:D=A717,Data!B:B=$B$1)*4)+(FILTER(Data!H:H,Data!D:D=A717,Data!B:B=$B$1)*2),"""")"),"")</f>
        <v/>
      </c>
      <c r="I717" s="15" t="str">
        <f>IFERROR(__xludf.DUMMYFUNCTION("IFERROR((FILTER(Data!K:K,Data!D:D=A717,Data!B:B=$B$1)*2)+(FILTER(Data!L:L,Data!D:D=A717,Data!B:B=$B$1)),"""")"),"")</f>
        <v/>
      </c>
      <c r="J717" s="134" t="str">
        <f>IFERROR(__xludf.DUMMYFUNCTION("IFERROR((FILTER(Data!N:N,Data!D:D=A717,Data!B:B=$B$1)),"""")"),"")</f>
        <v/>
      </c>
      <c r="K717" s="135" t="str">
        <f>IFERROR(__xludf.DUMMYFUNCTION("IFERROR((FILTER(Data!H:H,Data!D:D=A717,Data!B:B=$B$1)*2)+(FILTER(Data!L:L,Data!D:D=A717,Data!B:B=$B$1))+(FILTER(Data!G:G,Data!D:D=A717,Data!B:B=$B$1)*4)+(FILTER(Data!K:K,Data!D:D=A717,Data!B:B=$B$1)*2)+(((COUNTIF(FILTER(Data!N:N,Data!D:D=A717,Data!B:B=$B$"&amp;"1),""TRAVERSE"")*15)+(COUNTIF(FILTER(Data!N:N,Data!D:D=A717,Data!B:B=$B$1),""HIGH"")*10)+(COUNTIF(FILTER(Data!N:N,Data!D:D=A717,Data!B:B=$B$1),""MIDDLE"")*6)+(COUNTIF(FILTER(Data!N:N,Data!D:D=A717,Data!B:B=$B$1),""LOW"")*4))),"""")"),"")</f>
        <v/>
      </c>
      <c r="L717" s="136" t="str">
        <f>IFERROR(__xludf.DUMMYFUNCTION("IFERROR((FILTER(Data!P:P,Data!D:D=A717,Data!B:B=$B$1)),"""")"),"")</f>
        <v/>
      </c>
      <c r="M717" s="137" t="str">
        <f>IFERROR(__xludf.DUMMYFUNCTION("IFERROR((FILTER(Data!A:A,Data!D:D=A717,Data!B:B=$B$1)),"""")"),"")</f>
        <v/>
      </c>
      <c r="T717" s="52">
        <f>IFERROR(__xludf.DUMMYFUNCTION("((COUNTIF(FILTER(Data!N:N,Data!D:D=A717,Data!B:B=$B$1),""TRAVERSE"")*15)+(COUNTIF(FILTER(Data!N:N,Data!D:D=A717,Data!B:B=B$1),""HIGH"")*10)+(COUNTIF(FILTER(Data!N:N,Data!D:D=A717,Data!B:B=$B$1),""MIDDLE"")*6)+(COUNTIF(FILTER(Data!N:N,Data!D:D=A717,Data!B:"&amp;"B=$B$1),""LOW"")*4))"),0.0)</f>
        <v>0</v>
      </c>
      <c r="V717" s="138" t="str">
        <f>IF(Data!B709='Team Parser'!$B$1, Data!D709,"")</f>
        <v/>
      </c>
      <c r="W717" s="134" t="str">
        <f>IF(Data!$B709='Team Parser'!$B$1, Data!H709,"")</f>
        <v/>
      </c>
      <c r="X717" s="134" t="str">
        <f>IF(Data!$B709='Team Parser'!$B$1, Data!G709,"")</f>
        <v/>
      </c>
      <c r="Y717" s="134" t="str">
        <f>IF(Data!$B709='Team Parser'!$B$1, Data!L709,"")</f>
        <v/>
      </c>
      <c r="Z717" s="134" t="str">
        <f>IF(Data!$B709='Team Parser'!$B$1, Data!K709,"")</f>
        <v/>
      </c>
      <c r="AA717" s="134" t="str">
        <f>IF(Data!$B709='Team Parser'!$B$1, Data!M709,"")</f>
        <v/>
      </c>
      <c r="AB717" s="134" t="str">
        <f>IF(Data!$B709='Team Parser'!$B$1,((Z717*2)+(Y717)+(X717*4)+(W717*2)),"")</f>
        <v/>
      </c>
      <c r="AC717" s="134" t="str">
        <f>IF(Data!$B709='Team Parser'!$B$1, Data!N709,"")</f>
        <v/>
      </c>
      <c r="AD717" s="139" t="str">
        <f>IF(Data!$B709='Team Parser'!$B$1,(AB717+(COUNTIF(AC717,"TRAVERSE")*15)+(COUNTIF(AC717,"HIGH")*10)+(COUNTIF(AC717,"MIDDLE")*6)+(COUNTIF(AC717,"LOW")*4)),"")</f>
        <v/>
      </c>
    </row>
    <row r="718">
      <c r="A718" s="141" t="s">
        <v>507</v>
      </c>
      <c r="B718" s="134" t="str">
        <f>IFERROR(__xludf.DUMMYFUNCTION("IFERROR((FILTER(Data!H:H,Data!D:D=A718,Data!B:B=$B$1)),"""")"),"")</f>
        <v/>
      </c>
      <c r="C718" s="134" t="str">
        <f>IFERROR(__xludf.DUMMYFUNCTION("IFERROR((FILTER(Data!G:G,Data!D:D=A718,Data!B:B=$B$1)),"""")"),"")</f>
        <v/>
      </c>
      <c r="D718" s="134" t="str">
        <f>IFERROR(__xludf.DUMMYFUNCTION("IFERROR((FILTER(Data!J:J,Data!D:D=A718,Data!B:B=$B$1)),"""")"),"")</f>
        <v/>
      </c>
      <c r="E718" s="134" t="str">
        <f>IFERROR(__xludf.DUMMYFUNCTION("IFERROR((FILTER(Data!L:L,Data!D:D=A718,Data!B:B=$B$1)),"""")"),"")</f>
        <v/>
      </c>
      <c r="F718" s="134" t="str">
        <f>IFERROR(__xludf.DUMMYFUNCTION("IFERROR((FILTER(Data!K:K,Data!D:D=A718,Data!B:B=$B$1)),"""")"),"")</f>
        <v/>
      </c>
      <c r="G718" s="134" t="str">
        <f>IFERROR(__xludf.DUMMYFUNCTION("IFERROR((FILTER(Data!M:M,Data!D:D=A718,Data!B:B=$B$1)),"""")"),"")</f>
        <v/>
      </c>
      <c r="H718" s="134" t="str">
        <f>IFERROR(__xludf.DUMMYFUNCTION("IFERROR((FILTER(Data!G:G,Data!D:D=A718,Data!B:B=$B$1)*4)+(FILTER(Data!H:H,Data!D:D=A718,Data!B:B=$B$1)*2),"""")"),"")</f>
        <v/>
      </c>
      <c r="I718" s="15" t="str">
        <f>IFERROR(__xludf.DUMMYFUNCTION("IFERROR((FILTER(Data!K:K,Data!D:D=A718,Data!B:B=$B$1)*2)+(FILTER(Data!L:L,Data!D:D=A718,Data!B:B=$B$1)),"""")"),"")</f>
        <v/>
      </c>
      <c r="J718" s="134" t="str">
        <f>IFERROR(__xludf.DUMMYFUNCTION("IFERROR((FILTER(Data!N:N,Data!D:D=A718,Data!B:B=$B$1)),"""")"),"")</f>
        <v/>
      </c>
      <c r="K718" s="135" t="str">
        <f>IFERROR(__xludf.DUMMYFUNCTION("IFERROR((FILTER(Data!H:H,Data!D:D=A718,Data!B:B=$B$1)*2)+(FILTER(Data!L:L,Data!D:D=A718,Data!B:B=$B$1))+(FILTER(Data!G:G,Data!D:D=A718,Data!B:B=$B$1)*4)+(FILTER(Data!K:K,Data!D:D=A718,Data!B:B=$B$1)*2)+(((COUNTIF(FILTER(Data!N:N,Data!D:D=A718,Data!B:B=$B$"&amp;"1),""TRAVERSE"")*15)+(COUNTIF(FILTER(Data!N:N,Data!D:D=A718,Data!B:B=$B$1),""HIGH"")*10)+(COUNTIF(FILTER(Data!N:N,Data!D:D=A718,Data!B:B=$B$1),""MIDDLE"")*6)+(COUNTIF(FILTER(Data!N:N,Data!D:D=A718,Data!B:B=$B$1),""LOW"")*4))),"""")"),"")</f>
        <v/>
      </c>
      <c r="L718" s="136" t="str">
        <f>IFERROR(__xludf.DUMMYFUNCTION("IFERROR((FILTER(Data!P:P,Data!D:D=A718,Data!B:B=$B$1)),"""")"),"")</f>
        <v/>
      </c>
      <c r="M718" s="137" t="str">
        <f>IFERROR(__xludf.DUMMYFUNCTION("IFERROR((FILTER(Data!A:A,Data!D:D=A718,Data!B:B=$B$1)),"""")"),"")</f>
        <v/>
      </c>
      <c r="T718" s="52">
        <f>IFERROR(__xludf.DUMMYFUNCTION("((COUNTIF(FILTER(Data!N:N,Data!D:D=A718,Data!B:B=$B$1),""TRAVERSE"")*15)+(COUNTIF(FILTER(Data!N:N,Data!D:D=A718,Data!B:B=B$1),""HIGH"")*10)+(COUNTIF(FILTER(Data!N:N,Data!D:D=A718,Data!B:B=$B$1),""MIDDLE"")*6)+(COUNTIF(FILTER(Data!N:N,Data!D:D=A718,Data!B:"&amp;"B=$B$1),""LOW"")*4))"),0.0)</f>
        <v>0</v>
      </c>
      <c r="V718" s="138" t="str">
        <f>IF(Data!B710='Team Parser'!$B$1, Data!D710,"")</f>
        <v/>
      </c>
      <c r="W718" s="134" t="str">
        <f>IF(Data!$B710='Team Parser'!$B$1, Data!H710,"")</f>
        <v/>
      </c>
      <c r="X718" s="134" t="str">
        <f>IF(Data!$B710='Team Parser'!$B$1, Data!G710,"")</f>
        <v/>
      </c>
      <c r="Y718" s="134" t="str">
        <f>IF(Data!$B710='Team Parser'!$B$1, Data!L710,"")</f>
        <v/>
      </c>
      <c r="Z718" s="134" t="str">
        <f>IF(Data!$B710='Team Parser'!$B$1, Data!K710,"")</f>
        <v/>
      </c>
      <c r="AA718" s="134" t="str">
        <f>IF(Data!$B710='Team Parser'!$B$1, Data!M710,"")</f>
        <v/>
      </c>
      <c r="AB718" s="134" t="str">
        <f>IF(Data!$B710='Team Parser'!$B$1,((Z718*2)+(Y718)+(X718*4)+(W718*2)),"")</f>
        <v/>
      </c>
      <c r="AC718" s="134" t="str">
        <f>IF(Data!$B710='Team Parser'!$B$1, Data!N710,"")</f>
        <v/>
      </c>
      <c r="AD718" s="139" t="str">
        <f>IF(Data!$B710='Team Parser'!$B$1,(AB718+(COUNTIF(AC718,"TRAVERSE")*15)+(COUNTIF(AC718,"HIGH")*10)+(COUNTIF(AC718,"MIDDLE")*6)+(COUNTIF(AC718,"LOW")*4)),"")</f>
        <v/>
      </c>
    </row>
    <row r="719">
      <c r="A719" s="141" t="s">
        <v>507</v>
      </c>
      <c r="B719" s="134" t="str">
        <f>IFERROR(__xludf.DUMMYFUNCTION("IFERROR((FILTER(Data!H:H,Data!D:D=A719,Data!B:B=$B$1)),"""")"),"")</f>
        <v/>
      </c>
      <c r="C719" s="134" t="str">
        <f>IFERROR(__xludf.DUMMYFUNCTION("IFERROR((FILTER(Data!G:G,Data!D:D=A719,Data!B:B=$B$1)),"""")"),"")</f>
        <v/>
      </c>
      <c r="D719" s="134" t="str">
        <f>IFERROR(__xludf.DUMMYFUNCTION("IFERROR((FILTER(Data!J:J,Data!D:D=A719,Data!B:B=$B$1)),"""")"),"")</f>
        <v/>
      </c>
      <c r="E719" s="134" t="str">
        <f>IFERROR(__xludf.DUMMYFUNCTION("IFERROR((FILTER(Data!L:L,Data!D:D=A719,Data!B:B=$B$1)),"""")"),"")</f>
        <v/>
      </c>
      <c r="F719" s="134" t="str">
        <f>IFERROR(__xludf.DUMMYFUNCTION("IFERROR((FILTER(Data!K:K,Data!D:D=A719,Data!B:B=$B$1)),"""")"),"")</f>
        <v/>
      </c>
      <c r="G719" s="134" t="str">
        <f>IFERROR(__xludf.DUMMYFUNCTION("IFERROR((FILTER(Data!M:M,Data!D:D=A719,Data!B:B=$B$1)),"""")"),"")</f>
        <v/>
      </c>
      <c r="H719" s="134" t="str">
        <f>IFERROR(__xludf.DUMMYFUNCTION("IFERROR((FILTER(Data!G:G,Data!D:D=A719,Data!B:B=$B$1)*4)+(FILTER(Data!H:H,Data!D:D=A719,Data!B:B=$B$1)*2),"""")"),"")</f>
        <v/>
      </c>
      <c r="I719" s="15" t="str">
        <f>IFERROR(__xludf.DUMMYFUNCTION("IFERROR((FILTER(Data!K:K,Data!D:D=A719,Data!B:B=$B$1)*2)+(FILTER(Data!L:L,Data!D:D=A719,Data!B:B=$B$1)),"""")"),"")</f>
        <v/>
      </c>
      <c r="J719" s="134" t="str">
        <f>IFERROR(__xludf.DUMMYFUNCTION("IFERROR((FILTER(Data!N:N,Data!D:D=A719,Data!B:B=$B$1)),"""")"),"")</f>
        <v/>
      </c>
      <c r="K719" s="135" t="str">
        <f>IFERROR(__xludf.DUMMYFUNCTION("IFERROR((FILTER(Data!H:H,Data!D:D=A719,Data!B:B=$B$1)*2)+(FILTER(Data!L:L,Data!D:D=A719,Data!B:B=$B$1))+(FILTER(Data!G:G,Data!D:D=A719,Data!B:B=$B$1)*4)+(FILTER(Data!K:K,Data!D:D=A719,Data!B:B=$B$1)*2)+(((COUNTIF(FILTER(Data!N:N,Data!D:D=A719,Data!B:B=$B$"&amp;"1),""TRAVERSE"")*15)+(COUNTIF(FILTER(Data!N:N,Data!D:D=A719,Data!B:B=$B$1),""HIGH"")*10)+(COUNTIF(FILTER(Data!N:N,Data!D:D=A719,Data!B:B=$B$1),""MIDDLE"")*6)+(COUNTIF(FILTER(Data!N:N,Data!D:D=A719,Data!B:B=$B$1),""LOW"")*4))),"""")"),"")</f>
        <v/>
      </c>
      <c r="L719" s="136" t="str">
        <f>IFERROR(__xludf.DUMMYFUNCTION("IFERROR((FILTER(Data!P:P,Data!D:D=A719,Data!B:B=$B$1)),"""")"),"")</f>
        <v/>
      </c>
      <c r="M719" s="137" t="str">
        <f>IFERROR(__xludf.DUMMYFUNCTION("IFERROR((FILTER(Data!A:A,Data!D:D=A719,Data!B:B=$B$1)),"""")"),"")</f>
        <v/>
      </c>
      <c r="T719" s="52">
        <f>IFERROR(__xludf.DUMMYFUNCTION("((COUNTIF(FILTER(Data!N:N,Data!D:D=A719,Data!B:B=$B$1),""TRAVERSE"")*15)+(COUNTIF(FILTER(Data!N:N,Data!D:D=A719,Data!B:B=B$1),""HIGH"")*10)+(COUNTIF(FILTER(Data!N:N,Data!D:D=A719,Data!B:B=$B$1),""MIDDLE"")*6)+(COUNTIF(FILTER(Data!N:N,Data!D:D=A719,Data!B:"&amp;"B=$B$1),""LOW"")*4))"),0.0)</f>
        <v>0</v>
      </c>
      <c r="V719" s="138" t="str">
        <f>IF(Data!B711='Team Parser'!$B$1, Data!D711,"")</f>
        <v/>
      </c>
      <c r="W719" s="134" t="str">
        <f>IF(Data!$B711='Team Parser'!$B$1, Data!H711,"")</f>
        <v/>
      </c>
      <c r="X719" s="134" t="str">
        <f>IF(Data!$B711='Team Parser'!$B$1, Data!G711,"")</f>
        <v/>
      </c>
      <c r="Y719" s="134" t="str">
        <f>IF(Data!$B711='Team Parser'!$B$1, Data!L711,"")</f>
        <v/>
      </c>
      <c r="Z719" s="134" t="str">
        <f>IF(Data!$B711='Team Parser'!$B$1, Data!K711,"")</f>
        <v/>
      </c>
      <c r="AA719" s="134" t="str">
        <f>IF(Data!$B711='Team Parser'!$B$1, Data!M711,"")</f>
        <v/>
      </c>
      <c r="AB719" s="134" t="str">
        <f>IF(Data!$B711='Team Parser'!$B$1,((Z719*2)+(Y719)+(X719*4)+(W719*2)),"")</f>
        <v/>
      </c>
      <c r="AC719" s="134" t="str">
        <f>IF(Data!$B711='Team Parser'!$B$1, Data!N711,"")</f>
        <v/>
      </c>
      <c r="AD719" s="139" t="str">
        <f>IF(Data!$B711='Team Parser'!$B$1,(AB719+(COUNTIF(AC719,"TRAVERSE")*15)+(COUNTIF(AC719,"HIGH")*10)+(COUNTIF(AC719,"MIDDLE")*6)+(COUNTIF(AC719,"LOW")*4)),"")</f>
        <v/>
      </c>
    </row>
    <row r="720">
      <c r="A720" s="141" t="s">
        <v>507</v>
      </c>
      <c r="B720" s="134" t="str">
        <f>IFERROR(__xludf.DUMMYFUNCTION("IFERROR((FILTER(Data!H:H,Data!D:D=A720,Data!B:B=$B$1)),"""")"),"")</f>
        <v/>
      </c>
      <c r="C720" s="134" t="str">
        <f>IFERROR(__xludf.DUMMYFUNCTION("IFERROR((FILTER(Data!G:G,Data!D:D=A720,Data!B:B=$B$1)),"""")"),"")</f>
        <v/>
      </c>
      <c r="D720" s="134" t="str">
        <f>IFERROR(__xludf.DUMMYFUNCTION("IFERROR((FILTER(Data!J:J,Data!D:D=A720,Data!B:B=$B$1)),"""")"),"")</f>
        <v/>
      </c>
      <c r="E720" s="134" t="str">
        <f>IFERROR(__xludf.DUMMYFUNCTION("IFERROR((FILTER(Data!L:L,Data!D:D=A720,Data!B:B=$B$1)),"""")"),"")</f>
        <v/>
      </c>
      <c r="F720" s="134" t="str">
        <f>IFERROR(__xludf.DUMMYFUNCTION("IFERROR((FILTER(Data!K:K,Data!D:D=A720,Data!B:B=$B$1)),"""")"),"")</f>
        <v/>
      </c>
      <c r="G720" s="134" t="str">
        <f>IFERROR(__xludf.DUMMYFUNCTION("IFERROR((FILTER(Data!M:M,Data!D:D=A720,Data!B:B=$B$1)),"""")"),"")</f>
        <v/>
      </c>
      <c r="H720" s="134" t="str">
        <f>IFERROR(__xludf.DUMMYFUNCTION("IFERROR((FILTER(Data!G:G,Data!D:D=A720,Data!B:B=$B$1)*4)+(FILTER(Data!H:H,Data!D:D=A720,Data!B:B=$B$1)*2),"""")"),"")</f>
        <v/>
      </c>
      <c r="I720" s="15" t="str">
        <f>IFERROR(__xludf.DUMMYFUNCTION("IFERROR((FILTER(Data!K:K,Data!D:D=A720,Data!B:B=$B$1)*2)+(FILTER(Data!L:L,Data!D:D=A720,Data!B:B=$B$1)),"""")"),"")</f>
        <v/>
      </c>
      <c r="J720" s="134" t="str">
        <f>IFERROR(__xludf.DUMMYFUNCTION("IFERROR((FILTER(Data!N:N,Data!D:D=A720,Data!B:B=$B$1)),"""")"),"")</f>
        <v/>
      </c>
      <c r="K720" s="135" t="str">
        <f>IFERROR(__xludf.DUMMYFUNCTION("IFERROR((FILTER(Data!H:H,Data!D:D=A720,Data!B:B=$B$1)*2)+(FILTER(Data!L:L,Data!D:D=A720,Data!B:B=$B$1))+(FILTER(Data!G:G,Data!D:D=A720,Data!B:B=$B$1)*4)+(FILTER(Data!K:K,Data!D:D=A720,Data!B:B=$B$1)*2)+(((COUNTIF(FILTER(Data!N:N,Data!D:D=A720,Data!B:B=$B$"&amp;"1),""TRAVERSE"")*15)+(COUNTIF(FILTER(Data!N:N,Data!D:D=A720,Data!B:B=$B$1),""HIGH"")*10)+(COUNTIF(FILTER(Data!N:N,Data!D:D=A720,Data!B:B=$B$1),""MIDDLE"")*6)+(COUNTIF(FILTER(Data!N:N,Data!D:D=A720,Data!B:B=$B$1),""LOW"")*4))),"""")"),"")</f>
        <v/>
      </c>
      <c r="L720" s="136" t="str">
        <f>IFERROR(__xludf.DUMMYFUNCTION("IFERROR((FILTER(Data!P:P,Data!D:D=A720,Data!B:B=$B$1)),"""")"),"")</f>
        <v/>
      </c>
      <c r="M720" s="137" t="str">
        <f>IFERROR(__xludf.DUMMYFUNCTION("IFERROR((FILTER(Data!A:A,Data!D:D=A720,Data!B:B=$B$1)),"""")"),"")</f>
        <v/>
      </c>
      <c r="T720" s="52">
        <f>IFERROR(__xludf.DUMMYFUNCTION("((COUNTIF(FILTER(Data!N:N,Data!D:D=A720,Data!B:B=$B$1),""TRAVERSE"")*15)+(COUNTIF(FILTER(Data!N:N,Data!D:D=A720,Data!B:B=B$1),""HIGH"")*10)+(COUNTIF(FILTER(Data!N:N,Data!D:D=A720,Data!B:B=$B$1),""MIDDLE"")*6)+(COUNTIF(FILTER(Data!N:N,Data!D:D=A720,Data!B:"&amp;"B=$B$1),""LOW"")*4))"),0.0)</f>
        <v>0</v>
      </c>
      <c r="V720" s="138" t="str">
        <f>IF(Data!B712='Team Parser'!$B$1, Data!D712,"")</f>
        <v/>
      </c>
      <c r="W720" s="134" t="str">
        <f>IF(Data!$B712='Team Parser'!$B$1, Data!H712,"")</f>
        <v/>
      </c>
      <c r="X720" s="134" t="str">
        <f>IF(Data!$B712='Team Parser'!$B$1, Data!G712,"")</f>
        <v/>
      </c>
      <c r="Y720" s="134" t="str">
        <f>IF(Data!$B712='Team Parser'!$B$1, Data!L712,"")</f>
        <v/>
      </c>
      <c r="Z720" s="134" t="str">
        <f>IF(Data!$B712='Team Parser'!$B$1, Data!K712,"")</f>
        <v/>
      </c>
      <c r="AA720" s="134" t="str">
        <f>IF(Data!$B712='Team Parser'!$B$1, Data!M712,"")</f>
        <v/>
      </c>
      <c r="AB720" s="134" t="str">
        <f>IF(Data!$B712='Team Parser'!$B$1,((Z720*2)+(Y720)+(X720*4)+(W720*2)),"")</f>
        <v/>
      </c>
      <c r="AC720" s="134" t="str">
        <f>IF(Data!$B712='Team Parser'!$B$1, Data!N712,"")</f>
        <v/>
      </c>
      <c r="AD720" s="139" t="str">
        <f>IF(Data!$B712='Team Parser'!$B$1,(AB720+(COUNTIF(AC720,"TRAVERSE")*15)+(COUNTIF(AC720,"HIGH")*10)+(COUNTIF(AC720,"MIDDLE")*6)+(COUNTIF(AC720,"LOW")*4)),"")</f>
        <v/>
      </c>
    </row>
    <row r="721">
      <c r="A721" s="141" t="s">
        <v>507</v>
      </c>
      <c r="B721" s="134" t="str">
        <f>IFERROR(__xludf.DUMMYFUNCTION("IFERROR((FILTER(Data!H:H,Data!D:D=A721,Data!B:B=$B$1)),"""")"),"")</f>
        <v/>
      </c>
      <c r="C721" s="134" t="str">
        <f>IFERROR(__xludf.DUMMYFUNCTION("IFERROR((FILTER(Data!G:G,Data!D:D=A721,Data!B:B=$B$1)),"""")"),"")</f>
        <v/>
      </c>
      <c r="D721" s="134" t="str">
        <f>IFERROR(__xludf.DUMMYFUNCTION("IFERROR((FILTER(Data!J:J,Data!D:D=A721,Data!B:B=$B$1)),"""")"),"")</f>
        <v/>
      </c>
      <c r="E721" s="134" t="str">
        <f>IFERROR(__xludf.DUMMYFUNCTION("IFERROR((FILTER(Data!L:L,Data!D:D=A721,Data!B:B=$B$1)),"""")"),"")</f>
        <v/>
      </c>
      <c r="F721" s="134" t="str">
        <f>IFERROR(__xludf.DUMMYFUNCTION("IFERROR((FILTER(Data!K:K,Data!D:D=A721,Data!B:B=$B$1)),"""")"),"")</f>
        <v/>
      </c>
      <c r="G721" s="134" t="str">
        <f>IFERROR(__xludf.DUMMYFUNCTION("IFERROR((FILTER(Data!M:M,Data!D:D=A721,Data!B:B=$B$1)),"""")"),"")</f>
        <v/>
      </c>
      <c r="H721" s="134" t="str">
        <f>IFERROR(__xludf.DUMMYFUNCTION("IFERROR((FILTER(Data!G:G,Data!D:D=A721,Data!B:B=$B$1)*4)+(FILTER(Data!H:H,Data!D:D=A721,Data!B:B=$B$1)*2),"""")"),"")</f>
        <v/>
      </c>
      <c r="I721" s="15" t="str">
        <f>IFERROR(__xludf.DUMMYFUNCTION("IFERROR((FILTER(Data!K:K,Data!D:D=A721,Data!B:B=$B$1)*2)+(FILTER(Data!L:L,Data!D:D=A721,Data!B:B=$B$1)),"""")"),"")</f>
        <v/>
      </c>
      <c r="J721" s="134" t="str">
        <f>IFERROR(__xludf.DUMMYFUNCTION("IFERROR((FILTER(Data!N:N,Data!D:D=A721,Data!B:B=$B$1)),"""")"),"")</f>
        <v/>
      </c>
      <c r="K721" s="135" t="str">
        <f>IFERROR(__xludf.DUMMYFUNCTION("IFERROR((FILTER(Data!H:H,Data!D:D=A721,Data!B:B=$B$1)*2)+(FILTER(Data!L:L,Data!D:D=A721,Data!B:B=$B$1))+(FILTER(Data!G:G,Data!D:D=A721,Data!B:B=$B$1)*4)+(FILTER(Data!K:K,Data!D:D=A721,Data!B:B=$B$1)*2)+(((COUNTIF(FILTER(Data!N:N,Data!D:D=A721,Data!B:B=$B$"&amp;"1),""TRAVERSE"")*15)+(COUNTIF(FILTER(Data!N:N,Data!D:D=A721,Data!B:B=$B$1),""HIGH"")*10)+(COUNTIF(FILTER(Data!N:N,Data!D:D=A721,Data!B:B=$B$1),""MIDDLE"")*6)+(COUNTIF(FILTER(Data!N:N,Data!D:D=A721,Data!B:B=$B$1),""LOW"")*4))),"""")"),"")</f>
        <v/>
      </c>
      <c r="L721" s="136" t="str">
        <f>IFERROR(__xludf.DUMMYFUNCTION("IFERROR((FILTER(Data!P:P,Data!D:D=A721,Data!B:B=$B$1)),"""")"),"")</f>
        <v/>
      </c>
      <c r="M721" s="137" t="str">
        <f>IFERROR(__xludf.DUMMYFUNCTION("IFERROR((FILTER(Data!A:A,Data!D:D=A721,Data!B:B=$B$1)),"""")"),"")</f>
        <v/>
      </c>
      <c r="T721" s="52">
        <f>IFERROR(__xludf.DUMMYFUNCTION("((COUNTIF(FILTER(Data!N:N,Data!D:D=A721,Data!B:B=$B$1),""TRAVERSE"")*15)+(COUNTIF(FILTER(Data!N:N,Data!D:D=A721,Data!B:B=B$1),""HIGH"")*10)+(COUNTIF(FILTER(Data!N:N,Data!D:D=A721,Data!B:B=$B$1),""MIDDLE"")*6)+(COUNTIF(FILTER(Data!N:N,Data!D:D=A721,Data!B:"&amp;"B=$B$1),""LOW"")*4))"),0.0)</f>
        <v>0</v>
      </c>
      <c r="V721" s="138" t="str">
        <f>IF(Data!B713='Team Parser'!$B$1, Data!D713,"")</f>
        <v/>
      </c>
      <c r="W721" s="134" t="str">
        <f>IF(Data!$B713='Team Parser'!$B$1, Data!H713,"")</f>
        <v/>
      </c>
      <c r="X721" s="134" t="str">
        <f>IF(Data!$B713='Team Parser'!$B$1, Data!G713,"")</f>
        <v/>
      </c>
      <c r="Y721" s="134" t="str">
        <f>IF(Data!$B713='Team Parser'!$B$1, Data!L713,"")</f>
        <v/>
      </c>
      <c r="Z721" s="134" t="str">
        <f>IF(Data!$B713='Team Parser'!$B$1, Data!K713,"")</f>
        <v/>
      </c>
      <c r="AA721" s="134" t="str">
        <f>IF(Data!$B713='Team Parser'!$B$1, Data!M713,"")</f>
        <v/>
      </c>
      <c r="AB721" s="134" t="str">
        <f>IF(Data!$B713='Team Parser'!$B$1,((Z721*2)+(Y721)+(X721*4)+(W721*2)),"")</f>
        <v/>
      </c>
      <c r="AC721" s="134" t="str">
        <f>IF(Data!$B713='Team Parser'!$B$1, Data!N713,"")</f>
        <v/>
      </c>
      <c r="AD721" s="139" t="str">
        <f>IF(Data!$B713='Team Parser'!$B$1,(AB721+(COUNTIF(AC721,"TRAVERSE")*15)+(COUNTIF(AC721,"HIGH")*10)+(COUNTIF(AC721,"MIDDLE")*6)+(COUNTIF(AC721,"LOW")*4)),"")</f>
        <v/>
      </c>
    </row>
    <row r="722">
      <c r="A722" s="141" t="s">
        <v>507</v>
      </c>
      <c r="B722" s="134" t="str">
        <f>IFERROR(__xludf.DUMMYFUNCTION("IFERROR((FILTER(Data!H:H,Data!D:D=A722,Data!B:B=$B$1)),"""")"),"")</f>
        <v/>
      </c>
      <c r="C722" s="134" t="str">
        <f>IFERROR(__xludf.DUMMYFUNCTION("IFERROR((FILTER(Data!G:G,Data!D:D=A722,Data!B:B=$B$1)),"""")"),"")</f>
        <v/>
      </c>
      <c r="D722" s="134" t="str">
        <f>IFERROR(__xludf.DUMMYFUNCTION("IFERROR((FILTER(Data!J:J,Data!D:D=A722,Data!B:B=$B$1)),"""")"),"")</f>
        <v/>
      </c>
      <c r="E722" s="134" t="str">
        <f>IFERROR(__xludf.DUMMYFUNCTION("IFERROR((FILTER(Data!L:L,Data!D:D=A722,Data!B:B=$B$1)),"""")"),"")</f>
        <v/>
      </c>
      <c r="F722" s="134" t="str">
        <f>IFERROR(__xludf.DUMMYFUNCTION("IFERROR((FILTER(Data!K:K,Data!D:D=A722,Data!B:B=$B$1)),"""")"),"")</f>
        <v/>
      </c>
      <c r="G722" s="134" t="str">
        <f>IFERROR(__xludf.DUMMYFUNCTION("IFERROR((FILTER(Data!M:M,Data!D:D=A722,Data!B:B=$B$1)),"""")"),"")</f>
        <v/>
      </c>
      <c r="H722" s="134" t="str">
        <f>IFERROR(__xludf.DUMMYFUNCTION("IFERROR((FILTER(Data!G:G,Data!D:D=A722,Data!B:B=$B$1)*4)+(FILTER(Data!H:H,Data!D:D=A722,Data!B:B=$B$1)*2),"""")"),"")</f>
        <v/>
      </c>
      <c r="I722" s="15" t="str">
        <f>IFERROR(__xludf.DUMMYFUNCTION("IFERROR((FILTER(Data!K:K,Data!D:D=A722,Data!B:B=$B$1)*2)+(FILTER(Data!L:L,Data!D:D=A722,Data!B:B=$B$1)),"""")"),"")</f>
        <v/>
      </c>
      <c r="J722" s="134" t="str">
        <f>IFERROR(__xludf.DUMMYFUNCTION("IFERROR((FILTER(Data!N:N,Data!D:D=A722,Data!B:B=$B$1)),"""")"),"")</f>
        <v/>
      </c>
      <c r="K722" s="135" t="str">
        <f>IFERROR(__xludf.DUMMYFUNCTION("IFERROR((FILTER(Data!H:H,Data!D:D=A722,Data!B:B=$B$1)*2)+(FILTER(Data!L:L,Data!D:D=A722,Data!B:B=$B$1))+(FILTER(Data!G:G,Data!D:D=A722,Data!B:B=$B$1)*4)+(FILTER(Data!K:K,Data!D:D=A722,Data!B:B=$B$1)*2)+(((COUNTIF(FILTER(Data!N:N,Data!D:D=A722,Data!B:B=$B$"&amp;"1),""TRAVERSE"")*15)+(COUNTIF(FILTER(Data!N:N,Data!D:D=A722,Data!B:B=$B$1),""HIGH"")*10)+(COUNTIF(FILTER(Data!N:N,Data!D:D=A722,Data!B:B=$B$1),""MIDDLE"")*6)+(COUNTIF(FILTER(Data!N:N,Data!D:D=A722,Data!B:B=$B$1),""LOW"")*4))),"""")"),"")</f>
        <v/>
      </c>
      <c r="L722" s="136" t="str">
        <f>IFERROR(__xludf.DUMMYFUNCTION("IFERROR((FILTER(Data!P:P,Data!D:D=A722,Data!B:B=$B$1)),"""")"),"")</f>
        <v/>
      </c>
      <c r="M722" s="137" t="str">
        <f>IFERROR(__xludf.DUMMYFUNCTION("IFERROR((FILTER(Data!A:A,Data!D:D=A722,Data!B:B=$B$1)),"""")"),"")</f>
        <v/>
      </c>
      <c r="T722" s="52">
        <f>IFERROR(__xludf.DUMMYFUNCTION("((COUNTIF(FILTER(Data!N:N,Data!D:D=A722,Data!B:B=$B$1),""TRAVERSE"")*15)+(COUNTIF(FILTER(Data!N:N,Data!D:D=A722,Data!B:B=B$1),""HIGH"")*10)+(COUNTIF(FILTER(Data!N:N,Data!D:D=A722,Data!B:B=$B$1),""MIDDLE"")*6)+(COUNTIF(FILTER(Data!N:N,Data!D:D=A722,Data!B:"&amp;"B=$B$1),""LOW"")*4))"),0.0)</f>
        <v>0</v>
      </c>
      <c r="V722" s="138" t="str">
        <f>IF(Data!B714='Team Parser'!$B$1, Data!D714,"")</f>
        <v/>
      </c>
      <c r="W722" s="134" t="str">
        <f>IF(Data!$B714='Team Parser'!$B$1, Data!H714,"")</f>
        <v/>
      </c>
      <c r="X722" s="134" t="str">
        <f>IF(Data!$B714='Team Parser'!$B$1, Data!G714,"")</f>
        <v/>
      </c>
      <c r="Y722" s="134" t="str">
        <f>IF(Data!$B714='Team Parser'!$B$1, Data!L714,"")</f>
        <v/>
      </c>
      <c r="Z722" s="134" t="str">
        <f>IF(Data!$B714='Team Parser'!$B$1, Data!K714,"")</f>
        <v/>
      </c>
      <c r="AA722" s="134" t="str">
        <f>IF(Data!$B714='Team Parser'!$B$1, Data!M714,"")</f>
        <v/>
      </c>
      <c r="AB722" s="134" t="str">
        <f>IF(Data!$B714='Team Parser'!$B$1,((Z722*2)+(Y722)+(X722*4)+(W722*2)),"")</f>
        <v/>
      </c>
      <c r="AC722" s="134" t="str">
        <f>IF(Data!$B714='Team Parser'!$B$1, Data!N714,"")</f>
        <v/>
      </c>
      <c r="AD722" s="139" t="str">
        <f>IF(Data!$B714='Team Parser'!$B$1,(AB722+(COUNTIF(AC722,"TRAVERSE")*15)+(COUNTIF(AC722,"HIGH")*10)+(COUNTIF(AC722,"MIDDLE")*6)+(COUNTIF(AC722,"LOW")*4)),"")</f>
        <v/>
      </c>
    </row>
    <row r="723">
      <c r="A723" s="141" t="s">
        <v>507</v>
      </c>
      <c r="B723" s="134" t="str">
        <f>IFERROR(__xludf.DUMMYFUNCTION("IFERROR((FILTER(Data!H:H,Data!D:D=A723,Data!B:B=$B$1)),"""")"),"")</f>
        <v/>
      </c>
      <c r="C723" s="134" t="str">
        <f>IFERROR(__xludf.DUMMYFUNCTION("IFERROR((FILTER(Data!G:G,Data!D:D=A723,Data!B:B=$B$1)),"""")"),"")</f>
        <v/>
      </c>
      <c r="D723" s="134" t="str">
        <f>IFERROR(__xludf.DUMMYFUNCTION("IFERROR((FILTER(Data!J:J,Data!D:D=A723,Data!B:B=$B$1)),"""")"),"")</f>
        <v/>
      </c>
      <c r="E723" s="134" t="str">
        <f>IFERROR(__xludf.DUMMYFUNCTION("IFERROR((FILTER(Data!L:L,Data!D:D=A723,Data!B:B=$B$1)),"""")"),"")</f>
        <v/>
      </c>
      <c r="F723" s="134" t="str">
        <f>IFERROR(__xludf.DUMMYFUNCTION("IFERROR((FILTER(Data!K:K,Data!D:D=A723,Data!B:B=$B$1)),"""")"),"")</f>
        <v/>
      </c>
      <c r="G723" s="134" t="str">
        <f>IFERROR(__xludf.DUMMYFUNCTION("IFERROR((FILTER(Data!M:M,Data!D:D=A723,Data!B:B=$B$1)),"""")"),"")</f>
        <v/>
      </c>
      <c r="H723" s="134" t="str">
        <f>IFERROR(__xludf.DUMMYFUNCTION("IFERROR((FILTER(Data!G:G,Data!D:D=A723,Data!B:B=$B$1)*4)+(FILTER(Data!H:H,Data!D:D=A723,Data!B:B=$B$1)*2),"""")"),"")</f>
        <v/>
      </c>
      <c r="I723" s="15" t="str">
        <f>IFERROR(__xludf.DUMMYFUNCTION("IFERROR((FILTER(Data!K:K,Data!D:D=A723,Data!B:B=$B$1)*2)+(FILTER(Data!L:L,Data!D:D=A723,Data!B:B=$B$1)),"""")"),"")</f>
        <v/>
      </c>
      <c r="J723" s="134" t="str">
        <f>IFERROR(__xludf.DUMMYFUNCTION("IFERROR((FILTER(Data!N:N,Data!D:D=A723,Data!B:B=$B$1)),"""")"),"")</f>
        <v/>
      </c>
      <c r="K723" s="135" t="str">
        <f>IFERROR(__xludf.DUMMYFUNCTION("IFERROR((FILTER(Data!H:H,Data!D:D=A723,Data!B:B=$B$1)*2)+(FILTER(Data!L:L,Data!D:D=A723,Data!B:B=$B$1))+(FILTER(Data!G:G,Data!D:D=A723,Data!B:B=$B$1)*4)+(FILTER(Data!K:K,Data!D:D=A723,Data!B:B=$B$1)*2)+(((COUNTIF(FILTER(Data!N:N,Data!D:D=A723,Data!B:B=$B$"&amp;"1),""TRAVERSE"")*15)+(COUNTIF(FILTER(Data!N:N,Data!D:D=A723,Data!B:B=$B$1),""HIGH"")*10)+(COUNTIF(FILTER(Data!N:N,Data!D:D=A723,Data!B:B=$B$1),""MIDDLE"")*6)+(COUNTIF(FILTER(Data!N:N,Data!D:D=A723,Data!B:B=$B$1),""LOW"")*4))),"""")"),"")</f>
        <v/>
      </c>
      <c r="L723" s="136" t="str">
        <f>IFERROR(__xludf.DUMMYFUNCTION("IFERROR((FILTER(Data!P:P,Data!D:D=A723,Data!B:B=$B$1)),"""")"),"")</f>
        <v/>
      </c>
      <c r="M723" s="137" t="str">
        <f>IFERROR(__xludf.DUMMYFUNCTION("IFERROR((FILTER(Data!A:A,Data!D:D=A723,Data!B:B=$B$1)),"""")"),"")</f>
        <v/>
      </c>
      <c r="T723" s="52">
        <f>IFERROR(__xludf.DUMMYFUNCTION("((COUNTIF(FILTER(Data!N:N,Data!D:D=A723,Data!B:B=$B$1),""TRAVERSE"")*15)+(COUNTIF(FILTER(Data!N:N,Data!D:D=A723,Data!B:B=B$1),""HIGH"")*10)+(COUNTIF(FILTER(Data!N:N,Data!D:D=A723,Data!B:B=$B$1),""MIDDLE"")*6)+(COUNTIF(FILTER(Data!N:N,Data!D:D=A723,Data!B:"&amp;"B=$B$1),""LOW"")*4))"),0.0)</f>
        <v>0</v>
      </c>
      <c r="V723" s="138" t="str">
        <f>IF(Data!B715='Team Parser'!$B$1, Data!D715,"")</f>
        <v/>
      </c>
      <c r="W723" s="134" t="str">
        <f>IF(Data!$B715='Team Parser'!$B$1, Data!H715,"")</f>
        <v/>
      </c>
      <c r="X723" s="134" t="str">
        <f>IF(Data!$B715='Team Parser'!$B$1, Data!G715,"")</f>
        <v/>
      </c>
      <c r="Y723" s="134" t="str">
        <f>IF(Data!$B715='Team Parser'!$B$1, Data!L715,"")</f>
        <v/>
      </c>
      <c r="Z723" s="134" t="str">
        <f>IF(Data!$B715='Team Parser'!$B$1, Data!K715,"")</f>
        <v/>
      </c>
      <c r="AA723" s="134" t="str">
        <f>IF(Data!$B715='Team Parser'!$B$1, Data!M715,"")</f>
        <v/>
      </c>
      <c r="AB723" s="134" t="str">
        <f>IF(Data!$B715='Team Parser'!$B$1,((Z723*2)+(Y723)+(X723*4)+(W723*2)),"")</f>
        <v/>
      </c>
      <c r="AC723" s="134" t="str">
        <f>IF(Data!$B715='Team Parser'!$B$1, Data!N715,"")</f>
        <v/>
      </c>
      <c r="AD723" s="139" t="str">
        <f>IF(Data!$B715='Team Parser'!$B$1,(AB723+(COUNTIF(AC723,"TRAVERSE")*15)+(COUNTIF(AC723,"HIGH")*10)+(COUNTIF(AC723,"MIDDLE")*6)+(COUNTIF(AC723,"LOW")*4)),"")</f>
        <v/>
      </c>
    </row>
    <row r="724">
      <c r="A724" s="141" t="s">
        <v>507</v>
      </c>
      <c r="B724" s="134" t="str">
        <f>IFERROR(__xludf.DUMMYFUNCTION("IFERROR((FILTER(Data!H:H,Data!D:D=A724,Data!B:B=$B$1)),"""")"),"")</f>
        <v/>
      </c>
      <c r="C724" s="134" t="str">
        <f>IFERROR(__xludf.DUMMYFUNCTION("IFERROR((FILTER(Data!G:G,Data!D:D=A724,Data!B:B=$B$1)),"""")"),"")</f>
        <v/>
      </c>
      <c r="D724" s="134" t="str">
        <f>IFERROR(__xludf.DUMMYFUNCTION("IFERROR((FILTER(Data!J:J,Data!D:D=A724,Data!B:B=$B$1)),"""")"),"")</f>
        <v/>
      </c>
      <c r="E724" s="134" t="str">
        <f>IFERROR(__xludf.DUMMYFUNCTION("IFERROR((FILTER(Data!L:L,Data!D:D=A724,Data!B:B=$B$1)),"""")"),"")</f>
        <v/>
      </c>
      <c r="F724" s="134" t="str">
        <f>IFERROR(__xludf.DUMMYFUNCTION("IFERROR((FILTER(Data!K:K,Data!D:D=A724,Data!B:B=$B$1)),"""")"),"")</f>
        <v/>
      </c>
      <c r="G724" s="134" t="str">
        <f>IFERROR(__xludf.DUMMYFUNCTION("IFERROR((FILTER(Data!M:M,Data!D:D=A724,Data!B:B=$B$1)),"""")"),"")</f>
        <v/>
      </c>
      <c r="H724" s="134" t="str">
        <f>IFERROR(__xludf.DUMMYFUNCTION("IFERROR((FILTER(Data!G:G,Data!D:D=A724,Data!B:B=$B$1)*4)+(FILTER(Data!H:H,Data!D:D=A724,Data!B:B=$B$1)*2),"""")"),"")</f>
        <v/>
      </c>
      <c r="I724" s="15" t="str">
        <f>IFERROR(__xludf.DUMMYFUNCTION("IFERROR((FILTER(Data!K:K,Data!D:D=A724,Data!B:B=$B$1)*2)+(FILTER(Data!L:L,Data!D:D=A724,Data!B:B=$B$1)),"""")"),"")</f>
        <v/>
      </c>
      <c r="J724" s="134" t="str">
        <f>IFERROR(__xludf.DUMMYFUNCTION("IFERROR((FILTER(Data!N:N,Data!D:D=A724,Data!B:B=$B$1)),"""")"),"")</f>
        <v/>
      </c>
      <c r="K724" s="135" t="str">
        <f>IFERROR(__xludf.DUMMYFUNCTION("IFERROR((FILTER(Data!H:H,Data!D:D=A724,Data!B:B=$B$1)*2)+(FILTER(Data!L:L,Data!D:D=A724,Data!B:B=$B$1))+(FILTER(Data!G:G,Data!D:D=A724,Data!B:B=$B$1)*4)+(FILTER(Data!K:K,Data!D:D=A724,Data!B:B=$B$1)*2)+(((COUNTIF(FILTER(Data!N:N,Data!D:D=A724,Data!B:B=$B$"&amp;"1),""TRAVERSE"")*15)+(COUNTIF(FILTER(Data!N:N,Data!D:D=A724,Data!B:B=$B$1),""HIGH"")*10)+(COUNTIF(FILTER(Data!N:N,Data!D:D=A724,Data!B:B=$B$1),""MIDDLE"")*6)+(COUNTIF(FILTER(Data!N:N,Data!D:D=A724,Data!B:B=$B$1),""LOW"")*4))),"""")"),"")</f>
        <v/>
      </c>
      <c r="L724" s="136" t="str">
        <f>IFERROR(__xludf.DUMMYFUNCTION("IFERROR((FILTER(Data!P:P,Data!D:D=A724,Data!B:B=$B$1)),"""")"),"")</f>
        <v/>
      </c>
      <c r="M724" s="137" t="str">
        <f>IFERROR(__xludf.DUMMYFUNCTION("IFERROR((FILTER(Data!A:A,Data!D:D=A724,Data!B:B=$B$1)),"""")"),"")</f>
        <v/>
      </c>
      <c r="T724" s="52">
        <f>IFERROR(__xludf.DUMMYFUNCTION("((COUNTIF(FILTER(Data!N:N,Data!D:D=A724,Data!B:B=$B$1),""TRAVERSE"")*15)+(COUNTIF(FILTER(Data!N:N,Data!D:D=A724,Data!B:B=B$1),""HIGH"")*10)+(COUNTIF(FILTER(Data!N:N,Data!D:D=A724,Data!B:B=$B$1),""MIDDLE"")*6)+(COUNTIF(FILTER(Data!N:N,Data!D:D=A724,Data!B:"&amp;"B=$B$1),""LOW"")*4))"),0.0)</f>
        <v>0</v>
      </c>
      <c r="V724" s="138" t="str">
        <f>IF(Data!B716='Team Parser'!$B$1, Data!D716,"")</f>
        <v/>
      </c>
      <c r="W724" s="134" t="str">
        <f>IF(Data!$B716='Team Parser'!$B$1, Data!H716,"")</f>
        <v/>
      </c>
      <c r="X724" s="134" t="str">
        <f>IF(Data!$B716='Team Parser'!$B$1, Data!G716,"")</f>
        <v/>
      </c>
      <c r="Y724" s="134" t="str">
        <f>IF(Data!$B716='Team Parser'!$B$1, Data!L716,"")</f>
        <v/>
      </c>
      <c r="Z724" s="134" t="str">
        <f>IF(Data!$B716='Team Parser'!$B$1, Data!K716,"")</f>
        <v/>
      </c>
      <c r="AA724" s="134" t="str">
        <f>IF(Data!$B716='Team Parser'!$B$1, Data!M716,"")</f>
        <v/>
      </c>
      <c r="AB724" s="134" t="str">
        <f>IF(Data!$B716='Team Parser'!$B$1,((Z724*2)+(Y724)+(X724*4)+(W724*2)),"")</f>
        <v/>
      </c>
      <c r="AC724" s="134" t="str">
        <f>IF(Data!$B716='Team Parser'!$B$1, Data!N716,"")</f>
        <v/>
      </c>
      <c r="AD724" s="139" t="str">
        <f>IF(Data!$B716='Team Parser'!$B$1,(AB724+(COUNTIF(AC724,"TRAVERSE")*15)+(COUNTIF(AC724,"HIGH")*10)+(COUNTIF(AC724,"MIDDLE")*6)+(COUNTIF(AC724,"LOW")*4)),"")</f>
        <v/>
      </c>
    </row>
    <row r="725">
      <c r="A725" s="141" t="s">
        <v>507</v>
      </c>
      <c r="B725" s="134" t="str">
        <f>IFERROR(__xludf.DUMMYFUNCTION("IFERROR((FILTER(Data!H:H,Data!D:D=A725,Data!B:B=$B$1)),"""")"),"")</f>
        <v/>
      </c>
      <c r="C725" s="134" t="str">
        <f>IFERROR(__xludf.DUMMYFUNCTION("IFERROR((FILTER(Data!G:G,Data!D:D=A725,Data!B:B=$B$1)),"""")"),"")</f>
        <v/>
      </c>
      <c r="D725" s="134" t="str">
        <f>IFERROR(__xludf.DUMMYFUNCTION("IFERROR((FILTER(Data!J:J,Data!D:D=A725,Data!B:B=$B$1)),"""")"),"")</f>
        <v/>
      </c>
      <c r="E725" s="134" t="str">
        <f>IFERROR(__xludf.DUMMYFUNCTION("IFERROR((FILTER(Data!L:L,Data!D:D=A725,Data!B:B=$B$1)),"""")"),"")</f>
        <v/>
      </c>
      <c r="F725" s="134" t="str">
        <f>IFERROR(__xludf.DUMMYFUNCTION("IFERROR((FILTER(Data!K:K,Data!D:D=A725,Data!B:B=$B$1)),"""")"),"")</f>
        <v/>
      </c>
      <c r="G725" s="134" t="str">
        <f>IFERROR(__xludf.DUMMYFUNCTION("IFERROR((FILTER(Data!M:M,Data!D:D=A725,Data!B:B=$B$1)),"""")"),"")</f>
        <v/>
      </c>
      <c r="H725" s="134" t="str">
        <f>IFERROR(__xludf.DUMMYFUNCTION("IFERROR((FILTER(Data!G:G,Data!D:D=A725,Data!B:B=$B$1)*4)+(FILTER(Data!H:H,Data!D:D=A725,Data!B:B=$B$1)*2),"""")"),"")</f>
        <v/>
      </c>
      <c r="I725" s="15" t="str">
        <f>IFERROR(__xludf.DUMMYFUNCTION("IFERROR((FILTER(Data!K:K,Data!D:D=A725,Data!B:B=$B$1)*2)+(FILTER(Data!L:L,Data!D:D=A725,Data!B:B=$B$1)),"""")"),"")</f>
        <v/>
      </c>
      <c r="J725" s="134" t="str">
        <f>IFERROR(__xludf.DUMMYFUNCTION("IFERROR((FILTER(Data!N:N,Data!D:D=A725,Data!B:B=$B$1)),"""")"),"")</f>
        <v/>
      </c>
      <c r="K725" s="135" t="str">
        <f>IFERROR(__xludf.DUMMYFUNCTION("IFERROR((FILTER(Data!H:H,Data!D:D=A725,Data!B:B=$B$1)*2)+(FILTER(Data!L:L,Data!D:D=A725,Data!B:B=$B$1))+(FILTER(Data!G:G,Data!D:D=A725,Data!B:B=$B$1)*4)+(FILTER(Data!K:K,Data!D:D=A725,Data!B:B=$B$1)*2)+(((COUNTIF(FILTER(Data!N:N,Data!D:D=A725,Data!B:B=$B$"&amp;"1),""TRAVERSE"")*15)+(COUNTIF(FILTER(Data!N:N,Data!D:D=A725,Data!B:B=$B$1),""HIGH"")*10)+(COUNTIF(FILTER(Data!N:N,Data!D:D=A725,Data!B:B=$B$1),""MIDDLE"")*6)+(COUNTIF(FILTER(Data!N:N,Data!D:D=A725,Data!B:B=$B$1),""LOW"")*4))),"""")"),"")</f>
        <v/>
      </c>
      <c r="L725" s="136" t="str">
        <f>IFERROR(__xludf.DUMMYFUNCTION("IFERROR((FILTER(Data!P:P,Data!D:D=A725,Data!B:B=$B$1)),"""")"),"")</f>
        <v/>
      </c>
      <c r="M725" s="137" t="str">
        <f>IFERROR(__xludf.DUMMYFUNCTION("IFERROR((FILTER(Data!A:A,Data!D:D=A725,Data!B:B=$B$1)),"""")"),"")</f>
        <v/>
      </c>
      <c r="T725" s="52">
        <f>IFERROR(__xludf.DUMMYFUNCTION("((COUNTIF(FILTER(Data!N:N,Data!D:D=A725,Data!B:B=$B$1),""TRAVERSE"")*15)+(COUNTIF(FILTER(Data!N:N,Data!D:D=A725,Data!B:B=B$1),""HIGH"")*10)+(COUNTIF(FILTER(Data!N:N,Data!D:D=A725,Data!B:B=$B$1),""MIDDLE"")*6)+(COUNTIF(FILTER(Data!N:N,Data!D:D=A725,Data!B:"&amp;"B=$B$1),""LOW"")*4))"),0.0)</f>
        <v>0</v>
      </c>
      <c r="V725" s="138" t="str">
        <f>IF(Data!B717='Team Parser'!$B$1, Data!D717,"")</f>
        <v/>
      </c>
      <c r="W725" s="134" t="str">
        <f>IF(Data!$B717='Team Parser'!$B$1, Data!H717,"")</f>
        <v/>
      </c>
      <c r="X725" s="134" t="str">
        <f>IF(Data!$B717='Team Parser'!$B$1, Data!G717,"")</f>
        <v/>
      </c>
      <c r="Y725" s="134" t="str">
        <f>IF(Data!$B717='Team Parser'!$B$1, Data!L717,"")</f>
        <v/>
      </c>
      <c r="Z725" s="134" t="str">
        <f>IF(Data!$B717='Team Parser'!$B$1, Data!K717,"")</f>
        <v/>
      </c>
      <c r="AA725" s="134" t="str">
        <f>IF(Data!$B717='Team Parser'!$B$1, Data!M717,"")</f>
        <v/>
      </c>
      <c r="AB725" s="134" t="str">
        <f>IF(Data!$B717='Team Parser'!$B$1,((Z725*2)+(Y725)+(X725*4)+(W725*2)),"")</f>
        <v/>
      </c>
      <c r="AC725" s="134" t="str">
        <f>IF(Data!$B717='Team Parser'!$B$1, Data!N717,"")</f>
        <v/>
      </c>
      <c r="AD725" s="139" t="str">
        <f>IF(Data!$B717='Team Parser'!$B$1,(AB725+(COUNTIF(AC725,"TRAVERSE")*15)+(COUNTIF(AC725,"HIGH")*10)+(COUNTIF(AC725,"MIDDLE")*6)+(COUNTIF(AC725,"LOW")*4)),"")</f>
        <v/>
      </c>
    </row>
    <row r="726">
      <c r="A726" s="141" t="s">
        <v>507</v>
      </c>
      <c r="B726" s="134" t="str">
        <f>IFERROR(__xludf.DUMMYFUNCTION("IFERROR((FILTER(Data!H:H,Data!D:D=A726,Data!B:B=$B$1)),"""")"),"")</f>
        <v/>
      </c>
      <c r="C726" s="134" t="str">
        <f>IFERROR(__xludf.DUMMYFUNCTION("IFERROR((FILTER(Data!G:G,Data!D:D=A726,Data!B:B=$B$1)),"""")"),"")</f>
        <v/>
      </c>
      <c r="D726" s="134" t="str">
        <f>IFERROR(__xludf.DUMMYFUNCTION("IFERROR((FILTER(Data!J:J,Data!D:D=A726,Data!B:B=$B$1)),"""")"),"")</f>
        <v/>
      </c>
      <c r="E726" s="134" t="str">
        <f>IFERROR(__xludf.DUMMYFUNCTION("IFERROR((FILTER(Data!L:L,Data!D:D=A726,Data!B:B=$B$1)),"""")"),"")</f>
        <v/>
      </c>
      <c r="F726" s="134" t="str">
        <f>IFERROR(__xludf.DUMMYFUNCTION("IFERROR((FILTER(Data!K:K,Data!D:D=A726,Data!B:B=$B$1)),"""")"),"")</f>
        <v/>
      </c>
      <c r="G726" s="134" t="str">
        <f>IFERROR(__xludf.DUMMYFUNCTION("IFERROR((FILTER(Data!M:M,Data!D:D=A726,Data!B:B=$B$1)),"""")"),"")</f>
        <v/>
      </c>
      <c r="H726" s="134" t="str">
        <f>IFERROR(__xludf.DUMMYFUNCTION("IFERROR((FILTER(Data!G:G,Data!D:D=A726,Data!B:B=$B$1)*4)+(FILTER(Data!H:H,Data!D:D=A726,Data!B:B=$B$1)*2),"""")"),"")</f>
        <v/>
      </c>
      <c r="I726" s="15" t="str">
        <f>IFERROR(__xludf.DUMMYFUNCTION("IFERROR((FILTER(Data!K:K,Data!D:D=A726,Data!B:B=$B$1)*2)+(FILTER(Data!L:L,Data!D:D=A726,Data!B:B=$B$1)),"""")"),"")</f>
        <v/>
      </c>
      <c r="J726" s="134" t="str">
        <f>IFERROR(__xludf.DUMMYFUNCTION("IFERROR((FILTER(Data!N:N,Data!D:D=A726,Data!B:B=$B$1)),"""")"),"")</f>
        <v/>
      </c>
      <c r="K726" s="135" t="str">
        <f>IFERROR(__xludf.DUMMYFUNCTION("IFERROR((FILTER(Data!H:H,Data!D:D=A726,Data!B:B=$B$1)*2)+(FILTER(Data!L:L,Data!D:D=A726,Data!B:B=$B$1))+(FILTER(Data!G:G,Data!D:D=A726,Data!B:B=$B$1)*4)+(FILTER(Data!K:K,Data!D:D=A726,Data!B:B=$B$1)*2)+(((COUNTIF(FILTER(Data!N:N,Data!D:D=A726,Data!B:B=$B$"&amp;"1),""TRAVERSE"")*15)+(COUNTIF(FILTER(Data!N:N,Data!D:D=A726,Data!B:B=$B$1),""HIGH"")*10)+(COUNTIF(FILTER(Data!N:N,Data!D:D=A726,Data!B:B=$B$1),""MIDDLE"")*6)+(COUNTIF(FILTER(Data!N:N,Data!D:D=A726,Data!B:B=$B$1),""LOW"")*4))),"""")"),"")</f>
        <v/>
      </c>
      <c r="L726" s="136" t="str">
        <f>IFERROR(__xludf.DUMMYFUNCTION("IFERROR((FILTER(Data!P:P,Data!D:D=A726,Data!B:B=$B$1)),"""")"),"")</f>
        <v/>
      </c>
      <c r="M726" s="137" t="str">
        <f>IFERROR(__xludf.DUMMYFUNCTION("IFERROR((FILTER(Data!A:A,Data!D:D=A726,Data!B:B=$B$1)),"""")"),"")</f>
        <v/>
      </c>
      <c r="T726" s="52">
        <f>IFERROR(__xludf.DUMMYFUNCTION("((COUNTIF(FILTER(Data!N:N,Data!D:D=A726,Data!B:B=$B$1),""TRAVERSE"")*15)+(COUNTIF(FILTER(Data!N:N,Data!D:D=A726,Data!B:B=B$1),""HIGH"")*10)+(COUNTIF(FILTER(Data!N:N,Data!D:D=A726,Data!B:B=$B$1),""MIDDLE"")*6)+(COUNTIF(FILTER(Data!N:N,Data!D:D=A726,Data!B:"&amp;"B=$B$1),""LOW"")*4))"),0.0)</f>
        <v>0</v>
      </c>
      <c r="V726" s="138" t="str">
        <f>IF(Data!B718='Team Parser'!$B$1, Data!D718,"")</f>
        <v/>
      </c>
      <c r="W726" s="134" t="str">
        <f>IF(Data!$B718='Team Parser'!$B$1, Data!H718,"")</f>
        <v/>
      </c>
      <c r="X726" s="134" t="str">
        <f>IF(Data!$B718='Team Parser'!$B$1, Data!G718,"")</f>
        <v/>
      </c>
      <c r="Y726" s="134" t="str">
        <f>IF(Data!$B718='Team Parser'!$B$1, Data!L718,"")</f>
        <v/>
      </c>
      <c r="Z726" s="134" t="str">
        <f>IF(Data!$B718='Team Parser'!$B$1, Data!K718,"")</f>
        <v/>
      </c>
      <c r="AA726" s="134" t="str">
        <f>IF(Data!$B718='Team Parser'!$B$1, Data!M718,"")</f>
        <v/>
      </c>
      <c r="AB726" s="134" t="str">
        <f>IF(Data!$B718='Team Parser'!$B$1,((Z726*2)+(Y726)+(X726*4)+(W726*2)),"")</f>
        <v/>
      </c>
      <c r="AC726" s="134" t="str">
        <f>IF(Data!$B718='Team Parser'!$B$1, Data!N718,"")</f>
        <v/>
      </c>
      <c r="AD726" s="139" t="str">
        <f>IF(Data!$B718='Team Parser'!$B$1,(AB726+(COUNTIF(AC726,"TRAVERSE")*15)+(COUNTIF(AC726,"HIGH")*10)+(COUNTIF(AC726,"MIDDLE")*6)+(COUNTIF(AC726,"LOW")*4)),"")</f>
        <v/>
      </c>
    </row>
    <row r="727">
      <c r="A727" s="141" t="s">
        <v>507</v>
      </c>
      <c r="B727" s="134" t="str">
        <f>IFERROR(__xludf.DUMMYFUNCTION("IFERROR((FILTER(Data!H:H,Data!D:D=A727,Data!B:B=$B$1)),"""")"),"")</f>
        <v/>
      </c>
      <c r="C727" s="134" t="str">
        <f>IFERROR(__xludf.DUMMYFUNCTION("IFERROR((FILTER(Data!G:G,Data!D:D=A727,Data!B:B=$B$1)),"""")"),"")</f>
        <v/>
      </c>
      <c r="D727" s="134" t="str">
        <f>IFERROR(__xludf.DUMMYFUNCTION("IFERROR((FILTER(Data!J:J,Data!D:D=A727,Data!B:B=$B$1)),"""")"),"")</f>
        <v/>
      </c>
      <c r="E727" s="134" t="str">
        <f>IFERROR(__xludf.DUMMYFUNCTION("IFERROR((FILTER(Data!L:L,Data!D:D=A727,Data!B:B=$B$1)),"""")"),"")</f>
        <v/>
      </c>
      <c r="F727" s="134" t="str">
        <f>IFERROR(__xludf.DUMMYFUNCTION("IFERROR((FILTER(Data!K:K,Data!D:D=A727,Data!B:B=$B$1)),"""")"),"")</f>
        <v/>
      </c>
      <c r="G727" s="134" t="str">
        <f>IFERROR(__xludf.DUMMYFUNCTION("IFERROR((FILTER(Data!M:M,Data!D:D=A727,Data!B:B=$B$1)),"""")"),"")</f>
        <v/>
      </c>
      <c r="H727" s="134" t="str">
        <f>IFERROR(__xludf.DUMMYFUNCTION("IFERROR((FILTER(Data!G:G,Data!D:D=A727,Data!B:B=$B$1)*4)+(FILTER(Data!H:H,Data!D:D=A727,Data!B:B=$B$1)*2),"""")"),"")</f>
        <v/>
      </c>
      <c r="I727" s="15" t="str">
        <f>IFERROR(__xludf.DUMMYFUNCTION("IFERROR((FILTER(Data!K:K,Data!D:D=A727,Data!B:B=$B$1)*2)+(FILTER(Data!L:L,Data!D:D=A727,Data!B:B=$B$1)),"""")"),"")</f>
        <v/>
      </c>
      <c r="J727" s="134" t="str">
        <f>IFERROR(__xludf.DUMMYFUNCTION("IFERROR((FILTER(Data!N:N,Data!D:D=A727,Data!B:B=$B$1)),"""")"),"")</f>
        <v/>
      </c>
      <c r="K727" s="135" t="str">
        <f>IFERROR(__xludf.DUMMYFUNCTION("IFERROR((FILTER(Data!H:H,Data!D:D=A727,Data!B:B=$B$1)*2)+(FILTER(Data!L:L,Data!D:D=A727,Data!B:B=$B$1))+(FILTER(Data!G:G,Data!D:D=A727,Data!B:B=$B$1)*4)+(FILTER(Data!K:K,Data!D:D=A727,Data!B:B=$B$1)*2)+(((COUNTIF(FILTER(Data!N:N,Data!D:D=A727,Data!B:B=$B$"&amp;"1),""TRAVERSE"")*15)+(COUNTIF(FILTER(Data!N:N,Data!D:D=A727,Data!B:B=$B$1),""HIGH"")*10)+(COUNTIF(FILTER(Data!N:N,Data!D:D=A727,Data!B:B=$B$1),""MIDDLE"")*6)+(COUNTIF(FILTER(Data!N:N,Data!D:D=A727,Data!B:B=$B$1),""LOW"")*4))),"""")"),"")</f>
        <v/>
      </c>
      <c r="L727" s="136" t="str">
        <f>IFERROR(__xludf.DUMMYFUNCTION("IFERROR((FILTER(Data!P:P,Data!D:D=A727,Data!B:B=$B$1)),"""")"),"")</f>
        <v/>
      </c>
      <c r="M727" s="137" t="str">
        <f>IFERROR(__xludf.DUMMYFUNCTION("IFERROR((FILTER(Data!A:A,Data!D:D=A727,Data!B:B=$B$1)),"""")"),"")</f>
        <v/>
      </c>
      <c r="T727" s="52">
        <f>IFERROR(__xludf.DUMMYFUNCTION("((COUNTIF(FILTER(Data!N:N,Data!D:D=A727,Data!B:B=$B$1),""TRAVERSE"")*15)+(COUNTIF(FILTER(Data!N:N,Data!D:D=A727,Data!B:B=B$1),""HIGH"")*10)+(COUNTIF(FILTER(Data!N:N,Data!D:D=A727,Data!B:B=$B$1),""MIDDLE"")*6)+(COUNTIF(FILTER(Data!N:N,Data!D:D=A727,Data!B:"&amp;"B=$B$1),""LOW"")*4))"),0.0)</f>
        <v>0</v>
      </c>
      <c r="V727" s="138" t="str">
        <f>IF(Data!B719='Team Parser'!$B$1, Data!D719,"")</f>
        <v/>
      </c>
      <c r="W727" s="134" t="str">
        <f>IF(Data!$B719='Team Parser'!$B$1, Data!H719,"")</f>
        <v/>
      </c>
      <c r="X727" s="134" t="str">
        <f>IF(Data!$B719='Team Parser'!$B$1, Data!G719,"")</f>
        <v/>
      </c>
      <c r="Y727" s="134" t="str">
        <f>IF(Data!$B719='Team Parser'!$B$1, Data!L719,"")</f>
        <v/>
      </c>
      <c r="Z727" s="134" t="str">
        <f>IF(Data!$B719='Team Parser'!$B$1, Data!K719,"")</f>
        <v/>
      </c>
      <c r="AA727" s="134" t="str">
        <f>IF(Data!$B719='Team Parser'!$B$1, Data!M719,"")</f>
        <v/>
      </c>
      <c r="AB727" s="134" t="str">
        <f>IF(Data!$B719='Team Parser'!$B$1,((Z727*2)+(Y727)+(X727*4)+(W727*2)),"")</f>
        <v/>
      </c>
      <c r="AC727" s="134" t="str">
        <f>IF(Data!$B719='Team Parser'!$B$1, Data!N719,"")</f>
        <v/>
      </c>
      <c r="AD727" s="139" t="str">
        <f>IF(Data!$B719='Team Parser'!$B$1,(AB727+(COUNTIF(AC727,"TRAVERSE")*15)+(COUNTIF(AC727,"HIGH")*10)+(COUNTIF(AC727,"MIDDLE")*6)+(COUNTIF(AC727,"LOW")*4)),"")</f>
        <v/>
      </c>
    </row>
    <row r="728">
      <c r="A728" s="141" t="s">
        <v>507</v>
      </c>
      <c r="B728" s="134" t="str">
        <f>IFERROR(__xludf.DUMMYFUNCTION("IFERROR((FILTER(Data!H:H,Data!D:D=A728,Data!B:B=$B$1)),"""")"),"")</f>
        <v/>
      </c>
      <c r="C728" s="134" t="str">
        <f>IFERROR(__xludf.DUMMYFUNCTION("IFERROR((FILTER(Data!G:G,Data!D:D=A728,Data!B:B=$B$1)),"""")"),"")</f>
        <v/>
      </c>
      <c r="D728" s="134" t="str">
        <f>IFERROR(__xludf.DUMMYFUNCTION("IFERROR((FILTER(Data!J:J,Data!D:D=A728,Data!B:B=$B$1)),"""")"),"")</f>
        <v/>
      </c>
      <c r="E728" s="134" t="str">
        <f>IFERROR(__xludf.DUMMYFUNCTION("IFERROR((FILTER(Data!L:L,Data!D:D=A728,Data!B:B=$B$1)),"""")"),"")</f>
        <v/>
      </c>
      <c r="F728" s="134" t="str">
        <f>IFERROR(__xludf.DUMMYFUNCTION("IFERROR((FILTER(Data!K:K,Data!D:D=A728,Data!B:B=$B$1)),"""")"),"")</f>
        <v/>
      </c>
      <c r="G728" s="134" t="str">
        <f>IFERROR(__xludf.DUMMYFUNCTION("IFERROR((FILTER(Data!M:M,Data!D:D=A728,Data!B:B=$B$1)),"""")"),"")</f>
        <v/>
      </c>
      <c r="H728" s="134" t="str">
        <f>IFERROR(__xludf.DUMMYFUNCTION("IFERROR((FILTER(Data!G:G,Data!D:D=A728,Data!B:B=$B$1)*4)+(FILTER(Data!H:H,Data!D:D=A728,Data!B:B=$B$1)*2),"""")"),"")</f>
        <v/>
      </c>
      <c r="I728" s="15" t="str">
        <f>IFERROR(__xludf.DUMMYFUNCTION("IFERROR((FILTER(Data!K:K,Data!D:D=A728,Data!B:B=$B$1)*2)+(FILTER(Data!L:L,Data!D:D=A728,Data!B:B=$B$1)),"""")"),"")</f>
        <v/>
      </c>
      <c r="J728" s="134" t="str">
        <f>IFERROR(__xludf.DUMMYFUNCTION("IFERROR((FILTER(Data!N:N,Data!D:D=A728,Data!B:B=$B$1)),"""")"),"")</f>
        <v/>
      </c>
      <c r="K728" s="135" t="str">
        <f>IFERROR(__xludf.DUMMYFUNCTION("IFERROR((FILTER(Data!H:H,Data!D:D=A728,Data!B:B=$B$1)*2)+(FILTER(Data!L:L,Data!D:D=A728,Data!B:B=$B$1))+(FILTER(Data!G:G,Data!D:D=A728,Data!B:B=$B$1)*4)+(FILTER(Data!K:K,Data!D:D=A728,Data!B:B=$B$1)*2)+(((COUNTIF(FILTER(Data!N:N,Data!D:D=A728,Data!B:B=$B$"&amp;"1),""TRAVERSE"")*15)+(COUNTIF(FILTER(Data!N:N,Data!D:D=A728,Data!B:B=$B$1),""HIGH"")*10)+(COUNTIF(FILTER(Data!N:N,Data!D:D=A728,Data!B:B=$B$1),""MIDDLE"")*6)+(COUNTIF(FILTER(Data!N:N,Data!D:D=A728,Data!B:B=$B$1),""LOW"")*4))),"""")"),"")</f>
        <v/>
      </c>
      <c r="L728" s="136" t="str">
        <f>IFERROR(__xludf.DUMMYFUNCTION("IFERROR((FILTER(Data!P:P,Data!D:D=A728,Data!B:B=$B$1)),"""")"),"")</f>
        <v/>
      </c>
      <c r="M728" s="137" t="str">
        <f>IFERROR(__xludf.DUMMYFUNCTION("IFERROR((FILTER(Data!A:A,Data!D:D=A728,Data!B:B=$B$1)),"""")"),"")</f>
        <v/>
      </c>
      <c r="T728" s="52">
        <f>IFERROR(__xludf.DUMMYFUNCTION("((COUNTIF(FILTER(Data!N:N,Data!D:D=A728,Data!B:B=$B$1),""TRAVERSE"")*15)+(COUNTIF(FILTER(Data!N:N,Data!D:D=A728,Data!B:B=B$1),""HIGH"")*10)+(COUNTIF(FILTER(Data!N:N,Data!D:D=A728,Data!B:B=$B$1),""MIDDLE"")*6)+(COUNTIF(FILTER(Data!N:N,Data!D:D=A728,Data!B:"&amp;"B=$B$1),""LOW"")*4))"),0.0)</f>
        <v>0</v>
      </c>
      <c r="V728" s="138" t="str">
        <f>IF(Data!B720='Team Parser'!$B$1, Data!D720,"")</f>
        <v/>
      </c>
      <c r="W728" s="134" t="str">
        <f>IF(Data!$B720='Team Parser'!$B$1, Data!H720,"")</f>
        <v/>
      </c>
      <c r="X728" s="134" t="str">
        <f>IF(Data!$B720='Team Parser'!$B$1, Data!G720,"")</f>
        <v/>
      </c>
      <c r="Y728" s="134" t="str">
        <f>IF(Data!$B720='Team Parser'!$B$1, Data!L720,"")</f>
        <v/>
      </c>
      <c r="Z728" s="134" t="str">
        <f>IF(Data!$B720='Team Parser'!$B$1, Data!K720,"")</f>
        <v/>
      </c>
      <c r="AA728" s="134" t="str">
        <f>IF(Data!$B720='Team Parser'!$B$1, Data!M720,"")</f>
        <v/>
      </c>
      <c r="AB728" s="134" t="str">
        <f>IF(Data!$B720='Team Parser'!$B$1,((Z728*2)+(Y728)+(X728*4)+(W728*2)),"")</f>
        <v/>
      </c>
      <c r="AC728" s="134" t="str">
        <f>IF(Data!$B720='Team Parser'!$B$1, Data!N720,"")</f>
        <v/>
      </c>
      <c r="AD728" s="139" t="str">
        <f>IF(Data!$B720='Team Parser'!$B$1,(AB728+(COUNTIF(AC728,"TRAVERSE")*15)+(COUNTIF(AC728,"HIGH")*10)+(COUNTIF(AC728,"MIDDLE")*6)+(COUNTIF(AC728,"LOW")*4)),"")</f>
        <v/>
      </c>
    </row>
    <row r="729">
      <c r="A729" s="141" t="s">
        <v>507</v>
      </c>
      <c r="B729" s="134" t="str">
        <f>IFERROR(__xludf.DUMMYFUNCTION("IFERROR((FILTER(Data!H:H,Data!D:D=A729,Data!B:B=$B$1)),"""")"),"")</f>
        <v/>
      </c>
      <c r="C729" s="134" t="str">
        <f>IFERROR(__xludf.DUMMYFUNCTION("IFERROR((FILTER(Data!G:G,Data!D:D=A729,Data!B:B=$B$1)),"""")"),"")</f>
        <v/>
      </c>
      <c r="D729" s="134" t="str">
        <f>IFERROR(__xludf.DUMMYFUNCTION("IFERROR((FILTER(Data!J:J,Data!D:D=A729,Data!B:B=$B$1)),"""")"),"")</f>
        <v/>
      </c>
      <c r="E729" s="134" t="str">
        <f>IFERROR(__xludf.DUMMYFUNCTION("IFERROR((FILTER(Data!L:L,Data!D:D=A729,Data!B:B=$B$1)),"""")"),"")</f>
        <v/>
      </c>
      <c r="F729" s="134" t="str">
        <f>IFERROR(__xludf.DUMMYFUNCTION("IFERROR((FILTER(Data!K:K,Data!D:D=A729,Data!B:B=$B$1)),"""")"),"")</f>
        <v/>
      </c>
      <c r="G729" s="134" t="str">
        <f>IFERROR(__xludf.DUMMYFUNCTION("IFERROR((FILTER(Data!M:M,Data!D:D=A729,Data!B:B=$B$1)),"""")"),"")</f>
        <v/>
      </c>
      <c r="H729" s="134" t="str">
        <f>IFERROR(__xludf.DUMMYFUNCTION("IFERROR((FILTER(Data!G:G,Data!D:D=A729,Data!B:B=$B$1)*4)+(FILTER(Data!H:H,Data!D:D=A729,Data!B:B=$B$1)*2),"""")"),"")</f>
        <v/>
      </c>
      <c r="I729" s="15" t="str">
        <f>IFERROR(__xludf.DUMMYFUNCTION("IFERROR((FILTER(Data!K:K,Data!D:D=A729,Data!B:B=$B$1)*2)+(FILTER(Data!L:L,Data!D:D=A729,Data!B:B=$B$1)),"""")"),"")</f>
        <v/>
      </c>
      <c r="J729" s="134" t="str">
        <f>IFERROR(__xludf.DUMMYFUNCTION("IFERROR((FILTER(Data!N:N,Data!D:D=A729,Data!B:B=$B$1)),"""")"),"")</f>
        <v/>
      </c>
      <c r="K729" s="135" t="str">
        <f>IFERROR(__xludf.DUMMYFUNCTION("IFERROR((FILTER(Data!H:H,Data!D:D=A729,Data!B:B=$B$1)*2)+(FILTER(Data!L:L,Data!D:D=A729,Data!B:B=$B$1))+(FILTER(Data!G:G,Data!D:D=A729,Data!B:B=$B$1)*4)+(FILTER(Data!K:K,Data!D:D=A729,Data!B:B=$B$1)*2)+(((COUNTIF(FILTER(Data!N:N,Data!D:D=A729,Data!B:B=$B$"&amp;"1),""TRAVERSE"")*15)+(COUNTIF(FILTER(Data!N:N,Data!D:D=A729,Data!B:B=$B$1),""HIGH"")*10)+(COUNTIF(FILTER(Data!N:N,Data!D:D=A729,Data!B:B=$B$1),""MIDDLE"")*6)+(COUNTIF(FILTER(Data!N:N,Data!D:D=A729,Data!B:B=$B$1),""LOW"")*4))),"""")"),"")</f>
        <v/>
      </c>
      <c r="L729" s="136" t="str">
        <f>IFERROR(__xludf.DUMMYFUNCTION("IFERROR((FILTER(Data!P:P,Data!D:D=A729,Data!B:B=$B$1)),"""")"),"")</f>
        <v/>
      </c>
      <c r="M729" s="137" t="str">
        <f>IFERROR(__xludf.DUMMYFUNCTION("IFERROR((FILTER(Data!A:A,Data!D:D=A729,Data!B:B=$B$1)),"""")"),"")</f>
        <v/>
      </c>
      <c r="T729" s="52">
        <f>IFERROR(__xludf.DUMMYFUNCTION("((COUNTIF(FILTER(Data!N:N,Data!D:D=A729,Data!B:B=$B$1),""TRAVERSE"")*15)+(COUNTIF(FILTER(Data!N:N,Data!D:D=A729,Data!B:B=B$1),""HIGH"")*10)+(COUNTIF(FILTER(Data!N:N,Data!D:D=A729,Data!B:B=$B$1),""MIDDLE"")*6)+(COUNTIF(FILTER(Data!N:N,Data!D:D=A729,Data!B:"&amp;"B=$B$1),""LOW"")*4))"),0.0)</f>
        <v>0</v>
      </c>
      <c r="V729" s="138" t="str">
        <f>IF(Data!B721='Team Parser'!$B$1, Data!D721,"")</f>
        <v/>
      </c>
      <c r="W729" s="134" t="str">
        <f>IF(Data!$B721='Team Parser'!$B$1, Data!H721,"")</f>
        <v/>
      </c>
      <c r="X729" s="134" t="str">
        <f>IF(Data!$B721='Team Parser'!$B$1, Data!G721,"")</f>
        <v/>
      </c>
      <c r="Y729" s="134" t="str">
        <f>IF(Data!$B721='Team Parser'!$B$1, Data!L721,"")</f>
        <v/>
      </c>
      <c r="Z729" s="134" t="str">
        <f>IF(Data!$B721='Team Parser'!$B$1, Data!K721,"")</f>
        <v/>
      </c>
      <c r="AA729" s="134" t="str">
        <f>IF(Data!$B721='Team Parser'!$B$1, Data!M721,"")</f>
        <v/>
      </c>
      <c r="AB729" s="134" t="str">
        <f>IF(Data!$B721='Team Parser'!$B$1,((Z729*2)+(Y729)+(X729*4)+(W729*2)),"")</f>
        <v/>
      </c>
      <c r="AC729" s="134" t="str">
        <f>IF(Data!$B721='Team Parser'!$B$1, Data!N721,"")</f>
        <v/>
      </c>
      <c r="AD729" s="139" t="str">
        <f>IF(Data!$B721='Team Parser'!$B$1,(AB729+(COUNTIF(AC729,"TRAVERSE")*15)+(COUNTIF(AC729,"HIGH")*10)+(COUNTIF(AC729,"MIDDLE")*6)+(COUNTIF(AC729,"LOW")*4)),"")</f>
        <v/>
      </c>
    </row>
    <row r="730">
      <c r="A730" s="141" t="s">
        <v>507</v>
      </c>
      <c r="B730" s="134" t="str">
        <f>IFERROR(__xludf.DUMMYFUNCTION("IFERROR((FILTER(Data!H:H,Data!D:D=A730,Data!B:B=$B$1)),"""")"),"")</f>
        <v/>
      </c>
      <c r="C730" s="134" t="str">
        <f>IFERROR(__xludf.DUMMYFUNCTION("IFERROR((FILTER(Data!G:G,Data!D:D=A730,Data!B:B=$B$1)),"""")"),"")</f>
        <v/>
      </c>
      <c r="D730" s="134" t="str">
        <f>IFERROR(__xludf.DUMMYFUNCTION("IFERROR((FILTER(Data!J:J,Data!D:D=A730,Data!B:B=$B$1)),"""")"),"")</f>
        <v/>
      </c>
      <c r="E730" s="134" t="str">
        <f>IFERROR(__xludf.DUMMYFUNCTION("IFERROR((FILTER(Data!L:L,Data!D:D=A730,Data!B:B=$B$1)),"""")"),"")</f>
        <v/>
      </c>
      <c r="F730" s="134" t="str">
        <f>IFERROR(__xludf.DUMMYFUNCTION("IFERROR((FILTER(Data!K:K,Data!D:D=A730,Data!B:B=$B$1)),"""")"),"")</f>
        <v/>
      </c>
      <c r="G730" s="134" t="str">
        <f>IFERROR(__xludf.DUMMYFUNCTION("IFERROR((FILTER(Data!M:M,Data!D:D=A730,Data!B:B=$B$1)),"""")"),"")</f>
        <v/>
      </c>
      <c r="H730" s="134" t="str">
        <f>IFERROR(__xludf.DUMMYFUNCTION("IFERROR((FILTER(Data!G:G,Data!D:D=A730,Data!B:B=$B$1)*4)+(FILTER(Data!H:H,Data!D:D=A730,Data!B:B=$B$1)*2),"""")"),"")</f>
        <v/>
      </c>
      <c r="I730" s="15" t="str">
        <f>IFERROR(__xludf.DUMMYFUNCTION("IFERROR((FILTER(Data!K:K,Data!D:D=A730,Data!B:B=$B$1)*2)+(FILTER(Data!L:L,Data!D:D=A730,Data!B:B=$B$1)),"""")"),"")</f>
        <v/>
      </c>
      <c r="J730" s="134" t="str">
        <f>IFERROR(__xludf.DUMMYFUNCTION("IFERROR((FILTER(Data!N:N,Data!D:D=A730,Data!B:B=$B$1)),"""")"),"")</f>
        <v/>
      </c>
      <c r="K730" s="135" t="str">
        <f>IFERROR(__xludf.DUMMYFUNCTION("IFERROR((FILTER(Data!H:H,Data!D:D=A730,Data!B:B=$B$1)*2)+(FILTER(Data!L:L,Data!D:D=A730,Data!B:B=$B$1))+(FILTER(Data!G:G,Data!D:D=A730,Data!B:B=$B$1)*4)+(FILTER(Data!K:K,Data!D:D=A730,Data!B:B=$B$1)*2)+(((COUNTIF(FILTER(Data!N:N,Data!D:D=A730,Data!B:B=$B$"&amp;"1),""TRAVERSE"")*15)+(COUNTIF(FILTER(Data!N:N,Data!D:D=A730,Data!B:B=$B$1),""HIGH"")*10)+(COUNTIF(FILTER(Data!N:N,Data!D:D=A730,Data!B:B=$B$1),""MIDDLE"")*6)+(COUNTIF(FILTER(Data!N:N,Data!D:D=A730,Data!B:B=$B$1),""LOW"")*4))),"""")"),"")</f>
        <v/>
      </c>
      <c r="L730" s="136" t="str">
        <f>IFERROR(__xludf.DUMMYFUNCTION("IFERROR((FILTER(Data!P:P,Data!D:D=A730,Data!B:B=$B$1)),"""")"),"")</f>
        <v/>
      </c>
      <c r="M730" s="137" t="str">
        <f>IFERROR(__xludf.DUMMYFUNCTION("IFERROR((FILTER(Data!A:A,Data!D:D=A730,Data!B:B=$B$1)),"""")"),"")</f>
        <v/>
      </c>
      <c r="T730" s="52">
        <f>IFERROR(__xludf.DUMMYFUNCTION("((COUNTIF(FILTER(Data!N:N,Data!D:D=A730,Data!B:B=$B$1),""TRAVERSE"")*15)+(COUNTIF(FILTER(Data!N:N,Data!D:D=A730,Data!B:B=B$1),""HIGH"")*10)+(COUNTIF(FILTER(Data!N:N,Data!D:D=A730,Data!B:B=$B$1),""MIDDLE"")*6)+(COUNTIF(FILTER(Data!N:N,Data!D:D=A730,Data!B:"&amp;"B=$B$1),""LOW"")*4))"),0.0)</f>
        <v>0</v>
      </c>
      <c r="V730" s="138" t="str">
        <f>IF(Data!B722='Team Parser'!$B$1, Data!D722,"")</f>
        <v/>
      </c>
      <c r="W730" s="134" t="str">
        <f>IF(Data!$B722='Team Parser'!$B$1, Data!H722,"")</f>
        <v/>
      </c>
      <c r="X730" s="134" t="str">
        <f>IF(Data!$B722='Team Parser'!$B$1, Data!G722,"")</f>
        <v/>
      </c>
      <c r="Y730" s="134" t="str">
        <f>IF(Data!$B722='Team Parser'!$B$1, Data!L722,"")</f>
        <v/>
      </c>
      <c r="Z730" s="134" t="str">
        <f>IF(Data!$B722='Team Parser'!$B$1, Data!K722,"")</f>
        <v/>
      </c>
      <c r="AA730" s="134" t="str">
        <f>IF(Data!$B722='Team Parser'!$B$1, Data!M722,"")</f>
        <v/>
      </c>
      <c r="AB730" s="134" t="str">
        <f>IF(Data!$B722='Team Parser'!$B$1,((Z730*2)+(Y730)+(X730*4)+(W730*2)),"")</f>
        <v/>
      </c>
      <c r="AC730" s="134" t="str">
        <f>IF(Data!$B722='Team Parser'!$B$1, Data!N722,"")</f>
        <v/>
      </c>
      <c r="AD730" s="139" t="str">
        <f>IF(Data!$B722='Team Parser'!$B$1,(AB730+(COUNTIF(AC730,"TRAVERSE")*15)+(COUNTIF(AC730,"HIGH")*10)+(COUNTIF(AC730,"MIDDLE")*6)+(COUNTIF(AC730,"LOW")*4)),"")</f>
        <v/>
      </c>
    </row>
    <row r="731">
      <c r="A731" s="141" t="s">
        <v>507</v>
      </c>
      <c r="B731" s="134" t="str">
        <f>IFERROR(__xludf.DUMMYFUNCTION("IFERROR((FILTER(Data!H:H,Data!D:D=A731,Data!B:B=$B$1)),"""")"),"")</f>
        <v/>
      </c>
      <c r="C731" s="134" t="str">
        <f>IFERROR(__xludf.DUMMYFUNCTION("IFERROR((FILTER(Data!G:G,Data!D:D=A731,Data!B:B=$B$1)),"""")"),"")</f>
        <v/>
      </c>
      <c r="D731" s="134" t="str">
        <f>IFERROR(__xludf.DUMMYFUNCTION("IFERROR((FILTER(Data!J:J,Data!D:D=A731,Data!B:B=$B$1)),"""")"),"")</f>
        <v/>
      </c>
      <c r="E731" s="134" t="str">
        <f>IFERROR(__xludf.DUMMYFUNCTION("IFERROR((FILTER(Data!L:L,Data!D:D=A731,Data!B:B=$B$1)),"""")"),"")</f>
        <v/>
      </c>
      <c r="F731" s="134" t="str">
        <f>IFERROR(__xludf.DUMMYFUNCTION("IFERROR((FILTER(Data!K:K,Data!D:D=A731,Data!B:B=$B$1)),"""")"),"")</f>
        <v/>
      </c>
      <c r="G731" s="134" t="str">
        <f>IFERROR(__xludf.DUMMYFUNCTION("IFERROR((FILTER(Data!M:M,Data!D:D=A731,Data!B:B=$B$1)),"""")"),"")</f>
        <v/>
      </c>
      <c r="H731" s="134" t="str">
        <f>IFERROR(__xludf.DUMMYFUNCTION("IFERROR((FILTER(Data!G:G,Data!D:D=A731,Data!B:B=$B$1)*4)+(FILTER(Data!H:H,Data!D:D=A731,Data!B:B=$B$1)*2),"""")"),"")</f>
        <v/>
      </c>
      <c r="I731" s="15" t="str">
        <f>IFERROR(__xludf.DUMMYFUNCTION("IFERROR((FILTER(Data!K:K,Data!D:D=A731,Data!B:B=$B$1)*2)+(FILTER(Data!L:L,Data!D:D=A731,Data!B:B=$B$1)),"""")"),"")</f>
        <v/>
      </c>
      <c r="J731" s="134" t="str">
        <f>IFERROR(__xludf.DUMMYFUNCTION("IFERROR((FILTER(Data!N:N,Data!D:D=A731,Data!B:B=$B$1)),"""")"),"")</f>
        <v/>
      </c>
      <c r="K731" s="135" t="str">
        <f>IFERROR(__xludf.DUMMYFUNCTION("IFERROR((FILTER(Data!H:H,Data!D:D=A731,Data!B:B=$B$1)*2)+(FILTER(Data!L:L,Data!D:D=A731,Data!B:B=$B$1))+(FILTER(Data!G:G,Data!D:D=A731,Data!B:B=$B$1)*4)+(FILTER(Data!K:K,Data!D:D=A731,Data!B:B=$B$1)*2)+(((COUNTIF(FILTER(Data!N:N,Data!D:D=A731,Data!B:B=$B$"&amp;"1),""TRAVERSE"")*15)+(COUNTIF(FILTER(Data!N:N,Data!D:D=A731,Data!B:B=$B$1),""HIGH"")*10)+(COUNTIF(FILTER(Data!N:N,Data!D:D=A731,Data!B:B=$B$1),""MIDDLE"")*6)+(COUNTIF(FILTER(Data!N:N,Data!D:D=A731,Data!B:B=$B$1),""LOW"")*4))),"""")"),"")</f>
        <v/>
      </c>
      <c r="L731" s="136" t="str">
        <f>IFERROR(__xludf.DUMMYFUNCTION("IFERROR((FILTER(Data!P:P,Data!D:D=A731,Data!B:B=$B$1)),"""")"),"")</f>
        <v/>
      </c>
      <c r="M731" s="137" t="str">
        <f>IFERROR(__xludf.DUMMYFUNCTION("IFERROR((FILTER(Data!A:A,Data!D:D=A731,Data!B:B=$B$1)),"""")"),"")</f>
        <v/>
      </c>
      <c r="T731" s="52">
        <f>IFERROR(__xludf.DUMMYFUNCTION("((COUNTIF(FILTER(Data!N:N,Data!D:D=A731,Data!B:B=$B$1),""TRAVERSE"")*15)+(COUNTIF(FILTER(Data!N:N,Data!D:D=A731,Data!B:B=B$1),""HIGH"")*10)+(COUNTIF(FILTER(Data!N:N,Data!D:D=A731,Data!B:B=$B$1),""MIDDLE"")*6)+(COUNTIF(FILTER(Data!N:N,Data!D:D=A731,Data!B:"&amp;"B=$B$1),""LOW"")*4))"),0.0)</f>
        <v>0</v>
      </c>
      <c r="V731" s="138" t="str">
        <f>IF(Data!B723='Team Parser'!$B$1, Data!D723,"")</f>
        <v/>
      </c>
      <c r="W731" s="134" t="str">
        <f>IF(Data!$B723='Team Parser'!$B$1, Data!H723,"")</f>
        <v/>
      </c>
      <c r="X731" s="134" t="str">
        <f>IF(Data!$B723='Team Parser'!$B$1, Data!G723,"")</f>
        <v/>
      </c>
      <c r="Y731" s="134" t="str">
        <f>IF(Data!$B723='Team Parser'!$B$1, Data!L723,"")</f>
        <v/>
      </c>
      <c r="Z731" s="134" t="str">
        <f>IF(Data!$B723='Team Parser'!$B$1, Data!K723,"")</f>
        <v/>
      </c>
      <c r="AA731" s="134" t="str">
        <f>IF(Data!$B723='Team Parser'!$B$1, Data!M723,"")</f>
        <v/>
      </c>
      <c r="AB731" s="134" t="str">
        <f>IF(Data!$B723='Team Parser'!$B$1,((Z731*2)+(Y731)+(X731*4)+(W731*2)),"")</f>
        <v/>
      </c>
      <c r="AC731" s="134" t="str">
        <f>IF(Data!$B723='Team Parser'!$B$1, Data!N723,"")</f>
        <v/>
      </c>
      <c r="AD731" s="139" t="str">
        <f>IF(Data!$B723='Team Parser'!$B$1,(AB731+(COUNTIF(AC731,"TRAVERSE")*15)+(COUNTIF(AC731,"HIGH")*10)+(COUNTIF(AC731,"MIDDLE")*6)+(COUNTIF(AC731,"LOW")*4)),"")</f>
        <v/>
      </c>
    </row>
    <row r="732">
      <c r="A732" s="141" t="s">
        <v>507</v>
      </c>
      <c r="B732" s="134" t="str">
        <f>IFERROR(__xludf.DUMMYFUNCTION("IFERROR((FILTER(Data!H:H,Data!D:D=A732,Data!B:B=$B$1)),"""")"),"")</f>
        <v/>
      </c>
      <c r="C732" s="134" t="str">
        <f>IFERROR(__xludf.DUMMYFUNCTION("IFERROR((FILTER(Data!G:G,Data!D:D=A732,Data!B:B=$B$1)),"""")"),"")</f>
        <v/>
      </c>
      <c r="D732" s="134" t="str">
        <f>IFERROR(__xludf.DUMMYFUNCTION("IFERROR((FILTER(Data!J:J,Data!D:D=A732,Data!B:B=$B$1)),"""")"),"")</f>
        <v/>
      </c>
      <c r="E732" s="134" t="str">
        <f>IFERROR(__xludf.DUMMYFUNCTION("IFERROR((FILTER(Data!L:L,Data!D:D=A732,Data!B:B=$B$1)),"""")"),"")</f>
        <v/>
      </c>
      <c r="F732" s="134" t="str">
        <f>IFERROR(__xludf.DUMMYFUNCTION("IFERROR((FILTER(Data!K:K,Data!D:D=A732,Data!B:B=$B$1)),"""")"),"")</f>
        <v/>
      </c>
      <c r="G732" s="134" t="str">
        <f>IFERROR(__xludf.DUMMYFUNCTION("IFERROR((FILTER(Data!M:M,Data!D:D=A732,Data!B:B=$B$1)),"""")"),"")</f>
        <v/>
      </c>
      <c r="H732" s="134" t="str">
        <f>IFERROR(__xludf.DUMMYFUNCTION("IFERROR((FILTER(Data!G:G,Data!D:D=A732,Data!B:B=$B$1)*4)+(FILTER(Data!H:H,Data!D:D=A732,Data!B:B=$B$1)*2),"""")"),"")</f>
        <v/>
      </c>
      <c r="I732" s="15" t="str">
        <f>IFERROR(__xludf.DUMMYFUNCTION("IFERROR((FILTER(Data!K:K,Data!D:D=A732,Data!B:B=$B$1)*2)+(FILTER(Data!L:L,Data!D:D=A732,Data!B:B=$B$1)),"""")"),"")</f>
        <v/>
      </c>
      <c r="J732" s="134" t="str">
        <f>IFERROR(__xludf.DUMMYFUNCTION("IFERROR((FILTER(Data!N:N,Data!D:D=A732,Data!B:B=$B$1)),"""")"),"")</f>
        <v/>
      </c>
      <c r="K732" s="135" t="str">
        <f>IFERROR(__xludf.DUMMYFUNCTION("IFERROR((FILTER(Data!H:H,Data!D:D=A732,Data!B:B=$B$1)*2)+(FILTER(Data!L:L,Data!D:D=A732,Data!B:B=$B$1))+(FILTER(Data!G:G,Data!D:D=A732,Data!B:B=$B$1)*4)+(FILTER(Data!K:K,Data!D:D=A732,Data!B:B=$B$1)*2)+(((COUNTIF(FILTER(Data!N:N,Data!D:D=A732,Data!B:B=$B$"&amp;"1),""TRAVERSE"")*15)+(COUNTIF(FILTER(Data!N:N,Data!D:D=A732,Data!B:B=$B$1),""HIGH"")*10)+(COUNTIF(FILTER(Data!N:N,Data!D:D=A732,Data!B:B=$B$1),""MIDDLE"")*6)+(COUNTIF(FILTER(Data!N:N,Data!D:D=A732,Data!B:B=$B$1),""LOW"")*4))),"""")"),"")</f>
        <v/>
      </c>
      <c r="L732" s="136" t="str">
        <f>IFERROR(__xludf.DUMMYFUNCTION("IFERROR((FILTER(Data!P:P,Data!D:D=A732,Data!B:B=$B$1)),"""")"),"")</f>
        <v/>
      </c>
      <c r="M732" s="137" t="str">
        <f>IFERROR(__xludf.DUMMYFUNCTION("IFERROR((FILTER(Data!A:A,Data!D:D=A732,Data!B:B=$B$1)),"""")"),"")</f>
        <v/>
      </c>
      <c r="T732" s="52">
        <f>IFERROR(__xludf.DUMMYFUNCTION("((COUNTIF(FILTER(Data!N:N,Data!D:D=A732,Data!B:B=$B$1),""TRAVERSE"")*15)+(COUNTIF(FILTER(Data!N:N,Data!D:D=A732,Data!B:B=B$1),""HIGH"")*10)+(COUNTIF(FILTER(Data!N:N,Data!D:D=A732,Data!B:B=$B$1),""MIDDLE"")*6)+(COUNTIF(FILTER(Data!N:N,Data!D:D=A732,Data!B:"&amp;"B=$B$1),""LOW"")*4))"),0.0)</f>
        <v>0</v>
      </c>
      <c r="V732" s="138" t="str">
        <f>IF(Data!B724='Team Parser'!$B$1, Data!D724,"")</f>
        <v/>
      </c>
      <c r="W732" s="134" t="str">
        <f>IF(Data!$B724='Team Parser'!$B$1, Data!H724,"")</f>
        <v/>
      </c>
      <c r="X732" s="134" t="str">
        <f>IF(Data!$B724='Team Parser'!$B$1, Data!G724,"")</f>
        <v/>
      </c>
      <c r="Y732" s="134" t="str">
        <f>IF(Data!$B724='Team Parser'!$B$1, Data!L724,"")</f>
        <v/>
      </c>
      <c r="Z732" s="134" t="str">
        <f>IF(Data!$B724='Team Parser'!$B$1, Data!K724,"")</f>
        <v/>
      </c>
      <c r="AA732" s="134" t="str">
        <f>IF(Data!$B724='Team Parser'!$B$1, Data!M724,"")</f>
        <v/>
      </c>
      <c r="AB732" s="134" t="str">
        <f>IF(Data!$B724='Team Parser'!$B$1,((Z732*2)+(Y732)+(X732*4)+(W732*2)),"")</f>
        <v/>
      </c>
      <c r="AC732" s="134" t="str">
        <f>IF(Data!$B724='Team Parser'!$B$1, Data!N724,"")</f>
        <v/>
      </c>
      <c r="AD732" s="139" t="str">
        <f>IF(Data!$B724='Team Parser'!$B$1,(AB732+(COUNTIF(AC732,"TRAVERSE")*15)+(COUNTIF(AC732,"HIGH")*10)+(COUNTIF(AC732,"MIDDLE")*6)+(COUNTIF(AC732,"LOW")*4)),"")</f>
        <v/>
      </c>
    </row>
    <row r="733">
      <c r="A733" s="141" t="s">
        <v>507</v>
      </c>
      <c r="B733" s="134" t="str">
        <f>IFERROR(__xludf.DUMMYFUNCTION("IFERROR((FILTER(Data!H:H,Data!D:D=A733,Data!B:B=$B$1)),"""")"),"")</f>
        <v/>
      </c>
      <c r="C733" s="134" t="str">
        <f>IFERROR(__xludf.DUMMYFUNCTION("IFERROR((FILTER(Data!G:G,Data!D:D=A733,Data!B:B=$B$1)),"""")"),"")</f>
        <v/>
      </c>
      <c r="D733" s="134" t="str">
        <f>IFERROR(__xludf.DUMMYFUNCTION("IFERROR((FILTER(Data!J:J,Data!D:D=A733,Data!B:B=$B$1)),"""")"),"")</f>
        <v/>
      </c>
      <c r="E733" s="134" t="str">
        <f>IFERROR(__xludf.DUMMYFUNCTION("IFERROR((FILTER(Data!L:L,Data!D:D=A733,Data!B:B=$B$1)),"""")"),"")</f>
        <v/>
      </c>
      <c r="F733" s="134" t="str">
        <f>IFERROR(__xludf.DUMMYFUNCTION("IFERROR((FILTER(Data!K:K,Data!D:D=A733,Data!B:B=$B$1)),"""")"),"")</f>
        <v/>
      </c>
      <c r="G733" s="134" t="str">
        <f>IFERROR(__xludf.DUMMYFUNCTION("IFERROR((FILTER(Data!M:M,Data!D:D=A733,Data!B:B=$B$1)),"""")"),"")</f>
        <v/>
      </c>
      <c r="H733" s="134" t="str">
        <f>IFERROR(__xludf.DUMMYFUNCTION("IFERROR((FILTER(Data!G:G,Data!D:D=A733,Data!B:B=$B$1)*4)+(FILTER(Data!H:H,Data!D:D=A733,Data!B:B=$B$1)*2),"""")"),"")</f>
        <v/>
      </c>
      <c r="I733" s="15" t="str">
        <f>IFERROR(__xludf.DUMMYFUNCTION("IFERROR((FILTER(Data!K:K,Data!D:D=A733,Data!B:B=$B$1)*2)+(FILTER(Data!L:L,Data!D:D=A733,Data!B:B=$B$1)),"""")"),"")</f>
        <v/>
      </c>
      <c r="J733" s="134" t="str">
        <f>IFERROR(__xludf.DUMMYFUNCTION("IFERROR((FILTER(Data!N:N,Data!D:D=A733,Data!B:B=$B$1)),"""")"),"")</f>
        <v/>
      </c>
      <c r="K733" s="135" t="str">
        <f>IFERROR(__xludf.DUMMYFUNCTION("IFERROR((FILTER(Data!H:H,Data!D:D=A733,Data!B:B=$B$1)*2)+(FILTER(Data!L:L,Data!D:D=A733,Data!B:B=$B$1))+(FILTER(Data!G:G,Data!D:D=A733,Data!B:B=$B$1)*4)+(FILTER(Data!K:K,Data!D:D=A733,Data!B:B=$B$1)*2)+(((COUNTIF(FILTER(Data!N:N,Data!D:D=A733,Data!B:B=$B$"&amp;"1),""TRAVERSE"")*15)+(COUNTIF(FILTER(Data!N:N,Data!D:D=A733,Data!B:B=$B$1),""HIGH"")*10)+(COUNTIF(FILTER(Data!N:N,Data!D:D=A733,Data!B:B=$B$1),""MIDDLE"")*6)+(COUNTIF(FILTER(Data!N:N,Data!D:D=A733,Data!B:B=$B$1),""LOW"")*4))),"""")"),"")</f>
        <v/>
      </c>
      <c r="L733" s="136" t="str">
        <f>IFERROR(__xludf.DUMMYFUNCTION("IFERROR((FILTER(Data!P:P,Data!D:D=A733,Data!B:B=$B$1)),"""")"),"")</f>
        <v/>
      </c>
      <c r="M733" s="137" t="str">
        <f>IFERROR(__xludf.DUMMYFUNCTION("IFERROR((FILTER(Data!A:A,Data!D:D=A733,Data!B:B=$B$1)),"""")"),"")</f>
        <v/>
      </c>
      <c r="T733" s="52">
        <f>IFERROR(__xludf.DUMMYFUNCTION("((COUNTIF(FILTER(Data!N:N,Data!D:D=A733,Data!B:B=$B$1),""TRAVERSE"")*15)+(COUNTIF(FILTER(Data!N:N,Data!D:D=A733,Data!B:B=B$1),""HIGH"")*10)+(COUNTIF(FILTER(Data!N:N,Data!D:D=A733,Data!B:B=$B$1),""MIDDLE"")*6)+(COUNTIF(FILTER(Data!N:N,Data!D:D=A733,Data!B:"&amp;"B=$B$1),""LOW"")*4))"),0.0)</f>
        <v>0</v>
      </c>
      <c r="V733" s="138" t="str">
        <f>IF(Data!B725='Team Parser'!$B$1, Data!D725,"")</f>
        <v/>
      </c>
      <c r="W733" s="134" t="str">
        <f>IF(Data!$B725='Team Parser'!$B$1, Data!H725,"")</f>
        <v/>
      </c>
      <c r="X733" s="134" t="str">
        <f>IF(Data!$B725='Team Parser'!$B$1, Data!G725,"")</f>
        <v/>
      </c>
      <c r="Y733" s="134" t="str">
        <f>IF(Data!$B725='Team Parser'!$B$1, Data!L725,"")</f>
        <v/>
      </c>
      <c r="Z733" s="134" t="str">
        <f>IF(Data!$B725='Team Parser'!$B$1, Data!K725,"")</f>
        <v/>
      </c>
      <c r="AA733" s="134" t="str">
        <f>IF(Data!$B725='Team Parser'!$B$1, Data!M725,"")</f>
        <v/>
      </c>
      <c r="AB733" s="134" t="str">
        <f>IF(Data!$B725='Team Parser'!$B$1,((Z733*2)+(Y733)+(X733*4)+(W733*2)),"")</f>
        <v/>
      </c>
      <c r="AC733" s="134" t="str">
        <f>IF(Data!$B725='Team Parser'!$B$1, Data!N725,"")</f>
        <v/>
      </c>
      <c r="AD733" s="139" t="str">
        <f>IF(Data!$B725='Team Parser'!$B$1,(AB733+(COUNTIF(AC733,"TRAVERSE")*15)+(COUNTIF(AC733,"HIGH")*10)+(COUNTIF(AC733,"MIDDLE")*6)+(COUNTIF(AC733,"LOW")*4)),"")</f>
        <v/>
      </c>
    </row>
    <row r="734">
      <c r="A734" s="141" t="s">
        <v>507</v>
      </c>
      <c r="B734" s="134" t="str">
        <f>IFERROR(__xludf.DUMMYFUNCTION("IFERROR((FILTER(Data!H:H,Data!D:D=A734,Data!B:B=$B$1)),"""")"),"")</f>
        <v/>
      </c>
      <c r="C734" s="134" t="str">
        <f>IFERROR(__xludf.DUMMYFUNCTION("IFERROR((FILTER(Data!G:G,Data!D:D=A734,Data!B:B=$B$1)),"""")"),"")</f>
        <v/>
      </c>
      <c r="D734" s="134" t="str">
        <f>IFERROR(__xludf.DUMMYFUNCTION("IFERROR((FILTER(Data!J:J,Data!D:D=A734,Data!B:B=$B$1)),"""")"),"")</f>
        <v/>
      </c>
      <c r="E734" s="134" t="str">
        <f>IFERROR(__xludf.DUMMYFUNCTION("IFERROR((FILTER(Data!L:L,Data!D:D=A734,Data!B:B=$B$1)),"""")"),"")</f>
        <v/>
      </c>
      <c r="F734" s="134" t="str">
        <f>IFERROR(__xludf.DUMMYFUNCTION("IFERROR((FILTER(Data!K:K,Data!D:D=A734,Data!B:B=$B$1)),"""")"),"")</f>
        <v/>
      </c>
      <c r="G734" s="134" t="str">
        <f>IFERROR(__xludf.DUMMYFUNCTION("IFERROR((FILTER(Data!M:M,Data!D:D=A734,Data!B:B=$B$1)),"""")"),"")</f>
        <v/>
      </c>
      <c r="H734" s="134" t="str">
        <f>IFERROR(__xludf.DUMMYFUNCTION("IFERROR((FILTER(Data!G:G,Data!D:D=A734,Data!B:B=$B$1)*4)+(FILTER(Data!H:H,Data!D:D=A734,Data!B:B=$B$1)*2),"""")"),"")</f>
        <v/>
      </c>
      <c r="I734" s="15" t="str">
        <f>IFERROR(__xludf.DUMMYFUNCTION("IFERROR((FILTER(Data!K:K,Data!D:D=A734,Data!B:B=$B$1)*2)+(FILTER(Data!L:L,Data!D:D=A734,Data!B:B=$B$1)),"""")"),"")</f>
        <v/>
      </c>
      <c r="J734" s="134" t="str">
        <f>IFERROR(__xludf.DUMMYFUNCTION("IFERROR((FILTER(Data!N:N,Data!D:D=A734,Data!B:B=$B$1)),"""")"),"")</f>
        <v/>
      </c>
      <c r="K734" s="135" t="str">
        <f>IFERROR(__xludf.DUMMYFUNCTION("IFERROR((FILTER(Data!H:H,Data!D:D=A734,Data!B:B=$B$1)*2)+(FILTER(Data!L:L,Data!D:D=A734,Data!B:B=$B$1))+(FILTER(Data!G:G,Data!D:D=A734,Data!B:B=$B$1)*4)+(FILTER(Data!K:K,Data!D:D=A734,Data!B:B=$B$1)*2)+(((COUNTIF(FILTER(Data!N:N,Data!D:D=A734,Data!B:B=$B$"&amp;"1),""TRAVERSE"")*15)+(COUNTIF(FILTER(Data!N:N,Data!D:D=A734,Data!B:B=$B$1),""HIGH"")*10)+(COUNTIF(FILTER(Data!N:N,Data!D:D=A734,Data!B:B=$B$1),""MIDDLE"")*6)+(COUNTIF(FILTER(Data!N:N,Data!D:D=A734,Data!B:B=$B$1),""LOW"")*4))),"""")"),"")</f>
        <v/>
      </c>
      <c r="L734" s="136" t="str">
        <f>IFERROR(__xludf.DUMMYFUNCTION("IFERROR((FILTER(Data!P:P,Data!D:D=A734,Data!B:B=$B$1)),"""")"),"")</f>
        <v/>
      </c>
      <c r="M734" s="137" t="str">
        <f>IFERROR(__xludf.DUMMYFUNCTION("IFERROR((FILTER(Data!A:A,Data!D:D=A734,Data!B:B=$B$1)),"""")"),"")</f>
        <v/>
      </c>
      <c r="T734" s="52">
        <f>IFERROR(__xludf.DUMMYFUNCTION("((COUNTIF(FILTER(Data!N:N,Data!D:D=A734,Data!B:B=$B$1),""TRAVERSE"")*15)+(COUNTIF(FILTER(Data!N:N,Data!D:D=A734,Data!B:B=B$1),""HIGH"")*10)+(COUNTIF(FILTER(Data!N:N,Data!D:D=A734,Data!B:B=$B$1),""MIDDLE"")*6)+(COUNTIF(FILTER(Data!N:N,Data!D:D=A734,Data!B:"&amp;"B=$B$1),""LOW"")*4))"),0.0)</f>
        <v>0</v>
      </c>
      <c r="V734" s="138" t="str">
        <f>IF(Data!B726='Team Parser'!$B$1, Data!D726,"")</f>
        <v/>
      </c>
      <c r="W734" s="134" t="str">
        <f>IF(Data!$B726='Team Parser'!$B$1, Data!H726,"")</f>
        <v/>
      </c>
      <c r="X734" s="134" t="str">
        <f>IF(Data!$B726='Team Parser'!$B$1, Data!G726,"")</f>
        <v/>
      </c>
      <c r="Y734" s="134" t="str">
        <f>IF(Data!$B726='Team Parser'!$B$1, Data!L726,"")</f>
        <v/>
      </c>
      <c r="Z734" s="134" t="str">
        <f>IF(Data!$B726='Team Parser'!$B$1, Data!K726,"")</f>
        <v/>
      </c>
      <c r="AA734" s="134" t="str">
        <f>IF(Data!$B726='Team Parser'!$B$1, Data!M726,"")</f>
        <v/>
      </c>
      <c r="AB734" s="134" t="str">
        <f>IF(Data!$B726='Team Parser'!$B$1,((Z734*2)+(Y734)+(X734*4)+(W734*2)),"")</f>
        <v/>
      </c>
      <c r="AC734" s="134" t="str">
        <f>IF(Data!$B726='Team Parser'!$B$1, Data!N726,"")</f>
        <v/>
      </c>
      <c r="AD734" s="139" t="str">
        <f>IF(Data!$B726='Team Parser'!$B$1,(AB734+(COUNTIF(AC734,"TRAVERSE")*15)+(COUNTIF(AC734,"HIGH")*10)+(COUNTIF(AC734,"MIDDLE")*6)+(COUNTIF(AC734,"LOW")*4)),"")</f>
        <v/>
      </c>
    </row>
    <row r="735">
      <c r="A735" s="141" t="s">
        <v>507</v>
      </c>
      <c r="B735" s="134" t="str">
        <f>IFERROR(__xludf.DUMMYFUNCTION("IFERROR((FILTER(Data!H:H,Data!D:D=A735,Data!B:B=$B$1)),"""")"),"")</f>
        <v/>
      </c>
      <c r="C735" s="134" t="str">
        <f>IFERROR(__xludf.DUMMYFUNCTION("IFERROR((FILTER(Data!G:G,Data!D:D=A735,Data!B:B=$B$1)),"""")"),"")</f>
        <v/>
      </c>
      <c r="D735" s="134" t="str">
        <f>IFERROR(__xludf.DUMMYFUNCTION("IFERROR((FILTER(Data!J:J,Data!D:D=A735,Data!B:B=$B$1)),"""")"),"")</f>
        <v/>
      </c>
      <c r="E735" s="134" t="str">
        <f>IFERROR(__xludf.DUMMYFUNCTION("IFERROR((FILTER(Data!L:L,Data!D:D=A735,Data!B:B=$B$1)),"""")"),"")</f>
        <v/>
      </c>
      <c r="F735" s="134" t="str">
        <f>IFERROR(__xludf.DUMMYFUNCTION("IFERROR((FILTER(Data!K:K,Data!D:D=A735,Data!B:B=$B$1)),"""")"),"")</f>
        <v/>
      </c>
      <c r="G735" s="134" t="str">
        <f>IFERROR(__xludf.DUMMYFUNCTION("IFERROR((FILTER(Data!M:M,Data!D:D=A735,Data!B:B=$B$1)),"""")"),"")</f>
        <v/>
      </c>
      <c r="H735" s="134" t="str">
        <f>IFERROR(__xludf.DUMMYFUNCTION("IFERROR((FILTER(Data!G:G,Data!D:D=A735,Data!B:B=$B$1)*4)+(FILTER(Data!H:H,Data!D:D=A735,Data!B:B=$B$1)*2),"""")"),"")</f>
        <v/>
      </c>
      <c r="I735" s="15" t="str">
        <f>IFERROR(__xludf.DUMMYFUNCTION("IFERROR((FILTER(Data!K:K,Data!D:D=A735,Data!B:B=$B$1)*2)+(FILTER(Data!L:L,Data!D:D=A735,Data!B:B=$B$1)),"""")"),"")</f>
        <v/>
      </c>
      <c r="J735" s="134" t="str">
        <f>IFERROR(__xludf.DUMMYFUNCTION("IFERROR((FILTER(Data!N:N,Data!D:D=A735,Data!B:B=$B$1)),"""")"),"")</f>
        <v/>
      </c>
      <c r="K735" s="135" t="str">
        <f>IFERROR(__xludf.DUMMYFUNCTION("IFERROR((FILTER(Data!H:H,Data!D:D=A735,Data!B:B=$B$1)*2)+(FILTER(Data!L:L,Data!D:D=A735,Data!B:B=$B$1))+(FILTER(Data!G:G,Data!D:D=A735,Data!B:B=$B$1)*4)+(FILTER(Data!K:K,Data!D:D=A735,Data!B:B=$B$1)*2)+(((COUNTIF(FILTER(Data!N:N,Data!D:D=A735,Data!B:B=$B$"&amp;"1),""TRAVERSE"")*15)+(COUNTIF(FILTER(Data!N:N,Data!D:D=A735,Data!B:B=$B$1),""HIGH"")*10)+(COUNTIF(FILTER(Data!N:N,Data!D:D=A735,Data!B:B=$B$1),""MIDDLE"")*6)+(COUNTIF(FILTER(Data!N:N,Data!D:D=A735,Data!B:B=$B$1),""LOW"")*4))),"""")"),"")</f>
        <v/>
      </c>
      <c r="L735" s="136" t="str">
        <f>IFERROR(__xludf.DUMMYFUNCTION("IFERROR((FILTER(Data!P:P,Data!D:D=A735,Data!B:B=$B$1)),"""")"),"")</f>
        <v/>
      </c>
      <c r="M735" s="137" t="str">
        <f>IFERROR(__xludf.DUMMYFUNCTION("IFERROR((FILTER(Data!A:A,Data!D:D=A735,Data!B:B=$B$1)),"""")"),"")</f>
        <v/>
      </c>
      <c r="T735" s="52">
        <f>IFERROR(__xludf.DUMMYFUNCTION("((COUNTIF(FILTER(Data!N:N,Data!D:D=A735,Data!B:B=$B$1),""TRAVERSE"")*15)+(COUNTIF(FILTER(Data!N:N,Data!D:D=A735,Data!B:B=B$1),""HIGH"")*10)+(COUNTIF(FILTER(Data!N:N,Data!D:D=A735,Data!B:B=$B$1),""MIDDLE"")*6)+(COUNTIF(FILTER(Data!N:N,Data!D:D=A735,Data!B:"&amp;"B=$B$1),""LOW"")*4))"),0.0)</f>
        <v>0</v>
      </c>
      <c r="V735" s="138" t="str">
        <f>IF(Data!B727='Team Parser'!$B$1, Data!D727,"")</f>
        <v/>
      </c>
      <c r="W735" s="134" t="str">
        <f>IF(Data!$B727='Team Parser'!$B$1, Data!H727,"")</f>
        <v/>
      </c>
      <c r="X735" s="134" t="str">
        <f>IF(Data!$B727='Team Parser'!$B$1, Data!G727,"")</f>
        <v/>
      </c>
      <c r="Y735" s="134" t="str">
        <f>IF(Data!$B727='Team Parser'!$B$1, Data!L727,"")</f>
        <v/>
      </c>
      <c r="Z735" s="134" t="str">
        <f>IF(Data!$B727='Team Parser'!$B$1, Data!K727,"")</f>
        <v/>
      </c>
      <c r="AA735" s="134" t="str">
        <f>IF(Data!$B727='Team Parser'!$B$1, Data!M727,"")</f>
        <v/>
      </c>
      <c r="AB735" s="134" t="str">
        <f>IF(Data!$B727='Team Parser'!$B$1,((Z735*2)+(Y735)+(X735*4)+(W735*2)),"")</f>
        <v/>
      </c>
      <c r="AC735" s="134" t="str">
        <f>IF(Data!$B727='Team Parser'!$B$1, Data!N727,"")</f>
        <v/>
      </c>
      <c r="AD735" s="139" t="str">
        <f>IF(Data!$B727='Team Parser'!$B$1,(AB735+(COUNTIF(AC735,"TRAVERSE")*15)+(COUNTIF(AC735,"HIGH")*10)+(COUNTIF(AC735,"MIDDLE")*6)+(COUNTIF(AC735,"LOW")*4)),"")</f>
        <v/>
      </c>
    </row>
    <row r="736">
      <c r="A736" s="141" t="s">
        <v>507</v>
      </c>
      <c r="B736" s="134" t="str">
        <f>IFERROR(__xludf.DUMMYFUNCTION("IFERROR((FILTER(Data!H:H,Data!D:D=A736,Data!B:B=$B$1)),"""")"),"")</f>
        <v/>
      </c>
      <c r="C736" s="134" t="str">
        <f>IFERROR(__xludf.DUMMYFUNCTION("IFERROR((FILTER(Data!G:G,Data!D:D=A736,Data!B:B=$B$1)),"""")"),"")</f>
        <v/>
      </c>
      <c r="D736" s="134" t="str">
        <f>IFERROR(__xludf.DUMMYFUNCTION("IFERROR((FILTER(Data!J:J,Data!D:D=A736,Data!B:B=$B$1)),"""")"),"")</f>
        <v/>
      </c>
      <c r="E736" s="134" t="str">
        <f>IFERROR(__xludf.DUMMYFUNCTION("IFERROR((FILTER(Data!L:L,Data!D:D=A736,Data!B:B=$B$1)),"""")"),"")</f>
        <v/>
      </c>
      <c r="F736" s="134" t="str">
        <f>IFERROR(__xludf.DUMMYFUNCTION("IFERROR((FILTER(Data!K:K,Data!D:D=A736,Data!B:B=$B$1)),"""")"),"")</f>
        <v/>
      </c>
      <c r="G736" s="134" t="str">
        <f>IFERROR(__xludf.DUMMYFUNCTION("IFERROR((FILTER(Data!M:M,Data!D:D=A736,Data!B:B=$B$1)),"""")"),"")</f>
        <v/>
      </c>
      <c r="H736" s="134" t="str">
        <f>IFERROR(__xludf.DUMMYFUNCTION("IFERROR((FILTER(Data!G:G,Data!D:D=A736,Data!B:B=$B$1)*4)+(FILTER(Data!H:H,Data!D:D=A736,Data!B:B=$B$1)*2),"""")"),"")</f>
        <v/>
      </c>
      <c r="I736" s="15" t="str">
        <f>IFERROR(__xludf.DUMMYFUNCTION("IFERROR((FILTER(Data!K:K,Data!D:D=A736,Data!B:B=$B$1)*2)+(FILTER(Data!L:L,Data!D:D=A736,Data!B:B=$B$1)),"""")"),"")</f>
        <v/>
      </c>
      <c r="J736" s="134" t="str">
        <f>IFERROR(__xludf.DUMMYFUNCTION("IFERROR((FILTER(Data!N:N,Data!D:D=A736,Data!B:B=$B$1)),"""")"),"")</f>
        <v/>
      </c>
      <c r="K736" s="135" t="str">
        <f>IFERROR(__xludf.DUMMYFUNCTION("IFERROR((FILTER(Data!H:H,Data!D:D=A736,Data!B:B=$B$1)*2)+(FILTER(Data!L:L,Data!D:D=A736,Data!B:B=$B$1))+(FILTER(Data!G:G,Data!D:D=A736,Data!B:B=$B$1)*4)+(FILTER(Data!K:K,Data!D:D=A736,Data!B:B=$B$1)*2)+(((COUNTIF(FILTER(Data!N:N,Data!D:D=A736,Data!B:B=$B$"&amp;"1),""TRAVERSE"")*15)+(COUNTIF(FILTER(Data!N:N,Data!D:D=A736,Data!B:B=$B$1),""HIGH"")*10)+(COUNTIF(FILTER(Data!N:N,Data!D:D=A736,Data!B:B=$B$1),""MIDDLE"")*6)+(COUNTIF(FILTER(Data!N:N,Data!D:D=A736,Data!B:B=$B$1),""LOW"")*4))),"""")"),"")</f>
        <v/>
      </c>
      <c r="L736" s="136" t="str">
        <f>IFERROR(__xludf.DUMMYFUNCTION("IFERROR((FILTER(Data!P:P,Data!D:D=A736,Data!B:B=$B$1)),"""")"),"")</f>
        <v/>
      </c>
      <c r="M736" s="137" t="str">
        <f>IFERROR(__xludf.DUMMYFUNCTION("IFERROR((FILTER(Data!A:A,Data!D:D=A736,Data!B:B=$B$1)),"""")"),"")</f>
        <v/>
      </c>
      <c r="T736" s="52">
        <f>IFERROR(__xludf.DUMMYFUNCTION("((COUNTIF(FILTER(Data!N:N,Data!D:D=A736,Data!B:B=$B$1),""TRAVERSE"")*15)+(COUNTIF(FILTER(Data!N:N,Data!D:D=A736,Data!B:B=B$1),""HIGH"")*10)+(COUNTIF(FILTER(Data!N:N,Data!D:D=A736,Data!B:B=$B$1),""MIDDLE"")*6)+(COUNTIF(FILTER(Data!N:N,Data!D:D=A736,Data!B:"&amp;"B=$B$1),""LOW"")*4))"),0.0)</f>
        <v>0</v>
      </c>
      <c r="V736" s="138" t="str">
        <f>IF(Data!B728='Team Parser'!$B$1, Data!D728,"")</f>
        <v/>
      </c>
      <c r="W736" s="134" t="str">
        <f>IF(Data!$B728='Team Parser'!$B$1, Data!H728,"")</f>
        <v/>
      </c>
      <c r="X736" s="134" t="str">
        <f>IF(Data!$B728='Team Parser'!$B$1, Data!G728,"")</f>
        <v/>
      </c>
      <c r="Y736" s="134" t="str">
        <f>IF(Data!$B728='Team Parser'!$B$1, Data!L728,"")</f>
        <v/>
      </c>
      <c r="Z736" s="134" t="str">
        <f>IF(Data!$B728='Team Parser'!$B$1, Data!K728,"")</f>
        <v/>
      </c>
      <c r="AA736" s="134" t="str">
        <f>IF(Data!$B728='Team Parser'!$B$1, Data!M728,"")</f>
        <v/>
      </c>
      <c r="AB736" s="134" t="str">
        <f>IF(Data!$B728='Team Parser'!$B$1,((Z736*2)+(Y736)+(X736*4)+(W736*2)),"")</f>
        <v/>
      </c>
      <c r="AC736" s="134" t="str">
        <f>IF(Data!$B728='Team Parser'!$B$1, Data!N728,"")</f>
        <v/>
      </c>
      <c r="AD736" s="139" t="str">
        <f>IF(Data!$B728='Team Parser'!$B$1,(AB736+(COUNTIF(AC736,"TRAVERSE")*15)+(COUNTIF(AC736,"HIGH")*10)+(COUNTIF(AC736,"MIDDLE")*6)+(COUNTIF(AC736,"LOW")*4)),"")</f>
        <v/>
      </c>
    </row>
    <row r="737">
      <c r="A737" s="141" t="s">
        <v>507</v>
      </c>
      <c r="B737" s="134" t="str">
        <f>IFERROR(__xludf.DUMMYFUNCTION("IFERROR((FILTER(Data!H:H,Data!D:D=A737,Data!B:B=$B$1)),"""")"),"")</f>
        <v/>
      </c>
      <c r="C737" s="134" t="str">
        <f>IFERROR(__xludf.DUMMYFUNCTION("IFERROR((FILTER(Data!G:G,Data!D:D=A737,Data!B:B=$B$1)),"""")"),"")</f>
        <v/>
      </c>
      <c r="D737" s="134" t="str">
        <f>IFERROR(__xludf.DUMMYFUNCTION("IFERROR((FILTER(Data!J:J,Data!D:D=A737,Data!B:B=$B$1)),"""")"),"")</f>
        <v/>
      </c>
      <c r="E737" s="134" t="str">
        <f>IFERROR(__xludf.DUMMYFUNCTION("IFERROR((FILTER(Data!L:L,Data!D:D=A737,Data!B:B=$B$1)),"""")"),"")</f>
        <v/>
      </c>
      <c r="F737" s="134" t="str">
        <f>IFERROR(__xludf.DUMMYFUNCTION("IFERROR((FILTER(Data!K:K,Data!D:D=A737,Data!B:B=$B$1)),"""")"),"")</f>
        <v/>
      </c>
      <c r="G737" s="134" t="str">
        <f>IFERROR(__xludf.DUMMYFUNCTION("IFERROR((FILTER(Data!M:M,Data!D:D=A737,Data!B:B=$B$1)),"""")"),"")</f>
        <v/>
      </c>
      <c r="H737" s="134" t="str">
        <f>IFERROR(__xludf.DUMMYFUNCTION("IFERROR((FILTER(Data!G:G,Data!D:D=A737,Data!B:B=$B$1)*4)+(FILTER(Data!H:H,Data!D:D=A737,Data!B:B=$B$1)*2),"""")"),"")</f>
        <v/>
      </c>
      <c r="I737" s="15" t="str">
        <f>IFERROR(__xludf.DUMMYFUNCTION("IFERROR((FILTER(Data!K:K,Data!D:D=A737,Data!B:B=$B$1)*2)+(FILTER(Data!L:L,Data!D:D=A737,Data!B:B=$B$1)),"""")"),"")</f>
        <v/>
      </c>
      <c r="J737" s="134" t="str">
        <f>IFERROR(__xludf.DUMMYFUNCTION("IFERROR((FILTER(Data!N:N,Data!D:D=A737,Data!B:B=$B$1)),"""")"),"")</f>
        <v/>
      </c>
      <c r="K737" s="135" t="str">
        <f>IFERROR(__xludf.DUMMYFUNCTION("IFERROR((FILTER(Data!H:H,Data!D:D=A737,Data!B:B=$B$1)*2)+(FILTER(Data!L:L,Data!D:D=A737,Data!B:B=$B$1))+(FILTER(Data!G:G,Data!D:D=A737,Data!B:B=$B$1)*4)+(FILTER(Data!K:K,Data!D:D=A737,Data!B:B=$B$1)*2)+(((COUNTIF(FILTER(Data!N:N,Data!D:D=A737,Data!B:B=$B$"&amp;"1),""TRAVERSE"")*15)+(COUNTIF(FILTER(Data!N:N,Data!D:D=A737,Data!B:B=$B$1),""HIGH"")*10)+(COUNTIF(FILTER(Data!N:N,Data!D:D=A737,Data!B:B=$B$1),""MIDDLE"")*6)+(COUNTIF(FILTER(Data!N:N,Data!D:D=A737,Data!B:B=$B$1),""LOW"")*4))),"""")"),"")</f>
        <v/>
      </c>
      <c r="L737" s="136" t="str">
        <f>IFERROR(__xludf.DUMMYFUNCTION("IFERROR((FILTER(Data!P:P,Data!D:D=A737,Data!B:B=$B$1)),"""")"),"")</f>
        <v/>
      </c>
      <c r="M737" s="137" t="str">
        <f>IFERROR(__xludf.DUMMYFUNCTION("IFERROR((FILTER(Data!A:A,Data!D:D=A737,Data!B:B=$B$1)),"""")"),"")</f>
        <v/>
      </c>
      <c r="T737" s="52">
        <f>IFERROR(__xludf.DUMMYFUNCTION("((COUNTIF(FILTER(Data!N:N,Data!D:D=A737,Data!B:B=$B$1),""TRAVERSE"")*15)+(COUNTIF(FILTER(Data!N:N,Data!D:D=A737,Data!B:B=B$1),""HIGH"")*10)+(COUNTIF(FILTER(Data!N:N,Data!D:D=A737,Data!B:B=$B$1),""MIDDLE"")*6)+(COUNTIF(FILTER(Data!N:N,Data!D:D=A737,Data!B:"&amp;"B=$B$1),""LOW"")*4))"),0.0)</f>
        <v>0</v>
      </c>
      <c r="V737" s="138" t="str">
        <f>IF(Data!B729='Team Parser'!$B$1, Data!D729,"")</f>
        <v/>
      </c>
      <c r="W737" s="134" t="str">
        <f>IF(Data!$B729='Team Parser'!$B$1, Data!H729,"")</f>
        <v/>
      </c>
      <c r="X737" s="134" t="str">
        <f>IF(Data!$B729='Team Parser'!$B$1, Data!G729,"")</f>
        <v/>
      </c>
      <c r="Y737" s="134" t="str">
        <f>IF(Data!$B729='Team Parser'!$B$1, Data!L729,"")</f>
        <v/>
      </c>
      <c r="Z737" s="134" t="str">
        <f>IF(Data!$B729='Team Parser'!$B$1, Data!K729,"")</f>
        <v/>
      </c>
      <c r="AA737" s="134" t="str">
        <f>IF(Data!$B729='Team Parser'!$B$1, Data!M729,"")</f>
        <v/>
      </c>
      <c r="AB737" s="134" t="str">
        <f>IF(Data!$B729='Team Parser'!$B$1,((Z737*2)+(Y737)+(X737*4)+(W737*2)),"")</f>
        <v/>
      </c>
      <c r="AC737" s="134" t="str">
        <f>IF(Data!$B729='Team Parser'!$B$1, Data!N729,"")</f>
        <v/>
      </c>
      <c r="AD737" s="139" t="str">
        <f>IF(Data!$B729='Team Parser'!$B$1,(AB737+(COUNTIF(AC737,"TRAVERSE")*15)+(COUNTIF(AC737,"HIGH")*10)+(COUNTIF(AC737,"MIDDLE")*6)+(COUNTIF(AC737,"LOW")*4)),"")</f>
        <v/>
      </c>
    </row>
    <row r="738">
      <c r="A738" s="141" t="s">
        <v>507</v>
      </c>
      <c r="B738" s="134" t="str">
        <f>IFERROR(__xludf.DUMMYFUNCTION("IFERROR((FILTER(Data!H:H,Data!D:D=A738,Data!B:B=$B$1)),"""")"),"")</f>
        <v/>
      </c>
      <c r="C738" s="134" t="str">
        <f>IFERROR(__xludf.DUMMYFUNCTION("IFERROR((FILTER(Data!G:G,Data!D:D=A738,Data!B:B=$B$1)),"""")"),"")</f>
        <v/>
      </c>
      <c r="D738" s="134" t="str">
        <f>IFERROR(__xludf.DUMMYFUNCTION("IFERROR((FILTER(Data!J:J,Data!D:D=A738,Data!B:B=$B$1)),"""")"),"")</f>
        <v/>
      </c>
      <c r="E738" s="134" t="str">
        <f>IFERROR(__xludf.DUMMYFUNCTION("IFERROR((FILTER(Data!L:L,Data!D:D=A738,Data!B:B=$B$1)),"""")"),"")</f>
        <v/>
      </c>
      <c r="F738" s="134" t="str">
        <f>IFERROR(__xludf.DUMMYFUNCTION("IFERROR((FILTER(Data!K:K,Data!D:D=A738,Data!B:B=$B$1)),"""")"),"")</f>
        <v/>
      </c>
      <c r="G738" s="134" t="str">
        <f>IFERROR(__xludf.DUMMYFUNCTION("IFERROR((FILTER(Data!M:M,Data!D:D=A738,Data!B:B=$B$1)),"""")"),"")</f>
        <v/>
      </c>
      <c r="H738" s="134" t="str">
        <f>IFERROR(__xludf.DUMMYFUNCTION("IFERROR((FILTER(Data!G:G,Data!D:D=A738,Data!B:B=$B$1)*4)+(FILTER(Data!H:H,Data!D:D=A738,Data!B:B=$B$1)*2),"""")"),"")</f>
        <v/>
      </c>
      <c r="I738" s="15" t="str">
        <f>IFERROR(__xludf.DUMMYFUNCTION("IFERROR((FILTER(Data!K:K,Data!D:D=A738,Data!B:B=$B$1)*2)+(FILTER(Data!L:L,Data!D:D=A738,Data!B:B=$B$1)),"""")"),"")</f>
        <v/>
      </c>
      <c r="J738" s="134" t="str">
        <f>IFERROR(__xludf.DUMMYFUNCTION("IFERROR((FILTER(Data!N:N,Data!D:D=A738,Data!B:B=$B$1)),"""")"),"")</f>
        <v/>
      </c>
      <c r="K738" s="135" t="str">
        <f>IFERROR(__xludf.DUMMYFUNCTION("IFERROR((FILTER(Data!H:H,Data!D:D=A738,Data!B:B=$B$1)*2)+(FILTER(Data!L:L,Data!D:D=A738,Data!B:B=$B$1))+(FILTER(Data!G:G,Data!D:D=A738,Data!B:B=$B$1)*4)+(FILTER(Data!K:K,Data!D:D=A738,Data!B:B=$B$1)*2)+(((COUNTIF(FILTER(Data!N:N,Data!D:D=A738,Data!B:B=$B$"&amp;"1),""TRAVERSE"")*15)+(COUNTIF(FILTER(Data!N:N,Data!D:D=A738,Data!B:B=$B$1),""HIGH"")*10)+(COUNTIF(FILTER(Data!N:N,Data!D:D=A738,Data!B:B=$B$1),""MIDDLE"")*6)+(COUNTIF(FILTER(Data!N:N,Data!D:D=A738,Data!B:B=$B$1),""LOW"")*4))),"""")"),"")</f>
        <v/>
      </c>
      <c r="L738" s="136" t="str">
        <f>IFERROR(__xludf.DUMMYFUNCTION("IFERROR((FILTER(Data!P:P,Data!D:D=A738,Data!B:B=$B$1)),"""")"),"")</f>
        <v/>
      </c>
      <c r="M738" s="137" t="str">
        <f>IFERROR(__xludf.DUMMYFUNCTION("IFERROR((FILTER(Data!A:A,Data!D:D=A738,Data!B:B=$B$1)),"""")"),"")</f>
        <v/>
      </c>
      <c r="T738" s="52">
        <f>IFERROR(__xludf.DUMMYFUNCTION("((COUNTIF(FILTER(Data!N:N,Data!D:D=A738,Data!B:B=$B$1),""TRAVERSE"")*15)+(COUNTIF(FILTER(Data!N:N,Data!D:D=A738,Data!B:B=B$1),""HIGH"")*10)+(COUNTIF(FILTER(Data!N:N,Data!D:D=A738,Data!B:B=$B$1),""MIDDLE"")*6)+(COUNTIF(FILTER(Data!N:N,Data!D:D=A738,Data!B:"&amp;"B=$B$1),""LOW"")*4))"),0.0)</f>
        <v>0</v>
      </c>
      <c r="V738" s="138" t="str">
        <f>IF(Data!B730='Team Parser'!$B$1, Data!D730,"")</f>
        <v/>
      </c>
      <c r="W738" s="134" t="str">
        <f>IF(Data!$B730='Team Parser'!$B$1, Data!H730,"")</f>
        <v/>
      </c>
      <c r="X738" s="134" t="str">
        <f>IF(Data!$B730='Team Parser'!$B$1, Data!G730,"")</f>
        <v/>
      </c>
      <c r="Y738" s="134" t="str">
        <f>IF(Data!$B730='Team Parser'!$B$1, Data!L730,"")</f>
        <v/>
      </c>
      <c r="Z738" s="134" t="str">
        <f>IF(Data!$B730='Team Parser'!$B$1, Data!K730,"")</f>
        <v/>
      </c>
      <c r="AA738" s="134" t="str">
        <f>IF(Data!$B730='Team Parser'!$B$1, Data!M730,"")</f>
        <v/>
      </c>
      <c r="AB738" s="134" t="str">
        <f>IF(Data!$B730='Team Parser'!$B$1,((Z738*2)+(Y738)+(X738*4)+(W738*2)),"")</f>
        <v/>
      </c>
      <c r="AC738" s="134" t="str">
        <f>IF(Data!$B730='Team Parser'!$B$1, Data!N730,"")</f>
        <v/>
      </c>
      <c r="AD738" s="139" t="str">
        <f>IF(Data!$B730='Team Parser'!$B$1,(AB738+(COUNTIF(AC738,"TRAVERSE")*15)+(COUNTIF(AC738,"HIGH")*10)+(COUNTIF(AC738,"MIDDLE")*6)+(COUNTIF(AC738,"LOW")*4)),"")</f>
        <v/>
      </c>
    </row>
    <row r="739">
      <c r="A739" s="141" t="s">
        <v>507</v>
      </c>
      <c r="B739" s="134" t="str">
        <f>IFERROR(__xludf.DUMMYFUNCTION("IFERROR((FILTER(Data!H:H,Data!D:D=A739,Data!B:B=$B$1)),"""")"),"")</f>
        <v/>
      </c>
      <c r="C739" s="134" t="str">
        <f>IFERROR(__xludf.DUMMYFUNCTION("IFERROR((FILTER(Data!G:G,Data!D:D=A739,Data!B:B=$B$1)),"""")"),"")</f>
        <v/>
      </c>
      <c r="D739" s="134" t="str">
        <f>IFERROR(__xludf.DUMMYFUNCTION("IFERROR((FILTER(Data!J:J,Data!D:D=A739,Data!B:B=$B$1)),"""")"),"")</f>
        <v/>
      </c>
      <c r="E739" s="134" t="str">
        <f>IFERROR(__xludf.DUMMYFUNCTION("IFERROR((FILTER(Data!L:L,Data!D:D=A739,Data!B:B=$B$1)),"""")"),"")</f>
        <v/>
      </c>
      <c r="F739" s="134" t="str">
        <f>IFERROR(__xludf.DUMMYFUNCTION("IFERROR((FILTER(Data!K:K,Data!D:D=A739,Data!B:B=$B$1)),"""")"),"")</f>
        <v/>
      </c>
      <c r="G739" s="134" t="str">
        <f>IFERROR(__xludf.DUMMYFUNCTION("IFERROR((FILTER(Data!M:M,Data!D:D=A739,Data!B:B=$B$1)),"""")"),"")</f>
        <v/>
      </c>
      <c r="H739" s="134" t="str">
        <f>IFERROR(__xludf.DUMMYFUNCTION("IFERROR((FILTER(Data!G:G,Data!D:D=A739,Data!B:B=$B$1)*4)+(FILTER(Data!H:H,Data!D:D=A739,Data!B:B=$B$1)*2),"""")"),"")</f>
        <v/>
      </c>
      <c r="I739" s="15" t="str">
        <f>IFERROR(__xludf.DUMMYFUNCTION("IFERROR((FILTER(Data!K:K,Data!D:D=A739,Data!B:B=$B$1)*2)+(FILTER(Data!L:L,Data!D:D=A739,Data!B:B=$B$1)),"""")"),"")</f>
        <v/>
      </c>
      <c r="J739" s="134" t="str">
        <f>IFERROR(__xludf.DUMMYFUNCTION("IFERROR((FILTER(Data!N:N,Data!D:D=A739,Data!B:B=$B$1)),"""")"),"")</f>
        <v/>
      </c>
      <c r="K739" s="135" t="str">
        <f>IFERROR(__xludf.DUMMYFUNCTION("IFERROR((FILTER(Data!H:H,Data!D:D=A739,Data!B:B=$B$1)*2)+(FILTER(Data!L:L,Data!D:D=A739,Data!B:B=$B$1))+(FILTER(Data!G:G,Data!D:D=A739,Data!B:B=$B$1)*4)+(FILTER(Data!K:K,Data!D:D=A739,Data!B:B=$B$1)*2)+(((COUNTIF(FILTER(Data!N:N,Data!D:D=A739,Data!B:B=$B$"&amp;"1),""TRAVERSE"")*15)+(COUNTIF(FILTER(Data!N:N,Data!D:D=A739,Data!B:B=$B$1),""HIGH"")*10)+(COUNTIF(FILTER(Data!N:N,Data!D:D=A739,Data!B:B=$B$1),""MIDDLE"")*6)+(COUNTIF(FILTER(Data!N:N,Data!D:D=A739,Data!B:B=$B$1),""LOW"")*4))),"""")"),"")</f>
        <v/>
      </c>
      <c r="L739" s="136" t="str">
        <f>IFERROR(__xludf.DUMMYFUNCTION("IFERROR((FILTER(Data!P:P,Data!D:D=A739,Data!B:B=$B$1)),"""")"),"")</f>
        <v/>
      </c>
      <c r="M739" s="137" t="str">
        <f>IFERROR(__xludf.DUMMYFUNCTION("IFERROR((FILTER(Data!A:A,Data!D:D=A739,Data!B:B=$B$1)),"""")"),"")</f>
        <v/>
      </c>
      <c r="T739" s="52">
        <f>IFERROR(__xludf.DUMMYFUNCTION("((COUNTIF(FILTER(Data!N:N,Data!D:D=A739,Data!B:B=$B$1),""TRAVERSE"")*15)+(COUNTIF(FILTER(Data!N:N,Data!D:D=A739,Data!B:B=B$1),""HIGH"")*10)+(COUNTIF(FILTER(Data!N:N,Data!D:D=A739,Data!B:B=$B$1),""MIDDLE"")*6)+(COUNTIF(FILTER(Data!N:N,Data!D:D=A739,Data!B:"&amp;"B=$B$1),""LOW"")*4))"),0.0)</f>
        <v>0</v>
      </c>
      <c r="V739" s="138" t="str">
        <f>IF(Data!B731='Team Parser'!$B$1, Data!D731,"")</f>
        <v/>
      </c>
      <c r="W739" s="134" t="str">
        <f>IF(Data!$B731='Team Parser'!$B$1, Data!H731,"")</f>
        <v/>
      </c>
      <c r="X739" s="134" t="str">
        <f>IF(Data!$B731='Team Parser'!$B$1, Data!G731,"")</f>
        <v/>
      </c>
      <c r="Y739" s="134" t="str">
        <f>IF(Data!$B731='Team Parser'!$B$1, Data!L731,"")</f>
        <v/>
      </c>
      <c r="Z739" s="134" t="str">
        <f>IF(Data!$B731='Team Parser'!$B$1, Data!K731,"")</f>
        <v/>
      </c>
      <c r="AA739" s="134" t="str">
        <f>IF(Data!$B731='Team Parser'!$B$1, Data!M731,"")</f>
        <v/>
      </c>
      <c r="AB739" s="134" t="str">
        <f>IF(Data!$B731='Team Parser'!$B$1,((Z739*2)+(Y739)+(X739*4)+(W739*2)),"")</f>
        <v/>
      </c>
      <c r="AC739" s="134" t="str">
        <f>IF(Data!$B731='Team Parser'!$B$1, Data!N731,"")</f>
        <v/>
      </c>
      <c r="AD739" s="139" t="str">
        <f>IF(Data!$B731='Team Parser'!$B$1,(AB739+(COUNTIF(AC739,"TRAVERSE")*15)+(COUNTIF(AC739,"HIGH")*10)+(COUNTIF(AC739,"MIDDLE")*6)+(COUNTIF(AC739,"LOW")*4)),"")</f>
        <v/>
      </c>
    </row>
    <row r="740">
      <c r="A740" s="141" t="s">
        <v>507</v>
      </c>
      <c r="B740" s="134" t="str">
        <f>IFERROR(__xludf.DUMMYFUNCTION("IFERROR((FILTER(Data!H:H,Data!D:D=A740,Data!B:B=$B$1)),"""")"),"")</f>
        <v/>
      </c>
      <c r="C740" s="134" t="str">
        <f>IFERROR(__xludf.DUMMYFUNCTION("IFERROR((FILTER(Data!G:G,Data!D:D=A740,Data!B:B=$B$1)),"""")"),"")</f>
        <v/>
      </c>
      <c r="D740" s="134" t="str">
        <f>IFERROR(__xludf.DUMMYFUNCTION("IFERROR((FILTER(Data!J:J,Data!D:D=A740,Data!B:B=$B$1)),"""")"),"")</f>
        <v/>
      </c>
      <c r="E740" s="134" t="str">
        <f>IFERROR(__xludf.DUMMYFUNCTION("IFERROR((FILTER(Data!L:L,Data!D:D=A740,Data!B:B=$B$1)),"""")"),"")</f>
        <v/>
      </c>
      <c r="F740" s="134" t="str">
        <f>IFERROR(__xludf.DUMMYFUNCTION("IFERROR((FILTER(Data!K:K,Data!D:D=A740,Data!B:B=$B$1)),"""")"),"")</f>
        <v/>
      </c>
      <c r="G740" s="134" t="str">
        <f>IFERROR(__xludf.DUMMYFUNCTION("IFERROR((FILTER(Data!M:M,Data!D:D=A740,Data!B:B=$B$1)),"""")"),"")</f>
        <v/>
      </c>
      <c r="H740" s="134" t="str">
        <f>IFERROR(__xludf.DUMMYFUNCTION("IFERROR((FILTER(Data!G:G,Data!D:D=A740,Data!B:B=$B$1)*4)+(FILTER(Data!H:H,Data!D:D=A740,Data!B:B=$B$1)*2),"""")"),"")</f>
        <v/>
      </c>
      <c r="I740" s="15" t="str">
        <f>IFERROR(__xludf.DUMMYFUNCTION("IFERROR((FILTER(Data!K:K,Data!D:D=A740,Data!B:B=$B$1)*2)+(FILTER(Data!L:L,Data!D:D=A740,Data!B:B=$B$1)),"""")"),"")</f>
        <v/>
      </c>
      <c r="J740" s="134" t="str">
        <f>IFERROR(__xludf.DUMMYFUNCTION("IFERROR((FILTER(Data!N:N,Data!D:D=A740,Data!B:B=$B$1)),"""")"),"")</f>
        <v/>
      </c>
      <c r="K740" s="135" t="str">
        <f>IFERROR(__xludf.DUMMYFUNCTION("IFERROR((FILTER(Data!H:H,Data!D:D=A740,Data!B:B=$B$1)*2)+(FILTER(Data!L:L,Data!D:D=A740,Data!B:B=$B$1))+(FILTER(Data!G:G,Data!D:D=A740,Data!B:B=$B$1)*4)+(FILTER(Data!K:K,Data!D:D=A740,Data!B:B=$B$1)*2)+(((COUNTIF(FILTER(Data!N:N,Data!D:D=A740,Data!B:B=$B$"&amp;"1),""TRAVERSE"")*15)+(COUNTIF(FILTER(Data!N:N,Data!D:D=A740,Data!B:B=$B$1),""HIGH"")*10)+(COUNTIF(FILTER(Data!N:N,Data!D:D=A740,Data!B:B=$B$1),""MIDDLE"")*6)+(COUNTIF(FILTER(Data!N:N,Data!D:D=A740,Data!B:B=$B$1),""LOW"")*4))),"""")"),"")</f>
        <v/>
      </c>
      <c r="L740" s="136" t="str">
        <f>IFERROR(__xludf.DUMMYFUNCTION("IFERROR((FILTER(Data!P:P,Data!D:D=A740,Data!B:B=$B$1)),"""")"),"")</f>
        <v/>
      </c>
      <c r="M740" s="137" t="str">
        <f>IFERROR(__xludf.DUMMYFUNCTION("IFERROR((FILTER(Data!A:A,Data!D:D=A740,Data!B:B=$B$1)),"""")"),"")</f>
        <v/>
      </c>
      <c r="T740" s="52">
        <f>IFERROR(__xludf.DUMMYFUNCTION("((COUNTIF(FILTER(Data!N:N,Data!D:D=A740,Data!B:B=$B$1),""TRAVERSE"")*15)+(COUNTIF(FILTER(Data!N:N,Data!D:D=A740,Data!B:B=B$1),""HIGH"")*10)+(COUNTIF(FILTER(Data!N:N,Data!D:D=A740,Data!B:B=$B$1),""MIDDLE"")*6)+(COUNTIF(FILTER(Data!N:N,Data!D:D=A740,Data!B:"&amp;"B=$B$1),""LOW"")*4))"),0.0)</f>
        <v>0</v>
      </c>
      <c r="V740" s="138" t="str">
        <f>IF(Data!B732='Team Parser'!$B$1, Data!D732,"")</f>
        <v/>
      </c>
      <c r="W740" s="134" t="str">
        <f>IF(Data!$B732='Team Parser'!$B$1, Data!H732,"")</f>
        <v/>
      </c>
      <c r="X740" s="134" t="str">
        <f>IF(Data!$B732='Team Parser'!$B$1, Data!G732,"")</f>
        <v/>
      </c>
      <c r="Y740" s="134" t="str">
        <f>IF(Data!$B732='Team Parser'!$B$1, Data!L732,"")</f>
        <v/>
      </c>
      <c r="Z740" s="134" t="str">
        <f>IF(Data!$B732='Team Parser'!$B$1, Data!K732,"")</f>
        <v/>
      </c>
      <c r="AA740" s="134" t="str">
        <f>IF(Data!$B732='Team Parser'!$B$1, Data!M732,"")</f>
        <v/>
      </c>
      <c r="AB740" s="134" t="str">
        <f>IF(Data!$B732='Team Parser'!$B$1,((Z740*2)+(Y740)+(X740*4)+(W740*2)),"")</f>
        <v/>
      </c>
      <c r="AC740" s="134" t="str">
        <f>IF(Data!$B732='Team Parser'!$B$1, Data!N732,"")</f>
        <v/>
      </c>
      <c r="AD740" s="139" t="str">
        <f>IF(Data!$B732='Team Parser'!$B$1,(AB740+(COUNTIF(AC740,"TRAVERSE")*15)+(COUNTIF(AC740,"HIGH")*10)+(COUNTIF(AC740,"MIDDLE")*6)+(COUNTIF(AC740,"LOW")*4)),"")</f>
        <v/>
      </c>
    </row>
    <row r="741">
      <c r="A741" s="141" t="s">
        <v>507</v>
      </c>
      <c r="B741" s="134" t="str">
        <f>IFERROR(__xludf.DUMMYFUNCTION("IFERROR((FILTER(Data!H:H,Data!D:D=A741,Data!B:B=$B$1)),"""")"),"")</f>
        <v/>
      </c>
      <c r="C741" s="134" t="str">
        <f>IFERROR(__xludf.DUMMYFUNCTION("IFERROR((FILTER(Data!G:G,Data!D:D=A741,Data!B:B=$B$1)),"""")"),"")</f>
        <v/>
      </c>
      <c r="D741" s="134" t="str">
        <f>IFERROR(__xludf.DUMMYFUNCTION("IFERROR((FILTER(Data!J:J,Data!D:D=A741,Data!B:B=$B$1)),"""")"),"")</f>
        <v/>
      </c>
      <c r="E741" s="134" t="str">
        <f>IFERROR(__xludf.DUMMYFUNCTION("IFERROR((FILTER(Data!L:L,Data!D:D=A741,Data!B:B=$B$1)),"""")"),"")</f>
        <v/>
      </c>
      <c r="F741" s="134" t="str">
        <f>IFERROR(__xludf.DUMMYFUNCTION("IFERROR((FILTER(Data!K:K,Data!D:D=A741,Data!B:B=$B$1)),"""")"),"")</f>
        <v/>
      </c>
      <c r="G741" s="134" t="str">
        <f>IFERROR(__xludf.DUMMYFUNCTION("IFERROR((FILTER(Data!M:M,Data!D:D=A741,Data!B:B=$B$1)),"""")"),"")</f>
        <v/>
      </c>
      <c r="H741" s="134" t="str">
        <f>IFERROR(__xludf.DUMMYFUNCTION("IFERROR((FILTER(Data!G:G,Data!D:D=A741,Data!B:B=$B$1)*4)+(FILTER(Data!H:H,Data!D:D=A741,Data!B:B=$B$1)*2),"""")"),"")</f>
        <v/>
      </c>
      <c r="I741" s="15" t="str">
        <f>IFERROR(__xludf.DUMMYFUNCTION("IFERROR((FILTER(Data!K:K,Data!D:D=A741,Data!B:B=$B$1)*2)+(FILTER(Data!L:L,Data!D:D=A741,Data!B:B=$B$1)),"""")"),"")</f>
        <v/>
      </c>
      <c r="J741" s="134" t="str">
        <f>IFERROR(__xludf.DUMMYFUNCTION("IFERROR((FILTER(Data!N:N,Data!D:D=A741,Data!B:B=$B$1)),"""")"),"")</f>
        <v/>
      </c>
      <c r="K741" s="135" t="str">
        <f>IFERROR(__xludf.DUMMYFUNCTION("IFERROR((FILTER(Data!H:H,Data!D:D=A741,Data!B:B=$B$1)*2)+(FILTER(Data!L:L,Data!D:D=A741,Data!B:B=$B$1))+(FILTER(Data!G:G,Data!D:D=A741,Data!B:B=$B$1)*4)+(FILTER(Data!K:K,Data!D:D=A741,Data!B:B=$B$1)*2)+(((COUNTIF(FILTER(Data!N:N,Data!D:D=A741,Data!B:B=$B$"&amp;"1),""TRAVERSE"")*15)+(COUNTIF(FILTER(Data!N:N,Data!D:D=A741,Data!B:B=$B$1),""HIGH"")*10)+(COUNTIF(FILTER(Data!N:N,Data!D:D=A741,Data!B:B=$B$1),""MIDDLE"")*6)+(COUNTIF(FILTER(Data!N:N,Data!D:D=A741,Data!B:B=$B$1),""LOW"")*4))),"""")"),"")</f>
        <v/>
      </c>
      <c r="L741" s="136" t="str">
        <f>IFERROR(__xludf.DUMMYFUNCTION("IFERROR((FILTER(Data!P:P,Data!D:D=A741,Data!B:B=$B$1)),"""")"),"")</f>
        <v/>
      </c>
      <c r="M741" s="137" t="str">
        <f>IFERROR(__xludf.DUMMYFUNCTION("IFERROR((FILTER(Data!A:A,Data!D:D=A741,Data!B:B=$B$1)),"""")"),"")</f>
        <v/>
      </c>
      <c r="T741" s="52">
        <f>IFERROR(__xludf.DUMMYFUNCTION("((COUNTIF(FILTER(Data!N:N,Data!D:D=A741,Data!B:B=$B$1),""TRAVERSE"")*15)+(COUNTIF(FILTER(Data!N:N,Data!D:D=A741,Data!B:B=B$1),""HIGH"")*10)+(COUNTIF(FILTER(Data!N:N,Data!D:D=A741,Data!B:B=$B$1),""MIDDLE"")*6)+(COUNTIF(FILTER(Data!N:N,Data!D:D=A741,Data!B:"&amp;"B=$B$1),""LOW"")*4))"),0.0)</f>
        <v>0</v>
      </c>
      <c r="V741" s="138" t="str">
        <f>IF(Data!B733='Team Parser'!$B$1, Data!D733,"")</f>
        <v/>
      </c>
      <c r="W741" s="134" t="str">
        <f>IF(Data!$B733='Team Parser'!$B$1, Data!H733,"")</f>
        <v/>
      </c>
      <c r="X741" s="134" t="str">
        <f>IF(Data!$B733='Team Parser'!$B$1, Data!G733,"")</f>
        <v/>
      </c>
      <c r="Y741" s="134" t="str">
        <f>IF(Data!$B733='Team Parser'!$B$1, Data!L733,"")</f>
        <v/>
      </c>
      <c r="Z741" s="134" t="str">
        <f>IF(Data!$B733='Team Parser'!$B$1, Data!K733,"")</f>
        <v/>
      </c>
      <c r="AA741" s="134" t="str">
        <f>IF(Data!$B733='Team Parser'!$B$1, Data!M733,"")</f>
        <v/>
      </c>
      <c r="AB741" s="134" t="str">
        <f>IF(Data!$B733='Team Parser'!$B$1,((Z741*2)+(Y741)+(X741*4)+(W741*2)),"")</f>
        <v/>
      </c>
      <c r="AC741" s="134" t="str">
        <f>IF(Data!$B733='Team Parser'!$B$1, Data!N733,"")</f>
        <v/>
      </c>
      <c r="AD741" s="139" t="str">
        <f>IF(Data!$B733='Team Parser'!$B$1,(AB741+(COUNTIF(AC741,"TRAVERSE")*15)+(COUNTIF(AC741,"HIGH")*10)+(COUNTIF(AC741,"MIDDLE")*6)+(COUNTIF(AC741,"LOW")*4)),"")</f>
        <v/>
      </c>
    </row>
    <row r="742">
      <c r="A742" s="141" t="s">
        <v>507</v>
      </c>
      <c r="B742" s="134" t="str">
        <f>IFERROR(__xludf.DUMMYFUNCTION("IFERROR((FILTER(Data!H:H,Data!D:D=A742,Data!B:B=$B$1)),"""")"),"")</f>
        <v/>
      </c>
      <c r="C742" s="134" t="str">
        <f>IFERROR(__xludf.DUMMYFUNCTION("IFERROR((FILTER(Data!G:G,Data!D:D=A742,Data!B:B=$B$1)),"""")"),"")</f>
        <v/>
      </c>
      <c r="D742" s="134" t="str">
        <f>IFERROR(__xludf.DUMMYFUNCTION("IFERROR((FILTER(Data!J:J,Data!D:D=A742,Data!B:B=$B$1)),"""")"),"")</f>
        <v/>
      </c>
      <c r="E742" s="134" t="str">
        <f>IFERROR(__xludf.DUMMYFUNCTION("IFERROR((FILTER(Data!L:L,Data!D:D=A742,Data!B:B=$B$1)),"""")"),"")</f>
        <v/>
      </c>
      <c r="F742" s="134" t="str">
        <f>IFERROR(__xludf.DUMMYFUNCTION("IFERROR((FILTER(Data!K:K,Data!D:D=A742,Data!B:B=$B$1)),"""")"),"")</f>
        <v/>
      </c>
      <c r="G742" s="134" t="str">
        <f>IFERROR(__xludf.DUMMYFUNCTION("IFERROR((FILTER(Data!M:M,Data!D:D=A742,Data!B:B=$B$1)),"""")"),"")</f>
        <v/>
      </c>
      <c r="H742" s="134" t="str">
        <f>IFERROR(__xludf.DUMMYFUNCTION("IFERROR((FILTER(Data!G:G,Data!D:D=A742,Data!B:B=$B$1)*4)+(FILTER(Data!H:H,Data!D:D=A742,Data!B:B=$B$1)*2),"""")"),"")</f>
        <v/>
      </c>
      <c r="I742" s="15" t="str">
        <f>IFERROR(__xludf.DUMMYFUNCTION("IFERROR((FILTER(Data!K:K,Data!D:D=A742,Data!B:B=$B$1)*2)+(FILTER(Data!L:L,Data!D:D=A742,Data!B:B=$B$1)),"""")"),"")</f>
        <v/>
      </c>
      <c r="J742" s="134" t="str">
        <f>IFERROR(__xludf.DUMMYFUNCTION("IFERROR((FILTER(Data!N:N,Data!D:D=A742,Data!B:B=$B$1)),"""")"),"")</f>
        <v/>
      </c>
      <c r="K742" s="135" t="str">
        <f>IFERROR(__xludf.DUMMYFUNCTION("IFERROR((FILTER(Data!H:H,Data!D:D=A742,Data!B:B=$B$1)*2)+(FILTER(Data!L:L,Data!D:D=A742,Data!B:B=$B$1))+(FILTER(Data!G:G,Data!D:D=A742,Data!B:B=$B$1)*4)+(FILTER(Data!K:K,Data!D:D=A742,Data!B:B=$B$1)*2)+(((COUNTIF(FILTER(Data!N:N,Data!D:D=A742,Data!B:B=$B$"&amp;"1),""TRAVERSE"")*15)+(COUNTIF(FILTER(Data!N:N,Data!D:D=A742,Data!B:B=$B$1),""HIGH"")*10)+(COUNTIF(FILTER(Data!N:N,Data!D:D=A742,Data!B:B=$B$1),""MIDDLE"")*6)+(COUNTIF(FILTER(Data!N:N,Data!D:D=A742,Data!B:B=$B$1),""LOW"")*4))),"""")"),"")</f>
        <v/>
      </c>
      <c r="L742" s="136" t="str">
        <f>IFERROR(__xludf.DUMMYFUNCTION("IFERROR((FILTER(Data!P:P,Data!D:D=A742,Data!B:B=$B$1)),"""")"),"")</f>
        <v/>
      </c>
      <c r="M742" s="137" t="str">
        <f>IFERROR(__xludf.DUMMYFUNCTION("IFERROR((FILTER(Data!A:A,Data!D:D=A742,Data!B:B=$B$1)),"""")"),"")</f>
        <v/>
      </c>
      <c r="T742" s="52">
        <f>IFERROR(__xludf.DUMMYFUNCTION("((COUNTIF(FILTER(Data!N:N,Data!D:D=A742,Data!B:B=$B$1),""TRAVERSE"")*15)+(COUNTIF(FILTER(Data!N:N,Data!D:D=A742,Data!B:B=B$1),""HIGH"")*10)+(COUNTIF(FILTER(Data!N:N,Data!D:D=A742,Data!B:B=$B$1),""MIDDLE"")*6)+(COUNTIF(FILTER(Data!N:N,Data!D:D=A742,Data!B:"&amp;"B=$B$1),""LOW"")*4))"),0.0)</f>
        <v>0</v>
      </c>
      <c r="V742" s="138" t="str">
        <f>IF(Data!B734='Team Parser'!$B$1, Data!D734,"")</f>
        <v/>
      </c>
      <c r="W742" s="134" t="str">
        <f>IF(Data!$B734='Team Parser'!$B$1, Data!H734,"")</f>
        <v/>
      </c>
      <c r="X742" s="134" t="str">
        <f>IF(Data!$B734='Team Parser'!$B$1, Data!G734,"")</f>
        <v/>
      </c>
      <c r="Y742" s="134" t="str">
        <f>IF(Data!$B734='Team Parser'!$B$1, Data!L734,"")</f>
        <v/>
      </c>
      <c r="Z742" s="134" t="str">
        <f>IF(Data!$B734='Team Parser'!$B$1, Data!K734,"")</f>
        <v/>
      </c>
      <c r="AA742" s="134" t="str">
        <f>IF(Data!$B734='Team Parser'!$B$1, Data!M734,"")</f>
        <v/>
      </c>
      <c r="AB742" s="134" t="str">
        <f>IF(Data!$B734='Team Parser'!$B$1,((Z742*2)+(Y742)+(X742*4)+(W742*2)),"")</f>
        <v/>
      </c>
      <c r="AC742" s="134" t="str">
        <f>IF(Data!$B734='Team Parser'!$B$1, Data!N734,"")</f>
        <v/>
      </c>
      <c r="AD742" s="139" t="str">
        <f>IF(Data!$B734='Team Parser'!$B$1,(AB742+(COUNTIF(AC742,"TRAVERSE")*15)+(COUNTIF(AC742,"HIGH")*10)+(COUNTIF(AC742,"MIDDLE")*6)+(COUNTIF(AC742,"LOW")*4)),"")</f>
        <v/>
      </c>
    </row>
    <row r="743">
      <c r="A743" s="141" t="s">
        <v>507</v>
      </c>
      <c r="B743" s="134" t="str">
        <f>IFERROR(__xludf.DUMMYFUNCTION("IFERROR((FILTER(Data!H:H,Data!D:D=A743,Data!B:B=$B$1)),"""")"),"")</f>
        <v/>
      </c>
      <c r="C743" s="134" t="str">
        <f>IFERROR(__xludf.DUMMYFUNCTION("IFERROR((FILTER(Data!G:G,Data!D:D=A743,Data!B:B=$B$1)),"""")"),"")</f>
        <v/>
      </c>
      <c r="D743" s="134" t="str">
        <f>IFERROR(__xludf.DUMMYFUNCTION("IFERROR((FILTER(Data!J:J,Data!D:D=A743,Data!B:B=$B$1)),"""")"),"")</f>
        <v/>
      </c>
      <c r="E743" s="134" t="str">
        <f>IFERROR(__xludf.DUMMYFUNCTION("IFERROR((FILTER(Data!L:L,Data!D:D=A743,Data!B:B=$B$1)),"""")"),"")</f>
        <v/>
      </c>
      <c r="F743" s="134" t="str">
        <f>IFERROR(__xludf.DUMMYFUNCTION("IFERROR((FILTER(Data!K:K,Data!D:D=A743,Data!B:B=$B$1)),"""")"),"")</f>
        <v/>
      </c>
      <c r="G743" s="134" t="str">
        <f>IFERROR(__xludf.DUMMYFUNCTION("IFERROR((FILTER(Data!M:M,Data!D:D=A743,Data!B:B=$B$1)),"""")"),"")</f>
        <v/>
      </c>
      <c r="H743" s="134" t="str">
        <f>IFERROR(__xludf.DUMMYFUNCTION("IFERROR((FILTER(Data!G:G,Data!D:D=A743,Data!B:B=$B$1)*4)+(FILTER(Data!H:H,Data!D:D=A743,Data!B:B=$B$1)*2),"""")"),"")</f>
        <v/>
      </c>
      <c r="I743" s="15" t="str">
        <f>IFERROR(__xludf.DUMMYFUNCTION("IFERROR((FILTER(Data!K:K,Data!D:D=A743,Data!B:B=$B$1)*2)+(FILTER(Data!L:L,Data!D:D=A743,Data!B:B=$B$1)),"""")"),"")</f>
        <v/>
      </c>
      <c r="J743" s="134" t="str">
        <f>IFERROR(__xludf.DUMMYFUNCTION("IFERROR((FILTER(Data!N:N,Data!D:D=A743,Data!B:B=$B$1)),"""")"),"")</f>
        <v/>
      </c>
      <c r="K743" s="135" t="str">
        <f>IFERROR(__xludf.DUMMYFUNCTION("IFERROR((FILTER(Data!H:H,Data!D:D=A743,Data!B:B=$B$1)*2)+(FILTER(Data!L:L,Data!D:D=A743,Data!B:B=$B$1))+(FILTER(Data!G:G,Data!D:D=A743,Data!B:B=$B$1)*4)+(FILTER(Data!K:K,Data!D:D=A743,Data!B:B=$B$1)*2)+(((COUNTIF(FILTER(Data!N:N,Data!D:D=A743,Data!B:B=$B$"&amp;"1),""TRAVERSE"")*15)+(COUNTIF(FILTER(Data!N:N,Data!D:D=A743,Data!B:B=$B$1),""HIGH"")*10)+(COUNTIF(FILTER(Data!N:N,Data!D:D=A743,Data!B:B=$B$1),""MIDDLE"")*6)+(COUNTIF(FILTER(Data!N:N,Data!D:D=A743,Data!B:B=$B$1),""LOW"")*4))),"""")"),"")</f>
        <v/>
      </c>
      <c r="L743" s="136" t="str">
        <f>IFERROR(__xludf.DUMMYFUNCTION("IFERROR((FILTER(Data!P:P,Data!D:D=A743,Data!B:B=$B$1)),"""")"),"")</f>
        <v/>
      </c>
      <c r="M743" s="137" t="str">
        <f>IFERROR(__xludf.DUMMYFUNCTION("IFERROR((FILTER(Data!A:A,Data!D:D=A743,Data!B:B=$B$1)),"""")"),"")</f>
        <v/>
      </c>
      <c r="T743" s="52">
        <f>IFERROR(__xludf.DUMMYFUNCTION("((COUNTIF(FILTER(Data!N:N,Data!D:D=A743,Data!B:B=$B$1),""TRAVERSE"")*15)+(COUNTIF(FILTER(Data!N:N,Data!D:D=A743,Data!B:B=B$1),""HIGH"")*10)+(COUNTIF(FILTER(Data!N:N,Data!D:D=A743,Data!B:B=$B$1),""MIDDLE"")*6)+(COUNTIF(FILTER(Data!N:N,Data!D:D=A743,Data!B:"&amp;"B=$B$1),""LOW"")*4))"),0.0)</f>
        <v>0</v>
      </c>
      <c r="V743" s="138" t="str">
        <f>IF(Data!B735='Team Parser'!$B$1, Data!D735,"")</f>
        <v/>
      </c>
      <c r="W743" s="134" t="str">
        <f>IF(Data!$B735='Team Parser'!$B$1, Data!H735,"")</f>
        <v/>
      </c>
      <c r="X743" s="134" t="str">
        <f>IF(Data!$B735='Team Parser'!$B$1, Data!G735,"")</f>
        <v/>
      </c>
      <c r="Y743" s="134" t="str">
        <f>IF(Data!$B735='Team Parser'!$B$1, Data!L735,"")</f>
        <v/>
      </c>
      <c r="Z743" s="134" t="str">
        <f>IF(Data!$B735='Team Parser'!$B$1, Data!K735,"")</f>
        <v/>
      </c>
      <c r="AA743" s="134" t="str">
        <f>IF(Data!$B735='Team Parser'!$B$1, Data!M735,"")</f>
        <v/>
      </c>
      <c r="AB743" s="134" t="str">
        <f>IF(Data!$B735='Team Parser'!$B$1,((Z743*2)+(Y743)+(X743*4)+(W743*2)),"")</f>
        <v/>
      </c>
      <c r="AC743" s="134" t="str">
        <f>IF(Data!$B735='Team Parser'!$B$1, Data!N735,"")</f>
        <v/>
      </c>
      <c r="AD743" s="139" t="str">
        <f>IF(Data!$B735='Team Parser'!$B$1,(AB743+(COUNTIF(AC743,"TRAVERSE")*15)+(COUNTIF(AC743,"HIGH")*10)+(COUNTIF(AC743,"MIDDLE")*6)+(COUNTIF(AC743,"LOW")*4)),"")</f>
        <v/>
      </c>
    </row>
    <row r="744">
      <c r="A744" s="141" t="s">
        <v>507</v>
      </c>
      <c r="B744" s="134" t="str">
        <f>IFERROR(__xludf.DUMMYFUNCTION("IFERROR((FILTER(Data!H:H,Data!D:D=A744,Data!B:B=$B$1)),"""")"),"")</f>
        <v/>
      </c>
      <c r="C744" s="134" t="str">
        <f>IFERROR(__xludf.DUMMYFUNCTION("IFERROR((FILTER(Data!G:G,Data!D:D=A744,Data!B:B=$B$1)),"""")"),"")</f>
        <v/>
      </c>
      <c r="D744" s="134" t="str">
        <f>IFERROR(__xludf.DUMMYFUNCTION("IFERROR((FILTER(Data!J:J,Data!D:D=A744,Data!B:B=$B$1)),"""")"),"")</f>
        <v/>
      </c>
      <c r="E744" s="134" t="str">
        <f>IFERROR(__xludf.DUMMYFUNCTION("IFERROR((FILTER(Data!L:L,Data!D:D=A744,Data!B:B=$B$1)),"""")"),"")</f>
        <v/>
      </c>
      <c r="F744" s="134" t="str">
        <f>IFERROR(__xludf.DUMMYFUNCTION("IFERROR((FILTER(Data!K:K,Data!D:D=A744,Data!B:B=$B$1)),"""")"),"")</f>
        <v/>
      </c>
      <c r="G744" s="134" t="str">
        <f>IFERROR(__xludf.DUMMYFUNCTION("IFERROR((FILTER(Data!M:M,Data!D:D=A744,Data!B:B=$B$1)),"""")"),"")</f>
        <v/>
      </c>
      <c r="H744" s="134" t="str">
        <f>IFERROR(__xludf.DUMMYFUNCTION("IFERROR((FILTER(Data!G:G,Data!D:D=A744,Data!B:B=$B$1)*4)+(FILTER(Data!H:H,Data!D:D=A744,Data!B:B=$B$1)*2),"""")"),"")</f>
        <v/>
      </c>
      <c r="I744" s="15" t="str">
        <f>IFERROR(__xludf.DUMMYFUNCTION("IFERROR((FILTER(Data!K:K,Data!D:D=A744,Data!B:B=$B$1)*2)+(FILTER(Data!L:L,Data!D:D=A744,Data!B:B=$B$1)),"""")"),"")</f>
        <v/>
      </c>
      <c r="J744" s="134" t="str">
        <f>IFERROR(__xludf.DUMMYFUNCTION("IFERROR((FILTER(Data!N:N,Data!D:D=A744,Data!B:B=$B$1)),"""")"),"")</f>
        <v/>
      </c>
      <c r="K744" s="135" t="str">
        <f>IFERROR(__xludf.DUMMYFUNCTION("IFERROR((FILTER(Data!H:H,Data!D:D=A744,Data!B:B=$B$1)*2)+(FILTER(Data!L:L,Data!D:D=A744,Data!B:B=$B$1))+(FILTER(Data!G:G,Data!D:D=A744,Data!B:B=$B$1)*4)+(FILTER(Data!K:K,Data!D:D=A744,Data!B:B=$B$1)*2)+(((COUNTIF(FILTER(Data!N:N,Data!D:D=A744,Data!B:B=$B$"&amp;"1),""TRAVERSE"")*15)+(COUNTIF(FILTER(Data!N:N,Data!D:D=A744,Data!B:B=$B$1),""HIGH"")*10)+(COUNTIF(FILTER(Data!N:N,Data!D:D=A744,Data!B:B=$B$1),""MIDDLE"")*6)+(COUNTIF(FILTER(Data!N:N,Data!D:D=A744,Data!B:B=$B$1),""LOW"")*4))),"""")"),"")</f>
        <v/>
      </c>
      <c r="L744" s="136" t="str">
        <f>IFERROR(__xludf.DUMMYFUNCTION("IFERROR((FILTER(Data!P:P,Data!D:D=A744,Data!B:B=$B$1)),"""")"),"")</f>
        <v/>
      </c>
      <c r="M744" s="137" t="str">
        <f>IFERROR(__xludf.DUMMYFUNCTION("IFERROR((FILTER(Data!A:A,Data!D:D=A744,Data!B:B=$B$1)),"""")"),"")</f>
        <v/>
      </c>
      <c r="T744" s="52">
        <f>IFERROR(__xludf.DUMMYFUNCTION("((COUNTIF(FILTER(Data!N:N,Data!D:D=A744,Data!B:B=$B$1),""TRAVERSE"")*15)+(COUNTIF(FILTER(Data!N:N,Data!D:D=A744,Data!B:B=B$1),""HIGH"")*10)+(COUNTIF(FILTER(Data!N:N,Data!D:D=A744,Data!B:B=$B$1),""MIDDLE"")*6)+(COUNTIF(FILTER(Data!N:N,Data!D:D=A744,Data!B:"&amp;"B=$B$1),""LOW"")*4))"),0.0)</f>
        <v>0</v>
      </c>
      <c r="V744" s="138" t="str">
        <f>IF(Data!B736='Team Parser'!$B$1, Data!D736,"")</f>
        <v/>
      </c>
      <c r="W744" s="134" t="str">
        <f>IF(Data!$B736='Team Parser'!$B$1, Data!H736,"")</f>
        <v/>
      </c>
      <c r="X744" s="134" t="str">
        <f>IF(Data!$B736='Team Parser'!$B$1, Data!G736,"")</f>
        <v/>
      </c>
      <c r="Y744" s="134" t="str">
        <f>IF(Data!$B736='Team Parser'!$B$1, Data!L736,"")</f>
        <v/>
      </c>
      <c r="Z744" s="134" t="str">
        <f>IF(Data!$B736='Team Parser'!$B$1, Data!K736,"")</f>
        <v/>
      </c>
      <c r="AA744" s="134" t="str">
        <f>IF(Data!$B736='Team Parser'!$B$1, Data!M736,"")</f>
        <v/>
      </c>
      <c r="AB744" s="134" t="str">
        <f>IF(Data!$B736='Team Parser'!$B$1,((Z744*2)+(Y744)+(X744*4)+(W744*2)),"")</f>
        <v/>
      </c>
      <c r="AC744" s="134" t="str">
        <f>IF(Data!$B736='Team Parser'!$B$1, Data!N736,"")</f>
        <v/>
      </c>
      <c r="AD744" s="139" t="str">
        <f>IF(Data!$B736='Team Parser'!$B$1,(AB744+(COUNTIF(AC744,"TRAVERSE")*15)+(COUNTIF(AC744,"HIGH")*10)+(COUNTIF(AC744,"MIDDLE")*6)+(COUNTIF(AC744,"LOW")*4)),"")</f>
        <v/>
      </c>
    </row>
    <row r="745">
      <c r="A745" s="141" t="s">
        <v>507</v>
      </c>
      <c r="B745" s="134" t="str">
        <f>IFERROR(__xludf.DUMMYFUNCTION("IFERROR((FILTER(Data!H:H,Data!D:D=A745,Data!B:B=$B$1)),"""")"),"")</f>
        <v/>
      </c>
      <c r="C745" s="134" t="str">
        <f>IFERROR(__xludf.DUMMYFUNCTION("IFERROR((FILTER(Data!G:G,Data!D:D=A745,Data!B:B=$B$1)),"""")"),"")</f>
        <v/>
      </c>
      <c r="D745" s="134" t="str">
        <f>IFERROR(__xludf.DUMMYFUNCTION("IFERROR((FILTER(Data!J:J,Data!D:D=A745,Data!B:B=$B$1)),"""")"),"")</f>
        <v/>
      </c>
      <c r="E745" s="134" t="str">
        <f>IFERROR(__xludf.DUMMYFUNCTION("IFERROR((FILTER(Data!L:L,Data!D:D=A745,Data!B:B=$B$1)),"""")"),"")</f>
        <v/>
      </c>
      <c r="F745" s="134" t="str">
        <f>IFERROR(__xludf.DUMMYFUNCTION("IFERROR((FILTER(Data!K:K,Data!D:D=A745,Data!B:B=$B$1)),"""")"),"")</f>
        <v/>
      </c>
      <c r="G745" s="134" t="str">
        <f>IFERROR(__xludf.DUMMYFUNCTION("IFERROR((FILTER(Data!M:M,Data!D:D=A745,Data!B:B=$B$1)),"""")"),"")</f>
        <v/>
      </c>
      <c r="H745" s="134" t="str">
        <f>IFERROR(__xludf.DUMMYFUNCTION("IFERROR((FILTER(Data!G:G,Data!D:D=A745,Data!B:B=$B$1)*4)+(FILTER(Data!H:H,Data!D:D=A745,Data!B:B=$B$1)*2),"""")"),"")</f>
        <v/>
      </c>
      <c r="I745" s="15" t="str">
        <f>IFERROR(__xludf.DUMMYFUNCTION("IFERROR((FILTER(Data!K:K,Data!D:D=A745,Data!B:B=$B$1)*2)+(FILTER(Data!L:L,Data!D:D=A745,Data!B:B=$B$1)),"""")"),"")</f>
        <v/>
      </c>
      <c r="J745" s="134" t="str">
        <f>IFERROR(__xludf.DUMMYFUNCTION("IFERROR((FILTER(Data!N:N,Data!D:D=A745,Data!B:B=$B$1)),"""")"),"")</f>
        <v/>
      </c>
      <c r="K745" s="135" t="str">
        <f>IFERROR(__xludf.DUMMYFUNCTION("IFERROR((FILTER(Data!H:H,Data!D:D=A745,Data!B:B=$B$1)*2)+(FILTER(Data!L:L,Data!D:D=A745,Data!B:B=$B$1))+(FILTER(Data!G:G,Data!D:D=A745,Data!B:B=$B$1)*4)+(FILTER(Data!K:K,Data!D:D=A745,Data!B:B=$B$1)*2)+(((COUNTIF(FILTER(Data!N:N,Data!D:D=A745,Data!B:B=$B$"&amp;"1),""TRAVERSE"")*15)+(COUNTIF(FILTER(Data!N:N,Data!D:D=A745,Data!B:B=$B$1),""HIGH"")*10)+(COUNTIF(FILTER(Data!N:N,Data!D:D=A745,Data!B:B=$B$1),""MIDDLE"")*6)+(COUNTIF(FILTER(Data!N:N,Data!D:D=A745,Data!B:B=$B$1),""LOW"")*4))),"""")"),"")</f>
        <v/>
      </c>
      <c r="L745" s="136" t="str">
        <f>IFERROR(__xludf.DUMMYFUNCTION("IFERROR((FILTER(Data!P:P,Data!D:D=A745,Data!B:B=$B$1)),"""")"),"")</f>
        <v/>
      </c>
      <c r="M745" s="137" t="str">
        <f>IFERROR(__xludf.DUMMYFUNCTION("IFERROR((FILTER(Data!A:A,Data!D:D=A745,Data!B:B=$B$1)),"""")"),"")</f>
        <v/>
      </c>
      <c r="T745" s="52">
        <f>IFERROR(__xludf.DUMMYFUNCTION("((COUNTIF(FILTER(Data!N:N,Data!D:D=A745,Data!B:B=$B$1),""TRAVERSE"")*15)+(COUNTIF(FILTER(Data!N:N,Data!D:D=A745,Data!B:B=B$1),""HIGH"")*10)+(COUNTIF(FILTER(Data!N:N,Data!D:D=A745,Data!B:B=$B$1),""MIDDLE"")*6)+(COUNTIF(FILTER(Data!N:N,Data!D:D=A745,Data!B:"&amp;"B=$B$1),""LOW"")*4))"),0.0)</f>
        <v>0</v>
      </c>
      <c r="V745" s="138" t="str">
        <f>IF(Data!B737='Team Parser'!$B$1, Data!D737,"")</f>
        <v/>
      </c>
      <c r="W745" s="134" t="str">
        <f>IF(Data!$B737='Team Parser'!$B$1, Data!H737,"")</f>
        <v/>
      </c>
      <c r="X745" s="134" t="str">
        <f>IF(Data!$B737='Team Parser'!$B$1, Data!G737,"")</f>
        <v/>
      </c>
      <c r="Y745" s="134" t="str">
        <f>IF(Data!$B737='Team Parser'!$B$1, Data!L737,"")</f>
        <v/>
      </c>
      <c r="Z745" s="134" t="str">
        <f>IF(Data!$B737='Team Parser'!$B$1, Data!K737,"")</f>
        <v/>
      </c>
      <c r="AA745" s="134" t="str">
        <f>IF(Data!$B737='Team Parser'!$B$1, Data!M737,"")</f>
        <v/>
      </c>
      <c r="AB745" s="134" t="str">
        <f>IF(Data!$B737='Team Parser'!$B$1,((Z745*2)+(Y745)+(X745*4)+(W745*2)),"")</f>
        <v/>
      </c>
      <c r="AC745" s="134" t="str">
        <f>IF(Data!$B737='Team Parser'!$B$1, Data!N737,"")</f>
        <v/>
      </c>
      <c r="AD745" s="139" t="str">
        <f>IF(Data!$B737='Team Parser'!$B$1,(AB745+(COUNTIF(AC745,"TRAVERSE")*15)+(COUNTIF(AC745,"HIGH")*10)+(COUNTIF(AC745,"MIDDLE")*6)+(COUNTIF(AC745,"LOW")*4)),"")</f>
        <v/>
      </c>
    </row>
    <row r="746">
      <c r="A746" s="141" t="s">
        <v>507</v>
      </c>
      <c r="B746" s="134" t="str">
        <f>IFERROR(__xludf.DUMMYFUNCTION("IFERROR((FILTER(Data!H:H,Data!D:D=A746,Data!B:B=$B$1)),"""")"),"")</f>
        <v/>
      </c>
      <c r="C746" s="134" t="str">
        <f>IFERROR(__xludf.DUMMYFUNCTION("IFERROR((FILTER(Data!G:G,Data!D:D=A746,Data!B:B=$B$1)),"""")"),"")</f>
        <v/>
      </c>
      <c r="D746" s="134" t="str">
        <f>IFERROR(__xludf.DUMMYFUNCTION("IFERROR((FILTER(Data!J:J,Data!D:D=A746,Data!B:B=$B$1)),"""")"),"")</f>
        <v/>
      </c>
      <c r="E746" s="134" t="str">
        <f>IFERROR(__xludf.DUMMYFUNCTION("IFERROR((FILTER(Data!L:L,Data!D:D=A746,Data!B:B=$B$1)),"""")"),"")</f>
        <v/>
      </c>
      <c r="F746" s="134" t="str">
        <f>IFERROR(__xludf.DUMMYFUNCTION("IFERROR((FILTER(Data!K:K,Data!D:D=A746,Data!B:B=$B$1)),"""")"),"")</f>
        <v/>
      </c>
      <c r="G746" s="134" t="str">
        <f>IFERROR(__xludf.DUMMYFUNCTION("IFERROR((FILTER(Data!M:M,Data!D:D=A746,Data!B:B=$B$1)),"""")"),"")</f>
        <v/>
      </c>
      <c r="H746" s="134" t="str">
        <f>IFERROR(__xludf.DUMMYFUNCTION("IFERROR((FILTER(Data!G:G,Data!D:D=A746,Data!B:B=$B$1)*4)+(FILTER(Data!H:H,Data!D:D=A746,Data!B:B=$B$1)*2),"""")"),"")</f>
        <v/>
      </c>
      <c r="I746" s="15" t="str">
        <f>IFERROR(__xludf.DUMMYFUNCTION("IFERROR((FILTER(Data!K:K,Data!D:D=A746,Data!B:B=$B$1)*2)+(FILTER(Data!L:L,Data!D:D=A746,Data!B:B=$B$1)),"""")"),"")</f>
        <v/>
      </c>
      <c r="J746" s="134" t="str">
        <f>IFERROR(__xludf.DUMMYFUNCTION("IFERROR((FILTER(Data!N:N,Data!D:D=A746,Data!B:B=$B$1)),"""")"),"")</f>
        <v/>
      </c>
      <c r="K746" s="135" t="str">
        <f>IFERROR(__xludf.DUMMYFUNCTION("IFERROR((FILTER(Data!H:H,Data!D:D=A746,Data!B:B=$B$1)*2)+(FILTER(Data!L:L,Data!D:D=A746,Data!B:B=$B$1))+(FILTER(Data!G:G,Data!D:D=A746,Data!B:B=$B$1)*4)+(FILTER(Data!K:K,Data!D:D=A746,Data!B:B=$B$1)*2)+(((COUNTIF(FILTER(Data!N:N,Data!D:D=A746,Data!B:B=$B$"&amp;"1),""TRAVERSE"")*15)+(COUNTIF(FILTER(Data!N:N,Data!D:D=A746,Data!B:B=$B$1),""HIGH"")*10)+(COUNTIF(FILTER(Data!N:N,Data!D:D=A746,Data!B:B=$B$1),""MIDDLE"")*6)+(COUNTIF(FILTER(Data!N:N,Data!D:D=A746,Data!B:B=$B$1),""LOW"")*4))),"""")"),"")</f>
        <v/>
      </c>
      <c r="L746" s="136" t="str">
        <f>IFERROR(__xludf.DUMMYFUNCTION("IFERROR((FILTER(Data!P:P,Data!D:D=A746,Data!B:B=$B$1)),"""")"),"")</f>
        <v/>
      </c>
      <c r="M746" s="137" t="str">
        <f>IFERROR(__xludf.DUMMYFUNCTION("IFERROR((FILTER(Data!A:A,Data!D:D=A746,Data!B:B=$B$1)),"""")"),"")</f>
        <v/>
      </c>
      <c r="T746" s="52">
        <f>IFERROR(__xludf.DUMMYFUNCTION("((COUNTIF(FILTER(Data!N:N,Data!D:D=A746,Data!B:B=$B$1),""TRAVERSE"")*15)+(COUNTIF(FILTER(Data!N:N,Data!D:D=A746,Data!B:B=B$1),""HIGH"")*10)+(COUNTIF(FILTER(Data!N:N,Data!D:D=A746,Data!B:B=$B$1),""MIDDLE"")*6)+(COUNTIF(FILTER(Data!N:N,Data!D:D=A746,Data!B:"&amp;"B=$B$1),""LOW"")*4))"),0.0)</f>
        <v>0</v>
      </c>
      <c r="V746" s="138" t="str">
        <f>IF(Data!B738='Team Parser'!$B$1, Data!D738,"")</f>
        <v/>
      </c>
      <c r="W746" s="134" t="str">
        <f>IF(Data!$B738='Team Parser'!$B$1, Data!H738,"")</f>
        <v/>
      </c>
      <c r="X746" s="134" t="str">
        <f>IF(Data!$B738='Team Parser'!$B$1, Data!G738,"")</f>
        <v/>
      </c>
      <c r="Y746" s="134" t="str">
        <f>IF(Data!$B738='Team Parser'!$B$1, Data!L738,"")</f>
        <v/>
      </c>
      <c r="Z746" s="134" t="str">
        <f>IF(Data!$B738='Team Parser'!$B$1, Data!K738,"")</f>
        <v/>
      </c>
      <c r="AA746" s="134" t="str">
        <f>IF(Data!$B738='Team Parser'!$B$1, Data!M738,"")</f>
        <v/>
      </c>
      <c r="AB746" s="134" t="str">
        <f>IF(Data!$B738='Team Parser'!$B$1,((Z746*2)+(Y746)+(X746*4)+(W746*2)),"")</f>
        <v/>
      </c>
      <c r="AC746" s="134" t="str">
        <f>IF(Data!$B738='Team Parser'!$B$1, Data!N738,"")</f>
        <v/>
      </c>
      <c r="AD746" s="139" t="str">
        <f>IF(Data!$B738='Team Parser'!$B$1,(AB746+(COUNTIF(AC746,"TRAVERSE")*15)+(COUNTIF(AC746,"HIGH")*10)+(COUNTIF(AC746,"MIDDLE")*6)+(COUNTIF(AC746,"LOW")*4)),"")</f>
        <v/>
      </c>
    </row>
    <row r="747">
      <c r="A747" s="141" t="s">
        <v>507</v>
      </c>
      <c r="B747" s="134" t="str">
        <f>IFERROR(__xludf.DUMMYFUNCTION("IFERROR((FILTER(Data!H:H,Data!D:D=A747,Data!B:B=$B$1)),"""")"),"")</f>
        <v/>
      </c>
      <c r="C747" s="134" t="str">
        <f>IFERROR(__xludf.DUMMYFUNCTION("IFERROR((FILTER(Data!G:G,Data!D:D=A747,Data!B:B=$B$1)),"""")"),"")</f>
        <v/>
      </c>
      <c r="D747" s="134" t="str">
        <f>IFERROR(__xludf.DUMMYFUNCTION("IFERROR((FILTER(Data!J:J,Data!D:D=A747,Data!B:B=$B$1)),"""")"),"")</f>
        <v/>
      </c>
      <c r="E747" s="134" t="str">
        <f>IFERROR(__xludf.DUMMYFUNCTION("IFERROR((FILTER(Data!L:L,Data!D:D=A747,Data!B:B=$B$1)),"""")"),"")</f>
        <v/>
      </c>
      <c r="F747" s="134" t="str">
        <f>IFERROR(__xludf.DUMMYFUNCTION("IFERROR((FILTER(Data!K:K,Data!D:D=A747,Data!B:B=$B$1)),"""")"),"")</f>
        <v/>
      </c>
      <c r="G747" s="134" t="str">
        <f>IFERROR(__xludf.DUMMYFUNCTION("IFERROR((FILTER(Data!M:M,Data!D:D=A747,Data!B:B=$B$1)),"""")"),"")</f>
        <v/>
      </c>
      <c r="H747" s="134" t="str">
        <f>IFERROR(__xludf.DUMMYFUNCTION("IFERROR((FILTER(Data!G:G,Data!D:D=A747,Data!B:B=$B$1)*4)+(FILTER(Data!H:H,Data!D:D=A747,Data!B:B=$B$1)*2),"""")"),"")</f>
        <v/>
      </c>
      <c r="I747" s="15" t="str">
        <f>IFERROR(__xludf.DUMMYFUNCTION("IFERROR((FILTER(Data!K:K,Data!D:D=A747,Data!B:B=$B$1)*2)+(FILTER(Data!L:L,Data!D:D=A747,Data!B:B=$B$1)),"""")"),"")</f>
        <v/>
      </c>
      <c r="J747" s="134" t="str">
        <f>IFERROR(__xludf.DUMMYFUNCTION("IFERROR((FILTER(Data!N:N,Data!D:D=A747,Data!B:B=$B$1)),"""")"),"")</f>
        <v/>
      </c>
      <c r="K747" s="135" t="str">
        <f>IFERROR(__xludf.DUMMYFUNCTION("IFERROR((FILTER(Data!H:H,Data!D:D=A747,Data!B:B=$B$1)*2)+(FILTER(Data!L:L,Data!D:D=A747,Data!B:B=$B$1))+(FILTER(Data!G:G,Data!D:D=A747,Data!B:B=$B$1)*4)+(FILTER(Data!K:K,Data!D:D=A747,Data!B:B=$B$1)*2)+(((COUNTIF(FILTER(Data!N:N,Data!D:D=A747,Data!B:B=$B$"&amp;"1),""TRAVERSE"")*15)+(COUNTIF(FILTER(Data!N:N,Data!D:D=A747,Data!B:B=$B$1),""HIGH"")*10)+(COUNTIF(FILTER(Data!N:N,Data!D:D=A747,Data!B:B=$B$1),""MIDDLE"")*6)+(COUNTIF(FILTER(Data!N:N,Data!D:D=A747,Data!B:B=$B$1),""LOW"")*4))),"""")"),"")</f>
        <v/>
      </c>
      <c r="L747" s="136" t="str">
        <f>IFERROR(__xludf.DUMMYFUNCTION("IFERROR((FILTER(Data!P:P,Data!D:D=A747,Data!B:B=$B$1)),"""")"),"")</f>
        <v/>
      </c>
      <c r="M747" s="137" t="str">
        <f>IFERROR(__xludf.DUMMYFUNCTION("IFERROR((FILTER(Data!A:A,Data!D:D=A747,Data!B:B=$B$1)),"""")"),"")</f>
        <v/>
      </c>
      <c r="T747" s="52">
        <f>IFERROR(__xludf.DUMMYFUNCTION("((COUNTIF(FILTER(Data!N:N,Data!D:D=A747,Data!B:B=$B$1),""TRAVERSE"")*15)+(COUNTIF(FILTER(Data!N:N,Data!D:D=A747,Data!B:B=B$1),""HIGH"")*10)+(COUNTIF(FILTER(Data!N:N,Data!D:D=A747,Data!B:B=$B$1),""MIDDLE"")*6)+(COUNTIF(FILTER(Data!N:N,Data!D:D=A747,Data!B:"&amp;"B=$B$1),""LOW"")*4))"),0.0)</f>
        <v>0</v>
      </c>
      <c r="V747" s="138" t="str">
        <f>IF(Data!B739='Team Parser'!$B$1, Data!D739,"")</f>
        <v/>
      </c>
      <c r="W747" s="134" t="str">
        <f>IF(Data!$B739='Team Parser'!$B$1, Data!H739,"")</f>
        <v/>
      </c>
      <c r="X747" s="134" t="str">
        <f>IF(Data!$B739='Team Parser'!$B$1, Data!G739,"")</f>
        <v/>
      </c>
      <c r="Y747" s="134" t="str">
        <f>IF(Data!$B739='Team Parser'!$B$1, Data!L739,"")</f>
        <v/>
      </c>
      <c r="Z747" s="134" t="str">
        <f>IF(Data!$B739='Team Parser'!$B$1, Data!K739,"")</f>
        <v/>
      </c>
      <c r="AA747" s="134" t="str">
        <f>IF(Data!$B739='Team Parser'!$B$1, Data!M739,"")</f>
        <v/>
      </c>
      <c r="AB747" s="134" t="str">
        <f>IF(Data!$B739='Team Parser'!$B$1,((Z747*2)+(Y747)+(X747*4)+(W747*2)),"")</f>
        <v/>
      </c>
      <c r="AC747" s="134" t="str">
        <f>IF(Data!$B739='Team Parser'!$B$1, Data!N739,"")</f>
        <v/>
      </c>
      <c r="AD747" s="139" t="str">
        <f>IF(Data!$B739='Team Parser'!$B$1,(AB747+(COUNTIF(AC747,"TRAVERSE")*15)+(COUNTIF(AC747,"HIGH")*10)+(COUNTIF(AC747,"MIDDLE")*6)+(COUNTIF(AC747,"LOW")*4)),"")</f>
        <v/>
      </c>
    </row>
    <row r="748">
      <c r="A748" s="141" t="s">
        <v>507</v>
      </c>
      <c r="B748" s="134" t="str">
        <f>IFERROR(__xludf.DUMMYFUNCTION("IFERROR((FILTER(Data!H:H,Data!D:D=A748,Data!B:B=$B$1)),"""")"),"")</f>
        <v/>
      </c>
      <c r="C748" s="134" t="str">
        <f>IFERROR(__xludf.DUMMYFUNCTION("IFERROR((FILTER(Data!G:G,Data!D:D=A748,Data!B:B=$B$1)),"""")"),"")</f>
        <v/>
      </c>
      <c r="D748" s="134" t="str">
        <f>IFERROR(__xludf.DUMMYFUNCTION("IFERROR((FILTER(Data!J:J,Data!D:D=A748,Data!B:B=$B$1)),"""")"),"")</f>
        <v/>
      </c>
      <c r="E748" s="134" t="str">
        <f>IFERROR(__xludf.DUMMYFUNCTION("IFERROR((FILTER(Data!L:L,Data!D:D=A748,Data!B:B=$B$1)),"""")"),"")</f>
        <v/>
      </c>
      <c r="F748" s="134" t="str">
        <f>IFERROR(__xludf.DUMMYFUNCTION("IFERROR((FILTER(Data!K:K,Data!D:D=A748,Data!B:B=$B$1)),"""")"),"")</f>
        <v/>
      </c>
      <c r="G748" s="134" t="str">
        <f>IFERROR(__xludf.DUMMYFUNCTION("IFERROR((FILTER(Data!M:M,Data!D:D=A748,Data!B:B=$B$1)),"""")"),"")</f>
        <v/>
      </c>
      <c r="H748" s="134" t="str">
        <f>IFERROR(__xludf.DUMMYFUNCTION("IFERROR((FILTER(Data!G:G,Data!D:D=A748,Data!B:B=$B$1)*4)+(FILTER(Data!H:H,Data!D:D=A748,Data!B:B=$B$1)*2),"""")"),"")</f>
        <v/>
      </c>
      <c r="I748" s="15" t="str">
        <f>IFERROR(__xludf.DUMMYFUNCTION("IFERROR((FILTER(Data!K:K,Data!D:D=A748,Data!B:B=$B$1)*2)+(FILTER(Data!L:L,Data!D:D=A748,Data!B:B=$B$1)),"""")"),"")</f>
        <v/>
      </c>
      <c r="J748" s="134" t="str">
        <f>IFERROR(__xludf.DUMMYFUNCTION("IFERROR((FILTER(Data!N:N,Data!D:D=A748,Data!B:B=$B$1)),"""")"),"")</f>
        <v/>
      </c>
      <c r="K748" s="135" t="str">
        <f>IFERROR(__xludf.DUMMYFUNCTION("IFERROR((FILTER(Data!H:H,Data!D:D=A748,Data!B:B=$B$1)*2)+(FILTER(Data!L:L,Data!D:D=A748,Data!B:B=$B$1))+(FILTER(Data!G:G,Data!D:D=A748,Data!B:B=$B$1)*4)+(FILTER(Data!K:K,Data!D:D=A748,Data!B:B=$B$1)*2)+(((COUNTIF(FILTER(Data!N:N,Data!D:D=A748,Data!B:B=$B$"&amp;"1),""TRAVERSE"")*15)+(COUNTIF(FILTER(Data!N:N,Data!D:D=A748,Data!B:B=$B$1),""HIGH"")*10)+(COUNTIF(FILTER(Data!N:N,Data!D:D=A748,Data!B:B=$B$1),""MIDDLE"")*6)+(COUNTIF(FILTER(Data!N:N,Data!D:D=A748,Data!B:B=$B$1),""LOW"")*4))),"""")"),"")</f>
        <v/>
      </c>
      <c r="L748" s="136" t="str">
        <f>IFERROR(__xludf.DUMMYFUNCTION("IFERROR((FILTER(Data!P:P,Data!D:D=A748,Data!B:B=$B$1)),"""")"),"")</f>
        <v/>
      </c>
      <c r="M748" s="137" t="str">
        <f>IFERROR(__xludf.DUMMYFUNCTION("IFERROR((FILTER(Data!A:A,Data!D:D=A748,Data!B:B=$B$1)),"""")"),"")</f>
        <v/>
      </c>
      <c r="T748" s="52">
        <f>IFERROR(__xludf.DUMMYFUNCTION("((COUNTIF(FILTER(Data!N:N,Data!D:D=A748,Data!B:B=$B$1),""TRAVERSE"")*15)+(COUNTIF(FILTER(Data!N:N,Data!D:D=A748,Data!B:B=B$1),""HIGH"")*10)+(COUNTIF(FILTER(Data!N:N,Data!D:D=A748,Data!B:B=$B$1),""MIDDLE"")*6)+(COUNTIF(FILTER(Data!N:N,Data!D:D=A748,Data!B:"&amp;"B=$B$1),""LOW"")*4))"),0.0)</f>
        <v>0</v>
      </c>
      <c r="V748" s="138" t="str">
        <f>IF(Data!B740='Team Parser'!$B$1, Data!D740,"")</f>
        <v/>
      </c>
      <c r="W748" s="134" t="str">
        <f>IF(Data!$B740='Team Parser'!$B$1, Data!H740,"")</f>
        <v/>
      </c>
      <c r="X748" s="134" t="str">
        <f>IF(Data!$B740='Team Parser'!$B$1, Data!G740,"")</f>
        <v/>
      </c>
      <c r="Y748" s="134" t="str">
        <f>IF(Data!$B740='Team Parser'!$B$1, Data!L740,"")</f>
        <v/>
      </c>
      <c r="Z748" s="134" t="str">
        <f>IF(Data!$B740='Team Parser'!$B$1, Data!K740,"")</f>
        <v/>
      </c>
      <c r="AA748" s="134" t="str">
        <f>IF(Data!$B740='Team Parser'!$B$1, Data!M740,"")</f>
        <v/>
      </c>
      <c r="AB748" s="134" t="str">
        <f>IF(Data!$B740='Team Parser'!$B$1,((Z748*2)+(Y748)+(X748*4)+(W748*2)),"")</f>
        <v/>
      </c>
      <c r="AC748" s="134" t="str">
        <f>IF(Data!$B740='Team Parser'!$B$1, Data!N740,"")</f>
        <v/>
      </c>
      <c r="AD748" s="139" t="str">
        <f>IF(Data!$B740='Team Parser'!$B$1,(AB748+(COUNTIF(AC748,"TRAVERSE")*15)+(COUNTIF(AC748,"HIGH")*10)+(COUNTIF(AC748,"MIDDLE")*6)+(COUNTIF(AC748,"LOW")*4)),"")</f>
        <v/>
      </c>
    </row>
    <row r="749">
      <c r="A749" s="141" t="s">
        <v>507</v>
      </c>
      <c r="B749" s="134" t="str">
        <f>IFERROR(__xludf.DUMMYFUNCTION("IFERROR((FILTER(Data!H:H,Data!D:D=A749,Data!B:B=$B$1)),"""")"),"")</f>
        <v/>
      </c>
      <c r="C749" s="134" t="str">
        <f>IFERROR(__xludf.DUMMYFUNCTION("IFERROR((FILTER(Data!G:G,Data!D:D=A749,Data!B:B=$B$1)),"""")"),"")</f>
        <v/>
      </c>
      <c r="D749" s="134" t="str">
        <f>IFERROR(__xludf.DUMMYFUNCTION("IFERROR((FILTER(Data!J:J,Data!D:D=A749,Data!B:B=$B$1)),"""")"),"")</f>
        <v/>
      </c>
      <c r="E749" s="134" t="str">
        <f>IFERROR(__xludf.DUMMYFUNCTION("IFERROR((FILTER(Data!L:L,Data!D:D=A749,Data!B:B=$B$1)),"""")"),"")</f>
        <v/>
      </c>
      <c r="F749" s="134" t="str">
        <f>IFERROR(__xludf.DUMMYFUNCTION("IFERROR((FILTER(Data!K:K,Data!D:D=A749,Data!B:B=$B$1)),"""")"),"")</f>
        <v/>
      </c>
      <c r="G749" s="134" t="str">
        <f>IFERROR(__xludf.DUMMYFUNCTION("IFERROR((FILTER(Data!M:M,Data!D:D=A749,Data!B:B=$B$1)),"""")"),"")</f>
        <v/>
      </c>
      <c r="H749" s="134" t="str">
        <f>IFERROR(__xludf.DUMMYFUNCTION("IFERROR((FILTER(Data!G:G,Data!D:D=A749,Data!B:B=$B$1)*4)+(FILTER(Data!H:H,Data!D:D=A749,Data!B:B=$B$1)*2),"""")"),"")</f>
        <v/>
      </c>
      <c r="I749" s="15" t="str">
        <f>IFERROR(__xludf.DUMMYFUNCTION("IFERROR((FILTER(Data!K:K,Data!D:D=A749,Data!B:B=$B$1)*2)+(FILTER(Data!L:L,Data!D:D=A749,Data!B:B=$B$1)),"""")"),"")</f>
        <v/>
      </c>
      <c r="J749" s="134" t="str">
        <f>IFERROR(__xludf.DUMMYFUNCTION("IFERROR((FILTER(Data!N:N,Data!D:D=A749,Data!B:B=$B$1)),"""")"),"")</f>
        <v/>
      </c>
      <c r="K749" s="135" t="str">
        <f>IFERROR(__xludf.DUMMYFUNCTION("IFERROR((FILTER(Data!H:H,Data!D:D=A749,Data!B:B=$B$1)*2)+(FILTER(Data!L:L,Data!D:D=A749,Data!B:B=$B$1))+(FILTER(Data!G:G,Data!D:D=A749,Data!B:B=$B$1)*4)+(FILTER(Data!K:K,Data!D:D=A749,Data!B:B=$B$1)*2)+(((COUNTIF(FILTER(Data!N:N,Data!D:D=A749,Data!B:B=$B$"&amp;"1),""TRAVERSE"")*15)+(COUNTIF(FILTER(Data!N:N,Data!D:D=A749,Data!B:B=$B$1),""HIGH"")*10)+(COUNTIF(FILTER(Data!N:N,Data!D:D=A749,Data!B:B=$B$1),""MIDDLE"")*6)+(COUNTIF(FILTER(Data!N:N,Data!D:D=A749,Data!B:B=$B$1),""LOW"")*4))),"""")"),"")</f>
        <v/>
      </c>
      <c r="L749" s="136" t="str">
        <f>IFERROR(__xludf.DUMMYFUNCTION("IFERROR((FILTER(Data!P:P,Data!D:D=A749,Data!B:B=$B$1)),"""")"),"")</f>
        <v/>
      </c>
      <c r="M749" s="137" t="str">
        <f>IFERROR(__xludf.DUMMYFUNCTION("IFERROR((FILTER(Data!A:A,Data!D:D=A749,Data!B:B=$B$1)),"""")"),"")</f>
        <v/>
      </c>
      <c r="T749" s="52">
        <f>IFERROR(__xludf.DUMMYFUNCTION("((COUNTIF(FILTER(Data!N:N,Data!D:D=A749,Data!B:B=$B$1),""TRAVERSE"")*15)+(COUNTIF(FILTER(Data!N:N,Data!D:D=A749,Data!B:B=B$1),""HIGH"")*10)+(COUNTIF(FILTER(Data!N:N,Data!D:D=A749,Data!B:B=$B$1),""MIDDLE"")*6)+(COUNTIF(FILTER(Data!N:N,Data!D:D=A749,Data!B:"&amp;"B=$B$1),""LOW"")*4))"),0.0)</f>
        <v>0</v>
      </c>
      <c r="V749" s="138" t="str">
        <f>IF(Data!B741='Team Parser'!$B$1, Data!D741,"")</f>
        <v/>
      </c>
      <c r="W749" s="134" t="str">
        <f>IF(Data!$B741='Team Parser'!$B$1, Data!H741,"")</f>
        <v/>
      </c>
      <c r="X749" s="134" t="str">
        <f>IF(Data!$B741='Team Parser'!$B$1, Data!G741,"")</f>
        <v/>
      </c>
      <c r="Y749" s="134" t="str">
        <f>IF(Data!$B741='Team Parser'!$B$1, Data!L741,"")</f>
        <v/>
      </c>
      <c r="Z749" s="134" t="str">
        <f>IF(Data!$B741='Team Parser'!$B$1, Data!K741,"")</f>
        <v/>
      </c>
      <c r="AA749" s="134" t="str">
        <f>IF(Data!$B741='Team Parser'!$B$1, Data!M741,"")</f>
        <v/>
      </c>
      <c r="AB749" s="134" t="str">
        <f>IF(Data!$B741='Team Parser'!$B$1,((Z749*2)+(Y749)+(X749*4)+(W749*2)),"")</f>
        <v/>
      </c>
      <c r="AC749" s="134" t="str">
        <f>IF(Data!$B741='Team Parser'!$B$1, Data!N741,"")</f>
        <v/>
      </c>
      <c r="AD749" s="139" t="str">
        <f>IF(Data!$B741='Team Parser'!$B$1,(AB749+(COUNTIF(AC749,"TRAVERSE")*15)+(COUNTIF(AC749,"HIGH")*10)+(COUNTIF(AC749,"MIDDLE")*6)+(COUNTIF(AC749,"LOW")*4)),"")</f>
        <v/>
      </c>
    </row>
    <row r="750">
      <c r="A750" s="141" t="s">
        <v>507</v>
      </c>
      <c r="B750" s="134" t="str">
        <f>IFERROR(__xludf.DUMMYFUNCTION("IFERROR((FILTER(Data!H:H,Data!D:D=A750,Data!B:B=$B$1)),"""")"),"")</f>
        <v/>
      </c>
      <c r="C750" s="134" t="str">
        <f>IFERROR(__xludf.DUMMYFUNCTION("IFERROR((FILTER(Data!G:G,Data!D:D=A750,Data!B:B=$B$1)),"""")"),"")</f>
        <v/>
      </c>
      <c r="D750" s="134" t="str">
        <f>IFERROR(__xludf.DUMMYFUNCTION("IFERROR((FILTER(Data!J:J,Data!D:D=A750,Data!B:B=$B$1)),"""")"),"")</f>
        <v/>
      </c>
      <c r="E750" s="134" t="str">
        <f>IFERROR(__xludf.DUMMYFUNCTION("IFERROR((FILTER(Data!L:L,Data!D:D=A750,Data!B:B=$B$1)),"""")"),"")</f>
        <v/>
      </c>
      <c r="F750" s="134" t="str">
        <f>IFERROR(__xludf.DUMMYFUNCTION("IFERROR((FILTER(Data!K:K,Data!D:D=A750,Data!B:B=$B$1)),"""")"),"")</f>
        <v/>
      </c>
      <c r="G750" s="134" t="str">
        <f>IFERROR(__xludf.DUMMYFUNCTION("IFERROR((FILTER(Data!M:M,Data!D:D=A750,Data!B:B=$B$1)),"""")"),"")</f>
        <v/>
      </c>
      <c r="H750" s="134" t="str">
        <f>IFERROR(__xludf.DUMMYFUNCTION("IFERROR((FILTER(Data!G:G,Data!D:D=A750,Data!B:B=$B$1)*4)+(FILTER(Data!H:H,Data!D:D=A750,Data!B:B=$B$1)*2),"""")"),"")</f>
        <v/>
      </c>
      <c r="I750" s="15" t="str">
        <f>IFERROR(__xludf.DUMMYFUNCTION("IFERROR((FILTER(Data!K:K,Data!D:D=A750,Data!B:B=$B$1)*2)+(FILTER(Data!L:L,Data!D:D=A750,Data!B:B=$B$1)),"""")"),"")</f>
        <v/>
      </c>
      <c r="J750" s="134" t="str">
        <f>IFERROR(__xludf.DUMMYFUNCTION("IFERROR((FILTER(Data!N:N,Data!D:D=A750,Data!B:B=$B$1)),"""")"),"")</f>
        <v/>
      </c>
      <c r="K750" s="135" t="str">
        <f>IFERROR(__xludf.DUMMYFUNCTION("IFERROR((FILTER(Data!H:H,Data!D:D=A750,Data!B:B=$B$1)*2)+(FILTER(Data!L:L,Data!D:D=A750,Data!B:B=$B$1))+(FILTER(Data!G:G,Data!D:D=A750,Data!B:B=$B$1)*4)+(FILTER(Data!K:K,Data!D:D=A750,Data!B:B=$B$1)*2)+(((COUNTIF(FILTER(Data!N:N,Data!D:D=A750,Data!B:B=$B$"&amp;"1),""TRAVERSE"")*15)+(COUNTIF(FILTER(Data!N:N,Data!D:D=A750,Data!B:B=$B$1),""HIGH"")*10)+(COUNTIF(FILTER(Data!N:N,Data!D:D=A750,Data!B:B=$B$1),""MIDDLE"")*6)+(COUNTIF(FILTER(Data!N:N,Data!D:D=A750,Data!B:B=$B$1),""LOW"")*4))),"""")"),"")</f>
        <v/>
      </c>
      <c r="L750" s="136" t="str">
        <f>IFERROR(__xludf.DUMMYFUNCTION("IFERROR((FILTER(Data!P:P,Data!D:D=A750,Data!B:B=$B$1)),"""")"),"")</f>
        <v/>
      </c>
      <c r="M750" s="137" t="str">
        <f>IFERROR(__xludf.DUMMYFUNCTION("IFERROR((FILTER(Data!A:A,Data!D:D=A750,Data!B:B=$B$1)),"""")"),"")</f>
        <v/>
      </c>
      <c r="T750" s="52">
        <f>IFERROR(__xludf.DUMMYFUNCTION("((COUNTIF(FILTER(Data!N:N,Data!D:D=A750,Data!B:B=$B$1),""TRAVERSE"")*15)+(COUNTIF(FILTER(Data!N:N,Data!D:D=A750,Data!B:B=B$1),""HIGH"")*10)+(COUNTIF(FILTER(Data!N:N,Data!D:D=A750,Data!B:B=$B$1),""MIDDLE"")*6)+(COUNTIF(FILTER(Data!N:N,Data!D:D=A750,Data!B:"&amp;"B=$B$1),""LOW"")*4))"),0.0)</f>
        <v>0</v>
      </c>
      <c r="V750" s="138" t="str">
        <f>IF(Data!B742='Team Parser'!$B$1, Data!D742,"")</f>
        <v/>
      </c>
      <c r="W750" s="134" t="str">
        <f>IF(Data!$B742='Team Parser'!$B$1, Data!H742,"")</f>
        <v/>
      </c>
      <c r="X750" s="134" t="str">
        <f>IF(Data!$B742='Team Parser'!$B$1, Data!G742,"")</f>
        <v/>
      </c>
      <c r="Y750" s="134" t="str">
        <f>IF(Data!$B742='Team Parser'!$B$1, Data!L742,"")</f>
        <v/>
      </c>
      <c r="Z750" s="134" t="str">
        <f>IF(Data!$B742='Team Parser'!$B$1, Data!K742,"")</f>
        <v/>
      </c>
      <c r="AA750" s="134" t="str">
        <f>IF(Data!$B742='Team Parser'!$B$1, Data!M742,"")</f>
        <v/>
      </c>
      <c r="AB750" s="134" t="str">
        <f>IF(Data!$B742='Team Parser'!$B$1,((Z750*2)+(Y750)+(X750*4)+(W750*2)),"")</f>
        <v/>
      </c>
      <c r="AC750" s="134" t="str">
        <f>IF(Data!$B742='Team Parser'!$B$1, Data!N742,"")</f>
        <v/>
      </c>
      <c r="AD750" s="139" t="str">
        <f>IF(Data!$B742='Team Parser'!$B$1,(AB750+(COUNTIF(AC750,"TRAVERSE")*15)+(COUNTIF(AC750,"HIGH")*10)+(COUNTIF(AC750,"MIDDLE")*6)+(COUNTIF(AC750,"LOW")*4)),"")</f>
        <v/>
      </c>
    </row>
    <row r="751">
      <c r="A751" s="141" t="s">
        <v>507</v>
      </c>
      <c r="B751" s="134" t="str">
        <f>IFERROR(__xludf.DUMMYFUNCTION("IFERROR((FILTER(Data!H:H,Data!D:D=A751,Data!B:B=$B$1)),"""")"),"")</f>
        <v/>
      </c>
      <c r="C751" s="134" t="str">
        <f>IFERROR(__xludf.DUMMYFUNCTION("IFERROR((FILTER(Data!G:G,Data!D:D=A751,Data!B:B=$B$1)),"""")"),"")</f>
        <v/>
      </c>
      <c r="D751" s="134" t="str">
        <f>IFERROR(__xludf.DUMMYFUNCTION("IFERROR((FILTER(Data!J:J,Data!D:D=A751,Data!B:B=$B$1)),"""")"),"")</f>
        <v/>
      </c>
      <c r="E751" s="134" t="str">
        <f>IFERROR(__xludf.DUMMYFUNCTION("IFERROR((FILTER(Data!L:L,Data!D:D=A751,Data!B:B=$B$1)),"""")"),"")</f>
        <v/>
      </c>
      <c r="F751" s="134" t="str">
        <f>IFERROR(__xludf.DUMMYFUNCTION("IFERROR((FILTER(Data!K:K,Data!D:D=A751,Data!B:B=$B$1)),"""")"),"")</f>
        <v/>
      </c>
      <c r="G751" s="134" t="str">
        <f>IFERROR(__xludf.DUMMYFUNCTION("IFERROR((FILTER(Data!M:M,Data!D:D=A751,Data!B:B=$B$1)),"""")"),"")</f>
        <v/>
      </c>
      <c r="H751" s="134" t="str">
        <f>IFERROR(__xludf.DUMMYFUNCTION("IFERROR((FILTER(Data!G:G,Data!D:D=A751,Data!B:B=$B$1)*4)+(FILTER(Data!H:H,Data!D:D=A751,Data!B:B=$B$1)*2),"""")"),"")</f>
        <v/>
      </c>
      <c r="I751" s="15" t="str">
        <f>IFERROR(__xludf.DUMMYFUNCTION("IFERROR((FILTER(Data!K:K,Data!D:D=A751,Data!B:B=$B$1)*2)+(FILTER(Data!L:L,Data!D:D=A751,Data!B:B=$B$1)),"""")"),"")</f>
        <v/>
      </c>
      <c r="J751" s="134" t="str">
        <f>IFERROR(__xludf.DUMMYFUNCTION("IFERROR((FILTER(Data!N:N,Data!D:D=A751,Data!B:B=$B$1)),"""")"),"")</f>
        <v/>
      </c>
      <c r="K751" s="135" t="str">
        <f>IFERROR(__xludf.DUMMYFUNCTION("IFERROR((FILTER(Data!H:H,Data!D:D=A751,Data!B:B=$B$1)*2)+(FILTER(Data!L:L,Data!D:D=A751,Data!B:B=$B$1))+(FILTER(Data!G:G,Data!D:D=A751,Data!B:B=$B$1)*4)+(FILTER(Data!K:K,Data!D:D=A751,Data!B:B=$B$1)*2)+(((COUNTIF(FILTER(Data!N:N,Data!D:D=A751,Data!B:B=$B$"&amp;"1),""TRAVERSE"")*15)+(COUNTIF(FILTER(Data!N:N,Data!D:D=A751,Data!B:B=$B$1),""HIGH"")*10)+(COUNTIF(FILTER(Data!N:N,Data!D:D=A751,Data!B:B=$B$1),""MIDDLE"")*6)+(COUNTIF(FILTER(Data!N:N,Data!D:D=A751,Data!B:B=$B$1),""LOW"")*4))),"""")"),"")</f>
        <v/>
      </c>
      <c r="L751" s="136" t="str">
        <f>IFERROR(__xludf.DUMMYFUNCTION("IFERROR((FILTER(Data!P:P,Data!D:D=A751,Data!B:B=$B$1)),"""")"),"")</f>
        <v/>
      </c>
      <c r="M751" s="137" t="str">
        <f>IFERROR(__xludf.DUMMYFUNCTION("IFERROR((FILTER(Data!A:A,Data!D:D=A751,Data!B:B=$B$1)),"""")"),"")</f>
        <v/>
      </c>
      <c r="T751" s="52">
        <f>IFERROR(__xludf.DUMMYFUNCTION("((COUNTIF(FILTER(Data!N:N,Data!D:D=A751,Data!B:B=$B$1),""TRAVERSE"")*15)+(COUNTIF(FILTER(Data!N:N,Data!D:D=A751,Data!B:B=B$1),""HIGH"")*10)+(COUNTIF(FILTER(Data!N:N,Data!D:D=A751,Data!B:B=$B$1),""MIDDLE"")*6)+(COUNTIF(FILTER(Data!N:N,Data!D:D=A751,Data!B:"&amp;"B=$B$1),""LOW"")*4))"),0.0)</f>
        <v>0</v>
      </c>
      <c r="V751" s="138" t="str">
        <f>IF(Data!B743='Team Parser'!$B$1, Data!D743,"")</f>
        <v/>
      </c>
      <c r="W751" s="134" t="str">
        <f>IF(Data!$B743='Team Parser'!$B$1, Data!H743,"")</f>
        <v/>
      </c>
      <c r="X751" s="134" t="str">
        <f>IF(Data!$B743='Team Parser'!$B$1, Data!G743,"")</f>
        <v/>
      </c>
      <c r="Y751" s="134" t="str">
        <f>IF(Data!$B743='Team Parser'!$B$1, Data!L743,"")</f>
        <v/>
      </c>
      <c r="Z751" s="134" t="str">
        <f>IF(Data!$B743='Team Parser'!$B$1, Data!K743,"")</f>
        <v/>
      </c>
      <c r="AA751" s="134" t="str">
        <f>IF(Data!$B743='Team Parser'!$B$1, Data!M743,"")</f>
        <v/>
      </c>
      <c r="AB751" s="134" t="str">
        <f>IF(Data!$B743='Team Parser'!$B$1,((Z751*2)+(Y751)+(X751*4)+(W751*2)),"")</f>
        <v/>
      </c>
      <c r="AC751" s="134" t="str">
        <f>IF(Data!$B743='Team Parser'!$B$1, Data!N743,"")</f>
        <v/>
      </c>
      <c r="AD751" s="139" t="str">
        <f>IF(Data!$B743='Team Parser'!$B$1,(AB751+(COUNTIF(AC751,"TRAVERSE")*15)+(COUNTIF(AC751,"HIGH")*10)+(COUNTIF(AC751,"MIDDLE")*6)+(COUNTIF(AC751,"LOW")*4)),"")</f>
        <v/>
      </c>
    </row>
    <row r="752">
      <c r="A752" s="141" t="s">
        <v>507</v>
      </c>
      <c r="B752" s="134" t="str">
        <f>IFERROR(__xludf.DUMMYFUNCTION("IFERROR((FILTER(Data!H:H,Data!D:D=A752,Data!B:B=$B$1)),"""")"),"")</f>
        <v/>
      </c>
      <c r="C752" s="134" t="str">
        <f>IFERROR(__xludf.DUMMYFUNCTION("IFERROR((FILTER(Data!G:G,Data!D:D=A752,Data!B:B=$B$1)),"""")"),"")</f>
        <v/>
      </c>
      <c r="D752" s="134" t="str">
        <f>IFERROR(__xludf.DUMMYFUNCTION("IFERROR((FILTER(Data!J:J,Data!D:D=A752,Data!B:B=$B$1)),"""")"),"")</f>
        <v/>
      </c>
      <c r="E752" s="134" t="str">
        <f>IFERROR(__xludf.DUMMYFUNCTION("IFERROR((FILTER(Data!L:L,Data!D:D=A752,Data!B:B=$B$1)),"""")"),"")</f>
        <v/>
      </c>
      <c r="F752" s="134" t="str">
        <f>IFERROR(__xludf.DUMMYFUNCTION("IFERROR((FILTER(Data!K:K,Data!D:D=A752,Data!B:B=$B$1)),"""")"),"")</f>
        <v/>
      </c>
      <c r="G752" s="134" t="str">
        <f>IFERROR(__xludf.DUMMYFUNCTION("IFERROR((FILTER(Data!M:M,Data!D:D=A752,Data!B:B=$B$1)),"""")"),"")</f>
        <v/>
      </c>
      <c r="H752" s="134" t="str">
        <f>IFERROR(__xludf.DUMMYFUNCTION("IFERROR((FILTER(Data!G:G,Data!D:D=A752,Data!B:B=$B$1)*4)+(FILTER(Data!H:H,Data!D:D=A752,Data!B:B=$B$1)*2),"""")"),"")</f>
        <v/>
      </c>
      <c r="I752" s="15" t="str">
        <f>IFERROR(__xludf.DUMMYFUNCTION("IFERROR((FILTER(Data!K:K,Data!D:D=A752,Data!B:B=$B$1)*2)+(FILTER(Data!L:L,Data!D:D=A752,Data!B:B=$B$1)),"""")"),"")</f>
        <v/>
      </c>
      <c r="J752" s="134" t="str">
        <f>IFERROR(__xludf.DUMMYFUNCTION("IFERROR((FILTER(Data!N:N,Data!D:D=A752,Data!B:B=$B$1)),"""")"),"")</f>
        <v/>
      </c>
      <c r="K752" s="135" t="str">
        <f>IFERROR(__xludf.DUMMYFUNCTION("IFERROR((FILTER(Data!H:H,Data!D:D=A752,Data!B:B=$B$1)*2)+(FILTER(Data!L:L,Data!D:D=A752,Data!B:B=$B$1))+(FILTER(Data!G:G,Data!D:D=A752,Data!B:B=$B$1)*4)+(FILTER(Data!K:K,Data!D:D=A752,Data!B:B=$B$1)*2)+(((COUNTIF(FILTER(Data!N:N,Data!D:D=A752,Data!B:B=$B$"&amp;"1),""TRAVERSE"")*15)+(COUNTIF(FILTER(Data!N:N,Data!D:D=A752,Data!B:B=$B$1),""HIGH"")*10)+(COUNTIF(FILTER(Data!N:N,Data!D:D=A752,Data!B:B=$B$1),""MIDDLE"")*6)+(COUNTIF(FILTER(Data!N:N,Data!D:D=A752,Data!B:B=$B$1),""LOW"")*4))),"""")"),"")</f>
        <v/>
      </c>
      <c r="L752" s="136" t="str">
        <f>IFERROR(__xludf.DUMMYFUNCTION("IFERROR((FILTER(Data!P:P,Data!D:D=A752,Data!B:B=$B$1)),"""")"),"")</f>
        <v/>
      </c>
      <c r="M752" s="137" t="str">
        <f>IFERROR(__xludf.DUMMYFUNCTION("IFERROR((FILTER(Data!A:A,Data!D:D=A752,Data!B:B=$B$1)),"""")"),"")</f>
        <v/>
      </c>
      <c r="T752" s="52">
        <f>IFERROR(__xludf.DUMMYFUNCTION("((COUNTIF(FILTER(Data!N:N,Data!D:D=A752,Data!B:B=$B$1),""TRAVERSE"")*15)+(COUNTIF(FILTER(Data!N:N,Data!D:D=A752,Data!B:B=B$1),""HIGH"")*10)+(COUNTIF(FILTER(Data!N:N,Data!D:D=A752,Data!B:B=$B$1),""MIDDLE"")*6)+(COUNTIF(FILTER(Data!N:N,Data!D:D=A752,Data!B:"&amp;"B=$B$1),""LOW"")*4))"),0.0)</f>
        <v>0</v>
      </c>
      <c r="V752" s="138" t="str">
        <f>IF(Data!B744='Team Parser'!$B$1, Data!D744,"")</f>
        <v/>
      </c>
      <c r="W752" s="134" t="str">
        <f>IF(Data!$B744='Team Parser'!$B$1, Data!H744,"")</f>
        <v/>
      </c>
      <c r="X752" s="134" t="str">
        <f>IF(Data!$B744='Team Parser'!$B$1, Data!G744,"")</f>
        <v/>
      </c>
      <c r="Y752" s="134" t="str">
        <f>IF(Data!$B744='Team Parser'!$B$1, Data!L744,"")</f>
        <v/>
      </c>
      <c r="Z752" s="134" t="str">
        <f>IF(Data!$B744='Team Parser'!$B$1, Data!K744,"")</f>
        <v/>
      </c>
      <c r="AA752" s="134" t="str">
        <f>IF(Data!$B744='Team Parser'!$B$1, Data!M744,"")</f>
        <v/>
      </c>
      <c r="AB752" s="134" t="str">
        <f>IF(Data!$B744='Team Parser'!$B$1,((Z752*2)+(Y752)+(X752*4)+(W752*2)),"")</f>
        <v/>
      </c>
      <c r="AC752" s="134" t="str">
        <f>IF(Data!$B744='Team Parser'!$B$1, Data!N744,"")</f>
        <v/>
      </c>
      <c r="AD752" s="139" t="str">
        <f>IF(Data!$B744='Team Parser'!$B$1,(AB752+(COUNTIF(AC752,"TRAVERSE")*15)+(COUNTIF(AC752,"HIGH")*10)+(COUNTIF(AC752,"MIDDLE")*6)+(COUNTIF(AC752,"LOW")*4)),"")</f>
        <v/>
      </c>
    </row>
    <row r="753">
      <c r="A753" s="141" t="s">
        <v>507</v>
      </c>
      <c r="B753" s="134" t="str">
        <f>IFERROR(__xludf.DUMMYFUNCTION("IFERROR((FILTER(Data!H:H,Data!D:D=A753,Data!B:B=$B$1)),"""")"),"")</f>
        <v/>
      </c>
      <c r="C753" s="134" t="str">
        <f>IFERROR(__xludf.DUMMYFUNCTION("IFERROR((FILTER(Data!G:G,Data!D:D=A753,Data!B:B=$B$1)),"""")"),"")</f>
        <v/>
      </c>
      <c r="D753" s="134" t="str">
        <f>IFERROR(__xludf.DUMMYFUNCTION("IFERROR((FILTER(Data!J:J,Data!D:D=A753,Data!B:B=$B$1)),"""")"),"")</f>
        <v/>
      </c>
      <c r="E753" s="134" t="str">
        <f>IFERROR(__xludf.DUMMYFUNCTION("IFERROR((FILTER(Data!L:L,Data!D:D=A753,Data!B:B=$B$1)),"""")"),"")</f>
        <v/>
      </c>
      <c r="F753" s="134" t="str">
        <f>IFERROR(__xludf.DUMMYFUNCTION("IFERROR((FILTER(Data!K:K,Data!D:D=A753,Data!B:B=$B$1)),"""")"),"")</f>
        <v/>
      </c>
      <c r="G753" s="134" t="str">
        <f>IFERROR(__xludf.DUMMYFUNCTION("IFERROR((FILTER(Data!M:M,Data!D:D=A753,Data!B:B=$B$1)),"""")"),"")</f>
        <v/>
      </c>
      <c r="H753" s="134" t="str">
        <f>IFERROR(__xludf.DUMMYFUNCTION("IFERROR((FILTER(Data!G:G,Data!D:D=A753,Data!B:B=$B$1)*4)+(FILTER(Data!H:H,Data!D:D=A753,Data!B:B=$B$1)*2),"""")"),"")</f>
        <v/>
      </c>
      <c r="I753" s="15" t="str">
        <f>IFERROR(__xludf.DUMMYFUNCTION("IFERROR((FILTER(Data!K:K,Data!D:D=A753,Data!B:B=$B$1)*2)+(FILTER(Data!L:L,Data!D:D=A753,Data!B:B=$B$1)),"""")"),"")</f>
        <v/>
      </c>
      <c r="J753" s="134" t="str">
        <f>IFERROR(__xludf.DUMMYFUNCTION("IFERROR((FILTER(Data!N:N,Data!D:D=A753,Data!B:B=$B$1)),"""")"),"")</f>
        <v/>
      </c>
      <c r="K753" s="135" t="str">
        <f>IFERROR(__xludf.DUMMYFUNCTION("IFERROR((FILTER(Data!H:H,Data!D:D=A753,Data!B:B=$B$1)*2)+(FILTER(Data!L:L,Data!D:D=A753,Data!B:B=$B$1))+(FILTER(Data!G:G,Data!D:D=A753,Data!B:B=$B$1)*4)+(FILTER(Data!K:K,Data!D:D=A753,Data!B:B=$B$1)*2)+(((COUNTIF(FILTER(Data!N:N,Data!D:D=A753,Data!B:B=$B$"&amp;"1),""TRAVERSE"")*15)+(COUNTIF(FILTER(Data!N:N,Data!D:D=A753,Data!B:B=$B$1),""HIGH"")*10)+(COUNTIF(FILTER(Data!N:N,Data!D:D=A753,Data!B:B=$B$1),""MIDDLE"")*6)+(COUNTIF(FILTER(Data!N:N,Data!D:D=A753,Data!B:B=$B$1),""LOW"")*4))),"""")"),"")</f>
        <v/>
      </c>
      <c r="L753" s="136" t="str">
        <f>IFERROR(__xludf.DUMMYFUNCTION("IFERROR((FILTER(Data!P:P,Data!D:D=A753,Data!B:B=$B$1)),"""")"),"")</f>
        <v/>
      </c>
      <c r="M753" s="137" t="str">
        <f>IFERROR(__xludf.DUMMYFUNCTION("IFERROR((FILTER(Data!A:A,Data!D:D=A753,Data!B:B=$B$1)),"""")"),"")</f>
        <v/>
      </c>
      <c r="T753" s="52">
        <f>IFERROR(__xludf.DUMMYFUNCTION("((COUNTIF(FILTER(Data!N:N,Data!D:D=A753,Data!B:B=$B$1),""TRAVERSE"")*15)+(COUNTIF(FILTER(Data!N:N,Data!D:D=A753,Data!B:B=B$1),""HIGH"")*10)+(COUNTIF(FILTER(Data!N:N,Data!D:D=A753,Data!B:B=$B$1),""MIDDLE"")*6)+(COUNTIF(FILTER(Data!N:N,Data!D:D=A753,Data!B:"&amp;"B=$B$1),""LOW"")*4))"),0.0)</f>
        <v>0</v>
      </c>
      <c r="V753" s="138" t="str">
        <f>IF(Data!B745='Team Parser'!$B$1, Data!D745,"")</f>
        <v/>
      </c>
      <c r="W753" s="134" t="str">
        <f>IF(Data!$B745='Team Parser'!$B$1, Data!H745,"")</f>
        <v/>
      </c>
      <c r="X753" s="134" t="str">
        <f>IF(Data!$B745='Team Parser'!$B$1, Data!G745,"")</f>
        <v/>
      </c>
      <c r="Y753" s="134" t="str">
        <f>IF(Data!$B745='Team Parser'!$B$1, Data!L745,"")</f>
        <v/>
      </c>
      <c r="Z753" s="134" t="str">
        <f>IF(Data!$B745='Team Parser'!$B$1, Data!K745,"")</f>
        <v/>
      </c>
      <c r="AA753" s="134" t="str">
        <f>IF(Data!$B745='Team Parser'!$B$1, Data!M745,"")</f>
        <v/>
      </c>
      <c r="AB753" s="134" t="str">
        <f>IF(Data!$B745='Team Parser'!$B$1,((Z753*2)+(Y753)+(X753*4)+(W753*2)),"")</f>
        <v/>
      </c>
      <c r="AC753" s="134" t="str">
        <f>IF(Data!$B745='Team Parser'!$B$1, Data!N745,"")</f>
        <v/>
      </c>
      <c r="AD753" s="139" t="str">
        <f>IF(Data!$B745='Team Parser'!$B$1,(AB753+(COUNTIF(AC753,"TRAVERSE")*15)+(COUNTIF(AC753,"HIGH")*10)+(COUNTIF(AC753,"MIDDLE")*6)+(COUNTIF(AC753,"LOW")*4)),"")</f>
        <v/>
      </c>
    </row>
    <row r="754">
      <c r="A754" s="141" t="s">
        <v>507</v>
      </c>
      <c r="B754" s="134" t="str">
        <f>IFERROR(__xludf.DUMMYFUNCTION("IFERROR((FILTER(Data!H:H,Data!D:D=A754,Data!B:B=$B$1)),"""")"),"")</f>
        <v/>
      </c>
      <c r="C754" s="134" t="str">
        <f>IFERROR(__xludf.DUMMYFUNCTION("IFERROR((FILTER(Data!G:G,Data!D:D=A754,Data!B:B=$B$1)),"""")"),"")</f>
        <v/>
      </c>
      <c r="D754" s="134" t="str">
        <f>IFERROR(__xludf.DUMMYFUNCTION("IFERROR((FILTER(Data!J:J,Data!D:D=A754,Data!B:B=$B$1)),"""")"),"")</f>
        <v/>
      </c>
      <c r="E754" s="134" t="str">
        <f>IFERROR(__xludf.DUMMYFUNCTION("IFERROR((FILTER(Data!L:L,Data!D:D=A754,Data!B:B=$B$1)),"""")"),"")</f>
        <v/>
      </c>
      <c r="F754" s="134" t="str">
        <f>IFERROR(__xludf.DUMMYFUNCTION("IFERROR((FILTER(Data!K:K,Data!D:D=A754,Data!B:B=$B$1)),"""")"),"")</f>
        <v/>
      </c>
      <c r="G754" s="134" t="str">
        <f>IFERROR(__xludf.DUMMYFUNCTION("IFERROR((FILTER(Data!M:M,Data!D:D=A754,Data!B:B=$B$1)),"""")"),"")</f>
        <v/>
      </c>
      <c r="H754" s="134" t="str">
        <f>IFERROR(__xludf.DUMMYFUNCTION("IFERROR((FILTER(Data!G:G,Data!D:D=A754,Data!B:B=$B$1)*4)+(FILTER(Data!H:H,Data!D:D=A754,Data!B:B=$B$1)*2),"""")"),"")</f>
        <v/>
      </c>
      <c r="I754" s="15" t="str">
        <f>IFERROR(__xludf.DUMMYFUNCTION("IFERROR((FILTER(Data!K:K,Data!D:D=A754,Data!B:B=$B$1)*2)+(FILTER(Data!L:L,Data!D:D=A754,Data!B:B=$B$1)),"""")"),"")</f>
        <v/>
      </c>
      <c r="J754" s="134" t="str">
        <f>IFERROR(__xludf.DUMMYFUNCTION("IFERROR((FILTER(Data!N:N,Data!D:D=A754,Data!B:B=$B$1)),"""")"),"")</f>
        <v/>
      </c>
      <c r="K754" s="135" t="str">
        <f>IFERROR(__xludf.DUMMYFUNCTION("IFERROR((FILTER(Data!H:H,Data!D:D=A754,Data!B:B=$B$1)*2)+(FILTER(Data!L:L,Data!D:D=A754,Data!B:B=$B$1))+(FILTER(Data!G:G,Data!D:D=A754,Data!B:B=$B$1)*4)+(FILTER(Data!K:K,Data!D:D=A754,Data!B:B=$B$1)*2)+(((COUNTIF(FILTER(Data!N:N,Data!D:D=A754,Data!B:B=$B$"&amp;"1),""TRAVERSE"")*15)+(COUNTIF(FILTER(Data!N:N,Data!D:D=A754,Data!B:B=$B$1),""HIGH"")*10)+(COUNTIF(FILTER(Data!N:N,Data!D:D=A754,Data!B:B=$B$1),""MIDDLE"")*6)+(COUNTIF(FILTER(Data!N:N,Data!D:D=A754,Data!B:B=$B$1),""LOW"")*4))),"""")"),"")</f>
        <v/>
      </c>
      <c r="L754" s="136" t="str">
        <f>IFERROR(__xludf.DUMMYFUNCTION("IFERROR((FILTER(Data!P:P,Data!D:D=A754,Data!B:B=$B$1)),"""")"),"")</f>
        <v/>
      </c>
      <c r="M754" s="137" t="str">
        <f>IFERROR(__xludf.DUMMYFUNCTION("IFERROR((FILTER(Data!A:A,Data!D:D=A754,Data!B:B=$B$1)),"""")"),"")</f>
        <v/>
      </c>
      <c r="T754" s="52">
        <f>IFERROR(__xludf.DUMMYFUNCTION("((COUNTIF(FILTER(Data!N:N,Data!D:D=A754,Data!B:B=$B$1),""TRAVERSE"")*15)+(COUNTIF(FILTER(Data!N:N,Data!D:D=A754,Data!B:B=B$1),""HIGH"")*10)+(COUNTIF(FILTER(Data!N:N,Data!D:D=A754,Data!B:B=$B$1),""MIDDLE"")*6)+(COUNTIF(FILTER(Data!N:N,Data!D:D=A754,Data!B:"&amp;"B=$B$1),""LOW"")*4))"),0.0)</f>
        <v>0</v>
      </c>
      <c r="V754" s="138" t="str">
        <f>IF(Data!B746='Team Parser'!$B$1, Data!D746,"")</f>
        <v/>
      </c>
      <c r="W754" s="134" t="str">
        <f>IF(Data!$B746='Team Parser'!$B$1, Data!H746,"")</f>
        <v/>
      </c>
      <c r="X754" s="134" t="str">
        <f>IF(Data!$B746='Team Parser'!$B$1, Data!G746,"")</f>
        <v/>
      </c>
      <c r="Y754" s="134" t="str">
        <f>IF(Data!$B746='Team Parser'!$B$1, Data!L746,"")</f>
        <v/>
      </c>
      <c r="Z754" s="134" t="str">
        <f>IF(Data!$B746='Team Parser'!$B$1, Data!K746,"")</f>
        <v/>
      </c>
      <c r="AA754" s="134" t="str">
        <f>IF(Data!$B746='Team Parser'!$B$1, Data!M746,"")</f>
        <v/>
      </c>
      <c r="AB754" s="134" t="str">
        <f>IF(Data!$B746='Team Parser'!$B$1,((Z754*2)+(Y754)+(X754*4)+(W754*2)),"")</f>
        <v/>
      </c>
      <c r="AC754" s="134" t="str">
        <f>IF(Data!$B746='Team Parser'!$B$1, Data!N746,"")</f>
        <v/>
      </c>
      <c r="AD754" s="139" t="str">
        <f>IF(Data!$B746='Team Parser'!$B$1,(AB754+(COUNTIF(AC754,"TRAVERSE")*15)+(COUNTIF(AC754,"HIGH")*10)+(COUNTIF(AC754,"MIDDLE")*6)+(COUNTIF(AC754,"LOW")*4)),"")</f>
        <v/>
      </c>
    </row>
    <row r="755">
      <c r="A755" s="141" t="s">
        <v>507</v>
      </c>
      <c r="B755" s="134" t="str">
        <f>IFERROR(__xludf.DUMMYFUNCTION("IFERROR((FILTER(Data!H:H,Data!D:D=A755,Data!B:B=$B$1)),"""")"),"")</f>
        <v/>
      </c>
      <c r="C755" s="134" t="str">
        <f>IFERROR(__xludf.DUMMYFUNCTION("IFERROR((FILTER(Data!G:G,Data!D:D=A755,Data!B:B=$B$1)),"""")"),"")</f>
        <v/>
      </c>
      <c r="D755" s="134" t="str">
        <f>IFERROR(__xludf.DUMMYFUNCTION("IFERROR((FILTER(Data!J:J,Data!D:D=A755,Data!B:B=$B$1)),"""")"),"")</f>
        <v/>
      </c>
      <c r="E755" s="134" t="str">
        <f>IFERROR(__xludf.DUMMYFUNCTION("IFERROR((FILTER(Data!L:L,Data!D:D=A755,Data!B:B=$B$1)),"""")"),"")</f>
        <v/>
      </c>
      <c r="F755" s="134" t="str">
        <f>IFERROR(__xludf.DUMMYFUNCTION("IFERROR((FILTER(Data!K:K,Data!D:D=A755,Data!B:B=$B$1)),"""")"),"")</f>
        <v/>
      </c>
      <c r="G755" s="134" t="str">
        <f>IFERROR(__xludf.DUMMYFUNCTION("IFERROR((FILTER(Data!M:M,Data!D:D=A755,Data!B:B=$B$1)),"""")"),"")</f>
        <v/>
      </c>
      <c r="H755" s="134" t="str">
        <f>IFERROR(__xludf.DUMMYFUNCTION("IFERROR((FILTER(Data!G:G,Data!D:D=A755,Data!B:B=$B$1)*4)+(FILTER(Data!H:H,Data!D:D=A755,Data!B:B=$B$1)*2),"""")"),"")</f>
        <v/>
      </c>
      <c r="I755" s="15" t="str">
        <f>IFERROR(__xludf.DUMMYFUNCTION("IFERROR((FILTER(Data!K:K,Data!D:D=A755,Data!B:B=$B$1)*2)+(FILTER(Data!L:L,Data!D:D=A755,Data!B:B=$B$1)),"""")"),"")</f>
        <v/>
      </c>
      <c r="J755" s="134" t="str">
        <f>IFERROR(__xludf.DUMMYFUNCTION("IFERROR((FILTER(Data!N:N,Data!D:D=A755,Data!B:B=$B$1)),"""")"),"")</f>
        <v/>
      </c>
      <c r="K755" s="135" t="str">
        <f>IFERROR(__xludf.DUMMYFUNCTION("IFERROR((FILTER(Data!H:H,Data!D:D=A755,Data!B:B=$B$1)*2)+(FILTER(Data!L:L,Data!D:D=A755,Data!B:B=$B$1))+(FILTER(Data!G:G,Data!D:D=A755,Data!B:B=$B$1)*4)+(FILTER(Data!K:K,Data!D:D=A755,Data!B:B=$B$1)*2)+(((COUNTIF(FILTER(Data!N:N,Data!D:D=A755,Data!B:B=$B$"&amp;"1),""TRAVERSE"")*15)+(COUNTIF(FILTER(Data!N:N,Data!D:D=A755,Data!B:B=$B$1),""HIGH"")*10)+(COUNTIF(FILTER(Data!N:N,Data!D:D=A755,Data!B:B=$B$1),""MIDDLE"")*6)+(COUNTIF(FILTER(Data!N:N,Data!D:D=A755,Data!B:B=$B$1),""LOW"")*4))),"""")"),"")</f>
        <v/>
      </c>
      <c r="L755" s="136" t="str">
        <f>IFERROR(__xludf.DUMMYFUNCTION("IFERROR((FILTER(Data!P:P,Data!D:D=A755,Data!B:B=$B$1)),"""")"),"")</f>
        <v/>
      </c>
      <c r="M755" s="137" t="str">
        <f>IFERROR(__xludf.DUMMYFUNCTION("IFERROR((FILTER(Data!A:A,Data!D:D=A755,Data!B:B=$B$1)),"""")"),"")</f>
        <v/>
      </c>
      <c r="T755" s="52">
        <f>IFERROR(__xludf.DUMMYFUNCTION("((COUNTIF(FILTER(Data!N:N,Data!D:D=A755,Data!B:B=$B$1),""TRAVERSE"")*15)+(COUNTIF(FILTER(Data!N:N,Data!D:D=A755,Data!B:B=B$1),""HIGH"")*10)+(COUNTIF(FILTER(Data!N:N,Data!D:D=A755,Data!B:B=$B$1),""MIDDLE"")*6)+(COUNTIF(FILTER(Data!N:N,Data!D:D=A755,Data!B:"&amp;"B=$B$1),""LOW"")*4))"),0.0)</f>
        <v>0</v>
      </c>
      <c r="V755" s="138" t="str">
        <f>IF(Data!B747='Team Parser'!$B$1, Data!D747,"")</f>
        <v/>
      </c>
      <c r="W755" s="134" t="str">
        <f>IF(Data!$B747='Team Parser'!$B$1, Data!H747,"")</f>
        <v/>
      </c>
      <c r="X755" s="134" t="str">
        <f>IF(Data!$B747='Team Parser'!$B$1, Data!G747,"")</f>
        <v/>
      </c>
      <c r="Y755" s="134" t="str">
        <f>IF(Data!$B747='Team Parser'!$B$1, Data!L747,"")</f>
        <v/>
      </c>
      <c r="Z755" s="134" t="str">
        <f>IF(Data!$B747='Team Parser'!$B$1, Data!K747,"")</f>
        <v/>
      </c>
      <c r="AA755" s="134" t="str">
        <f>IF(Data!$B747='Team Parser'!$B$1, Data!M747,"")</f>
        <v/>
      </c>
      <c r="AB755" s="134" t="str">
        <f>IF(Data!$B747='Team Parser'!$B$1,((Z755*2)+(Y755)+(X755*4)+(W755*2)),"")</f>
        <v/>
      </c>
      <c r="AC755" s="134" t="str">
        <f>IF(Data!$B747='Team Parser'!$B$1, Data!N747,"")</f>
        <v/>
      </c>
      <c r="AD755" s="139" t="str">
        <f>IF(Data!$B747='Team Parser'!$B$1,(AB755+(COUNTIF(AC755,"TRAVERSE")*15)+(COUNTIF(AC755,"HIGH")*10)+(COUNTIF(AC755,"MIDDLE")*6)+(COUNTIF(AC755,"LOW")*4)),"")</f>
        <v/>
      </c>
    </row>
    <row r="756">
      <c r="A756" s="141" t="s">
        <v>507</v>
      </c>
      <c r="B756" s="134" t="str">
        <f>IFERROR(__xludf.DUMMYFUNCTION("IFERROR((FILTER(Data!H:H,Data!D:D=A756,Data!B:B=$B$1)),"""")"),"")</f>
        <v/>
      </c>
      <c r="C756" s="134" t="str">
        <f>IFERROR(__xludf.DUMMYFUNCTION("IFERROR((FILTER(Data!G:G,Data!D:D=A756,Data!B:B=$B$1)),"""")"),"")</f>
        <v/>
      </c>
      <c r="D756" s="134" t="str">
        <f>IFERROR(__xludf.DUMMYFUNCTION("IFERROR((FILTER(Data!J:J,Data!D:D=A756,Data!B:B=$B$1)),"""")"),"")</f>
        <v/>
      </c>
      <c r="E756" s="134" t="str">
        <f>IFERROR(__xludf.DUMMYFUNCTION("IFERROR((FILTER(Data!L:L,Data!D:D=A756,Data!B:B=$B$1)),"""")"),"")</f>
        <v/>
      </c>
      <c r="F756" s="134" t="str">
        <f>IFERROR(__xludf.DUMMYFUNCTION("IFERROR((FILTER(Data!K:K,Data!D:D=A756,Data!B:B=$B$1)),"""")"),"")</f>
        <v/>
      </c>
      <c r="G756" s="134" t="str">
        <f>IFERROR(__xludf.DUMMYFUNCTION("IFERROR((FILTER(Data!M:M,Data!D:D=A756,Data!B:B=$B$1)),"""")"),"")</f>
        <v/>
      </c>
      <c r="H756" s="134" t="str">
        <f>IFERROR(__xludf.DUMMYFUNCTION("IFERROR((FILTER(Data!G:G,Data!D:D=A756,Data!B:B=$B$1)*4)+(FILTER(Data!H:H,Data!D:D=A756,Data!B:B=$B$1)*2),"""")"),"")</f>
        <v/>
      </c>
      <c r="I756" s="15" t="str">
        <f>IFERROR(__xludf.DUMMYFUNCTION("IFERROR((FILTER(Data!K:K,Data!D:D=A756,Data!B:B=$B$1)*2)+(FILTER(Data!L:L,Data!D:D=A756,Data!B:B=$B$1)),"""")"),"")</f>
        <v/>
      </c>
      <c r="J756" s="134" t="str">
        <f>IFERROR(__xludf.DUMMYFUNCTION("IFERROR((FILTER(Data!N:N,Data!D:D=A756,Data!B:B=$B$1)),"""")"),"")</f>
        <v/>
      </c>
      <c r="K756" s="135" t="str">
        <f>IFERROR(__xludf.DUMMYFUNCTION("IFERROR((FILTER(Data!H:H,Data!D:D=A756,Data!B:B=$B$1)*2)+(FILTER(Data!L:L,Data!D:D=A756,Data!B:B=$B$1))+(FILTER(Data!G:G,Data!D:D=A756,Data!B:B=$B$1)*4)+(FILTER(Data!K:K,Data!D:D=A756,Data!B:B=$B$1)*2)+(((COUNTIF(FILTER(Data!N:N,Data!D:D=A756,Data!B:B=$B$"&amp;"1),""TRAVERSE"")*15)+(COUNTIF(FILTER(Data!N:N,Data!D:D=A756,Data!B:B=$B$1),""HIGH"")*10)+(COUNTIF(FILTER(Data!N:N,Data!D:D=A756,Data!B:B=$B$1),""MIDDLE"")*6)+(COUNTIF(FILTER(Data!N:N,Data!D:D=A756,Data!B:B=$B$1),""LOW"")*4))),"""")"),"")</f>
        <v/>
      </c>
      <c r="L756" s="136" t="str">
        <f>IFERROR(__xludf.DUMMYFUNCTION("IFERROR((FILTER(Data!P:P,Data!D:D=A756,Data!B:B=$B$1)),"""")"),"")</f>
        <v/>
      </c>
      <c r="M756" s="137" t="str">
        <f>IFERROR(__xludf.DUMMYFUNCTION("IFERROR((FILTER(Data!A:A,Data!D:D=A756,Data!B:B=$B$1)),"""")"),"")</f>
        <v/>
      </c>
      <c r="T756" s="52">
        <f>IFERROR(__xludf.DUMMYFUNCTION("((COUNTIF(FILTER(Data!N:N,Data!D:D=A756,Data!B:B=$B$1),""TRAVERSE"")*15)+(COUNTIF(FILTER(Data!N:N,Data!D:D=A756,Data!B:B=B$1),""HIGH"")*10)+(COUNTIF(FILTER(Data!N:N,Data!D:D=A756,Data!B:B=$B$1),""MIDDLE"")*6)+(COUNTIF(FILTER(Data!N:N,Data!D:D=A756,Data!B:"&amp;"B=$B$1),""LOW"")*4))"),0.0)</f>
        <v>0</v>
      </c>
      <c r="V756" s="138" t="str">
        <f>IF(Data!B748='Team Parser'!$B$1, Data!D748,"")</f>
        <v/>
      </c>
      <c r="W756" s="134" t="str">
        <f>IF(Data!$B748='Team Parser'!$B$1, Data!H748,"")</f>
        <v/>
      </c>
      <c r="X756" s="134" t="str">
        <f>IF(Data!$B748='Team Parser'!$B$1, Data!G748,"")</f>
        <v/>
      </c>
      <c r="Y756" s="134" t="str">
        <f>IF(Data!$B748='Team Parser'!$B$1, Data!L748,"")</f>
        <v/>
      </c>
      <c r="Z756" s="134" t="str">
        <f>IF(Data!$B748='Team Parser'!$B$1, Data!K748,"")</f>
        <v/>
      </c>
      <c r="AA756" s="134" t="str">
        <f>IF(Data!$B748='Team Parser'!$B$1, Data!M748,"")</f>
        <v/>
      </c>
      <c r="AB756" s="134" t="str">
        <f>IF(Data!$B748='Team Parser'!$B$1,((Z756*2)+(Y756)+(X756*4)+(W756*2)),"")</f>
        <v/>
      </c>
      <c r="AC756" s="134" t="str">
        <f>IF(Data!$B748='Team Parser'!$B$1, Data!N748,"")</f>
        <v/>
      </c>
      <c r="AD756" s="139" t="str">
        <f>IF(Data!$B748='Team Parser'!$B$1,(AB756+(COUNTIF(AC756,"TRAVERSE")*15)+(COUNTIF(AC756,"HIGH")*10)+(COUNTIF(AC756,"MIDDLE")*6)+(COUNTIF(AC756,"LOW")*4)),"")</f>
        <v/>
      </c>
    </row>
    <row r="757">
      <c r="A757" s="141" t="s">
        <v>507</v>
      </c>
      <c r="B757" s="134" t="str">
        <f>IFERROR(__xludf.DUMMYFUNCTION("IFERROR((FILTER(Data!H:H,Data!D:D=A757,Data!B:B=$B$1)),"""")"),"")</f>
        <v/>
      </c>
      <c r="C757" s="134" t="str">
        <f>IFERROR(__xludf.DUMMYFUNCTION("IFERROR((FILTER(Data!G:G,Data!D:D=A757,Data!B:B=$B$1)),"""")"),"")</f>
        <v/>
      </c>
      <c r="D757" s="134" t="str">
        <f>IFERROR(__xludf.DUMMYFUNCTION("IFERROR((FILTER(Data!J:J,Data!D:D=A757,Data!B:B=$B$1)),"""")"),"")</f>
        <v/>
      </c>
      <c r="E757" s="134" t="str">
        <f>IFERROR(__xludf.DUMMYFUNCTION("IFERROR((FILTER(Data!L:L,Data!D:D=A757,Data!B:B=$B$1)),"""")"),"")</f>
        <v/>
      </c>
      <c r="F757" s="134" t="str">
        <f>IFERROR(__xludf.DUMMYFUNCTION("IFERROR((FILTER(Data!K:K,Data!D:D=A757,Data!B:B=$B$1)),"""")"),"")</f>
        <v/>
      </c>
      <c r="G757" s="134" t="str">
        <f>IFERROR(__xludf.DUMMYFUNCTION("IFERROR((FILTER(Data!M:M,Data!D:D=A757,Data!B:B=$B$1)),"""")"),"")</f>
        <v/>
      </c>
      <c r="H757" s="134" t="str">
        <f>IFERROR(__xludf.DUMMYFUNCTION("IFERROR((FILTER(Data!G:G,Data!D:D=A757,Data!B:B=$B$1)*4)+(FILTER(Data!H:H,Data!D:D=A757,Data!B:B=$B$1)*2),"""")"),"")</f>
        <v/>
      </c>
      <c r="I757" s="15" t="str">
        <f>IFERROR(__xludf.DUMMYFUNCTION("IFERROR((FILTER(Data!K:K,Data!D:D=A757,Data!B:B=$B$1)*2)+(FILTER(Data!L:L,Data!D:D=A757,Data!B:B=$B$1)),"""")"),"")</f>
        <v/>
      </c>
      <c r="J757" s="134" t="str">
        <f>IFERROR(__xludf.DUMMYFUNCTION("IFERROR((FILTER(Data!N:N,Data!D:D=A757,Data!B:B=$B$1)),"""")"),"")</f>
        <v/>
      </c>
      <c r="K757" s="135" t="str">
        <f>IFERROR(__xludf.DUMMYFUNCTION("IFERROR((FILTER(Data!H:H,Data!D:D=A757,Data!B:B=$B$1)*2)+(FILTER(Data!L:L,Data!D:D=A757,Data!B:B=$B$1))+(FILTER(Data!G:G,Data!D:D=A757,Data!B:B=$B$1)*4)+(FILTER(Data!K:K,Data!D:D=A757,Data!B:B=$B$1)*2)+(((COUNTIF(FILTER(Data!N:N,Data!D:D=A757,Data!B:B=$B$"&amp;"1),""TRAVERSE"")*15)+(COUNTIF(FILTER(Data!N:N,Data!D:D=A757,Data!B:B=$B$1),""HIGH"")*10)+(COUNTIF(FILTER(Data!N:N,Data!D:D=A757,Data!B:B=$B$1),""MIDDLE"")*6)+(COUNTIF(FILTER(Data!N:N,Data!D:D=A757,Data!B:B=$B$1),""LOW"")*4))),"""")"),"")</f>
        <v/>
      </c>
      <c r="L757" s="136" t="str">
        <f>IFERROR(__xludf.DUMMYFUNCTION("IFERROR((FILTER(Data!P:P,Data!D:D=A757,Data!B:B=$B$1)),"""")"),"")</f>
        <v/>
      </c>
      <c r="M757" s="137" t="str">
        <f>IFERROR(__xludf.DUMMYFUNCTION("IFERROR((FILTER(Data!A:A,Data!D:D=A757,Data!B:B=$B$1)),"""")"),"")</f>
        <v/>
      </c>
      <c r="T757" s="52">
        <f>IFERROR(__xludf.DUMMYFUNCTION("((COUNTIF(FILTER(Data!N:N,Data!D:D=A757,Data!B:B=$B$1),""TRAVERSE"")*15)+(COUNTIF(FILTER(Data!N:N,Data!D:D=A757,Data!B:B=B$1),""HIGH"")*10)+(COUNTIF(FILTER(Data!N:N,Data!D:D=A757,Data!B:B=$B$1),""MIDDLE"")*6)+(COUNTIF(FILTER(Data!N:N,Data!D:D=A757,Data!B:"&amp;"B=$B$1),""LOW"")*4))"),0.0)</f>
        <v>0</v>
      </c>
      <c r="V757" s="138" t="str">
        <f>IF(Data!B749='Team Parser'!$B$1, Data!D749,"")</f>
        <v/>
      </c>
      <c r="W757" s="134" t="str">
        <f>IF(Data!$B749='Team Parser'!$B$1, Data!H749,"")</f>
        <v/>
      </c>
      <c r="X757" s="134" t="str">
        <f>IF(Data!$B749='Team Parser'!$B$1, Data!G749,"")</f>
        <v/>
      </c>
      <c r="Y757" s="134" t="str">
        <f>IF(Data!$B749='Team Parser'!$B$1, Data!L749,"")</f>
        <v/>
      </c>
      <c r="Z757" s="134" t="str">
        <f>IF(Data!$B749='Team Parser'!$B$1, Data!K749,"")</f>
        <v/>
      </c>
      <c r="AA757" s="134" t="str">
        <f>IF(Data!$B749='Team Parser'!$B$1, Data!M749,"")</f>
        <v/>
      </c>
      <c r="AB757" s="134" t="str">
        <f>IF(Data!$B749='Team Parser'!$B$1,((Z757*2)+(Y757)+(X757*4)+(W757*2)),"")</f>
        <v/>
      </c>
      <c r="AC757" s="134" t="str">
        <f>IF(Data!$B749='Team Parser'!$B$1, Data!N749,"")</f>
        <v/>
      </c>
      <c r="AD757" s="139" t="str">
        <f>IF(Data!$B749='Team Parser'!$B$1,(AB757+(COUNTIF(AC757,"TRAVERSE")*15)+(COUNTIF(AC757,"HIGH")*10)+(COUNTIF(AC757,"MIDDLE")*6)+(COUNTIF(AC757,"LOW")*4)),"")</f>
        <v/>
      </c>
    </row>
    <row r="758">
      <c r="A758" s="141" t="s">
        <v>507</v>
      </c>
      <c r="B758" s="134" t="str">
        <f>IFERROR(__xludf.DUMMYFUNCTION("IFERROR((FILTER(Data!H:H,Data!D:D=A758,Data!B:B=$B$1)),"""")"),"")</f>
        <v/>
      </c>
      <c r="C758" s="134" t="str">
        <f>IFERROR(__xludf.DUMMYFUNCTION("IFERROR((FILTER(Data!G:G,Data!D:D=A758,Data!B:B=$B$1)),"""")"),"")</f>
        <v/>
      </c>
      <c r="D758" s="134" t="str">
        <f>IFERROR(__xludf.DUMMYFUNCTION("IFERROR((FILTER(Data!J:J,Data!D:D=A758,Data!B:B=$B$1)),"""")"),"")</f>
        <v/>
      </c>
      <c r="E758" s="134" t="str">
        <f>IFERROR(__xludf.DUMMYFUNCTION("IFERROR((FILTER(Data!L:L,Data!D:D=A758,Data!B:B=$B$1)),"""")"),"")</f>
        <v/>
      </c>
      <c r="F758" s="134" t="str">
        <f>IFERROR(__xludf.DUMMYFUNCTION("IFERROR((FILTER(Data!K:K,Data!D:D=A758,Data!B:B=$B$1)),"""")"),"")</f>
        <v/>
      </c>
      <c r="G758" s="134" t="str">
        <f>IFERROR(__xludf.DUMMYFUNCTION("IFERROR((FILTER(Data!M:M,Data!D:D=A758,Data!B:B=$B$1)),"""")"),"")</f>
        <v/>
      </c>
      <c r="H758" s="134" t="str">
        <f>IFERROR(__xludf.DUMMYFUNCTION("IFERROR((FILTER(Data!G:G,Data!D:D=A758,Data!B:B=$B$1)*4)+(FILTER(Data!H:H,Data!D:D=A758,Data!B:B=$B$1)*2),"""")"),"")</f>
        <v/>
      </c>
      <c r="I758" s="15" t="str">
        <f>IFERROR(__xludf.DUMMYFUNCTION("IFERROR((FILTER(Data!K:K,Data!D:D=A758,Data!B:B=$B$1)*2)+(FILTER(Data!L:L,Data!D:D=A758,Data!B:B=$B$1)),"""")"),"")</f>
        <v/>
      </c>
      <c r="J758" s="134" t="str">
        <f>IFERROR(__xludf.DUMMYFUNCTION("IFERROR((FILTER(Data!N:N,Data!D:D=A758,Data!B:B=$B$1)),"""")"),"")</f>
        <v/>
      </c>
      <c r="K758" s="135" t="str">
        <f>IFERROR(__xludf.DUMMYFUNCTION("IFERROR((FILTER(Data!H:H,Data!D:D=A758,Data!B:B=$B$1)*2)+(FILTER(Data!L:L,Data!D:D=A758,Data!B:B=$B$1))+(FILTER(Data!G:G,Data!D:D=A758,Data!B:B=$B$1)*4)+(FILTER(Data!K:K,Data!D:D=A758,Data!B:B=$B$1)*2)+(((COUNTIF(FILTER(Data!N:N,Data!D:D=A758,Data!B:B=$B$"&amp;"1),""TRAVERSE"")*15)+(COUNTIF(FILTER(Data!N:N,Data!D:D=A758,Data!B:B=$B$1),""HIGH"")*10)+(COUNTIF(FILTER(Data!N:N,Data!D:D=A758,Data!B:B=$B$1),""MIDDLE"")*6)+(COUNTIF(FILTER(Data!N:N,Data!D:D=A758,Data!B:B=$B$1),""LOW"")*4))),"""")"),"")</f>
        <v/>
      </c>
      <c r="L758" s="136" t="str">
        <f>IFERROR(__xludf.DUMMYFUNCTION("IFERROR((FILTER(Data!P:P,Data!D:D=A758,Data!B:B=$B$1)),"""")"),"")</f>
        <v/>
      </c>
      <c r="M758" s="137" t="str">
        <f>IFERROR(__xludf.DUMMYFUNCTION("IFERROR((FILTER(Data!A:A,Data!D:D=A758,Data!B:B=$B$1)),"""")"),"")</f>
        <v/>
      </c>
      <c r="T758" s="52">
        <f>IFERROR(__xludf.DUMMYFUNCTION("((COUNTIF(FILTER(Data!N:N,Data!D:D=A758,Data!B:B=$B$1),""TRAVERSE"")*15)+(COUNTIF(FILTER(Data!N:N,Data!D:D=A758,Data!B:B=B$1),""HIGH"")*10)+(COUNTIF(FILTER(Data!N:N,Data!D:D=A758,Data!B:B=$B$1),""MIDDLE"")*6)+(COUNTIF(FILTER(Data!N:N,Data!D:D=A758,Data!B:"&amp;"B=$B$1),""LOW"")*4))"),0.0)</f>
        <v>0</v>
      </c>
      <c r="V758" s="138" t="str">
        <f>IF(Data!B750='Team Parser'!$B$1, Data!D750,"")</f>
        <v/>
      </c>
      <c r="W758" s="134" t="str">
        <f>IF(Data!$B750='Team Parser'!$B$1, Data!H750,"")</f>
        <v/>
      </c>
      <c r="X758" s="134" t="str">
        <f>IF(Data!$B750='Team Parser'!$B$1, Data!G750,"")</f>
        <v/>
      </c>
      <c r="Y758" s="134" t="str">
        <f>IF(Data!$B750='Team Parser'!$B$1, Data!L750,"")</f>
        <v/>
      </c>
      <c r="Z758" s="134" t="str">
        <f>IF(Data!$B750='Team Parser'!$B$1, Data!K750,"")</f>
        <v/>
      </c>
      <c r="AA758" s="134" t="str">
        <f>IF(Data!$B750='Team Parser'!$B$1, Data!M750,"")</f>
        <v/>
      </c>
      <c r="AB758" s="134" t="str">
        <f>IF(Data!$B750='Team Parser'!$B$1,((Z758*2)+(Y758)+(X758*4)+(W758*2)),"")</f>
        <v/>
      </c>
      <c r="AC758" s="134" t="str">
        <f>IF(Data!$B750='Team Parser'!$B$1, Data!N750,"")</f>
        <v/>
      </c>
      <c r="AD758" s="139" t="str">
        <f>IF(Data!$B750='Team Parser'!$B$1,(AB758+(COUNTIF(AC758,"TRAVERSE")*15)+(COUNTIF(AC758,"HIGH")*10)+(COUNTIF(AC758,"MIDDLE")*6)+(COUNTIF(AC758,"LOW")*4)),"")</f>
        <v/>
      </c>
    </row>
    <row r="759">
      <c r="A759" s="141" t="s">
        <v>507</v>
      </c>
      <c r="B759" s="134" t="str">
        <f>IFERROR(__xludf.DUMMYFUNCTION("IFERROR((FILTER(Data!H:H,Data!D:D=A759,Data!B:B=$B$1)),"""")"),"")</f>
        <v/>
      </c>
      <c r="C759" s="134" t="str">
        <f>IFERROR(__xludf.DUMMYFUNCTION("IFERROR((FILTER(Data!G:G,Data!D:D=A759,Data!B:B=$B$1)),"""")"),"")</f>
        <v/>
      </c>
      <c r="D759" s="134" t="str">
        <f>IFERROR(__xludf.DUMMYFUNCTION("IFERROR((FILTER(Data!J:J,Data!D:D=A759,Data!B:B=$B$1)),"""")"),"")</f>
        <v/>
      </c>
      <c r="E759" s="134" t="str">
        <f>IFERROR(__xludf.DUMMYFUNCTION("IFERROR((FILTER(Data!L:L,Data!D:D=A759,Data!B:B=$B$1)),"""")"),"")</f>
        <v/>
      </c>
      <c r="F759" s="134" t="str">
        <f>IFERROR(__xludf.DUMMYFUNCTION("IFERROR((FILTER(Data!K:K,Data!D:D=A759,Data!B:B=$B$1)),"""")"),"")</f>
        <v/>
      </c>
      <c r="G759" s="134" t="str">
        <f>IFERROR(__xludf.DUMMYFUNCTION("IFERROR((FILTER(Data!M:M,Data!D:D=A759,Data!B:B=$B$1)),"""")"),"")</f>
        <v/>
      </c>
      <c r="H759" s="134" t="str">
        <f>IFERROR(__xludf.DUMMYFUNCTION("IFERROR((FILTER(Data!G:G,Data!D:D=A759,Data!B:B=$B$1)*4)+(FILTER(Data!H:H,Data!D:D=A759,Data!B:B=$B$1)*2),"""")"),"")</f>
        <v/>
      </c>
      <c r="I759" s="15" t="str">
        <f>IFERROR(__xludf.DUMMYFUNCTION("IFERROR((FILTER(Data!K:K,Data!D:D=A759,Data!B:B=$B$1)*2)+(FILTER(Data!L:L,Data!D:D=A759,Data!B:B=$B$1)),"""")"),"")</f>
        <v/>
      </c>
      <c r="J759" s="134" t="str">
        <f>IFERROR(__xludf.DUMMYFUNCTION("IFERROR((FILTER(Data!N:N,Data!D:D=A759,Data!B:B=$B$1)),"""")"),"")</f>
        <v/>
      </c>
      <c r="K759" s="135" t="str">
        <f>IFERROR(__xludf.DUMMYFUNCTION("IFERROR((FILTER(Data!H:H,Data!D:D=A759,Data!B:B=$B$1)*2)+(FILTER(Data!L:L,Data!D:D=A759,Data!B:B=$B$1))+(FILTER(Data!G:G,Data!D:D=A759,Data!B:B=$B$1)*4)+(FILTER(Data!K:K,Data!D:D=A759,Data!B:B=$B$1)*2)+(((COUNTIF(FILTER(Data!N:N,Data!D:D=A759,Data!B:B=$B$"&amp;"1),""TRAVERSE"")*15)+(COUNTIF(FILTER(Data!N:N,Data!D:D=A759,Data!B:B=$B$1),""HIGH"")*10)+(COUNTIF(FILTER(Data!N:N,Data!D:D=A759,Data!B:B=$B$1),""MIDDLE"")*6)+(COUNTIF(FILTER(Data!N:N,Data!D:D=A759,Data!B:B=$B$1),""LOW"")*4))),"""")"),"")</f>
        <v/>
      </c>
      <c r="L759" s="136" t="str">
        <f>IFERROR(__xludf.DUMMYFUNCTION("IFERROR((FILTER(Data!P:P,Data!D:D=A759,Data!B:B=$B$1)),"""")"),"")</f>
        <v/>
      </c>
      <c r="M759" s="137" t="str">
        <f>IFERROR(__xludf.DUMMYFUNCTION("IFERROR((FILTER(Data!A:A,Data!D:D=A759,Data!B:B=$B$1)),"""")"),"")</f>
        <v/>
      </c>
      <c r="T759" s="52">
        <f>IFERROR(__xludf.DUMMYFUNCTION("((COUNTIF(FILTER(Data!N:N,Data!D:D=A759,Data!B:B=$B$1),""TRAVERSE"")*15)+(COUNTIF(FILTER(Data!N:N,Data!D:D=A759,Data!B:B=B$1),""HIGH"")*10)+(COUNTIF(FILTER(Data!N:N,Data!D:D=A759,Data!B:B=$B$1),""MIDDLE"")*6)+(COUNTIF(FILTER(Data!N:N,Data!D:D=A759,Data!B:"&amp;"B=$B$1),""LOW"")*4))"),0.0)</f>
        <v>0</v>
      </c>
      <c r="V759" s="138" t="str">
        <f>IF(Data!B751='Team Parser'!$B$1, Data!D751,"")</f>
        <v/>
      </c>
      <c r="W759" s="134" t="str">
        <f>IF(Data!$B751='Team Parser'!$B$1, Data!H751,"")</f>
        <v/>
      </c>
      <c r="X759" s="134" t="str">
        <f>IF(Data!$B751='Team Parser'!$B$1, Data!G751,"")</f>
        <v/>
      </c>
      <c r="Y759" s="134" t="str">
        <f>IF(Data!$B751='Team Parser'!$B$1, Data!L751,"")</f>
        <v/>
      </c>
      <c r="Z759" s="134" t="str">
        <f>IF(Data!$B751='Team Parser'!$B$1, Data!K751,"")</f>
        <v/>
      </c>
      <c r="AA759" s="134" t="str">
        <f>IF(Data!$B751='Team Parser'!$B$1, Data!M751,"")</f>
        <v/>
      </c>
      <c r="AB759" s="134" t="str">
        <f>IF(Data!$B751='Team Parser'!$B$1,((Z759*2)+(Y759)+(X759*4)+(W759*2)),"")</f>
        <v/>
      </c>
      <c r="AC759" s="134" t="str">
        <f>IF(Data!$B751='Team Parser'!$B$1, Data!N751,"")</f>
        <v/>
      </c>
      <c r="AD759" s="139" t="str">
        <f>IF(Data!$B751='Team Parser'!$B$1,(AB759+(COUNTIF(AC759,"TRAVERSE")*15)+(COUNTIF(AC759,"HIGH")*10)+(COUNTIF(AC759,"MIDDLE")*6)+(COUNTIF(AC759,"LOW")*4)),"")</f>
        <v/>
      </c>
    </row>
    <row r="760">
      <c r="A760" s="141" t="s">
        <v>507</v>
      </c>
      <c r="B760" s="134" t="str">
        <f>IFERROR(__xludf.DUMMYFUNCTION("IFERROR((FILTER(Data!H:H,Data!D:D=A760,Data!B:B=$B$1)),"""")"),"")</f>
        <v/>
      </c>
      <c r="C760" s="134" t="str">
        <f>IFERROR(__xludf.DUMMYFUNCTION("IFERROR((FILTER(Data!G:G,Data!D:D=A760,Data!B:B=$B$1)),"""")"),"")</f>
        <v/>
      </c>
      <c r="D760" s="134" t="str">
        <f>IFERROR(__xludf.DUMMYFUNCTION("IFERROR((FILTER(Data!J:J,Data!D:D=A760,Data!B:B=$B$1)),"""")"),"")</f>
        <v/>
      </c>
      <c r="E760" s="134" t="str">
        <f>IFERROR(__xludf.DUMMYFUNCTION("IFERROR((FILTER(Data!L:L,Data!D:D=A760,Data!B:B=$B$1)),"""")"),"")</f>
        <v/>
      </c>
      <c r="F760" s="134" t="str">
        <f>IFERROR(__xludf.DUMMYFUNCTION("IFERROR((FILTER(Data!K:K,Data!D:D=A760,Data!B:B=$B$1)),"""")"),"")</f>
        <v/>
      </c>
      <c r="G760" s="134" t="str">
        <f>IFERROR(__xludf.DUMMYFUNCTION("IFERROR((FILTER(Data!M:M,Data!D:D=A760,Data!B:B=$B$1)),"""")"),"")</f>
        <v/>
      </c>
      <c r="H760" s="134" t="str">
        <f>IFERROR(__xludf.DUMMYFUNCTION("IFERROR((FILTER(Data!G:G,Data!D:D=A760,Data!B:B=$B$1)*4)+(FILTER(Data!H:H,Data!D:D=A760,Data!B:B=$B$1)*2),"""")"),"")</f>
        <v/>
      </c>
      <c r="I760" s="15" t="str">
        <f>IFERROR(__xludf.DUMMYFUNCTION("IFERROR((FILTER(Data!K:K,Data!D:D=A760,Data!B:B=$B$1)*2)+(FILTER(Data!L:L,Data!D:D=A760,Data!B:B=$B$1)),"""")"),"")</f>
        <v/>
      </c>
      <c r="J760" s="134" t="str">
        <f>IFERROR(__xludf.DUMMYFUNCTION("IFERROR((FILTER(Data!N:N,Data!D:D=A760,Data!B:B=$B$1)),"""")"),"")</f>
        <v/>
      </c>
      <c r="K760" s="135" t="str">
        <f>IFERROR(__xludf.DUMMYFUNCTION("IFERROR((FILTER(Data!H:H,Data!D:D=A760,Data!B:B=$B$1)*2)+(FILTER(Data!L:L,Data!D:D=A760,Data!B:B=$B$1))+(FILTER(Data!G:G,Data!D:D=A760,Data!B:B=$B$1)*4)+(FILTER(Data!K:K,Data!D:D=A760,Data!B:B=$B$1)*2)+(((COUNTIF(FILTER(Data!N:N,Data!D:D=A760,Data!B:B=$B$"&amp;"1),""TRAVERSE"")*15)+(COUNTIF(FILTER(Data!N:N,Data!D:D=A760,Data!B:B=$B$1),""HIGH"")*10)+(COUNTIF(FILTER(Data!N:N,Data!D:D=A760,Data!B:B=$B$1),""MIDDLE"")*6)+(COUNTIF(FILTER(Data!N:N,Data!D:D=A760,Data!B:B=$B$1),""LOW"")*4))),"""")"),"")</f>
        <v/>
      </c>
      <c r="L760" s="136" t="str">
        <f>IFERROR(__xludf.DUMMYFUNCTION("IFERROR((FILTER(Data!P:P,Data!D:D=A760,Data!B:B=$B$1)),"""")"),"")</f>
        <v/>
      </c>
      <c r="M760" s="137" t="str">
        <f>IFERROR(__xludf.DUMMYFUNCTION("IFERROR((FILTER(Data!A:A,Data!D:D=A760,Data!B:B=$B$1)),"""")"),"")</f>
        <v/>
      </c>
      <c r="T760" s="52">
        <f>IFERROR(__xludf.DUMMYFUNCTION("((COUNTIF(FILTER(Data!N:N,Data!D:D=A760,Data!B:B=$B$1),""TRAVERSE"")*15)+(COUNTIF(FILTER(Data!N:N,Data!D:D=A760,Data!B:B=B$1),""HIGH"")*10)+(COUNTIF(FILTER(Data!N:N,Data!D:D=A760,Data!B:B=$B$1),""MIDDLE"")*6)+(COUNTIF(FILTER(Data!N:N,Data!D:D=A760,Data!B:"&amp;"B=$B$1),""LOW"")*4))"),0.0)</f>
        <v>0</v>
      </c>
      <c r="V760" s="138" t="str">
        <f>IF(Data!B752='Team Parser'!$B$1, Data!D752,"")</f>
        <v/>
      </c>
      <c r="W760" s="134" t="str">
        <f>IF(Data!$B752='Team Parser'!$B$1, Data!H752,"")</f>
        <v/>
      </c>
      <c r="X760" s="134" t="str">
        <f>IF(Data!$B752='Team Parser'!$B$1, Data!G752,"")</f>
        <v/>
      </c>
      <c r="Y760" s="134" t="str">
        <f>IF(Data!$B752='Team Parser'!$B$1, Data!L752,"")</f>
        <v/>
      </c>
      <c r="Z760" s="134" t="str">
        <f>IF(Data!$B752='Team Parser'!$B$1, Data!K752,"")</f>
        <v/>
      </c>
      <c r="AA760" s="134" t="str">
        <f>IF(Data!$B752='Team Parser'!$B$1, Data!M752,"")</f>
        <v/>
      </c>
      <c r="AB760" s="134" t="str">
        <f>IF(Data!$B752='Team Parser'!$B$1,((Z760*2)+(Y760)+(X760*4)+(W760*2)),"")</f>
        <v/>
      </c>
      <c r="AC760" s="134" t="str">
        <f>IF(Data!$B752='Team Parser'!$B$1, Data!N752,"")</f>
        <v/>
      </c>
      <c r="AD760" s="139" t="str">
        <f>IF(Data!$B752='Team Parser'!$B$1,(AB760+(COUNTIF(AC760,"TRAVERSE")*15)+(COUNTIF(AC760,"HIGH")*10)+(COUNTIF(AC760,"MIDDLE")*6)+(COUNTIF(AC760,"LOW")*4)),"")</f>
        <v/>
      </c>
    </row>
    <row r="761">
      <c r="A761" s="141" t="s">
        <v>507</v>
      </c>
      <c r="B761" s="134" t="str">
        <f>IFERROR(__xludf.DUMMYFUNCTION("IFERROR((FILTER(Data!H:H,Data!D:D=A761,Data!B:B=$B$1)),"""")"),"")</f>
        <v/>
      </c>
      <c r="C761" s="134" t="str">
        <f>IFERROR(__xludf.DUMMYFUNCTION("IFERROR((FILTER(Data!G:G,Data!D:D=A761,Data!B:B=$B$1)),"""")"),"")</f>
        <v/>
      </c>
      <c r="D761" s="134" t="str">
        <f>IFERROR(__xludf.DUMMYFUNCTION("IFERROR((FILTER(Data!J:J,Data!D:D=A761,Data!B:B=$B$1)),"""")"),"")</f>
        <v/>
      </c>
      <c r="E761" s="134" t="str">
        <f>IFERROR(__xludf.DUMMYFUNCTION("IFERROR((FILTER(Data!L:L,Data!D:D=A761,Data!B:B=$B$1)),"""")"),"")</f>
        <v/>
      </c>
      <c r="F761" s="134" t="str">
        <f>IFERROR(__xludf.DUMMYFUNCTION("IFERROR((FILTER(Data!K:K,Data!D:D=A761,Data!B:B=$B$1)),"""")"),"")</f>
        <v/>
      </c>
      <c r="G761" s="134" t="str">
        <f>IFERROR(__xludf.DUMMYFUNCTION("IFERROR((FILTER(Data!M:M,Data!D:D=A761,Data!B:B=$B$1)),"""")"),"")</f>
        <v/>
      </c>
      <c r="H761" s="134" t="str">
        <f>IFERROR(__xludf.DUMMYFUNCTION("IFERROR((FILTER(Data!G:G,Data!D:D=A761,Data!B:B=$B$1)*4)+(FILTER(Data!H:H,Data!D:D=A761,Data!B:B=$B$1)*2),"""")"),"")</f>
        <v/>
      </c>
      <c r="I761" s="15" t="str">
        <f>IFERROR(__xludf.DUMMYFUNCTION("IFERROR((FILTER(Data!K:K,Data!D:D=A761,Data!B:B=$B$1)*2)+(FILTER(Data!L:L,Data!D:D=A761,Data!B:B=$B$1)),"""")"),"")</f>
        <v/>
      </c>
      <c r="J761" s="134" t="str">
        <f>IFERROR(__xludf.DUMMYFUNCTION("IFERROR((FILTER(Data!N:N,Data!D:D=A761,Data!B:B=$B$1)),"""")"),"")</f>
        <v/>
      </c>
      <c r="K761" s="135" t="str">
        <f>IFERROR(__xludf.DUMMYFUNCTION("IFERROR((FILTER(Data!H:H,Data!D:D=A761,Data!B:B=$B$1)*2)+(FILTER(Data!L:L,Data!D:D=A761,Data!B:B=$B$1))+(FILTER(Data!G:G,Data!D:D=A761,Data!B:B=$B$1)*4)+(FILTER(Data!K:K,Data!D:D=A761,Data!B:B=$B$1)*2)+(((COUNTIF(FILTER(Data!N:N,Data!D:D=A761,Data!B:B=$B$"&amp;"1),""TRAVERSE"")*15)+(COUNTIF(FILTER(Data!N:N,Data!D:D=A761,Data!B:B=$B$1),""HIGH"")*10)+(COUNTIF(FILTER(Data!N:N,Data!D:D=A761,Data!B:B=$B$1),""MIDDLE"")*6)+(COUNTIF(FILTER(Data!N:N,Data!D:D=A761,Data!B:B=$B$1),""LOW"")*4))),"""")"),"")</f>
        <v/>
      </c>
      <c r="L761" s="136" t="str">
        <f>IFERROR(__xludf.DUMMYFUNCTION("IFERROR((FILTER(Data!P:P,Data!D:D=A761,Data!B:B=$B$1)),"""")"),"")</f>
        <v/>
      </c>
      <c r="M761" s="137" t="str">
        <f>IFERROR(__xludf.DUMMYFUNCTION("IFERROR((FILTER(Data!A:A,Data!D:D=A761,Data!B:B=$B$1)),"""")"),"")</f>
        <v/>
      </c>
      <c r="T761" s="52">
        <f>IFERROR(__xludf.DUMMYFUNCTION("((COUNTIF(FILTER(Data!N:N,Data!D:D=A761,Data!B:B=$B$1),""TRAVERSE"")*15)+(COUNTIF(FILTER(Data!N:N,Data!D:D=A761,Data!B:B=B$1),""HIGH"")*10)+(COUNTIF(FILTER(Data!N:N,Data!D:D=A761,Data!B:B=$B$1),""MIDDLE"")*6)+(COUNTIF(FILTER(Data!N:N,Data!D:D=A761,Data!B:"&amp;"B=$B$1),""LOW"")*4))"),0.0)</f>
        <v>0</v>
      </c>
      <c r="V761" s="138" t="str">
        <f>IF(Data!B753='Team Parser'!$B$1, Data!D753,"")</f>
        <v/>
      </c>
      <c r="W761" s="134" t="str">
        <f>IF(Data!$B753='Team Parser'!$B$1, Data!H753,"")</f>
        <v/>
      </c>
      <c r="X761" s="134" t="str">
        <f>IF(Data!$B753='Team Parser'!$B$1, Data!G753,"")</f>
        <v/>
      </c>
      <c r="Y761" s="134" t="str">
        <f>IF(Data!$B753='Team Parser'!$B$1, Data!L753,"")</f>
        <v/>
      </c>
      <c r="Z761" s="134" t="str">
        <f>IF(Data!$B753='Team Parser'!$B$1, Data!K753,"")</f>
        <v/>
      </c>
      <c r="AA761" s="134" t="str">
        <f>IF(Data!$B753='Team Parser'!$B$1, Data!M753,"")</f>
        <v/>
      </c>
      <c r="AB761" s="134" t="str">
        <f>IF(Data!$B753='Team Parser'!$B$1,((Z761*2)+(Y761)+(X761*4)+(W761*2)),"")</f>
        <v/>
      </c>
      <c r="AC761" s="134" t="str">
        <f>IF(Data!$B753='Team Parser'!$B$1, Data!N753,"")</f>
        <v/>
      </c>
      <c r="AD761" s="139" t="str">
        <f>IF(Data!$B753='Team Parser'!$B$1,(AB761+(COUNTIF(AC761,"TRAVERSE")*15)+(COUNTIF(AC761,"HIGH")*10)+(COUNTIF(AC761,"MIDDLE")*6)+(COUNTIF(AC761,"LOW")*4)),"")</f>
        <v/>
      </c>
    </row>
    <row r="762">
      <c r="A762" s="141" t="s">
        <v>507</v>
      </c>
      <c r="B762" s="134" t="str">
        <f>IFERROR(__xludf.DUMMYFUNCTION("IFERROR((FILTER(Data!H:H,Data!D:D=A762,Data!B:B=$B$1)),"""")"),"")</f>
        <v/>
      </c>
      <c r="C762" s="134" t="str">
        <f>IFERROR(__xludf.DUMMYFUNCTION("IFERROR((FILTER(Data!G:G,Data!D:D=A762,Data!B:B=$B$1)),"""")"),"")</f>
        <v/>
      </c>
      <c r="D762" s="134" t="str">
        <f>IFERROR(__xludf.DUMMYFUNCTION("IFERROR((FILTER(Data!J:J,Data!D:D=A762,Data!B:B=$B$1)),"""")"),"")</f>
        <v/>
      </c>
      <c r="E762" s="134" t="str">
        <f>IFERROR(__xludf.DUMMYFUNCTION("IFERROR((FILTER(Data!L:L,Data!D:D=A762,Data!B:B=$B$1)),"""")"),"")</f>
        <v/>
      </c>
      <c r="F762" s="134" t="str">
        <f>IFERROR(__xludf.DUMMYFUNCTION("IFERROR((FILTER(Data!K:K,Data!D:D=A762,Data!B:B=$B$1)),"""")"),"")</f>
        <v/>
      </c>
      <c r="G762" s="134" t="str">
        <f>IFERROR(__xludf.DUMMYFUNCTION("IFERROR((FILTER(Data!M:M,Data!D:D=A762,Data!B:B=$B$1)),"""")"),"")</f>
        <v/>
      </c>
      <c r="H762" s="134" t="str">
        <f>IFERROR(__xludf.DUMMYFUNCTION("IFERROR((FILTER(Data!G:G,Data!D:D=A762,Data!B:B=$B$1)*4)+(FILTER(Data!H:H,Data!D:D=A762,Data!B:B=$B$1)*2),"""")"),"")</f>
        <v/>
      </c>
      <c r="I762" s="15" t="str">
        <f>IFERROR(__xludf.DUMMYFUNCTION("IFERROR((FILTER(Data!K:K,Data!D:D=A762,Data!B:B=$B$1)*2)+(FILTER(Data!L:L,Data!D:D=A762,Data!B:B=$B$1)),"""")"),"")</f>
        <v/>
      </c>
      <c r="J762" s="134" t="str">
        <f>IFERROR(__xludf.DUMMYFUNCTION("IFERROR((FILTER(Data!N:N,Data!D:D=A762,Data!B:B=$B$1)),"""")"),"")</f>
        <v/>
      </c>
      <c r="K762" s="135" t="str">
        <f>IFERROR(__xludf.DUMMYFUNCTION("IFERROR((FILTER(Data!H:H,Data!D:D=A762,Data!B:B=$B$1)*2)+(FILTER(Data!L:L,Data!D:D=A762,Data!B:B=$B$1))+(FILTER(Data!G:G,Data!D:D=A762,Data!B:B=$B$1)*4)+(FILTER(Data!K:K,Data!D:D=A762,Data!B:B=$B$1)*2)+(((COUNTIF(FILTER(Data!N:N,Data!D:D=A762,Data!B:B=$B$"&amp;"1),""TRAVERSE"")*15)+(COUNTIF(FILTER(Data!N:N,Data!D:D=A762,Data!B:B=$B$1),""HIGH"")*10)+(COUNTIF(FILTER(Data!N:N,Data!D:D=A762,Data!B:B=$B$1),""MIDDLE"")*6)+(COUNTIF(FILTER(Data!N:N,Data!D:D=A762,Data!B:B=$B$1),""LOW"")*4))),"""")"),"")</f>
        <v/>
      </c>
      <c r="L762" s="136" t="str">
        <f>IFERROR(__xludf.DUMMYFUNCTION("IFERROR((FILTER(Data!P:P,Data!D:D=A762,Data!B:B=$B$1)),"""")"),"")</f>
        <v/>
      </c>
      <c r="M762" s="137" t="str">
        <f>IFERROR(__xludf.DUMMYFUNCTION("IFERROR((FILTER(Data!A:A,Data!D:D=A762,Data!B:B=$B$1)),"""")"),"")</f>
        <v/>
      </c>
      <c r="T762" s="52">
        <f>IFERROR(__xludf.DUMMYFUNCTION("((COUNTIF(FILTER(Data!N:N,Data!D:D=A762,Data!B:B=$B$1),""TRAVERSE"")*15)+(COUNTIF(FILTER(Data!N:N,Data!D:D=A762,Data!B:B=B$1),""HIGH"")*10)+(COUNTIF(FILTER(Data!N:N,Data!D:D=A762,Data!B:B=$B$1),""MIDDLE"")*6)+(COUNTIF(FILTER(Data!N:N,Data!D:D=A762,Data!B:"&amp;"B=$B$1),""LOW"")*4))"),0.0)</f>
        <v>0</v>
      </c>
      <c r="V762" s="138" t="str">
        <f>IF(Data!B754='Team Parser'!$B$1, Data!D754,"")</f>
        <v/>
      </c>
      <c r="W762" s="134" t="str">
        <f>IF(Data!$B754='Team Parser'!$B$1, Data!H754,"")</f>
        <v/>
      </c>
      <c r="X762" s="134" t="str">
        <f>IF(Data!$B754='Team Parser'!$B$1, Data!G754,"")</f>
        <v/>
      </c>
      <c r="Y762" s="134" t="str">
        <f>IF(Data!$B754='Team Parser'!$B$1, Data!L754,"")</f>
        <v/>
      </c>
      <c r="Z762" s="134" t="str">
        <f>IF(Data!$B754='Team Parser'!$B$1, Data!K754,"")</f>
        <v/>
      </c>
      <c r="AA762" s="134" t="str">
        <f>IF(Data!$B754='Team Parser'!$B$1, Data!M754,"")</f>
        <v/>
      </c>
      <c r="AB762" s="134" t="str">
        <f>IF(Data!$B754='Team Parser'!$B$1,((Z762*2)+(Y762)+(X762*4)+(W762*2)),"")</f>
        <v/>
      </c>
      <c r="AC762" s="134" t="str">
        <f>IF(Data!$B754='Team Parser'!$B$1, Data!N754,"")</f>
        <v/>
      </c>
      <c r="AD762" s="139" t="str">
        <f>IF(Data!$B754='Team Parser'!$B$1,(AB762+(COUNTIF(AC762,"TRAVERSE")*15)+(COUNTIF(AC762,"HIGH")*10)+(COUNTIF(AC762,"MIDDLE")*6)+(COUNTIF(AC762,"LOW")*4)),"")</f>
        <v/>
      </c>
    </row>
    <row r="763">
      <c r="A763" s="141" t="s">
        <v>507</v>
      </c>
      <c r="B763" s="134" t="str">
        <f>IFERROR(__xludf.DUMMYFUNCTION("IFERROR((FILTER(Data!H:H,Data!D:D=A763,Data!B:B=$B$1)),"""")"),"")</f>
        <v/>
      </c>
      <c r="C763" s="134" t="str">
        <f>IFERROR(__xludf.DUMMYFUNCTION("IFERROR((FILTER(Data!G:G,Data!D:D=A763,Data!B:B=$B$1)),"""")"),"")</f>
        <v/>
      </c>
      <c r="D763" s="134" t="str">
        <f>IFERROR(__xludf.DUMMYFUNCTION("IFERROR((FILTER(Data!J:J,Data!D:D=A763,Data!B:B=$B$1)),"""")"),"")</f>
        <v/>
      </c>
      <c r="E763" s="134" t="str">
        <f>IFERROR(__xludf.DUMMYFUNCTION("IFERROR((FILTER(Data!L:L,Data!D:D=A763,Data!B:B=$B$1)),"""")"),"")</f>
        <v/>
      </c>
      <c r="F763" s="134" t="str">
        <f>IFERROR(__xludf.DUMMYFUNCTION("IFERROR((FILTER(Data!K:K,Data!D:D=A763,Data!B:B=$B$1)),"""")"),"")</f>
        <v/>
      </c>
      <c r="G763" s="134" t="str">
        <f>IFERROR(__xludf.DUMMYFUNCTION("IFERROR((FILTER(Data!M:M,Data!D:D=A763,Data!B:B=$B$1)),"""")"),"")</f>
        <v/>
      </c>
      <c r="H763" s="134" t="str">
        <f>IFERROR(__xludf.DUMMYFUNCTION("IFERROR((FILTER(Data!G:G,Data!D:D=A763,Data!B:B=$B$1)*4)+(FILTER(Data!H:H,Data!D:D=A763,Data!B:B=$B$1)*2),"""")"),"")</f>
        <v/>
      </c>
      <c r="I763" s="15" t="str">
        <f>IFERROR(__xludf.DUMMYFUNCTION("IFERROR((FILTER(Data!K:K,Data!D:D=A763,Data!B:B=$B$1)*2)+(FILTER(Data!L:L,Data!D:D=A763,Data!B:B=$B$1)),"""")"),"")</f>
        <v/>
      </c>
      <c r="J763" s="134" t="str">
        <f>IFERROR(__xludf.DUMMYFUNCTION("IFERROR((FILTER(Data!N:N,Data!D:D=A763,Data!B:B=$B$1)),"""")"),"")</f>
        <v/>
      </c>
      <c r="K763" s="135" t="str">
        <f>IFERROR(__xludf.DUMMYFUNCTION("IFERROR((FILTER(Data!H:H,Data!D:D=A763,Data!B:B=$B$1)*2)+(FILTER(Data!L:L,Data!D:D=A763,Data!B:B=$B$1))+(FILTER(Data!G:G,Data!D:D=A763,Data!B:B=$B$1)*4)+(FILTER(Data!K:K,Data!D:D=A763,Data!B:B=$B$1)*2)+(((COUNTIF(FILTER(Data!N:N,Data!D:D=A763,Data!B:B=$B$"&amp;"1),""TRAVERSE"")*15)+(COUNTIF(FILTER(Data!N:N,Data!D:D=A763,Data!B:B=$B$1),""HIGH"")*10)+(COUNTIF(FILTER(Data!N:N,Data!D:D=A763,Data!B:B=$B$1),""MIDDLE"")*6)+(COUNTIF(FILTER(Data!N:N,Data!D:D=A763,Data!B:B=$B$1),""LOW"")*4))),"""")"),"")</f>
        <v/>
      </c>
      <c r="L763" s="136" t="str">
        <f>IFERROR(__xludf.DUMMYFUNCTION("IFERROR((FILTER(Data!P:P,Data!D:D=A763,Data!B:B=$B$1)),"""")"),"")</f>
        <v/>
      </c>
      <c r="M763" s="137" t="str">
        <f>IFERROR(__xludf.DUMMYFUNCTION("IFERROR((FILTER(Data!A:A,Data!D:D=A763,Data!B:B=$B$1)),"""")"),"")</f>
        <v/>
      </c>
      <c r="T763" s="52">
        <f>IFERROR(__xludf.DUMMYFUNCTION("((COUNTIF(FILTER(Data!N:N,Data!D:D=A763,Data!B:B=$B$1),""TRAVERSE"")*15)+(COUNTIF(FILTER(Data!N:N,Data!D:D=A763,Data!B:B=B$1),""HIGH"")*10)+(COUNTIF(FILTER(Data!N:N,Data!D:D=A763,Data!B:B=$B$1),""MIDDLE"")*6)+(COUNTIF(FILTER(Data!N:N,Data!D:D=A763,Data!B:"&amp;"B=$B$1),""LOW"")*4))"),0.0)</f>
        <v>0</v>
      </c>
      <c r="V763" s="138" t="str">
        <f>IF(Data!B755='Team Parser'!$B$1, Data!D755,"")</f>
        <v/>
      </c>
      <c r="W763" s="134" t="str">
        <f>IF(Data!$B755='Team Parser'!$B$1, Data!H755,"")</f>
        <v/>
      </c>
      <c r="X763" s="134" t="str">
        <f>IF(Data!$B755='Team Parser'!$B$1, Data!G755,"")</f>
        <v/>
      </c>
      <c r="Y763" s="134" t="str">
        <f>IF(Data!$B755='Team Parser'!$B$1, Data!L755,"")</f>
        <v/>
      </c>
      <c r="Z763" s="134" t="str">
        <f>IF(Data!$B755='Team Parser'!$B$1, Data!K755,"")</f>
        <v/>
      </c>
      <c r="AA763" s="134" t="str">
        <f>IF(Data!$B755='Team Parser'!$B$1, Data!M755,"")</f>
        <v/>
      </c>
      <c r="AB763" s="134" t="str">
        <f>IF(Data!$B755='Team Parser'!$B$1,((Z763*2)+(Y763)+(X763*4)+(W763*2)),"")</f>
        <v/>
      </c>
      <c r="AC763" s="134" t="str">
        <f>IF(Data!$B755='Team Parser'!$B$1, Data!N755,"")</f>
        <v/>
      </c>
      <c r="AD763" s="139" t="str">
        <f>IF(Data!$B755='Team Parser'!$B$1,(AB763+(COUNTIF(AC763,"TRAVERSE")*15)+(COUNTIF(AC763,"HIGH")*10)+(COUNTIF(AC763,"MIDDLE")*6)+(COUNTIF(AC763,"LOW")*4)),"")</f>
        <v/>
      </c>
    </row>
    <row r="764">
      <c r="A764" s="141" t="s">
        <v>507</v>
      </c>
      <c r="B764" s="134" t="str">
        <f>IFERROR(__xludf.DUMMYFUNCTION("IFERROR((FILTER(Data!H:H,Data!D:D=A764,Data!B:B=$B$1)),"""")"),"")</f>
        <v/>
      </c>
      <c r="C764" s="134" t="str">
        <f>IFERROR(__xludf.DUMMYFUNCTION("IFERROR((FILTER(Data!G:G,Data!D:D=A764,Data!B:B=$B$1)),"""")"),"")</f>
        <v/>
      </c>
      <c r="D764" s="134" t="str">
        <f>IFERROR(__xludf.DUMMYFUNCTION("IFERROR((FILTER(Data!J:J,Data!D:D=A764,Data!B:B=$B$1)),"""")"),"")</f>
        <v/>
      </c>
      <c r="E764" s="134" t="str">
        <f>IFERROR(__xludf.DUMMYFUNCTION("IFERROR((FILTER(Data!L:L,Data!D:D=A764,Data!B:B=$B$1)),"""")"),"")</f>
        <v/>
      </c>
      <c r="F764" s="134" t="str">
        <f>IFERROR(__xludf.DUMMYFUNCTION("IFERROR((FILTER(Data!K:K,Data!D:D=A764,Data!B:B=$B$1)),"""")"),"")</f>
        <v/>
      </c>
      <c r="G764" s="134" t="str">
        <f>IFERROR(__xludf.DUMMYFUNCTION("IFERROR((FILTER(Data!M:M,Data!D:D=A764,Data!B:B=$B$1)),"""")"),"")</f>
        <v/>
      </c>
      <c r="H764" s="134" t="str">
        <f>IFERROR(__xludf.DUMMYFUNCTION("IFERROR((FILTER(Data!G:G,Data!D:D=A764,Data!B:B=$B$1)*4)+(FILTER(Data!H:H,Data!D:D=A764,Data!B:B=$B$1)*2),"""")"),"")</f>
        <v/>
      </c>
      <c r="I764" s="15" t="str">
        <f>IFERROR(__xludf.DUMMYFUNCTION("IFERROR((FILTER(Data!K:K,Data!D:D=A764,Data!B:B=$B$1)*2)+(FILTER(Data!L:L,Data!D:D=A764,Data!B:B=$B$1)),"""")"),"")</f>
        <v/>
      </c>
      <c r="J764" s="134" t="str">
        <f>IFERROR(__xludf.DUMMYFUNCTION("IFERROR((FILTER(Data!N:N,Data!D:D=A764,Data!B:B=$B$1)),"""")"),"")</f>
        <v/>
      </c>
      <c r="K764" s="135" t="str">
        <f>IFERROR(__xludf.DUMMYFUNCTION("IFERROR((FILTER(Data!H:H,Data!D:D=A764,Data!B:B=$B$1)*2)+(FILTER(Data!L:L,Data!D:D=A764,Data!B:B=$B$1))+(FILTER(Data!G:G,Data!D:D=A764,Data!B:B=$B$1)*4)+(FILTER(Data!K:K,Data!D:D=A764,Data!B:B=$B$1)*2)+(((COUNTIF(FILTER(Data!N:N,Data!D:D=A764,Data!B:B=$B$"&amp;"1),""TRAVERSE"")*15)+(COUNTIF(FILTER(Data!N:N,Data!D:D=A764,Data!B:B=$B$1),""HIGH"")*10)+(COUNTIF(FILTER(Data!N:N,Data!D:D=A764,Data!B:B=$B$1),""MIDDLE"")*6)+(COUNTIF(FILTER(Data!N:N,Data!D:D=A764,Data!B:B=$B$1),""LOW"")*4))),"""")"),"")</f>
        <v/>
      </c>
      <c r="L764" s="136" t="str">
        <f>IFERROR(__xludf.DUMMYFUNCTION("IFERROR((FILTER(Data!P:P,Data!D:D=A764,Data!B:B=$B$1)),"""")"),"")</f>
        <v/>
      </c>
      <c r="M764" s="137" t="str">
        <f>IFERROR(__xludf.DUMMYFUNCTION("IFERROR((FILTER(Data!A:A,Data!D:D=A764,Data!B:B=$B$1)),"""")"),"")</f>
        <v/>
      </c>
      <c r="T764" s="52">
        <f>IFERROR(__xludf.DUMMYFUNCTION("((COUNTIF(FILTER(Data!N:N,Data!D:D=A764,Data!B:B=$B$1),""TRAVERSE"")*15)+(COUNTIF(FILTER(Data!N:N,Data!D:D=A764,Data!B:B=B$1),""HIGH"")*10)+(COUNTIF(FILTER(Data!N:N,Data!D:D=A764,Data!B:B=$B$1),""MIDDLE"")*6)+(COUNTIF(FILTER(Data!N:N,Data!D:D=A764,Data!B:"&amp;"B=$B$1),""LOW"")*4))"),0.0)</f>
        <v>0</v>
      </c>
      <c r="V764" s="138" t="str">
        <f>IF(Data!B756='Team Parser'!$B$1, Data!D756,"")</f>
        <v/>
      </c>
      <c r="W764" s="134" t="str">
        <f>IF(Data!$B756='Team Parser'!$B$1, Data!H756,"")</f>
        <v/>
      </c>
      <c r="X764" s="134" t="str">
        <f>IF(Data!$B756='Team Parser'!$B$1, Data!G756,"")</f>
        <v/>
      </c>
      <c r="Y764" s="134" t="str">
        <f>IF(Data!$B756='Team Parser'!$B$1, Data!L756,"")</f>
        <v/>
      </c>
      <c r="Z764" s="134" t="str">
        <f>IF(Data!$B756='Team Parser'!$B$1, Data!K756,"")</f>
        <v/>
      </c>
      <c r="AA764" s="134" t="str">
        <f>IF(Data!$B756='Team Parser'!$B$1, Data!M756,"")</f>
        <v/>
      </c>
      <c r="AB764" s="134" t="str">
        <f>IF(Data!$B756='Team Parser'!$B$1,((Z764*2)+(Y764)+(X764*4)+(W764*2)),"")</f>
        <v/>
      </c>
      <c r="AC764" s="134" t="str">
        <f>IF(Data!$B756='Team Parser'!$B$1, Data!N756,"")</f>
        <v/>
      </c>
      <c r="AD764" s="139" t="str">
        <f>IF(Data!$B756='Team Parser'!$B$1,(AB764+(COUNTIF(AC764,"TRAVERSE")*15)+(COUNTIF(AC764,"HIGH")*10)+(COUNTIF(AC764,"MIDDLE")*6)+(COUNTIF(AC764,"LOW")*4)),"")</f>
        <v/>
      </c>
    </row>
    <row r="765">
      <c r="A765" s="141" t="s">
        <v>507</v>
      </c>
      <c r="B765" s="134" t="str">
        <f>IFERROR(__xludf.DUMMYFUNCTION("IFERROR((FILTER(Data!H:H,Data!D:D=A765,Data!B:B=$B$1)),"""")"),"")</f>
        <v/>
      </c>
      <c r="C765" s="134" t="str">
        <f>IFERROR(__xludf.DUMMYFUNCTION("IFERROR((FILTER(Data!G:G,Data!D:D=A765,Data!B:B=$B$1)),"""")"),"")</f>
        <v/>
      </c>
      <c r="D765" s="134" t="str">
        <f>IFERROR(__xludf.DUMMYFUNCTION("IFERROR((FILTER(Data!J:J,Data!D:D=A765,Data!B:B=$B$1)),"""")"),"")</f>
        <v/>
      </c>
      <c r="E765" s="134" t="str">
        <f>IFERROR(__xludf.DUMMYFUNCTION("IFERROR((FILTER(Data!L:L,Data!D:D=A765,Data!B:B=$B$1)),"""")"),"")</f>
        <v/>
      </c>
      <c r="F765" s="134" t="str">
        <f>IFERROR(__xludf.DUMMYFUNCTION("IFERROR((FILTER(Data!K:K,Data!D:D=A765,Data!B:B=$B$1)),"""")"),"")</f>
        <v/>
      </c>
      <c r="G765" s="134" t="str">
        <f>IFERROR(__xludf.DUMMYFUNCTION("IFERROR((FILTER(Data!M:M,Data!D:D=A765,Data!B:B=$B$1)),"""")"),"")</f>
        <v/>
      </c>
      <c r="H765" s="134" t="str">
        <f>IFERROR(__xludf.DUMMYFUNCTION("IFERROR((FILTER(Data!G:G,Data!D:D=A765,Data!B:B=$B$1)*4)+(FILTER(Data!H:H,Data!D:D=A765,Data!B:B=$B$1)*2),"""")"),"")</f>
        <v/>
      </c>
      <c r="I765" s="15" t="str">
        <f>IFERROR(__xludf.DUMMYFUNCTION("IFERROR((FILTER(Data!K:K,Data!D:D=A765,Data!B:B=$B$1)*2)+(FILTER(Data!L:L,Data!D:D=A765,Data!B:B=$B$1)),"""")"),"")</f>
        <v/>
      </c>
      <c r="J765" s="134" t="str">
        <f>IFERROR(__xludf.DUMMYFUNCTION("IFERROR((FILTER(Data!N:N,Data!D:D=A765,Data!B:B=$B$1)),"""")"),"")</f>
        <v/>
      </c>
      <c r="K765" s="135" t="str">
        <f>IFERROR(__xludf.DUMMYFUNCTION("IFERROR((FILTER(Data!H:H,Data!D:D=A765,Data!B:B=$B$1)*2)+(FILTER(Data!L:L,Data!D:D=A765,Data!B:B=$B$1))+(FILTER(Data!G:G,Data!D:D=A765,Data!B:B=$B$1)*4)+(FILTER(Data!K:K,Data!D:D=A765,Data!B:B=$B$1)*2)+(((COUNTIF(FILTER(Data!N:N,Data!D:D=A765,Data!B:B=$B$"&amp;"1),""TRAVERSE"")*15)+(COUNTIF(FILTER(Data!N:N,Data!D:D=A765,Data!B:B=$B$1),""HIGH"")*10)+(COUNTIF(FILTER(Data!N:N,Data!D:D=A765,Data!B:B=$B$1),""MIDDLE"")*6)+(COUNTIF(FILTER(Data!N:N,Data!D:D=A765,Data!B:B=$B$1),""LOW"")*4))),"""")"),"")</f>
        <v/>
      </c>
      <c r="L765" s="136" t="str">
        <f>IFERROR(__xludf.DUMMYFUNCTION("IFERROR((FILTER(Data!P:P,Data!D:D=A765,Data!B:B=$B$1)),"""")"),"")</f>
        <v/>
      </c>
      <c r="M765" s="137" t="str">
        <f>IFERROR(__xludf.DUMMYFUNCTION("IFERROR((FILTER(Data!A:A,Data!D:D=A765,Data!B:B=$B$1)),"""")"),"")</f>
        <v/>
      </c>
      <c r="T765" s="52">
        <f>IFERROR(__xludf.DUMMYFUNCTION("((COUNTIF(FILTER(Data!N:N,Data!D:D=A765,Data!B:B=$B$1),""TRAVERSE"")*15)+(COUNTIF(FILTER(Data!N:N,Data!D:D=A765,Data!B:B=B$1),""HIGH"")*10)+(COUNTIF(FILTER(Data!N:N,Data!D:D=A765,Data!B:B=$B$1),""MIDDLE"")*6)+(COUNTIF(FILTER(Data!N:N,Data!D:D=A765,Data!B:"&amp;"B=$B$1),""LOW"")*4))"),0.0)</f>
        <v>0</v>
      </c>
      <c r="V765" s="138" t="str">
        <f>IF(Data!B757='Team Parser'!$B$1, Data!D757,"")</f>
        <v/>
      </c>
      <c r="W765" s="134" t="str">
        <f>IF(Data!$B757='Team Parser'!$B$1, Data!H757,"")</f>
        <v/>
      </c>
      <c r="X765" s="134" t="str">
        <f>IF(Data!$B757='Team Parser'!$B$1, Data!G757,"")</f>
        <v/>
      </c>
      <c r="Y765" s="134" t="str">
        <f>IF(Data!$B757='Team Parser'!$B$1, Data!L757,"")</f>
        <v/>
      </c>
      <c r="Z765" s="134" t="str">
        <f>IF(Data!$B757='Team Parser'!$B$1, Data!K757,"")</f>
        <v/>
      </c>
      <c r="AA765" s="134" t="str">
        <f>IF(Data!$B757='Team Parser'!$B$1, Data!M757,"")</f>
        <v/>
      </c>
      <c r="AB765" s="134" t="str">
        <f>IF(Data!$B757='Team Parser'!$B$1,((Z765*2)+(Y765)+(X765*4)+(W765*2)),"")</f>
        <v/>
      </c>
      <c r="AC765" s="134" t="str">
        <f>IF(Data!$B757='Team Parser'!$B$1, Data!N757,"")</f>
        <v/>
      </c>
      <c r="AD765" s="139" t="str">
        <f>IF(Data!$B757='Team Parser'!$B$1,(AB765+(COUNTIF(AC765,"TRAVERSE")*15)+(COUNTIF(AC765,"HIGH")*10)+(COUNTIF(AC765,"MIDDLE")*6)+(COUNTIF(AC765,"LOW")*4)),"")</f>
        <v/>
      </c>
    </row>
    <row r="766">
      <c r="A766" s="141" t="s">
        <v>507</v>
      </c>
      <c r="B766" s="134" t="str">
        <f>IFERROR(__xludf.DUMMYFUNCTION("IFERROR((FILTER(Data!H:H,Data!D:D=A766,Data!B:B=$B$1)),"""")"),"")</f>
        <v/>
      </c>
      <c r="C766" s="134" t="str">
        <f>IFERROR(__xludf.DUMMYFUNCTION("IFERROR((FILTER(Data!G:G,Data!D:D=A766,Data!B:B=$B$1)),"""")"),"")</f>
        <v/>
      </c>
      <c r="D766" s="134" t="str">
        <f>IFERROR(__xludf.DUMMYFUNCTION("IFERROR((FILTER(Data!J:J,Data!D:D=A766,Data!B:B=$B$1)),"""")"),"")</f>
        <v/>
      </c>
      <c r="E766" s="134" t="str">
        <f>IFERROR(__xludf.DUMMYFUNCTION("IFERROR((FILTER(Data!L:L,Data!D:D=A766,Data!B:B=$B$1)),"""")"),"")</f>
        <v/>
      </c>
      <c r="F766" s="134" t="str">
        <f>IFERROR(__xludf.DUMMYFUNCTION("IFERROR((FILTER(Data!K:K,Data!D:D=A766,Data!B:B=$B$1)),"""")"),"")</f>
        <v/>
      </c>
      <c r="G766" s="134" t="str">
        <f>IFERROR(__xludf.DUMMYFUNCTION("IFERROR((FILTER(Data!M:M,Data!D:D=A766,Data!B:B=$B$1)),"""")"),"")</f>
        <v/>
      </c>
      <c r="H766" s="134" t="str">
        <f>IFERROR(__xludf.DUMMYFUNCTION("IFERROR((FILTER(Data!G:G,Data!D:D=A766,Data!B:B=$B$1)*4)+(FILTER(Data!H:H,Data!D:D=A766,Data!B:B=$B$1)*2),"""")"),"")</f>
        <v/>
      </c>
      <c r="I766" s="15" t="str">
        <f>IFERROR(__xludf.DUMMYFUNCTION("IFERROR((FILTER(Data!K:K,Data!D:D=A766,Data!B:B=$B$1)*2)+(FILTER(Data!L:L,Data!D:D=A766,Data!B:B=$B$1)),"""")"),"")</f>
        <v/>
      </c>
      <c r="J766" s="134" t="str">
        <f>IFERROR(__xludf.DUMMYFUNCTION("IFERROR((FILTER(Data!N:N,Data!D:D=A766,Data!B:B=$B$1)),"""")"),"")</f>
        <v/>
      </c>
      <c r="K766" s="135" t="str">
        <f>IFERROR(__xludf.DUMMYFUNCTION("IFERROR((FILTER(Data!H:H,Data!D:D=A766,Data!B:B=$B$1)*2)+(FILTER(Data!L:L,Data!D:D=A766,Data!B:B=$B$1))+(FILTER(Data!G:G,Data!D:D=A766,Data!B:B=$B$1)*4)+(FILTER(Data!K:K,Data!D:D=A766,Data!B:B=$B$1)*2)+(((COUNTIF(FILTER(Data!N:N,Data!D:D=A766,Data!B:B=$B$"&amp;"1),""TRAVERSE"")*15)+(COUNTIF(FILTER(Data!N:N,Data!D:D=A766,Data!B:B=$B$1),""HIGH"")*10)+(COUNTIF(FILTER(Data!N:N,Data!D:D=A766,Data!B:B=$B$1),""MIDDLE"")*6)+(COUNTIF(FILTER(Data!N:N,Data!D:D=A766,Data!B:B=$B$1),""LOW"")*4))),"""")"),"")</f>
        <v/>
      </c>
      <c r="L766" s="136" t="str">
        <f>IFERROR(__xludf.DUMMYFUNCTION("IFERROR((FILTER(Data!P:P,Data!D:D=A766,Data!B:B=$B$1)),"""")"),"")</f>
        <v/>
      </c>
      <c r="M766" s="137" t="str">
        <f>IFERROR(__xludf.DUMMYFUNCTION("IFERROR((FILTER(Data!A:A,Data!D:D=A766,Data!B:B=$B$1)),"""")"),"")</f>
        <v/>
      </c>
      <c r="T766" s="52">
        <f>IFERROR(__xludf.DUMMYFUNCTION("((COUNTIF(FILTER(Data!N:N,Data!D:D=A766,Data!B:B=$B$1),""TRAVERSE"")*15)+(COUNTIF(FILTER(Data!N:N,Data!D:D=A766,Data!B:B=B$1),""HIGH"")*10)+(COUNTIF(FILTER(Data!N:N,Data!D:D=A766,Data!B:B=$B$1),""MIDDLE"")*6)+(COUNTIF(FILTER(Data!N:N,Data!D:D=A766,Data!B:"&amp;"B=$B$1),""LOW"")*4))"),0.0)</f>
        <v>0</v>
      </c>
      <c r="V766" s="138" t="str">
        <f>IF(Data!B758='Team Parser'!$B$1, Data!D758,"")</f>
        <v/>
      </c>
      <c r="W766" s="134" t="str">
        <f>IF(Data!$B758='Team Parser'!$B$1, Data!H758,"")</f>
        <v/>
      </c>
      <c r="X766" s="134" t="str">
        <f>IF(Data!$B758='Team Parser'!$B$1, Data!G758,"")</f>
        <v/>
      </c>
      <c r="Y766" s="134" t="str">
        <f>IF(Data!$B758='Team Parser'!$B$1, Data!L758,"")</f>
        <v/>
      </c>
      <c r="Z766" s="134" t="str">
        <f>IF(Data!$B758='Team Parser'!$B$1, Data!K758,"")</f>
        <v/>
      </c>
      <c r="AA766" s="134" t="str">
        <f>IF(Data!$B758='Team Parser'!$B$1, Data!M758,"")</f>
        <v/>
      </c>
      <c r="AB766" s="134" t="str">
        <f>IF(Data!$B758='Team Parser'!$B$1,((Z766*2)+(Y766)+(X766*4)+(W766*2)),"")</f>
        <v/>
      </c>
      <c r="AC766" s="134" t="str">
        <f>IF(Data!$B758='Team Parser'!$B$1, Data!N758,"")</f>
        <v/>
      </c>
      <c r="AD766" s="139" t="str">
        <f>IF(Data!$B758='Team Parser'!$B$1,(AB766+(COUNTIF(AC766,"TRAVERSE")*15)+(COUNTIF(AC766,"HIGH")*10)+(COUNTIF(AC766,"MIDDLE")*6)+(COUNTIF(AC766,"LOW")*4)),"")</f>
        <v/>
      </c>
    </row>
    <row r="767">
      <c r="A767" s="141" t="s">
        <v>507</v>
      </c>
      <c r="B767" s="134" t="str">
        <f>IFERROR(__xludf.DUMMYFUNCTION("IFERROR((FILTER(Data!H:H,Data!D:D=A767,Data!B:B=$B$1)),"""")"),"")</f>
        <v/>
      </c>
      <c r="C767" s="134" t="str">
        <f>IFERROR(__xludf.DUMMYFUNCTION("IFERROR((FILTER(Data!G:G,Data!D:D=A767,Data!B:B=$B$1)),"""")"),"")</f>
        <v/>
      </c>
      <c r="D767" s="134" t="str">
        <f>IFERROR(__xludf.DUMMYFUNCTION("IFERROR((FILTER(Data!J:J,Data!D:D=A767,Data!B:B=$B$1)),"""")"),"")</f>
        <v/>
      </c>
      <c r="E767" s="134" t="str">
        <f>IFERROR(__xludf.DUMMYFUNCTION("IFERROR((FILTER(Data!L:L,Data!D:D=A767,Data!B:B=$B$1)),"""")"),"")</f>
        <v/>
      </c>
      <c r="F767" s="134" t="str">
        <f>IFERROR(__xludf.DUMMYFUNCTION("IFERROR((FILTER(Data!K:K,Data!D:D=A767,Data!B:B=$B$1)),"""")"),"")</f>
        <v/>
      </c>
      <c r="G767" s="134" t="str">
        <f>IFERROR(__xludf.DUMMYFUNCTION("IFERROR((FILTER(Data!M:M,Data!D:D=A767,Data!B:B=$B$1)),"""")"),"")</f>
        <v/>
      </c>
      <c r="H767" s="134" t="str">
        <f>IFERROR(__xludf.DUMMYFUNCTION("IFERROR((FILTER(Data!G:G,Data!D:D=A767,Data!B:B=$B$1)*4)+(FILTER(Data!H:H,Data!D:D=A767,Data!B:B=$B$1)*2),"""")"),"")</f>
        <v/>
      </c>
      <c r="I767" s="15" t="str">
        <f>IFERROR(__xludf.DUMMYFUNCTION("IFERROR((FILTER(Data!K:K,Data!D:D=A767,Data!B:B=$B$1)*2)+(FILTER(Data!L:L,Data!D:D=A767,Data!B:B=$B$1)),"""")"),"")</f>
        <v/>
      </c>
      <c r="J767" s="134" t="str">
        <f>IFERROR(__xludf.DUMMYFUNCTION("IFERROR((FILTER(Data!N:N,Data!D:D=A767,Data!B:B=$B$1)),"""")"),"")</f>
        <v/>
      </c>
      <c r="K767" s="135" t="str">
        <f>IFERROR(__xludf.DUMMYFUNCTION("IFERROR((FILTER(Data!H:H,Data!D:D=A767,Data!B:B=$B$1)*2)+(FILTER(Data!L:L,Data!D:D=A767,Data!B:B=$B$1))+(FILTER(Data!G:G,Data!D:D=A767,Data!B:B=$B$1)*4)+(FILTER(Data!K:K,Data!D:D=A767,Data!B:B=$B$1)*2)+(((COUNTIF(FILTER(Data!N:N,Data!D:D=A767,Data!B:B=$B$"&amp;"1),""TRAVERSE"")*15)+(COUNTIF(FILTER(Data!N:N,Data!D:D=A767,Data!B:B=$B$1),""HIGH"")*10)+(COUNTIF(FILTER(Data!N:N,Data!D:D=A767,Data!B:B=$B$1),""MIDDLE"")*6)+(COUNTIF(FILTER(Data!N:N,Data!D:D=A767,Data!B:B=$B$1),""LOW"")*4))),"""")"),"")</f>
        <v/>
      </c>
      <c r="L767" s="136" t="str">
        <f>IFERROR(__xludf.DUMMYFUNCTION("IFERROR((FILTER(Data!P:P,Data!D:D=A767,Data!B:B=$B$1)),"""")"),"")</f>
        <v/>
      </c>
      <c r="M767" s="137" t="str">
        <f>IFERROR(__xludf.DUMMYFUNCTION("IFERROR((FILTER(Data!A:A,Data!D:D=A767,Data!B:B=$B$1)),"""")"),"")</f>
        <v/>
      </c>
      <c r="T767" s="52">
        <f>IFERROR(__xludf.DUMMYFUNCTION("((COUNTIF(FILTER(Data!N:N,Data!D:D=A767,Data!B:B=$B$1),""TRAVERSE"")*15)+(COUNTIF(FILTER(Data!N:N,Data!D:D=A767,Data!B:B=B$1),""HIGH"")*10)+(COUNTIF(FILTER(Data!N:N,Data!D:D=A767,Data!B:B=$B$1),""MIDDLE"")*6)+(COUNTIF(FILTER(Data!N:N,Data!D:D=A767,Data!B:"&amp;"B=$B$1),""LOW"")*4))"),0.0)</f>
        <v>0</v>
      </c>
      <c r="V767" s="138" t="str">
        <f>IF(Data!B759='Team Parser'!$B$1, Data!D759,"")</f>
        <v/>
      </c>
      <c r="W767" s="134" t="str">
        <f>IF(Data!$B759='Team Parser'!$B$1, Data!H759,"")</f>
        <v/>
      </c>
      <c r="X767" s="134" t="str">
        <f>IF(Data!$B759='Team Parser'!$B$1, Data!G759,"")</f>
        <v/>
      </c>
      <c r="Y767" s="134" t="str">
        <f>IF(Data!$B759='Team Parser'!$B$1, Data!L759,"")</f>
        <v/>
      </c>
      <c r="Z767" s="134" t="str">
        <f>IF(Data!$B759='Team Parser'!$B$1, Data!K759,"")</f>
        <v/>
      </c>
      <c r="AA767" s="134" t="str">
        <f>IF(Data!$B759='Team Parser'!$B$1, Data!M759,"")</f>
        <v/>
      </c>
      <c r="AB767" s="134" t="str">
        <f>IF(Data!$B759='Team Parser'!$B$1,((Z767*2)+(Y767)+(X767*4)+(W767*2)),"")</f>
        <v/>
      </c>
      <c r="AC767" s="134" t="str">
        <f>IF(Data!$B759='Team Parser'!$B$1, Data!N759,"")</f>
        <v/>
      </c>
      <c r="AD767" s="139" t="str">
        <f>IF(Data!$B759='Team Parser'!$B$1,(AB767+(COUNTIF(AC767,"TRAVERSE")*15)+(COUNTIF(AC767,"HIGH")*10)+(COUNTIF(AC767,"MIDDLE")*6)+(COUNTIF(AC767,"LOW")*4)),"")</f>
        <v/>
      </c>
    </row>
    <row r="768">
      <c r="A768" s="141" t="s">
        <v>507</v>
      </c>
      <c r="B768" s="134" t="str">
        <f>IFERROR(__xludf.DUMMYFUNCTION("IFERROR((FILTER(Data!H:H,Data!D:D=A768,Data!B:B=$B$1)),"""")"),"")</f>
        <v/>
      </c>
      <c r="C768" s="134" t="str">
        <f>IFERROR(__xludf.DUMMYFUNCTION("IFERROR((FILTER(Data!G:G,Data!D:D=A768,Data!B:B=$B$1)),"""")"),"")</f>
        <v/>
      </c>
      <c r="D768" s="134" t="str">
        <f>IFERROR(__xludf.DUMMYFUNCTION("IFERROR((FILTER(Data!J:J,Data!D:D=A768,Data!B:B=$B$1)),"""")"),"")</f>
        <v/>
      </c>
      <c r="E768" s="134" t="str">
        <f>IFERROR(__xludf.DUMMYFUNCTION("IFERROR((FILTER(Data!L:L,Data!D:D=A768,Data!B:B=$B$1)),"""")"),"")</f>
        <v/>
      </c>
      <c r="F768" s="134" t="str">
        <f>IFERROR(__xludf.DUMMYFUNCTION("IFERROR((FILTER(Data!K:K,Data!D:D=A768,Data!B:B=$B$1)),"""")"),"")</f>
        <v/>
      </c>
      <c r="G768" s="134" t="str">
        <f>IFERROR(__xludf.DUMMYFUNCTION("IFERROR((FILTER(Data!M:M,Data!D:D=A768,Data!B:B=$B$1)),"""")"),"")</f>
        <v/>
      </c>
      <c r="H768" s="134" t="str">
        <f>IFERROR(__xludf.DUMMYFUNCTION("IFERROR((FILTER(Data!G:G,Data!D:D=A768,Data!B:B=$B$1)*4)+(FILTER(Data!H:H,Data!D:D=A768,Data!B:B=$B$1)*2),"""")"),"")</f>
        <v/>
      </c>
      <c r="I768" s="15" t="str">
        <f>IFERROR(__xludf.DUMMYFUNCTION("IFERROR((FILTER(Data!K:K,Data!D:D=A768,Data!B:B=$B$1)*2)+(FILTER(Data!L:L,Data!D:D=A768,Data!B:B=$B$1)),"""")"),"")</f>
        <v/>
      </c>
      <c r="J768" s="134" t="str">
        <f>IFERROR(__xludf.DUMMYFUNCTION("IFERROR((FILTER(Data!N:N,Data!D:D=A768,Data!B:B=$B$1)),"""")"),"")</f>
        <v/>
      </c>
      <c r="K768" s="135" t="str">
        <f>IFERROR(__xludf.DUMMYFUNCTION("IFERROR((FILTER(Data!H:H,Data!D:D=A768,Data!B:B=$B$1)*2)+(FILTER(Data!L:L,Data!D:D=A768,Data!B:B=$B$1))+(FILTER(Data!G:G,Data!D:D=A768,Data!B:B=$B$1)*4)+(FILTER(Data!K:K,Data!D:D=A768,Data!B:B=$B$1)*2)+(((COUNTIF(FILTER(Data!N:N,Data!D:D=A768,Data!B:B=$B$"&amp;"1),""TRAVERSE"")*15)+(COUNTIF(FILTER(Data!N:N,Data!D:D=A768,Data!B:B=$B$1),""HIGH"")*10)+(COUNTIF(FILTER(Data!N:N,Data!D:D=A768,Data!B:B=$B$1),""MIDDLE"")*6)+(COUNTIF(FILTER(Data!N:N,Data!D:D=A768,Data!B:B=$B$1),""LOW"")*4))),"""")"),"")</f>
        <v/>
      </c>
      <c r="L768" s="136" t="str">
        <f>IFERROR(__xludf.DUMMYFUNCTION("IFERROR((FILTER(Data!P:P,Data!D:D=A768,Data!B:B=$B$1)),"""")"),"")</f>
        <v/>
      </c>
      <c r="M768" s="137" t="str">
        <f>IFERROR(__xludf.DUMMYFUNCTION("IFERROR((FILTER(Data!A:A,Data!D:D=A768,Data!B:B=$B$1)),"""")"),"")</f>
        <v/>
      </c>
      <c r="T768" s="52">
        <f>IFERROR(__xludf.DUMMYFUNCTION("((COUNTIF(FILTER(Data!N:N,Data!D:D=A768,Data!B:B=$B$1),""TRAVERSE"")*15)+(COUNTIF(FILTER(Data!N:N,Data!D:D=A768,Data!B:B=B$1),""HIGH"")*10)+(COUNTIF(FILTER(Data!N:N,Data!D:D=A768,Data!B:B=$B$1),""MIDDLE"")*6)+(COUNTIF(FILTER(Data!N:N,Data!D:D=A768,Data!B:"&amp;"B=$B$1),""LOW"")*4))"),0.0)</f>
        <v>0</v>
      </c>
      <c r="V768" s="138" t="str">
        <f>IF(Data!B760='Team Parser'!$B$1, Data!D760,"")</f>
        <v/>
      </c>
      <c r="W768" s="134" t="str">
        <f>IF(Data!$B760='Team Parser'!$B$1, Data!H760,"")</f>
        <v/>
      </c>
      <c r="X768" s="134" t="str">
        <f>IF(Data!$B760='Team Parser'!$B$1, Data!G760,"")</f>
        <v/>
      </c>
      <c r="Y768" s="134" t="str">
        <f>IF(Data!$B760='Team Parser'!$B$1, Data!L760,"")</f>
        <v/>
      </c>
      <c r="Z768" s="134" t="str">
        <f>IF(Data!$B760='Team Parser'!$B$1, Data!K760,"")</f>
        <v/>
      </c>
      <c r="AA768" s="134" t="str">
        <f>IF(Data!$B760='Team Parser'!$B$1, Data!M760,"")</f>
        <v/>
      </c>
      <c r="AB768" s="134" t="str">
        <f>IF(Data!$B760='Team Parser'!$B$1,((Z768*2)+(Y768)+(X768*4)+(W768*2)),"")</f>
        <v/>
      </c>
      <c r="AC768" s="134" t="str">
        <f>IF(Data!$B760='Team Parser'!$B$1, Data!N760,"")</f>
        <v/>
      </c>
      <c r="AD768" s="139" t="str">
        <f>IF(Data!$B760='Team Parser'!$B$1,(AB768+(COUNTIF(AC768,"TRAVERSE")*15)+(COUNTIF(AC768,"HIGH")*10)+(COUNTIF(AC768,"MIDDLE")*6)+(COUNTIF(AC768,"LOW")*4)),"")</f>
        <v/>
      </c>
    </row>
    <row r="769">
      <c r="A769" s="141" t="s">
        <v>507</v>
      </c>
      <c r="B769" s="134" t="str">
        <f>IFERROR(__xludf.DUMMYFUNCTION("IFERROR((FILTER(Data!H:H,Data!D:D=A769,Data!B:B=$B$1)),"""")"),"")</f>
        <v/>
      </c>
      <c r="C769" s="134" t="str">
        <f>IFERROR(__xludf.DUMMYFUNCTION("IFERROR((FILTER(Data!G:G,Data!D:D=A769,Data!B:B=$B$1)),"""")"),"")</f>
        <v/>
      </c>
      <c r="D769" s="134" t="str">
        <f>IFERROR(__xludf.DUMMYFUNCTION("IFERROR((FILTER(Data!J:J,Data!D:D=A769,Data!B:B=$B$1)),"""")"),"")</f>
        <v/>
      </c>
      <c r="E769" s="134" t="str">
        <f>IFERROR(__xludf.DUMMYFUNCTION("IFERROR((FILTER(Data!L:L,Data!D:D=A769,Data!B:B=$B$1)),"""")"),"")</f>
        <v/>
      </c>
      <c r="F769" s="134" t="str">
        <f>IFERROR(__xludf.DUMMYFUNCTION("IFERROR((FILTER(Data!K:K,Data!D:D=A769,Data!B:B=$B$1)),"""")"),"")</f>
        <v/>
      </c>
      <c r="G769" s="134" t="str">
        <f>IFERROR(__xludf.DUMMYFUNCTION("IFERROR((FILTER(Data!M:M,Data!D:D=A769,Data!B:B=$B$1)),"""")"),"")</f>
        <v/>
      </c>
      <c r="H769" s="134" t="str">
        <f>IFERROR(__xludf.DUMMYFUNCTION("IFERROR((FILTER(Data!G:G,Data!D:D=A769,Data!B:B=$B$1)*4)+(FILTER(Data!H:H,Data!D:D=A769,Data!B:B=$B$1)*2),"""")"),"")</f>
        <v/>
      </c>
      <c r="I769" s="15" t="str">
        <f>IFERROR(__xludf.DUMMYFUNCTION("IFERROR((FILTER(Data!K:K,Data!D:D=A769,Data!B:B=$B$1)*2)+(FILTER(Data!L:L,Data!D:D=A769,Data!B:B=$B$1)),"""")"),"")</f>
        <v/>
      </c>
      <c r="J769" s="134" t="str">
        <f>IFERROR(__xludf.DUMMYFUNCTION("IFERROR((FILTER(Data!N:N,Data!D:D=A769,Data!B:B=$B$1)),"""")"),"")</f>
        <v/>
      </c>
      <c r="K769" s="135" t="str">
        <f>IFERROR(__xludf.DUMMYFUNCTION("IFERROR((FILTER(Data!H:H,Data!D:D=A769,Data!B:B=$B$1)*2)+(FILTER(Data!L:L,Data!D:D=A769,Data!B:B=$B$1))+(FILTER(Data!G:G,Data!D:D=A769,Data!B:B=$B$1)*4)+(FILTER(Data!K:K,Data!D:D=A769,Data!B:B=$B$1)*2)+(((COUNTIF(FILTER(Data!N:N,Data!D:D=A769,Data!B:B=$B$"&amp;"1),""TRAVERSE"")*15)+(COUNTIF(FILTER(Data!N:N,Data!D:D=A769,Data!B:B=$B$1),""HIGH"")*10)+(COUNTIF(FILTER(Data!N:N,Data!D:D=A769,Data!B:B=$B$1),""MIDDLE"")*6)+(COUNTIF(FILTER(Data!N:N,Data!D:D=A769,Data!B:B=$B$1),""LOW"")*4))),"""")"),"")</f>
        <v/>
      </c>
      <c r="L769" s="136" t="str">
        <f>IFERROR(__xludf.DUMMYFUNCTION("IFERROR((FILTER(Data!P:P,Data!D:D=A769,Data!B:B=$B$1)),"""")"),"")</f>
        <v/>
      </c>
      <c r="M769" s="137" t="str">
        <f>IFERROR(__xludf.DUMMYFUNCTION("IFERROR((FILTER(Data!A:A,Data!D:D=A769,Data!B:B=$B$1)),"""")"),"")</f>
        <v/>
      </c>
      <c r="T769" s="52">
        <f>IFERROR(__xludf.DUMMYFUNCTION("((COUNTIF(FILTER(Data!N:N,Data!D:D=A769,Data!B:B=$B$1),""TRAVERSE"")*15)+(COUNTIF(FILTER(Data!N:N,Data!D:D=A769,Data!B:B=B$1),""HIGH"")*10)+(COUNTIF(FILTER(Data!N:N,Data!D:D=A769,Data!B:B=$B$1),""MIDDLE"")*6)+(COUNTIF(FILTER(Data!N:N,Data!D:D=A769,Data!B:"&amp;"B=$B$1),""LOW"")*4))"),0.0)</f>
        <v>0</v>
      </c>
      <c r="V769" s="138" t="str">
        <f>IF(Data!B761='Team Parser'!$B$1, Data!D761,"")</f>
        <v/>
      </c>
      <c r="W769" s="134" t="str">
        <f>IF(Data!$B761='Team Parser'!$B$1, Data!H761,"")</f>
        <v/>
      </c>
      <c r="X769" s="134" t="str">
        <f>IF(Data!$B761='Team Parser'!$B$1, Data!G761,"")</f>
        <v/>
      </c>
      <c r="Y769" s="134" t="str">
        <f>IF(Data!$B761='Team Parser'!$B$1, Data!L761,"")</f>
        <v/>
      </c>
      <c r="Z769" s="134" t="str">
        <f>IF(Data!$B761='Team Parser'!$B$1, Data!K761,"")</f>
        <v/>
      </c>
      <c r="AA769" s="134" t="str">
        <f>IF(Data!$B761='Team Parser'!$B$1, Data!M761,"")</f>
        <v/>
      </c>
      <c r="AB769" s="134" t="str">
        <f>IF(Data!$B761='Team Parser'!$B$1,((Z769*2)+(Y769)+(X769*4)+(W769*2)),"")</f>
        <v/>
      </c>
      <c r="AC769" s="134" t="str">
        <f>IF(Data!$B761='Team Parser'!$B$1, Data!N761,"")</f>
        <v/>
      </c>
      <c r="AD769" s="139" t="str">
        <f>IF(Data!$B761='Team Parser'!$B$1,(AB769+(COUNTIF(AC769,"TRAVERSE")*15)+(COUNTIF(AC769,"HIGH")*10)+(COUNTIF(AC769,"MIDDLE")*6)+(COUNTIF(AC769,"LOW")*4)),"")</f>
        <v/>
      </c>
    </row>
    <row r="770">
      <c r="A770" s="141" t="s">
        <v>507</v>
      </c>
      <c r="B770" s="134" t="str">
        <f>IFERROR(__xludf.DUMMYFUNCTION("IFERROR((FILTER(Data!H:H,Data!D:D=A770,Data!B:B=$B$1)),"""")"),"")</f>
        <v/>
      </c>
      <c r="C770" s="134" t="str">
        <f>IFERROR(__xludf.DUMMYFUNCTION("IFERROR((FILTER(Data!G:G,Data!D:D=A770,Data!B:B=$B$1)),"""")"),"")</f>
        <v/>
      </c>
      <c r="D770" s="134" t="str">
        <f>IFERROR(__xludf.DUMMYFUNCTION("IFERROR((FILTER(Data!J:J,Data!D:D=A770,Data!B:B=$B$1)),"""")"),"")</f>
        <v/>
      </c>
      <c r="E770" s="134" t="str">
        <f>IFERROR(__xludf.DUMMYFUNCTION("IFERROR((FILTER(Data!L:L,Data!D:D=A770,Data!B:B=$B$1)),"""")"),"")</f>
        <v/>
      </c>
      <c r="F770" s="134" t="str">
        <f>IFERROR(__xludf.DUMMYFUNCTION("IFERROR((FILTER(Data!K:K,Data!D:D=A770,Data!B:B=$B$1)),"""")"),"")</f>
        <v/>
      </c>
      <c r="G770" s="134" t="str">
        <f>IFERROR(__xludf.DUMMYFUNCTION("IFERROR((FILTER(Data!M:M,Data!D:D=A770,Data!B:B=$B$1)),"""")"),"")</f>
        <v/>
      </c>
      <c r="H770" s="134" t="str">
        <f>IFERROR(__xludf.DUMMYFUNCTION("IFERROR((FILTER(Data!G:G,Data!D:D=A770,Data!B:B=$B$1)*4)+(FILTER(Data!H:H,Data!D:D=A770,Data!B:B=$B$1)*2),"""")"),"")</f>
        <v/>
      </c>
      <c r="I770" s="15" t="str">
        <f>IFERROR(__xludf.DUMMYFUNCTION("IFERROR((FILTER(Data!K:K,Data!D:D=A770,Data!B:B=$B$1)*2)+(FILTER(Data!L:L,Data!D:D=A770,Data!B:B=$B$1)),"""")"),"")</f>
        <v/>
      </c>
      <c r="J770" s="134" t="str">
        <f>IFERROR(__xludf.DUMMYFUNCTION("IFERROR((FILTER(Data!N:N,Data!D:D=A770,Data!B:B=$B$1)),"""")"),"")</f>
        <v/>
      </c>
      <c r="K770" s="135" t="str">
        <f>IFERROR(__xludf.DUMMYFUNCTION("IFERROR((FILTER(Data!H:H,Data!D:D=A770,Data!B:B=$B$1)*2)+(FILTER(Data!L:L,Data!D:D=A770,Data!B:B=$B$1))+(FILTER(Data!G:G,Data!D:D=A770,Data!B:B=$B$1)*4)+(FILTER(Data!K:K,Data!D:D=A770,Data!B:B=$B$1)*2)+(((COUNTIF(FILTER(Data!N:N,Data!D:D=A770,Data!B:B=$B$"&amp;"1),""TRAVERSE"")*15)+(COUNTIF(FILTER(Data!N:N,Data!D:D=A770,Data!B:B=$B$1),""HIGH"")*10)+(COUNTIF(FILTER(Data!N:N,Data!D:D=A770,Data!B:B=$B$1),""MIDDLE"")*6)+(COUNTIF(FILTER(Data!N:N,Data!D:D=A770,Data!B:B=$B$1),""LOW"")*4))),"""")"),"")</f>
        <v/>
      </c>
      <c r="L770" s="136" t="str">
        <f>IFERROR(__xludf.DUMMYFUNCTION("IFERROR((FILTER(Data!P:P,Data!D:D=A770,Data!B:B=$B$1)),"""")"),"")</f>
        <v/>
      </c>
      <c r="M770" s="137" t="str">
        <f>IFERROR(__xludf.DUMMYFUNCTION("IFERROR((FILTER(Data!A:A,Data!D:D=A770,Data!B:B=$B$1)),"""")"),"")</f>
        <v/>
      </c>
      <c r="T770" s="52">
        <f>IFERROR(__xludf.DUMMYFUNCTION("((COUNTIF(FILTER(Data!N:N,Data!D:D=A770,Data!B:B=$B$1),""TRAVERSE"")*15)+(COUNTIF(FILTER(Data!N:N,Data!D:D=A770,Data!B:B=B$1),""HIGH"")*10)+(COUNTIF(FILTER(Data!N:N,Data!D:D=A770,Data!B:B=$B$1),""MIDDLE"")*6)+(COUNTIF(FILTER(Data!N:N,Data!D:D=A770,Data!B:"&amp;"B=$B$1),""LOW"")*4))"),0.0)</f>
        <v>0</v>
      </c>
      <c r="V770" s="138" t="str">
        <f>IF(Data!B762='Team Parser'!$B$1, Data!D762,"")</f>
        <v/>
      </c>
      <c r="W770" s="134" t="str">
        <f>IF(Data!$B762='Team Parser'!$B$1, Data!H762,"")</f>
        <v/>
      </c>
      <c r="X770" s="134" t="str">
        <f>IF(Data!$B762='Team Parser'!$B$1, Data!G762,"")</f>
        <v/>
      </c>
      <c r="Y770" s="134" t="str">
        <f>IF(Data!$B762='Team Parser'!$B$1, Data!L762,"")</f>
        <v/>
      </c>
      <c r="Z770" s="134" t="str">
        <f>IF(Data!$B762='Team Parser'!$B$1, Data!K762,"")</f>
        <v/>
      </c>
      <c r="AA770" s="134" t="str">
        <f>IF(Data!$B762='Team Parser'!$B$1, Data!M762,"")</f>
        <v/>
      </c>
      <c r="AB770" s="134" t="str">
        <f>IF(Data!$B762='Team Parser'!$B$1,((Z770*2)+(Y770)+(X770*4)+(W770*2)),"")</f>
        <v/>
      </c>
      <c r="AC770" s="134" t="str">
        <f>IF(Data!$B762='Team Parser'!$B$1, Data!N762,"")</f>
        <v/>
      </c>
      <c r="AD770" s="139" t="str">
        <f>IF(Data!$B762='Team Parser'!$B$1,(AB770+(COUNTIF(AC770,"TRAVERSE")*15)+(COUNTIF(AC770,"HIGH")*10)+(COUNTIF(AC770,"MIDDLE")*6)+(COUNTIF(AC770,"LOW")*4)),"")</f>
        <v/>
      </c>
    </row>
    <row r="771">
      <c r="A771" s="141" t="s">
        <v>507</v>
      </c>
      <c r="B771" s="134" t="str">
        <f>IFERROR(__xludf.DUMMYFUNCTION("IFERROR((FILTER(Data!H:H,Data!D:D=A771,Data!B:B=$B$1)),"""")"),"")</f>
        <v/>
      </c>
      <c r="C771" s="134" t="str">
        <f>IFERROR(__xludf.DUMMYFUNCTION("IFERROR((FILTER(Data!G:G,Data!D:D=A771,Data!B:B=$B$1)),"""")"),"")</f>
        <v/>
      </c>
      <c r="D771" s="134" t="str">
        <f>IFERROR(__xludf.DUMMYFUNCTION("IFERROR((FILTER(Data!J:J,Data!D:D=A771,Data!B:B=$B$1)),"""")"),"")</f>
        <v/>
      </c>
      <c r="E771" s="134" t="str">
        <f>IFERROR(__xludf.DUMMYFUNCTION("IFERROR((FILTER(Data!L:L,Data!D:D=A771,Data!B:B=$B$1)),"""")"),"")</f>
        <v/>
      </c>
      <c r="F771" s="134" t="str">
        <f>IFERROR(__xludf.DUMMYFUNCTION("IFERROR((FILTER(Data!K:K,Data!D:D=A771,Data!B:B=$B$1)),"""")"),"")</f>
        <v/>
      </c>
      <c r="G771" s="134" t="str">
        <f>IFERROR(__xludf.DUMMYFUNCTION("IFERROR((FILTER(Data!M:M,Data!D:D=A771,Data!B:B=$B$1)),"""")"),"")</f>
        <v/>
      </c>
      <c r="H771" s="134" t="str">
        <f>IFERROR(__xludf.DUMMYFUNCTION("IFERROR((FILTER(Data!G:G,Data!D:D=A771,Data!B:B=$B$1)*4)+(FILTER(Data!H:H,Data!D:D=A771,Data!B:B=$B$1)*2),"""")"),"")</f>
        <v/>
      </c>
      <c r="I771" s="15" t="str">
        <f>IFERROR(__xludf.DUMMYFUNCTION("IFERROR((FILTER(Data!K:K,Data!D:D=A771,Data!B:B=$B$1)*2)+(FILTER(Data!L:L,Data!D:D=A771,Data!B:B=$B$1)),"""")"),"")</f>
        <v/>
      </c>
      <c r="J771" s="134" t="str">
        <f>IFERROR(__xludf.DUMMYFUNCTION("IFERROR((FILTER(Data!N:N,Data!D:D=A771,Data!B:B=$B$1)),"""")"),"")</f>
        <v/>
      </c>
      <c r="K771" s="135" t="str">
        <f>IFERROR(__xludf.DUMMYFUNCTION("IFERROR((FILTER(Data!H:H,Data!D:D=A771,Data!B:B=$B$1)*2)+(FILTER(Data!L:L,Data!D:D=A771,Data!B:B=$B$1))+(FILTER(Data!G:G,Data!D:D=A771,Data!B:B=$B$1)*4)+(FILTER(Data!K:K,Data!D:D=A771,Data!B:B=$B$1)*2)+(((COUNTIF(FILTER(Data!N:N,Data!D:D=A771,Data!B:B=$B$"&amp;"1),""TRAVERSE"")*15)+(COUNTIF(FILTER(Data!N:N,Data!D:D=A771,Data!B:B=$B$1),""HIGH"")*10)+(COUNTIF(FILTER(Data!N:N,Data!D:D=A771,Data!B:B=$B$1),""MIDDLE"")*6)+(COUNTIF(FILTER(Data!N:N,Data!D:D=A771,Data!B:B=$B$1),""LOW"")*4))),"""")"),"")</f>
        <v/>
      </c>
      <c r="L771" s="136" t="str">
        <f>IFERROR(__xludf.DUMMYFUNCTION("IFERROR((FILTER(Data!P:P,Data!D:D=A771,Data!B:B=$B$1)),"""")"),"")</f>
        <v/>
      </c>
      <c r="M771" s="137" t="str">
        <f>IFERROR(__xludf.DUMMYFUNCTION("IFERROR((FILTER(Data!A:A,Data!D:D=A771,Data!B:B=$B$1)),"""")"),"")</f>
        <v/>
      </c>
      <c r="T771" s="52">
        <f>IFERROR(__xludf.DUMMYFUNCTION("((COUNTIF(FILTER(Data!N:N,Data!D:D=A771,Data!B:B=$B$1),""TRAVERSE"")*15)+(COUNTIF(FILTER(Data!N:N,Data!D:D=A771,Data!B:B=B$1),""HIGH"")*10)+(COUNTIF(FILTER(Data!N:N,Data!D:D=A771,Data!B:B=$B$1),""MIDDLE"")*6)+(COUNTIF(FILTER(Data!N:N,Data!D:D=A771,Data!B:"&amp;"B=$B$1),""LOW"")*4))"),0.0)</f>
        <v>0</v>
      </c>
      <c r="V771" s="138" t="str">
        <f>IF(Data!B763='Team Parser'!$B$1, Data!D763,"")</f>
        <v/>
      </c>
      <c r="W771" s="134" t="str">
        <f>IF(Data!$B763='Team Parser'!$B$1, Data!H763,"")</f>
        <v/>
      </c>
      <c r="X771" s="134" t="str">
        <f>IF(Data!$B763='Team Parser'!$B$1, Data!G763,"")</f>
        <v/>
      </c>
      <c r="Y771" s="134" t="str">
        <f>IF(Data!$B763='Team Parser'!$B$1, Data!L763,"")</f>
        <v/>
      </c>
      <c r="Z771" s="134" t="str">
        <f>IF(Data!$B763='Team Parser'!$B$1, Data!K763,"")</f>
        <v/>
      </c>
      <c r="AA771" s="134" t="str">
        <f>IF(Data!$B763='Team Parser'!$B$1, Data!M763,"")</f>
        <v/>
      </c>
      <c r="AB771" s="134" t="str">
        <f>IF(Data!$B763='Team Parser'!$B$1,((Z771*2)+(Y771)+(X771*4)+(W771*2)),"")</f>
        <v/>
      </c>
      <c r="AC771" s="134" t="str">
        <f>IF(Data!$B763='Team Parser'!$B$1, Data!N763,"")</f>
        <v/>
      </c>
      <c r="AD771" s="139" t="str">
        <f>IF(Data!$B763='Team Parser'!$B$1,(AB771+(COUNTIF(AC771,"TRAVERSE")*15)+(COUNTIF(AC771,"HIGH")*10)+(COUNTIF(AC771,"MIDDLE")*6)+(COUNTIF(AC771,"LOW")*4)),"")</f>
        <v/>
      </c>
    </row>
    <row r="772">
      <c r="A772" s="141" t="s">
        <v>507</v>
      </c>
      <c r="B772" s="134" t="str">
        <f>IFERROR(__xludf.DUMMYFUNCTION("IFERROR((FILTER(Data!H:H,Data!D:D=A772,Data!B:B=$B$1)),"""")"),"")</f>
        <v/>
      </c>
      <c r="C772" s="134" t="str">
        <f>IFERROR(__xludf.DUMMYFUNCTION("IFERROR((FILTER(Data!G:G,Data!D:D=A772,Data!B:B=$B$1)),"""")"),"")</f>
        <v/>
      </c>
      <c r="D772" s="134" t="str">
        <f>IFERROR(__xludf.DUMMYFUNCTION("IFERROR((FILTER(Data!J:J,Data!D:D=A772,Data!B:B=$B$1)),"""")"),"")</f>
        <v/>
      </c>
      <c r="E772" s="134" t="str">
        <f>IFERROR(__xludf.DUMMYFUNCTION("IFERROR((FILTER(Data!L:L,Data!D:D=A772,Data!B:B=$B$1)),"""")"),"")</f>
        <v/>
      </c>
      <c r="F772" s="134" t="str">
        <f>IFERROR(__xludf.DUMMYFUNCTION("IFERROR((FILTER(Data!K:K,Data!D:D=A772,Data!B:B=$B$1)),"""")"),"")</f>
        <v/>
      </c>
      <c r="G772" s="134" t="str">
        <f>IFERROR(__xludf.DUMMYFUNCTION("IFERROR((FILTER(Data!M:M,Data!D:D=A772,Data!B:B=$B$1)),"""")"),"")</f>
        <v/>
      </c>
      <c r="H772" s="134" t="str">
        <f>IFERROR(__xludf.DUMMYFUNCTION("IFERROR((FILTER(Data!G:G,Data!D:D=A772,Data!B:B=$B$1)*4)+(FILTER(Data!H:H,Data!D:D=A772,Data!B:B=$B$1)*2),"""")"),"")</f>
        <v/>
      </c>
      <c r="I772" s="15" t="str">
        <f>IFERROR(__xludf.DUMMYFUNCTION("IFERROR((FILTER(Data!K:K,Data!D:D=A772,Data!B:B=$B$1)*2)+(FILTER(Data!L:L,Data!D:D=A772,Data!B:B=$B$1)),"""")"),"")</f>
        <v/>
      </c>
      <c r="J772" s="134" t="str">
        <f>IFERROR(__xludf.DUMMYFUNCTION("IFERROR((FILTER(Data!N:N,Data!D:D=A772,Data!B:B=$B$1)),"""")"),"")</f>
        <v/>
      </c>
      <c r="K772" s="135" t="str">
        <f>IFERROR(__xludf.DUMMYFUNCTION("IFERROR((FILTER(Data!H:H,Data!D:D=A772,Data!B:B=$B$1)*2)+(FILTER(Data!L:L,Data!D:D=A772,Data!B:B=$B$1))+(FILTER(Data!G:G,Data!D:D=A772,Data!B:B=$B$1)*4)+(FILTER(Data!K:K,Data!D:D=A772,Data!B:B=$B$1)*2)+(((COUNTIF(FILTER(Data!N:N,Data!D:D=A772,Data!B:B=$B$"&amp;"1),""TRAVERSE"")*15)+(COUNTIF(FILTER(Data!N:N,Data!D:D=A772,Data!B:B=$B$1),""HIGH"")*10)+(COUNTIF(FILTER(Data!N:N,Data!D:D=A772,Data!B:B=$B$1),""MIDDLE"")*6)+(COUNTIF(FILTER(Data!N:N,Data!D:D=A772,Data!B:B=$B$1),""LOW"")*4))),"""")"),"")</f>
        <v/>
      </c>
      <c r="L772" s="136" t="str">
        <f>IFERROR(__xludf.DUMMYFUNCTION("IFERROR((FILTER(Data!P:P,Data!D:D=A772,Data!B:B=$B$1)),"""")"),"")</f>
        <v/>
      </c>
      <c r="M772" s="137" t="str">
        <f>IFERROR(__xludf.DUMMYFUNCTION("IFERROR((FILTER(Data!A:A,Data!D:D=A772,Data!B:B=$B$1)),"""")"),"")</f>
        <v/>
      </c>
      <c r="T772" s="52">
        <f>IFERROR(__xludf.DUMMYFUNCTION("((COUNTIF(FILTER(Data!N:N,Data!D:D=A772,Data!B:B=$B$1),""TRAVERSE"")*15)+(COUNTIF(FILTER(Data!N:N,Data!D:D=A772,Data!B:B=B$1),""HIGH"")*10)+(COUNTIF(FILTER(Data!N:N,Data!D:D=A772,Data!B:B=$B$1),""MIDDLE"")*6)+(COUNTIF(FILTER(Data!N:N,Data!D:D=A772,Data!B:"&amp;"B=$B$1),""LOW"")*4))"),0.0)</f>
        <v>0</v>
      </c>
      <c r="V772" s="138" t="str">
        <f>IF(Data!B764='Team Parser'!$B$1, Data!D764,"")</f>
        <v/>
      </c>
      <c r="W772" s="134" t="str">
        <f>IF(Data!$B764='Team Parser'!$B$1, Data!H764,"")</f>
        <v/>
      </c>
      <c r="X772" s="134" t="str">
        <f>IF(Data!$B764='Team Parser'!$B$1, Data!G764,"")</f>
        <v/>
      </c>
      <c r="Y772" s="134" t="str">
        <f>IF(Data!$B764='Team Parser'!$B$1, Data!L764,"")</f>
        <v/>
      </c>
      <c r="Z772" s="134" t="str">
        <f>IF(Data!$B764='Team Parser'!$B$1, Data!K764,"")</f>
        <v/>
      </c>
      <c r="AA772" s="134" t="str">
        <f>IF(Data!$B764='Team Parser'!$B$1, Data!M764,"")</f>
        <v/>
      </c>
      <c r="AB772" s="134" t="str">
        <f>IF(Data!$B764='Team Parser'!$B$1,((Z772*2)+(Y772)+(X772*4)+(W772*2)),"")</f>
        <v/>
      </c>
      <c r="AC772" s="134" t="str">
        <f>IF(Data!$B764='Team Parser'!$B$1, Data!N764,"")</f>
        <v/>
      </c>
      <c r="AD772" s="139" t="str">
        <f>IF(Data!$B764='Team Parser'!$B$1,(AB772+(COUNTIF(AC772,"TRAVERSE")*15)+(COUNTIF(AC772,"HIGH")*10)+(COUNTIF(AC772,"MIDDLE")*6)+(COUNTIF(AC772,"LOW")*4)),"")</f>
        <v/>
      </c>
    </row>
    <row r="773">
      <c r="A773" s="141" t="s">
        <v>507</v>
      </c>
      <c r="B773" s="134" t="str">
        <f>IFERROR(__xludf.DUMMYFUNCTION("IFERROR((FILTER(Data!H:H,Data!D:D=A773,Data!B:B=$B$1)),"""")"),"")</f>
        <v/>
      </c>
      <c r="C773" s="134" t="str">
        <f>IFERROR(__xludf.DUMMYFUNCTION("IFERROR((FILTER(Data!G:G,Data!D:D=A773,Data!B:B=$B$1)),"""")"),"")</f>
        <v/>
      </c>
      <c r="D773" s="134" t="str">
        <f>IFERROR(__xludf.DUMMYFUNCTION("IFERROR((FILTER(Data!J:J,Data!D:D=A773,Data!B:B=$B$1)),"""")"),"")</f>
        <v/>
      </c>
      <c r="E773" s="134" t="str">
        <f>IFERROR(__xludf.DUMMYFUNCTION("IFERROR((FILTER(Data!L:L,Data!D:D=A773,Data!B:B=$B$1)),"""")"),"")</f>
        <v/>
      </c>
      <c r="F773" s="134" t="str">
        <f>IFERROR(__xludf.DUMMYFUNCTION("IFERROR((FILTER(Data!K:K,Data!D:D=A773,Data!B:B=$B$1)),"""")"),"")</f>
        <v/>
      </c>
      <c r="G773" s="134" t="str">
        <f>IFERROR(__xludf.DUMMYFUNCTION("IFERROR((FILTER(Data!M:M,Data!D:D=A773,Data!B:B=$B$1)),"""")"),"")</f>
        <v/>
      </c>
      <c r="H773" s="134" t="str">
        <f>IFERROR(__xludf.DUMMYFUNCTION("IFERROR((FILTER(Data!G:G,Data!D:D=A773,Data!B:B=$B$1)*4)+(FILTER(Data!H:H,Data!D:D=A773,Data!B:B=$B$1)*2),"""")"),"")</f>
        <v/>
      </c>
      <c r="I773" s="15" t="str">
        <f>IFERROR(__xludf.DUMMYFUNCTION("IFERROR((FILTER(Data!K:K,Data!D:D=A773,Data!B:B=$B$1)*2)+(FILTER(Data!L:L,Data!D:D=A773,Data!B:B=$B$1)),"""")"),"")</f>
        <v/>
      </c>
      <c r="J773" s="134" t="str">
        <f>IFERROR(__xludf.DUMMYFUNCTION("IFERROR((FILTER(Data!N:N,Data!D:D=A773,Data!B:B=$B$1)),"""")"),"")</f>
        <v/>
      </c>
      <c r="K773" s="135" t="str">
        <f>IFERROR(__xludf.DUMMYFUNCTION("IFERROR((FILTER(Data!H:H,Data!D:D=A773,Data!B:B=$B$1)*2)+(FILTER(Data!L:L,Data!D:D=A773,Data!B:B=$B$1))+(FILTER(Data!G:G,Data!D:D=A773,Data!B:B=$B$1)*4)+(FILTER(Data!K:K,Data!D:D=A773,Data!B:B=$B$1)*2)+(((COUNTIF(FILTER(Data!N:N,Data!D:D=A773,Data!B:B=$B$"&amp;"1),""TRAVERSE"")*15)+(COUNTIF(FILTER(Data!N:N,Data!D:D=A773,Data!B:B=$B$1),""HIGH"")*10)+(COUNTIF(FILTER(Data!N:N,Data!D:D=A773,Data!B:B=$B$1),""MIDDLE"")*6)+(COUNTIF(FILTER(Data!N:N,Data!D:D=A773,Data!B:B=$B$1),""LOW"")*4))),"""")"),"")</f>
        <v/>
      </c>
      <c r="L773" s="136" t="str">
        <f>IFERROR(__xludf.DUMMYFUNCTION("IFERROR((FILTER(Data!P:P,Data!D:D=A773,Data!B:B=$B$1)),"""")"),"")</f>
        <v/>
      </c>
      <c r="M773" s="137" t="str">
        <f>IFERROR(__xludf.DUMMYFUNCTION("IFERROR((FILTER(Data!A:A,Data!D:D=A773,Data!B:B=$B$1)),"""")"),"")</f>
        <v/>
      </c>
      <c r="T773" s="52">
        <f>IFERROR(__xludf.DUMMYFUNCTION("((COUNTIF(FILTER(Data!N:N,Data!D:D=A773,Data!B:B=$B$1),""TRAVERSE"")*15)+(COUNTIF(FILTER(Data!N:N,Data!D:D=A773,Data!B:B=B$1),""HIGH"")*10)+(COUNTIF(FILTER(Data!N:N,Data!D:D=A773,Data!B:B=$B$1),""MIDDLE"")*6)+(COUNTIF(FILTER(Data!N:N,Data!D:D=A773,Data!B:"&amp;"B=$B$1),""LOW"")*4))"),0.0)</f>
        <v>0</v>
      </c>
      <c r="V773" s="138" t="str">
        <f>IF(Data!B765='Team Parser'!$B$1, Data!D765,"")</f>
        <v/>
      </c>
      <c r="W773" s="134" t="str">
        <f>IF(Data!$B765='Team Parser'!$B$1, Data!H765,"")</f>
        <v/>
      </c>
      <c r="X773" s="134" t="str">
        <f>IF(Data!$B765='Team Parser'!$B$1, Data!G765,"")</f>
        <v/>
      </c>
      <c r="Y773" s="134" t="str">
        <f>IF(Data!$B765='Team Parser'!$B$1, Data!L765,"")</f>
        <v/>
      </c>
      <c r="Z773" s="134" t="str">
        <f>IF(Data!$B765='Team Parser'!$B$1, Data!K765,"")</f>
        <v/>
      </c>
      <c r="AA773" s="134" t="str">
        <f>IF(Data!$B765='Team Parser'!$B$1, Data!M765,"")</f>
        <v/>
      </c>
      <c r="AB773" s="134" t="str">
        <f>IF(Data!$B765='Team Parser'!$B$1,((Z773*2)+(Y773)+(X773*4)+(W773*2)),"")</f>
        <v/>
      </c>
      <c r="AC773" s="134" t="str">
        <f>IF(Data!$B765='Team Parser'!$B$1, Data!N765,"")</f>
        <v/>
      </c>
      <c r="AD773" s="139" t="str">
        <f>IF(Data!$B765='Team Parser'!$B$1,(AB773+(COUNTIF(AC773,"TRAVERSE")*15)+(COUNTIF(AC773,"HIGH")*10)+(COUNTIF(AC773,"MIDDLE")*6)+(COUNTIF(AC773,"LOW")*4)),"")</f>
        <v/>
      </c>
    </row>
    <row r="774">
      <c r="A774" s="141" t="s">
        <v>507</v>
      </c>
      <c r="B774" s="134" t="str">
        <f>IFERROR(__xludf.DUMMYFUNCTION("IFERROR((FILTER(Data!H:H,Data!D:D=A774,Data!B:B=$B$1)),"""")"),"")</f>
        <v/>
      </c>
      <c r="C774" s="134" t="str">
        <f>IFERROR(__xludf.DUMMYFUNCTION("IFERROR((FILTER(Data!G:G,Data!D:D=A774,Data!B:B=$B$1)),"""")"),"")</f>
        <v/>
      </c>
      <c r="D774" s="134" t="str">
        <f>IFERROR(__xludf.DUMMYFUNCTION("IFERROR((FILTER(Data!J:J,Data!D:D=A774,Data!B:B=$B$1)),"""")"),"")</f>
        <v/>
      </c>
      <c r="E774" s="134" t="str">
        <f>IFERROR(__xludf.DUMMYFUNCTION("IFERROR((FILTER(Data!L:L,Data!D:D=A774,Data!B:B=$B$1)),"""")"),"")</f>
        <v/>
      </c>
      <c r="F774" s="134" t="str">
        <f>IFERROR(__xludf.DUMMYFUNCTION("IFERROR((FILTER(Data!K:K,Data!D:D=A774,Data!B:B=$B$1)),"""")"),"")</f>
        <v/>
      </c>
      <c r="G774" s="134" t="str">
        <f>IFERROR(__xludf.DUMMYFUNCTION("IFERROR((FILTER(Data!M:M,Data!D:D=A774,Data!B:B=$B$1)),"""")"),"")</f>
        <v/>
      </c>
      <c r="H774" s="134" t="str">
        <f>IFERROR(__xludf.DUMMYFUNCTION("IFERROR((FILTER(Data!G:G,Data!D:D=A774,Data!B:B=$B$1)*4)+(FILTER(Data!H:H,Data!D:D=A774,Data!B:B=$B$1)*2),"""")"),"")</f>
        <v/>
      </c>
      <c r="I774" s="15" t="str">
        <f>IFERROR(__xludf.DUMMYFUNCTION("IFERROR((FILTER(Data!K:K,Data!D:D=A774,Data!B:B=$B$1)*2)+(FILTER(Data!L:L,Data!D:D=A774,Data!B:B=$B$1)),"""")"),"")</f>
        <v/>
      </c>
      <c r="J774" s="134" t="str">
        <f>IFERROR(__xludf.DUMMYFUNCTION("IFERROR((FILTER(Data!N:N,Data!D:D=A774,Data!B:B=$B$1)),"""")"),"")</f>
        <v/>
      </c>
      <c r="K774" s="135" t="str">
        <f>IFERROR(__xludf.DUMMYFUNCTION("IFERROR((FILTER(Data!H:H,Data!D:D=A774,Data!B:B=$B$1)*2)+(FILTER(Data!L:L,Data!D:D=A774,Data!B:B=$B$1))+(FILTER(Data!G:G,Data!D:D=A774,Data!B:B=$B$1)*4)+(FILTER(Data!K:K,Data!D:D=A774,Data!B:B=$B$1)*2)+(((COUNTIF(FILTER(Data!N:N,Data!D:D=A774,Data!B:B=$B$"&amp;"1),""TRAVERSE"")*15)+(COUNTIF(FILTER(Data!N:N,Data!D:D=A774,Data!B:B=$B$1),""HIGH"")*10)+(COUNTIF(FILTER(Data!N:N,Data!D:D=A774,Data!B:B=$B$1),""MIDDLE"")*6)+(COUNTIF(FILTER(Data!N:N,Data!D:D=A774,Data!B:B=$B$1),""LOW"")*4))),"""")"),"")</f>
        <v/>
      </c>
      <c r="L774" s="136" t="str">
        <f>IFERROR(__xludf.DUMMYFUNCTION("IFERROR((FILTER(Data!P:P,Data!D:D=A774,Data!B:B=$B$1)),"""")"),"")</f>
        <v/>
      </c>
      <c r="M774" s="137" t="str">
        <f>IFERROR(__xludf.DUMMYFUNCTION("IFERROR((FILTER(Data!A:A,Data!D:D=A774,Data!B:B=$B$1)),"""")"),"")</f>
        <v/>
      </c>
      <c r="T774" s="52">
        <f>IFERROR(__xludf.DUMMYFUNCTION("((COUNTIF(FILTER(Data!N:N,Data!D:D=A774,Data!B:B=$B$1),""TRAVERSE"")*15)+(COUNTIF(FILTER(Data!N:N,Data!D:D=A774,Data!B:B=B$1),""HIGH"")*10)+(COUNTIF(FILTER(Data!N:N,Data!D:D=A774,Data!B:B=$B$1),""MIDDLE"")*6)+(COUNTIF(FILTER(Data!N:N,Data!D:D=A774,Data!B:"&amp;"B=$B$1),""LOW"")*4))"),0.0)</f>
        <v>0</v>
      </c>
      <c r="V774" s="138" t="str">
        <f>IF(Data!B766='Team Parser'!$B$1, Data!D766,"")</f>
        <v/>
      </c>
      <c r="W774" s="134" t="str">
        <f>IF(Data!$B766='Team Parser'!$B$1, Data!H766,"")</f>
        <v/>
      </c>
      <c r="X774" s="134" t="str">
        <f>IF(Data!$B766='Team Parser'!$B$1, Data!G766,"")</f>
        <v/>
      </c>
      <c r="Y774" s="134" t="str">
        <f>IF(Data!$B766='Team Parser'!$B$1, Data!L766,"")</f>
        <v/>
      </c>
      <c r="Z774" s="134" t="str">
        <f>IF(Data!$B766='Team Parser'!$B$1, Data!K766,"")</f>
        <v/>
      </c>
      <c r="AA774" s="134" t="str">
        <f>IF(Data!$B766='Team Parser'!$B$1, Data!M766,"")</f>
        <v/>
      </c>
      <c r="AB774" s="134" t="str">
        <f>IF(Data!$B766='Team Parser'!$B$1,((Z774*2)+(Y774)+(X774*4)+(W774*2)),"")</f>
        <v/>
      </c>
      <c r="AC774" s="134" t="str">
        <f>IF(Data!$B766='Team Parser'!$B$1, Data!N766,"")</f>
        <v/>
      </c>
      <c r="AD774" s="139" t="str">
        <f>IF(Data!$B766='Team Parser'!$B$1,(AB774+(COUNTIF(AC774,"TRAVERSE")*15)+(COUNTIF(AC774,"HIGH")*10)+(COUNTIF(AC774,"MIDDLE")*6)+(COUNTIF(AC774,"LOW")*4)),"")</f>
        <v/>
      </c>
    </row>
    <row r="775">
      <c r="A775" s="141" t="s">
        <v>507</v>
      </c>
      <c r="B775" s="134" t="str">
        <f>IFERROR(__xludf.DUMMYFUNCTION("IFERROR((FILTER(Data!H:H,Data!D:D=A775,Data!B:B=$B$1)),"""")"),"")</f>
        <v/>
      </c>
      <c r="C775" s="134" t="str">
        <f>IFERROR(__xludf.DUMMYFUNCTION("IFERROR((FILTER(Data!G:G,Data!D:D=A775,Data!B:B=$B$1)),"""")"),"")</f>
        <v/>
      </c>
      <c r="D775" s="134" t="str">
        <f>IFERROR(__xludf.DUMMYFUNCTION("IFERROR((FILTER(Data!J:J,Data!D:D=A775,Data!B:B=$B$1)),"""")"),"")</f>
        <v/>
      </c>
      <c r="E775" s="134" t="str">
        <f>IFERROR(__xludf.DUMMYFUNCTION("IFERROR((FILTER(Data!L:L,Data!D:D=A775,Data!B:B=$B$1)),"""")"),"")</f>
        <v/>
      </c>
      <c r="F775" s="134" t="str">
        <f>IFERROR(__xludf.DUMMYFUNCTION("IFERROR((FILTER(Data!K:K,Data!D:D=A775,Data!B:B=$B$1)),"""")"),"")</f>
        <v/>
      </c>
      <c r="G775" s="134" t="str">
        <f>IFERROR(__xludf.DUMMYFUNCTION("IFERROR((FILTER(Data!M:M,Data!D:D=A775,Data!B:B=$B$1)),"""")"),"")</f>
        <v/>
      </c>
      <c r="H775" s="134" t="str">
        <f>IFERROR(__xludf.DUMMYFUNCTION("IFERROR((FILTER(Data!G:G,Data!D:D=A775,Data!B:B=$B$1)*4)+(FILTER(Data!H:H,Data!D:D=A775,Data!B:B=$B$1)*2),"""")"),"")</f>
        <v/>
      </c>
      <c r="I775" s="15" t="str">
        <f>IFERROR(__xludf.DUMMYFUNCTION("IFERROR((FILTER(Data!K:K,Data!D:D=A775,Data!B:B=$B$1)*2)+(FILTER(Data!L:L,Data!D:D=A775,Data!B:B=$B$1)),"""")"),"")</f>
        <v/>
      </c>
      <c r="J775" s="134" t="str">
        <f>IFERROR(__xludf.DUMMYFUNCTION("IFERROR((FILTER(Data!N:N,Data!D:D=A775,Data!B:B=$B$1)),"""")"),"")</f>
        <v/>
      </c>
      <c r="K775" s="135" t="str">
        <f>IFERROR(__xludf.DUMMYFUNCTION("IFERROR((FILTER(Data!H:H,Data!D:D=A775,Data!B:B=$B$1)*2)+(FILTER(Data!L:L,Data!D:D=A775,Data!B:B=$B$1))+(FILTER(Data!G:G,Data!D:D=A775,Data!B:B=$B$1)*4)+(FILTER(Data!K:K,Data!D:D=A775,Data!B:B=$B$1)*2)+(((COUNTIF(FILTER(Data!N:N,Data!D:D=A775,Data!B:B=$B$"&amp;"1),""TRAVERSE"")*15)+(COUNTIF(FILTER(Data!N:N,Data!D:D=A775,Data!B:B=$B$1),""HIGH"")*10)+(COUNTIF(FILTER(Data!N:N,Data!D:D=A775,Data!B:B=$B$1),""MIDDLE"")*6)+(COUNTIF(FILTER(Data!N:N,Data!D:D=A775,Data!B:B=$B$1),""LOW"")*4))),"""")"),"")</f>
        <v/>
      </c>
      <c r="L775" s="136" t="str">
        <f>IFERROR(__xludf.DUMMYFUNCTION("IFERROR((FILTER(Data!P:P,Data!D:D=A775,Data!B:B=$B$1)),"""")"),"")</f>
        <v/>
      </c>
      <c r="M775" s="137" t="str">
        <f>IFERROR(__xludf.DUMMYFUNCTION("IFERROR((FILTER(Data!A:A,Data!D:D=A775,Data!B:B=$B$1)),"""")"),"")</f>
        <v/>
      </c>
      <c r="T775" s="52">
        <f>IFERROR(__xludf.DUMMYFUNCTION("((COUNTIF(FILTER(Data!N:N,Data!D:D=A775,Data!B:B=$B$1),""TRAVERSE"")*15)+(COUNTIF(FILTER(Data!N:N,Data!D:D=A775,Data!B:B=B$1),""HIGH"")*10)+(COUNTIF(FILTER(Data!N:N,Data!D:D=A775,Data!B:B=$B$1),""MIDDLE"")*6)+(COUNTIF(FILTER(Data!N:N,Data!D:D=A775,Data!B:"&amp;"B=$B$1),""LOW"")*4))"),0.0)</f>
        <v>0</v>
      </c>
      <c r="V775" s="138" t="str">
        <f>IF(Data!B767='Team Parser'!$B$1, Data!D767,"")</f>
        <v/>
      </c>
      <c r="W775" s="134" t="str">
        <f>IF(Data!$B767='Team Parser'!$B$1, Data!H767,"")</f>
        <v/>
      </c>
      <c r="X775" s="134" t="str">
        <f>IF(Data!$B767='Team Parser'!$B$1, Data!G767,"")</f>
        <v/>
      </c>
      <c r="Y775" s="134" t="str">
        <f>IF(Data!$B767='Team Parser'!$B$1, Data!L767,"")</f>
        <v/>
      </c>
      <c r="Z775" s="134" t="str">
        <f>IF(Data!$B767='Team Parser'!$B$1, Data!K767,"")</f>
        <v/>
      </c>
      <c r="AA775" s="134" t="str">
        <f>IF(Data!$B767='Team Parser'!$B$1, Data!M767,"")</f>
        <v/>
      </c>
      <c r="AB775" s="134" t="str">
        <f>IF(Data!$B767='Team Parser'!$B$1,((Z775*2)+(Y775)+(X775*4)+(W775*2)),"")</f>
        <v/>
      </c>
      <c r="AC775" s="134" t="str">
        <f>IF(Data!$B767='Team Parser'!$B$1, Data!N767,"")</f>
        <v/>
      </c>
      <c r="AD775" s="139" t="str">
        <f>IF(Data!$B767='Team Parser'!$B$1,(AB775+(COUNTIF(AC775,"TRAVERSE")*15)+(COUNTIF(AC775,"HIGH")*10)+(COUNTIF(AC775,"MIDDLE")*6)+(COUNTIF(AC775,"LOW")*4)),"")</f>
        <v/>
      </c>
    </row>
    <row r="776">
      <c r="A776" s="141" t="s">
        <v>507</v>
      </c>
      <c r="B776" s="134" t="str">
        <f>IFERROR(__xludf.DUMMYFUNCTION("IFERROR((FILTER(Data!H:H,Data!D:D=A776,Data!B:B=$B$1)),"""")"),"")</f>
        <v/>
      </c>
      <c r="C776" s="134" t="str">
        <f>IFERROR(__xludf.DUMMYFUNCTION("IFERROR((FILTER(Data!G:G,Data!D:D=A776,Data!B:B=$B$1)),"""")"),"")</f>
        <v/>
      </c>
      <c r="D776" s="134" t="str">
        <f>IFERROR(__xludf.DUMMYFUNCTION("IFERROR((FILTER(Data!J:J,Data!D:D=A776,Data!B:B=$B$1)),"""")"),"")</f>
        <v/>
      </c>
      <c r="E776" s="134" t="str">
        <f>IFERROR(__xludf.DUMMYFUNCTION("IFERROR((FILTER(Data!L:L,Data!D:D=A776,Data!B:B=$B$1)),"""")"),"")</f>
        <v/>
      </c>
      <c r="F776" s="134" t="str">
        <f>IFERROR(__xludf.DUMMYFUNCTION("IFERROR((FILTER(Data!K:K,Data!D:D=A776,Data!B:B=$B$1)),"""")"),"")</f>
        <v/>
      </c>
      <c r="G776" s="134" t="str">
        <f>IFERROR(__xludf.DUMMYFUNCTION("IFERROR((FILTER(Data!M:M,Data!D:D=A776,Data!B:B=$B$1)),"""")"),"")</f>
        <v/>
      </c>
      <c r="H776" s="134" t="str">
        <f>IFERROR(__xludf.DUMMYFUNCTION("IFERROR((FILTER(Data!G:G,Data!D:D=A776,Data!B:B=$B$1)*4)+(FILTER(Data!H:H,Data!D:D=A776,Data!B:B=$B$1)*2),"""")"),"")</f>
        <v/>
      </c>
      <c r="I776" s="15" t="str">
        <f>IFERROR(__xludf.DUMMYFUNCTION("IFERROR((FILTER(Data!K:K,Data!D:D=A776,Data!B:B=$B$1)*2)+(FILTER(Data!L:L,Data!D:D=A776,Data!B:B=$B$1)),"""")"),"")</f>
        <v/>
      </c>
      <c r="J776" s="134" t="str">
        <f>IFERROR(__xludf.DUMMYFUNCTION("IFERROR((FILTER(Data!N:N,Data!D:D=A776,Data!B:B=$B$1)),"""")"),"")</f>
        <v/>
      </c>
      <c r="K776" s="135" t="str">
        <f>IFERROR(__xludf.DUMMYFUNCTION("IFERROR((FILTER(Data!H:H,Data!D:D=A776,Data!B:B=$B$1)*2)+(FILTER(Data!L:L,Data!D:D=A776,Data!B:B=$B$1))+(FILTER(Data!G:G,Data!D:D=A776,Data!B:B=$B$1)*4)+(FILTER(Data!K:K,Data!D:D=A776,Data!B:B=$B$1)*2)+(((COUNTIF(FILTER(Data!N:N,Data!D:D=A776,Data!B:B=$B$"&amp;"1),""TRAVERSE"")*15)+(COUNTIF(FILTER(Data!N:N,Data!D:D=A776,Data!B:B=$B$1),""HIGH"")*10)+(COUNTIF(FILTER(Data!N:N,Data!D:D=A776,Data!B:B=$B$1),""MIDDLE"")*6)+(COUNTIF(FILTER(Data!N:N,Data!D:D=A776,Data!B:B=$B$1),""LOW"")*4))),"""")"),"")</f>
        <v/>
      </c>
      <c r="L776" s="136" t="str">
        <f>IFERROR(__xludf.DUMMYFUNCTION("IFERROR((FILTER(Data!P:P,Data!D:D=A776,Data!B:B=$B$1)),"""")"),"")</f>
        <v/>
      </c>
      <c r="M776" s="137" t="str">
        <f>IFERROR(__xludf.DUMMYFUNCTION("IFERROR((FILTER(Data!A:A,Data!D:D=A776,Data!B:B=$B$1)),"""")"),"")</f>
        <v/>
      </c>
      <c r="T776" s="52">
        <f>IFERROR(__xludf.DUMMYFUNCTION("((COUNTIF(FILTER(Data!N:N,Data!D:D=A776,Data!B:B=$B$1),""TRAVERSE"")*15)+(COUNTIF(FILTER(Data!N:N,Data!D:D=A776,Data!B:B=B$1),""HIGH"")*10)+(COUNTIF(FILTER(Data!N:N,Data!D:D=A776,Data!B:B=$B$1),""MIDDLE"")*6)+(COUNTIF(FILTER(Data!N:N,Data!D:D=A776,Data!B:"&amp;"B=$B$1),""LOW"")*4))"),0.0)</f>
        <v>0</v>
      </c>
      <c r="V776" s="138" t="str">
        <f>IF(Data!B768='Team Parser'!$B$1, Data!D768,"")</f>
        <v/>
      </c>
      <c r="W776" s="134" t="str">
        <f>IF(Data!$B768='Team Parser'!$B$1, Data!H768,"")</f>
        <v/>
      </c>
      <c r="X776" s="134" t="str">
        <f>IF(Data!$B768='Team Parser'!$B$1, Data!G768,"")</f>
        <v/>
      </c>
      <c r="Y776" s="134" t="str">
        <f>IF(Data!$B768='Team Parser'!$B$1, Data!L768,"")</f>
        <v/>
      </c>
      <c r="Z776" s="134" t="str">
        <f>IF(Data!$B768='Team Parser'!$B$1, Data!K768,"")</f>
        <v/>
      </c>
      <c r="AA776" s="134" t="str">
        <f>IF(Data!$B768='Team Parser'!$B$1, Data!M768,"")</f>
        <v/>
      </c>
      <c r="AB776" s="134" t="str">
        <f>IF(Data!$B768='Team Parser'!$B$1,((Z776*2)+(Y776)+(X776*4)+(W776*2)),"")</f>
        <v/>
      </c>
      <c r="AC776" s="134" t="str">
        <f>IF(Data!$B768='Team Parser'!$B$1, Data!N768,"")</f>
        <v/>
      </c>
      <c r="AD776" s="139" t="str">
        <f>IF(Data!$B768='Team Parser'!$B$1,(AB776+(COUNTIF(AC776,"TRAVERSE")*15)+(COUNTIF(AC776,"HIGH")*10)+(COUNTIF(AC776,"MIDDLE")*6)+(COUNTIF(AC776,"LOW")*4)),"")</f>
        <v/>
      </c>
    </row>
    <row r="777">
      <c r="A777" s="141" t="s">
        <v>507</v>
      </c>
      <c r="B777" s="134" t="str">
        <f>IFERROR(__xludf.DUMMYFUNCTION("IFERROR((FILTER(Data!H:H,Data!D:D=A777,Data!B:B=$B$1)),"""")"),"")</f>
        <v/>
      </c>
      <c r="C777" s="134" t="str">
        <f>IFERROR(__xludf.DUMMYFUNCTION("IFERROR((FILTER(Data!G:G,Data!D:D=A777,Data!B:B=$B$1)),"""")"),"")</f>
        <v/>
      </c>
      <c r="D777" s="134" t="str">
        <f>IFERROR(__xludf.DUMMYFUNCTION("IFERROR((FILTER(Data!J:J,Data!D:D=A777,Data!B:B=$B$1)),"""")"),"")</f>
        <v/>
      </c>
      <c r="E777" s="134" t="str">
        <f>IFERROR(__xludf.DUMMYFUNCTION("IFERROR((FILTER(Data!L:L,Data!D:D=A777,Data!B:B=$B$1)),"""")"),"")</f>
        <v/>
      </c>
      <c r="F777" s="134" t="str">
        <f>IFERROR(__xludf.DUMMYFUNCTION("IFERROR((FILTER(Data!K:K,Data!D:D=A777,Data!B:B=$B$1)),"""")"),"")</f>
        <v/>
      </c>
      <c r="G777" s="134" t="str">
        <f>IFERROR(__xludf.DUMMYFUNCTION("IFERROR((FILTER(Data!M:M,Data!D:D=A777,Data!B:B=$B$1)),"""")"),"")</f>
        <v/>
      </c>
      <c r="H777" s="134" t="str">
        <f>IFERROR(__xludf.DUMMYFUNCTION("IFERROR((FILTER(Data!G:G,Data!D:D=A777,Data!B:B=$B$1)*4)+(FILTER(Data!H:H,Data!D:D=A777,Data!B:B=$B$1)*2),"""")"),"")</f>
        <v/>
      </c>
      <c r="I777" s="15" t="str">
        <f>IFERROR(__xludf.DUMMYFUNCTION("IFERROR((FILTER(Data!K:K,Data!D:D=A777,Data!B:B=$B$1)*2)+(FILTER(Data!L:L,Data!D:D=A777,Data!B:B=$B$1)),"""")"),"")</f>
        <v/>
      </c>
      <c r="J777" s="134" t="str">
        <f>IFERROR(__xludf.DUMMYFUNCTION("IFERROR((FILTER(Data!N:N,Data!D:D=A777,Data!B:B=$B$1)),"""")"),"")</f>
        <v/>
      </c>
      <c r="K777" s="135" t="str">
        <f>IFERROR(__xludf.DUMMYFUNCTION("IFERROR((FILTER(Data!H:H,Data!D:D=A777,Data!B:B=$B$1)*2)+(FILTER(Data!L:L,Data!D:D=A777,Data!B:B=$B$1))+(FILTER(Data!G:G,Data!D:D=A777,Data!B:B=$B$1)*4)+(FILTER(Data!K:K,Data!D:D=A777,Data!B:B=$B$1)*2)+(((COUNTIF(FILTER(Data!N:N,Data!D:D=A777,Data!B:B=$B$"&amp;"1),""TRAVERSE"")*15)+(COUNTIF(FILTER(Data!N:N,Data!D:D=A777,Data!B:B=$B$1),""HIGH"")*10)+(COUNTIF(FILTER(Data!N:N,Data!D:D=A777,Data!B:B=$B$1),""MIDDLE"")*6)+(COUNTIF(FILTER(Data!N:N,Data!D:D=A777,Data!B:B=$B$1),""LOW"")*4))),"""")"),"")</f>
        <v/>
      </c>
      <c r="L777" s="136" t="str">
        <f>IFERROR(__xludf.DUMMYFUNCTION("IFERROR((FILTER(Data!P:P,Data!D:D=A777,Data!B:B=$B$1)),"""")"),"")</f>
        <v/>
      </c>
      <c r="M777" s="137" t="str">
        <f>IFERROR(__xludf.DUMMYFUNCTION("IFERROR((FILTER(Data!A:A,Data!D:D=A777,Data!B:B=$B$1)),"""")"),"")</f>
        <v/>
      </c>
      <c r="T777" s="52">
        <f>IFERROR(__xludf.DUMMYFUNCTION("((COUNTIF(FILTER(Data!N:N,Data!D:D=A777,Data!B:B=$B$1),""TRAVERSE"")*15)+(COUNTIF(FILTER(Data!N:N,Data!D:D=A777,Data!B:B=B$1),""HIGH"")*10)+(COUNTIF(FILTER(Data!N:N,Data!D:D=A777,Data!B:B=$B$1),""MIDDLE"")*6)+(COUNTIF(FILTER(Data!N:N,Data!D:D=A777,Data!B:"&amp;"B=$B$1),""LOW"")*4))"),0.0)</f>
        <v>0</v>
      </c>
      <c r="V777" s="138" t="str">
        <f>IF(Data!B769='Team Parser'!$B$1, Data!D769,"")</f>
        <v/>
      </c>
      <c r="W777" s="134" t="str">
        <f>IF(Data!$B769='Team Parser'!$B$1, Data!H769,"")</f>
        <v/>
      </c>
      <c r="X777" s="134" t="str">
        <f>IF(Data!$B769='Team Parser'!$B$1, Data!G769,"")</f>
        <v/>
      </c>
      <c r="Y777" s="134" t="str">
        <f>IF(Data!$B769='Team Parser'!$B$1, Data!L769,"")</f>
        <v/>
      </c>
      <c r="Z777" s="134" t="str">
        <f>IF(Data!$B769='Team Parser'!$B$1, Data!K769,"")</f>
        <v/>
      </c>
      <c r="AA777" s="134" t="str">
        <f>IF(Data!$B769='Team Parser'!$B$1, Data!M769,"")</f>
        <v/>
      </c>
      <c r="AB777" s="134" t="str">
        <f>IF(Data!$B769='Team Parser'!$B$1,((Z777*2)+(Y777)+(X777*4)+(W777*2)),"")</f>
        <v/>
      </c>
      <c r="AC777" s="134" t="str">
        <f>IF(Data!$B769='Team Parser'!$B$1, Data!N769,"")</f>
        <v/>
      </c>
      <c r="AD777" s="139" t="str">
        <f>IF(Data!$B769='Team Parser'!$B$1,(AB777+(COUNTIF(AC777,"TRAVERSE")*15)+(COUNTIF(AC777,"HIGH")*10)+(COUNTIF(AC777,"MIDDLE")*6)+(COUNTIF(AC777,"LOW")*4)),"")</f>
        <v/>
      </c>
    </row>
    <row r="778">
      <c r="A778" s="141" t="s">
        <v>507</v>
      </c>
      <c r="B778" s="134" t="str">
        <f>IFERROR(__xludf.DUMMYFUNCTION("IFERROR((FILTER(Data!H:H,Data!D:D=A778,Data!B:B=$B$1)),"""")"),"")</f>
        <v/>
      </c>
      <c r="C778" s="134" t="str">
        <f>IFERROR(__xludf.DUMMYFUNCTION("IFERROR((FILTER(Data!G:G,Data!D:D=A778,Data!B:B=$B$1)),"""")"),"")</f>
        <v/>
      </c>
      <c r="D778" s="134" t="str">
        <f>IFERROR(__xludf.DUMMYFUNCTION("IFERROR((FILTER(Data!J:J,Data!D:D=A778,Data!B:B=$B$1)),"""")"),"")</f>
        <v/>
      </c>
      <c r="E778" s="134" t="str">
        <f>IFERROR(__xludf.DUMMYFUNCTION("IFERROR((FILTER(Data!L:L,Data!D:D=A778,Data!B:B=$B$1)),"""")"),"")</f>
        <v/>
      </c>
      <c r="F778" s="134" t="str">
        <f>IFERROR(__xludf.DUMMYFUNCTION("IFERROR((FILTER(Data!K:K,Data!D:D=A778,Data!B:B=$B$1)),"""")"),"")</f>
        <v/>
      </c>
      <c r="G778" s="134" t="str">
        <f>IFERROR(__xludf.DUMMYFUNCTION("IFERROR((FILTER(Data!M:M,Data!D:D=A778,Data!B:B=$B$1)),"""")"),"")</f>
        <v/>
      </c>
      <c r="H778" s="134" t="str">
        <f>IFERROR(__xludf.DUMMYFUNCTION("IFERROR((FILTER(Data!G:G,Data!D:D=A778,Data!B:B=$B$1)*4)+(FILTER(Data!H:H,Data!D:D=A778,Data!B:B=$B$1)*2),"""")"),"")</f>
        <v/>
      </c>
      <c r="I778" s="15" t="str">
        <f>IFERROR(__xludf.DUMMYFUNCTION("IFERROR((FILTER(Data!K:K,Data!D:D=A778,Data!B:B=$B$1)*2)+(FILTER(Data!L:L,Data!D:D=A778,Data!B:B=$B$1)),"""")"),"")</f>
        <v/>
      </c>
      <c r="J778" s="134" t="str">
        <f>IFERROR(__xludf.DUMMYFUNCTION("IFERROR((FILTER(Data!N:N,Data!D:D=A778,Data!B:B=$B$1)),"""")"),"")</f>
        <v/>
      </c>
      <c r="K778" s="135" t="str">
        <f>IFERROR(__xludf.DUMMYFUNCTION("IFERROR((FILTER(Data!H:H,Data!D:D=A778,Data!B:B=$B$1)*2)+(FILTER(Data!L:L,Data!D:D=A778,Data!B:B=$B$1))+(FILTER(Data!G:G,Data!D:D=A778,Data!B:B=$B$1)*4)+(FILTER(Data!K:K,Data!D:D=A778,Data!B:B=$B$1)*2)+(((COUNTIF(FILTER(Data!N:N,Data!D:D=A778,Data!B:B=$B$"&amp;"1),""TRAVERSE"")*15)+(COUNTIF(FILTER(Data!N:N,Data!D:D=A778,Data!B:B=$B$1),""HIGH"")*10)+(COUNTIF(FILTER(Data!N:N,Data!D:D=A778,Data!B:B=$B$1),""MIDDLE"")*6)+(COUNTIF(FILTER(Data!N:N,Data!D:D=A778,Data!B:B=$B$1),""LOW"")*4))),"""")"),"")</f>
        <v/>
      </c>
      <c r="L778" s="136" t="str">
        <f>IFERROR(__xludf.DUMMYFUNCTION("IFERROR((FILTER(Data!P:P,Data!D:D=A778,Data!B:B=$B$1)),"""")"),"")</f>
        <v/>
      </c>
      <c r="M778" s="137" t="str">
        <f>IFERROR(__xludf.DUMMYFUNCTION("IFERROR((FILTER(Data!A:A,Data!D:D=A778,Data!B:B=$B$1)),"""")"),"")</f>
        <v/>
      </c>
      <c r="T778" s="52">
        <f>IFERROR(__xludf.DUMMYFUNCTION("((COUNTIF(FILTER(Data!N:N,Data!D:D=A778,Data!B:B=$B$1),""TRAVERSE"")*15)+(COUNTIF(FILTER(Data!N:N,Data!D:D=A778,Data!B:B=B$1),""HIGH"")*10)+(COUNTIF(FILTER(Data!N:N,Data!D:D=A778,Data!B:B=$B$1),""MIDDLE"")*6)+(COUNTIF(FILTER(Data!N:N,Data!D:D=A778,Data!B:"&amp;"B=$B$1),""LOW"")*4))"),0.0)</f>
        <v>0</v>
      </c>
      <c r="V778" s="138" t="str">
        <f>IF(Data!B770='Team Parser'!$B$1, Data!D770,"")</f>
        <v/>
      </c>
      <c r="W778" s="134" t="str">
        <f>IF(Data!$B770='Team Parser'!$B$1, Data!H770,"")</f>
        <v/>
      </c>
      <c r="X778" s="134" t="str">
        <f>IF(Data!$B770='Team Parser'!$B$1, Data!G770,"")</f>
        <v/>
      </c>
      <c r="Y778" s="134" t="str">
        <f>IF(Data!$B770='Team Parser'!$B$1, Data!L770,"")</f>
        <v/>
      </c>
      <c r="Z778" s="134" t="str">
        <f>IF(Data!$B770='Team Parser'!$B$1, Data!K770,"")</f>
        <v/>
      </c>
      <c r="AA778" s="134" t="str">
        <f>IF(Data!$B770='Team Parser'!$B$1, Data!M770,"")</f>
        <v/>
      </c>
      <c r="AB778" s="134" t="str">
        <f>IF(Data!$B770='Team Parser'!$B$1,((Z778*2)+(Y778)+(X778*4)+(W778*2)),"")</f>
        <v/>
      </c>
      <c r="AC778" s="134" t="str">
        <f>IF(Data!$B770='Team Parser'!$B$1, Data!N770,"")</f>
        <v/>
      </c>
      <c r="AD778" s="139" t="str">
        <f>IF(Data!$B770='Team Parser'!$B$1,(AB778+(COUNTIF(AC778,"TRAVERSE")*15)+(COUNTIF(AC778,"HIGH")*10)+(COUNTIF(AC778,"MIDDLE")*6)+(COUNTIF(AC778,"LOW")*4)),"")</f>
        <v/>
      </c>
    </row>
    <row r="779">
      <c r="A779" s="141" t="s">
        <v>507</v>
      </c>
      <c r="B779" s="134" t="str">
        <f>IFERROR(__xludf.DUMMYFUNCTION("IFERROR((FILTER(Data!H:H,Data!D:D=A779,Data!B:B=$B$1)),"""")"),"")</f>
        <v/>
      </c>
      <c r="C779" s="134" t="str">
        <f>IFERROR(__xludf.DUMMYFUNCTION("IFERROR((FILTER(Data!G:G,Data!D:D=A779,Data!B:B=$B$1)),"""")"),"")</f>
        <v/>
      </c>
      <c r="D779" s="134" t="str">
        <f>IFERROR(__xludf.DUMMYFUNCTION("IFERROR((FILTER(Data!J:J,Data!D:D=A779,Data!B:B=$B$1)),"""")"),"")</f>
        <v/>
      </c>
      <c r="E779" s="134" t="str">
        <f>IFERROR(__xludf.DUMMYFUNCTION("IFERROR((FILTER(Data!L:L,Data!D:D=A779,Data!B:B=$B$1)),"""")"),"")</f>
        <v/>
      </c>
      <c r="F779" s="134" t="str">
        <f>IFERROR(__xludf.DUMMYFUNCTION("IFERROR((FILTER(Data!K:K,Data!D:D=A779,Data!B:B=$B$1)),"""")"),"")</f>
        <v/>
      </c>
      <c r="G779" s="134" t="str">
        <f>IFERROR(__xludf.DUMMYFUNCTION("IFERROR((FILTER(Data!M:M,Data!D:D=A779,Data!B:B=$B$1)),"""")"),"")</f>
        <v/>
      </c>
      <c r="H779" s="134" t="str">
        <f>IFERROR(__xludf.DUMMYFUNCTION("IFERROR((FILTER(Data!G:G,Data!D:D=A779,Data!B:B=$B$1)*4)+(FILTER(Data!H:H,Data!D:D=A779,Data!B:B=$B$1)*2),"""")"),"")</f>
        <v/>
      </c>
      <c r="I779" s="15" t="str">
        <f>IFERROR(__xludf.DUMMYFUNCTION("IFERROR((FILTER(Data!K:K,Data!D:D=A779,Data!B:B=$B$1)*2)+(FILTER(Data!L:L,Data!D:D=A779,Data!B:B=$B$1)),"""")"),"")</f>
        <v/>
      </c>
      <c r="J779" s="134" t="str">
        <f>IFERROR(__xludf.DUMMYFUNCTION("IFERROR((FILTER(Data!N:N,Data!D:D=A779,Data!B:B=$B$1)),"""")"),"")</f>
        <v/>
      </c>
      <c r="K779" s="135" t="str">
        <f>IFERROR(__xludf.DUMMYFUNCTION("IFERROR((FILTER(Data!H:H,Data!D:D=A779,Data!B:B=$B$1)*2)+(FILTER(Data!L:L,Data!D:D=A779,Data!B:B=$B$1))+(FILTER(Data!G:G,Data!D:D=A779,Data!B:B=$B$1)*4)+(FILTER(Data!K:K,Data!D:D=A779,Data!B:B=$B$1)*2)+(((COUNTIF(FILTER(Data!N:N,Data!D:D=A779,Data!B:B=$B$"&amp;"1),""TRAVERSE"")*15)+(COUNTIF(FILTER(Data!N:N,Data!D:D=A779,Data!B:B=$B$1),""HIGH"")*10)+(COUNTIF(FILTER(Data!N:N,Data!D:D=A779,Data!B:B=$B$1),""MIDDLE"")*6)+(COUNTIF(FILTER(Data!N:N,Data!D:D=A779,Data!B:B=$B$1),""LOW"")*4))),"""")"),"")</f>
        <v/>
      </c>
      <c r="L779" s="136" t="str">
        <f>IFERROR(__xludf.DUMMYFUNCTION("IFERROR((FILTER(Data!P:P,Data!D:D=A779,Data!B:B=$B$1)),"""")"),"")</f>
        <v/>
      </c>
      <c r="M779" s="137" t="str">
        <f>IFERROR(__xludf.DUMMYFUNCTION("IFERROR((FILTER(Data!A:A,Data!D:D=A779,Data!B:B=$B$1)),"""")"),"")</f>
        <v/>
      </c>
      <c r="T779" s="52">
        <f>IFERROR(__xludf.DUMMYFUNCTION("((COUNTIF(FILTER(Data!N:N,Data!D:D=A779,Data!B:B=$B$1),""TRAVERSE"")*15)+(COUNTIF(FILTER(Data!N:N,Data!D:D=A779,Data!B:B=B$1),""HIGH"")*10)+(COUNTIF(FILTER(Data!N:N,Data!D:D=A779,Data!B:B=$B$1),""MIDDLE"")*6)+(COUNTIF(FILTER(Data!N:N,Data!D:D=A779,Data!B:"&amp;"B=$B$1),""LOW"")*4))"),0.0)</f>
        <v>0</v>
      </c>
      <c r="V779" s="138" t="str">
        <f>IF(Data!B771='Team Parser'!$B$1, Data!D771,"")</f>
        <v/>
      </c>
      <c r="W779" s="134" t="str">
        <f>IF(Data!$B771='Team Parser'!$B$1, Data!H771,"")</f>
        <v/>
      </c>
      <c r="X779" s="134" t="str">
        <f>IF(Data!$B771='Team Parser'!$B$1, Data!G771,"")</f>
        <v/>
      </c>
      <c r="Y779" s="134" t="str">
        <f>IF(Data!$B771='Team Parser'!$B$1, Data!L771,"")</f>
        <v/>
      </c>
      <c r="Z779" s="134" t="str">
        <f>IF(Data!$B771='Team Parser'!$B$1, Data!K771,"")</f>
        <v/>
      </c>
      <c r="AA779" s="134" t="str">
        <f>IF(Data!$B771='Team Parser'!$B$1, Data!M771,"")</f>
        <v/>
      </c>
      <c r="AB779" s="134" t="str">
        <f>IF(Data!$B771='Team Parser'!$B$1,((Z779*2)+(Y779)+(X779*4)+(W779*2)),"")</f>
        <v/>
      </c>
      <c r="AC779" s="134" t="str">
        <f>IF(Data!$B771='Team Parser'!$B$1, Data!N771,"")</f>
        <v/>
      </c>
      <c r="AD779" s="139" t="str">
        <f>IF(Data!$B771='Team Parser'!$B$1,(AB779+(COUNTIF(AC779,"TRAVERSE")*15)+(COUNTIF(AC779,"HIGH")*10)+(COUNTIF(AC779,"MIDDLE")*6)+(COUNTIF(AC779,"LOW")*4)),"")</f>
        <v/>
      </c>
    </row>
    <row r="780">
      <c r="A780" s="141" t="s">
        <v>507</v>
      </c>
      <c r="B780" s="134" t="str">
        <f>IFERROR(__xludf.DUMMYFUNCTION("IFERROR((FILTER(Data!H:H,Data!D:D=A780,Data!B:B=$B$1)),"""")"),"")</f>
        <v/>
      </c>
      <c r="C780" s="134" t="str">
        <f>IFERROR(__xludf.DUMMYFUNCTION("IFERROR((FILTER(Data!G:G,Data!D:D=A780,Data!B:B=$B$1)),"""")"),"")</f>
        <v/>
      </c>
      <c r="D780" s="134" t="str">
        <f>IFERROR(__xludf.DUMMYFUNCTION("IFERROR((FILTER(Data!J:J,Data!D:D=A780,Data!B:B=$B$1)),"""")"),"")</f>
        <v/>
      </c>
      <c r="E780" s="134" t="str">
        <f>IFERROR(__xludf.DUMMYFUNCTION("IFERROR((FILTER(Data!L:L,Data!D:D=A780,Data!B:B=$B$1)),"""")"),"")</f>
        <v/>
      </c>
      <c r="F780" s="134" t="str">
        <f>IFERROR(__xludf.DUMMYFUNCTION("IFERROR((FILTER(Data!K:K,Data!D:D=A780,Data!B:B=$B$1)),"""")"),"")</f>
        <v/>
      </c>
      <c r="G780" s="134" t="str">
        <f>IFERROR(__xludf.DUMMYFUNCTION("IFERROR((FILTER(Data!M:M,Data!D:D=A780,Data!B:B=$B$1)),"""")"),"")</f>
        <v/>
      </c>
      <c r="H780" s="134" t="str">
        <f>IFERROR(__xludf.DUMMYFUNCTION("IFERROR((FILTER(Data!G:G,Data!D:D=A780,Data!B:B=$B$1)*4)+(FILTER(Data!H:H,Data!D:D=A780,Data!B:B=$B$1)*2),"""")"),"")</f>
        <v/>
      </c>
      <c r="I780" s="15" t="str">
        <f>IFERROR(__xludf.DUMMYFUNCTION("IFERROR((FILTER(Data!K:K,Data!D:D=A780,Data!B:B=$B$1)*2)+(FILTER(Data!L:L,Data!D:D=A780,Data!B:B=$B$1)),"""")"),"")</f>
        <v/>
      </c>
      <c r="J780" s="134" t="str">
        <f>IFERROR(__xludf.DUMMYFUNCTION("IFERROR((FILTER(Data!N:N,Data!D:D=A780,Data!B:B=$B$1)),"""")"),"")</f>
        <v/>
      </c>
      <c r="K780" s="135" t="str">
        <f>IFERROR(__xludf.DUMMYFUNCTION("IFERROR((FILTER(Data!H:H,Data!D:D=A780,Data!B:B=$B$1)*2)+(FILTER(Data!L:L,Data!D:D=A780,Data!B:B=$B$1))+(FILTER(Data!G:G,Data!D:D=A780,Data!B:B=$B$1)*4)+(FILTER(Data!K:K,Data!D:D=A780,Data!B:B=$B$1)*2)+(((COUNTIF(FILTER(Data!N:N,Data!D:D=A780,Data!B:B=$B$"&amp;"1),""TRAVERSE"")*15)+(COUNTIF(FILTER(Data!N:N,Data!D:D=A780,Data!B:B=$B$1),""HIGH"")*10)+(COUNTIF(FILTER(Data!N:N,Data!D:D=A780,Data!B:B=$B$1),""MIDDLE"")*6)+(COUNTIF(FILTER(Data!N:N,Data!D:D=A780,Data!B:B=$B$1),""LOW"")*4))),"""")"),"")</f>
        <v/>
      </c>
      <c r="L780" s="136" t="str">
        <f>IFERROR(__xludf.DUMMYFUNCTION("IFERROR((FILTER(Data!P:P,Data!D:D=A780,Data!B:B=$B$1)),"""")"),"")</f>
        <v/>
      </c>
      <c r="M780" s="137" t="str">
        <f>IFERROR(__xludf.DUMMYFUNCTION("IFERROR((FILTER(Data!A:A,Data!D:D=A780,Data!B:B=$B$1)),"""")"),"")</f>
        <v/>
      </c>
      <c r="T780" s="52">
        <f>IFERROR(__xludf.DUMMYFUNCTION("((COUNTIF(FILTER(Data!N:N,Data!D:D=A780,Data!B:B=$B$1),""TRAVERSE"")*15)+(COUNTIF(FILTER(Data!N:N,Data!D:D=A780,Data!B:B=B$1),""HIGH"")*10)+(COUNTIF(FILTER(Data!N:N,Data!D:D=A780,Data!B:B=$B$1),""MIDDLE"")*6)+(COUNTIF(FILTER(Data!N:N,Data!D:D=A780,Data!B:"&amp;"B=$B$1),""LOW"")*4))"),0.0)</f>
        <v>0</v>
      </c>
      <c r="V780" s="138" t="str">
        <f>IF(Data!B772='Team Parser'!$B$1, Data!D772,"")</f>
        <v/>
      </c>
      <c r="W780" s="134" t="str">
        <f>IF(Data!$B772='Team Parser'!$B$1, Data!H772,"")</f>
        <v/>
      </c>
      <c r="X780" s="134" t="str">
        <f>IF(Data!$B772='Team Parser'!$B$1, Data!G772,"")</f>
        <v/>
      </c>
      <c r="Y780" s="134" t="str">
        <f>IF(Data!$B772='Team Parser'!$B$1, Data!L772,"")</f>
        <v/>
      </c>
      <c r="Z780" s="134" t="str">
        <f>IF(Data!$B772='Team Parser'!$B$1, Data!K772,"")</f>
        <v/>
      </c>
      <c r="AA780" s="134" t="str">
        <f>IF(Data!$B772='Team Parser'!$B$1, Data!M772,"")</f>
        <v/>
      </c>
      <c r="AB780" s="134" t="str">
        <f>IF(Data!$B772='Team Parser'!$B$1,((Z780*2)+(Y780)+(X780*4)+(W780*2)),"")</f>
        <v/>
      </c>
      <c r="AC780" s="134" t="str">
        <f>IF(Data!$B772='Team Parser'!$B$1, Data!N772,"")</f>
        <v/>
      </c>
      <c r="AD780" s="139" t="str">
        <f>IF(Data!$B772='Team Parser'!$B$1,(AB780+(COUNTIF(AC780,"TRAVERSE")*15)+(COUNTIF(AC780,"HIGH")*10)+(COUNTIF(AC780,"MIDDLE")*6)+(COUNTIF(AC780,"LOW")*4)),"")</f>
        <v/>
      </c>
    </row>
    <row r="781">
      <c r="A781" s="141" t="s">
        <v>507</v>
      </c>
      <c r="B781" s="134" t="str">
        <f>IFERROR(__xludf.DUMMYFUNCTION("IFERROR((FILTER(Data!H:H,Data!D:D=A781,Data!B:B=$B$1)),"""")"),"")</f>
        <v/>
      </c>
      <c r="C781" s="134" t="str">
        <f>IFERROR(__xludf.DUMMYFUNCTION("IFERROR((FILTER(Data!G:G,Data!D:D=A781,Data!B:B=$B$1)),"""")"),"")</f>
        <v/>
      </c>
      <c r="D781" s="134" t="str">
        <f>IFERROR(__xludf.DUMMYFUNCTION("IFERROR((FILTER(Data!J:J,Data!D:D=A781,Data!B:B=$B$1)),"""")"),"")</f>
        <v/>
      </c>
      <c r="E781" s="134" t="str">
        <f>IFERROR(__xludf.DUMMYFUNCTION("IFERROR((FILTER(Data!L:L,Data!D:D=A781,Data!B:B=$B$1)),"""")"),"")</f>
        <v/>
      </c>
      <c r="F781" s="134" t="str">
        <f>IFERROR(__xludf.DUMMYFUNCTION("IFERROR((FILTER(Data!K:K,Data!D:D=A781,Data!B:B=$B$1)),"""")"),"")</f>
        <v/>
      </c>
      <c r="G781" s="134" t="str">
        <f>IFERROR(__xludf.DUMMYFUNCTION("IFERROR((FILTER(Data!M:M,Data!D:D=A781,Data!B:B=$B$1)),"""")"),"")</f>
        <v/>
      </c>
      <c r="H781" s="134" t="str">
        <f>IFERROR(__xludf.DUMMYFUNCTION("IFERROR((FILTER(Data!G:G,Data!D:D=A781,Data!B:B=$B$1)*4)+(FILTER(Data!H:H,Data!D:D=A781,Data!B:B=$B$1)*2),"""")"),"")</f>
        <v/>
      </c>
      <c r="I781" s="15" t="str">
        <f>IFERROR(__xludf.DUMMYFUNCTION("IFERROR((FILTER(Data!K:K,Data!D:D=A781,Data!B:B=$B$1)*2)+(FILTER(Data!L:L,Data!D:D=A781,Data!B:B=$B$1)),"""")"),"")</f>
        <v/>
      </c>
      <c r="J781" s="134" t="str">
        <f>IFERROR(__xludf.DUMMYFUNCTION("IFERROR((FILTER(Data!N:N,Data!D:D=A781,Data!B:B=$B$1)),"""")"),"")</f>
        <v/>
      </c>
      <c r="K781" s="135" t="str">
        <f>IFERROR(__xludf.DUMMYFUNCTION("IFERROR((FILTER(Data!H:H,Data!D:D=A781,Data!B:B=$B$1)*2)+(FILTER(Data!L:L,Data!D:D=A781,Data!B:B=$B$1))+(FILTER(Data!G:G,Data!D:D=A781,Data!B:B=$B$1)*4)+(FILTER(Data!K:K,Data!D:D=A781,Data!B:B=$B$1)*2)+(((COUNTIF(FILTER(Data!N:N,Data!D:D=A781,Data!B:B=$B$"&amp;"1),""TRAVERSE"")*15)+(COUNTIF(FILTER(Data!N:N,Data!D:D=A781,Data!B:B=$B$1),""HIGH"")*10)+(COUNTIF(FILTER(Data!N:N,Data!D:D=A781,Data!B:B=$B$1),""MIDDLE"")*6)+(COUNTIF(FILTER(Data!N:N,Data!D:D=A781,Data!B:B=$B$1),""LOW"")*4))),"""")"),"")</f>
        <v/>
      </c>
      <c r="L781" s="136" t="str">
        <f>IFERROR(__xludf.DUMMYFUNCTION("IFERROR((FILTER(Data!P:P,Data!D:D=A781,Data!B:B=$B$1)),"""")"),"")</f>
        <v/>
      </c>
      <c r="M781" s="137" t="str">
        <f>IFERROR(__xludf.DUMMYFUNCTION("IFERROR((FILTER(Data!A:A,Data!D:D=A781,Data!B:B=$B$1)),"""")"),"")</f>
        <v/>
      </c>
      <c r="T781" s="52">
        <f>IFERROR(__xludf.DUMMYFUNCTION("((COUNTIF(FILTER(Data!N:N,Data!D:D=A781,Data!B:B=$B$1),""TRAVERSE"")*15)+(COUNTIF(FILTER(Data!N:N,Data!D:D=A781,Data!B:B=B$1),""HIGH"")*10)+(COUNTIF(FILTER(Data!N:N,Data!D:D=A781,Data!B:B=$B$1),""MIDDLE"")*6)+(COUNTIF(FILTER(Data!N:N,Data!D:D=A781,Data!B:"&amp;"B=$B$1),""LOW"")*4))"),0.0)</f>
        <v>0</v>
      </c>
      <c r="V781" s="138" t="str">
        <f>IF(Data!B773='Team Parser'!$B$1, Data!D773,"")</f>
        <v/>
      </c>
      <c r="W781" s="134" t="str">
        <f>IF(Data!$B773='Team Parser'!$B$1, Data!H773,"")</f>
        <v/>
      </c>
      <c r="X781" s="134" t="str">
        <f>IF(Data!$B773='Team Parser'!$B$1, Data!G773,"")</f>
        <v/>
      </c>
      <c r="Y781" s="134" t="str">
        <f>IF(Data!$B773='Team Parser'!$B$1, Data!L773,"")</f>
        <v/>
      </c>
      <c r="Z781" s="134" t="str">
        <f>IF(Data!$B773='Team Parser'!$B$1, Data!K773,"")</f>
        <v/>
      </c>
      <c r="AA781" s="134" t="str">
        <f>IF(Data!$B773='Team Parser'!$B$1, Data!M773,"")</f>
        <v/>
      </c>
      <c r="AB781" s="134" t="str">
        <f>IF(Data!$B773='Team Parser'!$B$1,((Z781*2)+(Y781)+(X781*4)+(W781*2)),"")</f>
        <v/>
      </c>
      <c r="AC781" s="134" t="str">
        <f>IF(Data!$B773='Team Parser'!$B$1, Data!N773,"")</f>
        <v/>
      </c>
      <c r="AD781" s="139" t="str">
        <f>IF(Data!$B773='Team Parser'!$B$1,(AB781+(COUNTIF(AC781,"TRAVERSE")*15)+(COUNTIF(AC781,"HIGH")*10)+(COUNTIF(AC781,"MIDDLE")*6)+(COUNTIF(AC781,"LOW")*4)),"")</f>
        <v/>
      </c>
    </row>
    <row r="782">
      <c r="A782" s="141" t="s">
        <v>507</v>
      </c>
      <c r="B782" s="134" t="str">
        <f>IFERROR(__xludf.DUMMYFUNCTION("IFERROR((FILTER(Data!H:H,Data!D:D=A782,Data!B:B=$B$1)),"""")"),"")</f>
        <v/>
      </c>
      <c r="C782" s="134" t="str">
        <f>IFERROR(__xludf.DUMMYFUNCTION("IFERROR((FILTER(Data!G:G,Data!D:D=A782,Data!B:B=$B$1)),"""")"),"")</f>
        <v/>
      </c>
      <c r="D782" s="134" t="str">
        <f>IFERROR(__xludf.DUMMYFUNCTION("IFERROR((FILTER(Data!J:J,Data!D:D=A782,Data!B:B=$B$1)),"""")"),"")</f>
        <v/>
      </c>
      <c r="E782" s="134" t="str">
        <f>IFERROR(__xludf.DUMMYFUNCTION("IFERROR((FILTER(Data!L:L,Data!D:D=A782,Data!B:B=$B$1)),"""")"),"")</f>
        <v/>
      </c>
      <c r="F782" s="134" t="str">
        <f>IFERROR(__xludf.DUMMYFUNCTION("IFERROR((FILTER(Data!K:K,Data!D:D=A782,Data!B:B=$B$1)),"""")"),"")</f>
        <v/>
      </c>
      <c r="G782" s="134" t="str">
        <f>IFERROR(__xludf.DUMMYFUNCTION("IFERROR((FILTER(Data!M:M,Data!D:D=A782,Data!B:B=$B$1)),"""")"),"")</f>
        <v/>
      </c>
      <c r="H782" s="134" t="str">
        <f>IFERROR(__xludf.DUMMYFUNCTION("IFERROR((FILTER(Data!G:G,Data!D:D=A782,Data!B:B=$B$1)*4)+(FILTER(Data!H:H,Data!D:D=A782,Data!B:B=$B$1)*2),"""")"),"")</f>
        <v/>
      </c>
      <c r="I782" s="15" t="str">
        <f>IFERROR(__xludf.DUMMYFUNCTION("IFERROR((FILTER(Data!K:K,Data!D:D=A782,Data!B:B=$B$1)*2)+(FILTER(Data!L:L,Data!D:D=A782,Data!B:B=$B$1)),"""")"),"")</f>
        <v/>
      </c>
      <c r="J782" s="134" t="str">
        <f>IFERROR(__xludf.DUMMYFUNCTION("IFERROR((FILTER(Data!N:N,Data!D:D=A782,Data!B:B=$B$1)),"""")"),"")</f>
        <v/>
      </c>
      <c r="K782" s="135" t="str">
        <f>IFERROR(__xludf.DUMMYFUNCTION("IFERROR((FILTER(Data!H:H,Data!D:D=A782,Data!B:B=$B$1)*2)+(FILTER(Data!L:L,Data!D:D=A782,Data!B:B=$B$1))+(FILTER(Data!G:G,Data!D:D=A782,Data!B:B=$B$1)*4)+(FILTER(Data!K:K,Data!D:D=A782,Data!B:B=$B$1)*2)+(((COUNTIF(FILTER(Data!N:N,Data!D:D=A782,Data!B:B=$B$"&amp;"1),""TRAVERSE"")*15)+(COUNTIF(FILTER(Data!N:N,Data!D:D=A782,Data!B:B=$B$1),""HIGH"")*10)+(COUNTIF(FILTER(Data!N:N,Data!D:D=A782,Data!B:B=$B$1),""MIDDLE"")*6)+(COUNTIF(FILTER(Data!N:N,Data!D:D=A782,Data!B:B=$B$1),""LOW"")*4))),"""")"),"")</f>
        <v/>
      </c>
      <c r="L782" s="136" t="str">
        <f>IFERROR(__xludf.DUMMYFUNCTION("IFERROR((FILTER(Data!P:P,Data!D:D=A782,Data!B:B=$B$1)),"""")"),"")</f>
        <v/>
      </c>
      <c r="M782" s="137" t="str">
        <f>IFERROR(__xludf.DUMMYFUNCTION("IFERROR((FILTER(Data!A:A,Data!D:D=A782,Data!B:B=$B$1)),"""")"),"")</f>
        <v/>
      </c>
      <c r="T782" s="52">
        <f>IFERROR(__xludf.DUMMYFUNCTION("((COUNTIF(FILTER(Data!N:N,Data!D:D=A782,Data!B:B=$B$1),""TRAVERSE"")*15)+(COUNTIF(FILTER(Data!N:N,Data!D:D=A782,Data!B:B=B$1),""HIGH"")*10)+(COUNTIF(FILTER(Data!N:N,Data!D:D=A782,Data!B:B=$B$1),""MIDDLE"")*6)+(COUNTIF(FILTER(Data!N:N,Data!D:D=A782,Data!B:"&amp;"B=$B$1),""LOW"")*4))"),0.0)</f>
        <v>0</v>
      </c>
      <c r="V782" s="138" t="str">
        <f>IF(Data!B774='Team Parser'!$B$1, Data!D774,"")</f>
        <v/>
      </c>
      <c r="W782" s="134" t="str">
        <f>IF(Data!$B774='Team Parser'!$B$1, Data!H774,"")</f>
        <v/>
      </c>
      <c r="X782" s="134" t="str">
        <f>IF(Data!$B774='Team Parser'!$B$1, Data!G774,"")</f>
        <v/>
      </c>
      <c r="Y782" s="134" t="str">
        <f>IF(Data!$B774='Team Parser'!$B$1, Data!L774,"")</f>
        <v/>
      </c>
      <c r="Z782" s="134" t="str">
        <f>IF(Data!$B774='Team Parser'!$B$1, Data!K774,"")</f>
        <v/>
      </c>
      <c r="AA782" s="134" t="str">
        <f>IF(Data!$B774='Team Parser'!$B$1, Data!M774,"")</f>
        <v/>
      </c>
      <c r="AB782" s="134" t="str">
        <f>IF(Data!$B774='Team Parser'!$B$1,((Z782*2)+(Y782)+(X782*4)+(W782*2)),"")</f>
        <v/>
      </c>
      <c r="AC782" s="134" t="str">
        <f>IF(Data!$B774='Team Parser'!$B$1, Data!N774,"")</f>
        <v/>
      </c>
      <c r="AD782" s="139" t="str">
        <f>IF(Data!$B774='Team Parser'!$B$1,(AB782+(COUNTIF(AC782,"TRAVERSE")*15)+(COUNTIF(AC782,"HIGH")*10)+(COUNTIF(AC782,"MIDDLE")*6)+(COUNTIF(AC782,"LOW")*4)),"")</f>
        <v/>
      </c>
    </row>
    <row r="783">
      <c r="A783" s="141" t="s">
        <v>507</v>
      </c>
      <c r="B783" s="134" t="str">
        <f>IFERROR(__xludf.DUMMYFUNCTION("IFERROR((FILTER(Data!H:H,Data!D:D=A783,Data!B:B=$B$1)),"""")"),"")</f>
        <v/>
      </c>
      <c r="C783" s="134" t="str">
        <f>IFERROR(__xludf.DUMMYFUNCTION("IFERROR((FILTER(Data!G:G,Data!D:D=A783,Data!B:B=$B$1)),"""")"),"")</f>
        <v/>
      </c>
      <c r="D783" s="134" t="str">
        <f>IFERROR(__xludf.DUMMYFUNCTION("IFERROR((FILTER(Data!J:J,Data!D:D=A783,Data!B:B=$B$1)),"""")"),"")</f>
        <v/>
      </c>
      <c r="E783" s="134" t="str">
        <f>IFERROR(__xludf.DUMMYFUNCTION("IFERROR((FILTER(Data!L:L,Data!D:D=A783,Data!B:B=$B$1)),"""")"),"")</f>
        <v/>
      </c>
      <c r="F783" s="134" t="str">
        <f>IFERROR(__xludf.DUMMYFUNCTION("IFERROR((FILTER(Data!K:K,Data!D:D=A783,Data!B:B=$B$1)),"""")"),"")</f>
        <v/>
      </c>
      <c r="G783" s="134" t="str">
        <f>IFERROR(__xludf.DUMMYFUNCTION("IFERROR((FILTER(Data!M:M,Data!D:D=A783,Data!B:B=$B$1)),"""")"),"")</f>
        <v/>
      </c>
      <c r="H783" s="134" t="str">
        <f>IFERROR(__xludf.DUMMYFUNCTION("IFERROR((FILTER(Data!G:G,Data!D:D=A783,Data!B:B=$B$1)*4)+(FILTER(Data!H:H,Data!D:D=A783,Data!B:B=$B$1)*2),"""")"),"")</f>
        <v/>
      </c>
      <c r="I783" s="15" t="str">
        <f>IFERROR(__xludf.DUMMYFUNCTION("IFERROR((FILTER(Data!K:K,Data!D:D=A783,Data!B:B=$B$1)*2)+(FILTER(Data!L:L,Data!D:D=A783,Data!B:B=$B$1)),"""")"),"")</f>
        <v/>
      </c>
      <c r="J783" s="134" t="str">
        <f>IFERROR(__xludf.DUMMYFUNCTION("IFERROR((FILTER(Data!N:N,Data!D:D=A783,Data!B:B=$B$1)),"""")"),"")</f>
        <v/>
      </c>
      <c r="K783" s="135" t="str">
        <f>IFERROR(__xludf.DUMMYFUNCTION("IFERROR((FILTER(Data!H:H,Data!D:D=A783,Data!B:B=$B$1)*2)+(FILTER(Data!L:L,Data!D:D=A783,Data!B:B=$B$1))+(FILTER(Data!G:G,Data!D:D=A783,Data!B:B=$B$1)*4)+(FILTER(Data!K:K,Data!D:D=A783,Data!B:B=$B$1)*2)+(((COUNTIF(FILTER(Data!N:N,Data!D:D=A783,Data!B:B=$B$"&amp;"1),""TRAVERSE"")*15)+(COUNTIF(FILTER(Data!N:N,Data!D:D=A783,Data!B:B=$B$1),""HIGH"")*10)+(COUNTIF(FILTER(Data!N:N,Data!D:D=A783,Data!B:B=$B$1),""MIDDLE"")*6)+(COUNTIF(FILTER(Data!N:N,Data!D:D=A783,Data!B:B=$B$1),""LOW"")*4))),"""")"),"")</f>
        <v/>
      </c>
      <c r="L783" s="136" t="str">
        <f>IFERROR(__xludf.DUMMYFUNCTION("IFERROR((FILTER(Data!P:P,Data!D:D=A783,Data!B:B=$B$1)),"""")"),"")</f>
        <v/>
      </c>
      <c r="M783" s="137" t="str">
        <f>IFERROR(__xludf.DUMMYFUNCTION("IFERROR((FILTER(Data!A:A,Data!D:D=A783,Data!B:B=$B$1)),"""")"),"")</f>
        <v/>
      </c>
      <c r="T783" s="52">
        <f>IFERROR(__xludf.DUMMYFUNCTION("((COUNTIF(FILTER(Data!N:N,Data!D:D=A783,Data!B:B=$B$1),""TRAVERSE"")*15)+(COUNTIF(FILTER(Data!N:N,Data!D:D=A783,Data!B:B=B$1),""HIGH"")*10)+(COUNTIF(FILTER(Data!N:N,Data!D:D=A783,Data!B:B=$B$1),""MIDDLE"")*6)+(COUNTIF(FILTER(Data!N:N,Data!D:D=A783,Data!B:"&amp;"B=$B$1),""LOW"")*4))"),0.0)</f>
        <v>0</v>
      </c>
      <c r="V783" s="138" t="str">
        <f>IF(Data!B775='Team Parser'!$B$1, Data!D775,"")</f>
        <v/>
      </c>
      <c r="W783" s="134" t="str">
        <f>IF(Data!$B775='Team Parser'!$B$1, Data!H775,"")</f>
        <v/>
      </c>
      <c r="X783" s="134" t="str">
        <f>IF(Data!$B775='Team Parser'!$B$1, Data!G775,"")</f>
        <v/>
      </c>
      <c r="Y783" s="134" t="str">
        <f>IF(Data!$B775='Team Parser'!$B$1, Data!L775,"")</f>
        <v/>
      </c>
      <c r="Z783" s="134" t="str">
        <f>IF(Data!$B775='Team Parser'!$B$1, Data!K775,"")</f>
        <v/>
      </c>
      <c r="AA783" s="134" t="str">
        <f>IF(Data!$B775='Team Parser'!$B$1, Data!M775,"")</f>
        <v/>
      </c>
      <c r="AB783" s="134" t="str">
        <f>IF(Data!$B775='Team Parser'!$B$1,((Z783*2)+(Y783)+(X783*4)+(W783*2)),"")</f>
        <v/>
      </c>
      <c r="AC783" s="134" t="str">
        <f>IF(Data!$B775='Team Parser'!$B$1, Data!N775,"")</f>
        <v/>
      </c>
      <c r="AD783" s="139" t="str">
        <f>IF(Data!$B775='Team Parser'!$B$1,(AB783+(COUNTIF(AC783,"TRAVERSE")*15)+(COUNTIF(AC783,"HIGH")*10)+(COUNTIF(AC783,"MIDDLE")*6)+(COUNTIF(AC783,"LOW")*4)),"")</f>
        <v/>
      </c>
    </row>
    <row r="784">
      <c r="A784" s="141" t="s">
        <v>507</v>
      </c>
      <c r="B784" s="134" t="str">
        <f>IFERROR(__xludf.DUMMYFUNCTION("IFERROR((FILTER(Data!H:H,Data!D:D=A784,Data!B:B=$B$1)),"""")"),"")</f>
        <v/>
      </c>
      <c r="C784" s="134" t="str">
        <f>IFERROR(__xludf.DUMMYFUNCTION("IFERROR((FILTER(Data!G:G,Data!D:D=A784,Data!B:B=$B$1)),"""")"),"")</f>
        <v/>
      </c>
      <c r="D784" s="134" t="str">
        <f>IFERROR(__xludf.DUMMYFUNCTION("IFERROR((FILTER(Data!J:J,Data!D:D=A784,Data!B:B=$B$1)),"""")"),"")</f>
        <v/>
      </c>
      <c r="E784" s="134" t="str">
        <f>IFERROR(__xludf.DUMMYFUNCTION("IFERROR((FILTER(Data!L:L,Data!D:D=A784,Data!B:B=$B$1)),"""")"),"")</f>
        <v/>
      </c>
      <c r="F784" s="134" t="str">
        <f>IFERROR(__xludf.DUMMYFUNCTION("IFERROR((FILTER(Data!K:K,Data!D:D=A784,Data!B:B=$B$1)),"""")"),"")</f>
        <v/>
      </c>
      <c r="G784" s="134" t="str">
        <f>IFERROR(__xludf.DUMMYFUNCTION("IFERROR((FILTER(Data!M:M,Data!D:D=A784,Data!B:B=$B$1)),"""")"),"")</f>
        <v/>
      </c>
      <c r="H784" s="134" t="str">
        <f>IFERROR(__xludf.DUMMYFUNCTION("IFERROR((FILTER(Data!G:G,Data!D:D=A784,Data!B:B=$B$1)*4)+(FILTER(Data!H:H,Data!D:D=A784,Data!B:B=$B$1)*2),"""")"),"")</f>
        <v/>
      </c>
      <c r="I784" s="15" t="str">
        <f>IFERROR(__xludf.DUMMYFUNCTION("IFERROR((FILTER(Data!K:K,Data!D:D=A784,Data!B:B=$B$1)*2)+(FILTER(Data!L:L,Data!D:D=A784,Data!B:B=$B$1)),"""")"),"")</f>
        <v/>
      </c>
      <c r="J784" s="134" t="str">
        <f>IFERROR(__xludf.DUMMYFUNCTION("IFERROR((FILTER(Data!N:N,Data!D:D=A784,Data!B:B=$B$1)),"""")"),"")</f>
        <v/>
      </c>
      <c r="K784" s="135" t="str">
        <f>IFERROR(__xludf.DUMMYFUNCTION("IFERROR((FILTER(Data!H:H,Data!D:D=A784,Data!B:B=$B$1)*2)+(FILTER(Data!L:L,Data!D:D=A784,Data!B:B=$B$1))+(FILTER(Data!G:G,Data!D:D=A784,Data!B:B=$B$1)*4)+(FILTER(Data!K:K,Data!D:D=A784,Data!B:B=$B$1)*2)+(((COUNTIF(FILTER(Data!N:N,Data!D:D=A784,Data!B:B=$B$"&amp;"1),""TRAVERSE"")*15)+(COUNTIF(FILTER(Data!N:N,Data!D:D=A784,Data!B:B=$B$1),""HIGH"")*10)+(COUNTIF(FILTER(Data!N:N,Data!D:D=A784,Data!B:B=$B$1),""MIDDLE"")*6)+(COUNTIF(FILTER(Data!N:N,Data!D:D=A784,Data!B:B=$B$1),""LOW"")*4))),"""")"),"")</f>
        <v/>
      </c>
      <c r="L784" s="136" t="str">
        <f>IFERROR(__xludf.DUMMYFUNCTION("IFERROR((FILTER(Data!P:P,Data!D:D=A784,Data!B:B=$B$1)),"""")"),"")</f>
        <v/>
      </c>
      <c r="M784" s="137" t="str">
        <f>IFERROR(__xludf.DUMMYFUNCTION("IFERROR((FILTER(Data!A:A,Data!D:D=A784,Data!B:B=$B$1)),"""")"),"")</f>
        <v/>
      </c>
      <c r="T784" s="52">
        <f>IFERROR(__xludf.DUMMYFUNCTION("((COUNTIF(FILTER(Data!N:N,Data!D:D=A784,Data!B:B=$B$1),""TRAVERSE"")*15)+(COUNTIF(FILTER(Data!N:N,Data!D:D=A784,Data!B:B=B$1),""HIGH"")*10)+(COUNTIF(FILTER(Data!N:N,Data!D:D=A784,Data!B:B=$B$1),""MIDDLE"")*6)+(COUNTIF(FILTER(Data!N:N,Data!D:D=A784,Data!B:"&amp;"B=$B$1),""LOW"")*4))"),0.0)</f>
        <v>0</v>
      </c>
      <c r="V784" s="138" t="str">
        <f>IF(Data!B776='Team Parser'!$B$1, Data!D776,"")</f>
        <v/>
      </c>
      <c r="W784" s="134" t="str">
        <f>IF(Data!$B776='Team Parser'!$B$1, Data!H776,"")</f>
        <v/>
      </c>
      <c r="X784" s="134" t="str">
        <f>IF(Data!$B776='Team Parser'!$B$1, Data!G776,"")</f>
        <v/>
      </c>
      <c r="Y784" s="134" t="str">
        <f>IF(Data!$B776='Team Parser'!$B$1, Data!L776,"")</f>
        <v/>
      </c>
      <c r="Z784" s="134" t="str">
        <f>IF(Data!$B776='Team Parser'!$B$1, Data!K776,"")</f>
        <v/>
      </c>
      <c r="AA784" s="134" t="str">
        <f>IF(Data!$B776='Team Parser'!$B$1, Data!M776,"")</f>
        <v/>
      </c>
      <c r="AB784" s="134" t="str">
        <f>IF(Data!$B776='Team Parser'!$B$1,((Z784*2)+(Y784)+(X784*4)+(W784*2)),"")</f>
        <v/>
      </c>
      <c r="AC784" s="134" t="str">
        <f>IF(Data!$B776='Team Parser'!$B$1, Data!N776,"")</f>
        <v/>
      </c>
      <c r="AD784" s="139" t="str">
        <f>IF(Data!$B776='Team Parser'!$B$1,(AB784+(COUNTIF(AC784,"TRAVERSE")*15)+(COUNTIF(AC784,"HIGH")*10)+(COUNTIF(AC784,"MIDDLE")*6)+(COUNTIF(AC784,"LOW")*4)),"")</f>
        <v/>
      </c>
    </row>
    <row r="785">
      <c r="A785" s="141" t="s">
        <v>507</v>
      </c>
      <c r="B785" s="134" t="str">
        <f>IFERROR(__xludf.DUMMYFUNCTION("IFERROR((FILTER(Data!H:H,Data!D:D=A785,Data!B:B=$B$1)),"""")"),"")</f>
        <v/>
      </c>
      <c r="C785" s="134" t="str">
        <f>IFERROR(__xludf.DUMMYFUNCTION("IFERROR((FILTER(Data!G:G,Data!D:D=A785,Data!B:B=$B$1)),"""")"),"")</f>
        <v/>
      </c>
      <c r="D785" s="134" t="str">
        <f>IFERROR(__xludf.DUMMYFUNCTION("IFERROR((FILTER(Data!J:J,Data!D:D=A785,Data!B:B=$B$1)),"""")"),"")</f>
        <v/>
      </c>
      <c r="E785" s="134" t="str">
        <f>IFERROR(__xludf.DUMMYFUNCTION("IFERROR((FILTER(Data!L:L,Data!D:D=A785,Data!B:B=$B$1)),"""")"),"")</f>
        <v/>
      </c>
      <c r="F785" s="134" t="str">
        <f>IFERROR(__xludf.DUMMYFUNCTION("IFERROR((FILTER(Data!K:K,Data!D:D=A785,Data!B:B=$B$1)),"""")"),"")</f>
        <v/>
      </c>
      <c r="G785" s="134" t="str">
        <f>IFERROR(__xludf.DUMMYFUNCTION("IFERROR((FILTER(Data!M:M,Data!D:D=A785,Data!B:B=$B$1)),"""")"),"")</f>
        <v/>
      </c>
      <c r="H785" s="134" t="str">
        <f>IFERROR(__xludf.DUMMYFUNCTION("IFERROR((FILTER(Data!G:G,Data!D:D=A785,Data!B:B=$B$1)*4)+(FILTER(Data!H:H,Data!D:D=A785,Data!B:B=$B$1)*2),"""")"),"")</f>
        <v/>
      </c>
      <c r="I785" s="15" t="str">
        <f>IFERROR(__xludf.DUMMYFUNCTION("IFERROR((FILTER(Data!K:K,Data!D:D=A785,Data!B:B=$B$1)*2)+(FILTER(Data!L:L,Data!D:D=A785,Data!B:B=$B$1)),"""")"),"")</f>
        <v/>
      </c>
      <c r="J785" s="134" t="str">
        <f>IFERROR(__xludf.DUMMYFUNCTION("IFERROR((FILTER(Data!N:N,Data!D:D=A785,Data!B:B=$B$1)),"""")"),"")</f>
        <v/>
      </c>
      <c r="K785" s="135" t="str">
        <f>IFERROR(__xludf.DUMMYFUNCTION("IFERROR((FILTER(Data!H:H,Data!D:D=A785,Data!B:B=$B$1)*2)+(FILTER(Data!L:L,Data!D:D=A785,Data!B:B=$B$1))+(FILTER(Data!G:G,Data!D:D=A785,Data!B:B=$B$1)*4)+(FILTER(Data!K:K,Data!D:D=A785,Data!B:B=$B$1)*2)+(((COUNTIF(FILTER(Data!N:N,Data!D:D=A785,Data!B:B=$B$"&amp;"1),""TRAVERSE"")*15)+(COUNTIF(FILTER(Data!N:N,Data!D:D=A785,Data!B:B=$B$1),""HIGH"")*10)+(COUNTIF(FILTER(Data!N:N,Data!D:D=A785,Data!B:B=$B$1),""MIDDLE"")*6)+(COUNTIF(FILTER(Data!N:N,Data!D:D=A785,Data!B:B=$B$1),""LOW"")*4))),"""")"),"")</f>
        <v/>
      </c>
      <c r="L785" s="136" t="str">
        <f>IFERROR(__xludf.DUMMYFUNCTION("IFERROR((FILTER(Data!P:P,Data!D:D=A785,Data!B:B=$B$1)),"""")"),"")</f>
        <v/>
      </c>
      <c r="M785" s="137" t="str">
        <f>IFERROR(__xludf.DUMMYFUNCTION("IFERROR((FILTER(Data!A:A,Data!D:D=A785,Data!B:B=$B$1)),"""")"),"")</f>
        <v/>
      </c>
      <c r="T785" s="52">
        <f>IFERROR(__xludf.DUMMYFUNCTION("((COUNTIF(FILTER(Data!N:N,Data!D:D=A785,Data!B:B=$B$1),""TRAVERSE"")*15)+(COUNTIF(FILTER(Data!N:N,Data!D:D=A785,Data!B:B=B$1),""HIGH"")*10)+(COUNTIF(FILTER(Data!N:N,Data!D:D=A785,Data!B:B=$B$1),""MIDDLE"")*6)+(COUNTIF(FILTER(Data!N:N,Data!D:D=A785,Data!B:"&amp;"B=$B$1),""LOW"")*4))"),0.0)</f>
        <v>0</v>
      </c>
      <c r="V785" s="138" t="str">
        <f>IF(Data!B777='Team Parser'!$B$1, Data!D777,"")</f>
        <v/>
      </c>
      <c r="W785" s="134" t="str">
        <f>IF(Data!$B777='Team Parser'!$B$1, Data!H777,"")</f>
        <v/>
      </c>
      <c r="X785" s="134" t="str">
        <f>IF(Data!$B777='Team Parser'!$B$1, Data!G777,"")</f>
        <v/>
      </c>
      <c r="Y785" s="134" t="str">
        <f>IF(Data!$B777='Team Parser'!$B$1, Data!L777,"")</f>
        <v/>
      </c>
      <c r="Z785" s="134" t="str">
        <f>IF(Data!$B777='Team Parser'!$B$1, Data!K777,"")</f>
        <v/>
      </c>
      <c r="AA785" s="134" t="str">
        <f>IF(Data!$B777='Team Parser'!$B$1, Data!M777,"")</f>
        <v/>
      </c>
      <c r="AB785" s="134" t="str">
        <f>IF(Data!$B777='Team Parser'!$B$1,((Z785*2)+(Y785)+(X785*4)+(W785*2)),"")</f>
        <v/>
      </c>
      <c r="AC785" s="134" t="str">
        <f>IF(Data!$B777='Team Parser'!$B$1, Data!N777,"")</f>
        <v/>
      </c>
      <c r="AD785" s="139" t="str">
        <f>IF(Data!$B777='Team Parser'!$B$1,(AB785+(COUNTIF(AC785,"TRAVERSE")*15)+(COUNTIF(AC785,"HIGH")*10)+(COUNTIF(AC785,"MIDDLE")*6)+(COUNTIF(AC785,"LOW")*4)),"")</f>
        <v/>
      </c>
    </row>
    <row r="786">
      <c r="A786" s="141" t="s">
        <v>507</v>
      </c>
      <c r="B786" s="134" t="str">
        <f>IFERROR(__xludf.DUMMYFUNCTION("IFERROR((FILTER(Data!H:H,Data!D:D=A786,Data!B:B=$B$1)),"""")"),"")</f>
        <v/>
      </c>
      <c r="C786" s="134" t="str">
        <f>IFERROR(__xludf.DUMMYFUNCTION("IFERROR((FILTER(Data!G:G,Data!D:D=A786,Data!B:B=$B$1)),"""")"),"")</f>
        <v/>
      </c>
      <c r="D786" s="134" t="str">
        <f>IFERROR(__xludf.DUMMYFUNCTION("IFERROR((FILTER(Data!J:J,Data!D:D=A786,Data!B:B=$B$1)),"""")"),"")</f>
        <v/>
      </c>
      <c r="E786" s="134" t="str">
        <f>IFERROR(__xludf.DUMMYFUNCTION("IFERROR((FILTER(Data!L:L,Data!D:D=A786,Data!B:B=$B$1)),"""")"),"")</f>
        <v/>
      </c>
      <c r="F786" s="134" t="str">
        <f>IFERROR(__xludf.DUMMYFUNCTION("IFERROR((FILTER(Data!K:K,Data!D:D=A786,Data!B:B=$B$1)),"""")"),"")</f>
        <v/>
      </c>
      <c r="G786" s="134" t="str">
        <f>IFERROR(__xludf.DUMMYFUNCTION("IFERROR((FILTER(Data!M:M,Data!D:D=A786,Data!B:B=$B$1)),"""")"),"")</f>
        <v/>
      </c>
      <c r="H786" s="134" t="str">
        <f>IFERROR(__xludf.DUMMYFUNCTION("IFERROR((FILTER(Data!G:G,Data!D:D=A786,Data!B:B=$B$1)*4)+(FILTER(Data!H:H,Data!D:D=A786,Data!B:B=$B$1)*2),"""")"),"")</f>
        <v/>
      </c>
      <c r="I786" s="15" t="str">
        <f>IFERROR(__xludf.DUMMYFUNCTION("IFERROR((FILTER(Data!K:K,Data!D:D=A786,Data!B:B=$B$1)*2)+(FILTER(Data!L:L,Data!D:D=A786,Data!B:B=$B$1)),"""")"),"")</f>
        <v/>
      </c>
      <c r="J786" s="134" t="str">
        <f>IFERROR(__xludf.DUMMYFUNCTION("IFERROR((FILTER(Data!N:N,Data!D:D=A786,Data!B:B=$B$1)),"""")"),"")</f>
        <v/>
      </c>
      <c r="K786" s="135" t="str">
        <f>IFERROR(__xludf.DUMMYFUNCTION("IFERROR((FILTER(Data!H:H,Data!D:D=A786,Data!B:B=$B$1)*2)+(FILTER(Data!L:L,Data!D:D=A786,Data!B:B=$B$1))+(FILTER(Data!G:G,Data!D:D=A786,Data!B:B=$B$1)*4)+(FILTER(Data!K:K,Data!D:D=A786,Data!B:B=$B$1)*2)+(((COUNTIF(FILTER(Data!N:N,Data!D:D=A786,Data!B:B=$B$"&amp;"1),""TRAVERSE"")*15)+(COUNTIF(FILTER(Data!N:N,Data!D:D=A786,Data!B:B=$B$1),""HIGH"")*10)+(COUNTIF(FILTER(Data!N:N,Data!D:D=A786,Data!B:B=$B$1),""MIDDLE"")*6)+(COUNTIF(FILTER(Data!N:N,Data!D:D=A786,Data!B:B=$B$1),""LOW"")*4))),"""")"),"")</f>
        <v/>
      </c>
      <c r="L786" s="136" t="str">
        <f>IFERROR(__xludf.DUMMYFUNCTION("IFERROR((FILTER(Data!P:P,Data!D:D=A786,Data!B:B=$B$1)),"""")"),"")</f>
        <v/>
      </c>
      <c r="M786" s="137" t="str">
        <f>IFERROR(__xludf.DUMMYFUNCTION("IFERROR((FILTER(Data!A:A,Data!D:D=A786,Data!B:B=$B$1)),"""")"),"")</f>
        <v/>
      </c>
      <c r="T786" s="52">
        <f>IFERROR(__xludf.DUMMYFUNCTION("((COUNTIF(FILTER(Data!N:N,Data!D:D=A786,Data!B:B=$B$1),""TRAVERSE"")*15)+(COUNTIF(FILTER(Data!N:N,Data!D:D=A786,Data!B:B=B$1),""HIGH"")*10)+(COUNTIF(FILTER(Data!N:N,Data!D:D=A786,Data!B:B=$B$1),""MIDDLE"")*6)+(COUNTIF(FILTER(Data!N:N,Data!D:D=A786,Data!B:"&amp;"B=$B$1),""LOW"")*4))"),0.0)</f>
        <v>0</v>
      </c>
      <c r="V786" s="138" t="str">
        <f>IF(Data!B778='Team Parser'!$B$1, Data!D778,"")</f>
        <v/>
      </c>
      <c r="W786" s="134" t="str">
        <f>IF(Data!$B778='Team Parser'!$B$1, Data!H778,"")</f>
        <v/>
      </c>
      <c r="X786" s="134" t="str">
        <f>IF(Data!$B778='Team Parser'!$B$1, Data!G778,"")</f>
        <v/>
      </c>
      <c r="Y786" s="134" t="str">
        <f>IF(Data!$B778='Team Parser'!$B$1, Data!L778,"")</f>
        <v/>
      </c>
      <c r="Z786" s="134" t="str">
        <f>IF(Data!$B778='Team Parser'!$B$1, Data!K778,"")</f>
        <v/>
      </c>
      <c r="AA786" s="134" t="str">
        <f>IF(Data!$B778='Team Parser'!$B$1, Data!M778,"")</f>
        <v/>
      </c>
      <c r="AB786" s="134" t="str">
        <f>IF(Data!$B778='Team Parser'!$B$1,((Z786*2)+(Y786)+(X786*4)+(W786*2)),"")</f>
        <v/>
      </c>
      <c r="AC786" s="134" t="str">
        <f>IF(Data!$B778='Team Parser'!$B$1, Data!N778,"")</f>
        <v/>
      </c>
      <c r="AD786" s="139" t="str">
        <f>IF(Data!$B778='Team Parser'!$B$1,(AB786+(COUNTIF(AC786,"TRAVERSE")*15)+(COUNTIF(AC786,"HIGH")*10)+(COUNTIF(AC786,"MIDDLE")*6)+(COUNTIF(AC786,"LOW")*4)),"")</f>
        <v/>
      </c>
    </row>
    <row r="787">
      <c r="A787" s="141" t="s">
        <v>507</v>
      </c>
      <c r="B787" s="134" t="str">
        <f>IFERROR(__xludf.DUMMYFUNCTION("IFERROR((FILTER(Data!H:H,Data!D:D=A787,Data!B:B=$B$1)),"""")"),"")</f>
        <v/>
      </c>
      <c r="C787" s="134" t="str">
        <f>IFERROR(__xludf.DUMMYFUNCTION("IFERROR((FILTER(Data!G:G,Data!D:D=A787,Data!B:B=$B$1)),"""")"),"")</f>
        <v/>
      </c>
      <c r="D787" s="134" t="str">
        <f>IFERROR(__xludf.DUMMYFUNCTION("IFERROR((FILTER(Data!J:J,Data!D:D=A787,Data!B:B=$B$1)),"""")"),"")</f>
        <v/>
      </c>
      <c r="E787" s="134" t="str">
        <f>IFERROR(__xludf.DUMMYFUNCTION("IFERROR((FILTER(Data!L:L,Data!D:D=A787,Data!B:B=$B$1)),"""")"),"")</f>
        <v/>
      </c>
      <c r="F787" s="134" t="str">
        <f>IFERROR(__xludf.DUMMYFUNCTION("IFERROR((FILTER(Data!K:K,Data!D:D=A787,Data!B:B=$B$1)),"""")"),"")</f>
        <v/>
      </c>
      <c r="G787" s="134" t="str">
        <f>IFERROR(__xludf.DUMMYFUNCTION("IFERROR((FILTER(Data!M:M,Data!D:D=A787,Data!B:B=$B$1)),"""")"),"")</f>
        <v/>
      </c>
      <c r="H787" s="134" t="str">
        <f>IFERROR(__xludf.DUMMYFUNCTION("IFERROR((FILTER(Data!G:G,Data!D:D=A787,Data!B:B=$B$1)*4)+(FILTER(Data!H:H,Data!D:D=A787,Data!B:B=$B$1)*2),"""")"),"")</f>
        <v/>
      </c>
      <c r="I787" s="15" t="str">
        <f>IFERROR(__xludf.DUMMYFUNCTION("IFERROR((FILTER(Data!K:K,Data!D:D=A787,Data!B:B=$B$1)*2)+(FILTER(Data!L:L,Data!D:D=A787,Data!B:B=$B$1)),"""")"),"")</f>
        <v/>
      </c>
      <c r="J787" s="134" t="str">
        <f>IFERROR(__xludf.DUMMYFUNCTION("IFERROR((FILTER(Data!N:N,Data!D:D=A787,Data!B:B=$B$1)),"""")"),"")</f>
        <v/>
      </c>
      <c r="K787" s="135" t="str">
        <f>IFERROR(__xludf.DUMMYFUNCTION("IFERROR((FILTER(Data!H:H,Data!D:D=A787,Data!B:B=$B$1)*2)+(FILTER(Data!L:L,Data!D:D=A787,Data!B:B=$B$1))+(FILTER(Data!G:G,Data!D:D=A787,Data!B:B=$B$1)*4)+(FILTER(Data!K:K,Data!D:D=A787,Data!B:B=$B$1)*2)+(((COUNTIF(FILTER(Data!N:N,Data!D:D=A787,Data!B:B=$B$"&amp;"1),""TRAVERSE"")*15)+(COUNTIF(FILTER(Data!N:N,Data!D:D=A787,Data!B:B=$B$1),""HIGH"")*10)+(COUNTIF(FILTER(Data!N:N,Data!D:D=A787,Data!B:B=$B$1),""MIDDLE"")*6)+(COUNTIF(FILTER(Data!N:N,Data!D:D=A787,Data!B:B=$B$1),""LOW"")*4))),"""")"),"")</f>
        <v/>
      </c>
      <c r="L787" s="136" t="str">
        <f>IFERROR(__xludf.DUMMYFUNCTION("IFERROR((FILTER(Data!P:P,Data!D:D=A787,Data!B:B=$B$1)),"""")"),"")</f>
        <v/>
      </c>
      <c r="M787" s="137" t="str">
        <f>IFERROR(__xludf.DUMMYFUNCTION("IFERROR((FILTER(Data!A:A,Data!D:D=A787,Data!B:B=$B$1)),"""")"),"")</f>
        <v/>
      </c>
      <c r="T787" s="52">
        <f>IFERROR(__xludf.DUMMYFUNCTION("((COUNTIF(FILTER(Data!N:N,Data!D:D=A787,Data!B:B=$B$1),""TRAVERSE"")*15)+(COUNTIF(FILTER(Data!N:N,Data!D:D=A787,Data!B:B=B$1),""HIGH"")*10)+(COUNTIF(FILTER(Data!N:N,Data!D:D=A787,Data!B:B=$B$1),""MIDDLE"")*6)+(COUNTIF(FILTER(Data!N:N,Data!D:D=A787,Data!B:"&amp;"B=$B$1),""LOW"")*4))"),0.0)</f>
        <v>0</v>
      </c>
      <c r="V787" s="138" t="str">
        <f>IF(Data!B779='Team Parser'!$B$1, Data!D779,"")</f>
        <v/>
      </c>
      <c r="W787" s="134" t="str">
        <f>IF(Data!$B779='Team Parser'!$B$1, Data!H779,"")</f>
        <v/>
      </c>
      <c r="X787" s="134" t="str">
        <f>IF(Data!$B779='Team Parser'!$B$1, Data!G779,"")</f>
        <v/>
      </c>
      <c r="Y787" s="134" t="str">
        <f>IF(Data!$B779='Team Parser'!$B$1, Data!L779,"")</f>
        <v/>
      </c>
      <c r="Z787" s="134" t="str">
        <f>IF(Data!$B779='Team Parser'!$B$1, Data!K779,"")</f>
        <v/>
      </c>
      <c r="AA787" s="134" t="str">
        <f>IF(Data!$B779='Team Parser'!$B$1, Data!M779,"")</f>
        <v/>
      </c>
      <c r="AB787" s="134" t="str">
        <f>IF(Data!$B779='Team Parser'!$B$1,((Z787*2)+(Y787)+(X787*4)+(W787*2)),"")</f>
        <v/>
      </c>
      <c r="AC787" s="134" t="str">
        <f>IF(Data!$B779='Team Parser'!$B$1, Data!N779,"")</f>
        <v/>
      </c>
      <c r="AD787" s="139" t="str">
        <f>IF(Data!$B779='Team Parser'!$B$1,(AB787+(COUNTIF(AC787,"TRAVERSE")*15)+(COUNTIF(AC787,"HIGH")*10)+(COUNTIF(AC787,"MIDDLE")*6)+(COUNTIF(AC787,"LOW")*4)),"")</f>
        <v/>
      </c>
    </row>
    <row r="788">
      <c r="A788" s="141" t="s">
        <v>507</v>
      </c>
      <c r="B788" s="134" t="str">
        <f>IFERROR(__xludf.DUMMYFUNCTION("IFERROR((FILTER(Data!H:H,Data!D:D=A788,Data!B:B=$B$1)),"""")"),"")</f>
        <v/>
      </c>
      <c r="C788" s="134" t="str">
        <f>IFERROR(__xludf.DUMMYFUNCTION("IFERROR((FILTER(Data!G:G,Data!D:D=A788,Data!B:B=$B$1)),"""")"),"")</f>
        <v/>
      </c>
      <c r="D788" s="134" t="str">
        <f>IFERROR(__xludf.DUMMYFUNCTION("IFERROR((FILTER(Data!J:J,Data!D:D=A788,Data!B:B=$B$1)),"""")"),"")</f>
        <v/>
      </c>
      <c r="E788" s="134" t="str">
        <f>IFERROR(__xludf.DUMMYFUNCTION("IFERROR((FILTER(Data!L:L,Data!D:D=A788,Data!B:B=$B$1)),"""")"),"")</f>
        <v/>
      </c>
      <c r="F788" s="134" t="str">
        <f>IFERROR(__xludf.DUMMYFUNCTION("IFERROR((FILTER(Data!K:K,Data!D:D=A788,Data!B:B=$B$1)),"""")"),"")</f>
        <v/>
      </c>
      <c r="G788" s="134" t="str">
        <f>IFERROR(__xludf.DUMMYFUNCTION("IFERROR((FILTER(Data!M:M,Data!D:D=A788,Data!B:B=$B$1)),"""")"),"")</f>
        <v/>
      </c>
      <c r="H788" s="134" t="str">
        <f>IFERROR(__xludf.DUMMYFUNCTION("IFERROR((FILTER(Data!G:G,Data!D:D=A788,Data!B:B=$B$1)*4)+(FILTER(Data!H:H,Data!D:D=A788,Data!B:B=$B$1)*2),"""")"),"")</f>
        <v/>
      </c>
      <c r="I788" s="15" t="str">
        <f>IFERROR(__xludf.DUMMYFUNCTION("IFERROR((FILTER(Data!K:K,Data!D:D=A788,Data!B:B=$B$1)*2)+(FILTER(Data!L:L,Data!D:D=A788,Data!B:B=$B$1)),"""")"),"")</f>
        <v/>
      </c>
      <c r="J788" s="134" t="str">
        <f>IFERROR(__xludf.DUMMYFUNCTION("IFERROR((FILTER(Data!N:N,Data!D:D=A788,Data!B:B=$B$1)),"""")"),"")</f>
        <v/>
      </c>
      <c r="K788" s="135" t="str">
        <f>IFERROR(__xludf.DUMMYFUNCTION("IFERROR((FILTER(Data!H:H,Data!D:D=A788,Data!B:B=$B$1)*2)+(FILTER(Data!L:L,Data!D:D=A788,Data!B:B=$B$1))+(FILTER(Data!G:G,Data!D:D=A788,Data!B:B=$B$1)*4)+(FILTER(Data!K:K,Data!D:D=A788,Data!B:B=$B$1)*2)+(((COUNTIF(FILTER(Data!N:N,Data!D:D=A788,Data!B:B=$B$"&amp;"1),""TRAVERSE"")*15)+(COUNTIF(FILTER(Data!N:N,Data!D:D=A788,Data!B:B=$B$1),""HIGH"")*10)+(COUNTIF(FILTER(Data!N:N,Data!D:D=A788,Data!B:B=$B$1),""MIDDLE"")*6)+(COUNTIF(FILTER(Data!N:N,Data!D:D=A788,Data!B:B=$B$1),""LOW"")*4))),"""")"),"")</f>
        <v/>
      </c>
      <c r="L788" s="136" t="str">
        <f>IFERROR(__xludf.DUMMYFUNCTION("IFERROR((FILTER(Data!P:P,Data!D:D=A788,Data!B:B=$B$1)),"""")"),"")</f>
        <v/>
      </c>
      <c r="M788" s="137" t="str">
        <f>IFERROR(__xludf.DUMMYFUNCTION("IFERROR((FILTER(Data!A:A,Data!D:D=A788,Data!B:B=$B$1)),"""")"),"")</f>
        <v/>
      </c>
      <c r="T788" s="52">
        <f>IFERROR(__xludf.DUMMYFUNCTION("((COUNTIF(FILTER(Data!N:N,Data!D:D=A788,Data!B:B=$B$1),""TRAVERSE"")*15)+(COUNTIF(FILTER(Data!N:N,Data!D:D=A788,Data!B:B=B$1),""HIGH"")*10)+(COUNTIF(FILTER(Data!N:N,Data!D:D=A788,Data!B:B=$B$1),""MIDDLE"")*6)+(COUNTIF(FILTER(Data!N:N,Data!D:D=A788,Data!B:"&amp;"B=$B$1),""LOW"")*4))"),0.0)</f>
        <v>0</v>
      </c>
      <c r="V788" s="138" t="str">
        <f>IF(Data!B780='Team Parser'!$B$1, Data!D780,"")</f>
        <v/>
      </c>
      <c r="W788" s="134" t="str">
        <f>IF(Data!$B780='Team Parser'!$B$1, Data!H780,"")</f>
        <v/>
      </c>
      <c r="X788" s="134" t="str">
        <f>IF(Data!$B780='Team Parser'!$B$1, Data!G780,"")</f>
        <v/>
      </c>
      <c r="Y788" s="134" t="str">
        <f>IF(Data!$B780='Team Parser'!$B$1, Data!L780,"")</f>
        <v/>
      </c>
      <c r="Z788" s="134" t="str">
        <f>IF(Data!$B780='Team Parser'!$B$1, Data!K780,"")</f>
        <v/>
      </c>
      <c r="AA788" s="134" t="str">
        <f>IF(Data!$B780='Team Parser'!$B$1, Data!M780,"")</f>
        <v/>
      </c>
      <c r="AB788" s="134" t="str">
        <f>IF(Data!$B780='Team Parser'!$B$1,((Z788*2)+(Y788)+(X788*4)+(W788*2)),"")</f>
        <v/>
      </c>
      <c r="AC788" s="134" t="str">
        <f>IF(Data!$B780='Team Parser'!$B$1, Data!N780,"")</f>
        <v/>
      </c>
      <c r="AD788" s="139" t="str">
        <f>IF(Data!$B780='Team Parser'!$B$1,(AB788+(COUNTIF(AC788,"TRAVERSE")*15)+(COUNTIF(AC788,"HIGH")*10)+(COUNTIF(AC788,"MIDDLE")*6)+(COUNTIF(AC788,"LOW")*4)),"")</f>
        <v/>
      </c>
    </row>
    <row r="789">
      <c r="A789" s="141" t="s">
        <v>507</v>
      </c>
      <c r="B789" s="134" t="str">
        <f>IFERROR(__xludf.DUMMYFUNCTION("IFERROR((FILTER(Data!H:H,Data!D:D=A789,Data!B:B=$B$1)),"""")"),"")</f>
        <v/>
      </c>
      <c r="C789" s="134" t="str">
        <f>IFERROR(__xludf.DUMMYFUNCTION("IFERROR((FILTER(Data!G:G,Data!D:D=A789,Data!B:B=$B$1)),"""")"),"")</f>
        <v/>
      </c>
      <c r="D789" s="134" t="str">
        <f>IFERROR(__xludf.DUMMYFUNCTION("IFERROR((FILTER(Data!J:J,Data!D:D=A789,Data!B:B=$B$1)),"""")"),"")</f>
        <v/>
      </c>
      <c r="E789" s="134" t="str">
        <f>IFERROR(__xludf.DUMMYFUNCTION("IFERROR((FILTER(Data!L:L,Data!D:D=A789,Data!B:B=$B$1)),"""")"),"")</f>
        <v/>
      </c>
      <c r="F789" s="134" t="str">
        <f>IFERROR(__xludf.DUMMYFUNCTION("IFERROR((FILTER(Data!K:K,Data!D:D=A789,Data!B:B=$B$1)),"""")"),"")</f>
        <v/>
      </c>
      <c r="G789" s="134" t="str">
        <f>IFERROR(__xludf.DUMMYFUNCTION("IFERROR((FILTER(Data!M:M,Data!D:D=A789,Data!B:B=$B$1)),"""")"),"")</f>
        <v/>
      </c>
      <c r="H789" s="134" t="str">
        <f>IFERROR(__xludf.DUMMYFUNCTION("IFERROR((FILTER(Data!G:G,Data!D:D=A789,Data!B:B=$B$1)*4)+(FILTER(Data!H:H,Data!D:D=A789,Data!B:B=$B$1)*2),"""")"),"")</f>
        <v/>
      </c>
      <c r="I789" s="15" t="str">
        <f>IFERROR(__xludf.DUMMYFUNCTION("IFERROR((FILTER(Data!K:K,Data!D:D=A789,Data!B:B=$B$1)*2)+(FILTER(Data!L:L,Data!D:D=A789,Data!B:B=$B$1)),"""")"),"")</f>
        <v/>
      </c>
      <c r="J789" s="134" t="str">
        <f>IFERROR(__xludf.DUMMYFUNCTION("IFERROR((FILTER(Data!N:N,Data!D:D=A789,Data!B:B=$B$1)),"""")"),"")</f>
        <v/>
      </c>
      <c r="K789" s="135" t="str">
        <f>IFERROR(__xludf.DUMMYFUNCTION("IFERROR((FILTER(Data!H:H,Data!D:D=A789,Data!B:B=$B$1)*2)+(FILTER(Data!L:L,Data!D:D=A789,Data!B:B=$B$1))+(FILTER(Data!G:G,Data!D:D=A789,Data!B:B=$B$1)*4)+(FILTER(Data!K:K,Data!D:D=A789,Data!B:B=$B$1)*2)+(((COUNTIF(FILTER(Data!N:N,Data!D:D=A789,Data!B:B=$B$"&amp;"1),""TRAVERSE"")*15)+(COUNTIF(FILTER(Data!N:N,Data!D:D=A789,Data!B:B=$B$1),""HIGH"")*10)+(COUNTIF(FILTER(Data!N:N,Data!D:D=A789,Data!B:B=$B$1),""MIDDLE"")*6)+(COUNTIF(FILTER(Data!N:N,Data!D:D=A789,Data!B:B=$B$1),""LOW"")*4))),"""")"),"")</f>
        <v/>
      </c>
      <c r="L789" s="136" t="str">
        <f>IFERROR(__xludf.DUMMYFUNCTION("IFERROR((FILTER(Data!P:P,Data!D:D=A789,Data!B:B=$B$1)),"""")"),"")</f>
        <v/>
      </c>
      <c r="M789" s="137" t="str">
        <f>IFERROR(__xludf.DUMMYFUNCTION("IFERROR((FILTER(Data!A:A,Data!D:D=A789,Data!B:B=$B$1)),"""")"),"")</f>
        <v/>
      </c>
      <c r="T789" s="52">
        <f>IFERROR(__xludf.DUMMYFUNCTION("((COUNTIF(FILTER(Data!N:N,Data!D:D=A789,Data!B:B=$B$1),""TRAVERSE"")*15)+(COUNTIF(FILTER(Data!N:N,Data!D:D=A789,Data!B:B=B$1),""HIGH"")*10)+(COUNTIF(FILTER(Data!N:N,Data!D:D=A789,Data!B:B=$B$1),""MIDDLE"")*6)+(COUNTIF(FILTER(Data!N:N,Data!D:D=A789,Data!B:"&amp;"B=$B$1),""LOW"")*4))"),0.0)</f>
        <v>0</v>
      </c>
      <c r="V789" s="138" t="str">
        <f>IF(Data!B781='Team Parser'!$B$1, Data!D781,"")</f>
        <v/>
      </c>
      <c r="W789" s="134" t="str">
        <f>IF(Data!$B781='Team Parser'!$B$1, Data!H781,"")</f>
        <v/>
      </c>
      <c r="X789" s="134" t="str">
        <f>IF(Data!$B781='Team Parser'!$B$1, Data!G781,"")</f>
        <v/>
      </c>
      <c r="Y789" s="134" t="str">
        <f>IF(Data!$B781='Team Parser'!$B$1, Data!L781,"")</f>
        <v/>
      </c>
      <c r="Z789" s="134" t="str">
        <f>IF(Data!$B781='Team Parser'!$B$1, Data!K781,"")</f>
        <v/>
      </c>
      <c r="AA789" s="134" t="str">
        <f>IF(Data!$B781='Team Parser'!$B$1, Data!M781,"")</f>
        <v/>
      </c>
      <c r="AB789" s="134" t="str">
        <f>IF(Data!$B781='Team Parser'!$B$1,((Z789*2)+(Y789)+(X789*4)+(W789*2)),"")</f>
        <v/>
      </c>
      <c r="AC789" s="134" t="str">
        <f>IF(Data!$B781='Team Parser'!$B$1, Data!N781,"")</f>
        <v/>
      </c>
      <c r="AD789" s="139" t="str">
        <f>IF(Data!$B781='Team Parser'!$B$1,(AB789+(COUNTIF(AC789,"TRAVERSE")*15)+(COUNTIF(AC789,"HIGH")*10)+(COUNTIF(AC789,"MIDDLE")*6)+(COUNTIF(AC789,"LOW")*4)),"")</f>
        <v/>
      </c>
    </row>
    <row r="790">
      <c r="A790" s="141" t="s">
        <v>507</v>
      </c>
      <c r="B790" s="134" t="str">
        <f>IFERROR(__xludf.DUMMYFUNCTION("IFERROR((FILTER(Data!H:H,Data!D:D=A790,Data!B:B=$B$1)),"""")"),"")</f>
        <v/>
      </c>
      <c r="C790" s="134" t="str">
        <f>IFERROR(__xludf.DUMMYFUNCTION("IFERROR((FILTER(Data!G:G,Data!D:D=A790,Data!B:B=$B$1)),"""")"),"")</f>
        <v/>
      </c>
      <c r="D790" s="134" t="str">
        <f>IFERROR(__xludf.DUMMYFUNCTION("IFERROR((FILTER(Data!J:J,Data!D:D=A790,Data!B:B=$B$1)),"""")"),"")</f>
        <v/>
      </c>
      <c r="E790" s="134" t="str">
        <f>IFERROR(__xludf.DUMMYFUNCTION("IFERROR((FILTER(Data!L:L,Data!D:D=A790,Data!B:B=$B$1)),"""")"),"")</f>
        <v/>
      </c>
      <c r="F790" s="134" t="str">
        <f>IFERROR(__xludf.DUMMYFUNCTION("IFERROR((FILTER(Data!K:K,Data!D:D=A790,Data!B:B=$B$1)),"""")"),"")</f>
        <v/>
      </c>
      <c r="G790" s="134" t="str">
        <f>IFERROR(__xludf.DUMMYFUNCTION("IFERROR((FILTER(Data!M:M,Data!D:D=A790,Data!B:B=$B$1)),"""")"),"")</f>
        <v/>
      </c>
      <c r="H790" s="134" t="str">
        <f>IFERROR(__xludf.DUMMYFUNCTION("IFERROR((FILTER(Data!G:G,Data!D:D=A790,Data!B:B=$B$1)*4)+(FILTER(Data!H:H,Data!D:D=A790,Data!B:B=$B$1)*2),"""")"),"")</f>
        <v/>
      </c>
      <c r="I790" s="15" t="str">
        <f>IFERROR(__xludf.DUMMYFUNCTION("IFERROR((FILTER(Data!K:K,Data!D:D=A790,Data!B:B=$B$1)*2)+(FILTER(Data!L:L,Data!D:D=A790,Data!B:B=$B$1)),"""")"),"")</f>
        <v/>
      </c>
      <c r="J790" s="134" t="str">
        <f>IFERROR(__xludf.DUMMYFUNCTION("IFERROR((FILTER(Data!N:N,Data!D:D=A790,Data!B:B=$B$1)),"""")"),"")</f>
        <v/>
      </c>
      <c r="K790" s="135" t="str">
        <f>IFERROR(__xludf.DUMMYFUNCTION("IFERROR((FILTER(Data!H:H,Data!D:D=A790,Data!B:B=$B$1)*2)+(FILTER(Data!L:L,Data!D:D=A790,Data!B:B=$B$1))+(FILTER(Data!G:G,Data!D:D=A790,Data!B:B=$B$1)*4)+(FILTER(Data!K:K,Data!D:D=A790,Data!B:B=$B$1)*2)+(((COUNTIF(FILTER(Data!N:N,Data!D:D=A790,Data!B:B=$B$"&amp;"1),""TRAVERSE"")*15)+(COUNTIF(FILTER(Data!N:N,Data!D:D=A790,Data!B:B=$B$1),""HIGH"")*10)+(COUNTIF(FILTER(Data!N:N,Data!D:D=A790,Data!B:B=$B$1),""MIDDLE"")*6)+(COUNTIF(FILTER(Data!N:N,Data!D:D=A790,Data!B:B=$B$1),""LOW"")*4))),"""")"),"")</f>
        <v/>
      </c>
      <c r="L790" s="136" t="str">
        <f>IFERROR(__xludf.DUMMYFUNCTION("IFERROR((FILTER(Data!P:P,Data!D:D=A790,Data!B:B=$B$1)),"""")"),"")</f>
        <v/>
      </c>
      <c r="M790" s="137" t="str">
        <f>IFERROR(__xludf.DUMMYFUNCTION("IFERROR((FILTER(Data!A:A,Data!D:D=A790,Data!B:B=$B$1)),"""")"),"")</f>
        <v/>
      </c>
      <c r="T790" s="52">
        <f>IFERROR(__xludf.DUMMYFUNCTION("((COUNTIF(FILTER(Data!N:N,Data!D:D=A790,Data!B:B=$B$1),""TRAVERSE"")*15)+(COUNTIF(FILTER(Data!N:N,Data!D:D=A790,Data!B:B=B$1),""HIGH"")*10)+(COUNTIF(FILTER(Data!N:N,Data!D:D=A790,Data!B:B=$B$1),""MIDDLE"")*6)+(COUNTIF(FILTER(Data!N:N,Data!D:D=A790,Data!B:"&amp;"B=$B$1),""LOW"")*4))"),0.0)</f>
        <v>0</v>
      </c>
      <c r="V790" s="138" t="str">
        <f>IF(Data!B782='Team Parser'!$B$1, Data!D782,"")</f>
        <v/>
      </c>
      <c r="W790" s="134" t="str">
        <f>IF(Data!$B782='Team Parser'!$B$1, Data!H782,"")</f>
        <v/>
      </c>
      <c r="X790" s="134" t="str">
        <f>IF(Data!$B782='Team Parser'!$B$1, Data!G782,"")</f>
        <v/>
      </c>
      <c r="Y790" s="134" t="str">
        <f>IF(Data!$B782='Team Parser'!$B$1, Data!L782,"")</f>
        <v/>
      </c>
      <c r="Z790" s="134" t="str">
        <f>IF(Data!$B782='Team Parser'!$B$1, Data!K782,"")</f>
        <v/>
      </c>
      <c r="AA790" s="134" t="str">
        <f>IF(Data!$B782='Team Parser'!$B$1, Data!M782,"")</f>
        <v/>
      </c>
      <c r="AB790" s="134" t="str">
        <f>IF(Data!$B782='Team Parser'!$B$1,((Z790*2)+(Y790)+(X790*4)+(W790*2)),"")</f>
        <v/>
      </c>
      <c r="AC790" s="134" t="str">
        <f>IF(Data!$B782='Team Parser'!$B$1, Data!N782,"")</f>
        <v/>
      </c>
      <c r="AD790" s="139" t="str">
        <f>IF(Data!$B782='Team Parser'!$B$1,(AB790+(COUNTIF(AC790,"TRAVERSE")*15)+(COUNTIF(AC790,"HIGH")*10)+(COUNTIF(AC790,"MIDDLE")*6)+(COUNTIF(AC790,"LOW")*4)),"")</f>
        <v/>
      </c>
    </row>
    <row r="791">
      <c r="A791" s="141" t="s">
        <v>507</v>
      </c>
      <c r="B791" s="134" t="str">
        <f>IFERROR(__xludf.DUMMYFUNCTION("IFERROR((FILTER(Data!H:H,Data!D:D=A791,Data!B:B=$B$1)),"""")"),"")</f>
        <v/>
      </c>
      <c r="C791" s="134" t="str">
        <f>IFERROR(__xludf.DUMMYFUNCTION("IFERROR((FILTER(Data!G:G,Data!D:D=A791,Data!B:B=$B$1)),"""")"),"")</f>
        <v/>
      </c>
      <c r="D791" s="134" t="str">
        <f>IFERROR(__xludf.DUMMYFUNCTION("IFERROR((FILTER(Data!J:J,Data!D:D=A791,Data!B:B=$B$1)),"""")"),"")</f>
        <v/>
      </c>
      <c r="E791" s="134" t="str">
        <f>IFERROR(__xludf.DUMMYFUNCTION("IFERROR((FILTER(Data!L:L,Data!D:D=A791,Data!B:B=$B$1)),"""")"),"")</f>
        <v/>
      </c>
      <c r="F791" s="134" t="str">
        <f>IFERROR(__xludf.DUMMYFUNCTION("IFERROR((FILTER(Data!K:K,Data!D:D=A791,Data!B:B=$B$1)),"""")"),"")</f>
        <v/>
      </c>
      <c r="G791" s="134" t="str">
        <f>IFERROR(__xludf.DUMMYFUNCTION("IFERROR((FILTER(Data!M:M,Data!D:D=A791,Data!B:B=$B$1)),"""")"),"")</f>
        <v/>
      </c>
      <c r="H791" s="134" t="str">
        <f>IFERROR(__xludf.DUMMYFUNCTION("IFERROR((FILTER(Data!G:G,Data!D:D=A791,Data!B:B=$B$1)*4)+(FILTER(Data!H:H,Data!D:D=A791,Data!B:B=$B$1)*2),"""")"),"")</f>
        <v/>
      </c>
      <c r="I791" s="15" t="str">
        <f>IFERROR(__xludf.DUMMYFUNCTION("IFERROR((FILTER(Data!K:K,Data!D:D=A791,Data!B:B=$B$1)*2)+(FILTER(Data!L:L,Data!D:D=A791,Data!B:B=$B$1)),"""")"),"")</f>
        <v/>
      </c>
      <c r="J791" s="134" t="str">
        <f>IFERROR(__xludf.DUMMYFUNCTION("IFERROR((FILTER(Data!N:N,Data!D:D=A791,Data!B:B=$B$1)),"""")"),"")</f>
        <v/>
      </c>
      <c r="K791" s="135" t="str">
        <f>IFERROR(__xludf.DUMMYFUNCTION("IFERROR((FILTER(Data!H:H,Data!D:D=A791,Data!B:B=$B$1)*2)+(FILTER(Data!L:L,Data!D:D=A791,Data!B:B=$B$1))+(FILTER(Data!G:G,Data!D:D=A791,Data!B:B=$B$1)*4)+(FILTER(Data!K:K,Data!D:D=A791,Data!B:B=$B$1)*2)+(((COUNTIF(FILTER(Data!N:N,Data!D:D=A791,Data!B:B=$B$"&amp;"1),""TRAVERSE"")*15)+(COUNTIF(FILTER(Data!N:N,Data!D:D=A791,Data!B:B=$B$1),""HIGH"")*10)+(COUNTIF(FILTER(Data!N:N,Data!D:D=A791,Data!B:B=$B$1),""MIDDLE"")*6)+(COUNTIF(FILTER(Data!N:N,Data!D:D=A791,Data!B:B=$B$1),""LOW"")*4))),"""")"),"")</f>
        <v/>
      </c>
      <c r="L791" s="136" t="str">
        <f>IFERROR(__xludf.DUMMYFUNCTION("IFERROR((FILTER(Data!P:P,Data!D:D=A791,Data!B:B=$B$1)),"""")"),"")</f>
        <v/>
      </c>
      <c r="M791" s="137" t="str">
        <f>IFERROR(__xludf.DUMMYFUNCTION("IFERROR((FILTER(Data!A:A,Data!D:D=A791,Data!B:B=$B$1)),"""")"),"")</f>
        <v/>
      </c>
      <c r="T791" s="52">
        <f>IFERROR(__xludf.DUMMYFUNCTION("((COUNTIF(FILTER(Data!N:N,Data!D:D=A791,Data!B:B=$B$1),""TRAVERSE"")*15)+(COUNTIF(FILTER(Data!N:N,Data!D:D=A791,Data!B:B=B$1),""HIGH"")*10)+(COUNTIF(FILTER(Data!N:N,Data!D:D=A791,Data!B:B=$B$1),""MIDDLE"")*6)+(COUNTIF(FILTER(Data!N:N,Data!D:D=A791,Data!B:"&amp;"B=$B$1),""LOW"")*4))"),0.0)</f>
        <v>0</v>
      </c>
      <c r="V791" s="138" t="str">
        <f>IF(Data!B783='Team Parser'!$B$1, Data!D783,"")</f>
        <v/>
      </c>
      <c r="W791" s="134" t="str">
        <f>IF(Data!$B783='Team Parser'!$B$1, Data!H783,"")</f>
        <v/>
      </c>
      <c r="X791" s="134" t="str">
        <f>IF(Data!$B783='Team Parser'!$B$1, Data!G783,"")</f>
        <v/>
      </c>
      <c r="Y791" s="134" t="str">
        <f>IF(Data!$B783='Team Parser'!$B$1, Data!L783,"")</f>
        <v/>
      </c>
      <c r="Z791" s="134" t="str">
        <f>IF(Data!$B783='Team Parser'!$B$1, Data!K783,"")</f>
        <v/>
      </c>
      <c r="AA791" s="134" t="str">
        <f>IF(Data!$B783='Team Parser'!$B$1, Data!M783,"")</f>
        <v/>
      </c>
      <c r="AB791" s="134" t="str">
        <f>IF(Data!$B783='Team Parser'!$B$1,((Z791*2)+(Y791)+(X791*4)+(W791*2)),"")</f>
        <v/>
      </c>
      <c r="AC791" s="134" t="str">
        <f>IF(Data!$B783='Team Parser'!$B$1, Data!N783,"")</f>
        <v/>
      </c>
      <c r="AD791" s="139" t="str">
        <f>IF(Data!$B783='Team Parser'!$B$1,(AB791+(COUNTIF(AC791,"TRAVERSE")*15)+(COUNTIF(AC791,"HIGH")*10)+(COUNTIF(AC791,"MIDDLE")*6)+(COUNTIF(AC791,"LOW")*4)),"")</f>
        <v/>
      </c>
    </row>
    <row r="792">
      <c r="A792" s="141" t="s">
        <v>507</v>
      </c>
      <c r="B792" s="134" t="str">
        <f>IFERROR(__xludf.DUMMYFUNCTION("IFERROR((FILTER(Data!H:H,Data!D:D=A792,Data!B:B=$B$1)),"""")"),"")</f>
        <v/>
      </c>
      <c r="C792" s="134" t="str">
        <f>IFERROR(__xludf.DUMMYFUNCTION("IFERROR((FILTER(Data!G:G,Data!D:D=A792,Data!B:B=$B$1)),"""")"),"")</f>
        <v/>
      </c>
      <c r="D792" s="134" t="str">
        <f>IFERROR(__xludf.DUMMYFUNCTION("IFERROR((FILTER(Data!J:J,Data!D:D=A792,Data!B:B=$B$1)),"""")"),"")</f>
        <v/>
      </c>
      <c r="E792" s="134" t="str">
        <f>IFERROR(__xludf.DUMMYFUNCTION("IFERROR((FILTER(Data!L:L,Data!D:D=A792,Data!B:B=$B$1)),"""")"),"")</f>
        <v/>
      </c>
      <c r="F792" s="134" t="str">
        <f>IFERROR(__xludf.DUMMYFUNCTION("IFERROR((FILTER(Data!K:K,Data!D:D=A792,Data!B:B=$B$1)),"""")"),"")</f>
        <v/>
      </c>
      <c r="G792" s="134" t="str">
        <f>IFERROR(__xludf.DUMMYFUNCTION("IFERROR((FILTER(Data!M:M,Data!D:D=A792,Data!B:B=$B$1)),"""")"),"")</f>
        <v/>
      </c>
      <c r="H792" s="134" t="str">
        <f>IFERROR(__xludf.DUMMYFUNCTION("IFERROR((FILTER(Data!G:G,Data!D:D=A792,Data!B:B=$B$1)*4)+(FILTER(Data!H:H,Data!D:D=A792,Data!B:B=$B$1)*2),"""")"),"")</f>
        <v/>
      </c>
      <c r="I792" s="15" t="str">
        <f>IFERROR(__xludf.DUMMYFUNCTION("IFERROR((FILTER(Data!K:K,Data!D:D=A792,Data!B:B=$B$1)*2)+(FILTER(Data!L:L,Data!D:D=A792,Data!B:B=$B$1)),"""")"),"")</f>
        <v/>
      </c>
      <c r="J792" s="134" t="str">
        <f>IFERROR(__xludf.DUMMYFUNCTION("IFERROR((FILTER(Data!N:N,Data!D:D=A792,Data!B:B=$B$1)),"""")"),"")</f>
        <v/>
      </c>
      <c r="K792" s="135" t="str">
        <f>IFERROR(__xludf.DUMMYFUNCTION("IFERROR((FILTER(Data!H:H,Data!D:D=A792,Data!B:B=$B$1)*2)+(FILTER(Data!L:L,Data!D:D=A792,Data!B:B=$B$1))+(FILTER(Data!G:G,Data!D:D=A792,Data!B:B=$B$1)*4)+(FILTER(Data!K:K,Data!D:D=A792,Data!B:B=$B$1)*2)+(((COUNTIF(FILTER(Data!N:N,Data!D:D=A792,Data!B:B=$B$"&amp;"1),""TRAVERSE"")*15)+(COUNTIF(FILTER(Data!N:N,Data!D:D=A792,Data!B:B=$B$1),""HIGH"")*10)+(COUNTIF(FILTER(Data!N:N,Data!D:D=A792,Data!B:B=$B$1),""MIDDLE"")*6)+(COUNTIF(FILTER(Data!N:N,Data!D:D=A792,Data!B:B=$B$1),""LOW"")*4))),"""")"),"")</f>
        <v/>
      </c>
      <c r="L792" s="136" t="str">
        <f>IFERROR(__xludf.DUMMYFUNCTION("IFERROR((FILTER(Data!P:P,Data!D:D=A792,Data!B:B=$B$1)),"""")"),"")</f>
        <v/>
      </c>
      <c r="M792" s="137" t="str">
        <f>IFERROR(__xludf.DUMMYFUNCTION("IFERROR((FILTER(Data!A:A,Data!D:D=A792,Data!B:B=$B$1)),"""")"),"")</f>
        <v/>
      </c>
      <c r="T792" s="52">
        <f>IFERROR(__xludf.DUMMYFUNCTION("((COUNTIF(FILTER(Data!N:N,Data!D:D=A792,Data!B:B=$B$1),""TRAVERSE"")*15)+(COUNTIF(FILTER(Data!N:N,Data!D:D=A792,Data!B:B=B$1),""HIGH"")*10)+(COUNTIF(FILTER(Data!N:N,Data!D:D=A792,Data!B:B=$B$1),""MIDDLE"")*6)+(COUNTIF(FILTER(Data!N:N,Data!D:D=A792,Data!B:"&amp;"B=$B$1),""LOW"")*4))"),0.0)</f>
        <v>0</v>
      </c>
      <c r="V792" s="138" t="str">
        <f>IF(Data!B784='Team Parser'!$B$1, Data!D784,"")</f>
        <v/>
      </c>
      <c r="W792" s="134" t="str">
        <f>IF(Data!$B784='Team Parser'!$B$1, Data!H784,"")</f>
        <v/>
      </c>
      <c r="X792" s="134" t="str">
        <f>IF(Data!$B784='Team Parser'!$B$1, Data!G784,"")</f>
        <v/>
      </c>
      <c r="Y792" s="134" t="str">
        <f>IF(Data!$B784='Team Parser'!$B$1, Data!L784,"")</f>
        <v/>
      </c>
      <c r="Z792" s="134" t="str">
        <f>IF(Data!$B784='Team Parser'!$B$1, Data!K784,"")</f>
        <v/>
      </c>
      <c r="AA792" s="134" t="str">
        <f>IF(Data!$B784='Team Parser'!$B$1, Data!M784,"")</f>
        <v/>
      </c>
      <c r="AB792" s="134" t="str">
        <f>IF(Data!$B784='Team Parser'!$B$1,((Z792*2)+(Y792)+(X792*4)+(W792*2)),"")</f>
        <v/>
      </c>
      <c r="AC792" s="134" t="str">
        <f>IF(Data!$B784='Team Parser'!$B$1, Data!N784,"")</f>
        <v/>
      </c>
      <c r="AD792" s="139" t="str">
        <f>IF(Data!$B784='Team Parser'!$B$1,(AB792+(COUNTIF(AC792,"TRAVERSE")*15)+(COUNTIF(AC792,"HIGH")*10)+(COUNTIF(AC792,"MIDDLE")*6)+(COUNTIF(AC792,"LOW")*4)),"")</f>
        <v/>
      </c>
    </row>
    <row r="793">
      <c r="A793" s="141" t="s">
        <v>507</v>
      </c>
      <c r="B793" s="134" t="str">
        <f>IFERROR(__xludf.DUMMYFUNCTION("IFERROR((FILTER(Data!H:H,Data!D:D=A793,Data!B:B=$B$1)),"""")"),"")</f>
        <v/>
      </c>
      <c r="C793" s="134" t="str">
        <f>IFERROR(__xludf.DUMMYFUNCTION("IFERROR((FILTER(Data!G:G,Data!D:D=A793,Data!B:B=$B$1)),"""")"),"")</f>
        <v/>
      </c>
      <c r="D793" s="134" t="str">
        <f>IFERROR(__xludf.DUMMYFUNCTION("IFERROR((FILTER(Data!J:J,Data!D:D=A793,Data!B:B=$B$1)),"""")"),"")</f>
        <v/>
      </c>
      <c r="E793" s="134" t="str">
        <f>IFERROR(__xludf.DUMMYFUNCTION("IFERROR((FILTER(Data!L:L,Data!D:D=A793,Data!B:B=$B$1)),"""")"),"")</f>
        <v/>
      </c>
      <c r="F793" s="134" t="str">
        <f>IFERROR(__xludf.DUMMYFUNCTION("IFERROR((FILTER(Data!K:K,Data!D:D=A793,Data!B:B=$B$1)),"""")"),"")</f>
        <v/>
      </c>
      <c r="G793" s="134" t="str">
        <f>IFERROR(__xludf.DUMMYFUNCTION("IFERROR((FILTER(Data!M:M,Data!D:D=A793,Data!B:B=$B$1)),"""")"),"")</f>
        <v/>
      </c>
      <c r="H793" s="134" t="str">
        <f>IFERROR(__xludf.DUMMYFUNCTION("IFERROR((FILTER(Data!G:G,Data!D:D=A793,Data!B:B=$B$1)*4)+(FILTER(Data!H:H,Data!D:D=A793,Data!B:B=$B$1)*2),"""")"),"")</f>
        <v/>
      </c>
      <c r="I793" s="15" t="str">
        <f>IFERROR(__xludf.DUMMYFUNCTION("IFERROR((FILTER(Data!K:K,Data!D:D=A793,Data!B:B=$B$1)*2)+(FILTER(Data!L:L,Data!D:D=A793,Data!B:B=$B$1)),"""")"),"")</f>
        <v/>
      </c>
      <c r="J793" s="134" t="str">
        <f>IFERROR(__xludf.DUMMYFUNCTION("IFERROR((FILTER(Data!N:N,Data!D:D=A793,Data!B:B=$B$1)),"""")"),"")</f>
        <v/>
      </c>
      <c r="K793" s="135" t="str">
        <f>IFERROR(__xludf.DUMMYFUNCTION("IFERROR((FILTER(Data!H:H,Data!D:D=A793,Data!B:B=$B$1)*2)+(FILTER(Data!L:L,Data!D:D=A793,Data!B:B=$B$1))+(FILTER(Data!G:G,Data!D:D=A793,Data!B:B=$B$1)*4)+(FILTER(Data!K:K,Data!D:D=A793,Data!B:B=$B$1)*2)+(((COUNTIF(FILTER(Data!N:N,Data!D:D=A793,Data!B:B=$B$"&amp;"1),""TRAVERSE"")*15)+(COUNTIF(FILTER(Data!N:N,Data!D:D=A793,Data!B:B=$B$1),""HIGH"")*10)+(COUNTIF(FILTER(Data!N:N,Data!D:D=A793,Data!B:B=$B$1),""MIDDLE"")*6)+(COUNTIF(FILTER(Data!N:N,Data!D:D=A793,Data!B:B=$B$1),""LOW"")*4))),"""")"),"")</f>
        <v/>
      </c>
      <c r="L793" s="136" t="str">
        <f>IFERROR(__xludf.DUMMYFUNCTION("IFERROR((FILTER(Data!P:P,Data!D:D=A793,Data!B:B=$B$1)),"""")"),"")</f>
        <v/>
      </c>
      <c r="M793" s="137" t="str">
        <f>IFERROR(__xludf.DUMMYFUNCTION("IFERROR((FILTER(Data!A:A,Data!D:D=A793,Data!B:B=$B$1)),"""")"),"")</f>
        <v/>
      </c>
      <c r="T793" s="52">
        <f>IFERROR(__xludf.DUMMYFUNCTION("((COUNTIF(FILTER(Data!N:N,Data!D:D=A793,Data!B:B=$B$1),""TRAVERSE"")*15)+(COUNTIF(FILTER(Data!N:N,Data!D:D=A793,Data!B:B=B$1),""HIGH"")*10)+(COUNTIF(FILTER(Data!N:N,Data!D:D=A793,Data!B:B=$B$1),""MIDDLE"")*6)+(COUNTIF(FILTER(Data!N:N,Data!D:D=A793,Data!B:"&amp;"B=$B$1),""LOW"")*4))"),0.0)</f>
        <v>0</v>
      </c>
      <c r="V793" s="138" t="str">
        <f>IF(Data!B785='Team Parser'!$B$1, Data!D785,"")</f>
        <v/>
      </c>
      <c r="W793" s="134" t="str">
        <f>IF(Data!$B785='Team Parser'!$B$1, Data!H785,"")</f>
        <v/>
      </c>
      <c r="X793" s="134" t="str">
        <f>IF(Data!$B785='Team Parser'!$B$1, Data!G785,"")</f>
        <v/>
      </c>
      <c r="Y793" s="134" t="str">
        <f>IF(Data!$B785='Team Parser'!$B$1, Data!L785,"")</f>
        <v/>
      </c>
      <c r="Z793" s="134" t="str">
        <f>IF(Data!$B785='Team Parser'!$B$1, Data!K785,"")</f>
        <v/>
      </c>
      <c r="AA793" s="134" t="str">
        <f>IF(Data!$B785='Team Parser'!$B$1, Data!M785,"")</f>
        <v/>
      </c>
      <c r="AB793" s="134" t="str">
        <f>IF(Data!$B785='Team Parser'!$B$1,((Z793*2)+(Y793)+(X793*4)+(W793*2)),"")</f>
        <v/>
      </c>
      <c r="AC793" s="134" t="str">
        <f>IF(Data!$B785='Team Parser'!$B$1, Data!N785,"")</f>
        <v/>
      </c>
      <c r="AD793" s="139" t="str">
        <f>IF(Data!$B785='Team Parser'!$B$1,(AB793+(COUNTIF(AC793,"TRAVERSE")*15)+(COUNTIF(AC793,"HIGH")*10)+(COUNTIF(AC793,"MIDDLE")*6)+(COUNTIF(AC793,"LOW")*4)),"")</f>
        <v/>
      </c>
    </row>
    <row r="794">
      <c r="A794" s="141" t="s">
        <v>507</v>
      </c>
      <c r="B794" s="134" t="str">
        <f>IFERROR(__xludf.DUMMYFUNCTION("IFERROR((FILTER(Data!H:H,Data!D:D=A794,Data!B:B=$B$1)),"""")"),"")</f>
        <v/>
      </c>
      <c r="C794" s="134" t="str">
        <f>IFERROR(__xludf.DUMMYFUNCTION("IFERROR((FILTER(Data!G:G,Data!D:D=A794,Data!B:B=$B$1)),"""")"),"")</f>
        <v/>
      </c>
      <c r="D794" s="134" t="str">
        <f>IFERROR(__xludf.DUMMYFUNCTION("IFERROR((FILTER(Data!J:J,Data!D:D=A794,Data!B:B=$B$1)),"""")"),"")</f>
        <v/>
      </c>
      <c r="E794" s="134" t="str">
        <f>IFERROR(__xludf.DUMMYFUNCTION("IFERROR((FILTER(Data!L:L,Data!D:D=A794,Data!B:B=$B$1)),"""")"),"")</f>
        <v/>
      </c>
      <c r="F794" s="134" t="str">
        <f>IFERROR(__xludf.DUMMYFUNCTION("IFERROR((FILTER(Data!K:K,Data!D:D=A794,Data!B:B=$B$1)),"""")"),"")</f>
        <v/>
      </c>
      <c r="G794" s="134" t="str">
        <f>IFERROR(__xludf.DUMMYFUNCTION("IFERROR((FILTER(Data!M:M,Data!D:D=A794,Data!B:B=$B$1)),"""")"),"")</f>
        <v/>
      </c>
      <c r="H794" s="134" t="str">
        <f>IFERROR(__xludf.DUMMYFUNCTION("IFERROR((FILTER(Data!G:G,Data!D:D=A794,Data!B:B=$B$1)*4)+(FILTER(Data!H:H,Data!D:D=A794,Data!B:B=$B$1)*2),"""")"),"")</f>
        <v/>
      </c>
      <c r="I794" s="15" t="str">
        <f>IFERROR(__xludf.DUMMYFUNCTION("IFERROR((FILTER(Data!K:K,Data!D:D=A794,Data!B:B=$B$1)*2)+(FILTER(Data!L:L,Data!D:D=A794,Data!B:B=$B$1)),"""")"),"")</f>
        <v/>
      </c>
      <c r="J794" s="134" t="str">
        <f>IFERROR(__xludf.DUMMYFUNCTION("IFERROR((FILTER(Data!N:N,Data!D:D=A794,Data!B:B=$B$1)),"""")"),"")</f>
        <v/>
      </c>
      <c r="K794" s="135" t="str">
        <f>IFERROR(__xludf.DUMMYFUNCTION("IFERROR((FILTER(Data!H:H,Data!D:D=A794,Data!B:B=$B$1)*2)+(FILTER(Data!L:L,Data!D:D=A794,Data!B:B=$B$1))+(FILTER(Data!G:G,Data!D:D=A794,Data!B:B=$B$1)*4)+(FILTER(Data!K:K,Data!D:D=A794,Data!B:B=$B$1)*2)+(((COUNTIF(FILTER(Data!N:N,Data!D:D=A794,Data!B:B=$B$"&amp;"1),""TRAVERSE"")*15)+(COUNTIF(FILTER(Data!N:N,Data!D:D=A794,Data!B:B=$B$1),""HIGH"")*10)+(COUNTIF(FILTER(Data!N:N,Data!D:D=A794,Data!B:B=$B$1),""MIDDLE"")*6)+(COUNTIF(FILTER(Data!N:N,Data!D:D=A794,Data!B:B=$B$1),""LOW"")*4))),"""")"),"")</f>
        <v/>
      </c>
      <c r="L794" s="136" t="str">
        <f>IFERROR(__xludf.DUMMYFUNCTION("IFERROR((FILTER(Data!P:P,Data!D:D=A794,Data!B:B=$B$1)),"""")"),"")</f>
        <v/>
      </c>
      <c r="M794" s="137" t="str">
        <f>IFERROR(__xludf.DUMMYFUNCTION("IFERROR((FILTER(Data!A:A,Data!D:D=A794,Data!B:B=$B$1)),"""")"),"")</f>
        <v/>
      </c>
      <c r="T794" s="52">
        <f>IFERROR(__xludf.DUMMYFUNCTION("((COUNTIF(FILTER(Data!N:N,Data!D:D=A794,Data!B:B=$B$1),""TRAVERSE"")*15)+(COUNTIF(FILTER(Data!N:N,Data!D:D=A794,Data!B:B=B$1),""HIGH"")*10)+(COUNTIF(FILTER(Data!N:N,Data!D:D=A794,Data!B:B=$B$1),""MIDDLE"")*6)+(COUNTIF(FILTER(Data!N:N,Data!D:D=A794,Data!B:"&amp;"B=$B$1),""LOW"")*4))"),0.0)</f>
        <v>0</v>
      </c>
      <c r="V794" s="138" t="str">
        <f>IF(Data!B786='Team Parser'!$B$1, Data!D786,"")</f>
        <v/>
      </c>
      <c r="W794" s="134" t="str">
        <f>IF(Data!$B786='Team Parser'!$B$1, Data!H786,"")</f>
        <v/>
      </c>
      <c r="X794" s="134" t="str">
        <f>IF(Data!$B786='Team Parser'!$B$1, Data!G786,"")</f>
        <v/>
      </c>
      <c r="Y794" s="134" t="str">
        <f>IF(Data!$B786='Team Parser'!$B$1, Data!L786,"")</f>
        <v/>
      </c>
      <c r="Z794" s="134" t="str">
        <f>IF(Data!$B786='Team Parser'!$B$1, Data!K786,"")</f>
        <v/>
      </c>
      <c r="AA794" s="134" t="str">
        <f>IF(Data!$B786='Team Parser'!$B$1, Data!M786,"")</f>
        <v/>
      </c>
      <c r="AB794" s="134" t="str">
        <f>IF(Data!$B786='Team Parser'!$B$1,((Z794*2)+(Y794)+(X794*4)+(W794*2)),"")</f>
        <v/>
      </c>
      <c r="AC794" s="134" t="str">
        <f>IF(Data!$B786='Team Parser'!$B$1, Data!N786,"")</f>
        <v/>
      </c>
      <c r="AD794" s="139" t="str">
        <f>IF(Data!$B786='Team Parser'!$B$1,(AB794+(COUNTIF(AC794,"TRAVERSE")*15)+(COUNTIF(AC794,"HIGH")*10)+(COUNTIF(AC794,"MIDDLE")*6)+(COUNTIF(AC794,"LOW")*4)),"")</f>
        <v/>
      </c>
    </row>
    <row r="795">
      <c r="A795" s="141" t="s">
        <v>507</v>
      </c>
      <c r="B795" s="134" t="str">
        <f>IFERROR(__xludf.DUMMYFUNCTION("IFERROR((FILTER(Data!H:H,Data!D:D=A795,Data!B:B=$B$1)),"""")"),"")</f>
        <v/>
      </c>
      <c r="C795" s="134" t="str">
        <f>IFERROR(__xludf.DUMMYFUNCTION("IFERROR((FILTER(Data!G:G,Data!D:D=A795,Data!B:B=$B$1)),"""")"),"")</f>
        <v/>
      </c>
      <c r="D795" s="134" t="str">
        <f>IFERROR(__xludf.DUMMYFUNCTION("IFERROR((FILTER(Data!J:J,Data!D:D=A795,Data!B:B=$B$1)),"""")"),"")</f>
        <v/>
      </c>
      <c r="E795" s="134" t="str">
        <f>IFERROR(__xludf.DUMMYFUNCTION("IFERROR((FILTER(Data!L:L,Data!D:D=A795,Data!B:B=$B$1)),"""")"),"")</f>
        <v/>
      </c>
      <c r="F795" s="134" t="str">
        <f>IFERROR(__xludf.DUMMYFUNCTION("IFERROR((FILTER(Data!K:K,Data!D:D=A795,Data!B:B=$B$1)),"""")"),"")</f>
        <v/>
      </c>
      <c r="G795" s="134" t="str">
        <f>IFERROR(__xludf.DUMMYFUNCTION("IFERROR((FILTER(Data!M:M,Data!D:D=A795,Data!B:B=$B$1)),"""")"),"")</f>
        <v/>
      </c>
      <c r="H795" s="134" t="str">
        <f>IFERROR(__xludf.DUMMYFUNCTION("IFERROR((FILTER(Data!G:G,Data!D:D=A795,Data!B:B=$B$1)*4)+(FILTER(Data!H:H,Data!D:D=A795,Data!B:B=$B$1)*2),"""")"),"")</f>
        <v/>
      </c>
      <c r="I795" s="15" t="str">
        <f>IFERROR(__xludf.DUMMYFUNCTION("IFERROR((FILTER(Data!K:K,Data!D:D=A795,Data!B:B=$B$1)*2)+(FILTER(Data!L:L,Data!D:D=A795,Data!B:B=$B$1)),"""")"),"")</f>
        <v/>
      </c>
      <c r="J795" s="134" t="str">
        <f>IFERROR(__xludf.DUMMYFUNCTION("IFERROR((FILTER(Data!N:N,Data!D:D=A795,Data!B:B=$B$1)),"""")"),"")</f>
        <v/>
      </c>
      <c r="K795" s="135" t="str">
        <f>IFERROR(__xludf.DUMMYFUNCTION("IFERROR((FILTER(Data!H:H,Data!D:D=A795,Data!B:B=$B$1)*2)+(FILTER(Data!L:L,Data!D:D=A795,Data!B:B=$B$1))+(FILTER(Data!G:G,Data!D:D=A795,Data!B:B=$B$1)*4)+(FILTER(Data!K:K,Data!D:D=A795,Data!B:B=$B$1)*2)+(((COUNTIF(FILTER(Data!N:N,Data!D:D=A795,Data!B:B=$B$"&amp;"1),""TRAVERSE"")*15)+(COUNTIF(FILTER(Data!N:N,Data!D:D=A795,Data!B:B=$B$1),""HIGH"")*10)+(COUNTIF(FILTER(Data!N:N,Data!D:D=A795,Data!B:B=$B$1),""MIDDLE"")*6)+(COUNTIF(FILTER(Data!N:N,Data!D:D=A795,Data!B:B=$B$1),""LOW"")*4))),"""")"),"")</f>
        <v/>
      </c>
      <c r="L795" s="136" t="str">
        <f>IFERROR(__xludf.DUMMYFUNCTION("IFERROR((FILTER(Data!P:P,Data!D:D=A795,Data!B:B=$B$1)),"""")"),"")</f>
        <v/>
      </c>
      <c r="M795" s="137" t="str">
        <f>IFERROR(__xludf.DUMMYFUNCTION("IFERROR((FILTER(Data!A:A,Data!D:D=A795,Data!B:B=$B$1)),"""")"),"")</f>
        <v/>
      </c>
      <c r="T795" s="52">
        <f>IFERROR(__xludf.DUMMYFUNCTION("((COUNTIF(FILTER(Data!N:N,Data!D:D=A795,Data!B:B=$B$1),""TRAVERSE"")*15)+(COUNTIF(FILTER(Data!N:N,Data!D:D=A795,Data!B:B=B$1),""HIGH"")*10)+(COUNTIF(FILTER(Data!N:N,Data!D:D=A795,Data!B:B=$B$1),""MIDDLE"")*6)+(COUNTIF(FILTER(Data!N:N,Data!D:D=A795,Data!B:"&amp;"B=$B$1),""LOW"")*4))"),0.0)</f>
        <v>0</v>
      </c>
      <c r="V795" s="138" t="str">
        <f>IF(Data!B787='Team Parser'!$B$1, Data!D787,"")</f>
        <v/>
      </c>
      <c r="W795" s="134" t="str">
        <f>IF(Data!$B787='Team Parser'!$B$1, Data!H787,"")</f>
        <v/>
      </c>
      <c r="X795" s="134" t="str">
        <f>IF(Data!$B787='Team Parser'!$B$1, Data!G787,"")</f>
        <v/>
      </c>
      <c r="Y795" s="134" t="str">
        <f>IF(Data!$B787='Team Parser'!$B$1, Data!L787,"")</f>
        <v/>
      </c>
      <c r="Z795" s="134" t="str">
        <f>IF(Data!$B787='Team Parser'!$B$1, Data!K787,"")</f>
        <v/>
      </c>
      <c r="AA795" s="134" t="str">
        <f>IF(Data!$B787='Team Parser'!$B$1, Data!M787,"")</f>
        <v/>
      </c>
      <c r="AB795" s="134" t="str">
        <f>IF(Data!$B787='Team Parser'!$B$1,((Z795*2)+(Y795)+(X795*4)+(W795*2)),"")</f>
        <v/>
      </c>
      <c r="AC795" s="134" t="str">
        <f>IF(Data!$B787='Team Parser'!$B$1, Data!N787,"")</f>
        <v/>
      </c>
      <c r="AD795" s="139" t="str">
        <f>IF(Data!$B787='Team Parser'!$B$1,(AB795+(COUNTIF(AC795,"TRAVERSE")*15)+(COUNTIF(AC795,"HIGH")*10)+(COUNTIF(AC795,"MIDDLE")*6)+(COUNTIF(AC795,"LOW")*4)),"")</f>
        <v/>
      </c>
    </row>
    <row r="796">
      <c r="A796" s="141" t="s">
        <v>507</v>
      </c>
      <c r="B796" s="134" t="str">
        <f>IFERROR(__xludf.DUMMYFUNCTION("IFERROR((FILTER(Data!H:H,Data!D:D=A796,Data!B:B=$B$1)),"""")"),"")</f>
        <v/>
      </c>
      <c r="C796" s="134" t="str">
        <f>IFERROR(__xludf.DUMMYFUNCTION("IFERROR((FILTER(Data!G:G,Data!D:D=A796,Data!B:B=$B$1)),"""")"),"")</f>
        <v/>
      </c>
      <c r="D796" s="134" t="str">
        <f>IFERROR(__xludf.DUMMYFUNCTION("IFERROR((FILTER(Data!J:J,Data!D:D=A796,Data!B:B=$B$1)),"""")"),"")</f>
        <v/>
      </c>
      <c r="E796" s="134" t="str">
        <f>IFERROR(__xludf.DUMMYFUNCTION("IFERROR((FILTER(Data!L:L,Data!D:D=A796,Data!B:B=$B$1)),"""")"),"")</f>
        <v/>
      </c>
      <c r="F796" s="134" t="str">
        <f>IFERROR(__xludf.DUMMYFUNCTION("IFERROR((FILTER(Data!K:K,Data!D:D=A796,Data!B:B=$B$1)),"""")"),"")</f>
        <v/>
      </c>
      <c r="G796" s="134" t="str">
        <f>IFERROR(__xludf.DUMMYFUNCTION("IFERROR((FILTER(Data!M:M,Data!D:D=A796,Data!B:B=$B$1)),"""")"),"")</f>
        <v/>
      </c>
      <c r="H796" s="134" t="str">
        <f>IFERROR(__xludf.DUMMYFUNCTION("IFERROR((FILTER(Data!G:G,Data!D:D=A796,Data!B:B=$B$1)*4)+(FILTER(Data!H:H,Data!D:D=A796,Data!B:B=$B$1)*2),"""")"),"")</f>
        <v/>
      </c>
      <c r="I796" s="15" t="str">
        <f>IFERROR(__xludf.DUMMYFUNCTION("IFERROR((FILTER(Data!K:K,Data!D:D=A796,Data!B:B=$B$1)*2)+(FILTER(Data!L:L,Data!D:D=A796,Data!B:B=$B$1)),"""")"),"")</f>
        <v/>
      </c>
      <c r="J796" s="134" t="str">
        <f>IFERROR(__xludf.DUMMYFUNCTION("IFERROR((FILTER(Data!N:N,Data!D:D=A796,Data!B:B=$B$1)),"""")"),"")</f>
        <v/>
      </c>
      <c r="K796" s="135" t="str">
        <f>IFERROR(__xludf.DUMMYFUNCTION("IFERROR((FILTER(Data!H:H,Data!D:D=A796,Data!B:B=$B$1)*2)+(FILTER(Data!L:L,Data!D:D=A796,Data!B:B=$B$1))+(FILTER(Data!G:G,Data!D:D=A796,Data!B:B=$B$1)*4)+(FILTER(Data!K:K,Data!D:D=A796,Data!B:B=$B$1)*2)+(((COUNTIF(FILTER(Data!N:N,Data!D:D=A796,Data!B:B=$B$"&amp;"1),""TRAVERSE"")*15)+(COUNTIF(FILTER(Data!N:N,Data!D:D=A796,Data!B:B=$B$1),""HIGH"")*10)+(COUNTIF(FILTER(Data!N:N,Data!D:D=A796,Data!B:B=$B$1),""MIDDLE"")*6)+(COUNTIF(FILTER(Data!N:N,Data!D:D=A796,Data!B:B=$B$1),""LOW"")*4))),"""")"),"")</f>
        <v/>
      </c>
      <c r="L796" s="136" t="str">
        <f>IFERROR(__xludf.DUMMYFUNCTION("IFERROR((FILTER(Data!P:P,Data!D:D=A796,Data!B:B=$B$1)),"""")"),"")</f>
        <v/>
      </c>
      <c r="M796" s="137" t="str">
        <f>IFERROR(__xludf.DUMMYFUNCTION("IFERROR((FILTER(Data!A:A,Data!D:D=A796,Data!B:B=$B$1)),"""")"),"")</f>
        <v/>
      </c>
      <c r="T796" s="52">
        <f>IFERROR(__xludf.DUMMYFUNCTION("((COUNTIF(FILTER(Data!N:N,Data!D:D=A796,Data!B:B=$B$1),""TRAVERSE"")*15)+(COUNTIF(FILTER(Data!N:N,Data!D:D=A796,Data!B:B=B$1),""HIGH"")*10)+(COUNTIF(FILTER(Data!N:N,Data!D:D=A796,Data!B:B=$B$1),""MIDDLE"")*6)+(COUNTIF(FILTER(Data!N:N,Data!D:D=A796,Data!B:"&amp;"B=$B$1),""LOW"")*4))"),0.0)</f>
        <v>0</v>
      </c>
      <c r="V796" s="138" t="str">
        <f>IF(Data!B788='Team Parser'!$B$1, Data!D788,"")</f>
        <v/>
      </c>
      <c r="W796" s="134" t="str">
        <f>IF(Data!$B788='Team Parser'!$B$1, Data!H788,"")</f>
        <v/>
      </c>
      <c r="X796" s="134" t="str">
        <f>IF(Data!$B788='Team Parser'!$B$1, Data!G788,"")</f>
        <v/>
      </c>
      <c r="Y796" s="134" t="str">
        <f>IF(Data!$B788='Team Parser'!$B$1, Data!L788,"")</f>
        <v/>
      </c>
      <c r="Z796" s="134" t="str">
        <f>IF(Data!$B788='Team Parser'!$B$1, Data!K788,"")</f>
        <v/>
      </c>
      <c r="AA796" s="134" t="str">
        <f>IF(Data!$B788='Team Parser'!$B$1, Data!M788,"")</f>
        <v/>
      </c>
      <c r="AB796" s="134" t="str">
        <f>IF(Data!$B788='Team Parser'!$B$1,((Z796*2)+(Y796)+(X796*4)+(W796*2)),"")</f>
        <v/>
      </c>
      <c r="AC796" s="134" t="str">
        <f>IF(Data!$B788='Team Parser'!$B$1, Data!N788,"")</f>
        <v/>
      </c>
      <c r="AD796" s="139" t="str">
        <f>IF(Data!$B788='Team Parser'!$B$1,(AB796+(COUNTIF(AC796,"TRAVERSE")*15)+(COUNTIF(AC796,"HIGH")*10)+(COUNTIF(AC796,"MIDDLE")*6)+(COUNTIF(AC796,"LOW")*4)),"")</f>
        <v/>
      </c>
    </row>
    <row r="797">
      <c r="A797" s="141" t="s">
        <v>507</v>
      </c>
      <c r="B797" s="134" t="str">
        <f>IFERROR(__xludf.DUMMYFUNCTION("IFERROR((FILTER(Data!H:H,Data!D:D=A797,Data!B:B=$B$1)),"""")"),"")</f>
        <v/>
      </c>
      <c r="C797" s="134" t="str">
        <f>IFERROR(__xludf.DUMMYFUNCTION("IFERROR((FILTER(Data!G:G,Data!D:D=A797,Data!B:B=$B$1)),"""")"),"")</f>
        <v/>
      </c>
      <c r="D797" s="134" t="str">
        <f>IFERROR(__xludf.DUMMYFUNCTION("IFERROR((FILTER(Data!J:J,Data!D:D=A797,Data!B:B=$B$1)),"""")"),"")</f>
        <v/>
      </c>
      <c r="E797" s="134" t="str">
        <f>IFERROR(__xludf.DUMMYFUNCTION("IFERROR((FILTER(Data!L:L,Data!D:D=A797,Data!B:B=$B$1)),"""")"),"")</f>
        <v/>
      </c>
      <c r="F797" s="134" t="str">
        <f>IFERROR(__xludf.DUMMYFUNCTION("IFERROR((FILTER(Data!K:K,Data!D:D=A797,Data!B:B=$B$1)),"""")"),"")</f>
        <v/>
      </c>
      <c r="G797" s="134" t="str">
        <f>IFERROR(__xludf.DUMMYFUNCTION("IFERROR((FILTER(Data!M:M,Data!D:D=A797,Data!B:B=$B$1)),"""")"),"")</f>
        <v/>
      </c>
      <c r="H797" s="134" t="str">
        <f>IFERROR(__xludf.DUMMYFUNCTION("IFERROR((FILTER(Data!G:G,Data!D:D=A797,Data!B:B=$B$1)*4)+(FILTER(Data!H:H,Data!D:D=A797,Data!B:B=$B$1)*2),"""")"),"")</f>
        <v/>
      </c>
      <c r="I797" s="15" t="str">
        <f>IFERROR(__xludf.DUMMYFUNCTION("IFERROR((FILTER(Data!K:K,Data!D:D=A797,Data!B:B=$B$1)*2)+(FILTER(Data!L:L,Data!D:D=A797,Data!B:B=$B$1)),"""")"),"")</f>
        <v/>
      </c>
      <c r="J797" s="134" t="str">
        <f>IFERROR(__xludf.DUMMYFUNCTION("IFERROR((FILTER(Data!N:N,Data!D:D=A797,Data!B:B=$B$1)),"""")"),"")</f>
        <v/>
      </c>
      <c r="K797" s="135" t="str">
        <f>IFERROR(__xludf.DUMMYFUNCTION("IFERROR((FILTER(Data!H:H,Data!D:D=A797,Data!B:B=$B$1)*2)+(FILTER(Data!L:L,Data!D:D=A797,Data!B:B=$B$1))+(FILTER(Data!G:G,Data!D:D=A797,Data!B:B=$B$1)*4)+(FILTER(Data!K:K,Data!D:D=A797,Data!B:B=$B$1)*2)+(((COUNTIF(FILTER(Data!N:N,Data!D:D=A797,Data!B:B=$B$"&amp;"1),""TRAVERSE"")*15)+(COUNTIF(FILTER(Data!N:N,Data!D:D=A797,Data!B:B=$B$1),""HIGH"")*10)+(COUNTIF(FILTER(Data!N:N,Data!D:D=A797,Data!B:B=$B$1),""MIDDLE"")*6)+(COUNTIF(FILTER(Data!N:N,Data!D:D=A797,Data!B:B=$B$1),""LOW"")*4))),"""")"),"")</f>
        <v/>
      </c>
      <c r="L797" s="136" t="str">
        <f>IFERROR(__xludf.DUMMYFUNCTION("IFERROR((FILTER(Data!P:P,Data!D:D=A797,Data!B:B=$B$1)),"""")"),"")</f>
        <v/>
      </c>
      <c r="M797" s="137" t="str">
        <f>IFERROR(__xludf.DUMMYFUNCTION("IFERROR((FILTER(Data!A:A,Data!D:D=A797,Data!B:B=$B$1)),"""")"),"")</f>
        <v/>
      </c>
      <c r="T797" s="52">
        <f>IFERROR(__xludf.DUMMYFUNCTION("((COUNTIF(FILTER(Data!N:N,Data!D:D=A797,Data!B:B=$B$1),""TRAVERSE"")*15)+(COUNTIF(FILTER(Data!N:N,Data!D:D=A797,Data!B:B=B$1),""HIGH"")*10)+(COUNTIF(FILTER(Data!N:N,Data!D:D=A797,Data!B:B=$B$1),""MIDDLE"")*6)+(COUNTIF(FILTER(Data!N:N,Data!D:D=A797,Data!B:"&amp;"B=$B$1),""LOW"")*4))"),0.0)</f>
        <v>0</v>
      </c>
      <c r="V797" s="138" t="str">
        <f>IF(Data!B789='Team Parser'!$B$1, Data!D789,"")</f>
        <v/>
      </c>
      <c r="W797" s="134" t="str">
        <f>IF(Data!$B789='Team Parser'!$B$1, Data!H789,"")</f>
        <v/>
      </c>
      <c r="X797" s="134" t="str">
        <f>IF(Data!$B789='Team Parser'!$B$1, Data!G789,"")</f>
        <v/>
      </c>
      <c r="Y797" s="134" t="str">
        <f>IF(Data!$B789='Team Parser'!$B$1, Data!L789,"")</f>
        <v/>
      </c>
      <c r="Z797" s="134" t="str">
        <f>IF(Data!$B789='Team Parser'!$B$1, Data!K789,"")</f>
        <v/>
      </c>
      <c r="AA797" s="134" t="str">
        <f>IF(Data!$B789='Team Parser'!$B$1, Data!M789,"")</f>
        <v/>
      </c>
      <c r="AB797" s="134" t="str">
        <f>IF(Data!$B789='Team Parser'!$B$1,((Z797*2)+(Y797)+(X797*4)+(W797*2)),"")</f>
        <v/>
      </c>
      <c r="AC797" s="134" t="str">
        <f>IF(Data!$B789='Team Parser'!$B$1, Data!N789,"")</f>
        <v/>
      </c>
      <c r="AD797" s="139" t="str">
        <f>IF(Data!$B789='Team Parser'!$B$1,(AB797+(COUNTIF(AC797,"TRAVERSE")*15)+(COUNTIF(AC797,"HIGH")*10)+(COUNTIF(AC797,"MIDDLE")*6)+(COUNTIF(AC797,"LOW")*4)),"")</f>
        <v/>
      </c>
    </row>
    <row r="798">
      <c r="A798" s="141" t="s">
        <v>507</v>
      </c>
      <c r="B798" s="134" t="str">
        <f>IFERROR(__xludf.DUMMYFUNCTION("IFERROR((FILTER(Data!H:H,Data!D:D=A798,Data!B:B=$B$1)),"""")"),"")</f>
        <v/>
      </c>
      <c r="C798" s="134" t="str">
        <f>IFERROR(__xludf.DUMMYFUNCTION("IFERROR((FILTER(Data!G:G,Data!D:D=A798,Data!B:B=$B$1)),"""")"),"")</f>
        <v/>
      </c>
      <c r="D798" s="134" t="str">
        <f>IFERROR(__xludf.DUMMYFUNCTION("IFERROR((FILTER(Data!J:J,Data!D:D=A798,Data!B:B=$B$1)),"""")"),"")</f>
        <v/>
      </c>
      <c r="E798" s="134" t="str">
        <f>IFERROR(__xludf.DUMMYFUNCTION("IFERROR((FILTER(Data!L:L,Data!D:D=A798,Data!B:B=$B$1)),"""")"),"")</f>
        <v/>
      </c>
      <c r="F798" s="134" t="str">
        <f>IFERROR(__xludf.DUMMYFUNCTION("IFERROR((FILTER(Data!K:K,Data!D:D=A798,Data!B:B=$B$1)),"""")"),"")</f>
        <v/>
      </c>
      <c r="G798" s="134" t="str">
        <f>IFERROR(__xludf.DUMMYFUNCTION("IFERROR((FILTER(Data!M:M,Data!D:D=A798,Data!B:B=$B$1)),"""")"),"")</f>
        <v/>
      </c>
      <c r="H798" s="134" t="str">
        <f>IFERROR(__xludf.DUMMYFUNCTION("IFERROR((FILTER(Data!G:G,Data!D:D=A798,Data!B:B=$B$1)*4)+(FILTER(Data!H:H,Data!D:D=A798,Data!B:B=$B$1)*2),"""")"),"")</f>
        <v/>
      </c>
      <c r="I798" s="15" t="str">
        <f>IFERROR(__xludf.DUMMYFUNCTION("IFERROR((FILTER(Data!K:K,Data!D:D=A798,Data!B:B=$B$1)*2)+(FILTER(Data!L:L,Data!D:D=A798,Data!B:B=$B$1)),"""")"),"")</f>
        <v/>
      </c>
      <c r="J798" s="134" t="str">
        <f>IFERROR(__xludf.DUMMYFUNCTION("IFERROR((FILTER(Data!N:N,Data!D:D=A798,Data!B:B=$B$1)),"""")"),"")</f>
        <v/>
      </c>
      <c r="K798" s="135" t="str">
        <f>IFERROR(__xludf.DUMMYFUNCTION("IFERROR((FILTER(Data!H:H,Data!D:D=A798,Data!B:B=$B$1)*2)+(FILTER(Data!L:L,Data!D:D=A798,Data!B:B=$B$1))+(FILTER(Data!G:G,Data!D:D=A798,Data!B:B=$B$1)*4)+(FILTER(Data!K:K,Data!D:D=A798,Data!B:B=$B$1)*2)+(((COUNTIF(FILTER(Data!N:N,Data!D:D=A798,Data!B:B=$B$"&amp;"1),""TRAVERSE"")*15)+(COUNTIF(FILTER(Data!N:N,Data!D:D=A798,Data!B:B=$B$1),""HIGH"")*10)+(COUNTIF(FILTER(Data!N:N,Data!D:D=A798,Data!B:B=$B$1),""MIDDLE"")*6)+(COUNTIF(FILTER(Data!N:N,Data!D:D=A798,Data!B:B=$B$1),""LOW"")*4))),"""")"),"")</f>
        <v/>
      </c>
      <c r="L798" s="136" t="str">
        <f>IFERROR(__xludf.DUMMYFUNCTION("IFERROR((FILTER(Data!P:P,Data!D:D=A798,Data!B:B=$B$1)),"""")"),"")</f>
        <v/>
      </c>
      <c r="M798" s="137" t="str">
        <f>IFERROR(__xludf.DUMMYFUNCTION("IFERROR((FILTER(Data!A:A,Data!D:D=A798,Data!B:B=$B$1)),"""")"),"")</f>
        <v/>
      </c>
      <c r="T798" s="52">
        <f>IFERROR(__xludf.DUMMYFUNCTION("((COUNTIF(FILTER(Data!N:N,Data!D:D=A798,Data!B:B=$B$1),""TRAVERSE"")*15)+(COUNTIF(FILTER(Data!N:N,Data!D:D=A798,Data!B:B=B$1),""HIGH"")*10)+(COUNTIF(FILTER(Data!N:N,Data!D:D=A798,Data!B:B=$B$1),""MIDDLE"")*6)+(COUNTIF(FILTER(Data!N:N,Data!D:D=A798,Data!B:"&amp;"B=$B$1),""LOW"")*4))"),0.0)</f>
        <v>0</v>
      </c>
      <c r="V798" s="138" t="str">
        <f>IF(Data!B790='Team Parser'!$B$1, Data!D790,"")</f>
        <v/>
      </c>
      <c r="W798" s="134" t="str">
        <f>IF(Data!$B790='Team Parser'!$B$1, Data!H790,"")</f>
        <v/>
      </c>
      <c r="X798" s="134" t="str">
        <f>IF(Data!$B790='Team Parser'!$B$1, Data!G790,"")</f>
        <v/>
      </c>
      <c r="Y798" s="134" t="str">
        <f>IF(Data!$B790='Team Parser'!$B$1, Data!L790,"")</f>
        <v/>
      </c>
      <c r="Z798" s="134" t="str">
        <f>IF(Data!$B790='Team Parser'!$B$1, Data!K790,"")</f>
        <v/>
      </c>
      <c r="AA798" s="134" t="str">
        <f>IF(Data!$B790='Team Parser'!$B$1, Data!M790,"")</f>
        <v/>
      </c>
      <c r="AB798" s="134" t="str">
        <f>IF(Data!$B790='Team Parser'!$B$1,((Z798*2)+(Y798)+(X798*4)+(W798*2)),"")</f>
        <v/>
      </c>
      <c r="AC798" s="134" t="str">
        <f>IF(Data!$B790='Team Parser'!$B$1, Data!N790,"")</f>
        <v/>
      </c>
      <c r="AD798" s="139" t="str">
        <f>IF(Data!$B790='Team Parser'!$B$1,(AB798+(COUNTIF(AC798,"TRAVERSE")*15)+(COUNTIF(AC798,"HIGH")*10)+(COUNTIF(AC798,"MIDDLE")*6)+(COUNTIF(AC798,"LOW")*4)),"")</f>
        <v/>
      </c>
    </row>
    <row r="799">
      <c r="A799" s="141" t="s">
        <v>507</v>
      </c>
      <c r="B799" s="134" t="str">
        <f>IFERROR(__xludf.DUMMYFUNCTION("IFERROR((FILTER(Data!H:H,Data!D:D=A799,Data!B:B=$B$1)),"""")"),"")</f>
        <v/>
      </c>
      <c r="C799" s="134" t="str">
        <f>IFERROR(__xludf.DUMMYFUNCTION("IFERROR((FILTER(Data!G:G,Data!D:D=A799,Data!B:B=$B$1)),"""")"),"")</f>
        <v/>
      </c>
      <c r="D799" s="134" t="str">
        <f>IFERROR(__xludf.DUMMYFUNCTION("IFERROR((FILTER(Data!J:J,Data!D:D=A799,Data!B:B=$B$1)),"""")"),"")</f>
        <v/>
      </c>
      <c r="E799" s="134" t="str">
        <f>IFERROR(__xludf.DUMMYFUNCTION("IFERROR((FILTER(Data!L:L,Data!D:D=A799,Data!B:B=$B$1)),"""")"),"")</f>
        <v/>
      </c>
      <c r="F799" s="134" t="str">
        <f>IFERROR(__xludf.DUMMYFUNCTION("IFERROR((FILTER(Data!K:K,Data!D:D=A799,Data!B:B=$B$1)),"""")"),"")</f>
        <v/>
      </c>
      <c r="G799" s="134" t="str">
        <f>IFERROR(__xludf.DUMMYFUNCTION("IFERROR((FILTER(Data!M:M,Data!D:D=A799,Data!B:B=$B$1)),"""")"),"")</f>
        <v/>
      </c>
      <c r="H799" s="134" t="str">
        <f>IFERROR(__xludf.DUMMYFUNCTION("IFERROR((FILTER(Data!G:G,Data!D:D=A799,Data!B:B=$B$1)*4)+(FILTER(Data!H:H,Data!D:D=A799,Data!B:B=$B$1)*2),"""")"),"")</f>
        <v/>
      </c>
      <c r="I799" s="15" t="str">
        <f>IFERROR(__xludf.DUMMYFUNCTION("IFERROR((FILTER(Data!K:K,Data!D:D=A799,Data!B:B=$B$1)*2)+(FILTER(Data!L:L,Data!D:D=A799,Data!B:B=$B$1)),"""")"),"")</f>
        <v/>
      </c>
      <c r="J799" s="134" t="str">
        <f>IFERROR(__xludf.DUMMYFUNCTION("IFERROR((FILTER(Data!N:N,Data!D:D=A799,Data!B:B=$B$1)),"""")"),"")</f>
        <v/>
      </c>
      <c r="K799" s="135" t="str">
        <f>IFERROR(__xludf.DUMMYFUNCTION("IFERROR((FILTER(Data!H:H,Data!D:D=A799,Data!B:B=$B$1)*2)+(FILTER(Data!L:L,Data!D:D=A799,Data!B:B=$B$1))+(FILTER(Data!G:G,Data!D:D=A799,Data!B:B=$B$1)*4)+(FILTER(Data!K:K,Data!D:D=A799,Data!B:B=$B$1)*2)+(((COUNTIF(FILTER(Data!N:N,Data!D:D=A799,Data!B:B=$B$"&amp;"1),""TRAVERSE"")*15)+(COUNTIF(FILTER(Data!N:N,Data!D:D=A799,Data!B:B=$B$1),""HIGH"")*10)+(COUNTIF(FILTER(Data!N:N,Data!D:D=A799,Data!B:B=$B$1),""MIDDLE"")*6)+(COUNTIF(FILTER(Data!N:N,Data!D:D=A799,Data!B:B=$B$1),""LOW"")*4))),"""")"),"")</f>
        <v/>
      </c>
      <c r="L799" s="136" t="str">
        <f>IFERROR(__xludf.DUMMYFUNCTION("IFERROR((FILTER(Data!P:P,Data!D:D=A799,Data!B:B=$B$1)),"""")"),"")</f>
        <v/>
      </c>
      <c r="M799" s="137" t="str">
        <f>IFERROR(__xludf.DUMMYFUNCTION("IFERROR((FILTER(Data!A:A,Data!D:D=A799,Data!B:B=$B$1)),"""")"),"")</f>
        <v/>
      </c>
      <c r="T799" s="52">
        <f>IFERROR(__xludf.DUMMYFUNCTION("((COUNTIF(FILTER(Data!N:N,Data!D:D=A799,Data!B:B=$B$1),""TRAVERSE"")*15)+(COUNTIF(FILTER(Data!N:N,Data!D:D=A799,Data!B:B=B$1),""HIGH"")*10)+(COUNTIF(FILTER(Data!N:N,Data!D:D=A799,Data!B:B=$B$1),""MIDDLE"")*6)+(COUNTIF(FILTER(Data!N:N,Data!D:D=A799,Data!B:"&amp;"B=$B$1),""LOW"")*4))"),0.0)</f>
        <v>0</v>
      </c>
      <c r="V799" s="138" t="str">
        <f>IF(Data!B791='Team Parser'!$B$1, Data!D791,"")</f>
        <v/>
      </c>
      <c r="W799" s="134" t="str">
        <f>IF(Data!$B791='Team Parser'!$B$1, Data!H791,"")</f>
        <v/>
      </c>
      <c r="X799" s="134" t="str">
        <f>IF(Data!$B791='Team Parser'!$B$1, Data!G791,"")</f>
        <v/>
      </c>
      <c r="Y799" s="134" t="str">
        <f>IF(Data!$B791='Team Parser'!$B$1, Data!L791,"")</f>
        <v/>
      </c>
      <c r="Z799" s="134" t="str">
        <f>IF(Data!$B791='Team Parser'!$B$1, Data!K791,"")</f>
        <v/>
      </c>
      <c r="AA799" s="134" t="str">
        <f>IF(Data!$B791='Team Parser'!$B$1, Data!M791,"")</f>
        <v/>
      </c>
      <c r="AB799" s="134" t="str">
        <f>IF(Data!$B791='Team Parser'!$B$1,((Z799*2)+(Y799)+(X799*4)+(W799*2)),"")</f>
        <v/>
      </c>
      <c r="AC799" s="134" t="str">
        <f>IF(Data!$B791='Team Parser'!$B$1, Data!N791,"")</f>
        <v/>
      </c>
      <c r="AD799" s="139" t="str">
        <f>IF(Data!$B791='Team Parser'!$B$1,(AB799+(COUNTIF(AC799,"TRAVERSE")*15)+(COUNTIF(AC799,"HIGH")*10)+(COUNTIF(AC799,"MIDDLE")*6)+(COUNTIF(AC799,"LOW")*4)),"")</f>
        <v/>
      </c>
    </row>
    <row r="800">
      <c r="A800" s="141" t="s">
        <v>507</v>
      </c>
      <c r="B800" s="134" t="str">
        <f>IFERROR(__xludf.DUMMYFUNCTION("IFERROR((FILTER(Data!H:H,Data!D:D=A800,Data!B:B=$B$1)),"""")"),"")</f>
        <v/>
      </c>
      <c r="C800" s="134" t="str">
        <f>IFERROR(__xludf.DUMMYFUNCTION("IFERROR((FILTER(Data!G:G,Data!D:D=A800,Data!B:B=$B$1)),"""")"),"")</f>
        <v/>
      </c>
      <c r="D800" s="134" t="str">
        <f>IFERROR(__xludf.DUMMYFUNCTION("IFERROR((FILTER(Data!J:J,Data!D:D=A800,Data!B:B=$B$1)),"""")"),"")</f>
        <v/>
      </c>
      <c r="E800" s="134" t="str">
        <f>IFERROR(__xludf.DUMMYFUNCTION("IFERROR((FILTER(Data!L:L,Data!D:D=A800,Data!B:B=$B$1)),"""")"),"")</f>
        <v/>
      </c>
      <c r="F800" s="134" t="str">
        <f>IFERROR(__xludf.DUMMYFUNCTION("IFERROR((FILTER(Data!K:K,Data!D:D=A800,Data!B:B=$B$1)),"""")"),"")</f>
        <v/>
      </c>
      <c r="G800" s="134" t="str">
        <f>IFERROR(__xludf.DUMMYFUNCTION("IFERROR((FILTER(Data!M:M,Data!D:D=A800,Data!B:B=$B$1)),"""")"),"")</f>
        <v/>
      </c>
      <c r="H800" s="134" t="str">
        <f>IFERROR(__xludf.DUMMYFUNCTION("IFERROR((FILTER(Data!G:G,Data!D:D=A800,Data!B:B=$B$1)*4)+(FILTER(Data!H:H,Data!D:D=A800,Data!B:B=$B$1)*2),"""")"),"")</f>
        <v/>
      </c>
      <c r="I800" s="15" t="str">
        <f>IFERROR(__xludf.DUMMYFUNCTION("IFERROR((FILTER(Data!K:K,Data!D:D=A800,Data!B:B=$B$1)*2)+(FILTER(Data!L:L,Data!D:D=A800,Data!B:B=$B$1)),"""")"),"")</f>
        <v/>
      </c>
      <c r="J800" s="134" t="str">
        <f>IFERROR(__xludf.DUMMYFUNCTION("IFERROR((FILTER(Data!N:N,Data!D:D=A800,Data!B:B=$B$1)),"""")"),"")</f>
        <v/>
      </c>
      <c r="K800" s="135" t="str">
        <f>IFERROR(__xludf.DUMMYFUNCTION("IFERROR((FILTER(Data!H:H,Data!D:D=A800,Data!B:B=$B$1)*2)+(FILTER(Data!L:L,Data!D:D=A800,Data!B:B=$B$1))+(FILTER(Data!G:G,Data!D:D=A800,Data!B:B=$B$1)*4)+(FILTER(Data!K:K,Data!D:D=A800,Data!B:B=$B$1)*2)+(((COUNTIF(FILTER(Data!N:N,Data!D:D=A800,Data!B:B=$B$"&amp;"1),""TRAVERSE"")*15)+(COUNTIF(FILTER(Data!N:N,Data!D:D=A800,Data!B:B=$B$1),""HIGH"")*10)+(COUNTIF(FILTER(Data!N:N,Data!D:D=A800,Data!B:B=$B$1),""MIDDLE"")*6)+(COUNTIF(FILTER(Data!N:N,Data!D:D=A800,Data!B:B=$B$1),""LOW"")*4))),"""")"),"")</f>
        <v/>
      </c>
      <c r="L800" s="136" t="str">
        <f>IFERROR(__xludf.DUMMYFUNCTION("IFERROR((FILTER(Data!P:P,Data!D:D=A800,Data!B:B=$B$1)),"""")"),"")</f>
        <v/>
      </c>
      <c r="M800" s="137" t="str">
        <f>IFERROR(__xludf.DUMMYFUNCTION("IFERROR((FILTER(Data!A:A,Data!D:D=A800,Data!B:B=$B$1)),"""")"),"")</f>
        <v/>
      </c>
      <c r="T800" s="52">
        <f>IFERROR(__xludf.DUMMYFUNCTION("((COUNTIF(FILTER(Data!N:N,Data!D:D=A800,Data!B:B=$B$1),""TRAVERSE"")*15)+(COUNTIF(FILTER(Data!N:N,Data!D:D=A800,Data!B:B=B$1),""HIGH"")*10)+(COUNTIF(FILTER(Data!N:N,Data!D:D=A800,Data!B:B=$B$1),""MIDDLE"")*6)+(COUNTIF(FILTER(Data!N:N,Data!D:D=A800,Data!B:"&amp;"B=$B$1),""LOW"")*4))"),0.0)</f>
        <v>0</v>
      </c>
      <c r="V800" s="138" t="str">
        <f>IF(Data!B792='Team Parser'!$B$1, Data!D792,"")</f>
        <v/>
      </c>
      <c r="W800" s="134" t="str">
        <f>IF(Data!$B792='Team Parser'!$B$1, Data!H792,"")</f>
        <v/>
      </c>
      <c r="X800" s="134" t="str">
        <f>IF(Data!$B792='Team Parser'!$B$1, Data!G792,"")</f>
        <v/>
      </c>
      <c r="Y800" s="134" t="str">
        <f>IF(Data!$B792='Team Parser'!$B$1, Data!L792,"")</f>
        <v/>
      </c>
      <c r="Z800" s="134" t="str">
        <f>IF(Data!$B792='Team Parser'!$B$1, Data!K792,"")</f>
        <v/>
      </c>
      <c r="AA800" s="134" t="str">
        <f>IF(Data!$B792='Team Parser'!$B$1, Data!M792,"")</f>
        <v/>
      </c>
      <c r="AB800" s="134" t="str">
        <f>IF(Data!$B792='Team Parser'!$B$1,((Z800*2)+(Y800)+(X800*4)+(W800*2)),"")</f>
        <v/>
      </c>
      <c r="AC800" s="134" t="str">
        <f>IF(Data!$B792='Team Parser'!$B$1, Data!N792,"")</f>
        <v/>
      </c>
      <c r="AD800" s="139" t="str">
        <f>IF(Data!$B792='Team Parser'!$B$1,(AB800+(COUNTIF(AC800,"TRAVERSE")*15)+(COUNTIF(AC800,"HIGH")*10)+(COUNTIF(AC800,"MIDDLE")*6)+(COUNTIF(AC800,"LOW")*4)),"")</f>
        <v/>
      </c>
    </row>
    <row r="801">
      <c r="A801" s="141" t="s">
        <v>507</v>
      </c>
      <c r="B801" s="134" t="str">
        <f>IFERROR(__xludf.DUMMYFUNCTION("IFERROR((FILTER(Data!H:H,Data!D:D=A801,Data!B:B=$B$1)),"""")"),"")</f>
        <v/>
      </c>
      <c r="C801" s="134" t="str">
        <f>IFERROR(__xludf.DUMMYFUNCTION("IFERROR((FILTER(Data!G:G,Data!D:D=A801,Data!B:B=$B$1)),"""")"),"")</f>
        <v/>
      </c>
      <c r="D801" s="134" t="str">
        <f>IFERROR(__xludf.DUMMYFUNCTION("IFERROR((FILTER(Data!J:J,Data!D:D=A801,Data!B:B=$B$1)),"""")"),"")</f>
        <v/>
      </c>
      <c r="E801" s="134" t="str">
        <f>IFERROR(__xludf.DUMMYFUNCTION("IFERROR((FILTER(Data!L:L,Data!D:D=A801,Data!B:B=$B$1)),"""")"),"")</f>
        <v/>
      </c>
      <c r="F801" s="134" t="str">
        <f>IFERROR(__xludf.DUMMYFUNCTION("IFERROR((FILTER(Data!K:K,Data!D:D=A801,Data!B:B=$B$1)),"""")"),"")</f>
        <v/>
      </c>
      <c r="G801" s="134" t="str">
        <f>IFERROR(__xludf.DUMMYFUNCTION("IFERROR((FILTER(Data!M:M,Data!D:D=A801,Data!B:B=$B$1)),"""")"),"")</f>
        <v/>
      </c>
      <c r="H801" s="134" t="str">
        <f>IFERROR(__xludf.DUMMYFUNCTION("IFERROR((FILTER(Data!G:G,Data!D:D=A801,Data!B:B=$B$1)*4)+(FILTER(Data!H:H,Data!D:D=A801,Data!B:B=$B$1)*2),"""")"),"")</f>
        <v/>
      </c>
      <c r="I801" s="15" t="str">
        <f>IFERROR(__xludf.DUMMYFUNCTION("IFERROR((FILTER(Data!K:K,Data!D:D=A801,Data!B:B=$B$1)*2)+(FILTER(Data!L:L,Data!D:D=A801,Data!B:B=$B$1)),"""")"),"")</f>
        <v/>
      </c>
      <c r="J801" s="134" t="str">
        <f>IFERROR(__xludf.DUMMYFUNCTION("IFERROR((FILTER(Data!N:N,Data!D:D=A801,Data!B:B=$B$1)),"""")"),"")</f>
        <v/>
      </c>
      <c r="K801" s="135" t="str">
        <f>IFERROR(__xludf.DUMMYFUNCTION("IFERROR((FILTER(Data!H:H,Data!D:D=A801,Data!B:B=$B$1)*2)+(FILTER(Data!L:L,Data!D:D=A801,Data!B:B=$B$1))+(FILTER(Data!G:G,Data!D:D=A801,Data!B:B=$B$1)*4)+(FILTER(Data!K:K,Data!D:D=A801,Data!B:B=$B$1)*2)+(((COUNTIF(FILTER(Data!N:N,Data!D:D=A801,Data!B:B=$B$"&amp;"1),""TRAVERSE"")*15)+(COUNTIF(FILTER(Data!N:N,Data!D:D=A801,Data!B:B=$B$1),""HIGH"")*10)+(COUNTIF(FILTER(Data!N:N,Data!D:D=A801,Data!B:B=$B$1),""MIDDLE"")*6)+(COUNTIF(FILTER(Data!N:N,Data!D:D=A801,Data!B:B=$B$1),""LOW"")*4))),"""")"),"")</f>
        <v/>
      </c>
      <c r="L801" s="136" t="str">
        <f>IFERROR(__xludf.DUMMYFUNCTION("IFERROR((FILTER(Data!P:P,Data!D:D=A801,Data!B:B=$B$1)),"""")"),"")</f>
        <v/>
      </c>
      <c r="M801" s="137" t="str">
        <f>IFERROR(__xludf.DUMMYFUNCTION("IFERROR((FILTER(Data!A:A,Data!D:D=A801,Data!B:B=$B$1)),"""")"),"")</f>
        <v/>
      </c>
      <c r="T801" s="52">
        <f>IFERROR(__xludf.DUMMYFUNCTION("((COUNTIF(FILTER(Data!N:N,Data!D:D=A801,Data!B:B=$B$1),""TRAVERSE"")*15)+(COUNTIF(FILTER(Data!N:N,Data!D:D=A801,Data!B:B=B$1),""HIGH"")*10)+(COUNTIF(FILTER(Data!N:N,Data!D:D=A801,Data!B:B=$B$1),""MIDDLE"")*6)+(COUNTIF(FILTER(Data!N:N,Data!D:D=A801,Data!B:"&amp;"B=$B$1),""LOW"")*4))"),0.0)</f>
        <v>0</v>
      </c>
      <c r="V801" s="138" t="str">
        <f>IF(Data!B793='Team Parser'!$B$1, Data!D793,"")</f>
        <v/>
      </c>
      <c r="W801" s="134" t="str">
        <f>IF(Data!$B793='Team Parser'!$B$1, Data!H793,"")</f>
        <v/>
      </c>
      <c r="X801" s="134" t="str">
        <f>IF(Data!$B793='Team Parser'!$B$1, Data!G793,"")</f>
        <v/>
      </c>
      <c r="Y801" s="134" t="str">
        <f>IF(Data!$B793='Team Parser'!$B$1, Data!L793,"")</f>
        <v/>
      </c>
      <c r="Z801" s="134" t="str">
        <f>IF(Data!$B793='Team Parser'!$B$1, Data!K793,"")</f>
        <v/>
      </c>
      <c r="AA801" s="134" t="str">
        <f>IF(Data!$B793='Team Parser'!$B$1, Data!M793,"")</f>
        <v/>
      </c>
      <c r="AB801" s="134" t="str">
        <f>IF(Data!$B793='Team Parser'!$B$1,((Z801*2)+(Y801)+(X801*4)+(W801*2)),"")</f>
        <v/>
      </c>
      <c r="AC801" s="134" t="str">
        <f>IF(Data!$B793='Team Parser'!$B$1, Data!N793,"")</f>
        <v/>
      </c>
      <c r="AD801" s="139" t="str">
        <f>IF(Data!$B793='Team Parser'!$B$1,(AB801+(COUNTIF(AC801,"TRAVERSE")*15)+(COUNTIF(AC801,"HIGH")*10)+(COUNTIF(AC801,"MIDDLE")*6)+(COUNTIF(AC801,"LOW")*4)),"")</f>
        <v/>
      </c>
    </row>
    <row r="802">
      <c r="A802" s="141" t="s">
        <v>507</v>
      </c>
      <c r="B802" s="134" t="str">
        <f>IFERROR(__xludf.DUMMYFUNCTION("IFERROR((FILTER(Data!H:H,Data!D:D=A802,Data!B:B=$B$1)),"""")"),"")</f>
        <v/>
      </c>
      <c r="C802" s="134" t="str">
        <f>IFERROR(__xludf.DUMMYFUNCTION("IFERROR((FILTER(Data!G:G,Data!D:D=A802,Data!B:B=$B$1)),"""")"),"")</f>
        <v/>
      </c>
      <c r="D802" s="134" t="str">
        <f>IFERROR(__xludf.DUMMYFUNCTION("IFERROR((FILTER(Data!J:J,Data!D:D=A802,Data!B:B=$B$1)),"""")"),"")</f>
        <v/>
      </c>
      <c r="E802" s="134" t="str">
        <f>IFERROR(__xludf.DUMMYFUNCTION("IFERROR((FILTER(Data!L:L,Data!D:D=A802,Data!B:B=$B$1)),"""")"),"")</f>
        <v/>
      </c>
      <c r="F802" s="134" t="str">
        <f>IFERROR(__xludf.DUMMYFUNCTION("IFERROR((FILTER(Data!K:K,Data!D:D=A802,Data!B:B=$B$1)),"""")"),"")</f>
        <v/>
      </c>
      <c r="G802" s="134" t="str">
        <f>IFERROR(__xludf.DUMMYFUNCTION("IFERROR((FILTER(Data!M:M,Data!D:D=A802,Data!B:B=$B$1)),"""")"),"")</f>
        <v/>
      </c>
      <c r="H802" s="134" t="str">
        <f>IFERROR(__xludf.DUMMYFUNCTION("IFERROR((FILTER(Data!G:G,Data!D:D=A802,Data!B:B=$B$1)*4)+(FILTER(Data!H:H,Data!D:D=A802,Data!B:B=$B$1)*2),"""")"),"")</f>
        <v/>
      </c>
      <c r="I802" s="15" t="str">
        <f>IFERROR(__xludf.DUMMYFUNCTION("IFERROR((FILTER(Data!K:K,Data!D:D=A802,Data!B:B=$B$1)*2)+(FILTER(Data!L:L,Data!D:D=A802,Data!B:B=$B$1)),"""")"),"")</f>
        <v/>
      </c>
      <c r="J802" s="134" t="str">
        <f>IFERROR(__xludf.DUMMYFUNCTION("IFERROR((FILTER(Data!N:N,Data!D:D=A802,Data!B:B=$B$1)),"""")"),"")</f>
        <v/>
      </c>
      <c r="K802" s="135" t="str">
        <f>IFERROR(__xludf.DUMMYFUNCTION("IFERROR((FILTER(Data!H:H,Data!D:D=A802,Data!B:B=$B$1)*2)+(FILTER(Data!L:L,Data!D:D=A802,Data!B:B=$B$1))+(FILTER(Data!G:G,Data!D:D=A802,Data!B:B=$B$1)*4)+(FILTER(Data!K:K,Data!D:D=A802,Data!B:B=$B$1)*2)+(((COUNTIF(FILTER(Data!N:N,Data!D:D=A802,Data!B:B=$B$"&amp;"1),""TRAVERSE"")*15)+(COUNTIF(FILTER(Data!N:N,Data!D:D=A802,Data!B:B=$B$1),""HIGH"")*10)+(COUNTIF(FILTER(Data!N:N,Data!D:D=A802,Data!B:B=$B$1),""MIDDLE"")*6)+(COUNTIF(FILTER(Data!N:N,Data!D:D=A802,Data!B:B=$B$1),""LOW"")*4))),"""")"),"")</f>
        <v/>
      </c>
      <c r="L802" s="136" t="str">
        <f>IFERROR(__xludf.DUMMYFUNCTION("IFERROR((FILTER(Data!P:P,Data!D:D=A802,Data!B:B=$B$1)),"""")"),"")</f>
        <v/>
      </c>
      <c r="M802" s="137" t="str">
        <f>IFERROR(__xludf.DUMMYFUNCTION("IFERROR((FILTER(Data!A:A,Data!D:D=A802,Data!B:B=$B$1)),"""")"),"")</f>
        <v/>
      </c>
      <c r="T802" s="52">
        <f>IFERROR(__xludf.DUMMYFUNCTION("((COUNTIF(FILTER(Data!N:N,Data!D:D=A802,Data!B:B=$B$1),""TRAVERSE"")*15)+(COUNTIF(FILTER(Data!N:N,Data!D:D=A802,Data!B:B=B$1),""HIGH"")*10)+(COUNTIF(FILTER(Data!N:N,Data!D:D=A802,Data!B:B=$B$1),""MIDDLE"")*6)+(COUNTIF(FILTER(Data!N:N,Data!D:D=A802,Data!B:"&amp;"B=$B$1),""LOW"")*4))"),0.0)</f>
        <v>0</v>
      </c>
      <c r="V802" s="138" t="str">
        <f>IF(Data!B794='Team Parser'!$B$1, Data!D794,"")</f>
        <v/>
      </c>
      <c r="W802" s="134" t="str">
        <f>IF(Data!$B794='Team Parser'!$B$1, Data!H794,"")</f>
        <v/>
      </c>
      <c r="X802" s="134" t="str">
        <f>IF(Data!$B794='Team Parser'!$B$1, Data!G794,"")</f>
        <v/>
      </c>
      <c r="Y802" s="134" t="str">
        <f>IF(Data!$B794='Team Parser'!$B$1, Data!L794,"")</f>
        <v/>
      </c>
      <c r="Z802" s="134" t="str">
        <f>IF(Data!$B794='Team Parser'!$B$1, Data!K794,"")</f>
        <v/>
      </c>
      <c r="AA802" s="134" t="str">
        <f>IF(Data!$B794='Team Parser'!$B$1, Data!M794,"")</f>
        <v/>
      </c>
      <c r="AB802" s="134" t="str">
        <f>IF(Data!$B794='Team Parser'!$B$1,((Z802*2)+(Y802)+(X802*4)+(W802*2)),"")</f>
        <v/>
      </c>
      <c r="AC802" s="134" t="str">
        <f>IF(Data!$B794='Team Parser'!$B$1, Data!N794,"")</f>
        <v/>
      </c>
      <c r="AD802" s="139" t="str">
        <f>IF(Data!$B794='Team Parser'!$B$1,(AB802+(COUNTIF(AC802,"TRAVERSE")*15)+(COUNTIF(AC802,"HIGH")*10)+(COUNTIF(AC802,"MIDDLE")*6)+(COUNTIF(AC802,"LOW")*4)),"")</f>
        <v/>
      </c>
    </row>
    <row r="803">
      <c r="A803" s="141" t="s">
        <v>507</v>
      </c>
      <c r="B803" s="134" t="str">
        <f>IFERROR(__xludf.DUMMYFUNCTION("IFERROR((FILTER(Data!H:H,Data!D:D=A803,Data!B:B=$B$1)),"""")"),"")</f>
        <v/>
      </c>
      <c r="C803" s="134" t="str">
        <f>IFERROR(__xludf.DUMMYFUNCTION("IFERROR((FILTER(Data!G:G,Data!D:D=A803,Data!B:B=$B$1)),"""")"),"")</f>
        <v/>
      </c>
      <c r="D803" s="134" t="str">
        <f>IFERROR(__xludf.DUMMYFUNCTION("IFERROR((FILTER(Data!J:J,Data!D:D=A803,Data!B:B=$B$1)),"""")"),"")</f>
        <v/>
      </c>
      <c r="E803" s="134" t="str">
        <f>IFERROR(__xludf.DUMMYFUNCTION("IFERROR((FILTER(Data!L:L,Data!D:D=A803,Data!B:B=$B$1)),"""")"),"")</f>
        <v/>
      </c>
      <c r="F803" s="134" t="str">
        <f>IFERROR(__xludf.DUMMYFUNCTION("IFERROR((FILTER(Data!K:K,Data!D:D=A803,Data!B:B=$B$1)),"""")"),"")</f>
        <v/>
      </c>
      <c r="G803" s="134" t="str">
        <f>IFERROR(__xludf.DUMMYFUNCTION("IFERROR((FILTER(Data!M:M,Data!D:D=A803,Data!B:B=$B$1)),"""")"),"")</f>
        <v/>
      </c>
      <c r="H803" s="134" t="str">
        <f>IFERROR(__xludf.DUMMYFUNCTION("IFERROR((FILTER(Data!G:G,Data!D:D=A803,Data!B:B=$B$1)*4)+(FILTER(Data!H:H,Data!D:D=A803,Data!B:B=$B$1)*2),"""")"),"")</f>
        <v/>
      </c>
      <c r="I803" s="15" t="str">
        <f>IFERROR(__xludf.DUMMYFUNCTION("IFERROR((FILTER(Data!K:K,Data!D:D=A803,Data!B:B=$B$1)*2)+(FILTER(Data!L:L,Data!D:D=A803,Data!B:B=$B$1)),"""")"),"")</f>
        <v/>
      </c>
      <c r="J803" s="134" t="str">
        <f>IFERROR(__xludf.DUMMYFUNCTION("IFERROR((FILTER(Data!N:N,Data!D:D=A803,Data!B:B=$B$1)),"""")"),"")</f>
        <v/>
      </c>
      <c r="K803" s="135" t="str">
        <f>IFERROR(__xludf.DUMMYFUNCTION("IFERROR((FILTER(Data!H:H,Data!D:D=A803,Data!B:B=$B$1)*2)+(FILTER(Data!L:L,Data!D:D=A803,Data!B:B=$B$1))+(FILTER(Data!G:G,Data!D:D=A803,Data!B:B=$B$1)*4)+(FILTER(Data!K:K,Data!D:D=A803,Data!B:B=$B$1)*2)+(((COUNTIF(FILTER(Data!N:N,Data!D:D=A803,Data!B:B=$B$"&amp;"1),""TRAVERSE"")*15)+(COUNTIF(FILTER(Data!N:N,Data!D:D=A803,Data!B:B=$B$1),""HIGH"")*10)+(COUNTIF(FILTER(Data!N:N,Data!D:D=A803,Data!B:B=$B$1),""MIDDLE"")*6)+(COUNTIF(FILTER(Data!N:N,Data!D:D=A803,Data!B:B=$B$1),""LOW"")*4))),"""")"),"")</f>
        <v/>
      </c>
      <c r="L803" s="136" t="str">
        <f>IFERROR(__xludf.DUMMYFUNCTION("IFERROR((FILTER(Data!P:P,Data!D:D=A803,Data!B:B=$B$1)),"""")"),"")</f>
        <v/>
      </c>
      <c r="M803" s="137" t="str">
        <f>IFERROR(__xludf.DUMMYFUNCTION("IFERROR((FILTER(Data!A:A,Data!D:D=A803,Data!B:B=$B$1)),"""")"),"")</f>
        <v/>
      </c>
      <c r="T803" s="52">
        <f>IFERROR(__xludf.DUMMYFUNCTION("((COUNTIF(FILTER(Data!N:N,Data!D:D=A803,Data!B:B=$B$1),""TRAVERSE"")*15)+(COUNTIF(FILTER(Data!N:N,Data!D:D=A803,Data!B:B=B$1),""HIGH"")*10)+(COUNTIF(FILTER(Data!N:N,Data!D:D=A803,Data!B:B=$B$1),""MIDDLE"")*6)+(COUNTIF(FILTER(Data!N:N,Data!D:D=A803,Data!B:"&amp;"B=$B$1),""LOW"")*4))"),0.0)</f>
        <v>0</v>
      </c>
      <c r="V803" s="138" t="str">
        <f>IF(Data!B795='Team Parser'!$B$1, Data!D795,"")</f>
        <v/>
      </c>
      <c r="W803" s="134" t="str">
        <f>IF(Data!$B795='Team Parser'!$B$1, Data!H795,"")</f>
        <v/>
      </c>
      <c r="X803" s="134" t="str">
        <f>IF(Data!$B795='Team Parser'!$B$1, Data!G795,"")</f>
        <v/>
      </c>
      <c r="Y803" s="134" t="str">
        <f>IF(Data!$B795='Team Parser'!$B$1, Data!L795,"")</f>
        <v/>
      </c>
      <c r="Z803" s="134" t="str">
        <f>IF(Data!$B795='Team Parser'!$B$1, Data!K795,"")</f>
        <v/>
      </c>
      <c r="AA803" s="134" t="str">
        <f>IF(Data!$B795='Team Parser'!$B$1, Data!M795,"")</f>
        <v/>
      </c>
      <c r="AB803" s="134" t="str">
        <f>IF(Data!$B795='Team Parser'!$B$1,((Z803*2)+(Y803)+(X803*4)+(W803*2)),"")</f>
        <v/>
      </c>
      <c r="AC803" s="134" t="str">
        <f>IF(Data!$B795='Team Parser'!$B$1, Data!N795,"")</f>
        <v/>
      </c>
      <c r="AD803" s="139" t="str">
        <f>IF(Data!$B795='Team Parser'!$B$1,(AB803+(COUNTIF(AC803,"TRAVERSE")*15)+(COUNTIF(AC803,"HIGH")*10)+(COUNTIF(AC803,"MIDDLE")*6)+(COUNTIF(AC803,"LOW")*4)),"")</f>
        <v/>
      </c>
    </row>
    <row r="804">
      <c r="A804" s="141" t="s">
        <v>507</v>
      </c>
      <c r="B804" s="134" t="str">
        <f>IFERROR(__xludf.DUMMYFUNCTION("IFERROR((FILTER(Data!H:H,Data!D:D=A804,Data!B:B=$B$1)),"""")"),"")</f>
        <v/>
      </c>
      <c r="C804" s="134" t="str">
        <f>IFERROR(__xludf.DUMMYFUNCTION("IFERROR((FILTER(Data!G:G,Data!D:D=A804,Data!B:B=$B$1)),"""")"),"")</f>
        <v/>
      </c>
      <c r="D804" s="134" t="str">
        <f>IFERROR(__xludf.DUMMYFUNCTION("IFERROR((FILTER(Data!J:J,Data!D:D=A804,Data!B:B=$B$1)),"""")"),"")</f>
        <v/>
      </c>
      <c r="E804" s="134" t="str">
        <f>IFERROR(__xludf.DUMMYFUNCTION("IFERROR((FILTER(Data!L:L,Data!D:D=A804,Data!B:B=$B$1)),"""")"),"")</f>
        <v/>
      </c>
      <c r="F804" s="134" t="str">
        <f>IFERROR(__xludf.DUMMYFUNCTION("IFERROR((FILTER(Data!K:K,Data!D:D=A804,Data!B:B=$B$1)),"""")"),"")</f>
        <v/>
      </c>
      <c r="G804" s="134" t="str">
        <f>IFERROR(__xludf.DUMMYFUNCTION("IFERROR((FILTER(Data!M:M,Data!D:D=A804,Data!B:B=$B$1)),"""")"),"")</f>
        <v/>
      </c>
      <c r="H804" s="134" t="str">
        <f>IFERROR(__xludf.DUMMYFUNCTION("IFERROR((FILTER(Data!G:G,Data!D:D=A804,Data!B:B=$B$1)*4)+(FILTER(Data!H:H,Data!D:D=A804,Data!B:B=$B$1)*2),"""")"),"")</f>
        <v/>
      </c>
      <c r="I804" s="15" t="str">
        <f>IFERROR(__xludf.DUMMYFUNCTION("IFERROR((FILTER(Data!K:K,Data!D:D=A804,Data!B:B=$B$1)*2)+(FILTER(Data!L:L,Data!D:D=A804,Data!B:B=$B$1)),"""")"),"")</f>
        <v/>
      </c>
      <c r="J804" s="134" t="str">
        <f>IFERROR(__xludf.DUMMYFUNCTION("IFERROR((FILTER(Data!N:N,Data!D:D=A804,Data!B:B=$B$1)),"""")"),"")</f>
        <v/>
      </c>
      <c r="K804" s="135" t="str">
        <f>IFERROR(__xludf.DUMMYFUNCTION("IFERROR((FILTER(Data!H:H,Data!D:D=A804,Data!B:B=$B$1)*2)+(FILTER(Data!L:L,Data!D:D=A804,Data!B:B=$B$1))+(FILTER(Data!G:G,Data!D:D=A804,Data!B:B=$B$1)*4)+(FILTER(Data!K:K,Data!D:D=A804,Data!B:B=$B$1)*2)+(((COUNTIF(FILTER(Data!N:N,Data!D:D=A804,Data!B:B=$B$"&amp;"1),""TRAVERSE"")*15)+(COUNTIF(FILTER(Data!N:N,Data!D:D=A804,Data!B:B=$B$1),""HIGH"")*10)+(COUNTIF(FILTER(Data!N:N,Data!D:D=A804,Data!B:B=$B$1),""MIDDLE"")*6)+(COUNTIF(FILTER(Data!N:N,Data!D:D=A804,Data!B:B=$B$1),""LOW"")*4))),"""")"),"")</f>
        <v/>
      </c>
      <c r="L804" s="136" t="str">
        <f>IFERROR(__xludf.DUMMYFUNCTION("IFERROR((FILTER(Data!P:P,Data!D:D=A804,Data!B:B=$B$1)),"""")"),"")</f>
        <v/>
      </c>
      <c r="M804" s="137" t="str">
        <f>IFERROR(__xludf.DUMMYFUNCTION("IFERROR((FILTER(Data!A:A,Data!D:D=A804,Data!B:B=$B$1)),"""")"),"")</f>
        <v/>
      </c>
      <c r="T804" s="52">
        <f>IFERROR(__xludf.DUMMYFUNCTION("((COUNTIF(FILTER(Data!N:N,Data!D:D=A804,Data!B:B=$B$1),""TRAVERSE"")*15)+(COUNTIF(FILTER(Data!N:N,Data!D:D=A804,Data!B:B=B$1),""HIGH"")*10)+(COUNTIF(FILTER(Data!N:N,Data!D:D=A804,Data!B:B=$B$1),""MIDDLE"")*6)+(COUNTIF(FILTER(Data!N:N,Data!D:D=A804,Data!B:"&amp;"B=$B$1),""LOW"")*4))"),0.0)</f>
        <v>0</v>
      </c>
      <c r="V804" s="138" t="str">
        <f>IF(Data!B796='Team Parser'!$B$1, Data!D796,"")</f>
        <v/>
      </c>
      <c r="W804" s="134" t="str">
        <f>IF(Data!$B796='Team Parser'!$B$1, Data!H796,"")</f>
        <v/>
      </c>
      <c r="X804" s="134" t="str">
        <f>IF(Data!$B796='Team Parser'!$B$1, Data!G796,"")</f>
        <v/>
      </c>
      <c r="Y804" s="134" t="str">
        <f>IF(Data!$B796='Team Parser'!$B$1, Data!L796,"")</f>
        <v/>
      </c>
      <c r="Z804" s="134" t="str">
        <f>IF(Data!$B796='Team Parser'!$B$1, Data!K796,"")</f>
        <v/>
      </c>
      <c r="AA804" s="134" t="str">
        <f>IF(Data!$B796='Team Parser'!$B$1, Data!M796,"")</f>
        <v/>
      </c>
      <c r="AB804" s="134" t="str">
        <f>IF(Data!$B796='Team Parser'!$B$1,((Z804*2)+(Y804)+(X804*4)+(W804*2)),"")</f>
        <v/>
      </c>
      <c r="AC804" s="134" t="str">
        <f>IF(Data!$B796='Team Parser'!$B$1, Data!N796,"")</f>
        <v/>
      </c>
      <c r="AD804" s="139" t="str">
        <f>IF(Data!$B796='Team Parser'!$B$1,(AB804+(COUNTIF(AC804,"TRAVERSE")*15)+(COUNTIF(AC804,"HIGH")*10)+(COUNTIF(AC804,"MIDDLE")*6)+(COUNTIF(AC804,"LOW")*4)),"")</f>
        <v/>
      </c>
    </row>
    <row r="805">
      <c r="A805" s="141" t="s">
        <v>507</v>
      </c>
      <c r="B805" s="134" t="str">
        <f>IFERROR(__xludf.DUMMYFUNCTION("IFERROR((FILTER(Data!H:H,Data!D:D=A805,Data!B:B=$B$1)),"""")"),"")</f>
        <v/>
      </c>
      <c r="C805" s="134" t="str">
        <f>IFERROR(__xludf.DUMMYFUNCTION("IFERROR((FILTER(Data!G:G,Data!D:D=A805,Data!B:B=$B$1)),"""")"),"")</f>
        <v/>
      </c>
      <c r="D805" s="134" t="str">
        <f>IFERROR(__xludf.DUMMYFUNCTION("IFERROR((FILTER(Data!J:J,Data!D:D=A805,Data!B:B=$B$1)),"""")"),"")</f>
        <v/>
      </c>
      <c r="E805" s="134" t="str">
        <f>IFERROR(__xludf.DUMMYFUNCTION("IFERROR((FILTER(Data!L:L,Data!D:D=A805,Data!B:B=$B$1)),"""")"),"")</f>
        <v/>
      </c>
      <c r="F805" s="134" t="str">
        <f>IFERROR(__xludf.DUMMYFUNCTION("IFERROR((FILTER(Data!K:K,Data!D:D=A805,Data!B:B=$B$1)),"""")"),"")</f>
        <v/>
      </c>
      <c r="G805" s="134" t="str">
        <f>IFERROR(__xludf.DUMMYFUNCTION("IFERROR((FILTER(Data!M:M,Data!D:D=A805,Data!B:B=$B$1)),"""")"),"")</f>
        <v/>
      </c>
      <c r="H805" s="134" t="str">
        <f>IFERROR(__xludf.DUMMYFUNCTION("IFERROR((FILTER(Data!G:G,Data!D:D=A805,Data!B:B=$B$1)*4)+(FILTER(Data!H:H,Data!D:D=A805,Data!B:B=$B$1)*2),"""")"),"")</f>
        <v/>
      </c>
      <c r="I805" s="15" t="str">
        <f>IFERROR(__xludf.DUMMYFUNCTION("IFERROR((FILTER(Data!K:K,Data!D:D=A805,Data!B:B=$B$1)*2)+(FILTER(Data!L:L,Data!D:D=A805,Data!B:B=$B$1)),"""")"),"")</f>
        <v/>
      </c>
      <c r="J805" s="134" t="str">
        <f>IFERROR(__xludf.DUMMYFUNCTION("IFERROR((FILTER(Data!N:N,Data!D:D=A805,Data!B:B=$B$1)),"""")"),"")</f>
        <v/>
      </c>
      <c r="K805" s="135" t="str">
        <f>IFERROR(__xludf.DUMMYFUNCTION("IFERROR((FILTER(Data!H:H,Data!D:D=A805,Data!B:B=$B$1)*2)+(FILTER(Data!L:L,Data!D:D=A805,Data!B:B=$B$1))+(FILTER(Data!G:G,Data!D:D=A805,Data!B:B=$B$1)*4)+(FILTER(Data!K:K,Data!D:D=A805,Data!B:B=$B$1)*2)+(((COUNTIF(FILTER(Data!N:N,Data!D:D=A805,Data!B:B=$B$"&amp;"1),""TRAVERSE"")*15)+(COUNTIF(FILTER(Data!N:N,Data!D:D=A805,Data!B:B=$B$1),""HIGH"")*10)+(COUNTIF(FILTER(Data!N:N,Data!D:D=A805,Data!B:B=$B$1),""MIDDLE"")*6)+(COUNTIF(FILTER(Data!N:N,Data!D:D=A805,Data!B:B=$B$1),""LOW"")*4))),"""")"),"")</f>
        <v/>
      </c>
      <c r="L805" s="136" t="str">
        <f>IFERROR(__xludf.DUMMYFUNCTION("IFERROR((FILTER(Data!P:P,Data!D:D=A805,Data!B:B=$B$1)),"""")"),"")</f>
        <v/>
      </c>
      <c r="M805" s="137" t="str">
        <f>IFERROR(__xludf.DUMMYFUNCTION("IFERROR((FILTER(Data!A:A,Data!D:D=A805,Data!B:B=$B$1)),"""")"),"")</f>
        <v/>
      </c>
      <c r="T805" s="52">
        <f>IFERROR(__xludf.DUMMYFUNCTION("((COUNTIF(FILTER(Data!N:N,Data!D:D=A805,Data!B:B=$B$1),""TRAVERSE"")*15)+(COUNTIF(FILTER(Data!N:N,Data!D:D=A805,Data!B:B=B$1),""HIGH"")*10)+(COUNTIF(FILTER(Data!N:N,Data!D:D=A805,Data!B:B=$B$1),""MIDDLE"")*6)+(COUNTIF(FILTER(Data!N:N,Data!D:D=A805,Data!B:"&amp;"B=$B$1),""LOW"")*4))"),0.0)</f>
        <v>0</v>
      </c>
      <c r="V805" s="138" t="str">
        <f>IF(Data!B797='Team Parser'!$B$1, Data!D797,"")</f>
        <v/>
      </c>
      <c r="W805" s="134" t="str">
        <f>IF(Data!$B797='Team Parser'!$B$1, Data!H797,"")</f>
        <v/>
      </c>
      <c r="X805" s="134" t="str">
        <f>IF(Data!$B797='Team Parser'!$B$1, Data!G797,"")</f>
        <v/>
      </c>
      <c r="Y805" s="134" t="str">
        <f>IF(Data!$B797='Team Parser'!$B$1, Data!L797,"")</f>
        <v/>
      </c>
      <c r="Z805" s="134" t="str">
        <f>IF(Data!$B797='Team Parser'!$B$1, Data!K797,"")</f>
        <v/>
      </c>
      <c r="AA805" s="134" t="str">
        <f>IF(Data!$B797='Team Parser'!$B$1, Data!M797,"")</f>
        <v/>
      </c>
      <c r="AB805" s="134" t="str">
        <f>IF(Data!$B797='Team Parser'!$B$1,((Z805*2)+(Y805)+(X805*4)+(W805*2)),"")</f>
        <v/>
      </c>
      <c r="AC805" s="134" t="str">
        <f>IF(Data!$B797='Team Parser'!$B$1, Data!N797,"")</f>
        <v/>
      </c>
      <c r="AD805" s="139" t="str">
        <f>IF(Data!$B797='Team Parser'!$B$1,(AB805+(COUNTIF(AC805,"TRAVERSE")*15)+(COUNTIF(AC805,"HIGH")*10)+(COUNTIF(AC805,"MIDDLE")*6)+(COUNTIF(AC805,"LOW")*4)),"")</f>
        <v/>
      </c>
    </row>
    <row r="806">
      <c r="A806" s="141" t="s">
        <v>507</v>
      </c>
      <c r="B806" s="134" t="str">
        <f>IFERROR(__xludf.DUMMYFUNCTION("IFERROR((FILTER(Data!H:H,Data!D:D=A806,Data!B:B=$B$1)),"""")"),"")</f>
        <v/>
      </c>
      <c r="C806" s="134" t="str">
        <f>IFERROR(__xludf.DUMMYFUNCTION("IFERROR((FILTER(Data!G:G,Data!D:D=A806,Data!B:B=$B$1)),"""")"),"")</f>
        <v/>
      </c>
      <c r="D806" s="134" t="str">
        <f>IFERROR(__xludf.DUMMYFUNCTION("IFERROR((FILTER(Data!J:J,Data!D:D=A806,Data!B:B=$B$1)),"""")"),"")</f>
        <v/>
      </c>
      <c r="E806" s="134" t="str">
        <f>IFERROR(__xludf.DUMMYFUNCTION("IFERROR((FILTER(Data!L:L,Data!D:D=A806,Data!B:B=$B$1)),"""")"),"")</f>
        <v/>
      </c>
      <c r="F806" s="134" t="str">
        <f>IFERROR(__xludf.DUMMYFUNCTION("IFERROR((FILTER(Data!K:K,Data!D:D=A806,Data!B:B=$B$1)),"""")"),"")</f>
        <v/>
      </c>
      <c r="G806" s="134" t="str">
        <f>IFERROR(__xludf.DUMMYFUNCTION("IFERROR((FILTER(Data!M:M,Data!D:D=A806,Data!B:B=$B$1)),"""")"),"")</f>
        <v/>
      </c>
      <c r="H806" s="134" t="str">
        <f>IFERROR(__xludf.DUMMYFUNCTION("IFERROR((FILTER(Data!G:G,Data!D:D=A806,Data!B:B=$B$1)*4)+(FILTER(Data!H:H,Data!D:D=A806,Data!B:B=$B$1)*2),"""")"),"")</f>
        <v/>
      </c>
      <c r="I806" s="15" t="str">
        <f>IFERROR(__xludf.DUMMYFUNCTION("IFERROR((FILTER(Data!K:K,Data!D:D=A806,Data!B:B=$B$1)*2)+(FILTER(Data!L:L,Data!D:D=A806,Data!B:B=$B$1)),"""")"),"")</f>
        <v/>
      </c>
      <c r="J806" s="134" t="str">
        <f>IFERROR(__xludf.DUMMYFUNCTION("IFERROR((FILTER(Data!N:N,Data!D:D=A806,Data!B:B=$B$1)),"""")"),"")</f>
        <v/>
      </c>
      <c r="K806" s="135" t="str">
        <f>IFERROR(__xludf.DUMMYFUNCTION("IFERROR((FILTER(Data!H:H,Data!D:D=A806,Data!B:B=$B$1)*2)+(FILTER(Data!L:L,Data!D:D=A806,Data!B:B=$B$1))+(FILTER(Data!G:G,Data!D:D=A806,Data!B:B=$B$1)*4)+(FILTER(Data!K:K,Data!D:D=A806,Data!B:B=$B$1)*2)+(((COUNTIF(FILTER(Data!N:N,Data!D:D=A806,Data!B:B=$B$"&amp;"1),""TRAVERSE"")*15)+(COUNTIF(FILTER(Data!N:N,Data!D:D=A806,Data!B:B=$B$1),""HIGH"")*10)+(COUNTIF(FILTER(Data!N:N,Data!D:D=A806,Data!B:B=$B$1),""MIDDLE"")*6)+(COUNTIF(FILTER(Data!N:N,Data!D:D=A806,Data!B:B=$B$1),""LOW"")*4))),"""")"),"")</f>
        <v/>
      </c>
      <c r="L806" s="136" t="str">
        <f>IFERROR(__xludf.DUMMYFUNCTION("IFERROR((FILTER(Data!P:P,Data!D:D=A806,Data!B:B=$B$1)),"""")"),"")</f>
        <v/>
      </c>
      <c r="M806" s="137" t="str">
        <f>IFERROR(__xludf.DUMMYFUNCTION("IFERROR((FILTER(Data!A:A,Data!D:D=A806,Data!B:B=$B$1)),"""")"),"")</f>
        <v/>
      </c>
      <c r="T806" s="52">
        <f>IFERROR(__xludf.DUMMYFUNCTION("((COUNTIF(FILTER(Data!N:N,Data!D:D=A806,Data!B:B=$B$1),""TRAVERSE"")*15)+(COUNTIF(FILTER(Data!N:N,Data!D:D=A806,Data!B:B=B$1),""HIGH"")*10)+(COUNTIF(FILTER(Data!N:N,Data!D:D=A806,Data!B:B=$B$1),""MIDDLE"")*6)+(COUNTIF(FILTER(Data!N:N,Data!D:D=A806,Data!B:"&amp;"B=$B$1),""LOW"")*4))"),0.0)</f>
        <v>0</v>
      </c>
      <c r="V806" s="138" t="str">
        <f>IF(Data!B798='Team Parser'!$B$1, Data!D798,"")</f>
        <v/>
      </c>
      <c r="W806" s="134" t="str">
        <f>IF(Data!$B798='Team Parser'!$B$1, Data!H798,"")</f>
        <v/>
      </c>
      <c r="X806" s="134" t="str">
        <f>IF(Data!$B798='Team Parser'!$B$1, Data!G798,"")</f>
        <v/>
      </c>
      <c r="Y806" s="134" t="str">
        <f>IF(Data!$B798='Team Parser'!$B$1, Data!L798,"")</f>
        <v/>
      </c>
      <c r="Z806" s="134" t="str">
        <f>IF(Data!$B798='Team Parser'!$B$1, Data!K798,"")</f>
        <v/>
      </c>
      <c r="AA806" s="134" t="str">
        <f>IF(Data!$B798='Team Parser'!$B$1, Data!M798,"")</f>
        <v/>
      </c>
      <c r="AB806" s="134" t="str">
        <f>IF(Data!$B798='Team Parser'!$B$1,((Z806*2)+(Y806)+(X806*4)+(W806*2)),"")</f>
        <v/>
      </c>
      <c r="AC806" s="134" t="str">
        <f>IF(Data!$B798='Team Parser'!$B$1, Data!N798,"")</f>
        <v/>
      </c>
      <c r="AD806" s="139" t="str">
        <f>IF(Data!$B798='Team Parser'!$B$1,(AB806+(COUNTIF(AC806,"TRAVERSE")*15)+(COUNTIF(AC806,"HIGH")*10)+(COUNTIF(AC806,"MIDDLE")*6)+(COUNTIF(AC806,"LOW")*4)),"")</f>
        <v/>
      </c>
    </row>
    <row r="807">
      <c r="A807" s="141" t="s">
        <v>507</v>
      </c>
      <c r="B807" s="134" t="str">
        <f>IFERROR(__xludf.DUMMYFUNCTION("IFERROR((FILTER(Data!H:H,Data!D:D=A807,Data!B:B=$B$1)),"""")"),"")</f>
        <v/>
      </c>
      <c r="C807" s="134" t="str">
        <f>IFERROR(__xludf.DUMMYFUNCTION("IFERROR((FILTER(Data!G:G,Data!D:D=A807,Data!B:B=$B$1)),"""")"),"")</f>
        <v/>
      </c>
      <c r="D807" s="134" t="str">
        <f>IFERROR(__xludf.DUMMYFUNCTION("IFERROR((FILTER(Data!J:J,Data!D:D=A807,Data!B:B=$B$1)),"""")"),"")</f>
        <v/>
      </c>
      <c r="E807" s="134" t="str">
        <f>IFERROR(__xludf.DUMMYFUNCTION("IFERROR((FILTER(Data!L:L,Data!D:D=A807,Data!B:B=$B$1)),"""")"),"")</f>
        <v/>
      </c>
      <c r="F807" s="134" t="str">
        <f>IFERROR(__xludf.DUMMYFUNCTION("IFERROR((FILTER(Data!K:K,Data!D:D=A807,Data!B:B=$B$1)),"""")"),"")</f>
        <v/>
      </c>
      <c r="G807" s="134" t="str">
        <f>IFERROR(__xludf.DUMMYFUNCTION("IFERROR((FILTER(Data!M:M,Data!D:D=A807,Data!B:B=$B$1)),"""")"),"")</f>
        <v/>
      </c>
      <c r="H807" s="134" t="str">
        <f>IFERROR(__xludf.DUMMYFUNCTION("IFERROR((FILTER(Data!G:G,Data!D:D=A807,Data!B:B=$B$1)*4)+(FILTER(Data!H:H,Data!D:D=A807,Data!B:B=$B$1)*2),"""")"),"")</f>
        <v/>
      </c>
      <c r="I807" s="15" t="str">
        <f>IFERROR(__xludf.DUMMYFUNCTION("IFERROR((FILTER(Data!K:K,Data!D:D=A807,Data!B:B=$B$1)*2)+(FILTER(Data!L:L,Data!D:D=A807,Data!B:B=$B$1)),"""")"),"")</f>
        <v/>
      </c>
      <c r="J807" s="134" t="str">
        <f>IFERROR(__xludf.DUMMYFUNCTION("IFERROR((FILTER(Data!N:N,Data!D:D=A807,Data!B:B=$B$1)),"""")"),"")</f>
        <v/>
      </c>
      <c r="K807" s="135" t="str">
        <f>IFERROR(__xludf.DUMMYFUNCTION("IFERROR((FILTER(Data!H:H,Data!D:D=A807,Data!B:B=$B$1)*2)+(FILTER(Data!L:L,Data!D:D=A807,Data!B:B=$B$1))+(FILTER(Data!G:G,Data!D:D=A807,Data!B:B=$B$1)*4)+(FILTER(Data!K:K,Data!D:D=A807,Data!B:B=$B$1)*2)+(((COUNTIF(FILTER(Data!N:N,Data!D:D=A807,Data!B:B=$B$"&amp;"1),""TRAVERSE"")*15)+(COUNTIF(FILTER(Data!N:N,Data!D:D=A807,Data!B:B=$B$1),""HIGH"")*10)+(COUNTIF(FILTER(Data!N:N,Data!D:D=A807,Data!B:B=$B$1),""MIDDLE"")*6)+(COUNTIF(FILTER(Data!N:N,Data!D:D=A807,Data!B:B=$B$1),""LOW"")*4))),"""")"),"")</f>
        <v/>
      </c>
      <c r="L807" s="136" t="str">
        <f>IFERROR(__xludf.DUMMYFUNCTION("IFERROR((FILTER(Data!P:P,Data!D:D=A807,Data!B:B=$B$1)),"""")"),"")</f>
        <v/>
      </c>
      <c r="M807" s="137" t="str">
        <f>IFERROR(__xludf.DUMMYFUNCTION("IFERROR((FILTER(Data!A:A,Data!D:D=A807,Data!B:B=$B$1)),"""")"),"")</f>
        <v/>
      </c>
      <c r="T807" s="52">
        <f>IFERROR(__xludf.DUMMYFUNCTION("((COUNTIF(FILTER(Data!N:N,Data!D:D=A807,Data!B:B=$B$1),""TRAVERSE"")*15)+(COUNTIF(FILTER(Data!N:N,Data!D:D=A807,Data!B:B=B$1),""HIGH"")*10)+(COUNTIF(FILTER(Data!N:N,Data!D:D=A807,Data!B:B=$B$1),""MIDDLE"")*6)+(COUNTIF(FILTER(Data!N:N,Data!D:D=A807,Data!B:"&amp;"B=$B$1),""LOW"")*4))"),0.0)</f>
        <v>0</v>
      </c>
      <c r="V807" s="138" t="str">
        <f>IF(Data!B799='Team Parser'!$B$1, Data!D799,"")</f>
        <v/>
      </c>
      <c r="W807" s="134" t="str">
        <f>IF(Data!$B799='Team Parser'!$B$1, Data!H799,"")</f>
        <v/>
      </c>
      <c r="X807" s="134" t="str">
        <f>IF(Data!$B799='Team Parser'!$B$1, Data!G799,"")</f>
        <v/>
      </c>
      <c r="Y807" s="134" t="str">
        <f>IF(Data!$B799='Team Parser'!$B$1, Data!L799,"")</f>
        <v/>
      </c>
      <c r="Z807" s="134" t="str">
        <f>IF(Data!$B799='Team Parser'!$B$1, Data!K799,"")</f>
        <v/>
      </c>
      <c r="AA807" s="134" t="str">
        <f>IF(Data!$B799='Team Parser'!$B$1, Data!M799,"")</f>
        <v/>
      </c>
      <c r="AB807" s="134" t="str">
        <f>IF(Data!$B799='Team Parser'!$B$1,((Z807*2)+(Y807)+(X807*4)+(W807*2)),"")</f>
        <v/>
      </c>
      <c r="AC807" s="134" t="str">
        <f>IF(Data!$B799='Team Parser'!$B$1, Data!N799,"")</f>
        <v/>
      </c>
      <c r="AD807" s="139" t="str">
        <f>IF(Data!$B799='Team Parser'!$B$1,(AB807+(COUNTIF(AC807,"TRAVERSE")*15)+(COUNTIF(AC807,"HIGH")*10)+(COUNTIF(AC807,"MIDDLE")*6)+(COUNTIF(AC807,"LOW")*4)),"")</f>
        <v/>
      </c>
    </row>
    <row r="808">
      <c r="A808" s="141" t="s">
        <v>507</v>
      </c>
      <c r="B808" s="134" t="str">
        <f>IFERROR(__xludf.DUMMYFUNCTION("IFERROR((FILTER(Data!H:H,Data!D:D=A808,Data!B:B=$B$1)),"""")"),"")</f>
        <v/>
      </c>
      <c r="C808" s="134" t="str">
        <f>IFERROR(__xludf.DUMMYFUNCTION("IFERROR((FILTER(Data!G:G,Data!D:D=A808,Data!B:B=$B$1)),"""")"),"")</f>
        <v/>
      </c>
      <c r="D808" s="134" t="str">
        <f>IFERROR(__xludf.DUMMYFUNCTION("IFERROR((FILTER(Data!J:J,Data!D:D=A808,Data!B:B=$B$1)),"""")"),"")</f>
        <v/>
      </c>
      <c r="E808" s="134" t="str">
        <f>IFERROR(__xludf.DUMMYFUNCTION("IFERROR((FILTER(Data!L:L,Data!D:D=A808,Data!B:B=$B$1)),"""")"),"")</f>
        <v/>
      </c>
      <c r="F808" s="134" t="str">
        <f>IFERROR(__xludf.DUMMYFUNCTION("IFERROR((FILTER(Data!K:K,Data!D:D=A808,Data!B:B=$B$1)),"""")"),"")</f>
        <v/>
      </c>
      <c r="G808" s="134" t="str">
        <f>IFERROR(__xludf.DUMMYFUNCTION("IFERROR((FILTER(Data!M:M,Data!D:D=A808,Data!B:B=$B$1)),"""")"),"")</f>
        <v/>
      </c>
      <c r="H808" s="134" t="str">
        <f>IFERROR(__xludf.DUMMYFUNCTION("IFERROR((FILTER(Data!G:G,Data!D:D=A808,Data!B:B=$B$1)*4)+(FILTER(Data!H:H,Data!D:D=A808,Data!B:B=$B$1)*2),"""")"),"")</f>
        <v/>
      </c>
      <c r="I808" s="15" t="str">
        <f>IFERROR(__xludf.DUMMYFUNCTION("IFERROR((FILTER(Data!K:K,Data!D:D=A808,Data!B:B=$B$1)*2)+(FILTER(Data!L:L,Data!D:D=A808,Data!B:B=$B$1)),"""")"),"")</f>
        <v/>
      </c>
      <c r="J808" s="134" t="str">
        <f>IFERROR(__xludf.DUMMYFUNCTION("IFERROR((FILTER(Data!N:N,Data!D:D=A808,Data!B:B=$B$1)),"""")"),"")</f>
        <v/>
      </c>
      <c r="K808" s="135" t="str">
        <f>IFERROR(__xludf.DUMMYFUNCTION("IFERROR((FILTER(Data!H:H,Data!D:D=A808,Data!B:B=$B$1)*2)+(FILTER(Data!L:L,Data!D:D=A808,Data!B:B=$B$1))+(FILTER(Data!G:G,Data!D:D=A808,Data!B:B=$B$1)*4)+(FILTER(Data!K:K,Data!D:D=A808,Data!B:B=$B$1)*2)+(((COUNTIF(FILTER(Data!N:N,Data!D:D=A808,Data!B:B=$B$"&amp;"1),""TRAVERSE"")*15)+(COUNTIF(FILTER(Data!N:N,Data!D:D=A808,Data!B:B=$B$1),""HIGH"")*10)+(COUNTIF(FILTER(Data!N:N,Data!D:D=A808,Data!B:B=$B$1),""MIDDLE"")*6)+(COUNTIF(FILTER(Data!N:N,Data!D:D=A808,Data!B:B=$B$1),""LOW"")*4))),"""")"),"")</f>
        <v/>
      </c>
      <c r="L808" s="136" t="str">
        <f>IFERROR(__xludf.DUMMYFUNCTION("IFERROR((FILTER(Data!P:P,Data!D:D=A808,Data!B:B=$B$1)),"""")"),"")</f>
        <v/>
      </c>
      <c r="M808" s="137" t="str">
        <f>IFERROR(__xludf.DUMMYFUNCTION("IFERROR((FILTER(Data!A:A,Data!D:D=A808,Data!B:B=$B$1)),"""")"),"")</f>
        <v/>
      </c>
      <c r="T808" s="52">
        <f>IFERROR(__xludf.DUMMYFUNCTION("((COUNTIF(FILTER(Data!N:N,Data!D:D=A808,Data!B:B=$B$1),""TRAVERSE"")*15)+(COUNTIF(FILTER(Data!N:N,Data!D:D=A808,Data!B:B=B$1),""HIGH"")*10)+(COUNTIF(FILTER(Data!N:N,Data!D:D=A808,Data!B:B=$B$1),""MIDDLE"")*6)+(COUNTIF(FILTER(Data!N:N,Data!D:D=A808,Data!B:"&amp;"B=$B$1),""LOW"")*4))"),0.0)</f>
        <v>0</v>
      </c>
      <c r="V808" s="138" t="str">
        <f>IF(Data!B800='Team Parser'!$B$1, Data!D800,"")</f>
        <v/>
      </c>
      <c r="W808" s="134" t="str">
        <f>IF(Data!$B800='Team Parser'!$B$1, Data!H800,"")</f>
        <v/>
      </c>
      <c r="X808" s="134" t="str">
        <f>IF(Data!$B800='Team Parser'!$B$1, Data!G800,"")</f>
        <v/>
      </c>
      <c r="Y808" s="134" t="str">
        <f>IF(Data!$B800='Team Parser'!$B$1, Data!L800,"")</f>
        <v/>
      </c>
      <c r="Z808" s="134" t="str">
        <f>IF(Data!$B800='Team Parser'!$B$1, Data!K800,"")</f>
        <v/>
      </c>
      <c r="AA808" s="134" t="str">
        <f>IF(Data!$B800='Team Parser'!$B$1, Data!M800,"")</f>
        <v/>
      </c>
      <c r="AB808" s="134" t="str">
        <f>IF(Data!$B800='Team Parser'!$B$1,((Z808*2)+(Y808)+(X808*4)+(W808*2)),"")</f>
        <v/>
      </c>
      <c r="AC808" s="134" t="str">
        <f>IF(Data!$B800='Team Parser'!$B$1, Data!N800,"")</f>
        <v/>
      </c>
      <c r="AD808" s="139" t="str">
        <f>IF(Data!$B800='Team Parser'!$B$1,(AB808+(COUNTIF(AC808,"TRAVERSE")*15)+(COUNTIF(AC808,"HIGH")*10)+(COUNTIF(AC808,"MIDDLE")*6)+(COUNTIF(AC808,"LOW")*4)),"")</f>
        <v/>
      </c>
    </row>
    <row r="809">
      <c r="A809" s="141" t="s">
        <v>507</v>
      </c>
      <c r="B809" s="134" t="str">
        <f>IFERROR(__xludf.DUMMYFUNCTION("IFERROR((FILTER(Data!H:H,Data!D:D=A809,Data!B:B=$B$1)),"""")"),"")</f>
        <v/>
      </c>
      <c r="C809" s="134" t="str">
        <f>IFERROR(__xludf.DUMMYFUNCTION("IFERROR((FILTER(Data!G:G,Data!D:D=A809,Data!B:B=$B$1)),"""")"),"")</f>
        <v/>
      </c>
      <c r="D809" s="134" t="str">
        <f>IFERROR(__xludf.DUMMYFUNCTION("IFERROR((FILTER(Data!J:J,Data!D:D=A809,Data!B:B=$B$1)),"""")"),"")</f>
        <v/>
      </c>
      <c r="E809" s="134" t="str">
        <f>IFERROR(__xludf.DUMMYFUNCTION("IFERROR((FILTER(Data!L:L,Data!D:D=A809,Data!B:B=$B$1)),"""")"),"")</f>
        <v/>
      </c>
      <c r="F809" s="134" t="str">
        <f>IFERROR(__xludf.DUMMYFUNCTION("IFERROR((FILTER(Data!K:K,Data!D:D=A809,Data!B:B=$B$1)),"""")"),"")</f>
        <v/>
      </c>
      <c r="G809" s="134" t="str">
        <f>IFERROR(__xludf.DUMMYFUNCTION("IFERROR((FILTER(Data!M:M,Data!D:D=A809,Data!B:B=$B$1)),"""")"),"")</f>
        <v/>
      </c>
      <c r="H809" s="134" t="str">
        <f>IFERROR(__xludf.DUMMYFUNCTION("IFERROR((FILTER(Data!G:G,Data!D:D=A809,Data!B:B=$B$1)*4)+(FILTER(Data!H:H,Data!D:D=A809,Data!B:B=$B$1)*2),"""")"),"")</f>
        <v/>
      </c>
      <c r="I809" s="15" t="str">
        <f>IFERROR(__xludf.DUMMYFUNCTION("IFERROR((FILTER(Data!K:K,Data!D:D=A809,Data!B:B=$B$1)*2)+(FILTER(Data!L:L,Data!D:D=A809,Data!B:B=$B$1)),"""")"),"")</f>
        <v/>
      </c>
      <c r="J809" s="134" t="str">
        <f>IFERROR(__xludf.DUMMYFUNCTION("IFERROR((FILTER(Data!N:N,Data!D:D=A809,Data!B:B=$B$1)),"""")"),"")</f>
        <v/>
      </c>
      <c r="K809" s="135" t="str">
        <f>IFERROR(__xludf.DUMMYFUNCTION("IFERROR((FILTER(Data!H:H,Data!D:D=A809,Data!B:B=$B$1)*2)+(FILTER(Data!L:L,Data!D:D=A809,Data!B:B=$B$1))+(FILTER(Data!G:G,Data!D:D=A809,Data!B:B=$B$1)*4)+(FILTER(Data!K:K,Data!D:D=A809,Data!B:B=$B$1)*2)+(((COUNTIF(FILTER(Data!N:N,Data!D:D=A809,Data!B:B=$B$"&amp;"1),""TRAVERSE"")*15)+(COUNTIF(FILTER(Data!N:N,Data!D:D=A809,Data!B:B=$B$1),""HIGH"")*10)+(COUNTIF(FILTER(Data!N:N,Data!D:D=A809,Data!B:B=$B$1),""MIDDLE"")*6)+(COUNTIF(FILTER(Data!N:N,Data!D:D=A809,Data!B:B=$B$1),""LOW"")*4))),"""")"),"")</f>
        <v/>
      </c>
      <c r="L809" s="136" t="str">
        <f>IFERROR(__xludf.DUMMYFUNCTION("IFERROR((FILTER(Data!P:P,Data!D:D=A809,Data!B:B=$B$1)),"""")"),"")</f>
        <v/>
      </c>
      <c r="M809" s="137" t="str">
        <f>IFERROR(__xludf.DUMMYFUNCTION("IFERROR((FILTER(Data!A:A,Data!D:D=A809,Data!B:B=$B$1)),"""")"),"")</f>
        <v/>
      </c>
      <c r="T809" s="52">
        <f>IFERROR(__xludf.DUMMYFUNCTION("((COUNTIF(FILTER(Data!N:N,Data!D:D=A809,Data!B:B=$B$1),""TRAVERSE"")*15)+(COUNTIF(FILTER(Data!N:N,Data!D:D=A809,Data!B:B=B$1),""HIGH"")*10)+(COUNTIF(FILTER(Data!N:N,Data!D:D=A809,Data!B:B=$B$1),""MIDDLE"")*6)+(COUNTIF(FILTER(Data!N:N,Data!D:D=A809,Data!B:"&amp;"B=$B$1),""LOW"")*4))"),0.0)</f>
        <v>0</v>
      </c>
      <c r="V809" s="138" t="str">
        <f>IF(Data!B801='Team Parser'!$B$1, Data!D801,"")</f>
        <v/>
      </c>
      <c r="W809" s="134" t="str">
        <f>IF(Data!$B801='Team Parser'!$B$1, Data!H801,"")</f>
        <v/>
      </c>
      <c r="X809" s="134" t="str">
        <f>IF(Data!$B801='Team Parser'!$B$1, Data!G801,"")</f>
        <v/>
      </c>
      <c r="Y809" s="134" t="str">
        <f>IF(Data!$B801='Team Parser'!$B$1, Data!L801,"")</f>
        <v/>
      </c>
      <c r="Z809" s="134" t="str">
        <f>IF(Data!$B801='Team Parser'!$B$1, Data!K801,"")</f>
        <v/>
      </c>
      <c r="AA809" s="134" t="str">
        <f>IF(Data!$B801='Team Parser'!$B$1, Data!M801,"")</f>
        <v/>
      </c>
      <c r="AB809" s="134" t="str">
        <f>IF(Data!$B801='Team Parser'!$B$1,((Z809*2)+(Y809)+(X809*4)+(W809*2)),"")</f>
        <v/>
      </c>
      <c r="AC809" s="134" t="str">
        <f>IF(Data!$B801='Team Parser'!$B$1, Data!N801,"")</f>
        <v/>
      </c>
      <c r="AD809" s="139" t="str">
        <f>IF(Data!$B801='Team Parser'!$B$1,(AB809+(COUNTIF(AC809,"TRAVERSE")*15)+(COUNTIF(AC809,"HIGH")*10)+(COUNTIF(AC809,"MIDDLE")*6)+(COUNTIF(AC809,"LOW")*4)),"")</f>
        <v/>
      </c>
    </row>
    <row r="810">
      <c r="A810" s="141" t="s">
        <v>507</v>
      </c>
      <c r="B810" s="134" t="str">
        <f>IFERROR(__xludf.DUMMYFUNCTION("IFERROR((FILTER(Data!H:H,Data!D:D=A810,Data!B:B=$B$1)),"""")"),"")</f>
        <v/>
      </c>
      <c r="C810" s="134" t="str">
        <f>IFERROR(__xludf.DUMMYFUNCTION("IFERROR((FILTER(Data!G:G,Data!D:D=A810,Data!B:B=$B$1)),"""")"),"")</f>
        <v/>
      </c>
      <c r="D810" s="134" t="str">
        <f>IFERROR(__xludf.DUMMYFUNCTION("IFERROR((FILTER(Data!J:J,Data!D:D=A810,Data!B:B=$B$1)),"""")"),"")</f>
        <v/>
      </c>
      <c r="E810" s="134" t="str">
        <f>IFERROR(__xludf.DUMMYFUNCTION("IFERROR((FILTER(Data!L:L,Data!D:D=A810,Data!B:B=$B$1)),"""")"),"")</f>
        <v/>
      </c>
      <c r="F810" s="134" t="str">
        <f>IFERROR(__xludf.DUMMYFUNCTION("IFERROR((FILTER(Data!K:K,Data!D:D=A810,Data!B:B=$B$1)),"""")"),"")</f>
        <v/>
      </c>
      <c r="G810" s="134" t="str">
        <f>IFERROR(__xludf.DUMMYFUNCTION("IFERROR((FILTER(Data!M:M,Data!D:D=A810,Data!B:B=$B$1)),"""")"),"")</f>
        <v/>
      </c>
      <c r="H810" s="134" t="str">
        <f>IFERROR(__xludf.DUMMYFUNCTION("IFERROR((FILTER(Data!G:G,Data!D:D=A810,Data!B:B=$B$1)*4)+(FILTER(Data!H:H,Data!D:D=A810,Data!B:B=$B$1)*2),"""")"),"")</f>
        <v/>
      </c>
      <c r="I810" s="15" t="str">
        <f>IFERROR(__xludf.DUMMYFUNCTION("IFERROR((FILTER(Data!K:K,Data!D:D=A810,Data!B:B=$B$1)*2)+(FILTER(Data!L:L,Data!D:D=A810,Data!B:B=$B$1)),"""")"),"")</f>
        <v/>
      </c>
      <c r="J810" s="134" t="str">
        <f>IFERROR(__xludf.DUMMYFUNCTION("IFERROR((FILTER(Data!N:N,Data!D:D=A810,Data!B:B=$B$1)),"""")"),"")</f>
        <v/>
      </c>
      <c r="K810" s="135" t="str">
        <f>IFERROR(__xludf.DUMMYFUNCTION("IFERROR((FILTER(Data!H:H,Data!D:D=A810,Data!B:B=$B$1)*2)+(FILTER(Data!L:L,Data!D:D=A810,Data!B:B=$B$1))+(FILTER(Data!G:G,Data!D:D=A810,Data!B:B=$B$1)*4)+(FILTER(Data!K:K,Data!D:D=A810,Data!B:B=$B$1)*2)+(((COUNTIF(FILTER(Data!N:N,Data!D:D=A810,Data!B:B=$B$"&amp;"1),""TRAVERSE"")*15)+(COUNTIF(FILTER(Data!N:N,Data!D:D=A810,Data!B:B=$B$1),""HIGH"")*10)+(COUNTIF(FILTER(Data!N:N,Data!D:D=A810,Data!B:B=$B$1),""MIDDLE"")*6)+(COUNTIF(FILTER(Data!N:N,Data!D:D=A810,Data!B:B=$B$1),""LOW"")*4))),"""")"),"")</f>
        <v/>
      </c>
      <c r="L810" s="136" t="str">
        <f>IFERROR(__xludf.DUMMYFUNCTION("IFERROR((FILTER(Data!P:P,Data!D:D=A810,Data!B:B=$B$1)),"""")"),"")</f>
        <v/>
      </c>
      <c r="M810" s="137" t="str">
        <f>IFERROR(__xludf.DUMMYFUNCTION("IFERROR((FILTER(Data!A:A,Data!D:D=A810,Data!B:B=$B$1)),"""")"),"")</f>
        <v/>
      </c>
      <c r="T810" s="52">
        <f>IFERROR(__xludf.DUMMYFUNCTION("((COUNTIF(FILTER(Data!N:N,Data!D:D=A810,Data!B:B=$B$1),""TRAVERSE"")*15)+(COUNTIF(FILTER(Data!N:N,Data!D:D=A810,Data!B:B=B$1),""HIGH"")*10)+(COUNTIF(FILTER(Data!N:N,Data!D:D=A810,Data!B:B=$B$1),""MIDDLE"")*6)+(COUNTIF(FILTER(Data!N:N,Data!D:D=A810,Data!B:"&amp;"B=$B$1),""LOW"")*4))"),0.0)</f>
        <v>0</v>
      </c>
      <c r="V810" s="138" t="str">
        <f>IF(Data!B802='Team Parser'!$B$1, Data!D802,"")</f>
        <v/>
      </c>
      <c r="W810" s="134" t="str">
        <f>IF(Data!$B802='Team Parser'!$B$1, Data!H802,"")</f>
        <v/>
      </c>
      <c r="X810" s="134" t="str">
        <f>IF(Data!$B802='Team Parser'!$B$1, Data!G802,"")</f>
        <v/>
      </c>
      <c r="Y810" s="134" t="str">
        <f>IF(Data!$B802='Team Parser'!$B$1, Data!L802,"")</f>
        <v/>
      </c>
      <c r="Z810" s="134" t="str">
        <f>IF(Data!$B802='Team Parser'!$B$1, Data!K802,"")</f>
        <v/>
      </c>
      <c r="AA810" s="134" t="str">
        <f>IF(Data!$B802='Team Parser'!$B$1, Data!M802,"")</f>
        <v/>
      </c>
      <c r="AB810" s="134" t="str">
        <f>IF(Data!$B802='Team Parser'!$B$1,((Z810*2)+(Y810)+(X810*4)+(W810*2)),"")</f>
        <v/>
      </c>
      <c r="AC810" s="134" t="str">
        <f>IF(Data!$B802='Team Parser'!$B$1, Data!N802,"")</f>
        <v/>
      </c>
      <c r="AD810" s="139" t="str">
        <f>IF(Data!$B802='Team Parser'!$B$1,(AB810+(COUNTIF(AC810,"TRAVERSE")*15)+(COUNTIF(AC810,"HIGH")*10)+(COUNTIF(AC810,"MIDDLE")*6)+(COUNTIF(AC810,"LOW")*4)),"")</f>
        <v/>
      </c>
    </row>
    <row r="811">
      <c r="A811" s="141" t="s">
        <v>507</v>
      </c>
      <c r="B811" s="134" t="str">
        <f>IFERROR(__xludf.DUMMYFUNCTION("IFERROR((FILTER(Data!H:H,Data!D:D=A811,Data!B:B=$B$1)),"""")"),"")</f>
        <v/>
      </c>
      <c r="C811" s="134" t="str">
        <f>IFERROR(__xludf.DUMMYFUNCTION("IFERROR((FILTER(Data!G:G,Data!D:D=A811,Data!B:B=$B$1)),"""")"),"")</f>
        <v/>
      </c>
      <c r="D811" s="134" t="str">
        <f>IFERROR(__xludf.DUMMYFUNCTION("IFERROR((FILTER(Data!J:J,Data!D:D=A811,Data!B:B=$B$1)),"""")"),"")</f>
        <v/>
      </c>
      <c r="E811" s="134" t="str">
        <f>IFERROR(__xludf.DUMMYFUNCTION("IFERROR((FILTER(Data!L:L,Data!D:D=A811,Data!B:B=$B$1)),"""")"),"")</f>
        <v/>
      </c>
      <c r="F811" s="134" t="str">
        <f>IFERROR(__xludf.DUMMYFUNCTION("IFERROR((FILTER(Data!K:K,Data!D:D=A811,Data!B:B=$B$1)),"""")"),"")</f>
        <v/>
      </c>
      <c r="G811" s="134" t="str">
        <f>IFERROR(__xludf.DUMMYFUNCTION("IFERROR((FILTER(Data!M:M,Data!D:D=A811,Data!B:B=$B$1)),"""")"),"")</f>
        <v/>
      </c>
      <c r="H811" s="134" t="str">
        <f>IFERROR(__xludf.DUMMYFUNCTION("IFERROR((FILTER(Data!G:G,Data!D:D=A811,Data!B:B=$B$1)*4)+(FILTER(Data!H:H,Data!D:D=A811,Data!B:B=$B$1)*2),"""")"),"")</f>
        <v/>
      </c>
      <c r="I811" s="15" t="str">
        <f>IFERROR(__xludf.DUMMYFUNCTION("IFERROR((FILTER(Data!K:K,Data!D:D=A811,Data!B:B=$B$1)*2)+(FILTER(Data!L:L,Data!D:D=A811,Data!B:B=$B$1)),"""")"),"")</f>
        <v/>
      </c>
      <c r="J811" s="134" t="str">
        <f>IFERROR(__xludf.DUMMYFUNCTION("IFERROR((FILTER(Data!N:N,Data!D:D=A811,Data!B:B=$B$1)),"""")"),"")</f>
        <v/>
      </c>
      <c r="K811" s="135" t="str">
        <f>IFERROR(__xludf.DUMMYFUNCTION("IFERROR((FILTER(Data!H:H,Data!D:D=A811,Data!B:B=$B$1)*2)+(FILTER(Data!L:L,Data!D:D=A811,Data!B:B=$B$1))+(FILTER(Data!G:G,Data!D:D=A811,Data!B:B=$B$1)*4)+(FILTER(Data!K:K,Data!D:D=A811,Data!B:B=$B$1)*2)+(((COUNTIF(FILTER(Data!N:N,Data!D:D=A811,Data!B:B=$B$"&amp;"1),""TRAVERSE"")*15)+(COUNTIF(FILTER(Data!N:N,Data!D:D=A811,Data!B:B=$B$1),""HIGH"")*10)+(COUNTIF(FILTER(Data!N:N,Data!D:D=A811,Data!B:B=$B$1),""MIDDLE"")*6)+(COUNTIF(FILTER(Data!N:N,Data!D:D=A811,Data!B:B=$B$1),""LOW"")*4))),"""")"),"")</f>
        <v/>
      </c>
      <c r="L811" s="136" t="str">
        <f>IFERROR(__xludf.DUMMYFUNCTION("IFERROR((FILTER(Data!P:P,Data!D:D=A811,Data!B:B=$B$1)),"""")"),"")</f>
        <v/>
      </c>
      <c r="M811" s="137" t="str">
        <f>IFERROR(__xludf.DUMMYFUNCTION("IFERROR((FILTER(Data!A:A,Data!D:D=A811,Data!B:B=$B$1)),"""")"),"")</f>
        <v/>
      </c>
      <c r="T811" s="52">
        <f>IFERROR(__xludf.DUMMYFUNCTION("((COUNTIF(FILTER(Data!N:N,Data!D:D=A811,Data!B:B=$B$1),""TRAVERSE"")*15)+(COUNTIF(FILTER(Data!N:N,Data!D:D=A811,Data!B:B=B$1),""HIGH"")*10)+(COUNTIF(FILTER(Data!N:N,Data!D:D=A811,Data!B:B=$B$1),""MIDDLE"")*6)+(COUNTIF(FILTER(Data!N:N,Data!D:D=A811,Data!B:"&amp;"B=$B$1),""LOW"")*4))"),0.0)</f>
        <v>0</v>
      </c>
      <c r="V811" s="138" t="str">
        <f>IF(Data!B803='Team Parser'!$B$1, Data!D803,"")</f>
        <v/>
      </c>
      <c r="W811" s="134" t="str">
        <f>IF(Data!$B803='Team Parser'!$B$1, Data!H803,"")</f>
        <v/>
      </c>
      <c r="X811" s="134" t="str">
        <f>IF(Data!$B803='Team Parser'!$B$1, Data!G803,"")</f>
        <v/>
      </c>
      <c r="Y811" s="134" t="str">
        <f>IF(Data!$B803='Team Parser'!$B$1, Data!L803,"")</f>
        <v/>
      </c>
      <c r="Z811" s="134" t="str">
        <f>IF(Data!$B803='Team Parser'!$B$1, Data!K803,"")</f>
        <v/>
      </c>
      <c r="AA811" s="134" t="str">
        <f>IF(Data!$B803='Team Parser'!$B$1, Data!M803,"")</f>
        <v/>
      </c>
      <c r="AB811" s="134" t="str">
        <f>IF(Data!$B803='Team Parser'!$B$1,((Z811*2)+(Y811)+(X811*4)+(W811*2)),"")</f>
        <v/>
      </c>
      <c r="AC811" s="134" t="str">
        <f>IF(Data!$B803='Team Parser'!$B$1, Data!N803,"")</f>
        <v/>
      </c>
      <c r="AD811" s="139" t="str">
        <f>IF(Data!$B803='Team Parser'!$B$1,(AB811+(COUNTIF(AC811,"TRAVERSE")*15)+(COUNTIF(AC811,"HIGH")*10)+(COUNTIF(AC811,"MIDDLE")*6)+(COUNTIF(AC811,"LOW")*4)),"")</f>
        <v/>
      </c>
    </row>
    <row r="812">
      <c r="A812" s="141" t="s">
        <v>507</v>
      </c>
      <c r="B812" s="134" t="str">
        <f>IFERROR(__xludf.DUMMYFUNCTION("IFERROR((FILTER(Data!H:H,Data!D:D=A812,Data!B:B=$B$1)),"""")"),"")</f>
        <v/>
      </c>
      <c r="C812" s="134" t="str">
        <f>IFERROR(__xludf.DUMMYFUNCTION("IFERROR((FILTER(Data!G:G,Data!D:D=A812,Data!B:B=$B$1)),"""")"),"")</f>
        <v/>
      </c>
      <c r="D812" s="134" t="str">
        <f>IFERROR(__xludf.DUMMYFUNCTION("IFERROR((FILTER(Data!J:J,Data!D:D=A812,Data!B:B=$B$1)),"""")"),"")</f>
        <v/>
      </c>
      <c r="E812" s="134" t="str">
        <f>IFERROR(__xludf.DUMMYFUNCTION("IFERROR((FILTER(Data!L:L,Data!D:D=A812,Data!B:B=$B$1)),"""")"),"")</f>
        <v/>
      </c>
      <c r="F812" s="134" t="str">
        <f>IFERROR(__xludf.DUMMYFUNCTION("IFERROR((FILTER(Data!K:K,Data!D:D=A812,Data!B:B=$B$1)),"""")"),"")</f>
        <v/>
      </c>
      <c r="G812" s="134" t="str">
        <f>IFERROR(__xludf.DUMMYFUNCTION("IFERROR((FILTER(Data!M:M,Data!D:D=A812,Data!B:B=$B$1)),"""")"),"")</f>
        <v/>
      </c>
      <c r="H812" s="134" t="str">
        <f>IFERROR(__xludf.DUMMYFUNCTION("IFERROR((FILTER(Data!G:G,Data!D:D=A812,Data!B:B=$B$1)*4)+(FILTER(Data!H:H,Data!D:D=A812,Data!B:B=$B$1)*2),"""")"),"")</f>
        <v/>
      </c>
      <c r="I812" s="15" t="str">
        <f>IFERROR(__xludf.DUMMYFUNCTION("IFERROR((FILTER(Data!K:K,Data!D:D=A812,Data!B:B=$B$1)*2)+(FILTER(Data!L:L,Data!D:D=A812,Data!B:B=$B$1)),"""")"),"")</f>
        <v/>
      </c>
      <c r="J812" s="134" t="str">
        <f>IFERROR(__xludf.DUMMYFUNCTION("IFERROR((FILTER(Data!N:N,Data!D:D=A812,Data!B:B=$B$1)),"""")"),"")</f>
        <v/>
      </c>
      <c r="K812" s="135" t="str">
        <f>IFERROR(__xludf.DUMMYFUNCTION("IFERROR((FILTER(Data!H:H,Data!D:D=A812,Data!B:B=$B$1)*2)+(FILTER(Data!L:L,Data!D:D=A812,Data!B:B=$B$1))+(FILTER(Data!G:G,Data!D:D=A812,Data!B:B=$B$1)*4)+(FILTER(Data!K:K,Data!D:D=A812,Data!B:B=$B$1)*2)+(((COUNTIF(FILTER(Data!N:N,Data!D:D=A812,Data!B:B=$B$"&amp;"1),""TRAVERSE"")*15)+(COUNTIF(FILTER(Data!N:N,Data!D:D=A812,Data!B:B=$B$1),""HIGH"")*10)+(COUNTIF(FILTER(Data!N:N,Data!D:D=A812,Data!B:B=$B$1),""MIDDLE"")*6)+(COUNTIF(FILTER(Data!N:N,Data!D:D=A812,Data!B:B=$B$1),""LOW"")*4))),"""")"),"")</f>
        <v/>
      </c>
      <c r="L812" s="136" t="str">
        <f>IFERROR(__xludf.DUMMYFUNCTION("IFERROR((FILTER(Data!P:P,Data!D:D=A812,Data!B:B=$B$1)),"""")"),"")</f>
        <v/>
      </c>
      <c r="M812" s="137" t="str">
        <f>IFERROR(__xludf.DUMMYFUNCTION("IFERROR((FILTER(Data!A:A,Data!D:D=A812,Data!B:B=$B$1)),"""")"),"")</f>
        <v/>
      </c>
      <c r="T812" s="52">
        <f>IFERROR(__xludf.DUMMYFUNCTION("((COUNTIF(FILTER(Data!N:N,Data!D:D=A812,Data!B:B=$B$1),""TRAVERSE"")*15)+(COUNTIF(FILTER(Data!N:N,Data!D:D=A812,Data!B:B=B$1),""HIGH"")*10)+(COUNTIF(FILTER(Data!N:N,Data!D:D=A812,Data!B:B=$B$1),""MIDDLE"")*6)+(COUNTIF(FILTER(Data!N:N,Data!D:D=A812,Data!B:"&amp;"B=$B$1),""LOW"")*4))"),0.0)</f>
        <v>0</v>
      </c>
      <c r="V812" s="138" t="str">
        <f>IF(Data!B804='Team Parser'!$B$1, Data!D804,"")</f>
        <v/>
      </c>
      <c r="W812" s="134" t="str">
        <f>IF(Data!$B804='Team Parser'!$B$1, Data!H804,"")</f>
        <v/>
      </c>
      <c r="X812" s="134" t="str">
        <f>IF(Data!$B804='Team Parser'!$B$1, Data!G804,"")</f>
        <v/>
      </c>
      <c r="Y812" s="134" t="str">
        <f>IF(Data!$B804='Team Parser'!$B$1, Data!L804,"")</f>
        <v/>
      </c>
      <c r="Z812" s="134" t="str">
        <f>IF(Data!$B804='Team Parser'!$B$1, Data!K804,"")</f>
        <v/>
      </c>
      <c r="AA812" s="134" t="str">
        <f>IF(Data!$B804='Team Parser'!$B$1, Data!M804,"")</f>
        <v/>
      </c>
      <c r="AB812" s="134" t="str">
        <f>IF(Data!$B804='Team Parser'!$B$1,((Z812*2)+(Y812)+(X812*4)+(W812*2)),"")</f>
        <v/>
      </c>
      <c r="AC812" s="134" t="str">
        <f>IF(Data!$B804='Team Parser'!$B$1, Data!N804,"")</f>
        <v/>
      </c>
      <c r="AD812" s="139" t="str">
        <f>IF(Data!$B804='Team Parser'!$B$1,(AB812+(COUNTIF(AC812,"TRAVERSE")*15)+(COUNTIF(AC812,"HIGH")*10)+(COUNTIF(AC812,"MIDDLE")*6)+(COUNTIF(AC812,"LOW")*4)),"")</f>
        <v/>
      </c>
    </row>
    <row r="813">
      <c r="A813" s="141" t="s">
        <v>507</v>
      </c>
      <c r="B813" s="134" t="str">
        <f>IFERROR(__xludf.DUMMYFUNCTION("IFERROR((FILTER(Data!H:H,Data!D:D=A813,Data!B:B=$B$1)),"""")"),"")</f>
        <v/>
      </c>
      <c r="C813" s="134" t="str">
        <f>IFERROR(__xludf.DUMMYFUNCTION("IFERROR((FILTER(Data!G:G,Data!D:D=A813,Data!B:B=$B$1)),"""")"),"")</f>
        <v/>
      </c>
      <c r="D813" s="134" t="str">
        <f>IFERROR(__xludf.DUMMYFUNCTION("IFERROR((FILTER(Data!J:J,Data!D:D=A813,Data!B:B=$B$1)),"""")"),"")</f>
        <v/>
      </c>
      <c r="E813" s="134" t="str">
        <f>IFERROR(__xludf.DUMMYFUNCTION("IFERROR((FILTER(Data!L:L,Data!D:D=A813,Data!B:B=$B$1)),"""")"),"")</f>
        <v/>
      </c>
      <c r="F813" s="134" t="str">
        <f>IFERROR(__xludf.DUMMYFUNCTION("IFERROR((FILTER(Data!K:K,Data!D:D=A813,Data!B:B=$B$1)),"""")"),"")</f>
        <v/>
      </c>
      <c r="G813" s="134" t="str">
        <f>IFERROR(__xludf.DUMMYFUNCTION("IFERROR((FILTER(Data!M:M,Data!D:D=A813,Data!B:B=$B$1)),"""")"),"")</f>
        <v/>
      </c>
      <c r="H813" s="134" t="str">
        <f>IFERROR(__xludf.DUMMYFUNCTION("IFERROR((FILTER(Data!G:G,Data!D:D=A813,Data!B:B=$B$1)*4)+(FILTER(Data!H:H,Data!D:D=A813,Data!B:B=$B$1)*2),"""")"),"")</f>
        <v/>
      </c>
      <c r="I813" s="15" t="str">
        <f>IFERROR(__xludf.DUMMYFUNCTION("IFERROR((FILTER(Data!K:K,Data!D:D=A813,Data!B:B=$B$1)*2)+(FILTER(Data!L:L,Data!D:D=A813,Data!B:B=$B$1)),"""")"),"")</f>
        <v/>
      </c>
      <c r="J813" s="134" t="str">
        <f>IFERROR(__xludf.DUMMYFUNCTION("IFERROR((FILTER(Data!N:N,Data!D:D=A813,Data!B:B=$B$1)),"""")"),"")</f>
        <v/>
      </c>
      <c r="K813" s="135" t="str">
        <f>IFERROR(__xludf.DUMMYFUNCTION("IFERROR((FILTER(Data!H:H,Data!D:D=A813,Data!B:B=$B$1)*2)+(FILTER(Data!L:L,Data!D:D=A813,Data!B:B=$B$1))+(FILTER(Data!G:G,Data!D:D=A813,Data!B:B=$B$1)*4)+(FILTER(Data!K:K,Data!D:D=A813,Data!B:B=$B$1)*2)+(((COUNTIF(FILTER(Data!N:N,Data!D:D=A813,Data!B:B=$B$"&amp;"1),""TRAVERSE"")*15)+(COUNTIF(FILTER(Data!N:N,Data!D:D=A813,Data!B:B=$B$1),""HIGH"")*10)+(COUNTIF(FILTER(Data!N:N,Data!D:D=A813,Data!B:B=$B$1),""MIDDLE"")*6)+(COUNTIF(FILTER(Data!N:N,Data!D:D=A813,Data!B:B=$B$1),""LOW"")*4))),"""")"),"")</f>
        <v/>
      </c>
      <c r="L813" s="136" t="str">
        <f>IFERROR(__xludf.DUMMYFUNCTION("IFERROR((FILTER(Data!P:P,Data!D:D=A813,Data!B:B=$B$1)),"""")"),"")</f>
        <v/>
      </c>
      <c r="M813" s="137" t="str">
        <f>IFERROR(__xludf.DUMMYFUNCTION("IFERROR((FILTER(Data!A:A,Data!D:D=A813,Data!B:B=$B$1)),"""")"),"")</f>
        <v/>
      </c>
      <c r="T813" s="52">
        <f>IFERROR(__xludf.DUMMYFUNCTION("((COUNTIF(FILTER(Data!N:N,Data!D:D=A813,Data!B:B=$B$1),""TRAVERSE"")*15)+(COUNTIF(FILTER(Data!N:N,Data!D:D=A813,Data!B:B=B$1),""HIGH"")*10)+(COUNTIF(FILTER(Data!N:N,Data!D:D=A813,Data!B:B=$B$1),""MIDDLE"")*6)+(COUNTIF(FILTER(Data!N:N,Data!D:D=A813,Data!B:"&amp;"B=$B$1),""LOW"")*4))"),0.0)</f>
        <v>0</v>
      </c>
      <c r="V813" s="138" t="str">
        <f>IF(Data!B805='Team Parser'!$B$1, Data!D805,"")</f>
        <v/>
      </c>
      <c r="W813" s="134" t="str">
        <f>IF(Data!$B805='Team Parser'!$B$1, Data!H805,"")</f>
        <v/>
      </c>
      <c r="X813" s="134" t="str">
        <f>IF(Data!$B805='Team Parser'!$B$1, Data!G805,"")</f>
        <v/>
      </c>
      <c r="Y813" s="134" t="str">
        <f>IF(Data!$B805='Team Parser'!$B$1, Data!L805,"")</f>
        <v/>
      </c>
      <c r="Z813" s="134" t="str">
        <f>IF(Data!$B805='Team Parser'!$B$1, Data!K805,"")</f>
        <v/>
      </c>
      <c r="AA813" s="134" t="str">
        <f>IF(Data!$B805='Team Parser'!$B$1, Data!M805,"")</f>
        <v/>
      </c>
      <c r="AB813" s="134" t="str">
        <f>IF(Data!$B805='Team Parser'!$B$1,((Z813*2)+(Y813)+(X813*4)+(W813*2)),"")</f>
        <v/>
      </c>
      <c r="AC813" s="134" t="str">
        <f>IF(Data!$B805='Team Parser'!$B$1, Data!N805,"")</f>
        <v/>
      </c>
      <c r="AD813" s="139" t="str">
        <f>IF(Data!$B805='Team Parser'!$B$1,(AB813+(COUNTIF(AC813,"TRAVERSE")*15)+(COUNTIF(AC813,"HIGH")*10)+(COUNTIF(AC813,"MIDDLE")*6)+(COUNTIF(AC813,"LOW")*4)),"")</f>
        <v/>
      </c>
    </row>
    <row r="814">
      <c r="A814" s="141" t="s">
        <v>507</v>
      </c>
      <c r="B814" s="134" t="str">
        <f>IFERROR(__xludf.DUMMYFUNCTION("IFERROR((FILTER(Data!H:H,Data!D:D=A814,Data!B:B=$B$1)),"""")"),"")</f>
        <v/>
      </c>
      <c r="C814" s="134" t="str">
        <f>IFERROR(__xludf.DUMMYFUNCTION("IFERROR((FILTER(Data!G:G,Data!D:D=A814,Data!B:B=$B$1)),"""")"),"")</f>
        <v/>
      </c>
      <c r="D814" s="134" t="str">
        <f>IFERROR(__xludf.DUMMYFUNCTION("IFERROR((FILTER(Data!J:J,Data!D:D=A814,Data!B:B=$B$1)),"""")"),"")</f>
        <v/>
      </c>
      <c r="E814" s="134" t="str">
        <f>IFERROR(__xludf.DUMMYFUNCTION("IFERROR((FILTER(Data!L:L,Data!D:D=A814,Data!B:B=$B$1)),"""")"),"")</f>
        <v/>
      </c>
      <c r="F814" s="134" t="str">
        <f>IFERROR(__xludf.DUMMYFUNCTION("IFERROR((FILTER(Data!K:K,Data!D:D=A814,Data!B:B=$B$1)),"""")"),"")</f>
        <v/>
      </c>
      <c r="G814" s="134" t="str">
        <f>IFERROR(__xludf.DUMMYFUNCTION("IFERROR((FILTER(Data!M:M,Data!D:D=A814,Data!B:B=$B$1)),"""")"),"")</f>
        <v/>
      </c>
      <c r="H814" s="134" t="str">
        <f>IFERROR(__xludf.DUMMYFUNCTION("IFERROR((FILTER(Data!G:G,Data!D:D=A814,Data!B:B=$B$1)*4)+(FILTER(Data!H:H,Data!D:D=A814,Data!B:B=$B$1)*2),"""")"),"")</f>
        <v/>
      </c>
      <c r="I814" s="15" t="str">
        <f>IFERROR(__xludf.DUMMYFUNCTION("IFERROR((FILTER(Data!K:K,Data!D:D=A814,Data!B:B=$B$1)*2)+(FILTER(Data!L:L,Data!D:D=A814,Data!B:B=$B$1)),"""")"),"")</f>
        <v/>
      </c>
      <c r="J814" s="134" t="str">
        <f>IFERROR(__xludf.DUMMYFUNCTION("IFERROR((FILTER(Data!N:N,Data!D:D=A814,Data!B:B=$B$1)),"""")"),"")</f>
        <v/>
      </c>
      <c r="K814" s="135" t="str">
        <f>IFERROR(__xludf.DUMMYFUNCTION("IFERROR((FILTER(Data!H:H,Data!D:D=A814,Data!B:B=$B$1)*2)+(FILTER(Data!L:L,Data!D:D=A814,Data!B:B=$B$1))+(FILTER(Data!G:G,Data!D:D=A814,Data!B:B=$B$1)*4)+(FILTER(Data!K:K,Data!D:D=A814,Data!B:B=$B$1)*2)+(((COUNTIF(FILTER(Data!N:N,Data!D:D=A814,Data!B:B=$B$"&amp;"1),""TRAVERSE"")*15)+(COUNTIF(FILTER(Data!N:N,Data!D:D=A814,Data!B:B=$B$1),""HIGH"")*10)+(COUNTIF(FILTER(Data!N:N,Data!D:D=A814,Data!B:B=$B$1),""MIDDLE"")*6)+(COUNTIF(FILTER(Data!N:N,Data!D:D=A814,Data!B:B=$B$1),""LOW"")*4))),"""")"),"")</f>
        <v/>
      </c>
      <c r="L814" s="136" t="str">
        <f>IFERROR(__xludf.DUMMYFUNCTION("IFERROR((FILTER(Data!P:P,Data!D:D=A814,Data!B:B=$B$1)),"""")"),"")</f>
        <v/>
      </c>
      <c r="M814" s="137" t="str">
        <f>IFERROR(__xludf.DUMMYFUNCTION("IFERROR((FILTER(Data!A:A,Data!D:D=A814,Data!B:B=$B$1)),"""")"),"")</f>
        <v/>
      </c>
      <c r="T814" s="52">
        <f>IFERROR(__xludf.DUMMYFUNCTION("((COUNTIF(FILTER(Data!N:N,Data!D:D=A814,Data!B:B=$B$1),""TRAVERSE"")*15)+(COUNTIF(FILTER(Data!N:N,Data!D:D=A814,Data!B:B=B$1),""HIGH"")*10)+(COUNTIF(FILTER(Data!N:N,Data!D:D=A814,Data!B:B=$B$1),""MIDDLE"")*6)+(COUNTIF(FILTER(Data!N:N,Data!D:D=A814,Data!B:"&amp;"B=$B$1),""LOW"")*4))"),0.0)</f>
        <v>0</v>
      </c>
      <c r="V814" s="138" t="str">
        <f>IF(Data!B806='Team Parser'!$B$1, Data!D806,"")</f>
        <v/>
      </c>
      <c r="W814" s="134" t="str">
        <f>IF(Data!$B806='Team Parser'!$B$1, Data!H806,"")</f>
        <v/>
      </c>
      <c r="X814" s="134" t="str">
        <f>IF(Data!$B806='Team Parser'!$B$1, Data!G806,"")</f>
        <v/>
      </c>
      <c r="Y814" s="134" t="str">
        <f>IF(Data!$B806='Team Parser'!$B$1, Data!L806,"")</f>
        <v/>
      </c>
      <c r="Z814" s="134" t="str">
        <f>IF(Data!$B806='Team Parser'!$B$1, Data!K806,"")</f>
        <v/>
      </c>
      <c r="AA814" s="134" t="str">
        <f>IF(Data!$B806='Team Parser'!$B$1, Data!M806,"")</f>
        <v/>
      </c>
      <c r="AB814" s="134" t="str">
        <f>IF(Data!$B806='Team Parser'!$B$1,((Z814*2)+(Y814)+(X814*4)+(W814*2)),"")</f>
        <v/>
      </c>
      <c r="AC814" s="134" t="str">
        <f>IF(Data!$B806='Team Parser'!$B$1, Data!N806,"")</f>
        <v/>
      </c>
      <c r="AD814" s="139" t="str">
        <f>IF(Data!$B806='Team Parser'!$B$1,(AB814+(COUNTIF(AC814,"TRAVERSE")*15)+(COUNTIF(AC814,"HIGH")*10)+(COUNTIF(AC814,"MIDDLE")*6)+(COUNTIF(AC814,"LOW")*4)),"")</f>
        <v/>
      </c>
    </row>
    <row r="815">
      <c r="A815" s="141" t="s">
        <v>507</v>
      </c>
      <c r="B815" s="134" t="str">
        <f>IFERROR(__xludf.DUMMYFUNCTION("IFERROR((FILTER(Data!H:H,Data!D:D=A815,Data!B:B=$B$1)),"""")"),"")</f>
        <v/>
      </c>
      <c r="C815" s="134" t="str">
        <f>IFERROR(__xludf.DUMMYFUNCTION("IFERROR((FILTER(Data!G:G,Data!D:D=A815,Data!B:B=$B$1)),"""")"),"")</f>
        <v/>
      </c>
      <c r="D815" s="134" t="str">
        <f>IFERROR(__xludf.DUMMYFUNCTION("IFERROR((FILTER(Data!J:J,Data!D:D=A815,Data!B:B=$B$1)),"""")"),"")</f>
        <v/>
      </c>
      <c r="E815" s="134" t="str">
        <f>IFERROR(__xludf.DUMMYFUNCTION("IFERROR((FILTER(Data!L:L,Data!D:D=A815,Data!B:B=$B$1)),"""")"),"")</f>
        <v/>
      </c>
      <c r="F815" s="134" t="str">
        <f>IFERROR(__xludf.DUMMYFUNCTION("IFERROR((FILTER(Data!K:K,Data!D:D=A815,Data!B:B=$B$1)),"""")"),"")</f>
        <v/>
      </c>
      <c r="G815" s="134" t="str">
        <f>IFERROR(__xludf.DUMMYFUNCTION("IFERROR((FILTER(Data!M:M,Data!D:D=A815,Data!B:B=$B$1)),"""")"),"")</f>
        <v/>
      </c>
      <c r="H815" s="134" t="str">
        <f>IFERROR(__xludf.DUMMYFUNCTION("IFERROR((FILTER(Data!G:G,Data!D:D=A815,Data!B:B=$B$1)*4)+(FILTER(Data!H:H,Data!D:D=A815,Data!B:B=$B$1)*2),"""")"),"")</f>
        <v/>
      </c>
      <c r="I815" s="15" t="str">
        <f>IFERROR(__xludf.DUMMYFUNCTION("IFERROR((FILTER(Data!K:K,Data!D:D=A815,Data!B:B=$B$1)*2)+(FILTER(Data!L:L,Data!D:D=A815,Data!B:B=$B$1)),"""")"),"")</f>
        <v/>
      </c>
      <c r="J815" s="134" t="str">
        <f>IFERROR(__xludf.DUMMYFUNCTION("IFERROR((FILTER(Data!N:N,Data!D:D=A815,Data!B:B=$B$1)),"""")"),"")</f>
        <v/>
      </c>
      <c r="K815" s="135" t="str">
        <f>IFERROR(__xludf.DUMMYFUNCTION("IFERROR((FILTER(Data!H:H,Data!D:D=A815,Data!B:B=$B$1)*2)+(FILTER(Data!L:L,Data!D:D=A815,Data!B:B=$B$1))+(FILTER(Data!G:G,Data!D:D=A815,Data!B:B=$B$1)*4)+(FILTER(Data!K:K,Data!D:D=A815,Data!B:B=$B$1)*2)+(((COUNTIF(FILTER(Data!N:N,Data!D:D=A815,Data!B:B=$B$"&amp;"1),""TRAVERSE"")*15)+(COUNTIF(FILTER(Data!N:N,Data!D:D=A815,Data!B:B=$B$1),""HIGH"")*10)+(COUNTIF(FILTER(Data!N:N,Data!D:D=A815,Data!B:B=$B$1),""MIDDLE"")*6)+(COUNTIF(FILTER(Data!N:N,Data!D:D=A815,Data!B:B=$B$1),""LOW"")*4))),"""")"),"")</f>
        <v/>
      </c>
      <c r="L815" s="136" t="str">
        <f>IFERROR(__xludf.DUMMYFUNCTION("IFERROR((FILTER(Data!P:P,Data!D:D=A815,Data!B:B=$B$1)),"""")"),"")</f>
        <v/>
      </c>
      <c r="M815" s="137" t="str">
        <f>IFERROR(__xludf.DUMMYFUNCTION("IFERROR((FILTER(Data!A:A,Data!D:D=A815,Data!B:B=$B$1)),"""")"),"")</f>
        <v/>
      </c>
      <c r="T815" s="52">
        <f>IFERROR(__xludf.DUMMYFUNCTION("((COUNTIF(FILTER(Data!N:N,Data!D:D=A815,Data!B:B=$B$1),""TRAVERSE"")*15)+(COUNTIF(FILTER(Data!N:N,Data!D:D=A815,Data!B:B=B$1),""HIGH"")*10)+(COUNTIF(FILTER(Data!N:N,Data!D:D=A815,Data!B:B=$B$1),""MIDDLE"")*6)+(COUNTIF(FILTER(Data!N:N,Data!D:D=A815,Data!B:"&amp;"B=$B$1),""LOW"")*4))"),0.0)</f>
        <v>0</v>
      </c>
      <c r="V815" s="138" t="str">
        <f>IF(Data!B807='Team Parser'!$B$1, Data!D807,"")</f>
        <v/>
      </c>
      <c r="W815" s="134" t="str">
        <f>IF(Data!$B807='Team Parser'!$B$1, Data!H807,"")</f>
        <v/>
      </c>
      <c r="X815" s="134" t="str">
        <f>IF(Data!$B807='Team Parser'!$B$1, Data!G807,"")</f>
        <v/>
      </c>
      <c r="Y815" s="134" t="str">
        <f>IF(Data!$B807='Team Parser'!$B$1, Data!L807,"")</f>
        <v/>
      </c>
      <c r="Z815" s="134" t="str">
        <f>IF(Data!$B807='Team Parser'!$B$1, Data!K807,"")</f>
        <v/>
      </c>
      <c r="AA815" s="134" t="str">
        <f>IF(Data!$B807='Team Parser'!$B$1, Data!M807,"")</f>
        <v/>
      </c>
      <c r="AB815" s="134" t="str">
        <f>IF(Data!$B807='Team Parser'!$B$1,((Z815*2)+(Y815)+(X815*4)+(W815*2)),"")</f>
        <v/>
      </c>
      <c r="AC815" s="134" t="str">
        <f>IF(Data!$B807='Team Parser'!$B$1, Data!N807,"")</f>
        <v/>
      </c>
      <c r="AD815" s="139" t="str">
        <f>IF(Data!$B807='Team Parser'!$B$1,(AB815+(COUNTIF(AC815,"TRAVERSE")*15)+(COUNTIF(AC815,"HIGH")*10)+(COUNTIF(AC815,"MIDDLE")*6)+(COUNTIF(AC815,"LOW")*4)),"")</f>
        <v/>
      </c>
    </row>
    <row r="816">
      <c r="A816" s="141" t="s">
        <v>507</v>
      </c>
      <c r="B816" s="134" t="str">
        <f>IFERROR(__xludf.DUMMYFUNCTION("IFERROR((FILTER(Data!H:H,Data!D:D=A816,Data!B:B=$B$1)),"""")"),"")</f>
        <v/>
      </c>
      <c r="C816" s="134" t="str">
        <f>IFERROR(__xludf.DUMMYFUNCTION("IFERROR((FILTER(Data!G:G,Data!D:D=A816,Data!B:B=$B$1)),"""")"),"")</f>
        <v/>
      </c>
      <c r="D816" s="134" t="str">
        <f>IFERROR(__xludf.DUMMYFUNCTION("IFERROR((FILTER(Data!J:J,Data!D:D=A816,Data!B:B=$B$1)),"""")"),"")</f>
        <v/>
      </c>
      <c r="E816" s="134" t="str">
        <f>IFERROR(__xludf.DUMMYFUNCTION("IFERROR((FILTER(Data!L:L,Data!D:D=A816,Data!B:B=$B$1)),"""")"),"")</f>
        <v/>
      </c>
      <c r="F816" s="134" t="str">
        <f>IFERROR(__xludf.DUMMYFUNCTION("IFERROR((FILTER(Data!K:K,Data!D:D=A816,Data!B:B=$B$1)),"""")"),"")</f>
        <v/>
      </c>
      <c r="G816" s="134" t="str">
        <f>IFERROR(__xludf.DUMMYFUNCTION("IFERROR((FILTER(Data!M:M,Data!D:D=A816,Data!B:B=$B$1)),"""")"),"")</f>
        <v/>
      </c>
      <c r="H816" s="134" t="str">
        <f>IFERROR(__xludf.DUMMYFUNCTION("IFERROR((FILTER(Data!G:G,Data!D:D=A816,Data!B:B=$B$1)*4)+(FILTER(Data!H:H,Data!D:D=A816,Data!B:B=$B$1)*2),"""")"),"")</f>
        <v/>
      </c>
      <c r="I816" s="15" t="str">
        <f>IFERROR(__xludf.DUMMYFUNCTION("IFERROR((FILTER(Data!K:K,Data!D:D=A816,Data!B:B=$B$1)*2)+(FILTER(Data!L:L,Data!D:D=A816,Data!B:B=$B$1)),"""")"),"")</f>
        <v/>
      </c>
      <c r="J816" s="134" t="str">
        <f>IFERROR(__xludf.DUMMYFUNCTION("IFERROR((FILTER(Data!N:N,Data!D:D=A816,Data!B:B=$B$1)),"""")"),"")</f>
        <v/>
      </c>
      <c r="K816" s="135" t="str">
        <f>IFERROR(__xludf.DUMMYFUNCTION("IFERROR((FILTER(Data!H:H,Data!D:D=A816,Data!B:B=$B$1)*2)+(FILTER(Data!L:L,Data!D:D=A816,Data!B:B=$B$1))+(FILTER(Data!G:G,Data!D:D=A816,Data!B:B=$B$1)*4)+(FILTER(Data!K:K,Data!D:D=A816,Data!B:B=$B$1)*2)+(((COUNTIF(FILTER(Data!N:N,Data!D:D=A816,Data!B:B=$B$"&amp;"1),""TRAVERSE"")*15)+(COUNTIF(FILTER(Data!N:N,Data!D:D=A816,Data!B:B=$B$1),""HIGH"")*10)+(COUNTIF(FILTER(Data!N:N,Data!D:D=A816,Data!B:B=$B$1),""MIDDLE"")*6)+(COUNTIF(FILTER(Data!N:N,Data!D:D=A816,Data!B:B=$B$1),""LOW"")*4))),"""")"),"")</f>
        <v/>
      </c>
      <c r="L816" s="136" t="str">
        <f>IFERROR(__xludf.DUMMYFUNCTION("IFERROR((FILTER(Data!P:P,Data!D:D=A816,Data!B:B=$B$1)),"""")"),"")</f>
        <v/>
      </c>
      <c r="M816" s="137" t="str">
        <f>IFERROR(__xludf.DUMMYFUNCTION("IFERROR((FILTER(Data!A:A,Data!D:D=A816,Data!B:B=$B$1)),"""")"),"")</f>
        <v/>
      </c>
      <c r="T816" s="52">
        <f>IFERROR(__xludf.DUMMYFUNCTION("((COUNTIF(FILTER(Data!N:N,Data!D:D=A816,Data!B:B=$B$1),""TRAVERSE"")*15)+(COUNTIF(FILTER(Data!N:N,Data!D:D=A816,Data!B:B=B$1),""HIGH"")*10)+(COUNTIF(FILTER(Data!N:N,Data!D:D=A816,Data!B:B=$B$1),""MIDDLE"")*6)+(COUNTIF(FILTER(Data!N:N,Data!D:D=A816,Data!B:"&amp;"B=$B$1),""LOW"")*4))"),0.0)</f>
        <v>0</v>
      </c>
      <c r="V816" s="138" t="str">
        <f>IF(Data!B808='Team Parser'!$B$1, Data!D808,"")</f>
        <v/>
      </c>
      <c r="W816" s="134" t="str">
        <f>IF(Data!$B808='Team Parser'!$B$1, Data!H808,"")</f>
        <v/>
      </c>
      <c r="X816" s="134" t="str">
        <f>IF(Data!$B808='Team Parser'!$B$1, Data!G808,"")</f>
        <v/>
      </c>
      <c r="Y816" s="134" t="str">
        <f>IF(Data!$B808='Team Parser'!$B$1, Data!L808,"")</f>
        <v/>
      </c>
      <c r="Z816" s="134" t="str">
        <f>IF(Data!$B808='Team Parser'!$B$1, Data!K808,"")</f>
        <v/>
      </c>
      <c r="AA816" s="134" t="str">
        <f>IF(Data!$B808='Team Parser'!$B$1, Data!M808,"")</f>
        <v/>
      </c>
      <c r="AB816" s="134" t="str">
        <f>IF(Data!$B808='Team Parser'!$B$1,((Z816*2)+(Y816)+(X816*4)+(W816*2)),"")</f>
        <v/>
      </c>
      <c r="AC816" s="134" t="str">
        <f>IF(Data!$B808='Team Parser'!$B$1, Data!N808,"")</f>
        <v/>
      </c>
      <c r="AD816" s="139" t="str">
        <f>IF(Data!$B808='Team Parser'!$B$1,(AB816+(COUNTIF(AC816,"TRAVERSE")*15)+(COUNTIF(AC816,"HIGH")*10)+(COUNTIF(AC816,"MIDDLE")*6)+(COUNTIF(AC816,"LOW")*4)),"")</f>
        <v/>
      </c>
    </row>
    <row r="817">
      <c r="A817" s="141" t="s">
        <v>507</v>
      </c>
      <c r="B817" s="134" t="str">
        <f>IFERROR(__xludf.DUMMYFUNCTION("IFERROR((FILTER(Data!H:H,Data!D:D=A817,Data!B:B=$B$1)),"""")"),"")</f>
        <v/>
      </c>
      <c r="C817" s="134" t="str">
        <f>IFERROR(__xludf.DUMMYFUNCTION("IFERROR((FILTER(Data!G:G,Data!D:D=A817,Data!B:B=$B$1)),"""")"),"")</f>
        <v/>
      </c>
      <c r="D817" s="134" t="str">
        <f>IFERROR(__xludf.DUMMYFUNCTION("IFERROR((FILTER(Data!J:J,Data!D:D=A817,Data!B:B=$B$1)),"""")"),"")</f>
        <v/>
      </c>
      <c r="E817" s="134" t="str">
        <f>IFERROR(__xludf.DUMMYFUNCTION("IFERROR((FILTER(Data!L:L,Data!D:D=A817,Data!B:B=$B$1)),"""")"),"")</f>
        <v/>
      </c>
      <c r="F817" s="134" t="str">
        <f>IFERROR(__xludf.DUMMYFUNCTION("IFERROR((FILTER(Data!K:K,Data!D:D=A817,Data!B:B=$B$1)),"""")"),"")</f>
        <v/>
      </c>
      <c r="G817" s="134" t="str">
        <f>IFERROR(__xludf.DUMMYFUNCTION("IFERROR((FILTER(Data!M:M,Data!D:D=A817,Data!B:B=$B$1)),"""")"),"")</f>
        <v/>
      </c>
      <c r="H817" s="134" t="str">
        <f>IFERROR(__xludf.DUMMYFUNCTION("IFERROR((FILTER(Data!G:G,Data!D:D=A817,Data!B:B=$B$1)*4)+(FILTER(Data!H:H,Data!D:D=A817,Data!B:B=$B$1)*2),"""")"),"")</f>
        <v/>
      </c>
      <c r="I817" s="15" t="str">
        <f>IFERROR(__xludf.DUMMYFUNCTION("IFERROR((FILTER(Data!K:K,Data!D:D=A817,Data!B:B=$B$1)*2)+(FILTER(Data!L:L,Data!D:D=A817,Data!B:B=$B$1)),"""")"),"")</f>
        <v/>
      </c>
      <c r="J817" s="134" t="str">
        <f>IFERROR(__xludf.DUMMYFUNCTION("IFERROR((FILTER(Data!N:N,Data!D:D=A817,Data!B:B=$B$1)),"""")"),"")</f>
        <v/>
      </c>
      <c r="K817" s="135" t="str">
        <f>IFERROR(__xludf.DUMMYFUNCTION("IFERROR((FILTER(Data!H:H,Data!D:D=A817,Data!B:B=$B$1)*2)+(FILTER(Data!L:L,Data!D:D=A817,Data!B:B=$B$1))+(FILTER(Data!G:G,Data!D:D=A817,Data!B:B=$B$1)*4)+(FILTER(Data!K:K,Data!D:D=A817,Data!B:B=$B$1)*2)+(((COUNTIF(FILTER(Data!N:N,Data!D:D=A817,Data!B:B=$B$"&amp;"1),""TRAVERSE"")*15)+(COUNTIF(FILTER(Data!N:N,Data!D:D=A817,Data!B:B=$B$1),""HIGH"")*10)+(COUNTIF(FILTER(Data!N:N,Data!D:D=A817,Data!B:B=$B$1),""MIDDLE"")*6)+(COUNTIF(FILTER(Data!N:N,Data!D:D=A817,Data!B:B=$B$1),""LOW"")*4))),"""")"),"")</f>
        <v/>
      </c>
      <c r="L817" s="136" t="str">
        <f>IFERROR(__xludf.DUMMYFUNCTION("IFERROR((FILTER(Data!P:P,Data!D:D=A817,Data!B:B=$B$1)),"""")"),"")</f>
        <v/>
      </c>
      <c r="M817" s="137" t="str">
        <f>IFERROR(__xludf.DUMMYFUNCTION("IFERROR((FILTER(Data!A:A,Data!D:D=A817,Data!B:B=$B$1)),"""")"),"")</f>
        <v/>
      </c>
      <c r="T817" s="52">
        <f>IFERROR(__xludf.DUMMYFUNCTION("((COUNTIF(FILTER(Data!N:N,Data!D:D=A817,Data!B:B=$B$1),""TRAVERSE"")*15)+(COUNTIF(FILTER(Data!N:N,Data!D:D=A817,Data!B:B=B$1),""HIGH"")*10)+(COUNTIF(FILTER(Data!N:N,Data!D:D=A817,Data!B:B=$B$1),""MIDDLE"")*6)+(COUNTIF(FILTER(Data!N:N,Data!D:D=A817,Data!B:"&amp;"B=$B$1),""LOW"")*4))"),0.0)</f>
        <v>0</v>
      </c>
      <c r="V817" s="138" t="str">
        <f>IF(Data!B809='Team Parser'!$B$1, Data!D809,"")</f>
        <v/>
      </c>
      <c r="W817" s="134" t="str">
        <f>IF(Data!$B809='Team Parser'!$B$1, Data!H809,"")</f>
        <v/>
      </c>
      <c r="X817" s="134" t="str">
        <f>IF(Data!$B809='Team Parser'!$B$1, Data!G809,"")</f>
        <v/>
      </c>
      <c r="Y817" s="134" t="str">
        <f>IF(Data!$B809='Team Parser'!$B$1, Data!L809,"")</f>
        <v/>
      </c>
      <c r="Z817" s="134" t="str">
        <f>IF(Data!$B809='Team Parser'!$B$1, Data!K809,"")</f>
        <v/>
      </c>
      <c r="AA817" s="134" t="str">
        <f>IF(Data!$B809='Team Parser'!$B$1, Data!M809,"")</f>
        <v/>
      </c>
      <c r="AB817" s="134" t="str">
        <f>IF(Data!$B809='Team Parser'!$B$1,((Z817*2)+(Y817)+(X817*4)+(W817*2)),"")</f>
        <v/>
      </c>
      <c r="AC817" s="134" t="str">
        <f>IF(Data!$B809='Team Parser'!$B$1, Data!N809,"")</f>
        <v/>
      </c>
      <c r="AD817" s="139" t="str">
        <f>IF(Data!$B809='Team Parser'!$B$1,(AB817+(COUNTIF(AC817,"TRAVERSE")*15)+(COUNTIF(AC817,"HIGH")*10)+(COUNTIF(AC817,"MIDDLE")*6)+(COUNTIF(AC817,"LOW")*4)),"")</f>
        <v/>
      </c>
    </row>
    <row r="818">
      <c r="A818" s="141" t="s">
        <v>507</v>
      </c>
      <c r="B818" s="134" t="str">
        <f>IFERROR(__xludf.DUMMYFUNCTION("IFERROR((FILTER(Data!H:H,Data!D:D=A818,Data!B:B=$B$1)),"""")"),"")</f>
        <v/>
      </c>
      <c r="C818" s="134" t="str">
        <f>IFERROR(__xludf.DUMMYFUNCTION("IFERROR((FILTER(Data!G:G,Data!D:D=A818,Data!B:B=$B$1)),"""")"),"")</f>
        <v/>
      </c>
      <c r="D818" s="134" t="str">
        <f>IFERROR(__xludf.DUMMYFUNCTION("IFERROR((FILTER(Data!J:J,Data!D:D=A818,Data!B:B=$B$1)),"""")"),"")</f>
        <v/>
      </c>
      <c r="E818" s="134" t="str">
        <f>IFERROR(__xludf.DUMMYFUNCTION("IFERROR((FILTER(Data!L:L,Data!D:D=A818,Data!B:B=$B$1)),"""")"),"")</f>
        <v/>
      </c>
      <c r="F818" s="134" t="str">
        <f>IFERROR(__xludf.DUMMYFUNCTION("IFERROR((FILTER(Data!K:K,Data!D:D=A818,Data!B:B=$B$1)),"""")"),"")</f>
        <v/>
      </c>
      <c r="G818" s="134" t="str">
        <f>IFERROR(__xludf.DUMMYFUNCTION("IFERROR((FILTER(Data!M:M,Data!D:D=A818,Data!B:B=$B$1)),"""")"),"")</f>
        <v/>
      </c>
      <c r="H818" s="134" t="str">
        <f>IFERROR(__xludf.DUMMYFUNCTION("IFERROR((FILTER(Data!G:G,Data!D:D=A818,Data!B:B=$B$1)*4)+(FILTER(Data!H:H,Data!D:D=A818,Data!B:B=$B$1)*2),"""")"),"")</f>
        <v/>
      </c>
      <c r="I818" s="15" t="str">
        <f>IFERROR(__xludf.DUMMYFUNCTION("IFERROR((FILTER(Data!K:K,Data!D:D=A818,Data!B:B=$B$1)*2)+(FILTER(Data!L:L,Data!D:D=A818,Data!B:B=$B$1)),"""")"),"")</f>
        <v/>
      </c>
      <c r="J818" s="134" t="str">
        <f>IFERROR(__xludf.DUMMYFUNCTION("IFERROR((FILTER(Data!N:N,Data!D:D=A818,Data!B:B=$B$1)),"""")"),"")</f>
        <v/>
      </c>
      <c r="K818" s="135" t="str">
        <f>IFERROR(__xludf.DUMMYFUNCTION("IFERROR((FILTER(Data!H:H,Data!D:D=A818,Data!B:B=$B$1)*2)+(FILTER(Data!L:L,Data!D:D=A818,Data!B:B=$B$1))+(FILTER(Data!G:G,Data!D:D=A818,Data!B:B=$B$1)*4)+(FILTER(Data!K:K,Data!D:D=A818,Data!B:B=$B$1)*2)+(((COUNTIF(FILTER(Data!N:N,Data!D:D=A818,Data!B:B=$B$"&amp;"1),""TRAVERSE"")*15)+(COUNTIF(FILTER(Data!N:N,Data!D:D=A818,Data!B:B=$B$1),""HIGH"")*10)+(COUNTIF(FILTER(Data!N:N,Data!D:D=A818,Data!B:B=$B$1),""MIDDLE"")*6)+(COUNTIF(FILTER(Data!N:N,Data!D:D=A818,Data!B:B=$B$1),""LOW"")*4))),"""")"),"")</f>
        <v/>
      </c>
      <c r="L818" s="136" t="str">
        <f>IFERROR(__xludf.DUMMYFUNCTION("IFERROR((FILTER(Data!P:P,Data!D:D=A818,Data!B:B=$B$1)),"""")"),"")</f>
        <v/>
      </c>
      <c r="M818" s="137" t="str">
        <f>IFERROR(__xludf.DUMMYFUNCTION("IFERROR((FILTER(Data!A:A,Data!D:D=A818,Data!B:B=$B$1)),"""")"),"")</f>
        <v/>
      </c>
      <c r="T818" s="52">
        <f>IFERROR(__xludf.DUMMYFUNCTION("((COUNTIF(FILTER(Data!N:N,Data!D:D=A818,Data!B:B=$B$1),""TRAVERSE"")*15)+(COUNTIF(FILTER(Data!N:N,Data!D:D=A818,Data!B:B=B$1),""HIGH"")*10)+(COUNTIF(FILTER(Data!N:N,Data!D:D=A818,Data!B:B=$B$1),""MIDDLE"")*6)+(COUNTIF(FILTER(Data!N:N,Data!D:D=A818,Data!B:"&amp;"B=$B$1),""LOW"")*4))"),0.0)</f>
        <v>0</v>
      </c>
      <c r="V818" s="138" t="str">
        <f>IF(Data!B810='Team Parser'!$B$1, Data!D810,"")</f>
        <v/>
      </c>
      <c r="W818" s="134" t="str">
        <f>IF(Data!$B810='Team Parser'!$B$1, Data!H810,"")</f>
        <v/>
      </c>
      <c r="X818" s="134" t="str">
        <f>IF(Data!$B810='Team Parser'!$B$1, Data!G810,"")</f>
        <v/>
      </c>
      <c r="Y818" s="134" t="str">
        <f>IF(Data!$B810='Team Parser'!$B$1, Data!L810,"")</f>
        <v/>
      </c>
      <c r="Z818" s="134" t="str">
        <f>IF(Data!$B810='Team Parser'!$B$1, Data!K810,"")</f>
        <v/>
      </c>
      <c r="AA818" s="134" t="str">
        <f>IF(Data!$B810='Team Parser'!$B$1, Data!M810,"")</f>
        <v/>
      </c>
      <c r="AB818" s="134" t="str">
        <f>IF(Data!$B810='Team Parser'!$B$1,((Z818*2)+(Y818)+(X818*4)+(W818*2)),"")</f>
        <v/>
      </c>
      <c r="AC818" s="134" t="str">
        <f>IF(Data!$B810='Team Parser'!$B$1, Data!N810,"")</f>
        <v/>
      </c>
      <c r="AD818" s="139" t="str">
        <f>IF(Data!$B810='Team Parser'!$B$1,(AB818+(COUNTIF(AC818,"TRAVERSE")*15)+(COUNTIF(AC818,"HIGH")*10)+(COUNTIF(AC818,"MIDDLE")*6)+(COUNTIF(AC818,"LOW")*4)),"")</f>
        <v/>
      </c>
    </row>
    <row r="819">
      <c r="A819" s="141" t="s">
        <v>507</v>
      </c>
      <c r="B819" s="134" t="str">
        <f>IFERROR(__xludf.DUMMYFUNCTION("IFERROR((FILTER(Data!H:H,Data!D:D=A819,Data!B:B=$B$1)),"""")"),"")</f>
        <v/>
      </c>
      <c r="C819" s="134" t="str">
        <f>IFERROR(__xludf.DUMMYFUNCTION("IFERROR((FILTER(Data!G:G,Data!D:D=A819,Data!B:B=$B$1)),"""")"),"")</f>
        <v/>
      </c>
      <c r="D819" s="134" t="str">
        <f>IFERROR(__xludf.DUMMYFUNCTION("IFERROR((FILTER(Data!J:J,Data!D:D=A819,Data!B:B=$B$1)),"""")"),"")</f>
        <v/>
      </c>
      <c r="E819" s="134" t="str">
        <f>IFERROR(__xludf.DUMMYFUNCTION("IFERROR((FILTER(Data!L:L,Data!D:D=A819,Data!B:B=$B$1)),"""")"),"")</f>
        <v/>
      </c>
      <c r="F819" s="134" t="str">
        <f>IFERROR(__xludf.DUMMYFUNCTION("IFERROR((FILTER(Data!K:K,Data!D:D=A819,Data!B:B=$B$1)),"""")"),"")</f>
        <v/>
      </c>
      <c r="G819" s="134" t="str">
        <f>IFERROR(__xludf.DUMMYFUNCTION("IFERROR((FILTER(Data!M:M,Data!D:D=A819,Data!B:B=$B$1)),"""")"),"")</f>
        <v/>
      </c>
      <c r="H819" s="134" t="str">
        <f>IFERROR(__xludf.DUMMYFUNCTION("IFERROR((FILTER(Data!G:G,Data!D:D=A819,Data!B:B=$B$1)*4)+(FILTER(Data!H:H,Data!D:D=A819,Data!B:B=$B$1)*2),"""")"),"")</f>
        <v/>
      </c>
      <c r="I819" s="15" t="str">
        <f>IFERROR(__xludf.DUMMYFUNCTION("IFERROR((FILTER(Data!K:K,Data!D:D=A819,Data!B:B=$B$1)*2)+(FILTER(Data!L:L,Data!D:D=A819,Data!B:B=$B$1)),"""")"),"")</f>
        <v/>
      </c>
      <c r="J819" s="134" t="str">
        <f>IFERROR(__xludf.DUMMYFUNCTION("IFERROR((FILTER(Data!N:N,Data!D:D=A819,Data!B:B=$B$1)),"""")"),"")</f>
        <v/>
      </c>
      <c r="K819" s="135" t="str">
        <f>IFERROR(__xludf.DUMMYFUNCTION("IFERROR((FILTER(Data!H:H,Data!D:D=A819,Data!B:B=$B$1)*2)+(FILTER(Data!L:L,Data!D:D=A819,Data!B:B=$B$1))+(FILTER(Data!G:G,Data!D:D=A819,Data!B:B=$B$1)*4)+(FILTER(Data!K:K,Data!D:D=A819,Data!B:B=$B$1)*2)+(((COUNTIF(FILTER(Data!N:N,Data!D:D=A819,Data!B:B=$B$"&amp;"1),""TRAVERSE"")*15)+(COUNTIF(FILTER(Data!N:N,Data!D:D=A819,Data!B:B=$B$1),""HIGH"")*10)+(COUNTIF(FILTER(Data!N:N,Data!D:D=A819,Data!B:B=$B$1),""MIDDLE"")*6)+(COUNTIF(FILTER(Data!N:N,Data!D:D=A819,Data!B:B=$B$1),""LOW"")*4))),"""")"),"")</f>
        <v/>
      </c>
      <c r="L819" s="136" t="str">
        <f>IFERROR(__xludf.DUMMYFUNCTION("IFERROR((FILTER(Data!P:P,Data!D:D=A819,Data!B:B=$B$1)),"""")"),"")</f>
        <v/>
      </c>
      <c r="M819" s="137" t="str">
        <f>IFERROR(__xludf.DUMMYFUNCTION("IFERROR((FILTER(Data!A:A,Data!D:D=A819,Data!B:B=$B$1)),"""")"),"")</f>
        <v/>
      </c>
      <c r="T819" s="52">
        <f>IFERROR(__xludf.DUMMYFUNCTION("((COUNTIF(FILTER(Data!N:N,Data!D:D=A819,Data!B:B=$B$1),""TRAVERSE"")*15)+(COUNTIF(FILTER(Data!N:N,Data!D:D=A819,Data!B:B=B$1),""HIGH"")*10)+(COUNTIF(FILTER(Data!N:N,Data!D:D=A819,Data!B:B=$B$1),""MIDDLE"")*6)+(COUNTIF(FILTER(Data!N:N,Data!D:D=A819,Data!B:"&amp;"B=$B$1),""LOW"")*4))"),0.0)</f>
        <v>0</v>
      </c>
      <c r="V819" s="138" t="str">
        <f>IF(Data!B811='Team Parser'!$B$1, Data!D811,"")</f>
        <v/>
      </c>
      <c r="W819" s="134" t="str">
        <f>IF(Data!$B811='Team Parser'!$B$1, Data!H811,"")</f>
        <v/>
      </c>
      <c r="X819" s="134" t="str">
        <f>IF(Data!$B811='Team Parser'!$B$1, Data!G811,"")</f>
        <v/>
      </c>
      <c r="Y819" s="134" t="str">
        <f>IF(Data!$B811='Team Parser'!$B$1, Data!L811,"")</f>
        <v/>
      </c>
      <c r="Z819" s="134" t="str">
        <f>IF(Data!$B811='Team Parser'!$B$1, Data!K811,"")</f>
        <v/>
      </c>
      <c r="AA819" s="134" t="str">
        <f>IF(Data!$B811='Team Parser'!$B$1, Data!M811,"")</f>
        <v/>
      </c>
      <c r="AB819" s="134" t="str">
        <f>IF(Data!$B811='Team Parser'!$B$1,((Z819*2)+(Y819)+(X819*4)+(W819*2)),"")</f>
        <v/>
      </c>
      <c r="AC819" s="134" t="str">
        <f>IF(Data!$B811='Team Parser'!$B$1, Data!N811,"")</f>
        <v/>
      </c>
      <c r="AD819" s="139" t="str">
        <f>IF(Data!$B811='Team Parser'!$B$1,(AB819+(COUNTIF(AC819,"TRAVERSE")*15)+(COUNTIF(AC819,"HIGH")*10)+(COUNTIF(AC819,"MIDDLE")*6)+(COUNTIF(AC819,"LOW")*4)),"")</f>
        <v/>
      </c>
    </row>
    <row r="820">
      <c r="A820" s="141" t="s">
        <v>507</v>
      </c>
      <c r="B820" s="134" t="str">
        <f>IFERROR(__xludf.DUMMYFUNCTION("IFERROR((FILTER(Data!H:H,Data!D:D=A820,Data!B:B=$B$1)),"""")"),"")</f>
        <v/>
      </c>
      <c r="C820" s="134" t="str">
        <f>IFERROR(__xludf.DUMMYFUNCTION("IFERROR((FILTER(Data!G:G,Data!D:D=A820,Data!B:B=$B$1)),"""")"),"")</f>
        <v/>
      </c>
      <c r="D820" s="134" t="str">
        <f>IFERROR(__xludf.DUMMYFUNCTION("IFERROR((FILTER(Data!J:J,Data!D:D=A820,Data!B:B=$B$1)),"""")"),"")</f>
        <v/>
      </c>
      <c r="E820" s="134" t="str">
        <f>IFERROR(__xludf.DUMMYFUNCTION("IFERROR((FILTER(Data!L:L,Data!D:D=A820,Data!B:B=$B$1)),"""")"),"")</f>
        <v/>
      </c>
      <c r="F820" s="134" t="str">
        <f>IFERROR(__xludf.DUMMYFUNCTION("IFERROR((FILTER(Data!K:K,Data!D:D=A820,Data!B:B=$B$1)),"""")"),"")</f>
        <v/>
      </c>
      <c r="G820" s="134" t="str">
        <f>IFERROR(__xludf.DUMMYFUNCTION("IFERROR((FILTER(Data!M:M,Data!D:D=A820,Data!B:B=$B$1)),"""")"),"")</f>
        <v/>
      </c>
      <c r="H820" s="134" t="str">
        <f>IFERROR(__xludf.DUMMYFUNCTION("IFERROR((FILTER(Data!G:G,Data!D:D=A820,Data!B:B=$B$1)*4)+(FILTER(Data!H:H,Data!D:D=A820,Data!B:B=$B$1)*2),"""")"),"")</f>
        <v/>
      </c>
      <c r="I820" s="15" t="str">
        <f>IFERROR(__xludf.DUMMYFUNCTION("IFERROR((FILTER(Data!K:K,Data!D:D=A820,Data!B:B=$B$1)*2)+(FILTER(Data!L:L,Data!D:D=A820,Data!B:B=$B$1)),"""")"),"")</f>
        <v/>
      </c>
      <c r="J820" s="134" t="str">
        <f>IFERROR(__xludf.DUMMYFUNCTION("IFERROR((FILTER(Data!N:N,Data!D:D=A820,Data!B:B=$B$1)),"""")"),"")</f>
        <v/>
      </c>
      <c r="K820" s="135" t="str">
        <f>IFERROR(__xludf.DUMMYFUNCTION("IFERROR((FILTER(Data!H:H,Data!D:D=A820,Data!B:B=$B$1)*2)+(FILTER(Data!L:L,Data!D:D=A820,Data!B:B=$B$1))+(FILTER(Data!G:G,Data!D:D=A820,Data!B:B=$B$1)*4)+(FILTER(Data!K:K,Data!D:D=A820,Data!B:B=$B$1)*2)+(((COUNTIF(FILTER(Data!N:N,Data!D:D=A820,Data!B:B=$B$"&amp;"1),""TRAVERSE"")*15)+(COUNTIF(FILTER(Data!N:N,Data!D:D=A820,Data!B:B=$B$1),""HIGH"")*10)+(COUNTIF(FILTER(Data!N:N,Data!D:D=A820,Data!B:B=$B$1),""MIDDLE"")*6)+(COUNTIF(FILTER(Data!N:N,Data!D:D=A820,Data!B:B=$B$1),""LOW"")*4))),"""")"),"")</f>
        <v/>
      </c>
      <c r="L820" s="136" t="str">
        <f>IFERROR(__xludf.DUMMYFUNCTION("IFERROR((FILTER(Data!P:P,Data!D:D=A820,Data!B:B=$B$1)),"""")"),"")</f>
        <v/>
      </c>
      <c r="M820" s="137" t="str">
        <f>IFERROR(__xludf.DUMMYFUNCTION("IFERROR((FILTER(Data!A:A,Data!D:D=A820,Data!B:B=$B$1)),"""")"),"")</f>
        <v/>
      </c>
      <c r="T820" s="52">
        <f>IFERROR(__xludf.DUMMYFUNCTION("((COUNTIF(FILTER(Data!N:N,Data!D:D=A820,Data!B:B=$B$1),""TRAVERSE"")*15)+(COUNTIF(FILTER(Data!N:N,Data!D:D=A820,Data!B:B=B$1),""HIGH"")*10)+(COUNTIF(FILTER(Data!N:N,Data!D:D=A820,Data!B:B=$B$1),""MIDDLE"")*6)+(COUNTIF(FILTER(Data!N:N,Data!D:D=A820,Data!B:"&amp;"B=$B$1),""LOW"")*4))"),0.0)</f>
        <v>0</v>
      </c>
      <c r="V820" s="138" t="str">
        <f>IF(Data!B812='Team Parser'!$B$1, Data!D812,"")</f>
        <v/>
      </c>
      <c r="W820" s="134" t="str">
        <f>IF(Data!$B812='Team Parser'!$B$1, Data!H812,"")</f>
        <v/>
      </c>
      <c r="X820" s="134" t="str">
        <f>IF(Data!$B812='Team Parser'!$B$1, Data!G812,"")</f>
        <v/>
      </c>
      <c r="Y820" s="134" t="str">
        <f>IF(Data!$B812='Team Parser'!$B$1, Data!L812,"")</f>
        <v/>
      </c>
      <c r="Z820" s="134" t="str">
        <f>IF(Data!$B812='Team Parser'!$B$1, Data!K812,"")</f>
        <v/>
      </c>
      <c r="AA820" s="134" t="str">
        <f>IF(Data!$B812='Team Parser'!$B$1, Data!M812,"")</f>
        <v/>
      </c>
      <c r="AB820" s="134" t="str">
        <f>IF(Data!$B812='Team Parser'!$B$1,((Z820*2)+(Y820)+(X820*4)+(W820*2)),"")</f>
        <v/>
      </c>
      <c r="AC820" s="134" t="str">
        <f>IF(Data!$B812='Team Parser'!$B$1, Data!N812,"")</f>
        <v/>
      </c>
      <c r="AD820" s="139" t="str">
        <f>IF(Data!$B812='Team Parser'!$B$1,(AB820+(COUNTIF(AC820,"TRAVERSE")*15)+(COUNTIF(AC820,"HIGH")*10)+(COUNTIF(AC820,"MIDDLE")*6)+(COUNTIF(AC820,"LOW")*4)),"")</f>
        <v/>
      </c>
    </row>
    <row r="821">
      <c r="A821" s="141" t="s">
        <v>507</v>
      </c>
      <c r="B821" s="134" t="str">
        <f>IFERROR(__xludf.DUMMYFUNCTION("IFERROR((FILTER(Data!H:H,Data!D:D=A821,Data!B:B=$B$1)),"""")"),"")</f>
        <v/>
      </c>
      <c r="C821" s="134" t="str">
        <f>IFERROR(__xludf.DUMMYFUNCTION("IFERROR((FILTER(Data!G:G,Data!D:D=A821,Data!B:B=$B$1)),"""")"),"")</f>
        <v/>
      </c>
      <c r="D821" s="134" t="str">
        <f>IFERROR(__xludf.DUMMYFUNCTION("IFERROR((FILTER(Data!J:J,Data!D:D=A821,Data!B:B=$B$1)),"""")"),"")</f>
        <v/>
      </c>
      <c r="E821" s="134" t="str">
        <f>IFERROR(__xludf.DUMMYFUNCTION("IFERROR((FILTER(Data!L:L,Data!D:D=A821,Data!B:B=$B$1)),"""")"),"")</f>
        <v/>
      </c>
      <c r="F821" s="134" t="str">
        <f>IFERROR(__xludf.DUMMYFUNCTION("IFERROR((FILTER(Data!K:K,Data!D:D=A821,Data!B:B=$B$1)),"""")"),"")</f>
        <v/>
      </c>
      <c r="G821" s="134" t="str">
        <f>IFERROR(__xludf.DUMMYFUNCTION("IFERROR((FILTER(Data!M:M,Data!D:D=A821,Data!B:B=$B$1)),"""")"),"")</f>
        <v/>
      </c>
      <c r="H821" s="134" t="str">
        <f>IFERROR(__xludf.DUMMYFUNCTION("IFERROR((FILTER(Data!G:G,Data!D:D=A821,Data!B:B=$B$1)*4)+(FILTER(Data!H:H,Data!D:D=A821,Data!B:B=$B$1)*2),"""")"),"")</f>
        <v/>
      </c>
      <c r="I821" s="15" t="str">
        <f>IFERROR(__xludf.DUMMYFUNCTION("IFERROR((FILTER(Data!K:K,Data!D:D=A821,Data!B:B=$B$1)*2)+(FILTER(Data!L:L,Data!D:D=A821,Data!B:B=$B$1)),"""")"),"")</f>
        <v/>
      </c>
      <c r="J821" s="134" t="str">
        <f>IFERROR(__xludf.DUMMYFUNCTION("IFERROR((FILTER(Data!N:N,Data!D:D=A821,Data!B:B=$B$1)),"""")"),"")</f>
        <v/>
      </c>
      <c r="K821" s="135" t="str">
        <f>IFERROR(__xludf.DUMMYFUNCTION("IFERROR((FILTER(Data!H:H,Data!D:D=A821,Data!B:B=$B$1)*2)+(FILTER(Data!L:L,Data!D:D=A821,Data!B:B=$B$1))+(FILTER(Data!G:G,Data!D:D=A821,Data!B:B=$B$1)*4)+(FILTER(Data!K:K,Data!D:D=A821,Data!B:B=$B$1)*2)+(((COUNTIF(FILTER(Data!N:N,Data!D:D=A821,Data!B:B=$B$"&amp;"1),""TRAVERSE"")*15)+(COUNTIF(FILTER(Data!N:N,Data!D:D=A821,Data!B:B=$B$1),""HIGH"")*10)+(COUNTIF(FILTER(Data!N:N,Data!D:D=A821,Data!B:B=$B$1),""MIDDLE"")*6)+(COUNTIF(FILTER(Data!N:N,Data!D:D=A821,Data!B:B=$B$1),""LOW"")*4))),"""")"),"")</f>
        <v/>
      </c>
      <c r="L821" s="136" t="str">
        <f>IFERROR(__xludf.DUMMYFUNCTION("IFERROR((FILTER(Data!P:P,Data!D:D=A821,Data!B:B=$B$1)),"""")"),"")</f>
        <v/>
      </c>
      <c r="M821" s="137" t="str">
        <f>IFERROR(__xludf.DUMMYFUNCTION("IFERROR((FILTER(Data!A:A,Data!D:D=A821,Data!B:B=$B$1)),"""")"),"")</f>
        <v/>
      </c>
      <c r="T821" s="52">
        <f>IFERROR(__xludf.DUMMYFUNCTION("((COUNTIF(FILTER(Data!N:N,Data!D:D=A821,Data!B:B=$B$1),""TRAVERSE"")*15)+(COUNTIF(FILTER(Data!N:N,Data!D:D=A821,Data!B:B=B$1),""HIGH"")*10)+(COUNTIF(FILTER(Data!N:N,Data!D:D=A821,Data!B:B=$B$1),""MIDDLE"")*6)+(COUNTIF(FILTER(Data!N:N,Data!D:D=A821,Data!B:"&amp;"B=$B$1),""LOW"")*4))"),0.0)</f>
        <v>0</v>
      </c>
      <c r="V821" s="138" t="str">
        <f>IF(Data!B813='Team Parser'!$B$1, Data!D813,"")</f>
        <v/>
      </c>
      <c r="W821" s="134" t="str">
        <f>IF(Data!$B813='Team Parser'!$B$1, Data!H813,"")</f>
        <v/>
      </c>
      <c r="X821" s="134" t="str">
        <f>IF(Data!$B813='Team Parser'!$B$1, Data!G813,"")</f>
        <v/>
      </c>
      <c r="Y821" s="134" t="str">
        <f>IF(Data!$B813='Team Parser'!$B$1, Data!L813,"")</f>
        <v/>
      </c>
      <c r="Z821" s="134" t="str">
        <f>IF(Data!$B813='Team Parser'!$B$1, Data!K813,"")</f>
        <v/>
      </c>
      <c r="AA821" s="134" t="str">
        <f>IF(Data!$B813='Team Parser'!$B$1, Data!M813,"")</f>
        <v/>
      </c>
      <c r="AB821" s="134" t="str">
        <f>IF(Data!$B813='Team Parser'!$B$1,((Z821*2)+(Y821)+(X821*4)+(W821*2)),"")</f>
        <v/>
      </c>
      <c r="AC821" s="134" t="str">
        <f>IF(Data!$B813='Team Parser'!$B$1, Data!N813,"")</f>
        <v/>
      </c>
      <c r="AD821" s="139" t="str">
        <f>IF(Data!$B813='Team Parser'!$B$1,(AB821+(COUNTIF(AC821,"TRAVERSE")*15)+(COUNTIF(AC821,"HIGH")*10)+(COUNTIF(AC821,"MIDDLE")*6)+(COUNTIF(AC821,"LOW")*4)),"")</f>
        <v/>
      </c>
    </row>
    <row r="822">
      <c r="A822" s="141" t="s">
        <v>507</v>
      </c>
      <c r="B822" s="134" t="str">
        <f>IFERROR(__xludf.DUMMYFUNCTION("IFERROR((FILTER(Data!H:H,Data!D:D=A822,Data!B:B=$B$1)),"""")"),"")</f>
        <v/>
      </c>
      <c r="C822" s="134" t="str">
        <f>IFERROR(__xludf.DUMMYFUNCTION("IFERROR((FILTER(Data!G:G,Data!D:D=A822,Data!B:B=$B$1)),"""")"),"")</f>
        <v/>
      </c>
      <c r="D822" s="134" t="str">
        <f>IFERROR(__xludf.DUMMYFUNCTION("IFERROR((FILTER(Data!J:J,Data!D:D=A822,Data!B:B=$B$1)),"""")"),"")</f>
        <v/>
      </c>
      <c r="E822" s="134" t="str">
        <f>IFERROR(__xludf.DUMMYFUNCTION("IFERROR((FILTER(Data!L:L,Data!D:D=A822,Data!B:B=$B$1)),"""")"),"")</f>
        <v/>
      </c>
      <c r="F822" s="134" t="str">
        <f>IFERROR(__xludf.DUMMYFUNCTION("IFERROR((FILTER(Data!K:K,Data!D:D=A822,Data!B:B=$B$1)),"""")"),"")</f>
        <v/>
      </c>
      <c r="G822" s="134" t="str">
        <f>IFERROR(__xludf.DUMMYFUNCTION("IFERROR((FILTER(Data!M:M,Data!D:D=A822,Data!B:B=$B$1)),"""")"),"")</f>
        <v/>
      </c>
      <c r="H822" s="134" t="str">
        <f>IFERROR(__xludf.DUMMYFUNCTION("IFERROR((FILTER(Data!G:G,Data!D:D=A822,Data!B:B=$B$1)*4)+(FILTER(Data!H:H,Data!D:D=A822,Data!B:B=$B$1)*2),"""")"),"")</f>
        <v/>
      </c>
      <c r="I822" s="15" t="str">
        <f>IFERROR(__xludf.DUMMYFUNCTION("IFERROR((FILTER(Data!K:K,Data!D:D=A822,Data!B:B=$B$1)*2)+(FILTER(Data!L:L,Data!D:D=A822,Data!B:B=$B$1)),"""")"),"")</f>
        <v/>
      </c>
      <c r="J822" s="134" t="str">
        <f>IFERROR(__xludf.DUMMYFUNCTION("IFERROR((FILTER(Data!N:N,Data!D:D=A822,Data!B:B=$B$1)),"""")"),"")</f>
        <v/>
      </c>
      <c r="K822" s="135" t="str">
        <f>IFERROR(__xludf.DUMMYFUNCTION("IFERROR((FILTER(Data!H:H,Data!D:D=A822,Data!B:B=$B$1)*2)+(FILTER(Data!L:L,Data!D:D=A822,Data!B:B=$B$1))+(FILTER(Data!G:G,Data!D:D=A822,Data!B:B=$B$1)*4)+(FILTER(Data!K:K,Data!D:D=A822,Data!B:B=$B$1)*2)+(((COUNTIF(FILTER(Data!N:N,Data!D:D=A822,Data!B:B=$B$"&amp;"1),""TRAVERSE"")*15)+(COUNTIF(FILTER(Data!N:N,Data!D:D=A822,Data!B:B=$B$1),""HIGH"")*10)+(COUNTIF(FILTER(Data!N:N,Data!D:D=A822,Data!B:B=$B$1),""MIDDLE"")*6)+(COUNTIF(FILTER(Data!N:N,Data!D:D=A822,Data!B:B=$B$1),""LOW"")*4))),"""")"),"")</f>
        <v/>
      </c>
      <c r="L822" s="136" t="str">
        <f>IFERROR(__xludf.DUMMYFUNCTION("IFERROR((FILTER(Data!P:P,Data!D:D=A822,Data!B:B=$B$1)),"""")"),"")</f>
        <v/>
      </c>
      <c r="M822" s="137" t="str">
        <f>IFERROR(__xludf.DUMMYFUNCTION("IFERROR((FILTER(Data!A:A,Data!D:D=A822,Data!B:B=$B$1)),"""")"),"")</f>
        <v/>
      </c>
      <c r="T822" s="52">
        <f>IFERROR(__xludf.DUMMYFUNCTION("((COUNTIF(FILTER(Data!N:N,Data!D:D=A822,Data!B:B=$B$1),""TRAVERSE"")*15)+(COUNTIF(FILTER(Data!N:N,Data!D:D=A822,Data!B:B=B$1),""HIGH"")*10)+(COUNTIF(FILTER(Data!N:N,Data!D:D=A822,Data!B:B=$B$1),""MIDDLE"")*6)+(COUNTIF(FILTER(Data!N:N,Data!D:D=A822,Data!B:"&amp;"B=$B$1),""LOW"")*4))"),0.0)</f>
        <v>0</v>
      </c>
      <c r="V822" s="138" t="str">
        <f>IF(Data!B814='Team Parser'!$B$1, Data!D814,"")</f>
        <v/>
      </c>
      <c r="W822" s="134" t="str">
        <f>IF(Data!$B814='Team Parser'!$B$1, Data!H814,"")</f>
        <v/>
      </c>
      <c r="X822" s="134" t="str">
        <f>IF(Data!$B814='Team Parser'!$B$1, Data!G814,"")</f>
        <v/>
      </c>
      <c r="Y822" s="134" t="str">
        <f>IF(Data!$B814='Team Parser'!$B$1, Data!L814,"")</f>
        <v/>
      </c>
      <c r="Z822" s="134" t="str">
        <f>IF(Data!$B814='Team Parser'!$B$1, Data!K814,"")</f>
        <v/>
      </c>
      <c r="AA822" s="134" t="str">
        <f>IF(Data!$B814='Team Parser'!$B$1, Data!M814,"")</f>
        <v/>
      </c>
      <c r="AB822" s="134" t="str">
        <f>IF(Data!$B814='Team Parser'!$B$1,((Z822*2)+(Y822)+(X822*4)+(W822*2)),"")</f>
        <v/>
      </c>
      <c r="AC822" s="134" t="str">
        <f>IF(Data!$B814='Team Parser'!$B$1, Data!N814,"")</f>
        <v/>
      </c>
      <c r="AD822" s="139" t="str">
        <f>IF(Data!$B814='Team Parser'!$B$1,(AB822+(COUNTIF(AC822,"TRAVERSE")*15)+(COUNTIF(AC822,"HIGH")*10)+(COUNTIF(AC822,"MIDDLE")*6)+(COUNTIF(AC822,"LOW")*4)),"")</f>
        <v/>
      </c>
    </row>
    <row r="823">
      <c r="A823" s="141" t="s">
        <v>507</v>
      </c>
      <c r="B823" s="134" t="str">
        <f>IFERROR(__xludf.DUMMYFUNCTION("IFERROR((FILTER(Data!H:H,Data!D:D=A823,Data!B:B=$B$1)),"""")"),"")</f>
        <v/>
      </c>
      <c r="C823" s="134" t="str">
        <f>IFERROR(__xludf.DUMMYFUNCTION("IFERROR((FILTER(Data!G:G,Data!D:D=A823,Data!B:B=$B$1)),"""")"),"")</f>
        <v/>
      </c>
      <c r="D823" s="134" t="str">
        <f>IFERROR(__xludf.DUMMYFUNCTION("IFERROR((FILTER(Data!J:J,Data!D:D=A823,Data!B:B=$B$1)),"""")"),"")</f>
        <v/>
      </c>
      <c r="E823" s="134" t="str">
        <f>IFERROR(__xludf.DUMMYFUNCTION("IFERROR((FILTER(Data!L:L,Data!D:D=A823,Data!B:B=$B$1)),"""")"),"")</f>
        <v/>
      </c>
      <c r="F823" s="134" t="str">
        <f>IFERROR(__xludf.DUMMYFUNCTION("IFERROR((FILTER(Data!K:K,Data!D:D=A823,Data!B:B=$B$1)),"""")"),"")</f>
        <v/>
      </c>
      <c r="G823" s="134" t="str">
        <f>IFERROR(__xludf.DUMMYFUNCTION("IFERROR((FILTER(Data!M:M,Data!D:D=A823,Data!B:B=$B$1)),"""")"),"")</f>
        <v/>
      </c>
      <c r="H823" s="134" t="str">
        <f>IFERROR(__xludf.DUMMYFUNCTION("IFERROR((FILTER(Data!G:G,Data!D:D=A823,Data!B:B=$B$1)*4)+(FILTER(Data!H:H,Data!D:D=A823,Data!B:B=$B$1)*2),"""")"),"")</f>
        <v/>
      </c>
      <c r="I823" s="15" t="str">
        <f>IFERROR(__xludf.DUMMYFUNCTION("IFERROR((FILTER(Data!K:K,Data!D:D=A823,Data!B:B=$B$1)*2)+(FILTER(Data!L:L,Data!D:D=A823,Data!B:B=$B$1)),"""")"),"")</f>
        <v/>
      </c>
      <c r="J823" s="134" t="str">
        <f>IFERROR(__xludf.DUMMYFUNCTION("IFERROR((FILTER(Data!N:N,Data!D:D=A823,Data!B:B=$B$1)),"""")"),"")</f>
        <v/>
      </c>
      <c r="K823" s="135" t="str">
        <f>IFERROR(__xludf.DUMMYFUNCTION("IFERROR((FILTER(Data!H:H,Data!D:D=A823,Data!B:B=$B$1)*2)+(FILTER(Data!L:L,Data!D:D=A823,Data!B:B=$B$1))+(FILTER(Data!G:G,Data!D:D=A823,Data!B:B=$B$1)*4)+(FILTER(Data!K:K,Data!D:D=A823,Data!B:B=$B$1)*2)+(((COUNTIF(FILTER(Data!N:N,Data!D:D=A823,Data!B:B=$B$"&amp;"1),""TRAVERSE"")*15)+(COUNTIF(FILTER(Data!N:N,Data!D:D=A823,Data!B:B=$B$1),""HIGH"")*10)+(COUNTIF(FILTER(Data!N:N,Data!D:D=A823,Data!B:B=$B$1),""MIDDLE"")*6)+(COUNTIF(FILTER(Data!N:N,Data!D:D=A823,Data!B:B=$B$1),""LOW"")*4))),"""")"),"")</f>
        <v/>
      </c>
      <c r="L823" s="136" t="str">
        <f>IFERROR(__xludf.DUMMYFUNCTION("IFERROR((FILTER(Data!P:P,Data!D:D=A823,Data!B:B=$B$1)),"""")"),"")</f>
        <v/>
      </c>
      <c r="M823" s="137" t="str">
        <f>IFERROR(__xludf.DUMMYFUNCTION("IFERROR((FILTER(Data!A:A,Data!D:D=A823,Data!B:B=$B$1)),"""")"),"")</f>
        <v/>
      </c>
      <c r="T823" s="52">
        <f>IFERROR(__xludf.DUMMYFUNCTION("((COUNTIF(FILTER(Data!N:N,Data!D:D=A823,Data!B:B=$B$1),""TRAVERSE"")*15)+(COUNTIF(FILTER(Data!N:N,Data!D:D=A823,Data!B:B=B$1),""HIGH"")*10)+(COUNTIF(FILTER(Data!N:N,Data!D:D=A823,Data!B:B=$B$1),""MIDDLE"")*6)+(COUNTIF(FILTER(Data!N:N,Data!D:D=A823,Data!B:"&amp;"B=$B$1),""LOW"")*4))"),0.0)</f>
        <v>0</v>
      </c>
      <c r="V823" s="138" t="str">
        <f>IF(Data!B815='Team Parser'!$B$1, Data!D815,"")</f>
        <v/>
      </c>
      <c r="W823" s="134" t="str">
        <f>IF(Data!$B815='Team Parser'!$B$1, Data!H815,"")</f>
        <v/>
      </c>
      <c r="X823" s="134" t="str">
        <f>IF(Data!$B815='Team Parser'!$B$1, Data!G815,"")</f>
        <v/>
      </c>
      <c r="Y823" s="134" t="str">
        <f>IF(Data!$B815='Team Parser'!$B$1, Data!L815,"")</f>
        <v/>
      </c>
      <c r="Z823" s="134" t="str">
        <f>IF(Data!$B815='Team Parser'!$B$1, Data!K815,"")</f>
        <v/>
      </c>
      <c r="AA823" s="134" t="str">
        <f>IF(Data!$B815='Team Parser'!$B$1, Data!M815,"")</f>
        <v/>
      </c>
      <c r="AB823" s="134" t="str">
        <f>IF(Data!$B815='Team Parser'!$B$1,((Z823*2)+(Y823)+(X823*4)+(W823*2)),"")</f>
        <v/>
      </c>
      <c r="AC823" s="134" t="str">
        <f>IF(Data!$B815='Team Parser'!$B$1, Data!N815,"")</f>
        <v/>
      </c>
      <c r="AD823" s="139" t="str">
        <f>IF(Data!$B815='Team Parser'!$B$1,(AB823+(COUNTIF(AC823,"TRAVERSE")*15)+(COUNTIF(AC823,"HIGH")*10)+(COUNTIF(AC823,"MIDDLE")*6)+(COUNTIF(AC823,"LOW")*4)),"")</f>
        <v/>
      </c>
    </row>
    <row r="824">
      <c r="A824" s="141" t="s">
        <v>507</v>
      </c>
      <c r="B824" s="134" t="str">
        <f>IFERROR(__xludf.DUMMYFUNCTION("IFERROR((FILTER(Data!H:H,Data!D:D=A824,Data!B:B=$B$1)),"""")"),"")</f>
        <v/>
      </c>
      <c r="C824" s="134" t="str">
        <f>IFERROR(__xludf.DUMMYFUNCTION("IFERROR((FILTER(Data!G:G,Data!D:D=A824,Data!B:B=$B$1)),"""")"),"")</f>
        <v/>
      </c>
      <c r="D824" s="134" t="str">
        <f>IFERROR(__xludf.DUMMYFUNCTION("IFERROR((FILTER(Data!J:J,Data!D:D=A824,Data!B:B=$B$1)),"""")"),"")</f>
        <v/>
      </c>
      <c r="E824" s="134" t="str">
        <f>IFERROR(__xludf.DUMMYFUNCTION("IFERROR((FILTER(Data!L:L,Data!D:D=A824,Data!B:B=$B$1)),"""")"),"")</f>
        <v/>
      </c>
      <c r="F824" s="134" t="str">
        <f>IFERROR(__xludf.DUMMYFUNCTION("IFERROR((FILTER(Data!K:K,Data!D:D=A824,Data!B:B=$B$1)),"""")"),"")</f>
        <v/>
      </c>
      <c r="G824" s="134" t="str">
        <f>IFERROR(__xludf.DUMMYFUNCTION("IFERROR((FILTER(Data!M:M,Data!D:D=A824,Data!B:B=$B$1)),"""")"),"")</f>
        <v/>
      </c>
      <c r="H824" s="134" t="str">
        <f>IFERROR(__xludf.DUMMYFUNCTION("IFERROR((FILTER(Data!G:G,Data!D:D=A824,Data!B:B=$B$1)*4)+(FILTER(Data!H:H,Data!D:D=A824,Data!B:B=$B$1)*2),"""")"),"")</f>
        <v/>
      </c>
      <c r="I824" s="15" t="str">
        <f>IFERROR(__xludf.DUMMYFUNCTION("IFERROR((FILTER(Data!K:K,Data!D:D=A824,Data!B:B=$B$1)*2)+(FILTER(Data!L:L,Data!D:D=A824,Data!B:B=$B$1)),"""")"),"")</f>
        <v/>
      </c>
      <c r="J824" s="134" t="str">
        <f>IFERROR(__xludf.DUMMYFUNCTION("IFERROR((FILTER(Data!N:N,Data!D:D=A824,Data!B:B=$B$1)),"""")"),"")</f>
        <v/>
      </c>
      <c r="K824" s="135" t="str">
        <f>IFERROR(__xludf.DUMMYFUNCTION("IFERROR((FILTER(Data!H:H,Data!D:D=A824,Data!B:B=$B$1)*2)+(FILTER(Data!L:L,Data!D:D=A824,Data!B:B=$B$1))+(FILTER(Data!G:G,Data!D:D=A824,Data!B:B=$B$1)*4)+(FILTER(Data!K:K,Data!D:D=A824,Data!B:B=$B$1)*2)+(((COUNTIF(FILTER(Data!N:N,Data!D:D=A824,Data!B:B=$B$"&amp;"1),""TRAVERSE"")*15)+(COUNTIF(FILTER(Data!N:N,Data!D:D=A824,Data!B:B=$B$1),""HIGH"")*10)+(COUNTIF(FILTER(Data!N:N,Data!D:D=A824,Data!B:B=$B$1),""MIDDLE"")*6)+(COUNTIF(FILTER(Data!N:N,Data!D:D=A824,Data!B:B=$B$1),""LOW"")*4))),"""")"),"")</f>
        <v/>
      </c>
      <c r="L824" s="136" t="str">
        <f>IFERROR(__xludf.DUMMYFUNCTION("IFERROR((FILTER(Data!P:P,Data!D:D=A824,Data!B:B=$B$1)),"""")"),"")</f>
        <v/>
      </c>
      <c r="M824" s="137" t="str">
        <f>IFERROR(__xludf.DUMMYFUNCTION("IFERROR((FILTER(Data!A:A,Data!D:D=A824,Data!B:B=$B$1)),"""")"),"")</f>
        <v/>
      </c>
      <c r="T824" s="52">
        <f>IFERROR(__xludf.DUMMYFUNCTION("((COUNTIF(FILTER(Data!N:N,Data!D:D=A824,Data!B:B=$B$1),""TRAVERSE"")*15)+(COUNTIF(FILTER(Data!N:N,Data!D:D=A824,Data!B:B=B$1),""HIGH"")*10)+(COUNTIF(FILTER(Data!N:N,Data!D:D=A824,Data!B:B=$B$1),""MIDDLE"")*6)+(COUNTIF(FILTER(Data!N:N,Data!D:D=A824,Data!B:"&amp;"B=$B$1),""LOW"")*4))"),0.0)</f>
        <v>0</v>
      </c>
      <c r="V824" s="138" t="str">
        <f>IF(Data!B816='Team Parser'!$B$1, Data!D816,"")</f>
        <v/>
      </c>
      <c r="W824" s="134" t="str">
        <f>IF(Data!$B816='Team Parser'!$B$1, Data!H816,"")</f>
        <v/>
      </c>
      <c r="X824" s="134" t="str">
        <f>IF(Data!$B816='Team Parser'!$B$1, Data!G816,"")</f>
        <v/>
      </c>
      <c r="Y824" s="134" t="str">
        <f>IF(Data!$B816='Team Parser'!$B$1, Data!L816,"")</f>
        <v/>
      </c>
      <c r="Z824" s="134" t="str">
        <f>IF(Data!$B816='Team Parser'!$B$1, Data!K816,"")</f>
        <v/>
      </c>
      <c r="AA824" s="134" t="str">
        <f>IF(Data!$B816='Team Parser'!$B$1, Data!M816,"")</f>
        <v/>
      </c>
      <c r="AB824" s="134" t="str">
        <f>IF(Data!$B816='Team Parser'!$B$1,((Z824*2)+(Y824)+(X824*4)+(W824*2)),"")</f>
        <v/>
      </c>
      <c r="AC824" s="134" t="str">
        <f>IF(Data!$B816='Team Parser'!$B$1, Data!N816,"")</f>
        <v/>
      </c>
      <c r="AD824" s="139" t="str">
        <f>IF(Data!$B816='Team Parser'!$B$1,(AB824+(COUNTIF(AC824,"TRAVERSE")*15)+(COUNTIF(AC824,"HIGH")*10)+(COUNTIF(AC824,"MIDDLE")*6)+(COUNTIF(AC824,"LOW")*4)),"")</f>
        <v/>
      </c>
    </row>
    <row r="825">
      <c r="A825" s="141" t="s">
        <v>507</v>
      </c>
      <c r="B825" s="134" t="str">
        <f>IFERROR(__xludf.DUMMYFUNCTION("IFERROR((FILTER(Data!H:H,Data!D:D=A825,Data!B:B=$B$1)),"""")"),"")</f>
        <v/>
      </c>
      <c r="C825" s="134" t="str">
        <f>IFERROR(__xludf.DUMMYFUNCTION("IFERROR((FILTER(Data!G:G,Data!D:D=A825,Data!B:B=$B$1)),"""")"),"")</f>
        <v/>
      </c>
      <c r="D825" s="134" t="str">
        <f>IFERROR(__xludf.DUMMYFUNCTION("IFERROR((FILTER(Data!J:J,Data!D:D=A825,Data!B:B=$B$1)),"""")"),"")</f>
        <v/>
      </c>
      <c r="E825" s="134" t="str">
        <f>IFERROR(__xludf.DUMMYFUNCTION("IFERROR((FILTER(Data!L:L,Data!D:D=A825,Data!B:B=$B$1)),"""")"),"")</f>
        <v/>
      </c>
      <c r="F825" s="134" t="str">
        <f>IFERROR(__xludf.DUMMYFUNCTION("IFERROR((FILTER(Data!K:K,Data!D:D=A825,Data!B:B=$B$1)),"""")"),"")</f>
        <v/>
      </c>
      <c r="G825" s="134" t="str">
        <f>IFERROR(__xludf.DUMMYFUNCTION("IFERROR((FILTER(Data!M:M,Data!D:D=A825,Data!B:B=$B$1)),"""")"),"")</f>
        <v/>
      </c>
      <c r="H825" s="134" t="str">
        <f>IFERROR(__xludf.DUMMYFUNCTION("IFERROR((FILTER(Data!G:G,Data!D:D=A825,Data!B:B=$B$1)*4)+(FILTER(Data!H:H,Data!D:D=A825,Data!B:B=$B$1)*2),"""")"),"")</f>
        <v/>
      </c>
      <c r="I825" s="15" t="str">
        <f>IFERROR(__xludf.DUMMYFUNCTION("IFERROR((FILTER(Data!K:K,Data!D:D=A825,Data!B:B=$B$1)*2)+(FILTER(Data!L:L,Data!D:D=A825,Data!B:B=$B$1)),"""")"),"")</f>
        <v/>
      </c>
      <c r="J825" s="134" t="str">
        <f>IFERROR(__xludf.DUMMYFUNCTION("IFERROR((FILTER(Data!N:N,Data!D:D=A825,Data!B:B=$B$1)),"""")"),"")</f>
        <v/>
      </c>
      <c r="K825" s="135" t="str">
        <f>IFERROR(__xludf.DUMMYFUNCTION("IFERROR((FILTER(Data!H:H,Data!D:D=A825,Data!B:B=$B$1)*2)+(FILTER(Data!L:L,Data!D:D=A825,Data!B:B=$B$1))+(FILTER(Data!G:G,Data!D:D=A825,Data!B:B=$B$1)*4)+(FILTER(Data!K:K,Data!D:D=A825,Data!B:B=$B$1)*2)+(((COUNTIF(FILTER(Data!N:N,Data!D:D=A825,Data!B:B=$B$"&amp;"1),""TRAVERSE"")*15)+(COUNTIF(FILTER(Data!N:N,Data!D:D=A825,Data!B:B=$B$1),""HIGH"")*10)+(COUNTIF(FILTER(Data!N:N,Data!D:D=A825,Data!B:B=$B$1),""MIDDLE"")*6)+(COUNTIF(FILTER(Data!N:N,Data!D:D=A825,Data!B:B=$B$1),""LOW"")*4))),"""")"),"")</f>
        <v/>
      </c>
      <c r="L825" s="136" t="str">
        <f>IFERROR(__xludf.DUMMYFUNCTION("IFERROR((FILTER(Data!P:P,Data!D:D=A825,Data!B:B=$B$1)),"""")"),"")</f>
        <v/>
      </c>
      <c r="M825" s="137" t="str">
        <f>IFERROR(__xludf.DUMMYFUNCTION("IFERROR((FILTER(Data!A:A,Data!D:D=A825,Data!B:B=$B$1)),"""")"),"")</f>
        <v/>
      </c>
      <c r="T825" s="52">
        <f>IFERROR(__xludf.DUMMYFUNCTION("((COUNTIF(FILTER(Data!N:N,Data!D:D=A825,Data!B:B=$B$1),""TRAVERSE"")*15)+(COUNTIF(FILTER(Data!N:N,Data!D:D=A825,Data!B:B=B$1),""HIGH"")*10)+(COUNTIF(FILTER(Data!N:N,Data!D:D=A825,Data!B:B=$B$1),""MIDDLE"")*6)+(COUNTIF(FILTER(Data!N:N,Data!D:D=A825,Data!B:"&amp;"B=$B$1),""LOW"")*4))"),0.0)</f>
        <v>0</v>
      </c>
      <c r="V825" s="138" t="str">
        <f>IF(Data!B817='Team Parser'!$B$1, Data!D817,"")</f>
        <v/>
      </c>
      <c r="W825" s="134" t="str">
        <f>IF(Data!$B817='Team Parser'!$B$1, Data!H817,"")</f>
        <v/>
      </c>
      <c r="X825" s="134" t="str">
        <f>IF(Data!$B817='Team Parser'!$B$1, Data!G817,"")</f>
        <v/>
      </c>
      <c r="Y825" s="134" t="str">
        <f>IF(Data!$B817='Team Parser'!$B$1, Data!L817,"")</f>
        <v/>
      </c>
      <c r="Z825" s="134" t="str">
        <f>IF(Data!$B817='Team Parser'!$B$1, Data!K817,"")</f>
        <v/>
      </c>
      <c r="AA825" s="134" t="str">
        <f>IF(Data!$B817='Team Parser'!$B$1, Data!M817,"")</f>
        <v/>
      </c>
      <c r="AB825" s="134" t="str">
        <f>IF(Data!$B817='Team Parser'!$B$1,((Z825*2)+(Y825)+(X825*4)+(W825*2)),"")</f>
        <v/>
      </c>
      <c r="AC825" s="134" t="str">
        <f>IF(Data!$B817='Team Parser'!$B$1, Data!N817,"")</f>
        <v/>
      </c>
      <c r="AD825" s="139" t="str">
        <f>IF(Data!$B817='Team Parser'!$B$1,(AB825+(COUNTIF(AC825,"TRAVERSE")*15)+(COUNTIF(AC825,"HIGH")*10)+(COUNTIF(AC825,"MIDDLE")*6)+(COUNTIF(AC825,"LOW")*4)),"")</f>
        <v/>
      </c>
    </row>
    <row r="826">
      <c r="A826" s="141" t="s">
        <v>507</v>
      </c>
      <c r="B826" s="134" t="str">
        <f>IFERROR(__xludf.DUMMYFUNCTION("IFERROR((FILTER(Data!H:H,Data!D:D=A826,Data!B:B=$B$1)),"""")"),"")</f>
        <v/>
      </c>
      <c r="C826" s="134" t="str">
        <f>IFERROR(__xludf.DUMMYFUNCTION("IFERROR((FILTER(Data!G:G,Data!D:D=A826,Data!B:B=$B$1)),"""")"),"")</f>
        <v/>
      </c>
      <c r="D826" s="134" t="str">
        <f>IFERROR(__xludf.DUMMYFUNCTION("IFERROR((FILTER(Data!J:J,Data!D:D=A826,Data!B:B=$B$1)),"""")"),"")</f>
        <v/>
      </c>
      <c r="E826" s="134" t="str">
        <f>IFERROR(__xludf.DUMMYFUNCTION("IFERROR((FILTER(Data!L:L,Data!D:D=A826,Data!B:B=$B$1)),"""")"),"")</f>
        <v/>
      </c>
      <c r="F826" s="134" t="str">
        <f>IFERROR(__xludf.DUMMYFUNCTION("IFERROR((FILTER(Data!K:K,Data!D:D=A826,Data!B:B=$B$1)),"""")"),"")</f>
        <v/>
      </c>
      <c r="G826" s="134" t="str">
        <f>IFERROR(__xludf.DUMMYFUNCTION("IFERROR((FILTER(Data!M:M,Data!D:D=A826,Data!B:B=$B$1)),"""")"),"")</f>
        <v/>
      </c>
      <c r="H826" s="134" t="str">
        <f>IFERROR(__xludf.DUMMYFUNCTION("IFERROR((FILTER(Data!G:G,Data!D:D=A826,Data!B:B=$B$1)*4)+(FILTER(Data!H:H,Data!D:D=A826,Data!B:B=$B$1)*2),"""")"),"")</f>
        <v/>
      </c>
      <c r="I826" s="15" t="str">
        <f>IFERROR(__xludf.DUMMYFUNCTION("IFERROR((FILTER(Data!K:K,Data!D:D=A826,Data!B:B=$B$1)*2)+(FILTER(Data!L:L,Data!D:D=A826,Data!B:B=$B$1)),"""")"),"")</f>
        <v/>
      </c>
      <c r="J826" s="134" t="str">
        <f>IFERROR(__xludf.DUMMYFUNCTION("IFERROR((FILTER(Data!N:N,Data!D:D=A826,Data!B:B=$B$1)),"""")"),"")</f>
        <v/>
      </c>
      <c r="K826" s="135" t="str">
        <f>IFERROR(__xludf.DUMMYFUNCTION("IFERROR((FILTER(Data!H:H,Data!D:D=A826,Data!B:B=$B$1)*2)+(FILTER(Data!L:L,Data!D:D=A826,Data!B:B=$B$1))+(FILTER(Data!G:G,Data!D:D=A826,Data!B:B=$B$1)*4)+(FILTER(Data!K:K,Data!D:D=A826,Data!B:B=$B$1)*2)+(((COUNTIF(FILTER(Data!N:N,Data!D:D=A826,Data!B:B=$B$"&amp;"1),""TRAVERSE"")*15)+(COUNTIF(FILTER(Data!N:N,Data!D:D=A826,Data!B:B=$B$1),""HIGH"")*10)+(COUNTIF(FILTER(Data!N:N,Data!D:D=A826,Data!B:B=$B$1),""MIDDLE"")*6)+(COUNTIF(FILTER(Data!N:N,Data!D:D=A826,Data!B:B=$B$1),""LOW"")*4))),"""")"),"")</f>
        <v/>
      </c>
      <c r="L826" s="136" t="str">
        <f>IFERROR(__xludf.DUMMYFUNCTION("IFERROR((FILTER(Data!P:P,Data!D:D=A826,Data!B:B=$B$1)),"""")"),"")</f>
        <v/>
      </c>
      <c r="M826" s="137" t="str">
        <f>IFERROR(__xludf.DUMMYFUNCTION("IFERROR((FILTER(Data!A:A,Data!D:D=A826,Data!B:B=$B$1)),"""")"),"")</f>
        <v/>
      </c>
      <c r="T826" s="52">
        <f>IFERROR(__xludf.DUMMYFUNCTION("((COUNTIF(FILTER(Data!N:N,Data!D:D=A826,Data!B:B=$B$1),""TRAVERSE"")*15)+(COUNTIF(FILTER(Data!N:N,Data!D:D=A826,Data!B:B=B$1),""HIGH"")*10)+(COUNTIF(FILTER(Data!N:N,Data!D:D=A826,Data!B:B=$B$1),""MIDDLE"")*6)+(COUNTIF(FILTER(Data!N:N,Data!D:D=A826,Data!B:"&amp;"B=$B$1),""LOW"")*4))"),0.0)</f>
        <v>0</v>
      </c>
      <c r="V826" s="138" t="str">
        <f>IF(Data!B818='Team Parser'!$B$1, Data!D818,"")</f>
        <v/>
      </c>
      <c r="W826" s="134" t="str">
        <f>IF(Data!$B818='Team Parser'!$B$1, Data!H818,"")</f>
        <v/>
      </c>
      <c r="X826" s="134" t="str">
        <f>IF(Data!$B818='Team Parser'!$B$1, Data!G818,"")</f>
        <v/>
      </c>
      <c r="Y826" s="134" t="str">
        <f>IF(Data!$B818='Team Parser'!$B$1, Data!L818,"")</f>
        <v/>
      </c>
      <c r="Z826" s="134" t="str">
        <f>IF(Data!$B818='Team Parser'!$B$1, Data!K818,"")</f>
        <v/>
      </c>
      <c r="AA826" s="134" t="str">
        <f>IF(Data!$B818='Team Parser'!$B$1, Data!M818,"")</f>
        <v/>
      </c>
      <c r="AB826" s="134" t="str">
        <f>IF(Data!$B818='Team Parser'!$B$1,((Z826*2)+(Y826)+(X826*4)+(W826*2)),"")</f>
        <v/>
      </c>
      <c r="AC826" s="134" t="str">
        <f>IF(Data!$B818='Team Parser'!$B$1, Data!N818,"")</f>
        <v/>
      </c>
      <c r="AD826" s="139" t="str">
        <f>IF(Data!$B818='Team Parser'!$B$1,(AB826+(COUNTIF(AC826,"TRAVERSE")*15)+(COUNTIF(AC826,"HIGH")*10)+(COUNTIF(AC826,"MIDDLE")*6)+(COUNTIF(AC826,"LOW")*4)),"")</f>
        <v/>
      </c>
    </row>
    <row r="827">
      <c r="A827" s="141" t="s">
        <v>507</v>
      </c>
      <c r="B827" s="134" t="str">
        <f>IFERROR(__xludf.DUMMYFUNCTION("IFERROR((FILTER(Data!H:H,Data!D:D=A827,Data!B:B=$B$1)),"""")"),"")</f>
        <v/>
      </c>
      <c r="C827" s="134" t="str">
        <f>IFERROR(__xludf.DUMMYFUNCTION("IFERROR((FILTER(Data!G:G,Data!D:D=A827,Data!B:B=$B$1)),"""")"),"")</f>
        <v/>
      </c>
      <c r="D827" s="134" t="str">
        <f>IFERROR(__xludf.DUMMYFUNCTION("IFERROR((FILTER(Data!J:J,Data!D:D=A827,Data!B:B=$B$1)),"""")"),"")</f>
        <v/>
      </c>
      <c r="E827" s="134" t="str">
        <f>IFERROR(__xludf.DUMMYFUNCTION("IFERROR((FILTER(Data!L:L,Data!D:D=A827,Data!B:B=$B$1)),"""")"),"")</f>
        <v/>
      </c>
      <c r="F827" s="134" t="str">
        <f>IFERROR(__xludf.DUMMYFUNCTION("IFERROR((FILTER(Data!K:K,Data!D:D=A827,Data!B:B=$B$1)),"""")"),"")</f>
        <v/>
      </c>
      <c r="G827" s="134" t="str">
        <f>IFERROR(__xludf.DUMMYFUNCTION("IFERROR((FILTER(Data!M:M,Data!D:D=A827,Data!B:B=$B$1)),"""")"),"")</f>
        <v/>
      </c>
      <c r="H827" s="134" t="str">
        <f>IFERROR(__xludf.DUMMYFUNCTION("IFERROR((FILTER(Data!G:G,Data!D:D=A827,Data!B:B=$B$1)*4)+(FILTER(Data!H:H,Data!D:D=A827,Data!B:B=$B$1)*2),"""")"),"")</f>
        <v/>
      </c>
      <c r="I827" s="15" t="str">
        <f>IFERROR(__xludf.DUMMYFUNCTION("IFERROR((FILTER(Data!K:K,Data!D:D=A827,Data!B:B=$B$1)*2)+(FILTER(Data!L:L,Data!D:D=A827,Data!B:B=$B$1)),"""")"),"")</f>
        <v/>
      </c>
      <c r="J827" s="134" t="str">
        <f>IFERROR(__xludf.DUMMYFUNCTION("IFERROR((FILTER(Data!N:N,Data!D:D=A827,Data!B:B=$B$1)),"""")"),"")</f>
        <v/>
      </c>
      <c r="K827" s="135" t="str">
        <f>IFERROR(__xludf.DUMMYFUNCTION("IFERROR((FILTER(Data!H:H,Data!D:D=A827,Data!B:B=$B$1)*2)+(FILTER(Data!L:L,Data!D:D=A827,Data!B:B=$B$1))+(FILTER(Data!G:G,Data!D:D=A827,Data!B:B=$B$1)*4)+(FILTER(Data!K:K,Data!D:D=A827,Data!B:B=$B$1)*2)+(((COUNTIF(FILTER(Data!N:N,Data!D:D=A827,Data!B:B=$B$"&amp;"1),""TRAVERSE"")*15)+(COUNTIF(FILTER(Data!N:N,Data!D:D=A827,Data!B:B=$B$1),""HIGH"")*10)+(COUNTIF(FILTER(Data!N:N,Data!D:D=A827,Data!B:B=$B$1),""MIDDLE"")*6)+(COUNTIF(FILTER(Data!N:N,Data!D:D=A827,Data!B:B=$B$1),""LOW"")*4))),"""")"),"")</f>
        <v/>
      </c>
      <c r="L827" s="136" t="str">
        <f>IFERROR(__xludf.DUMMYFUNCTION("IFERROR((FILTER(Data!P:P,Data!D:D=A827,Data!B:B=$B$1)),"""")"),"")</f>
        <v/>
      </c>
      <c r="M827" s="137" t="str">
        <f>IFERROR(__xludf.DUMMYFUNCTION("IFERROR((FILTER(Data!A:A,Data!D:D=A827,Data!B:B=$B$1)),"""")"),"")</f>
        <v/>
      </c>
      <c r="T827" s="52">
        <f>IFERROR(__xludf.DUMMYFUNCTION("((COUNTIF(FILTER(Data!N:N,Data!D:D=A827,Data!B:B=$B$1),""TRAVERSE"")*15)+(COUNTIF(FILTER(Data!N:N,Data!D:D=A827,Data!B:B=B$1),""HIGH"")*10)+(COUNTIF(FILTER(Data!N:N,Data!D:D=A827,Data!B:B=$B$1),""MIDDLE"")*6)+(COUNTIF(FILTER(Data!N:N,Data!D:D=A827,Data!B:"&amp;"B=$B$1),""LOW"")*4))"),0.0)</f>
        <v>0</v>
      </c>
      <c r="V827" s="138" t="str">
        <f>IF(Data!B819='Team Parser'!$B$1, Data!D819,"")</f>
        <v/>
      </c>
      <c r="W827" s="134" t="str">
        <f>IF(Data!$B819='Team Parser'!$B$1, Data!H819,"")</f>
        <v/>
      </c>
      <c r="X827" s="134" t="str">
        <f>IF(Data!$B819='Team Parser'!$B$1, Data!G819,"")</f>
        <v/>
      </c>
      <c r="Y827" s="134" t="str">
        <f>IF(Data!$B819='Team Parser'!$B$1, Data!L819,"")</f>
        <v/>
      </c>
      <c r="Z827" s="134" t="str">
        <f>IF(Data!$B819='Team Parser'!$B$1, Data!K819,"")</f>
        <v/>
      </c>
      <c r="AA827" s="134" t="str">
        <f>IF(Data!$B819='Team Parser'!$B$1, Data!M819,"")</f>
        <v/>
      </c>
      <c r="AB827" s="134" t="str">
        <f>IF(Data!$B819='Team Parser'!$B$1,((Z827*2)+(Y827)+(X827*4)+(W827*2)),"")</f>
        <v/>
      </c>
      <c r="AC827" s="134" t="str">
        <f>IF(Data!$B819='Team Parser'!$B$1, Data!N819,"")</f>
        <v/>
      </c>
      <c r="AD827" s="139" t="str">
        <f>IF(Data!$B819='Team Parser'!$B$1,(AB827+(COUNTIF(AC827,"TRAVERSE")*15)+(COUNTIF(AC827,"HIGH")*10)+(COUNTIF(AC827,"MIDDLE")*6)+(COUNTIF(AC827,"LOW")*4)),"")</f>
        <v/>
      </c>
    </row>
    <row r="828">
      <c r="A828" s="141" t="s">
        <v>507</v>
      </c>
      <c r="B828" s="134" t="str">
        <f>IFERROR(__xludf.DUMMYFUNCTION("IFERROR((FILTER(Data!H:H,Data!D:D=A828,Data!B:B=$B$1)),"""")"),"")</f>
        <v/>
      </c>
      <c r="C828" s="134" t="str">
        <f>IFERROR(__xludf.DUMMYFUNCTION("IFERROR((FILTER(Data!G:G,Data!D:D=A828,Data!B:B=$B$1)),"""")"),"")</f>
        <v/>
      </c>
      <c r="D828" s="134" t="str">
        <f>IFERROR(__xludf.DUMMYFUNCTION("IFERROR((FILTER(Data!J:J,Data!D:D=A828,Data!B:B=$B$1)),"""")"),"")</f>
        <v/>
      </c>
      <c r="E828" s="134" t="str">
        <f>IFERROR(__xludf.DUMMYFUNCTION("IFERROR((FILTER(Data!L:L,Data!D:D=A828,Data!B:B=$B$1)),"""")"),"")</f>
        <v/>
      </c>
      <c r="F828" s="134" t="str">
        <f>IFERROR(__xludf.DUMMYFUNCTION("IFERROR((FILTER(Data!K:K,Data!D:D=A828,Data!B:B=$B$1)),"""")"),"")</f>
        <v/>
      </c>
      <c r="G828" s="134" t="str">
        <f>IFERROR(__xludf.DUMMYFUNCTION("IFERROR((FILTER(Data!M:M,Data!D:D=A828,Data!B:B=$B$1)),"""")"),"")</f>
        <v/>
      </c>
      <c r="H828" s="134" t="str">
        <f>IFERROR(__xludf.DUMMYFUNCTION("IFERROR((FILTER(Data!G:G,Data!D:D=A828,Data!B:B=$B$1)*4)+(FILTER(Data!H:H,Data!D:D=A828,Data!B:B=$B$1)*2),"""")"),"")</f>
        <v/>
      </c>
      <c r="I828" s="15" t="str">
        <f>IFERROR(__xludf.DUMMYFUNCTION("IFERROR((FILTER(Data!K:K,Data!D:D=A828,Data!B:B=$B$1)*2)+(FILTER(Data!L:L,Data!D:D=A828,Data!B:B=$B$1)),"""")"),"")</f>
        <v/>
      </c>
      <c r="J828" s="134" t="str">
        <f>IFERROR(__xludf.DUMMYFUNCTION("IFERROR((FILTER(Data!N:N,Data!D:D=A828,Data!B:B=$B$1)),"""")"),"")</f>
        <v/>
      </c>
      <c r="K828" s="135" t="str">
        <f>IFERROR(__xludf.DUMMYFUNCTION("IFERROR((FILTER(Data!H:H,Data!D:D=A828,Data!B:B=$B$1)*2)+(FILTER(Data!L:L,Data!D:D=A828,Data!B:B=$B$1))+(FILTER(Data!G:G,Data!D:D=A828,Data!B:B=$B$1)*4)+(FILTER(Data!K:K,Data!D:D=A828,Data!B:B=$B$1)*2)+(((COUNTIF(FILTER(Data!N:N,Data!D:D=A828,Data!B:B=$B$"&amp;"1),""TRAVERSE"")*15)+(COUNTIF(FILTER(Data!N:N,Data!D:D=A828,Data!B:B=$B$1),""HIGH"")*10)+(COUNTIF(FILTER(Data!N:N,Data!D:D=A828,Data!B:B=$B$1),""MIDDLE"")*6)+(COUNTIF(FILTER(Data!N:N,Data!D:D=A828,Data!B:B=$B$1),""LOW"")*4))),"""")"),"")</f>
        <v/>
      </c>
      <c r="L828" s="136" t="str">
        <f>IFERROR(__xludf.DUMMYFUNCTION("IFERROR((FILTER(Data!P:P,Data!D:D=A828,Data!B:B=$B$1)),"""")"),"")</f>
        <v/>
      </c>
      <c r="M828" s="137" t="str">
        <f>IFERROR(__xludf.DUMMYFUNCTION("IFERROR((FILTER(Data!A:A,Data!D:D=A828,Data!B:B=$B$1)),"""")"),"")</f>
        <v/>
      </c>
      <c r="T828" s="52">
        <f>IFERROR(__xludf.DUMMYFUNCTION("((COUNTIF(FILTER(Data!N:N,Data!D:D=A828,Data!B:B=$B$1),""TRAVERSE"")*15)+(COUNTIF(FILTER(Data!N:N,Data!D:D=A828,Data!B:B=B$1),""HIGH"")*10)+(COUNTIF(FILTER(Data!N:N,Data!D:D=A828,Data!B:B=$B$1),""MIDDLE"")*6)+(COUNTIF(FILTER(Data!N:N,Data!D:D=A828,Data!B:"&amp;"B=$B$1),""LOW"")*4))"),0.0)</f>
        <v>0</v>
      </c>
      <c r="V828" s="138" t="str">
        <f>IF(Data!B820='Team Parser'!$B$1, Data!D820,"")</f>
        <v/>
      </c>
      <c r="W828" s="134" t="str">
        <f>IF(Data!$B820='Team Parser'!$B$1, Data!H820,"")</f>
        <v/>
      </c>
      <c r="X828" s="134" t="str">
        <f>IF(Data!$B820='Team Parser'!$B$1, Data!G820,"")</f>
        <v/>
      </c>
      <c r="Y828" s="134" t="str">
        <f>IF(Data!$B820='Team Parser'!$B$1, Data!L820,"")</f>
        <v/>
      </c>
      <c r="Z828" s="134" t="str">
        <f>IF(Data!$B820='Team Parser'!$B$1, Data!K820,"")</f>
        <v/>
      </c>
      <c r="AA828" s="134" t="str">
        <f>IF(Data!$B820='Team Parser'!$B$1, Data!M820,"")</f>
        <v/>
      </c>
      <c r="AB828" s="134" t="str">
        <f>IF(Data!$B820='Team Parser'!$B$1,((Z828*2)+(Y828)+(X828*4)+(W828*2)),"")</f>
        <v/>
      </c>
      <c r="AC828" s="134" t="str">
        <f>IF(Data!$B820='Team Parser'!$B$1, Data!N820,"")</f>
        <v/>
      </c>
      <c r="AD828" s="139" t="str">
        <f>IF(Data!$B820='Team Parser'!$B$1,(AB828+(COUNTIF(AC828,"TRAVERSE")*15)+(COUNTIF(AC828,"HIGH")*10)+(COUNTIF(AC828,"MIDDLE")*6)+(COUNTIF(AC828,"LOW")*4)),"")</f>
        <v/>
      </c>
    </row>
    <row r="829">
      <c r="A829" s="141" t="s">
        <v>507</v>
      </c>
      <c r="B829" s="134" t="str">
        <f>IFERROR(__xludf.DUMMYFUNCTION("IFERROR((FILTER(Data!H:H,Data!D:D=A829,Data!B:B=$B$1)),"""")"),"")</f>
        <v/>
      </c>
      <c r="C829" s="134" t="str">
        <f>IFERROR(__xludf.DUMMYFUNCTION("IFERROR((FILTER(Data!G:G,Data!D:D=A829,Data!B:B=$B$1)),"""")"),"")</f>
        <v/>
      </c>
      <c r="D829" s="134" t="str">
        <f>IFERROR(__xludf.DUMMYFUNCTION("IFERROR((FILTER(Data!J:J,Data!D:D=A829,Data!B:B=$B$1)),"""")"),"")</f>
        <v/>
      </c>
      <c r="E829" s="134" t="str">
        <f>IFERROR(__xludf.DUMMYFUNCTION("IFERROR((FILTER(Data!L:L,Data!D:D=A829,Data!B:B=$B$1)),"""")"),"")</f>
        <v/>
      </c>
      <c r="F829" s="134" t="str">
        <f>IFERROR(__xludf.DUMMYFUNCTION("IFERROR((FILTER(Data!K:K,Data!D:D=A829,Data!B:B=$B$1)),"""")"),"")</f>
        <v/>
      </c>
      <c r="G829" s="134" t="str">
        <f>IFERROR(__xludf.DUMMYFUNCTION("IFERROR((FILTER(Data!M:M,Data!D:D=A829,Data!B:B=$B$1)),"""")"),"")</f>
        <v/>
      </c>
      <c r="H829" s="134" t="str">
        <f>IFERROR(__xludf.DUMMYFUNCTION("IFERROR((FILTER(Data!G:G,Data!D:D=A829,Data!B:B=$B$1)*4)+(FILTER(Data!H:H,Data!D:D=A829,Data!B:B=$B$1)*2),"""")"),"")</f>
        <v/>
      </c>
      <c r="I829" s="15" t="str">
        <f>IFERROR(__xludf.DUMMYFUNCTION("IFERROR((FILTER(Data!K:K,Data!D:D=A829,Data!B:B=$B$1)*2)+(FILTER(Data!L:L,Data!D:D=A829,Data!B:B=$B$1)),"""")"),"")</f>
        <v/>
      </c>
      <c r="J829" s="134" t="str">
        <f>IFERROR(__xludf.DUMMYFUNCTION("IFERROR((FILTER(Data!N:N,Data!D:D=A829,Data!B:B=$B$1)),"""")"),"")</f>
        <v/>
      </c>
      <c r="K829" s="135" t="str">
        <f>IFERROR(__xludf.DUMMYFUNCTION("IFERROR((FILTER(Data!H:H,Data!D:D=A829,Data!B:B=$B$1)*2)+(FILTER(Data!L:L,Data!D:D=A829,Data!B:B=$B$1))+(FILTER(Data!G:G,Data!D:D=A829,Data!B:B=$B$1)*4)+(FILTER(Data!K:K,Data!D:D=A829,Data!B:B=$B$1)*2)+(((COUNTIF(FILTER(Data!N:N,Data!D:D=A829,Data!B:B=$B$"&amp;"1),""TRAVERSE"")*15)+(COUNTIF(FILTER(Data!N:N,Data!D:D=A829,Data!B:B=$B$1),""HIGH"")*10)+(COUNTIF(FILTER(Data!N:N,Data!D:D=A829,Data!B:B=$B$1),""MIDDLE"")*6)+(COUNTIF(FILTER(Data!N:N,Data!D:D=A829,Data!B:B=$B$1),""LOW"")*4))),"""")"),"")</f>
        <v/>
      </c>
      <c r="L829" s="136" t="str">
        <f>IFERROR(__xludf.DUMMYFUNCTION("IFERROR((FILTER(Data!P:P,Data!D:D=A829,Data!B:B=$B$1)),"""")"),"")</f>
        <v/>
      </c>
      <c r="M829" s="137" t="str">
        <f>IFERROR(__xludf.DUMMYFUNCTION("IFERROR((FILTER(Data!A:A,Data!D:D=A829,Data!B:B=$B$1)),"""")"),"")</f>
        <v/>
      </c>
      <c r="T829" s="52">
        <f>IFERROR(__xludf.DUMMYFUNCTION("((COUNTIF(FILTER(Data!N:N,Data!D:D=A829,Data!B:B=$B$1),""TRAVERSE"")*15)+(COUNTIF(FILTER(Data!N:N,Data!D:D=A829,Data!B:B=B$1),""HIGH"")*10)+(COUNTIF(FILTER(Data!N:N,Data!D:D=A829,Data!B:B=$B$1),""MIDDLE"")*6)+(COUNTIF(FILTER(Data!N:N,Data!D:D=A829,Data!B:"&amp;"B=$B$1),""LOW"")*4))"),0.0)</f>
        <v>0</v>
      </c>
      <c r="V829" s="138" t="str">
        <f>IF(Data!B821='Team Parser'!$B$1, Data!D821,"")</f>
        <v/>
      </c>
      <c r="W829" s="134" t="str">
        <f>IF(Data!$B821='Team Parser'!$B$1, Data!H821,"")</f>
        <v/>
      </c>
      <c r="X829" s="134" t="str">
        <f>IF(Data!$B821='Team Parser'!$B$1, Data!G821,"")</f>
        <v/>
      </c>
      <c r="Y829" s="134" t="str">
        <f>IF(Data!$B821='Team Parser'!$B$1, Data!L821,"")</f>
        <v/>
      </c>
      <c r="Z829" s="134" t="str">
        <f>IF(Data!$B821='Team Parser'!$B$1, Data!K821,"")</f>
        <v/>
      </c>
      <c r="AA829" s="134" t="str">
        <f>IF(Data!$B821='Team Parser'!$B$1, Data!M821,"")</f>
        <v/>
      </c>
      <c r="AB829" s="134" t="str">
        <f>IF(Data!$B821='Team Parser'!$B$1,((Z829*2)+(Y829)+(X829*4)+(W829*2)),"")</f>
        <v/>
      </c>
      <c r="AC829" s="134" t="str">
        <f>IF(Data!$B821='Team Parser'!$B$1, Data!N821,"")</f>
        <v/>
      </c>
      <c r="AD829" s="139" t="str">
        <f>IF(Data!$B821='Team Parser'!$B$1,(AB829+(COUNTIF(AC829,"TRAVERSE")*15)+(COUNTIF(AC829,"HIGH")*10)+(COUNTIF(AC829,"MIDDLE")*6)+(COUNTIF(AC829,"LOW")*4)),"")</f>
        <v/>
      </c>
    </row>
    <row r="830">
      <c r="A830" s="141" t="s">
        <v>507</v>
      </c>
      <c r="B830" s="134" t="str">
        <f>IFERROR(__xludf.DUMMYFUNCTION("IFERROR((FILTER(Data!H:H,Data!D:D=A830,Data!B:B=$B$1)),"""")"),"")</f>
        <v/>
      </c>
      <c r="C830" s="134" t="str">
        <f>IFERROR(__xludf.DUMMYFUNCTION("IFERROR((FILTER(Data!G:G,Data!D:D=A830,Data!B:B=$B$1)),"""")"),"")</f>
        <v/>
      </c>
      <c r="D830" s="134" t="str">
        <f>IFERROR(__xludf.DUMMYFUNCTION("IFERROR((FILTER(Data!J:J,Data!D:D=A830,Data!B:B=$B$1)),"""")"),"")</f>
        <v/>
      </c>
      <c r="E830" s="134" t="str">
        <f>IFERROR(__xludf.DUMMYFUNCTION("IFERROR((FILTER(Data!L:L,Data!D:D=A830,Data!B:B=$B$1)),"""")"),"")</f>
        <v/>
      </c>
      <c r="F830" s="134" t="str">
        <f>IFERROR(__xludf.DUMMYFUNCTION("IFERROR((FILTER(Data!K:K,Data!D:D=A830,Data!B:B=$B$1)),"""")"),"")</f>
        <v/>
      </c>
      <c r="G830" s="134" t="str">
        <f>IFERROR(__xludf.DUMMYFUNCTION("IFERROR((FILTER(Data!M:M,Data!D:D=A830,Data!B:B=$B$1)),"""")"),"")</f>
        <v/>
      </c>
      <c r="H830" s="134" t="str">
        <f>IFERROR(__xludf.DUMMYFUNCTION("IFERROR((FILTER(Data!G:G,Data!D:D=A830,Data!B:B=$B$1)*4)+(FILTER(Data!H:H,Data!D:D=A830,Data!B:B=$B$1)*2),"""")"),"")</f>
        <v/>
      </c>
      <c r="I830" s="15" t="str">
        <f>IFERROR(__xludf.DUMMYFUNCTION("IFERROR((FILTER(Data!K:K,Data!D:D=A830,Data!B:B=$B$1)*2)+(FILTER(Data!L:L,Data!D:D=A830,Data!B:B=$B$1)),"""")"),"")</f>
        <v/>
      </c>
      <c r="J830" s="134" t="str">
        <f>IFERROR(__xludf.DUMMYFUNCTION("IFERROR((FILTER(Data!N:N,Data!D:D=A830,Data!B:B=$B$1)),"""")"),"")</f>
        <v/>
      </c>
      <c r="K830" s="135" t="str">
        <f>IFERROR(__xludf.DUMMYFUNCTION("IFERROR((FILTER(Data!H:H,Data!D:D=A830,Data!B:B=$B$1)*2)+(FILTER(Data!L:L,Data!D:D=A830,Data!B:B=$B$1))+(FILTER(Data!G:G,Data!D:D=A830,Data!B:B=$B$1)*4)+(FILTER(Data!K:K,Data!D:D=A830,Data!B:B=$B$1)*2)+(((COUNTIF(FILTER(Data!N:N,Data!D:D=A830,Data!B:B=$B$"&amp;"1),""TRAVERSE"")*15)+(COUNTIF(FILTER(Data!N:N,Data!D:D=A830,Data!B:B=$B$1),""HIGH"")*10)+(COUNTIF(FILTER(Data!N:N,Data!D:D=A830,Data!B:B=$B$1),""MIDDLE"")*6)+(COUNTIF(FILTER(Data!N:N,Data!D:D=A830,Data!B:B=$B$1),""LOW"")*4))),"""")"),"")</f>
        <v/>
      </c>
      <c r="L830" s="136" t="str">
        <f>IFERROR(__xludf.DUMMYFUNCTION("IFERROR((FILTER(Data!P:P,Data!D:D=A830,Data!B:B=$B$1)),"""")"),"")</f>
        <v/>
      </c>
      <c r="M830" s="137" t="str">
        <f>IFERROR(__xludf.DUMMYFUNCTION("IFERROR((FILTER(Data!A:A,Data!D:D=A830,Data!B:B=$B$1)),"""")"),"")</f>
        <v/>
      </c>
      <c r="T830" s="52">
        <f>IFERROR(__xludf.DUMMYFUNCTION("((COUNTIF(FILTER(Data!N:N,Data!D:D=A830,Data!B:B=$B$1),""TRAVERSE"")*15)+(COUNTIF(FILTER(Data!N:N,Data!D:D=A830,Data!B:B=B$1),""HIGH"")*10)+(COUNTIF(FILTER(Data!N:N,Data!D:D=A830,Data!B:B=$B$1),""MIDDLE"")*6)+(COUNTIF(FILTER(Data!N:N,Data!D:D=A830,Data!B:"&amp;"B=$B$1),""LOW"")*4))"),0.0)</f>
        <v>0</v>
      </c>
      <c r="V830" s="138" t="str">
        <f>IF(Data!B822='Team Parser'!$B$1, Data!D822,"")</f>
        <v/>
      </c>
      <c r="W830" s="134" t="str">
        <f>IF(Data!$B822='Team Parser'!$B$1, Data!H822,"")</f>
        <v/>
      </c>
      <c r="X830" s="134" t="str">
        <f>IF(Data!$B822='Team Parser'!$B$1, Data!G822,"")</f>
        <v/>
      </c>
      <c r="Y830" s="134" t="str">
        <f>IF(Data!$B822='Team Parser'!$B$1, Data!L822,"")</f>
        <v/>
      </c>
      <c r="Z830" s="134" t="str">
        <f>IF(Data!$B822='Team Parser'!$B$1, Data!K822,"")</f>
        <v/>
      </c>
      <c r="AA830" s="134" t="str">
        <f>IF(Data!$B822='Team Parser'!$B$1, Data!M822,"")</f>
        <v/>
      </c>
      <c r="AB830" s="134" t="str">
        <f>IF(Data!$B822='Team Parser'!$B$1,((Z830*2)+(Y830)+(X830*4)+(W830*2)),"")</f>
        <v/>
      </c>
      <c r="AC830" s="134" t="str">
        <f>IF(Data!$B822='Team Parser'!$B$1, Data!N822,"")</f>
        <v/>
      </c>
      <c r="AD830" s="139" t="str">
        <f>IF(Data!$B822='Team Parser'!$B$1,(AB830+(COUNTIF(AC830,"TRAVERSE")*15)+(COUNTIF(AC830,"HIGH")*10)+(COUNTIF(AC830,"MIDDLE")*6)+(COUNTIF(AC830,"LOW")*4)),"")</f>
        <v/>
      </c>
    </row>
    <row r="831">
      <c r="A831" s="141" t="s">
        <v>507</v>
      </c>
      <c r="B831" s="134" t="str">
        <f>IFERROR(__xludf.DUMMYFUNCTION("IFERROR((FILTER(Data!H:H,Data!D:D=A831,Data!B:B=$B$1)),"""")"),"")</f>
        <v/>
      </c>
      <c r="C831" s="134" t="str">
        <f>IFERROR(__xludf.DUMMYFUNCTION("IFERROR((FILTER(Data!G:G,Data!D:D=A831,Data!B:B=$B$1)),"""")"),"")</f>
        <v/>
      </c>
      <c r="D831" s="134" t="str">
        <f>IFERROR(__xludf.DUMMYFUNCTION("IFERROR((FILTER(Data!J:J,Data!D:D=A831,Data!B:B=$B$1)),"""")"),"")</f>
        <v/>
      </c>
      <c r="E831" s="134" t="str">
        <f>IFERROR(__xludf.DUMMYFUNCTION("IFERROR((FILTER(Data!L:L,Data!D:D=A831,Data!B:B=$B$1)),"""")"),"")</f>
        <v/>
      </c>
      <c r="F831" s="134" t="str">
        <f>IFERROR(__xludf.DUMMYFUNCTION("IFERROR((FILTER(Data!K:K,Data!D:D=A831,Data!B:B=$B$1)),"""")"),"")</f>
        <v/>
      </c>
      <c r="G831" s="134" t="str">
        <f>IFERROR(__xludf.DUMMYFUNCTION("IFERROR((FILTER(Data!M:M,Data!D:D=A831,Data!B:B=$B$1)),"""")"),"")</f>
        <v/>
      </c>
      <c r="H831" s="134" t="str">
        <f>IFERROR(__xludf.DUMMYFUNCTION("IFERROR((FILTER(Data!G:G,Data!D:D=A831,Data!B:B=$B$1)*4)+(FILTER(Data!H:H,Data!D:D=A831,Data!B:B=$B$1)*2),"""")"),"")</f>
        <v/>
      </c>
      <c r="I831" s="15" t="str">
        <f>IFERROR(__xludf.DUMMYFUNCTION("IFERROR((FILTER(Data!K:K,Data!D:D=A831,Data!B:B=$B$1)*2)+(FILTER(Data!L:L,Data!D:D=A831,Data!B:B=$B$1)),"""")"),"")</f>
        <v/>
      </c>
      <c r="J831" s="134" t="str">
        <f>IFERROR(__xludf.DUMMYFUNCTION("IFERROR((FILTER(Data!N:N,Data!D:D=A831,Data!B:B=$B$1)),"""")"),"")</f>
        <v/>
      </c>
      <c r="K831" s="135" t="str">
        <f>IFERROR(__xludf.DUMMYFUNCTION("IFERROR((FILTER(Data!H:H,Data!D:D=A831,Data!B:B=$B$1)*2)+(FILTER(Data!L:L,Data!D:D=A831,Data!B:B=$B$1))+(FILTER(Data!G:G,Data!D:D=A831,Data!B:B=$B$1)*4)+(FILTER(Data!K:K,Data!D:D=A831,Data!B:B=$B$1)*2)+(((COUNTIF(FILTER(Data!N:N,Data!D:D=A831,Data!B:B=$B$"&amp;"1),""TRAVERSE"")*15)+(COUNTIF(FILTER(Data!N:N,Data!D:D=A831,Data!B:B=$B$1),""HIGH"")*10)+(COUNTIF(FILTER(Data!N:N,Data!D:D=A831,Data!B:B=$B$1),""MIDDLE"")*6)+(COUNTIF(FILTER(Data!N:N,Data!D:D=A831,Data!B:B=$B$1),""LOW"")*4))),"""")"),"")</f>
        <v/>
      </c>
      <c r="L831" s="136" t="str">
        <f>IFERROR(__xludf.DUMMYFUNCTION("IFERROR((FILTER(Data!P:P,Data!D:D=A831,Data!B:B=$B$1)),"""")"),"")</f>
        <v/>
      </c>
      <c r="M831" s="137" t="str">
        <f>IFERROR(__xludf.DUMMYFUNCTION("IFERROR((FILTER(Data!A:A,Data!D:D=A831,Data!B:B=$B$1)),"""")"),"")</f>
        <v/>
      </c>
      <c r="T831" s="52">
        <f>IFERROR(__xludf.DUMMYFUNCTION("((COUNTIF(FILTER(Data!N:N,Data!D:D=A831,Data!B:B=$B$1),""TRAVERSE"")*15)+(COUNTIF(FILTER(Data!N:N,Data!D:D=A831,Data!B:B=B$1),""HIGH"")*10)+(COUNTIF(FILTER(Data!N:N,Data!D:D=A831,Data!B:B=$B$1),""MIDDLE"")*6)+(COUNTIF(FILTER(Data!N:N,Data!D:D=A831,Data!B:"&amp;"B=$B$1),""LOW"")*4))"),0.0)</f>
        <v>0</v>
      </c>
      <c r="V831" s="138" t="str">
        <f>IF(Data!B823='Team Parser'!$B$1, Data!D823,"")</f>
        <v/>
      </c>
      <c r="W831" s="134" t="str">
        <f>IF(Data!$B823='Team Parser'!$B$1, Data!H823,"")</f>
        <v/>
      </c>
      <c r="X831" s="134" t="str">
        <f>IF(Data!$B823='Team Parser'!$B$1, Data!G823,"")</f>
        <v/>
      </c>
      <c r="Y831" s="134" t="str">
        <f>IF(Data!$B823='Team Parser'!$B$1, Data!L823,"")</f>
        <v/>
      </c>
      <c r="Z831" s="134" t="str">
        <f>IF(Data!$B823='Team Parser'!$B$1, Data!K823,"")</f>
        <v/>
      </c>
      <c r="AA831" s="134" t="str">
        <f>IF(Data!$B823='Team Parser'!$B$1, Data!M823,"")</f>
        <v/>
      </c>
      <c r="AB831" s="134" t="str">
        <f>IF(Data!$B823='Team Parser'!$B$1,((Z831*2)+(Y831)+(X831*4)+(W831*2)),"")</f>
        <v/>
      </c>
      <c r="AC831" s="134" t="str">
        <f>IF(Data!$B823='Team Parser'!$B$1, Data!N823,"")</f>
        <v/>
      </c>
      <c r="AD831" s="139" t="str">
        <f>IF(Data!$B823='Team Parser'!$B$1,(AB831+(COUNTIF(AC831,"TRAVERSE")*15)+(COUNTIF(AC831,"HIGH")*10)+(COUNTIF(AC831,"MIDDLE")*6)+(COUNTIF(AC831,"LOW")*4)),"")</f>
        <v/>
      </c>
    </row>
    <row r="832">
      <c r="A832" s="141" t="s">
        <v>507</v>
      </c>
      <c r="B832" s="134" t="str">
        <f>IFERROR(__xludf.DUMMYFUNCTION("IFERROR((FILTER(Data!H:H,Data!D:D=A832,Data!B:B=$B$1)),"""")"),"")</f>
        <v/>
      </c>
      <c r="C832" s="134" t="str">
        <f>IFERROR(__xludf.DUMMYFUNCTION("IFERROR((FILTER(Data!G:G,Data!D:D=A832,Data!B:B=$B$1)),"""")"),"")</f>
        <v/>
      </c>
      <c r="D832" s="134" t="str">
        <f>IFERROR(__xludf.DUMMYFUNCTION("IFERROR((FILTER(Data!J:J,Data!D:D=A832,Data!B:B=$B$1)),"""")"),"")</f>
        <v/>
      </c>
      <c r="E832" s="134" t="str">
        <f>IFERROR(__xludf.DUMMYFUNCTION("IFERROR((FILTER(Data!L:L,Data!D:D=A832,Data!B:B=$B$1)),"""")"),"")</f>
        <v/>
      </c>
      <c r="F832" s="134" t="str">
        <f>IFERROR(__xludf.DUMMYFUNCTION("IFERROR((FILTER(Data!K:K,Data!D:D=A832,Data!B:B=$B$1)),"""")"),"")</f>
        <v/>
      </c>
      <c r="G832" s="134" t="str">
        <f>IFERROR(__xludf.DUMMYFUNCTION("IFERROR((FILTER(Data!M:M,Data!D:D=A832,Data!B:B=$B$1)),"""")"),"")</f>
        <v/>
      </c>
      <c r="H832" s="134" t="str">
        <f>IFERROR(__xludf.DUMMYFUNCTION("IFERROR((FILTER(Data!G:G,Data!D:D=A832,Data!B:B=$B$1)*4)+(FILTER(Data!H:H,Data!D:D=A832,Data!B:B=$B$1)*2),"""")"),"")</f>
        <v/>
      </c>
      <c r="I832" s="15" t="str">
        <f>IFERROR(__xludf.DUMMYFUNCTION("IFERROR((FILTER(Data!K:K,Data!D:D=A832,Data!B:B=$B$1)*2)+(FILTER(Data!L:L,Data!D:D=A832,Data!B:B=$B$1)),"""")"),"")</f>
        <v/>
      </c>
      <c r="J832" s="134" t="str">
        <f>IFERROR(__xludf.DUMMYFUNCTION("IFERROR((FILTER(Data!N:N,Data!D:D=A832,Data!B:B=$B$1)),"""")"),"")</f>
        <v/>
      </c>
      <c r="K832" s="135" t="str">
        <f>IFERROR(__xludf.DUMMYFUNCTION("IFERROR((FILTER(Data!H:H,Data!D:D=A832,Data!B:B=$B$1)*2)+(FILTER(Data!L:L,Data!D:D=A832,Data!B:B=$B$1))+(FILTER(Data!G:G,Data!D:D=A832,Data!B:B=$B$1)*4)+(FILTER(Data!K:K,Data!D:D=A832,Data!B:B=$B$1)*2)+(((COUNTIF(FILTER(Data!N:N,Data!D:D=A832,Data!B:B=$B$"&amp;"1),""TRAVERSE"")*15)+(COUNTIF(FILTER(Data!N:N,Data!D:D=A832,Data!B:B=$B$1),""HIGH"")*10)+(COUNTIF(FILTER(Data!N:N,Data!D:D=A832,Data!B:B=$B$1),""MIDDLE"")*6)+(COUNTIF(FILTER(Data!N:N,Data!D:D=A832,Data!B:B=$B$1),""LOW"")*4))),"""")"),"")</f>
        <v/>
      </c>
      <c r="L832" s="136" t="str">
        <f>IFERROR(__xludf.DUMMYFUNCTION("IFERROR((FILTER(Data!P:P,Data!D:D=A832,Data!B:B=$B$1)),"""")"),"")</f>
        <v/>
      </c>
      <c r="M832" s="137" t="str">
        <f>IFERROR(__xludf.DUMMYFUNCTION("IFERROR((FILTER(Data!A:A,Data!D:D=A832,Data!B:B=$B$1)),"""")"),"")</f>
        <v/>
      </c>
      <c r="T832" s="52">
        <f>IFERROR(__xludf.DUMMYFUNCTION("((COUNTIF(FILTER(Data!N:N,Data!D:D=A832,Data!B:B=$B$1),""TRAVERSE"")*15)+(COUNTIF(FILTER(Data!N:N,Data!D:D=A832,Data!B:B=B$1),""HIGH"")*10)+(COUNTIF(FILTER(Data!N:N,Data!D:D=A832,Data!B:B=$B$1),""MIDDLE"")*6)+(COUNTIF(FILTER(Data!N:N,Data!D:D=A832,Data!B:"&amp;"B=$B$1),""LOW"")*4))"),0.0)</f>
        <v>0</v>
      </c>
      <c r="V832" s="138" t="str">
        <f>IF(Data!B824='Team Parser'!$B$1, Data!D824,"")</f>
        <v/>
      </c>
      <c r="W832" s="134" t="str">
        <f>IF(Data!$B824='Team Parser'!$B$1, Data!H824,"")</f>
        <v/>
      </c>
      <c r="X832" s="134" t="str">
        <f>IF(Data!$B824='Team Parser'!$B$1, Data!G824,"")</f>
        <v/>
      </c>
      <c r="Y832" s="134" t="str">
        <f>IF(Data!$B824='Team Parser'!$B$1, Data!L824,"")</f>
        <v/>
      </c>
      <c r="Z832" s="134" t="str">
        <f>IF(Data!$B824='Team Parser'!$B$1, Data!K824,"")</f>
        <v/>
      </c>
      <c r="AA832" s="134" t="str">
        <f>IF(Data!$B824='Team Parser'!$B$1, Data!M824,"")</f>
        <v/>
      </c>
      <c r="AB832" s="134" t="str">
        <f>IF(Data!$B824='Team Parser'!$B$1,((Z832*2)+(Y832)+(X832*4)+(W832*2)),"")</f>
        <v/>
      </c>
      <c r="AC832" s="134" t="str">
        <f>IF(Data!$B824='Team Parser'!$B$1, Data!N824,"")</f>
        <v/>
      </c>
      <c r="AD832" s="139" t="str">
        <f>IF(Data!$B824='Team Parser'!$B$1,(AB832+(COUNTIF(AC832,"TRAVERSE")*15)+(COUNTIF(AC832,"HIGH")*10)+(COUNTIF(AC832,"MIDDLE")*6)+(COUNTIF(AC832,"LOW")*4)),"")</f>
        <v/>
      </c>
    </row>
    <row r="833">
      <c r="A833" s="141" t="s">
        <v>507</v>
      </c>
      <c r="B833" s="134" t="str">
        <f>IFERROR(__xludf.DUMMYFUNCTION("IFERROR((FILTER(Data!H:H,Data!D:D=A833,Data!B:B=$B$1)),"""")"),"")</f>
        <v/>
      </c>
      <c r="C833" s="134" t="str">
        <f>IFERROR(__xludf.DUMMYFUNCTION("IFERROR((FILTER(Data!G:G,Data!D:D=A833,Data!B:B=$B$1)),"""")"),"")</f>
        <v/>
      </c>
      <c r="D833" s="134" t="str">
        <f>IFERROR(__xludf.DUMMYFUNCTION("IFERROR((FILTER(Data!J:J,Data!D:D=A833,Data!B:B=$B$1)),"""")"),"")</f>
        <v/>
      </c>
      <c r="E833" s="134" t="str">
        <f>IFERROR(__xludf.DUMMYFUNCTION("IFERROR((FILTER(Data!L:L,Data!D:D=A833,Data!B:B=$B$1)),"""")"),"")</f>
        <v/>
      </c>
      <c r="F833" s="134" t="str">
        <f>IFERROR(__xludf.DUMMYFUNCTION("IFERROR((FILTER(Data!K:K,Data!D:D=A833,Data!B:B=$B$1)),"""")"),"")</f>
        <v/>
      </c>
      <c r="G833" s="134" t="str">
        <f>IFERROR(__xludf.DUMMYFUNCTION("IFERROR((FILTER(Data!M:M,Data!D:D=A833,Data!B:B=$B$1)),"""")"),"")</f>
        <v/>
      </c>
      <c r="H833" s="134" t="str">
        <f>IFERROR(__xludf.DUMMYFUNCTION("IFERROR((FILTER(Data!G:G,Data!D:D=A833,Data!B:B=$B$1)*4)+(FILTER(Data!H:H,Data!D:D=A833,Data!B:B=$B$1)*2),"""")"),"")</f>
        <v/>
      </c>
      <c r="I833" s="15" t="str">
        <f>IFERROR(__xludf.DUMMYFUNCTION("IFERROR((FILTER(Data!K:K,Data!D:D=A833,Data!B:B=$B$1)*2)+(FILTER(Data!L:L,Data!D:D=A833,Data!B:B=$B$1)),"""")"),"")</f>
        <v/>
      </c>
      <c r="J833" s="134" t="str">
        <f>IFERROR(__xludf.DUMMYFUNCTION("IFERROR((FILTER(Data!N:N,Data!D:D=A833,Data!B:B=$B$1)),"""")"),"")</f>
        <v/>
      </c>
      <c r="K833" s="135" t="str">
        <f>IFERROR(__xludf.DUMMYFUNCTION("IFERROR((FILTER(Data!H:H,Data!D:D=A833,Data!B:B=$B$1)*2)+(FILTER(Data!L:L,Data!D:D=A833,Data!B:B=$B$1))+(FILTER(Data!G:G,Data!D:D=A833,Data!B:B=$B$1)*4)+(FILTER(Data!K:K,Data!D:D=A833,Data!B:B=$B$1)*2)+(((COUNTIF(FILTER(Data!N:N,Data!D:D=A833,Data!B:B=$B$"&amp;"1),""TRAVERSE"")*15)+(COUNTIF(FILTER(Data!N:N,Data!D:D=A833,Data!B:B=$B$1),""HIGH"")*10)+(COUNTIF(FILTER(Data!N:N,Data!D:D=A833,Data!B:B=$B$1),""MIDDLE"")*6)+(COUNTIF(FILTER(Data!N:N,Data!D:D=A833,Data!B:B=$B$1),""LOW"")*4))),"""")"),"")</f>
        <v/>
      </c>
      <c r="L833" s="136" t="str">
        <f>IFERROR(__xludf.DUMMYFUNCTION("IFERROR((FILTER(Data!P:P,Data!D:D=A833,Data!B:B=$B$1)),"""")"),"")</f>
        <v/>
      </c>
      <c r="M833" s="137" t="str">
        <f>IFERROR(__xludf.DUMMYFUNCTION("IFERROR((FILTER(Data!A:A,Data!D:D=A833,Data!B:B=$B$1)),"""")"),"")</f>
        <v/>
      </c>
      <c r="T833" s="52">
        <f>IFERROR(__xludf.DUMMYFUNCTION("((COUNTIF(FILTER(Data!N:N,Data!D:D=A833,Data!B:B=$B$1),""TRAVERSE"")*15)+(COUNTIF(FILTER(Data!N:N,Data!D:D=A833,Data!B:B=B$1),""HIGH"")*10)+(COUNTIF(FILTER(Data!N:N,Data!D:D=A833,Data!B:B=$B$1),""MIDDLE"")*6)+(COUNTIF(FILTER(Data!N:N,Data!D:D=A833,Data!B:"&amp;"B=$B$1),""LOW"")*4))"),0.0)</f>
        <v>0</v>
      </c>
      <c r="V833" s="138" t="str">
        <f>IF(Data!B825='Team Parser'!$B$1, Data!D825,"")</f>
        <v/>
      </c>
      <c r="W833" s="134" t="str">
        <f>IF(Data!$B825='Team Parser'!$B$1, Data!H825,"")</f>
        <v/>
      </c>
      <c r="X833" s="134" t="str">
        <f>IF(Data!$B825='Team Parser'!$B$1, Data!G825,"")</f>
        <v/>
      </c>
      <c r="Y833" s="134" t="str">
        <f>IF(Data!$B825='Team Parser'!$B$1, Data!L825,"")</f>
        <v/>
      </c>
      <c r="Z833" s="134" t="str">
        <f>IF(Data!$B825='Team Parser'!$B$1, Data!K825,"")</f>
        <v/>
      </c>
      <c r="AA833" s="134" t="str">
        <f>IF(Data!$B825='Team Parser'!$B$1, Data!M825,"")</f>
        <v/>
      </c>
      <c r="AB833" s="134" t="str">
        <f>IF(Data!$B825='Team Parser'!$B$1,((Z833*2)+(Y833)+(X833*4)+(W833*2)),"")</f>
        <v/>
      </c>
      <c r="AC833" s="134" t="str">
        <f>IF(Data!$B825='Team Parser'!$B$1, Data!N825,"")</f>
        <v/>
      </c>
      <c r="AD833" s="139" t="str">
        <f>IF(Data!$B825='Team Parser'!$B$1,(AB833+(COUNTIF(AC833,"TRAVERSE")*15)+(COUNTIF(AC833,"HIGH")*10)+(COUNTIF(AC833,"MIDDLE")*6)+(COUNTIF(AC833,"LOW")*4)),"")</f>
        <v/>
      </c>
    </row>
    <row r="834">
      <c r="A834" s="141" t="s">
        <v>507</v>
      </c>
      <c r="B834" s="134" t="str">
        <f>IFERROR(__xludf.DUMMYFUNCTION("IFERROR((FILTER(Data!H:H,Data!D:D=A834,Data!B:B=$B$1)),"""")"),"")</f>
        <v/>
      </c>
      <c r="C834" s="134" t="str">
        <f>IFERROR(__xludf.DUMMYFUNCTION("IFERROR((FILTER(Data!G:G,Data!D:D=A834,Data!B:B=$B$1)),"""")"),"")</f>
        <v/>
      </c>
      <c r="D834" s="134" t="str">
        <f>IFERROR(__xludf.DUMMYFUNCTION("IFERROR((FILTER(Data!J:J,Data!D:D=A834,Data!B:B=$B$1)),"""")"),"")</f>
        <v/>
      </c>
      <c r="E834" s="134" t="str">
        <f>IFERROR(__xludf.DUMMYFUNCTION("IFERROR((FILTER(Data!L:L,Data!D:D=A834,Data!B:B=$B$1)),"""")"),"")</f>
        <v/>
      </c>
      <c r="F834" s="134" t="str">
        <f>IFERROR(__xludf.DUMMYFUNCTION("IFERROR((FILTER(Data!K:K,Data!D:D=A834,Data!B:B=$B$1)),"""")"),"")</f>
        <v/>
      </c>
      <c r="G834" s="134" t="str">
        <f>IFERROR(__xludf.DUMMYFUNCTION("IFERROR((FILTER(Data!M:M,Data!D:D=A834,Data!B:B=$B$1)),"""")"),"")</f>
        <v/>
      </c>
      <c r="H834" s="134" t="str">
        <f>IFERROR(__xludf.DUMMYFUNCTION("IFERROR((FILTER(Data!G:G,Data!D:D=A834,Data!B:B=$B$1)*4)+(FILTER(Data!H:H,Data!D:D=A834,Data!B:B=$B$1)*2),"""")"),"")</f>
        <v/>
      </c>
      <c r="I834" s="15" t="str">
        <f>IFERROR(__xludf.DUMMYFUNCTION("IFERROR((FILTER(Data!K:K,Data!D:D=A834,Data!B:B=$B$1)*2)+(FILTER(Data!L:L,Data!D:D=A834,Data!B:B=$B$1)),"""")"),"")</f>
        <v/>
      </c>
      <c r="J834" s="134" t="str">
        <f>IFERROR(__xludf.DUMMYFUNCTION("IFERROR((FILTER(Data!N:N,Data!D:D=A834,Data!B:B=$B$1)),"""")"),"")</f>
        <v/>
      </c>
      <c r="K834" s="135" t="str">
        <f>IFERROR(__xludf.DUMMYFUNCTION("IFERROR((FILTER(Data!H:H,Data!D:D=A834,Data!B:B=$B$1)*2)+(FILTER(Data!L:L,Data!D:D=A834,Data!B:B=$B$1))+(FILTER(Data!G:G,Data!D:D=A834,Data!B:B=$B$1)*4)+(FILTER(Data!K:K,Data!D:D=A834,Data!B:B=$B$1)*2)+(((COUNTIF(FILTER(Data!N:N,Data!D:D=A834,Data!B:B=$B$"&amp;"1),""TRAVERSE"")*15)+(COUNTIF(FILTER(Data!N:N,Data!D:D=A834,Data!B:B=$B$1),""HIGH"")*10)+(COUNTIF(FILTER(Data!N:N,Data!D:D=A834,Data!B:B=$B$1),""MIDDLE"")*6)+(COUNTIF(FILTER(Data!N:N,Data!D:D=A834,Data!B:B=$B$1),""LOW"")*4))),"""")"),"")</f>
        <v/>
      </c>
      <c r="L834" s="136" t="str">
        <f>IFERROR(__xludf.DUMMYFUNCTION("IFERROR((FILTER(Data!P:P,Data!D:D=A834,Data!B:B=$B$1)),"""")"),"")</f>
        <v/>
      </c>
      <c r="M834" s="137" t="str">
        <f>IFERROR(__xludf.DUMMYFUNCTION("IFERROR((FILTER(Data!A:A,Data!D:D=A834,Data!B:B=$B$1)),"""")"),"")</f>
        <v/>
      </c>
      <c r="T834" s="52">
        <f>IFERROR(__xludf.DUMMYFUNCTION("((COUNTIF(FILTER(Data!N:N,Data!D:D=A834,Data!B:B=$B$1),""TRAVERSE"")*15)+(COUNTIF(FILTER(Data!N:N,Data!D:D=A834,Data!B:B=B$1),""HIGH"")*10)+(COUNTIF(FILTER(Data!N:N,Data!D:D=A834,Data!B:B=$B$1),""MIDDLE"")*6)+(COUNTIF(FILTER(Data!N:N,Data!D:D=A834,Data!B:"&amp;"B=$B$1),""LOW"")*4))"),0.0)</f>
        <v>0</v>
      </c>
      <c r="V834" s="138" t="str">
        <f>IF(Data!B826='Team Parser'!$B$1, Data!D826,"")</f>
        <v/>
      </c>
      <c r="W834" s="134" t="str">
        <f>IF(Data!$B826='Team Parser'!$B$1, Data!H826,"")</f>
        <v/>
      </c>
      <c r="X834" s="134" t="str">
        <f>IF(Data!$B826='Team Parser'!$B$1, Data!G826,"")</f>
        <v/>
      </c>
      <c r="Y834" s="134" t="str">
        <f>IF(Data!$B826='Team Parser'!$B$1, Data!L826,"")</f>
        <v/>
      </c>
      <c r="Z834" s="134" t="str">
        <f>IF(Data!$B826='Team Parser'!$B$1, Data!K826,"")</f>
        <v/>
      </c>
      <c r="AA834" s="134" t="str">
        <f>IF(Data!$B826='Team Parser'!$B$1, Data!M826,"")</f>
        <v/>
      </c>
      <c r="AB834" s="134" t="str">
        <f>IF(Data!$B826='Team Parser'!$B$1,((Z834*2)+(Y834)+(X834*4)+(W834*2)),"")</f>
        <v/>
      </c>
      <c r="AC834" s="134" t="str">
        <f>IF(Data!$B826='Team Parser'!$B$1, Data!N826,"")</f>
        <v/>
      </c>
      <c r="AD834" s="139" t="str">
        <f>IF(Data!$B826='Team Parser'!$B$1,(AB834+(COUNTIF(AC834,"TRAVERSE")*15)+(COUNTIF(AC834,"HIGH")*10)+(COUNTIF(AC834,"MIDDLE")*6)+(COUNTIF(AC834,"LOW")*4)),"")</f>
        <v/>
      </c>
    </row>
    <row r="835">
      <c r="A835" s="141" t="s">
        <v>507</v>
      </c>
      <c r="B835" s="134" t="str">
        <f>IFERROR(__xludf.DUMMYFUNCTION("IFERROR((FILTER(Data!H:H,Data!D:D=A835,Data!B:B=$B$1)),"""")"),"")</f>
        <v/>
      </c>
      <c r="C835" s="134" t="str">
        <f>IFERROR(__xludf.DUMMYFUNCTION("IFERROR((FILTER(Data!G:G,Data!D:D=A835,Data!B:B=$B$1)),"""")"),"")</f>
        <v/>
      </c>
      <c r="D835" s="134" t="str">
        <f>IFERROR(__xludf.DUMMYFUNCTION("IFERROR((FILTER(Data!J:J,Data!D:D=A835,Data!B:B=$B$1)),"""")"),"")</f>
        <v/>
      </c>
      <c r="E835" s="134" t="str">
        <f>IFERROR(__xludf.DUMMYFUNCTION("IFERROR((FILTER(Data!L:L,Data!D:D=A835,Data!B:B=$B$1)),"""")"),"")</f>
        <v/>
      </c>
      <c r="F835" s="134" t="str">
        <f>IFERROR(__xludf.DUMMYFUNCTION("IFERROR((FILTER(Data!K:K,Data!D:D=A835,Data!B:B=$B$1)),"""")"),"")</f>
        <v/>
      </c>
      <c r="G835" s="134" t="str">
        <f>IFERROR(__xludf.DUMMYFUNCTION("IFERROR((FILTER(Data!M:M,Data!D:D=A835,Data!B:B=$B$1)),"""")"),"")</f>
        <v/>
      </c>
      <c r="H835" s="134" t="str">
        <f>IFERROR(__xludf.DUMMYFUNCTION("IFERROR((FILTER(Data!G:G,Data!D:D=A835,Data!B:B=$B$1)*4)+(FILTER(Data!H:H,Data!D:D=A835,Data!B:B=$B$1)*2),"""")"),"")</f>
        <v/>
      </c>
      <c r="I835" s="15" t="str">
        <f>IFERROR(__xludf.DUMMYFUNCTION("IFERROR((FILTER(Data!K:K,Data!D:D=A835,Data!B:B=$B$1)*2)+(FILTER(Data!L:L,Data!D:D=A835,Data!B:B=$B$1)),"""")"),"")</f>
        <v/>
      </c>
      <c r="J835" s="134" t="str">
        <f>IFERROR(__xludf.DUMMYFUNCTION("IFERROR((FILTER(Data!N:N,Data!D:D=A835,Data!B:B=$B$1)),"""")"),"")</f>
        <v/>
      </c>
      <c r="K835" s="135" t="str">
        <f>IFERROR(__xludf.DUMMYFUNCTION("IFERROR((FILTER(Data!H:H,Data!D:D=A835,Data!B:B=$B$1)*2)+(FILTER(Data!L:L,Data!D:D=A835,Data!B:B=$B$1))+(FILTER(Data!G:G,Data!D:D=A835,Data!B:B=$B$1)*4)+(FILTER(Data!K:K,Data!D:D=A835,Data!B:B=$B$1)*2)+(((COUNTIF(FILTER(Data!N:N,Data!D:D=A835,Data!B:B=$B$"&amp;"1),""TRAVERSE"")*15)+(COUNTIF(FILTER(Data!N:N,Data!D:D=A835,Data!B:B=$B$1),""HIGH"")*10)+(COUNTIF(FILTER(Data!N:N,Data!D:D=A835,Data!B:B=$B$1),""MIDDLE"")*6)+(COUNTIF(FILTER(Data!N:N,Data!D:D=A835,Data!B:B=$B$1),""LOW"")*4))),"""")"),"")</f>
        <v/>
      </c>
      <c r="L835" s="136" t="str">
        <f>IFERROR(__xludf.DUMMYFUNCTION("IFERROR((FILTER(Data!P:P,Data!D:D=A835,Data!B:B=$B$1)),"""")"),"")</f>
        <v/>
      </c>
      <c r="M835" s="137" t="str">
        <f>IFERROR(__xludf.DUMMYFUNCTION("IFERROR((FILTER(Data!A:A,Data!D:D=A835,Data!B:B=$B$1)),"""")"),"")</f>
        <v/>
      </c>
      <c r="T835" s="52">
        <f>IFERROR(__xludf.DUMMYFUNCTION("((COUNTIF(FILTER(Data!N:N,Data!D:D=A835,Data!B:B=$B$1),""TRAVERSE"")*15)+(COUNTIF(FILTER(Data!N:N,Data!D:D=A835,Data!B:B=B$1),""HIGH"")*10)+(COUNTIF(FILTER(Data!N:N,Data!D:D=A835,Data!B:B=$B$1),""MIDDLE"")*6)+(COUNTIF(FILTER(Data!N:N,Data!D:D=A835,Data!B:"&amp;"B=$B$1),""LOW"")*4))"),0.0)</f>
        <v>0</v>
      </c>
      <c r="V835" s="138" t="str">
        <f>IF(Data!B827='Team Parser'!$B$1, Data!D827,"")</f>
        <v/>
      </c>
      <c r="W835" s="134" t="str">
        <f>IF(Data!$B827='Team Parser'!$B$1, Data!H827,"")</f>
        <v/>
      </c>
      <c r="X835" s="134" t="str">
        <f>IF(Data!$B827='Team Parser'!$B$1, Data!G827,"")</f>
        <v/>
      </c>
      <c r="Y835" s="134" t="str">
        <f>IF(Data!$B827='Team Parser'!$B$1, Data!L827,"")</f>
        <v/>
      </c>
      <c r="Z835" s="134" t="str">
        <f>IF(Data!$B827='Team Parser'!$B$1, Data!K827,"")</f>
        <v/>
      </c>
      <c r="AA835" s="134" t="str">
        <f>IF(Data!$B827='Team Parser'!$B$1, Data!M827,"")</f>
        <v/>
      </c>
      <c r="AB835" s="134" t="str">
        <f>IF(Data!$B827='Team Parser'!$B$1,((Z835*2)+(Y835)+(X835*4)+(W835*2)),"")</f>
        <v/>
      </c>
      <c r="AC835" s="134" t="str">
        <f>IF(Data!$B827='Team Parser'!$B$1, Data!N827,"")</f>
        <v/>
      </c>
      <c r="AD835" s="139" t="str">
        <f>IF(Data!$B827='Team Parser'!$B$1,(AB835+(COUNTIF(AC835,"TRAVERSE")*15)+(COUNTIF(AC835,"HIGH")*10)+(COUNTIF(AC835,"MIDDLE")*6)+(COUNTIF(AC835,"LOW")*4)),"")</f>
        <v/>
      </c>
    </row>
    <row r="836">
      <c r="A836" s="141" t="s">
        <v>507</v>
      </c>
      <c r="B836" s="134" t="str">
        <f>IFERROR(__xludf.DUMMYFUNCTION("IFERROR((FILTER(Data!H:H,Data!D:D=A836,Data!B:B=$B$1)),"""")"),"")</f>
        <v/>
      </c>
      <c r="C836" s="134" t="str">
        <f>IFERROR(__xludf.DUMMYFUNCTION("IFERROR((FILTER(Data!G:G,Data!D:D=A836,Data!B:B=$B$1)),"""")"),"")</f>
        <v/>
      </c>
      <c r="D836" s="134" t="str">
        <f>IFERROR(__xludf.DUMMYFUNCTION("IFERROR((FILTER(Data!J:J,Data!D:D=A836,Data!B:B=$B$1)),"""")"),"")</f>
        <v/>
      </c>
      <c r="E836" s="134" t="str">
        <f>IFERROR(__xludf.DUMMYFUNCTION("IFERROR((FILTER(Data!L:L,Data!D:D=A836,Data!B:B=$B$1)),"""")"),"")</f>
        <v/>
      </c>
      <c r="F836" s="134" t="str">
        <f>IFERROR(__xludf.DUMMYFUNCTION("IFERROR((FILTER(Data!K:K,Data!D:D=A836,Data!B:B=$B$1)),"""")"),"")</f>
        <v/>
      </c>
      <c r="G836" s="134" t="str">
        <f>IFERROR(__xludf.DUMMYFUNCTION("IFERROR((FILTER(Data!M:M,Data!D:D=A836,Data!B:B=$B$1)),"""")"),"")</f>
        <v/>
      </c>
      <c r="H836" s="134" t="str">
        <f>IFERROR(__xludf.DUMMYFUNCTION("IFERROR((FILTER(Data!G:G,Data!D:D=A836,Data!B:B=$B$1)*4)+(FILTER(Data!H:H,Data!D:D=A836,Data!B:B=$B$1)*2),"""")"),"")</f>
        <v/>
      </c>
      <c r="I836" s="15" t="str">
        <f>IFERROR(__xludf.DUMMYFUNCTION("IFERROR((FILTER(Data!K:K,Data!D:D=A836,Data!B:B=$B$1)*2)+(FILTER(Data!L:L,Data!D:D=A836,Data!B:B=$B$1)),"""")"),"")</f>
        <v/>
      </c>
      <c r="J836" s="134" t="str">
        <f>IFERROR(__xludf.DUMMYFUNCTION("IFERROR((FILTER(Data!N:N,Data!D:D=A836,Data!B:B=$B$1)),"""")"),"")</f>
        <v/>
      </c>
      <c r="K836" s="135" t="str">
        <f>IFERROR(__xludf.DUMMYFUNCTION("IFERROR((FILTER(Data!H:H,Data!D:D=A836,Data!B:B=$B$1)*2)+(FILTER(Data!L:L,Data!D:D=A836,Data!B:B=$B$1))+(FILTER(Data!G:G,Data!D:D=A836,Data!B:B=$B$1)*4)+(FILTER(Data!K:K,Data!D:D=A836,Data!B:B=$B$1)*2)+(((COUNTIF(FILTER(Data!N:N,Data!D:D=A836,Data!B:B=$B$"&amp;"1),""TRAVERSE"")*15)+(COUNTIF(FILTER(Data!N:N,Data!D:D=A836,Data!B:B=$B$1),""HIGH"")*10)+(COUNTIF(FILTER(Data!N:N,Data!D:D=A836,Data!B:B=$B$1),""MIDDLE"")*6)+(COUNTIF(FILTER(Data!N:N,Data!D:D=A836,Data!B:B=$B$1),""LOW"")*4))),"""")"),"")</f>
        <v/>
      </c>
      <c r="L836" s="136" t="str">
        <f>IFERROR(__xludf.DUMMYFUNCTION("IFERROR((FILTER(Data!P:P,Data!D:D=A836,Data!B:B=$B$1)),"""")"),"")</f>
        <v/>
      </c>
      <c r="M836" s="137" t="str">
        <f>IFERROR(__xludf.DUMMYFUNCTION("IFERROR((FILTER(Data!A:A,Data!D:D=A836,Data!B:B=$B$1)),"""")"),"")</f>
        <v/>
      </c>
      <c r="T836" s="52">
        <f>IFERROR(__xludf.DUMMYFUNCTION("((COUNTIF(FILTER(Data!N:N,Data!D:D=A836,Data!B:B=$B$1),""TRAVERSE"")*15)+(COUNTIF(FILTER(Data!N:N,Data!D:D=A836,Data!B:B=B$1),""HIGH"")*10)+(COUNTIF(FILTER(Data!N:N,Data!D:D=A836,Data!B:B=$B$1),""MIDDLE"")*6)+(COUNTIF(FILTER(Data!N:N,Data!D:D=A836,Data!B:"&amp;"B=$B$1),""LOW"")*4))"),0.0)</f>
        <v>0</v>
      </c>
      <c r="V836" s="138" t="str">
        <f>IF(Data!B828='Team Parser'!$B$1, Data!D828,"")</f>
        <v/>
      </c>
      <c r="W836" s="134" t="str">
        <f>IF(Data!$B828='Team Parser'!$B$1, Data!H828,"")</f>
        <v/>
      </c>
      <c r="X836" s="134" t="str">
        <f>IF(Data!$B828='Team Parser'!$B$1, Data!G828,"")</f>
        <v/>
      </c>
      <c r="Y836" s="134" t="str">
        <f>IF(Data!$B828='Team Parser'!$B$1, Data!L828,"")</f>
        <v/>
      </c>
      <c r="Z836" s="134" t="str">
        <f>IF(Data!$B828='Team Parser'!$B$1, Data!K828,"")</f>
        <v/>
      </c>
      <c r="AA836" s="134" t="str">
        <f>IF(Data!$B828='Team Parser'!$B$1, Data!M828,"")</f>
        <v/>
      </c>
      <c r="AB836" s="134" t="str">
        <f>IF(Data!$B828='Team Parser'!$B$1,((Z836*2)+(Y836)+(X836*4)+(W836*2)),"")</f>
        <v/>
      </c>
      <c r="AC836" s="134" t="str">
        <f>IF(Data!$B828='Team Parser'!$B$1, Data!N828,"")</f>
        <v/>
      </c>
      <c r="AD836" s="139" t="str">
        <f>IF(Data!$B828='Team Parser'!$B$1,(AB836+(COUNTIF(AC836,"TRAVERSE")*15)+(COUNTIF(AC836,"HIGH")*10)+(COUNTIF(AC836,"MIDDLE")*6)+(COUNTIF(AC836,"LOW")*4)),"")</f>
        <v/>
      </c>
    </row>
    <row r="837">
      <c r="A837" s="141" t="s">
        <v>507</v>
      </c>
      <c r="B837" s="134" t="str">
        <f>IFERROR(__xludf.DUMMYFUNCTION("IFERROR((FILTER(Data!H:H,Data!D:D=A837,Data!B:B=$B$1)),"""")"),"")</f>
        <v/>
      </c>
      <c r="C837" s="134" t="str">
        <f>IFERROR(__xludf.DUMMYFUNCTION("IFERROR((FILTER(Data!G:G,Data!D:D=A837,Data!B:B=$B$1)),"""")"),"")</f>
        <v/>
      </c>
      <c r="D837" s="134" t="str">
        <f>IFERROR(__xludf.DUMMYFUNCTION("IFERROR((FILTER(Data!J:J,Data!D:D=A837,Data!B:B=$B$1)),"""")"),"")</f>
        <v/>
      </c>
      <c r="E837" s="134" t="str">
        <f>IFERROR(__xludf.DUMMYFUNCTION("IFERROR((FILTER(Data!L:L,Data!D:D=A837,Data!B:B=$B$1)),"""")"),"")</f>
        <v/>
      </c>
      <c r="F837" s="134" t="str">
        <f>IFERROR(__xludf.DUMMYFUNCTION("IFERROR((FILTER(Data!K:K,Data!D:D=A837,Data!B:B=$B$1)),"""")"),"")</f>
        <v/>
      </c>
      <c r="G837" s="134" t="str">
        <f>IFERROR(__xludf.DUMMYFUNCTION("IFERROR((FILTER(Data!M:M,Data!D:D=A837,Data!B:B=$B$1)),"""")"),"")</f>
        <v/>
      </c>
      <c r="H837" s="134" t="str">
        <f>IFERROR(__xludf.DUMMYFUNCTION("IFERROR((FILTER(Data!G:G,Data!D:D=A837,Data!B:B=$B$1)*4)+(FILTER(Data!H:H,Data!D:D=A837,Data!B:B=$B$1)*2),"""")"),"")</f>
        <v/>
      </c>
      <c r="I837" s="15" t="str">
        <f>IFERROR(__xludf.DUMMYFUNCTION("IFERROR((FILTER(Data!K:K,Data!D:D=A837,Data!B:B=$B$1)*2)+(FILTER(Data!L:L,Data!D:D=A837,Data!B:B=$B$1)),"""")"),"")</f>
        <v/>
      </c>
      <c r="J837" s="134" t="str">
        <f>IFERROR(__xludf.DUMMYFUNCTION("IFERROR((FILTER(Data!N:N,Data!D:D=A837,Data!B:B=$B$1)),"""")"),"")</f>
        <v/>
      </c>
      <c r="K837" s="135" t="str">
        <f>IFERROR(__xludf.DUMMYFUNCTION("IFERROR((FILTER(Data!H:H,Data!D:D=A837,Data!B:B=$B$1)*2)+(FILTER(Data!L:L,Data!D:D=A837,Data!B:B=$B$1))+(FILTER(Data!G:G,Data!D:D=A837,Data!B:B=$B$1)*4)+(FILTER(Data!K:K,Data!D:D=A837,Data!B:B=$B$1)*2)+(((COUNTIF(FILTER(Data!N:N,Data!D:D=A837,Data!B:B=$B$"&amp;"1),""TRAVERSE"")*15)+(COUNTIF(FILTER(Data!N:N,Data!D:D=A837,Data!B:B=$B$1),""HIGH"")*10)+(COUNTIF(FILTER(Data!N:N,Data!D:D=A837,Data!B:B=$B$1),""MIDDLE"")*6)+(COUNTIF(FILTER(Data!N:N,Data!D:D=A837,Data!B:B=$B$1),""LOW"")*4))),"""")"),"")</f>
        <v/>
      </c>
      <c r="L837" s="136" t="str">
        <f>IFERROR(__xludf.DUMMYFUNCTION("IFERROR((FILTER(Data!P:P,Data!D:D=A837,Data!B:B=$B$1)),"""")"),"")</f>
        <v/>
      </c>
      <c r="M837" s="137" t="str">
        <f>IFERROR(__xludf.DUMMYFUNCTION("IFERROR((FILTER(Data!A:A,Data!D:D=A837,Data!B:B=$B$1)),"""")"),"")</f>
        <v/>
      </c>
      <c r="T837" s="52">
        <f>IFERROR(__xludf.DUMMYFUNCTION("((COUNTIF(FILTER(Data!N:N,Data!D:D=A837,Data!B:B=$B$1),""TRAVERSE"")*15)+(COUNTIF(FILTER(Data!N:N,Data!D:D=A837,Data!B:B=B$1),""HIGH"")*10)+(COUNTIF(FILTER(Data!N:N,Data!D:D=A837,Data!B:B=$B$1),""MIDDLE"")*6)+(COUNTIF(FILTER(Data!N:N,Data!D:D=A837,Data!B:"&amp;"B=$B$1),""LOW"")*4))"),0.0)</f>
        <v>0</v>
      </c>
      <c r="V837" s="138" t="str">
        <f>IF(Data!B829='Team Parser'!$B$1, Data!D829,"")</f>
        <v/>
      </c>
      <c r="W837" s="134" t="str">
        <f>IF(Data!$B829='Team Parser'!$B$1, Data!H829,"")</f>
        <v/>
      </c>
      <c r="X837" s="134" t="str">
        <f>IF(Data!$B829='Team Parser'!$B$1, Data!G829,"")</f>
        <v/>
      </c>
      <c r="Y837" s="134" t="str">
        <f>IF(Data!$B829='Team Parser'!$B$1, Data!L829,"")</f>
        <v/>
      </c>
      <c r="Z837" s="134" t="str">
        <f>IF(Data!$B829='Team Parser'!$B$1, Data!K829,"")</f>
        <v/>
      </c>
      <c r="AA837" s="134" t="str">
        <f>IF(Data!$B829='Team Parser'!$B$1, Data!M829,"")</f>
        <v/>
      </c>
      <c r="AB837" s="134" t="str">
        <f>IF(Data!$B829='Team Parser'!$B$1,((Z837*2)+(Y837)+(X837*4)+(W837*2)),"")</f>
        <v/>
      </c>
      <c r="AC837" s="134" t="str">
        <f>IF(Data!$B829='Team Parser'!$B$1, Data!N829,"")</f>
        <v/>
      </c>
      <c r="AD837" s="139" t="str">
        <f>IF(Data!$B829='Team Parser'!$B$1,(AB837+(COUNTIF(AC837,"TRAVERSE")*15)+(COUNTIF(AC837,"HIGH")*10)+(COUNTIF(AC837,"MIDDLE")*6)+(COUNTIF(AC837,"LOW")*4)),"")</f>
        <v/>
      </c>
    </row>
    <row r="838">
      <c r="A838" s="141" t="s">
        <v>507</v>
      </c>
      <c r="B838" s="134" t="str">
        <f>IFERROR(__xludf.DUMMYFUNCTION("IFERROR((FILTER(Data!H:H,Data!D:D=A838,Data!B:B=$B$1)),"""")"),"")</f>
        <v/>
      </c>
      <c r="C838" s="134" t="str">
        <f>IFERROR(__xludf.DUMMYFUNCTION("IFERROR((FILTER(Data!G:G,Data!D:D=A838,Data!B:B=$B$1)),"""")"),"")</f>
        <v/>
      </c>
      <c r="D838" s="134" t="str">
        <f>IFERROR(__xludf.DUMMYFUNCTION("IFERROR((FILTER(Data!J:J,Data!D:D=A838,Data!B:B=$B$1)),"""")"),"")</f>
        <v/>
      </c>
      <c r="E838" s="134" t="str">
        <f>IFERROR(__xludf.DUMMYFUNCTION("IFERROR((FILTER(Data!L:L,Data!D:D=A838,Data!B:B=$B$1)),"""")"),"")</f>
        <v/>
      </c>
      <c r="F838" s="134" t="str">
        <f>IFERROR(__xludf.DUMMYFUNCTION("IFERROR((FILTER(Data!K:K,Data!D:D=A838,Data!B:B=$B$1)),"""")"),"")</f>
        <v/>
      </c>
      <c r="G838" s="134" t="str">
        <f>IFERROR(__xludf.DUMMYFUNCTION("IFERROR((FILTER(Data!M:M,Data!D:D=A838,Data!B:B=$B$1)),"""")"),"")</f>
        <v/>
      </c>
      <c r="H838" s="134" t="str">
        <f>IFERROR(__xludf.DUMMYFUNCTION("IFERROR((FILTER(Data!G:G,Data!D:D=A838,Data!B:B=$B$1)*4)+(FILTER(Data!H:H,Data!D:D=A838,Data!B:B=$B$1)*2),"""")"),"")</f>
        <v/>
      </c>
      <c r="I838" s="15" t="str">
        <f>IFERROR(__xludf.DUMMYFUNCTION("IFERROR((FILTER(Data!K:K,Data!D:D=A838,Data!B:B=$B$1)*2)+(FILTER(Data!L:L,Data!D:D=A838,Data!B:B=$B$1)),"""")"),"")</f>
        <v/>
      </c>
      <c r="J838" s="134" t="str">
        <f>IFERROR(__xludf.DUMMYFUNCTION("IFERROR((FILTER(Data!N:N,Data!D:D=A838,Data!B:B=$B$1)),"""")"),"")</f>
        <v/>
      </c>
      <c r="K838" s="135" t="str">
        <f>IFERROR(__xludf.DUMMYFUNCTION("IFERROR((FILTER(Data!H:H,Data!D:D=A838,Data!B:B=$B$1)*2)+(FILTER(Data!L:L,Data!D:D=A838,Data!B:B=$B$1))+(FILTER(Data!G:G,Data!D:D=A838,Data!B:B=$B$1)*4)+(FILTER(Data!K:K,Data!D:D=A838,Data!B:B=$B$1)*2)+(((COUNTIF(FILTER(Data!N:N,Data!D:D=A838,Data!B:B=$B$"&amp;"1),""TRAVERSE"")*15)+(COUNTIF(FILTER(Data!N:N,Data!D:D=A838,Data!B:B=$B$1),""HIGH"")*10)+(COUNTIF(FILTER(Data!N:N,Data!D:D=A838,Data!B:B=$B$1),""MIDDLE"")*6)+(COUNTIF(FILTER(Data!N:N,Data!D:D=A838,Data!B:B=$B$1),""LOW"")*4))),"""")"),"")</f>
        <v/>
      </c>
      <c r="L838" s="136" t="str">
        <f>IFERROR(__xludf.DUMMYFUNCTION("IFERROR((FILTER(Data!P:P,Data!D:D=A838,Data!B:B=$B$1)),"""")"),"")</f>
        <v/>
      </c>
      <c r="M838" s="137" t="str">
        <f>IFERROR(__xludf.DUMMYFUNCTION("IFERROR((FILTER(Data!A:A,Data!D:D=A838,Data!B:B=$B$1)),"""")"),"")</f>
        <v/>
      </c>
      <c r="T838" s="52">
        <f>IFERROR(__xludf.DUMMYFUNCTION("((COUNTIF(FILTER(Data!N:N,Data!D:D=A838,Data!B:B=$B$1),""TRAVERSE"")*15)+(COUNTIF(FILTER(Data!N:N,Data!D:D=A838,Data!B:B=B$1),""HIGH"")*10)+(COUNTIF(FILTER(Data!N:N,Data!D:D=A838,Data!B:B=$B$1),""MIDDLE"")*6)+(COUNTIF(FILTER(Data!N:N,Data!D:D=A838,Data!B:"&amp;"B=$B$1),""LOW"")*4))"),0.0)</f>
        <v>0</v>
      </c>
      <c r="V838" s="138" t="str">
        <f>IF(Data!B830='Team Parser'!$B$1, Data!D830,"")</f>
        <v/>
      </c>
      <c r="W838" s="134" t="str">
        <f>IF(Data!$B830='Team Parser'!$B$1, Data!H830,"")</f>
        <v/>
      </c>
      <c r="X838" s="134" t="str">
        <f>IF(Data!$B830='Team Parser'!$B$1, Data!G830,"")</f>
        <v/>
      </c>
      <c r="Y838" s="134" t="str">
        <f>IF(Data!$B830='Team Parser'!$B$1, Data!L830,"")</f>
        <v/>
      </c>
      <c r="Z838" s="134" t="str">
        <f>IF(Data!$B830='Team Parser'!$B$1, Data!K830,"")</f>
        <v/>
      </c>
      <c r="AA838" s="134" t="str">
        <f>IF(Data!$B830='Team Parser'!$B$1, Data!M830,"")</f>
        <v/>
      </c>
      <c r="AB838" s="134" t="str">
        <f>IF(Data!$B830='Team Parser'!$B$1,((Z838*2)+(Y838)+(X838*4)+(W838*2)),"")</f>
        <v/>
      </c>
      <c r="AC838" s="134" t="str">
        <f>IF(Data!$B830='Team Parser'!$B$1, Data!N830,"")</f>
        <v/>
      </c>
      <c r="AD838" s="139" t="str">
        <f>IF(Data!$B830='Team Parser'!$B$1,(AB838+(COUNTIF(AC838,"TRAVERSE")*15)+(COUNTIF(AC838,"HIGH")*10)+(COUNTIF(AC838,"MIDDLE")*6)+(COUNTIF(AC838,"LOW")*4)),"")</f>
        <v/>
      </c>
    </row>
    <row r="839">
      <c r="A839" s="141" t="s">
        <v>507</v>
      </c>
      <c r="B839" s="134" t="str">
        <f>IFERROR(__xludf.DUMMYFUNCTION("IFERROR((FILTER(Data!H:H,Data!D:D=A839,Data!B:B=$B$1)),"""")"),"")</f>
        <v/>
      </c>
      <c r="C839" s="134" t="str">
        <f>IFERROR(__xludf.DUMMYFUNCTION("IFERROR((FILTER(Data!G:G,Data!D:D=A839,Data!B:B=$B$1)),"""")"),"")</f>
        <v/>
      </c>
      <c r="D839" s="134" t="str">
        <f>IFERROR(__xludf.DUMMYFUNCTION("IFERROR((FILTER(Data!J:J,Data!D:D=A839,Data!B:B=$B$1)),"""")"),"")</f>
        <v/>
      </c>
      <c r="E839" s="134" t="str">
        <f>IFERROR(__xludf.DUMMYFUNCTION("IFERROR((FILTER(Data!L:L,Data!D:D=A839,Data!B:B=$B$1)),"""")"),"")</f>
        <v/>
      </c>
      <c r="F839" s="134" t="str">
        <f>IFERROR(__xludf.DUMMYFUNCTION("IFERROR((FILTER(Data!K:K,Data!D:D=A839,Data!B:B=$B$1)),"""")"),"")</f>
        <v/>
      </c>
      <c r="G839" s="134" t="str">
        <f>IFERROR(__xludf.DUMMYFUNCTION("IFERROR((FILTER(Data!M:M,Data!D:D=A839,Data!B:B=$B$1)),"""")"),"")</f>
        <v/>
      </c>
      <c r="H839" s="134" t="str">
        <f>IFERROR(__xludf.DUMMYFUNCTION("IFERROR((FILTER(Data!G:G,Data!D:D=A839,Data!B:B=$B$1)*4)+(FILTER(Data!H:H,Data!D:D=A839,Data!B:B=$B$1)*2),"""")"),"")</f>
        <v/>
      </c>
      <c r="I839" s="15" t="str">
        <f>IFERROR(__xludf.DUMMYFUNCTION("IFERROR((FILTER(Data!K:K,Data!D:D=A839,Data!B:B=$B$1)*2)+(FILTER(Data!L:L,Data!D:D=A839,Data!B:B=$B$1)),"""")"),"")</f>
        <v/>
      </c>
      <c r="J839" s="134" t="str">
        <f>IFERROR(__xludf.DUMMYFUNCTION("IFERROR((FILTER(Data!N:N,Data!D:D=A839,Data!B:B=$B$1)),"""")"),"")</f>
        <v/>
      </c>
      <c r="K839" s="135" t="str">
        <f>IFERROR(__xludf.DUMMYFUNCTION("IFERROR((FILTER(Data!H:H,Data!D:D=A839,Data!B:B=$B$1)*2)+(FILTER(Data!L:L,Data!D:D=A839,Data!B:B=$B$1))+(FILTER(Data!G:G,Data!D:D=A839,Data!B:B=$B$1)*4)+(FILTER(Data!K:K,Data!D:D=A839,Data!B:B=$B$1)*2)+(((COUNTIF(FILTER(Data!N:N,Data!D:D=A839,Data!B:B=$B$"&amp;"1),""TRAVERSE"")*15)+(COUNTIF(FILTER(Data!N:N,Data!D:D=A839,Data!B:B=$B$1),""HIGH"")*10)+(COUNTIF(FILTER(Data!N:N,Data!D:D=A839,Data!B:B=$B$1),""MIDDLE"")*6)+(COUNTIF(FILTER(Data!N:N,Data!D:D=A839,Data!B:B=$B$1),""LOW"")*4))),"""")"),"")</f>
        <v/>
      </c>
      <c r="L839" s="136" t="str">
        <f>IFERROR(__xludf.DUMMYFUNCTION("IFERROR((FILTER(Data!P:P,Data!D:D=A839,Data!B:B=$B$1)),"""")"),"")</f>
        <v/>
      </c>
      <c r="M839" s="137" t="str">
        <f>IFERROR(__xludf.DUMMYFUNCTION("IFERROR((FILTER(Data!A:A,Data!D:D=A839,Data!B:B=$B$1)),"""")"),"")</f>
        <v/>
      </c>
      <c r="T839" s="52">
        <f>IFERROR(__xludf.DUMMYFUNCTION("((COUNTIF(FILTER(Data!N:N,Data!D:D=A839,Data!B:B=$B$1),""TRAVERSE"")*15)+(COUNTIF(FILTER(Data!N:N,Data!D:D=A839,Data!B:B=B$1),""HIGH"")*10)+(COUNTIF(FILTER(Data!N:N,Data!D:D=A839,Data!B:B=$B$1),""MIDDLE"")*6)+(COUNTIF(FILTER(Data!N:N,Data!D:D=A839,Data!B:"&amp;"B=$B$1),""LOW"")*4))"),0.0)</f>
        <v>0</v>
      </c>
      <c r="V839" s="138" t="str">
        <f>IF(Data!B831='Team Parser'!$B$1, Data!D831,"")</f>
        <v/>
      </c>
      <c r="W839" s="134" t="str">
        <f>IF(Data!$B831='Team Parser'!$B$1, Data!H831,"")</f>
        <v/>
      </c>
      <c r="X839" s="134" t="str">
        <f>IF(Data!$B831='Team Parser'!$B$1, Data!G831,"")</f>
        <v/>
      </c>
      <c r="Y839" s="134" t="str">
        <f>IF(Data!$B831='Team Parser'!$B$1, Data!L831,"")</f>
        <v/>
      </c>
      <c r="Z839" s="134" t="str">
        <f>IF(Data!$B831='Team Parser'!$B$1, Data!K831,"")</f>
        <v/>
      </c>
      <c r="AA839" s="134" t="str">
        <f>IF(Data!$B831='Team Parser'!$B$1, Data!M831,"")</f>
        <v/>
      </c>
      <c r="AB839" s="134" t="str">
        <f>IF(Data!$B831='Team Parser'!$B$1,((Z839*2)+(Y839)+(X839*4)+(W839*2)),"")</f>
        <v/>
      </c>
      <c r="AC839" s="134" t="str">
        <f>IF(Data!$B831='Team Parser'!$B$1, Data!N831,"")</f>
        <v/>
      </c>
      <c r="AD839" s="139" t="str">
        <f>IF(Data!$B831='Team Parser'!$B$1,(AB839+(COUNTIF(AC839,"TRAVERSE")*15)+(COUNTIF(AC839,"HIGH")*10)+(COUNTIF(AC839,"MIDDLE")*6)+(COUNTIF(AC839,"LOW")*4)),"")</f>
        <v/>
      </c>
    </row>
    <row r="840">
      <c r="A840" s="141" t="s">
        <v>507</v>
      </c>
      <c r="B840" s="134" t="str">
        <f>IFERROR(__xludf.DUMMYFUNCTION("IFERROR((FILTER(Data!H:H,Data!D:D=A840,Data!B:B=$B$1)),"""")"),"")</f>
        <v/>
      </c>
      <c r="C840" s="134" t="str">
        <f>IFERROR(__xludf.DUMMYFUNCTION("IFERROR((FILTER(Data!G:G,Data!D:D=A840,Data!B:B=$B$1)),"""")"),"")</f>
        <v/>
      </c>
      <c r="D840" s="134" t="str">
        <f>IFERROR(__xludf.DUMMYFUNCTION("IFERROR((FILTER(Data!J:J,Data!D:D=A840,Data!B:B=$B$1)),"""")"),"")</f>
        <v/>
      </c>
      <c r="E840" s="134" t="str">
        <f>IFERROR(__xludf.DUMMYFUNCTION("IFERROR((FILTER(Data!L:L,Data!D:D=A840,Data!B:B=$B$1)),"""")"),"")</f>
        <v/>
      </c>
      <c r="F840" s="134" t="str">
        <f>IFERROR(__xludf.DUMMYFUNCTION("IFERROR((FILTER(Data!K:K,Data!D:D=A840,Data!B:B=$B$1)),"""")"),"")</f>
        <v/>
      </c>
      <c r="G840" s="134" t="str">
        <f>IFERROR(__xludf.DUMMYFUNCTION("IFERROR((FILTER(Data!M:M,Data!D:D=A840,Data!B:B=$B$1)),"""")"),"")</f>
        <v/>
      </c>
      <c r="H840" s="134" t="str">
        <f>IFERROR(__xludf.DUMMYFUNCTION("IFERROR((FILTER(Data!G:G,Data!D:D=A840,Data!B:B=$B$1)*4)+(FILTER(Data!H:H,Data!D:D=A840,Data!B:B=$B$1)*2),"""")"),"")</f>
        <v/>
      </c>
      <c r="I840" s="15" t="str">
        <f>IFERROR(__xludf.DUMMYFUNCTION("IFERROR((FILTER(Data!K:K,Data!D:D=A840,Data!B:B=$B$1)*2)+(FILTER(Data!L:L,Data!D:D=A840,Data!B:B=$B$1)),"""")"),"")</f>
        <v/>
      </c>
      <c r="J840" s="134" t="str">
        <f>IFERROR(__xludf.DUMMYFUNCTION("IFERROR((FILTER(Data!N:N,Data!D:D=A840,Data!B:B=$B$1)),"""")"),"")</f>
        <v/>
      </c>
      <c r="K840" s="135" t="str">
        <f>IFERROR(__xludf.DUMMYFUNCTION("IFERROR((FILTER(Data!H:H,Data!D:D=A840,Data!B:B=$B$1)*2)+(FILTER(Data!L:L,Data!D:D=A840,Data!B:B=$B$1))+(FILTER(Data!G:G,Data!D:D=A840,Data!B:B=$B$1)*4)+(FILTER(Data!K:K,Data!D:D=A840,Data!B:B=$B$1)*2)+(((COUNTIF(FILTER(Data!N:N,Data!D:D=A840,Data!B:B=$B$"&amp;"1),""TRAVERSE"")*15)+(COUNTIF(FILTER(Data!N:N,Data!D:D=A840,Data!B:B=$B$1),""HIGH"")*10)+(COUNTIF(FILTER(Data!N:N,Data!D:D=A840,Data!B:B=$B$1),""MIDDLE"")*6)+(COUNTIF(FILTER(Data!N:N,Data!D:D=A840,Data!B:B=$B$1),""LOW"")*4))),"""")"),"")</f>
        <v/>
      </c>
      <c r="L840" s="136" t="str">
        <f>IFERROR(__xludf.DUMMYFUNCTION("IFERROR((FILTER(Data!P:P,Data!D:D=A840,Data!B:B=$B$1)),"""")"),"")</f>
        <v/>
      </c>
      <c r="M840" s="137" t="str">
        <f>IFERROR(__xludf.DUMMYFUNCTION("IFERROR((FILTER(Data!A:A,Data!D:D=A840,Data!B:B=$B$1)),"""")"),"")</f>
        <v/>
      </c>
      <c r="T840" s="52">
        <f>IFERROR(__xludf.DUMMYFUNCTION("((COUNTIF(FILTER(Data!N:N,Data!D:D=A840,Data!B:B=$B$1),""TRAVERSE"")*15)+(COUNTIF(FILTER(Data!N:N,Data!D:D=A840,Data!B:B=B$1),""HIGH"")*10)+(COUNTIF(FILTER(Data!N:N,Data!D:D=A840,Data!B:B=$B$1),""MIDDLE"")*6)+(COUNTIF(FILTER(Data!N:N,Data!D:D=A840,Data!B:"&amp;"B=$B$1),""LOW"")*4))"),0.0)</f>
        <v>0</v>
      </c>
      <c r="V840" s="138" t="str">
        <f>IF(Data!B832='Team Parser'!$B$1, Data!D832,"")</f>
        <v/>
      </c>
      <c r="W840" s="134" t="str">
        <f>IF(Data!$B832='Team Parser'!$B$1, Data!H832,"")</f>
        <v/>
      </c>
      <c r="X840" s="134" t="str">
        <f>IF(Data!$B832='Team Parser'!$B$1, Data!G832,"")</f>
        <v/>
      </c>
      <c r="Y840" s="134" t="str">
        <f>IF(Data!$B832='Team Parser'!$B$1, Data!L832,"")</f>
        <v/>
      </c>
      <c r="Z840" s="134" t="str">
        <f>IF(Data!$B832='Team Parser'!$B$1, Data!K832,"")</f>
        <v/>
      </c>
      <c r="AA840" s="134" t="str">
        <f>IF(Data!$B832='Team Parser'!$B$1, Data!M832,"")</f>
        <v/>
      </c>
      <c r="AB840" s="134" t="str">
        <f>IF(Data!$B832='Team Parser'!$B$1,((Z840*2)+(Y840)+(X840*4)+(W840*2)),"")</f>
        <v/>
      </c>
      <c r="AC840" s="134" t="str">
        <f>IF(Data!$B832='Team Parser'!$B$1, Data!N832,"")</f>
        <v/>
      </c>
      <c r="AD840" s="139" t="str">
        <f>IF(Data!$B832='Team Parser'!$B$1,(AB840+(COUNTIF(AC840,"TRAVERSE")*15)+(COUNTIF(AC840,"HIGH")*10)+(COUNTIF(AC840,"MIDDLE")*6)+(COUNTIF(AC840,"LOW")*4)),"")</f>
        <v/>
      </c>
    </row>
    <row r="841">
      <c r="A841" s="141" t="s">
        <v>507</v>
      </c>
      <c r="B841" s="134" t="str">
        <f>IFERROR(__xludf.DUMMYFUNCTION("IFERROR((FILTER(Data!H:H,Data!D:D=A841,Data!B:B=$B$1)),"""")"),"")</f>
        <v/>
      </c>
      <c r="C841" s="134" t="str">
        <f>IFERROR(__xludf.DUMMYFUNCTION("IFERROR((FILTER(Data!G:G,Data!D:D=A841,Data!B:B=$B$1)),"""")"),"")</f>
        <v/>
      </c>
      <c r="D841" s="134" t="str">
        <f>IFERROR(__xludf.DUMMYFUNCTION("IFERROR((FILTER(Data!J:J,Data!D:D=A841,Data!B:B=$B$1)),"""")"),"")</f>
        <v/>
      </c>
      <c r="E841" s="134" t="str">
        <f>IFERROR(__xludf.DUMMYFUNCTION("IFERROR((FILTER(Data!L:L,Data!D:D=A841,Data!B:B=$B$1)),"""")"),"")</f>
        <v/>
      </c>
      <c r="F841" s="134" t="str">
        <f>IFERROR(__xludf.DUMMYFUNCTION("IFERROR((FILTER(Data!K:K,Data!D:D=A841,Data!B:B=$B$1)),"""")"),"")</f>
        <v/>
      </c>
      <c r="G841" s="134" t="str">
        <f>IFERROR(__xludf.DUMMYFUNCTION("IFERROR((FILTER(Data!M:M,Data!D:D=A841,Data!B:B=$B$1)),"""")"),"")</f>
        <v/>
      </c>
      <c r="H841" s="134" t="str">
        <f>IFERROR(__xludf.DUMMYFUNCTION("IFERROR((FILTER(Data!G:G,Data!D:D=A841,Data!B:B=$B$1)*4)+(FILTER(Data!H:H,Data!D:D=A841,Data!B:B=$B$1)*2),"""")"),"")</f>
        <v/>
      </c>
      <c r="I841" s="15" t="str">
        <f>IFERROR(__xludf.DUMMYFUNCTION("IFERROR((FILTER(Data!K:K,Data!D:D=A841,Data!B:B=$B$1)*2)+(FILTER(Data!L:L,Data!D:D=A841,Data!B:B=$B$1)),"""")"),"")</f>
        <v/>
      </c>
      <c r="J841" s="134" t="str">
        <f>IFERROR(__xludf.DUMMYFUNCTION("IFERROR((FILTER(Data!N:N,Data!D:D=A841,Data!B:B=$B$1)),"""")"),"")</f>
        <v/>
      </c>
      <c r="K841" s="135" t="str">
        <f>IFERROR(__xludf.DUMMYFUNCTION("IFERROR((FILTER(Data!H:H,Data!D:D=A841,Data!B:B=$B$1)*2)+(FILTER(Data!L:L,Data!D:D=A841,Data!B:B=$B$1))+(FILTER(Data!G:G,Data!D:D=A841,Data!B:B=$B$1)*4)+(FILTER(Data!K:K,Data!D:D=A841,Data!B:B=$B$1)*2)+(((COUNTIF(FILTER(Data!N:N,Data!D:D=A841,Data!B:B=$B$"&amp;"1),""TRAVERSE"")*15)+(COUNTIF(FILTER(Data!N:N,Data!D:D=A841,Data!B:B=$B$1),""HIGH"")*10)+(COUNTIF(FILTER(Data!N:N,Data!D:D=A841,Data!B:B=$B$1),""MIDDLE"")*6)+(COUNTIF(FILTER(Data!N:N,Data!D:D=A841,Data!B:B=$B$1),""LOW"")*4))),"""")"),"")</f>
        <v/>
      </c>
      <c r="L841" s="136" t="str">
        <f>IFERROR(__xludf.DUMMYFUNCTION("IFERROR((FILTER(Data!P:P,Data!D:D=A841,Data!B:B=$B$1)),"""")"),"")</f>
        <v/>
      </c>
      <c r="M841" s="137" t="str">
        <f>IFERROR(__xludf.DUMMYFUNCTION("IFERROR((FILTER(Data!A:A,Data!D:D=A841,Data!B:B=$B$1)),"""")"),"")</f>
        <v/>
      </c>
      <c r="T841" s="52">
        <f>IFERROR(__xludf.DUMMYFUNCTION("((COUNTIF(FILTER(Data!N:N,Data!D:D=A841,Data!B:B=$B$1),""TRAVERSE"")*15)+(COUNTIF(FILTER(Data!N:N,Data!D:D=A841,Data!B:B=B$1),""HIGH"")*10)+(COUNTIF(FILTER(Data!N:N,Data!D:D=A841,Data!B:B=$B$1),""MIDDLE"")*6)+(COUNTIF(FILTER(Data!N:N,Data!D:D=A841,Data!B:"&amp;"B=$B$1),""LOW"")*4))"),0.0)</f>
        <v>0</v>
      </c>
      <c r="V841" s="138" t="str">
        <f>IF(Data!B833='Team Parser'!$B$1, Data!D833,"")</f>
        <v/>
      </c>
      <c r="W841" s="134" t="str">
        <f>IF(Data!$B833='Team Parser'!$B$1, Data!H833,"")</f>
        <v/>
      </c>
      <c r="X841" s="134" t="str">
        <f>IF(Data!$B833='Team Parser'!$B$1, Data!G833,"")</f>
        <v/>
      </c>
      <c r="Y841" s="134" t="str">
        <f>IF(Data!$B833='Team Parser'!$B$1, Data!L833,"")</f>
        <v/>
      </c>
      <c r="Z841" s="134" t="str">
        <f>IF(Data!$B833='Team Parser'!$B$1, Data!K833,"")</f>
        <v/>
      </c>
      <c r="AA841" s="134" t="str">
        <f>IF(Data!$B833='Team Parser'!$B$1, Data!M833,"")</f>
        <v/>
      </c>
      <c r="AB841" s="134" t="str">
        <f>IF(Data!$B833='Team Parser'!$B$1,((Z841*2)+(Y841)+(X841*4)+(W841*2)),"")</f>
        <v/>
      </c>
      <c r="AC841" s="134" t="str">
        <f>IF(Data!$B833='Team Parser'!$B$1, Data!N833,"")</f>
        <v/>
      </c>
      <c r="AD841" s="139" t="str">
        <f>IF(Data!$B833='Team Parser'!$B$1,(AB841+(COUNTIF(AC841,"TRAVERSE")*15)+(COUNTIF(AC841,"HIGH")*10)+(COUNTIF(AC841,"MIDDLE")*6)+(COUNTIF(AC841,"LOW")*4)),"")</f>
        <v/>
      </c>
    </row>
    <row r="842">
      <c r="A842" s="141" t="s">
        <v>507</v>
      </c>
      <c r="B842" s="134" t="str">
        <f>IFERROR(__xludf.DUMMYFUNCTION("IFERROR((FILTER(Data!H:H,Data!D:D=A842,Data!B:B=$B$1)),"""")"),"")</f>
        <v/>
      </c>
      <c r="C842" s="134" t="str">
        <f>IFERROR(__xludf.DUMMYFUNCTION("IFERROR((FILTER(Data!G:G,Data!D:D=A842,Data!B:B=$B$1)),"""")"),"")</f>
        <v/>
      </c>
      <c r="D842" s="134" t="str">
        <f>IFERROR(__xludf.DUMMYFUNCTION("IFERROR((FILTER(Data!J:J,Data!D:D=A842,Data!B:B=$B$1)),"""")"),"")</f>
        <v/>
      </c>
      <c r="E842" s="134" t="str">
        <f>IFERROR(__xludf.DUMMYFUNCTION("IFERROR((FILTER(Data!L:L,Data!D:D=A842,Data!B:B=$B$1)),"""")"),"")</f>
        <v/>
      </c>
      <c r="F842" s="134" t="str">
        <f>IFERROR(__xludf.DUMMYFUNCTION("IFERROR((FILTER(Data!K:K,Data!D:D=A842,Data!B:B=$B$1)),"""")"),"")</f>
        <v/>
      </c>
      <c r="G842" s="134" t="str">
        <f>IFERROR(__xludf.DUMMYFUNCTION("IFERROR((FILTER(Data!M:M,Data!D:D=A842,Data!B:B=$B$1)),"""")"),"")</f>
        <v/>
      </c>
      <c r="H842" s="134" t="str">
        <f>IFERROR(__xludf.DUMMYFUNCTION("IFERROR((FILTER(Data!G:G,Data!D:D=A842,Data!B:B=$B$1)*4)+(FILTER(Data!H:H,Data!D:D=A842,Data!B:B=$B$1)*2),"""")"),"")</f>
        <v/>
      </c>
      <c r="I842" s="15" t="str">
        <f>IFERROR(__xludf.DUMMYFUNCTION("IFERROR((FILTER(Data!K:K,Data!D:D=A842,Data!B:B=$B$1)*2)+(FILTER(Data!L:L,Data!D:D=A842,Data!B:B=$B$1)),"""")"),"")</f>
        <v/>
      </c>
      <c r="J842" s="134" t="str">
        <f>IFERROR(__xludf.DUMMYFUNCTION("IFERROR((FILTER(Data!N:N,Data!D:D=A842,Data!B:B=$B$1)),"""")"),"")</f>
        <v/>
      </c>
      <c r="K842" s="135" t="str">
        <f>IFERROR(__xludf.DUMMYFUNCTION("IFERROR((FILTER(Data!H:H,Data!D:D=A842,Data!B:B=$B$1)*2)+(FILTER(Data!L:L,Data!D:D=A842,Data!B:B=$B$1))+(FILTER(Data!G:G,Data!D:D=A842,Data!B:B=$B$1)*4)+(FILTER(Data!K:K,Data!D:D=A842,Data!B:B=$B$1)*2)+(((COUNTIF(FILTER(Data!N:N,Data!D:D=A842,Data!B:B=$B$"&amp;"1),""TRAVERSE"")*15)+(COUNTIF(FILTER(Data!N:N,Data!D:D=A842,Data!B:B=$B$1),""HIGH"")*10)+(COUNTIF(FILTER(Data!N:N,Data!D:D=A842,Data!B:B=$B$1),""MIDDLE"")*6)+(COUNTIF(FILTER(Data!N:N,Data!D:D=A842,Data!B:B=$B$1),""LOW"")*4))),"""")"),"")</f>
        <v/>
      </c>
      <c r="L842" s="136" t="str">
        <f>IFERROR(__xludf.DUMMYFUNCTION("IFERROR((FILTER(Data!P:P,Data!D:D=A842,Data!B:B=$B$1)),"""")"),"")</f>
        <v/>
      </c>
      <c r="M842" s="137" t="str">
        <f>IFERROR(__xludf.DUMMYFUNCTION("IFERROR((FILTER(Data!A:A,Data!D:D=A842,Data!B:B=$B$1)),"""")"),"")</f>
        <v/>
      </c>
      <c r="T842" s="52">
        <f>IFERROR(__xludf.DUMMYFUNCTION("((COUNTIF(FILTER(Data!N:N,Data!D:D=A842,Data!B:B=$B$1),""TRAVERSE"")*15)+(COUNTIF(FILTER(Data!N:N,Data!D:D=A842,Data!B:B=B$1),""HIGH"")*10)+(COUNTIF(FILTER(Data!N:N,Data!D:D=A842,Data!B:B=$B$1),""MIDDLE"")*6)+(COUNTIF(FILTER(Data!N:N,Data!D:D=A842,Data!B:"&amp;"B=$B$1),""LOW"")*4))"),0.0)</f>
        <v>0</v>
      </c>
      <c r="V842" s="138" t="str">
        <f>IF(Data!B834='Team Parser'!$B$1, Data!D834,"")</f>
        <v/>
      </c>
      <c r="W842" s="134" t="str">
        <f>IF(Data!$B834='Team Parser'!$B$1, Data!H834,"")</f>
        <v/>
      </c>
      <c r="X842" s="134" t="str">
        <f>IF(Data!$B834='Team Parser'!$B$1, Data!G834,"")</f>
        <v/>
      </c>
      <c r="Y842" s="134" t="str">
        <f>IF(Data!$B834='Team Parser'!$B$1, Data!L834,"")</f>
        <v/>
      </c>
      <c r="Z842" s="134" t="str">
        <f>IF(Data!$B834='Team Parser'!$B$1, Data!K834,"")</f>
        <v/>
      </c>
      <c r="AA842" s="134" t="str">
        <f>IF(Data!$B834='Team Parser'!$B$1, Data!M834,"")</f>
        <v/>
      </c>
      <c r="AB842" s="134" t="str">
        <f>IF(Data!$B834='Team Parser'!$B$1,((Z842*2)+(Y842)+(X842*4)+(W842*2)),"")</f>
        <v/>
      </c>
      <c r="AC842" s="134" t="str">
        <f>IF(Data!$B834='Team Parser'!$B$1, Data!N834,"")</f>
        <v/>
      </c>
      <c r="AD842" s="139" t="str">
        <f>IF(Data!$B834='Team Parser'!$B$1,(AB842+(COUNTIF(AC842,"TRAVERSE")*15)+(COUNTIF(AC842,"HIGH")*10)+(COUNTIF(AC842,"MIDDLE")*6)+(COUNTIF(AC842,"LOW")*4)),"")</f>
        <v/>
      </c>
    </row>
    <row r="843">
      <c r="A843" s="141" t="s">
        <v>507</v>
      </c>
      <c r="B843" s="134" t="str">
        <f>IFERROR(__xludf.DUMMYFUNCTION("IFERROR((FILTER(Data!H:H,Data!D:D=A843,Data!B:B=$B$1)),"""")"),"")</f>
        <v/>
      </c>
      <c r="C843" s="134" t="str">
        <f>IFERROR(__xludf.DUMMYFUNCTION("IFERROR((FILTER(Data!G:G,Data!D:D=A843,Data!B:B=$B$1)),"""")"),"")</f>
        <v/>
      </c>
      <c r="D843" s="134" t="str">
        <f>IFERROR(__xludf.DUMMYFUNCTION("IFERROR((FILTER(Data!J:J,Data!D:D=A843,Data!B:B=$B$1)),"""")"),"")</f>
        <v/>
      </c>
      <c r="E843" s="134" t="str">
        <f>IFERROR(__xludf.DUMMYFUNCTION("IFERROR((FILTER(Data!L:L,Data!D:D=A843,Data!B:B=$B$1)),"""")"),"")</f>
        <v/>
      </c>
      <c r="F843" s="134" t="str">
        <f>IFERROR(__xludf.DUMMYFUNCTION("IFERROR((FILTER(Data!K:K,Data!D:D=A843,Data!B:B=$B$1)),"""")"),"")</f>
        <v/>
      </c>
      <c r="G843" s="134" t="str">
        <f>IFERROR(__xludf.DUMMYFUNCTION("IFERROR((FILTER(Data!M:M,Data!D:D=A843,Data!B:B=$B$1)),"""")"),"")</f>
        <v/>
      </c>
      <c r="H843" s="134" t="str">
        <f>IFERROR(__xludf.DUMMYFUNCTION("IFERROR((FILTER(Data!G:G,Data!D:D=A843,Data!B:B=$B$1)*4)+(FILTER(Data!H:H,Data!D:D=A843,Data!B:B=$B$1)*2),"""")"),"")</f>
        <v/>
      </c>
      <c r="I843" s="15" t="str">
        <f>IFERROR(__xludf.DUMMYFUNCTION("IFERROR((FILTER(Data!K:K,Data!D:D=A843,Data!B:B=$B$1)*2)+(FILTER(Data!L:L,Data!D:D=A843,Data!B:B=$B$1)),"""")"),"")</f>
        <v/>
      </c>
      <c r="J843" s="134" t="str">
        <f>IFERROR(__xludf.DUMMYFUNCTION("IFERROR((FILTER(Data!N:N,Data!D:D=A843,Data!B:B=$B$1)),"""")"),"")</f>
        <v/>
      </c>
      <c r="K843" s="135" t="str">
        <f>IFERROR(__xludf.DUMMYFUNCTION("IFERROR((FILTER(Data!H:H,Data!D:D=A843,Data!B:B=$B$1)*2)+(FILTER(Data!L:L,Data!D:D=A843,Data!B:B=$B$1))+(FILTER(Data!G:G,Data!D:D=A843,Data!B:B=$B$1)*4)+(FILTER(Data!K:K,Data!D:D=A843,Data!B:B=$B$1)*2)+(((COUNTIF(FILTER(Data!N:N,Data!D:D=A843,Data!B:B=$B$"&amp;"1),""TRAVERSE"")*15)+(COUNTIF(FILTER(Data!N:N,Data!D:D=A843,Data!B:B=$B$1),""HIGH"")*10)+(COUNTIF(FILTER(Data!N:N,Data!D:D=A843,Data!B:B=$B$1),""MIDDLE"")*6)+(COUNTIF(FILTER(Data!N:N,Data!D:D=A843,Data!B:B=$B$1),""LOW"")*4))),"""")"),"")</f>
        <v/>
      </c>
      <c r="L843" s="136" t="str">
        <f>IFERROR(__xludf.DUMMYFUNCTION("IFERROR((FILTER(Data!P:P,Data!D:D=A843,Data!B:B=$B$1)),"""")"),"")</f>
        <v/>
      </c>
      <c r="M843" s="137" t="str">
        <f>IFERROR(__xludf.DUMMYFUNCTION("IFERROR((FILTER(Data!A:A,Data!D:D=A843,Data!B:B=$B$1)),"""")"),"")</f>
        <v/>
      </c>
      <c r="T843" s="52">
        <f>IFERROR(__xludf.DUMMYFUNCTION("((COUNTIF(FILTER(Data!N:N,Data!D:D=A843,Data!B:B=$B$1),""TRAVERSE"")*15)+(COUNTIF(FILTER(Data!N:N,Data!D:D=A843,Data!B:B=B$1),""HIGH"")*10)+(COUNTIF(FILTER(Data!N:N,Data!D:D=A843,Data!B:B=$B$1),""MIDDLE"")*6)+(COUNTIF(FILTER(Data!N:N,Data!D:D=A843,Data!B:"&amp;"B=$B$1),""LOW"")*4))"),0.0)</f>
        <v>0</v>
      </c>
      <c r="V843" s="138" t="str">
        <f>IF(Data!B835='Team Parser'!$B$1, Data!D835,"")</f>
        <v/>
      </c>
      <c r="W843" s="134" t="str">
        <f>IF(Data!$B835='Team Parser'!$B$1, Data!H835,"")</f>
        <v/>
      </c>
      <c r="X843" s="134" t="str">
        <f>IF(Data!$B835='Team Parser'!$B$1, Data!G835,"")</f>
        <v/>
      </c>
      <c r="Y843" s="134" t="str">
        <f>IF(Data!$B835='Team Parser'!$B$1, Data!L835,"")</f>
        <v/>
      </c>
      <c r="Z843" s="134" t="str">
        <f>IF(Data!$B835='Team Parser'!$B$1, Data!K835,"")</f>
        <v/>
      </c>
      <c r="AA843" s="134" t="str">
        <f>IF(Data!$B835='Team Parser'!$B$1, Data!M835,"")</f>
        <v/>
      </c>
      <c r="AB843" s="134" t="str">
        <f>IF(Data!$B835='Team Parser'!$B$1,((Z843*2)+(Y843)+(X843*4)+(W843*2)),"")</f>
        <v/>
      </c>
      <c r="AC843" s="134" t="str">
        <f>IF(Data!$B835='Team Parser'!$B$1, Data!N835,"")</f>
        <v/>
      </c>
      <c r="AD843" s="139" t="str">
        <f>IF(Data!$B835='Team Parser'!$B$1,(AB843+(COUNTIF(AC843,"TRAVERSE")*15)+(COUNTIF(AC843,"HIGH")*10)+(COUNTIF(AC843,"MIDDLE")*6)+(COUNTIF(AC843,"LOW")*4)),"")</f>
        <v/>
      </c>
    </row>
    <row r="844">
      <c r="A844" s="141" t="s">
        <v>507</v>
      </c>
      <c r="B844" s="134" t="str">
        <f>IFERROR(__xludf.DUMMYFUNCTION("IFERROR((FILTER(Data!H:H,Data!D:D=A844,Data!B:B=$B$1)),"""")"),"")</f>
        <v/>
      </c>
      <c r="C844" s="134" t="str">
        <f>IFERROR(__xludf.DUMMYFUNCTION("IFERROR((FILTER(Data!G:G,Data!D:D=A844,Data!B:B=$B$1)),"""")"),"")</f>
        <v/>
      </c>
      <c r="D844" s="134" t="str">
        <f>IFERROR(__xludf.DUMMYFUNCTION("IFERROR((FILTER(Data!J:J,Data!D:D=A844,Data!B:B=$B$1)),"""")"),"")</f>
        <v/>
      </c>
      <c r="E844" s="134" t="str">
        <f>IFERROR(__xludf.DUMMYFUNCTION("IFERROR((FILTER(Data!L:L,Data!D:D=A844,Data!B:B=$B$1)),"""")"),"")</f>
        <v/>
      </c>
      <c r="F844" s="134" t="str">
        <f>IFERROR(__xludf.DUMMYFUNCTION("IFERROR((FILTER(Data!K:K,Data!D:D=A844,Data!B:B=$B$1)),"""")"),"")</f>
        <v/>
      </c>
      <c r="G844" s="134" t="str">
        <f>IFERROR(__xludf.DUMMYFUNCTION("IFERROR((FILTER(Data!M:M,Data!D:D=A844,Data!B:B=$B$1)),"""")"),"")</f>
        <v/>
      </c>
      <c r="H844" s="134" t="str">
        <f>IFERROR(__xludf.DUMMYFUNCTION("IFERROR((FILTER(Data!G:G,Data!D:D=A844,Data!B:B=$B$1)*4)+(FILTER(Data!H:H,Data!D:D=A844,Data!B:B=$B$1)*2),"""")"),"")</f>
        <v/>
      </c>
      <c r="I844" s="15" t="str">
        <f>IFERROR(__xludf.DUMMYFUNCTION("IFERROR((FILTER(Data!K:K,Data!D:D=A844,Data!B:B=$B$1)*2)+(FILTER(Data!L:L,Data!D:D=A844,Data!B:B=$B$1)),"""")"),"")</f>
        <v/>
      </c>
      <c r="J844" s="134" t="str">
        <f>IFERROR(__xludf.DUMMYFUNCTION("IFERROR((FILTER(Data!N:N,Data!D:D=A844,Data!B:B=$B$1)),"""")"),"")</f>
        <v/>
      </c>
      <c r="K844" s="135" t="str">
        <f>IFERROR(__xludf.DUMMYFUNCTION("IFERROR((FILTER(Data!H:H,Data!D:D=A844,Data!B:B=$B$1)*2)+(FILTER(Data!L:L,Data!D:D=A844,Data!B:B=$B$1))+(FILTER(Data!G:G,Data!D:D=A844,Data!B:B=$B$1)*4)+(FILTER(Data!K:K,Data!D:D=A844,Data!B:B=$B$1)*2)+(((COUNTIF(FILTER(Data!N:N,Data!D:D=A844,Data!B:B=$B$"&amp;"1),""TRAVERSE"")*15)+(COUNTIF(FILTER(Data!N:N,Data!D:D=A844,Data!B:B=$B$1),""HIGH"")*10)+(COUNTIF(FILTER(Data!N:N,Data!D:D=A844,Data!B:B=$B$1),""MIDDLE"")*6)+(COUNTIF(FILTER(Data!N:N,Data!D:D=A844,Data!B:B=$B$1),""LOW"")*4))),"""")"),"")</f>
        <v/>
      </c>
      <c r="L844" s="136" t="str">
        <f>IFERROR(__xludf.DUMMYFUNCTION("IFERROR((FILTER(Data!P:P,Data!D:D=A844,Data!B:B=$B$1)),"""")"),"")</f>
        <v/>
      </c>
      <c r="M844" s="137" t="str">
        <f>IFERROR(__xludf.DUMMYFUNCTION("IFERROR((FILTER(Data!A:A,Data!D:D=A844,Data!B:B=$B$1)),"""")"),"")</f>
        <v/>
      </c>
      <c r="T844" s="52">
        <f>IFERROR(__xludf.DUMMYFUNCTION("((COUNTIF(FILTER(Data!N:N,Data!D:D=A844,Data!B:B=$B$1),""TRAVERSE"")*15)+(COUNTIF(FILTER(Data!N:N,Data!D:D=A844,Data!B:B=B$1),""HIGH"")*10)+(COUNTIF(FILTER(Data!N:N,Data!D:D=A844,Data!B:B=$B$1),""MIDDLE"")*6)+(COUNTIF(FILTER(Data!N:N,Data!D:D=A844,Data!B:"&amp;"B=$B$1),""LOW"")*4))"),0.0)</f>
        <v>0</v>
      </c>
      <c r="V844" s="138" t="str">
        <f>IF(Data!B836='Team Parser'!$B$1, Data!D836,"")</f>
        <v/>
      </c>
      <c r="W844" s="134" t="str">
        <f>IF(Data!$B836='Team Parser'!$B$1, Data!H836,"")</f>
        <v/>
      </c>
      <c r="X844" s="134" t="str">
        <f>IF(Data!$B836='Team Parser'!$B$1, Data!G836,"")</f>
        <v/>
      </c>
      <c r="Y844" s="134" t="str">
        <f>IF(Data!$B836='Team Parser'!$B$1, Data!L836,"")</f>
        <v/>
      </c>
      <c r="Z844" s="134" t="str">
        <f>IF(Data!$B836='Team Parser'!$B$1, Data!K836,"")</f>
        <v/>
      </c>
      <c r="AA844" s="134" t="str">
        <f>IF(Data!$B836='Team Parser'!$B$1, Data!M836,"")</f>
        <v/>
      </c>
      <c r="AB844" s="134" t="str">
        <f>IF(Data!$B836='Team Parser'!$B$1,((Z844*2)+(Y844)+(X844*4)+(W844*2)),"")</f>
        <v/>
      </c>
      <c r="AC844" s="134" t="str">
        <f>IF(Data!$B836='Team Parser'!$B$1, Data!N836,"")</f>
        <v/>
      </c>
      <c r="AD844" s="139" t="str">
        <f>IF(Data!$B836='Team Parser'!$B$1,(AB844+(COUNTIF(AC844,"TRAVERSE")*15)+(COUNTIF(AC844,"HIGH")*10)+(COUNTIF(AC844,"MIDDLE")*6)+(COUNTIF(AC844,"LOW")*4)),"")</f>
        <v/>
      </c>
    </row>
    <row r="845">
      <c r="A845" s="141" t="s">
        <v>507</v>
      </c>
      <c r="B845" s="134" t="str">
        <f>IFERROR(__xludf.DUMMYFUNCTION("IFERROR((FILTER(Data!H:H,Data!D:D=A845,Data!B:B=$B$1)),"""")"),"")</f>
        <v/>
      </c>
      <c r="C845" s="134" t="str">
        <f>IFERROR(__xludf.DUMMYFUNCTION("IFERROR((FILTER(Data!G:G,Data!D:D=A845,Data!B:B=$B$1)),"""")"),"")</f>
        <v/>
      </c>
      <c r="D845" s="134" t="str">
        <f>IFERROR(__xludf.DUMMYFUNCTION("IFERROR((FILTER(Data!J:J,Data!D:D=A845,Data!B:B=$B$1)),"""")"),"")</f>
        <v/>
      </c>
      <c r="E845" s="134" t="str">
        <f>IFERROR(__xludf.DUMMYFUNCTION("IFERROR((FILTER(Data!L:L,Data!D:D=A845,Data!B:B=$B$1)),"""")"),"")</f>
        <v/>
      </c>
      <c r="F845" s="134" t="str">
        <f>IFERROR(__xludf.DUMMYFUNCTION("IFERROR((FILTER(Data!K:K,Data!D:D=A845,Data!B:B=$B$1)),"""")"),"")</f>
        <v/>
      </c>
      <c r="G845" s="134" t="str">
        <f>IFERROR(__xludf.DUMMYFUNCTION("IFERROR((FILTER(Data!M:M,Data!D:D=A845,Data!B:B=$B$1)),"""")"),"")</f>
        <v/>
      </c>
      <c r="H845" s="134" t="str">
        <f>IFERROR(__xludf.DUMMYFUNCTION("IFERROR((FILTER(Data!G:G,Data!D:D=A845,Data!B:B=$B$1)*4)+(FILTER(Data!H:H,Data!D:D=A845,Data!B:B=$B$1)*2),"""")"),"")</f>
        <v/>
      </c>
      <c r="I845" s="15" t="str">
        <f>IFERROR(__xludf.DUMMYFUNCTION("IFERROR((FILTER(Data!K:K,Data!D:D=A845,Data!B:B=$B$1)*2)+(FILTER(Data!L:L,Data!D:D=A845,Data!B:B=$B$1)),"""")"),"")</f>
        <v/>
      </c>
      <c r="J845" s="134" t="str">
        <f>IFERROR(__xludf.DUMMYFUNCTION("IFERROR((FILTER(Data!N:N,Data!D:D=A845,Data!B:B=$B$1)),"""")"),"")</f>
        <v/>
      </c>
      <c r="K845" s="135" t="str">
        <f>IFERROR(__xludf.DUMMYFUNCTION("IFERROR((FILTER(Data!H:H,Data!D:D=A845,Data!B:B=$B$1)*2)+(FILTER(Data!L:L,Data!D:D=A845,Data!B:B=$B$1))+(FILTER(Data!G:G,Data!D:D=A845,Data!B:B=$B$1)*4)+(FILTER(Data!K:K,Data!D:D=A845,Data!B:B=$B$1)*2)+(((COUNTIF(FILTER(Data!N:N,Data!D:D=A845,Data!B:B=$B$"&amp;"1),""TRAVERSE"")*15)+(COUNTIF(FILTER(Data!N:N,Data!D:D=A845,Data!B:B=$B$1),""HIGH"")*10)+(COUNTIF(FILTER(Data!N:N,Data!D:D=A845,Data!B:B=$B$1),""MIDDLE"")*6)+(COUNTIF(FILTER(Data!N:N,Data!D:D=A845,Data!B:B=$B$1),""LOW"")*4))),"""")"),"")</f>
        <v/>
      </c>
      <c r="L845" s="136" t="str">
        <f>IFERROR(__xludf.DUMMYFUNCTION("IFERROR((FILTER(Data!P:P,Data!D:D=A845,Data!B:B=$B$1)),"""")"),"")</f>
        <v/>
      </c>
      <c r="M845" s="137" t="str">
        <f>IFERROR(__xludf.DUMMYFUNCTION("IFERROR((FILTER(Data!A:A,Data!D:D=A845,Data!B:B=$B$1)),"""")"),"")</f>
        <v/>
      </c>
      <c r="T845" s="52">
        <f>IFERROR(__xludf.DUMMYFUNCTION("((COUNTIF(FILTER(Data!N:N,Data!D:D=A845,Data!B:B=$B$1),""TRAVERSE"")*15)+(COUNTIF(FILTER(Data!N:N,Data!D:D=A845,Data!B:B=B$1),""HIGH"")*10)+(COUNTIF(FILTER(Data!N:N,Data!D:D=A845,Data!B:B=$B$1),""MIDDLE"")*6)+(COUNTIF(FILTER(Data!N:N,Data!D:D=A845,Data!B:"&amp;"B=$B$1),""LOW"")*4))"),0.0)</f>
        <v>0</v>
      </c>
      <c r="V845" s="138" t="str">
        <f>IF(Data!B837='Team Parser'!$B$1, Data!D837,"")</f>
        <v/>
      </c>
      <c r="W845" s="134" t="str">
        <f>IF(Data!$B837='Team Parser'!$B$1, Data!H837,"")</f>
        <v/>
      </c>
      <c r="X845" s="134" t="str">
        <f>IF(Data!$B837='Team Parser'!$B$1, Data!G837,"")</f>
        <v/>
      </c>
      <c r="Y845" s="134" t="str">
        <f>IF(Data!$B837='Team Parser'!$B$1, Data!L837,"")</f>
        <v/>
      </c>
      <c r="Z845" s="134" t="str">
        <f>IF(Data!$B837='Team Parser'!$B$1, Data!K837,"")</f>
        <v/>
      </c>
      <c r="AA845" s="134" t="str">
        <f>IF(Data!$B837='Team Parser'!$B$1, Data!M837,"")</f>
        <v/>
      </c>
      <c r="AB845" s="134" t="str">
        <f>IF(Data!$B837='Team Parser'!$B$1,((Z845*2)+(Y845)+(X845*4)+(W845*2)),"")</f>
        <v/>
      </c>
      <c r="AC845" s="134" t="str">
        <f>IF(Data!$B837='Team Parser'!$B$1, Data!N837,"")</f>
        <v/>
      </c>
      <c r="AD845" s="139" t="str">
        <f>IF(Data!$B837='Team Parser'!$B$1,(AB845+(COUNTIF(AC845,"TRAVERSE")*15)+(COUNTIF(AC845,"HIGH")*10)+(COUNTIF(AC845,"MIDDLE")*6)+(COUNTIF(AC845,"LOW")*4)),"")</f>
        <v/>
      </c>
    </row>
    <row r="846">
      <c r="A846" s="141" t="s">
        <v>507</v>
      </c>
      <c r="B846" s="134" t="str">
        <f>IFERROR(__xludf.DUMMYFUNCTION("IFERROR((FILTER(Data!H:H,Data!D:D=A846,Data!B:B=$B$1)),"""")"),"")</f>
        <v/>
      </c>
      <c r="C846" s="134" t="str">
        <f>IFERROR(__xludf.DUMMYFUNCTION("IFERROR((FILTER(Data!G:G,Data!D:D=A846,Data!B:B=$B$1)),"""")"),"")</f>
        <v/>
      </c>
      <c r="D846" s="134" t="str">
        <f>IFERROR(__xludf.DUMMYFUNCTION("IFERROR((FILTER(Data!J:J,Data!D:D=A846,Data!B:B=$B$1)),"""")"),"")</f>
        <v/>
      </c>
      <c r="E846" s="134" t="str">
        <f>IFERROR(__xludf.DUMMYFUNCTION("IFERROR((FILTER(Data!L:L,Data!D:D=A846,Data!B:B=$B$1)),"""")"),"")</f>
        <v/>
      </c>
      <c r="F846" s="134" t="str">
        <f>IFERROR(__xludf.DUMMYFUNCTION("IFERROR((FILTER(Data!K:K,Data!D:D=A846,Data!B:B=$B$1)),"""")"),"")</f>
        <v/>
      </c>
      <c r="G846" s="134" t="str">
        <f>IFERROR(__xludf.DUMMYFUNCTION("IFERROR((FILTER(Data!M:M,Data!D:D=A846,Data!B:B=$B$1)),"""")"),"")</f>
        <v/>
      </c>
      <c r="H846" s="134" t="str">
        <f>IFERROR(__xludf.DUMMYFUNCTION("IFERROR((FILTER(Data!G:G,Data!D:D=A846,Data!B:B=$B$1)*4)+(FILTER(Data!H:H,Data!D:D=A846,Data!B:B=$B$1)*2),"""")"),"")</f>
        <v/>
      </c>
      <c r="I846" s="15" t="str">
        <f>IFERROR(__xludf.DUMMYFUNCTION("IFERROR((FILTER(Data!K:K,Data!D:D=A846,Data!B:B=$B$1)*2)+(FILTER(Data!L:L,Data!D:D=A846,Data!B:B=$B$1)),"""")"),"")</f>
        <v/>
      </c>
      <c r="J846" s="134" t="str">
        <f>IFERROR(__xludf.DUMMYFUNCTION("IFERROR((FILTER(Data!N:N,Data!D:D=A846,Data!B:B=$B$1)),"""")"),"")</f>
        <v/>
      </c>
      <c r="K846" s="135" t="str">
        <f>IFERROR(__xludf.DUMMYFUNCTION("IFERROR((FILTER(Data!H:H,Data!D:D=A846,Data!B:B=$B$1)*2)+(FILTER(Data!L:L,Data!D:D=A846,Data!B:B=$B$1))+(FILTER(Data!G:G,Data!D:D=A846,Data!B:B=$B$1)*4)+(FILTER(Data!K:K,Data!D:D=A846,Data!B:B=$B$1)*2)+(((COUNTIF(FILTER(Data!N:N,Data!D:D=A846,Data!B:B=$B$"&amp;"1),""TRAVERSE"")*15)+(COUNTIF(FILTER(Data!N:N,Data!D:D=A846,Data!B:B=$B$1),""HIGH"")*10)+(COUNTIF(FILTER(Data!N:N,Data!D:D=A846,Data!B:B=$B$1),""MIDDLE"")*6)+(COUNTIF(FILTER(Data!N:N,Data!D:D=A846,Data!B:B=$B$1),""LOW"")*4))),"""")"),"")</f>
        <v/>
      </c>
      <c r="L846" s="136" t="str">
        <f>IFERROR(__xludf.DUMMYFUNCTION("IFERROR((FILTER(Data!P:P,Data!D:D=A846,Data!B:B=$B$1)),"""")"),"")</f>
        <v/>
      </c>
      <c r="M846" s="137" t="str">
        <f>IFERROR(__xludf.DUMMYFUNCTION("IFERROR((FILTER(Data!A:A,Data!D:D=A846,Data!B:B=$B$1)),"""")"),"")</f>
        <v/>
      </c>
      <c r="T846" s="52">
        <f>IFERROR(__xludf.DUMMYFUNCTION("((COUNTIF(FILTER(Data!N:N,Data!D:D=A846,Data!B:B=$B$1),""TRAVERSE"")*15)+(COUNTIF(FILTER(Data!N:N,Data!D:D=A846,Data!B:B=B$1),""HIGH"")*10)+(COUNTIF(FILTER(Data!N:N,Data!D:D=A846,Data!B:B=$B$1),""MIDDLE"")*6)+(COUNTIF(FILTER(Data!N:N,Data!D:D=A846,Data!B:"&amp;"B=$B$1),""LOW"")*4))"),0.0)</f>
        <v>0</v>
      </c>
      <c r="V846" s="138" t="str">
        <f>IF(Data!B838='Team Parser'!$B$1, Data!D838,"")</f>
        <v/>
      </c>
      <c r="W846" s="134" t="str">
        <f>IF(Data!$B838='Team Parser'!$B$1, Data!H838,"")</f>
        <v/>
      </c>
      <c r="X846" s="134" t="str">
        <f>IF(Data!$B838='Team Parser'!$B$1, Data!G838,"")</f>
        <v/>
      </c>
      <c r="Y846" s="134" t="str">
        <f>IF(Data!$B838='Team Parser'!$B$1, Data!L838,"")</f>
        <v/>
      </c>
      <c r="Z846" s="134" t="str">
        <f>IF(Data!$B838='Team Parser'!$B$1, Data!K838,"")</f>
        <v/>
      </c>
      <c r="AA846" s="134" t="str">
        <f>IF(Data!$B838='Team Parser'!$B$1, Data!M838,"")</f>
        <v/>
      </c>
      <c r="AB846" s="134" t="str">
        <f>IF(Data!$B838='Team Parser'!$B$1,((Z846*2)+(Y846)+(X846*4)+(W846*2)),"")</f>
        <v/>
      </c>
      <c r="AC846" s="134" t="str">
        <f>IF(Data!$B838='Team Parser'!$B$1, Data!N838,"")</f>
        <v/>
      </c>
      <c r="AD846" s="139" t="str">
        <f>IF(Data!$B838='Team Parser'!$B$1,(AB846+(COUNTIF(AC846,"TRAVERSE")*15)+(COUNTIF(AC846,"HIGH")*10)+(COUNTIF(AC846,"MIDDLE")*6)+(COUNTIF(AC846,"LOW")*4)),"")</f>
        <v/>
      </c>
    </row>
    <row r="847">
      <c r="A847" s="141" t="s">
        <v>507</v>
      </c>
      <c r="B847" s="134" t="str">
        <f>IFERROR(__xludf.DUMMYFUNCTION("IFERROR((FILTER(Data!H:H,Data!D:D=A847,Data!B:B=$B$1)),"""")"),"")</f>
        <v/>
      </c>
      <c r="C847" s="134" t="str">
        <f>IFERROR(__xludf.DUMMYFUNCTION("IFERROR((FILTER(Data!G:G,Data!D:D=A847,Data!B:B=$B$1)),"""")"),"")</f>
        <v/>
      </c>
      <c r="D847" s="134" t="str">
        <f>IFERROR(__xludf.DUMMYFUNCTION("IFERROR((FILTER(Data!J:J,Data!D:D=A847,Data!B:B=$B$1)),"""")"),"")</f>
        <v/>
      </c>
      <c r="E847" s="134" t="str">
        <f>IFERROR(__xludf.DUMMYFUNCTION("IFERROR((FILTER(Data!L:L,Data!D:D=A847,Data!B:B=$B$1)),"""")"),"")</f>
        <v/>
      </c>
      <c r="F847" s="134" t="str">
        <f>IFERROR(__xludf.DUMMYFUNCTION("IFERROR((FILTER(Data!K:K,Data!D:D=A847,Data!B:B=$B$1)),"""")"),"")</f>
        <v/>
      </c>
      <c r="G847" s="134" t="str">
        <f>IFERROR(__xludf.DUMMYFUNCTION("IFERROR((FILTER(Data!M:M,Data!D:D=A847,Data!B:B=$B$1)),"""")"),"")</f>
        <v/>
      </c>
      <c r="H847" s="134" t="str">
        <f>IFERROR(__xludf.DUMMYFUNCTION("IFERROR((FILTER(Data!G:G,Data!D:D=A847,Data!B:B=$B$1)*4)+(FILTER(Data!H:H,Data!D:D=A847,Data!B:B=$B$1)*2),"""")"),"")</f>
        <v/>
      </c>
      <c r="I847" s="15" t="str">
        <f>IFERROR(__xludf.DUMMYFUNCTION("IFERROR((FILTER(Data!K:K,Data!D:D=A847,Data!B:B=$B$1)*2)+(FILTER(Data!L:L,Data!D:D=A847,Data!B:B=$B$1)),"""")"),"")</f>
        <v/>
      </c>
      <c r="J847" s="134" t="str">
        <f>IFERROR(__xludf.DUMMYFUNCTION("IFERROR((FILTER(Data!N:N,Data!D:D=A847,Data!B:B=$B$1)),"""")"),"")</f>
        <v/>
      </c>
      <c r="K847" s="135" t="str">
        <f>IFERROR(__xludf.DUMMYFUNCTION("IFERROR((FILTER(Data!H:H,Data!D:D=A847,Data!B:B=$B$1)*2)+(FILTER(Data!L:L,Data!D:D=A847,Data!B:B=$B$1))+(FILTER(Data!G:G,Data!D:D=A847,Data!B:B=$B$1)*4)+(FILTER(Data!K:K,Data!D:D=A847,Data!B:B=$B$1)*2)+(((COUNTIF(FILTER(Data!N:N,Data!D:D=A847,Data!B:B=$B$"&amp;"1),""TRAVERSE"")*15)+(COUNTIF(FILTER(Data!N:N,Data!D:D=A847,Data!B:B=$B$1),""HIGH"")*10)+(COUNTIF(FILTER(Data!N:N,Data!D:D=A847,Data!B:B=$B$1),""MIDDLE"")*6)+(COUNTIF(FILTER(Data!N:N,Data!D:D=A847,Data!B:B=$B$1),""LOW"")*4))),"""")"),"")</f>
        <v/>
      </c>
      <c r="L847" s="136" t="str">
        <f>IFERROR(__xludf.DUMMYFUNCTION("IFERROR((FILTER(Data!P:P,Data!D:D=A847,Data!B:B=$B$1)),"""")"),"")</f>
        <v/>
      </c>
      <c r="M847" s="137" t="str">
        <f>IFERROR(__xludf.DUMMYFUNCTION("IFERROR((FILTER(Data!A:A,Data!D:D=A847,Data!B:B=$B$1)),"""")"),"")</f>
        <v/>
      </c>
      <c r="T847" s="52">
        <f>IFERROR(__xludf.DUMMYFUNCTION("((COUNTIF(FILTER(Data!N:N,Data!D:D=A847,Data!B:B=$B$1),""TRAVERSE"")*15)+(COUNTIF(FILTER(Data!N:N,Data!D:D=A847,Data!B:B=B$1),""HIGH"")*10)+(COUNTIF(FILTER(Data!N:N,Data!D:D=A847,Data!B:B=$B$1),""MIDDLE"")*6)+(COUNTIF(FILTER(Data!N:N,Data!D:D=A847,Data!B:"&amp;"B=$B$1),""LOW"")*4))"),0.0)</f>
        <v>0</v>
      </c>
      <c r="V847" s="138" t="str">
        <f>IF(Data!B839='Team Parser'!$B$1, Data!D839,"")</f>
        <v/>
      </c>
      <c r="W847" s="134" t="str">
        <f>IF(Data!$B839='Team Parser'!$B$1, Data!H839,"")</f>
        <v/>
      </c>
      <c r="X847" s="134" t="str">
        <f>IF(Data!$B839='Team Parser'!$B$1, Data!G839,"")</f>
        <v/>
      </c>
      <c r="Y847" s="134" t="str">
        <f>IF(Data!$B839='Team Parser'!$B$1, Data!L839,"")</f>
        <v/>
      </c>
      <c r="Z847" s="134" t="str">
        <f>IF(Data!$B839='Team Parser'!$B$1, Data!K839,"")</f>
        <v/>
      </c>
      <c r="AA847" s="134" t="str">
        <f>IF(Data!$B839='Team Parser'!$B$1, Data!M839,"")</f>
        <v/>
      </c>
      <c r="AB847" s="134" t="str">
        <f>IF(Data!$B839='Team Parser'!$B$1,((Z847*2)+(Y847)+(X847*4)+(W847*2)),"")</f>
        <v/>
      </c>
      <c r="AC847" s="134" t="str">
        <f>IF(Data!$B839='Team Parser'!$B$1, Data!N839,"")</f>
        <v/>
      </c>
      <c r="AD847" s="139" t="str">
        <f>IF(Data!$B839='Team Parser'!$B$1,(AB847+(COUNTIF(AC847,"TRAVERSE")*15)+(COUNTIF(AC847,"HIGH")*10)+(COUNTIF(AC847,"MIDDLE")*6)+(COUNTIF(AC847,"LOW")*4)),"")</f>
        <v/>
      </c>
    </row>
    <row r="848">
      <c r="A848" s="141" t="s">
        <v>507</v>
      </c>
      <c r="B848" s="134"/>
      <c r="C848" s="134"/>
      <c r="D848" s="134"/>
      <c r="E848" s="134"/>
      <c r="F848" s="134"/>
      <c r="G848" s="134"/>
      <c r="H848" s="134"/>
      <c r="J848" s="134"/>
      <c r="K848" s="135"/>
      <c r="L848" s="136"/>
      <c r="M848" s="137" t="str">
        <f>IFERROR(__xludf.DUMMYFUNCTION("IFERROR((FILTER(Data!A:A,Data!D:D=A848,Data!B:B=$B$1)),"""")"),"")</f>
        <v/>
      </c>
      <c r="T848" s="52">
        <f>IFERROR(__xludf.DUMMYFUNCTION("((COUNTIF(FILTER(Data!N:N,Data!D:D=A848,Data!B:B=$B$1),""TRAVERSE"")*15)+(COUNTIF(FILTER(Data!N:N,Data!D:D=A848,Data!B:B=B$1),""HIGH"")*10)+(COUNTIF(FILTER(Data!N:N,Data!D:D=A848,Data!B:B=$B$1),""MIDDLE"")*6)+(COUNTIF(FILTER(Data!N:N,Data!D:D=A848,Data!B:"&amp;"B=$B$1),""LOW"")*4))"),0.0)</f>
        <v>0</v>
      </c>
      <c r="V848" s="138" t="str">
        <f>IF(Data!B840='Team Parser'!$B$1, Data!D840,"")</f>
        <v/>
      </c>
      <c r="W848" s="134" t="str">
        <f>IF(Data!$B840='Team Parser'!$B$1, Data!H840,"")</f>
        <v/>
      </c>
      <c r="X848" s="134" t="str">
        <f>IF(Data!$B840='Team Parser'!$B$1, Data!G840,"")</f>
        <v/>
      </c>
      <c r="Y848" s="134" t="str">
        <f>IF(Data!$B840='Team Parser'!$B$1, Data!L840,"")</f>
        <v/>
      </c>
      <c r="Z848" s="134" t="str">
        <f>IF(Data!$B840='Team Parser'!$B$1, Data!K840,"")</f>
        <v/>
      </c>
      <c r="AA848" s="134" t="str">
        <f>IF(Data!$B840='Team Parser'!$B$1, Data!M840,"")</f>
        <v/>
      </c>
      <c r="AB848" s="134" t="str">
        <f>IF(Data!$B840='Team Parser'!$B$1,((Z848*2)+(Y848)+(X848*4)+(W848*2)),"")</f>
        <v/>
      </c>
      <c r="AC848" s="134" t="str">
        <f>IF(Data!$B840='Team Parser'!$B$1, Data!N840,"")</f>
        <v/>
      </c>
      <c r="AD848" s="139" t="str">
        <f>IF(Data!$B840='Team Parser'!$B$1,(AB848+(COUNTIF(AC848,"TRAVERSE")*15)+(COUNTIF(AC848,"HIGH")*10)+(COUNTIF(AC848,"MIDDLE")*6)+(COUNTIF(AC848,"LOW")*4)),"")</f>
        <v/>
      </c>
    </row>
    <row r="849">
      <c r="A849" s="141" t="s">
        <v>507</v>
      </c>
      <c r="B849" s="134"/>
      <c r="C849" s="134"/>
      <c r="D849" s="134"/>
      <c r="E849" s="134"/>
      <c r="F849" s="134"/>
      <c r="G849" s="134"/>
      <c r="H849" s="134"/>
      <c r="J849" s="134"/>
      <c r="K849" s="135"/>
      <c r="L849" s="136"/>
      <c r="M849" s="137" t="str">
        <f>IFERROR(__xludf.DUMMYFUNCTION("IFERROR((FILTER(Data!A:A,Data!D:D=A849,Data!B:B=$B$1)),"""")"),"")</f>
        <v/>
      </c>
      <c r="T849" s="52">
        <f>IFERROR(__xludf.DUMMYFUNCTION("((COUNTIF(FILTER(Data!N:N,Data!D:D=A849,Data!B:B=$B$1),""TRAVERSE"")*15)+(COUNTIF(FILTER(Data!N:N,Data!D:D=A849,Data!B:B=B$1),""HIGH"")*10)+(COUNTIF(FILTER(Data!N:N,Data!D:D=A849,Data!B:B=$B$1),""MIDDLE"")*6)+(COUNTIF(FILTER(Data!N:N,Data!D:D=A849,Data!B:"&amp;"B=$B$1),""LOW"")*4))"),0.0)</f>
        <v>0</v>
      </c>
      <c r="V849" s="138" t="str">
        <f>IF(Data!B841='Team Parser'!$B$1, Data!D841,"")</f>
        <v/>
      </c>
      <c r="W849" s="134" t="str">
        <f>IF(Data!$B841='Team Parser'!$B$1, Data!H841,"")</f>
        <v/>
      </c>
      <c r="X849" s="134" t="str">
        <f>IF(Data!$B841='Team Parser'!$B$1, Data!G841,"")</f>
        <v/>
      </c>
      <c r="Y849" s="134" t="str">
        <f>IF(Data!$B841='Team Parser'!$B$1, Data!L841,"")</f>
        <v/>
      </c>
      <c r="Z849" s="134" t="str">
        <f>IF(Data!$B841='Team Parser'!$B$1, Data!K841,"")</f>
        <v/>
      </c>
      <c r="AA849" s="134" t="str">
        <f>IF(Data!$B841='Team Parser'!$B$1, Data!M841,"")</f>
        <v/>
      </c>
      <c r="AB849" s="134" t="str">
        <f>IF(Data!$B841='Team Parser'!$B$1,((Z849*2)+(Y849)+(X849*4)+(W849*2)),"")</f>
        <v/>
      </c>
      <c r="AC849" s="134" t="str">
        <f>IF(Data!$B841='Team Parser'!$B$1, Data!N841,"")</f>
        <v/>
      </c>
      <c r="AD849" s="139" t="str">
        <f>IF(Data!$B841='Team Parser'!$B$1,(AB849+(COUNTIF(AC849,"TRAVERSE")*15)+(COUNTIF(AC849,"HIGH")*10)+(COUNTIF(AC849,"MIDDLE")*6)+(COUNTIF(AC849,"LOW")*4)),"")</f>
        <v/>
      </c>
    </row>
    <row r="850">
      <c r="A850" s="141" t="s">
        <v>507</v>
      </c>
      <c r="B850" s="134"/>
      <c r="C850" s="134"/>
      <c r="D850" s="134"/>
      <c r="E850" s="134"/>
      <c r="F850" s="134"/>
      <c r="G850" s="134"/>
      <c r="H850" s="134"/>
      <c r="J850" s="134"/>
      <c r="K850" s="135"/>
      <c r="L850" s="136"/>
      <c r="M850" s="137" t="str">
        <f>IFERROR(__xludf.DUMMYFUNCTION("IFERROR((FILTER(Data!A:A,Data!D:D=A850,Data!B:B=$B$1)),"""")"),"")</f>
        <v/>
      </c>
      <c r="T850" s="52">
        <f>IFERROR(__xludf.DUMMYFUNCTION("((COUNTIF(FILTER(Data!N:N,Data!D:D=A850,Data!B:B=$B$1),""TRAVERSE"")*15)+(COUNTIF(FILTER(Data!N:N,Data!D:D=A850,Data!B:B=B$1),""HIGH"")*10)+(COUNTIF(FILTER(Data!N:N,Data!D:D=A850,Data!B:B=$B$1),""MIDDLE"")*6)+(COUNTIF(FILTER(Data!N:N,Data!D:D=A850,Data!B:"&amp;"B=$B$1),""LOW"")*4))"),0.0)</f>
        <v>0</v>
      </c>
      <c r="V850" s="138" t="str">
        <f>IF(Data!B842='Team Parser'!$B$1, Data!D842,"")</f>
        <v/>
      </c>
      <c r="W850" s="134" t="str">
        <f>IF(Data!$B842='Team Parser'!$B$1, Data!H842,"")</f>
        <v/>
      </c>
      <c r="X850" s="134" t="str">
        <f>IF(Data!$B842='Team Parser'!$B$1, Data!G842,"")</f>
        <v/>
      </c>
      <c r="Y850" s="134" t="str">
        <f>IF(Data!$B842='Team Parser'!$B$1, Data!L842,"")</f>
        <v/>
      </c>
      <c r="Z850" s="134" t="str">
        <f>IF(Data!$B842='Team Parser'!$B$1, Data!K842,"")</f>
        <v/>
      </c>
      <c r="AA850" s="134" t="str">
        <f>IF(Data!$B842='Team Parser'!$B$1, Data!M842,"")</f>
        <v/>
      </c>
      <c r="AB850" s="134" t="str">
        <f>IF(Data!$B842='Team Parser'!$B$1,((Z850*2)+(Y850)+(X850*4)+(W850*2)),"")</f>
        <v/>
      </c>
      <c r="AC850" s="134" t="str">
        <f>IF(Data!$B842='Team Parser'!$B$1, Data!N842,"")</f>
        <v/>
      </c>
      <c r="AD850" s="139" t="str">
        <f>IF(Data!$B842='Team Parser'!$B$1,(AB850+(COUNTIF(AC850,"TRAVERSE")*15)+(COUNTIF(AC850,"HIGH")*10)+(COUNTIF(AC850,"MIDDLE")*6)+(COUNTIF(AC850,"LOW")*4)),"")</f>
        <v/>
      </c>
    </row>
    <row r="851">
      <c r="A851" s="141" t="s">
        <v>507</v>
      </c>
      <c r="B851" s="134"/>
      <c r="C851" s="134"/>
      <c r="D851" s="134"/>
      <c r="E851" s="134"/>
      <c r="F851" s="134"/>
      <c r="G851" s="134"/>
      <c r="H851" s="134"/>
      <c r="J851" s="134"/>
      <c r="K851" s="135"/>
      <c r="L851" s="136"/>
      <c r="M851" s="137" t="str">
        <f>IFERROR(__xludf.DUMMYFUNCTION("IFERROR((FILTER(Data!A:A,Data!D:D=A851,Data!B:B=$B$1)),"""")"),"")</f>
        <v/>
      </c>
      <c r="T851" s="52">
        <f>IFERROR(__xludf.DUMMYFUNCTION("((COUNTIF(FILTER(Data!N:N,Data!D:D=A851,Data!B:B=$B$1),""TRAVERSE"")*15)+(COUNTIF(FILTER(Data!N:N,Data!D:D=A851,Data!B:B=B$1),""HIGH"")*10)+(COUNTIF(FILTER(Data!N:N,Data!D:D=A851,Data!B:B=$B$1),""MIDDLE"")*6)+(COUNTIF(FILTER(Data!N:N,Data!D:D=A851,Data!B:"&amp;"B=$B$1),""LOW"")*4))"),0.0)</f>
        <v>0</v>
      </c>
      <c r="V851" s="138" t="str">
        <f>IF(Data!B843='Team Parser'!$B$1, Data!D843,"")</f>
        <v/>
      </c>
      <c r="W851" s="134" t="str">
        <f>IF(Data!$B843='Team Parser'!$B$1, Data!H843,"")</f>
        <v/>
      </c>
      <c r="X851" s="134" t="str">
        <f>IF(Data!$B843='Team Parser'!$B$1, Data!G843,"")</f>
        <v/>
      </c>
      <c r="Y851" s="134" t="str">
        <f>IF(Data!$B843='Team Parser'!$B$1, Data!L843,"")</f>
        <v/>
      </c>
      <c r="Z851" s="134" t="str">
        <f>IF(Data!$B843='Team Parser'!$B$1, Data!K843,"")</f>
        <v/>
      </c>
      <c r="AA851" s="134" t="str">
        <f>IF(Data!$B843='Team Parser'!$B$1, Data!M843,"")</f>
        <v/>
      </c>
      <c r="AB851" s="134" t="str">
        <f>IF(Data!$B843='Team Parser'!$B$1,((Z851*2)+(Y851)+(X851*4)+(W851*2)),"")</f>
        <v/>
      </c>
      <c r="AC851" s="134" t="str">
        <f>IF(Data!$B843='Team Parser'!$B$1, Data!N843,"")</f>
        <v/>
      </c>
      <c r="AD851" s="139" t="str">
        <f>IF(Data!$B843='Team Parser'!$B$1,(AB851+(COUNTIF(AC851,"TRAVERSE")*15)+(COUNTIF(AC851,"HIGH")*10)+(COUNTIF(AC851,"MIDDLE")*6)+(COUNTIF(AC851,"LOW")*4)),"")</f>
        <v/>
      </c>
    </row>
    <row r="852">
      <c r="A852" s="141" t="s">
        <v>507</v>
      </c>
      <c r="B852" s="134"/>
      <c r="C852" s="134"/>
      <c r="D852" s="134"/>
      <c r="E852" s="134"/>
      <c r="F852" s="134"/>
      <c r="G852" s="134"/>
      <c r="H852" s="134"/>
      <c r="J852" s="134"/>
      <c r="K852" s="135"/>
      <c r="L852" s="136"/>
      <c r="M852" s="137" t="str">
        <f>IFERROR(__xludf.DUMMYFUNCTION("IFERROR((FILTER(Data!A:A,Data!D:D=A852,Data!B:B=$B$1)),"""")"),"")</f>
        <v/>
      </c>
      <c r="T852" s="52">
        <f>IFERROR(__xludf.DUMMYFUNCTION("((COUNTIF(FILTER(Data!N:N,Data!D:D=A852,Data!B:B=$B$1),""TRAVERSE"")*15)+(COUNTIF(FILTER(Data!N:N,Data!D:D=A852,Data!B:B=B$1),""HIGH"")*10)+(COUNTIF(FILTER(Data!N:N,Data!D:D=A852,Data!B:B=$B$1),""MIDDLE"")*6)+(COUNTIF(FILTER(Data!N:N,Data!D:D=A852,Data!B:"&amp;"B=$B$1),""LOW"")*4))"),0.0)</f>
        <v>0</v>
      </c>
      <c r="V852" s="138" t="str">
        <f>IF(Data!B844='Team Parser'!$B$1, Data!D844,"")</f>
        <v/>
      </c>
      <c r="W852" s="134" t="str">
        <f>IF(Data!$B844='Team Parser'!$B$1, Data!H844,"")</f>
        <v/>
      </c>
      <c r="X852" s="134" t="str">
        <f>IF(Data!$B844='Team Parser'!$B$1, Data!G844,"")</f>
        <v/>
      </c>
      <c r="Y852" s="134" t="str">
        <f>IF(Data!$B844='Team Parser'!$B$1, Data!L844,"")</f>
        <v/>
      </c>
      <c r="Z852" s="134" t="str">
        <f>IF(Data!$B844='Team Parser'!$B$1, Data!K844,"")</f>
        <v/>
      </c>
      <c r="AA852" s="134" t="str">
        <f>IF(Data!$B844='Team Parser'!$B$1, Data!M844,"")</f>
        <v/>
      </c>
      <c r="AB852" s="134" t="str">
        <f>IF(Data!$B844='Team Parser'!$B$1,((Z852*2)+(Y852)+(X852*4)+(W852*2)),"")</f>
        <v/>
      </c>
      <c r="AC852" s="134" t="str">
        <f>IF(Data!$B844='Team Parser'!$B$1, Data!N844,"")</f>
        <v/>
      </c>
      <c r="AD852" s="139" t="str">
        <f>IF(Data!$B844='Team Parser'!$B$1,(AB852+(COUNTIF(AC852,"TRAVERSE")*15)+(COUNTIF(AC852,"HIGH")*10)+(COUNTIF(AC852,"MIDDLE")*6)+(COUNTIF(AC852,"LOW")*4)),"")</f>
        <v/>
      </c>
    </row>
    <row r="853">
      <c r="A853" s="141" t="s">
        <v>507</v>
      </c>
      <c r="B853" s="134"/>
      <c r="C853" s="134"/>
      <c r="D853" s="134"/>
      <c r="E853" s="134"/>
      <c r="F853" s="134"/>
      <c r="G853" s="134"/>
      <c r="H853" s="134"/>
      <c r="J853" s="134"/>
      <c r="K853" s="135"/>
      <c r="L853" s="136"/>
      <c r="M853" s="137" t="str">
        <f>IFERROR(__xludf.DUMMYFUNCTION("IFERROR((FILTER(Data!A:A,Data!D:D=A853,Data!B:B=$B$1)),"""")"),"")</f>
        <v/>
      </c>
      <c r="T853" s="52">
        <f>IFERROR(__xludf.DUMMYFUNCTION("((COUNTIF(FILTER(Data!N:N,Data!D:D=A853,Data!B:B=$B$1),""TRAVERSE"")*15)+(COUNTIF(FILTER(Data!N:N,Data!D:D=A853,Data!B:B=B$1),""HIGH"")*10)+(COUNTIF(FILTER(Data!N:N,Data!D:D=A853,Data!B:B=$B$1),""MIDDLE"")*6)+(COUNTIF(FILTER(Data!N:N,Data!D:D=A853,Data!B:"&amp;"B=$B$1),""LOW"")*4))"),0.0)</f>
        <v>0</v>
      </c>
      <c r="V853" s="138" t="str">
        <f>IF(Data!B845='Team Parser'!$B$1, Data!D845,"")</f>
        <v/>
      </c>
      <c r="W853" s="134" t="str">
        <f>IF(Data!$B845='Team Parser'!$B$1, Data!H845,"")</f>
        <v/>
      </c>
      <c r="X853" s="134" t="str">
        <f>IF(Data!$B845='Team Parser'!$B$1, Data!G845,"")</f>
        <v/>
      </c>
      <c r="Y853" s="134" t="str">
        <f>IF(Data!$B845='Team Parser'!$B$1, Data!L845,"")</f>
        <v/>
      </c>
      <c r="Z853" s="134" t="str">
        <f>IF(Data!$B845='Team Parser'!$B$1, Data!K845,"")</f>
        <v/>
      </c>
      <c r="AA853" s="134" t="str">
        <f>IF(Data!$B845='Team Parser'!$B$1, Data!M845,"")</f>
        <v/>
      </c>
      <c r="AB853" s="134" t="str">
        <f>IF(Data!$B845='Team Parser'!$B$1,((Z853*2)+(Y853)+(X853*4)+(W853*2)),"")</f>
        <v/>
      </c>
      <c r="AC853" s="134" t="str">
        <f>IF(Data!$B845='Team Parser'!$B$1, Data!N845,"")</f>
        <v/>
      </c>
      <c r="AD853" s="139" t="str">
        <f>IF(Data!$B845='Team Parser'!$B$1,(AB853+(COUNTIF(AC853,"TRAVERSE")*15)+(COUNTIF(AC853,"HIGH")*10)+(COUNTIF(AC853,"MIDDLE")*6)+(COUNTIF(AC853,"LOW")*4)),"")</f>
        <v/>
      </c>
    </row>
    <row r="854">
      <c r="A854" s="141" t="s">
        <v>507</v>
      </c>
      <c r="B854" s="134"/>
      <c r="C854" s="134"/>
      <c r="D854" s="134"/>
      <c r="E854" s="134"/>
      <c r="F854" s="134"/>
      <c r="G854" s="134"/>
      <c r="H854" s="134"/>
      <c r="J854" s="134"/>
      <c r="K854" s="135"/>
      <c r="L854" s="136"/>
      <c r="M854" s="137" t="str">
        <f>IFERROR(__xludf.DUMMYFUNCTION("IFERROR((FILTER(Data!A:A,Data!D:D=A854,Data!B:B=$B$1)),"""")"),"")</f>
        <v/>
      </c>
      <c r="T854" s="52">
        <f>IFERROR(__xludf.DUMMYFUNCTION("((COUNTIF(FILTER(Data!N:N,Data!D:D=A854,Data!B:B=$B$1),""TRAVERSE"")*15)+(COUNTIF(FILTER(Data!N:N,Data!D:D=A854,Data!B:B=B$1),""HIGH"")*10)+(COUNTIF(FILTER(Data!N:N,Data!D:D=A854,Data!B:B=$B$1),""MIDDLE"")*6)+(COUNTIF(FILTER(Data!N:N,Data!D:D=A854,Data!B:"&amp;"B=$B$1),""LOW"")*4))"),0.0)</f>
        <v>0</v>
      </c>
      <c r="V854" s="138" t="str">
        <f>IF(Data!B846='Team Parser'!$B$1, Data!D846,"")</f>
        <v/>
      </c>
      <c r="W854" s="134" t="str">
        <f>IF(Data!$B846='Team Parser'!$B$1, Data!H846,"")</f>
        <v/>
      </c>
      <c r="X854" s="134" t="str">
        <f>IF(Data!$B846='Team Parser'!$B$1, Data!G846,"")</f>
        <v/>
      </c>
      <c r="Y854" s="134" t="str">
        <f>IF(Data!$B846='Team Parser'!$B$1, Data!L846,"")</f>
        <v/>
      </c>
      <c r="Z854" s="134" t="str">
        <f>IF(Data!$B846='Team Parser'!$B$1, Data!K846,"")</f>
        <v/>
      </c>
      <c r="AA854" s="134" t="str">
        <f>IF(Data!$B846='Team Parser'!$B$1, Data!M846,"")</f>
        <v/>
      </c>
      <c r="AB854" s="134" t="str">
        <f>IF(Data!$B846='Team Parser'!$B$1,((Z854*2)+(Y854)+(X854*4)+(W854*2)),"")</f>
        <v/>
      </c>
      <c r="AC854" s="134" t="str">
        <f>IF(Data!$B846='Team Parser'!$B$1, Data!N846,"")</f>
        <v/>
      </c>
      <c r="AD854" s="139" t="str">
        <f>IF(Data!$B846='Team Parser'!$B$1,(AB854+(COUNTIF(AC854,"TRAVERSE")*15)+(COUNTIF(AC854,"HIGH")*10)+(COUNTIF(AC854,"MIDDLE")*6)+(COUNTIF(AC854,"LOW")*4)),"")</f>
        <v/>
      </c>
    </row>
    <row r="855">
      <c r="A855" s="141" t="s">
        <v>507</v>
      </c>
      <c r="B855" s="134"/>
      <c r="C855" s="134"/>
      <c r="D855" s="134"/>
      <c r="E855" s="134"/>
      <c r="F855" s="134"/>
      <c r="G855" s="134"/>
      <c r="H855" s="134"/>
      <c r="J855" s="134"/>
      <c r="K855" s="135"/>
      <c r="L855" s="136"/>
      <c r="M855" s="137" t="str">
        <f>IFERROR(__xludf.DUMMYFUNCTION("IFERROR((FILTER(Data!A:A,Data!D:D=A855,Data!B:B=$B$1)),"""")"),"")</f>
        <v/>
      </c>
      <c r="T855" s="52">
        <f>IFERROR(__xludf.DUMMYFUNCTION("((COUNTIF(FILTER(Data!N:N,Data!D:D=A855,Data!B:B=$B$1),""TRAVERSE"")*15)+(COUNTIF(FILTER(Data!N:N,Data!D:D=A855,Data!B:B=B$1),""HIGH"")*10)+(COUNTIF(FILTER(Data!N:N,Data!D:D=A855,Data!B:B=$B$1),""MIDDLE"")*6)+(COUNTIF(FILTER(Data!N:N,Data!D:D=A855,Data!B:"&amp;"B=$B$1),""LOW"")*4))"),0.0)</f>
        <v>0</v>
      </c>
      <c r="V855" s="138" t="str">
        <f>IF(Data!B847='Team Parser'!$B$1, Data!D847,"")</f>
        <v/>
      </c>
      <c r="W855" s="134" t="str">
        <f>IF(Data!$B847='Team Parser'!$B$1, Data!H847,"")</f>
        <v/>
      </c>
      <c r="X855" s="134" t="str">
        <f>IF(Data!$B847='Team Parser'!$B$1, Data!G847,"")</f>
        <v/>
      </c>
      <c r="Y855" s="134" t="str">
        <f>IF(Data!$B847='Team Parser'!$B$1, Data!L847,"")</f>
        <v/>
      </c>
      <c r="Z855" s="134" t="str">
        <f>IF(Data!$B847='Team Parser'!$B$1, Data!K847,"")</f>
        <v/>
      </c>
      <c r="AA855" s="134" t="str">
        <f>IF(Data!$B847='Team Parser'!$B$1, Data!M847,"")</f>
        <v/>
      </c>
      <c r="AB855" s="134" t="str">
        <f>IF(Data!$B847='Team Parser'!$B$1,((Z855*2)+(Y855)+(X855*4)+(W855*2)),"")</f>
        <v/>
      </c>
      <c r="AC855" s="134" t="str">
        <f>IF(Data!$B847='Team Parser'!$B$1, Data!N847,"")</f>
        <v/>
      </c>
      <c r="AD855" s="139" t="str">
        <f>IF(Data!$B847='Team Parser'!$B$1,(AB855+(COUNTIF(AC855,"TRAVERSE")*15)+(COUNTIF(AC855,"HIGH")*10)+(COUNTIF(AC855,"MIDDLE")*6)+(COUNTIF(AC855,"LOW")*4)),"")</f>
        <v/>
      </c>
    </row>
    <row r="856">
      <c r="A856" s="141" t="s">
        <v>507</v>
      </c>
      <c r="B856" s="134"/>
      <c r="C856" s="134"/>
      <c r="D856" s="134"/>
      <c r="E856" s="134"/>
      <c r="F856" s="134"/>
      <c r="G856" s="134"/>
      <c r="H856" s="134"/>
      <c r="J856" s="134"/>
      <c r="K856" s="135"/>
      <c r="L856" s="136"/>
      <c r="M856" s="137" t="str">
        <f>IFERROR(__xludf.DUMMYFUNCTION("IFERROR((FILTER(Data!A:A,Data!D:D=A856,Data!B:B=$B$1)),"""")"),"")</f>
        <v/>
      </c>
      <c r="T856" s="52">
        <f>IFERROR(__xludf.DUMMYFUNCTION("((COUNTIF(FILTER(Data!N:N,Data!D:D=A856,Data!B:B=$B$1),""TRAVERSE"")*15)+(COUNTIF(FILTER(Data!N:N,Data!D:D=A856,Data!B:B=B$1),""HIGH"")*10)+(COUNTIF(FILTER(Data!N:N,Data!D:D=A856,Data!B:B=$B$1),""MIDDLE"")*6)+(COUNTIF(FILTER(Data!N:N,Data!D:D=A856,Data!B:"&amp;"B=$B$1),""LOW"")*4))"),0.0)</f>
        <v>0</v>
      </c>
      <c r="V856" s="138" t="str">
        <f>IF(Data!B848='Team Parser'!$B$1, Data!D848,"")</f>
        <v/>
      </c>
      <c r="W856" s="134" t="str">
        <f>IF(Data!$B848='Team Parser'!$B$1, Data!H848,"")</f>
        <v/>
      </c>
      <c r="X856" s="134" t="str">
        <f>IF(Data!$B848='Team Parser'!$B$1, Data!G848,"")</f>
        <v/>
      </c>
      <c r="Y856" s="134" t="str">
        <f>IF(Data!$B848='Team Parser'!$B$1, Data!L848,"")</f>
        <v/>
      </c>
      <c r="Z856" s="134" t="str">
        <f>IF(Data!$B848='Team Parser'!$B$1, Data!K848,"")</f>
        <v/>
      </c>
      <c r="AA856" s="134" t="str">
        <f>IF(Data!$B848='Team Parser'!$B$1, Data!M848,"")</f>
        <v/>
      </c>
      <c r="AB856" s="134" t="str">
        <f>IF(Data!$B848='Team Parser'!$B$1,((Z856*2)+(Y856)+(X856*4)+(W856*2)),"")</f>
        <v/>
      </c>
      <c r="AC856" s="134" t="str">
        <f>IF(Data!$B848='Team Parser'!$B$1, Data!N848,"")</f>
        <v/>
      </c>
      <c r="AD856" s="139" t="str">
        <f>IF(Data!$B848='Team Parser'!$B$1,(AB856+(COUNTIF(AC856,"TRAVERSE")*15)+(COUNTIF(AC856,"HIGH")*10)+(COUNTIF(AC856,"MIDDLE")*6)+(COUNTIF(AC856,"LOW")*4)),"")</f>
        <v/>
      </c>
    </row>
    <row r="857">
      <c r="A857" s="141" t="s">
        <v>507</v>
      </c>
      <c r="B857" s="134"/>
      <c r="C857" s="134"/>
      <c r="D857" s="134"/>
      <c r="E857" s="134"/>
      <c r="F857" s="134"/>
      <c r="G857" s="134"/>
      <c r="H857" s="134"/>
      <c r="J857" s="134"/>
      <c r="K857" s="135"/>
      <c r="L857" s="136"/>
      <c r="M857" s="137" t="str">
        <f>IFERROR(__xludf.DUMMYFUNCTION("IFERROR((FILTER(Data!A:A,Data!D:D=A857,Data!B:B=$B$1)),"""")"),"")</f>
        <v/>
      </c>
      <c r="T857" s="52">
        <f>IFERROR(__xludf.DUMMYFUNCTION("((COUNTIF(FILTER(Data!N:N,Data!D:D=A857,Data!B:B=$B$1),""TRAVERSE"")*15)+(COUNTIF(FILTER(Data!N:N,Data!D:D=A857,Data!B:B=B$1),""HIGH"")*10)+(COUNTIF(FILTER(Data!N:N,Data!D:D=A857,Data!B:B=$B$1),""MIDDLE"")*6)+(COUNTIF(FILTER(Data!N:N,Data!D:D=A857,Data!B:"&amp;"B=$B$1),""LOW"")*4))"),0.0)</f>
        <v>0</v>
      </c>
      <c r="V857" s="138" t="str">
        <f>IF(Data!B849='Team Parser'!$B$1, Data!D849,"")</f>
        <v/>
      </c>
      <c r="W857" s="134" t="str">
        <f>IF(Data!$B849='Team Parser'!$B$1, Data!H849,"")</f>
        <v/>
      </c>
      <c r="X857" s="134" t="str">
        <f>IF(Data!$B849='Team Parser'!$B$1, Data!G849,"")</f>
        <v/>
      </c>
      <c r="Y857" s="134" t="str">
        <f>IF(Data!$B849='Team Parser'!$B$1, Data!L849,"")</f>
        <v/>
      </c>
      <c r="Z857" s="134" t="str">
        <f>IF(Data!$B849='Team Parser'!$B$1, Data!K849,"")</f>
        <v/>
      </c>
      <c r="AA857" s="134" t="str">
        <f>IF(Data!$B849='Team Parser'!$B$1, Data!M849,"")</f>
        <v/>
      </c>
      <c r="AB857" s="134" t="str">
        <f>IF(Data!$B849='Team Parser'!$B$1,((Z857*2)+(Y857)+(X857*4)+(W857*2)),"")</f>
        <v/>
      </c>
      <c r="AC857" s="134" t="str">
        <f>IF(Data!$B849='Team Parser'!$B$1, Data!N849,"")</f>
        <v/>
      </c>
      <c r="AD857" s="139" t="str">
        <f>IF(Data!$B849='Team Parser'!$B$1,(AB857+(COUNTIF(AC857,"TRAVERSE")*15)+(COUNTIF(AC857,"HIGH")*10)+(COUNTIF(AC857,"MIDDLE")*6)+(COUNTIF(AC857,"LOW")*4)),"")</f>
        <v/>
      </c>
    </row>
    <row r="858">
      <c r="A858" s="141" t="s">
        <v>507</v>
      </c>
      <c r="B858" s="134"/>
      <c r="C858" s="134"/>
      <c r="D858" s="134"/>
      <c r="E858" s="134"/>
      <c r="F858" s="134"/>
      <c r="G858" s="134"/>
      <c r="H858" s="134"/>
      <c r="J858" s="134"/>
      <c r="K858" s="135"/>
      <c r="L858" s="136"/>
      <c r="M858" s="137" t="str">
        <f>IFERROR(__xludf.DUMMYFUNCTION("IFERROR((FILTER(Data!A:A,Data!D:D=A858,Data!B:B=$B$1)),"""")"),"")</f>
        <v/>
      </c>
      <c r="T858" s="52">
        <f>IFERROR(__xludf.DUMMYFUNCTION("((COUNTIF(FILTER(Data!N:N,Data!D:D=A858,Data!B:B=$B$1),""TRAVERSE"")*15)+(COUNTIF(FILTER(Data!N:N,Data!D:D=A858,Data!B:B=B$1),""HIGH"")*10)+(COUNTIF(FILTER(Data!N:N,Data!D:D=A858,Data!B:B=$B$1),""MIDDLE"")*6)+(COUNTIF(FILTER(Data!N:N,Data!D:D=A858,Data!B:"&amp;"B=$B$1),""LOW"")*4))"),0.0)</f>
        <v>0</v>
      </c>
      <c r="V858" s="138" t="str">
        <f>IF(Data!B850='Team Parser'!$B$1, Data!D850,"")</f>
        <v/>
      </c>
      <c r="W858" s="134" t="str">
        <f>IF(Data!$B850='Team Parser'!$B$1, Data!H850,"")</f>
        <v/>
      </c>
      <c r="X858" s="134" t="str">
        <f>IF(Data!$B850='Team Parser'!$B$1, Data!G850,"")</f>
        <v/>
      </c>
      <c r="Y858" s="134" t="str">
        <f>IF(Data!$B850='Team Parser'!$B$1, Data!L850,"")</f>
        <v/>
      </c>
      <c r="Z858" s="134" t="str">
        <f>IF(Data!$B850='Team Parser'!$B$1, Data!K850,"")</f>
        <v/>
      </c>
      <c r="AA858" s="134" t="str">
        <f>IF(Data!$B850='Team Parser'!$B$1, Data!M850,"")</f>
        <v/>
      </c>
      <c r="AB858" s="134" t="str">
        <f>IF(Data!$B850='Team Parser'!$B$1,((Z858*2)+(Y858)+(X858*4)+(W858*2)),"")</f>
        <v/>
      </c>
      <c r="AC858" s="134" t="str">
        <f>IF(Data!$B850='Team Parser'!$B$1, Data!N850,"")</f>
        <v/>
      </c>
      <c r="AD858" s="139" t="str">
        <f>IF(Data!$B850='Team Parser'!$B$1,(AB858+(COUNTIF(AC858,"TRAVERSE")*15)+(COUNTIF(AC858,"HIGH")*10)+(COUNTIF(AC858,"MIDDLE")*6)+(COUNTIF(AC858,"LOW")*4)),"")</f>
        <v/>
      </c>
    </row>
    <row r="859">
      <c r="A859" s="141" t="s">
        <v>507</v>
      </c>
      <c r="B859" s="134"/>
      <c r="C859" s="134"/>
      <c r="D859" s="134"/>
      <c r="E859" s="134"/>
      <c r="F859" s="134"/>
      <c r="G859" s="134"/>
      <c r="H859" s="134"/>
      <c r="J859" s="134"/>
      <c r="K859" s="135"/>
      <c r="L859" s="136"/>
      <c r="M859" s="137" t="str">
        <f>IFERROR(__xludf.DUMMYFUNCTION("IFERROR((FILTER(Data!A:A,Data!D:D=A859,Data!B:B=$B$1)),"""")"),"")</f>
        <v/>
      </c>
      <c r="T859" s="52">
        <f>IFERROR(__xludf.DUMMYFUNCTION("((COUNTIF(FILTER(Data!N:N,Data!D:D=A859,Data!B:B=$B$1),""TRAVERSE"")*15)+(COUNTIF(FILTER(Data!N:N,Data!D:D=A859,Data!B:B=B$1),""HIGH"")*10)+(COUNTIF(FILTER(Data!N:N,Data!D:D=A859,Data!B:B=$B$1),""MIDDLE"")*6)+(COUNTIF(FILTER(Data!N:N,Data!D:D=A859,Data!B:"&amp;"B=$B$1),""LOW"")*4))"),0.0)</f>
        <v>0</v>
      </c>
      <c r="V859" s="138" t="str">
        <f>IF(Data!B851='Team Parser'!$B$1, Data!D851,"")</f>
        <v/>
      </c>
      <c r="W859" s="134" t="str">
        <f>IF(Data!$B851='Team Parser'!$B$1, Data!H851,"")</f>
        <v/>
      </c>
      <c r="X859" s="134" t="str">
        <f>IF(Data!$B851='Team Parser'!$B$1, Data!G851,"")</f>
        <v/>
      </c>
      <c r="Y859" s="134" t="str">
        <f>IF(Data!$B851='Team Parser'!$B$1, Data!L851,"")</f>
        <v/>
      </c>
      <c r="Z859" s="134" t="str">
        <f>IF(Data!$B851='Team Parser'!$B$1, Data!K851,"")</f>
        <v/>
      </c>
      <c r="AA859" s="134" t="str">
        <f>IF(Data!$B851='Team Parser'!$B$1, Data!M851,"")</f>
        <v/>
      </c>
      <c r="AB859" s="134" t="str">
        <f>IF(Data!$B851='Team Parser'!$B$1,((Z859*2)+(Y859)+(X859*4)+(W859*2)),"")</f>
        <v/>
      </c>
      <c r="AC859" s="134" t="str">
        <f>IF(Data!$B851='Team Parser'!$B$1, Data!N851,"")</f>
        <v/>
      </c>
      <c r="AD859" s="139" t="str">
        <f>IF(Data!$B851='Team Parser'!$B$1,(AB859+(COUNTIF(AC859,"TRAVERSE")*15)+(COUNTIF(AC859,"HIGH")*10)+(COUNTIF(AC859,"MIDDLE")*6)+(COUNTIF(AC859,"LOW")*4)),"")</f>
        <v/>
      </c>
    </row>
    <row r="860">
      <c r="A860" s="141" t="s">
        <v>507</v>
      </c>
      <c r="B860" s="134"/>
      <c r="C860" s="134"/>
      <c r="D860" s="134"/>
      <c r="E860" s="134"/>
      <c r="F860" s="134"/>
      <c r="G860" s="134"/>
      <c r="H860" s="134"/>
      <c r="J860" s="134"/>
      <c r="K860" s="135"/>
      <c r="L860" s="136"/>
      <c r="M860" s="137" t="str">
        <f>IFERROR(__xludf.DUMMYFUNCTION("IFERROR((FILTER(Data!A:A,Data!D:D=A860,Data!B:B=$B$1)),"""")"),"")</f>
        <v/>
      </c>
      <c r="T860" s="52">
        <f>IFERROR(__xludf.DUMMYFUNCTION("((COUNTIF(FILTER(Data!N:N,Data!D:D=A860,Data!B:B=$B$1),""TRAVERSE"")*15)+(COUNTIF(FILTER(Data!N:N,Data!D:D=A860,Data!B:B=B$1),""HIGH"")*10)+(COUNTIF(FILTER(Data!N:N,Data!D:D=A860,Data!B:B=$B$1),""MIDDLE"")*6)+(COUNTIF(FILTER(Data!N:N,Data!D:D=A860,Data!B:"&amp;"B=$B$1),""LOW"")*4))"),0.0)</f>
        <v>0</v>
      </c>
      <c r="V860" s="138" t="str">
        <f>IF(Data!B852='Team Parser'!$B$1, Data!D852,"")</f>
        <v/>
      </c>
      <c r="W860" s="134" t="str">
        <f>IF(Data!$B852='Team Parser'!$B$1, Data!H852,"")</f>
        <v/>
      </c>
      <c r="X860" s="134" t="str">
        <f>IF(Data!$B852='Team Parser'!$B$1, Data!G852,"")</f>
        <v/>
      </c>
      <c r="Y860" s="134" t="str">
        <f>IF(Data!$B852='Team Parser'!$B$1, Data!L852,"")</f>
        <v/>
      </c>
      <c r="Z860" s="134" t="str">
        <f>IF(Data!$B852='Team Parser'!$B$1, Data!K852,"")</f>
        <v/>
      </c>
      <c r="AA860" s="134" t="str">
        <f>IF(Data!$B852='Team Parser'!$B$1, Data!M852,"")</f>
        <v/>
      </c>
      <c r="AB860" s="134" t="str">
        <f>IF(Data!$B852='Team Parser'!$B$1,((Z860*2)+(Y860)+(X860*4)+(W860*2)),"")</f>
        <v/>
      </c>
      <c r="AC860" s="134" t="str">
        <f>IF(Data!$B852='Team Parser'!$B$1, Data!N852,"")</f>
        <v/>
      </c>
      <c r="AD860" s="139" t="str">
        <f>IF(Data!$B852='Team Parser'!$B$1,(AB860+(COUNTIF(AC860,"TRAVERSE")*15)+(COUNTIF(AC860,"HIGH")*10)+(COUNTIF(AC860,"MIDDLE")*6)+(COUNTIF(AC860,"LOW")*4)),"")</f>
        <v/>
      </c>
    </row>
    <row r="861">
      <c r="A861" s="141" t="s">
        <v>507</v>
      </c>
      <c r="B861" s="134"/>
      <c r="C861" s="134"/>
      <c r="D861" s="134"/>
      <c r="E861" s="134"/>
      <c r="F861" s="134"/>
      <c r="G861" s="134"/>
      <c r="H861" s="134"/>
      <c r="J861" s="134"/>
      <c r="K861" s="135"/>
      <c r="L861" s="136"/>
      <c r="M861" s="137" t="str">
        <f>IFERROR(__xludf.DUMMYFUNCTION("IFERROR((FILTER(Data!A:A,Data!D:D=A861,Data!B:B=$B$1)),"""")"),"")</f>
        <v/>
      </c>
      <c r="T861" s="52">
        <f>IFERROR(__xludf.DUMMYFUNCTION("((COUNTIF(FILTER(Data!N:N,Data!D:D=A861,Data!B:B=$B$1),""TRAVERSE"")*15)+(COUNTIF(FILTER(Data!N:N,Data!D:D=A861,Data!B:B=B$1),""HIGH"")*10)+(COUNTIF(FILTER(Data!N:N,Data!D:D=A861,Data!B:B=$B$1),""MIDDLE"")*6)+(COUNTIF(FILTER(Data!N:N,Data!D:D=A861,Data!B:"&amp;"B=$B$1),""LOW"")*4))"),0.0)</f>
        <v>0</v>
      </c>
      <c r="V861" s="138" t="str">
        <f>IF(Data!B853='Team Parser'!$B$1, Data!D853,"")</f>
        <v/>
      </c>
      <c r="W861" s="134" t="str">
        <f>IF(Data!$B853='Team Parser'!$B$1, Data!H853,"")</f>
        <v/>
      </c>
      <c r="X861" s="134" t="str">
        <f>IF(Data!$B853='Team Parser'!$B$1, Data!G853,"")</f>
        <v/>
      </c>
      <c r="Y861" s="134" t="str">
        <f>IF(Data!$B853='Team Parser'!$B$1, Data!L853,"")</f>
        <v/>
      </c>
      <c r="Z861" s="134" t="str">
        <f>IF(Data!$B853='Team Parser'!$B$1, Data!K853,"")</f>
        <v/>
      </c>
      <c r="AA861" s="134" t="str">
        <f>IF(Data!$B853='Team Parser'!$B$1, Data!M853,"")</f>
        <v/>
      </c>
      <c r="AB861" s="134" t="str">
        <f>IF(Data!$B853='Team Parser'!$B$1,((Z861*2)+(Y861)+(X861*4)+(W861*2)),"")</f>
        <v/>
      </c>
      <c r="AC861" s="134" t="str">
        <f>IF(Data!$B853='Team Parser'!$B$1, Data!N853,"")</f>
        <v/>
      </c>
      <c r="AD861" s="139" t="str">
        <f>IF(Data!$B853='Team Parser'!$B$1,(AB861+(COUNTIF(AC861,"TRAVERSE")*15)+(COUNTIF(AC861,"HIGH")*10)+(COUNTIF(AC861,"MIDDLE")*6)+(COUNTIF(AC861,"LOW")*4)),"")</f>
        <v/>
      </c>
    </row>
    <row r="862">
      <c r="A862" s="141" t="s">
        <v>507</v>
      </c>
      <c r="B862" s="134"/>
      <c r="C862" s="134"/>
      <c r="D862" s="134"/>
      <c r="E862" s="134"/>
      <c r="F862" s="134"/>
      <c r="G862" s="134"/>
      <c r="H862" s="134"/>
      <c r="J862" s="134"/>
      <c r="K862" s="135"/>
      <c r="L862" s="136"/>
      <c r="M862" s="137" t="str">
        <f>IFERROR(__xludf.DUMMYFUNCTION("IFERROR((FILTER(Data!A:A,Data!D:D=A862,Data!B:B=$B$1)),"""")"),"")</f>
        <v/>
      </c>
      <c r="T862" s="52">
        <f>IFERROR(__xludf.DUMMYFUNCTION("((COUNTIF(FILTER(Data!N:N,Data!D:D=A862,Data!B:B=$B$1),""TRAVERSE"")*15)+(COUNTIF(FILTER(Data!N:N,Data!D:D=A862,Data!B:B=B$1),""HIGH"")*10)+(COUNTIF(FILTER(Data!N:N,Data!D:D=A862,Data!B:B=$B$1),""MIDDLE"")*6)+(COUNTIF(FILTER(Data!N:N,Data!D:D=A862,Data!B:"&amp;"B=$B$1),""LOW"")*4))"),0.0)</f>
        <v>0</v>
      </c>
      <c r="V862" s="138" t="str">
        <f>IF(Data!B854='Team Parser'!$B$1, Data!D854,"")</f>
        <v/>
      </c>
      <c r="W862" s="134" t="str">
        <f>IF(Data!$B854='Team Parser'!$B$1, Data!H854,"")</f>
        <v/>
      </c>
      <c r="X862" s="134" t="str">
        <f>IF(Data!$B854='Team Parser'!$B$1, Data!G854,"")</f>
        <v/>
      </c>
      <c r="Y862" s="134" t="str">
        <f>IF(Data!$B854='Team Parser'!$B$1, Data!L854,"")</f>
        <v/>
      </c>
      <c r="Z862" s="134" t="str">
        <f>IF(Data!$B854='Team Parser'!$B$1, Data!K854,"")</f>
        <v/>
      </c>
      <c r="AA862" s="134" t="str">
        <f>IF(Data!$B854='Team Parser'!$B$1, Data!M854,"")</f>
        <v/>
      </c>
      <c r="AB862" s="134" t="str">
        <f>IF(Data!$B854='Team Parser'!$B$1,((Z862*2)+(Y862)+(X862*4)+(W862*2)),"")</f>
        <v/>
      </c>
      <c r="AC862" s="134" t="str">
        <f>IF(Data!$B854='Team Parser'!$B$1, Data!N854,"")</f>
        <v/>
      </c>
      <c r="AD862" s="139" t="str">
        <f>IF(Data!$B854='Team Parser'!$B$1,(AB862+(COUNTIF(AC862,"TRAVERSE")*15)+(COUNTIF(AC862,"HIGH")*10)+(COUNTIF(AC862,"MIDDLE")*6)+(COUNTIF(AC862,"LOW")*4)),"")</f>
        <v/>
      </c>
    </row>
    <row r="863">
      <c r="A863" s="141" t="s">
        <v>507</v>
      </c>
      <c r="B863" s="134"/>
      <c r="C863" s="134"/>
      <c r="D863" s="134"/>
      <c r="E863" s="134"/>
      <c r="F863" s="134"/>
      <c r="G863" s="134"/>
      <c r="H863" s="134"/>
      <c r="J863" s="134"/>
      <c r="K863" s="135"/>
      <c r="L863" s="136"/>
      <c r="M863" s="137" t="str">
        <f>IFERROR(__xludf.DUMMYFUNCTION("IFERROR((FILTER(Data!A:A,Data!D:D=A863,Data!B:B=$B$1)),"""")"),"")</f>
        <v/>
      </c>
      <c r="T863" s="52">
        <f>IFERROR(__xludf.DUMMYFUNCTION("((COUNTIF(FILTER(Data!N:N,Data!D:D=A863,Data!B:B=$B$1),""TRAVERSE"")*15)+(COUNTIF(FILTER(Data!N:N,Data!D:D=A863,Data!B:B=B$1),""HIGH"")*10)+(COUNTIF(FILTER(Data!N:N,Data!D:D=A863,Data!B:B=$B$1),""MIDDLE"")*6)+(COUNTIF(FILTER(Data!N:N,Data!D:D=A863,Data!B:"&amp;"B=$B$1),""LOW"")*4))"),0.0)</f>
        <v>0</v>
      </c>
      <c r="V863" s="138" t="str">
        <f>IF(Data!B855='Team Parser'!$B$1, Data!D855,"")</f>
        <v/>
      </c>
      <c r="W863" s="134" t="str">
        <f>IF(Data!$B855='Team Parser'!$B$1, Data!H855,"")</f>
        <v/>
      </c>
      <c r="X863" s="134" t="str">
        <f>IF(Data!$B855='Team Parser'!$B$1, Data!G855,"")</f>
        <v/>
      </c>
      <c r="Y863" s="134" t="str">
        <f>IF(Data!$B855='Team Parser'!$B$1, Data!L855,"")</f>
        <v/>
      </c>
      <c r="Z863" s="134" t="str">
        <f>IF(Data!$B855='Team Parser'!$B$1, Data!K855,"")</f>
        <v/>
      </c>
      <c r="AA863" s="134" t="str">
        <f>IF(Data!$B855='Team Parser'!$B$1, Data!M855,"")</f>
        <v/>
      </c>
      <c r="AB863" s="134" t="str">
        <f>IF(Data!$B855='Team Parser'!$B$1,((Z863*2)+(Y863)+(X863*4)+(W863*2)),"")</f>
        <v/>
      </c>
      <c r="AC863" s="134" t="str">
        <f>IF(Data!$B855='Team Parser'!$B$1, Data!N855,"")</f>
        <v/>
      </c>
      <c r="AD863" s="139" t="str">
        <f>IF(Data!$B855='Team Parser'!$B$1,(AB863+(COUNTIF(AC863,"TRAVERSE")*15)+(COUNTIF(AC863,"HIGH")*10)+(COUNTIF(AC863,"MIDDLE")*6)+(COUNTIF(AC863,"LOW")*4)),"")</f>
        <v/>
      </c>
    </row>
    <row r="864">
      <c r="A864" s="141" t="s">
        <v>507</v>
      </c>
      <c r="B864" s="134"/>
      <c r="C864" s="134"/>
      <c r="D864" s="134"/>
      <c r="E864" s="134"/>
      <c r="F864" s="134"/>
      <c r="G864" s="134"/>
      <c r="H864" s="134"/>
      <c r="J864" s="134"/>
      <c r="K864" s="135"/>
      <c r="L864" s="136"/>
      <c r="M864" s="137" t="str">
        <f>IFERROR(__xludf.DUMMYFUNCTION("IFERROR((FILTER(Data!A:A,Data!D:D=A864,Data!B:B=$B$1)),"""")"),"")</f>
        <v/>
      </c>
      <c r="T864" s="52">
        <f>IFERROR(__xludf.DUMMYFUNCTION("((COUNTIF(FILTER(Data!N:N,Data!D:D=A864,Data!B:B=$B$1),""TRAVERSE"")*15)+(COUNTIF(FILTER(Data!N:N,Data!D:D=A864,Data!B:B=B$1),""HIGH"")*10)+(COUNTIF(FILTER(Data!N:N,Data!D:D=A864,Data!B:B=$B$1),""MIDDLE"")*6)+(COUNTIF(FILTER(Data!N:N,Data!D:D=A864,Data!B:"&amp;"B=$B$1),""LOW"")*4))"),0.0)</f>
        <v>0</v>
      </c>
      <c r="V864" s="138" t="str">
        <f>IF(Data!B856='Team Parser'!$B$1, Data!D856,"")</f>
        <v/>
      </c>
      <c r="W864" s="134" t="str">
        <f>IF(Data!$B856='Team Parser'!$B$1, Data!H856,"")</f>
        <v/>
      </c>
      <c r="X864" s="134" t="str">
        <f>IF(Data!$B856='Team Parser'!$B$1, Data!G856,"")</f>
        <v/>
      </c>
      <c r="Y864" s="134" t="str">
        <f>IF(Data!$B856='Team Parser'!$B$1, Data!L856,"")</f>
        <v/>
      </c>
      <c r="Z864" s="134" t="str">
        <f>IF(Data!$B856='Team Parser'!$B$1, Data!K856,"")</f>
        <v/>
      </c>
      <c r="AA864" s="134" t="str">
        <f>IF(Data!$B856='Team Parser'!$B$1, Data!M856,"")</f>
        <v/>
      </c>
      <c r="AB864" s="134" t="str">
        <f>IF(Data!$B856='Team Parser'!$B$1,((Z864*2)+(Y864)+(X864*4)+(W864*2)),"")</f>
        <v/>
      </c>
      <c r="AC864" s="134" t="str">
        <f>IF(Data!$B856='Team Parser'!$B$1, Data!N856,"")</f>
        <v/>
      </c>
      <c r="AD864" s="139" t="str">
        <f>IF(Data!$B856='Team Parser'!$B$1,(AB864+(COUNTIF(AC864,"TRAVERSE")*15)+(COUNTIF(AC864,"HIGH")*10)+(COUNTIF(AC864,"MIDDLE")*6)+(COUNTIF(AC864,"LOW")*4)),"")</f>
        <v/>
      </c>
    </row>
    <row r="865">
      <c r="A865" s="141" t="s">
        <v>507</v>
      </c>
      <c r="B865" s="134"/>
      <c r="C865" s="134"/>
      <c r="D865" s="134"/>
      <c r="E865" s="134"/>
      <c r="F865" s="134"/>
      <c r="G865" s="134"/>
      <c r="H865" s="134"/>
      <c r="J865" s="134"/>
      <c r="K865" s="135"/>
      <c r="L865" s="136"/>
      <c r="M865" s="137" t="str">
        <f>IFERROR(__xludf.DUMMYFUNCTION("IFERROR((FILTER(Data!A:A,Data!D:D=A865,Data!B:B=$B$1)),"""")"),"")</f>
        <v/>
      </c>
      <c r="T865" s="52">
        <f>IFERROR(__xludf.DUMMYFUNCTION("((COUNTIF(FILTER(Data!N:N,Data!D:D=A865,Data!B:B=$B$1),""TRAVERSE"")*15)+(COUNTIF(FILTER(Data!N:N,Data!D:D=A865,Data!B:B=B$1),""HIGH"")*10)+(COUNTIF(FILTER(Data!N:N,Data!D:D=A865,Data!B:B=$B$1),""MIDDLE"")*6)+(COUNTIF(FILTER(Data!N:N,Data!D:D=A865,Data!B:"&amp;"B=$B$1),""LOW"")*4))"),0.0)</f>
        <v>0</v>
      </c>
      <c r="V865" s="138" t="str">
        <f>IF(Data!B857='Team Parser'!$B$1, Data!D857,"")</f>
        <v/>
      </c>
      <c r="W865" s="134" t="str">
        <f>IF(Data!$B857='Team Parser'!$B$1, Data!H857,"")</f>
        <v/>
      </c>
      <c r="X865" s="134" t="str">
        <f>IF(Data!$B857='Team Parser'!$B$1, Data!G857,"")</f>
        <v/>
      </c>
      <c r="Y865" s="134" t="str">
        <f>IF(Data!$B857='Team Parser'!$B$1, Data!L857,"")</f>
        <v/>
      </c>
      <c r="Z865" s="134" t="str">
        <f>IF(Data!$B857='Team Parser'!$B$1, Data!K857,"")</f>
        <v/>
      </c>
      <c r="AA865" s="134" t="str">
        <f>IF(Data!$B857='Team Parser'!$B$1, Data!M857,"")</f>
        <v/>
      </c>
      <c r="AB865" s="134" t="str">
        <f>IF(Data!$B857='Team Parser'!$B$1,((Z865*2)+(Y865)+(X865*4)+(W865*2)),"")</f>
        <v/>
      </c>
      <c r="AC865" s="134" t="str">
        <f>IF(Data!$B857='Team Parser'!$B$1, Data!N857,"")</f>
        <v/>
      </c>
      <c r="AD865" s="139" t="str">
        <f>IF(Data!$B857='Team Parser'!$B$1,(AB865+(COUNTIF(AC865,"TRAVERSE")*15)+(COUNTIF(AC865,"HIGH")*10)+(COUNTIF(AC865,"MIDDLE")*6)+(COUNTIF(AC865,"LOW")*4)),"")</f>
        <v/>
      </c>
    </row>
    <row r="866">
      <c r="A866" s="141" t="s">
        <v>507</v>
      </c>
      <c r="B866" s="134"/>
      <c r="C866" s="134"/>
      <c r="D866" s="134"/>
      <c r="E866" s="134"/>
      <c r="F866" s="134"/>
      <c r="G866" s="134"/>
      <c r="H866" s="134"/>
      <c r="J866" s="134"/>
      <c r="K866" s="135"/>
      <c r="L866" s="136"/>
      <c r="M866" s="137" t="str">
        <f>IFERROR(__xludf.DUMMYFUNCTION("IFERROR((FILTER(Data!A:A,Data!D:D=A866,Data!B:B=$B$1)),"""")"),"")</f>
        <v/>
      </c>
      <c r="T866" s="52">
        <f>IFERROR(__xludf.DUMMYFUNCTION("((COUNTIF(FILTER(Data!N:N,Data!D:D=A866,Data!B:B=$B$1),""TRAVERSE"")*15)+(COUNTIF(FILTER(Data!N:N,Data!D:D=A866,Data!B:B=B$1),""HIGH"")*10)+(COUNTIF(FILTER(Data!N:N,Data!D:D=A866,Data!B:B=$B$1),""MIDDLE"")*6)+(COUNTIF(FILTER(Data!N:N,Data!D:D=A866,Data!B:"&amp;"B=$B$1),""LOW"")*4))"),0.0)</f>
        <v>0</v>
      </c>
      <c r="V866" s="138" t="str">
        <f>IF(Data!B858='Team Parser'!$B$1, Data!D858,"")</f>
        <v/>
      </c>
      <c r="W866" s="134" t="str">
        <f>IF(Data!$B858='Team Parser'!$B$1, Data!H858,"")</f>
        <v/>
      </c>
      <c r="X866" s="134" t="str">
        <f>IF(Data!$B858='Team Parser'!$B$1, Data!G858,"")</f>
        <v/>
      </c>
      <c r="Y866" s="134" t="str">
        <f>IF(Data!$B858='Team Parser'!$B$1, Data!L858,"")</f>
        <v/>
      </c>
      <c r="Z866" s="134" t="str">
        <f>IF(Data!$B858='Team Parser'!$B$1, Data!K858,"")</f>
        <v/>
      </c>
      <c r="AA866" s="134" t="str">
        <f>IF(Data!$B858='Team Parser'!$B$1, Data!M858,"")</f>
        <v/>
      </c>
      <c r="AB866" s="134" t="str">
        <f>IF(Data!$B858='Team Parser'!$B$1,((Z866*2)+(Y866)+(X866*4)+(W866*2)),"")</f>
        <v/>
      </c>
      <c r="AC866" s="134" t="str">
        <f>IF(Data!$B858='Team Parser'!$B$1, Data!N858,"")</f>
        <v/>
      </c>
      <c r="AD866" s="139" t="str">
        <f>IF(Data!$B858='Team Parser'!$B$1,(AB866+(COUNTIF(AC866,"TRAVERSE")*15)+(COUNTIF(AC866,"HIGH")*10)+(COUNTIF(AC866,"MIDDLE")*6)+(COUNTIF(AC866,"LOW")*4)),"")</f>
        <v/>
      </c>
    </row>
    <row r="867">
      <c r="A867" s="141" t="s">
        <v>507</v>
      </c>
      <c r="B867" s="134"/>
      <c r="C867" s="134"/>
      <c r="D867" s="134"/>
      <c r="E867" s="134"/>
      <c r="F867" s="134"/>
      <c r="G867" s="134"/>
      <c r="H867" s="134"/>
      <c r="J867" s="134"/>
      <c r="K867" s="135"/>
      <c r="L867" s="136"/>
      <c r="M867" s="137" t="str">
        <f>IFERROR(__xludf.DUMMYFUNCTION("IFERROR((FILTER(Data!A:A,Data!D:D=A867,Data!B:B=$B$1)),"""")"),"")</f>
        <v/>
      </c>
      <c r="T867" s="52">
        <f>IFERROR(__xludf.DUMMYFUNCTION("((COUNTIF(FILTER(Data!N:N,Data!D:D=A867,Data!B:B=$B$1),""TRAVERSE"")*15)+(COUNTIF(FILTER(Data!N:N,Data!D:D=A867,Data!B:B=B$1),""HIGH"")*10)+(COUNTIF(FILTER(Data!N:N,Data!D:D=A867,Data!B:B=$B$1),""MIDDLE"")*6)+(COUNTIF(FILTER(Data!N:N,Data!D:D=A867,Data!B:"&amp;"B=$B$1),""LOW"")*4))"),0.0)</f>
        <v>0</v>
      </c>
      <c r="V867" s="138" t="str">
        <f>IF(Data!B859='Team Parser'!$B$1, Data!D859,"")</f>
        <v/>
      </c>
      <c r="W867" s="134" t="str">
        <f>IF(Data!$B859='Team Parser'!$B$1, Data!H859,"")</f>
        <v/>
      </c>
      <c r="X867" s="134" t="str">
        <f>IF(Data!$B859='Team Parser'!$B$1, Data!G859,"")</f>
        <v/>
      </c>
      <c r="Y867" s="134" t="str">
        <f>IF(Data!$B859='Team Parser'!$B$1, Data!L859,"")</f>
        <v/>
      </c>
      <c r="Z867" s="134" t="str">
        <f>IF(Data!$B859='Team Parser'!$B$1, Data!K859,"")</f>
        <v/>
      </c>
      <c r="AA867" s="134" t="str">
        <f>IF(Data!$B859='Team Parser'!$B$1, Data!M859,"")</f>
        <v/>
      </c>
      <c r="AB867" s="134" t="str">
        <f>IF(Data!$B859='Team Parser'!$B$1,((Z867*2)+(Y867)+(X867*4)+(W867*2)),"")</f>
        <v/>
      </c>
      <c r="AC867" s="134" t="str">
        <f>IF(Data!$B859='Team Parser'!$B$1, Data!N859,"")</f>
        <v/>
      </c>
      <c r="AD867" s="139" t="str">
        <f>IF(Data!$B859='Team Parser'!$B$1,(AB867+(COUNTIF(AC867,"TRAVERSE")*15)+(COUNTIF(AC867,"HIGH")*10)+(COUNTIF(AC867,"MIDDLE")*6)+(COUNTIF(AC867,"LOW")*4)),"")</f>
        <v/>
      </c>
    </row>
    <row r="868">
      <c r="A868" s="141" t="s">
        <v>507</v>
      </c>
      <c r="B868" s="134"/>
      <c r="C868" s="134"/>
      <c r="D868" s="134"/>
      <c r="E868" s="134"/>
      <c r="F868" s="134"/>
      <c r="G868" s="134"/>
      <c r="H868" s="134"/>
      <c r="J868" s="134"/>
      <c r="K868" s="135"/>
      <c r="L868" s="136"/>
      <c r="M868" s="137" t="str">
        <f>IFERROR(__xludf.DUMMYFUNCTION("IFERROR((FILTER(Data!A:A,Data!D:D=A868,Data!B:B=$B$1)),"""")"),"")</f>
        <v/>
      </c>
      <c r="T868" s="52">
        <f>IFERROR(__xludf.DUMMYFUNCTION("((COUNTIF(FILTER(Data!N:N,Data!D:D=A868,Data!B:B=$B$1),""TRAVERSE"")*15)+(COUNTIF(FILTER(Data!N:N,Data!D:D=A868,Data!B:B=B$1),""HIGH"")*10)+(COUNTIF(FILTER(Data!N:N,Data!D:D=A868,Data!B:B=$B$1),""MIDDLE"")*6)+(COUNTIF(FILTER(Data!N:N,Data!D:D=A868,Data!B:"&amp;"B=$B$1),""LOW"")*4))"),0.0)</f>
        <v>0</v>
      </c>
      <c r="V868" s="138" t="str">
        <f>IF(Data!B860='Team Parser'!$B$1, Data!D860,"")</f>
        <v/>
      </c>
      <c r="W868" s="134" t="str">
        <f>IF(Data!$B860='Team Parser'!$B$1, Data!H860,"")</f>
        <v/>
      </c>
      <c r="X868" s="134" t="str">
        <f>IF(Data!$B860='Team Parser'!$B$1, Data!G860,"")</f>
        <v/>
      </c>
      <c r="Y868" s="134" t="str">
        <f>IF(Data!$B860='Team Parser'!$B$1, Data!L860,"")</f>
        <v/>
      </c>
      <c r="Z868" s="134" t="str">
        <f>IF(Data!$B860='Team Parser'!$B$1, Data!K860,"")</f>
        <v/>
      </c>
      <c r="AA868" s="134" t="str">
        <f>IF(Data!$B860='Team Parser'!$B$1, Data!M860,"")</f>
        <v/>
      </c>
      <c r="AB868" s="134" t="str">
        <f>IF(Data!$B860='Team Parser'!$B$1,((Z868*2)+(Y868)+(X868*4)+(W868*2)),"")</f>
        <v/>
      </c>
      <c r="AC868" s="134" t="str">
        <f>IF(Data!$B860='Team Parser'!$B$1, Data!N860,"")</f>
        <v/>
      </c>
      <c r="AD868" s="139" t="str">
        <f>IF(Data!$B860='Team Parser'!$B$1,(AB868+(COUNTIF(AC868,"TRAVERSE")*15)+(COUNTIF(AC868,"HIGH")*10)+(COUNTIF(AC868,"MIDDLE")*6)+(COUNTIF(AC868,"LOW")*4)),"")</f>
        <v/>
      </c>
    </row>
    <row r="869">
      <c r="A869" s="141" t="s">
        <v>507</v>
      </c>
      <c r="B869" s="134"/>
      <c r="C869" s="134"/>
      <c r="D869" s="134"/>
      <c r="E869" s="134"/>
      <c r="F869" s="134"/>
      <c r="G869" s="134"/>
      <c r="H869" s="134"/>
      <c r="J869" s="134"/>
      <c r="K869" s="135"/>
      <c r="L869" s="136"/>
      <c r="M869" s="137" t="str">
        <f>IFERROR(__xludf.DUMMYFUNCTION("IFERROR((FILTER(Data!A:A,Data!D:D=A869,Data!B:B=$B$1)),"""")"),"")</f>
        <v/>
      </c>
      <c r="T869" s="52">
        <f>IFERROR(__xludf.DUMMYFUNCTION("((COUNTIF(FILTER(Data!N:N,Data!D:D=A869,Data!B:B=$B$1),""TRAVERSE"")*15)+(COUNTIF(FILTER(Data!N:N,Data!D:D=A869,Data!B:B=B$1),""HIGH"")*10)+(COUNTIF(FILTER(Data!N:N,Data!D:D=A869,Data!B:B=$B$1),""MIDDLE"")*6)+(COUNTIF(FILTER(Data!N:N,Data!D:D=A869,Data!B:"&amp;"B=$B$1),""LOW"")*4))"),0.0)</f>
        <v>0</v>
      </c>
      <c r="V869" s="138" t="str">
        <f>IF(Data!B861='Team Parser'!$B$1, Data!D861,"")</f>
        <v/>
      </c>
      <c r="W869" s="134" t="str">
        <f>IF(Data!$B861='Team Parser'!$B$1, Data!H861,"")</f>
        <v/>
      </c>
      <c r="X869" s="134" t="str">
        <f>IF(Data!$B861='Team Parser'!$B$1, Data!G861,"")</f>
        <v/>
      </c>
      <c r="Y869" s="134" t="str">
        <f>IF(Data!$B861='Team Parser'!$B$1, Data!L861,"")</f>
        <v/>
      </c>
      <c r="Z869" s="134" t="str">
        <f>IF(Data!$B861='Team Parser'!$B$1, Data!K861,"")</f>
        <v/>
      </c>
      <c r="AA869" s="134" t="str">
        <f>IF(Data!$B861='Team Parser'!$B$1, Data!M861,"")</f>
        <v/>
      </c>
      <c r="AB869" s="134" t="str">
        <f>IF(Data!$B861='Team Parser'!$B$1,((Z869*2)+(Y869)+(X869*4)+(W869*2)),"")</f>
        <v/>
      </c>
      <c r="AC869" s="134" t="str">
        <f>IF(Data!$B861='Team Parser'!$B$1, Data!N861,"")</f>
        <v/>
      </c>
      <c r="AD869" s="139" t="str">
        <f>IF(Data!$B861='Team Parser'!$B$1,(AB869+(COUNTIF(AC869,"TRAVERSE")*15)+(COUNTIF(AC869,"HIGH")*10)+(COUNTIF(AC869,"MIDDLE")*6)+(COUNTIF(AC869,"LOW")*4)),"")</f>
        <v/>
      </c>
    </row>
    <row r="870">
      <c r="A870" s="141" t="s">
        <v>507</v>
      </c>
      <c r="B870" s="134"/>
      <c r="C870" s="134"/>
      <c r="D870" s="134"/>
      <c r="E870" s="134"/>
      <c r="F870" s="134"/>
      <c r="G870" s="134"/>
      <c r="H870" s="134"/>
      <c r="J870" s="134"/>
      <c r="K870" s="135"/>
      <c r="L870" s="136"/>
      <c r="M870" s="137" t="str">
        <f>IFERROR(__xludf.DUMMYFUNCTION("IFERROR((FILTER(Data!A:A,Data!D:D=A870,Data!B:B=$B$1)),"""")"),"")</f>
        <v/>
      </c>
      <c r="T870" s="52">
        <f>IFERROR(__xludf.DUMMYFUNCTION("((COUNTIF(FILTER(Data!N:N,Data!D:D=A870,Data!B:B=$B$1),""TRAVERSE"")*15)+(COUNTIF(FILTER(Data!N:N,Data!D:D=A870,Data!B:B=B$1),""HIGH"")*10)+(COUNTIF(FILTER(Data!N:N,Data!D:D=A870,Data!B:B=$B$1),""MIDDLE"")*6)+(COUNTIF(FILTER(Data!N:N,Data!D:D=A870,Data!B:"&amp;"B=$B$1),""LOW"")*4))"),0.0)</f>
        <v>0</v>
      </c>
      <c r="V870" s="138" t="str">
        <f>IF(Data!B862='Team Parser'!$B$1, Data!D862,"")</f>
        <v/>
      </c>
      <c r="W870" s="134" t="str">
        <f>IF(Data!$B862='Team Parser'!$B$1, Data!H862,"")</f>
        <v/>
      </c>
      <c r="X870" s="134" t="str">
        <f>IF(Data!$B862='Team Parser'!$B$1, Data!G862,"")</f>
        <v/>
      </c>
      <c r="Y870" s="134" t="str">
        <f>IF(Data!$B862='Team Parser'!$B$1, Data!L862,"")</f>
        <v/>
      </c>
      <c r="Z870" s="134" t="str">
        <f>IF(Data!$B862='Team Parser'!$B$1, Data!K862,"")</f>
        <v/>
      </c>
      <c r="AA870" s="134" t="str">
        <f>IF(Data!$B862='Team Parser'!$B$1, Data!M862,"")</f>
        <v/>
      </c>
      <c r="AB870" s="134" t="str">
        <f>IF(Data!$B862='Team Parser'!$B$1,((Z870*2)+(Y870)+(X870*4)+(W870*2)),"")</f>
        <v/>
      </c>
      <c r="AC870" s="134" t="str">
        <f>IF(Data!$B862='Team Parser'!$B$1, Data!N862,"")</f>
        <v/>
      </c>
      <c r="AD870" s="139" t="str">
        <f>IF(Data!$B862='Team Parser'!$B$1,(AB870+(COUNTIF(AC870,"TRAVERSE")*15)+(COUNTIF(AC870,"HIGH")*10)+(COUNTIF(AC870,"MIDDLE")*6)+(COUNTIF(AC870,"LOW")*4)),"")</f>
        <v/>
      </c>
    </row>
    <row r="871">
      <c r="A871" s="141" t="s">
        <v>507</v>
      </c>
      <c r="B871" s="134"/>
      <c r="C871" s="134"/>
      <c r="D871" s="134"/>
      <c r="E871" s="134"/>
      <c r="F871" s="134"/>
      <c r="G871" s="134"/>
      <c r="H871" s="134"/>
      <c r="J871" s="134"/>
      <c r="K871" s="135"/>
      <c r="L871" s="136"/>
      <c r="M871" s="137" t="str">
        <f>IFERROR(__xludf.DUMMYFUNCTION("IFERROR((FILTER(Data!A:A,Data!D:D=A871,Data!B:B=$B$1)),"""")"),"")</f>
        <v/>
      </c>
      <c r="T871" s="52">
        <f>IFERROR(__xludf.DUMMYFUNCTION("((COUNTIF(FILTER(Data!N:N,Data!D:D=A871,Data!B:B=$B$1),""TRAVERSE"")*15)+(COUNTIF(FILTER(Data!N:N,Data!D:D=A871,Data!B:B=B$1),""HIGH"")*10)+(COUNTIF(FILTER(Data!N:N,Data!D:D=A871,Data!B:B=$B$1),""MIDDLE"")*6)+(COUNTIF(FILTER(Data!N:N,Data!D:D=A871,Data!B:"&amp;"B=$B$1),""LOW"")*4))"),0.0)</f>
        <v>0</v>
      </c>
      <c r="V871" s="138" t="str">
        <f>IF(Data!B863='Team Parser'!$B$1, Data!D863,"")</f>
        <v/>
      </c>
      <c r="W871" s="134" t="str">
        <f>IF(Data!$B863='Team Parser'!$B$1, Data!H863,"")</f>
        <v/>
      </c>
      <c r="X871" s="134" t="str">
        <f>IF(Data!$B863='Team Parser'!$B$1, Data!G863,"")</f>
        <v/>
      </c>
      <c r="Y871" s="134" t="str">
        <f>IF(Data!$B863='Team Parser'!$B$1, Data!L863,"")</f>
        <v/>
      </c>
      <c r="Z871" s="134" t="str">
        <f>IF(Data!$B863='Team Parser'!$B$1, Data!K863,"")</f>
        <v/>
      </c>
      <c r="AA871" s="134" t="str">
        <f>IF(Data!$B863='Team Parser'!$B$1, Data!M863,"")</f>
        <v/>
      </c>
      <c r="AB871" s="134" t="str">
        <f>IF(Data!$B863='Team Parser'!$B$1,((Z871*2)+(Y871)+(X871*4)+(W871*2)),"")</f>
        <v/>
      </c>
      <c r="AC871" s="134" t="str">
        <f>IF(Data!$B863='Team Parser'!$B$1, Data!N863,"")</f>
        <v/>
      </c>
      <c r="AD871" s="139" t="str">
        <f>IF(Data!$B863='Team Parser'!$B$1,(AB871+(COUNTIF(AC871,"TRAVERSE")*15)+(COUNTIF(AC871,"HIGH")*10)+(COUNTIF(AC871,"MIDDLE")*6)+(COUNTIF(AC871,"LOW")*4)),"")</f>
        <v/>
      </c>
    </row>
    <row r="872">
      <c r="A872" s="141" t="s">
        <v>507</v>
      </c>
      <c r="B872" s="134"/>
      <c r="C872" s="134"/>
      <c r="D872" s="134"/>
      <c r="E872" s="134"/>
      <c r="F872" s="134"/>
      <c r="G872" s="134"/>
      <c r="H872" s="134"/>
      <c r="J872" s="134"/>
      <c r="K872" s="135"/>
      <c r="L872" s="136"/>
      <c r="M872" s="137" t="str">
        <f>IFERROR(__xludf.DUMMYFUNCTION("IFERROR((FILTER(Data!A:A,Data!D:D=A872,Data!B:B=$B$1)),"""")"),"")</f>
        <v/>
      </c>
      <c r="T872" s="52">
        <f>IFERROR(__xludf.DUMMYFUNCTION("((COUNTIF(FILTER(Data!N:N,Data!D:D=A872,Data!B:B=$B$1),""TRAVERSE"")*15)+(COUNTIF(FILTER(Data!N:N,Data!D:D=A872,Data!B:B=B$1),""HIGH"")*10)+(COUNTIF(FILTER(Data!N:N,Data!D:D=A872,Data!B:B=$B$1),""MIDDLE"")*6)+(COUNTIF(FILTER(Data!N:N,Data!D:D=A872,Data!B:"&amp;"B=$B$1),""LOW"")*4))"),0.0)</f>
        <v>0</v>
      </c>
      <c r="V872" s="138" t="str">
        <f>IF(Data!B864='Team Parser'!$B$1, Data!D864,"")</f>
        <v/>
      </c>
      <c r="W872" s="134" t="str">
        <f>IF(Data!$B864='Team Parser'!$B$1, Data!H864,"")</f>
        <v/>
      </c>
      <c r="X872" s="134" t="str">
        <f>IF(Data!$B864='Team Parser'!$B$1, Data!G864,"")</f>
        <v/>
      </c>
      <c r="Y872" s="134" t="str">
        <f>IF(Data!$B864='Team Parser'!$B$1, Data!L864,"")</f>
        <v/>
      </c>
      <c r="Z872" s="134" t="str">
        <f>IF(Data!$B864='Team Parser'!$B$1, Data!K864,"")</f>
        <v/>
      </c>
      <c r="AA872" s="134" t="str">
        <f>IF(Data!$B864='Team Parser'!$B$1, Data!M864,"")</f>
        <v/>
      </c>
      <c r="AB872" s="134" t="str">
        <f>IF(Data!$B864='Team Parser'!$B$1,((Z872*2)+(Y872)+(X872*4)+(W872*2)),"")</f>
        <v/>
      </c>
      <c r="AC872" s="134" t="str">
        <f>IF(Data!$B864='Team Parser'!$B$1, Data!N864,"")</f>
        <v/>
      </c>
      <c r="AD872" s="139" t="str">
        <f>IF(Data!$B864='Team Parser'!$B$1,(AB872+(COUNTIF(AC872,"TRAVERSE")*15)+(COUNTIF(AC872,"HIGH")*10)+(COUNTIF(AC872,"MIDDLE")*6)+(COUNTIF(AC872,"LOW")*4)),"")</f>
        <v/>
      </c>
    </row>
    <row r="873">
      <c r="A873" s="141" t="s">
        <v>507</v>
      </c>
      <c r="B873" s="134"/>
      <c r="C873" s="134"/>
      <c r="D873" s="134"/>
      <c r="E873" s="134"/>
      <c r="F873" s="134"/>
      <c r="G873" s="134"/>
      <c r="H873" s="134"/>
      <c r="J873" s="134"/>
      <c r="K873" s="135"/>
      <c r="L873" s="136"/>
      <c r="M873" s="137" t="str">
        <f>IFERROR(__xludf.DUMMYFUNCTION("IFERROR((FILTER(Data!A:A,Data!D:D=A873,Data!B:B=$B$1)),"""")"),"")</f>
        <v/>
      </c>
      <c r="T873" s="52">
        <f>IFERROR(__xludf.DUMMYFUNCTION("((COUNTIF(FILTER(Data!N:N,Data!D:D=A873,Data!B:B=$B$1),""TRAVERSE"")*15)+(COUNTIF(FILTER(Data!N:N,Data!D:D=A873,Data!B:B=B$1),""HIGH"")*10)+(COUNTIF(FILTER(Data!N:N,Data!D:D=A873,Data!B:B=$B$1),""MIDDLE"")*6)+(COUNTIF(FILTER(Data!N:N,Data!D:D=A873,Data!B:"&amp;"B=$B$1),""LOW"")*4))"),0.0)</f>
        <v>0</v>
      </c>
      <c r="V873" s="138" t="str">
        <f>IF(Data!B865='Team Parser'!$B$1, Data!D865,"")</f>
        <v/>
      </c>
      <c r="W873" s="134" t="str">
        <f>IF(Data!$B865='Team Parser'!$B$1, Data!H865,"")</f>
        <v/>
      </c>
      <c r="X873" s="134" t="str">
        <f>IF(Data!$B865='Team Parser'!$B$1, Data!G865,"")</f>
        <v/>
      </c>
      <c r="Y873" s="134" t="str">
        <f>IF(Data!$B865='Team Parser'!$B$1, Data!L865,"")</f>
        <v/>
      </c>
      <c r="Z873" s="134" t="str">
        <f>IF(Data!$B865='Team Parser'!$B$1, Data!K865,"")</f>
        <v/>
      </c>
      <c r="AA873" s="134" t="str">
        <f>IF(Data!$B865='Team Parser'!$B$1, Data!M865,"")</f>
        <v/>
      </c>
      <c r="AB873" s="134" t="str">
        <f>IF(Data!$B865='Team Parser'!$B$1,((Z873*2)+(Y873)+(X873*4)+(W873*2)),"")</f>
        <v/>
      </c>
      <c r="AC873" s="134" t="str">
        <f>IF(Data!$B865='Team Parser'!$B$1, Data!N865,"")</f>
        <v/>
      </c>
      <c r="AD873" s="139" t="str">
        <f>IF(Data!$B865='Team Parser'!$B$1,(AB873+(COUNTIF(AC873,"TRAVERSE")*15)+(COUNTIF(AC873,"HIGH")*10)+(COUNTIF(AC873,"MIDDLE")*6)+(COUNTIF(AC873,"LOW")*4)),"")</f>
        <v/>
      </c>
    </row>
    <row r="874">
      <c r="A874" s="141" t="s">
        <v>507</v>
      </c>
      <c r="B874" s="134"/>
      <c r="C874" s="134"/>
      <c r="D874" s="134"/>
      <c r="E874" s="134"/>
      <c r="F874" s="134"/>
      <c r="G874" s="134"/>
      <c r="H874" s="134"/>
      <c r="J874" s="134"/>
      <c r="K874" s="135"/>
      <c r="L874" s="136"/>
      <c r="M874" s="137" t="str">
        <f>IFERROR(__xludf.DUMMYFUNCTION("IFERROR((FILTER(Data!A:A,Data!D:D=A874,Data!B:B=$B$1)),"""")"),"")</f>
        <v/>
      </c>
      <c r="T874" s="52">
        <f>IFERROR(__xludf.DUMMYFUNCTION("((COUNTIF(FILTER(Data!N:N,Data!D:D=A874,Data!B:B=$B$1),""TRAVERSE"")*15)+(COUNTIF(FILTER(Data!N:N,Data!D:D=A874,Data!B:B=B$1),""HIGH"")*10)+(COUNTIF(FILTER(Data!N:N,Data!D:D=A874,Data!B:B=$B$1),""MIDDLE"")*6)+(COUNTIF(FILTER(Data!N:N,Data!D:D=A874,Data!B:"&amp;"B=$B$1),""LOW"")*4))"),0.0)</f>
        <v>0</v>
      </c>
      <c r="V874" s="138" t="str">
        <f>IF(Data!B866='Team Parser'!$B$1, Data!D866,"")</f>
        <v/>
      </c>
      <c r="W874" s="134" t="str">
        <f>IF(Data!$B866='Team Parser'!$B$1, Data!H866,"")</f>
        <v/>
      </c>
      <c r="X874" s="134" t="str">
        <f>IF(Data!$B866='Team Parser'!$B$1, Data!G866,"")</f>
        <v/>
      </c>
      <c r="Y874" s="134" t="str">
        <f>IF(Data!$B866='Team Parser'!$B$1, Data!L866,"")</f>
        <v/>
      </c>
      <c r="Z874" s="134" t="str">
        <f>IF(Data!$B866='Team Parser'!$B$1, Data!K866,"")</f>
        <v/>
      </c>
      <c r="AA874" s="134" t="str">
        <f>IF(Data!$B866='Team Parser'!$B$1, Data!M866,"")</f>
        <v/>
      </c>
      <c r="AB874" s="134" t="str">
        <f>IF(Data!$B866='Team Parser'!$B$1,((Z874*2)+(Y874)+(X874*4)+(W874*2)),"")</f>
        <v/>
      </c>
      <c r="AC874" s="134" t="str">
        <f>IF(Data!$B866='Team Parser'!$B$1, Data!N866,"")</f>
        <v/>
      </c>
      <c r="AD874" s="139" t="str">
        <f>IF(Data!$B866='Team Parser'!$B$1,(AB874+(COUNTIF(AC874,"TRAVERSE")*15)+(COUNTIF(AC874,"HIGH")*10)+(COUNTIF(AC874,"MIDDLE")*6)+(COUNTIF(AC874,"LOW")*4)),"")</f>
        <v/>
      </c>
    </row>
    <row r="875">
      <c r="A875" s="141" t="s">
        <v>507</v>
      </c>
      <c r="B875" s="134"/>
      <c r="C875" s="134"/>
      <c r="D875" s="134"/>
      <c r="E875" s="134"/>
      <c r="F875" s="134"/>
      <c r="G875" s="134"/>
      <c r="H875" s="134"/>
      <c r="J875" s="134"/>
      <c r="K875" s="135"/>
      <c r="L875" s="136"/>
      <c r="M875" s="137" t="str">
        <f>IFERROR(__xludf.DUMMYFUNCTION("IFERROR((FILTER(Data!A:A,Data!D:D=A875,Data!B:B=$B$1)),"""")"),"")</f>
        <v/>
      </c>
      <c r="T875" s="52">
        <f>IFERROR(__xludf.DUMMYFUNCTION("((COUNTIF(FILTER(Data!N:N,Data!D:D=A875,Data!B:B=$B$1),""TRAVERSE"")*15)+(COUNTIF(FILTER(Data!N:N,Data!D:D=A875,Data!B:B=B$1),""HIGH"")*10)+(COUNTIF(FILTER(Data!N:N,Data!D:D=A875,Data!B:B=$B$1),""MIDDLE"")*6)+(COUNTIF(FILTER(Data!N:N,Data!D:D=A875,Data!B:"&amp;"B=$B$1),""LOW"")*4))"),0.0)</f>
        <v>0</v>
      </c>
      <c r="V875" s="138" t="str">
        <f>IF(Data!B867='Team Parser'!$B$1, Data!D867,"")</f>
        <v/>
      </c>
      <c r="W875" s="134" t="str">
        <f>IF(Data!$B867='Team Parser'!$B$1, Data!H867,"")</f>
        <v/>
      </c>
      <c r="X875" s="134" t="str">
        <f>IF(Data!$B867='Team Parser'!$B$1, Data!G867,"")</f>
        <v/>
      </c>
      <c r="Y875" s="134" t="str">
        <f>IF(Data!$B867='Team Parser'!$B$1, Data!L867,"")</f>
        <v/>
      </c>
      <c r="Z875" s="134" t="str">
        <f>IF(Data!$B867='Team Parser'!$B$1, Data!K867,"")</f>
        <v/>
      </c>
      <c r="AA875" s="134" t="str">
        <f>IF(Data!$B867='Team Parser'!$B$1, Data!M867,"")</f>
        <v/>
      </c>
      <c r="AB875" s="134" t="str">
        <f>IF(Data!$B867='Team Parser'!$B$1,((Z875*2)+(Y875)+(X875*4)+(W875*2)),"")</f>
        <v/>
      </c>
      <c r="AC875" s="134" t="str">
        <f>IF(Data!$B867='Team Parser'!$B$1, Data!N867,"")</f>
        <v/>
      </c>
      <c r="AD875" s="139" t="str">
        <f>IF(Data!$B867='Team Parser'!$B$1,(AB875+(COUNTIF(AC875,"TRAVERSE")*15)+(COUNTIF(AC875,"HIGH")*10)+(COUNTIF(AC875,"MIDDLE")*6)+(COUNTIF(AC875,"LOW")*4)),"")</f>
        <v/>
      </c>
    </row>
    <row r="876">
      <c r="A876" s="141" t="s">
        <v>507</v>
      </c>
      <c r="B876" s="134"/>
      <c r="C876" s="134"/>
      <c r="D876" s="134"/>
      <c r="E876" s="134"/>
      <c r="F876" s="134"/>
      <c r="G876" s="134"/>
      <c r="H876" s="134"/>
      <c r="J876" s="134"/>
      <c r="K876" s="135"/>
      <c r="L876" s="136"/>
      <c r="M876" s="137" t="str">
        <f>IFERROR(__xludf.DUMMYFUNCTION("IFERROR((FILTER(Data!A:A,Data!D:D=A876,Data!B:B=$B$1)),"""")"),"")</f>
        <v/>
      </c>
      <c r="T876" s="52">
        <f>IFERROR(__xludf.DUMMYFUNCTION("((COUNTIF(FILTER(Data!N:N,Data!D:D=A876,Data!B:B=$B$1),""TRAVERSE"")*15)+(COUNTIF(FILTER(Data!N:N,Data!D:D=A876,Data!B:B=B$1),""HIGH"")*10)+(COUNTIF(FILTER(Data!N:N,Data!D:D=A876,Data!B:B=$B$1),""MIDDLE"")*6)+(COUNTIF(FILTER(Data!N:N,Data!D:D=A876,Data!B:"&amp;"B=$B$1),""LOW"")*4))"),0.0)</f>
        <v>0</v>
      </c>
      <c r="V876" s="138" t="str">
        <f>IF(Data!B868='Team Parser'!$B$1, Data!D868,"")</f>
        <v/>
      </c>
      <c r="W876" s="134" t="str">
        <f>IF(Data!$B868='Team Parser'!$B$1, Data!H868,"")</f>
        <v/>
      </c>
      <c r="X876" s="134" t="str">
        <f>IF(Data!$B868='Team Parser'!$B$1, Data!G868,"")</f>
        <v/>
      </c>
      <c r="Y876" s="134" t="str">
        <f>IF(Data!$B868='Team Parser'!$B$1, Data!L868,"")</f>
        <v/>
      </c>
      <c r="Z876" s="134" t="str">
        <f>IF(Data!$B868='Team Parser'!$B$1, Data!K868,"")</f>
        <v/>
      </c>
      <c r="AA876" s="134" t="str">
        <f>IF(Data!$B868='Team Parser'!$B$1, Data!M868,"")</f>
        <v/>
      </c>
      <c r="AB876" s="134" t="str">
        <f>IF(Data!$B868='Team Parser'!$B$1,((Z876*2)+(Y876)+(X876*4)+(W876*2)),"")</f>
        <v/>
      </c>
      <c r="AC876" s="134" t="str">
        <f>IF(Data!$B868='Team Parser'!$B$1, Data!N868,"")</f>
        <v/>
      </c>
      <c r="AD876" s="139" t="str">
        <f>IF(Data!$B868='Team Parser'!$B$1,(AB876+(COUNTIF(AC876,"TRAVERSE")*15)+(COUNTIF(AC876,"HIGH")*10)+(COUNTIF(AC876,"MIDDLE")*6)+(COUNTIF(AC876,"LOW")*4)),"")</f>
        <v/>
      </c>
    </row>
    <row r="877">
      <c r="A877" s="141" t="s">
        <v>507</v>
      </c>
      <c r="B877" s="134"/>
      <c r="C877" s="134"/>
      <c r="D877" s="134"/>
      <c r="E877" s="134"/>
      <c r="F877" s="134"/>
      <c r="G877" s="134"/>
      <c r="H877" s="134"/>
      <c r="J877" s="134"/>
      <c r="K877" s="135"/>
      <c r="L877" s="136"/>
      <c r="M877" s="137" t="str">
        <f>IFERROR(__xludf.DUMMYFUNCTION("IFERROR((FILTER(Data!A:A,Data!D:D=A877,Data!B:B=$B$1)),"""")"),"")</f>
        <v/>
      </c>
      <c r="T877" s="52">
        <f>IFERROR(__xludf.DUMMYFUNCTION("((COUNTIF(FILTER(Data!N:N,Data!D:D=A877,Data!B:B=$B$1),""TRAVERSE"")*15)+(COUNTIF(FILTER(Data!N:N,Data!D:D=A877,Data!B:B=B$1),""HIGH"")*10)+(COUNTIF(FILTER(Data!N:N,Data!D:D=A877,Data!B:B=$B$1),""MIDDLE"")*6)+(COUNTIF(FILTER(Data!N:N,Data!D:D=A877,Data!B:"&amp;"B=$B$1),""LOW"")*4))"),0.0)</f>
        <v>0</v>
      </c>
      <c r="V877" s="138" t="str">
        <f>IF(Data!B869='Team Parser'!$B$1, Data!D869,"")</f>
        <v/>
      </c>
      <c r="W877" s="134" t="str">
        <f>IF(Data!$B869='Team Parser'!$B$1, Data!H869,"")</f>
        <v/>
      </c>
      <c r="X877" s="134" t="str">
        <f>IF(Data!$B869='Team Parser'!$B$1, Data!G869,"")</f>
        <v/>
      </c>
      <c r="Y877" s="134" t="str">
        <f>IF(Data!$B869='Team Parser'!$B$1, Data!L869,"")</f>
        <v/>
      </c>
      <c r="Z877" s="134" t="str">
        <f>IF(Data!$B869='Team Parser'!$B$1, Data!K869,"")</f>
        <v/>
      </c>
      <c r="AA877" s="134" t="str">
        <f>IF(Data!$B869='Team Parser'!$B$1, Data!M869,"")</f>
        <v/>
      </c>
      <c r="AB877" s="134" t="str">
        <f>IF(Data!$B869='Team Parser'!$B$1,((Z877*2)+(Y877)+(X877*4)+(W877*2)),"")</f>
        <v/>
      </c>
      <c r="AC877" s="134" t="str">
        <f>IF(Data!$B869='Team Parser'!$B$1, Data!N869,"")</f>
        <v/>
      </c>
      <c r="AD877" s="139" t="str">
        <f>IF(Data!$B869='Team Parser'!$B$1,(AB877+(COUNTIF(AC877,"TRAVERSE")*15)+(COUNTIF(AC877,"HIGH")*10)+(COUNTIF(AC877,"MIDDLE")*6)+(COUNTIF(AC877,"LOW")*4)),"")</f>
        <v/>
      </c>
    </row>
    <row r="878">
      <c r="A878" s="141" t="s">
        <v>507</v>
      </c>
      <c r="B878" s="134"/>
      <c r="C878" s="134"/>
      <c r="D878" s="134"/>
      <c r="E878" s="134"/>
      <c r="F878" s="134"/>
      <c r="G878" s="134"/>
      <c r="H878" s="134"/>
      <c r="J878" s="134"/>
      <c r="K878" s="135"/>
      <c r="L878" s="136"/>
      <c r="M878" s="137" t="str">
        <f>IFERROR(__xludf.DUMMYFUNCTION("IFERROR((FILTER(Data!A:A,Data!D:D=A878,Data!B:B=$B$1)),"""")"),"")</f>
        <v/>
      </c>
      <c r="T878" s="52">
        <f>IFERROR(__xludf.DUMMYFUNCTION("((COUNTIF(FILTER(Data!N:N,Data!D:D=A878,Data!B:B=$B$1),""TRAVERSE"")*15)+(COUNTIF(FILTER(Data!N:N,Data!D:D=A878,Data!B:B=B$1),""HIGH"")*10)+(COUNTIF(FILTER(Data!N:N,Data!D:D=A878,Data!B:B=$B$1),""MIDDLE"")*6)+(COUNTIF(FILTER(Data!N:N,Data!D:D=A878,Data!B:"&amp;"B=$B$1),""LOW"")*4))"),0.0)</f>
        <v>0</v>
      </c>
      <c r="V878" s="138" t="str">
        <f>IF(Data!B870='Team Parser'!$B$1, Data!D870,"")</f>
        <v/>
      </c>
      <c r="W878" s="134" t="str">
        <f>IF(Data!$B870='Team Parser'!$B$1, Data!H870,"")</f>
        <v/>
      </c>
      <c r="X878" s="134" t="str">
        <f>IF(Data!$B870='Team Parser'!$B$1, Data!G870,"")</f>
        <v/>
      </c>
      <c r="Y878" s="134" t="str">
        <f>IF(Data!$B870='Team Parser'!$B$1, Data!L870,"")</f>
        <v/>
      </c>
      <c r="Z878" s="134" t="str">
        <f>IF(Data!$B870='Team Parser'!$B$1, Data!K870,"")</f>
        <v/>
      </c>
      <c r="AA878" s="134" t="str">
        <f>IF(Data!$B870='Team Parser'!$B$1, Data!M870,"")</f>
        <v/>
      </c>
      <c r="AB878" s="134" t="str">
        <f>IF(Data!$B870='Team Parser'!$B$1,((Z878*2)+(Y878)+(X878*4)+(W878*2)),"")</f>
        <v/>
      </c>
      <c r="AC878" s="134" t="str">
        <f>IF(Data!$B870='Team Parser'!$B$1, Data!N870,"")</f>
        <v/>
      </c>
      <c r="AD878" s="139" t="str">
        <f>IF(Data!$B870='Team Parser'!$B$1,(AB878+(COUNTIF(AC878,"TRAVERSE")*15)+(COUNTIF(AC878,"HIGH")*10)+(COUNTIF(AC878,"MIDDLE")*6)+(COUNTIF(AC878,"LOW")*4)),"")</f>
        <v/>
      </c>
    </row>
    <row r="879">
      <c r="A879" s="141" t="s">
        <v>507</v>
      </c>
      <c r="B879" s="134"/>
      <c r="C879" s="134"/>
      <c r="D879" s="134"/>
      <c r="E879" s="134"/>
      <c r="F879" s="134"/>
      <c r="G879" s="134"/>
      <c r="H879" s="134"/>
      <c r="J879" s="134"/>
      <c r="K879" s="135"/>
      <c r="L879" s="136"/>
      <c r="M879" s="137" t="str">
        <f>IFERROR(__xludf.DUMMYFUNCTION("IFERROR((FILTER(Data!A:A,Data!D:D=A879,Data!B:B=$B$1)),"""")"),"")</f>
        <v/>
      </c>
      <c r="T879" s="52">
        <f>IFERROR(__xludf.DUMMYFUNCTION("((COUNTIF(FILTER(Data!N:N,Data!D:D=A879,Data!B:B=$B$1),""TRAVERSE"")*15)+(COUNTIF(FILTER(Data!N:N,Data!D:D=A879,Data!B:B=B$1),""HIGH"")*10)+(COUNTIF(FILTER(Data!N:N,Data!D:D=A879,Data!B:B=$B$1),""MIDDLE"")*6)+(COUNTIF(FILTER(Data!N:N,Data!D:D=A879,Data!B:"&amp;"B=$B$1),""LOW"")*4))"),0.0)</f>
        <v>0</v>
      </c>
      <c r="V879" s="138" t="str">
        <f>IF(Data!B871='Team Parser'!$B$1, Data!D871,"")</f>
        <v/>
      </c>
      <c r="W879" s="134" t="str">
        <f>IF(Data!$B871='Team Parser'!$B$1, Data!H871,"")</f>
        <v/>
      </c>
      <c r="X879" s="134" t="str">
        <f>IF(Data!$B871='Team Parser'!$B$1, Data!G871,"")</f>
        <v/>
      </c>
      <c r="Y879" s="134" t="str">
        <f>IF(Data!$B871='Team Parser'!$B$1, Data!L871,"")</f>
        <v/>
      </c>
      <c r="Z879" s="134" t="str">
        <f>IF(Data!$B871='Team Parser'!$B$1, Data!K871,"")</f>
        <v/>
      </c>
      <c r="AA879" s="134" t="str">
        <f>IF(Data!$B871='Team Parser'!$B$1, Data!M871,"")</f>
        <v/>
      </c>
      <c r="AB879" s="134" t="str">
        <f>IF(Data!$B871='Team Parser'!$B$1,((Z879*2)+(Y879)+(X879*4)+(W879*2)),"")</f>
        <v/>
      </c>
      <c r="AC879" s="134" t="str">
        <f>IF(Data!$B871='Team Parser'!$B$1, Data!N871,"")</f>
        <v/>
      </c>
      <c r="AD879" s="139" t="str">
        <f>IF(Data!$B871='Team Parser'!$B$1,(AB879+(COUNTIF(AC879,"TRAVERSE")*15)+(COUNTIF(AC879,"HIGH")*10)+(COUNTIF(AC879,"MIDDLE")*6)+(COUNTIF(AC879,"LOW")*4)),"")</f>
        <v/>
      </c>
    </row>
    <row r="880">
      <c r="A880" s="141" t="s">
        <v>507</v>
      </c>
      <c r="B880" s="134"/>
      <c r="C880" s="134"/>
      <c r="D880" s="134"/>
      <c r="E880" s="134"/>
      <c r="F880" s="134"/>
      <c r="G880" s="134"/>
      <c r="H880" s="134"/>
      <c r="J880" s="134"/>
      <c r="K880" s="135"/>
      <c r="L880" s="136"/>
      <c r="M880" s="137" t="str">
        <f>IFERROR(__xludf.DUMMYFUNCTION("IFERROR((FILTER(Data!A:A,Data!D:D=A880,Data!B:B=$B$1)),"""")"),"")</f>
        <v/>
      </c>
      <c r="T880" s="52">
        <f>IFERROR(__xludf.DUMMYFUNCTION("((COUNTIF(FILTER(Data!N:N,Data!D:D=A880,Data!B:B=$B$1),""TRAVERSE"")*15)+(COUNTIF(FILTER(Data!N:N,Data!D:D=A880,Data!B:B=B$1),""HIGH"")*10)+(COUNTIF(FILTER(Data!N:N,Data!D:D=A880,Data!B:B=$B$1),""MIDDLE"")*6)+(COUNTIF(FILTER(Data!N:N,Data!D:D=A880,Data!B:"&amp;"B=$B$1),""LOW"")*4))"),0.0)</f>
        <v>0</v>
      </c>
      <c r="V880" s="138" t="str">
        <f>IF(Data!B872='Team Parser'!$B$1, Data!D872,"")</f>
        <v/>
      </c>
      <c r="W880" s="134" t="str">
        <f>IF(Data!$B872='Team Parser'!$B$1, Data!H872,"")</f>
        <v/>
      </c>
      <c r="X880" s="134" t="str">
        <f>IF(Data!$B872='Team Parser'!$B$1, Data!G872,"")</f>
        <v/>
      </c>
      <c r="Y880" s="134" t="str">
        <f>IF(Data!$B872='Team Parser'!$B$1, Data!L872,"")</f>
        <v/>
      </c>
      <c r="Z880" s="134" t="str">
        <f>IF(Data!$B872='Team Parser'!$B$1, Data!K872,"")</f>
        <v/>
      </c>
      <c r="AA880" s="134" t="str">
        <f>IF(Data!$B872='Team Parser'!$B$1, Data!M872,"")</f>
        <v/>
      </c>
      <c r="AB880" s="134" t="str">
        <f>IF(Data!$B872='Team Parser'!$B$1,((Z880*2)+(Y880)+(X880*4)+(W880*2)),"")</f>
        <v/>
      </c>
      <c r="AC880" s="134" t="str">
        <f>IF(Data!$B872='Team Parser'!$B$1, Data!N872,"")</f>
        <v/>
      </c>
      <c r="AD880" s="139" t="str">
        <f>IF(Data!$B872='Team Parser'!$B$1,(AB880+(COUNTIF(AC880,"TRAVERSE")*15)+(COUNTIF(AC880,"HIGH")*10)+(COUNTIF(AC880,"MIDDLE")*6)+(COUNTIF(AC880,"LOW")*4)),"")</f>
        <v/>
      </c>
    </row>
    <row r="881">
      <c r="A881" s="141" t="s">
        <v>507</v>
      </c>
      <c r="B881" s="134"/>
      <c r="C881" s="134"/>
      <c r="D881" s="134"/>
      <c r="E881" s="134"/>
      <c r="F881" s="134"/>
      <c r="G881" s="134"/>
      <c r="H881" s="134"/>
      <c r="J881" s="134"/>
      <c r="K881" s="135"/>
      <c r="L881" s="136"/>
      <c r="M881" s="137" t="str">
        <f>IFERROR(__xludf.DUMMYFUNCTION("IFERROR((FILTER(Data!A:A,Data!D:D=A881,Data!B:B=$B$1)),"""")"),"")</f>
        <v/>
      </c>
      <c r="T881" s="52">
        <f>IFERROR(__xludf.DUMMYFUNCTION("((COUNTIF(FILTER(Data!N:N,Data!D:D=A881,Data!B:B=$B$1),""TRAVERSE"")*15)+(COUNTIF(FILTER(Data!N:N,Data!D:D=A881,Data!B:B=B$1),""HIGH"")*10)+(COUNTIF(FILTER(Data!N:N,Data!D:D=A881,Data!B:B=$B$1),""MIDDLE"")*6)+(COUNTIF(FILTER(Data!N:N,Data!D:D=A881,Data!B:"&amp;"B=$B$1),""LOW"")*4))"),0.0)</f>
        <v>0</v>
      </c>
      <c r="V881" s="138" t="str">
        <f>IF(Data!B873='Team Parser'!$B$1, Data!D873,"")</f>
        <v/>
      </c>
      <c r="W881" s="134" t="str">
        <f>IF(Data!$B873='Team Parser'!$B$1, Data!H873,"")</f>
        <v/>
      </c>
      <c r="X881" s="134" t="str">
        <f>IF(Data!$B873='Team Parser'!$B$1, Data!G873,"")</f>
        <v/>
      </c>
      <c r="Y881" s="134" t="str">
        <f>IF(Data!$B873='Team Parser'!$B$1, Data!L873,"")</f>
        <v/>
      </c>
      <c r="Z881" s="134" t="str">
        <f>IF(Data!$B873='Team Parser'!$B$1, Data!K873,"")</f>
        <v/>
      </c>
      <c r="AA881" s="134" t="str">
        <f>IF(Data!$B873='Team Parser'!$B$1, Data!M873,"")</f>
        <v/>
      </c>
      <c r="AB881" s="134" t="str">
        <f>IF(Data!$B873='Team Parser'!$B$1,((Z881*2)+(Y881)+(X881*4)+(W881*2)),"")</f>
        <v/>
      </c>
      <c r="AC881" s="134" t="str">
        <f>IF(Data!$B873='Team Parser'!$B$1, Data!N873,"")</f>
        <v/>
      </c>
      <c r="AD881" s="139" t="str">
        <f>IF(Data!$B873='Team Parser'!$B$1,(AB881+(COUNTIF(AC881,"TRAVERSE")*15)+(COUNTIF(AC881,"HIGH")*10)+(COUNTIF(AC881,"MIDDLE")*6)+(COUNTIF(AC881,"LOW")*4)),"")</f>
        <v/>
      </c>
    </row>
    <row r="882">
      <c r="A882" s="141" t="s">
        <v>507</v>
      </c>
      <c r="B882" s="134"/>
      <c r="C882" s="134"/>
      <c r="D882" s="134"/>
      <c r="E882" s="134"/>
      <c r="F882" s="134"/>
      <c r="G882" s="134"/>
      <c r="H882" s="134"/>
      <c r="J882" s="134"/>
      <c r="K882" s="135"/>
      <c r="L882" s="136"/>
      <c r="M882" s="137" t="str">
        <f>IFERROR(__xludf.DUMMYFUNCTION("IFERROR((FILTER(Data!A:A,Data!D:D=A882,Data!B:B=$B$1)),"""")"),"")</f>
        <v/>
      </c>
      <c r="T882" s="52">
        <f>IFERROR(__xludf.DUMMYFUNCTION("((COUNTIF(FILTER(Data!N:N,Data!D:D=A882,Data!B:B=$B$1),""TRAVERSE"")*15)+(COUNTIF(FILTER(Data!N:N,Data!D:D=A882,Data!B:B=B$1),""HIGH"")*10)+(COUNTIF(FILTER(Data!N:N,Data!D:D=A882,Data!B:B=$B$1),""MIDDLE"")*6)+(COUNTIF(FILTER(Data!N:N,Data!D:D=A882,Data!B:"&amp;"B=$B$1),""LOW"")*4))"),0.0)</f>
        <v>0</v>
      </c>
      <c r="V882" s="138" t="str">
        <f>IF(Data!B874='Team Parser'!$B$1, Data!D874,"")</f>
        <v/>
      </c>
      <c r="W882" s="134" t="str">
        <f>IF(Data!$B874='Team Parser'!$B$1, Data!H874,"")</f>
        <v/>
      </c>
      <c r="X882" s="134" t="str">
        <f>IF(Data!$B874='Team Parser'!$B$1, Data!G874,"")</f>
        <v/>
      </c>
      <c r="Y882" s="134" t="str">
        <f>IF(Data!$B874='Team Parser'!$B$1, Data!L874,"")</f>
        <v/>
      </c>
      <c r="Z882" s="134" t="str">
        <f>IF(Data!$B874='Team Parser'!$B$1, Data!K874,"")</f>
        <v/>
      </c>
      <c r="AA882" s="134" t="str">
        <f>IF(Data!$B874='Team Parser'!$B$1, Data!M874,"")</f>
        <v/>
      </c>
      <c r="AB882" s="134" t="str">
        <f>IF(Data!$B874='Team Parser'!$B$1,((Z882*2)+(Y882)+(X882*4)+(W882*2)),"")</f>
        <v/>
      </c>
      <c r="AC882" s="134" t="str">
        <f>IF(Data!$B874='Team Parser'!$B$1, Data!N874,"")</f>
        <v/>
      </c>
      <c r="AD882" s="139" t="str">
        <f>IF(Data!$B874='Team Parser'!$B$1,(AB882+(COUNTIF(AC882,"TRAVERSE")*15)+(COUNTIF(AC882,"HIGH")*10)+(COUNTIF(AC882,"MIDDLE")*6)+(COUNTIF(AC882,"LOW")*4)),"")</f>
        <v/>
      </c>
    </row>
    <row r="883">
      <c r="A883" s="141" t="s">
        <v>507</v>
      </c>
      <c r="B883" s="134"/>
      <c r="C883" s="134"/>
      <c r="D883" s="134"/>
      <c r="E883" s="134"/>
      <c r="F883" s="134"/>
      <c r="G883" s="134"/>
      <c r="H883" s="134"/>
      <c r="J883" s="134"/>
      <c r="K883" s="135"/>
      <c r="L883" s="136"/>
      <c r="M883" s="137" t="str">
        <f>IFERROR(__xludf.DUMMYFUNCTION("IFERROR((FILTER(Data!A:A,Data!D:D=A883,Data!B:B=$B$1)),"""")"),"")</f>
        <v/>
      </c>
      <c r="T883" s="52">
        <f>IFERROR(__xludf.DUMMYFUNCTION("((COUNTIF(FILTER(Data!N:N,Data!D:D=A883,Data!B:B=$B$1),""TRAVERSE"")*15)+(COUNTIF(FILTER(Data!N:N,Data!D:D=A883,Data!B:B=B$1),""HIGH"")*10)+(COUNTIF(FILTER(Data!N:N,Data!D:D=A883,Data!B:B=$B$1),""MIDDLE"")*6)+(COUNTIF(FILTER(Data!N:N,Data!D:D=A883,Data!B:"&amp;"B=$B$1),""LOW"")*4))"),0.0)</f>
        <v>0</v>
      </c>
      <c r="V883" s="138" t="str">
        <f>IF(Data!B875='Team Parser'!$B$1, Data!D875,"")</f>
        <v/>
      </c>
      <c r="W883" s="134" t="str">
        <f>IF(Data!$B875='Team Parser'!$B$1, Data!H875,"")</f>
        <v/>
      </c>
      <c r="X883" s="134" t="str">
        <f>IF(Data!$B875='Team Parser'!$B$1, Data!G875,"")</f>
        <v/>
      </c>
      <c r="Y883" s="134" t="str">
        <f>IF(Data!$B875='Team Parser'!$B$1, Data!L875,"")</f>
        <v/>
      </c>
      <c r="Z883" s="134" t="str">
        <f>IF(Data!$B875='Team Parser'!$B$1, Data!K875,"")</f>
        <v/>
      </c>
      <c r="AA883" s="134" t="str">
        <f>IF(Data!$B875='Team Parser'!$B$1, Data!M875,"")</f>
        <v/>
      </c>
      <c r="AB883" s="134" t="str">
        <f>IF(Data!$B875='Team Parser'!$B$1,((Z883*2)+(Y883)+(X883*4)+(W883*2)),"")</f>
        <v/>
      </c>
      <c r="AC883" s="134" t="str">
        <f>IF(Data!$B875='Team Parser'!$B$1, Data!N875,"")</f>
        <v/>
      </c>
      <c r="AD883" s="139" t="str">
        <f>IF(Data!$B875='Team Parser'!$B$1,(AB883+(COUNTIF(AC883,"TRAVERSE")*15)+(COUNTIF(AC883,"HIGH")*10)+(COUNTIF(AC883,"MIDDLE")*6)+(COUNTIF(AC883,"LOW")*4)),"")</f>
        <v/>
      </c>
    </row>
    <row r="884">
      <c r="A884" s="141" t="s">
        <v>507</v>
      </c>
      <c r="B884" s="134"/>
      <c r="C884" s="134"/>
      <c r="D884" s="134"/>
      <c r="E884" s="134"/>
      <c r="F884" s="134"/>
      <c r="G884" s="134"/>
      <c r="H884" s="134"/>
      <c r="J884" s="134"/>
      <c r="K884" s="135"/>
      <c r="L884" s="136"/>
      <c r="M884" s="137" t="str">
        <f>IFERROR(__xludf.DUMMYFUNCTION("IFERROR((FILTER(Data!A:A,Data!D:D=A884,Data!B:B=$B$1)),"""")"),"")</f>
        <v/>
      </c>
      <c r="T884" s="52">
        <f>IFERROR(__xludf.DUMMYFUNCTION("((COUNTIF(FILTER(Data!N:N,Data!D:D=A884,Data!B:B=$B$1),""TRAVERSE"")*15)+(COUNTIF(FILTER(Data!N:N,Data!D:D=A884,Data!B:B=B$1),""HIGH"")*10)+(COUNTIF(FILTER(Data!N:N,Data!D:D=A884,Data!B:B=$B$1),""MIDDLE"")*6)+(COUNTIF(FILTER(Data!N:N,Data!D:D=A884,Data!B:"&amp;"B=$B$1),""LOW"")*4))"),0.0)</f>
        <v>0</v>
      </c>
      <c r="V884" s="138" t="str">
        <f>IF(Data!B876='Team Parser'!$B$1, Data!D876,"")</f>
        <v/>
      </c>
      <c r="W884" s="134" t="str">
        <f>IF(Data!$B876='Team Parser'!$B$1, Data!H876,"")</f>
        <v/>
      </c>
      <c r="X884" s="134" t="str">
        <f>IF(Data!$B876='Team Parser'!$B$1, Data!G876,"")</f>
        <v/>
      </c>
      <c r="Y884" s="134" t="str">
        <f>IF(Data!$B876='Team Parser'!$B$1, Data!L876,"")</f>
        <v/>
      </c>
      <c r="Z884" s="134" t="str">
        <f>IF(Data!$B876='Team Parser'!$B$1, Data!K876,"")</f>
        <v/>
      </c>
      <c r="AA884" s="134" t="str">
        <f>IF(Data!$B876='Team Parser'!$B$1, Data!M876,"")</f>
        <v/>
      </c>
      <c r="AB884" s="134" t="str">
        <f>IF(Data!$B876='Team Parser'!$B$1,((Z884*2)+(Y884)+(X884*4)+(W884*2)),"")</f>
        <v/>
      </c>
      <c r="AC884" s="134" t="str">
        <f>IF(Data!$B876='Team Parser'!$B$1, Data!N876,"")</f>
        <v/>
      </c>
      <c r="AD884" s="139" t="str">
        <f>IF(Data!$B876='Team Parser'!$B$1,(AB884+(COUNTIF(AC884,"TRAVERSE")*15)+(COUNTIF(AC884,"HIGH")*10)+(COUNTIF(AC884,"MIDDLE")*6)+(COUNTIF(AC884,"LOW")*4)),"")</f>
        <v/>
      </c>
    </row>
    <row r="885">
      <c r="A885" s="141" t="s">
        <v>507</v>
      </c>
      <c r="B885" s="134"/>
      <c r="C885" s="134"/>
      <c r="D885" s="134"/>
      <c r="E885" s="134"/>
      <c r="F885" s="134"/>
      <c r="G885" s="134"/>
      <c r="H885" s="134"/>
      <c r="J885" s="134"/>
      <c r="K885" s="135"/>
      <c r="L885" s="136"/>
      <c r="M885" s="137" t="str">
        <f>IFERROR(__xludf.DUMMYFUNCTION("IFERROR((FILTER(Data!A:A,Data!D:D=A885,Data!B:B=$B$1)),"""")"),"")</f>
        <v/>
      </c>
      <c r="T885" s="52">
        <f>IFERROR(__xludf.DUMMYFUNCTION("((COUNTIF(FILTER(Data!N:N,Data!D:D=A885,Data!B:B=$B$1),""TRAVERSE"")*15)+(COUNTIF(FILTER(Data!N:N,Data!D:D=A885,Data!B:B=B$1),""HIGH"")*10)+(COUNTIF(FILTER(Data!N:N,Data!D:D=A885,Data!B:B=$B$1),""MIDDLE"")*6)+(COUNTIF(FILTER(Data!N:N,Data!D:D=A885,Data!B:"&amp;"B=$B$1),""LOW"")*4))"),0.0)</f>
        <v>0</v>
      </c>
      <c r="V885" s="138" t="str">
        <f>IF(Data!B877='Team Parser'!$B$1, Data!D877,"")</f>
        <v/>
      </c>
      <c r="W885" s="134" t="str">
        <f>IF(Data!$B877='Team Parser'!$B$1, Data!H877,"")</f>
        <v/>
      </c>
      <c r="X885" s="134" t="str">
        <f>IF(Data!$B877='Team Parser'!$B$1, Data!G877,"")</f>
        <v/>
      </c>
      <c r="Y885" s="134" t="str">
        <f>IF(Data!$B877='Team Parser'!$B$1, Data!L877,"")</f>
        <v/>
      </c>
      <c r="Z885" s="134" t="str">
        <f>IF(Data!$B877='Team Parser'!$B$1, Data!K877,"")</f>
        <v/>
      </c>
      <c r="AA885" s="134" t="str">
        <f>IF(Data!$B877='Team Parser'!$B$1, Data!M877,"")</f>
        <v/>
      </c>
      <c r="AB885" s="134" t="str">
        <f>IF(Data!$B877='Team Parser'!$B$1,((Z885*2)+(Y885)+(X885*4)+(W885*2)),"")</f>
        <v/>
      </c>
      <c r="AC885" s="134" t="str">
        <f>IF(Data!$B877='Team Parser'!$B$1, Data!N877,"")</f>
        <v/>
      </c>
      <c r="AD885" s="139" t="str">
        <f>IF(Data!$B877='Team Parser'!$B$1,(AB885+(COUNTIF(AC885,"TRAVERSE")*15)+(COUNTIF(AC885,"HIGH")*10)+(COUNTIF(AC885,"MIDDLE")*6)+(COUNTIF(AC885,"LOW")*4)),"")</f>
        <v/>
      </c>
    </row>
    <row r="886">
      <c r="A886" s="141" t="s">
        <v>507</v>
      </c>
      <c r="B886" s="134"/>
      <c r="C886" s="134"/>
      <c r="D886" s="134"/>
      <c r="E886" s="134"/>
      <c r="F886" s="134"/>
      <c r="G886" s="134"/>
      <c r="H886" s="134"/>
      <c r="J886" s="134"/>
      <c r="K886" s="135"/>
      <c r="L886" s="136"/>
      <c r="M886" s="137" t="str">
        <f>IFERROR(__xludf.DUMMYFUNCTION("IFERROR((FILTER(Data!A:A,Data!D:D=A886,Data!B:B=$B$1)),"""")"),"")</f>
        <v/>
      </c>
      <c r="T886" s="52">
        <f>IFERROR(__xludf.DUMMYFUNCTION("((COUNTIF(FILTER(Data!N:N,Data!D:D=A886,Data!B:B=$B$1),""TRAVERSE"")*15)+(COUNTIF(FILTER(Data!N:N,Data!D:D=A886,Data!B:B=B$1),""HIGH"")*10)+(COUNTIF(FILTER(Data!N:N,Data!D:D=A886,Data!B:B=$B$1),""MIDDLE"")*6)+(COUNTIF(FILTER(Data!N:N,Data!D:D=A886,Data!B:"&amp;"B=$B$1),""LOW"")*4))"),0.0)</f>
        <v>0</v>
      </c>
      <c r="V886" s="138" t="str">
        <f>IF(Data!B878='Team Parser'!$B$1, Data!D878,"")</f>
        <v/>
      </c>
      <c r="W886" s="134" t="str">
        <f>IF(Data!$B878='Team Parser'!$B$1, Data!H878,"")</f>
        <v/>
      </c>
      <c r="X886" s="134" t="str">
        <f>IF(Data!$B878='Team Parser'!$B$1, Data!G878,"")</f>
        <v/>
      </c>
      <c r="Y886" s="134" t="str">
        <f>IF(Data!$B878='Team Parser'!$B$1, Data!L878,"")</f>
        <v/>
      </c>
      <c r="Z886" s="134" t="str">
        <f>IF(Data!$B878='Team Parser'!$B$1, Data!K878,"")</f>
        <v/>
      </c>
      <c r="AA886" s="134" t="str">
        <f>IF(Data!$B878='Team Parser'!$B$1, Data!M878,"")</f>
        <v/>
      </c>
      <c r="AB886" s="134" t="str">
        <f>IF(Data!$B878='Team Parser'!$B$1,((Z886*2)+(Y886)+(X886*4)+(W886*2)),"")</f>
        <v/>
      </c>
      <c r="AC886" s="134" t="str">
        <f>IF(Data!$B878='Team Parser'!$B$1, Data!N878,"")</f>
        <v/>
      </c>
      <c r="AD886" s="139" t="str">
        <f>IF(Data!$B878='Team Parser'!$B$1,(AB886+(COUNTIF(AC886,"TRAVERSE")*15)+(COUNTIF(AC886,"HIGH")*10)+(COUNTIF(AC886,"MIDDLE")*6)+(COUNTIF(AC886,"LOW")*4)),"")</f>
        <v/>
      </c>
    </row>
    <row r="887">
      <c r="A887" s="141" t="s">
        <v>507</v>
      </c>
      <c r="B887" s="134"/>
      <c r="C887" s="134"/>
      <c r="D887" s="134"/>
      <c r="E887" s="134"/>
      <c r="F887" s="134"/>
      <c r="G887" s="134"/>
      <c r="H887" s="134"/>
      <c r="J887" s="134"/>
      <c r="K887" s="135"/>
      <c r="L887" s="136"/>
      <c r="M887" s="137" t="str">
        <f>IFERROR(__xludf.DUMMYFUNCTION("IFERROR((FILTER(Data!A:A,Data!D:D=A887,Data!B:B=$B$1)),"""")"),"")</f>
        <v/>
      </c>
      <c r="T887" s="52">
        <f>IFERROR(__xludf.DUMMYFUNCTION("((COUNTIF(FILTER(Data!N:N,Data!D:D=A887,Data!B:B=$B$1),""TRAVERSE"")*15)+(COUNTIF(FILTER(Data!N:N,Data!D:D=A887,Data!B:B=B$1),""HIGH"")*10)+(COUNTIF(FILTER(Data!N:N,Data!D:D=A887,Data!B:B=$B$1),""MIDDLE"")*6)+(COUNTIF(FILTER(Data!N:N,Data!D:D=A887,Data!B:"&amp;"B=$B$1),""LOW"")*4))"),0.0)</f>
        <v>0</v>
      </c>
      <c r="V887" s="138" t="str">
        <f>IF(Data!B879='Team Parser'!$B$1, Data!D879,"")</f>
        <v/>
      </c>
      <c r="W887" s="134" t="str">
        <f>IF(Data!$B879='Team Parser'!$B$1, Data!H879,"")</f>
        <v/>
      </c>
      <c r="X887" s="134" t="str">
        <f>IF(Data!$B879='Team Parser'!$B$1, Data!G879,"")</f>
        <v/>
      </c>
      <c r="Y887" s="134" t="str">
        <f>IF(Data!$B879='Team Parser'!$B$1, Data!L879,"")</f>
        <v/>
      </c>
      <c r="Z887" s="134" t="str">
        <f>IF(Data!$B879='Team Parser'!$B$1, Data!K879,"")</f>
        <v/>
      </c>
      <c r="AA887" s="134" t="str">
        <f>IF(Data!$B879='Team Parser'!$B$1, Data!M879,"")</f>
        <v/>
      </c>
      <c r="AB887" s="134" t="str">
        <f>IF(Data!$B879='Team Parser'!$B$1,((Z887*2)+(Y887)+(X887*4)+(W887*2)),"")</f>
        <v/>
      </c>
      <c r="AC887" s="134" t="str">
        <f>IF(Data!$B879='Team Parser'!$B$1, Data!N879,"")</f>
        <v/>
      </c>
      <c r="AD887" s="139" t="str">
        <f>IF(Data!$B879='Team Parser'!$B$1,(AB887+(COUNTIF(AC887,"TRAVERSE")*15)+(COUNTIF(AC887,"HIGH")*10)+(COUNTIF(AC887,"MIDDLE")*6)+(COUNTIF(AC887,"LOW")*4)),"")</f>
        <v/>
      </c>
    </row>
    <row r="888">
      <c r="A888" s="141" t="s">
        <v>507</v>
      </c>
      <c r="B888" s="134"/>
      <c r="C888" s="134"/>
      <c r="D888" s="134"/>
      <c r="E888" s="134"/>
      <c r="F888" s="134"/>
      <c r="G888" s="134"/>
      <c r="H888" s="134"/>
      <c r="J888" s="134"/>
      <c r="K888" s="135"/>
      <c r="L888" s="136"/>
      <c r="M888" s="137" t="str">
        <f>IFERROR(__xludf.DUMMYFUNCTION("IFERROR((FILTER(Data!A:A,Data!D:D=A888,Data!B:B=$B$1)),"""")"),"")</f>
        <v/>
      </c>
      <c r="T888" s="52">
        <f>IFERROR(__xludf.DUMMYFUNCTION("((COUNTIF(FILTER(Data!N:N,Data!D:D=A888,Data!B:B=$B$1),""TRAVERSE"")*15)+(COUNTIF(FILTER(Data!N:N,Data!D:D=A888,Data!B:B=B$1),""HIGH"")*10)+(COUNTIF(FILTER(Data!N:N,Data!D:D=A888,Data!B:B=$B$1),""MIDDLE"")*6)+(COUNTIF(FILTER(Data!N:N,Data!D:D=A888,Data!B:"&amp;"B=$B$1),""LOW"")*4))"),0.0)</f>
        <v>0</v>
      </c>
      <c r="V888" s="138" t="str">
        <f>IF(Data!B880='Team Parser'!$B$1, Data!D880,"")</f>
        <v/>
      </c>
      <c r="W888" s="134" t="str">
        <f>IF(Data!$B880='Team Parser'!$B$1, Data!H880,"")</f>
        <v/>
      </c>
      <c r="X888" s="134" t="str">
        <f>IF(Data!$B880='Team Parser'!$B$1, Data!G880,"")</f>
        <v/>
      </c>
      <c r="Y888" s="134" t="str">
        <f>IF(Data!$B880='Team Parser'!$B$1, Data!L880,"")</f>
        <v/>
      </c>
      <c r="Z888" s="134" t="str">
        <f>IF(Data!$B880='Team Parser'!$B$1, Data!K880,"")</f>
        <v/>
      </c>
      <c r="AA888" s="134" t="str">
        <f>IF(Data!$B880='Team Parser'!$B$1, Data!M880,"")</f>
        <v/>
      </c>
      <c r="AB888" s="134" t="str">
        <f>IF(Data!$B880='Team Parser'!$B$1,((Z888*2)+(Y888)+(X888*4)+(W888*2)),"")</f>
        <v/>
      </c>
      <c r="AC888" s="134" t="str">
        <f>IF(Data!$B880='Team Parser'!$B$1, Data!N880,"")</f>
        <v/>
      </c>
      <c r="AD888" s="139" t="str">
        <f>IF(Data!$B880='Team Parser'!$B$1,(AB888+(COUNTIF(AC888,"TRAVERSE")*15)+(COUNTIF(AC888,"HIGH")*10)+(COUNTIF(AC888,"MIDDLE")*6)+(COUNTIF(AC888,"LOW")*4)),"")</f>
        <v/>
      </c>
    </row>
    <row r="889">
      <c r="A889" s="141" t="s">
        <v>507</v>
      </c>
      <c r="B889" s="134"/>
      <c r="C889" s="134"/>
      <c r="D889" s="134"/>
      <c r="E889" s="134"/>
      <c r="F889" s="134"/>
      <c r="G889" s="134"/>
      <c r="H889" s="134"/>
      <c r="J889" s="134"/>
      <c r="K889" s="135"/>
      <c r="L889" s="136"/>
      <c r="M889" s="137" t="str">
        <f>IFERROR(__xludf.DUMMYFUNCTION("IFERROR((FILTER(Data!A:A,Data!D:D=A889,Data!B:B=$B$1)),"""")"),"")</f>
        <v/>
      </c>
      <c r="T889" s="52">
        <f>IFERROR(__xludf.DUMMYFUNCTION("((COUNTIF(FILTER(Data!N:N,Data!D:D=A889,Data!B:B=$B$1),""TRAVERSE"")*15)+(COUNTIF(FILTER(Data!N:N,Data!D:D=A889,Data!B:B=B$1),""HIGH"")*10)+(COUNTIF(FILTER(Data!N:N,Data!D:D=A889,Data!B:B=$B$1),""MIDDLE"")*6)+(COUNTIF(FILTER(Data!N:N,Data!D:D=A889,Data!B:"&amp;"B=$B$1),""LOW"")*4))"),0.0)</f>
        <v>0</v>
      </c>
      <c r="V889" s="138" t="str">
        <f>IF(Data!B881='Team Parser'!$B$1, Data!D881,"")</f>
        <v/>
      </c>
      <c r="W889" s="134" t="str">
        <f>IF(Data!$B881='Team Parser'!$B$1, Data!H881,"")</f>
        <v/>
      </c>
      <c r="X889" s="134" t="str">
        <f>IF(Data!$B881='Team Parser'!$B$1, Data!G881,"")</f>
        <v/>
      </c>
      <c r="Y889" s="134" t="str">
        <f>IF(Data!$B881='Team Parser'!$B$1, Data!L881,"")</f>
        <v/>
      </c>
      <c r="Z889" s="134" t="str">
        <f>IF(Data!$B881='Team Parser'!$B$1, Data!K881,"")</f>
        <v/>
      </c>
      <c r="AA889" s="134" t="str">
        <f>IF(Data!$B881='Team Parser'!$B$1, Data!M881,"")</f>
        <v/>
      </c>
      <c r="AB889" s="134" t="str">
        <f>IF(Data!$B881='Team Parser'!$B$1,((Z889*2)+(Y889)+(X889*4)+(W889*2)),"")</f>
        <v/>
      </c>
      <c r="AC889" s="134" t="str">
        <f>IF(Data!$B881='Team Parser'!$B$1, Data!N881,"")</f>
        <v/>
      </c>
      <c r="AD889" s="139" t="str">
        <f>IF(Data!$B881='Team Parser'!$B$1,(AB889+(COUNTIF(AC889,"TRAVERSE")*15)+(COUNTIF(AC889,"HIGH")*10)+(COUNTIF(AC889,"MIDDLE")*6)+(COUNTIF(AC889,"LOW")*4)),"")</f>
        <v/>
      </c>
    </row>
    <row r="890">
      <c r="A890" s="141" t="s">
        <v>507</v>
      </c>
      <c r="B890" s="134"/>
      <c r="C890" s="134"/>
      <c r="D890" s="134"/>
      <c r="E890" s="134"/>
      <c r="F890" s="134"/>
      <c r="G890" s="134"/>
      <c r="H890" s="134"/>
      <c r="J890" s="134"/>
      <c r="K890" s="135"/>
      <c r="L890" s="136"/>
      <c r="M890" s="137" t="str">
        <f>IFERROR(__xludf.DUMMYFUNCTION("IFERROR((FILTER(Data!A:A,Data!D:D=A890,Data!B:B=$B$1)),"""")"),"")</f>
        <v/>
      </c>
      <c r="T890" s="52">
        <f>IFERROR(__xludf.DUMMYFUNCTION("((COUNTIF(FILTER(Data!N:N,Data!D:D=A890,Data!B:B=$B$1),""TRAVERSE"")*15)+(COUNTIF(FILTER(Data!N:N,Data!D:D=A890,Data!B:B=B$1),""HIGH"")*10)+(COUNTIF(FILTER(Data!N:N,Data!D:D=A890,Data!B:B=$B$1),""MIDDLE"")*6)+(COUNTIF(FILTER(Data!N:N,Data!D:D=A890,Data!B:"&amp;"B=$B$1),""LOW"")*4))"),0.0)</f>
        <v>0</v>
      </c>
      <c r="V890" s="138" t="str">
        <f>IF(Data!B882='Team Parser'!$B$1, Data!D882,"")</f>
        <v/>
      </c>
      <c r="W890" s="134" t="str">
        <f>IF(Data!$B882='Team Parser'!$B$1, Data!H882,"")</f>
        <v/>
      </c>
      <c r="X890" s="134" t="str">
        <f>IF(Data!$B882='Team Parser'!$B$1, Data!G882,"")</f>
        <v/>
      </c>
      <c r="Y890" s="134" t="str">
        <f>IF(Data!$B882='Team Parser'!$B$1, Data!L882,"")</f>
        <v/>
      </c>
      <c r="Z890" s="134" t="str">
        <f>IF(Data!$B882='Team Parser'!$B$1, Data!K882,"")</f>
        <v/>
      </c>
      <c r="AA890" s="134" t="str">
        <f>IF(Data!$B882='Team Parser'!$B$1, Data!M882,"")</f>
        <v/>
      </c>
      <c r="AB890" s="134" t="str">
        <f>IF(Data!$B882='Team Parser'!$B$1,((Z890*2)+(Y890)+(X890*4)+(W890*2)),"")</f>
        <v/>
      </c>
      <c r="AC890" s="134" t="str">
        <f>IF(Data!$B882='Team Parser'!$B$1, Data!N882,"")</f>
        <v/>
      </c>
      <c r="AD890" s="139" t="str">
        <f>IF(Data!$B882='Team Parser'!$B$1,(AB890+(COUNTIF(AC890,"TRAVERSE")*15)+(COUNTIF(AC890,"HIGH")*10)+(COUNTIF(AC890,"MIDDLE")*6)+(COUNTIF(AC890,"LOW")*4)),"")</f>
        <v/>
      </c>
    </row>
    <row r="891">
      <c r="A891" s="141" t="s">
        <v>507</v>
      </c>
      <c r="B891" s="134"/>
      <c r="C891" s="134"/>
      <c r="D891" s="134"/>
      <c r="E891" s="134"/>
      <c r="F891" s="134"/>
      <c r="G891" s="134"/>
      <c r="H891" s="134"/>
      <c r="J891" s="134"/>
      <c r="K891" s="135"/>
      <c r="L891" s="136"/>
      <c r="M891" s="137" t="str">
        <f>IFERROR(__xludf.DUMMYFUNCTION("IFERROR((FILTER(Data!A:A,Data!D:D=A891,Data!B:B=$B$1)),"""")"),"")</f>
        <v/>
      </c>
      <c r="T891" s="52">
        <f>IFERROR(__xludf.DUMMYFUNCTION("((COUNTIF(FILTER(Data!N:N,Data!D:D=A891,Data!B:B=$B$1),""TRAVERSE"")*15)+(COUNTIF(FILTER(Data!N:N,Data!D:D=A891,Data!B:B=B$1),""HIGH"")*10)+(COUNTIF(FILTER(Data!N:N,Data!D:D=A891,Data!B:B=$B$1),""MIDDLE"")*6)+(COUNTIF(FILTER(Data!N:N,Data!D:D=A891,Data!B:"&amp;"B=$B$1),""LOW"")*4))"),0.0)</f>
        <v>0</v>
      </c>
      <c r="V891" s="138" t="str">
        <f>IF(Data!B883='Team Parser'!$B$1, Data!D883,"")</f>
        <v/>
      </c>
      <c r="W891" s="134" t="str">
        <f>IF(Data!$B883='Team Parser'!$B$1, Data!H883,"")</f>
        <v/>
      </c>
      <c r="X891" s="134" t="str">
        <f>IF(Data!$B883='Team Parser'!$B$1, Data!G883,"")</f>
        <v/>
      </c>
      <c r="Y891" s="134" t="str">
        <f>IF(Data!$B883='Team Parser'!$B$1, Data!L883,"")</f>
        <v/>
      </c>
      <c r="Z891" s="134" t="str">
        <f>IF(Data!$B883='Team Parser'!$B$1, Data!K883,"")</f>
        <v/>
      </c>
      <c r="AA891" s="134" t="str">
        <f>IF(Data!$B883='Team Parser'!$B$1, Data!M883,"")</f>
        <v/>
      </c>
      <c r="AB891" s="134" t="str">
        <f>IF(Data!$B883='Team Parser'!$B$1,((Z891*2)+(Y891)+(X891*4)+(W891*2)),"")</f>
        <v/>
      </c>
      <c r="AC891" s="134" t="str">
        <f>IF(Data!$B883='Team Parser'!$B$1, Data!N883,"")</f>
        <v/>
      </c>
      <c r="AD891" s="139" t="str">
        <f>IF(Data!$B883='Team Parser'!$B$1,(AB891+(COUNTIF(AC891,"TRAVERSE")*15)+(COUNTIF(AC891,"HIGH")*10)+(COUNTIF(AC891,"MIDDLE")*6)+(COUNTIF(AC891,"LOW")*4)),"")</f>
        <v/>
      </c>
    </row>
    <row r="892">
      <c r="A892" s="141" t="s">
        <v>507</v>
      </c>
      <c r="B892" s="134"/>
      <c r="C892" s="134"/>
      <c r="D892" s="134"/>
      <c r="E892" s="134"/>
      <c r="F892" s="134"/>
      <c r="G892" s="134"/>
      <c r="H892" s="134"/>
      <c r="J892" s="134"/>
      <c r="K892" s="135"/>
      <c r="L892" s="136"/>
      <c r="M892" s="137" t="str">
        <f>IFERROR(__xludf.DUMMYFUNCTION("IFERROR((FILTER(Data!A:A,Data!D:D=A892,Data!B:B=$B$1)),"""")"),"")</f>
        <v/>
      </c>
      <c r="T892" s="52">
        <f>IFERROR(__xludf.DUMMYFUNCTION("((COUNTIF(FILTER(Data!N:N,Data!D:D=A892,Data!B:B=$B$1),""TRAVERSE"")*15)+(COUNTIF(FILTER(Data!N:N,Data!D:D=A892,Data!B:B=B$1),""HIGH"")*10)+(COUNTIF(FILTER(Data!N:N,Data!D:D=A892,Data!B:B=$B$1),""MIDDLE"")*6)+(COUNTIF(FILTER(Data!N:N,Data!D:D=A892,Data!B:"&amp;"B=$B$1),""LOW"")*4))"),0.0)</f>
        <v>0</v>
      </c>
      <c r="V892" s="138" t="str">
        <f>IF(Data!B884='Team Parser'!$B$1, Data!D884,"")</f>
        <v/>
      </c>
      <c r="W892" s="134" t="str">
        <f>IF(Data!$B884='Team Parser'!$B$1, Data!H884,"")</f>
        <v/>
      </c>
      <c r="X892" s="134" t="str">
        <f>IF(Data!$B884='Team Parser'!$B$1, Data!G884,"")</f>
        <v/>
      </c>
      <c r="Y892" s="134" t="str">
        <f>IF(Data!$B884='Team Parser'!$B$1, Data!L884,"")</f>
        <v/>
      </c>
      <c r="Z892" s="134" t="str">
        <f>IF(Data!$B884='Team Parser'!$B$1, Data!K884,"")</f>
        <v/>
      </c>
      <c r="AA892" s="134" t="str">
        <f>IF(Data!$B884='Team Parser'!$B$1, Data!M884,"")</f>
        <v/>
      </c>
      <c r="AB892" s="134" t="str">
        <f>IF(Data!$B884='Team Parser'!$B$1,((Z892*2)+(Y892)+(X892*4)+(W892*2)),"")</f>
        <v/>
      </c>
      <c r="AC892" s="134" t="str">
        <f>IF(Data!$B884='Team Parser'!$B$1, Data!N884,"")</f>
        <v/>
      </c>
      <c r="AD892" s="139" t="str">
        <f>IF(Data!$B884='Team Parser'!$B$1,(AB892+(COUNTIF(AC892,"TRAVERSE")*15)+(COUNTIF(AC892,"HIGH")*10)+(COUNTIF(AC892,"MIDDLE")*6)+(COUNTIF(AC892,"LOW")*4)),"")</f>
        <v/>
      </c>
    </row>
    <row r="893">
      <c r="A893" s="141" t="s">
        <v>507</v>
      </c>
      <c r="B893" s="134"/>
      <c r="C893" s="134"/>
      <c r="D893" s="134"/>
      <c r="E893" s="134"/>
      <c r="F893" s="134"/>
      <c r="G893" s="134"/>
      <c r="H893" s="134"/>
      <c r="J893" s="134"/>
      <c r="K893" s="135"/>
      <c r="L893" s="136"/>
      <c r="M893" s="137" t="str">
        <f>IFERROR(__xludf.DUMMYFUNCTION("IFERROR((FILTER(Data!A:A,Data!D:D=A893,Data!B:B=$B$1)),"""")"),"")</f>
        <v/>
      </c>
      <c r="T893" s="52">
        <f>IFERROR(__xludf.DUMMYFUNCTION("((COUNTIF(FILTER(Data!N:N,Data!D:D=A893,Data!B:B=$B$1),""TRAVERSE"")*15)+(COUNTIF(FILTER(Data!N:N,Data!D:D=A893,Data!B:B=B$1),""HIGH"")*10)+(COUNTIF(FILTER(Data!N:N,Data!D:D=A893,Data!B:B=$B$1),""MIDDLE"")*6)+(COUNTIF(FILTER(Data!N:N,Data!D:D=A893,Data!B:"&amp;"B=$B$1),""LOW"")*4))"),0.0)</f>
        <v>0</v>
      </c>
      <c r="V893" s="138" t="str">
        <f>IF(Data!B885='Team Parser'!$B$1, Data!D885,"")</f>
        <v/>
      </c>
      <c r="W893" s="134" t="str">
        <f>IF(Data!$B885='Team Parser'!$B$1, Data!H885,"")</f>
        <v/>
      </c>
      <c r="X893" s="134" t="str">
        <f>IF(Data!$B885='Team Parser'!$B$1, Data!G885,"")</f>
        <v/>
      </c>
      <c r="Y893" s="134" t="str">
        <f>IF(Data!$B885='Team Parser'!$B$1, Data!L885,"")</f>
        <v/>
      </c>
      <c r="Z893" s="134" t="str">
        <f>IF(Data!$B885='Team Parser'!$B$1, Data!K885,"")</f>
        <v/>
      </c>
      <c r="AA893" s="134" t="str">
        <f>IF(Data!$B885='Team Parser'!$B$1, Data!M885,"")</f>
        <v/>
      </c>
      <c r="AB893" s="134" t="str">
        <f>IF(Data!$B885='Team Parser'!$B$1,((Z893*2)+(Y893)+(X893*4)+(W893*2)),"")</f>
        <v/>
      </c>
      <c r="AC893" s="134" t="str">
        <f>IF(Data!$B885='Team Parser'!$B$1, Data!N885,"")</f>
        <v/>
      </c>
      <c r="AD893" s="139" t="str">
        <f>IF(Data!$B885='Team Parser'!$B$1,(AB893+(COUNTIF(AC893,"TRAVERSE")*15)+(COUNTIF(AC893,"HIGH")*10)+(COUNTIF(AC893,"MIDDLE")*6)+(COUNTIF(AC893,"LOW")*4)),"")</f>
        <v/>
      </c>
    </row>
    <row r="894">
      <c r="A894" s="141" t="s">
        <v>507</v>
      </c>
      <c r="B894" s="134"/>
      <c r="C894" s="134"/>
      <c r="D894" s="134"/>
      <c r="E894" s="134"/>
      <c r="F894" s="134"/>
      <c r="G894" s="134"/>
      <c r="H894" s="134"/>
      <c r="J894" s="134"/>
      <c r="K894" s="135"/>
      <c r="L894" s="136"/>
      <c r="M894" s="137" t="str">
        <f>IFERROR(__xludf.DUMMYFUNCTION("IFERROR((FILTER(Data!A:A,Data!D:D=A894,Data!B:B=$B$1)),"""")"),"")</f>
        <v/>
      </c>
      <c r="T894" s="52">
        <f>IFERROR(__xludf.DUMMYFUNCTION("((COUNTIF(FILTER(Data!N:N,Data!D:D=A894,Data!B:B=$B$1),""TRAVERSE"")*15)+(COUNTIF(FILTER(Data!N:N,Data!D:D=A894,Data!B:B=B$1),""HIGH"")*10)+(COUNTIF(FILTER(Data!N:N,Data!D:D=A894,Data!B:B=$B$1),""MIDDLE"")*6)+(COUNTIF(FILTER(Data!N:N,Data!D:D=A894,Data!B:"&amp;"B=$B$1),""LOW"")*4))"),0.0)</f>
        <v>0</v>
      </c>
      <c r="V894" s="138" t="str">
        <f>IF(Data!B886='Team Parser'!$B$1, Data!D886,"")</f>
        <v/>
      </c>
      <c r="W894" s="134" t="str">
        <f>IF(Data!$B886='Team Parser'!$B$1, Data!H886,"")</f>
        <v/>
      </c>
      <c r="X894" s="134" t="str">
        <f>IF(Data!$B886='Team Parser'!$B$1, Data!G886,"")</f>
        <v/>
      </c>
      <c r="Y894" s="134" t="str">
        <f>IF(Data!$B886='Team Parser'!$B$1, Data!L886,"")</f>
        <v/>
      </c>
      <c r="Z894" s="134" t="str">
        <f>IF(Data!$B886='Team Parser'!$B$1, Data!K886,"")</f>
        <v/>
      </c>
      <c r="AA894" s="134" t="str">
        <f>IF(Data!$B886='Team Parser'!$B$1, Data!M886,"")</f>
        <v/>
      </c>
      <c r="AB894" s="134" t="str">
        <f>IF(Data!$B886='Team Parser'!$B$1,((Z894*2)+(Y894)+(X894*4)+(W894*2)),"")</f>
        <v/>
      </c>
      <c r="AC894" s="134" t="str">
        <f>IF(Data!$B886='Team Parser'!$B$1, Data!N886,"")</f>
        <v/>
      </c>
      <c r="AD894" s="139" t="str">
        <f>IF(Data!$B886='Team Parser'!$B$1,(AB894+(COUNTIF(AC894,"TRAVERSE")*15)+(COUNTIF(AC894,"HIGH")*10)+(COUNTIF(AC894,"MIDDLE")*6)+(COUNTIF(AC894,"LOW")*4)),"")</f>
        <v/>
      </c>
    </row>
    <row r="895">
      <c r="A895" s="141" t="s">
        <v>507</v>
      </c>
      <c r="B895" s="134"/>
      <c r="C895" s="134"/>
      <c r="D895" s="134"/>
      <c r="E895" s="134"/>
      <c r="F895" s="134"/>
      <c r="G895" s="134"/>
      <c r="H895" s="134"/>
      <c r="J895" s="134"/>
      <c r="K895" s="135"/>
      <c r="L895" s="136"/>
      <c r="M895" s="137" t="str">
        <f>IFERROR(__xludf.DUMMYFUNCTION("IFERROR((FILTER(Data!A:A,Data!D:D=A895,Data!B:B=$B$1)),"""")"),"")</f>
        <v/>
      </c>
      <c r="T895" s="52">
        <f>IFERROR(__xludf.DUMMYFUNCTION("((COUNTIF(FILTER(Data!N:N,Data!D:D=A895,Data!B:B=$B$1),""TRAVERSE"")*15)+(COUNTIF(FILTER(Data!N:N,Data!D:D=A895,Data!B:B=B$1),""HIGH"")*10)+(COUNTIF(FILTER(Data!N:N,Data!D:D=A895,Data!B:B=$B$1),""MIDDLE"")*6)+(COUNTIF(FILTER(Data!N:N,Data!D:D=A895,Data!B:"&amp;"B=$B$1),""LOW"")*4))"),0.0)</f>
        <v>0</v>
      </c>
      <c r="V895" s="138" t="str">
        <f>IF(Data!B887='Team Parser'!$B$1, Data!D887,"")</f>
        <v/>
      </c>
      <c r="W895" s="134" t="str">
        <f>IF(Data!$B887='Team Parser'!$B$1, Data!H887,"")</f>
        <v/>
      </c>
      <c r="X895" s="134" t="str">
        <f>IF(Data!$B887='Team Parser'!$B$1, Data!G887,"")</f>
        <v/>
      </c>
      <c r="Y895" s="134" t="str">
        <f>IF(Data!$B887='Team Parser'!$B$1, Data!L887,"")</f>
        <v/>
      </c>
      <c r="Z895" s="134" t="str">
        <f>IF(Data!$B887='Team Parser'!$B$1, Data!K887,"")</f>
        <v/>
      </c>
      <c r="AA895" s="134" t="str">
        <f>IF(Data!$B887='Team Parser'!$B$1, Data!M887,"")</f>
        <v/>
      </c>
      <c r="AB895" s="134" t="str">
        <f>IF(Data!$B887='Team Parser'!$B$1,((Z895*2)+(Y895)+(X895*4)+(W895*2)),"")</f>
        <v/>
      </c>
      <c r="AC895" s="134" t="str">
        <f>IF(Data!$B887='Team Parser'!$B$1, Data!N887,"")</f>
        <v/>
      </c>
      <c r="AD895" s="139" t="str">
        <f>IF(Data!$B887='Team Parser'!$B$1,(AB895+(COUNTIF(AC895,"TRAVERSE")*15)+(COUNTIF(AC895,"HIGH")*10)+(COUNTIF(AC895,"MIDDLE")*6)+(COUNTIF(AC895,"LOW")*4)),"")</f>
        <v/>
      </c>
    </row>
    <row r="896">
      <c r="A896" s="141" t="s">
        <v>507</v>
      </c>
      <c r="B896" s="134"/>
      <c r="C896" s="134"/>
      <c r="D896" s="134"/>
      <c r="E896" s="134"/>
      <c r="F896" s="134"/>
      <c r="G896" s="134"/>
      <c r="H896" s="134"/>
      <c r="J896" s="134"/>
      <c r="K896" s="135"/>
      <c r="L896" s="136"/>
      <c r="M896" s="137" t="str">
        <f>IFERROR(__xludf.DUMMYFUNCTION("IFERROR((FILTER(Data!A:A,Data!D:D=A896,Data!B:B=$B$1)),"""")"),"")</f>
        <v/>
      </c>
      <c r="T896" s="52">
        <f>IFERROR(__xludf.DUMMYFUNCTION("((COUNTIF(FILTER(Data!N:N,Data!D:D=A896,Data!B:B=$B$1),""TRAVERSE"")*15)+(COUNTIF(FILTER(Data!N:N,Data!D:D=A896,Data!B:B=B$1),""HIGH"")*10)+(COUNTIF(FILTER(Data!N:N,Data!D:D=A896,Data!B:B=$B$1),""MIDDLE"")*6)+(COUNTIF(FILTER(Data!N:N,Data!D:D=A896,Data!B:"&amp;"B=$B$1),""LOW"")*4))"),0.0)</f>
        <v>0</v>
      </c>
      <c r="V896" s="138" t="str">
        <f>IF(Data!B888='Team Parser'!$B$1, Data!D888,"")</f>
        <v/>
      </c>
      <c r="W896" s="134" t="str">
        <f>IF(Data!$B888='Team Parser'!$B$1, Data!H888,"")</f>
        <v/>
      </c>
      <c r="X896" s="134" t="str">
        <f>IF(Data!$B888='Team Parser'!$B$1, Data!G888,"")</f>
        <v/>
      </c>
      <c r="Y896" s="134" t="str">
        <f>IF(Data!$B888='Team Parser'!$B$1, Data!L888,"")</f>
        <v/>
      </c>
      <c r="Z896" s="134" t="str">
        <f>IF(Data!$B888='Team Parser'!$B$1, Data!K888,"")</f>
        <v/>
      </c>
      <c r="AA896" s="134" t="str">
        <f>IF(Data!$B888='Team Parser'!$B$1, Data!M888,"")</f>
        <v/>
      </c>
      <c r="AB896" s="134" t="str">
        <f>IF(Data!$B888='Team Parser'!$B$1,((Z896*2)+(Y896)+(X896*4)+(W896*2)),"")</f>
        <v/>
      </c>
      <c r="AC896" s="134" t="str">
        <f>IF(Data!$B888='Team Parser'!$B$1, Data!N888,"")</f>
        <v/>
      </c>
      <c r="AD896" s="139" t="str">
        <f>IF(Data!$B888='Team Parser'!$B$1,(AB896+(COUNTIF(AC896,"TRAVERSE")*15)+(COUNTIF(AC896,"HIGH")*10)+(COUNTIF(AC896,"MIDDLE")*6)+(COUNTIF(AC896,"LOW")*4)),"")</f>
        <v/>
      </c>
    </row>
    <row r="897">
      <c r="A897" s="141" t="s">
        <v>507</v>
      </c>
      <c r="B897" s="134"/>
      <c r="C897" s="134"/>
      <c r="D897" s="134"/>
      <c r="E897" s="134"/>
      <c r="F897" s="134"/>
      <c r="G897" s="134"/>
      <c r="H897" s="134"/>
      <c r="J897" s="134"/>
      <c r="K897" s="135"/>
      <c r="L897" s="136"/>
      <c r="M897" s="137" t="str">
        <f>IFERROR(__xludf.DUMMYFUNCTION("IFERROR((FILTER(Data!A:A,Data!D:D=A897,Data!B:B=$B$1)),"""")"),"")</f>
        <v/>
      </c>
      <c r="T897" s="52">
        <f>IFERROR(__xludf.DUMMYFUNCTION("((COUNTIF(FILTER(Data!N:N,Data!D:D=A897,Data!B:B=$B$1),""TRAVERSE"")*15)+(COUNTIF(FILTER(Data!N:N,Data!D:D=A897,Data!B:B=B$1),""HIGH"")*10)+(COUNTIF(FILTER(Data!N:N,Data!D:D=A897,Data!B:B=$B$1),""MIDDLE"")*6)+(COUNTIF(FILTER(Data!N:N,Data!D:D=A897,Data!B:"&amp;"B=$B$1),""LOW"")*4))"),0.0)</f>
        <v>0</v>
      </c>
      <c r="V897" s="138" t="str">
        <f>IF(Data!B889='Team Parser'!$B$1, Data!D889,"")</f>
        <v/>
      </c>
      <c r="W897" s="134" t="str">
        <f>IF(Data!$B889='Team Parser'!$B$1, Data!H889,"")</f>
        <v/>
      </c>
      <c r="X897" s="134" t="str">
        <f>IF(Data!$B889='Team Parser'!$B$1, Data!G889,"")</f>
        <v/>
      </c>
      <c r="Y897" s="134" t="str">
        <f>IF(Data!$B889='Team Parser'!$B$1, Data!L889,"")</f>
        <v/>
      </c>
      <c r="Z897" s="134" t="str">
        <f>IF(Data!$B889='Team Parser'!$B$1, Data!K889,"")</f>
        <v/>
      </c>
      <c r="AA897" s="134" t="str">
        <f>IF(Data!$B889='Team Parser'!$B$1, Data!M889,"")</f>
        <v/>
      </c>
      <c r="AB897" s="134" t="str">
        <f>IF(Data!$B889='Team Parser'!$B$1,((Z897*2)+(Y897)+(X897*4)+(W897*2)),"")</f>
        <v/>
      </c>
      <c r="AC897" s="134" t="str">
        <f>IF(Data!$B889='Team Parser'!$B$1, Data!N889,"")</f>
        <v/>
      </c>
      <c r="AD897" s="139" t="str">
        <f>IF(Data!$B889='Team Parser'!$B$1,(AB897+(COUNTIF(AC897,"TRAVERSE")*15)+(COUNTIF(AC897,"HIGH")*10)+(COUNTIF(AC897,"MIDDLE")*6)+(COUNTIF(AC897,"LOW")*4)),"")</f>
        <v/>
      </c>
    </row>
    <row r="898">
      <c r="A898" s="141" t="s">
        <v>507</v>
      </c>
      <c r="B898" s="134"/>
      <c r="C898" s="134"/>
      <c r="D898" s="134"/>
      <c r="E898" s="134"/>
      <c r="F898" s="134"/>
      <c r="G898" s="134"/>
      <c r="H898" s="134"/>
      <c r="J898" s="134"/>
      <c r="K898" s="135"/>
      <c r="L898" s="136"/>
      <c r="M898" s="137" t="str">
        <f>IFERROR(__xludf.DUMMYFUNCTION("IFERROR((FILTER(Data!A:A,Data!D:D=A898,Data!B:B=$B$1)),"""")"),"")</f>
        <v/>
      </c>
      <c r="T898" s="52">
        <f>IFERROR(__xludf.DUMMYFUNCTION("((COUNTIF(FILTER(Data!N:N,Data!D:D=A898,Data!B:B=$B$1),""TRAVERSE"")*15)+(COUNTIF(FILTER(Data!N:N,Data!D:D=A898,Data!B:B=B$1),""HIGH"")*10)+(COUNTIF(FILTER(Data!N:N,Data!D:D=A898,Data!B:B=$B$1),""MIDDLE"")*6)+(COUNTIF(FILTER(Data!N:N,Data!D:D=A898,Data!B:"&amp;"B=$B$1),""LOW"")*4))"),0.0)</f>
        <v>0</v>
      </c>
      <c r="V898" s="138" t="str">
        <f>IF(Data!B890='Team Parser'!$B$1, Data!D890,"")</f>
        <v/>
      </c>
      <c r="W898" s="134" t="str">
        <f>IF(Data!$B890='Team Parser'!$B$1, Data!H890,"")</f>
        <v/>
      </c>
      <c r="X898" s="134" t="str">
        <f>IF(Data!$B890='Team Parser'!$B$1, Data!G890,"")</f>
        <v/>
      </c>
      <c r="Y898" s="134" t="str">
        <f>IF(Data!$B890='Team Parser'!$B$1, Data!L890,"")</f>
        <v/>
      </c>
      <c r="Z898" s="134" t="str">
        <f>IF(Data!$B890='Team Parser'!$B$1, Data!K890,"")</f>
        <v/>
      </c>
      <c r="AA898" s="134" t="str">
        <f>IF(Data!$B890='Team Parser'!$B$1, Data!M890,"")</f>
        <v/>
      </c>
      <c r="AB898" s="134" t="str">
        <f>IF(Data!$B890='Team Parser'!$B$1,((Z898*2)+(Y898)+(X898*4)+(W898*2)),"")</f>
        <v/>
      </c>
      <c r="AC898" s="134" t="str">
        <f>IF(Data!$B890='Team Parser'!$B$1, Data!N890,"")</f>
        <v/>
      </c>
      <c r="AD898" s="139" t="str">
        <f>IF(Data!$B890='Team Parser'!$B$1,(AB898+(COUNTIF(AC898,"TRAVERSE")*15)+(COUNTIF(AC898,"HIGH")*10)+(COUNTIF(AC898,"MIDDLE")*6)+(COUNTIF(AC898,"LOW")*4)),"")</f>
        <v/>
      </c>
    </row>
    <row r="899">
      <c r="A899" s="141" t="s">
        <v>507</v>
      </c>
      <c r="B899" s="134"/>
      <c r="C899" s="134"/>
      <c r="D899" s="134"/>
      <c r="E899" s="134"/>
      <c r="F899" s="134"/>
      <c r="G899" s="134"/>
      <c r="H899" s="134"/>
      <c r="J899" s="134"/>
      <c r="K899" s="135"/>
      <c r="L899" s="136"/>
      <c r="M899" s="137" t="str">
        <f>IFERROR(__xludf.DUMMYFUNCTION("IFERROR((FILTER(Data!A:A,Data!D:D=A899,Data!B:B=$B$1)),"""")"),"")</f>
        <v/>
      </c>
      <c r="T899" s="52">
        <f>IFERROR(__xludf.DUMMYFUNCTION("((COUNTIF(FILTER(Data!N:N,Data!D:D=A899,Data!B:B=$B$1),""TRAVERSE"")*15)+(COUNTIF(FILTER(Data!N:N,Data!D:D=A899,Data!B:B=B$1),""HIGH"")*10)+(COUNTIF(FILTER(Data!N:N,Data!D:D=A899,Data!B:B=$B$1),""MIDDLE"")*6)+(COUNTIF(FILTER(Data!N:N,Data!D:D=A899,Data!B:"&amp;"B=$B$1),""LOW"")*4))"),0.0)</f>
        <v>0</v>
      </c>
      <c r="V899" s="138" t="str">
        <f>IF(Data!B891='Team Parser'!$B$1, Data!D891,"")</f>
        <v/>
      </c>
      <c r="W899" s="134" t="str">
        <f>IF(Data!$B891='Team Parser'!$B$1, Data!H891,"")</f>
        <v/>
      </c>
      <c r="X899" s="134" t="str">
        <f>IF(Data!$B891='Team Parser'!$B$1, Data!G891,"")</f>
        <v/>
      </c>
      <c r="Y899" s="134" t="str">
        <f>IF(Data!$B891='Team Parser'!$B$1, Data!L891,"")</f>
        <v/>
      </c>
      <c r="Z899" s="134" t="str">
        <f>IF(Data!$B891='Team Parser'!$B$1, Data!K891,"")</f>
        <v/>
      </c>
      <c r="AA899" s="134" t="str">
        <f>IF(Data!$B891='Team Parser'!$B$1, Data!M891,"")</f>
        <v/>
      </c>
      <c r="AB899" s="134" t="str">
        <f>IF(Data!$B891='Team Parser'!$B$1,((Z899*2)+(Y899)+(X899*4)+(W899*2)),"")</f>
        <v/>
      </c>
      <c r="AC899" s="134" t="str">
        <f>IF(Data!$B891='Team Parser'!$B$1, Data!N891,"")</f>
        <v/>
      </c>
      <c r="AD899" s="139" t="str">
        <f>IF(Data!$B891='Team Parser'!$B$1,(AB899+(COUNTIF(AC899,"TRAVERSE")*15)+(COUNTIF(AC899,"HIGH")*10)+(COUNTIF(AC899,"MIDDLE")*6)+(COUNTIF(AC899,"LOW")*4)),"")</f>
        <v/>
      </c>
    </row>
    <row r="900">
      <c r="A900" s="141" t="s">
        <v>507</v>
      </c>
      <c r="B900" s="134"/>
      <c r="C900" s="134"/>
      <c r="D900" s="134"/>
      <c r="E900" s="134"/>
      <c r="F900" s="134"/>
      <c r="G900" s="134"/>
      <c r="H900" s="134"/>
      <c r="J900" s="134"/>
      <c r="K900" s="135"/>
      <c r="L900" s="136"/>
      <c r="M900" s="137" t="str">
        <f>IFERROR(__xludf.DUMMYFUNCTION("IFERROR((FILTER(Data!A:A,Data!D:D=A900,Data!B:B=$B$1)),"""")"),"")</f>
        <v/>
      </c>
      <c r="T900" s="52">
        <f>IFERROR(__xludf.DUMMYFUNCTION("((COUNTIF(FILTER(Data!N:N,Data!D:D=A900,Data!B:B=$B$1),""TRAVERSE"")*15)+(COUNTIF(FILTER(Data!N:N,Data!D:D=A900,Data!B:B=B$1),""HIGH"")*10)+(COUNTIF(FILTER(Data!N:N,Data!D:D=A900,Data!B:B=$B$1),""MIDDLE"")*6)+(COUNTIF(FILTER(Data!N:N,Data!D:D=A900,Data!B:"&amp;"B=$B$1),""LOW"")*4))"),0.0)</f>
        <v>0</v>
      </c>
      <c r="V900" s="138" t="str">
        <f>IF(Data!B892='Team Parser'!$B$1, Data!D892,"")</f>
        <v/>
      </c>
      <c r="W900" s="134" t="str">
        <f>IF(Data!$B892='Team Parser'!$B$1, Data!H892,"")</f>
        <v/>
      </c>
      <c r="X900" s="134" t="str">
        <f>IF(Data!$B892='Team Parser'!$B$1, Data!G892,"")</f>
        <v/>
      </c>
      <c r="Y900" s="134" t="str">
        <f>IF(Data!$B892='Team Parser'!$B$1, Data!L892,"")</f>
        <v/>
      </c>
      <c r="Z900" s="134" t="str">
        <f>IF(Data!$B892='Team Parser'!$B$1, Data!K892,"")</f>
        <v/>
      </c>
      <c r="AA900" s="134" t="str">
        <f>IF(Data!$B892='Team Parser'!$B$1, Data!M892,"")</f>
        <v/>
      </c>
      <c r="AB900" s="134" t="str">
        <f>IF(Data!$B892='Team Parser'!$B$1,((Z900*2)+(Y900)+(X900*4)+(W900*2)),"")</f>
        <v/>
      </c>
      <c r="AC900" s="134" t="str">
        <f>IF(Data!$B892='Team Parser'!$B$1, Data!N892,"")</f>
        <v/>
      </c>
      <c r="AD900" s="139" t="str">
        <f>IF(Data!$B892='Team Parser'!$B$1,(AB900+(COUNTIF(AC900,"TRAVERSE")*15)+(COUNTIF(AC900,"HIGH")*10)+(COUNTIF(AC900,"MIDDLE")*6)+(COUNTIF(AC900,"LOW")*4)),"")</f>
        <v/>
      </c>
    </row>
    <row r="901">
      <c r="A901" s="141" t="s">
        <v>507</v>
      </c>
      <c r="B901" s="134"/>
      <c r="C901" s="134"/>
      <c r="D901" s="134"/>
      <c r="E901" s="134"/>
      <c r="F901" s="134"/>
      <c r="G901" s="134"/>
      <c r="H901" s="134"/>
      <c r="J901" s="134"/>
      <c r="K901" s="135"/>
      <c r="L901" s="136"/>
      <c r="M901" s="137" t="str">
        <f>IFERROR(__xludf.DUMMYFUNCTION("IFERROR((FILTER(Data!A:A,Data!D:D=A901,Data!B:B=$B$1)),"""")"),"")</f>
        <v/>
      </c>
      <c r="T901" s="52">
        <f>IFERROR(__xludf.DUMMYFUNCTION("((COUNTIF(FILTER(Data!N:N,Data!D:D=A901,Data!B:B=$B$1),""TRAVERSE"")*15)+(COUNTIF(FILTER(Data!N:N,Data!D:D=A901,Data!B:B=B$1),""HIGH"")*10)+(COUNTIF(FILTER(Data!N:N,Data!D:D=A901,Data!B:B=$B$1),""MIDDLE"")*6)+(COUNTIF(FILTER(Data!N:N,Data!D:D=A901,Data!B:"&amp;"B=$B$1),""LOW"")*4))"),0.0)</f>
        <v>0</v>
      </c>
      <c r="V901" s="138" t="str">
        <f>IF(Data!B893='Team Parser'!$B$1, Data!D893,"")</f>
        <v/>
      </c>
      <c r="W901" s="134" t="str">
        <f>IF(Data!$B893='Team Parser'!$B$1, Data!H893,"")</f>
        <v/>
      </c>
      <c r="X901" s="134" t="str">
        <f>IF(Data!$B893='Team Parser'!$B$1, Data!G893,"")</f>
        <v/>
      </c>
      <c r="Y901" s="134" t="str">
        <f>IF(Data!$B893='Team Parser'!$B$1, Data!L893,"")</f>
        <v/>
      </c>
      <c r="Z901" s="134" t="str">
        <f>IF(Data!$B893='Team Parser'!$B$1, Data!K893,"")</f>
        <v/>
      </c>
      <c r="AA901" s="134" t="str">
        <f>IF(Data!$B893='Team Parser'!$B$1, Data!M893,"")</f>
        <v/>
      </c>
      <c r="AB901" s="134" t="str">
        <f>IF(Data!$B893='Team Parser'!$B$1,((Z901*2)+(Y901)+(X901*4)+(W901*2)),"")</f>
        <v/>
      </c>
      <c r="AC901" s="134" t="str">
        <f>IF(Data!$B893='Team Parser'!$B$1, Data!N893,"")</f>
        <v/>
      </c>
      <c r="AD901" s="139" t="str">
        <f>IF(Data!$B893='Team Parser'!$B$1,(AB901+(COUNTIF(AC901,"TRAVERSE")*15)+(COUNTIF(AC901,"HIGH")*10)+(COUNTIF(AC901,"MIDDLE")*6)+(COUNTIF(AC901,"LOW")*4)),"")</f>
        <v/>
      </c>
    </row>
    <row r="902">
      <c r="A902" s="141" t="s">
        <v>507</v>
      </c>
      <c r="B902" s="134"/>
      <c r="C902" s="134"/>
      <c r="D902" s="134"/>
      <c r="E902" s="134"/>
      <c r="F902" s="134"/>
      <c r="G902" s="134"/>
      <c r="H902" s="134"/>
      <c r="J902" s="134"/>
      <c r="K902" s="135"/>
      <c r="L902" s="136"/>
      <c r="M902" s="137" t="str">
        <f>IFERROR(__xludf.DUMMYFUNCTION("IFERROR((FILTER(Data!A:A,Data!D:D=A902,Data!B:B=$B$1)),"""")"),"")</f>
        <v/>
      </c>
      <c r="T902" s="52">
        <f>IFERROR(__xludf.DUMMYFUNCTION("((COUNTIF(FILTER(Data!N:N,Data!D:D=A902,Data!B:B=$B$1),""TRAVERSE"")*15)+(COUNTIF(FILTER(Data!N:N,Data!D:D=A902,Data!B:B=B$1),""HIGH"")*10)+(COUNTIF(FILTER(Data!N:N,Data!D:D=A902,Data!B:B=$B$1),""MIDDLE"")*6)+(COUNTIF(FILTER(Data!N:N,Data!D:D=A902,Data!B:"&amp;"B=$B$1),""LOW"")*4))"),0.0)</f>
        <v>0</v>
      </c>
      <c r="V902" s="138" t="str">
        <f>IF(Data!B894='Team Parser'!$B$1, Data!D894,"")</f>
        <v/>
      </c>
      <c r="W902" s="134" t="str">
        <f>IF(Data!$B894='Team Parser'!$B$1, Data!H894,"")</f>
        <v/>
      </c>
      <c r="X902" s="134" t="str">
        <f>IF(Data!$B894='Team Parser'!$B$1, Data!G894,"")</f>
        <v/>
      </c>
      <c r="Y902" s="134" t="str">
        <f>IF(Data!$B894='Team Parser'!$B$1, Data!L894,"")</f>
        <v/>
      </c>
      <c r="Z902" s="134" t="str">
        <f>IF(Data!$B894='Team Parser'!$B$1, Data!K894,"")</f>
        <v/>
      </c>
      <c r="AA902" s="134" t="str">
        <f>IF(Data!$B894='Team Parser'!$B$1, Data!M894,"")</f>
        <v/>
      </c>
      <c r="AB902" s="134" t="str">
        <f>IF(Data!$B894='Team Parser'!$B$1,((Z902*2)+(Y902)+(X902*4)+(W902*2)),"")</f>
        <v/>
      </c>
      <c r="AC902" s="134" t="str">
        <f>IF(Data!$B894='Team Parser'!$B$1, Data!N894,"")</f>
        <v/>
      </c>
      <c r="AD902" s="139" t="str">
        <f>IF(Data!$B894='Team Parser'!$B$1,(AB902+(COUNTIF(AC902,"TRAVERSE")*15)+(COUNTIF(AC902,"HIGH")*10)+(COUNTIF(AC902,"MIDDLE")*6)+(COUNTIF(AC902,"LOW")*4)),"")</f>
        <v/>
      </c>
    </row>
    <row r="903">
      <c r="A903" s="141" t="s">
        <v>507</v>
      </c>
      <c r="B903" s="134"/>
      <c r="C903" s="134"/>
      <c r="D903" s="134"/>
      <c r="E903" s="134"/>
      <c r="F903" s="134"/>
      <c r="G903" s="134"/>
      <c r="H903" s="134"/>
      <c r="J903" s="134"/>
      <c r="K903" s="135"/>
      <c r="L903" s="136"/>
      <c r="M903" s="137" t="str">
        <f>IFERROR(__xludf.DUMMYFUNCTION("IFERROR((FILTER(Data!A:A,Data!D:D=A903,Data!B:B=$B$1)),"""")"),"")</f>
        <v/>
      </c>
      <c r="T903" s="52">
        <f>IFERROR(__xludf.DUMMYFUNCTION("((COUNTIF(FILTER(Data!N:N,Data!D:D=A903,Data!B:B=$B$1),""TRAVERSE"")*15)+(COUNTIF(FILTER(Data!N:N,Data!D:D=A903,Data!B:B=B$1),""HIGH"")*10)+(COUNTIF(FILTER(Data!N:N,Data!D:D=A903,Data!B:B=$B$1),""MIDDLE"")*6)+(COUNTIF(FILTER(Data!N:N,Data!D:D=A903,Data!B:"&amp;"B=$B$1),""LOW"")*4))"),0.0)</f>
        <v>0</v>
      </c>
      <c r="V903" s="138" t="str">
        <f>IF(Data!B895='Team Parser'!$B$1, Data!D895,"")</f>
        <v/>
      </c>
      <c r="W903" s="134" t="str">
        <f>IF(Data!$B895='Team Parser'!$B$1, Data!H895,"")</f>
        <v/>
      </c>
      <c r="X903" s="134" t="str">
        <f>IF(Data!$B895='Team Parser'!$B$1, Data!G895,"")</f>
        <v/>
      </c>
      <c r="Y903" s="134" t="str">
        <f>IF(Data!$B895='Team Parser'!$B$1, Data!L895,"")</f>
        <v/>
      </c>
      <c r="Z903" s="134" t="str">
        <f>IF(Data!$B895='Team Parser'!$B$1, Data!K895,"")</f>
        <v/>
      </c>
      <c r="AA903" s="134" t="str">
        <f>IF(Data!$B895='Team Parser'!$B$1, Data!M895,"")</f>
        <v/>
      </c>
      <c r="AB903" s="134" t="str">
        <f>IF(Data!$B895='Team Parser'!$B$1,((Z903*2)+(Y903)+(X903*4)+(W903*2)),"")</f>
        <v/>
      </c>
      <c r="AC903" s="134" t="str">
        <f>IF(Data!$B895='Team Parser'!$B$1, Data!N895,"")</f>
        <v/>
      </c>
      <c r="AD903" s="139" t="str">
        <f>IF(Data!$B895='Team Parser'!$B$1,(AB903+(COUNTIF(AC903,"TRAVERSE")*15)+(COUNTIF(AC903,"HIGH")*10)+(COUNTIF(AC903,"MIDDLE")*6)+(COUNTIF(AC903,"LOW")*4)),"")</f>
        <v/>
      </c>
    </row>
    <row r="904">
      <c r="A904" s="141" t="s">
        <v>507</v>
      </c>
      <c r="B904" s="134"/>
      <c r="C904" s="134"/>
      <c r="D904" s="134"/>
      <c r="E904" s="134"/>
      <c r="F904" s="134"/>
      <c r="G904" s="134"/>
      <c r="H904" s="134"/>
      <c r="J904" s="134"/>
      <c r="K904" s="135"/>
      <c r="L904" s="136"/>
      <c r="M904" s="137" t="str">
        <f>IFERROR(__xludf.DUMMYFUNCTION("IFERROR((FILTER(Data!A:A,Data!D:D=A904,Data!B:B=$B$1)),"""")"),"")</f>
        <v/>
      </c>
      <c r="T904" s="52">
        <f>IFERROR(__xludf.DUMMYFUNCTION("((COUNTIF(FILTER(Data!N:N,Data!D:D=A904,Data!B:B=$B$1),""TRAVERSE"")*15)+(COUNTIF(FILTER(Data!N:N,Data!D:D=A904,Data!B:B=B$1),""HIGH"")*10)+(COUNTIF(FILTER(Data!N:N,Data!D:D=A904,Data!B:B=$B$1),""MIDDLE"")*6)+(COUNTIF(FILTER(Data!N:N,Data!D:D=A904,Data!B:"&amp;"B=$B$1),""LOW"")*4))"),0.0)</f>
        <v>0</v>
      </c>
      <c r="V904" s="138" t="str">
        <f>IF(Data!B896='Team Parser'!$B$1, Data!D896,"")</f>
        <v/>
      </c>
      <c r="W904" s="134" t="str">
        <f>IF(Data!$B896='Team Parser'!$B$1, Data!H896,"")</f>
        <v/>
      </c>
      <c r="X904" s="134" t="str">
        <f>IF(Data!$B896='Team Parser'!$B$1, Data!G896,"")</f>
        <v/>
      </c>
      <c r="Y904" s="134" t="str">
        <f>IF(Data!$B896='Team Parser'!$B$1, Data!L896,"")</f>
        <v/>
      </c>
      <c r="Z904" s="134" t="str">
        <f>IF(Data!$B896='Team Parser'!$B$1, Data!K896,"")</f>
        <v/>
      </c>
      <c r="AA904" s="134" t="str">
        <f>IF(Data!$B896='Team Parser'!$B$1, Data!M896,"")</f>
        <v/>
      </c>
      <c r="AB904" s="134" t="str">
        <f>IF(Data!$B896='Team Parser'!$B$1,((Z904*2)+(Y904)+(X904*4)+(W904*2)),"")</f>
        <v/>
      </c>
      <c r="AC904" s="134" t="str">
        <f>IF(Data!$B896='Team Parser'!$B$1, Data!N896,"")</f>
        <v/>
      </c>
      <c r="AD904" s="139" t="str">
        <f>IF(Data!$B896='Team Parser'!$B$1,(AB904+(COUNTIF(AC904,"TRAVERSE")*15)+(COUNTIF(AC904,"HIGH")*10)+(COUNTIF(AC904,"MIDDLE")*6)+(COUNTIF(AC904,"LOW")*4)),"")</f>
        <v/>
      </c>
    </row>
    <row r="905">
      <c r="A905" s="141" t="s">
        <v>507</v>
      </c>
      <c r="B905" s="134"/>
      <c r="C905" s="134"/>
      <c r="D905" s="134"/>
      <c r="E905" s="134"/>
      <c r="F905" s="134"/>
      <c r="G905" s="134"/>
      <c r="H905" s="134"/>
      <c r="J905" s="134"/>
      <c r="K905" s="135"/>
      <c r="L905" s="136"/>
      <c r="M905" s="137" t="str">
        <f>IFERROR(__xludf.DUMMYFUNCTION("IFERROR((FILTER(Data!A:A,Data!D:D=A905,Data!B:B=$B$1)),"""")"),"")</f>
        <v/>
      </c>
      <c r="T905" s="52">
        <f>IFERROR(__xludf.DUMMYFUNCTION("((COUNTIF(FILTER(Data!N:N,Data!D:D=A905,Data!B:B=$B$1),""TRAVERSE"")*15)+(COUNTIF(FILTER(Data!N:N,Data!D:D=A905,Data!B:B=B$1),""HIGH"")*10)+(COUNTIF(FILTER(Data!N:N,Data!D:D=A905,Data!B:B=$B$1),""MIDDLE"")*6)+(COUNTIF(FILTER(Data!N:N,Data!D:D=A905,Data!B:"&amp;"B=$B$1),""LOW"")*4))"),0.0)</f>
        <v>0</v>
      </c>
      <c r="V905" s="138" t="str">
        <f>IF(Data!B897='Team Parser'!$B$1, Data!D897,"")</f>
        <v/>
      </c>
      <c r="W905" s="134" t="str">
        <f>IF(Data!$B897='Team Parser'!$B$1, Data!H897,"")</f>
        <v/>
      </c>
      <c r="X905" s="134" t="str">
        <f>IF(Data!$B897='Team Parser'!$B$1, Data!G897,"")</f>
        <v/>
      </c>
      <c r="Y905" s="134" t="str">
        <f>IF(Data!$B897='Team Parser'!$B$1, Data!L897,"")</f>
        <v/>
      </c>
      <c r="Z905" s="134" t="str">
        <f>IF(Data!$B897='Team Parser'!$B$1, Data!K897,"")</f>
        <v/>
      </c>
      <c r="AA905" s="134" t="str">
        <f>IF(Data!$B897='Team Parser'!$B$1, Data!M897,"")</f>
        <v/>
      </c>
      <c r="AB905" s="134" t="str">
        <f>IF(Data!$B897='Team Parser'!$B$1,((Z905*2)+(Y905)+(X905*4)+(W905*2)),"")</f>
        <v/>
      </c>
      <c r="AC905" s="134" t="str">
        <f>IF(Data!$B897='Team Parser'!$B$1, Data!N897,"")</f>
        <v/>
      </c>
      <c r="AD905" s="139" t="str">
        <f>IF(Data!$B897='Team Parser'!$B$1,(AB905+(COUNTIF(AC905,"TRAVERSE")*15)+(COUNTIF(AC905,"HIGH")*10)+(COUNTIF(AC905,"MIDDLE")*6)+(COUNTIF(AC905,"LOW")*4)),"")</f>
        <v/>
      </c>
    </row>
    <row r="906">
      <c r="A906" s="141" t="s">
        <v>507</v>
      </c>
      <c r="B906" s="134"/>
      <c r="C906" s="134"/>
      <c r="D906" s="134"/>
      <c r="E906" s="134"/>
      <c r="F906" s="134"/>
      <c r="G906" s="134"/>
      <c r="H906" s="134"/>
      <c r="J906" s="134"/>
      <c r="K906" s="135"/>
      <c r="L906" s="136"/>
      <c r="M906" s="137" t="str">
        <f>IFERROR(__xludf.DUMMYFUNCTION("IFERROR((FILTER(Data!A:A,Data!D:D=A906,Data!B:B=$B$1)),"""")"),"")</f>
        <v/>
      </c>
      <c r="T906" s="52">
        <f>IFERROR(__xludf.DUMMYFUNCTION("((COUNTIF(FILTER(Data!N:N,Data!D:D=A906,Data!B:B=$B$1),""TRAVERSE"")*15)+(COUNTIF(FILTER(Data!N:N,Data!D:D=A906,Data!B:B=B$1),""HIGH"")*10)+(COUNTIF(FILTER(Data!N:N,Data!D:D=A906,Data!B:B=$B$1),""MIDDLE"")*6)+(COUNTIF(FILTER(Data!N:N,Data!D:D=A906,Data!B:"&amp;"B=$B$1),""LOW"")*4))"),0.0)</f>
        <v>0</v>
      </c>
      <c r="V906" s="138" t="str">
        <f>IF(Data!B898='Team Parser'!$B$1, Data!D898,"")</f>
        <v/>
      </c>
      <c r="W906" s="134" t="str">
        <f>IF(Data!$B898='Team Parser'!$B$1, Data!H898,"")</f>
        <v/>
      </c>
      <c r="X906" s="134" t="str">
        <f>IF(Data!$B898='Team Parser'!$B$1, Data!G898,"")</f>
        <v/>
      </c>
      <c r="Y906" s="134" t="str">
        <f>IF(Data!$B898='Team Parser'!$B$1, Data!L898,"")</f>
        <v/>
      </c>
      <c r="Z906" s="134" t="str">
        <f>IF(Data!$B898='Team Parser'!$B$1, Data!K898,"")</f>
        <v/>
      </c>
      <c r="AA906" s="134" t="str">
        <f>IF(Data!$B898='Team Parser'!$B$1, Data!M898,"")</f>
        <v/>
      </c>
      <c r="AB906" s="134" t="str">
        <f>IF(Data!$B898='Team Parser'!$B$1,((Z906*2)+(Y906)+(X906*4)+(W906*2)),"")</f>
        <v/>
      </c>
      <c r="AC906" s="134" t="str">
        <f>IF(Data!$B898='Team Parser'!$B$1, Data!N898,"")</f>
        <v/>
      </c>
      <c r="AD906" s="139" t="str">
        <f>IF(Data!$B898='Team Parser'!$B$1,(AB906+(COUNTIF(AC906,"TRAVERSE")*15)+(COUNTIF(AC906,"HIGH")*10)+(COUNTIF(AC906,"MIDDLE")*6)+(COUNTIF(AC906,"LOW")*4)),"")</f>
        <v/>
      </c>
    </row>
    <row r="907">
      <c r="A907" s="141" t="s">
        <v>507</v>
      </c>
      <c r="B907" s="134"/>
      <c r="C907" s="134"/>
      <c r="D907" s="134"/>
      <c r="E907" s="134"/>
      <c r="F907" s="134"/>
      <c r="G907" s="134"/>
      <c r="H907" s="134"/>
      <c r="J907" s="134"/>
      <c r="K907" s="135"/>
      <c r="L907" s="136"/>
      <c r="M907" s="137" t="str">
        <f>IFERROR(__xludf.DUMMYFUNCTION("IFERROR((FILTER(Data!A:A,Data!D:D=A907,Data!B:B=$B$1)),"""")"),"")</f>
        <v/>
      </c>
      <c r="T907" s="52">
        <f>IFERROR(__xludf.DUMMYFUNCTION("((COUNTIF(FILTER(Data!N:N,Data!D:D=A907,Data!B:B=$B$1),""TRAVERSE"")*15)+(COUNTIF(FILTER(Data!N:N,Data!D:D=A907,Data!B:B=B$1),""HIGH"")*10)+(COUNTIF(FILTER(Data!N:N,Data!D:D=A907,Data!B:B=$B$1),""MIDDLE"")*6)+(COUNTIF(FILTER(Data!N:N,Data!D:D=A907,Data!B:"&amp;"B=$B$1),""LOW"")*4))"),0.0)</f>
        <v>0</v>
      </c>
      <c r="V907" s="138" t="str">
        <f>IF(Data!B899='Team Parser'!$B$1, Data!D899,"")</f>
        <v/>
      </c>
      <c r="W907" s="134" t="str">
        <f>IF(Data!$B899='Team Parser'!$B$1, Data!H899,"")</f>
        <v/>
      </c>
      <c r="X907" s="134" t="str">
        <f>IF(Data!$B899='Team Parser'!$B$1, Data!G899,"")</f>
        <v/>
      </c>
      <c r="Y907" s="134" t="str">
        <f>IF(Data!$B899='Team Parser'!$B$1, Data!L899,"")</f>
        <v/>
      </c>
      <c r="Z907" s="134" t="str">
        <f>IF(Data!$B899='Team Parser'!$B$1, Data!K899,"")</f>
        <v/>
      </c>
      <c r="AA907" s="134" t="str">
        <f>IF(Data!$B899='Team Parser'!$B$1, Data!M899,"")</f>
        <v/>
      </c>
      <c r="AB907" s="134" t="str">
        <f>IF(Data!$B899='Team Parser'!$B$1,((Z907*2)+(Y907)+(X907*4)+(W907*2)),"")</f>
        <v/>
      </c>
      <c r="AC907" s="134" t="str">
        <f>IF(Data!$B899='Team Parser'!$B$1, Data!N899,"")</f>
        <v/>
      </c>
      <c r="AD907" s="139" t="str">
        <f>IF(Data!$B899='Team Parser'!$B$1,(AB907+(COUNTIF(AC907,"TRAVERSE")*15)+(COUNTIF(AC907,"HIGH")*10)+(COUNTIF(AC907,"MIDDLE")*6)+(COUNTIF(AC907,"LOW")*4)),"")</f>
        <v/>
      </c>
    </row>
    <row r="908">
      <c r="A908" s="141" t="s">
        <v>507</v>
      </c>
      <c r="B908" s="134"/>
      <c r="C908" s="134"/>
      <c r="D908" s="134"/>
      <c r="E908" s="134"/>
      <c r="F908" s="134"/>
      <c r="G908" s="134"/>
      <c r="H908" s="134"/>
      <c r="J908" s="134"/>
      <c r="K908" s="135"/>
      <c r="L908" s="136"/>
      <c r="M908" s="137" t="str">
        <f>IFERROR(__xludf.DUMMYFUNCTION("IFERROR((FILTER(Data!A:A,Data!D:D=A908,Data!B:B=$B$1)),"""")"),"")</f>
        <v/>
      </c>
      <c r="T908" s="52">
        <f>IFERROR(__xludf.DUMMYFUNCTION("((COUNTIF(FILTER(Data!N:N,Data!D:D=A908,Data!B:B=$B$1),""TRAVERSE"")*15)+(COUNTIF(FILTER(Data!N:N,Data!D:D=A908,Data!B:B=B$1),""HIGH"")*10)+(COUNTIF(FILTER(Data!N:N,Data!D:D=A908,Data!B:B=$B$1),""MIDDLE"")*6)+(COUNTIF(FILTER(Data!N:N,Data!D:D=A908,Data!B:"&amp;"B=$B$1),""LOW"")*4))"),0.0)</f>
        <v>0</v>
      </c>
      <c r="V908" s="138" t="str">
        <f>IF(Data!B900='Team Parser'!$B$1, Data!D900,"")</f>
        <v/>
      </c>
      <c r="W908" s="134" t="str">
        <f>IF(Data!$B900='Team Parser'!$B$1, Data!H900,"")</f>
        <v/>
      </c>
      <c r="X908" s="134" t="str">
        <f>IF(Data!$B900='Team Parser'!$B$1, Data!G900,"")</f>
        <v/>
      </c>
      <c r="Y908" s="134" t="str">
        <f>IF(Data!$B900='Team Parser'!$B$1, Data!L900,"")</f>
        <v/>
      </c>
      <c r="Z908" s="134" t="str">
        <f>IF(Data!$B900='Team Parser'!$B$1, Data!K900,"")</f>
        <v/>
      </c>
      <c r="AA908" s="134" t="str">
        <f>IF(Data!$B900='Team Parser'!$B$1, Data!M900,"")</f>
        <v/>
      </c>
      <c r="AB908" s="134" t="str">
        <f>IF(Data!$B900='Team Parser'!$B$1,((Z908*2)+(Y908)+(X908*4)+(W908*2)),"")</f>
        <v/>
      </c>
      <c r="AC908" s="134" t="str">
        <f>IF(Data!$B900='Team Parser'!$B$1, Data!N900,"")</f>
        <v/>
      </c>
      <c r="AD908" s="139" t="str">
        <f>IF(Data!$B900='Team Parser'!$B$1,(AB908+(COUNTIF(AC908,"TRAVERSE")*15)+(COUNTIF(AC908,"HIGH")*10)+(COUNTIF(AC908,"MIDDLE")*6)+(COUNTIF(AC908,"LOW")*4)),"")</f>
        <v/>
      </c>
    </row>
    <row r="909">
      <c r="A909" s="141" t="s">
        <v>507</v>
      </c>
      <c r="B909" s="134"/>
      <c r="C909" s="134"/>
      <c r="D909" s="134"/>
      <c r="E909" s="134"/>
      <c r="F909" s="134"/>
      <c r="G909" s="134"/>
      <c r="H909" s="134"/>
      <c r="J909" s="134"/>
      <c r="K909" s="135"/>
      <c r="L909" s="136"/>
      <c r="M909" s="137" t="str">
        <f>IFERROR(__xludf.DUMMYFUNCTION("IFERROR((FILTER(Data!A:A,Data!D:D=A909,Data!B:B=$B$1)),"""")"),"")</f>
        <v/>
      </c>
      <c r="T909" s="52">
        <f>IFERROR(__xludf.DUMMYFUNCTION("((COUNTIF(FILTER(Data!N:N,Data!D:D=A909,Data!B:B=$B$1),""TRAVERSE"")*15)+(COUNTIF(FILTER(Data!N:N,Data!D:D=A909,Data!B:B=B$1),""HIGH"")*10)+(COUNTIF(FILTER(Data!N:N,Data!D:D=A909,Data!B:B=$B$1),""MIDDLE"")*6)+(COUNTIF(FILTER(Data!N:N,Data!D:D=A909,Data!B:"&amp;"B=$B$1),""LOW"")*4))"),0.0)</f>
        <v>0</v>
      </c>
      <c r="V909" s="138" t="str">
        <f>IF(Data!B901='Team Parser'!$B$1, Data!D901,"")</f>
        <v/>
      </c>
      <c r="W909" s="134" t="str">
        <f>IF(Data!$B901='Team Parser'!$B$1, Data!H901,"")</f>
        <v/>
      </c>
      <c r="X909" s="134" t="str">
        <f>IF(Data!$B901='Team Parser'!$B$1, Data!G901,"")</f>
        <v/>
      </c>
      <c r="Y909" s="134" t="str">
        <f>IF(Data!$B901='Team Parser'!$B$1, Data!L901,"")</f>
        <v/>
      </c>
      <c r="Z909" s="134" t="str">
        <f>IF(Data!$B901='Team Parser'!$B$1, Data!K901,"")</f>
        <v/>
      </c>
      <c r="AA909" s="134" t="str">
        <f>IF(Data!$B901='Team Parser'!$B$1, Data!M901,"")</f>
        <v/>
      </c>
      <c r="AB909" s="134" t="str">
        <f>IF(Data!$B901='Team Parser'!$B$1,((Z909*2)+(Y909)+(X909*4)+(W909*2)),"")</f>
        <v/>
      </c>
      <c r="AC909" s="134" t="str">
        <f>IF(Data!$B901='Team Parser'!$B$1, Data!N901,"")</f>
        <v/>
      </c>
      <c r="AD909" s="139" t="str">
        <f>IF(Data!$B901='Team Parser'!$B$1,(AB909+(COUNTIF(AC909,"TRAVERSE")*15)+(COUNTIF(AC909,"HIGH")*10)+(COUNTIF(AC909,"MIDDLE")*6)+(COUNTIF(AC909,"LOW")*4)),"")</f>
        <v/>
      </c>
    </row>
    <row r="910">
      <c r="A910" s="141" t="s">
        <v>507</v>
      </c>
      <c r="B910" s="134"/>
      <c r="C910" s="134"/>
      <c r="D910" s="134"/>
      <c r="E910" s="134"/>
      <c r="F910" s="134"/>
      <c r="G910" s="134"/>
      <c r="H910" s="134"/>
      <c r="J910" s="134"/>
      <c r="K910" s="135"/>
      <c r="L910" s="136"/>
      <c r="M910" s="137" t="str">
        <f>IFERROR(__xludf.DUMMYFUNCTION("IFERROR((FILTER(Data!A:A,Data!D:D=A910,Data!B:B=$B$1)),"""")"),"")</f>
        <v/>
      </c>
      <c r="T910" s="52">
        <f>IFERROR(__xludf.DUMMYFUNCTION("((COUNTIF(FILTER(Data!N:N,Data!D:D=A910,Data!B:B=$B$1),""TRAVERSE"")*15)+(COUNTIF(FILTER(Data!N:N,Data!D:D=A910,Data!B:B=B$1),""HIGH"")*10)+(COUNTIF(FILTER(Data!N:N,Data!D:D=A910,Data!B:B=$B$1),""MIDDLE"")*6)+(COUNTIF(FILTER(Data!N:N,Data!D:D=A910,Data!B:"&amp;"B=$B$1),""LOW"")*4))"),0.0)</f>
        <v>0</v>
      </c>
      <c r="V910" s="138" t="str">
        <f>IF(Data!B902='Team Parser'!$B$1, Data!D902,"")</f>
        <v/>
      </c>
      <c r="W910" s="134" t="str">
        <f>IF(Data!$B902='Team Parser'!$B$1, Data!H902,"")</f>
        <v/>
      </c>
      <c r="X910" s="134" t="str">
        <f>IF(Data!$B902='Team Parser'!$B$1, Data!G902,"")</f>
        <v/>
      </c>
      <c r="Y910" s="134" t="str">
        <f>IF(Data!$B902='Team Parser'!$B$1, Data!L902,"")</f>
        <v/>
      </c>
      <c r="Z910" s="134" t="str">
        <f>IF(Data!$B902='Team Parser'!$B$1, Data!K902,"")</f>
        <v/>
      </c>
      <c r="AA910" s="134" t="str">
        <f>IF(Data!$B902='Team Parser'!$B$1, Data!M902,"")</f>
        <v/>
      </c>
      <c r="AB910" s="134" t="str">
        <f>IF(Data!$B902='Team Parser'!$B$1,((Z910*2)+(Y910)+(X910*4)+(W910*2)),"")</f>
        <v/>
      </c>
      <c r="AC910" s="134" t="str">
        <f>IF(Data!$B902='Team Parser'!$B$1, Data!N902,"")</f>
        <v/>
      </c>
      <c r="AD910" s="139" t="str">
        <f>IF(Data!$B902='Team Parser'!$B$1,(AB910+(COUNTIF(AC910,"TRAVERSE")*15)+(COUNTIF(AC910,"HIGH")*10)+(COUNTIF(AC910,"MIDDLE")*6)+(COUNTIF(AC910,"LOW")*4)),"")</f>
        <v/>
      </c>
    </row>
    <row r="911">
      <c r="A911" s="141" t="s">
        <v>507</v>
      </c>
      <c r="B911" s="134"/>
      <c r="C911" s="134"/>
      <c r="D911" s="134"/>
      <c r="E911" s="134"/>
      <c r="F911" s="134"/>
      <c r="G911" s="134"/>
      <c r="H911" s="134"/>
      <c r="J911" s="134"/>
      <c r="K911" s="135"/>
      <c r="L911" s="136"/>
      <c r="M911" s="137" t="str">
        <f>IFERROR(__xludf.DUMMYFUNCTION("IFERROR((FILTER(Data!A:A,Data!D:D=A911,Data!B:B=$B$1)),"""")"),"")</f>
        <v/>
      </c>
      <c r="T911" s="52">
        <f>IFERROR(__xludf.DUMMYFUNCTION("((COUNTIF(FILTER(Data!N:N,Data!D:D=A911,Data!B:B=$B$1),""TRAVERSE"")*15)+(COUNTIF(FILTER(Data!N:N,Data!D:D=A911,Data!B:B=B$1),""HIGH"")*10)+(COUNTIF(FILTER(Data!N:N,Data!D:D=A911,Data!B:B=$B$1),""MIDDLE"")*6)+(COUNTIF(FILTER(Data!N:N,Data!D:D=A911,Data!B:"&amp;"B=$B$1),""LOW"")*4))"),0.0)</f>
        <v>0</v>
      </c>
      <c r="V911" s="138" t="str">
        <f>IF(Data!B903='Team Parser'!$B$1, Data!D903,"")</f>
        <v/>
      </c>
      <c r="W911" s="134" t="str">
        <f>IF(Data!$B903='Team Parser'!$B$1, Data!H903,"")</f>
        <v/>
      </c>
      <c r="X911" s="134" t="str">
        <f>IF(Data!$B903='Team Parser'!$B$1, Data!G903,"")</f>
        <v/>
      </c>
      <c r="Y911" s="134" t="str">
        <f>IF(Data!$B903='Team Parser'!$B$1, Data!L903,"")</f>
        <v/>
      </c>
      <c r="Z911" s="134" t="str">
        <f>IF(Data!$B903='Team Parser'!$B$1, Data!K903,"")</f>
        <v/>
      </c>
      <c r="AA911" s="134" t="str">
        <f>IF(Data!$B903='Team Parser'!$B$1, Data!M903,"")</f>
        <v/>
      </c>
      <c r="AB911" s="134" t="str">
        <f>IF(Data!$B903='Team Parser'!$B$1,((Z911*2)+(Y911)+(X911*4)+(W911*2)),"")</f>
        <v/>
      </c>
      <c r="AC911" s="134" t="str">
        <f>IF(Data!$B903='Team Parser'!$B$1, Data!N903,"")</f>
        <v/>
      </c>
      <c r="AD911" s="139" t="str">
        <f>IF(Data!$B903='Team Parser'!$B$1,(AB911+(COUNTIF(AC911,"TRAVERSE")*15)+(COUNTIF(AC911,"HIGH")*10)+(COUNTIF(AC911,"MIDDLE")*6)+(COUNTIF(AC911,"LOW")*4)),"")</f>
        <v/>
      </c>
    </row>
    <row r="912">
      <c r="A912" s="141" t="s">
        <v>507</v>
      </c>
      <c r="B912" s="134"/>
      <c r="C912" s="134"/>
      <c r="D912" s="134"/>
      <c r="E912" s="134"/>
      <c r="F912" s="134"/>
      <c r="G912" s="134"/>
      <c r="H912" s="134"/>
      <c r="J912" s="134"/>
      <c r="K912" s="135"/>
      <c r="L912" s="136"/>
      <c r="M912" s="137" t="str">
        <f>IFERROR(__xludf.DUMMYFUNCTION("IFERROR((FILTER(Data!A:A,Data!D:D=A912,Data!B:B=$B$1)),"""")"),"")</f>
        <v/>
      </c>
      <c r="T912" s="52">
        <f>IFERROR(__xludf.DUMMYFUNCTION("((COUNTIF(FILTER(Data!N:N,Data!D:D=A912,Data!B:B=$B$1),""TRAVERSE"")*15)+(COUNTIF(FILTER(Data!N:N,Data!D:D=A912,Data!B:B=B$1),""HIGH"")*10)+(COUNTIF(FILTER(Data!N:N,Data!D:D=A912,Data!B:B=$B$1),""MIDDLE"")*6)+(COUNTIF(FILTER(Data!N:N,Data!D:D=A912,Data!B:"&amp;"B=$B$1),""LOW"")*4))"),0.0)</f>
        <v>0</v>
      </c>
      <c r="V912" s="138" t="str">
        <f>IF(Data!B904='Team Parser'!$B$1, Data!D904,"")</f>
        <v/>
      </c>
      <c r="W912" s="134" t="str">
        <f>IF(Data!$B904='Team Parser'!$B$1, Data!H904,"")</f>
        <v/>
      </c>
      <c r="X912" s="134" t="str">
        <f>IF(Data!$B904='Team Parser'!$B$1, Data!G904,"")</f>
        <v/>
      </c>
      <c r="Y912" s="134" t="str">
        <f>IF(Data!$B904='Team Parser'!$B$1, Data!L904,"")</f>
        <v/>
      </c>
      <c r="Z912" s="134" t="str">
        <f>IF(Data!$B904='Team Parser'!$B$1, Data!K904,"")</f>
        <v/>
      </c>
      <c r="AA912" s="134" t="str">
        <f>IF(Data!$B904='Team Parser'!$B$1, Data!M904,"")</f>
        <v/>
      </c>
      <c r="AB912" s="134" t="str">
        <f>IF(Data!$B904='Team Parser'!$B$1,((Z912*2)+(Y912)+(X912*4)+(W912*2)),"")</f>
        <v/>
      </c>
      <c r="AC912" s="134" t="str">
        <f>IF(Data!$B904='Team Parser'!$B$1, Data!N904,"")</f>
        <v/>
      </c>
      <c r="AD912" s="139" t="str">
        <f>IF(Data!$B904='Team Parser'!$B$1,(AB912+(COUNTIF(AC912,"TRAVERSE")*15)+(COUNTIF(AC912,"HIGH")*10)+(COUNTIF(AC912,"MIDDLE")*6)+(COUNTIF(AC912,"LOW")*4)),"")</f>
        <v/>
      </c>
    </row>
    <row r="913">
      <c r="A913" s="141" t="s">
        <v>507</v>
      </c>
      <c r="B913" s="134"/>
      <c r="C913" s="134"/>
      <c r="D913" s="134"/>
      <c r="E913" s="134"/>
      <c r="F913" s="134"/>
      <c r="G913" s="134"/>
      <c r="H913" s="134"/>
      <c r="J913" s="134"/>
      <c r="K913" s="135"/>
      <c r="L913" s="136"/>
      <c r="M913" s="137" t="str">
        <f>IFERROR(__xludf.DUMMYFUNCTION("IFERROR((FILTER(Data!A:A,Data!D:D=A913,Data!B:B=$B$1)),"""")"),"")</f>
        <v/>
      </c>
      <c r="T913" s="52">
        <f>IFERROR(__xludf.DUMMYFUNCTION("((COUNTIF(FILTER(Data!N:N,Data!D:D=A913,Data!B:B=$B$1),""TRAVERSE"")*15)+(COUNTIF(FILTER(Data!N:N,Data!D:D=A913,Data!B:B=B$1),""HIGH"")*10)+(COUNTIF(FILTER(Data!N:N,Data!D:D=A913,Data!B:B=$B$1),""MIDDLE"")*6)+(COUNTIF(FILTER(Data!N:N,Data!D:D=A913,Data!B:"&amp;"B=$B$1),""LOW"")*4))"),0.0)</f>
        <v>0</v>
      </c>
      <c r="V913" s="138" t="str">
        <f>IF(Data!B905='Team Parser'!$B$1, Data!D905,"")</f>
        <v/>
      </c>
      <c r="W913" s="134" t="str">
        <f>IF(Data!$B905='Team Parser'!$B$1, Data!H905,"")</f>
        <v/>
      </c>
      <c r="X913" s="134" t="str">
        <f>IF(Data!$B905='Team Parser'!$B$1, Data!G905,"")</f>
        <v/>
      </c>
      <c r="Y913" s="134" t="str">
        <f>IF(Data!$B905='Team Parser'!$B$1, Data!L905,"")</f>
        <v/>
      </c>
      <c r="Z913" s="134" t="str">
        <f>IF(Data!$B905='Team Parser'!$B$1, Data!K905,"")</f>
        <v/>
      </c>
      <c r="AA913" s="134" t="str">
        <f>IF(Data!$B905='Team Parser'!$B$1, Data!M905,"")</f>
        <v/>
      </c>
      <c r="AB913" s="134" t="str">
        <f>IF(Data!$B905='Team Parser'!$B$1,((Z913*2)+(Y913)+(X913*4)+(W913*2)),"")</f>
        <v/>
      </c>
      <c r="AC913" s="134" t="str">
        <f>IF(Data!$B905='Team Parser'!$B$1, Data!N905,"")</f>
        <v/>
      </c>
      <c r="AD913" s="139" t="str">
        <f>IF(Data!$B905='Team Parser'!$B$1,(AB913+(COUNTIF(AC913,"TRAVERSE")*15)+(COUNTIF(AC913,"HIGH")*10)+(COUNTIF(AC913,"MIDDLE")*6)+(COUNTIF(AC913,"LOW")*4)),"")</f>
        <v/>
      </c>
    </row>
    <row r="914">
      <c r="A914" s="141" t="s">
        <v>507</v>
      </c>
      <c r="B914" s="134"/>
      <c r="C914" s="134"/>
      <c r="D914" s="134"/>
      <c r="E914" s="134"/>
      <c r="F914" s="134"/>
      <c r="G914" s="134"/>
      <c r="H914" s="134"/>
      <c r="J914" s="134"/>
      <c r="K914" s="135"/>
      <c r="L914" s="136"/>
      <c r="M914" s="137" t="str">
        <f>IFERROR(__xludf.DUMMYFUNCTION("IFERROR((FILTER(Data!A:A,Data!D:D=A914,Data!B:B=$B$1)),"""")"),"")</f>
        <v/>
      </c>
      <c r="T914" s="52">
        <f>IFERROR(__xludf.DUMMYFUNCTION("((COUNTIF(FILTER(Data!N:N,Data!D:D=A914,Data!B:B=$B$1),""TRAVERSE"")*15)+(COUNTIF(FILTER(Data!N:N,Data!D:D=A914,Data!B:B=B$1),""HIGH"")*10)+(COUNTIF(FILTER(Data!N:N,Data!D:D=A914,Data!B:B=$B$1),""MIDDLE"")*6)+(COUNTIF(FILTER(Data!N:N,Data!D:D=A914,Data!B:"&amp;"B=$B$1),""LOW"")*4))"),0.0)</f>
        <v>0</v>
      </c>
      <c r="V914" s="138" t="str">
        <f>IF(Data!B906='Team Parser'!$B$1, Data!D906,"")</f>
        <v/>
      </c>
      <c r="W914" s="134" t="str">
        <f>IF(Data!$B906='Team Parser'!$B$1, Data!H906,"")</f>
        <v/>
      </c>
      <c r="X914" s="134" t="str">
        <f>IF(Data!$B906='Team Parser'!$B$1, Data!G906,"")</f>
        <v/>
      </c>
      <c r="Y914" s="134" t="str">
        <f>IF(Data!$B906='Team Parser'!$B$1, Data!L906,"")</f>
        <v/>
      </c>
      <c r="Z914" s="134" t="str">
        <f>IF(Data!$B906='Team Parser'!$B$1, Data!K906,"")</f>
        <v/>
      </c>
      <c r="AA914" s="134" t="str">
        <f>IF(Data!$B906='Team Parser'!$B$1, Data!M906,"")</f>
        <v/>
      </c>
      <c r="AB914" s="134" t="str">
        <f>IF(Data!$B906='Team Parser'!$B$1,((Z914*2)+(Y914)+(X914*4)+(W914*2)),"")</f>
        <v/>
      </c>
      <c r="AC914" s="134" t="str">
        <f>IF(Data!$B906='Team Parser'!$B$1, Data!N906,"")</f>
        <v/>
      </c>
      <c r="AD914" s="139" t="str">
        <f>IF(Data!$B906='Team Parser'!$B$1,(AB914+(COUNTIF(AC914,"TRAVERSE")*15)+(COUNTIF(AC914,"HIGH")*10)+(COUNTIF(AC914,"MIDDLE")*6)+(COUNTIF(AC914,"LOW")*4)),"")</f>
        <v/>
      </c>
    </row>
    <row r="915">
      <c r="A915" s="141" t="s">
        <v>507</v>
      </c>
      <c r="B915" s="134"/>
      <c r="C915" s="134"/>
      <c r="D915" s="134"/>
      <c r="E915" s="134"/>
      <c r="F915" s="134"/>
      <c r="G915" s="134"/>
      <c r="H915" s="134"/>
      <c r="J915" s="134"/>
      <c r="K915" s="135"/>
      <c r="L915" s="136"/>
      <c r="M915" s="137" t="str">
        <f>IFERROR(__xludf.DUMMYFUNCTION("IFERROR((FILTER(Data!A:A,Data!D:D=A915,Data!B:B=$B$1)),"""")"),"")</f>
        <v/>
      </c>
      <c r="T915" s="52">
        <f>IFERROR(__xludf.DUMMYFUNCTION("((COUNTIF(FILTER(Data!N:N,Data!D:D=A915,Data!B:B=$B$1),""TRAVERSE"")*15)+(COUNTIF(FILTER(Data!N:N,Data!D:D=A915,Data!B:B=B$1),""HIGH"")*10)+(COUNTIF(FILTER(Data!N:N,Data!D:D=A915,Data!B:B=$B$1),""MIDDLE"")*6)+(COUNTIF(FILTER(Data!N:N,Data!D:D=A915,Data!B:"&amp;"B=$B$1),""LOW"")*4))"),0.0)</f>
        <v>0</v>
      </c>
      <c r="V915" s="138" t="str">
        <f>IF(Data!B907='Team Parser'!$B$1, Data!D907,"")</f>
        <v/>
      </c>
      <c r="W915" s="134" t="str">
        <f>IF(Data!$B907='Team Parser'!$B$1, Data!H907,"")</f>
        <v/>
      </c>
      <c r="X915" s="134" t="str">
        <f>IF(Data!$B907='Team Parser'!$B$1, Data!G907,"")</f>
        <v/>
      </c>
      <c r="Y915" s="134" t="str">
        <f>IF(Data!$B907='Team Parser'!$B$1, Data!L907,"")</f>
        <v/>
      </c>
      <c r="Z915" s="134" t="str">
        <f>IF(Data!$B907='Team Parser'!$B$1, Data!K907,"")</f>
        <v/>
      </c>
      <c r="AA915" s="134" t="str">
        <f>IF(Data!$B907='Team Parser'!$B$1, Data!M907,"")</f>
        <v/>
      </c>
      <c r="AB915" s="134" t="str">
        <f>IF(Data!$B907='Team Parser'!$B$1,((Z915*2)+(Y915)+(X915*4)+(W915*2)),"")</f>
        <v/>
      </c>
      <c r="AC915" s="134" t="str">
        <f>IF(Data!$B907='Team Parser'!$B$1, Data!N907,"")</f>
        <v/>
      </c>
      <c r="AD915" s="139" t="str">
        <f>IF(Data!$B907='Team Parser'!$B$1,(AB915+(COUNTIF(AC915,"TRAVERSE")*15)+(COUNTIF(AC915,"HIGH")*10)+(COUNTIF(AC915,"MIDDLE")*6)+(COUNTIF(AC915,"LOW")*4)),"")</f>
        <v/>
      </c>
    </row>
    <row r="916">
      <c r="A916" s="141" t="s">
        <v>507</v>
      </c>
      <c r="B916" s="134"/>
      <c r="C916" s="134"/>
      <c r="D916" s="134"/>
      <c r="E916" s="134"/>
      <c r="F916" s="134"/>
      <c r="G916" s="134"/>
      <c r="H916" s="134"/>
      <c r="J916" s="134"/>
      <c r="K916" s="135"/>
      <c r="L916" s="136"/>
      <c r="M916" s="137" t="str">
        <f>IFERROR(__xludf.DUMMYFUNCTION("IFERROR((FILTER(Data!A:A,Data!D:D=A916,Data!B:B=$B$1)),"""")"),"")</f>
        <v/>
      </c>
      <c r="T916" s="52">
        <f>IFERROR(__xludf.DUMMYFUNCTION("((COUNTIF(FILTER(Data!N:N,Data!D:D=A916,Data!B:B=$B$1),""TRAVERSE"")*15)+(COUNTIF(FILTER(Data!N:N,Data!D:D=A916,Data!B:B=B$1),""HIGH"")*10)+(COUNTIF(FILTER(Data!N:N,Data!D:D=A916,Data!B:B=$B$1),""MIDDLE"")*6)+(COUNTIF(FILTER(Data!N:N,Data!D:D=A916,Data!B:"&amp;"B=$B$1),""LOW"")*4))"),0.0)</f>
        <v>0</v>
      </c>
      <c r="V916" s="138" t="str">
        <f>IF(Data!B908='Team Parser'!$B$1, Data!D908,"")</f>
        <v/>
      </c>
      <c r="W916" s="134" t="str">
        <f>IF(Data!$B908='Team Parser'!$B$1, Data!H908,"")</f>
        <v/>
      </c>
      <c r="X916" s="134" t="str">
        <f>IF(Data!$B908='Team Parser'!$B$1, Data!G908,"")</f>
        <v/>
      </c>
      <c r="Y916" s="134" t="str">
        <f>IF(Data!$B908='Team Parser'!$B$1, Data!L908,"")</f>
        <v/>
      </c>
      <c r="Z916" s="134" t="str">
        <f>IF(Data!$B908='Team Parser'!$B$1, Data!K908,"")</f>
        <v/>
      </c>
      <c r="AA916" s="134" t="str">
        <f>IF(Data!$B908='Team Parser'!$B$1, Data!M908,"")</f>
        <v/>
      </c>
      <c r="AB916" s="134" t="str">
        <f>IF(Data!$B908='Team Parser'!$B$1,((Z916*2)+(Y916)+(X916*4)+(W916*2)),"")</f>
        <v/>
      </c>
      <c r="AC916" s="134" t="str">
        <f>IF(Data!$B908='Team Parser'!$B$1, Data!N908,"")</f>
        <v/>
      </c>
      <c r="AD916" s="139" t="str">
        <f>IF(Data!$B908='Team Parser'!$B$1,(AB916+(COUNTIF(AC916,"TRAVERSE")*15)+(COUNTIF(AC916,"HIGH")*10)+(COUNTIF(AC916,"MIDDLE")*6)+(COUNTIF(AC916,"LOW")*4)),"")</f>
        <v/>
      </c>
    </row>
    <row r="917">
      <c r="A917" s="141" t="s">
        <v>507</v>
      </c>
      <c r="B917" s="134"/>
      <c r="C917" s="134"/>
      <c r="D917" s="134"/>
      <c r="E917" s="134"/>
      <c r="F917" s="134"/>
      <c r="G917" s="134"/>
      <c r="H917" s="134"/>
      <c r="J917" s="134"/>
      <c r="K917" s="135"/>
      <c r="L917" s="136"/>
      <c r="M917" s="137" t="str">
        <f>IFERROR(__xludf.DUMMYFUNCTION("IFERROR((FILTER(Data!A:A,Data!D:D=A917,Data!B:B=$B$1)),"""")"),"")</f>
        <v/>
      </c>
      <c r="T917" s="52">
        <f>IFERROR(__xludf.DUMMYFUNCTION("((COUNTIF(FILTER(Data!N:N,Data!D:D=A917,Data!B:B=$B$1),""TRAVERSE"")*15)+(COUNTIF(FILTER(Data!N:N,Data!D:D=A917,Data!B:B=B$1),""HIGH"")*10)+(COUNTIF(FILTER(Data!N:N,Data!D:D=A917,Data!B:B=$B$1),""MIDDLE"")*6)+(COUNTIF(FILTER(Data!N:N,Data!D:D=A917,Data!B:"&amp;"B=$B$1),""LOW"")*4))"),0.0)</f>
        <v>0</v>
      </c>
      <c r="V917" s="138" t="str">
        <f>IF(Data!B909='Team Parser'!$B$1, Data!D909,"")</f>
        <v/>
      </c>
      <c r="W917" s="134" t="str">
        <f>IF(Data!$B909='Team Parser'!$B$1, Data!H909,"")</f>
        <v/>
      </c>
      <c r="X917" s="134" t="str">
        <f>IF(Data!$B909='Team Parser'!$B$1, Data!G909,"")</f>
        <v/>
      </c>
      <c r="Y917" s="134" t="str">
        <f>IF(Data!$B909='Team Parser'!$B$1, Data!L909,"")</f>
        <v/>
      </c>
      <c r="Z917" s="134" t="str">
        <f>IF(Data!$B909='Team Parser'!$B$1, Data!K909,"")</f>
        <v/>
      </c>
      <c r="AA917" s="134" t="str">
        <f>IF(Data!$B909='Team Parser'!$B$1, Data!M909,"")</f>
        <v/>
      </c>
      <c r="AB917" s="134" t="str">
        <f>IF(Data!$B909='Team Parser'!$B$1,((Z917*2)+(Y917)+(X917*4)+(W917*2)),"")</f>
        <v/>
      </c>
      <c r="AC917" s="134" t="str">
        <f>IF(Data!$B909='Team Parser'!$B$1, Data!N909,"")</f>
        <v/>
      </c>
      <c r="AD917" s="139" t="str">
        <f>IF(Data!$B909='Team Parser'!$B$1,(AB917+(COUNTIF(AC917,"TRAVERSE")*15)+(COUNTIF(AC917,"HIGH")*10)+(COUNTIF(AC917,"MIDDLE")*6)+(COUNTIF(AC917,"LOW")*4)),"")</f>
        <v/>
      </c>
    </row>
    <row r="918">
      <c r="A918" s="141" t="s">
        <v>507</v>
      </c>
      <c r="B918" s="134"/>
      <c r="C918" s="134"/>
      <c r="D918" s="134"/>
      <c r="E918" s="134"/>
      <c r="F918" s="134"/>
      <c r="G918" s="134"/>
      <c r="H918" s="134"/>
      <c r="J918" s="134"/>
      <c r="K918" s="135"/>
      <c r="L918" s="136"/>
      <c r="M918" s="137" t="str">
        <f>IFERROR(__xludf.DUMMYFUNCTION("IFERROR((FILTER(Data!A:A,Data!D:D=A918,Data!B:B=$B$1)),"""")"),"")</f>
        <v/>
      </c>
      <c r="T918" s="52">
        <f>IFERROR(__xludf.DUMMYFUNCTION("((COUNTIF(FILTER(Data!N:N,Data!D:D=A918,Data!B:B=$B$1),""TRAVERSE"")*15)+(COUNTIF(FILTER(Data!N:N,Data!D:D=A918,Data!B:B=B$1),""HIGH"")*10)+(COUNTIF(FILTER(Data!N:N,Data!D:D=A918,Data!B:B=$B$1),""MIDDLE"")*6)+(COUNTIF(FILTER(Data!N:N,Data!D:D=A918,Data!B:"&amp;"B=$B$1),""LOW"")*4))"),0.0)</f>
        <v>0</v>
      </c>
      <c r="V918" s="138" t="str">
        <f>IF(Data!B910='Team Parser'!$B$1, Data!D910,"")</f>
        <v/>
      </c>
      <c r="W918" s="134" t="str">
        <f>IF(Data!$B910='Team Parser'!$B$1, Data!H910,"")</f>
        <v/>
      </c>
      <c r="X918" s="134" t="str">
        <f>IF(Data!$B910='Team Parser'!$B$1, Data!G910,"")</f>
        <v/>
      </c>
      <c r="Y918" s="134" t="str">
        <f>IF(Data!$B910='Team Parser'!$B$1, Data!L910,"")</f>
        <v/>
      </c>
      <c r="Z918" s="134" t="str">
        <f>IF(Data!$B910='Team Parser'!$B$1, Data!K910,"")</f>
        <v/>
      </c>
      <c r="AA918" s="134" t="str">
        <f>IF(Data!$B910='Team Parser'!$B$1, Data!M910,"")</f>
        <v/>
      </c>
      <c r="AB918" s="134" t="str">
        <f>IF(Data!$B910='Team Parser'!$B$1,((Z918*2)+(Y918)+(X918*4)+(W918*2)),"")</f>
        <v/>
      </c>
      <c r="AC918" s="134" t="str">
        <f>IF(Data!$B910='Team Parser'!$B$1, Data!N910,"")</f>
        <v/>
      </c>
      <c r="AD918" s="139" t="str">
        <f>IF(Data!$B910='Team Parser'!$B$1,(AB918+(COUNTIF(AC918,"TRAVERSE")*15)+(COUNTIF(AC918,"HIGH")*10)+(COUNTIF(AC918,"MIDDLE")*6)+(COUNTIF(AC918,"LOW")*4)),"")</f>
        <v/>
      </c>
    </row>
    <row r="919">
      <c r="A919" s="141" t="s">
        <v>507</v>
      </c>
      <c r="B919" s="134"/>
      <c r="C919" s="134"/>
      <c r="D919" s="134"/>
      <c r="E919" s="134"/>
      <c r="F919" s="134"/>
      <c r="G919" s="134"/>
      <c r="H919" s="134"/>
      <c r="J919" s="134"/>
      <c r="K919" s="135"/>
      <c r="L919" s="136"/>
      <c r="M919" s="137" t="str">
        <f>IFERROR(__xludf.DUMMYFUNCTION("IFERROR((FILTER(Data!A:A,Data!D:D=A919,Data!B:B=$B$1)),"""")"),"")</f>
        <v/>
      </c>
      <c r="T919" s="52">
        <f>IFERROR(__xludf.DUMMYFUNCTION("((COUNTIF(FILTER(Data!N:N,Data!D:D=A919,Data!B:B=$B$1),""TRAVERSE"")*15)+(COUNTIF(FILTER(Data!N:N,Data!D:D=A919,Data!B:B=B$1),""HIGH"")*10)+(COUNTIF(FILTER(Data!N:N,Data!D:D=A919,Data!B:B=$B$1),""MIDDLE"")*6)+(COUNTIF(FILTER(Data!N:N,Data!D:D=A919,Data!B:"&amp;"B=$B$1),""LOW"")*4))"),0.0)</f>
        <v>0</v>
      </c>
      <c r="V919" s="138" t="str">
        <f>IF(Data!B911='Team Parser'!$B$1, Data!D911,"")</f>
        <v/>
      </c>
      <c r="W919" s="134" t="str">
        <f>IF(Data!$B911='Team Parser'!$B$1, Data!H911,"")</f>
        <v/>
      </c>
      <c r="X919" s="134" t="str">
        <f>IF(Data!$B911='Team Parser'!$B$1, Data!G911,"")</f>
        <v/>
      </c>
      <c r="Y919" s="134" t="str">
        <f>IF(Data!$B911='Team Parser'!$B$1, Data!L911,"")</f>
        <v/>
      </c>
      <c r="Z919" s="134" t="str">
        <f>IF(Data!$B911='Team Parser'!$B$1, Data!K911,"")</f>
        <v/>
      </c>
      <c r="AA919" s="134" t="str">
        <f>IF(Data!$B911='Team Parser'!$B$1, Data!M911,"")</f>
        <v/>
      </c>
      <c r="AB919" s="134" t="str">
        <f>IF(Data!$B911='Team Parser'!$B$1,((Z919*2)+(Y919)+(X919*4)+(W919*2)),"")</f>
        <v/>
      </c>
      <c r="AC919" s="134" t="str">
        <f>IF(Data!$B911='Team Parser'!$B$1, Data!N911,"")</f>
        <v/>
      </c>
      <c r="AD919" s="139" t="str">
        <f>IF(Data!$B911='Team Parser'!$B$1,(AB919+(COUNTIF(AC919,"TRAVERSE")*15)+(COUNTIF(AC919,"HIGH")*10)+(COUNTIF(AC919,"MIDDLE")*6)+(COUNTIF(AC919,"LOW")*4)),"")</f>
        <v/>
      </c>
    </row>
    <row r="920">
      <c r="A920" s="141" t="s">
        <v>507</v>
      </c>
      <c r="B920" s="134"/>
      <c r="C920" s="134"/>
      <c r="D920" s="134"/>
      <c r="E920" s="134"/>
      <c r="F920" s="134"/>
      <c r="G920" s="134"/>
      <c r="H920" s="134"/>
      <c r="J920" s="134"/>
      <c r="K920" s="135"/>
      <c r="L920" s="136"/>
      <c r="M920" s="137" t="str">
        <f>IFERROR(__xludf.DUMMYFUNCTION("IFERROR((FILTER(Data!A:A,Data!D:D=A920,Data!B:B=$B$1)),"""")"),"")</f>
        <v/>
      </c>
      <c r="T920" s="52">
        <f>IFERROR(__xludf.DUMMYFUNCTION("((COUNTIF(FILTER(Data!N:N,Data!D:D=A920,Data!B:B=$B$1),""TRAVERSE"")*15)+(COUNTIF(FILTER(Data!N:N,Data!D:D=A920,Data!B:B=B$1),""HIGH"")*10)+(COUNTIF(FILTER(Data!N:N,Data!D:D=A920,Data!B:B=$B$1),""MIDDLE"")*6)+(COUNTIF(FILTER(Data!N:N,Data!D:D=A920,Data!B:"&amp;"B=$B$1),""LOW"")*4))"),0.0)</f>
        <v>0</v>
      </c>
      <c r="V920" s="138" t="str">
        <f>IF(Data!B912='Team Parser'!$B$1, Data!D912,"")</f>
        <v/>
      </c>
      <c r="W920" s="134" t="str">
        <f>IF(Data!$B912='Team Parser'!$B$1, Data!H912,"")</f>
        <v/>
      </c>
      <c r="X920" s="134" t="str">
        <f>IF(Data!$B912='Team Parser'!$B$1, Data!G912,"")</f>
        <v/>
      </c>
      <c r="Y920" s="134" t="str">
        <f>IF(Data!$B912='Team Parser'!$B$1, Data!L912,"")</f>
        <v/>
      </c>
      <c r="Z920" s="134" t="str">
        <f>IF(Data!$B912='Team Parser'!$B$1, Data!K912,"")</f>
        <v/>
      </c>
      <c r="AA920" s="134" t="str">
        <f>IF(Data!$B912='Team Parser'!$B$1, Data!M912,"")</f>
        <v/>
      </c>
      <c r="AB920" s="134" t="str">
        <f>IF(Data!$B912='Team Parser'!$B$1,((Z920*2)+(Y920)+(X920*4)+(W920*2)),"")</f>
        <v/>
      </c>
      <c r="AC920" s="134" t="str">
        <f>IF(Data!$B912='Team Parser'!$B$1, Data!N912,"")</f>
        <v/>
      </c>
      <c r="AD920" s="139" t="str">
        <f>IF(Data!$B912='Team Parser'!$B$1,(AB920+(COUNTIF(AC920,"TRAVERSE")*15)+(COUNTIF(AC920,"HIGH")*10)+(COUNTIF(AC920,"MIDDLE")*6)+(COUNTIF(AC920,"LOW")*4)),"")</f>
        <v/>
      </c>
    </row>
    <row r="921">
      <c r="A921" s="141" t="s">
        <v>507</v>
      </c>
      <c r="B921" s="134"/>
      <c r="C921" s="134"/>
      <c r="D921" s="134"/>
      <c r="E921" s="134"/>
      <c r="F921" s="134"/>
      <c r="G921" s="134"/>
      <c r="H921" s="134"/>
      <c r="J921" s="134"/>
      <c r="K921" s="135"/>
      <c r="L921" s="136"/>
      <c r="M921" s="137" t="str">
        <f>IFERROR(__xludf.DUMMYFUNCTION("IFERROR((FILTER(Data!A:A,Data!D:D=A921,Data!B:B=$B$1)),"""")"),"")</f>
        <v/>
      </c>
      <c r="T921" s="52">
        <f>IFERROR(__xludf.DUMMYFUNCTION("((COUNTIF(FILTER(Data!N:N,Data!D:D=A921,Data!B:B=$B$1),""TRAVERSE"")*15)+(COUNTIF(FILTER(Data!N:N,Data!D:D=A921,Data!B:B=B$1),""HIGH"")*10)+(COUNTIF(FILTER(Data!N:N,Data!D:D=A921,Data!B:B=$B$1),""MIDDLE"")*6)+(COUNTIF(FILTER(Data!N:N,Data!D:D=A921,Data!B:"&amp;"B=$B$1),""LOW"")*4))"),0.0)</f>
        <v>0</v>
      </c>
      <c r="V921" s="138" t="str">
        <f>IF(Data!B913='Team Parser'!$B$1, Data!D913,"")</f>
        <v/>
      </c>
      <c r="W921" s="134" t="str">
        <f>IF(Data!$B913='Team Parser'!$B$1, Data!H913,"")</f>
        <v/>
      </c>
      <c r="X921" s="134" t="str">
        <f>IF(Data!$B913='Team Parser'!$B$1, Data!G913,"")</f>
        <v/>
      </c>
      <c r="Y921" s="134" t="str">
        <f>IF(Data!$B913='Team Parser'!$B$1, Data!L913,"")</f>
        <v/>
      </c>
      <c r="Z921" s="134" t="str">
        <f>IF(Data!$B913='Team Parser'!$B$1, Data!K913,"")</f>
        <v/>
      </c>
      <c r="AA921" s="134" t="str">
        <f>IF(Data!$B913='Team Parser'!$B$1, Data!M913,"")</f>
        <v/>
      </c>
      <c r="AB921" s="134" t="str">
        <f>IF(Data!$B913='Team Parser'!$B$1,((Z921*2)+(Y921)+(X921*4)+(W921*2)),"")</f>
        <v/>
      </c>
      <c r="AC921" s="134" t="str">
        <f>IF(Data!$B913='Team Parser'!$B$1, Data!N913,"")</f>
        <v/>
      </c>
      <c r="AD921" s="139" t="str">
        <f>IF(Data!$B913='Team Parser'!$B$1,(AB921+(COUNTIF(AC921,"TRAVERSE")*15)+(COUNTIF(AC921,"HIGH")*10)+(COUNTIF(AC921,"MIDDLE")*6)+(COUNTIF(AC921,"LOW")*4)),"")</f>
        <v/>
      </c>
    </row>
    <row r="922">
      <c r="A922" s="141" t="s">
        <v>507</v>
      </c>
      <c r="B922" s="134"/>
      <c r="C922" s="134"/>
      <c r="D922" s="134"/>
      <c r="E922" s="134"/>
      <c r="F922" s="134"/>
      <c r="G922" s="134"/>
      <c r="H922" s="134"/>
      <c r="J922" s="134"/>
      <c r="K922" s="135"/>
      <c r="L922" s="136"/>
      <c r="M922" s="137" t="str">
        <f>IFERROR(__xludf.DUMMYFUNCTION("IFERROR((FILTER(Data!A:A,Data!D:D=A922,Data!B:B=$B$1)),"""")"),"")</f>
        <v/>
      </c>
      <c r="T922" s="52">
        <f>IFERROR(__xludf.DUMMYFUNCTION("((COUNTIF(FILTER(Data!N:N,Data!D:D=A922,Data!B:B=$B$1),""TRAVERSE"")*15)+(COUNTIF(FILTER(Data!N:N,Data!D:D=A922,Data!B:B=B$1),""HIGH"")*10)+(COUNTIF(FILTER(Data!N:N,Data!D:D=A922,Data!B:B=$B$1),""MIDDLE"")*6)+(COUNTIF(FILTER(Data!N:N,Data!D:D=A922,Data!B:"&amp;"B=$B$1),""LOW"")*4))"),0.0)</f>
        <v>0</v>
      </c>
      <c r="V922" s="138" t="str">
        <f>IF(Data!B914='Team Parser'!$B$1, Data!D914,"")</f>
        <v/>
      </c>
      <c r="W922" s="134" t="str">
        <f>IF(Data!$B914='Team Parser'!$B$1, Data!H914,"")</f>
        <v/>
      </c>
      <c r="X922" s="134" t="str">
        <f>IF(Data!$B914='Team Parser'!$B$1, Data!G914,"")</f>
        <v/>
      </c>
      <c r="Y922" s="134" t="str">
        <f>IF(Data!$B914='Team Parser'!$B$1, Data!L914,"")</f>
        <v/>
      </c>
      <c r="Z922" s="134" t="str">
        <f>IF(Data!$B914='Team Parser'!$B$1, Data!K914,"")</f>
        <v/>
      </c>
      <c r="AA922" s="134" t="str">
        <f>IF(Data!$B914='Team Parser'!$B$1, Data!M914,"")</f>
        <v/>
      </c>
      <c r="AB922" s="134" t="str">
        <f>IF(Data!$B914='Team Parser'!$B$1,((Z922*2)+(Y922)+(X922*4)+(W922*2)),"")</f>
        <v/>
      </c>
      <c r="AC922" s="134" t="str">
        <f>IF(Data!$B914='Team Parser'!$B$1, Data!N914,"")</f>
        <v/>
      </c>
      <c r="AD922" s="139" t="str">
        <f>IF(Data!$B914='Team Parser'!$B$1,(AB922+(COUNTIF(AC922,"TRAVERSE")*15)+(COUNTIF(AC922,"HIGH")*10)+(COUNTIF(AC922,"MIDDLE")*6)+(COUNTIF(AC922,"LOW")*4)),"")</f>
        <v/>
      </c>
    </row>
    <row r="923">
      <c r="A923" s="141" t="s">
        <v>507</v>
      </c>
      <c r="B923" s="134"/>
      <c r="C923" s="134"/>
      <c r="D923" s="134"/>
      <c r="E923" s="134"/>
      <c r="F923" s="134"/>
      <c r="G923" s="134"/>
      <c r="H923" s="134"/>
      <c r="J923" s="134"/>
      <c r="K923" s="135"/>
      <c r="L923" s="136"/>
      <c r="M923" s="137" t="str">
        <f>IFERROR(__xludf.DUMMYFUNCTION("IFERROR((FILTER(Data!A:A,Data!D:D=A923,Data!B:B=$B$1)),"""")"),"")</f>
        <v/>
      </c>
      <c r="T923" s="52">
        <f>IFERROR(__xludf.DUMMYFUNCTION("((COUNTIF(FILTER(Data!N:N,Data!D:D=A923,Data!B:B=$B$1),""TRAVERSE"")*15)+(COUNTIF(FILTER(Data!N:N,Data!D:D=A923,Data!B:B=B$1),""HIGH"")*10)+(COUNTIF(FILTER(Data!N:N,Data!D:D=A923,Data!B:B=$B$1),""MIDDLE"")*6)+(COUNTIF(FILTER(Data!N:N,Data!D:D=A923,Data!B:"&amp;"B=$B$1),""LOW"")*4))"),0.0)</f>
        <v>0</v>
      </c>
      <c r="V923" s="138" t="str">
        <f>IF(Data!B915='Team Parser'!$B$1, Data!D915,"")</f>
        <v/>
      </c>
      <c r="W923" s="134" t="str">
        <f>IF(Data!$B915='Team Parser'!$B$1, Data!H915,"")</f>
        <v/>
      </c>
      <c r="X923" s="134" t="str">
        <f>IF(Data!$B915='Team Parser'!$B$1, Data!G915,"")</f>
        <v/>
      </c>
      <c r="Y923" s="134" t="str">
        <f>IF(Data!$B915='Team Parser'!$B$1, Data!L915,"")</f>
        <v/>
      </c>
      <c r="Z923" s="134" t="str">
        <f>IF(Data!$B915='Team Parser'!$B$1, Data!K915,"")</f>
        <v/>
      </c>
      <c r="AA923" s="134" t="str">
        <f>IF(Data!$B915='Team Parser'!$B$1, Data!M915,"")</f>
        <v/>
      </c>
      <c r="AB923" s="134" t="str">
        <f>IF(Data!$B915='Team Parser'!$B$1,((Z923*2)+(Y923)+(X923*4)+(W923*2)),"")</f>
        <v/>
      </c>
      <c r="AC923" s="134" t="str">
        <f>IF(Data!$B915='Team Parser'!$B$1, Data!N915,"")</f>
        <v/>
      </c>
      <c r="AD923" s="139" t="str">
        <f>IF(Data!$B915='Team Parser'!$B$1,(AB923+(COUNTIF(AC923,"TRAVERSE")*15)+(COUNTIF(AC923,"HIGH")*10)+(COUNTIF(AC923,"MIDDLE")*6)+(COUNTIF(AC923,"LOW")*4)),"")</f>
        <v/>
      </c>
    </row>
    <row r="924">
      <c r="A924" s="141" t="s">
        <v>507</v>
      </c>
      <c r="B924" s="134"/>
      <c r="C924" s="134"/>
      <c r="D924" s="134"/>
      <c r="E924" s="134"/>
      <c r="F924" s="134"/>
      <c r="G924" s="134"/>
      <c r="H924" s="134"/>
      <c r="J924" s="134"/>
      <c r="K924" s="135"/>
      <c r="L924" s="136"/>
      <c r="M924" s="137" t="str">
        <f>IFERROR(__xludf.DUMMYFUNCTION("IFERROR((FILTER(Data!A:A,Data!D:D=A924,Data!B:B=$B$1)),"""")"),"")</f>
        <v/>
      </c>
      <c r="T924" s="52">
        <f>IFERROR(__xludf.DUMMYFUNCTION("((COUNTIF(FILTER(Data!N:N,Data!D:D=A924,Data!B:B=$B$1),""TRAVERSE"")*15)+(COUNTIF(FILTER(Data!N:N,Data!D:D=A924,Data!B:B=B$1),""HIGH"")*10)+(COUNTIF(FILTER(Data!N:N,Data!D:D=A924,Data!B:B=$B$1),""MIDDLE"")*6)+(COUNTIF(FILTER(Data!N:N,Data!D:D=A924,Data!B:"&amp;"B=$B$1),""LOW"")*4))"),0.0)</f>
        <v>0</v>
      </c>
      <c r="V924" s="138" t="str">
        <f>IF(Data!B916='Team Parser'!$B$1, Data!D916,"")</f>
        <v/>
      </c>
      <c r="W924" s="134" t="str">
        <f>IF(Data!$B916='Team Parser'!$B$1, Data!H916,"")</f>
        <v/>
      </c>
      <c r="X924" s="134" t="str">
        <f>IF(Data!$B916='Team Parser'!$B$1, Data!G916,"")</f>
        <v/>
      </c>
      <c r="Y924" s="134" t="str">
        <f>IF(Data!$B916='Team Parser'!$B$1, Data!L916,"")</f>
        <v/>
      </c>
      <c r="Z924" s="134" t="str">
        <f>IF(Data!$B916='Team Parser'!$B$1, Data!K916,"")</f>
        <v/>
      </c>
      <c r="AA924" s="134" t="str">
        <f>IF(Data!$B916='Team Parser'!$B$1, Data!M916,"")</f>
        <v/>
      </c>
      <c r="AB924" s="134" t="str">
        <f>IF(Data!$B916='Team Parser'!$B$1,((Z924*2)+(Y924)+(X924*4)+(W924*2)),"")</f>
        <v/>
      </c>
      <c r="AC924" s="134" t="str">
        <f>IF(Data!$B916='Team Parser'!$B$1, Data!N916,"")</f>
        <v/>
      </c>
      <c r="AD924" s="139" t="str">
        <f>IF(Data!$B916='Team Parser'!$B$1,(AB924+(COUNTIF(AC924,"TRAVERSE")*15)+(COUNTIF(AC924,"HIGH")*10)+(COUNTIF(AC924,"MIDDLE")*6)+(COUNTIF(AC924,"LOW")*4)),"")</f>
        <v/>
      </c>
    </row>
    <row r="925">
      <c r="A925" s="141" t="s">
        <v>507</v>
      </c>
      <c r="B925" s="134"/>
      <c r="C925" s="134"/>
      <c r="D925" s="134"/>
      <c r="E925" s="134"/>
      <c r="F925" s="134"/>
      <c r="G925" s="134"/>
      <c r="H925" s="134"/>
      <c r="J925" s="134"/>
      <c r="K925" s="135"/>
      <c r="L925" s="136"/>
      <c r="M925" s="137" t="str">
        <f>IFERROR(__xludf.DUMMYFUNCTION("IFERROR((FILTER(Data!A:A,Data!D:D=A925,Data!B:B=$B$1)),"""")"),"")</f>
        <v/>
      </c>
      <c r="T925" s="52">
        <f>IFERROR(__xludf.DUMMYFUNCTION("((COUNTIF(FILTER(Data!N:N,Data!D:D=A925,Data!B:B=$B$1),""TRAVERSE"")*15)+(COUNTIF(FILTER(Data!N:N,Data!D:D=A925,Data!B:B=B$1),""HIGH"")*10)+(COUNTIF(FILTER(Data!N:N,Data!D:D=A925,Data!B:B=$B$1),""MIDDLE"")*6)+(COUNTIF(FILTER(Data!N:N,Data!D:D=A925,Data!B:"&amp;"B=$B$1),""LOW"")*4))"),0.0)</f>
        <v>0</v>
      </c>
      <c r="V925" s="138" t="str">
        <f>IF(Data!B917='Team Parser'!$B$1, Data!D917,"")</f>
        <v/>
      </c>
      <c r="W925" s="134" t="str">
        <f>IF(Data!$B917='Team Parser'!$B$1, Data!H917,"")</f>
        <v/>
      </c>
      <c r="X925" s="134" t="str">
        <f>IF(Data!$B917='Team Parser'!$B$1, Data!G917,"")</f>
        <v/>
      </c>
      <c r="Y925" s="134" t="str">
        <f>IF(Data!$B917='Team Parser'!$B$1, Data!L917,"")</f>
        <v/>
      </c>
      <c r="Z925" s="134" t="str">
        <f>IF(Data!$B917='Team Parser'!$B$1, Data!K917,"")</f>
        <v/>
      </c>
      <c r="AA925" s="134" t="str">
        <f>IF(Data!$B917='Team Parser'!$B$1, Data!M917,"")</f>
        <v/>
      </c>
      <c r="AB925" s="134" t="str">
        <f>IF(Data!$B917='Team Parser'!$B$1,((Z925*2)+(Y925)+(X925*4)+(W925*2)),"")</f>
        <v/>
      </c>
      <c r="AC925" s="134" t="str">
        <f>IF(Data!$B917='Team Parser'!$B$1, Data!N917,"")</f>
        <v/>
      </c>
      <c r="AD925" s="139" t="str">
        <f>IF(Data!$B917='Team Parser'!$B$1,(AB925+(COUNTIF(AC925,"TRAVERSE")*15)+(COUNTIF(AC925,"HIGH")*10)+(COUNTIF(AC925,"MIDDLE")*6)+(COUNTIF(AC925,"LOW")*4)),"")</f>
        <v/>
      </c>
    </row>
    <row r="926">
      <c r="A926" s="141" t="s">
        <v>507</v>
      </c>
      <c r="B926" s="134"/>
      <c r="C926" s="134"/>
      <c r="D926" s="134"/>
      <c r="E926" s="134"/>
      <c r="F926" s="134"/>
      <c r="G926" s="134"/>
      <c r="H926" s="134"/>
      <c r="J926" s="134"/>
      <c r="K926" s="135"/>
      <c r="L926" s="136"/>
      <c r="M926" s="137" t="str">
        <f>IFERROR(__xludf.DUMMYFUNCTION("IFERROR((FILTER(Data!A:A,Data!D:D=A926,Data!B:B=$B$1)),"""")"),"")</f>
        <v/>
      </c>
      <c r="T926" s="52">
        <f>IFERROR(__xludf.DUMMYFUNCTION("((COUNTIF(FILTER(Data!N:N,Data!D:D=A926,Data!B:B=$B$1),""TRAVERSE"")*15)+(COUNTIF(FILTER(Data!N:N,Data!D:D=A926,Data!B:B=B$1),""HIGH"")*10)+(COUNTIF(FILTER(Data!N:N,Data!D:D=A926,Data!B:B=$B$1),""MIDDLE"")*6)+(COUNTIF(FILTER(Data!N:N,Data!D:D=A926,Data!B:"&amp;"B=$B$1),""LOW"")*4))"),0.0)</f>
        <v>0</v>
      </c>
      <c r="V926" s="138" t="str">
        <f>IF(Data!B918='Team Parser'!$B$1, Data!D918,"")</f>
        <v/>
      </c>
      <c r="W926" s="134" t="str">
        <f>IF(Data!$B918='Team Parser'!$B$1, Data!H918,"")</f>
        <v/>
      </c>
      <c r="X926" s="134" t="str">
        <f>IF(Data!$B918='Team Parser'!$B$1, Data!G918,"")</f>
        <v/>
      </c>
      <c r="Y926" s="134" t="str">
        <f>IF(Data!$B918='Team Parser'!$B$1, Data!L918,"")</f>
        <v/>
      </c>
      <c r="Z926" s="134" t="str">
        <f>IF(Data!$B918='Team Parser'!$B$1, Data!K918,"")</f>
        <v/>
      </c>
      <c r="AA926" s="134" t="str">
        <f>IF(Data!$B918='Team Parser'!$B$1, Data!M918,"")</f>
        <v/>
      </c>
      <c r="AB926" s="134" t="str">
        <f>IF(Data!$B918='Team Parser'!$B$1,((Z926*2)+(Y926)+(X926*4)+(W926*2)),"")</f>
        <v/>
      </c>
      <c r="AC926" s="134" t="str">
        <f>IF(Data!$B918='Team Parser'!$B$1, Data!N918,"")</f>
        <v/>
      </c>
      <c r="AD926" s="139" t="str">
        <f>IF(Data!$B918='Team Parser'!$B$1,(AB926+(COUNTIF(AC926,"TRAVERSE")*15)+(COUNTIF(AC926,"HIGH")*10)+(COUNTIF(AC926,"MIDDLE")*6)+(COUNTIF(AC926,"LOW")*4)),"")</f>
        <v/>
      </c>
    </row>
    <row r="927">
      <c r="A927" s="141" t="s">
        <v>507</v>
      </c>
      <c r="B927" s="134"/>
      <c r="C927" s="134"/>
      <c r="D927" s="134"/>
      <c r="E927" s="134"/>
      <c r="F927" s="134"/>
      <c r="G927" s="134"/>
      <c r="H927" s="134"/>
      <c r="J927" s="134"/>
      <c r="K927" s="135"/>
      <c r="L927" s="136"/>
      <c r="M927" s="137" t="str">
        <f>IFERROR(__xludf.DUMMYFUNCTION("IFERROR((FILTER(Data!A:A,Data!D:D=A927,Data!B:B=$B$1)),"""")"),"")</f>
        <v/>
      </c>
      <c r="T927" s="52">
        <f>IFERROR(__xludf.DUMMYFUNCTION("((COUNTIF(FILTER(Data!N:N,Data!D:D=A927,Data!B:B=$B$1),""TRAVERSE"")*15)+(COUNTIF(FILTER(Data!N:N,Data!D:D=A927,Data!B:B=B$1),""HIGH"")*10)+(COUNTIF(FILTER(Data!N:N,Data!D:D=A927,Data!B:B=$B$1),""MIDDLE"")*6)+(COUNTIF(FILTER(Data!N:N,Data!D:D=A927,Data!B:"&amp;"B=$B$1),""LOW"")*4))"),0.0)</f>
        <v>0</v>
      </c>
      <c r="V927" s="138" t="str">
        <f>IF(Data!B919='Team Parser'!$B$1, Data!D919,"")</f>
        <v/>
      </c>
      <c r="W927" s="134" t="str">
        <f>IF(Data!$B919='Team Parser'!$B$1, Data!H919,"")</f>
        <v/>
      </c>
      <c r="X927" s="134" t="str">
        <f>IF(Data!$B919='Team Parser'!$B$1, Data!G919,"")</f>
        <v/>
      </c>
      <c r="Y927" s="134" t="str">
        <f>IF(Data!$B919='Team Parser'!$B$1, Data!L919,"")</f>
        <v/>
      </c>
      <c r="Z927" s="134" t="str">
        <f>IF(Data!$B919='Team Parser'!$B$1, Data!K919,"")</f>
        <v/>
      </c>
      <c r="AA927" s="134" t="str">
        <f>IF(Data!$B919='Team Parser'!$B$1, Data!M919,"")</f>
        <v/>
      </c>
      <c r="AB927" s="134" t="str">
        <f>IF(Data!$B919='Team Parser'!$B$1,((Z927*2)+(Y927)+(X927*4)+(W927*2)),"")</f>
        <v/>
      </c>
      <c r="AC927" s="134" t="str">
        <f>IF(Data!$B919='Team Parser'!$B$1, Data!N919,"")</f>
        <v/>
      </c>
      <c r="AD927" s="139" t="str">
        <f>IF(Data!$B919='Team Parser'!$B$1,(AB927+(COUNTIF(AC927,"TRAVERSE")*15)+(COUNTIF(AC927,"HIGH")*10)+(COUNTIF(AC927,"MIDDLE")*6)+(COUNTIF(AC927,"LOW")*4)),"")</f>
        <v/>
      </c>
    </row>
    <row r="928">
      <c r="A928" s="141" t="s">
        <v>507</v>
      </c>
      <c r="B928" s="134"/>
      <c r="C928" s="134"/>
      <c r="D928" s="134"/>
      <c r="E928" s="134"/>
      <c r="F928" s="134"/>
      <c r="G928" s="134"/>
      <c r="H928" s="134"/>
      <c r="J928" s="134"/>
      <c r="K928" s="135"/>
      <c r="L928" s="136"/>
      <c r="M928" s="137" t="str">
        <f>IFERROR(__xludf.DUMMYFUNCTION("IFERROR((FILTER(Data!A:A,Data!D:D=A928,Data!B:B=$B$1)),"""")"),"")</f>
        <v/>
      </c>
      <c r="T928" s="52">
        <f>IFERROR(__xludf.DUMMYFUNCTION("((COUNTIF(FILTER(Data!N:N,Data!D:D=A928,Data!B:B=$B$1),""TRAVERSE"")*15)+(COUNTIF(FILTER(Data!N:N,Data!D:D=A928,Data!B:B=B$1),""HIGH"")*10)+(COUNTIF(FILTER(Data!N:N,Data!D:D=A928,Data!B:B=$B$1),""MIDDLE"")*6)+(COUNTIF(FILTER(Data!N:N,Data!D:D=A928,Data!B:"&amp;"B=$B$1),""LOW"")*4))"),0.0)</f>
        <v>0</v>
      </c>
      <c r="V928" s="138" t="str">
        <f>IF(Data!B920='Team Parser'!$B$1, Data!D920,"")</f>
        <v/>
      </c>
      <c r="W928" s="134" t="str">
        <f>IF(Data!$B920='Team Parser'!$B$1, Data!H920,"")</f>
        <v/>
      </c>
      <c r="X928" s="134" t="str">
        <f>IF(Data!$B920='Team Parser'!$B$1, Data!G920,"")</f>
        <v/>
      </c>
      <c r="Y928" s="134" t="str">
        <f>IF(Data!$B920='Team Parser'!$B$1, Data!L920,"")</f>
        <v/>
      </c>
      <c r="Z928" s="134" t="str">
        <f>IF(Data!$B920='Team Parser'!$B$1, Data!K920,"")</f>
        <v/>
      </c>
      <c r="AA928" s="134" t="str">
        <f>IF(Data!$B920='Team Parser'!$B$1, Data!M920,"")</f>
        <v/>
      </c>
      <c r="AB928" s="134" t="str">
        <f>IF(Data!$B920='Team Parser'!$B$1,((Z928*2)+(Y928)+(X928*4)+(W928*2)),"")</f>
        <v/>
      </c>
      <c r="AC928" s="134" t="str">
        <f>IF(Data!$B920='Team Parser'!$B$1, Data!N920,"")</f>
        <v/>
      </c>
      <c r="AD928" s="139" t="str">
        <f>IF(Data!$B920='Team Parser'!$B$1,(AB928+(COUNTIF(AC928,"TRAVERSE")*15)+(COUNTIF(AC928,"HIGH")*10)+(COUNTIF(AC928,"MIDDLE")*6)+(COUNTIF(AC928,"LOW")*4)),"")</f>
        <v/>
      </c>
    </row>
    <row r="929">
      <c r="A929" s="141" t="s">
        <v>507</v>
      </c>
      <c r="B929" s="134"/>
      <c r="C929" s="134"/>
      <c r="D929" s="134"/>
      <c r="E929" s="134"/>
      <c r="F929" s="134"/>
      <c r="G929" s="134"/>
      <c r="H929" s="134"/>
      <c r="J929" s="134"/>
      <c r="K929" s="135"/>
      <c r="L929" s="136"/>
      <c r="M929" s="137" t="str">
        <f>IFERROR(__xludf.DUMMYFUNCTION("IFERROR((FILTER(Data!A:A,Data!D:D=A929,Data!B:B=$B$1)),"""")"),"")</f>
        <v/>
      </c>
      <c r="T929" s="52">
        <f>IFERROR(__xludf.DUMMYFUNCTION("((COUNTIF(FILTER(Data!N:N,Data!D:D=A929,Data!B:B=$B$1),""TRAVERSE"")*15)+(COUNTIF(FILTER(Data!N:N,Data!D:D=A929,Data!B:B=B$1),""HIGH"")*10)+(COUNTIF(FILTER(Data!N:N,Data!D:D=A929,Data!B:B=$B$1),""MIDDLE"")*6)+(COUNTIF(FILTER(Data!N:N,Data!D:D=A929,Data!B:"&amp;"B=$B$1),""LOW"")*4))"),0.0)</f>
        <v>0</v>
      </c>
      <c r="V929" s="138" t="str">
        <f>IF(Data!B921='Team Parser'!$B$1, Data!D921,"")</f>
        <v/>
      </c>
      <c r="W929" s="134" t="str">
        <f>IF(Data!$B921='Team Parser'!$B$1, Data!H921,"")</f>
        <v/>
      </c>
      <c r="X929" s="134" t="str">
        <f>IF(Data!$B921='Team Parser'!$B$1, Data!G921,"")</f>
        <v/>
      </c>
      <c r="Y929" s="134" t="str">
        <f>IF(Data!$B921='Team Parser'!$B$1, Data!L921,"")</f>
        <v/>
      </c>
      <c r="Z929" s="134" t="str">
        <f>IF(Data!$B921='Team Parser'!$B$1, Data!K921,"")</f>
        <v/>
      </c>
      <c r="AA929" s="134" t="str">
        <f>IF(Data!$B921='Team Parser'!$B$1, Data!M921,"")</f>
        <v/>
      </c>
      <c r="AB929" s="134" t="str">
        <f>IF(Data!$B921='Team Parser'!$B$1,((Z929*2)+(Y929)+(X929*4)+(W929*2)),"")</f>
        <v/>
      </c>
      <c r="AC929" s="134" t="str">
        <f>IF(Data!$B921='Team Parser'!$B$1, Data!N921,"")</f>
        <v/>
      </c>
      <c r="AD929" s="139" t="str">
        <f>IF(Data!$B921='Team Parser'!$B$1,(AB929+(COUNTIF(AC929,"TRAVERSE")*15)+(COUNTIF(AC929,"HIGH")*10)+(COUNTIF(AC929,"MIDDLE")*6)+(COUNTIF(AC929,"LOW")*4)),"")</f>
        <v/>
      </c>
    </row>
    <row r="930">
      <c r="A930" s="141" t="s">
        <v>507</v>
      </c>
      <c r="B930" s="134"/>
      <c r="C930" s="134"/>
      <c r="D930" s="134"/>
      <c r="E930" s="134"/>
      <c r="F930" s="134"/>
      <c r="G930" s="134"/>
      <c r="H930" s="134"/>
      <c r="J930" s="134"/>
      <c r="K930" s="135"/>
      <c r="L930" s="136"/>
      <c r="M930" s="137" t="str">
        <f>IFERROR(__xludf.DUMMYFUNCTION("IFERROR((FILTER(Data!A:A,Data!D:D=A930,Data!B:B=$B$1)),"""")"),"")</f>
        <v/>
      </c>
      <c r="T930" s="52">
        <f>IFERROR(__xludf.DUMMYFUNCTION("((COUNTIF(FILTER(Data!N:N,Data!D:D=A930,Data!B:B=$B$1),""TRAVERSE"")*15)+(COUNTIF(FILTER(Data!N:N,Data!D:D=A930,Data!B:B=B$1),""HIGH"")*10)+(COUNTIF(FILTER(Data!N:N,Data!D:D=A930,Data!B:B=$B$1),""MIDDLE"")*6)+(COUNTIF(FILTER(Data!N:N,Data!D:D=A930,Data!B:"&amp;"B=$B$1),""LOW"")*4))"),0.0)</f>
        <v>0</v>
      </c>
      <c r="V930" s="138" t="str">
        <f>IF(Data!B922='Team Parser'!$B$1, Data!D922,"")</f>
        <v/>
      </c>
      <c r="W930" s="134" t="str">
        <f>IF(Data!$B922='Team Parser'!$B$1, Data!H922,"")</f>
        <v/>
      </c>
      <c r="X930" s="134" t="str">
        <f>IF(Data!$B922='Team Parser'!$B$1, Data!G922,"")</f>
        <v/>
      </c>
      <c r="Y930" s="134" t="str">
        <f>IF(Data!$B922='Team Parser'!$B$1, Data!L922,"")</f>
        <v/>
      </c>
      <c r="Z930" s="134" t="str">
        <f>IF(Data!$B922='Team Parser'!$B$1, Data!K922,"")</f>
        <v/>
      </c>
      <c r="AA930" s="134" t="str">
        <f>IF(Data!$B922='Team Parser'!$B$1, Data!M922,"")</f>
        <v/>
      </c>
      <c r="AB930" s="134" t="str">
        <f>IF(Data!$B922='Team Parser'!$B$1,((Z930*2)+(Y930)+(X930*4)+(W930*2)),"")</f>
        <v/>
      </c>
      <c r="AC930" s="134" t="str">
        <f>IF(Data!$B922='Team Parser'!$B$1, Data!N922,"")</f>
        <v/>
      </c>
      <c r="AD930" s="139" t="str">
        <f>IF(Data!$B922='Team Parser'!$B$1,(AB930+(COUNTIF(AC930,"TRAVERSE")*15)+(COUNTIF(AC930,"HIGH")*10)+(COUNTIF(AC930,"MIDDLE")*6)+(COUNTIF(AC930,"LOW")*4)),"")</f>
        <v/>
      </c>
    </row>
    <row r="931">
      <c r="A931" s="141" t="s">
        <v>507</v>
      </c>
      <c r="B931" s="134"/>
      <c r="C931" s="134"/>
      <c r="D931" s="134"/>
      <c r="E931" s="134"/>
      <c r="F931" s="134"/>
      <c r="G931" s="134"/>
      <c r="H931" s="134"/>
      <c r="J931" s="134"/>
      <c r="K931" s="135"/>
      <c r="L931" s="136"/>
      <c r="M931" s="137" t="str">
        <f>IFERROR(__xludf.DUMMYFUNCTION("IFERROR((FILTER(Data!A:A,Data!D:D=A931,Data!B:B=$B$1)),"""")"),"")</f>
        <v/>
      </c>
      <c r="T931" s="52">
        <f>IFERROR(__xludf.DUMMYFUNCTION("((COUNTIF(FILTER(Data!N:N,Data!D:D=A931,Data!B:B=$B$1),""TRAVERSE"")*15)+(COUNTIF(FILTER(Data!N:N,Data!D:D=A931,Data!B:B=B$1),""HIGH"")*10)+(COUNTIF(FILTER(Data!N:N,Data!D:D=A931,Data!B:B=$B$1),""MIDDLE"")*6)+(COUNTIF(FILTER(Data!N:N,Data!D:D=A931,Data!B:"&amp;"B=$B$1),""LOW"")*4))"),0.0)</f>
        <v>0</v>
      </c>
      <c r="V931" s="138" t="str">
        <f>IF(Data!B923='Team Parser'!$B$1, Data!D923,"")</f>
        <v/>
      </c>
      <c r="W931" s="134" t="str">
        <f>IF(Data!$B923='Team Parser'!$B$1, Data!H923,"")</f>
        <v/>
      </c>
      <c r="X931" s="134" t="str">
        <f>IF(Data!$B923='Team Parser'!$B$1, Data!G923,"")</f>
        <v/>
      </c>
      <c r="Y931" s="134" t="str">
        <f>IF(Data!$B923='Team Parser'!$B$1, Data!L923,"")</f>
        <v/>
      </c>
      <c r="Z931" s="134" t="str">
        <f>IF(Data!$B923='Team Parser'!$B$1, Data!K923,"")</f>
        <v/>
      </c>
      <c r="AA931" s="134" t="str">
        <f>IF(Data!$B923='Team Parser'!$B$1, Data!M923,"")</f>
        <v/>
      </c>
      <c r="AB931" s="134" t="str">
        <f>IF(Data!$B923='Team Parser'!$B$1,((Z931*2)+(Y931)+(X931*4)+(W931*2)),"")</f>
        <v/>
      </c>
      <c r="AC931" s="134" t="str">
        <f>IF(Data!$B923='Team Parser'!$B$1, Data!N923,"")</f>
        <v/>
      </c>
      <c r="AD931" s="139" t="str">
        <f>IF(Data!$B923='Team Parser'!$B$1,(AB931+(COUNTIF(AC931,"TRAVERSE")*15)+(COUNTIF(AC931,"HIGH")*10)+(COUNTIF(AC931,"MIDDLE")*6)+(COUNTIF(AC931,"LOW")*4)),"")</f>
        <v/>
      </c>
    </row>
    <row r="932">
      <c r="A932" s="141" t="s">
        <v>507</v>
      </c>
      <c r="B932" s="134"/>
      <c r="C932" s="134"/>
      <c r="D932" s="134"/>
      <c r="E932" s="134"/>
      <c r="F932" s="134"/>
      <c r="G932" s="134"/>
      <c r="H932" s="134"/>
      <c r="J932" s="134"/>
      <c r="K932" s="135"/>
      <c r="L932" s="136"/>
      <c r="M932" s="137" t="str">
        <f>IFERROR(__xludf.DUMMYFUNCTION("IFERROR((FILTER(Data!A:A,Data!D:D=A932,Data!B:B=$B$1)),"""")"),"")</f>
        <v/>
      </c>
      <c r="T932" s="52">
        <f>IFERROR(__xludf.DUMMYFUNCTION("((COUNTIF(FILTER(Data!N:N,Data!D:D=A932,Data!B:B=$B$1),""TRAVERSE"")*15)+(COUNTIF(FILTER(Data!N:N,Data!D:D=A932,Data!B:B=B$1),""HIGH"")*10)+(COUNTIF(FILTER(Data!N:N,Data!D:D=A932,Data!B:B=$B$1),""MIDDLE"")*6)+(COUNTIF(FILTER(Data!N:N,Data!D:D=A932,Data!B:"&amp;"B=$B$1),""LOW"")*4))"),0.0)</f>
        <v>0</v>
      </c>
      <c r="V932" s="138" t="str">
        <f>IF(Data!B924='Team Parser'!$B$1, Data!D924,"")</f>
        <v/>
      </c>
      <c r="W932" s="134" t="str">
        <f>IF(Data!$B924='Team Parser'!$B$1, Data!H924,"")</f>
        <v/>
      </c>
      <c r="X932" s="134" t="str">
        <f>IF(Data!$B924='Team Parser'!$B$1, Data!G924,"")</f>
        <v/>
      </c>
      <c r="Y932" s="134" t="str">
        <f>IF(Data!$B924='Team Parser'!$B$1, Data!L924,"")</f>
        <v/>
      </c>
      <c r="Z932" s="134" t="str">
        <f>IF(Data!$B924='Team Parser'!$B$1, Data!K924,"")</f>
        <v/>
      </c>
      <c r="AA932" s="134" t="str">
        <f>IF(Data!$B924='Team Parser'!$B$1, Data!M924,"")</f>
        <v/>
      </c>
      <c r="AB932" s="134" t="str">
        <f>IF(Data!$B924='Team Parser'!$B$1,((Z932*2)+(Y932)+(X932*4)+(W932*2)),"")</f>
        <v/>
      </c>
      <c r="AC932" s="134" t="str">
        <f>IF(Data!$B924='Team Parser'!$B$1, Data!N924,"")</f>
        <v/>
      </c>
      <c r="AD932" s="139" t="str">
        <f>IF(Data!$B924='Team Parser'!$B$1,(AB932+(COUNTIF(AC932,"TRAVERSE")*15)+(COUNTIF(AC932,"HIGH")*10)+(COUNTIF(AC932,"MIDDLE")*6)+(COUNTIF(AC932,"LOW")*4)),"")</f>
        <v/>
      </c>
    </row>
    <row r="933">
      <c r="A933" s="141" t="s">
        <v>507</v>
      </c>
      <c r="B933" s="134"/>
      <c r="C933" s="134"/>
      <c r="D933" s="134"/>
      <c r="E933" s="134"/>
      <c r="F933" s="134"/>
      <c r="G933" s="134"/>
      <c r="H933" s="134"/>
      <c r="J933" s="134"/>
      <c r="K933" s="135"/>
      <c r="L933" s="136"/>
      <c r="M933" s="137" t="str">
        <f>IFERROR(__xludf.DUMMYFUNCTION("IFERROR((FILTER(Data!A:A,Data!D:D=A933,Data!B:B=$B$1)),"""")"),"")</f>
        <v/>
      </c>
      <c r="T933" s="52">
        <f>IFERROR(__xludf.DUMMYFUNCTION("((COUNTIF(FILTER(Data!N:N,Data!D:D=A933,Data!B:B=$B$1),""TRAVERSE"")*15)+(COUNTIF(FILTER(Data!N:N,Data!D:D=A933,Data!B:B=B$1),""HIGH"")*10)+(COUNTIF(FILTER(Data!N:N,Data!D:D=A933,Data!B:B=$B$1),""MIDDLE"")*6)+(COUNTIF(FILTER(Data!N:N,Data!D:D=A933,Data!B:"&amp;"B=$B$1),""LOW"")*4))"),0.0)</f>
        <v>0</v>
      </c>
      <c r="V933" s="138" t="str">
        <f>IF(Data!B925='Team Parser'!$B$1, Data!D925,"")</f>
        <v/>
      </c>
      <c r="W933" s="134" t="str">
        <f>IF(Data!$B925='Team Parser'!$B$1, Data!H925,"")</f>
        <v/>
      </c>
      <c r="X933" s="134" t="str">
        <f>IF(Data!$B925='Team Parser'!$B$1, Data!G925,"")</f>
        <v/>
      </c>
      <c r="Y933" s="134" t="str">
        <f>IF(Data!$B925='Team Parser'!$B$1, Data!L925,"")</f>
        <v/>
      </c>
      <c r="Z933" s="134" t="str">
        <f>IF(Data!$B925='Team Parser'!$B$1, Data!K925,"")</f>
        <v/>
      </c>
      <c r="AA933" s="134" t="str">
        <f>IF(Data!$B925='Team Parser'!$B$1, Data!M925,"")</f>
        <v/>
      </c>
      <c r="AB933" s="134" t="str">
        <f>IF(Data!$B925='Team Parser'!$B$1,((Z933*2)+(Y933)+(X933*4)+(W933*2)),"")</f>
        <v/>
      </c>
      <c r="AC933" s="134" t="str">
        <f>IF(Data!$B925='Team Parser'!$B$1, Data!N925,"")</f>
        <v/>
      </c>
      <c r="AD933" s="139" t="str">
        <f>IF(Data!$B925='Team Parser'!$B$1,(AB933+(COUNTIF(AC933,"TRAVERSE")*15)+(COUNTIF(AC933,"HIGH")*10)+(COUNTIF(AC933,"MIDDLE")*6)+(COUNTIF(AC933,"LOW")*4)),"")</f>
        <v/>
      </c>
    </row>
    <row r="934">
      <c r="A934" s="141" t="s">
        <v>507</v>
      </c>
      <c r="B934" s="134"/>
      <c r="C934" s="134"/>
      <c r="D934" s="134"/>
      <c r="E934" s="134"/>
      <c r="F934" s="134"/>
      <c r="G934" s="134"/>
      <c r="H934" s="134"/>
      <c r="J934" s="134"/>
      <c r="K934" s="135"/>
      <c r="L934" s="136"/>
      <c r="M934" s="137" t="str">
        <f>IFERROR(__xludf.DUMMYFUNCTION("IFERROR((FILTER(Data!A:A,Data!D:D=A934,Data!B:B=$B$1)),"""")"),"")</f>
        <v/>
      </c>
      <c r="T934" s="52">
        <f>IFERROR(__xludf.DUMMYFUNCTION("((COUNTIF(FILTER(Data!N:N,Data!D:D=A934,Data!B:B=$B$1),""TRAVERSE"")*15)+(COUNTIF(FILTER(Data!N:N,Data!D:D=A934,Data!B:B=B$1),""HIGH"")*10)+(COUNTIF(FILTER(Data!N:N,Data!D:D=A934,Data!B:B=$B$1),""MIDDLE"")*6)+(COUNTIF(FILTER(Data!N:N,Data!D:D=A934,Data!B:"&amp;"B=$B$1),""LOW"")*4))"),0.0)</f>
        <v>0</v>
      </c>
      <c r="V934" s="138" t="str">
        <f>IF(Data!B926='Team Parser'!$B$1, Data!D926,"")</f>
        <v/>
      </c>
      <c r="W934" s="134" t="str">
        <f>IF(Data!$B926='Team Parser'!$B$1, Data!H926,"")</f>
        <v/>
      </c>
      <c r="X934" s="134" t="str">
        <f>IF(Data!$B926='Team Parser'!$B$1, Data!G926,"")</f>
        <v/>
      </c>
      <c r="Y934" s="134" t="str">
        <f>IF(Data!$B926='Team Parser'!$B$1, Data!L926,"")</f>
        <v/>
      </c>
      <c r="Z934" s="134" t="str">
        <f>IF(Data!$B926='Team Parser'!$B$1, Data!K926,"")</f>
        <v/>
      </c>
      <c r="AA934" s="134" t="str">
        <f>IF(Data!$B926='Team Parser'!$B$1, Data!M926,"")</f>
        <v/>
      </c>
      <c r="AB934" s="134" t="str">
        <f>IF(Data!$B926='Team Parser'!$B$1,((Z934*2)+(Y934)+(X934*4)+(W934*2)),"")</f>
        <v/>
      </c>
      <c r="AC934" s="134" t="str">
        <f>IF(Data!$B926='Team Parser'!$B$1, Data!N926,"")</f>
        <v/>
      </c>
      <c r="AD934" s="139" t="str">
        <f>IF(Data!$B926='Team Parser'!$B$1,(AB934+(COUNTIF(AC934,"TRAVERSE")*15)+(COUNTIF(AC934,"HIGH")*10)+(COUNTIF(AC934,"MIDDLE")*6)+(COUNTIF(AC934,"LOW")*4)),"")</f>
        <v/>
      </c>
    </row>
    <row r="935">
      <c r="A935" s="141" t="s">
        <v>507</v>
      </c>
      <c r="B935" s="134"/>
      <c r="C935" s="134"/>
      <c r="D935" s="134"/>
      <c r="E935" s="134"/>
      <c r="F935" s="134"/>
      <c r="G935" s="134"/>
      <c r="H935" s="134"/>
      <c r="J935" s="134"/>
      <c r="K935" s="135"/>
      <c r="L935" s="136"/>
      <c r="M935" s="137" t="str">
        <f>IFERROR(__xludf.DUMMYFUNCTION("IFERROR((FILTER(Data!A:A,Data!D:D=A935,Data!B:B=$B$1)),"""")"),"")</f>
        <v/>
      </c>
      <c r="T935" s="52">
        <f>IFERROR(__xludf.DUMMYFUNCTION("((COUNTIF(FILTER(Data!N:N,Data!D:D=A935,Data!B:B=$B$1),""TRAVERSE"")*15)+(COUNTIF(FILTER(Data!N:N,Data!D:D=A935,Data!B:B=B$1),""HIGH"")*10)+(COUNTIF(FILTER(Data!N:N,Data!D:D=A935,Data!B:B=$B$1),""MIDDLE"")*6)+(COUNTIF(FILTER(Data!N:N,Data!D:D=A935,Data!B:"&amp;"B=$B$1),""LOW"")*4))"),0.0)</f>
        <v>0</v>
      </c>
      <c r="V935" s="138" t="str">
        <f>IF(Data!B927='Team Parser'!$B$1, Data!D927,"")</f>
        <v/>
      </c>
      <c r="W935" s="134" t="str">
        <f>IF(Data!$B927='Team Parser'!$B$1, Data!H927,"")</f>
        <v/>
      </c>
      <c r="X935" s="134" t="str">
        <f>IF(Data!$B927='Team Parser'!$B$1, Data!G927,"")</f>
        <v/>
      </c>
      <c r="Y935" s="134" t="str">
        <f>IF(Data!$B927='Team Parser'!$B$1, Data!L927,"")</f>
        <v/>
      </c>
      <c r="Z935" s="134" t="str">
        <f>IF(Data!$B927='Team Parser'!$B$1, Data!K927,"")</f>
        <v/>
      </c>
      <c r="AA935" s="134" t="str">
        <f>IF(Data!$B927='Team Parser'!$B$1, Data!M927,"")</f>
        <v/>
      </c>
      <c r="AB935" s="134" t="str">
        <f>IF(Data!$B927='Team Parser'!$B$1,((Z935*2)+(Y935)+(X935*4)+(W935*2)),"")</f>
        <v/>
      </c>
      <c r="AC935" s="134" t="str">
        <f>IF(Data!$B927='Team Parser'!$B$1, Data!N927,"")</f>
        <v/>
      </c>
      <c r="AD935" s="139" t="str">
        <f>IF(Data!$B927='Team Parser'!$B$1,(AB935+(COUNTIF(AC935,"TRAVERSE")*15)+(COUNTIF(AC935,"HIGH")*10)+(COUNTIF(AC935,"MIDDLE")*6)+(COUNTIF(AC935,"LOW")*4)),"")</f>
        <v/>
      </c>
    </row>
    <row r="936">
      <c r="A936" s="141" t="s">
        <v>507</v>
      </c>
      <c r="B936" s="134"/>
      <c r="C936" s="134"/>
      <c r="D936" s="134"/>
      <c r="E936" s="134"/>
      <c r="F936" s="134"/>
      <c r="G936" s="134"/>
      <c r="H936" s="134"/>
      <c r="J936" s="134"/>
      <c r="K936" s="135"/>
      <c r="L936" s="136"/>
      <c r="M936" s="137" t="str">
        <f>IFERROR(__xludf.DUMMYFUNCTION("IFERROR((FILTER(Data!A:A,Data!D:D=A936,Data!B:B=$B$1)),"""")"),"")</f>
        <v/>
      </c>
      <c r="T936" s="52">
        <f>IFERROR(__xludf.DUMMYFUNCTION("((COUNTIF(FILTER(Data!N:N,Data!D:D=A936,Data!B:B=$B$1),""TRAVERSE"")*15)+(COUNTIF(FILTER(Data!N:N,Data!D:D=A936,Data!B:B=B$1),""HIGH"")*10)+(COUNTIF(FILTER(Data!N:N,Data!D:D=A936,Data!B:B=$B$1),""MIDDLE"")*6)+(COUNTIF(FILTER(Data!N:N,Data!D:D=A936,Data!B:"&amp;"B=$B$1),""LOW"")*4))"),0.0)</f>
        <v>0</v>
      </c>
      <c r="V936" s="138" t="str">
        <f>IF(Data!B928='Team Parser'!$B$1, Data!D928,"")</f>
        <v/>
      </c>
      <c r="W936" s="134" t="str">
        <f>IF(Data!$B928='Team Parser'!$B$1, Data!H928,"")</f>
        <v/>
      </c>
      <c r="X936" s="134" t="str">
        <f>IF(Data!$B928='Team Parser'!$B$1, Data!G928,"")</f>
        <v/>
      </c>
      <c r="Y936" s="134" t="str">
        <f>IF(Data!$B928='Team Parser'!$B$1, Data!L928,"")</f>
        <v/>
      </c>
      <c r="Z936" s="134" t="str">
        <f>IF(Data!$B928='Team Parser'!$B$1, Data!K928,"")</f>
        <v/>
      </c>
      <c r="AA936" s="134" t="str">
        <f>IF(Data!$B928='Team Parser'!$B$1, Data!M928,"")</f>
        <v/>
      </c>
      <c r="AB936" s="134" t="str">
        <f>IF(Data!$B928='Team Parser'!$B$1,((Z936*2)+(Y936)+(X936*4)+(W936*2)),"")</f>
        <v/>
      </c>
      <c r="AC936" s="134" t="str">
        <f>IF(Data!$B928='Team Parser'!$B$1, Data!N928,"")</f>
        <v/>
      </c>
      <c r="AD936" s="139" t="str">
        <f>IF(Data!$B928='Team Parser'!$B$1,(AB936+(COUNTIF(AC936,"TRAVERSE")*15)+(COUNTIF(AC936,"HIGH")*10)+(COUNTIF(AC936,"MIDDLE")*6)+(COUNTIF(AC936,"LOW")*4)),"")</f>
        <v/>
      </c>
    </row>
    <row r="937">
      <c r="A937" s="141" t="s">
        <v>507</v>
      </c>
      <c r="B937" s="134"/>
      <c r="C937" s="134"/>
      <c r="D937" s="134"/>
      <c r="E937" s="134"/>
      <c r="F937" s="134"/>
      <c r="G937" s="134"/>
      <c r="H937" s="134"/>
      <c r="J937" s="134"/>
      <c r="K937" s="135"/>
      <c r="L937" s="136"/>
      <c r="M937" s="137" t="str">
        <f>IFERROR(__xludf.DUMMYFUNCTION("IFERROR((FILTER(Data!A:A,Data!D:D=A937,Data!B:B=$B$1)),"""")"),"")</f>
        <v/>
      </c>
      <c r="T937" s="52">
        <f>IFERROR(__xludf.DUMMYFUNCTION("((COUNTIF(FILTER(Data!N:N,Data!D:D=A937,Data!B:B=$B$1),""TRAVERSE"")*15)+(COUNTIF(FILTER(Data!N:N,Data!D:D=A937,Data!B:B=B$1),""HIGH"")*10)+(COUNTIF(FILTER(Data!N:N,Data!D:D=A937,Data!B:B=$B$1),""MIDDLE"")*6)+(COUNTIF(FILTER(Data!N:N,Data!D:D=A937,Data!B:"&amp;"B=$B$1),""LOW"")*4))"),0.0)</f>
        <v>0</v>
      </c>
      <c r="V937" s="138" t="str">
        <f>IF(Data!B929='Team Parser'!$B$1, Data!D929,"")</f>
        <v/>
      </c>
      <c r="W937" s="134" t="str">
        <f>IF(Data!$B929='Team Parser'!$B$1, Data!H929,"")</f>
        <v/>
      </c>
      <c r="X937" s="134" t="str">
        <f>IF(Data!$B929='Team Parser'!$B$1, Data!G929,"")</f>
        <v/>
      </c>
      <c r="Y937" s="134" t="str">
        <f>IF(Data!$B929='Team Parser'!$B$1, Data!L929,"")</f>
        <v/>
      </c>
      <c r="Z937" s="134" t="str">
        <f>IF(Data!$B929='Team Parser'!$B$1, Data!K929,"")</f>
        <v/>
      </c>
      <c r="AA937" s="134" t="str">
        <f>IF(Data!$B929='Team Parser'!$B$1, Data!M929,"")</f>
        <v/>
      </c>
      <c r="AB937" s="134" t="str">
        <f>IF(Data!$B929='Team Parser'!$B$1,((Z937*2)+(Y937)+(X937*4)+(W937*2)),"")</f>
        <v/>
      </c>
      <c r="AC937" s="134" t="str">
        <f>IF(Data!$B929='Team Parser'!$B$1, Data!N929,"")</f>
        <v/>
      </c>
      <c r="AD937" s="139" t="str">
        <f>IF(Data!$B929='Team Parser'!$B$1,(AB937+(COUNTIF(AC937,"TRAVERSE")*15)+(COUNTIF(AC937,"HIGH")*10)+(COUNTIF(AC937,"MIDDLE")*6)+(COUNTIF(AC937,"LOW")*4)),"")</f>
        <v/>
      </c>
    </row>
    <row r="938">
      <c r="A938" s="141" t="s">
        <v>507</v>
      </c>
      <c r="B938" s="134"/>
      <c r="C938" s="134"/>
      <c r="D938" s="134"/>
      <c r="E938" s="134"/>
      <c r="F938" s="134"/>
      <c r="G938" s="134"/>
      <c r="H938" s="134"/>
      <c r="J938" s="134"/>
      <c r="K938" s="135"/>
      <c r="L938" s="136"/>
      <c r="M938" s="137" t="str">
        <f>IFERROR(__xludf.DUMMYFUNCTION("IFERROR((FILTER(Data!A:A,Data!D:D=A938,Data!B:B=$B$1)),"""")"),"")</f>
        <v/>
      </c>
      <c r="T938" s="52">
        <f>IFERROR(__xludf.DUMMYFUNCTION("((COUNTIF(FILTER(Data!N:N,Data!D:D=A938,Data!B:B=$B$1),""TRAVERSE"")*15)+(COUNTIF(FILTER(Data!N:N,Data!D:D=A938,Data!B:B=B$1),""HIGH"")*10)+(COUNTIF(FILTER(Data!N:N,Data!D:D=A938,Data!B:B=$B$1),""MIDDLE"")*6)+(COUNTIF(FILTER(Data!N:N,Data!D:D=A938,Data!B:"&amp;"B=$B$1),""LOW"")*4))"),0.0)</f>
        <v>0</v>
      </c>
      <c r="V938" s="138" t="str">
        <f>IF(Data!B930='Team Parser'!$B$1, Data!D930,"")</f>
        <v/>
      </c>
      <c r="W938" s="134" t="str">
        <f>IF(Data!$B930='Team Parser'!$B$1, Data!H930,"")</f>
        <v/>
      </c>
      <c r="X938" s="134" t="str">
        <f>IF(Data!$B930='Team Parser'!$B$1, Data!G930,"")</f>
        <v/>
      </c>
      <c r="Y938" s="134" t="str">
        <f>IF(Data!$B930='Team Parser'!$B$1, Data!L930,"")</f>
        <v/>
      </c>
      <c r="Z938" s="134" t="str">
        <f>IF(Data!$B930='Team Parser'!$B$1, Data!K930,"")</f>
        <v/>
      </c>
      <c r="AA938" s="134" t="str">
        <f>IF(Data!$B930='Team Parser'!$B$1, Data!M930,"")</f>
        <v/>
      </c>
      <c r="AB938" s="134" t="str">
        <f>IF(Data!$B930='Team Parser'!$B$1,((Z938*2)+(Y938)+(X938*4)+(W938*2)),"")</f>
        <v/>
      </c>
      <c r="AC938" s="134" t="str">
        <f>IF(Data!$B930='Team Parser'!$B$1, Data!N930,"")</f>
        <v/>
      </c>
      <c r="AD938" s="139" t="str">
        <f>IF(Data!$B930='Team Parser'!$B$1,(AB938+(COUNTIF(AC938,"TRAVERSE")*15)+(COUNTIF(AC938,"HIGH")*10)+(COUNTIF(AC938,"MIDDLE")*6)+(COUNTIF(AC938,"LOW")*4)),"")</f>
        <v/>
      </c>
    </row>
    <row r="939">
      <c r="A939" s="141" t="s">
        <v>507</v>
      </c>
      <c r="B939" s="134"/>
      <c r="C939" s="134"/>
      <c r="D939" s="134"/>
      <c r="E939" s="134"/>
      <c r="F939" s="134"/>
      <c r="G939" s="134"/>
      <c r="H939" s="134"/>
      <c r="J939" s="134"/>
      <c r="K939" s="135"/>
      <c r="L939" s="136"/>
      <c r="M939" s="137" t="str">
        <f>IFERROR(__xludf.DUMMYFUNCTION("IFERROR((FILTER(Data!A:A,Data!D:D=A939,Data!B:B=$B$1)),"""")"),"")</f>
        <v/>
      </c>
      <c r="T939" s="52">
        <f>IFERROR(__xludf.DUMMYFUNCTION("((COUNTIF(FILTER(Data!N:N,Data!D:D=A939,Data!B:B=$B$1),""TRAVERSE"")*15)+(COUNTIF(FILTER(Data!N:N,Data!D:D=A939,Data!B:B=B$1),""HIGH"")*10)+(COUNTIF(FILTER(Data!N:N,Data!D:D=A939,Data!B:B=$B$1),""MIDDLE"")*6)+(COUNTIF(FILTER(Data!N:N,Data!D:D=A939,Data!B:"&amp;"B=$B$1),""LOW"")*4))"),0.0)</f>
        <v>0</v>
      </c>
      <c r="V939" s="138" t="str">
        <f>IF(Data!B931='Team Parser'!$B$1, Data!D931,"")</f>
        <v/>
      </c>
      <c r="W939" s="134" t="str">
        <f>IF(Data!$B931='Team Parser'!$B$1, Data!H931,"")</f>
        <v/>
      </c>
      <c r="X939" s="134" t="str">
        <f>IF(Data!$B931='Team Parser'!$B$1, Data!G931,"")</f>
        <v/>
      </c>
      <c r="Y939" s="134" t="str">
        <f>IF(Data!$B931='Team Parser'!$B$1, Data!L931,"")</f>
        <v/>
      </c>
      <c r="Z939" s="134" t="str">
        <f>IF(Data!$B931='Team Parser'!$B$1, Data!K931,"")</f>
        <v/>
      </c>
      <c r="AA939" s="134" t="str">
        <f>IF(Data!$B931='Team Parser'!$B$1, Data!M931,"")</f>
        <v/>
      </c>
      <c r="AB939" s="134" t="str">
        <f>IF(Data!$B931='Team Parser'!$B$1,((Z939*2)+(Y939)+(X939*4)+(W939*2)),"")</f>
        <v/>
      </c>
      <c r="AC939" s="134" t="str">
        <f>IF(Data!$B931='Team Parser'!$B$1, Data!N931,"")</f>
        <v/>
      </c>
      <c r="AD939" s="139" t="str">
        <f>IF(Data!$B931='Team Parser'!$B$1,(AB939+(COUNTIF(AC939,"TRAVERSE")*15)+(COUNTIF(AC939,"HIGH")*10)+(COUNTIF(AC939,"MIDDLE")*6)+(COUNTIF(AC939,"LOW")*4)),"")</f>
        <v/>
      </c>
    </row>
    <row r="940">
      <c r="A940" s="141" t="s">
        <v>507</v>
      </c>
      <c r="B940" s="134"/>
      <c r="C940" s="134"/>
      <c r="D940" s="134"/>
      <c r="E940" s="134"/>
      <c r="F940" s="134"/>
      <c r="G940" s="134"/>
      <c r="H940" s="134"/>
      <c r="J940" s="134"/>
      <c r="K940" s="135"/>
      <c r="L940" s="136"/>
      <c r="M940" s="137" t="str">
        <f>IFERROR(__xludf.DUMMYFUNCTION("IFERROR((FILTER(Data!A:A,Data!D:D=A940,Data!B:B=$B$1)),"""")"),"")</f>
        <v/>
      </c>
      <c r="T940" s="52">
        <f>IFERROR(__xludf.DUMMYFUNCTION("((COUNTIF(FILTER(Data!N:N,Data!D:D=A940,Data!B:B=$B$1),""TRAVERSE"")*15)+(COUNTIF(FILTER(Data!N:N,Data!D:D=A940,Data!B:B=B$1),""HIGH"")*10)+(COUNTIF(FILTER(Data!N:N,Data!D:D=A940,Data!B:B=$B$1),""MIDDLE"")*6)+(COUNTIF(FILTER(Data!N:N,Data!D:D=A940,Data!B:"&amp;"B=$B$1),""LOW"")*4))"),0.0)</f>
        <v>0</v>
      </c>
      <c r="V940" s="138" t="str">
        <f>IF(Data!B932='Team Parser'!$B$1, Data!D932,"")</f>
        <v/>
      </c>
      <c r="W940" s="134" t="str">
        <f>IF(Data!$B932='Team Parser'!$B$1, Data!H932,"")</f>
        <v/>
      </c>
      <c r="X940" s="134" t="str">
        <f>IF(Data!$B932='Team Parser'!$B$1, Data!G932,"")</f>
        <v/>
      </c>
      <c r="Y940" s="134" t="str">
        <f>IF(Data!$B932='Team Parser'!$B$1, Data!L932,"")</f>
        <v/>
      </c>
      <c r="Z940" s="134" t="str">
        <f>IF(Data!$B932='Team Parser'!$B$1, Data!K932,"")</f>
        <v/>
      </c>
      <c r="AA940" s="134" t="str">
        <f>IF(Data!$B932='Team Parser'!$B$1, Data!M932,"")</f>
        <v/>
      </c>
      <c r="AB940" s="134" t="str">
        <f>IF(Data!$B932='Team Parser'!$B$1,((Z940*2)+(Y940)+(X940*4)+(W940*2)),"")</f>
        <v/>
      </c>
      <c r="AC940" s="134" t="str">
        <f>IF(Data!$B932='Team Parser'!$B$1, Data!N932,"")</f>
        <v/>
      </c>
      <c r="AD940" s="139" t="str">
        <f>IF(Data!$B932='Team Parser'!$B$1,(AB940+(COUNTIF(AC940,"TRAVERSE")*15)+(COUNTIF(AC940,"HIGH")*10)+(COUNTIF(AC940,"MIDDLE")*6)+(COUNTIF(AC940,"LOW")*4)),"")</f>
        <v/>
      </c>
    </row>
    <row r="941">
      <c r="A941" s="141" t="s">
        <v>507</v>
      </c>
      <c r="B941" s="134"/>
      <c r="C941" s="134"/>
      <c r="D941" s="134"/>
      <c r="E941" s="134"/>
      <c r="F941" s="134"/>
      <c r="G941" s="134"/>
      <c r="H941" s="134"/>
      <c r="J941" s="134"/>
      <c r="K941" s="135"/>
      <c r="L941" s="136"/>
      <c r="M941" s="137" t="str">
        <f>IFERROR(__xludf.DUMMYFUNCTION("IFERROR((FILTER(Data!A:A,Data!D:D=A941,Data!B:B=$B$1)),"""")"),"")</f>
        <v/>
      </c>
      <c r="T941" s="52">
        <f>IFERROR(__xludf.DUMMYFUNCTION("((COUNTIF(FILTER(Data!N:N,Data!D:D=A941,Data!B:B=$B$1),""TRAVERSE"")*15)+(COUNTIF(FILTER(Data!N:N,Data!D:D=A941,Data!B:B=B$1),""HIGH"")*10)+(COUNTIF(FILTER(Data!N:N,Data!D:D=A941,Data!B:B=$B$1),""MIDDLE"")*6)+(COUNTIF(FILTER(Data!N:N,Data!D:D=A941,Data!B:"&amp;"B=$B$1),""LOW"")*4))"),0.0)</f>
        <v>0</v>
      </c>
      <c r="V941" s="138" t="str">
        <f>IF(Data!B933='Team Parser'!$B$1, Data!D933,"")</f>
        <v/>
      </c>
      <c r="W941" s="134" t="str">
        <f>IF(Data!$B933='Team Parser'!$B$1, Data!H933,"")</f>
        <v/>
      </c>
      <c r="X941" s="134" t="str">
        <f>IF(Data!$B933='Team Parser'!$B$1, Data!G933,"")</f>
        <v/>
      </c>
      <c r="Y941" s="134" t="str">
        <f>IF(Data!$B933='Team Parser'!$B$1, Data!L933,"")</f>
        <v/>
      </c>
      <c r="Z941" s="134" t="str">
        <f>IF(Data!$B933='Team Parser'!$B$1, Data!K933,"")</f>
        <v/>
      </c>
      <c r="AA941" s="134" t="str">
        <f>IF(Data!$B933='Team Parser'!$B$1, Data!M933,"")</f>
        <v/>
      </c>
      <c r="AB941" s="134" t="str">
        <f>IF(Data!$B933='Team Parser'!$B$1,((Z941*2)+(Y941)+(X941*4)+(W941*2)),"")</f>
        <v/>
      </c>
      <c r="AC941" s="134" t="str">
        <f>IF(Data!$B933='Team Parser'!$B$1, Data!N933,"")</f>
        <v/>
      </c>
      <c r="AD941" s="139" t="str">
        <f>IF(Data!$B933='Team Parser'!$B$1,(AB941+(COUNTIF(AC941,"TRAVERSE")*15)+(COUNTIF(AC941,"HIGH")*10)+(COUNTIF(AC941,"MIDDLE")*6)+(COUNTIF(AC941,"LOW")*4)),"")</f>
        <v/>
      </c>
    </row>
    <row r="942">
      <c r="A942" s="141" t="s">
        <v>507</v>
      </c>
      <c r="B942" s="134"/>
      <c r="C942" s="134"/>
      <c r="D942" s="134"/>
      <c r="E942" s="134"/>
      <c r="F942" s="134"/>
      <c r="G942" s="134"/>
      <c r="H942" s="134"/>
      <c r="J942" s="134"/>
      <c r="K942" s="135"/>
      <c r="L942" s="136"/>
      <c r="M942" s="137" t="str">
        <f>IFERROR(__xludf.DUMMYFUNCTION("IFERROR((FILTER(Data!A:A,Data!D:D=A942,Data!B:B=$B$1)),"""")"),"")</f>
        <v/>
      </c>
      <c r="T942" s="52">
        <f>IFERROR(__xludf.DUMMYFUNCTION("((COUNTIF(FILTER(Data!N:N,Data!D:D=A942,Data!B:B=$B$1),""TRAVERSE"")*15)+(COUNTIF(FILTER(Data!N:N,Data!D:D=A942,Data!B:B=B$1),""HIGH"")*10)+(COUNTIF(FILTER(Data!N:N,Data!D:D=A942,Data!B:B=$B$1),""MIDDLE"")*6)+(COUNTIF(FILTER(Data!N:N,Data!D:D=A942,Data!B:"&amp;"B=$B$1),""LOW"")*4))"),0.0)</f>
        <v>0</v>
      </c>
      <c r="V942" s="138" t="str">
        <f>IF(Data!B934='Team Parser'!$B$1, Data!D934,"")</f>
        <v/>
      </c>
      <c r="W942" s="134" t="str">
        <f>IF(Data!$B934='Team Parser'!$B$1, Data!H934,"")</f>
        <v/>
      </c>
      <c r="X942" s="134" t="str">
        <f>IF(Data!$B934='Team Parser'!$B$1, Data!G934,"")</f>
        <v/>
      </c>
      <c r="Y942" s="134" t="str">
        <f>IF(Data!$B934='Team Parser'!$B$1, Data!L934,"")</f>
        <v/>
      </c>
      <c r="Z942" s="134" t="str">
        <f>IF(Data!$B934='Team Parser'!$B$1, Data!K934,"")</f>
        <v/>
      </c>
      <c r="AA942" s="134" t="str">
        <f>IF(Data!$B934='Team Parser'!$B$1, Data!M934,"")</f>
        <v/>
      </c>
      <c r="AB942" s="134" t="str">
        <f>IF(Data!$B934='Team Parser'!$B$1,((Z942*2)+(Y942)+(X942*4)+(W942*2)),"")</f>
        <v/>
      </c>
      <c r="AC942" s="134" t="str">
        <f>IF(Data!$B934='Team Parser'!$B$1, Data!N934,"")</f>
        <v/>
      </c>
      <c r="AD942" s="139" t="str">
        <f>IF(Data!$B934='Team Parser'!$B$1,(AB942+(COUNTIF(AC942,"TRAVERSE")*15)+(COUNTIF(AC942,"HIGH")*10)+(COUNTIF(AC942,"MIDDLE")*6)+(COUNTIF(AC942,"LOW")*4)),"")</f>
        <v/>
      </c>
    </row>
    <row r="943">
      <c r="A943" s="141" t="s">
        <v>507</v>
      </c>
      <c r="B943" s="134"/>
      <c r="C943" s="134"/>
      <c r="D943" s="134"/>
      <c r="E943" s="134"/>
      <c r="F943" s="134"/>
      <c r="G943" s="134"/>
      <c r="H943" s="134"/>
      <c r="J943" s="134"/>
      <c r="K943" s="135"/>
      <c r="L943" s="136"/>
      <c r="M943" s="137" t="str">
        <f>IFERROR(__xludf.DUMMYFUNCTION("IFERROR((FILTER(Data!A:A,Data!D:D=A943,Data!B:B=$B$1)),"""")"),"")</f>
        <v/>
      </c>
      <c r="T943" s="52">
        <f>IFERROR(__xludf.DUMMYFUNCTION("((COUNTIF(FILTER(Data!N:N,Data!D:D=A943,Data!B:B=$B$1),""TRAVERSE"")*15)+(COUNTIF(FILTER(Data!N:N,Data!D:D=A943,Data!B:B=B$1),""HIGH"")*10)+(COUNTIF(FILTER(Data!N:N,Data!D:D=A943,Data!B:B=$B$1),""MIDDLE"")*6)+(COUNTIF(FILTER(Data!N:N,Data!D:D=A943,Data!B:"&amp;"B=$B$1),""LOW"")*4))"),0.0)</f>
        <v>0</v>
      </c>
      <c r="V943" s="138" t="str">
        <f>IF(Data!B935='Team Parser'!$B$1, Data!D935,"")</f>
        <v/>
      </c>
      <c r="W943" s="134" t="str">
        <f>IF(Data!$B935='Team Parser'!$B$1, Data!H935,"")</f>
        <v/>
      </c>
      <c r="X943" s="134" t="str">
        <f>IF(Data!$B935='Team Parser'!$B$1, Data!G935,"")</f>
        <v/>
      </c>
      <c r="Y943" s="134" t="str">
        <f>IF(Data!$B935='Team Parser'!$B$1, Data!L935,"")</f>
        <v/>
      </c>
      <c r="Z943" s="134" t="str">
        <f>IF(Data!$B935='Team Parser'!$B$1, Data!K935,"")</f>
        <v/>
      </c>
      <c r="AA943" s="134" t="str">
        <f>IF(Data!$B935='Team Parser'!$B$1, Data!M935,"")</f>
        <v/>
      </c>
      <c r="AB943" s="134" t="str">
        <f>IF(Data!$B935='Team Parser'!$B$1,((Z943*2)+(Y943)+(X943*4)+(W943*2)),"")</f>
        <v/>
      </c>
      <c r="AC943" s="134" t="str">
        <f>IF(Data!$B935='Team Parser'!$B$1, Data!N935,"")</f>
        <v/>
      </c>
      <c r="AD943" s="139" t="str">
        <f>IF(Data!$B935='Team Parser'!$B$1,(AB943+(COUNTIF(AC943,"TRAVERSE")*15)+(COUNTIF(AC943,"HIGH")*10)+(COUNTIF(AC943,"MIDDLE")*6)+(COUNTIF(AC943,"LOW")*4)),"")</f>
        <v/>
      </c>
    </row>
    <row r="944">
      <c r="A944" s="141" t="s">
        <v>507</v>
      </c>
      <c r="B944" s="134"/>
      <c r="C944" s="134"/>
      <c r="D944" s="134"/>
      <c r="E944" s="134"/>
      <c r="F944" s="134"/>
      <c r="G944" s="134"/>
      <c r="H944" s="134"/>
      <c r="J944" s="134"/>
      <c r="K944" s="135"/>
      <c r="L944" s="136"/>
      <c r="M944" s="137" t="str">
        <f>IFERROR(__xludf.DUMMYFUNCTION("IFERROR((FILTER(Data!A:A,Data!D:D=A944,Data!B:B=$B$1)),"""")"),"")</f>
        <v/>
      </c>
      <c r="T944" s="52">
        <f>IFERROR(__xludf.DUMMYFUNCTION("((COUNTIF(FILTER(Data!N:N,Data!D:D=A944,Data!B:B=$B$1),""TRAVERSE"")*15)+(COUNTIF(FILTER(Data!N:N,Data!D:D=A944,Data!B:B=B$1),""HIGH"")*10)+(COUNTIF(FILTER(Data!N:N,Data!D:D=A944,Data!B:B=$B$1),""MIDDLE"")*6)+(COUNTIF(FILTER(Data!N:N,Data!D:D=A944,Data!B:"&amp;"B=$B$1),""LOW"")*4))"),0.0)</f>
        <v>0</v>
      </c>
      <c r="V944" s="138" t="str">
        <f>IF(Data!B936='Team Parser'!$B$1, Data!D936,"")</f>
        <v/>
      </c>
      <c r="W944" s="134" t="str">
        <f>IF(Data!$B936='Team Parser'!$B$1, Data!H936,"")</f>
        <v/>
      </c>
      <c r="X944" s="134" t="str">
        <f>IF(Data!$B936='Team Parser'!$B$1, Data!G936,"")</f>
        <v/>
      </c>
      <c r="Y944" s="134" t="str">
        <f>IF(Data!$B936='Team Parser'!$B$1, Data!L936,"")</f>
        <v/>
      </c>
      <c r="Z944" s="134" t="str">
        <f>IF(Data!$B936='Team Parser'!$B$1, Data!K936,"")</f>
        <v/>
      </c>
      <c r="AA944" s="134" t="str">
        <f>IF(Data!$B936='Team Parser'!$B$1, Data!M936,"")</f>
        <v/>
      </c>
      <c r="AB944" s="134" t="str">
        <f>IF(Data!$B936='Team Parser'!$B$1,((Z944*2)+(Y944)+(X944*4)+(W944*2)),"")</f>
        <v/>
      </c>
      <c r="AC944" s="134" t="str">
        <f>IF(Data!$B936='Team Parser'!$B$1, Data!N936,"")</f>
        <v/>
      </c>
      <c r="AD944" s="139" t="str">
        <f>IF(Data!$B936='Team Parser'!$B$1,(AB944+(COUNTIF(AC944,"TRAVERSE")*15)+(COUNTIF(AC944,"HIGH")*10)+(COUNTIF(AC944,"MIDDLE")*6)+(COUNTIF(AC944,"LOW")*4)),"")</f>
        <v/>
      </c>
    </row>
    <row r="945">
      <c r="A945" s="141" t="s">
        <v>507</v>
      </c>
      <c r="B945" s="134"/>
      <c r="C945" s="134"/>
      <c r="D945" s="134"/>
      <c r="E945" s="134"/>
      <c r="F945" s="134"/>
      <c r="G945" s="134"/>
      <c r="H945" s="134"/>
      <c r="J945" s="134"/>
      <c r="K945" s="135"/>
      <c r="L945" s="136"/>
      <c r="M945" s="137" t="str">
        <f>IFERROR(__xludf.DUMMYFUNCTION("IFERROR((FILTER(Data!A:A,Data!D:D=A945,Data!B:B=$B$1)),"""")"),"")</f>
        <v/>
      </c>
      <c r="T945" s="52">
        <f>IFERROR(__xludf.DUMMYFUNCTION("((COUNTIF(FILTER(Data!N:N,Data!D:D=A945,Data!B:B=$B$1),""TRAVERSE"")*15)+(COUNTIF(FILTER(Data!N:N,Data!D:D=A945,Data!B:B=B$1),""HIGH"")*10)+(COUNTIF(FILTER(Data!N:N,Data!D:D=A945,Data!B:B=$B$1),""MIDDLE"")*6)+(COUNTIF(FILTER(Data!N:N,Data!D:D=A945,Data!B:"&amp;"B=$B$1),""LOW"")*4))"),0.0)</f>
        <v>0</v>
      </c>
      <c r="V945" s="138" t="str">
        <f>IF(Data!B937='Team Parser'!$B$1, Data!D937,"")</f>
        <v/>
      </c>
      <c r="W945" s="134" t="str">
        <f>IF(Data!$B937='Team Parser'!$B$1, Data!H937,"")</f>
        <v/>
      </c>
      <c r="X945" s="134" t="str">
        <f>IF(Data!$B937='Team Parser'!$B$1, Data!G937,"")</f>
        <v/>
      </c>
      <c r="Y945" s="134" t="str">
        <f>IF(Data!$B937='Team Parser'!$B$1, Data!L937,"")</f>
        <v/>
      </c>
      <c r="Z945" s="134" t="str">
        <f>IF(Data!$B937='Team Parser'!$B$1, Data!K937,"")</f>
        <v/>
      </c>
      <c r="AA945" s="134" t="str">
        <f>IF(Data!$B937='Team Parser'!$B$1, Data!M937,"")</f>
        <v/>
      </c>
      <c r="AB945" s="134" t="str">
        <f>IF(Data!$B937='Team Parser'!$B$1,((Z945*2)+(Y945)+(X945*4)+(W945*2)),"")</f>
        <v/>
      </c>
      <c r="AC945" s="134" t="str">
        <f>IF(Data!$B937='Team Parser'!$B$1, Data!N937,"")</f>
        <v/>
      </c>
      <c r="AD945" s="139" t="str">
        <f>IF(Data!$B937='Team Parser'!$B$1,(AB945+(COUNTIF(AC945,"TRAVERSE")*15)+(COUNTIF(AC945,"HIGH")*10)+(COUNTIF(AC945,"MIDDLE")*6)+(COUNTIF(AC945,"LOW")*4)),"")</f>
        <v/>
      </c>
    </row>
    <row r="946">
      <c r="A946" s="141" t="s">
        <v>507</v>
      </c>
      <c r="B946" s="134"/>
      <c r="C946" s="134"/>
      <c r="D946" s="134"/>
      <c r="E946" s="134"/>
      <c r="F946" s="134"/>
      <c r="G946" s="134"/>
      <c r="H946" s="134"/>
      <c r="J946" s="134"/>
      <c r="K946" s="135"/>
      <c r="L946" s="136"/>
      <c r="M946" s="137" t="str">
        <f>IFERROR(__xludf.DUMMYFUNCTION("IFERROR((FILTER(Data!A:A,Data!D:D=A946,Data!B:B=$B$1)),"""")"),"")</f>
        <v/>
      </c>
      <c r="T946" s="52">
        <f>IFERROR(__xludf.DUMMYFUNCTION("((COUNTIF(FILTER(Data!N:N,Data!D:D=A946,Data!B:B=$B$1),""TRAVERSE"")*15)+(COUNTIF(FILTER(Data!N:N,Data!D:D=A946,Data!B:B=B$1),""HIGH"")*10)+(COUNTIF(FILTER(Data!N:N,Data!D:D=A946,Data!B:B=$B$1),""MIDDLE"")*6)+(COUNTIF(FILTER(Data!N:N,Data!D:D=A946,Data!B:"&amp;"B=$B$1),""LOW"")*4))"),0.0)</f>
        <v>0</v>
      </c>
      <c r="V946" s="138" t="str">
        <f>IF(Data!B938='Team Parser'!$B$1, Data!D938,"")</f>
        <v/>
      </c>
      <c r="W946" s="134" t="str">
        <f>IF(Data!$B938='Team Parser'!$B$1, Data!H938,"")</f>
        <v/>
      </c>
      <c r="X946" s="134" t="str">
        <f>IF(Data!$B938='Team Parser'!$B$1, Data!G938,"")</f>
        <v/>
      </c>
      <c r="Y946" s="134" t="str">
        <f>IF(Data!$B938='Team Parser'!$B$1, Data!L938,"")</f>
        <v/>
      </c>
      <c r="Z946" s="134" t="str">
        <f>IF(Data!$B938='Team Parser'!$B$1, Data!K938,"")</f>
        <v/>
      </c>
      <c r="AA946" s="134" t="str">
        <f>IF(Data!$B938='Team Parser'!$B$1, Data!M938,"")</f>
        <v/>
      </c>
      <c r="AB946" s="134" t="str">
        <f>IF(Data!$B938='Team Parser'!$B$1,((Z946*2)+(Y946)+(X946*4)+(W946*2)),"")</f>
        <v/>
      </c>
      <c r="AC946" s="134" t="str">
        <f>IF(Data!$B938='Team Parser'!$B$1, Data!N938,"")</f>
        <v/>
      </c>
      <c r="AD946" s="139" t="str">
        <f>IF(Data!$B938='Team Parser'!$B$1,(AB946+(COUNTIF(AC946,"TRAVERSE")*15)+(COUNTIF(AC946,"HIGH")*10)+(COUNTIF(AC946,"MIDDLE")*6)+(COUNTIF(AC946,"LOW")*4)),"")</f>
        <v/>
      </c>
    </row>
    <row r="947">
      <c r="A947" s="141" t="s">
        <v>507</v>
      </c>
      <c r="B947" s="134"/>
      <c r="C947" s="134"/>
      <c r="D947" s="134"/>
      <c r="E947" s="134"/>
      <c r="F947" s="134"/>
      <c r="G947" s="134"/>
      <c r="H947" s="134"/>
      <c r="J947" s="134"/>
      <c r="K947" s="135"/>
      <c r="L947" s="136"/>
      <c r="M947" s="137" t="str">
        <f>IFERROR(__xludf.DUMMYFUNCTION("IFERROR((FILTER(Data!A:A,Data!D:D=A947,Data!B:B=$B$1)),"""")"),"")</f>
        <v/>
      </c>
      <c r="T947" s="52">
        <f>IFERROR(__xludf.DUMMYFUNCTION("((COUNTIF(FILTER(Data!N:N,Data!D:D=A947,Data!B:B=$B$1),""TRAVERSE"")*15)+(COUNTIF(FILTER(Data!N:N,Data!D:D=A947,Data!B:B=B$1),""HIGH"")*10)+(COUNTIF(FILTER(Data!N:N,Data!D:D=A947,Data!B:B=$B$1),""MIDDLE"")*6)+(COUNTIF(FILTER(Data!N:N,Data!D:D=A947,Data!B:"&amp;"B=$B$1),""LOW"")*4))"),0.0)</f>
        <v>0</v>
      </c>
      <c r="V947" s="138" t="str">
        <f>IF(Data!B939='Team Parser'!$B$1, Data!D939,"")</f>
        <v/>
      </c>
      <c r="W947" s="134" t="str">
        <f>IF(Data!$B939='Team Parser'!$B$1, Data!H939,"")</f>
        <v/>
      </c>
      <c r="X947" s="134" t="str">
        <f>IF(Data!$B939='Team Parser'!$B$1, Data!G939,"")</f>
        <v/>
      </c>
      <c r="Y947" s="134" t="str">
        <f>IF(Data!$B939='Team Parser'!$B$1, Data!L939,"")</f>
        <v/>
      </c>
      <c r="Z947" s="134" t="str">
        <f>IF(Data!$B939='Team Parser'!$B$1, Data!K939,"")</f>
        <v/>
      </c>
      <c r="AA947" s="134" t="str">
        <f>IF(Data!$B939='Team Parser'!$B$1, Data!M939,"")</f>
        <v/>
      </c>
      <c r="AB947" s="134" t="str">
        <f>IF(Data!$B939='Team Parser'!$B$1,((Z947*2)+(Y947)+(X947*4)+(W947*2)),"")</f>
        <v/>
      </c>
      <c r="AC947" s="134" t="str">
        <f>IF(Data!$B939='Team Parser'!$B$1, Data!N939,"")</f>
        <v/>
      </c>
      <c r="AD947" s="139" t="str">
        <f>IF(Data!$B939='Team Parser'!$B$1,(AB947+(COUNTIF(AC947,"TRAVERSE")*15)+(COUNTIF(AC947,"HIGH")*10)+(COUNTIF(AC947,"MIDDLE")*6)+(COUNTIF(AC947,"LOW")*4)),"")</f>
        <v/>
      </c>
    </row>
    <row r="948">
      <c r="A948" s="141" t="s">
        <v>507</v>
      </c>
      <c r="B948" s="134"/>
      <c r="C948" s="134"/>
      <c r="D948" s="134"/>
      <c r="E948" s="134"/>
      <c r="F948" s="134"/>
      <c r="G948" s="134"/>
      <c r="H948" s="134"/>
      <c r="J948" s="134"/>
      <c r="K948" s="135"/>
      <c r="L948" s="136"/>
      <c r="M948" s="137" t="str">
        <f>IFERROR(__xludf.DUMMYFUNCTION("IFERROR((FILTER(Data!A:A,Data!D:D=A948,Data!B:B=$B$1)),"""")"),"")</f>
        <v/>
      </c>
      <c r="T948" s="52">
        <f>IFERROR(__xludf.DUMMYFUNCTION("((COUNTIF(FILTER(Data!N:N,Data!D:D=A948,Data!B:B=$B$1),""TRAVERSE"")*15)+(COUNTIF(FILTER(Data!N:N,Data!D:D=A948,Data!B:B=B$1),""HIGH"")*10)+(COUNTIF(FILTER(Data!N:N,Data!D:D=A948,Data!B:B=$B$1),""MIDDLE"")*6)+(COUNTIF(FILTER(Data!N:N,Data!D:D=A948,Data!B:"&amp;"B=$B$1),""LOW"")*4))"),0.0)</f>
        <v>0</v>
      </c>
      <c r="V948" s="138" t="str">
        <f>IF(Data!B940='Team Parser'!$B$1, Data!D940,"")</f>
        <v/>
      </c>
      <c r="W948" s="134" t="str">
        <f>IF(Data!$B940='Team Parser'!$B$1, Data!H940,"")</f>
        <v/>
      </c>
      <c r="X948" s="134" t="str">
        <f>IF(Data!$B940='Team Parser'!$B$1, Data!G940,"")</f>
        <v/>
      </c>
      <c r="Y948" s="134" t="str">
        <f>IF(Data!$B940='Team Parser'!$B$1, Data!L940,"")</f>
        <v/>
      </c>
      <c r="Z948" s="134" t="str">
        <f>IF(Data!$B940='Team Parser'!$B$1, Data!K940,"")</f>
        <v/>
      </c>
      <c r="AA948" s="134" t="str">
        <f>IF(Data!$B940='Team Parser'!$B$1, Data!M940,"")</f>
        <v/>
      </c>
      <c r="AB948" s="134" t="str">
        <f>IF(Data!$B940='Team Parser'!$B$1,((Z948*2)+(Y948)+(X948*4)+(W948*2)),"")</f>
        <v/>
      </c>
      <c r="AC948" s="134" t="str">
        <f>IF(Data!$B940='Team Parser'!$B$1, Data!N940,"")</f>
        <v/>
      </c>
      <c r="AD948" s="139" t="str">
        <f>IF(Data!$B940='Team Parser'!$B$1,(AB948+(COUNTIF(AC948,"TRAVERSE")*15)+(COUNTIF(AC948,"HIGH")*10)+(COUNTIF(AC948,"MIDDLE")*6)+(COUNTIF(AC948,"LOW")*4)),"")</f>
        <v/>
      </c>
    </row>
    <row r="949">
      <c r="A949" s="141" t="s">
        <v>507</v>
      </c>
      <c r="B949" s="134"/>
      <c r="C949" s="134"/>
      <c r="D949" s="134"/>
      <c r="E949" s="134"/>
      <c r="F949" s="134"/>
      <c r="G949" s="134"/>
      <c r="H949" s="134"/>
      <c r="J949" s="134"/>
      <c r="K949" s="135"/>
      <c r="L949" s="136"/>
      <c r="M949" s="137" t="str">
        <f>IFERROR(__xludf.DUMMYFUNCTION("IFERROR((FILTER(Data!A:A,Data!D:D=A949,Data!B:B=$B$1)),"""")"),"")</f>
        <v/>
      </c>
      <c r="T949" s="52">
        <f>IFERROR(__xludf.DUMMYFUNCTION("((COUNTIF(FILTER(Data!N:N,Data!D:D=A949,Data!B:B=$B$1),""TRAVERSE"")*15)+(COUNTIF(FILTER(Data!N:N,Data!D:D=A949,Data!B:B=B$1),""HIGH"")*10)+(COUNTIF(FILTER(Data!N:N,Data!D:D=A949,Data!B:B=$B$1),""MIDDLE"")*6)+(COUNTIF(FILTER(Data!N:N,Data!D:D=A949,Data!B:"&amp;"B=$B$1),""LOW"")*4))"),0.0)</f>
        <v>0</v>
      </c>
      <c r="V949" s="138" t="str">
        <f>IF(Data!B941='Team Parser'!$B$1, Data!D941,"")</f>
        <v/>
      </c>
      <c r="W949" s="134" t="str">
        <f>IF(Data!$B941='Team Parser'!$B$1, Data!H941,"")</f>
        <v/>
      </c>
      <c r="X949" s="134" t="str">
        <f>IF(Data!$B941='Team Parser'!$B$1, Data!G941,"")</f>
        <v/>
      </c>
      <c r="Y949" s="134" t="str">
        <f>IF(Data!$B941='Team Parser'!$B$1, Data!L941,"")</f>
        <v/>
      </c>
      <c r="Z949" s="134" t="str">
        <f>IF(Data!$B941='Team Parser'!$B$1, Data!K941,"")</f>
        <v/>
      </c>
      <c r="AA949" s="134" t="str">
        <f>IF(Data!$B941='Team Parser'!$B$1, Data!M941,"")</f>
        <v/>
      </c>
      <c r="AB949" s="134" t="str">
        <f>IF(Data!$B941='Team Parser'!$B$1,((Z949*2)+(Y949)+(X949*4)+(W949*2)),"")</f>
        <v/>
      </c>
      <c r="AC949" s="134" t="str">
        <f>IF(Data!$B941='Team Parser'!$B$1, Data!N941,"")</f>
        <v/>
      </c>
      <c r="AD949" s="139" t="str">
        <f>IF(Data!$B941='Team Parser'!$B$1,(AB949+(COUNTIF(AC949,"TRAVERSE")*15)+(COUNTIF(AC949,"HIGH")*10)+(COUNTIF(AC949,"MIDDLE")*6)+(COUNTIF(AC949,"LOW")*4)),"")</f>
        <v/>
      </c>
    </row>
    <row r="950">
      <c r="A950" s="141" t="s">
        <v>507</v>
      </c>
      <c r="B950" s="134"/>
      <c r="C950" s="134"/>
      <c r="D950" s="134"/>
      <c r="E950" s="134"/>
      <c r="F950" s="134"/>
      <c r="G950" s="134"/>
      <c r="H950" s="134"/>
      <c r="J950" s="134"/>
      <c r="K950" s="135"/>
      <c r="L950" s="136"/>
      <c r="M950" s="137" t="str">
        <f>IFERROR(__xludf.DUMMYFUNCTION("IFERROR((FILTER(Data!A:A,Data!D:D=A950,Data!B:B=$B$1)),"""")"),"")</f>
        <v/>
      </c>
      <c r="T950" s="52">
        <f>IFERROR(__xludf.DUMMYFUNCTION("((COUNTIF(FILTER(Data!N:N,Data!D:D=A950,Data!B:B=$B$1),""TRAVERSE"")*15)+(COUNTIF(FILTER(Data!N:N,Data!D:D=A950,Data!B:B=B$1),""HIGH"")*10)+(COUNTIF(FILTER(Data!N:N,Data!D:D=A950,Data!B:B=$B$1),""MIDDLE"")*6)+(COUNTIF(FILTER(Data!N:N,Data!D:D=A950,Data!B:"&amp;"B=$B$1),""LOW"")*4))"),0.0)</f>
        <v>0</v>
      </c>
      <c r="V950" s="138" t="str">
        <f>IF(Data!B942='Team Parser'!$B$1, Data!D942,"")</f>
        <v/>
      </c>
      <c r="W950" s="134" t="str">
        <f>IF(Data!$B942='Team Parser'!$B$1, Data!H942,"")</f>
        <v/>
      </c>
      <c r="X950" s="134" t="str">
        <f>IF(Data!$B942='Team Parser'!$B$1, Data!G942,"")</f>
        <v/>
      </c>
      <c r="Y950" s="134" t="str">
        <f>IF(Data!$B942='Team Parser'!$B$1, Data!L942,"")</f>
        <v/>
      </c>
      <c r="Z950" s="134" t="str">
        <f>IF(Data!$B942='Team Parser'!$B$1, Data!K942,"")</f>
        <v/>
      </c>
      <c r="AA950" s="134" t="str">
        <f>IF(Data!$B942='Team Parser'!$B$1, Data!M942,"")</f>
        <v/>
      </c>
      <c r="AB950" s="134" t="str">
        <f>IF(Data!$B942='Team Parser'!$B$1,((Z950*2)+(Y950)+(X950*4)+(W950*2)),"")</f>
        <v/>
      </c>
      <c r="AC950" s="134" t="str">
        <f>IF(Data!$B942='Team Parser'!$B$1, Data!N942,"")</f>
        <v/>
      </c>
      <c r="AD950" s="139" t="str">
        <f>IF(Data!$B942='Team Parser'!$B$1,(AB950+(COUNTIF(AC950,"TRAVERSE")*15)+(COUNTIF(AC950,"HIGH")*10)+(COUNTIF(AC950,"MIDDLE")*6)+(COUNTIF(AC950,"LOW")*4)),"")</f>
        <v/>
      </c>
    </row>
    <row r="951">
      <c r="A951" s="141" t="s">
        <v>507</v>
      </c>
      <c r="B951" s="134"/>
      <c r="C951" s="134"/>
      <c r="D951" s="134"/>
      <c r="E951" s="134"/>
      <c r="F951" s="134"/>
      <c r="G951" s="134"/>
      <c r="H951" s="134"/>
      <c r="J951" s="134"/>
      <c r="K951" s="135"/>
      <c r="L951" s="136"/>
      <c r="M951" s="137" t="str">
        <f>IFERROR(__xludf.DUMMYFUNCTION("IFERROR((FILTER(Data!A:A,Data!D:D=A951,Data!B:B=$B$1)),"""")"),"")</f>
        <v/>
      </c>
      <c r="T951" s="52">
        <f>IFERROR(__xludf.DUMMYFUNCTION("((COUNTIF(FILTER(Data!N:N,Data!D:D=A951,Data!B:B=$B$1),""TRAVERSE"")*15)+(COUNTIF(FILTER(Data!N:N,Data!D:D=A951,Data!B:B=B$1),""HIGH"")*10)+(COUNTIF(FILTER(Data!N:N,Data!D:D=A951,Data!B:B=$B$1),""MIDDLE"")*6)+(COUNTIF(FILTER(Data!N:N,Data!D:D=A951,Data!B:"&amp;"B=$B$1),""LOW"")*4))"),0.0)</f>
        <v>0</v>
      </c>
      <c r="V951" s="138" t="str">
        <f>IF(Data!B943='Team Parser'!$B$1, Data!D943,"")</f>
        <v/>
      </c>
      <c r="W951" s="134" t="str">
        <f>IF(Data!$B943='Team Parser'!$B$1, Data!H943,"")</f>
        <v/>
      </c>
      <c r="X951" s="134" t="str">
        <f>IF(Data!$B943='Team Parser'!$B$1, Data!G943,"")</f>
        <v/>
      </c>
      <c r="Y951" s="134" t="str">
        <f>IF(Data!$B943='Team Parser'!$B$1, Data!L943,"")</f>
        <v/>
      </c>
      <c r="Z951" s="134" t="str">
        <f>IF(Data!$B943='Team Parser'!$B$1, Data!K943,"")</f>
        <v/>
      </c>
      <c r="AA951" s="134" t="str">
        <f>IF(Data!$B943='Team Parser'!$B$1, Data!M943,"")</f>
        <v/>
      </c>
      <c r="AB951" s="134" t="str">
        <f>IF(Data!$B943='Team Parser'!$B$1,((Z951*2)+(Y951)+(X951*4)+(W951*2)),"")</f>
        <v/>
      </c>
      <c r="AC951" s="134" t="str">
        <f>IF(Data!$B943='Team Parser'!$B$1, Data!N943,"")</f>
        <v/>
      </c>
      <c r="AD951" s="139" t="str">
        <f>IF(Data!$B943='Team Parser'!$B$1,(AB951+(COUNTIF(AC951,"TRAVERSE")*15)+(COUNTIF(AC951,"HIGH")*10)+(COUNTIF(AC951,"MIDDLE")*6)+(COUNTIF(AC951,"LOW")*4)),"")</f>
        <v/>
      </c>
    </row>
    <row r="952">
      <c r="A952" s="141" t="s">
        <v>507</v>
      </c>
      <c r="B952" s="134"/>
      <c r="C952" s="134"/>
      <c r="D952" s="134"/>
      <c r="E952" s="134"/>
      <c r="F952" s="134"/>
      <c r="G952" s="134"/>
      <c r="H952" s="134"/>
      <c r="J952" s="134"/>
      <c r="K952" s="135"/>
      <c r="L952" s="136"/>
      <c r="M952" s="137" t="str">
        <f>IFERROR(__xludf.DUMMYFUNCTION("IFERROR((FILTER(Data!A:A,Data!D:D=A952,Data!B:B=$B$1)),"""")"),"")</f>
        <v/>
      </c>
      <c r="T952" s="52">
        <f>IFERROR(__xludf.DUMMYFUNCTION("((COUNTIF(FILTER(Data!N:N,Data!D:D=A952,Data!B:B=$B$1),""TRAVERSE"")*15)+(COUNTIF(FILTER(Data!N:N,Data!D:D=A952,Data!B:B=B$1),""HIGH"")*10)+(COUNTIF(FILTER(Data!N:N,Data!D:D=A952,Data!B:B=$B$1),""MIDDLE"")*6)+(COUNTIF(FILTER(Data!N:N,Data!D:D=A952,Data!B:"&amp;"B=$B$1),""LOW"")*4))"),0.0)</f>
        <v>0</v>
      </c>
      <c r="V952" s="138" t="str">
        <f>IF(Data!B944='Team Parser'!$B$1, Data!D944,"")</f>
        <v/>
      </c>
      <c r="W952" s="134" t="str">
        <f>IF(Data!$B944='Team Parser'!$B$1, Data!H944,"")</f>
        <v/>
      </c>
      <c r="X952" s="134" t="str">
        <f>IF(Data!$B944='Team Parser'!$B$1, Data!G944,"")</f>
        <v/>
      </c>
      <c r="Y952" s="134" t="str">
        <f>IF(Data!$B944='Team Parser'!$B$1, Data!L944,"")</f>
        <v/>
      </c>
      <c r="Z952" s="134" t="str">
        <f>IF(Data!$B944='Team Parser'!$B$1, Data!K944,"")</f>
        <v/>
      </c>
      <c r="AA952" s="134" t="str">
        <f>IF(Data!$B944='Team Parser'!$B$1, Data!M944,"")</f>
        <v/>
      </c>
      <c r="AB952" s="134" t="str">
        <f>IF(Data!$B944='Team Parser'!$B$1,((Z952*2)+(Y952)+(X952*4)+(W952*2)),"")</f>
        <v/>
      </c>
      <c r="AC952" s="134" t="str">
        <f>IF(Data!$B944='Team Parser'!$B$1, Data!N944,"")</f>
        <v/>
      </c>
      <c r="AD952" s="139" t="str">
        <f>IF(Data!$B944='Team Parser'!$B$1,(AB952+(COUNTIF(AC952,"TRAVERSE")*15)+(COUNTIF(AC952,"HIGH")*10)+(COUNTIF(AC952,"MIDDLE")*6)+(COUNTIF(AC952,"LOW")*4)),"")</f>
        <v/>
      </c>
    </row>
    <row r="953">
      <c r="A953" s="141" t="s">
        <v>507</v>
      </c>
      <c r="B953" s="134"/>
      <c r="C953" s="134"/>
      <c r="D953" s="134"/>
      <c r="E953" s="134"/>
      <c r="F953" s="134"/>
      <c r="G953" s="134"/>
      <c r="H953" s="134"/>
      <c r="J953" s="134"/>
      <c r="K953" s="135"/>
      <c r="L953" s="136"/>
      <c r="M953" s="137" t="str">
        <f>IFERROR(__xludf.DUMMYFUNCTION("IFERROR((FILTER(Data!A:A,Data!D:D=A953,Data!B:B=$B$1)),"""")"),"")</f>
        <v/>
      </c>
      <c r="T953" s="52">
        <f>IFERROR(__xludf.DUMMYFUNCTION("((COUNTIF(FILTER(Data!N:N,Data!D:D=A953,Data!B:B=$B$1),""TRAVERSE"")*15)+(COUNTIF(FILTER(Data!N:N,Data!D:D=A953,Data!B:B=B$1),""HIGH"")*10)+(COUNTIF(FILTER(Data!N:N,Data!D:D=A953,Data!B:B=$B$1),""MIDDLE"")*6)+(COUNTIF(FILTER(Data!N:N,Data!D:D=A953,Data!B:"&amp;"B=$B$1),""LOW"")*4))"),0.0)</f>
        <v>0</v>
      </c>
      <c r="V953" s="138" t="str">
        <f>IF(Data!B945='Team Parser'!$B$1, Data!D945,"")</f>
        <v/>
      </c>
      <c r="W953" s="134" t="str">
        <f>IF(Data!$B945='Team Parser'!$B$1, Data!H945,"")</f>
        <v/>
      </c>
      <c r="X953" s="134" t="str">
        <f>IF(Data!$B945='Team Parser'!$B$1, Data!G945,"")</f>
        <v/>
      </c>
      <c r="Y953" s="134" t="str">
        <f>IF(Data!$B945='Team Parser'!$B$1, Data!L945,"")</f>
        <v/>
      </c>
      <c r="Z953" s="134" t="str">
        <f>IF(Data!$B945='Team Parser'!$B$1, Data!K945,"")</f>
        <v/>
      </c>
      <c r="AA953" s="134" t="str">
        <f>IF(Data!$B945='Team Parser'!$B$1, Data!M945,"")</f>
        <v/>
      </c>
      <c r="AB953" s="134" t="str">
        <f>IF(Data!$B945='Team Parser'!$B$1,((Z953*2)+(Y953)+(X953*4)+(W953*2)),"")</f>
        <v/>
      </c>
      <c r="AC953" s="134" t="str">
        <f>IF(Data!$B945='Team Parser'!$B$1, Data!N945,"")</f>
        <v/>
      </c>
      <c r="AD953" s="139" t="str">
        <f>IF(Data!$B945='Team Parser'!$B$1,(AB953+(COUNTIF(AC953,"TRAVERSE")*15)+(COUNTIF(AC953,"HIGH")*10)+(COUNTIF(AC953,"MIDDLE")*6)+(COUNTIF(AC953,"LOW")*4)),"")</f>
        <v/>
      </c>
    </row>
    <row r="954">
      <c r="A954" s="141" t="s">
        <v>507</v>
      </c>
      <c r="B954" s="134"/>
      <c r="C954" s="134"/>
      <c r="D954" s="134"/>
      <c r="E954" s="134"/>
      <c r="F954" s="134"/>
      <c r="G954" s="134"/>
      <c r="H954" s="134"/>
      <c r="J954" s="134"/>
      <c r="K954" s="135"/>
      <c r="L954" s="136"/>
      <c r="M954" s="137" t="str">
        <f>IFERROR(__xludf.DUMMYFUNCTION("IFERROR((FILTER(Data!A:A,Data!D:D=A954,Data!B:B=$B$1)),"""")"),"")</f>
        <v/>
      </c>
      <c r="T954" s="52">
        <f>IFERROR(__xludf.DUMMYFUNCTION("((COUNTIF(FILTER(Data!N:N,Data!D:D=A954,Data!B:B=$B$1),""TRAVERSE"")*15)+(COUNTIF(FILTER(Data!N:N,Data!D:D=A954,Data!B:B=B$1),""HIGH"")*10)+(COUNTIF(FILTER(Data!N:N,Data!D:D=A954,Data!B:B=$B$1),""MIDDLE"")*6)+(COUNTIF(FILTER(Data!N:N,Data!D:D=A954,Data!B:"&amp;"B=$B$1),""LOW"")*4))"),0.0)</f>
        <v>0</v>
      </c>
      <c r="V954" s="138" t="str">
        <f>IF(Data!B946='Team Parser'!$B$1, Data!D946,"")</f>
        <v/>
      </c>
      <c r="W954" s="134" t="str">
        <f>IF(Data!$B946='Team Parser'!$B$1, Data!H946,"")</f>
        <v/>
      </c>
      <c r="X954" s="134" t="str">
        <f>IF(Data!$B946='Team Parser'!$B$1, Data!G946,"")</f>
        <v/>
      </c>
      <c r="Y954" s="134" t="str">
        <f>IF(Data!$B946='Team Parser'!$B$1, Data!L946,"")</f>
        <v/>
      </c>
      <c r="Z954" s="134" t="str">
        <f>IF(Data!$B946='Team Parser'!$B$1, Data!K946,"")</f>
        <v/>
      </c>
      <c r="AA954" s="134" t="str">
        <f>IF(Data!$B946='Team Parser'!$B$1, Data!M946,"")</f>
        <v/>
      </c>
      <c r="AB954" s="134" t="str">
        <f>IF(Data!$B946='Team Parser'!$B$1,((Z954*2)+(Y954)+(X954*4)+(W954*2)),"")</f>
        <v/>
      </c>
      <c r="AC954" s="134" t="str">
        <f>IF(Data!$B946='Team Parser'!$B$1, Data!N946,"")</f>
        <v/>
      </c>
      <c r="AD954" s="139" t="str">
        <f>IF(Data!$B946='Team Parser'!$B$1,(AB954+(COUNTIF(AC954,"TRAVERSE")*15)+(COUNTIF(AC954,"HIGH")*10)+(COUNTIF(AC954,"MIDDLE")*6)+(COUNTIF(AC954,"LOW")*4)),"")</f>
        <v/>
      </c>
    </row>
    <row r="955">
      <c r="A955" s="141" t="s">
        <v>507</v>
      </c>
      <c r="B955" s="134"/>
      <c r="C955" s="134"/>
      <c r="D955" s="134"/>
      <c r="E955" s="134"/>
      <c r="F955" s="134"/>
      <c r="G955" s="134"/>
      <c r="H955" s="134"/>
      <c r="J955" s="134"/>
      <c r="K955" s="135"/>
      <c r="L955" s="136"/>
      <c r="M955" s="137" t="str">
        <f>IFERROR(__xludf.DUMMYFUNCTION("IFERROR((FILTER(Data!A:A,Data!D:D=A955,Data!B:B=$B$1)),"""")"),"")</f>
        <v/>
      </c>
      <c r="T955" s="52">
        <f>IFERROR(__xludf.DUMMYFUNCTION("((COUNTIF(FILTER(Data!N:N,Data!D:D=A955,Data!B:B=$B$1),""TRAVERSE"")*15)+(COUNTIF(FILTER(Data!N:N,Data!D:D=A955,Data!B:B=B$1),""HIGH"")*10)+(COUNTIF(FILTER(Data!N:N,Data!D:D=A955,Data!B:B=$B$1),""MIDDLE"")*6)+(COUNTIF(FILTER(Data!N:N,Data!D:D=A955,Data!B:"&amp;"B=$B$1),""LOW"")*4))"),0.0)</f>
        <v>0</v>
      </c>
      <c r="V955" s="138" t="str">
        <f>IF(Data!B947='Team Parser'!$B$1, Data!D947,"")</f>
        <v/>
      </c>
      <c r="W955" s="134" t="str">
        <f>IF(Data!$B947='Team Parser'!$B$1, Data!H947,"")</f>
        <v/>
      </c>
      <c r="X955" s="134" t="str">
        <f>IF(Data!$B947='Team Parser'!$B$1, Data!G947,"")</f>
        <v/>
      </c>
      <c r="Y955" s="134" t="str">
        <f>IF(Data!$B947='Team Parser'!$B$1, Data!L947,"")</f>
        <v/>
      </c>
      <c r="Z955" s="134" t="str">
        <f>IF(Data!$B947='Team Parser'!$B$1, Data!K947,"")</f>
        <v/>
      </c>
      <c r="AA955" s="134" t="str">
        <f>IF(Data!$B947='Team Parser'!$B$1, Data!M947,"")</f>
        <v/>
      </c>
      <c r="AB955" s="134" t="str">
        <f>IF(Data!$B947='Team Parser'!$B$1,((Z955*2)+(Y955)+(X955*4)+(W955*2)),"")</f>
        <v/>
      </c>
      <c r="AC955" s="134" t="str">
        <f>IF(Data!$B947='Team Parser'!$B$1, Data!N947,"")</f>
        <v/>
      </c>
      <c r="AD955" s="139" t="str">
        <f>IF(Data!$B947='Team Parser'!$B$1,(AB955+(COUNTIF(AC955,"TRAVERSE")*15)+(COUNTIF(AC955,"HIGH")*10)+(COUNTIF(AC955,"MIDDLE")*6)+(COUNTIF(AC955,"LOW")*4)),"")</f>
        <v/>
      </c>
    </row>
    <row r="956">
      <c r="A956" s="141" t="s">
        <v>507</v>
      </c>
      <c r="B956" s="134"/>
      <c r="C956" s="134"/>
      <c r="D956" s="134"/>
      <c r="E956" s="134"/>
      <c r="F956" s="134"/>
      <c r="G956" s="134"/>
      <c r="H956" s="134"/>
      <c r="J956" s="134"/>
      <c r="K956" s="135"/>
      <c r="L956" s="136"/>
      <c r="M956" s="137" t="str">
        <f>IFERROR(__xludf.DUMMYFUNCTION("IFERROR((FILTER(Data!A:A,Data!D:D=A956,Data!B:B=$B$1)),"""")"),"")</f>
        <v/>
      </c>
      <c r="T956" s="52">
        <f>IFERROR(__xludf.DUMMYFUNCTION("((COUNTIF(FILTER(Data!N:N,Data!D:D=A956,Data!B:B=$B$1),""TRAVERSE"")*15)+(COUNTIF(FILTER(Data!N:N,Data!D:D=A956,Data!B:B=B$1),""HIGH"")*10)+(COUNTIF(FILTER(Data!N:N,Data!D:D=A956,Data!B:B=$B$1),""MIDDLE"")*6)+(COUNTIF(FILTER(Data!N:N,Data!D:D=A956,Data!B:"&amp;"B=$B$1),""LOW"")*4))"),0.0)</f>
        <v>0</v>
      </c>
      <c r="V956" s="138" t="str">
        <f>IF(Data!B948='Team Parser'!$B$1, Data!D948,"")</f>
        <v/>
      </c>
      <c r="W956" s="134" t="str">
        <f>IF(Data!$B948='Team Parser'!$B$1, Data!H948,"")</f>
        <v/>
      </c>
      <c r="X956" s="134" t="str">
        <f>IF(Data!$B948='Team Parser'!$B$1, Data!G948,"")</f>
        <v/>
      </c>
      <c r="Y956" s="134" t="str">
        <f>IF(Data!$B948='Team Parser'!$B$1, Data!L948,"")</f>
        <v/>
      </c>
      <c r="Z956" s="134" t="str">
        <f>IF(Data!$B948='Team Parser'!$B$1, Data!K948,"")</f>
        <v/>
      </c>
      <c r="AA956" s="134" t="str">
        <f>IF(Data!$B948='Team Parser'!$B$1, Data!M948,"")</f>
        <v/>
      </c>
      <c r="AB956" s="134" t="str">
        <f>IF(Data!$B948='Team Parser'!$B$1,((Z956*2)+(Y956)+(X956*4)+(W956*2)),"")</f>
        <v/>
      </c>
      <c r="AC956" s="134" t="str">
        <f>IF(Data!$B948='Team Parser'!$B$1, Data!N948,"")</f>
        <v/>
      </c>
      <c r="AD956" s="139" t="str">
        <f>IF(Data!$B948='Team Parser'!$B$1,(AB956+(COUNTIF(AC956,"TRAVERSE")*15)+(COUNTIF(AC956,"HIGH")*10)+(COUNTIF(AC956,"MIDDLE")*6)+(COUNTIF(AC956,"LOW")*4)),"")</f>
        <v/>
      </c>
    </row>
    <row r="957">
      <c r="A957" s="141" t="s">
        <v>507</v>
      </c>
      <c r="B957" s="134"/>
      <c r="C957" s="134"/>
      <c r="D957" s="134"/>
      <c r="E957" s="134"/>
      <c r="F957" s="134"/>
      <c r="G957" s="134"/>
      <c r="H957" s="134"/>
      <c r="J957" s="134"/>
      <c r="K957" s="135"/>
      <c r="L957" s="136"/>
      <c r="M957" s="137" t="str">
        <f>IFERROR(__xludf.DUMMYFUNCTION("IFERROR((FILTER(Data!A:A,Data!D:D=A957,Data!B:B=$B$1)),"""")"),"")</f>
        <v/>
      </c>
      <c r="T957" s="52">
        <f>IFERROR(__xludf.DUMMYFUNCTION("((COUNTIF(FILTER(Data!N:N,Data!D:D=A957,Data!B:B=$B$1),""TRAVERSE"")*15)+(COUNTIF(FILTER(Data!N:N,Data!D:D=A957,Data!B:B=B$1),""HIGH"")*10)+(COUNTIF(FILTER(Data!N:N,Data!D:D=A957,Data!B:B=$B$1),""MIDDLE"")*6)+(COUNTIF(FILTER(Data!N:N,Data!D:D=A957,Data!B:"&amp;"B=$B$1),""LOW"")*4))"),0.0)</f>
        <v>0</v>
      </c>
      <c r="V957" s="138" t="str">
        <f>IF(Data!B949='Team Parser'!$B$1, Data!D949,"")</f>
        <v/>
      </c>
      <c r="W957" s="134" t="str">
        <f>IF(Data!$B949='Team Parser'!$B$1, Data!H949,"")</f>
        <v/>
      </c>
      <c r="X957" s="134" t="str">
        <f>IF(Data!$B949='Team Parser'!$B$1, Data!G949,"")</f>
        <v/>
      </c>
      <c r="Y957" s="134" t="str">
        <f>IF(Data!$B949='Team Parser'!$B$1, Data!L949,"")</f>
        <v/>
      </c>
      <c r="Z957" s="134" t="str">
        <f>IF(Data!$B949='Team Parser'!$B$1, Data!K949,"")</f>
        <v/>
      </c>
      <c r="AA957" s="134" t="str">
        <f>IF(Data!$B949='Team Parser'!$B$1, Data!M949,"")</f>
        <v/>
      </c>
      <c r="AB957" s="134" t="str">
        <f>IF(Data!$B949='Team Parser'!$B$1,((Z957*2)+(Y957)+(X957*4)+(W957*2)),"")</f>
        <v/>
      </c>
      <c r="AC957" s="134" t="str">
        <f>IF(Data!$B949='Team Parser'!$B$1, Data!N949,"")</f>
        <v/>
      </c>
      <c r="AD957" s="139" t="str">
        <f>IF(Data!$B949='Team Parser'!$B$1,(AB957+(COUNTIF(AC957,"TRAVERSE")*15)+(COUNTIF(AC957,"HIGH")*10)+(COUNTIF(AC957,"MIDDLE")*6)+(COUNTIF(AC957,"LOW")*4)),"")</f>
        <v/>
      </c>
    </row>
    <row r="958">
      <c r="A958" s="141" t="s">
        <v>507</v>
      </c>
      <c r="B958" s="134"/>
      <c r="C958" s="134"/>
      <c r="D958" s="134"/>
      <c r="E958" s="134"/>
      <c r="F958" s="134"/>
      <c r="G958" s="134"/>
      <c r="H958" s="134"/>
      <c r="J958" s="134"/>
      <c r="K958" s="135"/>
      <c r="L958" s="136"/>
      <c r="M958" s="137" t="str">
        <f>IFERROR(__xludf.DUMMYFUNCTION("IFERROR((FILTER(Data!A:A,Data!D:D=A958,Data!B:B=$B$1)),"""")"),"")</f>
        <v/>
      </c>
      <c r="T958" s="52">
        <f>IFERROR(__xludf.DUMMYFUNCTION("((COUNTIF(FILTER(Data!N:N,Data!D:D=A958,Data!B:B=$B$1),""TRAVERSE"")*15)+(COUNTIF(FILTER(Data!N:N,Data!D:D=A958,Data!B:B=B$1),""HIGH"")*10)+(COUNTIF(FILTER(Data!N:N,Data!D:D=A958,Data!B:B=$B$1),""MIDDLE"")*6)+(COUNTIF(FILTER(Data!N:N,Data!D:D=A958,Data!B:"&amp;"B=$B$1),""LOW"")*4))"),0.0)</f>
        <v>0</v>
      </c>
      <c r="V958" s="138" t="str">
        <f>IF(Data!B950='Team Parser'!$B$1, Data!D950,"")</f>
        <v/>
      </c>
      <c r="W958" s="134" t="str">
        <f>IF(Data!$B950='Team Parser'!$B$1, Data!H950,"")</f>
        <v/>
      </c>
      <c r="X958" s="134" t="str">
        <f>IF(Data!$B950='Team Parser'!$B$1, Data!G950,"")</f>
        <v/>
      </c>
      <c r="Y958" s="134" t="str">
        <f>IF(Data!$B950='Team Parser'!$B$1, Data!L950,"")</f>
        <v/>
      </c>
      <c r="Z958" s="134" t="str">
        <f>IF(Data!$B950='Team Parser'!$B$1, Data!K950,"")</f>
        <v/>
      </c>
      <c r="AA958" s="134" t="str">
        <f>IF(Data!$B950='Team Parser'!$B$1, Data!M950,"")</f>
        <v/>
      </c>
      <c r="AB958" s="134" t="str">
        <f>IF(Data!$B950='Team Parser'!$B$1,((Z958*2)+(Y958)+(X958*4)+(W958*2)),"")</f>
        <v/>
      </c>
      <c r="AC958" s="134" t="str">
        <f>IF(Data!$B950='Team Parser'!$B$1, Data!N950,"")</f>
        <v/>
      </c>
      <c r="AD958" s="139" t="str">
        <f>IF(Data!$B950='Team Parser'!$B$1,(AB958+(COUNTIF(AC958,"TRAVERSE")*15)+(COUNTIF(AC958,"HIGH")*10)+(COUNTIF(AC958,"MIDDLE")*6)+(COUNTIF(AC958,"LOW")*4)),"")</f>
        <v/>
      </c>
    </row>
    <row r="959">
      <c r="A959" s="141" t="s">
        <v>507</v>
      </c>
      <c r="B959" s="134"/>
      <c r="C959" s="134"/>
      <c r="D959" s="134"/>
      <c r="E959" s="134"/>
      <c r="F959" s="134"/>
      <c r="G959" s="134"/>
      <c r="H959" s="134"/>
      <c r="J959" s="134"/>
      <c r="K959" s="135"/>
      <c r="L959" s="136"/>
      <c r="M959" s="137" t="str">
        <f>IFERROR(__xludf.DUMMYFUNCTION("IFERROR((FILTER(Data!A:A,Data!D:D=A959,Data!B:B=$B$1)),"""")"),"")</f>
        <v/>
      </c>
      <c r="T959" s="52">
        <f>IFERROR(__xludf.DUMMYFUNCTION("((COUNTIF(FILTER(Data!N:N,Data!D:D=A959,Data!B:B=$B$1),""TRAVERSE"")*15)+(COUNTIF(FILTER(Data!N:N,Data!D:D=A959,Data!B:B=B$1),""HIGH"")*10)+(COUNTIF(FILTER(Data!N:N,Data!D:D=A959,Data!B:B=$B$1),""MIDDLE"")*6)+(COUNTIF(FILTER(Data!N:N,Data!D:D=A959,Data!B:"&amp;"B=$B$1),""LOW"")*4))"),0.0)</f>
        <v>0</v>
      </c>
      <c r="V959" s="138" t="str">
        <f>IF(Data!B951='Team Parser'!$B$1, Data!D951,"")</f>
        <v/>
      </c>
      <c r="W959" s="134" t="str">
        <f>IF(Data!$B951='Team Parser'!$B$1, Data!H951,"")</f>
        <v/>
      </c>
      <c r="X959" s="134" t="str">
        <f>IF(Data!$B951='Team Parser'!$B$1, Data!G951,"")</f>
        <v/>
      </c>
      <c r="Y959" s="134" t="str">
        <f>IF(Data!$B951='Team Parser'!$B$1, Data!L951,"")</f>
        <v/>
      </c>
      <c r="Z959" s="134" t="str">
        <f>IF(Data!$B951='Team Parser'!$B$1, Data!K951,"")</f>
        <v/>
      </c>
      <c r="AA959" s="134" t="str">
        <f>IF(Data!$B951='Team Parser'!$B$1, Data!M951,"")</f>
        <v/>
      </c>
      <c r="AB959" s="134" t="str">
        <f>IF(Data!$B951='Team Parser'!$B$1,((Z959*2)+(Y959)+(X959*4)+(W959*2)),"")</f>
        <v/>
      </c>
      <c r="AC959" s="134" t="str">
        <f>IF(Data!$B951='Team Parser'!$B$1, Data!N951,"")</f>
        <v/>
      </c>
      <c r="AD959" s="139" t="str">
        <f>IF(Data!$B951='Team Parser'!$B$1,(AB959+(COUNTIF(AC959,"TRAVERSE")*15)+(COUNTIF(AC959,"HIGH")*10)+(COUNTIF(AC959,"MIDDLE")*6)+(COUNTIF(AC959,"LOW")*4)),"")</f>
        <v/>
      </c>
    </row>
    <row r="960">
      <c r="A960" s="141" t="s">
        <v>507</v>
      </c>
      <c r="B960" s="134"/>
      <c r="C960" s="134"/>
      <c r="D960" s="134"/>
      <c r="E960" s="134"/>
      <c r="F960" s="134"/>
      <c r="G960" s="134"/>
      <c r="H960" s="134"/>
      <c r="J960" s="134"/>
      <c r="K960" s="135"/>
      <c r="L960" s="136"/>
      <c r="M960" s="137" t="str">
        <f>IFERROR(__xludf.DUMMYFUNCTION("IFERROR((FILTER(Data!A:A,Data!D:D=A960,Data!B:B=$B$1)),"""")"),"")</f>
        <v/>
      </c>
      <c r="T960" s="52">
        <f>IFERROR(__xludf.DUMMYFUNCTION("((COUNTIF(FILTER(Data!N:N,Data!D:D=A960,Data!B:B=$B$1),""TRAVERSE"")*15)+(COUNTIF(FILTER(Data!N:N,Data!D:D=A960,Data!B:B=B$1),""HIGH"")*10)+(COUNTIF(FILTER(Data!N:N,Data!D:D=A960,Data!B:B=$B$1),""MIDDLE"")*6)+(COUNTIF(FILTER(Data!N:N,Data!D:D=A960,Data!B:"&amp;"B=$B$1),""LOW"")*4))"),0.0)</f>
        <v>0</v>
      </c>
      <c r="V960" s="138" t="str">
        <f>IF(Data!B952='Team Parser'!$B$1, Data!D952,"")</f>
        <v/>
      </c>
      <c r="W960" s="134" t="str">
        <f>IF(Data!$B952='Team Parser'!$B$1, Data!H952,"")</f>
        <v/>
      </c>
      <c r="X960" s="134" t="str">
        <f>IF(Data!$B952='Team Parser'!$B$1, Data!G952,"")</f>
        <v/>
      </c>
      <c r="Y960" s="134" t="str">
        <f>IF(Data!$B952='Team Parser'!$B$1, Data!L952,"")</f>
        <v/>
      </c>
      <c r="Z960" s="134" t="str">
        <f>IF(Data!$B952='Team Parser'!$B$1, Data!K952,"")</f>
        <v/>
      </c>
      <c r="AA960" s="134" t="str">
        <f>IF(Data!$B952='Team Parser'!$B$1, Data!M952,"")</f>
        <v/>
      </c>
      <c r="AB960" s="134" t="str">
        <f>IF(Data!$B952='Team Parser'!$B$1,((Z960*2)+(Y960)+(X960*4)+(W960*2)),"")</f>
        <v/>
      </c>
      <c r="AC960" s="134" t="str">
        <f>IF(Data!$B952='Team Parser'!$B$1, Data!N952,"")</f>
        <v/>
      </c>
      <c r="AD960" s="139" t="str">
        <f>IF(Data!$B952='Team Parser'!$B$1,(AB960+(COUNTIF(AC960,"TRAVERSE")*15)+(COUNTIF(AC960,"HIGH")*10)+(COUNTIF(AC960,"MIDDLE")*6)+(COUNTIF(AC960,"LOW")*4)),"")</f>
        <v/>
      </c>
    </row>
    <row r="961">
      <c r="A961" s="141" t="s">
        <v>507</v>
      </c>
      <c r="B961" s="134"/>
      <c r="C961" s="134"/>
      <c r="D961" s="134"/>
      <c r="E961" s="134"/>
      <c r="F961" s="134"/>
      <c r="G961" s="134"/>
      <c r="H961" s="134"/>
      <c r="J961" s="134"/>
      <c r="K961" s="135"/>
      <c r="L961" s="136"/>
      <c r="M961" s="137" t="str">
        <f>IFERROR(__xludf.DUMMYFUNCTION("IFERROR((FILTER(Data!A:A,Data!D:D=A961,Data!B:B=$B$1)),"""")"),"")</f>
        <v/>
      </c>
      <c r="T961" s="52">
        <f>IFERROR(__xludf.DUMMYFUNCTION("((COUNTIF(FILTER(Data!N:N,Data!D:D=A961,Data!B:B=$B$1),""TRAVERSE"")*15)+(COUNTIF(FILTER(Data!N:N,Data!D:D=A961,Data!B:B=B$1),""HIGH"")*10)+(COUNTIF(FILTER(Data!N:N,Data!D:D=A961,Data!B:B=$B$1),""MIDDLE"")*6)+(COUNTIF(FILTER(Data!N:N,Data!D:D=A961,Data!B:"&amp;"B=$B$1),""LOW"")*4))"),0.0)</f>
        <v>0</v>
      </c>
      <c r="V961" s="138" t="str">
        <f>IF(Data!B953='Team Parser'!$B$1, Data!D953,"")</f>
        <v/>
      </c>
      <c r="W961" s="134" t="str">
        <f>IF(Data!$B953='Team Parser'!$B$1, Data!H953,"")</f>
        <v/>
      </c>
      <c r="X961" s="134" t="str">
        <f>IF(Data!$B953='Team Parser'!$B$1, Data!G953,"")</f>
        <v/>
      </c>
      <c r="Y961" s="134" t="str">
        <f>IF(Data!$B953='Team Parser'!$B$1, Data!L953,"")</f>
        <v/>
      </c>
      <c r="Z961" s="134" t="str">
        <f>IF(Data!$B953='Team Parser'!$B$1, Data!K953,"")</f>
        <v/>
      </c>
      <c r="AA961" s="134" t="str">
        <f>IF(Data!$B953='Team Parser'!$B$1, Data!M953,"")</f>
        <v/>
      </c>
      <c r="AB961" s="134" t="str">
        <f>IF(Data!$B953='Team Parser'!$B$1,((Z961*2)+(Y961)+(X961*4)+(W961*2)),"")</f>
        <v/>
      </c>
      <c r="AC961" s="134" t="str">
        <f>IF(Data!$B953='Team Parser'!$B$1, Data!N953,"")</f>
        <v/>
      </c>
      <c r="AD961" s="139" t="str">
        <f>IF(Data!$B953='Team Parser'!$B$1,(AB961+(COUNTIF(AC961,"TRAVERSE")*15)+(COUNTIF(AC961,"HIGH")*10)+(COUNTIF(AC961,"MIDDLE")*6)+(COUNTIF(AC961,"LOW")*4)),"")</f>
        <v/>
      </c>
    </row>
    <row r="962">
      <c r="A962" s="141" t="s">
        <v>507</v>
      </c>
      <c r="B962" s="134"/>
      <c r="C962" s="134"/>
      <c r="D962" s="134"/>
      <c r="E962" s="134"/>
      <c r="F962" s="134"/>
      <c r="G962" s="134"/>
      <c r="H962" s="134"/>
      <c r="J962" s="134"/>
      <c r="K962" s="135"/>
      <c r="L962" s="136"/>
      <c r="M962" s="137" t="str">
        <f>IFERROR(__xludf.DUMMYFUNCTION("IFERROR((FILTER(Data!A:A,Data!D:D=A962,Data!B:B=$B$1)),"""")"),"")</f>
        <v/>
      </c>
      <c r="T962" s="52">
        <f>IFERROR(__xludf.DUMMYFUNCTION("((COUNTIF(FILTER(Data!N:N,Data!D:D=A962,Data!B:B=$B$1),""TRAVERSE"")*15)+(COUNTIF(FILTER(Data!N:N,Data!D:D=A962,Data!B:B=B$1),""HIGH"")*10)+(COUNTIF(FILTER(Data!N:N,Data!D:D=A962,Data!B:B=$B$1),""MIDDLE"")*6)+(COUNTIF(FILTER(Data!N:N,Data!D:D=A962,Data!B:"&amp;"B=$B$1),""LOW"")*4))"),0.0)</f>
        <v>0</v>
      </c>
      <c r="V962" s="138" t="str">
        <f>IF(Data!B954='Team Parser'!$B$1, Data!D954,"")</f>
        <v/>
      </c>
      <c r="W962" s="134" t="str">
        <f>IF(Data!$B954='Team Parser'!$B$1, Data!H954,"")</f>
        <v/>
      </c>
      <c r="X962" s="134" t="str">
        <f>IF(Data!$B954='Team Parser'!$B$1, Data!G954,"")</f>
        <v/>
      </c>
      <c r="Y962" s="134" t="str">
        <f>IF(Data!$B954='Team Parser'!$B$1, Data!L954,"")</f>
        <v/>
      </c>
      <c r="Z962" s="134" t="str">
        <f>IF(Data!$B954='Team Parser'!$B$1, Data!K954,"")</f>
        <v/>
      </c>
      <c r="AA962" s="134" t="str">
        <f>IF(Data!$B954='Team Parser'!$B$1, Data!M954,"")</f>
        <v/>
      </c>
      <c r="AB962" s="134" t="str">
        <f>IF(Data!$B954='Team Parser'!$B$1,((Z962*2)+(Y962)+(X962*4)+(W962*2)),"")</f>
        <v/>
      </c>
      <c r="AC962" s="134" t="str">
        <f>IF(Data!$B954='Team Parser'!$B$1, Data!N954,"")</f>
        <v/>
      </c>
      <c r="AD962" s="139" t="str">
        <f>IF(Data!$B954='Team Parser'!$B$1,(AB962+(COUNTIF(AC962,"TRAVERSE")*15)+(COUNTIF(AC962,"HIGH")*10)+(COUNTIF(AC962,"MIDDLE")*6)+(COUNTIF(AC962,"LOW")*4)),"")</f>
        <v/>
      </c>
    </row>
    <row r="963">
      <c r="A963" s="141" t="s">
        <v>507</v>
      </c>
      <c r="B963" s="134"/>
      <c r="C963" s="134"/>
      <c r="D963" s="134"/>
      <c r="E963" s="134"/>
      <c r="F963" s="134"/>
      <c r="G963" s="134"/>
      <c r="H963" s="134"/>
      <c r="J963" s="134"/>
      <c r="K963" s="135"/>
      <c r="L963" s="136"/>
      <c r="M963" s="137" t="str">
        <f>IFERROR(__xludf.DUMMYFUNCTION("IFERROR((FILTER(Data!A:A,Data!D:D=A963,Data!B:B=$B$1)),"""")"),"")</f>
        <v/>
      </c>
      <c r="T963" s="52">
        <f>IFERROR(__xludf.DUMMYFUNCTION("((COUNTIF(FILTER(Data!N:N,Data!D:D=A963,Data!B:B=$B$1),""TRAVERSE"")*15)+(COUNTIF(FILTER(Data!N:N,Data!D:D=A963,Data!B:B=B$1),""HIGH"")*10)+(COUNTIF(FILTER(Data!N:N,Data!D:D=A963,Data!B:B=$B$1),""MIDDLE"")*6)+(COUNTIF(FILTER(Data!N:N,Data!D:D=A963,Data!B:"&amp;"B=$B$1),""LOW"")*4))"),0.0)</f>
        <v>0</v>
      </c>
      <c r="V963" s="138" t="str">
        <f>IF(Data!B955='Team Parser'!$B$1, Data!D955,"")</f>
        <v/>
      </c>
      <c r="W963" s="134" t="str">
        <f>IF(Data!$B955='Team Parser'!$B$1, Data!H955,"")</f>
        <v/>
      </c>
      <c r="X963" s="134" t="str">
        <f>IF(Data!$B955='Team Parser'!$B$1, Data!G955,"")</f>
        <v/>
      </c>
      <c r="Y963" s="134" t="str">
        <f>IF(Data!$B955='Team Parser'!$B$1, Data!L955,"")</f>
        <v/>
      </c>
      <c r="Z963" s="134" t="str">
        <f>IF(Data!$B955='Team Parser'!$B$1, Data!K955,"")</f>
        <v/>
      </c>
      <c r="AA963" s="134" t="str">
        <f>IF(Data!$B955='Team Parser'!$B$1, Data!M955,"")</f>
        <v/>
      </c>
      <c r="AB963" s="134" t="str">
        <f>IF(Data!$B955='Team Parser'!$B$1,((Z963*2)+(Y963)+(X963*4)+(W963*2)),"")</f>
        <v/>
      </c>
      <c r="AC963" s="134" t="str">
        <f>IF(Data!$B955='Team Parser'!$B$1, Data!N955,"")</f>
        <v/>
      </c>
      <c r="AD963" s="139" t="str">
        <f>IF(Data!$B955='Team Parser'!$B$1,(AB963+(COUNTIF(AC963,"TRAVERSE")*15)+(COUNTIF(AC963,"HIGH")*10)+(COUNTIF(AC963,"MIDDLE")*6)+(COUNTIF(AC963,"LOW")*4)),"")</f>
        <v/>
      </c>
    </row>
    <row r="964">
      <c r="A964" s="141" t="s">
        <v>507</v>
      </c>
      <c r="B964" s="134"/>
      <c r="C964" s="134"/>
      <c r="D964" s="134"/>
      <c r="E964" s="134"/>
      <c r="F964" s="134"/>
      <c r="G964" s="134"/>
      <c r="H964" s="134"/>
      <c r="J964" s="134"/>
      <c r="K964" s="135"/>
      <c r="L964" s="136"/>
      <c r="M964" s="137" t="str">
        <f>IFERROR(__xludf.DUMMYFUNCTION("IFERROR((FILTER(Data!A:A,Data!D:D=A964,Data!B:B=$B$1)),"""")"),"")</f>
        <v/>
      </c>
      <c r="T964" s="52">
        <f>IFERROR(__xludf.DUMMYFUNCTION("((COUNTIF(FILTER(Data!N:N,Data!D:D=A964,Data!B:B=$B$1),""TRAVERSE"")*15)+(COUNTIF(FILTER(Data!N:N,Data!D:D=A964,Data!B:B=B$1),""HIGH"")*10)+(COUNTIF(FILTER(Data!N:N,Data!D:D=A964,Data!B:B=$B$1),""MIDDLE"")*6)+(COUNTIF(FILTER(Data!N:N,Data!D:D=A964,Data!B:"&amp;"B=$B$1),""LOW"")*4))"),0.0)</f>
        <v>0</v>
      </c>
      <c r="V964" s="138" t="str">
        <f>IF(Data!B956='Team Parser'!$B$1, Data!D956,"")</f>
        <v/>
      </c>
      <c r="W964" s="134" t="str">
        <f>IF(Data!$B956='Team Parser'!$B$1, Data!H956,"")</f>
        <v/>
      </c>
      <c r="X964" s="134" t="str">
        <f>IF(Data!$B956='Team Parser'!$B$1, Data!G956,"")</f>
        <v/>
      </c>
      <c r="Y964" s="134" t="str">
        <f>IF(Data!$B956='Team Parser'!$B$1, Data!L956,"")</f>
        <v/>
      </c>
      <c r="Z964" s="134" t="str">
        <f>IF(Data!$B956='Team Parser'!$B$1, Data!K956,"")</f>
        <v/>
      </c>
      <c r="AA964" s="134" t="str">
        <f>IF(Data!$B956='Team Parser'!$B$1, Data!M956,"")</f>
        <v/>
      </c>
      <c r="AB964" s="134" t="str">
        <f>IF(Data!$B956='Team Parser'!$B$1,((Z964*2)+(Y964)+(X964*4)+(W964*2)),"")</f>
        <v/>
      </c>
      <c r="AC964" s="134" t="str">
        <f>IF(Data!$B956='Team Parser'!$B$1, Data!N956,"")</f>
        <v/>
      </c>
      <c r="AD964" s="139" t="str">
        <f>IF(Data!$B956='Team Parser'!$B$1,(AB964+(COUNTIF(AC964,"TRAVERSE")*15)+(COUNTIF(AC964,"HIGH")*10)+(COUNTIF(AC964,"MIDDLE")*6)+(COUNTIF(AC964,"LOW")*4)),"")</f>
        <v/>
      </c>
    </row>
    <row r="965">
      <c r="A965" s="141" t="s">
        <v>507</v>
      </c>
      <c r="B965" s="134"/>
      <c r="C965" s="134"/>
      <c r="D965" s="134"/>
      <c r="E965" s="134"/>
      <c r="F965" s="134"/>
      <c r="G965" s="134"/>
      <c r="H965" s="134"/>
      <c r="J965" s="134"/>
      <c r="K965" s="135"/>
      <c r="L965" s="136"/>
      <c r="M965" s="137" t="str">
        <f>IFERROR(__xludf.DUMMYFUNCTION("IFERROR((FILTER(Data!A:A,Data!D:D=A965,Data!B:B=$B$1)),"""")"),"")</f>
        <v/>
      </c>
      <c r="T965" s="52">
        <f>IFERROR(__xludf.DUMMYFUNCTION("((COUNTIF(FILTER(Data!N:N,Data!D:D=A965,Data!B:B=$B$1),""TRAVERSE"")*15)+(COUNTIF(FILTER(Data!N:N,Data!D:D=A965,Data!B:B=B$1),""HIGH"")*10)+(COUNTIF(FILTER(Data!N:N,Data!D:D=A965,Data!B:B=$B$1),""MIDDLE"")*6)+(COUNTIF(FILTER(Data!N:N,Data!D:D=A965,Data!B:"&amp;"B=$B$1),""LOW"")*4))"),0.0)</f>
        <v>0</v>
      </c>
      <c r="V965" s="138" t="str">
        <f>IF(Data!B957='Team Parser'!$B$1, Data!D957,"")</f>
        <v/>
      </c>
      <c r="W965" s="134" t="str">
        <f>IF(Data!$B957='Team Parser'!$B$1, Data!H957,"")</f>
        <v/>
      </c>
      <c r="X965" s="134" t="str">
        <f>IF(Data!$B957='Team Parser'!$B$1, Data!G957,"")</f>
        <v/>
      </c>
      <c r="Y965" s="134" t="str">
        <f>IF(Data!$B957='Team Parser'!$B$1, Data!L957,"")</f>
        <v/>
      </c>
      <c r="Z965" s="134" t="str">
        <f>IF(Data!$B957='Team Parser'!$B$1, Data!K957,"")</f>
        <v/>
      </c>
      <c r="AA965" s="134" t="str">
        <f>IF(Data!$B957='Team Parser'!$B$1, Data!M957,"")</f>
        <v/>
      </c>
      <c r="AB965" s="134" t="str">
        <f>IF(Data!$B957='Team Parser'!$B$1,((Z965*2)+(Y965)+(X965*4)+(W965*2)),"")</f>
        <v/>
      </c>
      <c r="AC965" s="134" t="str">
        <f>IF(Data!$B957='Team Parser'!$B$1, Data!N957,"")</f>
        <v/>
      </c>
      <c r="AD965" s="139" t="str">
        <f>IF(Data!$B957='Team Parser'!$B$1,(AB965+(COUNTIF(AC965,"TRAVERSE")*15)+(COUNTIF(AC965,"HIGH")*10)+(COUNTIF(AC965,"MIDDLE")*6)+(COUNTIF(AC965,"LOW")*4)),"")</f>
        <v/>
      </c>
    </row>
    <row r="966">
      <c r="A966" s="141" t="s">
        <v>507</v>
      </c>
      <c r="B966" s="134"/>
      <c r="C966" s="134"/>
      <c r="D966" s="134"/>
      <c r="E966" s="134"/>
      <c r="F966" s="134"/>
      <c r="G966" s="134"/>
      <c r="H966" s="134"/>
      <c r="J966" s="134"/>
      <c r="K966" s="135"/>
      <c r="L966" s="136"/>
      <c r="M966" s="137" t="str">
        <f>IFERROR(__xludf.DUMMYFUNCTION("IFERROR((FILTER(Data!A:A,Data!D:D=A966,Data!B:B=$B$1)),"""")"),"")</f>
        <v/>
      </c>
      <c r="T966" s="52">
        <f>IFERROR(__xludf.DUMMYFUNCTION("((COUNTIF(FILTER(Data!N:N,Data!D:D=A966,Data!B:B=$B$1),""TRAVERSE"")*15)+(COUNTIF(FILTER(Data!N:N,Data!D:D=A966,Data!B:B=B$1),""HIGH"")*10)+(COUNTIF(FILTER(Data!N:N,Data!D:D=A966,Data!B:B=$B$1),""MIDDLE"")*6)+(COUNTIF(FILTER(Data!N:N,Data!D:D=A966,Data!B:"&amp;"B=$B$1),""LOW"")*4))"),0.0)</f>
        <v>0</v>
      </c>
      <c r="V966" s="138" t="str">
        <f>IF(Data!B958='Team Parser'!$B$1, Data!D958,"")</f>
        <v/>
      </c>
      <c r="W966" s="134" t="str">
        <f>IF(Data!$B958='Team Parser'!$B$1, Data!H958,"")</f>
        <v/>
      </c>
      <c r="X966" s="134" t="str">
        <f>IF(Data!$B958='Team Parser'!$B$1, Data!G958,"")</f>
        <v/>
      </c>
      <c r="Y966" s="134" t="str">
        <f>IF(Data!$B958='Team Parser'!$B$1, Data!L958,"")</f>
        <v/>
      </c>
      <c r="Z966" s="134" t="str">
        <f>IF(Data!$B958='Team Parser'!$B$1, Data!K958,"")</f>
        <v/>
      </c>
      <c r="AA966" s="134" t="str">
        <f>IF(Data!$B958='Team Parser'!$B$1, Data!M958,"")</f>
        <v/>
      </c>
      <c r="AB966" s="134" t="str">
        <f>IF(Data!$B958='Team Parser'!$B$1,((Z966*2)+(Y966)+(X966*4)+(W966*2)),"")</f>
        <v/>
      </c>
      <c r="AC966" s="134" t="str">
        <f>IF(Data!$B958='Team Parser'!$B$1, Data!N958,"")</f>
        <v/>
      </c>
      <c r="AD966" s="139" t="str">
        <f>IF(Data!$B958='Team Parser'!$B$1,(AB966+(COUNTIF(AC966,"TRAVERSE")*15)+(COUNTIF(AC966,"HIGH")*10)+(COUNTIF(AC966,"MIDDLE")*6)+(COUNTIF(AC966,"LOW")*4)),"")</f>
        <v/>
      </c>
    </row>
    <row r="967">
      <c r="A967" s="141" t="s">
        <v>507</v>
      </c>
      <c r="B967" s="134"/>
      <c r="C967" s="134"/>
      <c r="D967" s="134"/>
      <c r="E967" s="134"/>
      <c r="F967" s="134"/>
      <c r="G967" s="134"/>
      <c r="H967" s="134"/>
      <c r="J967" s="134"/>
      <c r="K967" s="135"/>
      <c r="L967" s="136"/>
      <c r="M967" s="137" t="str">
        <f>IFERROR(__xludf.DUMMYFUNCTION("IFERROR((FILTER(Data!A:A,Data!D:D=A967,Data!B:B=$B$1)),"""")"),"")</f>
        <v/>
      </c>
      <c r="T967" s="52">
        <f>IFERROR(__xludf.DUMMYFUNCTION("((COUNTIF(FILTER(Data!N:N,Data!D:D=A967,Data!B:B=$B$1),""TRAVERSE"")*15)+(COUNTIF(FILTER(Data!N:N,Data!D:D=A967,Data!B:B=B$1),""HIGH"")*10)+(COUNTIF(FILTER(Data!N:N,Data!D:D=A967,Data!B:B=$B$1),""MIDDLE"")*6)+(COUNTIF(FILTER(Data!N:N,Data!D:D=A967,Data!B:"&amp;"B=$B$1),""LOW"")*4))"),0.0)</f>
        <v>0</v>
      </c>
      <c r="V967" s="138" t="str">
        <f>IF(Data!B959='Team Parser'!$B$1, Data!D959,"")</f>
        <v/>
      </c>
      <c r="W967" s="134" t="str">
        <f>IF(Data!$B959='Team Parser'!$B$1, Data!H959,"")</f>
        <v/>
      </c>
      <c r="X967" s="134" t="str">
        <f>IF(Data!$B959='Team Parser'!$B$1, Data!G959,"")</f>
        <v/>
      </c>
      <c r="Y967" s="134" t="str">
        <f>IF(Data!$B959='Team Parser'!$B$1, Data!L959,"")</f>
        <v/>
      </c>
      <c r="Z967" s="134" t="str">
        <f>IF(Data!$B959='Team Parser'!$B$1, Data!K959,"")</f>
        <v/>
      </c>
      <c r="AA967" s="134" t="str">
        <f>IF(Data!$B959='Team Parser'!$B$1, Data!M959,"")</f>
        <v/>
      </c>
      <c r="AB967" s="134" t="str">
        <f>IF(Data!$B959='Team Parser'!$B$1,((Z967*2)+(Y967)+(X967*4)+(W967*2)),"")</f>
        <v/>
      </c>
      <c r="AC967" s="134" t="str">
        <f>IF(Data!$B959='Team Parser'!$B$1, Data!N959,"")</f>
        <v/>
      </c>
      <c r="AD967" s="139" t="str">
        <f>IF(Data!$B959='Team Parser'!$B$1,(AB967+(COUNTIF(AC967,"TRAVERSE")*15)+(COUNTIF(AC967,"HIGH")*10)+(COUNTIF(AC967,"MIDDLE")*6)+(COUNTIF(AC967,"LOW")*4)),"")</f>
        <v/>
      </c>
    </row>
    <row r="968">
      <c r="A968" s="141" t="s">
        <v>507</v>
      </c>
      <c r="B968" s="134"/>
      <c r="C968" s="134"/>
      <c r="D968" s="134"/>
      <c r="E968" s="134"/>
      <c r="F968" s="134"/>
      <c r="G968" s="134"/>
      <c r="H968" s="134"/>
      <c r="J968" s="134"/>
      <c r="K968" s="135"/>
      <c r="L968" s="136"/>
      <c r="M968" s="137" t="str">
        <f>IFERROR(__xludf.DUMMYFUNCTION("IFERROR((FILTER(Data!A:A,Data!D:D=A968,Data!B:B=$B$1)),"""")"),"")</f>
        <v/>
      </c>
      <c r="T968" s="52">
        <f>IFERROR(__xludf.DUMMYFUNCTION("((COUNTIF(FILTER(Data!N:N,Data!D:D=A968,Data!B:B=$B$1),""TRAVERSE"")*15)+(COUNTIF(FILTER(Data!N:N,Data!D:D=A968,Data!B:B=B$1),""HIGH"")*10)+(COUNTIF(FILTER(Data!N:N,Data!D:D=A968,Data!B:B=$B$1),""MIDDLE"")*6)+(COUNTIF(FILTER(Data!N:N,Data!D:D=A968,Data!B:"&amp;"B=$B$1),""LOW"")*4))"),0.0)</f>
        <v>0</v>
      </c>
      <c r="V968" s="138" t="str">
        <f>IF(Data!B960='Team Parser'!$B$1, Data!D960,"")</f>
        <v/>
      </c>
      <c r="W968" s="134" t="str">
        <f>IF(Data!$B960='Team Parser'!$B$1, Data!H960,"")</f>
        <v/>
      </c>
      <c r="X968" s="134" t="str">
        <f>IF(Data!$B960='Team Parser'!$B$1, Data!G960,"")</f>
        <v/>
      </c>
      <c r="Y968" s="134" t="str">
        <f>IF(Data!$B960='Team Parser'!$B$1, Data!L960,"")</f>
        <v/>
      </c>
      <c r="Z968" s="134" t="str">
        <f>IF(Data!$B960='Team Parser'!$B$1, Data!K960,"")</f>
        <v/>
      </c>
      <c r="AA968" s="134" t="str">
        <f>IF(Data!$B960='Team Parser'!$B$1, Data!M960,"")</f>
        <v/>
      </c>
      <c r="AB968" s="134" t="str">
        <f>IF(Data!$B960='Team Parser'!$B$1,((Z968*2)+(Y968)+(X968*4)+(W968*2)),"")</f>
        <v/>
      </c>
      <c r="AC968" s="134" t="str">
        <f>IF(Data!$B960='Team Parser'!$B$1, Data!N960,"")</f>
        <v/>
      </c>
      <c r="AD968" s="139" t="str">
        <f>IF(Data!$B960='Team Parser'!$B$1,(AB968+(COUNTIF(AC968,"TRAVERSE")*15)+(COUNTIF(AC968,"HIGH")*10)+(COUNTIF(AC968,"MIDDLE")*6)+(COUNTIF(AC968,"LOW")*4)),"")</f>
        <v/>
      </c>
    </row>
    <row r="969">
      <c r="A969" s="141" t="s">
        <v>507</v>
      </c>
      <c r="B969" s="134"/>
      <c r="C969" s="134"/>
      <c r="D969" s="134"/>
      <c r="E969" s="134"/>
      <c r="F969" s="134"/>
      <c r="G969" s="134"/>
      <c r="H969" s="134"/>
      <c r="J969" s="134"/>
      <c r="K969" s="135"/>
      <c r="L969" s="136"/>
      <c r="M969" s="137" t="str">
        <f>IFERROR(__xludf.DUMMYFUNCTION("IFERROR((FILTER(Data!A:A,Data!D:D=A969,Data!B:B=$B$1)),"""")"),"")</f>
        <v/>
      </c>
      <c r="T969" s="52">
        <f>IFERROR(__xludf.DUMMYFUNCTION("((COUNTIF(FILTER(Data!N:N,Data!D:D=A969,Data!B:B=$B$1),""TRAVERSE"")*15)+(COUNTIF(FILTER(Data!N:N,Data!D:D=A969,Data!B:B=B$1),""HIGH"")*10)+(COUNTIF(FILTER(Data!N:N,Data!D:D=A969,Data!B:B=$B$1),""MIDDLE"")*6)+(COUNTIF(FILTER(Data!N:N,Data!D:D=A969,Data!B:"&amp;"B=$B$1),""LOW"")*4))"),0.0)</f>
        <v>0</v>
      </c>
      <c r="V969" s="138" t="str">
        <f>IF(Data!B961='Team Parser'!$B$1, Data!D961,"")</f>
        <v/>
      </c>
      <c r="W969" s="134" t="str">
        <f>IF(Data!$B961='Team Parser'!$B$1, Data!H961,"")</f>
        <v/>
      </c>
      <c r="X969" s="134" t="str">
        <f>IF(Data!$B961='Team Parser'!$B$1, Data!G961,"")</f>
        <v/>
      </c>
      <c r="Y969" s="134" t="str">
        <f>IF(Data!$B961='Team Parser'!$B$1, Data!L961,"")</f>
        <v/>
      </c>
      <c r="Z969" s="134" t="str">
        <f>IF(Data!$B961='Team Parser'!$B$1, Data!K961,"")</f>
        <v/>
      </c>
      <c r="AA969" s="134" t="str">
        <f>IF(Data!$B961='Team Parser'!$B$1, Data!M961,"")</f>
        <v/>
      </c>
      <c r="AB969" s="134" t="str">
        <f>IF(Data!$B961='Team Parser'!$B$1,((Z969*2)+(Y969)+(X969*4)+(W969*2)),"")</f>
        <v/>
      </c>
      <c r="AC969" s="134" t="str">
        <f>IF(Data!$B961='Team Parser'!$B$1, Data!N961,"")</f>
        <v/>
      </c>
      <c r="AD969" s="139" t="str">
        <f>IF(Data!$B961='Team Parser'!$B$1,(AB969+(COUNTIF(AC969,"TRAVERSE")*15)+(COUNTIF(AC969,"HIGH")*10)+(COUNTIF(AC969,"MIDDLE")*6)+(COUNTIF(AC969,"LOW")*4)),"")</f>
        <v/>
      </c>
    </row>
    <row r="970">
      <c r="A970" s="141" t="s">
        <v>507</v>
      </c>
      <c r="B970" s="134"/>
      <c r="C970" s="134"/>
      <c r="D970" s="134"/>
      <c r="E970" s="134"/>
      <c r="F970" s="134"/>
      <c r="G970" s="134"/>
      <c r="H970" s="134"/>
      <c r="J970" s="134"/>
      <c r="K970" s="135"/>
      <c r="L970" s="136"/>
      <c r="M970" s="137" t="str">
        <f>IFERROR(__xludf.DUMMYFUNCTION("IFERROR((FILTER(Data!A:A,Data!D:D=A970,Data!B:B=$B$1)),"""")"),"")</f>
        <v/>
      </c>
      <c r="T970" s="52">
        <f>IFERROR(__xludf.DUMMYFUNCTION("((COUNTIF(FILTER(Data!N:N,Data!D:D=A970,Data!B:B=$B$1),""TRAVERSE"")*15)+(COUNTIF(FILTER(Data!N:N,Data!D:D=A970,Data!B:B=B$1),""HIGH"")*10)+(COUNTIF(FILTER(Data!N:N,Data!D:D=A970,Data!B:B=$B$1),""MIDDLE"")*6)+(COUNTIF(FILTER(Data!N:N,Data!D:D=A970,Data!B:"&amp;"B=$B$1),""LOW"")*4))"),0.0)</f>
        <v>0</v>
      </c>
      <c r="V970" s="138" t="str">
        <f>IF(Data!B962='Team Parser'!$B$1, Data!D962,"")</f>
        <v/>
      </c>
      <c r="W970" s="134" t="str">
        <f>IF(Data!$B962='Team Parser'!$B$1, Data!H962,"")</f>
        <v/>
      </c>
      <c r="X970" s="134" t="str">
        <f>IF(Data!$B962='Team Parser'!$B$1, Data!G962,"")</f>
        <v/>
      </c>
      <c r="Y970" s="134" t="str">
        <f>IF(Data!$B962='Team Parser'!$B$1, Data!L962,"")</f>
        <v/>
      </c>
      <c r="Z970" s="134" t="str">
        <f>IF(Data!$B962='Team Parser'!$B$1, Data!K962,"")</f>
        <v/>
      </c>
      <c r="AA970" s="134" t="str">
        <f>IF(Data!$B962='Team Parser'!$B$1, Data!M962,"")</f>
        <v/>
      </c>
      <c r="AB970" s="134" t="str">
        <f>IF(Data!$B962='Team Parser'!$B$1,((Z970*2)+(Y970)+(X970*4)+(W970*2)),"")</f>
        <v/>
      </c>
      <c r="AC970" s="134" t="str">
        <f>IF(Data!$B962='Team Parser'!$B$1, Data!N962,"")</f>
        <v/>
      </c>
      <c r="AD970" s="139" t="str">
        <f>IF(Data!$B962='Team Parser'!$B$1,(AB970+(COUNTIF(AC970,"TRAVERSE")*15)+(COUNTIF(AC970,"HIGH")*10)+(COUNTIF(AC970,"MIDDLE")*6)+(COUNTIF(AC970,"LOW")*4)),"")</f>
        <v/>
      </c>
    </row>
    <row r="971">
      <c r="A971" s="141" t="s">
        <v>507</v>
      </c>
      <c r="B971" s="134"/>
      <c r="C971" s="134"/>
      <c r="D971" s="134"/>
      <c r="E971" s="134"/>
      <c r="F971" s="134"/>
      <c r="G971" s="134"/>
      <c r="H971" s="134"/>
      <c r="J971" s="134"/>
      <c r="K971" s="135"/>
      <c r="L971" s="136"/>
      <c r="M971" s="137" t="str">
        <f>IFERROR(__xludf.DUMMYFUNCTION("IFERROR((FILTER(Data!A:A,Data!D:D=A971,Data!B:B=$B$1)),"""")"),"")</f>
        <v/>
      </c>
      <c r="T971" s="52">
        <f>IFERROR(__xludf.DUMMYFUNCTION("((COUNTIF(FILTER(Data!N:N,Data!D:D=A971,Data!B:B=$B$1),""TRAVERSE"")*15)+(COUNTIF(FILTER(Data!N:N,Data!D:D=A971,Data!B:B=B$1),""HIGH"")*10)+(COUNTIF(FILTER(Data!N:N,Data!D:D=A971,Data!B:B=$B$1),""MIDDLE"")*6)+(COUNTIF(FILTER(Data!N:N,Data!D:D=A971,Data!B:"&amp;"B=$B$1),""LOW"")*4))"),0.0)</f>
        <v>0</v>
      </c>
      <c r="V971" s="138" t="str">
        <f>IF(Data!B963='Team Parser'!$B$1, Data!D963,"")</f>
        <v/>
      </c>
      <c r="W971" s="134" t="str">
        <f>IF(Data!$B963='Team Parser'!$B$1, Data!H963,"")</f>
        <v/>
      </c>
      <c r="X971" s="134" t="str">
        <f>IF(Data!$B963='Team Parser'!$B$1, Data!G963,"")</f>
        <v/>
      </c>
      <c r="Y971" s="134" t="str">
        <f>IF(Data!$B963='Team Parser'!$B$1, Data!L963,"")</f>
        <v/>
      </c>
      <c r="Z971" s="134" t="str">
        <f>IF(Data!$B963='Team Parser'!$B$1, Data!K963,"")</f>
        <v/>
      </c>
      <c r="AA971" s="134" t="str">
        <f>IF(Data!$B963='Team Parser'!$B$1, Data!M963,"")</f>
        <v/>
      </c>
      <c r="AB971" s="134" t="str">
        <f>IF(Data!$B963='Team Parser'!$B$1,((Z971*2)+(Y971)+(X971*4)+(W971*2)),"")</f>
        <v/>
      </c>
      <c r="AC971" s="134" t="str">
        <f>IF(Data!$B963='Team Parser'!$B$1, Data!N963,"")</f>
        <v/>
      </c>
      <c r="AD971" s="139" t="str">
        <f>IF(Data!$B963='Team Parser'!$B$1,(AB971+(COUNTIF(AC971,"TRAVERSE")*15)+(COUNTIF(AC971,"HIGH")*10)+(COUNTIF(AC971,"MIDDLE")*6)+(COUNTIF(AC971,"LOW")*4)),"")</f>
        <v/>
      </c>
    </row>
    <row r="972">
      <c r="A972" s="141" t="s">
        <v>507</v>
      </c>
      <c r="B972" s="134"/>
      <c r="C972" s="134"/>
      <c r="D972" s="134"/>
      <c r="E972" s="134"/>
      <c r="F972" s="134"/>
      <c r="G972" s="134"/>
      <c r="H972" s="134"/>
      <c r="J972" s="134"/>
      <c r="K972" s="135"/>
      <c r="L972" s="136"/>
      <c r="M972" s="137" t="str">
        <f>IFERROR(__xludf.DUMMYFUNCTION("IFERROR((FILTER(Data!A:A,Data!D:D=A972,Data!B:B=$B$1)),"""")"),"")</f>
        <v/>
      </c>
      <c r="T972" s="52">
        <f>IFERROR(__xludf.DUMMYFUNCTION("((COUNTIF(FILTER(Data!N:N,Data!D:D=A972,Data!B:B=$B$1),""TRAVERSE"")*15)+(COUNTIF(FILTER(Data!N:N,Data!D:D=A972,Data!B:B=B$1),""HIGH"")*10)+(COUNTIF(FILTER(Data!N:N,Data!D:D=A972,Data!B:B=$B$1),""MIDDLE"")*6)+(COUNTIF(FILTER(Data!N:N,Data!D:D=A972,Data!B:"&amp;"B=$B$1),""LOW"")*4))"),0.0)</f>
        <v>0</v>
      </c>
      <c r="V972" s="138" t="str">
        <f>IF(Data!B964='Team Parser'!$B$1, Data!D964,"")</f>
        <v/>
      </c>
      <c r="W972" s="134" t="str">
        <f>IF(Data!$B964='Team Parser'!$B$1, Data!H964,"")</f>
        <v/>
      </c>
      <c r="X972" s="134" t="str">
        <f>IF(Data!$B964='Team Parser'!$B$1, Data!G964,"")</f>
        <v/>
      </c>
      <c r="Y972" s="134" t="str">
        <f>IF(Data!$B964='Team Parser'!$B$1, Data!L964,"")</f>
        <v/>
      </c>
      <c r="Z972" s="134" t="str">
        <f>IF(Data!$B964='Team Parser'!$B$1, Data!K964,"")</f>
        <v/>
      </c>
      <c r="AA972" s="134" t="str">
        <f>IF(Data!$B964='Team Parser'!$B$1, Data!M964,"")</f>
        <v/>
      </c>
      <c r="AB972" s="134" t="str">
        <f>IF(Data!$B964='Team Parser'!$B$1,((Z972*2)+(Y972)+(X972*4)+(W972*2)),"")</f>
        <v/>
      </c>
      <c r="AC972" s="134" t="str">
        <f>IF(Data!$B964='Team Parser'!$B$1, Data!N964,"")</f>
        <v/>
      </c>
      <c r="AD972" s="139" t="str">
        <f>IF(Data!$B964='Team Parser'!$B$1,(AB972+(COUNTIF(AC972,"TRAVERSE")*15)+(COUNTIF(AC972,"HIGH")*10)+(COUNTIF(AC972,"MIDDLE")*6)+(COUNTIF(AC972,"LOW")*4)),"")</f>
        <v/>
      </c>
    </row>
    <row r="973">
      <c r="A973" s="141" t="s">
        <v>507</v>
      </c>
      <c r="B973" s="134"/>
      <c r="C973" s="134"/>
      <c r="D973" s="134"/>
      <c r="E973" s="134"/>
      <c r="F973" s="134"/>
      <c r="G973" s="134"/>
      <c r="H973" s="134"/>
      <c r="J973" s="134"/>
      <c r="K973" s="135"/>
      <c r="L973" s="136"/>
      <c r="M973" s="137" t="str">
        <f>IFERROR(__xludf.DUMMYFUNCTION("IFERROR((FILTER(Data!A:A,Data!D:D=A973,Data!B:B=$B$1)),"""")"),"")</f>
        <v/>
      </c>
      <c r="T973" s="52">
        <f>IFERROR(__xludf.DUMMYFUNCTION("((COUNTIF(FILTER(Data!N:N,Data!D:D=A973,Data!B:B=$B$1),""TRAVERSE"")*15)+(COUNTIF(FILTER(Data!N:N,Data!D:D=A973,Data!B:B=B$1),""HIGH"")*10)+(COUNTIF(FILTER(Data!N:N,Data!D:D=A973,Data!B:B=$B$1),""MIDDLE"")*6)+(COUNTIF(FILTER(Data!N:N,Data!D:D=A973,Data!B:"&amp;"B=$B$1),""LOW"")*4))"),0.0)</f>
        <v>0</v>
      </c>
      <c r="V973" s="138" t="str">
        <f>IF(Data!B965='Team Parser'!$B$1, Data!D965,"")</f>
        <v/>
      </c>
      <c r="W973" s="134" t="str">
        <f>IF(Data!$B965='Team Parser'!$B$1, Data!H965,"")</f>
        <v/>
      </c>
      <c r="X973" s="134" t="str">
        <f>IF(Data!$B965='Team Parser'!$B$1, Data!G965,"")</f>
        <v/>
      </c>
      <c r="Y973" s="134" t="str">
        <f>IF(Data!$B965='Team Parser'!$B$1, Data!L965,"")</f>
        <v/>
      </c>
      <c r="Z973" s="134" t="str">
        <f>IF(Data!$B965='Team Parser'!$B$1, Data!K965,"")</f>
        <v/>
      </c>
      <c r="AA973" s="134" t="str">
        <f>IF(Data!$B965='Team Parser'!$B$1, Data!M965,"")</f>
        <v/>
      </c>
      <c r="AB973" s="134" t="str">
        <f>IF(Data!$B965='Team Parser'!$B$1,((Z973*2)+(Y973)+(X973*4)+(W973*2)),"")</f>
        <v/>
      </c>
      <c r="AC973" s="134" t="str">
        <f>IF(Data!$B965='Team Parser'!$B$1, Data!N965,"")</f>
        <v/>
      </c>
      <c r="AD973" s="139" t="str">
        <f>IF(Data!$B965='Team Parser'!$B$1,(AB973+(COUNTIF(AC973,"TRAVERSE")*15)+(COUNTIF(AC973,"HIGH")*10)+(COUNTIF(AC973,"MIDDLE")*6)+(COUNTIF(AC973,"LOW")*4)),"")</f>
        <v/>
      </c>
    </row>
    <row r="974">
      <c r="A974" s="141" t="s">
        <v>507</v>
      </c>
      <c r="B974" s="134"/>
      <c r="C974" s="134"/>
      <c r="D974" s="134"/>
      <c r="E974" s="134"/>
      <c r="F974" s="134"/>
      <c r="G974" s="134"/>
      <c r="H974" s="134"/>
      <c r="J974" s="134"/>
      <c r="K974" s="135"/>
      <c r="L974" s="136"/>
      <c r="M974" s="137" t="str">
        <f>IFERROR(__xludf.DUMMYFUNCTION("IFERROR((FILTER(Data!A:A,Data!D:D=A974,Data!B:B=$B$1)),"""")"),"")</f>
        <v/>
      </c>
      <c r="T974" s="52">
        <f>IFERROR(__xludf.DUMMYFUNCTION("((COUNTIF(FILTER(Data!N:N,Data!D:D=A974,Data!B:B=$B$1),""TRAVERSE"")*15)+(COUNTIF(FILTER(Data!N:N,Data!D:D=A974,Data!B:B=B$1),""HIGH"")*10)+(COUNTIF(FILTER(Data!N:N,Data!D:D=A974,Data!B:B=$B$1),""MIDDLE"")*6)+(COUNTIF(FILTER(Data!N:N,Data!D:D=A974,Data!B:"&amp;"B=$B$1),""LOW"")*4))"),0.0)</f>
        <v>0</v>
      </c>
      <c r="V974" s="138" t="str">
        <f>IF(Data!B966='Team Parser'!$B$1, Data!D966,"")</f>
        <v/>
      </c>
      <c r="W974" s="134" t="str">
        <f>IF(Data!$B966='Team Parser'!$B$1, Data!H966,"")</f>
        <v/>
      </c>
      <c r="X974" s="134" t="str">
        <f>IF(Data!$B966='Team Parser'!$B$1, Data!G966,"")</f>
        <v/>
      </c>
      <c r="Y974" s="134" t="str">
        <f>IF(Data!$B966='Team Parser'!$B$1, Data!L966,"")</f>
        <v/>
      </c>
      <c r="Z974" s="134" t="str">
        <f>IF(Data!$B966='Team Parser'!$B$1, Data!K966,"")</f>
        <v/>
      </c>
      <c r="AA974" s="134" t="str">
        <f>IF(Data!$B966='Team Parser'!$B$1, Data!M966,"")</f>
        <v/>
      </c>
      <c r="AB974" s="134" t="str">
        <f>IF(Data!$B966='Team Parser'!$B$1,((Z974*2)+(Y974)+(X974*4)+(W974*2)),"")</f>
        <v/>
      </c>
      <c r="AC974" s="134" t="str">
        <f>IF(Data!$B966='Team Parser'!$B$1, Data!N966,"")</f>
        <v/>
      </c>
      <c r="AD974" s="139" t="str">
        <f>IF(Data!$B966='Team Parser'!$B$1,(AB974+(COUNTIF(AC974,"TRAVERSE")*15)+(COUNTIF(AC974,"HIGH")*10)+(COUNTIF(AC974,"MIDDLE")*6)+(COUNTIF(AC974,"LOW")*4)),"")</f>
        <v/>
      </c>
    </row>
    <row r="975">
      <c r="A975" s="141" t="s">
        <v>507</v>
      </c>
      <c r="B975" s="134"/>
      <c r="C975" s="134"/>
      <c r="D975" s="134"/>
      <c r="E975" s="134"/>
      <c r="F975" s="134"/>
      <c r="G975" s="134"/>
      <c r="H975" s="134"/>
      <c r="J975" s="134"/>
      <c r="K975" s="135"/>
      <c r="L975" s="136"/>
      <c r="M975" s="137" t="str">
        <f>IFERROR(__xludf.DUMMYFUNCTION("IFERROR((FILTER(Data!A:A,Data!D:D=A975,Data!B:B=$B$1)),"""")"),"")</f>
        <v/>
      </c>
      <c r="T975" s="52">
        <f>IFERROR(__xludf.DUMMYFUNCTION("((COUNTIF(FILTER(Data!N:N,Data!D:D=A975,Data!B:B=$B$1),""TRAVERSE"")*15)+(COUNTIF(FILTER(Data!N:N,Data!D:D=A975,Data!B:B=B$1),""HIGH"")*10)+(COUNTIF(FILTER(Data!N:N,Data!D:D=A975,Data!B:B=$B$1),""MIDDLE"")*6)+(COUNTIF(FILTER(Data!N:N,Data!D:D=A975,Data!B:"&amp;"B=$B$1),""LOW"")*4))"),0.0)</f>
        <v>0</v>
      </c>
      <c r="V975" s="138" t="str">
        <f>IF(Data!B967='Team Parser'!$B$1, Data!D967,"")</f>
        <v/>
      </c>
      <c r="W975" s="134" t="str">
        <f>IF(Data!$B967='Team Parser'!$B$1, Data!H967,"")</f>
        <v/>
      </c>
      <c r="X975" s="134" t="str">
        <f>IF(Data!$B967='Team Parser'!$B$1, Data!G967,"")</f>
        <v/>
      </c>
      <c r="Y975" s="134" t="str">
        <f>IF(Data!$B967='Team Parser'!$B$1, Data!L967,"")</f>
        <v/>
      </c>
      <c r="Z975" s="134" t="str">
        <f>IF(Data!$B967='Team Parser'!$B$1, Data!K967,"")</f>
        <v/>
      </c>
      <c r="AA975" s="134" t="str">
        <f>IF(Data!$B967='Team Parser'!$B$1, Data!M967,"")</f>
        <v/>
      </c>
      <c r="AB975" s="134" t="str">
        <f>IF(Data!$B967='Team Parser'!$B$1,((Z975*2)+(Y975)+(X975*4)+(W975*2)),"")</f>
        <v/>
      </c>
      <c r="AC975" s="134" t="str">
        <f>IF(Data!$B967='Team Parser'!$B$1, Data!N967,"")</f>
        <v/>
      </c>
      <c r="AD975" s="139" t="str">
        <f>IF(Data!$B967='Team Parser'!$B$1,(AB975+(COUNTIF(AC975,"TRAVERSE")*15)+(COUNTIF(AC975,"HIGH")*10)+(COUNTIF(AC975,"MIDDLE")*6)+(COUNTIF(AC975,"LOW")*4)),"")</f>
        <v/>
      </c>
    </row>
    <row r="976">
      <c r="A976" s="141" t="s">
        <v>507</v>
      </c>
      <c r="B976" s="134"/>
      <c r="C976" s="134"/>
      <c r="D976" s="134"/>
      <c r="E976" s="134"/>
      <c r="F976" s="134"/>
      <c r="G976" s="134"/>
      <c r="H976" s="134"/>
      <c r="J976" s="134"/>
      <c r="K976" s="135"/>
      <c r="L976" s="136"/>
      <c r="M976" s="137" t="str">
        <f>IFERROR(__xludf.DUMMYFUNCTION("IFERROR((FILTER(Data!A:A,Data!D:D=A976,Data!B:B=$B$1)),"""")"),"")</f>
        <v/>
      </c>
      <c r="T976" s="52">
        <f>IFERROR(__xludf.DUMMYFUNCTION("((COUNTIF(FILTER(Data!N:N,Data!D:D=A976,Data!B:B=$B$1),""TRAVERSE"")*15)+(COUNTIF(FILTER(Data!N:N,Data!D:D=A976,Data!B:B=B$1),""HIGH"")*10)+(COUNTIF(FILTER(Data!N:N,Data!D:D=A976,Data!B:B=$B$1),""MIDDLE"")*6)+(COUNTIF(FILTER(Data!N:N,Data!D:D=A976,Data!B:"&amp;"B=$B$1),""LOW"")*4))"),0.0)</f>
        <v>0</v>
      </c>
      <c r="V976" s="138" t="str">
        <f>IF(Data!B968='Team Parser'!$B$1, Data!D968,"")</f>
        <v/>
      </c>
      <c r="W976" s="134" t="str">
        <f>IF(Data!$B968='Team Parser'!$B$1, Data!H968,"")</f>
        <v/>
      </c>
      <c r="X976" s="134" t="str">
        <f>IF(Data!$B968='Team Parser'!$B$1, Data!G968,"")</f>
        <v/>
      </c>
      <c r="Y976" s="134" t="str">
        <f>IF(Data!$B968='Team Parser'!$B$1, Data!L968,"")</f>
        <v/>
      </c>
      <c r="Z976" s="134" t="str">
        <f>IF(Data!$B968='Team Parser'!$B$1, Data!K968,"")</f>
        <v/>
      </c>
      <c r="AA976" s="134" t="str">
        <f>IF(Data!$B968='Team Parser'!$B$1, Data!M968,"")</f>
        <v/>
      </c>
      <c r="AB976" s="134" t="str">
        <f>IF(Data!$B968='Team Parser'!$B$1,((Z976*2)+(Y976)+(X976*4)+(W976*2)),"")</f>
        <v/>
      </c>
      <c r="AC976" s="134" t="str">
        <f>IF(Data!$B968='Team Parser'!$B$1, Data!N968,"")</f>
        <v/>
      </c>
      <c r="AD976" s="139" t="str">
        <f>IF(Data!$B968='Team Parser'!$B$1,(AB976+(COUNTIF(AC976,"TRAVERSE")*15)+(COUNTIF(AC976,"HIGH")*10)+(COUNTIF(AC976,"MIDDLE")*6)+(COUNTIF(AC976,"LOW")*4)),"")</f>
        <v/>
      </c>
    </row>
    <row r="977">
      <c r="A977" s="141" t="s">
        <v>507</v>
      </c>
      <c r="B977" s="134"/>
      <c r="C977" s="134"/>
      <c r="D977" s="134"/>
      <c r="E977" s="134"/>
      <c r="F977" s="134"/>
      <c r="G977" s="134"/>
      <c r="H977" s="134"/>
      <c r="J977" s="134"/>
      <c r="K977" s="135"/>
      <c r="L977" s="136"/>
      <c r="M977" s="137" t="str">
        <f>IFERROR(__xludf.DUMMYFUNCTION("IFERROR((FILTER(Data!A:A,Data!D:D=A977,Data!B:B=$B$1)),"""")"),"")</f>
        <v/>
      </c>
      <c r="T977" s="52">
        <f>IFERROR(__xludf.DUMMYFUNCTION("((COUNTIF(FILTER(Data!N:N,Data!D:D=A977,Data!B:B=$B$1),""TRAVERSE"")*15)+(COUNTIF(FILTER(Data!N:N,Data!D:D=A977,Data!B:B=B$1),""HIGH"")*10)+(COUNTIF(FILTER(Data!N:N,Data!D:D=A977,Data!B:B=$B$1),""MIDDLE"")*6)+(COUNTIF(FILTER(Data!N:N,Data!D:D=A977,Data!B:"&amp;"B=$B$1),""LOW"")*4))"),0.0)</f>
        <v>0</v>
      </c>
      <c r="V977" s="138" t="str">
        <f>IF(Data!B969='Team Parser'!$B$1, Data!D969,"")</f>
        <v/>
      </c>
      <c r="W977" s="134" t="str">
        <f>IF(Data!$B969='Team Parser'!$B$1, Data!H969,"")</f>
        <v/>
      </c>
      <c r="X977" s="134" t="str">
        <f>IF(Data!$B969='Team Parser'!$B$1, Data!G969,"")</f>
        <v/>
      </c>
      <c r="Y977" s="134" t="str">
        <f>IF(Data!$B969='Team Parser'!$B$1, Data!L969,"")</f>
        <v/>
      </c>
      <c r="Z977" s="134" t="str">
        <f>IF(Data!$B969='Team Parser'!$B$1, Data!K969,"")</f>
        <v/>
      </c>
      <c r="AA977" s="134" t="str">
        <f>IF(Data!$B969='Team Parser'!$B$1, Data!M969,"")</f>
        <v/>
      </c>
      <c r="AB977" s="134" t="str">
        <f>IF(Data!$B969='Team Parser'!$B$1,((Z977*2)+(Y977)+(X977*4)+(W977*2)),"")</f>
        <v/>
      </c>
      <c r="AC977" s="134" t="str">
        <f>IF(Data!$B969='Team Parser'!$B$1, Data!N969,"")</f>
        <v/>
      </c>
      <c r="AD977" s="139" t="str">
        <f>IF(Data!$B969='Team Parser'!$B$1,(AB977+(COUNTIF(AC977,"TRAVERSE")*15)+(COUNTIF(AC977,"HIGH")*10)+(COUNTIF(AC977,"MIDDLE")*6)+(COUNTIF(AC977,"LOW")*4)),"")</f>
        <v/>
      </c>
    </row>
    <row r="978">
      <c r="A978" s="141" t="s">
        <v>507</v>
      </c>
      <c r="B978" s="134"/>
      <c r="C978" s="134"/>
      <c r="D978" s="134"/>
      <c r="E978" s="134"/>
      <c r="F978" s="134"/>
      <c r="G978" s="134"/>
      <c r="H978" s="134"/>
      <c r="J978" s="134"/>
      <c r="K978" s="135"/>
      <c r="L978" s="136"/>
      <c r="M978" s="137" t="str">
        <f>IFERROR(__xludf.DUMMYFUNCTION("IFERROR((FILTER(Data!A:A,Data!D:D=A978,Data!B:B=$B$1)),"""")"),"")</f>
        <v/>
      </c>
      <c r="T978" s="52">
        <f>IFERROR(__xludf.DUMMYFUNCTION("((COUNTIF(FILTER(Data!N:N,Data!D:D=A978,Data!B:B=$B$1),""TRAVERSE"")*15)+(COUNTIF(FILTER(Data!N:N,Data!D:D=A978,Data!B:B=B$1),""HIGH"")*10)+(COUNTIF(FILTER(Data!N:N,Data!D:D=A978,Data!B:B=$B$1),""MIDDLE"")*6)+(COUNTIF(FILTER(Data!N:N,Data!D:D=A978,Data!B:"&amp;"B=$B$1),""LOW"")*4))"),0.0)</f>
        <v>0</v>
      </c>
      <c r="V978" s="138" t="str">
        <f>IF(Data!B970='Team Parser'!$B$1, Data!D970,"")</f>
        <v/>
      </c>
      <c r="W978" s="134" t="str">
        <f>IF(Data!$B970='Team Parser'!$B$1, Data!H970,"")</f>
        <v/>
      </c>
      <c r="X978" s="134" t="str">
        <f>IF(Data!$B970='Team Parser'!$B$1, Data!G970,"")</f>
        <v/>
      </c>
      <c r="Y978" s="134" t="str">
        <f>IF(Data!$B970='Team Parser'!$B$1, Data!L970,"")</f>
        <v/>
      </c>
      <c r="Z978" s="134" t="str">
        <f>IF(Data!$B970='Team Parser'!$B$1, Data!K970,"")</f>
        <v/>
      </c>
      <c r="AA978" s="134" t="str">
        <f>IF(Data!$B970='Team Parser'!$B$1, Data!M970,"")</f>
        <v/>
      </c>
      <c r="AB978" s="134" t="str">
        <f>IF(Data!$B970='Team Parser'!$B$1,((Z978*2)+(Y978)+(X978*4)+(W978*2)),"")</f>
        <v/>
      </c>
      <c r="AC978" s="134" t="str">
        <f>IF(Data!$B970='Team Parser'!$B$1, Data!N970,"")</f>
        <v/>
      </c>
      <c r="AD978" s="139" t="str">
        <f>IF(Data!$B970='Team Parser'!$B$1,(AB978+(COUNTIF(AC978,"TRAVERSE")*15)+(COUNTIF(AC978,"HIGH")*10)+(COUNTIF(AC978,"MIDDLE")*6)+(COUNTIF(AC978,"LOW")*4)),"")</f>
        <v/>
      </c>
    </row>
    <row r="979">
      <c r="A979" s="141" t="s">
        <v>507</v>
      </c>
      <c r="B979" s="134"/>
      <c r="C979" s="134"/>
      <c r="D979" s="134"/>
      <c r="E979" s="134"/>
      <c r="F979" s="134"/>
      <c r="G979" s="134"/>
      <c r="H979" s="134"/>
      <c r="J979" s="134"/>
      <c r="K979" s="135"/>
      <c r="L979" s="136"/>
      <c r="M979" s="137" t="str">
        <f>IFERROR(__xludf.DUMMYFUNCTION("IFERROR((FILTER(Data!A:A,Data!D:D=A979,Data!B:B=$B$1)),"""")"),"")</f>
        <v/>
      </c>
      <c r="T979" s="52">
        <f>IFERROR(__xludf.DUMMYFUNCTION("((COUNTIF(FILTER(Data!N:N,Data!D:D=A979,Data!B:B=$B$1),""TRAVERSE"")*15)+(COUNTIF(FILTER(Data!N:N,Data!D:D=A979,Data!B:B=B$1),""HIGH"")*10)+(COUNTIF(FILTER(Data!N:N,Data!D:D=A979,Data!B:B=$B$1),""MIDDLE"")*6)+(COUNTIF(FILTER(Data!N:N,Data!D:D=A979,Data!B:"&amp;"B=$B$1),""LOW"")*4))"),0.0)</f>
        <v>0</v>
      </c>
      <c r="V979" s="138" t="str">
        <f>IF(Data!B971='Team Parser'!$B$1, Data!D971,"")</f>
        <v/>
      </c>
      <c r="W979" s="134" t="str">
        <f>IF(Data!$B971='Team Parser'!$B$1, Data!H971,"")</f>
        <v/>
      </c>
      <c r="X979" s="134" t="str">
        <f>IF(Data!$B971='Team Parser'!$B$1, Data!G971,"")</f>
        <v/>
      </c>
      <c r="Y979" s="134" t="str">
        <f>IF(Data!$B971='Team Parser'!$B$1, Data!L971,"")</f>
        <v/>
      </c>
      <c r="Z979" s="134" t="str">
        <f>IF(Data!$B971='Team Parser'!$B$1, Data!K971,"")</f>
        <v/>
      </c>
      <c r="AA979" s="134" t="str">
        <f>IF(Data!$B971='Team Parser'!$B$1, Data!M971,"")</f>
        <v/>
      </c>
      <c r="AB979" s="134" t="str">
        <f>IF(Data!$B971='Team Parser'!$B$1,((Z979*2)+(Y979)+(X979*4)+(W979*2)),"")</f>
        <v/>
      </c>
      <c r="AC979" s="134" t="str">
        <f>IF(Data!$B971='Team Parser'!$B$1, Data!N971,"")</f>
        <v/>
      </c>
      <c r="AD979" s="139" t="str">
        <f>IF(Data!$B971='Team Parser'!$B$1,(AB979+(COUNTIF(AC979,"TRAVERSE")*15)+(COUNTIF(AC979,"HIGH")*10)+(COUNTIF(AC979,"MIDDLE")*6)+(COUNTIF(AC979,"LOW")*4)),"")</f>
        <v/>
      </c>
    </row>
    <row r="980">
      <c r="A980" s="141" t="s">
        <v>507</v>
      </c>
      <c r="B980" s="134"/>
      <c r="C980" s="134"/>
      <c r="D980" s="134"/>
      <c r="E980" s="134"/>
      <c r="F980" s="134"/>
      <c r="G980" s="134"/>
      <c r="H980" s="134"/>
      <c r="J980" s="134"/>
      <c r="K980" s="135"/>
      <c r="L980" s="136"/>
      <c r="M980" s="137" t="str">
        <f>IFERROR(__xludf.DUMMYFUNCTION("IFERROR((FILTER(Data!A:A,Data!D:D=A980,Data!B:B=$B$1)),"""")"),"")</f>
        <v/>
      </c>
      <c r="T980" s="52">
        <f>IFERROR(__xludf.DUMMYFUNCTION("((COUNTIF(FILTER(Data!N:N,Data!D:D=A980,Data!B:B=$B$1),""TRAVERSE"")*15)+(COUNTIF(FILTER(Data!N:N,Data!D:D=A980,Data!B:B=B$1),""HIGH"")*10)+(COUNTIF(FILTER(Data!N:N,Data!D:D=A980,Data!B:B=$B$1),""MIDDLE"")*6)+(COUNTIF(FILTER(Data!N:N,Data!D:D=A980,Data!B:"&amp;"B=$B$1),""LOW"")*4))"),0.0)</f>
        <v>0</v>
      </c>
      <c r="V980" s="138" t="str">
        <f>IF(Data!B972='Team Parser'!$B$1, Data!D972,"")</f>
        <v/>
      </c>
      <c r="W980" s="134" t="str">
        <f>IF(Data!$B972='Team Parser'!$B$1, Data!H972,"")</f>
        <v/>
      </c>
      <c r="X980" s="134" t="str">
        <f>IF(Data!$B972='Team Parser'!$B$1, Data!G972,"")</f>
        <v/>
      </c>
      <c r="Y980" s="134" t="str">
        <f>IF(Data!$B972='Team Parser'!$B$1, Data!L972,"")</f>
        <v/>
      </c>
      <c r="Z980" s="134" t="str">
        <f>IF(Data!$B972='Team Parser'!$B$1, Data!K972,"")</f>
        <v/>
      </c>
      <c r="AA980" s="134" t="str">
        <f>IF(Data!$B972='Team Parser'!$B$1, Data!M972,"")</f>
        <v/>
      </c>
      <c r="AB980" s="134" t="str">
        <f>IF(Data!$B972='Team Parser'!$B$1,((Z980*2)+(Y980)+(X980*4)+(W980*2)),"")</f>
        <v/>
      </c>
      <c r="AC980" s="134" t="str">
        <f>IF(Data!$B972='Team Parser'!$B$1, Data!N972,"")</f>
        <v/>
      </c>
      <c r="AD980" s="139" t="str">
        <f>IF(Data!$B972='Team Parser'!$B$1,(AB980+(COUNTIF(AC980,"TRAVERSE")*15)+(COUNTIF(AC980,"HIGH")*10)+(COUNTIF(AC980,"MIDDLE")*6)+(COUNTIF(AC980,"LOW")*4)),"")</f>
        <v/>
      </c>
    </row>
    <row r="981">
      <c r="A981" s="141" t="s">
        <v>507</v>
      </c>
      <c r="B981" s="134"/>
      <c r="C981" s="134"/>
      <c r="D981" s="134"/>
      <c r="E981" s="134"/>
      <c r="F981" s="134"/>
      <c r="G981" s="134"/>
      <c r="H981" s="134"/>
      <c r="J981" s="134"/>
      <c r="K981" s="135"/>
      <c r="L981" s="136"/>
      <c r="M981" s="137" t="str">
        <f>IFERROR(__xludf.DUMMYFUNCTION("IFERROR((FILTER(Data!A:A,Data!D:D=A981,Data!B:B=$B$1)),"""")"),"")</f>
        <v/>
      </c>
      <c r="T981" s="52">
        <f>IFERROR(__xludf.DUMMYFUNCTION("((COUNTIF(FILTER(Data!N:N,Data!D:D=A981,Data!B:B=$B$1),""TRAVERSE"")*15)+(COUNTIF(FILTER(Data!N:N,Data!D:D=A981,Data!B:B=B$1),""HIGH"")*10)+(COUNTIF(FILTER(Data!N:N,Data!D:D=A981,Data!B:B=$B$1),""MIDDLE"")*6)+(COUNTIF(FILTER(Data!N:N,Data!D:D=A981,Data!B:"&amp;"B=$B$1),""LOW"")*4))"),0.0)</f>
        <v>0</v>
      </c>
      <c r="V981" s="138" t="str">
        <f>IF(Data!B973='Team Parser'!$B$1, Data!D973,"")</f>
        <v/>
      </c>
      <c r="W981" s="134" t="str">
        <f>IF(Data!$B973='Team Parser'!$B$1, Data!H973,"")</f>
        <v/>
      </c>
      <c r="X981" s="134" t="str">
        <f>IF(Data!$B973='Team Parser'!$B$1, Data!G973,"")</f>
        <v/>
      </c>
      <c r="Y981" s="134" t="str">
        <f>IF(Data!$B973='Team Parser'!$B$1, Data!L973,"")</f>
        <v/>
      </c>
      <c r="Z981" s="134" t="str">
        <f>IF(Data!$B973='Team Parser'!$B$1, Data!K973,"")</f>
        <v/>
      </c>
      <c r="AA981" s="134" t="str">
        <f>IF(Data!$B973='Team Parser'!$B$1, Data!M973,"")</f>
        <v/>
      </c>
      <c r="AB981" s="134" t="str">
        <f>IF(Data!$B973='Team Parser'!$B$1,((Z981*2)+(Y981)+(X981*4)+(W981*2)),"")</f>
        <v/>
      </c>
      <c r="AC981" s="134" t="str">
        <f>IF(Data!$B973='Team Parser'!$B$1, Data!N973,"")</f>
        <v/>
      </c>
      <c r="AD981" s="139" t="str">
        <f>IF(Data!$B973='Team Parser'!$B$1,(AB981+(COUNTIF(AC981,"TRAVERSE")*15)+(COUNTIF(AC981,"HIGH")*10)+(COUNTIF(AC981,"MIDDLE")*6)+(COUNTIF(AC981,"LOW")*4)),"")</f>
        <v/>
      </c>
    </row>
    <row r="982">
      <c r="A982" s="141" t="s">
        <v>507</v>
      </c>
      <c r="B982" s="134"/>
      <c r="C982" s="134"/>
      <c r="D982" s="134"/>
      <c r="E982" s="134"/>
      <c r="F982" s="134"/>
      <c r="G982" s="134"/>
      <c r="H982" s="134"/>
      <c r="J982" s="134"/>
      <c r="K982" s="135"/>
      <c r="L982" s="136"/>
      <c r="M982" s="137" t="str">
        <f>IFERROR(__xludf.DUMMYFUNCTION("IFERROR((FILTER(Data!A:A,Data!D:D=A982,Data!B:B=$B$1)),"""")"),"")</f>
        <v/>
      </c>
      <c r="T982" s="52">
        <f>IFERROR(__xludf.DUMMYFUNCTION("((COUNTIF(FILTER(Data!N:N,Data!D:D=A982,Data!B:B=$B$1),""TRAVERSE"")*15)+(COUNTIF(FILTER(Data!N:N,Data!D:D=A982,Data!B:B=B$1),""HIGH"")*10)+(COUNTIF(FILTER(Data!N:N,Data!D:D=A982,Data!B:B=$B$1),""MIDDLE"")*6)+(COUNTIF(FILTER(Data!N:N,Data!D:D=A982,Data!B:"&amp;"B=$B$1),""LOW"")*4))"),0.0)</f>
        <v>0</v>
      </c>
      <c r="V982" s="138" t="str">
        <f>IF(Data!B974='Team Parser'!$B$1, Data!D974,"")</f>
        <v/>
      </c>
      <c r="W982" s="134" t="str">
        <f>IF(Data!$B974='Team Parser'!$B$1, Data!H974,"")</f>
        <v/>
      </c>
      <c r="X982" s="134" t="str">
        <f>IF(Data!$B974='Team Parser'!$B$1, Data!G974,"")</f>
        <v/>
      </c>
      <c r="Y982" s="134" t="str">
        <f>IF(Data!$B974='Team Parser'!$B$1, Data!L974,"")</f>
        <v/>
      </c>
      <c r="Z982" s="134" t="str">
        <f>IF(Data!$B974='Team Parser'!$B$1, Data!K974,"")</f>
        <v/>
      </c>
      <c r="AA982" s="134" t="str">
        <f>IF(Data!$B974='Team Parser'!$B$1, Data!M974,"")</f>
        <v/>
      </c>
      <c r="AB982" s="134" t="str">
        <f>IF(Data!$B974='Team Parser'!$B$1,((Z982*2)+(Y982)+(X982*4)+(W982*2)),"")</f>
        <v/>
      </c>
      <c r="AC982" s="134" t="str">
        <f>IF(Data!$B974='Team Parser'!$B$1, Data!N974,"")</f>
        <v/>
      </c>
      <c r="AD982" s="139" t="str">
        <f>IF(Data!$B974='Team Parser'!$B$1,(AB982+(COUNTIF(AC982,"TRAVERSE")*15)+(COUNTIF(AC982,"HIGH")*10)+(COUNTIF(AC982,"MIDDLE")*6)+(COUNTIF(AC982,"LOW")*4)),"")</f>
        <v/>
      </c>
    </row>
    <row r="983">
      <c r="A983" s="141" t="s">
        <v>507</v>
      </c>
      <c r="B983" s="134"/>
      <c r="C983" s="134"/>
      <c r="D983" s="134"/>
      <c r="E983" s="134"/>
      <c r="F983" s="134"/>
      <c r="G983" s="134"/>
      <c r="H983" s="134"/>
      <c r="J983" s="134"/>
      <c r="K983" s="135"/>
      <c r="L983" s="136"/>
      <c r="M983" s="137" t="str">
        <f>IFERROR(__xludf.DUMMYFUNCTION("IFERROR((FILTER(Data!A:A,Data!D:D=A983,Data!B:B=$B$1)),"""")"),"")</f>
        <v/>
      </c>
      <c r="T983" s="52">
        <f>IFERROR(__xludf.DUMMYFUNCTION("((COUNTIF(FILTER(Data!N:N,Data!D:D=A983,Data!B:B=$B$1),""TRAVERSE"")*15)+(COUNTIF(FILTER(Data!N:N,Data!D:D=A983,Data!B:B=B$1),""HIGH"")*10)+(COUNTIF(FILTER(Data!N:N,Data!D:D=A983,Data!B:B=$B$1),""MIDDLE"")*6)+(COUNTIF(FILTER(Data!N:N,Data!D:D=A983,Data!B:"&amp;"B=$B$1),""LOW"")*4))"),0.0)</f>
        <v>0</v>
      </c>
      <c r="V983" s="138" t="str">
        <f>IF(Data!B975='Team Parser'!$B$1, Data!D975,"")</f>
        <v/>
      </c>
      <c r="W983" s="134" t="str">
        <f>IF(Data!$B975='Team Parser'!$B$1, Data!H975,"")</f>
        <v/>
      </c>
      <c r="X983" s="134" t="str">
        <f>IF(Data!$B975='Team Parser'!$B$1, Data!G975,"")</f>
        <v/>
      </c>
      <c r="Y983" s="134" t="str">
        <f>IF(Data!$B975='Team Parser'!$B$1, Data!L975,"")</f>
        <v/>
      </c>
      <c r="Z983" s="134" t="str">
        <f>IF(Data!$B975='Team Parser'!$B$1, Data!K975,"")</f>
        <v/>
      </c>
      <c r="AA983" s="134" t="str">
        <f>IF(Data!$B975='Team Parser'!$B$1, Data!M975,"")</f>
        <v/>
      </c>
      <c r="AB983" s="134" t="str">
        <f>IF(Data!$B975='Team Parser'!$B$1,((Z983*2)+(Y983)+(X983*4)+(W983*2)),"")</f>
        <v/>
      </c>
      <c r="AC983" s="134" t="str">
        <f>IF(Data!$B975='Team Parser'!$B$1, Data!N975,"")</f>
        <v/>
      </c>
      <c r="AD983" s="139" t="str">
        <f>IF(Data!$B975='Team Parser'!$B$1,(AB983+(COUNTIF(AC983,"TRAVERSE")*15)+(COUNTIF(AC983,"HIGH")*10)+(COUNTIF(AC983,"MIDDLE")*6)+(COUNTIF(AC983,"LOW")*4)),"")</f>
        <v/>
      </c>
    </row>
    <row r="984">
      <c r="A984" s="141" t="s">
        <v>507</v>
      </c>
      <c r="B984" s="134"/>
      <c r="C984" s="134"/>
      <c r="D984" s="134"/>
      <c r="E984" s="134"/>
      <c r="F984" s="134"/>
      <c r="G984" s="134"/>
      <c r="H984" s="134"/>
      <c r="J984" s="134"/>
      <c r="K984" s="135"/>
      <c r="L984" s="136"/>
      <c r="M984" s="137" t="str">
        <f>IFERROR(__xludf.DUMMYFUNCTION("IFERROR((FILTER(Data!A:A,Data!D:D=A984,Data!B:B=$B$1)),"""")"),"")</f>
        <v/>
      </c>
      <c r="T984" s="52">
        <f>IFERROR(__xludf.DUMMYFUNCTION("((COUNTIF(FILTER(Data!N:N,Data!D:D=A984,Data!B:B=$B$1),""TRAVERSE"")*15)+(COUNTIF(FILTER(Data!N:N,Data!D:D=A984,Data!B:B=B$1),""HIGH"")*10)+(COUNTIF(FILTER(Data!N:N,Data!D:D=A984,Data!B:B=$B$1),""MIDDLE"")*6)+(COUNTIF(FILTER(Data!N:N,Data!D:D=A984,Data!B:"&amp;"B=$B$1),""LOW"")*4))"),0.0)</f>
        <v>0</v>
      </c>
      <c r="V984" s="138" t="str">
        <f>IF(Data!B976='Team Parser'!$B$1, Data!D976,"")</f>
        <v/>
      </c>
      <c r="W984" s="134" t="str">
        <f>IF(Data!$B976='Team Parser'!$B$1, Data!H976,"")</f>
        <v/>
      </c>
      <c r="X984" s="134" t="str">
        <f>IF(Data!$B976='Team Parser'!$B$1, Data!G976,"")</f>
        <v/>
      </c>
      <c r="Y984" s="134" t="str">
        <f>IF(Data!$B976='Team Parser'!$B$1, Data!L976,"")</f>
        <v/>
      </c>
      <c r="Z984" s="134" t="str">
        <f>IF(Data!$B976='Team Parser'!$B$1, Data!K976,"")</f>
        <v/>
      </c>
      <c r="AA984" s="134" t="str">
        <f>IF(Data!$B976='Team Parser'!$B$1, Data!M976,"")</f>
        <v/>
      </c>
      <c r="AB984" s="134" t="str">
        <f>IF(Data!$B976='Team Parser'!$B$1,((Z984*2)+(Y984)+(X984*4)+(W984*2)),"")</f>
        <v/>
      </c>
      <c r="AC984" s="134" t="str">
        <f>IF(Data!$B976='Team Parser'!$B$1, Data!N976,"")</f>
        <v/>
      </c>
      <c r="AD984" s="139" t="str">
        <f>IF(Data!$B976='Team Parser'!$B$1,(AB984+(COUNTIF(AC984,"TRAVERSE")*15)+(COUNTIF(AC984,"HIGH")*10)+(COUNTIF(AC984,"MIDDLE")*6)+(COUNTIF(AC984,"LOW")*4)),"")</f>
        <v/>
      </c>
    </row>
    <row r="985">
      <c r="A985" s="141" t="s">
        <v>507</v>
      </c>
      <c r="B985" s="134"/>
      <c r="C985" s="134"/>
      <c r="D985" s="134"/>
      <c r="E985" s="134"/>
      <c r="F985" s="134"/>
      <c r="G985" s="134"/>
      <c r="H985" s="134"/>
      <c r="J985" s="134"/>
      <c r="K985" s="135"/>
      <c r="L985" s="136"/>
      <c r="M985" s="137" t="str">
        <f>IFERROR(__xludf.DUMMYFUNCTION("IFERROR((FILTER(Data!A:A,Data!D:D=A985,Data!B:B=$B$1)),"""")"),"")</f>
        <v/>
      </c>
      <c r="T985" s="52">
        <f>IFERROR(__xludf.DUMMYFUNCTION("((COUNTIF(FILTER(Data!N:N,Data!D:D=A985,Data!B:B=$B$1),""TRAVERSE"")*15)+(COUNTIF(FILTER(Data!N:N,Data!D:D=A985,Data!B:B=B$1),""HIGH"")*10)+(COUNTIF(FILTER(Data!N:N,Data!D:D=A985,Data!B:B=$B$1),""MIDDLE"")*6)+(COUNTIF(FILTER(Data!N:N,Data!D:D=A985,Data!B:"&amp;"B=$B$1),""LOW"")*4))"),0.0)</f>
        <v>0</v>
      </c>
      <c r="V985" s="138" t="str">
        <f>IF(Data!B977='Team Parser'!$B$1, Data!D977,"")</f>
        <v/>
      </c>
      <c r="W985" s="134" t="str">
        <f>IF(Data!$B977='Team Parser'!$B$1, Data!H977,"")</f>
        <v/>
      </c>
      <c r="X985" s="134" t="str">
        <f>IF(Data!$B977='Team Parser'!$B$1, Data!G977,"")</f>
        <v/>
      </c>
      <c r="Y985" s="134" t="str">
        <f>IF(Data!$B977='Team Parser'!$B$1, Data!L977,"")</f>
        <v/>
      </c>
      <c r="Z985" s="134" t="str">
        <f>IF(Data!$B977='Team Parser'!$B$1, Data!K977,"")</f>
        <v/>
      </c>
      <c r="AA985" s="134" t="str">
        <f>IF(Data!$B977='Team Parser'!$B$1, Data!M977,"")</f>
        <v/>
      </c>
      <c r="AB985" s="134" t="str">
        <f>IF(Data!$B977='Team Parser'!$B$1,((Z985*2)+(Y985)+(X985*4)+(W985*2)),"")</f>
        <v/>
      </c>
      <c r="AC985" s="134" t="str">
        <f>IF(Data!$B977='Team Parser'!$B$1, Data!N977,"")</f>
        <v/>
      </c>
      <c r="AD985" s="139" t="str">
        <f>IF(Data!$B977='Team Parser'!$B$1,(AB985+(COUNTIF(AC985,"TRAVERSE")*15)+(COUNTIF(AC985,"HIGH")*10)+(COUNTIF(AC985,"MIDDLE")*6)+(COUNTIF(AC985,"LOW")*4)),"")</f>
        <v/>
      </c>
    </row>
    <row r="986">
      <c r="A986" s="141" t="s">
        <v>507</v>
      </c>
      <c r="B986" s="134"/>
      <c r="C986" s="134"/>
      <c r="D986" s="134"/>
      <c r="E986" s="134"/>
      <c r="F986" s="134"/>
      <c r="G986" s="134"/>
      <c r="H986" s="134"/>
      <c r="J986" s="134"/>
      <c r="K986" s="135"/>
      <c r="L986" s="136"/>
      <c r="M986" s="137" t="str">
        <f>IFERROR(__xludf.DUMMYFUNCTION("IFERROR((FILTER(Data!A:A,Data!D:D=A986,Data!B:B=$B$1)),"""")"),"")</f>
        <v/>
      </c>
      <c r="T986" s="52">
        <f>IFERROR(__xludf.DUMMYFUNCTION("((COUNTIF(FILTER(Data!N:N,Data!D:D=A986,Data!B:B=$B$1),""TRAVERSE"")*15)+(COUNTIF(FILTER(Data!N:N,Data!D:D=A986,Data!B:B=B$1),""HIGH"")*10)+(COUNTIF(FILTER(Data!N:N,Data!D:D=A986,Data!B:B=$B$1),""MIDDLE"")*6)+(COUNTIF(FILTER(Data!N:N,Data!D:D=A986,Data!B:"&amp;"B=$B$1),""LOW"")*4))"),0.0)</f>
        <v>0</v>
      </c>
      <c r="V986" s="138" t="str">
        <f>IF(Data!B978='Team Parser'!$B$1, Data!D978,"")</f>
        <v/>
      </c>
      <c r="W986" s="134" t="str">
        <f>IF(Data!$B978='Team Parser'!$B$1, Data!H978,"")</f>
        <v/>
      </c>
      <c r="X986" s="134" t="str">
        <f>IF(Data!$B978='Team Parser'!$B$1, Data!G978,"")</f>
        <v/>
      </c>
      <c r="Y986" s="134" t="str">
        <f>IF(Data!$B978='Team Parser'!$B$1, Data!L978,"")</f>
        <v/>
      </c>
      <c r="Z986" s="134" t="str">
        <f>IF(Data!$B978='Team Parser'!$B$1, Data!K978,"")</f>
        <v/>
      </c>
      <c r="AA986" s="134" t="str">
        <f>IF(Data!$B978='Team Parser'!$B$1, Data!M978,"")</f>
        <v/>
      </c>
      <c r="AB986" s="134" t="str">
        <f>IF(Data!$B978='Team Parser'!$B$1,((Z986*2)+(Y986)+(X986*4)+(W986*2)),"")</f>
        <v/>
      </c>
      <c r="AC986" s="134" t="str">
        <f>IF(Data!$B978='Team Parser'!$B$1, Data!N978,"")</f>
        <v/>
      </c>
      <c r="AD986" s="139" t="str">
        <f>IF(Data!$B978='Team Parser'!$B$1,(AB986+(COUNTIF(AC986,"TRAVERSE")*15)+(COUNTIF(AC986,"HIGH")*10)+(COUNTIF(AC986,"MIDDLE")*6)+(COUNTIF(AC986,"LOW")*4)),"")</f>
        <v/>
      </c>
    </row>
    <row r="987">
      <c r="A987" s="141" t="s">
        <v>507</v>
      </c>
      <c r="B987" s="134"/>
      <c r="C987" s="134"/>
      <c r="D987" s="134"/>
      <c r="E987" s="134"/>
      <c r="F987" s="134"/>
      <c r="G987" s="134"/>
      <c r="H987" s="134"/>
      <c r="J987" s="134"/>
      <c r="K987" s="135"/>
      <c r="L987" s="136"/>
      <c r="M987" s="137" t="str">
        <f>IFERROR(__xludf.DUMMYFUNCTION("IFERROR((FILTER(Data!A:A,Data!D:D=A987,Data!B:B=$B$1)),"""")"),"")</f>
        <v/>
      </c>
      <c r="T987" s="52">
        <f>IFERROR(__xludf.DUMMYFUNCTION("((COUNTIF(FILTER(Data!N:N,Data!D:D=A987,Data!B:B=$B$1),""TRAVERSE"")*15)+(COUNTIF(FILTER(Data!N:N,Data!D:D=A987,Data!B:B=B$1),""HIGH"")*10)+(COUNTIF(FILTER(Data!N:N,Data!D:D=A987,Data!B:B=$B$1),""MIDDLE"")*6)+(COUNTIF(FILTER(Data!N:N,Data!D:D=A987,Data!B:"&amp;"B=$B$1),""LOW"")*4))"),0.0)</f>
        <v>0</v>
      </c>
      <c r="V987" s="138" t="str">
        <f>IF(Data!B979='Team Parser'!$B$1, Data!D979,"")</f>
        <v/>
      </c>
      <c r="W987" s="134" t="str">
        <f>IF(Data!$B979='Team Parser'!$B$1, Data!H979,"")</f>
        <v/>
      </c>
      <c r="X987" s="134" t="str">
        <f>IF(Data!$B979='Team Parser'!$B$1, Data!G979,"")</f>
        <v/>
      </c>
      <c r="Y987" s="134" t="str">
        <f>IF(Data!$B979='Team Parser'!$B$1, Data!L979,"")</f>
        <v/>
      </c>
      <c r="Z987" s="134" t="str">
        <f>IF(Data!$B979='Team Parser'!$B$1, Data!K979,"")</f>
        <v/>
      </c>
      <c r="AA987" s="134" t="str">
        <f>IF(Data!$B979='Team Parser'!$B$1, Data!M979,"")</f>
        <v/>
      </c>
      <c r="AB987" s="134" t="str">
        <f>IF(Data!$B979='Team Parser'!$B$1,((Z987*2)+(Y987)+(X987*4)+(W987*2)),"")</f>
        <v/>
      </c>
      <c r="AC987" s="134" t="str">
        <f>IF(Data!$B979='Team Parser'!$B$1, Data!N979,"")</f>
        <v/>
      </c>
      <c r="AD987" s="139" t="str">
        <f>IF(Data!$B979='Team Parser'!$B$1,(AB987+(COUNTIF(AC987,"TRAVERSE")*15)+(COUNTIF(AC987,"HIGH")*10)+(COUNTIF(AC987,"MIDDLE")*6)+(COUNTIF(AC987,"LOW")*4)),"")</f>
        <v/>
      </c>
    </row>
    <row r="988">
      <c r="A988" s="141" t="s">
        <v>507</v>
      </c>
      <c r="B988" s="134"/>
      <c r="C988" s="134"/>
      <c r="D988" s="134"/>
      <c r="E988" s="134"/>
      <c r="F988" s="134"/>
      <c r="G988" s="134"/>
      <c r="H988" s="134"/>
      <c r="J988" s="134"/>
      <c r="K988" s="135"/>
      <c r="L988" s="136"/>
      <c r="M988" s="137" t="str">
        <f>IFERROR(__xludf.DUMMYFUNCTION("IFERROR((FILTER(Data!A:A,Data!D:D=A988,Data!B:B=$B$1)),"""")"),"")</f>
        <v/>
      </c>
      <c r="T988" s="52">
        <f>IFERROR(__xludf.DUMMYFUNCTION("((COUNTIF(FILTER(Data!N:N,Data!D:D=A988,Data!B:B=$B$1),""TRAVERSE"")*15)+(COUNTIF(FILTER(Data!N:N,Data!D:D=A988,Data!B:B=B$1),""HIGH"")*10)+(COUNTIF(FILTER(Data!N:N,Data!D:D=A988,Data!B:B=$B$1),""MIDDLE"")*6)+(COUNTIF(FILTER(Data!N:N,Data!D:D=A988,Data!B:"&amp;"B=$B$1),""LOW"")*4))"),0.0)</f>
        <v>0</v>
      </c>
      <c r="V988" s="138" t="str">
        <f>IF(Data!B980='Team Parser'!$B$1, Data!D980,"")</f>
        <v/>
      </c>
      <c r="W988" s="134" t="str">
        <f>IF(Data!$B980='Team Parser'!$B$1, Data!H980,"")</f>
        <v/>
      </c>
      <c r="X988" s="134" t="str">
        <f>IF(Data!$B980='Team Parser'!$B$1, Data!G980,"")</f>
        <v/>
      </c>
      <c r="Y988" s="134" t="str">
        <f>IF(Data!$B980='Team Parser'!$B$1, Data!L980,"")</f>
        <v/>
      </c>
      <c r="Z988" s="134" t="str">
        <f>IF(Data!$B980='Team Parser'!$B$1, Data!K980,"")</f>
        <v/>
      </c>
      <c r="AA988" s="134" t="str">
        <f>IF(Data!$B980='Team Parser'!$B$1, Data!M980,"")</f>
        <v/>
      </c>
      <c r="AB988" s="134" t="str">
        <f>IF(Data!$B980='Team Parser'!$B$1,((Z988*2)+(Y988)+(X988*4)+(W988*2)),"")</f>
        <v/>
      </c>
      <c r="AC988" s="134" t="str">
        <f>IF(Data!$B980='Team Parser'!$B$1, Data!N980,"")</f>
        <v/>
      </c>
      <c r="AD988" s="139" t="str">
        <f>IF(Data!$B980='Team Parser'!$B$1,(AB988+(COUNTIF(AC988,"TRAVERSE")*15)+(COUNTIF(AC988,"HIGH")*10)+(COUNTIF(AC988,"MIDDLE")*6)+(COUNTIF(AC988,"LOW")*4)),"")</f>
        <v/>
      </c>
    </row>
    <row r="989">
      <c r="A989" s="141" t="s">
        <v>507</v>
      </c>
      <c r="B989" s="134"/>
      <c r="C989" s="134"/>
      <c r="D989" s="134"/>
      <c r="E989" s="134"/>
      <c r="F989" s="134"/>
      <c r="G989" s="134"/>
      <c r="H989" s="134"/>
      <c r="J989" s="134"/>
      <c r="K989" s="135"/>
      <c r="L989" s="136"/>
      <c r="M989" s="137" t="str">
        <f>IFERROR(__xludf.DUMMYFUNCTION("IFERROR((FILTER(Data!A:A,Data!D:D=A989,Data!B:B=$B$1)),"""")"),"")</f>
        <v/>
      </c>
      <c r="T989" s="52">
        <f>IFERROR(__xludf.DUMMYFUNCTION("((COUNTIF(FILTER(Data!N:N,Data!D:D=A989,Data!B:B=$B$1),""TRAVERSE"")*15)+(COUNTIF(FILTER(Data!N:N,Data!D:D=A989,Data!B:B=B$1),""HIGH"")*10)+(COUNTIF(FILTER(Data!N:N,Data!D:D=A989,Data!B:B=$B$1),""MIDDLE"")*6)+(COUNTIF(FILTER(Data!N:N,Data!D:D=A989,Data!B:"&amp;"B=$B$1),""LOW"")*4))"),0.0)</f>
        <v>0</v>
      </c>
      <c r="V989" s="138" t="str">
        <f>IF(Data!B981='Team Parser'!$B$1, Data!D981,"")</f>
        <v/>
      </c>
      <c r="W989" s="134" t="str">
        <f>IF(Data!$B981='Team Parser'!$B$1, Data!H981,"")</f>
        <v/>
      </c>
      <c r="X989" s="134" t="str">
        <f>IF(Data!$B981='Team Parser'!$B$1, Data!G981,"")</f>
        <v/>
      </c>
      <c r="Y989" s="134" t="str">
        <f>IF(Data!$B981='Team Parser'!$B$1, Data!L981,"")</f>
        <v/>
      </c>
      <c r="Z989" s="134" t="str">
        <f>IF(Data!$B981='Team Parser'!$B$1, Data!K981,"")</f>
        <v/>
      </c>
      <c r="AA989" s="134" t="str">
        <f>IF(Data!$B981='Team Parser'!$B$1, Data!M981,"")</f>
        <v/>
      </c>
      <c r="AB989" s="134" t="str">
        <f>IF(Data!$B981='Team Parser'!$B$1,((Z989*2)+(Y989)+(X989*4)+(W989*2)),"")</f>
        <v/>
      </c>
      <c r="AC989" s="134" t="str">
        <f>IF(Data!$B981='Team Parser'!$B$1, Data!N981,"")</f>
        <v/>
      </c>
      <c r="AD989" s="139" t="str">
        <f>IF(Data!$B981='Team Parser'!$B$1,(AB989+(COUNTIF(AC989,"TRAVERSE")*15)+(COUNTIF(AC989,"HIGH")*10)+(COUNTIF(AC989,"MIDDLE")*6)+(COUNTIF(AC989,"LOW")*4)),"")</f>
        <v/>
      </c>
    </row>
    <row r="990">
      <c r="A990" s="141" t="s">
        <v>507</v>
      </c>
      <c r="B990" s="134"/>
      <c r="C990" s="134"/>
      <c r="D990" s="134"/>
      <c r="E990" s="134"/>
      <c r="F990" s="134"/>
      <c r="G990" s="134"/>
      <c r="H990" s="134"/>
      <c r="J990" s="134"/>
      <c r="K990" s="135"/>
      <c r="L990" s="136"/>
      <c r="M990" s="137" t="str">
        <f>IFERROR(__xludf.DUMMYFUNCTION("IFERROR((FILTER(Data!A:A,Data!D:D=A990,Data!B:B=$B$1)),"""")"),"")</f>
        <v/>
      </c>
      <c r="T990" s="52">
        <f>IFERROR(__xludf.DUMMYFUNCTION("((COUNTIF(FILTER(Data!N:N,Data!D:D=A990,Data!B:B=$B$1),""TRAVERSE"")*15)+(COUNTIF(FILTER(Data!N:N,Data!D:D=A990,Data!B:B=B$1),""HIGH"")*10)+(COUNTIF(FILTER(Data!N:N,Data!D:D=A990,Data!B:B=$B$1),""MIDDLE"")*6)+(COUNTIF(FILTER(Data!N:N,Data!D:D=A990,Data!B:"&amp;"B=$B$1),""LOW"")*4))"),0.0)</f>
        <v>0</v>
      </c>
      <c r="V990" s="138" t="str">
        <f>IF(Data!B982='Team Parser'!$B$1, Data!D982,"")</f>
        <v/>
      </c>
      <c r="W990" s="134" t="str">
        <f>IF(Data!$B982='Team Parser'!$B$1, Data!H982,"")</f>
        <v/>
      </c>
      <c r="X990" s="134" t="str">
        <f>IF(Data!$B982='Team Parser'!$B$1, Data!G982,"")</f>
        <v/>
      </c>
      <c r="Y990" s="134" t="str">
        <f>IF(Data!$B982='Team Parser'!$B$1, Data!L982,"")</f>
        <v/>
      </c>
      <c r="Z990" s="134" t="str">
        <f>IF(Data!$B982='Team Parser'!$B$1, Data!K982,"")</f>
        <v/>
      </c>
      <c r="AA990" s="134" t="str">
        <f>IF(Data!$B982='Team Parser'!$B$1, Data!M982,"")</f>
        <v/>
      </c>
      <c r="AB990" s="134" t="str">
        <f>IF(Data!$B982='Team Parser'!$B$1,((Z990*2)+(Y990)+(X990*4)+(W990*2)),"")</f>
        <v/>
      </c>
      <c r="AC990" s="134" t="str">
        <f>IF(Data!$B982='Team Parser'!$B$1, Data!N982,"")</f>
        <v/>
      </c>
      <c r="AD990" s="139" t="str">
        <f>IF(Data!$B982='Team Parser'!$B$1,(AB990+(COUNTIF(AC990,"TRAVERSE")*15)+(COUNTIF(AC990,"HIGH")*10)+(COUNTIF(AC990,"MIDDLE")*6)+(COUNTIF(AC990,"LOW")*4)),"")</f>
        <v/>
      </c>
    </row>
    <row r="991">
      <c r="A991" s="141" t="s">
        <v>507</v>
      </c>
      <c r="B991" s="134"/>
      <c r="C991" s="134"/>
      <c r="D991" s="134"/>
      <c r="E991" s="134"/>
      <c r="F991" s="134"/>
      <c r="G991" s="134"/>
      <c r="H991" s="134"/>
      <c r="J991" s="134"/>
      <c r="K991" s="135"/>
      <c r="L991" s="136"/>
      <c r="M991" s="137" t="str">
        <f>IFERROR(__xludf.DUMMYFUNCTION("IFERROR((FILTER(Data!A:A,Data!D:D=A991,Data!B:B=$B$1)),"""")"),"")</f>
        <v/>
      </c>
      <c r="T991" s="52">
        <f>IFERROR(__xludf.DUMMYFUNCTION("((COUNTIF(FILTER(Data!N:N,Data!D:D=A991,Data!B:B=$B$1),""TRAVERSE"")*15)+(COUNTIF(FILTER(Data!N:N,Data!D:D=A991,Data!B:B=B$1),""HIGH"")*10)+(COUNTIF(FILTER(Data!N:N,Data!D:D=A991,Data!B:B=$B$1),""MIDDLE"")*6)+(COUNTIF(FILTER(Data!N:N,Data!D:D=A991,Data!B:"&amp;"B=$B$1),""LOW"")*4))"),0.0)</f>
        <v>0</v>
      </c>
      <c r="V991" s="138" t="str">
        <f>IF(Data!B983='Team Parser'!$B$1, Data!D983,"")</f>
        <v/>
      </c>
      <c r="W991" s="134" t="str">
        <f>IF(Data!$B983='Team Parser'!$B$1, Data!H983,"")</f>
        <v/>
      </c>
      <c r="X991" s="134" t="str">
        <f>IF(Data!$B983='Team Parser'!$B$1, Data!G983,"")</f>
        <v/>
      </c>
      <c r="Y991" s="134" t="str">
        <f>IF(Data!$B983='Team Parser'!$B$1, Data!L983,"")</f>
        <v/>
      </c>
      <c r="Z991" s="134" t="str">
        <f>IF(Data!$B983='Team Parser'!$B$1, Data!K983,"")</f>
        <v/>
      </c>
      <c r="AA991" s="134" t="str">
        <f>IF(Data!$B983='Team Parser'!$B$1, Data!M983,"")</f>
        <v/>
      </c>
      <c r="AB991" s="134" t="str">
        <f>IF(Data!$B983='Team Parser'!$B$1,((Z991*2)+(Y991)+(X991*4)+(W991*2)),"")</f>
        <v/>
      </c>
      <c r="AC991" s="134" t="str">
        <f>IF(Data!$B983='Team Parser'!$B$1, Data!N983,"")</f>
        <v/>
      </c>
      <c r="AD991" s="139" t="str">
        <f>IF(Data!$B983='Team Parser'!$B$1,(AB991+(COUNTIF(AC991,"TRAVERSE")*15)+(COUNTIF(AC991,"HIGH")*10)+(COUNTIF(AC991,"MIDDLE")*6)+(COUNTIF(AC991,"LOW")*4)),"")</f>
        <v/>
      </c>
    </row>
    <row r="992">
      <c r="A992" s="141" t="s">
        <v>507</v>
      </c>
      <c r="B992" s="134"/>
      <c r="C992" s="134"/>
      <c r="D992" s="134"/>
      <c r="E992" s="134"/>
      <c r="F992" s="134"/>
      <c r="G992" s="134"/>
      <c r="H992" s="134"/>
      <c r="J992" s="134"/>
      <c r="K992" s="135"/>
      <c r="L992" s="136"/>
      <c r="M992" s="137" t="str">
        <f>IFERROR(__xludf.DUMMYFUNCTION("IFERROR((FILTER(Data!A:A,Data!D:D=A992,Data!B:B=$B$1)),"""")"),"")</f>
        <v/>
      </c>
      <c r="T992" s="52">
        <f>IFERROR(__xludf.DUMMYFUNCTION("((COUNTIF(FILTER(Data!N:N,Data!D:D=A992,Data!B:B=$B$1),""TRAVERSE"")*15)+(COUNTIF(FILTER(Data!N:N,Data!D:D=A992,Data!B:B=B$1),""HIGH"")*10)+(COUNTIF(FILTER(Data!N:N,Data!D:D=A992,Data!B:B=$B$1),""MIDDLE"")*6)+(COUNTIF(FILTER(Data!N:N,Data!D:D=A992,Data!B:"&amp;"B=$B$1),""LOW"")*4))"),0.0)</f>
        <v>0</v>
      </c>
      <c r="V992" s="138" t="str">
        <f>IF(Data!B984='Team Parser'!$B$1, Data!D984,"")</f>
        <v/>
      </c>
      <c r="W992" s="134" t="str">
        <f>IF(Data!$B984='Team Parser'!$B$1, Data!H984,"")</f>
        <v/>
      </c>
      <c r="X992" s="134" t="str">
        <f>IF(Data!$B984='Team Parser'!$B$1, Data!G984,"")</f>
        <v/>
      </c>
      <c r="Y992" s="134" t="str">
        <f>IF(Data!$B984='Team Parser'!$B$1, Data!L984,"")</f>
        <v/>
      </c>
      <c r="Z992" s="134" t="str">
        <f>IF(Data!$B984='Team Parser'!$B$1, Data!K984,"")</f>
        <v/>
      </c>
      <c r="AA992" s="134" t="str">
        <f>IF(Data!$B984='Team Parser'!$B$1, Data!M984,"")</f>
        <v/>
      </c>
      <c r="AB992" s="134" t="str">
        <f>IF(Data!$B984='Team Parser'!$B$1,((Z992*2)+(Y992)+(X992*4)+(W992*2)),"")</f>
        <v/>
      </c>
      <c r="AC992" s="134" t="str">
        <f>IF(Data!$B984='Team Parser'!$B$1, Data!N984,"")</f>
        <v/>
      </c>
      <c r="AD992" s="139" t="str">
        <f>IF(Data!$B984='Team Parser'!$B$1,(AB992+(COUNTIF(AC992,"TRAVERSE")*15)+(COUNTIF(AC992,"HIGH")*10)+(COUNTIF(AC992,"MIDDLE")*6)+(COUNTIF(AC992,"LOW")*4)),"")</f>
        <v/>
      </c>
    </row>
    <row r="993">
      <c r="A993" s="141" t="s">
        <v>507</v>
      </c>
      <c r="B993" s="134"/>
      <c r="C993" s="134"/>
      <c r="D993" s="134"/>
      <c r="E993" s="134"/>
      <c r="F993" s="134"/>
      <c r="G993" s="134"/>
      <c r="H993" s="134"/>
      <c r="J993" s="134"/>
      <c r="K993" s="135"/>
      <c r="L993" s="136"/>
      <c r="M993" s="137" t="str">
        <f>IFERROR(__xludf.DUMMYFUNCTION("IFERROR((FILTER(Data!A:A,Data!D:D=A993,Data!B:B=$B$1)),"""")"),"")</f>
        <v/>
      </c>
      <c r="T993" s="52">
        <f>IFERROR(__xludf.DUMMYFUNCTION("((COUNTIF(FILTER(Data!N:N,Data!D:D=A993,Data!B:B=$B$1),""TRAVERSE"")*15)+(COUNTIF(FILTER(Data!N:N,Data!D:D=A993,Data!B:B=B$1),""HIGH"")*10)+(COUNTIF(FILTER(Data!N:N,Data!D:D=A993,Data!B:B=$B$1),""MIDDLE"")*6)+(COUNTIF(FILTER(Data!N:N,Data!D:D=A993,Data!B:"&amp;"B=$B$1),""LOW"")*4))"),0.0)</f>
        <v>0</v>
      </c>
      <c r="V993" s="138" t="str">
        <f>IF(Data!B985='Team Parser'!$B$1, Data!D985,"")</f>
        <v/>
      </c>
      <c r="W993" s="134" t="str">
        <f>IF(Data!$B985='Team Parser'!$B$1, Data!H985,"")</f>
        <v/>
      </c>
      <c r="X993" s="134" t="str">
        <f>IF(Data!$B985='Team Parser'!$B$1, Data!G985,"")</f>
        <v/>
      </c>
      <c r="Y993" s="134" t="str">
        <f>IF(Data!$B985='Team Parser'!$B$1, Data!L985,"")</f>
        <v/>
      </c>
      <c r="Z993" s="134" t="str">
        <f>IF(Data!$B985='Team Parser'!$B$1, Data!K985,"")</f>
        <v/>
      </c>
      <c r="AA993" s="134" t="str">
        <f>IF(Data!$B985='Team Parser'!$B$1, Data!M985,"")</f>
        <v/>
      </c>
      <c r="AB993" s="134" t="str">
        <f>IF(Data!$B985='Team Parser'!$B$1,((Z993*2)+(Y993)+(X993*4)+(W993*2)),"")</f>
        <v/>
      </c>
      <c r="AC993" s="134" t="str">
        <f>IF(Data!$B985='Team Parser'!$B$1, Data!N985,"")</f>
        <v/>
      </c>
      <c r="AD993" s="139" t="str">
        <f>IF(Data!$B985='Team Parser'!$B$1,(AB993+(COUNTIF(AC993,"TRAVERSE")*15)+(COUNTIF(AC993,"HIGH")*10)+(COUNTIF(AC993,"MIDDLE")*6)+(COUNTIF(AC993,"LOW")*4)),"")</f>
        <v/>
      </c>
    </row>
    <row r="994">
      <c r="A994" s="141" t="s">
        <v>507</v>
      </c>
      <c r="B994" s="134"/>
      <c r="C994" s="134"/>
      <c r="D994" s="134"/>
      <c r="E994" s="134"/>
      <c r="F994" s="134"/>
      <c r="G994" s="134"/>
      <c r="H994" s="134"/>
      <c r="J994" s="134"/>
      <c r="K994" s="135"/>
      <c r="L994" s="136"/>
      <c r="M994" s="137" t="str">
        <f>IFERROR(__xludf.DUMMYFUNCTION("IFERROR((FILTER(Data!A:A,Data!D:D=A994,Data!B:B=$B$1)),"""")"),"")</f>
        <v/>
      </c>
      <c r="T994" s="52">
        <f>IFERROR(__xludf.DUMMYFUNCTION("((COUNTIF(FILTER(Data!N:N,Data!D:D=A994,Data!B:B=$B$1),""TRAVERSE"")*15)+(COUNTIF(FILTER(Data!N:N,Data!D:D=A994,Data!B:B=B$1),""HIGH"")*10)+(COUNTIF(FILTER(Data!N:N,Data!D:D=A994,Data!B:B=$B$1),""MIDDLE"")*6)+(COUNTIF(FILTER(Data!N:N,Data!D:D=A994,Data!B:"&amp;"B=$B$1),""LOW"")*4))"),0.0)</f>
        <v>0</v>
      </c>
      <c r="V994" s="138" t="str">
        <f>IF(Data!B986='Team Parser'!$B$1, Data!D986,"")</f>
        <v/>
      </c>
      <c r="W994" s="134" t="str">
        <f>IF(Data!$B986='Team Parser'!$B$1, Data!H986,"")</f>
        <v/>
      </c>
      <c r="X994" s="134" t="str">
        <f>IF(Data!$B986='Team Parser'!$B$1, Data!G986,"")</f>
        <v/>
      </c>
      <c r="Y994" s="134" t="str">
        <f>IF(Data!$B986='Team Parser'!$B$1, Data!L986,"")</f>
        <v/>
      </c>
      <c r="Z994" s="134" t="str">
        <f>IF(Data!$B986='Team Parser'!$B$1, Data!K986,"")</f>
        <v/>
      </c>
      <c r="AA994" s="134" t="str">
        <f>IF(Data!$B986='Team Parser'!$B$1, Data!M986,"")</f>
        <v/>
      </c>
      <c r="AB994" s="134" t="str">
        <f>IF(Data!$B986='Team Parser'!$B$1,((Z994*2)+(Y994)+(X994*4)+(W994*2)),"")</f>
        <v/>
      </c>
      <c r="AC994" s="134" t="str">
        <f>IF(Data!$B986='Team Parser'!$B$1, Data!N986,"")</f>
        <v/>
      </c>
      <c r="AD994" s="139" t="str">
        <f>IF(Data!$B986='Team Parser'!$B$1,(AB994+(COUNTIF(AC994,"TRAVERSE")*15)+(COUNTIF(AC994,"HIGH")*10)+(COUNTIF(AC994,"MIDDLE")*6)+(COUNTIF(AC994,"LOW")*4)),"")</f>
        <v/>
      </c>
    </row>
    <row r="995">
      <c r="A995" s="141" t="s">
        <v>507</v>
      </c>
      <c r="B995" s="134"/>
      <c r="C995" s="134"/>
      <c r="D995" s="134"/>
      <c r="E995" s="134"/>
      <c r="F995" s="134"/>
      <c r="G995" s="134"/>
      <c r="H995" s="134"/>
      <c r="J995" s="134"/>
      <c r="K995" s="135"/>
      <c r="L995" s="136"/>
      <c r="M995" s="137" t="str">
        <f>IFERROR(__xludf.DUMMYFUNCTION("IFERROR((FILTER(Data!A:A,Data!D:D=A995,Data!B:B=$B$1)),"""")"),"")</f>
        <v/>
      </c>
      <c r="T995" s="52">
        <f>IFERROR(__xludf.DUMMYFUNCTION("((COUNTIF(FILTER(Data!N:N,Data!D:D=A995,Data!B:B=$B$1),""TRAVERSE"")*15)+(COUNTIF(FILTER(Data!N:N,Data!D:D=A995,Data!B:B=B$1),""HIGH"")*10)+(COUNTIF(FILTER(Data!N:N,Data!D:D=A995,Data!B:B=$B$1),""MIDDLE"")*6)+(COUNTIF(FILTER(Data!N:N,Data!D:D=A995,Data!B:"&amp;"B=$B$1),""LOW"")*4))"),0.0)</f>
        <v>0</v>
      </c>
      <c r="V995" s="138" t="str">
        <f>IF(Data!B987='Team Parser'!$B$1, Data!D987,"")</f>
        <v/>
      </c>
      <c r="W995" s="134" t="str">
        <f>IF(Data!$B987='Team Parser'!$B$1, Data!H987,"")</f>
        <v/>
      </c>
      <c r="X995" s="134" t="str">
        <f>IF(Data!$B987='Team Parser'!$B$1, Data!G987,"")</f>
        <v/>
      </c>
      <c r="Y995" s="134" t="str">
        <f>IF(Data!$B987='Team Parser'!$B$1, Data!L987,"")</f>
        <v/>
      </c>
      <c r="Z995" s="134" t="str">
        <f>IF(Data!$B987='Team Parser'!$B$1, Data!K987,"")</f>
        <v/>
      </c>
      <c r="AA995" s="134" t="str">
        <f>IF(Data!$B987='Team Parser'!$B$1, Data!M987,"")</f>
        <v/>
      </c>
      <c r="AB995" s="134" t="str">
        <f>IF(Data!$B987='Team Parser'!$B$1,((Z995*2)+(Y995)+(X995*4)+(W995*2)),"")</f>
        <v/>
      </c>
      <c r="AC995" s="134" t="str">
        <f>IF(Data!$B987='Team Parser'!$B$1, Data!N987,"")</f>
        <v/>
      </c>
      <c r="AD995" s="139" t="str">
        <f>IF(Data!$B987='Team Parser'!$B$1,(AB995+(COUNTIF(AC995,"TRAVERSE")*15)+(COUNTIF(AC995,"HIGH")*10)+(COUNTIF(AC995,"MIDDLE")*6)+(COUNTIF(AC995,"LOW")*4)),"")</f>
        <v/>
      </c>
    </row>
    <row r="996">
      <c r="A996" s="141" t="s">
        <v>507</v>
      </c>
      <c r="B996" s="134"/>
      <c r="C996" s="134"/>
      <c r="D996" s="134"/>
      <c r="E996" s="134"/>
      <c r="F996" s="134"/>
      <c r="G996" s="134"/>
      <c r="H996" s="134"/>
      <c r="J996" s="134"/>
      <c r="K996" s="135"/>
      <c r="L996" s="136"/>
      <c r="M996" s="137" t="str">
        <f>IFERROR(__xludf.DUMMYFUNCTION("IFERROR((FILTER(Data!A:A,Data!D:D=A996,Data!B:B=$B$1)),"""")"),"")</f>
        <v/>
      </c>
      <c r="T996" s="52">
        <f>IFERROR(__xludf.DUMMYFUNCTION("((COUNTIF(FILTER(Data!N:N,Data!D:D=A996,Data!B:B=$B$1),""TRAVERSE"")*15)+(COUNTIF(FILTER(Data!N:N,Data!D:D=A996,Data!B:B=B$1),""HIGH"")*10)+(COUNTIF(FILTER(Data!N:N,Data!D:D=A996,Data!B:B=$B$1),""MIDDLE"")*6)+(COUNTIF(FILTER(Data!N:N,Data!D:D=A996,Data!B:"&amp;"B=$B$1),""LOW"")*4))"),0.0)</f>
        <v>0</v>
      </c>
      <c r="V996" s="138" t="str">
        <f>IF(Data!B988='Team Parser'!$B$1, Data!D988,"")</f>
        <v/>
      </c>
      <c r="W996" s="134" t="str">
        <f>IF(Data!$B988='Team Parser'!$B$1, Data!H988,"")</f>
        <v/>
      </c>
      <c r="X996" s="134" t="str">
        <f>IF(Data!$B988='Team Parser'!$B$1, Data!G988,"")</f>
        <v/>
      </c>
      <c r="Y996" s="134" t="str">
        <f>IF(Data!$B988='Team Parser'!$B$1, Data!L988,"")</f>
        <v/>
      </c>
      <c r="Z996" s="134" t="str">
        <f>IF(Data!$B988='Team Parser'!$B$1, Data!K988,"")</f>
        <v/>
      </c>
      <c r="AA996" s="134" t="str">
        <f>IF(Data!$B988='Team Parser'!$B$1, Data!M988,"")</f>
        <v/>
      </c>
      <c r="AB996" s="134" t="str">
        <f>IF(Data!$B988='Team Parser'!$B$1,((Z996*2)+(Y996)+(X996*4)+(W996*2)),"")</f>
        <v/>
      </c>
      <c r="AC996" s="134" t="str">
        <f>IF(Data!$B988='Team Parser'!$B$1, Data!N988,"")</f>
        <v/>
      </c>
      <c r="AD996" s="139" t="str">
        <f>IF(Data!$B988='Team Parser'!$B$1,(AB996+(COUNTIF(AC996,"TRAVERSE")*15)+(COUNTIF(AC996,"HIGH")*10)+(COUNTIF(AC996,"MIDDLE")*6)+(COUNTIF(AC996,"LOW")*4)),"")</f>
        <v/>
      </c>
    </row>
    <row r="997">
      <c r="A997" s="141" t="s">
        <v>507</v>
      </c>
      <c r="B997" s="134"/>
      <c r="C997" s="134"/>
      <c r="D997" s="134"/>
      <c r="E997" s="134"/>
      <c r="F997" s="134"/>
      <c r="G997" s="134"/>
      <c r="H997" s="134"/>
      <c r="J997" s="134"/>
      <c r="K997" s="135"/>
      <c r="L997" s="136"/>
      <c r="M997" s="137" t="str">
        <f>IFERROR(__xludf.DUMMYFUNCTION("IFERROR((FILTER(Data!A:A,Data!D:D=A997,Data!B:B=$B$1)),"""")"),"")</f>
        <v/>
      </c>
      <c r="T997" s="52">
        <f>IFERROR(__xludf.DUMMYFUNCTION("((COUNTIF(FILTER(Data!N:N,Data!D:D=A997,Data!B:B=$B$1),""TRAVERSE"")*15)+(COUNTIF(FILTER(Data!N:N,Data!D:D=A997,Data!B:B=B$1),""HIGH"")*10)+(COUNTIF(FILTER(Data!N:N,Data!D:D=A997,Data!B:B=$B$1),""MIDDLE"")*6)+(COUNTIF(FILTER(Data!N:N,Data!D:D=A997,Data!B:"&amp;"B=$B$1),""LOW"")*4))"),0.0)</f>
        <v>0</v>
      </c>
      <c r="V997" s="138" t="str">
        <f>IF(Data!B989='Team Parser'!$B$1, Data!D989,"")</f>
        <v/>
      </c>
      <c r="W997" s="134" t="str">
        <f>IF(Data!$B989='Team Parser'!$B$1, Data!H989,"")</f>
        <v/>
      </c>
      <c r="X997" s="134" t="str">
        <f>IF(Data!$B989='Team Parser'!$B$1, Data!G989,"")</f>
        <v/>
      </c>
      <c r="Y997" s="134" t="str">
        <f>IF(Data!$B989='Team Parser'!$B$1, Data!L989,"")</f>
        <v/>
      </c>
      <c r="Z997" s="134" t="str">
        <f>IF(Data!$B989='Team Parser'!$B$1, Data!K989,"")</f>
        <v/>
      </c>
      <c r="AA997" s="134" t="str">
        <f>IF(Data!$B989='Team Parser'!$B$1, Data!M989,"")</f>
        <v/>
      </c>
      <c r="AB997" s="134" t="str">
        <f>IF(Data!$B989='Team Parser'!$B$1,((Z997*2)+(Y997)+(X997*4)+(W997*2)),"")</f>
        <v/>
      </c>
      <c r="AC997" s="134" t="str">
        <f>IF(Data!$B989='Team Parser'!$B$1, Data!N989,"")</f>
        <v/>
      </c>
      <c r="AD997" s="139" t="str">
        <f>IF(Data!$B989='Team Parser'!$B$1,(AB997+(COUNTIF(AC997,"TRAVERSE")*15)+(COUNTIF(AC997,"HIGH")*10)+(COUNTIF(AC997,"MIDDLE")*6)+(COUNTIF(AC997,"LOW")*4)),"")</f>
        <v/>
      </c>
    </row>
    <row r="998">
      <c r="A998" s="141" t="s">
        <v>507</v>
      </c>
      <c r="B998" s="134"/>
      <c r="C998" s="134"/>
      <c r="D998" s="134"/>
      <c r="E998" s="134"/>
      <c r="F998" s="134"/>
      <c r="G998" s="134"/>
      <c r="H998" s="134"/>
      <c r="J998" s="134"/>
      <c r="K998" s="135"/>
      <c r="L998" s="136"/>
      <c r="M998" s="137" t="str">
        <f>IFERROR(__xludf.DUMMYFUNCTION("IFERROR((FILTER(Data!A:A,Data!D:D=A998,Data!B:B=$B$1)),"""")"),"")</f>
        <v/>
      </c>
      <c r="T998" s="52">
        <f>IFERROR(__xludf.DUMMYFUNCTION("((COUNTIF(FILTER(Data!N:N,Data!D:D=A998,Data!B:B=$B$1),""TRAVERSE"")*15)+(COUNTIF(FILTER(Data!N:N,Data!D:D=A998,Data!B:B=B$1),""HIGH"")*10)+(COUNTIF(FILTER(Data!N:N,Data!D:D=A998,Data!B:B=$B$1),""MIDDLE"")*6)+(COUNTIF(FILTER(Data!N:N,Data!D:D=A998,Data!B:"&amp;"B=$B$1),""LOW"")*4))"),0.0)</f>
        <v>0</v>
      </c>
      <c r="V998" s="138" t="str">
        <f>IF(Data!B990='Team Parser'!$B$1, Data!D990,"")</f>
        <v/>
      </c>
      <c r="W998" s="134" t="str">
        <f>IF(Data!$B990='Team Parser'!$B$1, Data!H990,"")</f>
        <v/>
      </c>
      <c r="X998" s="134" t="str">
        <f>IF(Data!$B990='Team Parser'!$B$1, Data!G990,"")</f>
        <v/>
      </c>
      <c r="Y998" s="134" t="str">
        <f>IF(Data!$B990='Team Parser'!$B$1, Data!L990,"")</f>
        <v/>
      </c>
      <c r="Z998" s="134" t="str">
        <f>IF(Data!$B990='Team Parser'!$B$1, Data!K990,"")</f>
        <v/>
      </c>
      <c r="AA998" s="134" t="str">
        <f>IF(Data!$B990='Team Parser'!$B$1, Data!M990,"")</f>
        <v/>
      </c>
      <c r="AB998" s="134" t="str">
        <f>IF(Data!$B990='Team Parser'!$B$1,((Z998*2)+(Y998)+(X998*4)+(W998*2)),"")</f>
        <v/>
      </c>
      <c r="AC998" s="134" t="str">
        <f>IF(Data!$B990='Team Parser'!$B$1, Data!N990,"")</f>
        <v/>
      </c>
      <c r="AD998" s="139" t="str">
        <f>IF(Data!$B990='Team Parser'!$B$1,(AB998+(COUNTIF(AC998,"TRAVERSE")*15)+(COUNTIF(AC998,"HIGH")*10)+(COUNTIF(AC998,"MIDDLE")*6)+(COUNTIF(AC998,"LOW")*4)),"")</f>
        <v/>
      </c>
    </row>
    <row r="999">
      <c r="A999" s="141" t="s">
        <v>507</v>
      </c>
      <c r="B999" s="134"/>
      <c r="C999" s="134"/>
      <c r="D999" s="134"/>
      <c r="E999" s="134"/>
      <c r="F999" s="134"/>
      <c r="G999" s="134"/>
      <c r="H999" s="134"/>
      <c r="J999" s="134"/>
      <c r="K999" s="135"/>
      <c r="L999" s="136"/>
      <c r="M999" s="137" t="str">
        <f>IFERROR(__xludf.DUMMYFUNCTION("IFERROR((FILTER(Data!A:A,Data!D:D=A999,Data!B:B=$B$1)),"""")"),"")</f>
        <v/>
      </c>
      <c r="T999" s="52">
        <f>IFERROR(__xludf.DUMMYFUNCTION("((COUNTIF(FILTER(Data!N:N,Data!D:D=A999,Data!B:B=$B$1),""TRAVERSE"")*15)+(COUNTIF(FILTER(Data!N:N,Data!D:D=A999,Data!B:B=B$1),""HIGH"")*10)+(COUNTIF(FILTER(Data!N:N,Data!D:D=A999,Data!B:B=$B$1),""MIDDLE"")*6)+(COUNTIF(FILTER(Data!N:N,Data!D:D=A999,Data!B:"&amp;"B=$B$1),""LOW"")*4))"),0.0)</f>
        <v>0</v>
      </c>
      <c r="V999" s="138" t="str">
        <f>IF(Data!B991='Team Parser'!$B$1, Data!D991,"")</f>
        <v/>
      </c>
      <c r="W999" s="134" t="str">
        <f>IF(Data!$B991='Team Parser'!$B$1, Data!H991,"")</f>
        <v/>
      </c>
      <c r="X999" s="134" t="str">
        <f>IF(Data!$B991='Team Parser'!$B$1, Data!G991,"")</f>
        <v/>
      </c>
      <c r="Y999" s="134" t="str">
        <f>IF(Data!$B991='Team Parser'!$B$1, Data!L991,"")</f>
        <v/>
      </c>
      <c r="Z999" s="134" t="str">
        <f>IF(Data!$B991='Team Parser'!$B$1, Data!K991,"")</f>
        <v/>
      </c>
      <c r="AA999" s="134" t="str">
        <f>IF(Data!$B991='Team Parser'!$B$1, Data!M991,"")</f>
        <v/>
      </c>
      <c r="AB999" s="134" t="str">
        <f>IF(Data!$B991='Team Parser'!$B$1,((Z999*2)+(Y999)+(X999*4)+(W999*2)),"")</f>
        <v/>
      </c>
      <c r="AC999" s="134" t="str">
        <f>IF(Data!$B991='Team Parser'!$B$1, Data!N991,"")</f>
        <v/>
      </c>
      <c r="AD999" s="139" t="str">
        <f>IF(Data!$B991='Team Parser'!$B$1,(AB999+(COUNTIF(AC999,"TRAVERSE")*15)+(COUNTIF(AC999,"HIGH")*10)+(COUNTIF(AC999,"MIDDLE")*6)+(COUNTIF(AC999,"LOW")*4)),"")</f>
        <v/>
      </c>
    </row>
    <row r="1000">
      <c r="A1000" s="142" t="s">
        <v>507</v>
      </c>
      <c r="B1000" s="134"/>
      <c r="C1000" s="134"/>
      <c r="D1000" s="134"/>
      <c r="E1000" s="134"/>
      <c r="F1000" s="134"/>
      <c r="G1000" s="134"/>
      <c r="H1000" s="134"/>
      <c r="J1000" s="134"/>
      <c r="K1000" s="135"/>
      <c r="L1000" s="136"/>
      <c r="M1000" s="137" t="str">
        <f>IFERROR(__xludf.DUMMYFUNCTION("IFERROR((FILTER(Data!A:A,Data!D:D=A1000,Data!B:B=$B$1)),"""")"),"")</f>
        <v/>
      </c>
      <c r="T1000" s="52">
        <f>IFERROR(__xludf.DUMMYFUNCTION("((COUNTIF(FILTER(Data!N:N,Data!D:D=A1000,Data!B:B=$B$1),""TRAVERSE"")*15)+(COUNTIF(FILTER(Data!N:N,Data!D:D=A1000,Data!B:B=B$1),""HIGH"")*10)+(COUNTIF(FILTER(Data!N:N,Data!D:D=A1000,Data!B:B=$B$1),""MIDDLE"")*6)+(COUNTIF(FILTER(Data!N:N,Data!D:D=A1000,Dat"&amp;"a!B:B=$B$1),""LOW"")*4))"),0.0)</f>
        <v>0</v>
      </c>
      <c r="V1000" s="138" t="str">
        <f>IF(Data!B992='Team Parser'!$B$1, Data!D992,"")</f>
        <v/>
      </c>
      <c r="W1000" s="134" t="str">
        <f>IF(Data!$B992='Team Parser'!$B$1, Data!H992,"")</f>
        <v/>
      </c>
      <c r="X1000" s="134" t="str">
        <f>IF(Data!$B992='Team Parser'!$B$1, Data!G992,"")</f>
        <v/>
      </c>
      <c r="Y1000" s="134" t="str">
        <f>IF(Data!$B992='Team Parser'!$B$1, Data!L992,"")</f>
        <v/>
      </c>
      <c r="Z1000" s="134" t="str">
        <f>IF(Data!$B992='Team Parser'!$B$1, Data!K992,"")</f>
        <v/>
      </c>
      <c r="AA1000" s="134" t="str">
        <f>IF(Data!$B992='Team Parser'!$B$1, Data!M992,"")</f>
        <v/>
      </c>
      <c r="AB1000" s="134" t="str">
        <f>IF(Data!$B992='Team Parser'!$B$1,((Z1000*2)+(Y1000)+(X1000*4)+(W1000*2)),"")</f>
        <v/>
      </c>
      <c r="AC1000" s="134" t="str">
        <f>IF(Data!$B992='Team Parser'!$B$1, Data!N992,"")</f>
        <v/>
      </c>
      <c r="AD1000" s="139" t="str">
        <f>IF(Data!$B992='Team Parser'!$B$1,(AB1000+(COUNTIF(AC1000,"TRAVERSE")*15)+(COUNTIF(AC1000,"HIGH")*10)+(COUNTIF(AC1000,"MIDDLE")*6)+(COUNTIF(AC1000,"LOW")*4)),"")</f>
        <v/>
      </c>
    </row>
    <row r="1001">
      <c r="A1001" s="143" t="s">
        <v>507</v>
      </c>
      <c r="B1001" s="134"/>
      <c r="C1001" s="134"/>
      <c r="D1001" s="134"/>
      <c r="E1001" s="134"/>
      <c r="F1001" s="134"/>
      <c r="G1001" s="134"/>
      <c r="H1001" s="134"/>
      <c r="J1001" s="134"/>
      <c r="K1001" s="135"/>
      <c r="L1001" s="136"/>
      <c r="M1001" s="137" t="str">
        <f>IFERROR(__xludf.DUMMYFUNCTION("IFERROR((FILTER(Data!A:A,Data!D:D=A1001,Data!B:B=$B$1)),"""")"),"")</f>
        <v/>
      </c>
      <c r="T1001" s="52">
        <f>IFERROR(__xludf.DUMMYFUNCTION("((COUNTIF(FILTER(Data!N:N,Data!D:D=A1001,Data!B:B=$B$1),""TRAVERSE"")*15)+(COUNTIF(FILTER(Data!N:N,Data!D:D=A1001,Data!B:B=B$1),""HIGH"")*10)+(COUNTIF(FILTER(Data!N:N,Data!D:D=A1001,Data!B:B=$B$1),""MIDDLE"")*6)+(COUNTIF(FILTER(Data!N:N,Data!D:D=A1001,Dat"&amp;"a!B:B=$B$1),""LOW"")*4))"),0.0)</f>
        <v>0</v>
      </c>
      <c r="V1001" s="138" t="str">
        <f>IF(Data!B993='Team Parser'!$B$1, Data!D993,"")</f>
        <v/>
      </c>
      <c r="W1001" s="134" t="str">
        <f>IF(Data!$B993='Team Parser'!$B$1, Data!H993,"")</f>
        <v/>
      </c>
      <c r="X1001" s="134" t="str">
        <f>IF(Data!$B993='Team Parser'!$B$1, Data!G993,"")</f>
        <v/>
      </c>
      <c r="Y1001" s="134" t="str">
        <f>IF(Data!$B993='Team Parser'!$B$1, Data!L993,"")</f>
        <v/>
      </c>
      <c r="Z1001" s="134" t="str">
        <f>IF(Data!$B993='Team Parser'!$B$1, Data!K993,"")</f>
        <v/>
      </c>
      <c r="AA1001" s="134" t="str">
        <f>IF(Data!$B993='Team Parser'!$B$1, Data!M993,"")</f>
        <v/>
      </c>
      <c r="AB1001" s="134" t="str">
        <f>IF(Data!$B993='Team Parser'!$B$1,((Z1001*2)+(Y1001)+(X1001*4)+(W1001*2)),"")</f>
        <v/>
      </c>
      <c r="AC1001" s="134" t="str">
        <f>IF(Data!$B993='Team Parser'!$B$1, Data!N993,"")</f>
        <v/>
      </c>
      <c r="AD1001" s="139" t="str">
        <f>IF(Data!$B993='Team Parser'!$B$1,(AB1001+(COUNTIF(AC1001,"TRAVERSE")*15)+(COUNTIF(AC1001,"HIGH")*10)+(COUNTIF(AC1001,"MIDDLE")*6)+(COUNTIF(AC1001,"LOW")*4)),"")</f>
        <v/>
      </c>
    </row>
    <row r="1002">
      <c r="A1002" s="143" t="s">
        <v>507</v>
      </c>
      <c r="B1002" s="134"/>
      <c r="C1002" s="134"/>
      <c r="D1002" s="134"/>
      <c r="E1002" s="134"/>
      <c r="F1002" s="134"/>
      <c r="G1002" s="134"/>
      <c r="H1002" s="134"/>
      <c r="J1002" s="134"/>
      <c r="K1002" s="135"/>
      <c r="L1002" s="136"/>
      <c r="M1002" s="137" t="str">
        <f>IFERROR(__xludf.DUMMYFUNCTION("IFERROR((FILTER(Data!A:A,Data!D:D=A1002,Data!B:B=$B$1)),"""")"),"")</f>
        <v/>
      </c>
      <c r="T1002" s="52">
        <f>IFERROR(__xludf.DUMMYFUNCTION("((COUNTIF(FILTER(Data!N:N,Data!D:D=A1002,Data!B:B=$B$1),""TRAVERSE"")*15)+(COUNTIF(FILTER(Data!N:N,Data!D:D=A1002,Data!B:B=B$1),""HIGH"")*10)+(COUNTIF(FILTER(Data!N:N,Data!D:D=A1002,Data!B:B=$B$1),""MIDDLE"")*6)+(COUNTIF(FILTER(Data!N:N,Data!D:D=A1002,Dat"&amp;"a!B:B=$B$1),""LOW"")*4))"),0.0)</f>
        <v>0</v>
      </c>
      <c r="V1002" s="138" t="str">
        <f>IF(Data!B994='Team Parser'!$B$1, Data!D994,"")</f>
        <v/>
      </c>
      <c r="W1002" s="134" t="str">
        <f>IF(Data!$B994='Team Parser'!$B$1, Data!H994,"")</f>
        <v/>
      </c>
      <c r="X1002" s="134" t="str">
        <f>IF(Data!$B994='Team Parser'!$B$1, Data!G994,"")</f>
        <v/>
      </c>
      <c r="Y1002" s="134" t="str">
        <f>IF(Data!$B994='Team Parser'!$B$1, Data!L994,"")</f>
        <v/>
      </c>
      <c r="Z1002" s="134" t="str">
        <f>IF(Data!$B994='Team Parser'!$B$1, Data!K994,"")</f>
        <v/>
      </c>
      <c r="AA1002" s="134" t="str">
        <f>IF(Data!$B994='Team Parser'!$B$1, Data!M994,"")</f>
        <v/>
      </c>
      <c r="AB1002" s="134" t="str">
        <f>IF(Data!$B994='Team Parser'!$B$1,((Z1002*2)+(Y1002)+(X1002*4)+(W1002*2)),"")</f>
        <v/>
      </c>
      <c r="AC1002" s="134" t="str">
        <f>IF(Data!$B994='Team Parser'!$B$1, Data!N994,"")</f>
        <v/>
      </c>
      <c r="AD1002" s="139" t="str">
        <f>IF(Data!$B994='Team Parser'!$B$1,(AB1002+(COUNTIF(AC1002,"TRAVERSE")*15)+(COUNTIF(AC1002,"HIGH")*10)+(COUNTIF(AC1002,"MIDDLE")*6)+(COUNTIF(AC1002,"LOW")*4)),"")</f>
        <v/>
      </c>
    </row>
    <row r="1003">
      <c r="A1003" s="143" t="s">
        <v>507</v>
      </c>
      <c r="B1003" s="134"/>
      <c r="C1003" s="134"/>
      <c r="D1003" s="134"/>
      <c r="E1003" s="134"/>
      <c r="F1003" s="134"/>
      <c r="G1003" s="134"/>
      <c r="H1003" s="134"/>
      <c r="J1003" s="134"/>
      <c r="K1003" s="135"/>
      <c r="L1003" s="136"/>
      <c r="M1003" s="137" t="str">
        <f>IFERROR(__xludf.DUMMYFUNCTION("IFERROR((FILTER(Data!A:A,Data!D:D=A1003,Data!B:B=$B$1)),"""")"),"")</f>
        <v/>
      </c>
      <c r="T1003" s="52">
        <f>IFERROR(__xludf.DUMMYFUNCTION("((COUNTIF(FILTER(Data!N:N,Data!D:D=A1003,Data!B:B=$B$1),""TRAVERSE"")*15)+(COUNTIF(FILTER(Data!N:N,Data!D:D=A1003,Data!B:B=B$1),""HIGH"")*10)+(COUNTIF(FILTER(Data!N:N,Data!D:D=A1003,Data!B:B=$B$1),""MIDDLE"")*6)+(COUNTIF(FILTER(Data!N:N,Data!D:D=A1003,Dat"&amp;"a!B:B=$B$1),""LOW"")*4))"),0.0)</f>
        <v>0</v>
      </c>
      <c r="V1003" s="138" t="str">
        <f>IF(Data!B995='Team Parser'!$B$1, Data!D995,"")</f>
        <v/>
      </c>
      <c r="W1003" s="134" t="str">
        <f>IF(Data!$B995='Team Parser'!$B$1, Data!H995,"")</f>
        <v/>
      </c>
      <c r="X1003" s="134" t="str">
        <f>IF(Data!$B995='Team Parser'!$B$1, Data!G995,"")</f>
        <v/>
      </c>
      <c r="Y1003" s="134" t="str">
        <f>IF(Data!$B995='Team Parser'!$B$1, Data!L995,"")</f>
        <v/>
      </c>
      <c r="Z1003" s="134" t="str">
        <f>IF(Data!$B995='Team Parser'!$B$1, Data!K995,"")</f>
        <v/>
      </c>
      <c r="AA1003" s="134" t="str">
        <f>IF(Data!$B995='Team Parser'!$B$1, Data!M995,"")</f>
        <v/>
      </c>
      <c r="AB1003" s="134" t="str">
        <f>IF(Data!$B995='Team Parser'!$B$1,((Z1003*2)+(Y1003)+(X1003*4)+(W1003*2)),"")</f>
        <v/>
      </c>
      <c r="AC1003" s="134" t="str">
        <f>IF(Data!$B995='Team Parser'!$B$1, Data!N995,"")</f>
        <v/>
      </c>
      <c r="AD1003" s="139" t="str">
        <f>IF(Data!$B995='Team Parser'!$B$1,(AB1003+(COUNTIF(AC1003,"TRAVERSE")*15)+(COUNTIF(AC1003,"HIGH")*10)+(COUNTIF(AC1003,"MIDDLE")*6)+(COUNTIF(AC1003,"LOW")*4)),"")</f>
        <v/>
      </c>
    </row>
    <row r="1004">
      <c r="A1004" s="143" t="s">
        <v>507</v>
      </c>
      <c r="B1004" s="134"/>
      <c r="C1004" s="134"/>
      <c r="D1004" s="134"/>
      <c r="E1004" s="134"/>
      <c r="F1004" s="134"/>
      <c r="G1004" s="134"/>
      <c r="H1004" s="134"/>
      <c r="J1004" s="134"/>
      <c r="K1004" s="135"/>
      <c r="L1004" s="136"/>
      <c r="M1004" s="137" t="str">
        <f>IFERROR(__xludf.DUMMYFUNCTION("IFERROR((FILTER(Data!A:A,Data!D:D=A1004,Data!B:B=$B$1)),"""")"),"")</f>
        <v/>
      </c>
      <c r="T1004" s="52">
        <f>IFERROR(__xludf.DUMMYFUNCTION("((COUNTIF(FILTER(Data!N:N,Data!D:D=A1004,Data!B:B=$B$1),""TRAVERSE"")*15)+(COUNTIF(FILTER(Data!N:N,Data!D:D=A1004,Data!B:B=B$1),""HIGH"")*10)+(COUNTIF(FILTER(Data!N:N,Data!D:D=A1004,Data!B:B=$B$1),""MIDDLE"")*6)+(COUNTIF(FILTER(Data!N:N,Data!D:D=A1004,Dat"&amp;"a!B:B=$B$1),""LOW"")*4))"),0.0)</f>
        <v>0</v>
      </c>
      <c r="V1004" s="138" t="str">
        <f>IF(Data!B996='Team Parser'!$B$1, Data!D996,"")</f>
        <v/>
      </c>
      <c r="W1004" s="134" t="str">
        <f>IF(Data!$B996='Team Parser'!$B$1, Data!H996,"")</f>
        <v/>
      </c>
      <c r="X1004" s="134" t="str">
        <f>IF(Data!$B996='Team Parser'!$B$1, Data!G996,"")</f>
        <v/>
      </c>
      <c r="Y1004" s="134" t="str">
        <f>IF(Data!$B996='Team Parser'!$B$1, Data!L996,"")</f>
        <v/>
      </c>
      <c r="Z1004" s="134" t="str">
        <f>IF(Data!$B996='Team Parser'!$B$1, Data!K996,"")</f>
        <v/>
      </c>
      <c r="AA1004" s="134" t="str">
        <f>IF(Data!$B996='Team Parser'!$B$1, Data!M996,"")</f>
        <v/>
      </c>
      <c r="AB1004" s="134" t="str">
        <f>IF(Data!$B996='Team Parser'!$B$1,((Z1004*2)+(Y1004)+(X1004*4)+(W1004*2)),"")</f>
        <v/>
      </c>
      <c r="AC1004" s="134" t="str">
        <f>IF(Data!$B996='Team Parser'!$B$1, Data!N996,"")</f>
        <v/>
      </c>
      <c r="AD1004" s="139" t="str">
        <f>IF(Data!$B996='Team Parser'!$B$1,(AB1004+(COUNTIF(AC1004,"TRAVERSE")*15)+(COUNTIF(AC1004,"HIGH")*10)+(COUNTIF(AC1004,"MIDDLE")*6)+(COUNTIF(AC1004,"LOW")*4)),"")</f>
        <v/>
      </c>
    </row>
    <row r="1005">
      <c r="A1005" s="143" t="s">
        <v>507</v>
      </c>
      <c r="B1005" s="134"/>
      <c r="C1005" s="134"/>
      <c r="D1005" s="134"/>
      <c r="E1005" s="134"/>
      <c r="F1005" s="134"/>
      <c r="G1005" s="134"/>
      <c r="H1005" s="134"/>
      <c r="J1005" s="134"/>
      <c r="K1005" s="135"/>
      <c r="L1005" s="136"/>
      <c r="M1005" s="137" t="str">
        <f>IFERROR(__xludf.DUMMYFUNCTION("IFERROR((FILTER(Data!A:A,Data!D:D=A1005,Data!B:B=$B$1)),"""")"),"")</f>
        <v/>
      </c>
      <c r="T1005" s="52">
        <f>IFERROR(__xludf.DUMMYFUNCTION("((COUNTIF(FILTER(Data!N:N,Data!D:D=A1005,Data!B:B=$B$1),""TRAVERSE"")*15)+(COUNTIF(FILTER(Data!N:N,Data!D:D=A1005,Data!B:B=B$1),""HIGH"")*10)+(COUNTIF(FILTER(Data!N:N,Data!D:D=A1005,Data!B:B=$B$1),""MIDDLE"")*6)+(COUNTIF(FILTER(Data!N:N,Data!D:D=A1005,Dat"&amp;"a!B:B=$B$1),""LOW"")*4))"),0.0)</f>
        <v>0</v>
      </c>
      <c r="V1005" s="138" t="str">
        <f>IF(Data!B997='Team Parser'!$B$1, Data!D997,"")</f>
        <v/>
      </c>
      <c r="W1005" s="134" t="str">
        <f>IF(Data!$B997='Team Parser'!$B$1, Data!H997,"")</f>
        <v/>
      </c>
      <c r="X1005" s="134" t="str">
        <f>IF(Data!$B997='Team Parser'!$B$1, Data!G997,"")</f>
        <v/>
      </c>
      <c r="Y1005" s="134" t="str">
        <f>IF(Data!$B997='Team Parser'!$B$1, Data!L997,"")</f>
        <v/>
      </c>
      <c r="Z1005" s="134" t="str">
        <f>IF(Data!$B997='Team Parser'!$B$1, Data!K997,"")</f>
        <v/>
      </c>
      <c r="AA1005" s="134" t="str">
        <f>IF(Data!$B997='Team Parser'!$B$1, Data!M997,"")</f>
        <v/>
      </c>
      <c r="AB1005" s="134" t="str">
        <f>IF(Data!$B997='Team Parser'!$B$1,((Z1005*2)+(Y1005)+(X1005*4)+(W1005*2)),"")</f>
        <v/>
      </c>
      <c r="AC1005" s="134" t="str">
        <f>IF(Data!$B997='Team Parser'!$B$1, Data!N997,"")</f>
        <v/>
      </c>
      <c r="AD1005" s="139" t="str">
        <f>IF(Data!$B997='Team Parser'!$B$1,(AB1005+(COUNTIF(AC1005,"TRAVERSE")*15)+(COUNTIF(AC1005,"HIGH")*10)+(COUNTIF(AC1005,"MIDDLE")*6)+(COUNTIF(AC1005,"LOW")*4)),"")</f>
        <v/>
      </c>
    </row>
    <row r="1006">
      <c r="A1006" s="143" t="s">
        <v>507</v>
      </c>
      <c r="B1006" s="134"/>
      <c r="C1006" s="134"/>
      <c r="D1006" s="134"/>
      <c r="E1006" s="134"/>
      <c r="F1006" s="134"/>
      <c r="G1006" s="134"/>
      <c r="H1006" s="134"/>
      <c r="J1006" s="134"/>
      <c r="K1006" s="135"/>
      <c r="L1006" s="136"/>
      <c r="M1006" s="137" t="str">
        <f>IFERROR(__xludf.DUMMYFUNCTION("IFERROR((FILTER(Data!A:A,Data!D:D=A1006,Data!B:B=$B$1)),"""")"),"")</f>
        <v/>
      </c>
      <c r="T1006" s="52">
        <f>IFERROR(__xludf.DUMMYFUNCTION("((COUNTIF(FILTER(Data!N:N,Data!D:D=A1006,Data!B:B=$B$1),""TRAVERSE"")*15)+(COUNTIF(FILTER(Data!N:N,Data!D:D=A1006,Data!B:B=B$1),""HIGH"")*10)+(COUNTIF(FILTER(Data!N:N,Data!D:D=A1006,Data!B:B=$B$1),""MIDDLE"")*6)+(COUNTIF(FILTER(Data!N:N,Data!D:D=A1006,Dat"&amp;"a!B:B=$B$1),""LOW"")*4))"),0.0)</f>
        <v>0</v>
      </c>
      <c r="V1006" s="138" t="str">
        <f>IF(Data!B998='Team Parser'!$B$1, Data!D998,"")</f>
        <v/>
      </c>
      <c r="W1006" s="134" t="str">
        <f>IF(Data!$B998='Team Parser'!$B$1, Data!H998,"")</f>
        <v/>
      </c>
      <c r="X1006" s="134" t="str">
        <f>IF(Data!$B998='Team Parser'!$B$1, Data!G998,"")</f>
        <v/>
      </c>
      <c r="Y1006" s="134" t="str">
        <f>IF(Data!$B998='Team Parser'!$B$1, Data!L998,"")</f>
        <v/>
      </c>
      <c r="Z1006" s="134" t="str">
        <f>IF(Data!$B998='Team Parser'!$B$1, Data!K998,"")</f>
        <v/>
      </c>
      <c r="AA1006" s="134" t="str">
        <f>IF(Data!$B998='Team Parser'!$B$1, Data!M998,"")</f>
        <v/>
      </c>
      <c r="AB1006" s="134" t="str">
        <f>IF(Data!$B998='Team Parser'!$B$1,((Z1006*2)+(Y1006)+(X1006*4)+(W1006*2)),"")</f>
        <v/>
      </c>
      <c r="AC1006" s="134" t="str">
        <f>IF(Data!$B998='Team Parser'!$B$1, Data!N998,"")</f>
        <v/>
      </c>
      <c r="AD1006" s="139" t="str">
        <f>IF(Data!$B998='Team Parser'!$B$1,(AB1006+(COUNTIF(AC1006,"TRAVERSE")*15)+(COUNTIF(AC1006,"HIGH")*10)+(COUNTIF(AC1006,"MIDDLE")*6)+(COUNTIF(AC1006,"LOW")*4)),"")</f>
        <v/>
      </c>
    </row>
    <row r="1007">
      <c r="A1007" s="143" t="s">
        <v>507</v>
      </c>
      <c r="B1007" s="134"/>
      <c r="C1007" s="134"/>
      <c r="D1007" s="134"/>
      <c r="E1007" s="134"/>
      <c r="F1007" s="134"/>
      <c r="G1007" s="134"/>
      <c r="H1007" s="134"/>
      <c r="J1007" s="134"/>
      <c r="K1007" s="135"/>
      <c r="L1007" s="136"/>
      <c r="M1007" s="137" t="str">
        <f>IFERROR(__xludf.DUMMYFUNCTION("IFERROR((FILTER(Data!A:A,Data!D:D=A1007,Data!B:B=$B$1)),"""")"),"")</f>
        <v/>
      </c>
      <c r="T1007" s="52">
        <f>IFERROR(__xludf.DUMMYFUNCTION("((COUNTIF(FILTER(Data!N:N,Data!D:D=A1007,Data!B:B=$B$1),""TRAVERSE"")*15)+(COUNTIF(FILTER(Data!N:N,Data!D:D=A1007,Data!B:B=B$1),""HIGH"")*10)+(COUNTIF(FILTER(Data!N:N,Data!D:D=A1007,Data!B:B=$B$1),""MIDDLE"")*6)+(COUNTIF(FILTER(Data!N:N,Data!D:D=A1007,Dat"&amp;"a!B:B=$B$1),""LOW"")*4))"),0.0)</f>
        <v>0</v>
      </c>
      <c r="V1007" s="138" t="str">
        <f>IF(Data!B999='Team Parser'!$B$1, Data!D999,"")</f>
        <v/>
      </c>
      <c r="W1007" s="134" t="str">
        <f>IF(Data!$B999='Team Parser'!$B$1, Data!H999,"")</f>
        <v/>
      </c>
      <c r="X1007" s="134" t="str">
        <f>IF(Data!$B999='Team Parser'!$B$1, Data!G999,"")</f>
        <v/>
      </c>
      <c r="Y1007" s="134" t="str">
        <f>IF(Data!$B999='Team Parser'!$B$1, Data!L999,"")</f>
        <v/>
      </c>
      <c r="Z1007" s="134" t="str">
        <f>IF(Data!$B999='Team Parser'!$B$1, Data!K999,"")</f>
        <v/>
      </c>
      <c r="AA1007" s="134" t="str">
        <f>IF(Data!$B999='Team Parser'!$B$1, Data!M999,"")</f>
        <v/>
      </c>
      <c r="AB1007" s="134" t="str">
        <f>IF(Data!$B999='Team Parser'!$B$1,((Z1007*2)+(Y1007)+(X1007*4)+(W1007*2)),"")</f>
        <v/>
      </c>
      <c r="AC1007" s="134" t="str">
        <f>IF(Data!$B999='Team Parser'!$B$1, Data!N999,"")</f>
        <v/>
      </c>
      <c r="AD1007" s="139" t="str">
        <f>IF(Data!$B999='Team Parser'!$B$1,(AB1007+(COUNTIF(AC1007,"TRAVERSE")*15)+(COUNTIF(AC1007,"HIGH")*10)+(COUNTIF(AC1007,"MIDDLE")*6)+(COUNTIF(AC1007,"LOW")*4)),"")</f>
        <v/>
      </c>
    </row>
    <row r="1008">
      <c r="A1008" s="143" t="s">
        <v>507</v>
      </c>
      <c r="B1008" s="134"/>
      <c r="C1008" s="134"/>
      <c r="D1008" s="134"/>
      <c r="E1008" s="134"/>
      <c r="F1008" s="134"/>
      <c r="G1008" s="134"/>
      <c r="H1008" s="134"/>
      <c r="J1008" s="134"/>
      <c r="K1008" s="135"/>
      <c r="L1008" s="136"/>
      <c r="M1008" s="137" t="str">
        <f>IFERROR(__xludf.DUMMYFUNCTION("IFERROR((FILTER(Data!A:A,Data!D:D=A1008,Data!B:B=$B$1)),"""")"),"")</f>
        <v/>
      </c>
      <c r="T1008" s="52">
        <f>IFERROR(__xludf.DUMMYFUNCTION("((COUNTIF(FILTER(Data!N:N,Data!D:D=A1008,Data!B:B=$B$1),""TRAVERSE"")*15)+(COUNTIF(FILTER(Data!N:N,Data!D:D=A1008,Data!B:B=B$1),""HIGH"")*10)+(COUNTIF(FILTER(Data!N:N,Data!D:D=A1008,Data!B:B=$B$1),""MIDDLE"")*6)+(COUNTIF(FILTER(Data!N:N,Data!D:D=A1008,Dat"&amp;"a!B:B=$B$1),""LOW"")*4))"),0.0)</f>
        <v>0</v>
      </c>
      <c r="V1008" s="138" t="str">
        <f>IF(Data!B1000='Team Parser'!$B$1, Data!D1000,"")</f>
        <v/>
      </c>
      <c r="W1008" s="134" t="str">
        <f>IF(Data!$B1000='Team Parser'!$B$1, Data!H1000,"")</f>
        <v/>
      </c>
      <c r="X1008" s="134" t="str">
        <f>IF(Data!$B1000='Team Parser'!$B$1, Data!G1000,"")</f>
        <v/>
      </c>
      <c r="Y1008" s="134" t="str">
        <f>IF(Data!$B1000='Team Parser'!$B$1, Data!L1000,"")</f>
        <v/>
      </c>
      <c r="Z1008" s="134" t="str">
        <f>IF(Data!$B1000='Team Parser'!$B$1, Data!K1000,"")</f>
        <v/>
      </c>
      <c r="AA1008" s="134" t="str">
        <f>IF(Data!$B1000='Team Parser'!$B$1, Data!M1000,"")</f>
        <v/>
      </c>
      <c r="AB1008" s="134" t="str">
        <f>IF(Data!$B1000='Team Parser'!$B$1,((Z1008*2)+(Y1008)+(X1008*4)+(W1008*2)),"")</f>
        <v/>
      </c>
      <c r="AC1008" s="134" t="str">
        <f>IF(Data!$B1000='Team Parser'!$B$1, Data!N1000,"")</f>
        <v/>
      </c>
      <c r="AD1008" s="139" t="str">
        <f>IF(Data!$B1000='Team Parser'!$B$1,(AB1008+(COUNTIF(AC1008,"TRAVERSE")*15)+(COUNTIF(AC1008,"HIGH")*10)+(COUNTIF(AC1008,"MIDDLE")*6)+(COUNTIF(AC1008,"LOW")*4)),"")</f>
        <v/>
      </c>
    </row>
    <row r="1009">
      <c r="A1009" s="143" t="s">
        <v>507</v>
      </c>
      <c r="B1009" s="134"/>
      <c r="C1009" s="134"/>
      <c r="D1009" s="134"/>
      <c r="E1009" s="134"/>
      <c r="F1009" s="134"/>
      <c r="G1009" s="134"/>
      <c r="H1009" s="134"/>
      <c r="J1009" s="134"/>
      <c r="K1009" s="135"/>
      <c r="L1009" s="136"/>
      <c r="M1009" s="137" t="str">
        <f>IFERROR(__xludf.DUMMYFUNCTION("IFERROR((FILTER(Data!A:A,Data!D:D=A1009,Data!B:B=$B$1)),"""")"),"")</f>
        <v/>
      </c>
      <c r="T1009" s="52">
        <f>IFERROR(__xludf.DUMMYFUNCTION("((COUNTIF(FILTER(Data!N:N,Data!D:D=A1009,Data!B:B=$B$1),""TRAVERSE"")*15)+(COUNTIF(FILTER(Data!N:N,Data!D:D=A1009,Data!B:B=B$1),""HIGH"")*10)+(COUNTIF(FILTER(Data!N:N,Data!D:D=A1009,Data!B:B=$B$1),""MIDDLE"")*6)+(COUNTIF(FILTER(Data!N:N,Data!D:D=A1009,Dat"&amp;"a!B:B=$B$1),""LOW"")*4))"),0.0)</f>
        <v>0</v>
      </c>
      <c r="V1009" s="138" t="str">
        <f>IF(Data!B1001='Team Parser'!$B$1, Data!D1001,"")</f>
        <v/>
      </c>
      <c r="W1009" s="134" t="str">
        <f>IF(Data!$B1001='Team Parser'!$B$1, Data!H1001,"")</f>
        <v/>
      </c>
      <c r="X1009" s="134" t="str">
        <f>IF(Data!$B1001='Team Parser'!$B$1, Data!G1001,"")</f>
        <v/>
      </c>
      <c r="Y1009" s="134" t="str">
        <f>IF(Data!$B1001='Team Parser'!$B$1, Data!L1001,"")</f>
        <v/>
      </c>
      <c r="Z1009" s="134" t="str">
        <f>IF(Data!$B1001='Team Parser'!$B$1, Data!K1001,"")</f>
        <v/>
      </c>
      <c r="AA1009" s="134" t="str">
        <f>IF(Data!$B1001='Team Parser'!$B$1, Data!M1001,"")</f>
        <v/>
      </c>
      <c r="AB1009" s="134" t="str">
        <f>IF(Data!$B1001='Team Parser'!$B$1,((Z1009*2)+(Y1009)+(X1009*4)+(W1009*2)),"")</f>
        <v/>
      </c>
      <c r="AC1009" s="134" t="str">
        <f>IF(Data!$B1001='Team Parser'!$B$1, Data!N1001,"")</f>
        <v/>
      </c>
      <c r="AD1009" s="139" t="str">
        <f>IF(Data!$B1001='Team Parser'!$B$1,(AB1009+(COUNTIF(AC1009,"TRAVERSE")*15)+(COUNTIF(AC1009,"HIGH")*10)+(COUNTIF(AC1009,"MIDDLE")*6)+(COUNTIF(AC1009,"LOW")*4)),"")</f>
        <v/>
      </c>
    </row>
    <row r="1010">
      <c r="A1010" s="143" t="s">
        <v>507</v>
      </c>
      <c r="B1010" s="134"/>
      <c r="C1010" s="134"/>
      <c r="D1010" s="134"/>
      <c r="E1010" s="134"/>
      <c r="F1010" s="134"/>
      <c r="G1010" s="134"/>
      <c r="H1010" s="134"/>
      <c r="J1010" s="134"/>
      <c r="K1010" s="135"/>
      <c r="L1010" s="136"/>
      <c r="M1010" s="137" t="str">
        <f>IFERROR(__xludf.DUMMYFUNCTION("IFERROR((FILTER(Data!A:A,Data!D:D=A1010,Data!B:B=$B$1)),"""")"),"")</f>
        <v/>
      </c>
      <c r="T1010" s="52">
        <f>IFERROR(__xludf.DUMMYFUNCTION("((COUNTIF(FILTER(Data!N:N,Data!D:D=A1010,Data!B:B=$B$1),""TRAVERSE"")*15)+(COUNTIF(FILTER(Data!N:N,Data!D:D=A1010,Data!B:B=B$1),""HIGH"")*10)+(COUNTIF(FILTER(Data!N:N,Data!D:D=A1010,Data!B:B=$B$1),""MIDDLE"")*6)+(COUNTIF(FILTER(Data!N:N,Data!D:D=A1010,Dat"&amp;"a!B:B=$B$1),""LOW"")*4))"),0.0)</f>
        <v>0</v>
      </c>
      <c r="V1010" s="138" t="str">
        <f>IF(Data!B1002='Team Parser'!$B$1, Data!D1002,"")</f>
        <v/>
      </c>
      <c r="W1010" s="134" t="str">
        <f>IF(Data!$B1002='Team Parser'!$B$1, Data!H1002,"")</f>
        <v/>
      </c>
      <c r="X1010" s="134" t="str">
        <f>IF(Data!$B1002='Team Parser'!$B$1, Data!G1002,"")</f>
        <v/>
      </c>
      <c r="Y1010" s="134" t="str">
        <f>IF(Data!$B1002='Team Parser'!$B$1, Data!L1002,"")</f>
        <v/>
      </c>
      <c r="Z1010" s="134" t="str">
        <f>IF(Data!$B1002='Team Parser'!$B$1, Data!K1002,"")</f>
        <v/>
      </c>
      <c r="AA1010" s="134" t="str">
        <f>IF(Data!$B1002='Team Parser'!$B$1, Data!M1002,"")</f>
        <v/>
      </c>
      <c r="AB1010" s="134" t="str">
        <f>IF(Data!$B1002='Team Parser'!$B$1,((Z1010*2)+(Y1010)+(X1010*4)+(W1010*2)),"")</f>
        <v/>
      </c>
      <c r="AC1010" s="134" t="str">
        <f>IF(Data!$B1002='Team Parser'!$B$1, Data!N1002,"")</f>
        <v/>
      </c>
      <c r="AD1010" s="139" t="str">
        <f>IF(Data!$B1002='Team Parser'!$B$1,(AB1010+(COUNTIF(AC1010,"TRAVERSE")*15)+(COUNTIF(AC1010,"HIGH")*10)+(COUNTIF(AC1010,"MIDDLE")*6)+(COUNTIF(AC1010,"LOW")*4)),"")</f>
        <v/>
      </c>
    </row>
    <row r="1011">
      <c r="A1011" s="143" t="s">
        <v>507</v>
      </c>
      <c r="B1011" s="134"/>
      <c r="C1011" s="134"/>
      <c r="D1011" s="134"/>
      <c r="E1011" s="134"/>
      <c r="F1011" s="134"/>
      <c r="G1011" s="134"/>
      <c r="H1011" s="134"/>
      <c r="J1011" s="134"/>
      <c r="K1011" s="135"/>
      <c r="L1011" s="136"/>
      <c r="M1011" s="137" t="str">
        <f>IFERROR(__xludf.DUMMYFUNCTION("IFERROR((FILTER(Data!A:A,Data!D:D=A1011,Data!B:B=$B$1)),"""")"),"")</f>
        <v/>
      </c>
      <c r="T1011" s="52">
        <f>IFERROR(__xludf.DUMMYFUNCTION("((COUNTIF(FILTER(Data!N:N,Data!D:D=A1011,Data!B:B=$B$1),""TRAVERSE"")*15)+(COUNTIF(FILTER(Data!N:N,Data!D:D=A1011,Data!B:B=B$1),""HIGH"")*10)+(COUNTIF(FILTER(Data!N:N,Data!D:D=A1011,Data!B:B=$B$1),""MIDDLE"")*6)+(COUNTIF(FILTER(Data!N:N,Data!D:D=A1011,Dat"&amp;"a!B:B=$B$1),""LOW"")*4))"),0.0)</f>
        <v>0</v>
      </c>
      <c r="V1011" s="138" t="str">
        <f>IF(Data!B1003='Team Parser'!$B$1, Data!D1003,"")</f>
        <v/>
      </c>
      <c r="W1011" s="134" t="str">
        <f>IF(Data!$B1003='Team Parser'!$B$1, Data!H1003,"")</f>
        <v/>
      </c>
      <c r="X1011" s="134" t="str">
        <f>IF(Data!$B1003='Team Parser'!$B$1, Data!G1003,"")</f>
        <v/>
      </c>
      <c r="Y1011" s="134" t="str">
        <f>IF(Data!$B1003='Team Parser'!$B$1, Data!L1003,"")</f>
        <v/>
      </c>
      <c r="Z1011" s="134" t="str">
        <f>IF(Data!$B1003='Team Parser'!$B$1, Data!K1003,"")</f>
        <v/>
      </c>
      <c r="AA1011" s="134" t="str">
        <f>IF(Data!$B1003='Team Parser'!$B$1, Data!M1003,"")</f>
        <v/>
      </c>
      <c r="AB1011" s="134" t="str">
        <f>IF(Data!$B1003='Team Parser'!$B$1,((Z1011*2)+(Y1011)+(X1011*4)+(W1011*2)),"")</f>
        <v/>
      </c>
      <c r="AC1011" s="134" t="str">
        <f>IF(Data!$B1003='Team Parser'!$B$1, Data!N1003,"")</f>
        <v/>
      </c>
      <c r="AD1011" s="139" t="str">
        <f>IF(Data!$B1003='Team Parser'!$B$1,(AB1011+(COUNTIF(AC1011,"TRAVERSE")*15)+(COUNTIF(AC1011,"HIGH")*10)+(COUNTIF(AC1011,"MIDDLE")*6)+(COUNTIF(AC1011,"LOW")*4)),"")</f>
        <v/>
      </c>
    </row>
    <row r="1012">
      <c r="A1012" s="143" t="s">
        <v>507</v>
      </c>
      <c r="B1012" s="134"/>
      <c r="C1012" s="134"/>
      <c r="D1012" s="134"/>
      <c r="E1012" s="134"/>
      <c r="F1012" s="134"/>
      <c r="G1012" s="134"/>
      <c r="H1012" s="134"/>
      <c r="J1012" s="134"/>
      <c r="K1012" s="135"/>
      <c r="L1012" s="136"/>
      <c r="M1012" s="137" t="str">
        <f>IFERROR(__xludf.DUMMYFUNCTION("IFERROR((FILTER(Data!A:A,Data!D:D=A1012,Data!B:B=$B$1)),"""")"),"")</f>
        <v/>
      </c>
      <c r="T1012" s="52">
        <f>IFERROR(__xludf.DUMMYFUNCTION("((COUNTIF(FILTER(Data!N:N,Data!D:D=A1012,Data!B:B=$B$1),""TRAVERSE"")*15)+(COUNTIF(FILTER(Data!N:N,Data!D:D=A1012,Data!B:B=B$1),""HIGH"")*10)+(COUNTIF(FILTER(Data!N:N,Data!D:D=A1012,Data!B:B=$B$1),""MIDDLE"")*6)+(COUNTIF(FILTER(Data!N:N,Data!D:D=A1012,Dat"&amp;"a!B:B=$B$1),""LOW"")*4))"),0.0)</f>
        <v>0</v>
      </c>
      <c r="V1012" s="138" t="str">
        <f>IF(Data!B1004='Team Parser'!$B$1, Data!D1004,"")</f>
        <v/>
      </c>
      <c r="W1012" s="134" t="str">
        <f>IF(Data!$B1004='Team Parser'!$B$1, Data!H1004,"")</f>
        <v/>
      </c>
      <c r="X1012" s="134" t="str">
        <f>IF(Data!$B1004='Team Parser'!$B$1, Data!G1004,"")</f>
        <v/>
      </c>
      <c r="Y1012" s="134" t="str">
        <f>IF(Data!$B1004='Team Parser'!$B$1, Data!L1004,"")</f>
        <v/>
      </c>
      <c r="Z1012" s="134" t="str">
        <f>IF(Data!$B1004='Team Parser'!$B$1, Data!K1004,"")</f>
        <v/>
      </c>
      <c r="AA1012" s="134" t="str">
        <f>IF(Data!$B1004='Team Parser'!$B$1, Data!M1004,"")</f>
        <v/>
      </c>
      <c r="AB1012" s="134" t="str">
        <f>IF(Data!$B1004='Team Parser'!$B$1,((Z1012*2)+(Y1012)+(X1012*4)+(W1012*2)),"")</f>
        <v/>
      </c>
      <c r="AC1012" s="134" t="str">
        <f>IF(Data!$B1004='Team Parser'!$B$1, Data!N1004,"")</f>
        <v/>
      </c>
      <c r="AD1012" s="139" t="str">
        <f>IF(Data!$B1004='Team Parser'!$B$1,(AB1012+(COUNTIF(AC1012,"TRAVERSE")*15)+(COUNTIF(AC1012,"HIGH")*10)+(COUNTIF(AC1012,"MIDDLE")*6)+(COUNTIF(AC1012,"LOW")*4)),"")</f>
        <v/>
      </c>
    </row>
    <row r="1013">
      <c r="A1013" s="143" t="s">
        <v>507</v>
      </c>
      <c r="B1013" s="134"/>
      <c r="C1013" s="134"/>
      <c r="D1013" s="134"/>
      <c r="E1013" s="134"/>
      <c r="F1013" s="134"/>
      <c r="G1013" s="134"/>
      <c r="H1013" s="134"/>
      <c r="J1013" s="134"/>
      <c r="K1013" s="135"/>
      <c r="L1013" s="136"/>
      <c r="M1013" s="137" t="str">
        <f>IFERROR(__xludf.DUMMYFUNCTION("IFERROR((FILTER(Data!A:A,Data!D:D=A1013,Data!B:B=$B$1)),"""")"),"")</f>
        <v/>
      </c>
      <c r="T1013" s="52">
        <f>IFERROR(__xludf.DUMMYFUNCTION("((COUNTIF(FILTER(Data!N:N,Data!D:D=A1013,Data!B:B=$B$1),""TRAVERSE"")*15)+(COUNTIF(FILTER(Data!N:N,Data!D:D=A1013,Data!B:B=B$1),""HIGH"")*10)+(COUNTIF(FILTER(Data!N:N,Data!D:D=A1013,Data!B:B=$B$1),""MIDDLE"")*6)+(COUNTIF(FILTER(Data!N:N,Data!D:D=A1013,Dat"&amp;"a!B:B=$B$1),""LOW"")*4))"),0.0)</f>
        <v>0</v>
      </c>
      <c r="V1013" s="138" t="str">
        <f>IF(Data!B1005='Team Parser'!$B$1, Data!D1005,"")</f>
        <v/>
      </c>
      <c r="W1013" s="134" t="str">
        <f>IF(Data!$B1005='Team Parser'!$B$1, Data!H1005,"")</f>
        <v/>
      </c>
      <c r="X1013" s="134" t="str">
        <f>IF(Data!$B1005='Team Parser'!$B$1, Data!G1005,"")</f>
        <v/>
      </c>
      <c r="Y1013" s="134" t="str">
        <f>IF(Data!$B1005='Team Parser'!$B$1, Data!L1005,"")</f>
        <v/>
      </c>
      <c r="Z1013" s="134" t="str">
        <f>IF(Data!$B1005='Team Parser'!$B$1, Data!K1005,"")</f>
        <v/>
      </c>
      <c r="AA1013" s="134" t="str">
        <f>IF(Data!$B1005='Team Parser'!$B$1, Data!M1005,"")</f>
        <v/>
      </c>
      <c r="AB1013" s="134" t="str">
        <f>IF(Data!$B1005='Team Parser'!$B$1,((Z1013*2)+(Y1013)+(X1013*4)+(W1013*2)),"")</f>
        <v/>
      </c>
      <c r="AC1013" s="134" t="str">
        <f>IF(Data!$B1005='Team Parser'!$B$1, Data!N1005,"")</f>
        <v/>
      </c>
      <c r="AD1013" s="139" t="str">
        <f>IF(Data!$B1005='Team Parser'!$B$1,(AB1013+(COUNTIF(AC1013,"TRAVERSE")*15)+(COUNTIF(AC1013,"HIGH")*10)+(COUNTIF(AC1013,"MIDDLE")*6)+(COUNTIF(AC1013,"LOW")*4)),"")</f>
        <v/>
      </c>
    </row>
    <row r="1014">
      <c r="A1014" s="143" t="s">
        <v>507</v>
      </c>
      <c r="B1014" s="134"/>
      <c r="C1014" s="134"/>
      <c r="D1014" s="134"/>
      <c r="E1014" s="134"/>
      <c r="F1014" s="134"/>
      <c r="G1014" s="134"/>
      <c r="H1014" s="134"/>
      <c r="J1014" s="134"/>
      <c r="K1014" s="135"/>
      <c r="L1014" s="136"/>
      <c r="M1014" s="137" t="str">
        <f>IFERROR(__xludf.DUMMYFUNCTION("IFERROR((FILTER(Data!A:A,Data!D:D=A1014,Data!B:B=$B$1)),"""")"),"")</f>
        <v/>
      </c>
      <c r="T1014" s="52">
        <f>IFERROR(__xludf.DUMMYFUNCTION("((COUNTIF(FILTER(Data!N:N,Data!D:D=A1014,Data!B:B=$B$1),""TRAVERSE"")*15)+(COUNTIF(FILTER(Data!N:N,Data!D:D=A1014,Data!B:B=B$1),""HIGH"")*10)+(COUNTIF(FILTER(Data!N:N,Data!D:D=A1014,Data!B:B=$B$1),""MIDDLE"")*6)+(COUNTIF(FILTER(Data!N:N,Data!D:D=A1014,Dat"&amp;"a!B:B=$B$1),""LOW"")*4))"),0.0)</f>
        <v>0</v>
      </c>
      <c r="V1014" s="138" t="str">
        <f>IF(Data!B1006='Team Parser'!$B$1, Data!D1006,"")</f>
        <v/>
      </c>
      <c r="W1014" s="134" t="str">
        <f>IF(Data!$B1006='Team Parser'!$B$1, Data!H1006,"")</f>
        <v/>
      </c>
      <c r="X1014" s="134" t="str">
        <f>IF(Data!$B1006='Team Parser'!$B$1, Data!G1006,"")</f>
        <v/>
      </c>
      <c r="Y1014" s="134" t="str">
        <f>IF(Data!$B1006='Team Parser'!$B$1, Data!L1006,"")</f>
        <v/>
      </c>
      <c r="Z1014" s="134" t="str">
        <f>IF(Data!$B1006='Team Parser'!$B$1, Data!K1006,"")</f>
        <v/>
      </c>
      <c r="AA1014" s="134" t="str">
        <f>IF(Data!$B1006='Team Parser'!$B$1, Data!M1006,"")</f>
        <v/>
      </c>
      <c r="AB1014" s="134" t="str">
        <f>IF(Data!$B1006='Team Parser'!$B$1,((Z1014*2)+(Y1014)+(X1014*4)+(W1014*2)),"")</f>
        <v/>
      </c>
      <c r="AC1014" s="134" t="str">
        <f>IF(Data!$B1006='Team Parser'!$B$1, Data!N1006,"")</f>
        <v/>
      </c>
      <c r="AD1014" s="139" t="str">
        <f>IF(Data!$B1006='Team Parser'!$B$1,(AB1014+(COUNTIF(AC1014,"TRAVERSE")*15)+(COUNTIF(AC1014,"HIGH")*10)+(COUNTIF(AC1014,"MIDDLE")*6)+(COUNTIF(AC1014,"LOW")*4)),"")</f>
        <v/>
      </c>
    </row>
    <row r="1015">
      <c r="A1015" s="143" t="s">
        <v>507</v>
      </c>
      <c r="B1015" s="134"/>
      <c r="C1015" s="134"/>
      <c r="D1015" s="134"/>
      <c r="E1015" s="134"/>
      <c r="F1015" s="134"/>
      <c r="G1015" s="134"/>
      <c r="H1015" s="134"/>
      <c r="J1015" s="134"/>
      <c r="K1015" s="135"/>
      <c r="L1015" s="136"/>
      <c r="M1015" s="137" t="str">
        <f>IFERROR(__xludf.DUMMYFUNCTION("IFERROR((FILTER(Data!A:A,Data!D:D=A1015,Data!B:B=$B$1)),"""")"),"")</f>
        <v/>
      </c>
      <c r="T1015" s="52">
        <f>IFERROR(__xludf.DUMMYFUNCTION("((COUNTIF(FILTER(Data!N:N,Data!D:D=A1015,Data!B:B=$B$1),""TRAVERSE"")*15)+(COUNTIF(FILTER(Data!N:N,Data!D:D=A1015,Data!B:B=B$1),""HIGH"")*10)+(COUNTIF(FILTER(Data!N:N,Data!D:D=A1015,Data!B:B=$B$1),""MIDDLE"")*6)+(COUNTIF(FILTER(Data!N:N,Data!D:D=A1015,Dat"&amp;"a!B:B=$B$1),""LOW"")*4))"),0.0)</f>
        <v>0</v>
      </c>
      <c r="V1015" s="138" t="str">
        <f>IF(Data!B1007='Team Parser'!$B$1, Data!D1007,"")</f>
        <v/>
      </c>
      <c r="W1015" s="134" t="str">
        <f>IF(Data!$B1007='Team Parser'!$B$1, Data!H1007,"")</f>
        <v/>
      </c>
      <c r="X1015" s="134" t="str">
        <f>IF(Data!$B1007='Team Parser'!$B$1, Data!G1007,"")</f>
        <v/>
      </c>
      <c r="Y1015" s="134" t="str">
        <f>IF(Data!$B1007='Team Parser'!$B$1, Data!L1007,"")</f>
        <v/>
      </c>
      <c r="Z1015" s="134" t="str">
        <f>IF(Data!$B1007='Team Parser'!$B$1, Data!K1007,"")</f>
        <v/>
      </c>
      <c r="AA1015" s="134" t="str">
        <f>IF(Data!$B1007='Team Parser'!$B$1, Data!M1007,"")</f>
        <v/>
      </c>
      <c r="AB1015" s="134" t="str">
        <f>IF(Data!$B1007='Team Parser'!$B$1,((Z1015*2)+(Y1015)+(X1015*4)+(W1015*2)),"")</f>
        <v/>
      </c>
      <c r="AC1015" s="134" t="str">
        <f>IF(Data!$B1007='Team Parser'!$B$1, Data!N1007,"")</f>
        <v/>
      </c>
      <c r="AD1015" s="139" t="str">
        <f>IF(Data!$B1007='Team Parser'!$B$1,(AB1015+(COUNTIF(AC1015,"TRAVERSE")*15)+(COUNTIF(AC1015,"HIGH")*10)+(COUNTIF(AC1015,"MIDDLE")*6)+(COUNTIF(AC1015,"LOW")*4)),"")</f>
        <v/>
      </c>
    </row>
    <row r="1016">
      <c r="A1016" s="143" t="s">
        <v>507</v>
      </c>
      <c r="B1016" s="134"/>
      <c r="C1016" s="134"/>
      <c r="D1016" s="134"/>
      <c r="E1016" s="134"/>
      <c r="F1016" s="134"/>
      <c r="G1016" s="134"/>
      <c r="H1016" s="134"/>
      <c r="J1016" s="134"/>
      <c r="K1016" s="135"/>
      <c r="L1016" s="136"/>
      <c r="M1016" s="137" t="str">
        <f>IFERROR(__xludf.DUMMYFUNCTION("IFERROR((FILTER(Data!A:A,Data!D:D=A1016,Data!B:B=$B$1)),"""")"),"")</f>
        <v/>
      </c>
      <c r="T1016" s="52">
        <f>IFERROR(__xludf.DUMMYFUNCTION("((COUNTIF(FILTER(Data!N:N,Data!D:D=A1016,Data!B:B=$B$1),""TRAVERSE"")*15)+(COUNTIF(FILTER(Data!N:N,Data!D:D=A1016,Data!B:B=B$1),""HIGH"")*10)+(COUNTIF(FILTER(Data!N:N,Data!D:D=A1016,Data!B:B=$B$1),""MIDDLE"")*6)+(COUNTIF(FILTER(Data!N:N,Data!D:D=A1016,Dat"&amp;"a!B:B=$B$1),""LOW"")*4))"),0.0)</f>
        <v>0</v>
      </c>
      <c r="V1016" s="138" t="str">
        <f>IF(Data!B1008='Team Parser'!$B$1, Data!D1008,"")</f>
        <v/>
      </c>
      <c r="W1016" s="134" t="str">
        <f>IF(Data!$B1008='Team Parser'!$B$1, Data!H1008,"")</f>
        <v/>
      </c>
      <c r="X1016" s="134" t="str">
        <f>IF(Data!$B1008='Team Parser'!$B$1, Data!G1008,"")</f>
        <v/>
      </c>
      <c r="Y1016" s="134" t="str">
        <f>IF(Data!$B1008='Team Parser'!$B$1, Data!L1008,"")</f>
        <v/>
      </c>
      <c r="Z1016" s="134" t="str">
        <f>IF(Data!$B1008='Team Parser'!$B$1, Data!K1008,"")</f>
        <v/>
      </c>
      <c r="AA1016" s="134" t="str">
        <f>IF(Data!$B1008='Team Parser'!$B$1, Data!M1008,"")</f>
        <v/>
      </c>
      <c r="AB1016" s="134" t="str">
        <f>IF(Data!$B1008='Team Parser'!$B$1,((Z1016*2)+(Y1016)+(X1016*4)+(W1016*2)),"")</f>
        <v/>
      </c>
      <c r="AC1016" s="134" t="str">
        <f>IF(Data!$B1008='Team Parser'!$B$1, Data!N1008,"")</f>
        <v/>
      </c>
      <c r="AD1016" s="139" t="str">
        <f>IF(Data!$B1008='Team Parser'!$B$1,(AB1016+(COUNTIF(AC1016,"TRAVERSE")*15)+(COUNTIF(AC1016,"HIGH")*10)+(COUNTIF(AC1016,"MIDDLE")*6)+(COUNTIF(AC1016,"LOW")*4)),"")</f>
        <v/>
      </c>
    </row>
    <row r="1017">
      <c r="A1017" s="143" t="s">
        <v>507</v>
      </c>
      <c r="B1017" s="134"/>
      <c r="C1017" s="134"/>
      <c r="D1017" s="134"/>
      <c r="E1017" s="134"/>
      <c r="F1017" s="134"/>
      <c r="G1017" s="134"/>
      <c r="H1017" s="134"/>
      <c r="J1017" s="134"/>
      <c r="K1017" s="135"/>
      <c r="L1017" s="136"/>
      <c r="M1017" s="137" t="str">
        <f>IFERROR(__xludf.DUMMYFUNCTION("IFERROR((FILTER(Data!A:A,Data!D:D=A1017,Data!B:B=$B$1)),"""")"),"")</f>
        <v/>
      </c>
      <c r="T1017" s="52">
        <f>IFERROR(__xludf.DUMMYFUNCTION("((COUNTIF(FILTER(Data!N:N,Data!D:D=A1017,Data!B:B=$B$1),""TRAVERSE"")*15)+(COUNTIF(FILTER(Data!N:N,Data!D:D=A1017,Data!B:B=B$1),""HIGH"")*10)+(COUNTIF(FILTER(Data!N:N,Data!D:D=A1017,Data!B:B=$B$1),""MIDDLE"")*6)+(COUNTIF(FILTER(Data!N:N,Data!D:D=A1017,Dat"&amp;"a!B:B=$B$1),""LOW"")*4))"),0.0)</f>
        <v>0</v>
      </c>
      <c r="V1017" s="138" t="str">
        <f>IF(Data!B1009='Team Parser'!$B$1, Data!D1009,"")</f>
        <v/>
      </c>
      <c r="W1017" s="134" t="str">
        <f>IF(Data!$B1009='Team Parser'!$B$1, Data!H1009,"")</f>
        <v/>
      </c>
      <c r="X1017" s="134" t="str">
        <f>IF(Data!$B1009='Team Parser'!$B$1, Data!G1009,"")</f>
        <v/>
      </c>
      <c r="Y1017" s="134" t="str">
        <f>IF(Data!$B1009='Team Parser'!$B$1, Data!L1009,"")</f>
        <v/>
      </c>
      <c r="Z1017" s="134" t="str">
        <f>IF(Data!$B1009='Team Parser'!$B$1, Data!K1009,"")</f>
        <v/>
      </c>
      <c r="AA1017" s="134" t="str">
        <f>IF(Data!$B1009='Team Parser'!$B$1, Data!M1009,"")</f>
        <v/>
      </c>
      <c r="AB1017" s="134" t="str">
        <f>IF(Data!$B1009='Team Parser'!$B$1,((Z1017*2)+(Y1017)+(X1017*4)+(W1017*2)),"")</f>
        <v/>
      </c>
      <c r="AC1017" s="134" t="str">
        <f>IF(Data!$B1009='Team Parser'!$B$1, Data!N1009,"")</f>
        <v/>
      </c>
      <c r="AD1017" s="139" t="str">
        <f>IF(Data!$B1009='Team Parser'!$B$1,(AB1017+(COUNTIF(AC1017,"TRAVERSE")*15)+(COUNTIF(AC1017,"HIGH")*10)+(COUNTIF(AC1017,"MIDDLE")*6)+(COUNTIF(AC1017,"LOW")*4)),"")</f>
        <v/>
      </c>
    </row>
    <row r="1018">
      <c r="A1018" s="143" t="s">
        <v>507</v>
      </c>
      <c r="B1018" s="134"/>
      <c r="C1018" s="134"/>
      <c r="D1018" s="134"/>
      <c r="E1018" s="134"/>
      <c r="F1018" s="134"/>
      <c r="G1018" s="134"/>
      <c r="H1018" s="134"/>
      <c r="J1018" s="134"/>
      <c r="K1018" s="135"/>
      <c r="L1018" s="136"/>
      <c r="M1018" s="137" t="str">
        <f>IFERROR(__xludf.DUMMYFUNCTION("IFERROR((FILTER(Data!A:A,Data!D:D=A1018,Data!B:B=$B$1)),"""")"),"")</f>
        <v/>
      </c>
      <c r="T1018" s="52">
        <f>IFERROR(__xludf.DUMMYFUNCTION("((COUNTIF(FILTER(Data!N:N,Data!D:D=A1018,Data!B:B=$B$1),""TRAVERSE"")*15)+(COUNTIF(FILTER(Data!N:N,Data!D:D=A1018,Data!B:B=B$1),""HIGH"")*10)+(COUNTIF(FILTER(Data!N:N,Data!D:D=A1018,Data!B:B=$B$1),""MIDDLE"")*6)+(COUNTIF(FILTER(Data!N:N,Data!D:D=A1018,Dat"&amp;"a!B:B=$B$1),""LOW"")*4))"),0.0)</f>
        <v>0</v>
      </c>
      <c r="V1018" s="138" t="str">
        <f>IF(Data!B1010='Team Parser'!$B$1, Data!D1010,"")</f>
        <v/>
      </c>
      <c r="W1018" s="134" t="str">
        <f>IF(Data!$B1010='Team Parser'!$B$1, Data!H1010,"")</f>
        <v/>
      </c>
      <c r="X1018" s="134" t="str">
        <f>IF(Data!$B1010='Team Parser'!$B$1, Data!G1010,"")</f>
        <v/>
      </c>
      <c r="Y1018" s="134" t="str">
        <f>IF(Data!$B1010='Team Parser'!$B$1, Data!L1010,"")</f>
        <v/>
      </c>
      <c r="Z1018" s="134" t="str">
        <f>IF(Data!$B1010='Team Parser'!$B$1, Data!K1010,"")</f>
        <v/>
      </c>
      <c r="AA1018" s="134" t="str">
        <f>IF(Data!$B1010='Team Parser'!$B$1, Data!M1010,"")</f>
        <v/>
      </c>
      <c r="AB1018" s="134" t="str">
        <f>IF(Data!$B1010='Team Parser'!$B$1,((Z1018*2)+(Y1018)+(X1018*4)+(W1018*2)),"")</f>
        <v/>
      </c>
      <c r="AC1018" s="134" t="str">
        <f>IF(Data!$B1010='Team Parser'!$B$1, Data!N1010,"")</f>
        <v/>
      </c>
      <c r="AD1018" s="139" t="str">
        <f>IF(Data!$B1010='Team Parser'!$B$1,(AB1018+(COUNTIF(AC1018,"TRAVERSE")*15)+(COUNTIF(AC1018,"HIGH")*10)+(COUNTIF(AC1018,"MIDDLE")*6)+(COUNTIF(AC1018,"LOW")*4)),"")</f>
        <v/>
      </c>
    </row>
    <row r="1019">
      <c r="A1019" s="143" t="s">
        <v>507</v>
      </c>
      <c r="B1019" s="134"/>
      <c r="C1019" s="134"/>
      <c r="D1019" s="134"/>
      <c r="E1019" s="134"/>
      <c r="F1019" s="134"/>
      <c r="G1019" s="134"/>
      <c r="H1019" s="134"/>
      <c r="J1019" s="134"/>
      <c r="K1019" s="135"/>
      <c r="L1019" s="136"/>
      <c r="M1019" s="137" t="str">
        <f>IFERROR(__xludf.DUMMYFUNCTION("IFERROR((FILTER(Data!A:A,Data!D:D=A1019,Data!B:B=$B$1)),"""")"),"")</f>
        <v/>
      </c>
      <c r="T1019" s="52">
        <f>IFERROR(__xludf.DUMMYFUNCTION("((COUNTIF(FILTER(Data!N:N,Data!D:D=A1019,Data!B:B=$B$1),""TRAVERSE"")*15)+(COUNTIF(FILTER(Data!N:N,Data!D:D=A1019,Data!B:B=B$1),""HIGH"")*10)+(COUNTIF(FILTER(Data!N:N,Data!D:D=A1019,Data!B:B=$B$1),""MIDDLE"")*6)+(COUNTIF(FILTER(Data!N:N,Data!D:D=A1019,Dat"&amp;"a!B:B=$B$1),""LOW"")*4))"),0.0)</f>
        <v>0</v>
      </c>
      <c r="V1019" s="138" t="str">
        <f>IF(Data!B1011='Team Parser'!$B$1, Data!D1011,"")</f>
        <v/>
      </c>
      <c r="W1019" s="134" t="str">
        <f>IF(Data!$B1011='Team Parser'!$B$1, Data!H1011,"")</f>
        <v/>
      </c>
      <c r="X1019" s="134" t="str">
        <f>IF(Data!$B1011='Team Parser'!$B$1, Data!G1011,"")</f>
        <v/>
      </c>
      <c r="Y1019" s="134" t="str">
        <f>IF(Data!$B1011='Team Parser'!$B$1, Data!L1011,"")</f>
        <v/>
      </c>
      <c r="Z1019" s="134" t="str">
        <f>IF(Data!$B1011='Team Parser'!$B$1, Data!K1011,"")</f>
        <v/>
      </c>
      <c r="AA1019" s="134" t="str">
        <f>IF(Data!$B1011='Team Parser'!$B$1, Data!M1011,"")</f>
        <v/>
      </c>
      <c r="AB1019" s="134" t="str">
        <f>IF(Data!$B1011='Team Parser'!$B$1,((Z1019*2)+(Y1019)+(X1019*4)+(W1019*2)),"")</f>
        <v/>
      </c>
      <c r="AC1019" s="134" t="str">
        <f>IF(Data!$B1011='Team Parser'!$B$1, Data!N1011,"")</f>
        <v/>
      </c>
      <c r="AD1019" s="139" t="str">
        <f>IF(Data!$B1011='Team Parser'!$B$1,(AB1019+(COUNTIF(AC1019,"TRAVERSE")*15)+(COUNTIF(AC1019,"HIGH")*10)+(COUNTIF(AC1019,"MIDDLE")*6)+(COUNTIF(AC1019,"LOW")*4)),"")</f>
        <v/>
      </c>
    </row>
    <row r="1020">
      <c r="A1020" s="143" t="s">
        <v>507</v>
      </c>
      <c r="B1020" s="134"/>
      <c r="C1020" s="134"/>
      <c r="D1020" s="134"/>
      <c r="E1020" s="134"/>
      <c r="F1020" s="134"/>
      <c r="G1020" s="134"/>
      <c r="H1020" s="134"/>
      <c r="J1020" s="134"/>
      <c r="K1020" s="135"/>
      <c r="L1020" s="136"/>
      <c r="M1020" s="137" t="str">
        <f>IFERROR(__xludf.DUMMYFUNCTION("IFERROR((FILTER(Data!A:A,Data!D:D=A1020,Data!B:B=$B$1)),"""")"),"")</f>
        <v/>
      </c>
      <c r="T1020" s="52">
        <f>IFERROR(__xludf.DUMMYFUNCTION("((COUNTIF(FILTER(Data!N:N,Data!D:D=A1020,Data!B:B=$B$1),""TRAVERSE"")*15)+(COUNTIF(FILTER(Data!N:N,Data!D:D=A1020,Data!B:B=B$1),""HIGH"")*10)+(COUNTIF(FILTER(Data!N:N,Data!D:D=A1020,Data!B:B=$B$1),""MIDDLE"")*6)+(COUNTIF(FILTER(Data!N:N,Data!D:D=A1020,Dat"&amp;"a!B:B=$B$1),""LOW"")*4))"),0.0)</f>
        <v>0</v>
      </c>
      <c r="V1020" s="138" t="str">
        <f>IF(Data!B1012='Team Parser'!$B$1, Data!D1012,"")</f>
        <v/>
      </c>
      <c r="W1020" s="134" t="str">
        <f>IF(Data!$B1012='Team Parser'!$B$1, Data!H1012,"")</f>
        <v/>
      </c>
      <c r="X1020" s="134" t="str">
        <f>IF(Data!$B1012='Team Parser'!$B$1, Data!G1012,"")</f>
        <v/>
      </c>
      <c r="Y1020" s="134" t="str">
        <f>IF(Data!$B1012='Team Parser'!$B$1, Data!L1012,"")</f>
        <v/>
      </c>
      <c r="Z1020" s="134" t="str">
        <f>IF(Data!$B1012='Team Parser'!$B$1, Data!K1012,"")</f>
        <v/>
      </c>
      <c r="AA1020" s="134" t="str">
        <f>IF(Data!$B1012='Team Parser'!$B$1, Data!M1012,"")</f>
        <v/>
      </c>
      <c r="AB1020" s="134" t="str">
        <f>IF(Data!$B1012='Team Parser'!$B$1,((Z1020*2)+(Y1020)+(X1020*4)+(W1020*2)),"")</f>
        <v/>
      </c>
      <c r="AC1020" s="134" t="str">
        <f>IF(Data!$B1012='Team Parser'!$B$1, Data!N1012,"")</f>
        <v/>
      </c>
      <c r="AD1020" s="139" t="str">
        <f>IF(Data!$B1012='Team Parser'!$B$1,(AB1020+(COUNTIF(AC1020,"TRAVERSE")*15)+(COUNTIF(AC1020,"HIGH")*10)+(COUNTIF(AC1020,"MIDDLE")*6)+(COUNTIF(AC1020,"LOW")*4)),"")</f>
        <v/>
      </c>
    </row>
    <row r="1021">
      <c r="A1021" s="143" t="s">
        <v>507</v>
      </c>
      <c r="B1021" s="134"/>
      <c r="C1021" s="134"/>
      <c r="D1021" s="134"/>
      <c r="E1021" s="134"/>
      <c r="F1021" s="134"/>
      <c r="G1021" s="134"/>
      <c r="H1021" s="134"/>
      <c r="J1021" s="134"/>
      <c r="K1021" s="135"/>
      <c r="L1021" s="136"/>
      <c r="M1021" s="137" t="str">
        <f>IFERROR(__xludf.DUMMYFUNCTION("IFERROR((FILTER(Data!A:A,Data!D:D=A1021,Data!B:B=$B$1)),"""")"),"")</f>
        <v/>
      </c>
      <c r="T1021" s="52">
        <f>IFERROR(__xludf.DUMMYFUNCTION("((COUNTIF(FILTER(Data!N:N,Data!D:D=A1021,Data!B:B=$B$1),""TRAVERSE"")*15)+(COUNTIF(FILTER(Data!N:N,Data!D:D=A1021,Data!B:B=B$1),""HIGH"")*10)+(COUNTIF(FILTER(Data!N:N,Data!D:D=A1021,Data!B:B=$B$1),""MIDDLE"")*6)+(COUNTIF(FILTER(Data!N:N,Data!D:D=A1021,Dat"&amp;"a!B:B=$B$1),""LOW"")*4))"),0.0)</f>
        <v>0</v>
      </c>
      <c r="V1021" s="138" t="str">
        <f>IF(Data!B1013='Team Parser'!$B$1, Data!D1013,"")</f>
        <v/>
      </c>
      <c r="W1021" s="134" t="str">
        <f>IF(Data!$B1013='Team Parser'!$B$1, Data!H1013,"")</f>
        <v/>
      </c>
      <c r="X1021" s="134" t="str">
        <f>IF(Data!$B1013='Team Parser'!$B$1, Data!G1013,"")</f>
        <v/>
      </c>
      <c r="Y1021" s="134" t="str">
        <f>IF(Data!$B1013='Team Parser'!$B$1, Data!L1013,"")</f>
        <v/>
      </c>
      <c r="Z1021" s="134" t="str">
        <f>IF(Data!$B1013='Team Parser'!$B$1, Data!K1013,"")</f>
        <v/>
      </c>
      <c r="AA1021" s="134" t="str">
        <f>IF(Data!$B1013='Team Parser'!$B$1, Data!M1013,"")</f>
        <v/>
      </c>
      <c r="AB1021" s="134" t="str">
        <f>IF(Data!$B1013='Team Parser'!$B$1,((Z1021*2)+(Y1021)+(X1021*4)+(W1021*2)),"")</f>
        <v/>
      </c>
      <c r="AC1021" s="134" t="str">
        <f>IF(Data!$B1013='Team Parser'!$B$1, Data!N1013,"")</f>
        <v/>
      </c>
      <c r="AD1021" s="139" t="str">
        <f>IF(Data!$B1013='Team Parser'!$B$1,(AB1021+(COUNTIF(AC1021,"TRAVERSE")*15)+(COUNTIF(AC1021,"HIGH")*10)+(COUNTIF(AC1021,"MIDDLE")*6)+(COUNTIF(AC1021,"LOW")*4)),"")</f>
        <v/>
      </c>
    </row>
    <row r="1022">
      <c r="A1022" s="143" t="s">
        <v>507</v>
      </c>
      <c r="B1022" s="134"/>
      <c r="C1022" s="134"/>
      <c r="D1022" s="134"/>
      <c r="E1022" s="134"/>
      <c r="F1022" s="134"/>
      <c r="G1022" s="134"/>
      <c r="H1022" s="134"/>
      <c r="J1022" s="134"/>
      <c r="K1022" s="135"/>
      <c r="L1022" s="136"/>
      <c r="M1022" s="137" t="str">
        <f>IFERROR(__xludf.DUMMYFUNCTION("IFERROR((FILTER(Data!A:A,Data!D:D=A1022,Data!B:B=$B$1)),"""")"),"")</f>
        <v/>
      </c>
      <c r="T1022" s="52">
        <f>IFERROR(__xludf.DUMMYFUNCTION("((COUNTIF(FILTER(Data!N:N,Data!D:D=A1022,Data!B:B=$B$1),""TRAVERSE"")*15)+(COUNTIF(FILTER(Data!N:N,Data!D:D=A1022,Data!B:B=B$1),""HIGH"")*10)+(COUNTIF(FILTER(Data!N:N,Data!D:D=A1022,Data!B:B=$B$1),""MIDDLE"")*6)+(COUNTIF(FILTER(Data!N:N,Data!D:D=A1022,Dat"&amp;"a!B:B=$B$1),""LOW"")*4))"),0.0)</f>
        <v>0</v>
      </c>
      <c r="V1022" s="138" t="str">
        <f>IF(Data!B1014='Team Parser'!$B$1, Data!D1014,"")</f>
        <v/>
      </c>
      <c r="W1022" s="134" t="str">
        <f>IF(Data!$B1014='Team Parser'!$B$1, Data!H1014,"")</f>
        <v/>
      </c>
      <c r="X1022" s="134" t="str">
        <f>IF(Data!$B1014='Team Parser'!$B$1, Data!G1014,"")</f>
        <v/>
      </c>
      <c r="Y1022" s="134" t="str">
        <f>IF(Data!$B1014='Team Parser'!$B$1, Data!L1014,"")</f>
        <v/>
      </c>
      <c r="Z1022" s="134" t="str">
        <f>IF(Data!$B1014='Team Parser'!$B$1, Data!K1014,"")</f>
        <v/>
      </c>
      <c r="AA1022" s="134" t="str">
        <f>IF(Data!$B1014='Team Parser'!$B$1, Data!M1014,"")</f>
        <v/>
      </c>
      <c r="AB1022" s="134" t="str">
        <f>IF(Data!$B1014='Team Parser'!$B$1,((Z1022*2)+(Y1022)+(X1022*4)+(W1022*2)),"")</f>
        <v/>
      </c>
      <c r="AC1022" s="134" t="str">
        <f>IF(Data!$B1014='Team Parser'!$B$1, Data!N1014,"")</f>
        <v/>
      </c>
      <c r="AD1022" s="139" t="str">
        <f>IF(Data!$B1014='Team Parser'!$B$1,(AB1022+(COUNTIF(AC1022,"TRAVERSE")*15)+(COUNTIF(AC1022,"HIGH")*10)+(COUNTIF(AC1022,"MIDDLE")*6)+(COUNTIF(AC1022,"LOW")*4)),"")</f>
        <v/>
      </c>
    </row>
    <row r="1023">
      <c r="A1023" s="143" t="s">
        <v>507</v>
      </c>
      <c r="B1023" s="134"/>
      <c r="C1023" s="134"/>
      <c r="D1023" s="134"/>
      <c r="E1023" s="134"/>
      <c r="F1023" s="134"/>
      <c r="G1023" s="134"/>
      <c r="H1023" s="134"/>
      <c r="J1023" s="134"/>
      <c r="K1023" s="135"/>
      <c r="L1023" s="136"/>
      <c r="M1023" s="137" t="str">
        <f>IFERROR(__xludf.DUMMYFUNCTION("IFERROR((FILTER(Data!A:A,Data!D:D=A1023,Data!B:B=$B$1)),"""")"),"")</f>
        <v/>
      </c>
      <c r="T1023" s="52">
        <f>IFERROR(__xludf.DUMMYFUNCTION("((COUNTIF(FILTER(Data!N:N,Data!D:D=A1023,Data!B:B=$B$1),""TRAVERSE"")*15)+(COUNTIF(FILTER(Data!N:N,Data!D:D=A1023,Data!B:B=B$1),""HIGH"")*10)+(COUNTIF(FILTER(Data!N:N,Data!D:D=A1023,Data!B:B=$B$1),""MIDDLE"")*6)+(COUNTIF(FILTER(Data!N:N,Data!D:D=A1023,Dat"&amp;"a!B:B=$B$1),""LOW"")*4))"),0.0)</f>
        <v>0</v>
      </c>
      <c r="V1023" s="138" t="str">
        <f>IF(Data!B1015='Team Parser'!$B$1, Data!D1015,"")</f>
        <v/>
      </c>
      <c r="W1023" s="134" t="str">
        <f>IF(Data!$B1015='Team Parser'!$B$1, Data!H1015,"")</f>
        <v/>
      </c>
      <c r="X1023" s="134" t="str">
        <f>IF(Data!$B1015='Team Parser'!$B$1, Data!G1015,"")</f>
        <v/>
      </c>
      <c r="Y1023" s="134" t="str">
        <f>IF(Data!$B1015='Team Parser'!$B$1, Data!L1015,"")</f>
        <v/>
      </c>
      <c r="Z1023" s="134" t="str">
        <f>IF(Data!$B1015='Team Parser'!$B$1, Data!K1015,"")</f>
        <v/>
      </c>
      <c r="AA1023" s="134" t="str">
        <f>IF(Data!$B1015='Team Parser'!$B$1, Data!M1015,"")</f>
        <v/>
      </c>
      <c r="AB1023" s="134" t="str">
        <f>IF(Data!$B1015='Team Parser'!$B$1,((Z1023*2)+(Y1023)+(X1023*4)+(W1023*2)),"")</f>
        <v/>
      </c>
      <c r="AC1023" s="134" t="str">
        <f>IF(Data!$B1015='Team Parser'!$B$1, Data!N1015,"")</f>
        <v/>
      </c>
      <c r="AD1023" s="139" t="str">
        <f>IF(Data!$B1015='Team Parser'!$B$1,(AB1023+(COUNTIF(AC1023,"TRAVERSE")*15)+(COUNTIF(AC1023,"HIGH")*10)+(COUNTIF(AC1023,"MIDDLE")*6)+(COUNTIF(AC1023,"LOW")*4)),"")</f>
        <v/>
      </c>
    </row>
    <row r="1024">
      <c r="A1024" s="143" t="s">
        <v>507</v>
      </c>
      <c r="B1024" s="134"/>
      <c r="C1024" s="134"/>
      <c r="D1024" s="134"/>
      <c r="E1024" s="134"/>
      <c r="F1024" s="134"/>
      <c r="G1024" s="134"/>
      <c r="H1024" s="134"/>
      <c r="J1024" s="134"/>
      <c r="K1024" s="135"/>
      <c r="L1024" s="136"/>
      <c r="M1024" s="137" t="str">
        <f>IFERROR(__xludf.DUMMYFUNCTION("IFERROR((FILTER(Data!A:A,Data!D:D=A1024,Data!B:B=$B$1)),"""")"),"")</f>
        <v/>
      </c>
      <c r="T1024" s="52">
        <f>IFERROR(__xludf.DUMMYFUNCTION("((COUNTIF(FILTER(Data!N:N,Data!D:D=A1024,Data!B:B=$B$1),""TRAVERSE"")*15)+(COUNTIF(FILTER(Data!N:N,Data!D:D=A1024,Data!B:B=B$1),""HIGH"")*10)+(COUNTIF(FILTER(Data!N:N,Data!D:D=A1024,Data!B:B=$B$1),""MIDDLE"")*6)+(COUNTIF(FILTER(Data!N:N,Data!D:D=A1024,Dat"&amp;"a!B:B=$B$1),""LOW"")*4))"),0.0)</f>
        <v>0</v>
      </c>
      <c r="V1024" s="138" t="str">
        <f>IF(Data!B1016='Team Parser'!$B$1, Data!D1016,"")</f>
        <v/>
      </c>
      <c r="W1024" s="134" t="str">
        <f>IF(Data!$B1016='Team Parser'!$B$1, Data!H1016,"")</f>
        <v/>
      </c>
      <c r="X1024" s="134" t="str">
        <f>IF(Data!$B1016='Team Parser'!$B$1, Data!G1016,"")</f>
        <v/>
      </c>
      <c r="Y1024" s="134" t="str">
        <f>IF(Data!$B1016='Team Parser'!$B$1, Data!L1016,"")</f>
        <v/>
      </c>
      <c r="Z1024" s="134" t="str">
        <f>IF(Data!$B1016='Team Parser'!$B$1, Data!K1016,"")</f>
        <v/>
      </c>
      <c r="AA1024" s="134" t="str">
        <f>IF(Data!$B1016='Team Parser'!$B$1, Data!M1016,"")</f>
        <v/>
      </c>
      <c r="AB1024" s="134" t="str">
        <f>IF(Data!$B1016='Team Parser'!$B$1,((Z1024*2)+(Y1024)+(X1024*4)+(W1024*2)),"")</f>
        <v/>
      </c>
      <c r="AC1024" s="134" t="str">
        <f>IF(Data!$B1016='Team Parser'!$B$1, Data!N1016,"")</f>
        <v/>
      </c>
      <c r="AD1024" s="139" t="str">
        <f>IF(Data!$B1016='Team Parser'!$B$1,(AB1024+(COUNTIF(AC1024,"TRAVERSE")*15)+(COUNTIF(AC1024,"HIGH")*10)+(COUNTIF(AC1024,"MIDDLE")*6)+(COUNTIF(AC1024,"LOW")*4)),"")</f>
        <v/>
      </c>
    </row>
    <row r="1025">
      <c r="A1025" s="143" t="s">
        <v>507</v>
      </c>
      <c r="B1025" s="134"/>
      <c r="C1025" s="134"/>
      <c r="D1025" s="134"/>
      <c r="E1025" s="134"/>
      <c r="F1025" s="134"/>
      <c r="G1025" s="134"/>
      <c r="H1025" s="134"/>
      <c r="J1025" s="134"/>
      <c r="K1025" s="135"/>
      <c r="L1025" s="136"/>
      <c r="M1025" s="137" t="str">
        <f>IFERROR(__xludf.DUMMYFUNCTION("IFERROR((FILTER(Data!A:A,Data!D:D=A1025,Data!B:B=$B$1)),"""")"),"")</f>
        <v/>
      </c>
      <c r="T1025" s="52">
        <f>IFERROR(__xludf.DUMMYFUNCTION("((COUNTIF(FILTER(Data!N:N,Data!D:D=A1025,Data!B:B=$B$1),""TRAVERSE"")*15)+(COUNTIF(FILTER(Data!N:N,Data!D:D=A1025,Data!B:B=B$1),""HIGH"")*10)+(COUNTIF(FILTER(Data!N:N,Data!D:D=A1025,Data!B:B=$B$1),""MIDDLE"")*6)+(COUNTIF(FILTER(Data!N:N,Data!D:D=A1025,Dat"&amp;"a!B:B=$B$1),""LOW"")*4))"),0.0)</f>
        <v>0</v>
      </c>
      <c r="V1025" s="138" t="str">
        <f>IF(Data!B1017='Team Parser'!$B$1, Data!D1017,"")</f>
        <v/>
      </c>
      <c r="W1025" s="134" t="str">
        <f>IF(Data!$B1017='Team Parser'!$B$1, Data!H1017,"")</f>
        <v/>
      </c>
      <c r="X1025" s="134" t="str">
        <f>IF(Data!$B1017='Team Parser'!$B$1, Data!G1017,"")</f>
        <v/>
      </c>
      <c r="Y1025" s="134" t="str">
        <f>IF(Data!$B1017='Team Parser'!$B$1, Data!L1017,"")</f>
        <v/>
      </c>
      <c r="Z1025" s="134" t="str">
        <f>IF(Data!$B1017='Team Parser'!$B$1, Data!K1017,"")</f>
        <v/>
      </c>
      <c r="AA1025" s="134" t="str">
        <f>IF(Data!$B1017='Team Parser'!$B$1, Data!M1017,"")</f>
        <v/>
      </c>
      <c r="AB1025" s="134" t="str">
        <f>IF(Data!$B1017='Team Parser'!$B$1,((Z1025*2)+(Y1025)+(X1025*4)+(W1025*2)),"")</f>
        <v/>
      </c>
      <c r="AC1025" s="134" t="str">
        <f>IF(Data!$B1017='Team Parser'!$B$1, Data!N1017,"")</f>
        <v/>
      </c>
      <c r="AD1025" s="139" t="str">
        <f>IF(Data!$B1017='Team Parser'!$B$1,(AB1025+(COUNTIF(AC1025,"TRAVERSE")*15)+(COUNTIF(AC1025,"HIGH")*10)+(COUNTIF(AC1025,"MIDDLE")*6)+(COUNTIF(AC1025,"LOW")*4)),"")</f>
        <v/>
      </c>
    </row>
    <row r="1026">
      <c r="A1026" s="143" t="s">
        <v>507</v>
      </c>
      <c r="B1026" s="134"/>
      <c r="C1026" s="134"/>
      <c r="D1026" s="134"/>
      <c r="E1026" s="134"/>
      <c r="F1026" s="134"/>
      <c r="G1026" s="134"/>
      <c r="H1026" s="134"/>
      <c r="J1026" s="134"/>
      <c r="K1026" s="135"/>
      <c r="L1026" s="136"/>
      <c r="M1026" s="137" t="str">
        <f>IFERROR(__xludf.DUMMYFUNCTION("IFERROR((FILTER(Data!A:A,Data!D:D=A1026,Data!B:B=$B$1)),"""")"),"")</f>
        <v/>
      </c>
      <c r="T1026" s="52">
        <f>IFERROR(__xludf.DUMMYFUNCTION("((COUNTIF(FILTER(Data!N:N,Data!D:D=A1026,Data!B:B=$B$1),""TRAVERSE"")*15)+(COUNTIF(FILTER(Data!N:N,Data!D:D=A1026,Data!B:B=B$1),""HIGH"")*10)+(COUNTIF(FILTER(Data!N:N,Data!D:D=A1026,Data!B:B=$B$1),""MIDDLE"")*6)+(COUNTIF(FILTER(Data!N:N,Data!D:D=A1026,Dat"&amp;"a!B:B=$B$1),""LOW"")*4))"),0.0)</f>
        <v>0</v>
      </c>
      <c r="V1026" s="138" t="str">
        <f>IF(Data!B1018='Team Parser'!$B$1, Data!D1018,"")</f>
        <v/>
      </c>
      <c r="W1026" s="134" t="str">
        <f>IF(Data!$B1018='Team Parser'!$B$1, Data!H1018,"")</f>
        <v/>
      </c>
      <c r="X1026" s="134" t="str">
        <f>IF(Data!$B1018='Team Parser'!$B$1, Data!G1018,"")</f>
        <v/>
      </c>
      <c r="Y1026" s="134" t="str">
        <f>IF(Data!$B1018='Team Parser'!$B$1, Data!L1018,"")</f>
        <v/>
      </c>
      <c r="Z1026" s="134" t="str">
        <f>IF(Data!$B1018='Team Parser'!$B$1, Data!K1018,"")</f>
        <v/>
      </c>
      <c r="AA1026" s="134" t="str">
        <f>IF(Data!$B1018='Team Parser'!$B$1, Data!M1018,"")</f>
        <v/>
      </c>
      <c r="AB1026" s="134" t="str">
        <f>IF(Data!$B1018='Team Parser'!$B$1,((Z1026*2)+(Y1026)+(X1026*4)+(W1026*2)),"")</f>
        <v/>
      </c>
      <c r="AC1026" s="134" t="str">
        <f>IF(Data!$B1018='Team Parser'!$B$1, Data!N1018,"")</f>
        <v/>
      </c>
      <c r="AD1026" s="139" t="str">
        <f>IF(Data!$B1018='Team Parser'!$B$1,(AB1026+(COUNTIF(AC1026,"TRAVERSE")*15)+(COUNTIF(AC1026,"HIGH")*10)+(COUNTIF(AC1026,"MIDDLE")*6)+(COUNTIF(AC1026,"LOW")*4)),"")</f>
        <v/>
      </c>
    </row>
    <row r="1027">
      <c r="A1027" s="143" t="s">
        <v>507</v>
      </c>
      <c r="B1027" s="134"/>
      <c r="C1027" s="134"/>
      <c r="D1027" s="134"/>
      <c r="E1027" s="134"/>
      <c r="F1027" s="134"/>
      <c r="G1027" s="134"/>
      <c r="H1027" s="134"/>
      <c r="J1027" s="134"/>
      <c r="K1027" s="135"/>
      <c r="L1027" s="136"/>
      <c r="M1027" s="137" t="str">
        <f>IFERROR(__xludf.DUMMYFUNCTION("IFERROR((FILTER(Data!A:A,Data!D:D=A1027,Data!B:B=$B$1)),"""")"),"")</f>
        <v/>
      </c>
      <c r="T1027" s="52">
        <f>IFERROR(__xludf.DUMMYFUNCTION("((COUNTIF(FILTER(Data!N:N,Data!D:D=A1027,Data!B:B=$B$1),""TRAVERSE"")*15)+(COUNTIF(FILTER(Data!N:N,Data!D:D=A1027,Data!B:B=B$1),""HIGH"")*10)+(COUNTIF(FILTER(Data!N:N,Data!D:D=A1027,Data!B:B=$B$1),""MIDDLE"")*6)+(COUNTIF(FILTER(Data!N:N,Data!D:D=A1027,Dat"&amp;"a!B:B=$B$1),""LOW"")*4))"),0.0)</f>
        <v>0</v>
      </c>
      <c r="V1027" s="138" t="str">
        <f>IF(Data!B1019='Team Parser'!$B$1, Data!D1019,"")</f>
        <v/>
      </c>
      <c r="W1027" s="134" t="str">
        <f>IF(Data!$B1019='Team Parser'!$B$1, Data!H1019,"")</f>
        <v/>
      </c>
      <c r="X1027" s="134" t="str">
        <f>IF(Data!$B1019='Team Parser'!$B$1, Data!G1019,"")</f>
        <v/>
      </c>
      <c r="Y1027" s="134" t="str">
        <f>IF(Data!$B1019='Team Parser'!$B$1, Data!L1019,"")</f>
        <v/>
      </c>
      <c r="Z1027" s="134" t="str">
        <f>IF(Data!$B1019='Team Parser'!$B$1, Data!K1019,"")</f>
        <v/>
      </c>
      <c r="AA1027" s="134" t="str">
        <f>IF(Data!$B1019='Team Parser'!$B$1, Data!M1019,"")</f>
        <v/>
      </c>
      <c r="AB1027" s="134" t="str">
        <f>IF(Data!$B1019='Team Parser'!$B$1,((Z1027*2)+(Y1027)+(X1027*4)+(W1027*2)),"")</f>
        <v/>
      </c>
      <c r="AC1027" s="134" t="str">
        <f>IF(Data!$B1019='Team Parser'!$B$1, Data!N1019,"")</f>
        <v/>
      </c>
      <c r="AD1027" s="139" t="str">
        <f>IF(Data!$B1019='Team Parser'!$B$1,(AB1027+(COUNTIF(AC1027,"TRAVERSE")*15)+(COUNTIF(AC1027,"HIGH")*10)+(COUNTIF(AC1027,"MIDDLE")*6)+(COUNTIF(AC1027,"LOW")*4)),"")</f>
        <v/>
      </c>
    </row>
    <row r="1028">
      <c r="A1028" s="143"/>
      <c r="B1028" s="134"/>
      <c r="C1028" s="134"/>
      <c r="D1028" s="134"/>
      <c r="E1028" s="134"/>
      <c r="F1028" s="134"/>
      <c r="G1028" s="134"/>
      <c r="H1028" s="134"/>
      <c r="J1028" s="134"/>
      <c r="K1028" s="135"/>
      <c r="L1028" s="136"/>
      <c r="M1028" s="137" t="str">
        <f>IFERROR(__xludf.DUMMYFUNCTION("IFERROR((FILTER(Data!A:A,Data!D:D=A1028,Data!B:B=$B$1)),"""")"),"")</f>
        <v/>
      </c>
      <c r="T1028" s="52">
        <f>IFERROR(__xludf.DUMMYFUNCTION("((COUNTIF(FILTER(Data!N:N,Data!D:D=A1028,Data!B:B=$B$1),""TRAVERSE"")*15)+(COUNTIF(FILTER(Data!N:N,Data!D:D=A1028,Data!B:B=B$1),""HIGH"")*10)+(COUNTIF(FILTER(Data!N:N,Data!D:D=A1028,Data!B:B=$B$1),""MIDDLE"")*6)+(COUNTIF(FILTER(Data!N:N,Data!D:D=A1028,Dat"&amp;"a!B:B=$B$1),""LOW"")*4))"),0.0)</f>
        <v>0</v>
      </c>
      <c r="V1028" s="138"/>
      <c r="W1028" s="134"/>
      <c r="X1028" s="134"/>
      <c r="Y1028" s="134"/>
      <c r="Z1028" s="134"/>
      <c r="AA1028" s="134"/>
      <c r="AB1028" s="134"/>
      <c r="AC1028" s="134"/>
      <c r="AD1028" s="139"/>
    </row>
    <row r="1029">
      <c r="A1029" s="143"/>
      <c r="B1029" s="134"/>
      <c r="C1029" s="134"/>
      <c r="D1029" s="134"/>
      <c r="E1029" s="134"/>
      <c r="F1029" s="134"/>
      <c r="G1029" s="134"/>
      <c r="H1029" s="134"/>
      <c r="J1029" s="134"/>
      <c r="K1029" s="135"/>
      <c r="L1029" s="136"/>
      <c r="M1029" s="137" t="str">
        <f>IFERROR(__xludf.DUMMYFUNCTION("IFERROR((FILTER(Data!A:A,Data!D:D=A1029,Data!B:B=$B$1)),"""")"),"")</f>
        <v/>
      </c>
      <c r="T1029" s="52">
        <f>IFERROR(__xludf.DUMMYFUNCTION("((COUNTIF(FILTER(Data!N:N,Data!D:D=A1029,Data!B:B=$B$1),""TRAVERSE"")*15)+(COUNTIF(FILTER(Data!N:N,Data!D:D=A1029,Data!B:B=B$1),""HIGH"")*10)+(COUNTIF(FILTER(Data!N:N,Data!D:D=A1029,Data!B:B=$B$1),""MIDDLE"")*6)+(COUNTIF(FILTER(Data!N:N,Data!D:D=A1029,Dat"&amp;"a!B:B=$B$1),""LOW"")*4))"),0.0)</f>
        <v>0</v>
      </c>
      <c r="V1029" s="138"/>
      <c r="W1029" s="134"/>
      <c r="X1029" s="134"/>
      <c r="Y1029" s="134"/>
      <c r="Z1029" s="134"/>
      <c r="AA1029" s="134"/>
      <c r="AB1029" s="134"/>
      <c r="AC1029" s="134"/>
      <c r="AD1029" s="139"/>
    </row>
    <row r="1030">
      <c r="A1030" s="143"/>
      <c r="B1030" s="134"/>
      <c r="C1030" s="134"/>
      <c r="D1030" s="134"/>
      <c r="E1030" s="134"/>
      <c r="F1030" s="134"/>
      <c r="G1030" s="134"/>
      <c r="H1030" s="134"/>
      <c r="J1030" s="134"/>
      <c r="K1030" s="135"/>
      <c r="L1030" s="136"/>
      <c r="M1030" s="137" t="str">
        <f>IFERROR(__xludf.DUMMYFUNCTION("IFERROR((FILTER(Data!A:A,Data!D:D=A1030,Data!B:B=$B$1)),"""")"),"")</f>
        <v/>
      </c>
      <c r="T1030" s="52">
        <f>IFERROR(__xludf.DUMMYFUNCTION("((COUNTIF(FILTER(Data!N:N,Data!D:D=A1030,Data!B:B=$B$1),""TRAVERSE"")*15)+(COUNTIF(FILTER(Data!N:N,Data!D:D=A1030,Data!B:B=B$1),""HIGH"")*10)+(COUNTIF(FILTER(Data!N:N,Data!D:D=A1030,Data!B:B=$B$1),""MIDDLE"")*6)+(COUNTIF(FILTER(Data!N:N,Data!D:D=A1030,Dat"&amp;"a!B:B=$B$1),""LOW"")*4))"),0.0)</f>
        <v>0</v>
      </c>
      <c r="V1030" s="138"/>
      <c r="W1030" s="134"/>
      <c r="X1030" s="134"/>
      <c r="Y1030" s="134"/>
      <c r="Z1030" s="134"/>
      <c r="AA1030" s="134"/>
      <c r="AB1030" s="134"/>
      <c r="AC1030" s="134"/>
      <c r="AD1030" s="139"/>
    </row>
    <row r="1031">
      <c r="A1031" s="143"/>
      <c r="B1031" s="134"/>
      <c r="C1031" s="134"/>
      <c r="D1031" s="134"/>
      <c r="E1031" s="134"/>
      <c r="F1031" s="134"/>
      <c r="G1031" s="134"/>
      <c r="H1031" s="134"/>
      <c r="J1031" s="134"/>
      <c r="K1031" s="135"/>
      <c r="L1031" s="136"/>
      <c r="M1031" s="137" t="str">
        <f>IFERROR(__xludf.DUMMYFUNCTION("IFERROR((FILTER(Data!A:A,Data!D:D=A1031,Data!B:B=$B$1)),"""")"),"")</f>
        <v/>
      </c>
      <c r="T1031" s="52">
        <f>IFERROR(__xludf.DUMMYFUNCTION("((COUNTIF(FILTER(Data!N:N,Data!D:D=A1031,Data!B:B=$B$1),""TRAVERSE"")*15)+(COUNTIF(FILTER(Data!N:N,Data!D:D=A1031,Data!B:B=B$1),""HIGH"")*10)+(COUNTIF(FILTER(Data!N:N,Data!D:D=A1031,Data!B:B=$B$1),""MIDDLE"")*6)+(COUNTIF(FILTER(Data!N:N,Data!D:D=A1031,Dat"&amp;"a!B:B=$B$1),""LOW"")*4))"),0.0)</f>
        <v>0</v>
      </c>
      <c r="V1031" s="138"/>
      <c r="W1031" s="134"/>
      <c r="X1031" s="134"/>
      <c r="Y1031" s="134"/>
      <c r="Z1031" s="134"/>
      <c r="AA1031" s="134"/>
      <c r="AB1031" s="134"/>
      <c r="AC1031" s="134"/>
      <c r="AD1031" s="139"/>
    </row>
    <row r="1032">
      <c r="A1032" s="143"/>
      <c r="B1032" s="134"/>
      <c r="C1032" s="134"/>
      <c r="D1032" s="134"/>
      <c r="E1032" s="134"/>
      <c r="F1032" s="134"/>
      <c r="G1032" s="134"/>
      <c r="H1032" s="134"/>
      <c r="J1032" s="134"/>
      <c r="K1032" s="135"/>
      <c r="L1032" s="136"/>
      <c r="M1032" s="137" t="str">
        <f>IFERROR(__xludf.DUMMYFUNCTION("IFERROR((FILTER(Data!A:A,Data!D:D=A1032,Data!B:B=$B$1)),"""")"),"")</f>
        <v/>
      </c>
      <c r="T1032" s="52">
        <f>IFERROR(__xludf.DUMMYFUNCTION("((COUNTIF(FILTER(Data!N:N,Data!D:D=A1032,Data!B:B=$B$1),""TRAVERSE"")*15)+(COUNTIF(FILTER(Data!N:N,Data!D:D=A1032,Data!B:B=B$1),""HIGH"")*10)+(COUNTIF(FILTER(Data!N:N,Data!D:D=A1032,Data!B:B=$B$1),""MIDDLE"")*6)+(COUNTIF(FILTER(Data!N:N,Data!D:D=A1032,Dat"&amp;"a!B:B=$B$1),""LOW"")*4))"),0.0)</f>
        <v>0</v>
      </c>
      <c r="V1032" s="138"/>
      <c r="W1032" s="134"/>
      <c r="X1032" s="134"/>
      <c r="Y1032" s="134"/>
      <c r="Z1032" s="134"/>
      <c r="AA1032" s="134"/>
      <c r="AB1032" s="134"/>
      <c r="AC1032" s="134"/>
      <c r="AD1032" s="139"/>
    </row>
    <row r="1033">
      <c r="A1033" s="143"/>
      <c r="B1033" s="134"/>
      <c r="C1033" s="134"/>
      <c r="D1033" s="134"/>
      <c r="E1033" s="134"/>
      <c r="F1033" s="134"/>
      <c r="G1033" s="134"/>
      <c r="H1033" s="134"/>
      <c r="J1033" s="134"/>
      <c r="K1033" s="135"/>
      <c r="L1033" s="136"/>
      <c r="M1033" s="137" t="str">
        <f>IFERROR(__xludf.DUMMYFUNCTION("IFERROR((FILTER(Data!A:A,Data!D:D=A1033,Data!B:B=$B$1)),"""")"),"")</f>
        <v/>
      </c>
      <c r="T1033" s="52">
        <f>IFERROR(__xludf.DUMMYFUNCTION("((COUNTIF(FILTER(Data!N:N,Data!D:D=A1033,Data!B:B=$B$1),""TRAVERSE"")*15)+(COUNTIF(FILTER(Data!N:N,Data!D:D=A1033,Data!B:B=B$1),""HIGH"")*10)+(COUNTIF(FILTER(Data!N:N,Data!D:D=A1033,Data!B:B=$B$1),""MIDDLE"")*6)+(COUNTIF(FILTER(Data!N:N,Data!D:D=A1033,Dat"&amp;"a!B:B=$B$1),""LOW"")*4))"),0.0)</f>
        <v>0</v>
      </c>
      <c r="V1033" s="138"/>
      <c r="W1033" s="134"/>
      <c r="X1033" s="134"/>
      <c r="Y1033" s="134"/>
      <c r="Z1033" s="134"/>
      <c r="AA1033" s="134"/>
      <c r="AB1033" s="134"/>
      <c r="AC1033" s="134"/>
      <c r="AD1033" s="139"/>
    </row>
    <row r="1034">
      <c r="A1034" s="143"/>
      <c r="B1034" s="134"/>
      <c r="C1034" s="134"/>
      <c r="D1034" s="134"/>
      <c r="E1034" s="134"/>
      <c r="F1034" s="134"/>
      <c r="G1034" s="134"/>
      <c r="H1034" s="134"/>
      <c r="J1034" s="134"/>
      <c r="K1034" s="135"/>
      <c r="L1034" s="136"/>
      <c r="M1034" s="137" t="str">
        <f>IFERROR(__xludf.DUMMYFUNCTION("IFERROR((FILTER(Data!A:A,Data!D:D=A1034,Data!B:B=$B$1)),"""")"),"")</f>
        <v/>
      </c>
      <c r="T1034" s="52">
        <f>IFERROR(__xludf.DUMMYFUNCTION("((COUNTIF(FILTER(Data!N:N,Data!D:D=A1034,Data!B:B=$B$1),""TRAVERSE"")*15)+(COUNTIF(FILTER(Data!N:N,Data!D:D=A1034,Data!B:B=B$1),""HIGH"")*10)+(COUNTIF(FILTER(Data!N:N,Data!D:D=A1034,Data!B:B=$B$1),""MIDDLE"")*6)+(COUNTIF(FILTER(Data!N:N,Data!D:D=A1034,Dat"&amp;"a!B:B=$B$1),""LOW"")*4))"),0.0)</f>
        <v>0</v>
      </c>
      <c r="V1034" s="138"/>
      <c r="W1034" s="134"/>
      <c r="X1034" s="134"/>
      <c r="Y1034" s="134"/>
      <c r="Z1034" s="134"/>
      <c r="AA1034" s="134"/>
      <c r="AB1034" s="134"/>
      <c r="AC1034" s="134"/>
      <c r="AD1034" s="139"/>
    </row>
    <row r="1035">
      <c r="A1035" s="143"/>
      <c r="B1035" s="134"/>
      <c r="C1035" s="134"/>
      <c r="D1035" s="134"/>
      <c r="E1035" s="134"/>
      <c r="F1035" s="134"/>
      <c r="G1035" s="134"/>
      <c r="H1035" s="134"/>
      <c r="J1035" s="134"/>
      <c r="K1035" s="135"/>
      <c r="L1035" s="136"/>
      <c r="M1035" s="137" t="str">
        <f>IFERROR(__xludf.DUMMYFUNCTION("IFERROR((FILTER(Data!A:A,Data!D:D=A1035,Data!B:B=$B$1)),"""")"),"")</f>
        <v/>
      </c>
      <c r="T1035" s="52">
        <f>IFERROR(__xludf.DUMMYFUNCTION("((COUNTIF(FILTER(Data!N:N,Data!D:D=A1035,Data!B:B=$B$1),""TRAVERSE"")*15)+(COUNTIF(FILTER(Data!N:N,Data!D:D=A1035,Data!B:B=B$1),""HIGH"")*10)+(COUNTIF(FILTER(Data!N:N,Data!D:D=A1035,Data!B:B=$B$1),""MIDDLE"")*6)+(COUNTIF(FILTER(Data!N:N,Data!D:D=A1035,Dat"&amp;"a!B:B=$B$1),""LOW"")*4))"),0.0)</f>
        <v>0</v>
      </c>
      <c r="V1035" s="138"/>
      <c r="W1035" s="134"/>
      <c r="X1035" s="134"/>
      <c r="Y1035" s="134"/>
      <c r="Z1035" s="134"/>
      <c r="AA1035" s="134"/>
      <c r="AB1035" s="134"/>
      <c r="AC1035" s="134"/>
      <c r="AD1035" s="139"/>
    </row>
    <row r="1036">
      <c r="A1036" s="143"/>
      <c r="B1036" s="134"/>
      <c r="C1036" s="134"/>
      <c r="D1036" s="134"/>
      <c r="E1036" s="134"/>
      <c r="F1036" s="134"/>
      <c r="G1036" s="134"/>
      <c r="H1036" s="134"/>
      <c r="J1036" s="134"/>
      <c r="K1036" s="135"/>
      <c r="L1036" s="136"/>
      <c r="M1036" s="137" t="str">
        <f>IFERROR(__xludf.DUMMYFUNCTION("IFERROR((FILTER(Data!A:A,Data!D:D=A1036,Data!B:B=$B$1)),"""")"),"")</f>
        <v/>
      </c>
      <c r="T1036" s="52">
        <f>IFERROR(__xludf.DUMMYFUNCTION("((COUNTIF(FILTER(Data!N:N,Data!D:D=A1036,Data!B:B=$B$1),""TRAVERSE"")*15)+(COUNTIF(FILTER(Data!N:N,Data!D:D=A1036,Data!B:B=B$1),""HIGH"")*10)+(COUNTIF(FILTER(Data!N:N,Data!D:D=A1036,Data!B:B=$B$1),""MIDDLE"")*6)+(COUNTIF(FILTER(Data!N:N,Data!D:D=A1036,Dat"&amp;"a!B:B=$B$1),""LOW"")*4))"),0.0)</f>
        <v>0</v>
      </c>
      <c r="V1036" s="138"/>
      <c r="W1036" s="134"/>
      <c r="X1036" s="134"/>
      <c r="Y1036" s="134"/>
      <c r="Z1036" s="134"/>
      <c r="AA1036" s="134"/>
      <c r="AB1036" s="134"/>
      <c r="AC1036" s="134"/>
      <c r="AD1036" s="139"/>
    </row>
    <row r="1037">
      <c r="A1037" s="143"/>
      <c r="B1037" s="134"/>
      <c r="C1037" s="134"/>
      <c r="D1037" s="134"/>
      <c r="E1037" s="134"/>
      <c r="F1037" s="134"/>
      <c r="G1037" s="134"/>
      <c r="H1037" s="134"/>
      <c r="J1037" s="134"/>
      <c r="K1037" s="135"/>
      <c r="L1037" s="136"/>
      <c r="M1037" s="137" t="str">
        <f>IFERROR(__xludf.DUMMYFUNCTION("IFERROR((FILTER(Data!A:A,Data!D:D=A1037,Data!B:B=$B$1)),"""")"),"")</f>
        <v/>
      </c>
      <c r="T1037" s="52">
        <f>IFERROR(__xludf.DUMMYFUNCTION("((COUNTIF(FILTER(Data!N:N,Data!D:D=A1037,Data!B:B=$B$1),""TRAVERSE"")*15)+(COUNTIF(FILTER(Data!N:N,Data!D:D=A1037,Data!B:B=B$1),""HIGH"")*10)+(COUNTIF(FILTER(Data!N:N,Data!D:D=A1037,Data!B:B=$B$1),""MIDDLE"")*6)+(COUNTIF(FILTER(Data!N:N,Data!D:D=A1037,Dat"&amp;"a!B:B=$B$1),""LOW"")*4))"),0.0)</f>
        <v>0</v>
      </c>
      <c r="V1037" s="138"/>
      <c r="W1037" s="134"/>
      <c r="X1037" s="134"/>
      <c r="Y1037" s="134"/>
      <c r="Z1037" s="134"/>
      <c r="AA1037" s="134"/>
      <c r="AB1037" s="134"/>
      <c r="AC1037" s="134"/>
      <c r="AD1037" s="139"/>
    </row>
    <row r="1038">
      <c r="A1038" s="143"/>
      <c r="B1038" s="134"/>
      <c r="C1038" s="134"/>
      <c r="D1038" s="134"/>
      <c r="E1038" s="134"/>
      <c r="F1038" s="134"/>
      <c r="G1038" s="134"/>
      <c r="H1038" s="134"/>
      <c r="J1038" s="134"/>
      <c r="K1038" s="135"/>
      <c r="L1038" s="136"/>
      <c r="M1038" s="137" t="str">
        <f>IFERROR(__xludf.DUMMYFUNCTION("IFERROR((FILTER(Data!A:A,Data!D:D=A1038,Data!B:B=$B$1)),"""")"),"")</f>
        <v/>
      </c>
      <c r="T1038" s="52">
        <f>IFERROR(__xludf.DUMMYFUNCTION("((COUNTIF(FILTER(Data!N:N,Data!D:D=A1038,Data!B:B=$B$1),""TRAVERSE"")*15)+(COUNTIF(FILTER(Data!N:N,Data!D:D=A1038,Data!B:B=B$1),""HIGH"")*10)+(COUNTIF(FILTER(Data!N:N,Data!D:D=A1038,Data!B:B=$B$1),""MIDDLE"")*6)+(COUNTIF(FILTER(Data!N:N,Data!D:D=A1038,Dat"&amp;"a!B:B=$B$1),""LOW"")*4))"),0.0)</f>
        <v>0</v>
      </c>
      <c r="V1038" s="138"/>
      <c r="W1038" s="134"/>
      <c r="X1038" s="134"/>
      <c r="Y1038" s="134"/>
      <c r="Z1038" s="134"/>
      <c r="AA1038" s="134"/>
      <c r="AB1038" s="134"/>
      <c r="AC1038" s="134"/>
      <c r="AD1038" s="139"/>
    </row>
    <row r="1039">
      <c r="A1039" s="143"/>
      <c r="B1039" s="134"/>
      <c r="C1039" s="134"/>
      <c r="D1039" s="134"/>
      <c r="E1039" s="134"/>
      <c r="F1039" s="134"/>
      <c r="G1039" s="134"/>
      <c r="H1039" s="134"/>
      <c r="J1039" s="134"/>
      <c r="K1039" s="135"/>
      <c r="L1039" s="136"/>
      <c r="M1039" s="137" t="str">
        <f>IFERROR(__xludf.DUMMYFUNCTION("IFERROR((FILTER(Data!A:A,Data!D:D=A1039,Data!B:B=$B$1)),"""")"),"")</f>
        <v/>
      </c>
      <c r="T1039" s="52">
        <f>IFERROR(__xludf.DUMMYFUNCTION("((COUNTIF(FILTER(Data!N:N,Data!D:D=A1039,Data!B:B=$B$1),""TRAVERSE"")*15)+(COUNTIF(FILTER(Data!N:N,Data!D:D=A1039,Data!B:B=B$1),""HIGH"")*10)+(COUNTIF(FILTER(Data!N:N,Data!D:D=A1039,Data!B:B=$B$1),""MIDDLE"")*6)+(COUNTIF(FILTER(Data!N:N,Data!D:D=A1039,Dat"&amp;"a!B:B=$B$1),""LOW"")*4))"),0.0)</f>
        <v>0</v>
      </c>
      <c r="V1039" s="138"/>
      <c r="W1039" s="134"/>
      <c r="X1039" s="134"/>
      <c r="Y1039" s="134"/>
      <c r="Z1039" s="134"/>
      <c r="AA1039" s="134"/>
      <c r="AB1039" s="134"/>
      <c r="AC1039" s="134"/>
      <c r="AD1039" s="139"/>
    </row>
    <row r="1040">
      <c r="A1040" s="143"/>
      <c r="B1040" s="134"/>
      <c r="C1040" s="134"/>
      <c r="D1040" s="134"/>
      <c r="E1040" s="134"/>
      <c r="F1040" s="134"/>
      <c r="G1040" s="134"/>
      <c r="H1040" s="134"/>
      <c r="J1040" s="134"/>
      <c r="K1040" s="135"/>
      <c r="L1040" s="136"/>
      <c r="M1040" s="137" t="str">
        <f>IFERROR(__xludf.DUMMYFUNCTION("IFERROR((FILTER(Data!A:A,Data!D:D=A1040,Data!B:B=$B$1)),"""")"),"")</f>
        <v/>
      </c>
      <c r="T1040" s="52">
        <f>IFERROR(__xludf.DUMMYFUNCTION("((COUNTIF(FILTER(Data!N:N,Data!D:D=A1040,Data!B:B=$B$1),""TRAVERSE"")*15)+(COUNTIF(FILTER(Data!N:N,Data!D:D=A1040,Data!B:B=B$1),""HIGH"")*10)+(COUNTIF(FILTER(Data!N:N,Data!D:D=A1040,Data!B:B=$B$1),""MIDDLE"")*6)+(COUNTIF(FILTER(Data!N:N,Data!D:D=A1040,Dat"&amp;"a!B:B=$B$1),""LOW"")*4))"),0.0)</f>
        <v>0</v>
      </c>
      <c r="V1040" s="138"/>
      <c r="W1040" s="134"/>
      <c r="X1040" s="134"/>
      <c r="Y1040" s="134"/>
      <c r="Z1040" s="134"/>
      <c r="AA1040" s="134"/>
      <c r="AB1040" s="134"/>
      <c r="AC1040" s="134"/>
      <c r="AD1040" s="139"/>
    </row>
    <row r="1041">
      <c r="A1041" s="143"/>
      <c r="B1041" s="134"/>
      <c r="C1041" s="134"/>
      <c r="D1041" s="134"/>
      <c r="E1041" s="134"/>
      <c r="F1041" s="134"/>
      <c r="G1041" s="134"/>
      <c r="H1041" s="134"/>
      <c r="J1041" s="134"/>
      <c r="K1041" s="135"/>
      <c r="L1041" s="136"/>
      <c r="M1041" s="137" t="str">
        <f>IFERROR(__xludf.DUMMYFUNCTION("IFERROR((FILTER(Data!A:A,Data!D:D=A1041,Data!B:B=$B$1)),"""")"),"")</f>
        <v/>
      </c>
      <c r="T1041" s="52">
        <f>IFERROR(__xludf.DUMMYFUNCTION("((COUNTIF(FILTER(Data!N:N,Data!D:D=A1041,Data!B:B=$B$1),""TRAVERSE"")*15)+(COUNTIF(FILTER(Data!N:N,Data!D:D=A1041,Data!B:B=B$1),""HIGH"")*10)+(COUNTIF(FILTER(Data!N:N,Data!D:D=A1041,Data!B:B=$B$1),""MIDDLE"")*6)+(COUNTIF(FILTER(Data!N:N,Data!D:D=A1041,Dat"&amp;"a!B:B=$B$1),""LOW"")*4))"),0.0)</f>
        <v>0</v>
      </c>
      <c r="V1041" s="138"/>
      <c r="W1041" s="134"/>
      <c r="X1041" s="134"/>
      <c r="Y1041" s="134"/>
      <c r="Z1041" s="134"/>
      <c r="AA1041" s="134"/>
      <c r="AB1041" s="134"/>
      <c r="AC1041" s="134"/>
      <c r="AD1041" s="139"/>
    </row>
    <row r="1042">
      <c r="A1042" s="143"/>
      <c r="B1042" s="134"/>
      <c r="C1042" s="134"/>
      <c r="D1042" s="134"/>
      <c r="E1042" s="134"/>
      <c r="F1042" s="134"/>
      <c r="G1042" s="134"/>
      <c r="H1042" s="134"/>
      <c r="J1042" s="134"/>
      <c r="K1042" s="135"/>
      <c r="L1042" s="136"/>
      <c r="M1042" s="137" t="str">
        <f>IFERROR(__xludf.DUMMYFUNCTION("IFERROR((FILTER(Data!A:A,Data!D:D=A1042,Data!B:B=$B$1)),"""")"),"")</f>
        <v/>
      </c>
      <c r="T1042" s="52">
        <f>IFERROR(__xludf.DUMMYFUNCTION("((COUNTIF(FILTER(Data!N:N,Data!D:D=A1042,Data!B:B=$B$1),""TRAVERSE"")*15)+(COUNTIF(FILTER(Data!N:N,Data!D:D=A1042,Data!B:B=B$1),""HIGH"")*10)+(COUNTIF(FILTER(Data!N:N,Data!D:D=A1042,Data!B:B=$B$1),""MIDDLE"")*6)+(COUNTIF(FILTER(Data!N:N,Data!D:D=A1042,Dat"&amp;"a!B:B=$B$1),""LOW"")*4))"),0.0)</f>
        <v>0</v>
      </c>
      <c r="V1042" s="138"/>
      <c r="W1042" s="134"/>
      <c r="X1042" s="134"/>
      <c r="Y1042" s="134"/>
      <c r="Z1042" s="134"/>
      <c r="AA1042" s="134"/>
      <c r="AB1042" s="134"/>
      <c r="AC1042" s="134"/>
      <c r="AD1042" s="139"/>
    </row>
    <row r="1043">
      <c r="A1043" s="143"/>
      <c r="B1043" s="134"/>
      <c r="C1043" s="134"/>
      <c r="D1043" s="134"/>
      <c r="E1043" s="134"/>
      <c r="F1043" s="134"/>
      <c r="G1043" s="134"/>
      <c r="H1043" s="134"/>
      <c r="J1043" s="134"/>
      <c r="K1043" s="135"/>
      <c r="L1043" s="136"/>
      <c r="M1043" s="137" t="str">
        <f>IFERROR(__xludf.DUMMYFUNCTION("IFERROR((FILTER(Data!A:A,Data!D:D=A1043,Data!B:B=$B$1)),"""")"),"")</f>
        <v/>
      </c>
      <c r="T1043" s="52">
        <f>IFERROR(__xludf.DUMMYFUNCTION("((COUNTIF(FILTER(Data!N:N,Data!D:D=A1043,Data!B:B=$B$1),""TRAVERSE"")*15)+(COUNTIF(FILTER(Data!N:N,Data!D:D=A1043,Data!B:B=B$1),""HIGH"")*10)+(COUNTIF(FILTER(Data!N:N,Data!D:D=A1043,Data!B:B=$B$1),""MIDDLE"")*6)+(COUNTIF(FILTER(Data!N:N,Data!D:D=A1043,Dat"&amp;"a!B:B=$B$1),""LOW"")*4))"),0.0)</f>
        <v>0</v>
      </c>
      <c r="V1043" s="138"/>
      <c r="W1043" s="134"/>
      <c r="X1043" s="134"/>
      <c r="Y1043" s="134"/>
      <c r="Z1043" s="134"/>
      <c r="AA1043" s="134"/>
      <c r="AB1043" s="134"/>
      <c r="AC1043" s="134"/>
      <c r="AD1043" s="139"/>
    </row>
    <row r="1044">
      <c r="A1044" s="143"/>
      <c r="B1044" s="134"/>
      <c r="C1044" s="134"/>
      <c r="D1044" s="134"/>
      <c r="E1044" s="134"/>
      <c r="F1044" s="134"/>
      <c r="G1044" s="134"/>
      <c r="H1044" s="134"/>
      <c r="J1044" s="134"/>
      <c r="K1044" s="135"/>
      <c r="L1044" s="136"/>
      <c r="M1044" s="137" t="str">
        <f>IFERROR(__xludf.DUMMYFUNCTION("IFERROR((FILTER(Data!A:A,Data!D:D=A1044,Data!B:B=$B$1)),"""")"),"")</f>
        <v/>
      </c>
      <c r="T1044" s="52">
        <f>IFERROR(__xludf.DUMMYFUNCTION("((COUNTIF(FILTER(Data!N:N,Data!D:D=A1044,Data!B:B=$B$1),""TRAVERSE"")*15)+(COUNTIF(FILTER(Data!N:N,Data!D:D=A1044,Data!B:B=B$1),""HIGH"")*10)+(COUNTIF(FILTER(Data!N:N,Data!D:D=A1044,Data!B:B=$B$1),""MIDDLE"")*6)+(COUNTIF(FILTER(Data!N:N,Data!D:D=A1044,Dat"&amp;"a!B:B=$B$1),""LOW"")*4))"),0.0)</f>
        <v>0</v>
      </c>
      <c r="V1044" s="138"/>
      <c r="W1044" s="134"/>
      <c r="X1044" s="134"/>
      <c r="Y1044" s="134"/>
      <c r="Z1044" s="134"/>
      <c r="AA1044" s="134"/>
      <c r="AB1044" s="134"/>
      <c r="AC1044" s="134"/>
      <c r="AD1044" s="139"/>
    </row>
    <row r="1045">
      <c r="A1045" s="143"/>
      <c r="B1045" s="134"/>
      <c r="C1045" s="134"/>
      <c r="D1045" s="134"/>
      <c r="E1045" s="134"/>
      <c r="F1045" s="134"/>
      <c r="G1045" s="134"/>
      <c r="H1045" s="134"/>
      <c r="J1045" s="134"/>
      <c r="K1045" s="135"/>
      <c r="L1045" s="136"/>
      <c r="M1045" s="137" t="str">
        <f>IFERROR(__xludf.DUMMYFUNCTION("IFERROR((FILTER(Data!A:A,Data!D:D=A1045,Data!B:B=$B$1)),"""")"),"")</f>
        <v/>
      </c>
      <c r="T1045" s="52">
        <f>IFERROR(__xludf.DUMMYFUNCTION("((COUNTIF(FILTER(Data!N:N,Data!D:D=A1045,Data!B:B=$B$1),""TRAVERSE"")*15)+(COUNTIF(FILTER(Data!N:N,Data!D:D=A1045,Data!B:B=B$1),""HIGH"")*10)+(COUNTIF(FILTER(Data!N:N,Data!D:D=A1045,Data!B:B=$B$1),""MIDDLE"")*6)+(COUNTIF(FILTER(Data!N:N,Data!D:D=A1045,Dat"&amp;"a!B:B=$B$1),""LOW"")*4))"),0.0)</f>
        <v>0</v>
      </c>
      <c r="V1045" s="138"/>
      <c r="W1045" s="134"/>
      <c r="X1045" s="134"/>
      <c r="Y1045" s="134"/>
      <c r="Z1045" s="134"/>
      <c r="AA1045" s="134"/>
      <c r="AB1045" s="134"/>
      <c r="AC1045" s="134"/>
      <c r="AD1045" s="139"/>
    </row>
    <row r="1046">
      <c r="A1046" s="143"/>
      <c r="B1046" s="134"/>
      <c r="C1046" s="134"/>
      <c r="D1046" s="134"/>
      <c r="E1046" s="134"/>
      <c r="F1046" s="134"/>
      <c r="G1046" s="134"/>
      <c r="H1046" s="134"/>
      <c r="J1046" s="134"/>
      <c r="K1046" s="135"/>
      <c r="L1046" s="136"/>
      <c r="M1046" s="137" t="str">
        <f>IFERROR(__xludf.DUMMYFUNCTION("IFERROR((FILTER(Data!A:A,Data!D:D=A1046,Data!B:B=$B$1)),"""")"),"")</f>
        <v/>
      </c>
      <c r="T1046" s="52">
        <f>IFERROR(__xludf.DUMMYFUNCTION("((COUNTIF(FILTER(Data!N:N,Data!D:D=A1046,Data!B:B=$B$1),""TRAVERSE"")*15)+(COUNTIF(FILTER(Data!N:N,Data!D:D=A1046,Data!B:B=B$1),""HIGH"")*10)+(COUNTIF(FILTER(Data!N:N,Data!D:D=A1046,Data!B:B=$B$1),""MIDDLE"")*6)+(COUNTIF(FILTER(Data!N:N,Data!D:D=A1046,Dat"&amp;"a!B:B=$B$1),""LOW"")*4))"),0.0)</f>
        <v>0</v>
      </c>
      <c r="V1046" s="138"/>
      <c r="W1046" s="134"/>
      <c r="X1046" s="134"/>
      <c r="Y1046" s="134"/>
      <c r="Z1046" s="134"/>
      <c r="AA1046" s="134"/>
      <c r="AB1046" s="134"/>
      <c r="AC1046" s="134"/>
      <c r="AD1046" s="139"/>
    </row>
    <row r="1047">
      <c r="A1047" s="143"/>
      <c r="B1047" s="134"/>
      <c r="C1047" s="134"/>
      <c r="D1047" s="134"/>
      <c r="E1047" s="134"/>
      <c r="F1047" s="134"/>
      <c r="G1047" s="134"/>
      <c r="H1047" s="134"/>
      <c r="J1047" s="134"/>
      <c r="K1047" s="135"/>
      <c r="L1047" s="136"/>
      <c r="M1047" s="137" t="str">
        <f>IFERROR(__xludf.DUMMYFUNCTION("IFERROR((FILTER(Data!A:A,Data!D:D=A1047,Data!B:B=$B$1)),"""")"),"")</f>
        <v/>
      </c>
      <c r="T1047" s="52">
        <f>IFERROR(__xludf.DUMMYFUNCTION("((COUNTIF(FILTER(Data!N:N,Data!D:D=A1047,Data!B:B=$B$1),""TRAVERSE"")*15)+(COUNTIF(FILTER(Data!N:N,Data!D:D=A1047,Data!B:B=B$1),""HIGH"")*10)+(COUNTIF(FILTER(Data!N:N,Data!D:D=A1047,Data!B:B=$B$1),""MIDDLE"")*6)+(COUNTIF(FILTER(Data!N:N,Data!D:D=A1047,Dat"&amp;"a!B:B=$B$1),""LOW"")*4))"),0.0)</f>
        <v>0</v>
      </c>
      <c r="V1047" s="138"/>
      <c r="W1047" s="134"/>
      <c r="X1047" s="134"/>
      <c r="Y1047" s="134"/>
      <c r="Z1047" s="134"/>
      <c r="AA1047" s="134"/>
      <c r="AB1047" s="134"/>
      <c r="AC1047" s="134"/>
      <c r="AD1047" s="139"/>
    </row>
    <row r="1048">
      <c r="A1048" s="143"/>
      <c r="B1048" s="134"/>
      <c r="C1048" s="134"/>
      <c r="D1048" s="134"/>
      <c r="E1048" s="134"/>
      <c r="F1048" s="134"/>
      <c r="G1048" s="134"/>
      <c r="H1048" s="134"/>
      <c r="J1048" s="134"/>
      <c r="K1048" s="135"/>
      <c r="L1048" s="136"/>
      <c r="M1048" s="137" t="str">
        <f>IFERROR(__xludf.DUMMYFUNCTION("IFERROR((FILTER(Data!A:A,Data!D:D=A1048,Data!B:B=$B$1)),"""")"),"")</f>
        <v/>
      </c>
      <c r="T1048" s="52">
        <f>IFERROR(__xludf.DUMMYFUNCTION("((COUNTIF(FILTER(Data!N:N,Data!D:D=A1048,Data!B:B=$B$1),""TRAVERSE"")*15)+(COUNTIF(FILTER(Data!N:N,Data!D:D=A1048,Data!B:B=B$1),""HIGH"")*10)+(COUNTIF(FILTER(Data!N:N,Data!D:D=A1048,Data!B:B=$B$1),""MIDDLE"")*6)+(COUNTIF(FILTER(Data!N:N,Data!D:D=A1048,Dat"&amp;"a!B:B=$B$1),""LOW"")*4))"),0.0)</f>
        <v>0</v>
      </c>
      <c r="V1048" s="138"/>
      <c r="W1048" s="134"/>
      <c r="X1048" s="134"/>
      <c r="Y1048" s="134"/>
      <c r="Z1048" s="134"/>
      <c r="AA1048" s="134"/>
      <c r="AB1048" s="134"/>
      <c r="AC1048" s="134"/>
      <c r="AD1048" s="139"/>
    </row>
    <row r="1049">
      <c r="A1049" s="143"/>
      <c r="B1049" s="134"/>
      <c r="C1049" s="134"/>
      <c r="D1049" s="134"/>
      <c r="E1049" s="134"/>
      <c r="F1049" s="134"/>
      <c r="G1049" s="134"/>
      <c r="H1049" s="134"/>
      <c r="J1049" s="134"/>
      <c r="K1049" s="135"/>
      <c r="L1049" s="136"/>
      <c r="M1049" s="137" t="str">
        <f>IFERROR(__xludf.DUMMYFUNCTION("IFERROR((FILTER(Data!A:A,Data!D:D=A1049,Data!B:B=$B$1)),"""")"),"")</f>
        <v/>
      </c>
      <c r="T1049" s="52">
        <f>IFERROR(__xludf.DUMMYFUNCTION("((COUNTIF(FILTER(Data!N:N,Data!D:D=A1049,Data!B:B=$B$1),""TRAVERSE"")*15)+(COUNTIF(FILTER(Data!N:N,Data!D:D=A1049,Data!B:B=B$1),""HIGH"")*10)+(COUNTIF(FILTER(Data!N:N,Data!D:D=A1049,Data!B:B=$B$1),""MIDDLE"")*6)+(COUNTIF(FILTER(Data!N:N,Data!D:D=A1049,Dat"&amp;"a!B:B=$B$1),""LOW"")*4))"),0.0)</f>
        <v>0</v>
      </c>
      <c r="V1049" s="138"/>
      <c r="W1049" s="134"/>
      <c r="X1049" s="134"/>
      <c r="Y1049" s="134"/>
      <c r="Z1049" s="134"/>
      <c r="AA1049" s="134"/>
      <c r="AB1049" s="134"/>
      <c r="AC1049" s="134"/>
      <c r="AD1049" s="139"/>
    </row>
    <row r="1050">
      <c r="A1050" s="143"/>
      <c r="B1050" s="134"/>
      <c r="C1050" s="134"/>
      <c r="D1050" s="134"/>
      <c r="E1050" s="134"/>
      <c r="F1050" s="134"/>
      <c r="G1050" s="134"/>
      <c r="H1050" s="134"/>
      <c r="J1050" s="134"/>
      <c r="K1050" s="135"/>
      <c r="L1050" s="136"/>
      <c r="M1050" s="137" t="str">
        <f>IFERROR(__xludf.DUMMYFUNCTION("IFERROR((FILTER(Data!A:A,Data!D:D=A1050,Data!B:B=$B$1)),"""")"),"")</f>
        <v/>
      </c>
      <c r="T1050" s="52">
        <f>IFERROR(__xludf.DUMMYFUNCTION("((COUNTIF(FILTER(Data!N:N,Data!D:D=A1050,Data!B:B=$B$1),""TRAVERSE"")*15)+(COUNTIF(FILTER(Data!N:N,Data!D:D=A1050,Data!B:B=B$1),""HIGH"")*10)+(COUNTIF(FILTER(Data!N:N,Data!D:D=A1050,Data!B:B=$B$1),""MIDDLE"")*6)+(COUNTIF(FILTER(Data!N:N,Data!D:D=A1050,Dat"&amp;"a!B:B=$B$1),""LOW"")*4))"),0.0)</f>
        <v>0</v>
      </c>
      <c r="V1050" s="138"/>
      <c r="W1050" s="134"/>
      <c r="X1050" s="134"/>
      <c r="Y1050" s="134"/>
      <c r="Z1050" s="134"/>
      <c r="AA1050" s="134"/>
      <c r="AB1050" s="134"/>
      <c r="AC1050" s="134"/>
      <c r="AD1050" s="139"/>
    </row>
    <row r="1051">
      <c r="A1051" s="143"/>
      <c r="B1051" s="134"/>
      <c r="C1051" s="134"/>
      <c r="D1051" s="134"/>
      <c r="E1051" s="134"/>
      <c r="F1051" s="134"/>
      <c r="G1051" s="134"/>
      <c r="H1051" s="134"/>
      <c r="J1051" s="134"/>
      <c r="K1051" s="135"/>
      <c r="L1051" s="136"/>
      <c r="M1051" s="137" t="str">
        <f>IFERROR(__xludf.DUMMYFUNCTION("IFERROR((FILTER(Data!A:A,Data!D:D=A1051,Data!B:B=$B$1)),"""")"),"")</f>
        <v/>
      </c>
      <c r="T1051" s="52">
        <f>IFERROR(__xludf.DUMMYFUNCTION("((COUNTIF(FILTER(Data!N:N,Data!D:D=A1051,Data!B:B=$B$1),""TRAVERSE"")*15)+(COUNTIF(FILTER(Data!N:N,Data!D:D=A1051,Data!B:B=B$1),""HIGH"")*10)+(COUNTIF(FILTER(Data!N:N,Data!D:D=A1051,Data!B:B=$B$1),""MIDDLE"")*6)+(COUNTIF(FILTER(Data!N:N,Data!D:D=A1051,Dat"&amp;"a!B:B=$B$1),""LOW"")*4))"),0.0)</f>
        <v>0</v>
      </c>
      <c r="V1051" s="138"/>
      <c r="W1051" s="134"/>
      <c r="X1051" s="134"/>
      <c r="Y1051" s="134"/>
      <c r="Z1051" s="134"/>
      <c r="AA1051" s="134"/>
      <c r="AB1051" s="134"/>
      <c r="AC1051" s="134"/>
      <c r="AD1051" s="139"/>
    </row>
    <row r="1052">
      <c r="A1052" s="143"/>
      <c r="B1052" s="134"/>
      <c r="C1052" s="134"/>
      <c r="D1052" s="134"/>
      <c r="E1052" s="134"/>
      <c r="F1052" s="134"/>
      <c r="G1052" s="134"/>
      <c r="H1052" s="134"/>
      <c r="J1052" s="134"/>
      <c r="K1052" s="135"/>
      <c r="L1052" s="136"/>
      <c r="M1052" s="137" t="str">
        <f>IFERROR(__xludf.DUMMYFUNCTION("IFERROR((FILTER(Data!A:A,Data!D:D=A1052,Data!B:B=$B$1)),"""")"),"")</f>
        <v/>
      </c>
      <c r="T1052" s="52">
        <f>IFERROR(__xludf.DUMMYFUNCTION("((COUNTIF(FILTER(Data!N:N,Data!D:D=A1052,Data!B:B=$B$1),""TRAVERSE"")*15)+(COUNTIF(FILTER(Data!N:N,Data!D:D=A1052,Data!B:B=B$1),""HIGH"")*10)+(COUNTIF(FILTER(Data!N:N,Data!D:D=A1052,Data!B:B=$B$1),""MIDDLE"")*6)+(COUNTIF(FILTER(Data!N:N,Data!D:D=A1052,Dat"&amp;"a!B:B=$B$1),""LOW"")*4))"),0.0)</f>
        <v>0</v>
      </c>
      <c r="V1052" s="138"/>
      <c r="W1052" s="134"/>
      <c r="X1052" s="134"/>
      <c r="Y1052" s="134"/>
      <c r="Z1052" s="134"/>
      <c r="AA1052" s="134"/>
      <c r="AB1052" s="134"/>
      <c r="AC1052" s="134"/>
      <c r="AD1052" s="139"/>
    </row>
    <row r="1053">
      <c r="A1053" s="143"/>
      <c r="B1053" s="134"/>
      <c r="C1053" s="134"/>
      <c r="D1053" s="134"/>
      <c r="E1053" s="134"/>
      <c r="F1053" s="134"/>
      <c r="G1053" s="134"/>
      <c r="H1053" s="134"/>
      <c r="J1053" s="134"/>
      <c r="K1053" s="135"/>
      <c r="L1053" s="136"/>
      <c r="M1053" s="137" t="str">
        <f>IFERROR(__xludf.DUMMYFUNCTION("IFERROR((FILTER(Data!A:A,Data!D:D=A1053,Data!B:B=$B$1)),"""")"),"")</f>
        <v/>
      </c>
      <c r="T1053" s="52">
        <f>IFERROR(__xludf.DUMMYFUNCTION("((COUNTIF(FILTER(Data!N:N,Data!D:D=A1053,Data!B:B=$B$1),""TRAVERSE"")*15)+(COUNTIF(FILTER(Data!N:N,Data!D:D=A1053,Data!B:B=B$1),""HIGH"")*10)+(COUNTIF(FILTER(Data!N:N,Data!D:D=A1053,Data!B:B=$B$1),""MIDDLE"")*6)+(COUNTIF(FILTER(Data!N:N,Data!D:D=A1053,Dat"&amp;"a!B:B=$B$1),""LOW"")*4))"),0.0)</f>
        <v>0</v>
      </c>
      <c r="V1053" s="138"/>
      <c r="W1053" s="134"/>
      <c r="X1053" s="134"/>
      <c r="Y1053" s="134"/>
      <c r="Z1053" s="134"/>
      <c r="AA1053" s="134"/>
      <c r="AB1053" s="134"/>
      <c r="AC1053" s="134"/>
      <c r="AD1053" s="139"/>
    </row>
    <row r="1054">
      <c r="A1054" s="143"/>
      <c r="B1054" s="134"/>
      <c r="C1054" s="134"/>
      <c r="D1054" s="134"/>
      <c r="E1054" s="134"/>
      <c r="F1054" s="134"/>
      <c r="G1054" s="134"/>
      <c r="H1054" s="134"/>
      <c r="J1054" s="134"/>
      <c r="K1054" s="135"/>
      <c r="L1054" s="136"/>
      <c r="M1054" s="137" t="str">
        <f>IFERROR(__xludf.DUMMYFUNCTION("IFERROR((FILTER(Data!A:A,Data!D:D=A1054,Data!B:B=$B$1)),"""")"),"")</f>
        <v/>
      </c>
      <c r="T1054" s="52">
        <f>IFERROR(__xludf.DUMMYFUNCTION("((COUNTIF(FILTER(Data!N:N,Data!D:D=A1054,Data!B:B=$B$1),""TRAVERSE"")*15)+(COUNTIF(FILTER(Data!N:N,Data!D:D=A1054,Data!B:B=B$1),""HIGH"")*10)+(COUNTIF(FILTER(Data!N:N,Data!D:D=A1054,Data!B:B=$B$1),""MIDDLE"")*6)+(COUNTIF(FILTER(Data!N:N,Data!D:D=A1054,Dat"&amp;"a!B:B=$B$1),""LOW"")*4))"),0.0)</f>
        <v>0</v>
      </c>
      <c r="V1054" s="138"/>
      <c r="W1054" s="134"/>
      <c r="X1054" s="134"/>
      <c r="Y1054" s="134"/>
      <c r="Z1054" s="134"/>
      <c r="AA1054" s="134"/>
      <c r="AB1054" s="134"/>
      <c r="AC1054" s="134"/>
      <c r="AD1054" s="139"/>
    </row>
    <row r="1055">
      <c r="A1055" s="143"/>
      <c r="B1055" s="134"/>
      <c r="C1055" s="134"/>
      <c r="D1055" s="134"/>
      <c r="E1055" s="134"/>
      <c r="F1055" s="134"/>
      <c r="G1055" s="134"/>
      <c r="H1055" s="134"/>
      <c r="J1055" s="134"/>
      <c r="K1055" s="135"/>
      <c r="L1055" s="136"/>
      <c r="M1055" s="137" t="str">
        <f>IFERROR(__xludf.DUMMYFUNCTION("IFERROR((FILTER(Data!A:A,Data!D:D=A1055,Data!B:B=$B$1)),"""")"),"")</f>
        <v/>
      </c>
      <c r="T1055" s="52">
        <f>IFERROR(__xludf.DUMMYFUNCTION("((COUNTIF(FILTER(Data!N:N,Data!D:D=A1055,Data!B:B=$B$1),""TRAVERSE"")*15)+(COUNTIF(FILTER(Data!N:N,Data!D:D=A1055,Data!B:B=B$1),""HIGH"")*10)+(COUNTIF(FILTER(Data!N:N,Data!D:D=A1055,Data!B:B=$B$1),""MIDDLE"")*6)+(COUNTIF(FILTER(Data!N:N,Data!D:D=A1055,Dat"&amp;"a!B:B=$B$1),""LOW"")*4))"),0.0)</f>
        <v>0</v>
      </c>
      <c r="V1055" s="138"/>
      <c r="W1055" s="134"/>
      <c r="X1055" s="134"/>
      <c r="Y1055" s="134"/>
      <c r="Z1055" s="134"/>
      <c r="AA1055" s="134"/>
      <c r="AB1055" s="134"/>
      <c r="AC1055" s="134"/>
      <c r="AD1055" s="139"/>
    </row>
    <row r="1056">
      <c r="A1056" s="143"/>
      <c r="B1056" s="134"/>
      <c r="C1056" s="134"/>
      <c r="D1056" s="134"/>
      <c r="E1056" s="134"/>
      <c r="F1056" s="134"/>
      <c r="G1056" s="134"/>
      <c r="H1056" s="134"/>
      <c r="J1056" s="134"/>
      <c r="K1056" s="135"/>
      <c r="L1056" s="136"/>
      <c r="M1056" s="137" t="str">
        <f>IFERROR(__xludf.DUMMYFUNCTION("IFERROR((FILTER(Data!A:A,Data!D:D=A1056,Data!B:B=$B$1)),"""")"),"")</f>
        <v/>
      </c>
      <c r="T1056" s="52">
        <f>IFERROR(__xludf.DUMMYFUNCTION("((COUNTIF(FILTER(Data!N:N,Data!D:D=A1056,Data!B:B=$B$1),""TRAVERSE"")*15)+(COUNTIF(FILTER(Data!N:N,Data!D:D=A1056,Data!B:B=B$1),""HIGH"")*10)+(COUNTIF(FILTER(Data!N:N,Data!D:D=A1056,Data!B:B=$B$1),""MIDDLE"")*6)+(COUNTIF(FILTER(Data!N:N,Data!D:D=A1056,Dat"&amp;"a!B:B=$B$1),""LOW"")*4))"),0.0)</f>
        <v>0</v>
      </c>
      <c r="V1056" s="138"/>
      <c r="W1056" s="134"/>
      <c r="X1056" s="134"/>
      <c r="Y1056" s="134"/>
      <c r="Z1056" s="134"/>
      <c r="AA1056" s="134"/>
      <c r="AB1056" s="134"/>
      <c r="AC1056" s="134"/>
      <c r="AD1056" s="139"/>
    </row>
    <row r="1057">
      <c r="A1057" s="143"/>
      <c r="B1057" s="134"/>
      <c r="C1057" s="134"/>
      <c r="D1057" s="134"/>
      <c r="E1057" s="134"/>
      <c r="F1057" s="134"/>
      <c r="G1057" s="134"/>
      <c r="H1057" s="134"/>
      <c r="J1057" s="134"/>
      <c r="K1057" s="135"/>
      <c r="L1057" s="136"/>
      <c r="M1057" s="137" t="str">
        <f>IFERROR(__xludf.DUMMYFUNCTION("IFERROR((FILTER(Data!A:A,Data!D:D=A1057,Data!B:B=$B$1)),"""")"),"")</f>
        <v/>
      </c>
      <c r="T1057" s="52">
        <f>IFERROR(__xludf.DUMMYFUNCTION("((COUNTIF(FILTER(Data!N:N,Data!D:D=A1057,Data!B:B=$B$1),""TRAVERSE"")*15)+(COUNTIF(FILTER(Data!N:N,Data!D:D=A1057,Data!B:B=B$1),""HIGH"")*10)+(COUNTIF(FILTER(Data!N:N,Data!D:D=A1057,Data!B:B=$B$1),""MIDDLE"")*6)+(COUNTIF(FILTER(Data!N:N,Data!D:D=A1057,Dat"&amp;"a!B:B=$B$1),""LOW"")*4))"),0.0)</f>
        <v>0</v>
      </c>
      <c r="V1057" s="138"/>
      <c r="W1057" s="134"/>
      <c r="X1057" s="134"/>
      <c r="Y1057" s="134"/>
      <c r="Z1057" s="134"/>
      <c r="AA1057" s="134"/>
      <c r="AB1057" s="134"/>
      <c r="AC1057" s="134"/>
      <c r="AD1057" s="139"/>
    </row>
    <row r="1058">
      <c r="A1058" s="143"/>
      <c r="B1058" s="134"/>
      <c r="C1058" s="134"/>
      <c r="D1058" s="134"/>
      <c r="E1058" s="134"/>
      <c r="F1058" s="134"/>
      <c r="G1058" s="134"/>
      <c r="H1058" s="134"/>
      <c r="J1058" s="134"/>
      <c r="K1058" s="135"/>
      <c r="L1058" s="136"/>
      <c r="M1058" s="137" t="str">
        <f>IFERROR(__xludf.DUMMYFUNCTION("IFERROR((FILTER(Data!A:A,Data!D:D=A1058,Data!B:B=$B$1)),"""")"),"")</f>
        <v/>
      </c>
      <c r="T1058" s="52">
        <f>IFERROR(__xludf.DUMMYFUNCTION("((COUNTIF(FILTER(Data!N:N,Data!D:D=A1058,Data!B:B=$B$1),""TRAVERSE"")*15)+(COUNTIF(FILTER(Data!N:N,Data!D:D=A1058,Data!B:B=B$1),""HIGH"")*10)+(COUNTIF(FILTER(Data!N:N,Data!D:D=A1058,Data!B:B=$B$1),""MIDDLE"")*6)+(COUNTIF(FILTER(Data!N:N,Data!D:D=A1058,Dat"&amp;"a!B:B=$B$1),""LOW"")*4))"),0.0)</f>
        <v>0</v>
      </c>
      <c r="V1058" s="138"/>
      <c r="W1058" s="134"/>
      <c r="X1058" s="134"/>
      <c r="Y1058" s="134"/>
      <c r="Z1058" s="134"/>
      <c r="AA1058" s="134"/>
      <c r="AB1058" s="134"/>
      <c r="AC1058" s="134"/>
      <c r="AD1058" s="139"/>
    </row>
    <row r="1059">
      <c r="A1059" s="143"/>
      <c r="B1059" s="134"/>
      <c r="C1059" s="134"/>
      <c r="D1059" s="134"/>
      <c r="E1059" s="134"/>
      <c r="F1059" s="134"/>
      <c r="G1059" s="134"/>
      <c r="H1059" s="134"/>
      <c r="J1059" s="134"/>
      <c r="K1059" s="135"/>
      <c r="L1059" s="136"/>
      <c r="M1059" s="137" t="str">
        <f>IFERROR(__xludf.DUMMYFUNCTION("IFERROR((FILTER(Data!A:A,Data!D:D=A1059,Data!B:B=$B$1)),"""")"),"")</f>
        <v/>
      </c>
      <c r="T1059" s="52">
        <f>IFERROR(__xludf.DUMMYFUNCTION("((COUNTIF(FILTER(Data!N:N,Data!D:D=A1059,Data!B:B=$B$1),""TRAVERSE"")*15)+(COUNTIF(FILTER(Data!N:N,Data!D:D=A1059,Data!B:B=B$1),""HIGH"")*10)+(COUNTIF(FILTER(Data!N:N,Data!D:D=A1059,Data!B:B=$B$1),""MIDDLE"")*6)+(COUNTIF(FILTER(Data!N:N,Data!D:D=A1059,Dat"&amp;"a!B:B=$B$1),""LOW"")*4))"),0.0)</f>
        <v>0</v>
      </c>
      <c r="V1059" s="138"/>
      <c r="W1059" s="134"/>
      <c r="X1059" s="134"/>
      <c r="Y1059" s="134"/>
      <c r="Z1059" s="134"/>
      <c r="AA1059" s="134"/>
      <c r="AB1059" s="134"/>
      <c r="AC1059" s="134"/>
      <c r="AD1059" s="139"/>
    </row>
    <row r="1060">
      <c r="A1060" s="143"/>
      <c r="B1060" s="134"/>
      <c r="C1060" s="134"/>
      <c r="D1060" s="134"/>
      <c r="E1060" s="134"/>
      <c r="F1060" s="134"/>
      <c r="G1060" s="134"/>
      <c r="H1060" s="134"/>
      <c r="J1060" s="134"/>
      <c r="K1060" s="135"/>
      <c r="L1060" s="136"/>
      <c r="M1060" s="137" t="str">
        <f>IFERROR(__xludf.DUMMYFUNCTION("IFERROR((FILTER(Data!A:A,Data!D:D=A1060,Data!B:B=$B$1)),"""")"),"")</f>
        <v/>
      </c>
      <c r="T1060" s="52">
        <f>IFERROR(__xludf.DUMMYFUNCTION("((COUNTIF(FILTER(Data!N:N,Data!D:D=A1060,Data!B:B=$B$1),""TRAVERSE"")*15)+(COUNTIF(FILTER(Data!N:N,Data!D:D=A1060,Data!B:B=B$1),""HIGH"")*10)+(COUNTIF(FILTER(Data!N:N,Data!D:D=A1060,Data!B:B=$B$1),""MIDDLE"")*6)+(COUNTIF(FILTER(Data!N:N,Data!D:D=A1060,Dat"&amp;"a!B:B=$B$1),""LOW"")*4))"),0.0)</f>
        <v>0</v>
      </c>
      <c r="V1060" s="138"/>
      <c r="W1060" s="134"/>
      <c r="X1060" s="134"/>
      <c r="Y1060" s="134"/>
      <c r="Z1060" s="134"/>
      <c r="AA1060" s="134"/>
      <c r="AB1060" s="134"/>
      <c r="AC1060" s="134"/>
      <c r="AD1060" s="139"/>
    </row>
    <row r="1061">
      <c r="A1061" s="143"/>
      <c r="B1061" s="134"/>
      <c r="C1061" s="134"/>
      <c r="D1061" s="134"/>
      <c r="E1061" s="134"/>
      <c r="F1061" s="134"/>
      <c r="G1061" s="134"/>
      <c r="H1061" s="134"/>
      <c r="J1061" s="134"/>
      <c r="K1061" s="135"/>
      <c r="L1061" s="136"/>
      <c r="M1061" s="137" t="str">
        <f>IFERROR(__xludf.DUMMYFUNCTION("IFERROR((FILTER(Data!A:A,Data!D:D=A1061,Data!B:B=$B$1)),"""")"),"")</f>
        <v/>
      </c>
      <c r="T1061" s="52">
        <f>IFERROR(__xludf.DUMMYFUNCTION("((COUNTIF(FILTER(Data!N:N,Data!D:D=A1061,Data!B:B=$B$1),""TRAVERSE"")*15)+(COUNTIF(FILTER(Data!N:N,Data!D:D=A1061,Data!B:B=B$1),""HIGH"")*10)+(COUNTIF(FILTER(Data!N:N,Data!D:D=A1061,Data!B:B=$B$1),""MIDDLE"")*6)+(COUNTIF(FILTER(Data!N:N,Data!D:D=A1061,Dat"&amp;"a!B:B=$B$1),""LOW"")*4))"),0.0)</f>
        <v>0</v>
      </c>
      <c r="V1061" s="138"/>
      <c r="W1061" s="134"/>
      <c r="X1061" s="134"/>
      <c r="Y1061" s="134"/>
      <c r="Z1061" s="134"/>
      <c r="AA1061" s="134"/>
      <c r="AB1061" s="134"/>
      <c r="AC1061" s="134"/>
      <c r="AD1061" s="139"/>
    </row>
    <row r="1062">
      <c r="A1062" s="143"/>
      <c r="B1062" s="134"/>
      <c r="C1062" s="134"/>
      <c r="D1062" s="134"/>
      <c r="E1062" s="134"/>
      <c r="F1062" s="134"/>
      <c r="G1062" s="134"/>
      <c r="H1062" s="134"/>
      <c r="J1062" s="134"/>
      <c r="K1062" s="135"/>
      <c r="L1062" s="136"/>
      <c r="M1062" s="137" t="str">
        <f>IFERROR(__xludf.DUMMYFUNCTION("IFERROR((FILTER(Data!A:A,Data!D:D=A1062,Data!B:B=$B$1)),"""")"),"")</f>
        <v/>
      </c>
      <c r="T1062" s="52">
        <f>IFERROR(__xludf.DUMMYFUNCTION("((COUNTIF(FILTER(Data!N:N,Data!D:D=A1062,Data!B:B=$B$1),""TRAVERSE"")*15)+(COUNTIF(FILTER(Data!N:N,Data!D:D=A1062,Data!B:B=B$1),""HIGH"")*10)+(COUNTIF(FILTER(Data!N:N,Data!D:D=A1062,Data!B:B=$B$1),""MIDDLE"")*6)+(COUNTIF(FILTER(Data!N:N,Data!D:D=A1062,Dat"&amp;"a!B:B=$B$1),""LOW"")*4))"),0.0)</f>
        <v>0</v>
      </c>
      <c r="V1062" s="138"/>
      <c r="W1062" s="134"/>
      <c r="X1062" s="134"/>
      <c r="Y1062" s="134"/>
      <c r="Z1062" s="134"/>
      <c r="AA1062" s="134"/>
      <c r="AB1062" s="134"/>
      <c r="AC1062" s="134"/>
      <c r="AD1062" s="139"/>
    </row>
    <row r="1063">
      <c r="A1063" s="143"/>
      <c r="B1063" s="134"/>
      <c r="C1063" s="134"/>
      <c r="D1063" s="134"/>
      <c r="E1063" s="134"/>
      <c r="F1063" s="134"/>
      <c r="G1063" s="134"/>
      <c r="H1063" s="134"/>
      <c r="J1063" s="134"/>
      <c r="K1063" s="135"/>
      <c r="L1063" s="136"/>
      <c r="M1063" s="137" t="str">
        <f>IFERROR(__xludf.DUMMYFUNCTION("IFERROR((FILTER(Data!A:A,Data!D:D=A1063,Data!B:B=$B$1)),"""")"),"")</f>
        <v/>
      </c>
      <c r="T1063" s="52">
        <f>IFERROR(__xludf.DUMMYFUNCTION("((COUNTIF(FILTER(Data!N:N,Data!D:D=A1063,Data!B:B=$B$1),""TRAVERSE"")*15)+(COUNTIF(FILTER(Data!N:N,Data!D:D=A1063,Data!B:B=B$1),""HIGH"")*10)+(COUNTIF(FILTER(Data!N:N,Data!D:D=A1063,Data!B:B=$B$1),""MIDDLE"")*6)+(COUNTIF(FILTER(Data!N:N,Data!D:D=A1063,Dat"&amp;"a!B:B=$B$1),""LOW"")*4))"),0.0)</f>
        <v>0</v>
      </c>
      <c r="V1063" s="138"/>
      <c r="W1063" s="134"/>
      <c r="X1063" s="134"/>
      <c r="Y1063" s="134"/>
      <c r="Z1063" s="134"/>
      <c r="AA1063" s="134"/>
      <c r="AB1063" s="134"/>
      <c r="AC1063" s="134"/>
      <c r="AD1063" s="139"/>
    </row>
    <row r="1064">
      <c r="A1064" s="143"/>
      <c r="B1064" s="134"/>
      <c r="C1064" s="134"/>
      <c r="D1064" s="134"/>
      <c r="E1064" s="134"/>
      <c r="F1064" s="134"/>
      <c r="G1064" s="134"/>
      <c r="H1064" s="134"/>
      <c r="J1064" s="134"/>
      <c r="K1064" s="135"/>
      <c r="L1064" s="136"/>
      <c r="M1064" s="137" t="str">
        <f>IFERROR(__xludf.DUMMYFUNCTION("IFERROR((FILTER(Data!A:A,Data!D:D=A1064,Data!B:B=$B$1)),"""")"),"")</f>
        <v/>
      </c>
      <c r="T1064" s="52">
        <f>IFERROR(__xludf.DUMMYFUNCTION("((COUNTIF(FILTER(Data!N:N,Data!D:D=A1064,Data!B:B=$B$1),""TRAVERSE"")*15)+(COUNTIF(FILTER(Data!N:N,Data!D:D=A1064,Data!B:B=B$1),""HIGH"")*10)+(COUNTIF(FILTER(Data!N:N,Data!D:D=A1064,Data!B:B=$B$1),""MIDDLE"")*6)+(COUNTIF(FILTER(Data!N:N,Data!D:D=A1064,Dat"&amp;"a!B:B=$B$1),""LOW"")*4))"),0.0)</f>
        <v>0</v>
      </c>
      <c r="V1064" s="138"/>
      <c r="W1064" s="134"/>
      <c r="X1064" s="134"/>
      <c r="Y1064" s="134"/>
      <c r="Z1064" s="134"/>
      <c r="AA1064" s="134"/>
      <c r="AB1064" s="134"/>
      <c r="AC1064" s="134"/>
      <c r="AD1064" s="139"/>
    </row>
    <row r="1065">
      <c r="A1065" s="143"/>
      <c r="B1065" s="134"/>
      <c r="C1065" s="134"/>
      <c r="D1065" s="134"/>
      <c r="E1065" s="134"/>
      <c r="F1065" s="134"/>
      <c r="G1065" s="134"/>
      <c r="H1065" s="134"/>
      <c r="J1065" s="134"/>
      <c r="K1065" s="135"/>
      <c r="L1065" s="136"/>
      <c r="M1065" s="137" t="str">
        <f>IFERROR(__xludf.DUMMYFUNCTION("IFERROR((FILTER(Data!A:A,Data!D:D=A1065,Data!B:B=$B$1)),"""")"),"")</f>
        <v/>
      </c>
      <c r="T1065" s="52">
        <f>IFERROR(__xludf.DUMMYFUNCTION("((COUNTIF(FILTER(Data!N:N,Data!D:D=A1065,Data!B:B=$B$1),""TRAVERSE"")*15)+(COUNTIF(FILTER(Data!N:N,Data!D:D=A1065,Data!B:B=B$1),""HIGH"")*10)+(COUNTIF(FILTER(Data!N:N,Data!D:D=A1065,Data!B:B=$B$1),""MIDDLE"")*6)+(COUNTIF(FILTER(Data!N:N,Data!D:D=A1065,Dat"&amp;"a!B:B=$B$1),""LOW"")*4))"),0.0)</f>
        <v>0</v>
      </c>
      <c r="V1065" s="138"/>
      <c r="W1065" s="134"/>
      <c r="X1065" s="134"/>
      <c r="Y1065" s="134"/>
      <c r="Z1065" s="134"/>
      <c r="AA1065" s="134"/>
      <c r="AB1065" s="134"/>
      <c r="AC1065" s="134"/>
      <c r="AD1065" s="139"/>
    </row>
    <row r="1066">
      <c r="A1066" s="143"/>
      <c r="B1066" s="134"/>
      <c r="C1066" s="134"/>
      <c r="D1066" s="134"/>
      <c r="E1066" s="134"/>
      <c r="F1066" s="134"/>
      <c r="G1066" s="134"/>
      <c r="H1066" s="134"/>
      <c r="J1066" s="134"/>
      <c r="K1066" s="135"/>
      <c r="L1066" s="136"/>
      <c r="M1066" s="137" t="str">
        <f>IFERROR(__xludf.DUMMYFUNCTION("IFERROR((FILTER(Data!A:A,Data!D:D=A1066,Data!B:B=$B$1)),"""")"),"")</f>
        <v/>
      </c>
      <c r="T1066" s="52">
        <f>IFERROR(__xludf.DUMMYFUNCTION("((COUNTIF(FILTER(Data!N:N,Data!D:D=A1066,Data!B:B=$B$1),""TRAVERSE"")*15)+(COUNTIF(FILTER(Data!N:N,Data!D:D=A1066,Data!B:B=B$1),""HIGH"")*10)+(COUNTIF(FILTER(Data!N:N,Data!D:D=A1066,Data!B:B=$B$1),""MIDDLE"")*6)+(COUNTIF(FILTER(Data!N:N,Data!D:D=A1066,Dat"&amp;"a!B:B=$B$1),""LOW"")*4))"),0.0)</f>
        <v>0</v>
      </c>
      <c r="V1066" s="138"/>
      <c r="W1066" s="134"/>
      <c r="X1066" s="134"/>
      <c r="Y1066" s="134"/>
      <c r="Z1066" s="134"/>
      <c r="AA1066" s="134"/>
      <c r="AB1066" s="134"/>
      <c r="AC1066" s="134"/>
      <c r="AD1066" s="139"/>
    </row>
    <row r="1067">
      <c r="A1067" s="143"/>
      <c r="B1067" s="134"/>
      <c r="C1067" s="134"/>
      <c r="D1067" s="134"/>
      <c r="E1067" s="134"/>
      <c r="F1067" s="134"/>
      <c r="G1067" s="134"/>
      <c r="H1067" s="134"/>
      <c r="J1067" s="134"/>
      <c r="K1067" s="135"/>
      <c r="L1067" s="136"/>
      <c r="M1067" s="137" t="str">
        <f>IFERROR(__xludf.DUMMYFUNCTION("IFERROR((FILTER(Data!A:A,Data!D:D=A1067,Data!B:B=$B$1)),"""")"),"")</f>
        <v/>
      </c>
      <c r="T1067" s="52">
        <f>IFERROR(__xludf.DUMMYFUNCTION("((COUNTIF(FILTER(Data!N:N,Data!D:D=A1067,Data!B:B=$B$1),""TRAVERSE"")*15)+(COUNTIF(FILTER(Data!N:N,Data!D:D=A1067,Data!B:B=B$1),""HIGH"")*10)+(COUNTIF(FILTER(Data!N:N,Data!D:D=A1067,Data!B:B=$B$1),""MIDDLE"")*6)+(COUNTIF(FILTER(Data!N:N,Data!D:D=A1067,Dat"&amp;"a!B:B=$B$1),""LOW"")*4))"),0.0)</f>
        <v>0</v>
      </c>
      <c r="V1067" s="138"/>
      <c r="W1067" s="134"/>
      <c r="X1067" s="134"/>
      <c r="Y1067" s="134"/>
      <c r="Z1067" s="134"/>
      <c r="AA1067" s="134"/>
      <c r="AB1067" s="134"/>
      <c r="AC1067" s="134"/>
      <c r="AD1067" s="139"/>
    </row>
    <row r="1068">
      <c r="A1068" s="143"/>
      <c r="B1068" s="134"/>
      <c r="C1068" s="134"/>
      <c r="D1068" s="134"/>
      <c r="E1068" s="134"/>
      <c r="F1068" s="134"/>
      <c r="G1068" s="134"/>
      <c r="H1068" s="134"/>
      <c r="J1068" s="134"/>
      <c r="K1068" s="135"/>
      <c r="L1068" s="136"/>
      <c r="M1068" s="137" t="str">
        <f>IFERROR(__xludf.DUMMYFUNCTION("IFERROR((FILTER(Data!A:A,Data!D:D=A1068,Data!B:B=$B$1)),"""")"),"")</f>
        <v/>
      </c>
      <c r="T1068" s="52">
        <f>IFERROR(__xludf.DUMMYFUNCTION("((COUNTIF(FILTER(Data!N:N,Data!D:D=A1068,Data!B:B=$B$1),""TRAVERSE"")*15)+(COUNTIF(FILTER(Data!N:N,Data!D:D=A1068,Data!B:B=B$1),""HIGH"")*10)+(COUNTIF(FILTER(Data!N:N,Data!D:D=A1068,Data!B:B=$B$1),""MIDDLE"")*6)+(COUNTIF(FILTER(Data!N:N,Data!D:D=A1068,Dat"&amp;"a!B:B=$B$1),""LOW"")*4))"),0.0)</f>
        <v>0</v>
      </c>
      <c r="V1068" s="138"/>
      <c r="W1068" s="134"/>
      <c r="X1068" s="134"/>
      <c r="Y1068" s="134"/>
      <c r="Z1068" s="134"/>
      <c r="AA1068" s="134"/>
      <c r="AB1068" s="134"/>
      <c r="AC1068" s="134"/>
      <c r="AD1068" s="139"/>
    </row>
    <row r="1069">
      <c r="A1069" s="143"/>
      <c r="B1069" s="134"/>
      <c r="C1069" s="134"/>
      <c r="D1069" s="134"/>
      <c r="E1069" s="134"/>
      <c r="F1069" s="134"/>
      <c r="G1069" s="134"/>
      <c r="H1069" s="134"/>
      <c r="J1069" s="134"/>
      <c r="K1069" s="135"/>
      <c r="L1069" s="136"/>
      <c r="M1069" s="137" t="str">
        <f>IFERROR(__xludf.DUMMYFUNCTION("IFERROR((FILTER(Data!A:A,Data!D:D=A1069,Data!B:B=$B$1)),"""")"),"")</f>
        <v/>
      </c>
      <c r="T1069" s="52">
        <f>IFERROR(__xludf.DUMMYFUNCTION("((COUNTIF(FILTER(Data!N:N,Data!D:D=A1069,Data!B:B=$B$1),""TRAVERSE"")*15)+(COUNTIF(FILTER(Data!N:N,Data!D:D=A1069,Data!B:B=B$1),""HIGH"")*10)+(COUNTIF(FILTER(Data!N:N,Data!D:D=A1069,Data!B:B=$B$1),""MIDDLE"")*6)+(COUNTIF(FILTER(Data!N:N,Data!D:D=A1069,Dat"&amp;"a!B:B=$B$1),""LOW"")*4))"),0.0)</f>
        <v>0</v>
      </c>
      <c r="V1069" s="138"/>
      <c r="W1069" s="134"/>
      <c r="X1069" s="134"/>
      <c r="Y1069" s="134"/>
      <c r="Z1069" s="134"/>
      <c r="AA1069" s="134"/>
      <c r="AB1069" s="134"/>
      <c r="AC1069" s="134"/>
      <c r="AD1069" s="139"/>
    </row>
    <row r="1070">
      <c r="A1070" s="143"/>
      <c r="B1070" s="134"/>
      <c r="C1070" s="134"/>
      <c r="D1070" s="134"/>
      <c r="E1070" s="134"/>
      <c r="F1070" s="134"/>
      <c r="G1070" s="134"/>
      <c r="H1070" s="134"/>
      <c r="J1070" s="134"/>
      <c r="K1070" s="135"/>
      <c r="L1070" s="136"/>
      <c r="M1070" s="137" t="str">
        <f>IFERROR(__xludf.DUMMYFUNCTION("IFERROR((FILTER(Data!A:A,Data!D:D=A1070,Data!B:B=$B$1)),"""")"),"")</f>
        <v/>
      </c>
      <c r="T1070" s="52">
        <f>IFERROR(__xludf.DUMMYFUNCTION("((COUNTIF(FILTER(Data!N:N,Data!D:D=A1070,Data!B:B=$B$1),""TRAVERSE"")*15)+(COUNTIF(FILTER(Data!N:N,Data!D:D=A1070,Data!B:B=B$1),""HIGH"")*10)+(COUNTIF(FILTER(Data!N:N,Data!D:D=A1070,Data!B:B=$B$1),""MIDDLE"")*6)+(COUNTIF(FILTER(Data!N:N,Data!D:D=A1070,Dat"&amp;"a!B:B=$B$1),""LOW"")*4))"),0.0)</f>
        <v>0</v>
      </c>
      <c r="V1070" s="138"/>
      <c r="W1070" s="134"/>
      <c r="X1070" s="134"/>
      <c r="Y1070" s="134"/>
      <c r="Z1070" s="134"/>
      <c r="AA1070" s="134"/>
      <c r="AB1070" s="134"/>
      <c r="AC1070" s="134"/>
      <c r="AD1070" s="139"/>
    </row>
    <row r="1071">
      <c r="A1071" s="143"/>
      <c r="B1071" s="134"/>
      <c r="C1071" s="134"/>
      <c r="D1071" s="134"/>
      <c r="E1071" s="134"/>
      <c r="F1071" s="134"/>
      <c r="G1071" s="134"/>
      <c r="H1071" s="134"/>
      <c r="J1071" s="134"/>
      <c r="K1071" s="135"/>
      <c r="L1071" s="136"/>
      <c r="M1071" s="137" t="str">
        <f>IFERROR(__xludf.DUMMYFUNCTION("IFERROR((FILTER(Data!A:A,Data!D:D=A1071,Data!B:B=$B$1)),"""")"),"")</f>
        <v/>
      </c>
      <c r="T1071" s="52">
        <f>IFERROR(__xludf.DUMMYFUNCTION("((COUNTIF(FILTER(Data!N:N,Data!D:D=A1071,Data!B:B=$B$1),""TRAVERSE"")*15)+(COUNTIF(FILTER(Data!N:N,Data!D:D=A1071,Data!B:B=B$1),""HIGH"")*10)+(COUNTIF(FILTER(Data!N:N,Data!D:D=A1071,Data!B:B=$B$1),""MIDDLE"")*6)+(COUNTIF(FILTER(Data!N:N,Data!D:D=A1071,Dat"&amp;"a!B:B=$B$1),""LOW"")*4))"),0.0)</f>
        <v>0</v>
      </c>
      <c r="V1071" s="138"/>
      <c r="W1071" s="134"/>
      <c r="X1071" s="134"/>
      <c r="Y1071" s="134"/>
      <c r="Z1071" s="134"/>
      <c r="AA1071" s="134"/>
      <c r="AB1071" s="134"/>
      <c r="AC1071" s="134"/>
      <c r="AD1071" s="139"/>
    </row>
    <row r="1072">
      <c r="A1072" s="143"/>
      <c r="B1072" s="134"/>
      <c r="C1072" s="134"/>
      <c r="D1072" s="134"/>
      <c r="E1072" s="134"/>
      <c r="F1072" s="134"/>
      <c r="G1072" s="134"/>
      <c r="H1072" s="134"/>
      <c r="J1072" s="134"/>
      <c r="K1072" s="135"/>
      <c r="L1072" s="136"/>
      <c r="M1072" s="137" t="str">
        <f>IFERROR(__xludf.DUMMYFUNCTION("IFERROR((FILTER(Data!A:A,Data!D:D=A1072,Data!B:B=$B$1)),"""")"),"")</f>
        <v/>
      </c>
      <c r="T1072" s="52">
        <f>IFERROR(__xludf.DUMMYFUNCTION("((COUNTIF(FILTER(Data!N:N,Data!D:D=A1072,Data!B:B=$B$1),""TRAVERSE"")*15)+(COUNTIF(FILTER(Data!N:N,Data!D:D=A1072,Data!B:B=B$1),""HIGH"")*10)+(COUNTIF(FILTER(Data!N:N,Data!D:D=A1072,Data!B:B=$B$1),""MIDDLE"")*6)+(COUNTIF(FILTER(Data!N:N,Data!D:D=A1072,Dat"&amp;"a!B:B=$B$1),""LOW"")*4))"),0.0)</f>
        <v>0</v>
      </c>
      <c r="V1072" s="138"/>
      <c r="W1072" s="134"/>
      <c r="X1072" s="134"/>
      <c r="Y1072" s="134"/>
      <c r="Z1072" s="134"/>
      <c r="AA1072" s="134"/>
      <c r="AB1072" s="134"/>
      <c r="AC1072" s="134"/>
      <c r="AD1072" s="139"/>
    </row>
    <row r="1073">
      <c r="A1073" s="143"/>
      <c r="B1073" s="134"/>
      <c r="C1073" s="134"/>
      <c r="D1073" s="134"/>
      <c r="E1073" s="134"/>
      <c r="F1073" s="134"/>
      <c r="G1073" s="134"/>
      <c r="H1073" s="134"/>
      <c r="J1073" s="134"/>
      <c r="K1073" s="135"/>
      <c r="L1073" s="136"/>
      <c r="M1073" s="137" t="str">
        <f>IFERROR(__xludf.DUMMYFUNCTION("IFERROR((FILTER(Data!A:A,Data!D:D=A1073,Data!B:B=$B$1)),"""")"),"")</f>
        <v/>
      </c>
      <c r="T1073" s="52">
        <f>IFERROR(__xludf.DUMMYFUNCTION("((COUNTIF(FILTER(Data!N:N,Data!D:D=A1073,Data!B:B=$B$1),""TRAVERSE"")*15)+(COUNTIF(FILTER(Data!N:N,Data!D:D=A1073,Data!B:B=B$1),""HIGH"")*10)+(COUNTIF(FILTER(Data!N:N,Data!D:D=A1073,Data!B:B=$B$1),""MIDDLE"")*6)+(COUNTIF(FILTER(Data!N:N,Data!D:D=A1073,Dat"&amp;"a!B:B=$B$1),""LOW"")*4))"),0.0)</f>
        <v>0</v>
      </c>
      <c r="V1073" s="138"/>
      <c r="W1073" s="134"/>
      <c r="X1073" s="134"/>
      <c r="Y1073" s="134"/>
      <c r="Z1073" s="134"/>
      <c r="AA1073" s="134"/>
      <c r="AB1073" s="134"/>
      <c r="AC1073" s="134"/>
      <c r="AD1073" s="139"/>
    </row>
    <row r="1074">
      <c r="A1074" s="143"/>
      <c r="B1074" s="134"/>
      <c r="C1074" s="134"/>
      <c r="D1074" s="134"/>
      <c r="E1074" s="134"/>
      <c r="F1074" s="134"/>
      <c r="G1074" s="134"/>
      <c r="H1074" s="134"/>
      <c r="J1074" s="134"/>
      <c r="K1074" s="135"/>
      <c r="L1074" s="136"/>
      <c r="M1074" s="137" t="str">
        <f>IFERROR(__xludf.DUMMYFUNCTION("IFERROR((FILTER(Data!A:A,Data!D:D=A1074,Data!B:B=$B$1)),"""")"),"")</f>
        <v/>
      </c>
      <c r="T1074" s="52">
        <f>IFERROR(__xludf.DUMMYFUNCTION("((COUNTIF(FILTER(Data!N:N,Data!D:D=A1074,Data!B:B=$B$1),""TRAVERSE"")*15)+(COUNTIF(FILTER(Data!N:N,Data!D:D=A1074,Data!B:B=B$1),""HIGH"")*10)+(COUNTIF(FILTER(Data!N:N,Data!D:D=A1074,Data!B:B=$B$1),""MIDDLE"")*6)+(COUNTIF(FILTER(Data!N:N,Data!D:D=A1074,Dat"&amp;"a!B:B=$B$1),""LOW"")*4))"),0.0)</f>
        <v>0</v>
      </c>
      <c r="V1074" s="138"/>
      <c r="W1074" s="134"/>
      <c r="X1074" s="134"/>
      <c r="Y1074" s="134"/>
      <c r="Z1074" s="134"/>
      <c r="AA1074" s="134"/>
      <c r="AB1074" s="134"/>
      <c r="AC1074" s="134"/>
      <c r="AD1074" s="139"/>
    </row>
    <row r="1075">
      <c r="A1075" s="143"/>
      <c r="B1075" s="134"/>
      <c r="C1075" s="134"/>
      <c r="D1075" s="134"/>
      <c r="E1075" s="134"/>
      <c r="F1075" s="134"/>
      <c r="G1075" s="134"/>
      <c r="H1075" s="134"/>
      <c r="J1075" s="134"/>
      <c r="K1075" s="135"/>
      <c r="L1075" s="136"/>
      <c r="M1075" s="137" t="str">
        <f>IFERROR(__xludf.DUMMYFUNCTION("IFERROR((FILTER(Data!A:A,Data!D:D=A1075,Data!B:B=$B$1)),"""")"),"")</f>
        <v/>
      </c>
      <c r="T1075" s="52">
        <f>IFERROR(__xludf.DUMMYFUNCTION("((COUNTIF(FILTER(Data!N:N,Data!D:D=A1075,Data!B:B=$B$1),""TRAVERSE"")*15)+(COUNTIF(FILTER(Data!N:N,Data!D:D=A1075,Data!B:B=B$1),""HIGH"")*10)+(COUNTIF(FILTER(Data!N:N,Data!D:D=A1075,Data!B:B=$B$1),""MIDDLE"")*6)+(COUNTIF(FILTER(Data!N:N,Data!D:D=A1075,Dat"&amp;"a!B:B=$B$1),""LOW"")*4))"),0.0)</f>
        <v>0</v>
      </c>
      <c r="V1075" s="138"/>
      <c r="W1075" s="134"/>
      <c r="X1075" s="134"/>
      <c r="Y1075" s="134"/>
      <c r="Z1075" s="134"/>
      <c r="AA1075" s="134"/>
      <c r="AB1075" s="134"/>
      <c r="AC1075" s="134"/>
      <c r="AD1075" s="139"/>
    </row>
    <row r="1076">
      <c r="A1076" s="143"/>
      <c r="B1076" s="134"/>
      <c r="C1076" s="134"/>
      <c r="D1076" s="134"/>
      <c r="E1076" s="134"/>
      <c r="F1076" s="134"/>
      <c r="G1076" s="134"/>
      <c r="H1076" s="134"/>
      <c r="J1076" s="134"/>
      <c r="K1076" s="135"/>
      <c r="L1076" s="136"/>
      <c r="M1076" s="137" t="str">
        <f>IFERROR(__xludf.DUMMYFUNCTION("IFERROR((FILTER(Data!A:A,Data!D:D=A1076,Data!B:B=$B$1)),"""")"),"")</f>
        <v/>
      </c>
      <c r="T1076" s="52">
        <f>IFERROR(__xludf.DUMMYFUNCTION("((COUNTIF(FILTER(Data!N:N,Data!D:D=A1076,Data!B:B=$B$1),""TRAVERSE"")*15)+(COUNTIF(FILTER(Data!N:N,Data!D:D=A1076,Data!B:B=B$1),""HIGH"")*10)+(COUNTIF(FILTER(Data!N:N,Data!D:D=A1076,Data!B:B=$B$1),""MIDDLE"")*6)+(COUNTIF(FILTER(Data!N:N,Data!D:D=A1076,Dat"&amp;"a!B:B=$B$1),""LOW"")*4))"),0.0)</f>
        <v>0</v>
      </c>
      <c r="V1076" s="138"/>
      <c r="W1076" s="134"/>
      <c r="X1076" s="134"/>
      <c r="Y1076" s="134"/>
      <c r="Z1076" s="134"/>
      <c r="AA1076" s="134"/>
      <c r="AB1076" s="134"/>
      <c r="AC1076" s="134"/>
      <c r="AD1076" s="139"/>
    </row>
    <row r="1077">
      <c r="A1077" s="143"/>
      <c r="B1077" s="134"/>
      <c r="C1077" s="134"/>
      <c r="D1077" s="134"/>
      <c r="E1077" s="134"/>
      <c r="F1077" s="134"/>
      <c r="G1077" s="134"/>
      <c r="H1077" s="134"/>
      <c r="J1077" s="134"/>
      <c r="K1077" s="135"/>
      <c r="L1077" s="136"/>
      <c r="M1077" s="137" t="str">
        <f>IFERROR(__xludf.DUMMYFUNCTION("IFERROR((FILTER(Data!A:A,Data!D:D=A1077,Data!B:B=$B$1)),"""")"),"")</f>
        <v/>
      </c>
      <c r="T1077" s="52">
        <f>IFERROR(__xludf.DUMMYFUNCTION("((COUNTIF(FILTER(Data!N:N,Data!D:D=A1077,Data!B:B=$B$1),""TRAVERSE"")*15)+(COUNTIF(FILTER(Data!N:N,Data!D:D=A1077,Data!B:B=B$1),""HIGH"")*10)+(COUNTIF(FILTER(Data!N:N,Data!D:D=A1077,Data!B:B=$B$1),""MIDDLE"")*6)+(COUNTIF(FILTER(Data!N:N,Data!D:D=A1077,Dat"&amp;"a!B:B=$B$1),""LOW"")*4))"),0.0)</f>
        <v>0</v>
      </c>
      <c r="V1077" s="138"/>
      <c r="W1077" s="134"/>
      <c r="X1077" s="134"/>
      <c r="Y1077" s="134"/>
      <c r="Z1077" s="134"/>
      <c r="AA1077" s="134"/>
      <c r="AB1077" s="134"/>
      <c r="AC1077" s="134"/>
      <c r="AD1077" s="139"/>
    </row>
    <row r="1078">
      <c r="A1078" s="143"/>
      <c r="B1078" s="134"/>
      <c r="C1078" s="134"/>
      <c r="D1078" s="134"/>
      <c r="E1078" s="134"/>
      <c r="F1078" s="134"/>
      <c r="G1078" s="134"/>
      <c r="H1078" s="134"/>
      <c r="J1078" s="134"/>
      <c r="K1078" s="135"/>
      <c r="L1078" s="136"/>
      <c r="M1078" s="137" t="str">
        <f>IFERROR(__xludf.DUMMYFUNCTION("IFERROR((FILTER(Data!A:A,Data!D:D=A1078,Data!B:B=$B$1)),"""")"),"")</f>
        <v/>
      </c>
      <c r="T1078" s="52">
        <f>IFERROR(__xludf.DUMMYFUNCTION("((COUNTIF(FILTER(Data!N:N,Data!D:D=A1078,Data!B:B=$B$1),""TRAVERSE"")*15)+(COUNTIF(FILTER(Data!N:N,Data!D:D=A1078,Data!B:B=B$1),""HIGH"")*10)+(COUNTIF(FILTER(Data!N:N,Data!D:D=A1078,Data!B:B=$B$1),""MIDDLE"")*6)+(COUNTIF(FILTER(Data!N:N,Data!D:D=A1078,Dat"&amp;"a!B:B=$B$1),""LOW"")*4))"),0.0)</f>
        <v>0</v>
      </c>
      <c r="V1078" s="138"/>
      <c r="W1078" s="134"/>
      <c r="X1078" s="134"/>
      <c r="Y1078" s="134"/>
      <c r="Z1078" s="134"/>
      <c r="AA1078" s="134"/>
      <c r="AB1078" s="134"/>
      <c r="AC1078" s="134"/>
      <c r="AD1078" s="139"/>
    </row>
    <row r="1079">
      <c r="A1079" s="143"/>
      <c r="B1079" s="134"/>
      <c r="C1079" s="134"/>
      <c r="D1079" s="134"/>
      <c r="E1079" s="134"/>
      <c r="F1079" s="134"/>
      <c r="G1079" s="134"/>
      <c r="H1079" s="134"/>
      <c r="J1079" s="134"/>
      <c r="K1079" s="135"/>
      <c r="L1079" s="136"/>
      <c r="M1079" s="137" t="str">
        <f>IFERROR(__xludf.DUMMYFUNCTION("IFERROR((FILTER(Data!A:A,Data!D:D=A1079,Data!B:B=$B$1)),"""")"),"")</f>
        <v/>
      </c>
      <c r="T1079" s="52">
        <f>IFERROR(__xludf.DUMMYFUNCTION("((COUNTIF(FILTER(Data!N:N,Data!D:D=A1079,Data!B:B=$B$1),""TRAVERSE"")*15)+(COUNTIF(FILTER(Data!N:N,Data!D:D=A1079,Data!B:B=B$1),""HIGH"")*10)+(COUNTIF(FILTER(Data!N:N,Data!D:D=A1079,Data!B:B=$B$1),""MIDDLE"")*6)+(COUNTIF(FILTER(Data!N:N,Data!D:D=A1079,Dat"&amp;"a!B:B=$B$1),""LOW"")*4))"),0.0)</f>
        <v>0</v>
      </c>
      <c r="V1079" s="138"/>
      <c r="W1079" s="134"/>
      <c r="X1079" s="134"/>
      <c r="Y1079" s="134"/>
      <c r="Z1079" s="134"/>
      <c r="AA1079" s="134"/>
      <c r="AB1079" s="134"/>
      <c r="AC1079" s="134"/>
      <c r="AD1079" s="139"/>
    </row>
    <row r="1080">
      <c r="A1080" s="143"/>
      <c r="B1080" s="134"/>
      <c r="C1080" s="134"/>
      <c r="D1080" s="134"/>
      <c r="E1080" s="134"/>
      <c r="F1080" s="134"/>
      <c r="G1080" s="134"/>
      <c r="H1080" s="134"/>
      <c r="J1080" s="134"/>
      <c r="K1080" s="135"/>
      <c r="L1080" s="136"/>
      <c r="M1080" s="137" t="str">
        <f>IFERROR(__xludf.DUMMYFUNCTION("IFERROR((FILTER(Data!A:A,Data!D:D=A1080,Data!B:B=$B$1)),"""")"),"")</f>
        <v/>
      </c>
      <c r="T1080" s="52">
        <f>IFERROR(__xludf.DUMMYFUNCTION("((COUNTIF(FILTER(Data!N:N,Data!D:D=A1080,Data!B:B=$B$1),""TRAVERSE"")*15)+(COUNTIF(FILTER(Data!N:N,Data!D:D=A1080,Data!B:B=B$1),""HIGH"")*10)+(COUNTIF(FILTER(Data!N:N,Data!D:D=A1080,Data!B:B=$B$1),""MIDDLE"")*6)+(COUNTIF(FILTER(Data!N:N,Data!D:D=A1080,Dat"&amp;"a!B:B=$B$1),""LOW"")*4))"),0.0)</f>
        <v>0</v>
      </c>
      <c r="V1080" s="138"/>
      <c r="W1080" s="134"/>
      <c r="X1080" s="134"/>
      <c r="Y1080" s="134"/>
      <c r="Z1080" s="134"/>
      <c r="AA1080" s="134"/>
      <c r="AB1080" s="134"/>
      <c r="AC1080" s="134"/>
      <c r="AD1080" s="139"/>
    </row>
    <row r="1081">
      <c r="A1081" s="143"/>
      <c r="B1081" s="134"/>
      <c r="C1081" s="134"/>
      <c r="D1081" s="134"/>
      <c r="E1081" s="134"/>
      <c r="F1081" s="134"/>
      <c r="G1081" s="134"/>
      <c r="H1081" s="134"/>
      <c r="J1081" s="134"/>
      <c r="K1081" s="135"/>
      <c r="L1081" s="136"/>
      <c r="M1081" s="137" t="str">
        <f>IFERROR(__xludf.DUMMYFUNCTION("IFERROR((FILTER(Data!A:A,Data!D:D=A1081,Data!B:B=$B$1)),"""")"),"")</f>
        <v/>
      </c>
      <c r="T1081" s="52">
        <f>IFERROR(__xludf.DUMMYFUNCTION("((COUNTIF(FILTER(Data!N:N,Data!D:D=A1081,Data!B:B=$B$1),""TRAVERSE"")*15)+(COUNTIF(FILTER(Data!N:N,Data!D:D=A1081,Data!B:B=B$1),""HIGH"")*10)+(COUNTIF(FILTER(Data!N:N,Data!D:D=A1081,Data!B:B=$B$1),""MIDDLE"")*6)+(COUNTIF(FILTER(Data!N:N,Data!D:D=A1081,Dat"&amp;"a!B:B=$B$1),""LOW"")*4))"),0.0)</f>
        <v>0</v>
      </c>
      <c r="V1081" s="138"/>
      <c r="W1081" s="134"/>
      <c r="X1081" s="134"/>
      <c r="Y1081" s="134"/>
      <c r="Z1081" s="134"/>
      <c r="AA1081" s="134"/>
      <c r="AB1081" s="134"/>
      <c r="AC1081" s="134"/>
      <c r="AD1081" s="139"/>
    </row>
    <row r="1082">
      <c r="A1082" s="143"/>
      <c r="B1082" s="134"/>
      <c r="C1082" s="134"/>
      <c r="D1082" s="134"/>
      <c r="E1082" s="134"/>
      <c r="F1082" s="134"/>
      <c r="G1082" s="134"/>
      <c r="H1082" s="134"/>
      <c r="J1082" s="134"/>
      <c r="K1082" s="135"/>
      <c r="L1082" s="136"/>
      <c r="M1082" s="137" t="str">
        <f>IFERROR(__xludf.DUMMYFUNCTION("IFERROR((FILTER(Data!A:A,Data!D:D=A1082,Data!B:B=$B$1)),"""")"),"")</f>
        <v/>
      </c>
      <c r="T1082" s="52">
        <f>IFERROR(__xludf.DUMMYFUNCTION("((COUNTIF(FILTER(Data!N:N,Data!D:D=A1082,Data!B:B=$B$1),""TRAVERSE"")*15)+(COUNTIF(FILTER(Data!N:N,Data!D:D=A1082,Data!B:B=B$1),""HIGH"")*10)+(COUNTIF(FILTER(Data!N:N,Data!D:D=A1082,Data!B:B=$B$1),""MIDDLE"")*6)+(COUNTIF(FILTER(Data!N:N,Data!D:D=A1082,Dat"&amp;"a!B:B=$B$1),""LOW"")*4))"),0.0)</f>
        <v>0</v>
      </c>
      <c r="V1082" s="138"/>
      <c r="W1082" s="134"/>
      <c r="X1082" s="134"/>
      <c r="Y1082" s="134"/>
      <c r="Z1082" s="134"/>
      <c r="AA1082" s="134"/>
      <c r="AB1082" s="134"/>
      <c r="AC1082" s="134"/>
      <c r="AD1082" s="139"/>
    </row>
    <row r="1083">
      <c r="A1083" s="143"/>
      <c r="B1083" s="134"/>
      <c r="C1083" s="134"/>
      <c r="D1083" s="134"/>
      <c r="E1083" s="134"/>
      <c r="F1083" s="134"/>
      <c r="G1083" s="134"/>
      <c r="H1083" s="134"/>
      <c r="J1083" s="134"/>
      <c r="K1083" s="135"/>
      <c r="L1083" s="136"/>
      <c r="M1083" s="137" t="str">
        <f>IFERROR(__xludf.DUMMYFUNCTION("IFERROR((FILTER(Data!A:A,Data!D:D=A1083,Data!B:B=$B$1)),"""")"),"")</f>
        <v/>
      </c>
      <c r="T1083" s="52">
        <f>IFERROR(__xludf.DUMMYFUNCTION("((COUNTIF(FILTER(Data!N:N,Data!D:D=A1083,Data!B:B=$B$1),""TRAVERSE"")*15)+(COUNTIF(FILTER(Data!N:N,Data!D:D=A1083,Data!B:B=B$1),""HIGH"")*10)+(COUNTIF(FILTER(Data!N:N,Data!D:D=A1083,Data!B:B=$B$1),""MIDDLE"")*6)+(COUNTIF(FILTER(Data!N:N,Data!D:D=A1083,Dat"&amp;"a!B:B=$B$1),""LOW"")*4))"),0.0)</f>
        <v>0</v>
      </c>
      <c r="V1083" s="138"/>
      <c r="W1083" s="134"/>
      <c r="X1083" s="134"/>
      <c r="Y1083" s="134"/>
      <c r="Z1083" s="134"/>
      <c r="AA1083" s="134"/>
      <c r="AB1083" s="134"/>
      <c r="AC1083" s="134"/>
      <c r="AD1083" s="139"/>
    </row>
    <row r="1084">
      <c r="A1084" s="143"/>
      <c r="B1084" s="134"/>
      <c r="C1084" s="134"/>
      <c r="D1084" s="134"/>
      <c r="E1084" s="134"/>
      <c r="F1084" s="134"/>
      <c r="G1084" s="134"/>
      <c r="H1084" s="134"/>
      <c r="J1084" s="134"/>
      <c r="K1084" s="135"/>
      <c r="L1084" s="136"/>
      <c r="M1084" s="137" t="str">
        <f>IFERROR(__xludf.DUMMYFUNCTION("IFERROR((FILTER(Data!A:A,Data!D:D=A1084,Data!B:B=$B$1)),"""")"),"")</f>
        <v/>
      </c>
      <c r="T1084" s="52">
        <f>IFERROR(__xludf.DUMMYFUNCTION("((COUNTIF(FILTER(Data!N:N,Data!D:D=A1084,Data!B:B=$B$1),""TRAVERSE"")*15)+(COUNTIF(FILTER(Data!N:N,Data!D:D=A1084,Data!B:B=B$1),""HIGH"")*10)+(COUNTIF(FILTER(Data!N:N,Data!D:D=A1084,Data!B:B=$B$1),""MIDDLE"")*6)+(COUNTIF(FILTER(Data!N:N,Data!D:D=A1084,Dat"&amp;"a!B:B=$B$1),""LOW"")*4))"),0.0)</f>
        <v>0</v>
      </c>
      <c r="V1084" s="138"/>
      <c r="W1084" s="134"/>
      <c r="X1084" s="134"/>
      <c r="Y1084" s="134"/>
      <c r="Z1084" s="134"/>
      <c r="AA1084" s="134"/>
      <c r="AB1084" s="134"/>
      <c r="AC1084" s="134"/>
      <c r="AD1084" s="139"/>
    </row>
    <row r="1085">
      <c r="A1085" s="143"/>
      <c r="B1085" s="134"/>
      <c r="C1085" s="134"/>
      <c r="D1085" s="134"/>
      <c r="E1085" s="134"/>
      <c r="F1085" s="134"/>
      <c r="G1085" s="134"/>
      <c r="H1085" s="134"/>
      <c r="J1085" s="134"/>
      <c r="K1085" s="135"/>
      <c r="L1085" s="136"/>
      <c r="M1085" s="137" t="str">
        <f>IFERROR(__xludf.DUMMYFUNCTION("IFERROR((FILTER(Data!A:A,Data!D:D=A1085,Data!B:B=$B$1)),"""")"),"")</f>
        <v/>
      </c>
      <c r="T1085" s="52">
        <f>IFERROR(__xludf.DUMMYFUNCTION("((COUNTIF(FILTER(Data!N:N,Data!D:D=A1085,Data!B:B=$B$1),""TRAVERSE"")*15)+(COUNTIF(FILTER(Data!N:N,Data!D:D=A1085,Data!B:B=B$1),""HIGH"")*10)+(COUNTIF(FILTER(Data!N:N,Data!D:D=A1085,Data!B:B=$B$1),""MIDDLE"")*6)+(COUNTIF(FILTER(Data!N:N,Data!D:D=A1085,Dat"&amp;"a!B:B=$B$1),""LOW"")*4))"),0.0)</f>
        <v>0</v>
      </c>
      <c r="V1085" s="138"/>
      <c r="W1085" s="134"/>
      <c r="X1085" s="134"/>
      <c r="Y1085" s="134"/>
      <c r="Z1085" s="134"/>
      <c r="AA1085" s="134"/>
      <c r="AB1085" s="134"/>
      <c r="AC1085" s="134"/>
      <c r="AD1085" s="139"/>
    </row>
    <row r="1086">
      <c r="A1086" s="143"/>
      <c r="B1086" s="134"/>
      <c r="C1086" s="134"/>
      <c r="D1086" s="134"/>
      <c r="E1086" s="134"/>
      <c r="F1086" s="134"/>
      <c r="G1086" s="134"/>
      <c r="H1086" s="134"/>
      <c r="J1086" s="134"/>
      <c r="K1086" s="135"/>
      <c r="L1086" s="136"/>
      <c r="M1086" s="137" t="str">
        <f>IFERROR(__xludf.DUMMYFUNCTION("IFERROR((FILTER(Data!A:A,Data!D:D=A1086,Data!B:B=$B$1)),"""")"),"")</f>
        <v/>
      </c>
      <c r="T1086" s="52">
        <f>IFERROR(__xludf.DUMMYFUNCTION("((COUNTIF(FILTER(Data!N:N,Data!D:D=A1086,Data!B:B=$B$1),""TRAVERSE"")*15)+(COUNTIF(FILTER(Data!N:N,Data!D:D=A1086,Data!B:B=B$1),""HIGH"")*10)+(COUNTIF(FILTER(Data!N:N,Data!D:D=A1086,Data!B:B=$B$1),""MIDDLE"")*6)+(COUNTIF(FILTER(Data!N:N,Data!D:D=A1086,Dat"&amp;"a!B:B=$B$1),""LOW"")*4))"),0.0)</f>
        <v>0</v>
      </c>
      <c r="V1086" s="138"/>
      <c r="W1086" s="134"/>
      <c r="X1086" s="134"/>
      <c r="Y1086" s="134"/>
      <c r="Z1086" s="134"/>
      <c r="AA1086" s="134"/>
      <c r="AB1086" s="134"/>
      <c r="AC1086" s="134"/>
      <c r="AD1086" s="139"/>
    </row>
    <row r="1087">
      <c r="A1087" s="143"/>
      <c r="B1087" s="134"/>
      <c r="C1087" s="134"/>
      <c r="D1087" s="134"/>
      <c r="E1087" s="134"/>
      <c r="F1087" s="134"/>
      <c r="G1087" s="134"/>
      <c r="H1087" s="134"/>
      <c r="J1087" s="134"/>
      <c r="K1087" s="135"/>
      <c r="L1087" s="136"/>
      <c r="M1087" s="137" t="str">
        <f>IFERROR(__xludf.DUMMYFUNCTION("IFERROR((FILTER(Data!A:A,Data!D:D=A1087,Data!B:B=$B$1)),"""")"),"")</f>
        <v/>
      </c>
      <c r="T1087" s="52">
        <f>IFERROR(__xludf.DUMMYFUNCTION("((COUNTIF(FILTER(Data!N:N,Data!D:D=A1087,Data!B:B=$B$1),""TRAVERSE"")*15)+(COUNTIF(FILTER(Data!N:N,Data!D:D=A1087,Data!B:B=B$1),""HIGH"")*10)+(COUNTIF(FILTER(Data!N:N,Data!D:D=A1087,Data!B:B=$B$1),""MIDDLE"")*6)+(COUNTIF(FILTER(Data!N:N,Data!D:D=A1087,Dat"&amp;"a!B:B=$B$1),""LOW"")*4))"),0.0)</f>
        <v>0</v>
      </c>
      <c r="V1087" s="138"/>
      <c r="W1087" s="134"/>
      <c r="X1087" s="134"/>
      <c r="Y1087" s="134"/>
      <c r="Z1087" s="134"/>
      <c r="AA1087" s="134"/>
      <c r="AB1087" s="134"/>
      <c r="AC1087" s="134"/>
      <c r="AD1087" s="139"/>
    </row>
    <row r="1088">
      <c r="A1088" s="143"/>
      <c r="B1088" s="134"/>
      <c r="C1088" s="134"/>
      <c r="D1088" s="134"/>
      <c r="E1088" s="134"/>
      <c r="F1088" s="134"/>
      <c r="G1088" s="134"/>
      <c r="H1088" s="134"/>
      <c r="J1088" s="134"/>
      <c r="K1088" s="135"/>
      <c r="L1088" s="136"/>
      <c r="M1088" s="137" t="str">
        <f>IFERROR(__xludf.DUMMYFUNCTION("IFERROR((FILTER(Data!A:A,Data!D:D=A1088,Data!B:B=$B$1)),"""")"),"")</f>
        <v/>
      </c>
      <c r="T1088" s="52">
        <f>IFERROR(__xludf.DUMMYFUNCTION("((COUNTIF(FILTER(Data!N:N,Data!D:D=A1088,Data!B:B=$B$1),""TRAVERSE"")*15)+(COUNTIF(FILTER(Data!N:N,Data!D:D=A1088,Data!B:B=B$1),""HIGH"")*10)+(COUNTIF(FILTER(Data!N:N,Data!D:D=A1088,Data!B:B=$B$1),""MIDDLE"")*6)+(COUNTIF(FILTER(Data!N:N,Data!D:D=A1088,Dat"&amp;"a!B:B=$B$1),""LOW"")*4))"),0.0)</f>
        <v>0</v>
      </c>
      <c r="V1088" s="138"/>
      <c r="W1088" s="134"/>
      <c r="X1088" s="134"/>
      <c r="Y1088" s="134"/>
      <c r="Z1088" s="134"/>
      <c r="AA1088" s="134"/>
      <c r="AB1088" s="134"/>
      <c r="AC1088" s="134"/>
      <c r="AD1088" s="139"/>
    </row>
    <row r="1089">
      <c r="A1089" s="143"/>
      <c r="B1089" s="134"/>
      <c r="C1089" s="134"/>
      <c r="D1089" s="134"/>
      <c r="E1089" s="134"/>
      <c r="F1089" s="134"/>
      <c r="G1089" s="134"/>
      <c r="H1089" s="134"/>
      <c r="J1089" s="134"/>
      <c r="K1089" s="135"/>
      <c r="L1089" s="136"/>
      <c r="M1089" s="137" t="str">
        <f>IFERROR(__xludf.DUMMYFUNCTION("IFERROR((FILTER(Data!A:A,Data!D:D=A1089,Data!B:B=$B$1)),"""")"),"")</f>
        <v/>
      </c>
      <c r="T1089" s="52">
        <f>IFERROR(__xludf.DUMMYFUNCTION("((COUNTIF(FILTER(Data!N:N,Data!D:D=A1089,Data!B:B=$B$1),""TRAVERSE"")*15)+(COUNTIF(FILTER(Data!N:N,Data!D:D=A1089,Data!B:B=B$1),""HIGH"")*10)+(COUNTIF(FILTER(Data!N:N,Data!D:D=A1089,Data!B:B=$B$1),""MIDDLE"")*6)+(COUNTIF(FILTER(Data!N:N,Data!D:D=A1089,Dat"&amp;"a!B:B=$B$1),""LOW"")*4))"),0.0)</f>
        <v>0</v>
      </c>
      <c r="V1089" s="138"/>
      <c r="W1089" s="134"/>
      <c r="X1089" s="134"/>
      <c r="Y1089" s="134"/>
      <c r="Z1089" s="134"/>
      <c r="AA1089" s="134"/>
      <c r="AB1089" s="134"/>
      <c r="AC1089" s="134"/>
      <c r="AD1089" s="139"/>
    </row>
    <row r="1090">
      <c r="A1090" s="143"/>
      <c r="B1090" s="134"/>
      <c r="C1090" s="134"/>
      <c r="D1090" s="134"/>
      <c r="E1090" s="134"/>
      <c r="F1090" s="134"/>
      <c r="G1090" s="134"/>
      <c r="H1090" s="134"/>
      <c r="J1090" s="134"/>
      <c r="K1090" s="135"/>
      <c r="L1090" s="136"/>
      <c r="M1090" s="137" t="str">
        <f>IFERROR(__xludf.DUMMYFUNCTION("IFERROR((FILTER(Data!A:A,Data!D:D=A1090,Data!B:B=$B$1)),"""")"),"")</f>
        <v/>
      </c>
      <c r="T1090" s="52">
        <f>IFERROR(__xludf.DUMMYFUNCTION("((COUNTIF(FILTER(Data!N:N,Data!D:D=A1090,Data!B:B=$B$1),""TRAVERSE"")*15)+(COUNTIF(FILTER(Data!N:N,Data!D:D=A1090,Data!B:B=B$1),""HIGH"")*10)+(COUNTIF(FILTER(Data!N:N,Data!D:D=A1090,Data!B:B=$B$1),""MIDDLE"")*6)+(COUNTIF(FILTER(Data!N:N,Data!D:D=A1090,Dat"&amp;"a!B:B=$B$1),""LOW"")*4))"),0.0)</f>
        <v>0</v>
      </c>
      <c r="V1090" s="138"/>
      <c r="W1090" s="134"/>
      <c r="X1090" s="134"/>
      <c r="Y1090" s="134"/>
      <c r="Z1090" s="134"/>
      <c r="AA1090" s="134"/>
      <c r="AB1090" s="134"/>
      <c r="AC1090" s="134"/>
      <c r="AD1090" s="139"/>
    </row>
    <row r="1091">
      <c r="A1091" s="143"/>
      <c r="B1091" s="134"/>
      <c r="C1091" s="134"/>
      <c r="D1091" s="134"/>
      <c r="E1091" s="134"/>
      <c r="F1091" s="134"/>
      <c r="G1091" s="134"/>
      <c r="H1091" s="134"/>
      <c r="J1091" s="134"/>
      <c r="K1091" s="135"/>
      <c r="L1091" s="136"/>
      <c r="M1091" s="137" t="str">
        <f>IFERROR(__xludf.DUMMYFUNCTION("IFERROR((FILTER(Data!A:A,Data!D:D=A1091,Data!B:B=$B$1)),"""")"),"")</f>
        <v/>
      </c>
      <c r="T1091" s="52">
        <f>IFERROR(__xludf.DUMMYFUNCTION("((COUNTIF(FILTER(Data!N:N,Data!D:D=A1091,Data!B:B=$B$1),""TRAVERSE"")*15)+(COUNTIF(FILTER(Data!N:N,Data!D:D=A1091,Data!B:B=B$1),""HIGH"")*10)+(COUNTIF(FILTER(Data!N:N,Data!D:D=A1091,Data!B:B=$B$1),""MIDDLE"")*6)+(COUNTIF(FILTER(Data!N:N,Data!D:D=A1091,Dat"&amp;"a!B:B=$B$1),""LOW"")*4))"),0.0)</f>
        <v>0</v>
      </c>
      <c r="V1091" s="138"/>
      <c r="W1091" s="134"/>
      <c r="X1091" s="134"/>
      <c r="Y1091" s="134"/>
      <c r="Z1091" s="134"/>
      <c r="AA1091" s="134"/>
      <c r="AB1091" s="134"/>
      <c r="AC1091" s="134"/>
      <c r="AD1091" s="139"/>
    </row>
    <row r="1092">
      <c r="A1092" s="143"/>
      <c r="B1092" s="134"/>
      <c r="C1092" s="134"/>
      <c r="D1092" s="134"/>
      <c r="E1092" s="134"/>
      <c r="F1092" s="134"/>
      <c r="G1092" s="134"/>
      <c r="H1092" s="134"/>
      <c r="J1092" s="134"/>
      <c r="K1092" s="135"/>
      <c r="L1092" s="136"/>
      <c r="M1092" s="137" t="str">
        <f>IFERROR(__xludf.DUMMYFUNCTION("IFERROR((FILTER(Data!A:A,Data!D:D=A1092,Data!B:B=$B$1)),"""")"),"")</f>
        <v/>
      </c>
      <c r="T1092" s="52">
        <f>IFERROR(__xludf.DUMMYFUNCTION("((COUNTIF(FILTER(Data!N:N,Data!D:D=A1092,Data!B:B=$B$1),""TRAVERSE"")*15)+(COUNTIF(FILTER(Data!N:N,Data!D:D=A1092,Data!B:B=B$1),""HIGH"")*10)+(COUNTIF(FILTER(Data!N:N,Data!D:D=A1092,Data!B:B=$B$1),""MIDDLE"")*6)+(COUNTIF(FILTER(Data!N:N,Data!D:D=A1092,Dat"&amp;"a!B:B=$B$1),""LOW"")*4))"),0.0)</f>
        <v>0</v>
      </c>
      <c r="V1092" s="138"/>
      <c r="W1092" s="134"/>
      <c r="X1092" s="134"/>
      <c r="Y1092" s="134"/>
      <c r="Z1092" s="134"/>
      <c r="AA1092" s="134"/>
      <c r="AB1092" s="134"/>
      <c r="AC1092" s="134"/>
      <c r="AD1092" s="139"/>
    </row>
    <row r="1093">
      <c r="A1093" s="143"/>
      <c r="B1093" s="134"/>
      <c r="C1093" s="134"/>
      <c r="D1093" s="134"/>
      <c r="E1093" s="134"/>
      <c r="F1093" s="134"/>
      <c r="G1093" s="134"/>
      <c r="H1093" s="134"/>
      <c r="J1093" s="134"/>
      <c r="K1093" s="135"/>
      <c r="L1093" s="136"/>
      <c r="M1093" s="137" t="str">
        <f>IFERROR(__xludf.DUMMYFUNCTION("IFERROR((FILTER(Data!A:A,Data!D:D=A1093,Data!B:B=$B$1)),"""")"),"")</f>
        <v/>
      </c>
      <c r="T1093" s="52">
        <f>IFERROR(__xludf.DUMMYFUNCTION("((COUNTIF(FILTER(Data!N:N,Data!D:D=A1093,Data!B:B=$B$1),""TRAVERSE"")*15)+(COUNTIF(FILTER(Data!N:N,Data!D:D=A1093,Data!B:B=B$1),""HIGH"")*10)+(COUNTIF(FILTER(Data!N:N,Data!D:D=A1093,Data!B:B=$B$1),""MIDDLE"")*6)+(COUNTIF(FILTER(Data!N:N,Data!D:D=A1093,Dat"&amp;"a!B:B=$B$1),""LOW"")*4))"),0.0)</f>
        <v>0</v>
      </c>
      <c r="V1093" s="138"/>
      <c r="W1093" s="134"/>
      <c r="X1093" s="134"/>
      <c r="Y1093" s="134"/>
      <c r="Z1093" s="134"/>
      <c r="AA1093" s="134"/>
      <c r="AB1093" s="134"/>
      <c r="AC1093" s="134"/>
      <c r="AD1093" s="139"/>
    </row>
    <row r="1094">
      <c r="A1094" s="143"/>
      <c r="B1094" s="134"/>
      <c r="C1094" s="134"/>
      <c r="D1094" s="134"/>
      <c r="E1094" s="134"/>
      <c r="F1094" s="134"/>
      <c r="G1094" s="134"/>
      <c r="H1094" s="134"/>
      <c r="J1094" s="134"/>
      <c r="K1094" s="135"/>
      <c r="L1094" s="136"/>
      <c r="M1094" s="137" t="str">
        <f>IFERROR(__xludf.DUMMYFUNCTION("IFERROR((FILTER(Data!A:A,Data!D:D=A1094,Data!B:B=$B$1)),"""")"),"")</f>
        <v/>
      </c>
      <c r="T1094" s="52">
        <f>IFERROR(__xludf.DUMMYFUNCTION("((COUNTIF(FILTER(Data!N:N,Data!D:D=A1094,Data!B:B=$B$1),""TRAVERSE"")*15)+(COUNTIF(FILTER(Data!N:N,Data!D:D=A1094,Data!B:B=B$1),""HIGH"")*10)+(COUNTIF(FILTER(Data!N:N,Data!D:D=A1094,Data!B:B=$B$1),""MIDDLE"")*6)+(COUNTIF(FILTER(Data!N:N,Data!D:D=A1094,Dat"&amp;"a!B:B=$B$1),""LOW"")*4))"),0.0)</f>
        <v>0</v>
      </c>
      <c r="V1094" s="138"/>
      <c r="W1094" s="134"/>
      <c r="X1094" s="134"/>
      <c r="Y1094" s="134"/>
      <c r="Z1094" s="134"/>
      <c r="AA1094" s="134"/>
      <c r="AB1094" s="134"/>
      <c r="AC1094" s="134"/>
      <c r="AD1094" s="139"/>
    </row>
    <row r="1095">
      <c r="A1095" s="143"/>
      <c r="B1095" s="134"/>
      <c r="C1095" s="134"/>
      <c r="D1095" s="134"/>
      <c r="E1095" s="134"/>
      <c r="F1095" s="134"/>
      <c r="G1095" s="134"/>
      <c r="H1095" s="134"/>
      <c r="J1095" s="134"/>
      <c r="K1095" s="135"/>
      <c r="L1095" s="136"/>
      <c r="M1095" s="137" t="str">
        <f>IFERROR(__xludf.DUMMYFUNCTION("IFERROR((FILTER(Data!A:A,Data!D:D=A1095,Data!B:B=$B$1)),"""")"),"")</f>
        <v/>
      </c>
      <c r="T1095" s="52">
        <f>IFERROR(__xludf.DUMMYFUNCTION("((COUNTIF(FILTER(Data!N:N,Data!D:D=A1095,Data!B:B=$B$1),""TRAVERSE"")*15)+(COUNTIF(FILTER(Data!N:N,Data!D:D=A1095,Data!B:B=B$1),""HIGH"")*10)+(COUNTIF(FILTER(Data!N:N,Data!D:D=A1095,Data!B:B=$B$1),""MIDDLE"")*6)+(COUNTIF(FILTER(Data!N:N,Data!D:D=A1095,Dat"&amp;"a!B:B=$B$1),""LOW"")*4))"),0.0)</f>
        <v>0</v>
      </c>
      <c r="V1095" s="138"/>
      <c r="W1095" s="134"/>
      <c r="X1095" s="134"/>
      <c r="Y1095" s="134"/>
      <c r="Z1095" s="134"/>
      <c r="AA1095" s="134"/>
      <c r="AB1095" s="134"/>
      <c r="AC1095" s="134"/>
      <c r="AD1095" s="139"/>
    </row>
    <row r="1096">
      <c r="A1096" s="143"/>
      <c r="B1096" s="134"/>
      <c r="C1096" s="134"/>
      <c r="D1096" s="134"/>
      <c r="E1096" s="134"/>
      <c r="F1096" s="134"/>
      <c r="G1096" s="134"/>
      <c r="H1096" s="134"/>
      <c r="J1096" s="134"/>
      <c r="K1096" s="135"/>
      <c r="L1096" s="136"/>
      <c r="M1096" s="137" t="str">
        <f>IFERROR(__xludf.DUMMYFUNCTION("IFERROR((FILTER(Data!A:A,Data!D:D=A1096,Data!B:B=$B$1)),"""")"),"")</f>
        <v/>
      </c>
      <c r="T1096" s="52">
        <f>IFERROR(__xludf.DUMMYFUNCTION("((COUNTIF(FILTER(Data!N:N,Data!D:D=A1096,Data!B:B=$B$1),""TRAVERSE"")*15)+(COUNTIF(FILTER(Data!N:N,Data!D:D=A1096,Data!B:B=B$1),""HIGH"")*10)+(COUNTIF(FILTER(Data!N:N,Data!D:D=A1096,Data!B:B=$B$1),""MIDDLE"")*6)+(COUNTIF(FILTER(Data!N:N,Data!D:D=A1096,Dat"&amp;"a!B:B=$B$1),""LOW"")*4))"),0.0)</f>
        <v>0</v>
      </c>
      <c r="V1096" s="138"/>
      <c r="W1096" s="134"/>
      <c r="X1096" s="134"/>
      <c r="Y1096" s="134"/>
      <c r="Z1096" s="134"/>
      <c r="AA1096" s="134"/>
      <c r="AB1096" s="134"/>
      <c r="AC1096" s="134"/>
      <c r="AD1096" s="139"/>
    </row>
    <row r="1097">
      <c r="A1097" s="143"/>
      <c r="B1097" s="134"/>
      <c r="C1097" s="134"/>
      <c r="D1097" s="134"/>
      <c r="E1097" s="134"/>
      <c r="F1097" s="134"/>
      <c r="G1097" s="134"/>
      <c r="H1097" s="134"/>
      <c r="J1097" s="134"/>
      <c r="K1097" s="135"/>
      <c r="L1097" s="136"/>
      <c r="M1097" s="137" t="str">
        <f>IFERROR(__xludf.DUMMYFUNCTION("IFERROR((FILTER(Data!A:A,Data!D:D=A1097,Data!B:B=$B$1)),"""")"),"")</f>
        <v/>
      </c>
      <c r="T1097" s="52">
        <f>IFERROR(__xludf.DUMMYFUNCTION("((COUNTIF(FILTER(Data!N:N,Data!D:D=A1097,Data!B:B=$B$1),""TRAVERSE"")*15)+(COUNTIF(FILTER(Data!N:N,Data!D:D=A1097,Data!B:B=B$1),""HIGH"")*10)+(COUNTIF(FILTER(Data!N:N,Data!D:D=A1097,Data!B:B=$B$1),""MIDDLE"")*6)+(COUNTIF(FILTER(Data!N:N,Data!D:D=A1097,Dat"&amp;"a!B:B=$B$1),""LOW"")*4))"),0.0)</f>
        <v>0</v>
      </c>
      <c r="V1097" s="138"/>
      <c r="W1097" s="134"/>
      <c r="X1097" s="134"/>
      <c r="Y1097" s="134"/>
      <c r="Z1097" s="134"/>
      <c r="AA1097" s="134"/>
      <c r="AB1097" s="134"/>
      <c r="AC1097" s="134"/>
      <c r="AD1097" s="139"/>
    </row>
    <row r="1098">
      <c r="A1098" s="143"/>
      <c r="B1098" s="134"/>
      <c r="C1098" s="134"/>
      <c r="D1098" s="134"/>
      <c r="E1098" s="134"/>
      <c r="F1098" s="134"/>
      <c r="G1098" s="134"/>
      <c r="H1098" s="134"/>
      <c r="J1098" s="134"/>
      <c r="K1098" s="135"/>
      <c r="L1098" s="136"/>
      <c r="M1098" s="137" t="str">
        <f>IFERROR(__xludf.DUMMYFUNCTION("IFERROR((FILTER(Data!A:A,Data!D:D=A1098,Data!B:B=$B$1)),"""")"),"")</f>
        <v/>
      </c>
      <c r="T1098" s="52">
        <f>IFERROR(__xludf.DUMMYFUNCTION("((COUNTIF(FILTER(Data!N:N,Data!D:D=A1098,Data!B:B=$B$1),""TRAVERSE"")*15)+(COUNTIF(FILTER(Data!N:N,Data!D:D=A1098,Data!B:B=B$1),""HIGH"")*10)+(COUNTIF(FILTER(Data!N:N,Data!D:D=A1098,Data!B:B=$B$1),""MIDDLE"")*6)+(COUNTIF(FILTER(Data!N:N,Data!D:D=A1098,Dat"&amp;"a!B:B=$B$1),""LOW"")*4))"),0.0)</f>
        <v>0</v>
      </c>
      <c r="V1098" s="138"/>
      <c r="W1098" s="134"/>
      <c r="X1098" s="134"/>
      <c r="Y1098" s="134"/>
      <c r="Z1098" s="134"/>
      <c r="AA1098" s="134"/>
      <c r="AB1098" s="134"/>
      <c r="AC1098" s="134"/>
      <c r="AD1098" s="139"/>
    </row>
    <row r="1099">
      <c r="A1099" s="143"/>
      <c r="B1099" s="134"/>
      <c r="C1099" s="134"/>
      <c r="D1099" s="134"/>
      <c r="E1099" s="134"/>
      <c r="F1099" s="134"/>
      <c r="G1099" s="134"/>
      <c r="H1099" s="134"/>
      <c r="J1099" s="134"/>
      <c r="K1099" s="135"/>
      <c r="L1099" s="136"/>
      <c r="M1099" s="137" t="str">
        <f>IFERROR(__xludf.DUMMYFUNCTION("IFERROR((FILTER(Data!A:A,Data!D:D=A1099,Data!B:B=$B$1)),"""")"),"")</f>
        <v/>
      </c>
      <c r="T1099" s="52">
        <f>IFERROR(__xludf.DUMMYFUNCTION("((COUNTIF(FILTER(Data!N:N,Data!D:D=A1099,Data!B:B=$B$1),""TRAVERSE"")*15)+(COUNTIF(FILTER(Data!N:N,Data!D:D=A1099,Data!B:B=B$1),""HIGH"")*10)+(COUNTIF(FILTER(Data!N:N,Data!D:D=A1099,Data!B:B=$B$1),""MIDDLE"")*6)+(COUNTIF(FILTER(Data!N:N,Data!D:D=A1099,Dat"&amp;"a!B:B=$B$1),""LOW"")*4))"),0.0)</f>
        <v>0</v>
      </c>
      <c r="V1099" s="138"/>
      <c r="W1099" s="134"/>
      <c r="X1099" s="134"/>
      <c r="Y1099" s="134"/>
      <c r="Z1099" s="134"/>
      <c r="AA1099" s="134"/>
      <c r="AB1099" s="134"/>
      <c r="AC1099" s="134"/>
      <c r="AD1099" s="139"/>
    </row>
    <row r="1100">
      <c r="A1100" s="143"/>
      <c r="B1100" s="134"/>
      <c r="C1100" s="134"/>
      <c r="D1100" s="134"/>
      <c r="E1100" s="134"/>
      <c r="F1100" s="134"/>
      <c r="G1100" s="134"/>
      <c r="H1100" s="134"/>
      <c r="J1100" s="134"/>
      <c r="K1100" s="135"/>
      <c r="L1100" s="136"/>
      <c r="M1100" s="137" t="str">
        <f>IFERROR(__xludf.DUMMYFUNCTION("IFERROR((FILTER(Data!A:A,Data!D:D=A1100,Data!B:B=$B$1)),"""")"),"")</f>
        <v/>
      </c>
      <c r="T1100" s="52">
        <f>IFERROR(__xludf.DUMMYFUNCTION("((COUNTIF(FILTER(Data!N:N,Data!D:D=A1100,Data!B:B=$B$1),""TRAVERSE"")*15)+(COUNTIF(FILTER(Data!N:N,Data!D:D=A1100,Data!B:B=B$1),""HIGH"")*10)+(COUNTIF(FILTER(Data!N:N,Data!D:D=A1100,Data!B:B=$B$1),""MIDDLE"")*6)+(COUNTIF(FILTER(Data!N:N,Data!D:D=A1100,Dat"&amp;"a!B:B=$B$1),""LOW"")*4))"),0.0)</f>
        <v>0</v>
      </c>
      <c r="V1100" s="138"/>
      <c r="W1100" s="134"/>
      <c r="X1100" s="134"/>
      <c r="Y1100" s="134"/>
      <c r="Z1100" s="134"/>
      <c r="AA1100" s="134"/>
      <c r="AB1100" s="134"/>
      <c r="AC1100" s="134"/>
      <c r="AD1100" s="139"/>
    </row>
    <row r="1101">
      <c r="A1101" s="143"/>
      <c r="B1101" s="134"/>
      <c r="C1101" s="134"/>
      <c r="D1101" s="134"/>
      <c r="E1101" s="134"/>
      <c r="F1101" s="134"/>
      <c r="G1101" s="134"/>
      <c r="H1101" s="134"/>
      <c r="J1101" s="134"/>
      <c r="K1101" s="135"/>
      <c r="L1101" s="136"/>
      <c r="M1101" s="137" t="str">
        <f>IFERROR(__xludf.DUMMYFUNCTION("IFERROR((FILTER(Data!A:A,Data!D:D=A1101,Data!B:B=$B$1)),"""")"),"")</f>
        <v/>
      </c>
      <c r="T1101" s="52">
        <f>IFERROR(__xludf.DUMMYFUNCTION("((COUNTIF(FILTER(Data!N:N,Data!D:D=A1101,Data!B:B=$B$1),""TRAVERSE"")*15)+(COUNTIF(FILTER(Data!N:N,Data!D:D=A1101,Data!B:B=B$1),""HIGH"")*10)+(COUNTIF(FILTER(Data!N:N,Data!D:D=A1101,Data!B:B=$B$1),""MIDDLE"")*6)+(COUNTIF(FILTER(Data!N:N,Data!D:D=A1101,Dat"&amp;"a!B:B=$B$1),""LOW"")*4))"),0.0)</f>
        <v>0</v>
      </c>
      <c r="V1101" s="138"/>
      <c r="W1101" s="134"/>
      <c r="X1101" s="134"/>
      <c r="Y1101" s="134"/>
      <c r="Z1101" s="134"/>
      <c r="AA1101" s="134"/>
      <c r="AB1101" s="134"/>
      <c r="AC1101" s="134"/>
      <c r="AD1101" s="139"/>
    </row>
    <row r="1102">
      <c r="A1102" s="143"/>
      <c r="B1102" s="134"/>
      <c r="C1102" s="134"/>
      <c r="D1102" s="134"/>
      <c r="E1102" s="134"/>
      <c r="F1102" s="134"/>
      <c r="G1102" s="134"/>
      <c r="H1102" s="134"/>
      <c r="J1102" s="134"/>
      <c r="K1102" s="135"/>
      <c r="L1102" s="136"/>
      <c r="M1102" s="137" t="str">
        <f>IFERROR(__xludf.DUMMYFUNCTION("IFERROR((FILTER(Data!A:A,Data!D:D=A1102,Data!B:B=$B$1)),"""")"),"")</f>
        <v/>
      </c>
      <c r="T1102" s="52">
        <f>IFERROR(__xludf.DUMMYFUNCTION("((COUNTIF(FILTER(Data!N:N,Data!D:D=A1102,Data!B:B=$B$1),""TRAVERSE"")*15)+(COUNTIF(FILTER(Data!N:N,Data!D:D=A1102,Data!B:B=B$1),""HIGH"")*10)+(COUNTIF(FILTER(Data!N:N,Data!D:D=A1102,Data!B:B=$B$1),""MIDDLE"")*6)+(COUNTIF(FILTER(Data!N:N,Data!D:D=A1102,Dat"&amp;"a!B:B=$B$1),""LOW"")*4))"),0.0)</f>
        <v>0</v>
      </c>
      <c r="V1102" s="138"/>
      <c r="W1102" s="134"/>
      <c r="X1102" s="134"/>
      <c r="Y1102" s="134"/>
      <c r="Z1102" s="134"/>
      <c r="AA1102" s="134"/>
      <c r="AB1102" s="134"/>
      <c r="AC1102" s="134"/>
      <c r="AD1102" s="139"/>
    </row>
    <row r="1103">
      <c r="A1103" s="143"/>
      <c r="B1103" s="134"/>
      <c r="C1103" s="134"/>
      <c r="D1103" s="134"/>
      <c r="E1103" s="134"/>
      <c r="F1103" s="134"/>
      <c r="G1103" s="134"/>
      <c r="H1103" s="134"/>
      <c r="J1103" s="134"/>
      <c r="K1103" s="135"/>
      <c r="L1103" s="136"/>
      <c r="M1103" s="137" t="str">
        <f>IFERROR(__xludf.DUMMYFUNCTION("IFERROR((FILTER(Data!A:A,Data!D:D=A1103,Data!B:B=$B$1)),"""")"),"")</f>
        <v/>
      </c>
      <c r="T1103" s="52">
        <f>IFERROR(__xludf.DUMMYFUNCTION("((COUNTIF(FILTER(Data!N:N,Data!D:D=A1103,Data!B:B=$B$1),""TRAVERSE"")*15)+(COUNTIF(FILTER(Data!N:N,Data!D:D=A1103,Data!B:B=B$1),""HIGH"")*10)+(COUNTIF(FILTER(Data!N:N,Data!D:D=A1103,Data!B:B=$B$1),""MIDDLE"")*6)+(COUNTIF(FILTER(Data!N:N,Data!D:D=A1103,Dat"&amp;"a!B:B=$B$1),""LOW"")*4))"),0.0)</f>
        <v>0</v>
      </c>
      <c r="V1103" s="138"/>
      <c r="W1103" s="134"/>
      <c r="X1103" s="134"/>
      <c r="Y1103" s="134"/>
      <c r="Z1103" s="134"/>
      <c r="AA1103" s="134"/>
      <c r="AB1103" s="134"/>
      <c r="AC1103" s="134"/>
      <c r="AD1103" s="139"/>
    </row>
    <row r="1104">
      <c r="A1104" s="143"/>
      <c r="B1104" s="134"/>
      <c r="C1104" s="134"/>
      <c r="D1104" s="134"/>
      <c r="E1104" s="134"/>
      <c r="F1104" s="134"/>
      <c r="G1104" s="134"/>
      <c r="H1104" s="134"/>
      <c r="J1104" s="134"/>
      <c r="K1104" s="135"/>
      <c r="L1104" s="136"/>
      <c r="M1104" s="137" t="str">
        <f>IFERROR(__xludf.DUMMYFUNCTION("IFERROR((FILTER(Data!A:A,Data!D:D=A1104,Data!B:B=$B$1)),"""")"),"")</f>
        <v/>
      </c>
      <c r="T1104" s="52">
        <f>IFERROR(__xludf.DUMMYFUNCTION("((COUNTIF(FILTER(Data!N:N,Data!D:D=A1104,Data!B:B=$B$1),""TRAVERSE"")*15)+(COUNTIF(FILTER(Data!N:N,Data!D:D=A1104,Data!B:B=B$1),""HIGH"")*10)+(COUNTIF(FILTER(Data!N:N,Data!D:D=A1104,Data!B:B=$B$1),""MIDDLE"")*6)+(COUNTIF(FILTER(Data!N:N,Data!D:D=A1104,Dat"&amp;"a!B:B=$B$1),""LOW"")*4))"),0.0)</f>
        <v>0</v>
      </c>
      <c r="V1104" s="138"/>
      <c r="W1104" s="134"/>
      <c r="X1104" s="134"/>
      <c r="Y1104" s="134"/>
      <c r="Z1104" s="134"/>
      <c r="AA1104" s="134"/>
      <c r="AB1104" s="134"/>
      <c r="AC1104" s="134"/>
      <c r="AD1104" s="139"/>
    </row>
    <row r="1105">
      <c r="A1105" s="143"/>
      <c r="B1105" s="134"/>
      <c r="C1105" s="134"/>
      <c r="D1105" s="134"/>
      <c r="E1105" s="134"/>
      <c r="F1105" s="134"/>
      <c r="G1105" s="134"/>
      <c r="H1105" s="134"/>
      <c r="J1105" s="134"/>
      <c r="K1105" s="135"/>
      <c r="L1105" s="136"/>
      <c r="M1105" s="137" t="str">
        <f>IFERROR(__xludf.DUMMYFUNCTION("IFERROR((FILTER(Data!A:A,Data!D:D=A1105,Data!B:B=$B$1)),"""")"),"")</f>
        <v/>
      </c>
      <c r="T1105" s="52">
        <f>IFERROR(__xludf.DUMMYFUNCTION("((COUNTIF(FILTER(Data!N:N,Data!D:D=A1105,Data!B:B=$B$1),""TRAVERSE"")*15)+(COUNTIF(FILTER(Data!N:N,Data!D:D=A1105,Data!B:B=B$1),""HIGH"")*10)+(COUNTIF(FILTER(Data!N:N,Data!D:D=A1105,Data!B:B=$B$1),""MIDDLE"")*6)+(COUNTIF(FILTER(Data!N:N,Data!D:D=A1105,Dat"&amp;"a!B:B=$B$1),""LOW"")*4))"),0.0)</f>
        <v>0</v>
      </c>
      <c r="V1105" s="138"/>
      <c r="W1105" s="134"/>
      <c r="X1105" s="134"/>
      <c r="Y1105" s="134"/>
      <c r="Z1105" s="134"/>
      <c r="AA1105" s="134"/>
      <c r="AB1105" s="134"/>
      <c r="AC1105" s="134"/>
      <c r="AD1105" s="139"/>
    </row>
    <row r="1106">
      <c r="A1106" s="143"/>
      <c r="B1106" s="134"/>
      <c r="C1106" s="134"/>
      <c r="D1106" s="134"/>
      <c r="E1106" s="134"/>
      <c r="F1106" s="134"/>
      <c r="G1106" s="134"/>
      <c r="H1106" s="134"/>
      <c r="J1106" s="134"/>
      <c r="K1106" s="135"/>
      <c r="L1106" s="136"/>
      <c r="M1106" s="137" t="str">
        <f>IFERROR(__xludf.DUMMYFUNCTION("IFERROR((FILTER(Data!A:A,Data!D:D=A1106,Data!B:B=$B$1)),"""")"),"")</f>
        <v/>
      </c>
      <c r="T1106" s="52">
        <f>IFERROR(__xludf.DUMMYFUNCTION("((COUNTIF(FILTER(Data!N:N,Data!D:D=A1106,Data!B:B=$B$1),""TRAVERSE"")*15)+(COUNTIF(FILTER(Data!N:N,Data!D:D=A1106,Data!B:B=B$1),""HIGH"")*10)+(COUNTIF(FILTER(Data!N:N,Data!D:D=A1106,Data!B:B=$B$1),""MIDDLE"")*6)+(COUNTIF(FILTER(Data!N:N,Data!D:D=A1106,Dat"&amp;"a!B:B=$B$1),""LOW"")*4))"),0.0)</f>
        <v>0</v>
      </c>
      <c r="V1106" s="138"/>
      <c r="W1106" s="134"/>
      <c r="X1106" s="134"/>
      <c r="Y1106" s="134"/>
      <c r="Z1106" s="134"/>
      <c r="AA1106" s="134"/>
      <c r="AB1106" s="134"/>
      <c r="AC1106" s="134"/>
      <c r="AD1106" s="139"/>
    </row>
    <row r="1107">
      <c r="A1107" s="143"/>
      <c r="B1107" s="134"/>
      <c r="C1107" s="134"/>
      <c r="D1107" s="134"/>
      <c r="E1107" s="134"/>
      <c r="F1107" s="134"/>
      <c r="G1107" s="134"/>
      <c r="H1107" s="134"/>
      <c r="J1107" s="134"/>
      <c r="K1107" s="135"/>
      <c r="L1107" s="136"/>
      <c r="M1107" s="137" t="str">
        <f>IFERROR(__xludf.DUMMYFUNCTION("IFERROR((FILTER(Data!A:A,Data!D:D=A1107,Data!B:B=$B$1)),"""")"),"")</f>
        <v/>
      </c>
      <c r="T1107" s="52">
        <f>IFERROR(__xludf.DUMMYFUNCTION("((COUNTIF(FILTER(Data!N:N,Data!D:D=A1107,Data!B:B=$B$1),""TRAVERSE"")*15)+(COUNTIF(FILTER(Data!N:N,Data!D:D=A1107,Data!B:B=B$1),""HIGH"")*10)+(COUNTIF(FILTER(Data!N:N,Data!D:D=A1107,Data!B:B=$B$1),""MIDDLE"")*6)+(COUNTIF(FILTER(Data!N:N,Data!D:D=A1107,Dat"&amp;"a!B:B=$B$1),""LOW"")*4))"),0.0)</f>
        <v>0</v>
      </c>
      <c r="V1107" s="138"/>
      <c r="W1107" s="134"/>
      <c r="X1107" s="134"/>
      <c r="Y1107" s="134"/>
      <c r="Z1107" s="134"/>
      <c r="AA1107" s="134"/>
      <c r="AB1107" s="134"/>
      <c r="AC1107" s="134"/>
      <c r="AD1107" s="139"/>
    </row>
    <row r="1108">
      <c r="A1108" s="143"/>
      <c r="B1108" s="134"/>
      <c r="C1108" s="134"/>
      <c r="D1108" s="134"/>
      <c r="E1108" s="134"/>
      <c r="F1108" s="134"/>
      <c r="G1108" s="134"/>
      <c r="H1108" s="134"/>
      <c r="J1108" s="134"/>
      <c r="K1108" s="135"/>
      <c r="L1108" s="136"/>
      <c r="M1108" s="137" t="str">
        <f>IFERROR(__xludf.DUMMYFUNCTION("IFERROR((FILTER(Data!A:A,Data!D:D=A1108,Data!B:B=$B$1)),"""")"),"")</f>
        <v/>
      </c>
      <c r="T1108" s="52">
        <f>IFERROR(__xludf.DUMMYFUNCTION("((COUNTIF(FILTER(Data!N:N,Data!D:D=A1108,Data!B:B=$B$1),""TRAVERSE"")*15)+(COUNTIF(FILTER(Data!N:N,Data!D:D=A1108,Data!B:B=B$1),""HIGH"")*10)+(COUNTIF(FILTER(Data!N:N,Data!D:D=A1108,Data!B:B=$B$1),""MIDDLE"")*6)+(COUNTIF(FILTER(Data!N:N,Data!D:D=A1108,Dat"&amp;"a!B:B=$B$1),""LOW"")*4))"),0.0)</f>
        <v>0</v>
      </c>
      <c r="V1108" s="138"/>
      <c r="W1108" s="134"/>
      <c r="X1108" s="134"/>
      <c r="Y1108" s="134"/>
      <c r="Z1108" s="134"/>
      <c r="AA1108" s="134"/>
      <c r="AB1108" s="134"/>
      <c r="AC1108" s="134"/>
      <c r="AD1108" s="139"/>
    </row>
    <row r="1109">
      <c r="A1109" s="143"/>
      <c r="B1109" s="134"/>
      <c r="C1109" s="134"/>
      <c r="D1109" s="134"/>
      <c r="E1109" s="134"/>
      <c r="F1109" s="134"/>
      <c r="G1109" s="134"/>
      <c r="H1109" s="134"/>
      <c r="J1109" s="134"/>
      <c r="K1109" s="135"/>
      <c r="L1109" s="136"/>
      <c r="M1109" s="137" t="str">
        <f>IFERROR(__xludf.DUMMYFUNCTION("IFERROR((FILTER(Data!A:A,Data!D:D=A1109,Data!B:B=$B$1)),"""")"),"")</f>
        <v/>
      </c>
      <c r="T1109" s="52">
        <f>IFERROR(__xludf.DUMMYFUNCTION("((COUNTIF(FILTER(Data!N:N,Data!D:D=A1109,Data!B:B=$B$1),""TRAVERSE"")*15)+(COUNTIF(FILTER(Data!N:N,Data!D:D=A1109,Data!B:B=B$1),""HIGH"")*10)+(COUNTIF(FILTER(Data!N:N,Data!D:D=A1109,Data!B:B=$B$1),""MIDDLE"")*6)+(COUNTIF(FILTER(Data!N:N,Data!D:D=A1109,Dat"&amp;"a!B:B=$B$1),""LOW"")*4))"),0.0)</f>
        <v>0</v>
      </c>
      <c r="V1109" s="138"/>
      <c r="W1109" s="134"/>
      <c r="X1109" s="134"/>
      <c r="Y1109" s="134"/>
      <c r="Z1109" s="134"/>
      <c r="AA1109" s="134"/>
      <c r="AB1109" s="134"/>
      <c r="AC1109" s="134"/>
      <c r="AD1109" s="139"/>
    </row>
    <row r="1110">
      <c r="A1110" s="143"/>
      <c r="B1110" s="134"/>
      <c r="C1110" s="134"/>
      <c r="D1110" s="134"/>
      <c r="E1110" s="134"/>
      <c r="F1110" s="134"/>
      <c r="G1110" s="134"/>
      <c r="H1110" s="134"/>
      <c r="J1110" s="134"/>
      <c r="K1110" s="135"/>
      <c r="L1110" s="136"/>
      <c r="M1110" s="137" t="str">
        <f>IFERROR(__xludf.DUMMYFUNCTION("IFERROR((FILTER(Data!A:A,Data!D:D=A1110,Data!B:B=$B$1)),"""")"),"")</f>
        <v/>
      </c>
      <c r="T1110" s="52">
        <f>IFERROR(__xludf.DUMMYFUNCTION("((COUNTIF(FILTER(Data!N:N,Data!D:D=A1110,Data!B:B=$B$1),""TRAVERSE"")*15)+(COUNTIF(FILTER(Data!N:N,Data!D:D=A1110,Data!B:B=B$1),""HIGH"")*10)+(COUNTIF(FILTER(Data!N:N,Data!D:D=A1110,Data!B:B=$B$1),""MIDDLE"")*6)+(COUNTIF(FILTER(Data!N:N,Data!D:D=A1110,Dat"&amp;"a!B:B=$B$1),""LOW"")*4))"),0.0)</f>
        <v>0</v>
      </c>
      <c r="V1110" s="138"/>
      <c r="W1110" s="134"/>
      <c r="X1110" s="134"/>
      <c r="Y1110" s="134"/>
      <c r="Z1110" s="134"/>
      <c r="AA1110" s="134"/>
      <c r="AB1110" s="134"/>
      <c r="AC1110" s="134"/>
      <c r="AD1110" s="139"/>
    </row>
    <row r="1111">
      <c r="A1111" s="143"/>
      <c r="B1111" s="134"/>
      <c r="C1111" s="134"/>
      <c r="D1111" s="134"/>
      <c r="E1111" s="134"/>
      <c r="F1111" s="134"/>
      <c r="G1111" s="134"/>
      <c r="H1111" s="134"/>
      <c r="J1111" s="134"/>
      <c r="K1111" s="135"/>
      <c r="L1111" s="136"/>
      <c r="M1111" s="137" t="str">
        <f>IFERROR(__xludf.DUMMYFUNCTION("IFERROR((FILTER(Data!A:A,Data!D:D=A1111,Data!B:B=$B$1)),"""")"),"")</f>
        <v/>
      </c>
      <c r="T1111" s="52">
        <f>IFERROR(__xludf.DUMMYFUNCTION("((COUNTIF(FILTER(Data!N:N,Data!D:D=A1111,Data!B:B=$B$1),""TRAVERSE"")*15)+(COUNTIF(FILTER(Data!N:N,Data!D:D=A1111,Data!B:B=B$1),""HIGH"")*10)+(COUNTIF(FILTER(Data!N:N,Data!D:D=A1111,Data!B:B=$B$1),""MIDDLE"")*6)+(COUNTIF(FILTER(Data!N:N,Data!D:D=A1111,Dat"&amp;"a!B:B=$B$1),""LOW"")*4))"),0.0)</f>
        <v>0</v>
      </c>
      <c r="V1111" s="138"/>
      <c r="W1111" s="134"/>
      <c r="X1111" s="134"/>
      <c r="Y1111" s="134"/>
      <c r="Z1111" s="134"/>
      <c r="AA1111" s="134"/>
      <c r="AB1111" s="134"/>
      <c r="AC1111" s="134"/>
      <c r="AD1111" s="139"/>
    </row>
    <row r="1112">
      <c r="A1112" s="143"/>
      <c r="B1112" s="134"/>
      <c r="C1112" s="134"/>
      <c r="D1112" s="134"/>
      <c r="E1112" s="134"/>
      <c r="F1112" s="134"/>
      <c r="G1112" s="134"/>
      <c r="H1112" s="134"/>
      <c r="J1112" s="134"/>
      <c r="K1112" s="135"/>
      <c r="L1112" s="136"/>
      <c r="M1112" s="137" t="str">
        <f>IFERROR(__xludf.DUMMYFUNCTION("IFERROR((FILTER(Data!A:A,Data!D:D=A1112,Data!B:B=$B$1)),"""")"),"")</f>
        <v/>
      </c>
      <c r="T1112" s="52">
        <f>IFERROR(__xludf.DUMMYFUNCTION("((COUNTIF(FILTER(Data!N:N,Data!D:D=A1112,Data!B:B=$B$1),""TRAVERSE"")*15)+(COUNTIF(FILTER(Data!N:N,Data!D:D=A1112,Data!B:B=B$1),""HIGH"")*10)+(COUNTIF(FILTER(Data!N:N,Data!D:D=A1112,Data!B:B=$B$1),""MIDDLE"")*6)+(COUNTIF(FILTER(Data!N:N,Data!D:D=A1112,Dat"&amp;"a!B:B=$B$1),""LOW"")*4))"),0.0)</f>
        <v>0</v>
      </c>
      <c r="V1112" s="138"/>
      <c r="W1112" s="134"/>
      <c r="X1112" s="134"/>
      <c r="Y1112" s="134"/>
      <c r="Z1112" s="134"/>
      <c r="AA1112" s="134"/>
      <c r="AB1112" s="134"/>
      <c r="AC1112" s="134"/>
      <c r="AD1112" s="139"/>
    </row>
    <row r="1113">
      <c r="A1113" s="143"/>
      <c r="B1113" s="134"/>
      <c r="C1113" s="134"/>
      <c r="D1113" s="134"/>
      <c r="E1113" s="134"/>
      <c r="F1113" s="134"/>
      <c r="G1113" s="134"/>
      <c r="H1113" s="134"/>
      <c r="J1113" s="134"/>
      <c r="K1113" s="135"/>
      <c r="L1113" s="136"/>
      <c r="M1113" s="137" t="str">
        <f>IFERROR(__xludf.DUMMYFUNCTION("IFERROR((FILTER(Data!A:A,Data!D:D=A1113,Data!B:B=$B$1)),"""")"),"")</f>
        <v/>
      </c>
      <c r="T1113" s="52">
        <f>IFERROR(__xludf.DUMMYFUNCTION("((COUNTIF(FILTER(Data!N:N,Data!D:D=A1113,Data!B:B=$B$1),""TRAVERSE"")*15)+(COUNTIF(FILTER(Data!N:N,Data!D:D=A1113,Data!B:B=B$1),""HIGH"")*10)+(COUNTIF(FILTER(Data!N:N,Data!D:D=A1113,Data!B:B=$B$1),""MIDDLE"")*6)+(COUNTIF(FILTER(Data!N:N,Data!D:D=A1113,Dat"&amp;"a!B:B=$B$1),""LOW"")*4))"),0.0)</f>
        <v>0</v>
      </c>
      <c r="V1113" s="138"/>
      <c r="W1113" s="134"/>
      <c r="X1113" s="134"/>
      <c r="Y1113" s="134"/>
      <c r="Z1113" s="134"/>
      <c r="AA1113" s="134"/>
      <c r="AB1113" s="134"/>
      <c r="AC1113" s="134"/>
      <c r="AD1113" s="139"/>
    </row>
    <row r="1114">
      <c r="A1114" s="143"/>
      <c r="B1114" s="134"/>
      <c r="C1114" s="134"/>
      <c r="D1114" s="134"/>
      <c r="E1114" s="134"/>
      <c r="F1114" s="134"/>
      <c r="G1114" s="134"/>
      <c r="H1114" s="134"/>
      <c r="J1114" s="134"/>
      <c r="K1114" s="135"/>
      <c r="L1114" s="136"/>
      <c r="M1114" s="137" t="str">
        <f>IFERROR(__xludf.DUMMYFUNCTION("IFERROR((FILTER(Data!A:A,Data!D:D=A1114,Data!B:B=$B$1)),"""")"),"")</f>
        <v/>
      </c>
      <c r="T1114" s="52">
        <f>IFERROR(__xludf.DUMMYFUNCTION("((COUNTIF(FILTER(Data!N:N,Data!D:D=A1114,Data!B:B=$B$1),""TRAVERSE"")*15)+(COUNTIF(FILTER(Data!N:N,Data!D:D=A1114,Data!B:B=B$1),""HIGH"")*10)+(COUNTIF(FILTER(Data!N:N,Data!D:D=A1114,Data!B:B=$B$1),""MIDDLE"")*6)+(COUNTIF(FILTER(Data!N:N,Data!D:D=A1114,Dat"&amp;"a!B:B=$B$1),""LOW"")*4))"),0.0)</f>
        <v>0</v>
      </c>
      <c r="V1114" s="138"/>
      <c r="W1114" s="134"/>
      <c r="X1114" s="134"/>
      <c r="Y1114" s="134"/>
      <c r="Z1114" s="134"/>
      <c r="AA1114" s="134"/>
      <c r="AB1114" s="134"/>
      <c r="AC1114" s="134"/>
      <c r="AD1114" s="139"/>
    </row>
    <row r="1115">
      <c r="A1115" s="143"/>
      <c r="B1115" s="134"/>
      <c r="C1115" s="134"/>
      <c r="D1115" s="134"/>
      <c r="E1115" s="134"/>
      <c r="F1115" s="134"/>
      <c r="G1115" s="134"/>
      <c r="H1115" s="134"/>
      <c r="J1115" s="134"/>
      <c r="K1115" s="135"/>
      <c r="L1115" s="136"/>
      <c r="M1115" s="137" t="str">
        <f>IFERROR(__xludf.DUMMYFUNCTION("IFERROR((FILTER(Data!A:A,Data!D:D=A1115,Data!B:B=$B$1)),"""")"),"")</f>
        <v/>
      </c>
      <c r="T1115" s="52">
        <f>IFERROR(__xludf.DUMMYFUNCTION("((COUNTIF(FILTER(Data!N:N,Data!D:D=A1115,Data!B:B=$B$1),""TRAVERSE"")*15)+(COUNTIF(FILTER(Data!N:N,Data!D:D=A1115,Data!B:B=B$1),""HIGH"")*10)+(COUNTIF(FILTER(Data!N:N,Data!D:D=A1115,Data!B:B=$B$1),""MIDDLE"")*6)+(COUNTIF(FILTER(Data!N:N,Data!D:D=A1115,Dat"&amp;"a!B:B=$B$1),""LOW"")*4))"),0.0)</f>
        <v>0</v>
      </c>
      <c r="V1115" s="138"/>
      <c r="W1115" s="134"/>
      <c r="X1115" s="134"/>
      <c r="Y1115" s="134"/>
      <c r="Z1115" s="134"/>
      <c r="AA1115" s="134"/>
      <c r="AB1115" s="134"/>
      <c r="AC1115" s="134"/>
      <c r="AD1115" s="139"/>
    </row>
    <row r="1116">
      <c r="A1116" s="143"/>
      <c r="B1116" s="134"/>
      <c r="C1116" s="134"/>
      <c r="D1116" s="134"/>
      <c r="E1116" s="134"/>
      <c r="F1116" s="134"/>
      <c r="G1116" s="134"/>
      <c r="H1116" s="134"/>
      <c r="J1116" s="134"/>
      <c r="K1116" s="135"/>
      <c r="L1116" s="136"/>
      <c r="M1116" s="137" t="str">
        <f>IFERROR(__xludf.DUMMYFUNCTION("IFERROR((FILTER(Data!A:A,Data!D:D=A1116,Data!B:B=$B$1)),"""")"),"")</f>
        <v/>
      </c>
      <c r="T1116" s="52">
        <f>IFERROR(__xludf.DUMMYFUNCTION("((COUNTIF(FILTER(Data!N:N,Data!D:D=A1116,Data!B:B=$B$1),""TRAVERSE"")*15)+(COUNTIF(FILTER(Data!N:N,Data!D:D=A1116,Data!B:B=B$1),""HIGH"")*10)+(COUNTIF(FILTER(Data!N:N,Data!D:D=A1116,Data!B:B=$B$1),""MIDDLE"")*6)+(COUNTIF(FILTER(Data!N:N,Data!D:D=A1116,Dat"&amp;"a!B:B=$B$1),""LOW"")*4))"),0.0)</f>
        <v>0</v>
      </c>
      <c r="V1116" s="138"/>
      <c r="W1116" s="134"/>
      <c r="X1116" s="134"/>
      <c r="Y1116" s="134"/>
      <c r="Z1116" s="134"/>
      <c r="AA1116" s="134"/>
      <c r="AB1116" s="134"/>
      <c r="AC1116" s="134"/>
      <c r="AD1116" s="139"/>
    </row>
    <row r="1117">
      <c r="A1117" s="143"/>
      <c r="B1117" s="134"/>
      <c r="C1117" s="134"/>
      <c r="D1117" s="134"/>
      <c r="E1117" s="134"/>
      <c r="F1117" s="134"/>
      <c r="G1117" s="134"/>
      <c r="H1117" s="134"/>
      <c r="J1117" s="134"/>
      <c r="K1117" s="135"/>
      <c r="L1117" s="136"/>
      <c r="M1117" s="137" t="str">
        <f>IFERROR(__xludf.DUMMYFUNCTION("IFERROR((FILTER(Data!A:A,Data!D:D=A1117,Data!B:B=$B$1)),"""")"),"")</f>
        <v/>
      </c>
      <c r="T1117" s="52">
        <f>IFERROR(__xludf.DUMMYFUNCTION("((COUNTIF(FILTER(Data!N:N,Data!D:D=A1117,Data!B:B=$B$1),""TRAVERSE"")*15)+(COUNTIF(FILTER(Data!N:N,Data!D:D=A1117,Data!B:B=B$1),""HIGH"")*10)+(COUNTIF(FILTER(Data!N:N,Data!D:D=A1117,Data!B:B=$B$1),""MIDDLE"")*6)+(COUNTIF(FILTER(Data!N:N,Data!D:D=A1117,Dat"&amp;"a!B:B=$B$1),""LOW"")*4))"),0.0)</f>
        <v>0</v>
      </c>
      <c r="V1117" s="138"/>
      <c r="W1117" s="134"/>
      <c r="X1117" s="134"/>
      <c r="Y1117" s="134"/>
      <c r="Z1117" s="134"/>
      <c r="AA1117" s="134"/>
      <c r="AB1117" s="134"/>
      <c r="AC1117" s="134"/>
      <c r="AD1117" s="139"/>
    </row>
    <row r="1118">
      <c r="A1118" s="143"/>
      <c r="B1118" s="134"/>
      <c r="C1118" s="134"/>
      <c r="D1118" s="134"/>
      <c r="E1118" s="134"/>
      <c r="F1118" s="134"/>
      <c r="G1118" s="134"/>
      <c r="H1118" s="134"/>
      <c r="J1118" s="134"/>
      <c r="K1118" s="135"/>
      <c r="L1118" s="136"/>
      <c r="M1118" s="137" t="str">
        <f>IFERROR(__xludf.DUMMYFUNCTION("IFERROR((FILTER(Data!A:A,Data!D:D=A1118,Data!B:B=$B$1)),"""")"),"")</f>
        <v/>
      </c>
      <c r="T1118" s="52">
        <f>IFERROR(__xludf.DUMMYFUNCTION("((COUNTIF(FILTER(Data!N:N,Data!D:D=A1118,Data!B:B=$B$1),""TRAVERSE"")*15)+(COUNTIF(FILTER(Data!N:N,Data!D:D=A1118,Data!B:B=B$1),""HIGH"")*10)+(COUNTIF(FILTER(Data!N:N,Data!D:D=A1118,Data!B:B=$B$1),""MIDDLE"")*6)+(COUNTIF(FILTER(Data!N:N,Data!D:D=A1118,Dat"&amp;"a!B:B=$B$1),""LOW"")*4))"),0.0)</f>
        <v>0</v>
      </c>
      <c r="V1118" s="138"/>
      <c r="W1118" s="134"/>
      <c r="X1118" s="134"/>
      <c r="Y1118" s="134"/>
      <c r="Z1118" s="134"/>
      <c r="AA1118" s="134"/>
      <c r="AB1118" s="134"/>
      <c r="AC1118" s="134"/>
      <c r="AD1118" s="139"/>
    </row>
    <row r="1119">
      <c r="A1119" s="143"/>
      <c r="B1119" s="134"/>
      <c r="C1119" s="134"/>
      <c r="D1119" s="134"/>
      <c r="E1119" s="134"/>
      <c r="F1119" s="134"/>
      <c r="G1119" s="134"/>
      <c r="H1119" s="134"/>
      <c r="J1119" s="134"/>
      <c r="K1119" s="135"/>
      <c r="L1119" s="136"/>
      <c r="M1119" s="137" t="str">
        <f>IFERROR(__xludf.DUMMYFUNCTION("IFERROR((FILTER(Data!A:A,Data!D:D=A1119,Data!B:B=$B$1)),"""")"),"")</f>
        <v/>
      </c>
      <c r="T1119" s="52">
        <f>IFERROR(__xludf.DUMMYFUNCTION("((COUNTIF(FILTER(Data!N:N,Data!D:D=A1119,Data!B:B=$B$1),""TRAVERSE"")*15)+(COUNTIF(FILTER(Data!N:N,Data!D:D=A1119,Data!B:B=B$1),""HIGH"")*10)+(COUNTIF(FILTER(Data!N:N,Data!D:D=A1119,Data!B:B=$B$1),""MIDDLE"")*6)+(COUNTIF(FILTER(Data!N:N,Data!D:D=A1119,Dat"&amp;"a!B:B=$B$1),""LOW"")*4))"),0.0)</f>
        <v>0</v>
      </c>
      <c r="V1119" s="138"/>
      <c r="W1119" s="134"/>
      <c r="X1119" s="134"/>
      <c r="Y1119" s="134"/>
      <c r="Z1119" s="134"/>
      <c r="AA1119" s="134"/>
      <c r="AB1119" s="134"/>
      <c r="AC1119" s="134"/>
      <c r="AD1119" s="139"/>
    </row>
    <row r="1120">
      <c r="A1120" s="143"/>
      <c r="B1120" s="134"/>
      <c r="C1120" s="134"/>
      <c r="D1120" s="134"/>
      <c r="E1120" s="134"/>
      <c r="F1120" s="134"/>
      <c r="G1120" s="134"/>
      <c r="H1120" s="134"/>
      <c r="J1120" s="134"/>
      <c r="K1120" s="135"/>
      <c r="L1120" s="136"/>
      <c r="M1120" s="137" t="str">
        <f>IFERROR(__xludf.DUMMYFUNCTION("IFERROR((FILTER(Data!A:A,Data!D:D=A1120,Data!B:B=$B$1)),"""")"),"")</f>
        <v/>
      </c>
      <c r="T1120" s="52">
        <f>IFERROR(__xludf.DUMMYFUNCTION("((COUNTIF(FILTER(Data!N:N,Data!D:D=A1120,Data!B:B=$B$1),""TRAVERSE"")*15)+(COUNTIF(FILTER(Data!N:N,Data!D:D=A1120,Data!B:B=B$1),""HIGH"")*10)+(COUNTIF(FILTER(Data!N:N,Data!D:D=A1120,Data!B:B=$B$1),""MIDDLE"")*6)+(COUNTIF(FILTER(Data!N:N,Data!D:D=A1120,Dat"&amp;"a!B:B=$B$1),""LOW"")*4))"),0.0)</f>
        <v>0</v>
      </c>
      <c r="V1120" s="138"/>
      <c r="W1120" s="134"/>
      <c r="X1120" s="134"/>
      <c r="Y1120" s="134"/>
      <c r="Z1120" s="134"/>
      <c r="AA1120" s="134"/>
      <c r="AB1120" s="134"/>
      <c r="AC1120" s="134"/>
      <c r="AD1120" s="139"/>
    </row>
    <row r="1121">
      <c r="A1121" s="143"/>
      <c r="B1121" s="134"/>
      <c r="C1121" s="134"/>
      <c r="D1121" s="134"/>
      <c r="E1121" s="134"/>
      <c r="F1121" s="134"/>
      <c r="G1121" s="134"/>
      <c r="H1121" s="134"/>
      <c r="J1121" s="134"/>
      <c r="K1121" s="135"/>
      <c r="L1121" s="136"/>
      <c r="M1121" s="137" t="str">
        <f>IFERROR(__xludf.DUMMYFUNCTION("IFERROR((FILTER(Data!A:A,Data!D:D=A1121,Data!B:B=$B$1)),"""")"),"")</f>
        <v/>
      </c>
      <c r="T1121" s="52">
        <f>IFERROR(__xludf.DUMMYFUNCTION("((COUNTIF(FILTER(Data!N:N,Data!D:D=A1121,Data!B:B=$B$1),""TRAVERSE"")*15)+(COUNTIF(FILTER(Data!N:N,Data!D:D=A1121,Data!B:B=B$1),""HIGH"")*10)+(COUNTIF(FILTER(Data!N:N,Data!D:D=A1121,Data!B:B=$B$1),""MIDDLE"")*6)+(COUNTIF(FILTER(Data!N:N,Data!D:D=A1121,Dat"&amp;"a!B:B=$B$1),""LOW"")*4))"),0.0)</f>
        <v>0</v>
      </c>
      <c r="V1121" s="138"/>
      <c r="W1121" s="134"/>
      <c r="X1121" s="134"/>
      <c r="Y1121" s="134"/>
      <c r="Z1121" s="134"/>
      <c r="AA1121" s="134"/>
      <c r="AB1121" s="134"/>
      <c r="AC1121" s="134"/>
      <c r="AD1121" s="139"/>
    </row>
    <row r="1122">
      <c r="A1122" s="143"/>
      <c r="B1122" s="134"/>
      <c r="C1122" s="134"/>
      <c r="D1122" s="134"/>
      <c r="E1122" s="134"/>
      <c r="F1122" s="134"/>
      <c r="G1122" s="134"/>
      <c r="H1122" s="134"/>
      <c r="J1122" s="134"/>
      <c r="K1122" s="135"/>
      <c r="L1122" s="136"/>
      <c r="M1122" s="137" t="str">
        <f>IFERROR(__xludf.DUMMYFUNCTION("IFERROR((FILTER(Data!A:A,Data!D:D=A1122,Data!B:B=$B$1)),"""")"),"")</f>
        <v/>
      </c>
      <c r="T1122" s="52">
        <f>IFERROR(__xludf.DUMMYFUNCTION("((COUNTIF(FILTER(Data!N:N,Data!D:D=A1122,Data!B:B=$B$1),""TRAVERSE"")*15)+(COUNTIF(FILTER(Data!N:N,Data!D:D=A1122,Data!B:B=B$1),""HIGH"")*10)+(COUNTIF(FILTER(Data!N:N,Data!D:D=A1122,Data!B:B=$B$1),""MIDDLE"")*6)+(COUNTIF(FILTER(Data!N:N,Data!D:D=A1122,Dat"&amp;"a!B:B=$B$1),""LOW"")*4))"),0.0)</f>
        <v>0</v>
      </c>
      <c r="V1122" s="138"/>
      <c r="W1122" s="134"/>
      <c r="X1122" s="134"/>
      <c r="Y1122" s="134"/>
      <c r="Z1122" s="134"/>
      <c r="AA1122" s="134"/>
      <c r="AB1122" s="134"/>
      <c r="AC1122" s="134"/>
      <c r="AD1122" s="139"/>
    </row>
    <row r="1123">
      <c r="A1123" s="143"/>
      <c r="B1123" s="134"/>
      <c r="C1123" s="134"/>
      <c r="D1123" s="134"/>
      <c r="E1123" s="134"/>
      <c r="F1123" s="134"/>
      <c r="G1123" s="134"/>
      <c r="H1123" s="134"/>
      <c r="J1123" s="134"/>
      <c r="K1123" s="135"/>
      <c r="L1123" s="136"/>
      <c r="M1123" s="137" t="str">
        <f>IFERROR(__xludf.DUMMYFUNCTION("IFERROR((FILTER(Data!A:A,Data!D:D=A1123,Data!B:B=$B$1)),"""")"),"")</f>
        <v/>
      </c>
      <c r="T1123" s="52">
        <f>IFERROR(__xludf.DUMMYFUNCTION("((COUNTIF(FILTER(Data!N:N,Data!D:D=A1123,Data!B:B=$B$1),""TRAVERSE"")*15)+(COUNTIF(FILTER(Data!N:N,Data!D:D=A1123,Data!B:B=B$1),""HIGH"")*10)+(COUNTIF(FILTER(Data!N:N,Data!D:D=A1123,Data!B:B=$B$1),""MIDDLE"")*6)+(COUNTIF(FILTER(Data!N:N,Data!D:D=A1123,Dat"&amp;"a!B:B=$B$1),""LOW"")*4))"),0.0)</f>
        <v>0</v>
      </c>
      <c r="V1123" s="138"/>
      <c r="W1123" s="134"/>
      <c r="X1123" s="134"/>
      <c r="Y1123" s="134"/>
      <c r="Z1123" s="134"/>
      <c r="AA1123" s="134"/>
      <c r="AB1123" s="134"/>
      <c r="AC1123" s="134"/>
      <c r="AD1123" s="139"/>
    </row>
    <row r="1124">
      <c r="A1124" s="143"/>
      <c r="B1124" s="134"/>
      <c r="C1124" s="134"/>
      <c r="D1124" s="134"/>
      <c r="E1124" s="134"/>
      <c r="F1124" s="134"/>
      <c r="G1124" s="134"/>
      <c r="H1124" s="134"/>
      <c r="J1124" s="134"/>
      <c r="K1124" s="135"/>
      <c r="L1124" s="136"/>
      <c r="M1124" s="137" t="str">
        <f>IFERROR(__xludf.DUMMYFUNCTION("IFERROR((FILTER(Data!A:A,Data!D:D=A1124,Data!B:B=$B$1)),"""")"),"")</f>
        <v/>
      </c>
      <c r="T1124" s="52">
        <f>IFERROR(__xludf.DUMMYFUNCTION("((COUNTIF(FILTER(Data!N:N,Data!D:D=A1124,Data!B:B=$B$1),""TRAVERSE"")*15)+(COUNTIF(FILTER(Data!N:N,Data!D:D=A1124,Data!B:B=B$1),""HIGH"")*10)+(COUNTIF(FILTER(Data!N:N,Data!D:D=A1124,Data!B:B=$B$1),""MIDDLE"")*6)+(COUNTIF(FILTER(Data!N:N,Data!D:D=A1124,Dat"&amp;"a!B:B=$B$1),""LOW"")*4))"),0.0)</f>
        <v>0</v>
      </c>
      <c r="V1124" s="138"/>
      <c r="W1124" s="134"/>
      <c r="X1124" s="134"/>
      <c r="Y1124" s="134"/>
      <c r="Z1124" s="134"/>
      <c r="AA1124" s="134"/>
      <c r="AB1124" s="134"/>
      <c r="AC1124" s="134"/>
      <c r="AD1124" s="139"/>
    </row>
    <row r="1125">
      <c r="A1125" s="143"/>
      <c r="B1125" s="134"/>
      <c r="C1125" s="134"/>
      <c r="D1125" s="134"/>
      <c r="E1125" s="134"/>
      <c r="F1125" s="134"/>
      <c r="G1125" s="134"/>
      <c r="H1125" s="134"/>
      <c r="J1125" s="134"/>
      <c r="K1125" s="135"/>
      <c r="L1125" s="136"/>
      <c r="M1125" s="137" t="str">
        <f>IFERROR(__xludf.DUMMYFUNCTION("IFERROR((FILTER(Data!A:A,Data!D:D=A1125,Data!B:B=$B$1)),"""")"),"")</f>
        <v/>
      </c>
      <c r="T1125" s="52">
        <f>IFERROR(__xludf.DUMMYFUNCTION("((COUNTIF(FILTER(Data!N:N,Data!D:D=A1125,Data!B:B=$B$1),""TRAVERSE"")*15)+(COUNTIF(FILTER(Data!N:N,Data!D:D=A1125,Data!B:B=B$1),""HIGH"")*10)+(COUNTIF(FILTER(Data!N:N,Data!D:D=A1125,Data!B:B=$B$1),""MIDDLE"")*6)+(COUNTIF(FILTER(Data!N:N,Data!D:D=A1125,Dat"&amp;"a!B:B=$B$1),""LOW"")*4))"),0.0)</f>
        <v>0</v>
      </c>
      <c r="V1125" s="138"/>
      <c r="W1125" s="134"/>
      <c r="X1125" s="134"/>
      <c r="Y1125" s="134"/>
      <c r="Z1125" s="134"/>
      <c r="AA1125" s="134"/>
      <c r="AB1125" s="134"/>
      <c r="AC1125" s="134"/>
      <c r="AD1125" s="139"/>
    </row>
    <row r="1126">
      <c r="A1126" s="143"/>
      <c r="B1126" s="134"/>
      <c r="C1126" s="134"/>
      <c r="D1126" s="134"/>
      <c r="E1126" s="134"/>
      <c r="F1126" s="134"/>
      <c r="G1126" s="134"/>
      <c r="H1126" s="134"/>
      <c r="J1126" s="134"/>
      <c r="K1126" s="135"/>
      <c r="L1126" s="136"/>
      <c r="M1126" s="137" t="str">
        <f>IFERROR(__xludf.DUMMYFUNCTION("IFERROR((FILTER(Data!A:A,Data!D:D=A1126,Data!B:B=$B$1)),"""")"),"")</f>
        <v/>
      </c>
      <c r="T1126" s="52">
        <f>IFERROR(__xludf.DUMMYFUNCTION("((COUNTIF(FILTER(Data!N:N,Data!D:D=A1126,Data!B:B=$B$1),""TRAVERSE"")*15)+(COUNTIF(FILTER(Data!N:N,Data!D:D=A1126,Data!B:B=B$1),""HIGH"")*10)+(COUNTIF(FILTER(Data!N:N,Data!D:D=A1126,Data!B:B=$B$1),""MIDDLE"")*6)+(COUNTIF(FILTER(Data!N:N,Data!D:D=A1126,Dat"&amp;"a!B:B=$B$1),""LOW"")*4))"),0.0)</f>
        <v>0</v>
      </c>
      <c r="V1126" s="138"/>
      <c r="W1126" s="134"/>
      <c r="X1126" s="134"/>
      <c r="Y1126" s="134"/>
      <c r="Z1126" s="134"/>
      <c r="AA1126" s="134"/>
      <c r="AB1126" s="134"/>
      <c r="AC1126" s="134"/>
      <c r="AD1126" s="139"/>
    </row>
    <row r="1127">
      <c r="A1127" s="143"/>
      <c r="B1127" s="134"/>
      <c r="C1127" s="134"/>
      <c r="D1127" s="134"/>
      <c r="E1127" s="134"/>
      <c r="F1127" s="134"/>
      <c r="G1127" s="134"/>
      <c r="H1127" s="134"/>
      <c r="J1127" s="134"/>
      <c r="K1127" s="135"/>
      <c r="L1127" s="136"/>
      <c r="M1127" s="137" t="str">
        <f>IFERROR(__xludf.DUMMYFUNCTION("IFERROR((FILTER(Data!A:A,Data!D:D=A1127,Data!B:B=$B$1)),"""")"),"")</f>
        <v/>
      </c>
      <c r="T1127" s="52">
        <f>IFERROR(__xludf.DUMMYFUNCTION("((COUNTIF(FILTER(Data!N:N,Data!D:D=A1127,Data!B:B=$B$1),""TRAVERSE"")*15)+(COUNTIF(FILTER(Data!N:N,Data!D:D=A1127,Data!B:B=B$1),""HIGH"")*10)+(COUNTIF(FILTER(Data!N:N,Data!D:D=A1127,Data!B:B=$B$1),""MIDDLE"")*6)+(COUNTIF(FILTER(Data!N:N,Data!D:D=A1127,Dat"&amp;"a!B:B=$B$1),""LOW"")*4))"),0.0)</f>
        <v>0</v>
      </c>
      <c r="V1127" s="138"/>
      <c r="W1127" s="134"/>
      <c r="X1127" s="134"/>
      <c r="Y1127" s="134"/>
      <c r="Z1127" s="134"/>
      <c r="AA1127" s="134"/>
      <c r="AB1127" s="134"/>
      <c r="AC1127" s="134"/>
      <c r="AD1127" s="139"/>
    </row>
    <row r="1128">
      <c r="A1128" s="143"/>
      <c r="B1128" s="134"/>
      <c r="C1128" s="134"/>
      <c r="D1128" s="134"/>
      <c r="E1128" s="134"/>
      <c r="F1128" s="134"/>
      <c r="G1128" s="134"/>
      <c r="H1128" s="134"/>
      <c r="J1128" s="134"/>
      <c r="K1128" s="135"/>
      <c r="L1128" s="136"/>
      <c r="M1128" s="137" t="str">
        <f>IFERROR(__xludf.DUMMYFUNCTION("IFERROR((FILTER(Data!A:A,Data!D:D=A1128,Data!B:B=$B$1)),"""")"),"")</f>
        <v/>
      </c>
      <c r="T1128" s="52">
        <f>IFERROR(__xludf.DUMMYFUNCTION("((COUNTIF(FILTER(Data!N:N,Data!D:D=A1128,Data!B:B=$B$1),""TRAVERSE"")*15)+(COUNTIF(FILTER(Data!N:N,Data!D:D=A1128,Data!B:B=B$1),""HIGH"")*10)+(COUNTIF(FILTER(Data!N:N,Data!D:D=A1128,Data!B:B=$B$1),""MIDDLE"")*6)+(COUNTIF(FILTER(Data!N:N,Data!D:D=A1128,Dat"&amp;"a!B:B=$B$1),""LOW"")*4))"),0.0)</f>
        <v>0</v>
      </c>
      <c r="V1128" s="138"/>
      <c r="W1128" s="134"/>
      <c r="X1128" s="134"/>
      <c r="Y1128" s="134"/>
      <c r="Z1128" s="134"/>
      <c r="AA1128" s="134"/>
      <c r="AB1128" s="134"/>
      <c r="AC1128" s="134"/>
      <c r="AD1128" s="139"/>
    </row>
    <row r="1129">
      <c r="A1129" s="143"/>
      <c r="B1129" s="134"/>
      <c r="C1129" s="134"/>
      <c r="D1129" s="134"/>
      <c r="E1129" s="134"/>
      <c r="F1129" s="134"/>
      <c r="G1129" s="134"/>
      <c r="H1129" s="134"/>
      <c r="J1129" s="134"/>
      <c r="K1129" s="135"/>
      <c r="L1129" s="136"/>
      <c r="M1129" s="137" t="str">
        <f>IFERROR(__xludf.DUMMYFUNCTION("IFERROR((FILTER(Data!A:A,Data!D:D=A1129,Data!B:B=$B$1)),"""")"),"")</f>
        <v/>
      </c>
      <c r="T1129" s="52">
        <f>IFERROR(__xludf.DUMMYFUNCTION("((COUNTIF(FILTER(Data!N:N,Data!D:D=A1129,Data!B:B=$B$1),""TRAVERSE"")*15)+(COUNTIF(FILTER(Data!N:N,Data!D:D=A1129,Data!B:B=B$1),""HIGH"")*10)+(COUNTIF(FILTER(Data!N:N,Data!D:D=A1129,Data!B:B=$B$1),""MIDDLE"")*6)+(COUNTIF(FILTER(Data!N:N,Data!D:D=A1129,Dat"&amp;"a!B:B=$B$1),""LOW"")*4))"),0.0)</f>
        <v>0</v>
      </c>
      <c r="V1129" s="138"/>
      <c r="W1129" s="134"/>
      <c r="X1129" s="134"/>
      <c r="Y1129" s="134"/>
      <c r="Z1129" s="134"/>
      <c r="AA1129" s="134"/>
      <c r="AB1129" s="134"/>
      <c r="AC1129" s="134"/>
      <c r="AD1129" s="139"/>
    </row>
    <row r="1130">
      <c r="A1130" s="143"/>
      <c r="B1130" s="134"/>
      <c r="C1130" s="134"/>
      <c r="D1130" s="134"/>
      <c r="E1130" s="134"/>
      <c r="F1130" s="134"/>
      <c r="G1130" s="134"/>
      <c r="H1130" s="134"/>
      <c r="J1130" s="134"/>
      <c r="K1130" s="135"/>
      <c r="L1130" s="136"/>
      <c r="M1130" s="137" t="str">
        <f>IFERROR(__xludf.DUMMYFUNCTION("IFERROR((FILTER(Data!A:A,Data!D:D=A1130,Data!B:B=$B$1)),"""")"),"")</f>
        <v/>
      </c>
      <c r="T1130" s="52">
        <f>IFERROR(__xludf.DUMMYFUNCTION("((COUNTIF(FILTER(Data!N:N,Data!D:D=A1130,Data!B:B=$B$1),""TRAVERSE"")*15)+(COUNTIF(FILTER(Data!N:N,Data!D:D=A1130,Data!B:B=B$1),""HIGH"")*10)+(COUNTIF(FILTER(Data!N:N,Data!D:D=A1130,Data!B:B=$B$1),""MIDDLE"")*6)+(COUNTIF(FILTER(Data!N:N,Data!D:D=A1130,Dat"&amp;"a!B:B=$B$1),""LOW"")*4))"),0.0)</f>
        <v>0</v>
      </c>
      <c r="V1130" s="138"/>
      <c r="W1130" s="134"/>
      <c r="X1130" s="134"/>
      <c r="Y1130" s="134"/>
      <c r="Z1130" s="134"/>
      <c r="AA1130" s="134"/>
      <c r="AB1130" s="134"/>
      <c r="AC1130" s="134"/>
      <c r="AD1130" s="139"/>
    </row>
    <row r="1131">
      <c r="A1131" s="143"/>
      <c r="B1131" s="134"/>
      <c r="C1131" s="134"/>
      <c r="D1131" s="134"/>
      <c r="E1131" s="134"/>
      <c r="F1131" s="134"/>
      <c r="G1131" s="134"/>
      <c r="H1131" s="134"/>
      <c r="J1131" s="134"/>
      <c r="K1131" s="135"/>
      <c r="L1131" s="136"/>
      <c r="M1131" s="137" t="str">
        <f>IFERROR(__xludf.DUMMYFUNCTION("IFERROR((FILTER(Data!A:A,Data!D:D=A1131,Data!B:B=$B$1)),"""")"),"")</f>
        <v/>
      </c>
      <c r="T1131" s="52">
        <f>IFERROR(__xludf.DUMMYFUNCTION("((COUNTIF(FILTER(Data!N:N,Data!D:D=A1131,Data!B:B=$B$1),""TRAVERSE"")*15)+(COUNTIF(FILTER(Data!N:N,Data!D:D=A1131,Data!B:B=B$1),""HIGH"")*10)+(COUNTIF(FILTER(Data!N:N,Data!D:D=A1131,Data!B:B=$B$1),""MIDDLE"")*6)+(COUNTIF(FILTER(Data!N:N,Data!D:D=A1131,Dat"&amp;"a!B:B=$B$1),""LOW"")*4))"),0.0)</f>
        <v>0</v>
      </c>
      <c r="V1131" s="138"/>
      <c r="W1131" s="134"/>
      <c r="X1131" s="134"/>
      <c r="Y1131" s="134"/>
      <c r="Z1131" s="134"/>
      <c r="AA1131" s="134"/>
      <c r="AB1131" s="134"/>
      <c r="AC1131" s="134"/>
      <c r="AD1131" s="139"/>
    </row>
    <row r="1132">
      <c r="A1132" s="143"/>
      <c r="B1132" s="134"/>
      <c r="C1132" s="134"/>
      <c r="D1132" s="134"/>
      <c r="E1132" s="134"/>
      <c r="F1132" s="134"/>
      <c r="G1132" s="134"/>
      <c r="H1132" s="134"/>
      <c r="J1132" s="134"/>
      <c r="K1132" s="135"/>
      <c r="L1132" s="136"/>
      <c r="M1132" s="137" t="str">
        <f>IFERROR(__xludf.DUMMYFUNCTION("IFERROR((FILTER(Data!A:A,Data!D:D=A1132,Data!B:B=$B$1)),"""")"),"")</f>
        <v/>
      </c>
      <c r="T1132" s="52">
        <f>IFERROR(__xludf.DUMMYFUNCTION("((COUNTIF(FILTER(Data!N:N,Data!D:D=A1132,Data!B:B=$B$1),""TRAVERSE"")*15)+(COUNTIF(FILTER(Data!N:N,Data!D:D=A1132,Data!B:B=B$1),""HIGH"")*10)+(COUNTIF(FILTER(Data!N:N,Data!D:D=A1132,Data!B:B=$B$1),""MIDDLE"")*6)+(COUNTIF(FILTER(Data!N:N,Data!D:D=A1132,Dat"&amp;"a!B:B=$B$1),""LOW"")*4))"),0.0)</f>
        <v>0</v>
      </c>
      <c r="V1132" s="138"/>
      <c r="W1132" s="134"/>
      <c r="X1132" s="134"/>
      <c r="Y1132" s="134"/>
      <c r="Z1132" s="134"/>
      <c r="AA1132" s="134"/>
      <c r="AB1132" s="134"/>
      <c r="AC1132" s="134"/>
      <c r="AD1132" s="139"/>
    </row>
    <row r="1133">
      <c r="A1133" s="143"/>
      <c r="B1133" s="134"/>
      <c r="C1133" s="134"/>
      <c r="D1133" s="134"/>
      <c r="E1133" s="134"/>
      <c r="F1133" s="134"/>
      <c r="G1133" s="134"/>
      <c r="H1133" s="134"/>
      <c r="J1133" s="134"/>
      <c r="K1133" s="135"/>
      <c r="L1133" s="136"/>
      <c r="M1133" s="137" t="str">
        <f>IFERROR(__xludf.DUMMYFUNCTION("IFERROR((FILTER(Data!A:A,Data!D:D=A1133,Data!B:B=$B$1)),"""")"),"")</f>
        <v/>
      </c>
      <c r="T1133" s="52">
        <f>IFERROR(__xludf.DUMMYFUNCTION("((COUNTIF(FILTER(Data!N:N,Data!D:D=A1133,Data!B:B=$B$1),""TRAVERSE"")*15)+(COUNTIF(FILTER(Data!N:N,Data!D:D=A1133,Data!B:B=B$1),""HIGH"")*10)+(COUNTIF(FILTER(Data!N:N,Data!D:D=A1133,Data!B:B=$B$1),""MIDDLE"")*6)+(COUNTIF(FILTER(Data!N:N,Data!D:D=A1133,Dat"&amp;"a!B:B=$B$1),""LOW"")*4))"),0.0)</f>
        <v>0</v>
      </c>
      <c r="V1133" s="138"/>
      <c r="W1133" s="134"/>
      <c r="X1133" s="134"/>
      <c r="Y1133" s="134"/>
      <c r="Z1133" s="134"/>
      <c r="AA1133" s="134"/>
      <c r="AB1133" s="134"/>
      <c r="AC1133" s="134"/>
      <c r="AD1133" s="139"/>
    </row>
    <row r="1134">
      <c r="A1134" s="143"/>
      <c r="B1134" s="134"/>
      <c r="C1134" s="134"/>
      <c r="D1134" s="134"/>
      <c r="E1134" s="134"/>
      <c r="F1134" s="134"/>
      <c r="G1134" s="134"/>
      <c r="H1134" s="134"/>
      <c r="J1134" s="134"/>
      <c r="K1134" s="135"/>
      <c r="L1134" s="136"/>
      <c r="M1134" s="137" t="str">
        <f>IFERROR(__xludf.DUMMYFUNCTION("IFERROR((FILTER(Data!A:A,Data!D:D=A1134,Data!B:B=$B$1)),"""")"),"")</f>
        <v/>
      </c>
      <c r="T1134" s="52">
        <f>IFERROR(__xludf.DUMMYFUNCTION("((COUNTIF(FILTER(Data!N:N,Data!D:D=A1134,Data!B:B=$B$1),""TRAVERSE"")*15)+(COUNTIF(FILTER(Data!N:N,Data!D:D=A1134,Data!B:B=B$1),""HIGH"")*10)+(COUNTIF(FILTER(Data!N:N,Data!D:D=A1134,Data!B:B=$B$1),""MIDDLE"")*6)+(COUNTIF(FILTER(Data!N:N,Data!D:D=A1134,Dat"&amp;"a!B:B=$B$1),""LOW"")*4))"),0.0)</f>
        <v>0</v>
      </c>
      <c r="V1134" s="138"/>
      <c r="W1134" s="134"/>
      <c r="X1134" s="134"/>
      <c r="Y1134" s="134"/>
      <c r="Z1134" s="134"/>
      <c r="AA1134" s="134"/>
      <c r="AB1134" s="134"/>
      <c r="AC1134" s="134"/>
      <c r="AD1134" s="139"/>
    </row>
    <row r="1135">
      <c r="A1135" s="143"/>
      <c r="B1135" s="134"/>
      <c r="C1135" s="134"/>
      <c r="D1135" s="134"/>
      <c r="E1135" s="134"/>
      <c r="F1135" s="134"/>
      <c r="G1135" s="134"/>
      <c r="H1135" s="134"/>
      <c r="J1135" s="134"/>
      <c r="K1135" s="135"/>
      <c r="L1135" s="136"/>
      <c r="M1135" s="137" t="str">
        <f>IFERROR(__xludf.DUMMYFUNCTION("IFERROR((FILTER(Data!A:A,Data!D:D=A1135,Data!B:B=$B$1)),"""")"),"")</f>
        <v/>
      </c>
      <c r="T1135" s="52">
        <f>IFERROR(__xludf.DUMMYFUNCTION("((COUNTIF(FILTER(Data!N:N,Data!D:D=A1135,Data!B:B=$B$1),""TRAVERSE"")*15)+(COUNTIF(FILTER(Data!N:N,Data!D:D=A1135,Data!B:B=B$1),""HIGH"")*10)+(COUNTIF(FILTER(Data!N:N,Data!D:D=A1135,Data!B:B=$B$1),""MIDDLE"")*6)+(COUNTIF(FILTER(Data!N:N,Data!D:D=A1135,Dat"&amp;"a!B:B=$B$1),""LOW"")*4))"),0.0)</f>
        <v>0</v>
      </c>
      <c r="V1135" s="138"/>
      <c r="W1135" s="134"/>
      <c r="X1135" s="134"/>
      <c r="Y1135" s="134"/>
      <c r="Z1135" s="134"/>
      <c r="AA1135" s="134"/>
      <c r="AB1135" s="134"/>
      <c r="AC1135" s="134"/>
      <c r="AD1135" s="139"/>
    </row>
    <row r="1136">
      <c r="A1136" s="143"/>
      <c r="B1136" s="134"/>
      <c r="C1136" s="134"/>
      <c r="D1136" s="134"/>
      <c r="E1136" s="134"/>
      <c r="F1136" s="134"/>
      <c r="G1136" s="134"/>
      <c r="H1136" s="134"/>
      <c r="J1136" s="134"/>
      <c r="K1136" s="135"/>
      <c r="L1136" s="136"/>
      <c r="M1136" s="137" t="str">
        <f>IFERROR(__xludf.DUMMYFUNCTION("IFERROR((FILTER(Data!A:A,Data!D:D=A1136,Data!B:B=$B$1)),"""")"),"")</f>
        <v/>
      </c>
      <c r="T1136" s="52">
        <f>IFERROR(__xludf.DUMMYFUNCTION("((COUNTIF(FILTER(Data!N:N,Data!D:D=A1136,Data!B:B=$B$1),""TRAVERSE"")*15)+(COUNTIF(FILTER(Data!N:N,Data!D:D=A1136,Data!B:B=B$1),""HIGH"")*10)+(COUNTIF(FILTER(Data!N:N,Data!D:D=A1136,Data!B:B=$B$1),""MIDDLE"")*6)+(COUNTIF(FILTER(Data!N:N,Data!D:D=A1136,Dat"&amp;"a!B:B=$B$1),""LOW"")*4))"),0.0)</f>
        <v>0</v>
      </c>
      <c r="V1136" s="138"/>
      <c r="W1136" s="134"/>
      <c r="X1136" s="134"/>
      <c r="Y1136" s="134"/>
      <c r="Z1136" s="134"/>
      <c r="AA1136" s="134"/>
      <c r="AB1136" s="134"/>
      <c r="AC1136" s="134"/>
      <c r="AD1136" s="139"/>
    </row>
    <row r="1137">
      <c r="A1137" s="143"/>
      <c r="B1137" s="134"/>
      <c r="C1137" s="134"/>
      <c r="D1137" s="134"/>
      <c r="E1137" s="134"/>
      <c r="F1137" s="134"/>
      <c r="G1137" s="134"/>
      <c r="H1137" s="134"/>
      <c r="J1137" s="134"/>
      <c r="K1137" s="135"/>
      <c r="L1137" s="136"/>
      <c r="M1137" s="137" t="str">
        <f>IFERROR(__xludf.DUMMYFUNCTION("IFERROR((FILTER(Data!A:A,Data!D:D=A1137,Data!B:B=$B$1)),"""")"),"")</f>
        <v/>
      </c>
      <c r="T1137" s="52">
        <f>IFERROR(__xludf.DUMMYFUNCTION("((COUNTIF(FILTER(Data!N:N,Data!D:D=A1137,Data!B:B=$B$1),""TRAVERSE"")*15)+(COUNTIF(FILTER(Data!N:N,Data!D:D=A1137,Data!B:B=B$1),""HIGH"")*10)+(COUNTIF(FILTER(Data!N:N,Data!D:D=A1137,Data!B:B=$B$1),""MIDDLE"")*6)+(COUNTIF(FILTER(Data!N:N,Data!D:D=A1137,Dat"&amp;"a!B:B=$B$1),""LOW"")*4))"),0.0)</f>
        <v>0</v>
      </c>
      <c r="V1137" s="138"/>
      <c r="W1137" s="134"/>
      <c r="X1137" s="134"/>
      <c r="Y1137" s="134"/>
      <c r="Z1137" s="134"/>
      <c r="AA1137" s="134"/>
      <c r="AB1137" s="134"/>
      <c r="AC1137" s="134"/>
      <c r="AD1137" s="139"/>
    </row>
    <row r="1138">
      <c r="A1138" s="143"/>
      <c r="B1138" s="134"/>
      <c r="C1138" s="134"/>
      <c r="D1138" s="134"/>
      <c r="E1138" s="134"/>
      <c r="F1138" s="134"/>
      <c r="G1138" s="134"/>
      <c r="H1138" s="134"/>
      <c r="J1138" s="134"/>
      <c r="K1138" s="135"/>
      <c r="L1138" s="136"/>
      <c r="M1138" s="137" t="str">
        <f>IFERROR(__xludf.DUMMYFUNCTION("IFERROR((FILTER(Data!A:A,Data!D:D=A1138,Data!B:B=$B$1)),"""")"),"")</f>
        <v/>
      </c>
      <c r="T1138" s="52">
        <f>IFERROR(__xludf.DUMMYFUNCTION("((COUNTIF(FILTER(Data!N:N,Data!D:D=A1138,Data!B:B=$B$1),""TRAVERSE"")*15)+(COUNTIF(FILTER(Data!N:N,Data!D:D=A1138,Data!B:B=B$1),""HIGH"")*10)+(COUNTIF(FILTER(Data!N:N,Data!D:D=A1138,Data!B:B=$B$1),""MIDDLE"")*6)+(COUNTIF(FILTER(Data!N:N,Data!D:D=A1138,Dat"&amp;"a!B:B=$B$1),""LOW"")*4))"),0.0)</f>
        <v>0</v>
      </c>
      <c r="V1138" s="138"/>
      <c r="W1138" s="134"/>
      <c r="X1138" s="134"/>
      <c r="Y1138" s="134"/>
      <c r="Z1138" s="134"/>
      <c r="AA1138" s="134"/>
      <c r="AB1138" s="134"/>
      <c r="AC1138" s="134"/>
      <c r="AD1138" s="139"/>
    </row>
    <row r="1139">
      <c r="A1139" s="143"/>
      <c r="B1139" s="134"/>
      <c r="C1139" s="134"/>
      <c r="D1139" s="134"/>
      <c r="E1139" s="134"/>
      <c r="F1139" s="134"/>
      <c r="G1139" s="134"/>
      <c r="H1139" s="134"/>
      <c r="J1139" s="134"/>
      <c r="K1139" s="135"/>
      <c r="L1139" s="136"/>
      <c r="M1139" s="137" t="str">
        <f>IFERROR(__xludf.DUMMYFUNCTION("IFERROR((FILTER(Data!A:A,Data!D:D=A1139,Data!B:B=$B$1)),"""")"),"")</f>
        <v/>
      </c>
      <c r="T1139" s="52">
        <f>IFERROR(__xludf.DUMMYFUNCTION("((COUNTIF(FILTER(Data!N:N,Data!D:D=A1139,Data!B:B=$B$1),""TRAVERSE"")*15)+(COUNTIF(FILTER(Data!N:N,Data!D:D=A1139,Data!B:B=B$1),""HIGH"")*10)+(COUNTIF(FILTER(Data!N:N,Data!D:D=A1139,Data!B:B=$B$1),""MIDDLE"")*6)+(COUNTIF(FILTER(Data!N:N,Data!D:D=A1139,Dat"&amp;"a!B:B=$B$1),""LOW"")*4))"),0.0)</f>
        <v>0</v>
      </c>
      <c r="V1139" s="138"/>
      <c r="W1139" s="134"/>
      <c r="X1139" s="134"/>
      <c r="Y1139" s="134"/>
      <c r="Z1139" s="134"/>
      <c r="AA1139" s="134"/>
      <c r="AB1139" s="134"/>
      <c r="AC1139" s="134"/>
      <c r="AD1139" s="139"/>
    </row>
    <row r="1140">
      <c r="A1140" s="143"/>
      <c r="B1140" s="134"/>
      <c r="C1140" s="134"/>
      <c r="D1140" s="134"/>
      <c r="E1140" s="134"/>
      <c r="F1140" s="134"/>
      <c r="G1140" s="134"/>
      <c r="H1140" s="134"/>
      <c r="J1140" s="134"/>
      <c r="K1140" s="135"/>
      <c r="L1140" s="136"/>
      <c r="M1140" s="137" t="str">
        <f>IFERROR(__xludf.DUMMYFUNCTION("IFERROR((FILTER(Data!A:A,Data!D:D=A1140,Data!B:B=$B$1)),"""")"),"")</f>
        <v/>
      </c>
      <c r="T1140" s="52">
        <f>IFERROR(__xludf.DUMMYFUNCTION("((COUNTIF(FILTER(Data!N:N,Data!D:D=A1140,Data!B:B=$B$1),""TRAVERSE"")*15)+(COUNTIF(FILTER(Data!N:N,Data!D:D=A1140,Data!B:B=B$1),""HIGH"")*10)+(COUNTIF(FILTER(Data!N:N,Data!D:D=A1140,Data!B:B=$B$1),""MIDDLE"")*6)+(COUNTIF(FILTER(Data!N:N,Data!D:D=A1140,Dat"&amp;"a!B:B=$B$1),""LOW"")*4))"),0.0)</f>
        <v>0</v>
      </c>
      <c r="V1140" s="138"/>
      <c r="W1140" s="134"/>
      <c r="X1140" s="134"/>
      <c r="Y1140" s="134"/>
      <c r="Z1140" s="134"/>
      <c r="AA1140" s="134"/>
      <c r="AB1140" s="134"/>
      <c r="AC1140" s="134"/>
      <c r="AD1140" s="139"/>
    </row>
    <row r="1141">
      <c r="A1141" s="143"/>
      <c r="B1141" s="134"/>
      <c r="C1141" s="134"/>
      <c r="D1141" s="134"/>
      <c r="E1141" s="134"/>
      <c r="F1141" s="134"/>
      <c r="G1141" s="134"/>
      <c r="H1141" s="134"/>
      <c r="J1141" s="134"/>
      <c r="K1141" s="135"/>
      <c r="L1141" s="136"/>
      <c r="M1141" s="137" t="str">
        <f>IFERROR(__xludf.DUMMYFUNCTION("IFERROR((FILTER(Data!A:A,Data!D:D=A1141,Data!B:B=$B$1)),"""")"),"")</f>
        <v/>
      </c>
      <c r="T1141" s="52">
        <f>IFERROR(__xludf.DUMMYFUNCTION("((COUNTIF(FILTER(Data!N:N,Data!D:D=A1141,Data!B:B=$B$1),""TRAVERSE"")*15)+(COUNTIF(FILTER(Data!N:N,Data!D:D=A1141,Data!B:B=B$1),""HIGH"")*10)+(COUNTIF(FILTER(Data!N:N,Data!D:D=A1141,Data!B:B=$B$1),""MIDDLE"")*6)+(COUNTIF(FILTER(Data!N:N,Data!D:D=A1141,Dat"&amp;"a!B:B=$B$1),""LOW"")*4))"),0.0)</f>
        <v>0</v>
      </c>
      <c r="V1141" s="138"/>
      <c r="W1141" s="134"/>
      <c r="X1141" s="134"/>
      <c r="Y1141" s="134"/>
      <c r="Z1141" s="134"/>
      <c r="AA1141" s="134"/>
      <c r="AB1141" s="134"/>
      <c r="AC1141" s="134"/>
      <c r="AD1141" s="139"/>
    </row>
    <row r="1142">
      <c r="A1142" s="143"/>
      <c r="B1142" s="134"/>
      <c r="C1142" s="134"/>
      <c r="D1142" s="134"/>
      <c r="E1142" s="134"/>
      <c r="F1142" s="134"/>
      <c r="G1142" s="134"/>
      <c r="H1142" s="134"/>
      <c r="J1142" s="134"/>
      <c r="K1142" s="135"/>
      <c r="L1142" s="136"/>
      <c r="M1142" s="137" t="str">
        <f>IFERROR(__xludf.DUMMYFUNCTION("IFERROR((FILTER(Data!A:A,Data!D:D=A1142,Data!B:B=$B$1)),"""")"),"")</f>
        <v/>
      </c>
      <c r="T1142" s="52">
        <f>IFERROR(__xludf.DUMMYFUNCTION("((COUNTIF(FILTER(Data!N:N,Data!D:D=A1142,Data!B:B=$B$1),""TRAVERSE"")*15)+(COUNTIF(FILTER(Data!N:N,Data!D:D=A1142,Data!B:B=B$1),""HIGH"")*10)+(COUNTIF(FILTER(Data!N:N,Data!D:D=A1142,Data!B:B=$B$1),""MIDDLE"")*6)+(COUNTIF(FILTER(Data!N:N,Data!D:D=A1142,Dat"&amp;"a!B:B=$B$1),""LOW"")*4))"),0.0)</f>
        <v>0</v>
      </c>
      <c r="V1142" s="138"/>
      <c r="W1142" s="134"/>
      <c r="X1142" s="134"/>
      <c r="Y1142" s="134"/>
      <c r="Z1142" s="134"/>
      <c r="AA1142" s="134"/>
      <c r="AB1142" s="134"/>
      <c r="AC1142" s="134"/>
      <c r="AD1142" s="139"/>
    </row>
    <row r="1143">
      <c r="A1143" s="143"/>
      <c r="B1143" s="134"/>
      <c r="C1143" s="134"/>
      <c r="D1143" s="134"/>
      <c r="E1143" s="134"/>
      <c r="F1143" s="134"/>
      <c r="G1143" s="134"/>
      <c r="H1143" s="134"/>
      <c r="J1143" s="134"/>
      <c r="K1143" s="135"/>
      <c r="L1143" s="136"/>
      <c r="M1143" s="137" t="str">
        <f>IFERROR(__xludf.DUMMYFUNCTION("IFERROR((FILTER(Data!A:A,Data!D:D=A1143,Data!B:B=$B$1)),"""")"),"")</f>
        <v/>
      </c>
      <c r="T1143" s="52">
        <f>IFERROR(__xludf.DUMMYFUNCTION("((COUNTIF(FILTER(Data!N:N,Data!D:D=A1143,Data!B:B=$B$1),""TRAVERSE"")*15)+(COUNTIF(FILTER(Data!N:N,Data!D:D=A1143,Data!B:B=B$1),""HIGH"")*10)+(COUNTIF(FILTER(Data!N:N,Data!D:D=A1143,Data!B:B=$B$1),""MIDDLE"")*6)+(COUNTIF(FILTER(Data!N:N,Data!D:D=A1143,Dat"&amp;"a!B:B=$B$1),""LOW"")*4))"),0.0)</f>
        <v>0</v>
      </c>
      <c r="V1143" s="138"/>
      <c r="W1143" s="134"/>
      <c r="X1143" s="134"/>
      <c r="Y1143" s="134"/>
      <c r="Z1143" s="134"/>
      <c r="AA1143" s="134"/>
      <c r="AB1143" s="134"/>
      <c r="AC1143" s="134"/>
      <c r="AD1143" s="139"/>
    </row>
    <row r="1144">
      <c r="A1144" s="143"/>
      <c r="B1144" s="134"/>
      <c r="C1144" s="134"/>
      <c r="D1144" s="134"/>
      <c r="E1144" s="134"/>
      <c r="F1144" s="134"/>
      <c r="G1144" s="134"/>
      <c r="H1144" s="134"/>
      <c r="J1144" s="134"/>
      <c r="K1144" s="135"/>
      <c r="L1144" s="136"/>
      <c r="M1144" s="137" t="str">
        <f>IFERROR(__xludf.DUMMYFUNCTION("IFERROR((FILTER(Data!A:A,Data!D:D=A1144,Data!B:B=$B$1)),"""")"),"")</f>
        <v/>
      </c>
      <c r="T1144" s="52">
        <f>IFERROR(__xludf.DUMMYFUNCTION("((COUNTIF(FILTER(Data!N:N,Data!D:D=A1144,Data!B:B=$B$1),""TRAVERSE"")*15)+(COUNTIF(FILTER(Data!N:N,Data!D:D=A1144,Data!B:B=B$1),""HIGH"")*10)+(COUNTIF(FILTER(Data!N:N,Data!D:D=A1144,Data!B:B=$B$1),""MIDDLE"")*6)+(COUNTIF(FILTER(Data!N:N,Data!D:D=A1144,Dat"&amp;"a!B:B=$B$1),""LOW"")*4))"),0.0)</f>
        <v>0</v>
      </c>
      <c r="V1144" s="138"/>
      <c r="W1144" s="134"/>
      <c r="X1144" s="134"/>
      <c r="Y1144" s="134"/>
      <c r="Z1144" s="134"/>
      <c r="AA1144" s="134"/>
      <c r="AB1144" s="134"/>
      <c r="AC1144" s="134"/>
      <c r="AD1144" s="139"/>
    </row>
    <row r="1145">
      <c r="A1145" s="143"/>
      <c r="B1145" s="134"/>
      <c r="C1145" s="134"/>
      <c r="D1145" s="134"/>
      <c r="E1145" s="134"/>
      <c r="F1145" s="134"/>
      <c r="G1145" s="134"/>
      <c r="H1145" s="134"/>
      <c r="J1145" s="134"/>
      <c r="K1145" s="135"/>
      <c r="L1145" s="136"/>
      <c r="M1145" s="137" t="str">
        <f>IFERROR(__xludf.DUMMYFUNCTION("IFERROR((FILTER(Data!A:A,Data!D:D=A1145,Data!B:B=$B$1)),"""")"),"")</f>
        <v/>
      </c>
      <c r="T1145" s="52">
        <f>IFERROR(__xludf.DUMMYFUNCTION("((COUNTIF(FILTER(Data!N:N,Data!D:D=A1145,Data!B:B=$B$1),""TRAVERSE"")*15)+(COUNTIF(FILTER(Data!N:N,Data!D:D=A1145,Data!B:B=B$1),""HIGH"")*10)+(COUNTIF(FILTER(Data!N:N,Data!D:D=A1145,Data!B:B=$B$1),""MIDDLE"")*6)+(COUNTIF(FILTER(Data!N:N,Data!D:D=A1145,Dat"&amp;"a!B:B=$B$1),""LOW"")*4))"),0.0)</f>
        <v>0</v>
      </c>
      <c r="V1145" s="138"/>
      <c r="W1145" s="134"/>
      <c r="X1145" s="134"/>
      <c r="Y1145" s="134"/>
      <c r="Z1145" s="134"/>
      <c r="AA1145" s="134"/>
      <c r="AB1145" s="134"/>
      <c r="AC1145" s="134"/>
      <c r="AD1145" s="139"/>
    </row>
    <row r="1146">
      <c r="A1146" s="143"/>
      <c r="B1146" s="134"/>
      <c r="C1146" s="134"/>
      <c r="D1146" s="134"/>
      <c r="E1146" s="134"/>
      <c r="F1146" s="134"/>
      <c r="G1146" s="134"/>
      <c r="H1146" s="134"/>
      <c r="J1146" s="134"/>
      <c r="K1146" s="135"/>
      <c r="L1146" s="136"/>
      <c r="M1146" s="137" t="str">
        <f>IFERROR(__xludf.DUMMYFUNCTION("IFERROR((FILTER(Data!A:A,Data!D:D=A1146,Data!B:B=$B$1)),"""")"),"")</f>
        <v/>
      </c>
      <c r="T1146" s="52">
        <f>IFERROR(__xludf.DUMMYFUNCTION("((COUNTIF(FILTER(Data!N:N,Data!D:D=A1146,Data!B:B=$B$1),""TRAVERSE"")*15)+(COUNTIF(FILTER(Data!N:N,Data!D:D=A1146,Data!B:B=B$1),""HIGH"")*10)+(COUNTIF(FILTER(Data!N:N,Data!D:D=A1146,Data!B:B=$B$1),""MIDDLE"")*6)+(COUNTIF(FILTER(Data!N:N,Data!D:D=A1146,Dat"&amp;"a!B:B=$B$1),""LOW"")*4))"),0.0)</f>
        <v>0</v>
      </c>
      <c r="V1146" s="138"/>
      <c r="W1146" s="134"/>
      <c r="X1146" s="134"/>
      <c r="Y1146" s="134"/>
      <c r="Z1146" s="134"/>
      <c r="AA1146" s="134"/>
      <c r="AB1146" s="134"/>
      <c r="AC1146" s="134"/>
      <c r="AD1146" s="139"/>
    </row>
    <row r="1147">
      <c r="A1147" s="143"/>
      <c r="B1147" s="134"/>
      <c r="C1147" s="134"/>
      <c r="D1147" s="134"/>
      <c r="E1147" s="134"/>
      <c r="F1147" s="134"/>
      <c r="G1147" s="134"/>
      <c r="H1147" s="134"/>
      <c r="J1147" s="134"/>
      <c r="K1147" s="135"/>
      <c r="L1147" s="136"/>
      <c r="M1147" s="137" t="str">
        <f>IFERROR(__xludf.DUMMYFUNCTION("IFERROR((FILTER(Data!A:A,Data!D:D=A1147,Data!B:B=$B$1)),"""")"),"")</f>
        <v/>
      </c>
      <c r="T1147" s="52">
        <f>IFERROR(__xludf.DUMMYFUNCTION("((COUNTIF(FILTER(Data!N:N,Data!D:D=A1147,Data!B:B=$B$1),""TRAVERSE"")*15)+(COUNTIF(FILTER(Data!N:N,Data!D:D=A1147,Data!B:B=B$1),""HIGH"")*10)+(COUNTIF(FILTER(Data!N:N,Data!D:D=A1147,Data!B:B=$B$1),""MIDDLE"")*6)+(COUNTIF(FILTER(Data!N:N,Data!D:D=A1147,Dat"&amp;"a!B:B=$B$1),""LOW"")*4))"),0.0)</f>
        <v>0</v>
      </c>
      <c r="V1147" s="138"/>
      <c r="W1147" s="134"/>
      <c r="X1147" s="134"/>
      <c r="Y1147" s="134"/>
      <c r="Z1147" s="134"/>
      <c r="AA1147" s="134"/>
      <c r="AB1147" s="134"/>
      <c r="AC1147" s="134"/>
      <c r="AD1147" s="139"/>
    </row>
    <row r="1148">
      <c r="A1148" s="143"/>
      <c r="B1148" s="134"/>
      <c r="C1148" s="134"/>
      <c r="D1148" s="134"/>
      <c r="E1148" s="134"/>
      <c r="F1148" s="134"/>
      <c r="G1148" s="134"/>
      <c r="H1148" s="134"/>
      <c r="J1148" s="134"/>
      <c r="K1148" s="135"/>
      <c r="L1148" s="136"/>
      <c r="M1148" s="137" t="str">
        <f>IFERROR(__xludf.DUMMYFUNCTION("IFERROR((FILTER(Data!A:A,Data!D:D=A1148,Data!B:B=$B$1)),"""")"),"")</f>
        <v/>
      </c>
      <c r="T1148" s="52">
        <f>IFERROR(__xludf.DUMMYFUNCTION("((COUNTIF(FILTER(Data!N:N,Data!D:D=A1148,Data!B:B=$B$1),""TRAVERSE"")*15)+(COUNTIF(FILTER(Data!N:N,Data!D:D=A1148,Data!B:B=B$1),""HIGH"")*10)+(COUNTIF(FILTER(Data!N:N,Data!D:D=A1148,Data!B:B=$B$1),""MIDDLE"")*6)+(COUNTIF(FILTER(Data!N:N,Data!D:D=A1148,Dat"&amp;"a!B:B=$B$1),""LOW"")*4))"),0.0)</f>
        <v>0</v>
      </c>
      <c r="V1148" s="138"/>
      <c r="W1148" s="134"/>
      <c r="X1148" s="134"/>
      <c r="Y1148" s="134"/>
      <c r="Z1148" s="134"/>
      <c r="AA1148" s="134"/>
      <c r="AB1148" s="134"/>
      <c r="AC1148" s="134"/>
      <c r="AD1148" s="139"/>
    </row>
    <row r="1149">
      <c r="A1149" s="143"/>
      <c r="B1149" s="134"/>
      <c r="C1149" s="134"/>
      <c r="D1149" s="134"/>
      <c r="E1149" s="134"/>
      <c r="F1149" s="134"/>
      <c r="G1149" s="134"/>
      <c r="H1149" s="134"/>
      <c r="J1149" s="134"/>
      <c r="K1149" s="135"/>
      <c r="L1149" s="136"/>
      <c r="M1149" s="137" t="str">
        <f>IFERROR(__xludf.DUMMYFUNCTION("IFERROR((FILTER(Data!A:A,Data!D:D=A1149,Data!B:B=$B$1)),"""")"),"")</f>
        <v/>
      </c>
      <c r="T1149" s="52">
        <f>IFERROR(__xludf.DUMMYFUNCTION("((COUNTIF(FILTER(Data!N:N,Data!D:D=A1149,Data!B:B=$B$1),""TRAVERSE"")*15)+(COUNTIF(FILTER(Data!N:N,Data!D:D=A1149,Data!B:B=B$1),""HIGH"")*10)+(COUNTIF(FILTER(Data!N:N,Data!D:D=A1149,Data!B:B=$B$1),""MIDDLE"")*6)+(COUNTIF(FILTER(Data!N:N,Data!D:D=A1149,Dat"&amp;"a!B:B=$B$1),""LOW"")*4))"),0.0)</f>
        <v>0</v>
      </c>
      <c r="V1149" s="138"/>
      <c r="W1149" s="134"/>
      <c r="X1149" s="134"/>
      <c r="Y1149" s="134"/>
      <c r="Z1149" s="134"/>
      <c r="AA1149" s="134"/>
      <c r="AB1149" s="134"/>
      <c r="AC1149" s="134"/>
      <c r="AD1149" s="139"/>
    </row>
    <row r="1150">
      <c r="A1150" s="143"/>
      <c r="B1150" s="134"/>
      <c r="C1150" s="134"/>
      <c r="D1150" s="134"/>
      <c r="E1150" s="134"/>
      <c r="F1150" s="134"/>
      <c r="G1150" s="134"/>
      <c r="H1150" s="134"/>
      <c r="J1150" s="134"/>
      <c r="K1150" s="135"/>
      <c r="L1150" s="136"/>
      <c r="M1150" s="137" t="str">
        <f>IFERROR(__xludf.DUMMYFUNCTION("IFERROR((FILTER(Data!A:A,Data!D:D=A1150,Data!B:B=$B$1)),"""")"),"")</f>
        <v/>
      </c>
      <c r="T1150" s="52">
        <f>IFERROR(__xludf.DUMMYFUNCTION("((COUNTIF(FILTER(Data!N:N,Data!D:D=A1150,Data!B:B=$B$1),""TRAVERSE"")*15)+(COUNTIF(FILTER(Data!N:N,Data!D:D=A1150,Data!B:B=B$1),""HIGH"")*10)+(COUNTIF(FILTER(Data!N:N,Data!D:D=A1150,Data!B:B=$B$1),""MIDDLE"")*6)+(COUNTIF(FILTER(Data!N:N,Data!D:D=A1150,Dat"&amp;"a!B:B=$B$1),""LOW"")*4))"),0.0)</f>
        <v>0</v>
      </c>
      <c r="V1150" s="138"/>
      <c r="W1150" s="134"/>
      <c r="X1150" s="134"/>
      <c r="Y1150" s="134"/>
      <c r="Z1150" s="134"/>
      <c r="AA1150" s="134"/>
      <c r="AB1150" s="134"/>
      <c r="AC1150" s="134"/>
      <c r="AD1150" s="139"/>
    </row>
    <row r="1151">
      <c r="A1151" s="143"/>
      <c r="B1151" s="134"/>
      <c r="C1151" s="134"/>
      <c r="D1151" s="134"/>
      <c r="E1151" s="134"/>
      <c r="F1151" s="134"/>
      <c r="G1151" s="134"/>
      <c r="H1151" s="134"/>
      <c r="J1151" s="134"/>
      <c r="K1151" s="135"/>
      <c r="L1151" s="136"/>
      <c r="M1151" s="137" t="str">
        <f>IFERROR(__xludf.DUMMYFUNCTION("IFERROR((FILTER(Data!A:A,Data!D:D=A1151,Data!B:B=$B$1)),"""")"),"")</f>
        <v/>
      </c>
      <c r="T1151" s="52">
        <f>IFERROR(__xludf.DUMMYFUNCTION("((COUNTIF(FILTER(Data!N:N,Data!D:D=A1151,Data!B:B=$B$1),""TRAVERSE"")*15)+(COUNTIF(FILTER(Data!N:N,Data!D:D=A1151,Data!B:B=B$1),""HIGH"")*10)+(COUNTIF(FILTER(Data!N:N,Data!D:D=A1151,Data!B:B=$B$1),""MIDDLE"")*6)+(COUNTIF(FILTER(Data!N:N,Data!D:D=A1151,Dat"&amp;"a!B:B=$B$1),""LOW"")*4))"),0.0)</f>
        <v>0</v>
      </c>
      <c r="V1151" s="138"/>
      <c r="W1151" s="134"/>
      <c r="X1151" s="134"/>
      <c r="Y1151" s="134"/>
      <c r="Z1151" s="134"/>
      <c r="AA1151" s="134"/>
      <c r="AB1151" s="134"/>
      <c r="AC1151" s="134"/>
      <c r="AD1151" s="139"/>
    </row>
    <row r="1152">
      <c r="A1152" s="143"/>
      <c r="B1152" s="134"/>
      <c r="C1152" s="134"/>
      <c r="D1152" s="134"/>
      <c r="E1152" s="134"/>
      <c r="F1152" s="134"/>
      <c r="G1152" s="134"/>
      <c r="H1152" s="134"/>
      <c r="J1152" s="134"/>
      <c r="K1152" s="135"/>
      <c r="L1152" s="136"/>
      <c r="M1152" s="137" t="str">
        <f>IFERROR(__xludf.DUMMYFUNCTION("IFERROR((FILTER(Data!A:A,Data!D:D=A1152,Data!B:B=$B$1)),"""")"),"")</f>
        <v/>
      </c>
      <c r="T1152" s="52">
        <f>IFERROR(__xludf.DUMMYFUNCTION("((COUNTIF(FILTER(Data!N:N,Data!D:D=A1152,Data!B:B=$B$1),""TRAVERSE"")*15)+(COUNTIF(FILTER(Data!N:N,Data!D:D=A1152,Data!B:B=B$1),""HIGH"")*10)+(COUNTIF(FILTER(Data!N:N,Data!D:D=A1152,Data!B:B=$B$1),""MIDDLE"")*6)+(COUNTIF(FILTER(Data!N:N,Data!D:D=A1152,Dat"&amp;"a!B:B=$B$1),""LOW"")*4))"),0.0)</f>
        <v>0</v>
      </c>
      <c r="V1152" s="138"/>
      <c r="W1152" s="134"/>
      <c r="X1152" s="134"/>
      <c r="Y1152" s="134"/>
      <c r="Z1152" s="134"/>
      <c r="AA1152" s="134"/>
      <c r="AB1152" s="134"/>
      <c r="AC1152" s="134"/>
      <c r="AD1152" s="139"/>
    </row>
    <row r="1153">
      <c r="A1153" s="143"/>
      <c r="B1153" s="134"/>
      <c r="C1153" s="134"/>
      <c r="D1153" s="134"/>
      <c r="E1153" s="134"/>
      <c r="F1153" s="134"/>
      <c r="G1153" s="134"/>
      <c r="H1153" s="134"/>
      <c r="J1153" s="134"/>
      <c r="K1153" s="135"/>
      <c r="L1153" s="136"/>
      <c r="M1153" s="137" t="str">
        <f>IFERROR(__xludf.DUMMYFUNCTION("IFERROR((FILTER(Data!A:A,Data!D:D=A1153,Data!B:B=$B$1)),"""")"),"")</f>
        <v/>
      </c>
      <c r="T1153" s="52">
        <f>IFERROR(__xludf.DUMMYFUNCTION("((COUNTIF(FILTER(Data!N:N,Data!D:D=A1153,Data!B:B=$B$1),""TRAVERSE"")*15)+(COUNTIF(FILTER(Data!N:N,Data!D:D=A1153,Data!B:B=B$1),""HIGH"")*10)+(COUNTIF(FILTER(Data!N:N,Data!D:D=A1153,Data!B:B=$B$1),""MIDDLE"")*6)+(COUNTIF(FILTER(Data!N:N,Data!D:D=A1153,Dat"&amp;"a!B:B=$B$1),""LOW"")*4))"),0.0)</f>
        <v>0</v>
      </c>
      <c r="V1153" s="138"/>
      <c r="W1153" s="134"/>
      <c r="X1153" s="134"/>
      <c r="Y1153" s="134"/>
      <c r="Z1153" s="134"/>
      <c r="AA1153" s="134"/>
      <c r="AB1153" s="134"/>
      <c r="AC1153" s="134"/>
      <c r="AD1153" s="139"/>
    </row>
    <row r="1154">
      <c r="A1154" s="143"/>
      <c r="B1154" s="134"/>
      <c r="C1154" s="134"/>
      <c r="D1154" s="134"/>
      <c r="E1154" s="134"/>
      <c r="F1154" s="134"/>
      <c r="G1154" s="134"/>
      <c r="H1154" s="134"/>
      <c r="J1154" s="134"/>
      <c r="K1154" s="135"/>
      <c r="L1154" s="136"/>
      <c r="M1154" s="137" t="str">
        <f>IFERROR(__xludf.DUMMYFUNCTION("IFERROR((FILTER(Data!A:A,Data!D:D=A1154,Data!B:B=$B$1)),"""")"),"")</f>
        <v/>
      </c>
      <c r="T1154" s="52">
        <f>IFERROR(__xludf.DUMMYFUNCTION("((COUNTIF(FILTER(Data!N:N,Data!D:D=A1154,Data!B:B=$B$1),""TRAVERSE"")*15)+(COUNTIF(FILTER(Data!N:N,Data!D:D=A1154,Data!B:B=B$1),""HIGH"")*10)+(COUNTIF(FILTER(Data!N:N,Data!D:D=A1154,Data!B:B=$B$1),""MIDDLE"")*6)+(COUNTIF(FILTER(Data!N:N,Data!D:D=A1154,Dat"&amp;"a!B:B=$B$1),""LOW"")*4))"),0.0)</f>
        <v>0</v>
      </c>
      <c r="V1154" s="138"/>
      <c r="W1154" s="134"/>
      <c r="X1154" s="134"/>
      <c r="Y1154" s="134"/>
      <c r="Z1154" s="134"/>
      <c r="AA1154" s="134"/>
      <c r="AB1154" s="134"/>
      <c r="AC1154" s="134"/>
      <c r="AD1154" s="139"/>
    </row>
    <row r="1155">
      <c r="A1155" s="143"/>
      <c r="B1155" s="134"/>
      <c r="C1155" s="134"/>
      <c r="D1155" s="134"/>
      <c r="E1155" s="134"/>
      <c r="F1155" s="134"/>
      <c r="G1155" s="134"/>
      <c r="H1155" s="134"/>
      <c r="J1155" s="134"/>
      <c r="K1155" s="135"/>
      <c r="L1155" s="136"/>
      <c r="M1155" s="137" t="str">
        <f>IFERROR(__xludf.DUMMYFUNCTION("IFERROR((FILTER(Data!A:A,Data!D:D=A1155,Data!B:B=$B$1)),"""")"),"")</f>
        <v/>
      </c>
      <c r="T1155" s="52">
        <f>IFERROR(__xludf.DUMMYFUNCTION("((COUNTIF(FILTER(Data!N:N,Data!D:D=A1155,Data!B:B=$B$1),""TRAVERSE"")*15)+(COUNTIF(FILTER(Data!N:N,Data!D:D=A1155,Data!B:B=B$1),""HIGH"")*10)+(COUNTIF(FILTER(Data!N:N,Data!D:D=A1155,Data!B:B=$B$1),""MIDDLE"")*6)+(COUNTIF(FILTER(Data!N:N,Data!D:D=A1155,Dat"&amp;"a!B:B=$B$1),""LOW"")*4))"),0.0)</f>
        <v>0</v>
      </c>
      <c r="V1155" s="138"/>
      <c r="W1155" s="134"/>
      <c r="X1155" s="134"/>
      <c r="Y1155" s="134"/>
      <c r="Z1155" s="134"/>
      <c r="AA1155" s="134"/>
      <c r="AB1155" s="134"/>
      <c r="AC1155" s="134"/>
      <c r="AD1155" s="139"/>
    </row>
    <row r="1156">
      <c r="A1156" s="143"/>
      <c r="B1156" s="134"/>
      <c r="C1156" s="134"/>
      <c r="D1156" s="134"/>
      <c r="E1156" s="134"/>
      <c r="F1156" s="134"/>
      <c r="G1156" s="134"/>
      <c r="H1156" s="134"/>
      <c r="J1156" s="134"/>
      <c r="K1156" s="135"/>
      <c r="L1156" s="136"/>
      <c r="M1156" s="137" t="str">
        <f>IFERROR(__xludf.DUMMYFUNCTION("IFERROR((FILTER(Data!A:A,Data!D:D=A1156,Data!B:B=$B$1)),"""")"),"")</f>
        <v/>
      </c>
      <c r="T1156" s="52">
        <f>IFERROR(__xludf.DUMMYFUNCTION("((COUNTIF(FILTER(Data!N:N,Data!D:D=A1156,Data!B:B=$B$1),""TRAVERSE"")*15)+(COUNTIF(FILTER(Data!N:N,Data!D:D=A1156,Data!B:B=B$1),""HIGH"")*10)+(COUNTIF(FILTER(Data!N:N,Data!D:D=A1156,Data!B:B=$B$1),""MIDDLE"")*6)+(COUNTIF(FILTER(Data!N:N,Data!D:D=A1156,Dat"&amp;"a!B:B=$B$1),""LOW"")*4))"),0.0)</f>
        <v>0</v>
      </c>
      <c r="V1156" s="138"/>
      <c r="W1156" s="134"/>
      <c r="X1156" s="134"/>
      <c r="Y1156" s="134"/>
      <c r="Z1156" s="134"/>
      <c r="AA1156" s="134"/>
      <c r="AB1156" s="134"/>
      <c r="AC1156" s="134"/>
      <c r="AD1156" s="139"/>
    </row>
    <row r="1157">
      <c r="A1157" s="143"/>
      <c r="B1157" s="134"/>
      <c r="C1157" s="134"/>
      <c r="D1157" s="134"/>
      <c r="E1157" s="134"/>
      <c r="F1157" s="134"/>
      <c r="G1157" s="134"/>
      <c r="H1157" s="134"/>
      <c r="J1157" s="134"/>
      <c r="K1157" s="135"/>
      <c r="L1157" s="136"/>
      <c r="M1157" s="137" t="str">
        <f>IFERROR(__xludf.DUMMYFUNCTION("IFERROR((FILTER(Data!A:A,Data!D:D=A1157,Data!B:B=$B$1)),"""")"),"")</f>
        <v/>
      </c>
      <c r="T1157" s="52">
        <f>IFERROR(__xludf.DUMMYFUNCTION("((COUNTIF(FILTER(Data!N:N,Data!D:D=A1157,Data!B:B=$B$1),""TRAVERSE"")*15)+(COUNTIF(FILTER(Data!N:N,Data!D:D=A1157,Data!B:B=B$1),""HIGH"")*10)+(COUNTIF(FILTER(Data!N:N,Data!D:D=A1157,Data!B:B=$B$1),""MIDDLE"")*6)+(COUNTIF(FILTER(Data!N:N,Data!D:D=A1157,Dat"&amp;"a!B:B=$B$1),""LOW"")*4))"),0.0)</f>
        <v>0</v>
      </c>
      <c r="V1157" s="138"/>
      <c r="W1157" s="134"/>
      <c r="X1157" s="134"/>
      <c r="Y1157" s="134"/>
      <c r="Z1157" s="134"/>
      <c r="AA1157" s="134"/>
      <c r="AB1157" s="134"/>
      <c r="AC1157" s="134"/>
      <c r="AD1157" s="139"/>
    </row>
    <row r="1158">
      <c r="A1158" s="143"/>
      <c r="B1158" s="134"/>
      <c r="C1158" s="134"/>
      <c r="D1158" s="134"/>
      <c r="E1158" s="134"/>
      <c r="F1158" s="134"/>
      <c r="G1158" s="134"/>
      <c r="H1158" s="134"/>
      <c r="J1158" s="134"/>
      <c r="K1158" s="135"/>
      <c r="L1158" s="136"/>
      <c r="M1158" s="137" t="str">
        <f>IFERROR(__xludf.DUMMYFUNCTION("IFERROR((FILTER(Data!A:A,Data!D:D=A1158,Data!B:B=$B$1)),"""")"),"")</f>
        <v/>
      </c>
      <c r="T1158" s="52">
        <f>IFERROR(__xludf.DUMMYFUNCTION("((COUNTIF(FILTER(Data!N:N,Data!D:D=A1158,Data!B:B=$B$1),""TRAVERSE"")*15)+(COUNTIF(FILTER(Data!N:N,Data!D:D=A1158,Data!B:B=B$1),""HIGH"")*10)+(COUNTIF(FILTER(Data!N:N,Data!D:D=A1158,Data!B:B=$B$1),""MIDDLE"")*6)+(COUNTIF(FILTER(Data!N:N,Data!D:D=A1158,Dat"&amp;"a!B:B=$B$1),""LOW"")*4))"),0.0)</f>
        <v>0</v>
      </c>
      <c r="V1158" s="138"/>
      <c r="W1158" s="134"/>
      <c r="X1158" s="134"/>
      <c r="Y1158" s="134"/>
      <c r="Z1158" s="134"/>
      <c r="AA1158" s="134"/>
      <c r="AB1158" s="134"/>
      <c r="AC1158" s="134"/>
      <c r="AD1158" s="139"/>
    </row>
    <row r="1159">
      <c r="A1159" s="143"/>
      <c r="B1159" s="134"/>
      <c r="C1159" s="134"/>
      <c r="D1159" s="134"/>
      <c r="E1159" s="134"/>
      <c r="F1159" s="134"/>
      <c r="G1159" s="134"/>
      <c r="H1159" s="134"/>
      <c r="J1159" s="134"/>
      <c r="K1159" s="135"/>
      <c r="L1159" s="136"/>
      <c r="M1159" s="137" t="str">
        <f>IFERROR(__xludf.DUMMYFUNCTION("IFERROR((FILTER(Data!A:A,Data!D:D=A1159,Data!B:B=$B$1)),"""")"),"")</f>
        <v/>
      </c>
      <c r="T1159" s="52">
        <f>IFERROR(__xludf.DUMMYFUNCTION("((COUNTIF(FILTER(Data!N:N,Data!D:D=A1159,Data!B:B=$B$1),""TRAVERSE"")*15)+(COUNTIF(FILTER(Data!N:N,Data!D:D=A1159,Data!B:B=B$1),""HIGH"")*10)+(COUNTIF(FILTER(Data!N:N,Data!D:D=A1159,Data!B:B=$B$1),""MIDDLE"")*6)+(COUNTIF(FILTER(Data!N:N,Data!D:D=A1159,Dat"&amp;"a!B:B=$B$1),""LOW"")*4))"),0.0)</f>
        <v>0</v>
      </c>
      <c r="V1159" s="138"/>
      <c r="W1159" s="134"/>
      <c r="X1159" s="134"/>
      <c r="Y1159" s="134"/>
      <c r="Z1159" s="134"/>
      <c r="AA1159" s="134"/>
      <c r="AB1159" s="134"/>
      <c r="AC1159" s="134"/>
      <c r="AD1159" s="139"/>
    </row>
    <row r="1160">
      <c r="A1160" s="143"/>
      <c r="B1160" s="134"/>
      <c r="C1160" s="134"/>
      <c r="D1160" s="134"/>
      <c r="E1160" s="134"/>
      <c r="F1160" s="134"/>
      <c r="G1160" s="134"/>
      <c r="H1160" s="134"/>
      <c r="J1160" s="134"/>
      <c r="K1160" s="135"/>
      <c r="L1160" s="136"/>
      <c r="M1160" s="137" t="str">
        <f>IFERROR(__xludf.DUMMYFUNCTION("IFERROR((FILTER(Data!A:A,Data!D:D=A1160,Data!B:B=$B$1)),"""")"),"")</f>
        <v/>
      </c>
      <c r="T1160" s="52">
        <f>IFERROR(__xludf.DUMMYFUNCTION("((COUNTIF(FILTER(Data!N:N,Data!D:D=A1160,Data!B:B=$B$1),""TRAVERSE"")*15)+(COUNTIF(FILTER(Data!N:N,Data!D:D=A1160,Data!B:B=B$1),""HIGH"")*10)+(COUNTIF(FILTER(Data!N:N,Data!D:D=A1160,Data!B:B=$B$1),""MIDDLE"")*6)+(COUNTIF(FILTER(Data!N:N,Data!D:D=A1160,Dat"&amp;"a!B:B=$B$1),""LOW"")*4))"),0.0)</f>
        <v>0</v>
      </c>
      <c r="V1160" s="138"/>
      <c r="W1160" s="134"/>
      <c r="X1160" s="134"/>
      <c r="Y1160" s="134"/>
      <c r="Z1160" s="134"/>
      <c r="AA1160" s="134"/>
      <c r="AB1160" s="134"/>
      <c r="AC1160" s="134"/>
      <c r="AD1160" s="139"/>
    </row>
    <row r="1161">
      <c r="A1161" s="143"/>
      <c r="B1161" s="134"/>
      <c r="C1161" s="134"/>
      <c r="D1161" s="134"/>
      <c r="E1161" s="134"/>
      <c r="F1161" s="134"/>
      <c r="G1161" s="134"/>
      <c r="H1161" s="134"/>
      <c r="J1161" s="134"/>
      <c r="K1161" s="135"/>
      <c r="L1161" s="136"/>
      <c r="M1161" s="137" t="str">
        <f>IFERROR(__xludf.DUMMYFUNCTION("IFERROR((FILTER(Data!A:A,Data!D:D=A1161,Data!B:B=$B$1)),"""")"),"")</f>
        <v/>
      </c>
      <c r="T1161" s="52">
        <f>IFERROR(__xludf.DUMMYFUNCTION("((COUNTIF(FILTER(Data!N:N,Data!D:D=A1161,Data!B:B=$B$1),""TRAVERSE"")*15)+(COUNTIF(FILTER(Data!N:N,Data!D:D=A1161,Data!B:B=B$1),""HIGH"")*10)+(COUNTIF(FILTER(Data!N:N,Data!D:D=A1161,Data!B:B=$B$1),""MIDDLE"")*6)+(COUNTIF(FILTER(Data!N:N,Data!D:D=A1161,Dat"&amp;"a!B:B=$B$1),""LOW"")*4))"),0.0)</f>
        <v>0</v>
      </c>
      <c r="V1161" s="138"/>
      <c r="W1161" s="134"/>
      <c r="X1161" s="134"/>
      <c r="Y1161" s="134"/>
      <c r="Z1161" s="134"/>
      <c r="AA1161" s="134"/>
      <c r="AB1161" s="134"/>
      <c r="AC1161" s="134"/>
      <c r="AD1161" s="139"/>
    </row>
    <row r="1162">
      <c r="A1162" s="143"/>
      <c r="B1162" s="134"/>
      <c r="C1162" s="134"/>
      <c r="D1162" s="134"/>
      <c r="E1162" s="134"/>
      <c r="F1162" s="134"/>
      <c r="G1162" s="134"/>
      <c r="H1162" s="134"/>
      <c r="J1162" s="134"/>
      <c r="K1162" s="135"/>
      <c r="L1162" s="136"/>
      <c r="M1162" s="137" t="str">
        <f>IFERROR(__xludf.DUMMYFUNCTION("IFERROR((FILTER(Data!A:A,Data!D:D=A1162,Data!B:B=$B$1)),"""")"),"")</f>
        <v/>
      </c>
      <c r="T1162" s="52">
        <f>IFERROR(__xludf.DUMMYFUNCTION("((COUNTIF(FILTER(Data!N:N,Data!D:D=A1162,Data!B:B=$B$1),""TRAVERSE"")*15)+(COUNTIF(FILTER(Data!N:N,Data!D:D=A1162,Data!B:B=B$1),""HIGH"")*10)+(COUNTIF(FILTER(Data!N:N,Data!D:D=A1162,Data!B:B=$B$1),""MIDDLE"")*6)+(COUNTIF(FILTER(Data!N:N,Data!D:D=A1162,Dat"&amp;"a!B:B=$B$1),""LOW"")*4))"),0.0)</f>
        <v>0</v>
      </c>
      <c r="V1162" s="138"/>
      <c r="W1162" s="134"/>
      <c r="X1162" s="134"/>
      <c r="Y1162" s="134"/>
      <c r="Z1162" s="134"/>
      <c r="AA1162" s="134"/>
      <c r="AB1162" s="134"/>
      <c r="AC1162" s="134"/>
      <c r="AD1162" s="139"/>
    </row>
    <row r="1163">
      <c r="A1163" s="143"/>
      <c r="B1163" s="134"/>
      <c r="C1163" s="134"/>
      <c r="D1163" s="134"/>
      <c r="E1163" s="134"/>
      <c r="F1163" s="134"/>
      <c r="G1163" s="134"/>
      <c r="H1163" s="134"/>
      <c r="J1163" s="134"/>
      <c r="K1163" s="135"/>
      <c r="L1163" s="136"/>
      <c r="M1163" s="137" t="str">
        <f>IFERROR(__xludf.DUMMYFUNCTION("IFERROR((FILTER(Data!A:A,Data!D:D=A1163,Data!B:B=$B$1)),"""")"),"")</f>
        <v/>
      </c>
      <c r="T1163" s="52">
        <f>IFERROR(__xludf.DUMMYFUNCTION("((COUNTIF(FILTER(Data!N:N,Data!D:D=A1163,Data!B:B=$B$1),""TRAVERSE"")*15)+(COUNTIF(FILTER(Data!N:N,Data!D:D=A1163,Data!B:B=B$1),""HIGH"")*10)+(COUNTIF(FILTER(Data!N:N,Data!D:D=A1163,Data!B:B=$B$1),""MIDDLE"")*6)+(COUNTIF(FILTER(Data!N:N,Data!D:D=A1163,Dat"&amp;"a!B:B=$B$1),""LOW"")*4))"),0.0)</f>
        <v>0</v>
      </c>
      <c r="V1163" s="138"/>
      <c r="W1163" s="134"/>
      <c r="X1163" s="134"/>
      <c r="Y1163" s="134"/>
      <c r="Z1163" s="134"/>
      <c r="AA1163" s="134"/>
      <c r="AB1163" s="134"/>
      <c r="AC1163" s="134"/>
      <c r="AD1163" s="139"/>
    </row>
    <row r="1164">
      <c r="A1164" s="143"/>
      <c r="B1164" s="134"/>
      <c r="C1164" s="134"/>
      <c r="D1164" s="134"/>
      <c r="E1164" s="134"/>
      <c r="F1164" s="134"/>
      <c r="G1164" s="134"/>
      <c r="H1164" s="134"/>
      <c r="J1164" s="134"/>
      <c r="K1164" s="135"/>
      <c r="L1164" s="136"/>
      <c r="M1164" s="137" t="str">
        <f>IFERROR(__xludf.DUMMYFUNCTION("IFERROR((FILTER(Data!A:A,Data!D:D=A1164,Data!B:B=$B$1)),"""")"),"")</f>
        <v/>
      </c>
      <c r="T1164" s="52">
        <f>IFERROR(__xludf.DUMMYFUNCTION("((COUNTIF(FILTER(Data!N:N,Data!D:D=A1164,Data!B:B=$B$1),""TRAVERSE"")*15)+(COUNTIF(FILTER(Data!N:N,Data!D:D=A1164,Data!B:B=B$1),""HIGH"")*10)+(COUNTIF(FILTER(Data!N:N,Data!D:D=A1164,Data!B:B=$B$1),""MIDDLE"")*6)+(COUNTIF(FILTER(Data!N:N,Data!D:D=A1164,Dat"&amp;"a!B:B=$B$1),""LOW"")*4))"),0.0)</f>
        <v>0</v>
      </c>
      <c r="V1164" s="138"/>
      <c r="W1164" s="134"/>
      <c r="X1164" s="134"/>
      <c r="Y1164" s="134"/>
      <c r="Z1164" s="134"/>
      <c r="AA1164" s="134"/>
      <c r="AB1164" s="134"/>
      <c r="AC1164" s="134"/>
      <c r="AD1164" s="139"/>
    </row>
    <row r="1165">
      <c r="A1165" s="143"/>
      <c r="B1165" s="134"/>
      <c r="C1165" s="134"/>
      <c r="D1165" s="134"/>
      <c r="E1165" s="134"/>
      <c r="F1165" s="134"/>
      <c r="G1165" s="134"/>
      <c r="H1165" s="134"/>
      <c r="J1165" s="134"/>
      <c r="K1165" s="135"/>
      <c r="L1165" s="136"/>
      <c r="M1165" s="137" t="str">
        <f>IFERROR(__xludf.DUMMYFUNCTION("IFERROR((FILTER(Data!A:A,Data!D:D=A1165,Data!B:B=$B$1)),"""")"),"")</f>
        <v/>
      </c>
      <c r="T1165" s="52">
        <f>IFERROR(__xludf.DUMMYFUNCTION("((COUNTIF(FILTER(Data!N:N,Data!D:D=A1165,Data!B:B=$B$1),""TRAVERSE"")*15)+(COUNTIF(FILTER(Data!N:N,Data!D:D=A1165,Data!B:B=B$1),""HIGH"")*10)+(COUNTIF(FILTER(Data!N:N,Data!D:D=A1165,Data!B:B=$B$1),""MIDDLE"")*6)+(COUNTIF(FILTER(Data!N:N,Data!D:D=A1165,Dat"&amp;"a!B:B=$B$1),""LOW"")*4))"),0.0)</f>
        <v>0</v>
      </c>
      <c r="V1165" s="138"/>
      <c r="W1165" s="134"/>
      <c r="X1165" s="134"/>
      <c r="Y1165" s="134"/>
      <c r="Z1165" s="134"/>
      <c r="AA1165" s="134"/>
      <c r="AB1165" s="134"/>
      <c r="AC1165" s="134"/>
      <c r="AD1165" s="139"/>
    </row>
    <row r="1166">
      <c r="A1166" s="143"/>
      <c r="B1166" s="134"/>
      <c r="C1166" s="134"/>
      <c r="D1166" s="134"/>
      <c r="E1166" s="134"/>
      <c r="F1166" s="134"/>
      <c r="G1166" s="134"/>
      <c r="H1166" s="134"/>
      <c r="J1166" s="134"/>
      <c r="K1166" s="135"/>
      <c r="L1166" s="136"/>
      <c r="M1166" s="137" t="str">
        <f>IFERROR(__xludf.DUMMYFUNCTION("IFERROR((FILTER(Data!A:A,Data!D:D=A1166,Data!B:B=$B$1)),"""")"),"")</f>
        <v/>
      </c>
      <c r="T1166" s="52">
        <f>IFERROR(__xludf.DUMMYFUNCTION("((COUNTIF(FILTER(Data!N:N,Data!D:D=A1166,Data!B:B=$B$1),""TRAVERSE"")*15)+(COUNTIF(FILTER(Data!N:N,Data!D:D=A1166,Data!B:B=B$1),""HIGH"")*10)+(COUNTIF(FILTER(Data!N:N,Data!D:D=A1166,Data!B:B=$B$1),""MIDDLE"")*6)+(COUNTIF(FILTER(Data!N:N,Data!D:D=A1166,Dat"&amp;"a!B:B=$B$1),""LOW"")*4))"),0.0)</f>
        <v>0</v>
      </c>
      <c r="V1166" s="138"/>
      <c r="W1166" s="134"/>
      <c r="X1166" s="134"/>
      <c r="Y1166" s="134"/>
      <c r="Z1166" s="134"/>
      <c r="AA1166" s="134"/>
      <c r="AB1166" s="134"/>
      <c r="AC1166" s="134"/>
      <c r="AD1166" s="139"/>
    </row>
    <row r="1167">
      <c r="A1167" s="143"/>
      <c r="B1167" s="134"/>
      <c r="C1167" s="134"/>
      <c r="D1167" s="134"/>
      <c r="E1167" s="134"/>
      <c r="F1167" s="134"/>
      <c r="G1167" s="134"/>
      <c r="H1167" s="134"/>
      <c r="J1167" s="134"/>
      <c r="K1167" s="135"/>
      <c r="L1167" s="136"/>
      <c r="M1167" s="137" t="str">
        <f>IFERROR(__xludf.DUMMYFUNCTION("IFERROR((FILTER(Data!A:A,Data!D:D=A1167,Data!B:B=$B$1)),"""")"),"")</f>
        <v/>
      </c>
      <c r="T1167" s="52">
        <f>IFERROR(__xludf.DUMMYFUNCTION("((COUNTIF(FILTER(Data!N:N,Data!D:D=A1167,Data!B:B=$B$1),""TRAVERSE"")*15)+(COUNTIF(FILTER(Data!N:N,Data!D:D=A1167,Data!B:B=B$1),""HIGH"")*10)+(COUNTIF(FILTER(Data!N:N,Data!D:D=A1167,Data!B:B=$B$1),""MIDDLE"")*6)+(COUNTIF(FILTER(Data!N:N,Data!D:D=A1167,Dat"&amp;"a!B:B=$B$1),""LOW"")*4))"),0.0)</f>
        <v>0</v>
      </c>
      <c r="V1167" s="138"/>
      <c r="W1167" s="134"/>
      <c r="X1167" s="134"/>
      <c r="Y1167" s="134"/>
      <c r="Z1167" s="134"/>
      <c r="AA1167" s="134"/>
      <c r="AB1167" s="134"/>
      <c r="AC1167" s="134"/>
      <c r="AD1167" s="139"/>
    </row>
    <row r="1168">
      <c r="A1168" s="143"/>
      <c r="B1168" s="134"/>
      <c r="C1168" s="134"/>
      <c r="D1168" s="134"/>
      <c r="E1168" s="134"/>
      <c r="F1168" s="134"/>
      <c r="G1168" s="134"/>
      <c r="H1168" s="134"/>
      <c r="J1168" s="134"/>
      <c r="K1168" s="135"/>
      <c r="L1168" s="136"/>
      <c r="M1168" s="137" t="str">
        <f>IFERROR(__xludf.DUMMYFUNCTION("IFERROR((FILTER(Data!A:A,Data!D:D=A1168,Data!B:B=$B$1)),"""")"),"")</f>
        <v/>
      </c>
      <c r="T1168" s="52">
        <f>IFERROR(__xludf.DUMMYFUNCTION("((COUNTIF(FILTER(Data!N:N,Data!D:D=A1168,Data!B:B=$B$1),""TRAVERSE"")*15)+(COUNTIF(FILTER(Data!N:N,Data!D:D=A1168,Data!B:B=B$1),""HIGH"")*10)+(COUNTIF(FILTER(Data!N:N,Data!D:D=A1168,Data!B:B=$B$1),""MIDDLE"")*6)+(COUNTIF(FILTER(Data!N:N,Data!D:D=A1168,Dat"&amp;"a!B:B=$B$1),""LOW"")*4))"),0.0)</f>
        <v>0</v>
      </c>
      <c r="V1168" s="138"/>
      <c r="W1168" s="134"/>
      <c r="X1168" s="134"/>
      <c r="Y1168" s="134"/>
      <c r="Z1168" s="134"/>
      <c r="AA1168" s="134"/>
      <c r="AB1168" s="134"/>
      <c r="AC1168" s="134"/>
      <c r="AD1168" s="139"/>
    </row>
    <row r="1169">
      <c r="A1169" s="143"/>
      <c r="B1169" s="134"/>
      <c r="C1169" s="134"/>
      <c r="D1169" s="134"/>
      <c r="E1169" s="134"/>
      <c r="F1169" s="134"/>
      <c r="G1169" s="134"/>
      <c r="H1169" s="134"/>
      <c r="J1169" s="134"/>
      <c r="K1169" s="135"/>
      <c r="L1169" s="136"/>
      <c r="M1169" s="137" t="str">
        <f>IFERROR(__xludf.DUMMYFUNCTION("IFERROR((FILTER(Data!A:A,Data!D:D=A1169,Data!B:B=$B$1)),"""")"),"")</f>
        <v/>
      </c>
      <c r="T1169" s="52">
        <f>IFERROR(__xludf.DUMMYFUNCTION("((COUNTIF(FILTER(Data!N:N,Data!D:D=A1169,Data!B:B=$B$1),""TRAVERSE"")*15)+(COUNTIF(FILTER(Data!N:N,Data!D:D=A1169,Data!B:B=B$1),""HIGH"")*10)+(COUNTIF(FILTER(Data!N:N,Data!D:D=A1169,Data!B:B=$B$1),""MIDDLE"")*6)+(COUNTIF(FILTER(Data!N:N,Data!D:D=A1169,Dat"&amp;"a!B:B=$B$1),""LOW"")*4))"),0.0)</f>
        <v>0</v>
      </c>
      <c r="V1169" s="138"/>
      <c r="W1169" s="134"/>
      <c r="X1169" s="134"/>
      <c r="Y1169" s="134"/>
      <c r="Z1169" s="134"/>
      <c r="AA1169" s="134"/>
      <c r="AB1169" s="134"/>
      <c r="AC1169" s="134"/>
      <c r="AD1169" s="139"/>
    </row>
    <row r="1170">
      <c r="A1170" s="143"/>
      <c r="B1170" s="134"/>
      <c r="C1170" s="134"/>
      <c r="D1170" s="134"/>
      <c r="E1170" s="134"/>
      <c r="F1170" s="134"/>
      <c r="G1170" s="134"/>
      <c r="H1170" s="134"/>
      <c r="J1170" s="134"/>
      <c r="K1170" s="135"/>
      <c r="L1170" s="136"/>
      <c r="M1170" s="137" t="str">
        <f>IFERROR(__xludf.DUMMYFUNCTION("IFERROR((FILTER(Data!A:A,Data!D:D=A1170,Data!B:B=$B$1)),"""")"),"")</f>
        <v/>
      </c>
      <c r="T1170" s="52">
        <f>IFERROR(__xludf.DUMMYFUNCTION("((COUNTIF(FILTER(Data!N:N,Data!D:D=A1170,Data!B:B=$B$1),""TRAVERSE"")*15)+(COUNTIF(FILTER(Data!N:N,Data!D:D=A1170,Data!B:B=B$1),""HIGH"")*10)+(COUNTIF(FILTER(Data!N:N,Data!D:D=A1170,Data!B:B=$B$1),""MIDDLE"")*6)+(COUNTIF(FILTER(Data!N:N,Data!D:D=A1170,Dat"&amp;"a!B:B=$B$1),""LOW"")*4))"),0.0)</f>
        <v>0</v>
      </c>
      <c r="V1170" s="138"/>
      <c r="W1170" s="134"/>
      <c r="X1170" s="134"/>
      <c r="Y1170" s="134"/>
      <c r="Z1170" s="134"/>
      <c r="AA1170" s="134"/>
      <c r="AB1170" s="134"/>
      <c r="AC1170" s="134"/>
      <c r="AD1170" s="139"/>
    </row>
    <row r="1171">
      <c r="A1171" s="143"/>
      <c r="B1171" s="134"/>
      <c r="C1171" s="134"/>
      <c r="D1171" s="134"/>
      <c r="E1171" s="134"/>
      <c r="F1171" s="134"/>
      <c r="G1171" s="134"/>
      <c r="H1171" s="134"/>
      <c r="J1171" s="134"/>
      <c r="K1171" s="135"/>
      <c r="L1171" s="136"/>
      <c r="M1171" s="137" t="str">
        <f>IFERROR(__xludf.DUMMYFUNCTION("IFERROR((FILTER(Data!A:A,Data!D:D=A1171,Data!B:B=$B$1)),"""")"),"")</f>
        <v/>
      </c>
      <c r="T1171" s="52">
        <f>IFERROR(__xludf.DUMMYFUNCTION("((COUNTIF(FILTER(Data!N:N,Data!D:D=A1171,Data!B:B=$B$1),""TRAVERSE"")*15)+(COUNTIF(FILTER(Data!N:N,Data!D:D=A1171,Data!B:B=B$1),""HIGH"")*10)+(COUNTIF(FILTER(Data!N:N,Data!D:D=A1171,Data!B:B=$B$1),""MIDDLE"")*6)+(COUNTIF(FILTER(Data!N:N,Data!D:D=A1171,Dat"&amp;"a!B:B=$B$1),""LOW"")*4))"),0.0)</f>
        <v>0</v>
      </c>
      <c r="V1171" s="138"/>
      <c r="W1171" s="134"/>
      <c r="X1171" s="134"/>
      <c r="Y1171" s="134"/>
      <c r="Z1171" s="134"/>
      <c r="AA1171" s="134"/>
      <c r="AB1171" s="134"/>
      <c r="AC1171" s="134"/>
      <c r="AD1171" s="139"/>
    </row>
    <row r="1172">
      <c r="A1172" s="143"/>
      <c r="B1172" s="134"/>
      <c r="C1172" s="134"/>
      <c r="D1172" s="134"/>
      <c r="E1172" s="134"/>
      <c r="F1172" s="134"/>
      <c r="G1172" s="134"/>
      <c r="H1172" s="134"/>
      <c r="J1172" s="134"/>
      <c r="K1172" s="135"/>
      <c r="L1172" s="136"/>
      <c r="M1172" s="137" t="str">
        <f>IFERROR(__xludf.DUMMYFUNCTION("IFERROR((FILTER(Data!A:A,Data!D:D=A1172,Data!B:B=$B$1)),"""")"),"")</f>
        <v/>
      </c>
      <c r="T1172" s="52">
        <f>IFERROR(__xludf.DUMMYFUNCTION("((COUNTIF(FILTER(Data!N:N,Data!D:D=A1172,Data!B:B=$B$1),""TRAVERSE"")*15)+(COUNTIF(FILTER(Data!N:N,Data!D:D=A1172,Data!B:B=B$1),""HIGH"")*10)+(COUNTIF(FILTER(Data!N:N,Data!D:D=A1172,Data!B:B=$B$1),""MIDDLE"")*6)+(COUNTIF(FILTER(Data!N:N,Data!D:D=A1172,Dat"&amp;"a!B:B=$B$1),""LOW"")*4))"),0.0)</f>
        <v>0</v>
      </c>
      <c r="V1172" s="138"/>
      <c r="W1172" s="134"/>
      <c r="X1172" s="134"/>
      <c r="Y1172" s="134"/>
      <c r="Z1172" s="134"/>
      <c r="AA1172" s="134"/>
      <c r="AB1172" s="134"/>
      <c r="AC1172" s="134"/>
      <c r="AD1172" s="139"/>
    </row>
    <row r="1173">
      <c r="A1173" s="143"/>
      <c r="B1173" s="134"/>
      <c r="C1173" s="134"/>
      <c r="D1173" s="134"/>
      <c r="E1173" s="134"/>
      <c r="F1173" s="134"/>
      <c r="G1173" s="134"/>
      <c r="H1173" s="134"/>
      <c r="J1173" s="134"/>
      <c r="K1173" s="135"/>
      <c r="L1173" s="136"/>
      <c r="M1173" s="137" t="str">
        <f>IFERROR(__xludf.DUMMYFUNCTION("IFERROR((FILTER(Data!A:A,Data!D:D=A1173,Data!B:B=$B$1)),"""")"),"")</f>
        <v/>
      </c>
      <c r="T1173" s="52">
        <f>IFERROR(__xludf.DUMMYFUNCTION("((COUNTIF(FILTER(Data!N:N,Data!D:D=A1173,Data!B:B=$B$1),""TRAVERSE"")*15)+(COUNTIF(FILTER(Data!N:N,Data!D:D=A1173,Data!B:B=B$1),""HIGH"")*10)+(COUNTIF(FILTER(Data!N:N,Data!D:D=A1173,Data!B:B=$B$1),""MIDDLE"")*6)+(COUNTIF(FILTER(Data!N:N,Data!D:D=A1173,Dat"&amp;"a!B:B=$B$1),""LOW"")*4))"),0.0)</f>
        <v>0</v>
      </c>
      <c r="V1173" s="138"/>
      <c r="W1173" s="134"/>
      <c r="X1173" s="134"/>
      <c r="Y1173" s="134"/>
      <c r="Z1173" s="134"/>
      <c r="AA1173" s="134"/>
      <c r="AB1173" s="134"/>
      <c r="AC1173" s="134"/>
      <c r="AD1173" s="139"/>
    </row>
    <row r="1174">
      <c r="A1174" s="143"/>
      <c r="B1174" s="134"/>
      <c r="C1174" s="134"/>
      <c r="D1174" s="134"/>
      <c r="E1174" s="134"/>
      <c r="F1174" s="134"/>
      <c r="G1174" s="134"/>
      <c r="H1174" s="134"/>
      <c r="J1174" s="134"/>
      <c r="K1174" s="135"/>
      <c r="L1174" s="136"/>
      <c r="M1174" s="137" t="str">
        <f>IFERROR(__xludf.DUMMYFUNCTION("IFERROR((FILTER(Data!A:A,Data!D:D=A1174,Data!B:B=$B$1)),"""")"),"")</f>
        <v/>
      </c>
      <c r="T1174" s="52">
        <f>IFERROR(__xludf.DUMMYFUNCTION("((COUNTIF(FILTER(Data!N:N,Data!D:D=A1174,Data!B:B=$B$1),""TRAVERSE"")*15)+(COUNTIF(FILTER(Data!N:N,Data!D:D=A1174,Data!B:B=B$1),""HIGH"")*10)+(COUNTIF(FILTER(Data!N:N,Data!D:D=A1174,Data!B:B=$B$1),""MIDDLE"")*6)+(COUNTIF(FILTER(Data!N:N,Data!D:D=A1174,Dat"&amp;"a!B:B=$B$1),""LOW"")*4))"),0.0)</f>
        <v>0</v>
      </c>
      <c r="V1174" s="138"/>
      <c r="W1174" s="134"/>
      <c r="X1174" s="134"/>
      <c r="Y1174" s="134"/>
      <c r="Z1174" s="134"/>
      <c r="AA1174" s="134"/>
      <c r="AB1174" s="134"/>
      <c r="AC1174" s="134"/>
      <c r="AD1174" s="139"/>
    </row>
    <row r="1175">
      <c r="A1175" s="143"/>
      <c r="B1175" s="134"/>
      <c r="C1175" s="134"/>
      <c r="D1175" s="134"/>
      <c r="E1175" s="134"/>
      <c r="F1175" s="134"/>
      <c r="G1175" s="134"/>
      <c r="H1175" s="134"/>
      <c r="J1175" s="134"/>
      <c r="K1175" s="135"/>
      <c r="L1175" s="136"/>
      <c r="M1175" s="137" t="str">
        <f>IFERROR(__xludf.DUMMYFUNCTION("IFERROR((FILTER(Data!A:A,Data!D:D=A1175,Data!B:B=$B$1)),"""")"),"")</f>
        <v/>
      </c>
      <c r="T1175" s="52">
        <f>IFERROR(__xludf.DUMMYFUNCTION("((COUNTIF(FILTER(Data!N:N,Data!D:D=A1175,Data!B:B=$B$1),""TRAVERSE"")*15)+(COUNTIF(FILTER(Data!N:N,Data!D:D=A1175,Data!B:B=B$1),""HIGH"")*10)+(COUNTIF(FILTER(Data!N:N,Data!D:D=A1175,Data!B:B=$B$1),""MIDDLE"")*6)+(COUNTIF(FILTER(Data!N:N,Data!D:D=A1175,Dat"&amp;"a!B:B=$B$1),""LOW"")*4))"),0.0)</f>
        <v>0</v>
      </c>
      <c r="V1175" s="138"/>
      <c r="W1175" s="134"/>
      <c r="X1175" s="134"/>
      <c r="Y1175" s="134"/>
      <c r="Z1175" s="134"/>
      <c r="AA1175" s="134"/>
      <c r="AB1175" s="134"/>
      <c r="AC1175" s="134"/>
      <c r="AD1175" s="139"/>
    </row>
    <row r="1176">
      <c r="A1176" s="143"/>
      <c r="B1176" s="134"/>
      <c r="C1176" s="134"/>
      <c r="D1176" s="134"/>
      <c r="E1176" s="134"/>
      <c r="F1176" s="134"/>
      <c r="G1176" s="134"/>
      <c r="H1176" s="134"/>
      <c r="J1176" s="134"/>
      <c r="K1176" s="135"/>
      <c r="L1176" s="136"/>
      <c r="M1176" s="137" t="str">
        <f>IFERROR(__xludf.DUMMYFUNCTION("IFERROR((FILTER(Data!A:A,Data!D:D=A1176,Data!B:B=$B$1)),"""")"),"")</f>
        <v/>
      </c>
      <c r="T1176" s="52">
        <f>IFERROR(__xludf.DUMMYFUNCTION("((COUNTIF(FILTER(Data!N:N,Data!D:D=A1176,Data!B:B=$B$1),""TRAVERSE"")*15)+(COUNTIF(FILTER(Data!N:N,Data!D:D=A1176,Data!B:B=B$1),""HIGH"")*10)+(COUNTIF(FILTER(Data!N:N,Data!D:D=A1176,Data!B:B=$B$1),""MIDDLE"")*6)+(COUNTIF(FILTER(Data!N:N,Data!D:D=A1176,Dat"&amp;"a!B:B=$B$1),""LOW"")*4))"),0.0)</f>
        <v>0</v>
      </c>
      <c r="V1176" s="138"/>
      <c r="W1176" s="134"/>
      <c r="X1176" s="134"/>
      <c r="Y1176" s="134"/>
      <c r="Z1176" s="134"/>
      <c r="AA1176" s="134"/>
      <c r="AB1176" s="134"/>
      <c r="AC1176" s="134"/>
      <c r="AD1176" s="139"/>
    </row>
    <row r="1177">
      <c r="A1177" s="143"/>
      <c r="B1177" s="134"/>
      <c r="C1177" s="134"/>
      <c r="D1177" s="134"/>
      <c r="E1177" s="134"/>
      <c r="F1177" s="134"/>
      <c r="G1177" s="134"/>
      <c r="H1177" s="134"/>
      <c r="J1177" s="134"/>
      <c r="K1177" s="135"/>
      <c r="L1177" s="136"/>
      <c r="M1177" s="137" t="str">
        <f>IFERROR(__xludf.DUMMYFUNCTION("IFERROR((FILTER(Data!A:A,Data!D:D=A1177,Data!B:B=$B$1)),"""")"),"")</f>
        <v/>
      </c>
      <c r="T1177" s="52">
        <f>IFERROR(__xludf.DUMMYFUNCTION("((COUNTIF(FILTER(Data!N:N,Data!D:D=A1177,Data!B:B=$B$1),""TRAVERSE"")*15)+(COUNTIF(FILTER(Data!N:N,Data!D:D=A1177,Data!B:B=B$1),""HIGH"")*10)+(COUNTIF(FILTER(Data!N:N,Data!D:D=A1177,Data!B:B=$B$1),""MIDDLE"")*6)+(COUNTIF(FILTER(Data!N:N,Data!D:D=A1177,Dat"&amp;"a!B:B=$B$1),""LOW"")*4))"),0.0)</f>
        <v>0</v>
      </c>
      <c r="V1177" s="138"/>
      <c r="W1177" s="134"/>
      <c r="X1177" s="134"/>
      <c r="Y1177" s="134"/>
      <c r="Z1177" s="134"/>
      <c r="AA1177" s="134"/>
      <c r="AB1177" s="134"/>
      <c r="AC1177" s="134"/>
      <c r="AD1177" s="139"/>
    </row>
    <row r="1178">
      <c r="A1178" s="143"/>
      <c r="B1178" s="134"/>
      <c r="C1178" s="134"/>
      <c r="D1178" s="134"/>
      <c r="E1178" s="134"/>
      <c r="F1178" s="134"/>
      <c r="G1178" s="134"/>
      <c r="H1178" s="134"/>
      <c r="J1178" s="134"/>
      <c r="K1178" s="135"/>
      <c r="L1178" s="136"/>
      <c r="M1178" s="137" t="str">
        <f>IFERROR(__xludf.DUMMYFUNCTION("IFERROR((FILTER(Data!A:A,Data!D:D=A1178,Data!B:B=$B$1)),"""")"),"")</f>
        <v/>
      </c>
      <c r="T1178" s="52">
        <f>IFERROR(__xludf.DUMMYFUNCTION("((COUNTIF(FILTER(Data!N:N,Data!D:D=A1178,Data!B:B=$B$1),""TRAVERSE"")*15)+(COUNTIF(FILTER(Data!N:N,Data!D:D=A1178,Data!B:B=B$1),""HIGH"")*10)+(COUNTIF(FILTER(Data!N:N,Data!D:D=A1178,Data!B:B=$B$1),""MIDDLE"")*6)+(COUNTIF(FILTER(Data!N:N,Data!D:D=A1178,Dat"&amp;"a!B:B=$B$1),""LOW"")*4))"),0.0)</f>
        <v>0</v>
      </c>
      <c r="V1178" s="138"/>
      <c r="W1178" s="134"/>
      <c r="X1178" s="134"/>
      <c r="Y1178" s="134"/>
      <c r="Z1178" s="134"/>
      <c r="AA1178" s="134"/>
      <c r="AB1178" s="134"/>
      <c r="AC1178" s="134"/>
      <c r="AD1178" s="139"/>
    </row>
    <row r="1179">
      <c r="A1179" s="143"/>
      <c r="B1179" s="134"/>
      <c r="C1179" s="134"/>
      <c r="D1179" s="134"/>
      <c r="E1179" s="134"/>
      <c r="F1179" s="134"/>
      <c r="G1179" s="134"/>
      <c r="H1179" s="134"/>
      <c r="J1179" s="134"/>
      <c r="K1179" s="135"/>
      <c r="L1179" s="136"/>
      <c r="M1179" s="137" t="str">
        <f>IFERROR(__xludf.DUMMYFUNCTION("IFERROR((FILTER(Data!A:A,Data!D:D=A1179,Data!B:B=$B$1)),"""")"),"")</f>
        <v/>
      </c>
      <c r="T1179" s="52">
        <f>IFERROR(__xludf.DUMMYFUNCTION("((COUNTIF(FILTER(Data!N:N,Data!D:D=A1179,Data!B:B=$B$1),""TRAVERSE"")*15)+(COUNTIF(FILTER(Data!N:N,Data!D:D=A1179,Data!B:B=B$1),""HIGH"")*10)+(COUNTIF(FILTER(Data!N:N,Data!D:D=A1179,Data!B:B=$B$1),""MIDDLE"")*6)+(COUNTIF(FILTER(Data!N:N,Data!D:D=A1179,Dat"&amp;"a!B:B=$B$1),""LOW"")*4))"),0.0)</f>
        <v>0</v>
      </c>
      <c r="V1179" s="138"/>
      <c r="W1179" s="134"/>
      <c r="X1179" s="134"/>
      <c r="Y1179" s="134"/>
      <c r="Z1179" s="134"/>
      <c r="AA1179" s="134"/>
      <c r="AB1179" s="134"/>
      <c r="AC1179" s="134"/>
      <c r="AD1179" s="139"/>
    </row>
    <row r="1180">
      <c r="A1180" s="143"/>
      <c r="B1180" s="134"/>
      <c r="C1180" s="134"/>
      <c r="D1180" s="134"/>
      <c r="E1180" s="134"/>
      <c r="F1180" s="134"/>
      <c r="G1180" s="134"/>
      <c r="H1180" s="134"/>
      <c r="J1180" s="134"/>
      <c r="K1180" s="135"/>
      <c r="L1180" s="136"/>
      <c r="M1180" s="137" t="str">
        <f>IFERROR(__xludf.DUMMYFUNCTION("IFERROR((FILTER(Data!A:A,Data!D:D=A1180,Data!B:B=$B$1)),"""")"),"")</f>
        <v/>
      </c>
      <c r="T1180" s="52">
        <f>IFERROR(__xludf.DUMMYFUNCTION("((COUNTIF(FILTER(Data!N:N,Data!D:D=A1180,Data!B:B=$B$1),""TRAVERSE"")*15)+(COUNTIF(FILTER(Data!N:N,Data!D:D=A1180,Data!B:B=B$1),""HIGH"")*10)+(COUNTIF(FILTER(Data!N:N,Data!D:D=A1180,Data!B:B=$B$1),""MIDDLE"")*6)+(COUNTIF(FILTER(Data!N:N,Data!D:D=A1180,Dat"&amp;"a!B:B=$B$1),""LOW"")*4))"),0.0)</f>
        <v>0</v>
      </c>
      <c r="V1180" s="138"/>
      <c r="W1180" s="134"/>
      <c r="X1180" s="134"/>
      <c r="Y1180" s="134"/>
      <c r="Z1180" s="134"/>
      <c r="AA1180" s="134"/>
      <c r="AB1180" s="134"/>
      <c r="AC1180" s="134"/>
      <c r="AD1180" s="139"/>
    </row>
    <row r="1181">
      <c r="A1181" s="143"/>
      <c r="B1181" s="134"/>
      <c r="C1181" s="134"/>
      <c r="D1181" s="134"/>
      <c r="E1181" s="134"/>
      <c r="F1181" s="134"/>
      <c r="G1181" s="134"/>
      <c r="H1181" s="134"/>
      <c r="J1181" s="134"/>
      <c r="K1181" s="135"/>
      <c r="L1181" s="136"/>
      <c r="M1181" s="137" t="str">
        <f>IFERROR(__xludf.DUMMYFUNCTION("IFERROR((FILTER(Data!A:A,Data!D:D=A1181,Data!B:B=$B$1)),"""")"),"")</f>
        <v/>
      </c>
      <c r="T1181" s="52">
        <f>IFERROR(__xludf.DUMMYFUNCTION("((COUNTIF(FILTER(Data!N:N,Data!D:D=A1181,Data!B:B=$B$1),""TRAVERSE"")*15)+(COUNTIF(FILTER(Data!N:N,Data!D:D=A1181,Data!B:B=B$1),""HIGH"")*10)+(COUNTIF(FILTER(Data!N:N,Data!D:D=A1181,Data!B:B=$B$1),""MIDDLE"")*6)+(COUNTIF(FILTER(Data!N:N,Data!D:D=A1181,Dat"&amp;"a!B:B=$B$1),""LOW"")*4))"),0.0)</f>
        <v>0</v>
      </c>
      <c r="V1181" s="138"/>
      <c r="W1181" s="134"/>
      <c r="X1181" s="134"/>
      <c r="Y1181" s="134"/>
      <c r="Z1181" s="134"/>
      <c r="AA1181" s="134"/>
      <c r="AB1181" s="134"/>
      <c r="AC1181" s="134"/>
      <c r="AD1181" s="139"/>
    </row>
    <row r="1182">
      <c r="A1182" s="143"/>
      <c r="B1182" s="134"/>
      <c r="C1182" s="134"/>
      <c r="D1182" s="134"/>
      <c r="E1182" s="134"/>
      <c r="F1182" s="134"/>
      <c r="G1182" s="134"/>
      <c r="H1182" s="134"/>
      <c r="J1182" s="134"/>
      <c r="K1182" s="135"/>
      <c r="L1182" s="136"/>
      <c r="M1182" s="137" t="str">
        <f>IFERROR(__xludf.DUMMYFUNCTION("IFERROR((FILTER(Data!A:A,Data!D:D=A1182,Data!B:B=$B$1)),"""")"),"")</f>
        <v/>
      </c>
      <c r="T1182" s="52">
        <f>IFERROR(__xludf.DUMMYFUNCTION("((COUNTIF(FILTER(Data!N:N,Data!D:D=A1182,Data!B:B=$B$1),""TRAVERSE"")*15)+(COUNTIF(FILTER(Data!N:N,Data!D:D=A1182,Data!B:B=B$1),""HIGH"")*10)+(COUNTIF(FILTER(Data!N:N,Data!D:D=A1182,Data!B:B=$B$1),""MIDDLE"")*6)+(COUNTIF(FILTER(Data!N:N,Data!D:D=A1182,Dat"&amp;"a!B:B=$B$1),""LOW"")*4))"),0.0)</f>
        <v>0</v>
      </c>
      <c r="V1182" s="138"/>
      <c r="W1182" s="134"/>
      <c r="X1182" s="134"/>
      <c r="Y1182" s="134"/>
      <c r="Z1182" s="134"/>
      <c r="AA1182" s="134"/>
      <c r="AB1182" s="134"/>
      <c r="AC1182" s="134"/>
      <c r="AD1182" s="139"/>
    </row>
    <row r="1183">
      <c r="A1183" s="143"/>
      <c r="B1183" s="134"/>
      <c r="C1183" s="134"/>
      <c r="D1183" s="134"/>
      <c r="E1183" s="134"/>
      <c r="F1183" s="134"/>
      <c r="G1183" s="134"/>
      <c r="H1183" s="134"/>
      <c r="J1183" s="134"/>
      <c r="K1183" s="135"/>
      <c r="L1183" s="136"/>
      <c r="M1183" s="137" t="str">
        <f>IFERROR(__xludf.DUMMYFUNCTION("IFERROR((FILTER(Data!A:A,Data!D:D=A1183,Data!B:B=$B$1)),"""")"),"")</f>
        <v/>
      </c>
      <c r="T1183" s="52">
        <f>IFERROR(__xludf.DUMMYFUNCTION("((COUNTIF(FILTER(Data!N:N,Data!D:D=A1183,Data!B:B=$B$1),""TRAVERSE"")*15)+(COUNTIF(FILTER(Data!N:N,Data!D:D=A1183,Data!B:B=B$1),""HIGH"")*10)+(COUNTIF(FILTER(Data!N:N,Data!D:D=A1183,Data!B:B=$B$1),""MIDDLE"")*6)+(COUNTIF(FILTER(Data!N:N,Data!D:D=A1183,Dat"&amp;"a!B:B=$B$1),""LOW"")*4))"),0.0)</f>
        <v>0</v>
      </c>
      <c r="V1183" s="138"/>
      <c r="W1183" s="134"/>
      <c r="X1183" s="134"/>
      <c r="Y1183" s="134"/>
      <c r="Z1183" s="134"/>
      <c r="AA1183" s="134"/>
      <c r="AB1183" s="134"/>
      <c r="AC1183" s="134"/>
      <c r="AD1183" s="139"/>
    </row>
    <row r="1184">
      <c r="A1184" s="143"/>
      <c r="B1184" s="134"/>
      <c r="C1184" s="134"/>
      <c r="D1184" s="134"/>
      <c r="E1184" s="134"/>
      <c r="F1184" s="134"/>
      <c r="G1184" s="134"/>
      <c r="H1184" s="134"/>
      <c r="J1184" s="134"/>
      <c r="K1184" s="135"/>
      <c r="L1184" s="136"/>
      <c r="M1184" s="137" t="str">
        <f>IFERROR(__xludf.DUMMYFUNCTION("IFERROR((FILTER(Data!A:A,Data!D:D=A1184,Data!B:B=$B$1)),"""")"),"")</f>
        <v/>
      </c>
      <c r="T1184" s="52">
        <f>IFERROR(__xludf.DUMMYFUNCTION("((COUNTIF(FILTER(Data!N:N,Data!D:D=A1184,Data!B:B=$B$1),""TRAVERSE"")*15)+(COUNTIF(FILTER(Data!N:N,Data!D:D=A1184,Data!B:B=B$1),""HIGH"")*10)+(COUNTIF(FILTER(Data!N:N,Data!D:D=A1184,Data!B:B=$B$1),""MIDDLE"")*6)+(COUNTIF(FILTER(Data!N:N,Data!D:D=A1184,Dat"&amp;"a!B:B=$B$1),""LOW"")*4))"),0.0)</f>
        <v>0</v>
      </c>
      <c r="V1184" s="138"/>
      <c r="W1184" s="134"/>
      <c r="X1184" s="134"/>
      <c r="Y1184" s="134"/>
      <c r="Z1184" s="134"/>
      <c r="AA1184" s="134"/>
      <c r="AB1184" s="134"/>
      <c r="AC1184" s="134"/>
      <c r="AD1184" s="139"/>
    </row>
    <row r="1185">
      <c r="A1185" s="143"/>
      <c r="B1185" s="134"/>
      <c r="C1185" s="134"/>
      <c r="D1185" s="134"/>
      <c r="E1185" s="134"/>
      <c r="F1185" s="134"/>
      <c r="G1185" s="134"/>
      <c r="H1185" s="134"/>
      <c r="J1185" s="134"/>
      <c r="K1185" s="135"/>
      <c r="L1185" s="136"/>
      <c r="M1185" s="137" t="str">
        <f>IFERROR(__xludf.DUMMYFUNCTION("IFERROR((FILTER(Data!A:A,Data!D:D=A1185,Data!B:B=$B$1)),"""")"),"")</f>
        <v/>
      </c>
      <c r="T1185" s="52">
        <f>IFERROR(__xludf.DUMMYFUNCTION("((COUNTIF(FILTER(Data!N:N,Data!D:D=A1185,Data!B:B=$B$1),""TRAVERSE"")*15)+(COUNTIF(FILTER(Data!N:N,Data!D:D=A1185,Data!B:B=B$1),""HIGH"")*10)+(COUNTIF(FILTER(Data!N:N,Data!D:D=A1185,Data!B:B=$B$1),""MIDDLE"")*6)+(COUNTIF(FILTER(Data!N:N,Data!D:D=A1185,Dat"&amp;"a!B:B=$B$1),""LOW"")*4))"),0.0)</f>
        <v>0</v>
      </c>
      <c r="V1185" s="138"/>
      <c r="W1185" s="134"/>
      <c r="X1185" s="134"/>
      <c r="Y1185" s="134"/>
      <c r="Z1185" s="134"/>
      <c r="AA1185" s="134"/>
      <c r="AB1185" s="134"/>
      <c r="AC1185" s="134"/>
      <c r="AD1185" s="139"/>
    </row>
    <row r="1186">
      <c r="A1186" s="143"/>
      <c r="B1186" s="134"/>
      <c r="C1186" s="134"/>
      <c r="D1186" s="134"/>
      <c r="E1186" s="134"/>
      <c r="F1186" s="134"/>
      <c r="G1186" s="134"/>
      <c r="H1186" s="134"/>
      <c r="J1186" s="134"/>
      <c r="K1186" s="135"/>
      <c r="L1186" s="136"/>
      <c r="M1186" s="137" t="str">
        <f>IFERROR(__xludf.DUMMYFUNCTION("IFERROR((FILTER(Data!A:A,Data!D:D=A1186,Data!B:B=$B$1)),"""")"),"")</f>
        <v/>
      </c>
      <c r="T1186" s="52">
        <f>IFERROR(__xludf.DUMMYFUNCTION("((COUNTIF(FILTER(Data!N:N,Data!D:D=A1186,Data!B:B=$B$1),""TRAVERSE"")*15)+(COUNTIF(FILTER(Data!N:N,Data!D:D=A1186,Data!B:B=B$1),""HIGH"")*10)+(COUNTIF(FILTER(Data!N:N,Data!D:D=A1186,Data!B:B=$B$1),""MIDDLE"")*6)+(COUNTIF(FILTER(Data!N:N,Data!D:D=A1186,Dat"&amp;"a!B:B=$B$1),""LOW"")*4))"),0.0)</f>
        <v>0</v>
      </c>
      <c r="V1186" s="138"/>
      <c r="W1186" s="134"/>
      <c r="X1186" s="134"/>
      <c r="Y1186" s="134"/>
      <c r="Z1186" s="134"/>
      <c r="AA1186" s="134"/>
      <c r="AB1186" s="134"/>
      <c r="AC1186" s="134"/>
      <c r="AD1186" s="139"/>
    </row>
    <row r="1187">
      <c r="A1187" s="143"/>
      <c r="B1187" s="134"/>
      <c r="C1187" s="134"/>
      <c r="D1187" s="134"/>
      <c r="E1187" s="134"/>
      <c r="F1187" s="134"/>
      <c r="G1187" s="134"/>
      <c r="H1187" s="134"/>
      <c r="J1187" s="134"/>
      <c r="K1187" s="135"/>
      <c r="L1187" s="136"/>
      <c r="M1187" s="137" t="str">
        <f>IFERROR(__xludf.DUMMYFUNCTION("IFERROR((FILTER(Data!A:A,Data!D:D=A1187,Data!B:B=$B$1)),"""")"),"")</f>
        <v/>
      </c>
      <c r="T1187" s="52">
        <f>IFERROR(__xludf.DUMMYFUNCTION("((COUNTIF(FILTER(Data!N:N,Data!D:D=A1187,Data!B:B=$B$1),""TRAVERSE"")*15)+(COUNTIF(FILTER(Data!N:N,Data!D:D=A1187,Data!B:B=B$1),""HIGH"")*10)+(COUNTIF(FILTER(Data!N:N,Data!D:D=A1187,Data!B:B=$B$1),""MIDDLE"")*6)+(COUNTIF(FILTER(Data!N:N,Data!D:D=A1187,Dat"&amp;"a!B:B=$B$1),""LOW"")*4))"),0.0)</f>
        <v>0</v>
      </c>
      <c r="V1187" s="138"/>
      <c r="W1187" s="134"/>
      <c r="X1187" s="134"/>
      <c r="Y1187" s="134"/>
      <c r="Z1187" s="134"/>
      <c r="AA1187" s="134"/>
      <c r="AB1187" s="134"/>
      <c r="AC1187" s="134"/>
      <c r="AD1187" s="139"/>
    </row>
    <row r="1188">
      <c r="A1188" s="143"/>
      <c r="B1188" s="134"/>
      <c r="C1188" s="134"/>
      <c r="D1188" s="134"/>
      <c r="E1188" s="134"/>
      <c r="F1188" s="134"/>
      <c r="G1188" s="134"/>
      <c r="H1188" s="134"/>
      <c r="J1188" s="134"/>
      <c r="K1188" s="135"/>
      <c r="L1188" s="136"/>
      <c r="M1188" s="137" t="str">
        <f>IFERROR(__xludf.DUMMYFUNCTION("IFERROR((FILTER(Data!A:A,Data!D:D=A1188,Data!B:B=$B$1)),"""")"),"")</f>
        <v/>
      </c>
      <c r="T1188" s="52">
        <f>IFERROR(__xludf.DUMMYFUNCTION("((COUNTIF(FILTER(Data!N:N,Data!D:D=A1188,Data!B:B=$B$1),""TRAVERSE"")*15)+(COUNTIF(FILTER(Data!N:N,Data!D:D=A1188,Data!B:B=B$1),""HIGH"")*10)+(COUNTIF(FILTER(Data!N:N,Data!D:D=A1188,Data!B:B=$B$1),""MIDDLE"")*6)+(COUNTIF(FILTER(Data!N:N,Data!D:D=A1188,Dat"&amp;"a!B:B=$B$1),""LOW"")*4))"),0.0)</f>
        <v>0</v>
      </c>
      <c r="V1188" s="138"/>
      <c r="W1188" s="134"/>
      <c r="X1188" s="134"/>
      <c r="Y1188" s="134"/>
      <c r="Z1188" s="134"/>
      <c r="AA1188" s="134"/>
      <c r="AB1188" s="134"/>
      <c r="AC1188" s="134"/>
      <c r="AD1188" s="139"/>
    </row>
    <row r="1189">
      <c r="A1189" s="143"/>
      <c r="B1189" s="134"/>
      <c r="C1189" s="134"/>
      <c r="D1189" s="134"/>
      <c r="E1189" s="134"/>
      <c r="F1189" s="134"/>
      <c r="G1189" s="134"/>
      <c r="H1189" s="134"/>
      <c r="J1189" s="134"/>
      <c r="K1189" s="135"/>
      <c r="L1189" s="136"/>
      <c r="M1189" s="137" t="str">
        <f>IFERROR(__xludf.DUMMYFUNCTION("IFERROR((FILTER(Data!A:A,Data!D:D=A1189,Data!B:B=$B$1)),"""")"),"")</f>
        <v/>
      </c>
      <c r="T1189" s="52">
        <f>IFERROR(__xludf.DUMMYFUNCTION("((COUNTIF(FILTER(Data!N:N,Data!D:D=A1189,Data!B:B=$B$1),""TRAVERSE"")*15)+(COUNTIF(FILTER(Data!N:N,Data!D:D=A1189,Data!B:B=B$1),""HIGH"")*10)+(COUNTIF(FILTER(Data!N:N,Data!D:D=A1189,Data!B:B=$B$1),""MIDDLE"")*6)+(COUNTIF(FILTER(Data!N:N,Data!D:D=A1189,Dat"&amp;"a!B:B=$B$1),""LOW"")*4))"),0.0)</f>
        <v>0</v>
      </c>
      <c r="V1189" s="138"/>
      <c r="W1189" s="134"/>
      <c r="X1189" s="134"/>
      <c r="Y1189" s="134"/>
      <c r="Z1189" s="134"/>
      <c r="AA1189" s="134"/>
      <c r="AB1189" s="134"/>
      <c r="AC1189" s="134"/>
      <c r="AD1189" s="139"/>
    </row>
    <row r="1190">
      <c r="A1190" s="143"/>
      <c r="B1190" s="134"/>
      <c r="C1190" s="134"/>
      <c r="D1190" s="134"/>
      <c r="E1190" s="134"/>
      <c r="F1190" s="134"/>
      <c r="G1190" s="134"/>
      <c r="H1190" s="134"/>
      <c r="J1190" s="134"/>
      <c r="K1190" s="135"/>
      <c r="L1190" s="136"/>
      <c r="M1190" s="137" t="str">
        <f>IFERROR(__xludf.DUMMYFUNCTION("IFERROR((FILTER(Data!A:A,Data!D:D=A1190,Data!B:B=$B$1)),"""")"),"")</f>
        <v/>
      </c>
      <c r="T1190" s="52">
        <f>IFERROR(__xludf.DUMMYFUNCTION("((COUNTIF(FILTER(Data!N:N,Data!D:D=A1190,Data!B:B=$B$1),""TRAVERSE"")*15)+(COUNTIF(FILTER(Data!N:N,Data!D:D=A1190,Data!B:B=B$1),""HIGH"")*10)+(COUNTIF(FILTER(Data!N:N,Data!D:D=A1190,Data!B:B=$B$1),""MIDDLE"")*6)+(COUNTIF(FILTER(Data!N:N,Data!D:D=A1190,Dat"&amp;"a!B:B=$B$1),""LOW"")*4))"),0.0)</f>
        <v>0</v>
      </c>
      <c r="V1190" s="138"/>
      <c r="W1190" s="134"/>
      <c r="X1190" s="134"/>
      <c r="Y1190" s="134"/>
      <c r="Z1190" s="134"/>
      <c r="AA1190" s="134"/>
      <c r="AB1190" s="134"/>
      <c r="AC1190" s="134"/>
      <c r="AD1190" s="139"/>
    </row>
    <row r="1191">
      <c r="A1191" s="143"/>
      <c r="B1191" s="134"/>
      <c r="C1191" s="134"/>
      <c r="D1191" s="134"/>
      <c r="E1191" s="134"/>
      <c r="F1191" s="134"/>
      <c r="G1191" s="134"/>
      <c r="H1191" s="134"/>
      <c r="J1191" s="134"/>
      <c r="K1191" s="135"/>
      <c r="L1191" s="136"/>
      <c r="M1191" s="137" t="str">
        <f>IFERROR(__xludf.DUMMYFUNCTION("IFERROR((FILTER(Data!A:A,Data!D:D=A1191,Data!B:B=$B$1)),"""")"),"")</f>
        <v/>
      </c>
      <c r="T1191" s="52">
        <f>IFERROR(__xludf.DUMMYFUNCTION("((COUNTIF(FILTER(Data!N:N,Data!D:D=A1191,Data!B:B=$B$1),""TRAVERSE"")*15)+(COUNTIF(FILTER(Data!N:N,Data!D:D=A1191,Data!B:B=B$1),""HIGH"")*10)+(COUNTIF(FILTER(Data!N:N,Data!D:D=A1191,Data!B:B=$B$1),""MIDDLE"")*6)+(COUNTIF(FILTER(Data!N:N,Data!D:D=A1191,Dat"&amp;"a!B:B=$B$1),""LOW"")*4))"),0.0)</f>
        <v>0</v>
      </c>
      <c r="V1191" s="138"/>
      <c r="W1191" s="134"/>
      <c r="X1191" s="134"/>
      <c r="Y1191" s="134"/>
      <c r="Z1191" s="134"/>
      <c r="AA1191" s="134"/>
      <c r="AB1191" s="134"/>
      <c r="AC1191" s="134"/>
      <c r="AD1191" s="139"/>
    </row>
    <row r="1192">
      <c r="A1192" s="143"/>
      <c r="B1192" s="134"/>
      <c r="C1192" s="134"/>
      <c r="D1192" s="134"/>
      <c r="E1192" s="134"/>
      <c r="F1192" s="134"/>
      <c r="G1192" s="134"/>
      <c r="H1192" s="134"/>
      <c r="J1192" s="134"/>
      <c r="K1192" s="135"/>
      <c r="L1192" s="136"/>
      <c r="M1192" s="137" t="str">
        <f>IFERROR(__xludf.DUMMYFUNCTION("IFERROR((FILTER(Data!A:A,Data!D:D=A1192,Data!B:B=$B$1)),"""")"),"")</f>
        <v/>
      </c>
      <c r="T1192" s="52">
        <f>IFERROR(__xludf.DUMMYFUNCTION("((COUNTIF(FILTER(Data!N:N,Data!D:D=A1192,Data!B:B=$B$1),""TRAVERSE"")*15)+(COUNTIF(FILTER(Data!N:N,Data!D:D=A1192,Data!B:B=B$1),""HIGH"")*10)+(COUNTIF(FILTER(Data!N:N,Data!D:D=A1192,Data!B:B=$B$1),""MIDDLE"")*6)+(COUNTIF(FILTER(Data!N:N,Data!D:D=A1192,Dat"&amp;"a!B:B=$B$1),""LOW"")*4))"),0.0)</f>
        <v>0</v>
      </c>
      <c r="V1192" s="138"/>
      <c r="W1192" s="134"/>
      <c r="X1192" s="134"/>
      <c r="Y1192" s="134"/>
      <c r="Z1192" s="134"/>
      <c r="AA1192" s="134"/>
      <c r="AB1192" s="134"/>
      <c r="AC1192" s="134"/>
      <c r="AD1192" s="139"/>
    </row>
    <row r="1193">
      <c r="A1193" s="143"/>
      <c r="B1193" s="134"/>
      <c r="C1193" s="134"/>
      <c r="D1193" s="134"/>
      <c r="E1193" s="134"/>
      <c r="F1193" s="134"/>
      <c r="G1193" s="134"/>
      <c r="H1193" s="134"/>
      <c r="J1193" s="134"/>
      <c r="K1193" s="135"/>
      <c r="L1193" s="136"/>
      <c r="M1193" s="137" t="str">
        <f>IFERROR(__xludf.DUMMYFUNCTION("IFERROR((FILTER(Data!A:A,Data!D:D=A1193,Data!B:B=$B$1)),"""")"),"")</f>
        <v/>
      </c>
      <c r="T1193" s="52">
        <f>IFERROR(__xludf.DUMMYFUNCTION("((COUNTIF(FILTER(Data!N:N,Data!D:D=A1193,Data!B:B=$B$1),""TRAVERSE"")*15)+(COUNTIF(FILTER(Data!N:N,Data!D:D=A1193,Data!B:B=B$1),""HIGH"")*10)+(COUNTIF(FILTER(Data!N:N,Data!D:D=A1193,Data!B:B=$B$1),""MIDDLE"")*6)+(COUNTIF(FILTER(Data!N:N,Data!D:D=A1193,Dat"&amp;"a!B:B=$B$1),""LOW"")*4))"),0.0)</f>
        <v>0</v>
      </c>
      <c r="V1193" s="138"/>
      <c r="W1193" s="134"/>
      <c r="X1193" s="134"/>
      <c r="Y1193" s="134"/>
      <c r="Z1193" s="134"/>
      <c r="AA1193" s="134"/>
      <c r="AB1193" s="134"/>
      <c r="AC1193" s="134"/>
      <c r="AD1193" s="139"/>
    </row>
    <row r="1194">
      <c r="A1194" s="143"/>
      <c r="B1194" s="134"/>
      <c r="C1194" s="134"/>
      <c r="D1194" s="134"/>
      <c r="E1194" s="134"/>
      <c r="F1194" s="134"/>
      <c r="G1194" s="134"/>
      <c r="H1194" s="134"/>
      <c r="J1194" s="134"/>
      <c r="K1194" s="135"/>
      <c r="L1194" s="136"/>
      <c r="M1194" s="137" t="str">
        <f>IFERROR(__xludf.DUMMYFUNCTION("IFERROR((FILTER(Data!A:A,Data!D:D=A1194,Data!B:B=$B$1)),"""")"),"")</f>
        <v/>
      </c>
      <c r="T1194" s="52">
        <f>IFERROR(__xludf.DUMMYFUNCTION("((COUNTIF(FILTER(Data!N:N,Data!D:D=A1194,Data!B:B=$B$1),""TRAVERSE"")*15)+(COUNTIF(FILTER(Data!N:N,Data!D:D=A1194,Data!B:B=B$1),""HIGH"")*10)+(COUNTIF(FILTER(Data!N:N,Data!D:D=A1194,Data!B:B=$B$1),""MIDDLE"")*6)+(COUNTIF(FILTER(Data!N:N,Data!D:D=A1194,Dat"&amp;"a!B:B=$B$1),""LOW"")*4))"),0.0)</f>
        <v>0</v>
      </c>
      <c r="V1194" s="138"/>
      <c r="W1194" s="134"/>
      <c r="X1194" s="134"/>
      <c r="Y1194" s="134"/>
      <c r="Z1194" s="134"/>
      <c r="AA1194" s="134"/>
      <c r="AB1194" s="134"/>
      <c r="AC1194" s="134"/>
      <c r="AD1194" s="139"/>
    </row>
    <row r="1195">
      <c r="A1195" s="143"/>
      <c r="B1195" s="134"/>
      <c r="C1195" s="134"/>
      <c r="D1195" s="134"/>
      <c r="E1195" s="134"/>
      <c r="F1195" s="134"/>
      <c r="G1195" s="134"/>
      <c r="H1195" s="134"/>
      <c r="J1195" s="134"/>
      <c r="K1195" s="135"/>
      <c r="L1195" s="136"/>
      <c r="M1195" s="137" t="str">
        <f>IFERROR(__xludf.DUMMYFUNCTION("IFERROR((FILTER(Data!A:A,Data!D:D=A1195,Data!B:B=$B$1)),"""")"),"")</f>
        <v/>
      </c>
      <c r="T1195" s="52">
        <f>IFERROR(__xludf.DUMMYFUNCTION("((COUNTIF(FILTER(Data!N:N,Data!D:D=A1195,Data!B:B=$B$1),""TRAVERSE"")*15)+(COUNTIF(FILTER(Data!N:N,Data!D:D=A1195,Data!B:B=B$1),""HIGH"")*10)+(COUNTIF(FILTER(Data!N:N,Data!D:D=A1195,Data!B:B=$B$1),""MIDDLE"")*6)+(COUNTIF(FILTER(Data!N:N,Data!D:D=A1195,Dat"&amp;"a!B:B=$B$1),""LOW"")*4))"),0.0)</f>
        <v>0</v>
      </c>
      <c r="V1195" s="138"/>
      <c r="W1195" s="134"/>
      <c r="X1195" s="134"/>
      <c r="Y1195" s="134"/>
      <c r="Z1195" s="134"/>
      <c r="AA1195" s="134"/>
      <c r="AB1195" s="134"/>
      <c r="AC1195" s="134"/>
      <c r="AD1195" s="139"/>
    </row>
    <row r="1196">
      <c r="A1196" s="143"/>
      <c r="B1196" s="134"/>
      <c r="C1196" s="134"/>
      <c r="D1196" s="134"/>
      <c r="E1196" s="134"/>
      <c r="F1196" s="134"/>
      <c r="G1196" s="134"/>
      <c r="H1196" s="134"/>
      <c r="J1196" s="134"/>
      <c r="K1196" s="135"/>
      <c r="L1196" s="136"/>
      <c r="M1196" s="137" t="str">
        <f>IFERROR(__xludf.DUMMYFUNCTION("IFERROR((FILTER(Data!A:A,Data!D:D=A1196,Data!B:B=$B$1)),"""")"),"")</f>
        <v/>
      </c>
      <c r="T1196" s="52">
        <f>IFERROR(__xludf.DUMMYFUNCTION("((COUNTIF(FILTER(Data!N:N,Data!D:D=A1196,Data!B:B=$B$1),""TRAVERSE"")*15)+(COUNTIF(FILTER(Data!N:N,Data!D:D=A1196,Data!B:B=B$1),""HIGH"")*10)+(COUNTIF(FILTER(Data!N:N,Data!D:D=A1196,Data!B:B=$B$1),""MIDDLE"")*6)+(COUNTIF(FILTER(Data!N:N,Data!D:D=A1196,Dat"&amp;"a!B:B=$B$1),""LOW"")*4))"),0.0)</f>
        <v>0</v>
      </c>
      <c r="V1196" s="138"/>
      <c r="W1196" s="134"/>
      <c r="X1196" s="134"/>
      <c r="Y1196" s="134"/>
      <c r="Z1196" s="134"/>
      <c r="AA1196" s="134"/>
      <c r="AB1196" s="134"/>
      <c r="AC1196" s="134"/>
      <c r="AD1196" s="139"/>
    </row>
    <row r="1197">
      <c r="A1197" s="143"/>
      <c r="B1197" s="134"/>
      <c r="C1197" s="134"/>
      <c r="D1197" s="134"/>
      <c r="E1197" s="134"/>
      <c r="F1197" s="134"/>
      <c r="G1197" s="134"/>
      <c r="H1197" s="134"/>
      <c r="J1197" s="134"/>
      <c r="K1197" s="135"/>
      <c r="L1197" s="136"/>
      <c r="M1197" s="137" t="str">
        <f>IFERROR(__xludf.DUMMYFUNCTION("IFERROR((FILTER(Data!A:A,Data!D:D=A1197,Data!B:B=$B$1)),"""")"),"")</f>
        <v/>
      </c>
      <c r="T1197" s="52">
        <f>IFERROR(__xludf.DUMMYFUNCTION("((COUNTIF(FILTER(Data!N:N,Data!D:D=A1197,Data!B:B=$B$1),""TRAVERSE"")*15)+(COUNTIF(FILTER(Data!N:N,Data!D:D=A1197,Data!B:B=B$1),""HIGH"")*10)+(COUNTIF(FILTER(Data!N:N,Data!D:D=A1197,Data!B:B=$B$1),""MIDDLE"")*6)+(COUNTIF(FILTER(Data!N:N,Data!D:D=A1197,Dat"&amp;"a!B:B=$B$1),""LOW"")*4))"),0.0)</f>
        <v>0</v>
      </c>
      <c r="V1197" s="138"/>
      <c r="W1197" s="134"/>
      <c r="X1197" s="134"/>
      <c r="Y1197" s="134"/>
      <c r="Z1197" s="134"/>
      <c r="AA1197" s="134"/>
      <c r="AB1197" s="134"/>
      <c r="AC1197" s="134"/>
      <c r="AD1197" s="139"/>
    </row>
    <row r="1198">
      <c r="A1198" s="143"/>
      <c r="B1198" s="134"/>
      <c r="C1198" s="134"/>
      <c r="D1198" s="134"/>
      <c r="E1198" s="134"/>
      <c r="F1198" s="134"/>
      <c r="G1198" s="134"/>
      <c r="H1198" s="134"/>
      <c r="J1198" s="134"/>
      <c r="K1198" s="135"/>
      <c r="L1198" s="136"/>
      <c r="M1198" s="137" t="str">
        <f>IFERROR(__xludf.DUMMYFUNCTION("IFERROR((FILTER(Data!A:A,Data!D:D=A1198,Data!B:B=$B$1)),"""")"),"")</f>
        <v/>
      </c>
      <c r="T1198" s="52">
        <f>IFERROR(__xludf.DUMMYFUNCTION("((COUNTIF(FILTER(Data!N:N,Data!D:D=A1198,Data!B:B=$B$1),""TRAVERSE"")*15)+(COUNTIF(FILTER(Data!N:N,Data!D:D=A1198,Data!B:B=B$1),""HIGH"")*10)+(COUNTIF(FILTER(Data!N:N,Data!D:D=A1198,Data!B:B=$B$1),""MIDDLE"")*6)+(COUNTIF(FILTER(Data!N:N,Data!D:D=A1198,Dat"&amp;"a!B:B=$B$1),""LOW"")*4))"),0.0)</f>
        <v>0</v>
      </c>
      <c r="V1198" s="138"/>
      <c r="W1198" s="134"/>
      <c r="X1198" s="134"/>
      <c r="Y1198" s="134"/>
      <c r="Z1198" s="134"/>
      <c r="AA1198" s="134"/>
      <c r="AB1198" s="134"/>
      <c r="AC1198" s="134"/>
      <c r="AD1198" s="139"/>
    </row>
    <row r="1199">
      <c r="A1199" s="143"/>
      <c r="B1199" s="134"/>
      <c r="C1199" s="134"/>
      <c r="D1199" s="134"/>
      <c r="E1199" s="134"/>
      <c r="F1199" s="134"/>
      <c r="G1199" s="134"/>
      <c r="H1199" s="134"/>
      <c r="J1199" s="134"/>
      <c r="K1199" s="135"/>
      <c r="L1199" s="136"/>
      <c r="M1199" s="137" t="str">
        <f>IFERROR(__xludf.DUMMYFUNCTION("IFERROR((FILTER(Data!A:A,Data!D:D=A1199,Data!B:B=$B$1)),"""")"),"")</f>
        <v/>
      </c>
      <c r="T1199" s="52">
        <f>IFERROR(__xludf.DUMMYFUNCTION("((COUNTIF(FILTER(Data!N:N,Data!D:D=A1199,Data!B:B=$B$1),""TRAVERSE"")*15)+(COUNTIF(FILTER(Data!N:N,Data!D:D=A1199,Data!B:B=B$1),""HIGH"")*10)+(COUNTIF(FILTER(Data!N:N,Data!D:D=A1199,Data!B:B=$B$1),""MIDDLE"")*6)+(COUNTIF(FILTER(Data!N:N,Data!D:D=A1199,Dat"&amp;"a!B:B=$B$1),""LOW"")*4))"),0.0)</f>
        <v>0</v>
      </c>
      <c r="V1199" s="138"/>
      <c r="W1199" s="134"/>
      <c r="X1199" s="134"/>
      <c r="Y1199" s="134"/>
      <c r="Z1199" s="134"/>
      <c r="AA1199" s="134"/>
      <c r="AB1199" s="134"/>
      <c r="AC1199" s="134"/>
      <c r="AD1199" s="139"/>
    </row>
    <row r="1200">
      <c r="A1200" s="143"/>
      <c r="B1200" s="134"/>
      <c r="C1200" s="134"/>
      <c r="D1200" s="134"/>
      <c r="E1200" s="134"/>
      <c r="F1200" s="134"/>
      <c r="G1200" s="134"/>
      <c r="H1200" s="134"/>
      <c r="J1200" s="134"/>
      <c r="K1200" s="135"/>
      <c r="L1200" s="136"/>
      <c r="M1200" s="137" t="str">
        <f>IFERROR(__xludf.DUMMYFUNCTION("IFERROR((FILTER(Data!A:A,Data!D:D=A1200,Data!B:B=$B$1)),"""")"),"")</f>
        <v/>
      </c>
      <c r="T1200" s="52">
        <f>IFERROR(__xludf.DUMMYFUNCTION("((COUNTIF(FILTER(Data!N:N,Data!D:D=A1200,Data!B:B=$B$1),""TRAVERSE"")*15)+(COUNTIF(FILTER(Data!N:N,Data!D:D=A1200,Data!B:B=B$1),""HIGH"")*10)+(COUNTIF(FILTER(Data!N:N,Data!D:D=A1200,Data!B:B=$B$1),""MIDDLE"")*6)+(COUNTIF(FILTER(Data!N:N,Data!D:D=A1200,Dat"&amp;"a!B:B=$B$1),""LOW"")*4))"),0.0)</f>
        <v>0</v>
      </c>
      <c r="V1200" s="138"/>
      <c r="W1200" s="134"/>
      <c r="X1200" s="134"/>
      <c r="Y1200" s="134"/>
      <c r="Z1200" s="134"/>
      <c r="AA1200" s="134"/>
      <c r="AB1200" s="134"/>
      <c r="AC1200" s="134"/>
      <c r="AD1200" s="139"/>
    </row>
    <row r="1201">
      <c r="A1201" s="143"/>
      <c r="B1201" s="134"/>
      <c r="C1201" s="134"/>
      <c r="D1201" s="134"/>
      <c r="E1201" s="134"/>
      <c r="F1201" s="134"/>
      <c r="G1201" s="134"/>
      <c r="H1201" s="134"/>
      <c r="J1201" s="134"/>
      <c r="K1201" s="135"/>
      <c r="L1201" s="136"/>
      <c r="M1201" s="137" t="str">
        <f>IFERROR(__xludf.DUMMYFUNCTION("IFERROR((FILTER(Data!A:A,Data!D:D=A1201,Data!B:B=$B$1)),"""")"),"")</f>
        <v/>
      </c>
      <c r="T1201" s="52">
        <f>IFERROR(__xludf.DUMMYFUNCTION("((COUNTIF(FILTER(Data!N:N,Data!D:D=A1201,Data!B:B=$B$1),""TRAVERSE"")*15)+(COUNTIF(FILTER(Data!N:N,Data!D:D=A1201,Data!B:B=B$1),""HIGH"")*10)+(COUNTIF(FILTER(Data!N:N,Data!D:D=A1201,Data!B:B=$B$1),""MIDDLE"")*6)+(COUNTIF(FILTER(Data!N:N,Data!D:D=A1201,Dat"&amp;"a!B:B=$B$1),""LOW"")*4))"),0.0)</f>
        <v>0</v>
      </c>
      <c r="V1201" s="138"/>
      <c r="W1201" s="134"/>
      <c r="X1201" s="134"/>
      <c r="Y1201" s="134"/>
      <c r="Z1201" s="134"/>
      <c r="AA1201" s="134"/>
      <c r="AB1201" s="134"/>
      <c r="AC1201" s="134"/>
      <c r="AD1201" s="139"/>
    </row>
    <row r="1202">
      <c r="A1202" s="143"/>
      <c r="B1202" s="134"/>
      <c r="C1202" s="134"/>
      <c r="D1202" s="134"/>
      <c r="E1202" s="134"/>
      <c r="F1202" s="134"/>
      <c r="G1202" s="134"/>
      <c r="H1202" s="134"/>
      <c r="J1202" s="134"/>
      <c r="K1202" s="135"/>
      <c r="L1202" s="136"/>
      <c r="M1202" s="137" t="str">
        <f>IFERROR(__xludf.DUMMYFUNCTION("IFERROR((FILTER(Data!A:A,Data!D:D=A1202,Data!B:B=$B$1)),"""")"),"")</f>
        <v/>
      </c>
      <c r="T1202" s="52">
        <f>IFERROR(__xludf.DUMMYFUNCTION("((COUNTIF(FILTER(Data!N:N,Data!D:D=A1202,Data!B:B=$B$1),""TRAVERSE"")*15)+(COUNTIF(FILTER(Data!N:N,Data!D:D=A1202,Data!B:B=B$1),""HIGH"")*10)+(COUNTIF(FILTER(Data!N:N,Data!D:D=A1202,Data!B:B=$B$1),""MIDDLE"")*6)+(COUNTIF(FILTER(Data!N:N,Data!D:D=A1202,Dat"&amp;"a!B:B=$B$1),""LOW"")*4))"),0.0)</f>
        <v>0</v>
      </c>
      <c r="V1202" s="138"/>
      <c r="W1202" s="134"/>
      <c r="X1202" s="134"/>
      <c r="Y1202" s="134"/>
      <c r="Z1202" s="134"/>
      <c r="AA1202" s="134"/>
      <c r="AB1202" s="134"/>
      <c r="AC1202" s="134"/>
      <c r="AD1202" s="139"/>
    </row>
    <row r="1203">
      <c r="A1203" s="143"/>
      <c r="B1203" s="134"/>
      <c r="C1203" s="134"/>
      <c r="D1203" s="134"/>
      <c r="E1203" s="134"/>
      <c r="F1203" s="134"/>
      <c r="G1203" s="134"/>
      <c r="H1203" s="134"/>
      <c r="J1203" s="134"/>
      <c r="K1203" s="135"/>
      <c r="L1203" s="136"/>
      <c r="M1203" s="137" t="str">
        <f>IFERROR(__xludf.DUMMYFUNCTION("IFERROR((FILTER(Data!A:A,Data!D:D=A1203,Data!B:B=$B$1)),"""")"),"")</f>
        <v/>
      </c>
      <c r="T1203" s="52">
        <f>IFERROR(__xludf.DUMMYFUNCTION("((COUNTIF(FILTER(Data!N:N,Data!D:D=A1203,Data!B:B=$B$1),""TRAVERSE"")*15)+(COUNTIF(FILTER(Data!N:N,Data!D:D=A1203,Data!B:B=B$1),""HIGH"")*10)+(COUNTIF(FILTER(Data!N:N,Data!D:D=A1203,Data!B:B=$B$1),""MIDDLE"")*6)+(COUNTIF(FILTER(Data!N:N,Data!D:D=A1203,Dat"&amp;"a!B:B=$B$1),""LOW"")*4))"),0.0)</f>
        <v>0</v>
      </c>
      <c r="V1203" s="138"/>
      <c r="W1203" s="134"/>
      <c r="X1203" s="134"/>
      <c r="Y1203" s="134"/>
      <c r="Z1203" s="134"/>
      <c r="AA1203" s="134"/>
      <c r="AB1203" s="134"/>
      <c r="AC1203" s="134"/>
      <c r="AD1203" s="139"/>
    </row>
    <row r="1204">
      <c r="A1204" s="143"/>
      <c r="B1204" s="134"/>
      <c r="C1204" s="134"/>
      <c r="D1204" s="134"/>
      <c r="E1204" s="134"/>
      <c r="F1204" s="134"/>
      <c r="G1204" s="134"/>
      <c r="H1204" s="134"/>
      <c r="J1204" s="134"/>
      <c r="K1204" s="135"/>
      <c r="L1204" s="136"/>
      <c r="M1204" s="137" t="str">
        <f>IFERROR(__xludf.DUMMYFUNCTION("IFERROR((FILTER(Data!A:A,Data!D:D=A1204,Data!B:B=$B$1)),"""")"),"")</f>
        <v/>
      </c>
      <c r="T1204" s="52">
        <f>IFERROR(__xludf.DUMMYFUNCTION("((COUNTIF(FILTER(Data!N:N,Data!D:D=A1204,Data!B:B=$B$1),""TRAVERSE"")*15)+(COUNTIF(FILTER(Data!N:N,Data!D:D=A1204,Data!B:B=B$1),""HIGH"")*10)+(COUNTIF(FILTER(Data!N:N,Data!D:D=A1204,Data!B:B=$B$1),""MIDDLE"")*6)+(COUNTIF(FILTER(Data!N:N,Data!D:D=A1204,Dat"&amp;"a!B:B=$B$1),""LOW"")*4))"),0.0)</f>
        <v>0</v>
      </c>
      <c r="V1204" s="138"/>
      <c r="W1204" s="134"/>
      <c r="X1204" s="134"/>
      <c r="Y1204" s="134"/>
      <c r="Z1204" s="134"/>
      <c r="AA1204" s="134"/>
      <c r="AB1204" s="134"/>
      <c r="AC1204" s="134"/>
      <c r="AD1204" s="139"/>
    </row>
    <row r="1205">
      <c r="A1205" s="143"/>
      <c r="B1205" s="134"/>
      <c r="C1205" s="134"/>
      <c r="D1205" s="134"/>
      <c r="E1205" s="134"/>
      <c r="F1205" s="134"/>
      <c r="G1205" s="134"/>
      <c r="H1205" s="134"/>
      <c r="J1205" s="134"/>
      <c r="K1205" s="135"/>
      <c r="L1205" s="136"/>
      <c r="M1205" s="137" t="str">
        <f>IFERROR(__xludf.DUMMYFUNCTION("IFERROR((FILTER(Data!A:A,Data!D:D=A1205,Data!B:B=$B$1)),"""")"),"")</f>
        <v/>
      </c>
      <c r="T1205" s="52">
        <f>IFERROR(__xludf.DUMMYFUNCTION("((COUNTIF(FILTER(Data!N:N,Data!D:D=A1205,Data!B:B=$B$1),""TRAVERSE"")*15)+(COUNTIF(FILTER(Data!N:N,Data!D:D=A1205,Data!B:B=B$1),""HIGH"")*10)+(COUNTIF(FILTER(Data!N:N,Data!D:D=A1205,Data!B:B=$B$1),""MIDDLE"")*6)+(COUNTIF(FILTER(Data!N:N,Data!D:D=A1205,Dat"&amp;"a!B:B=$B$1),""LOW"")*4))"),0.0)</f>
        <v>0</v>
      </c>
      <c r="V1205" s="138"/>
      <c r="W1205" s="134"/>
      <c r="X1205" s="134"/>
      <c r="Y1205" s="134"/>
      <c r="Z1205" s="134"/>
      <c r="AA1205" s="134"/>
      <c r="AB1205" s="134"/>
      <c r="AC1205" s="134"/>
      <c r="AD1205" s="139"/>
    </row>
    <row r="1206">
      <c r="A1206" s="143"/>
      <c r="B1206" s="134"/>
      <c r="C1206" s="134"/>
      <c r="D1206" s="134"/>
      <c r="E1206" s="134"/>
      <c r="F1206" s="134"/>
      <c r="G1206" s="134"/>
      <c r="H1206" s="134"/>
      <c r="J1206" s="134"/>
      <c r="K1206" s="135"/>
      <c r="L1206" s="136"/>
      <c r="M1206" s="137" t="str">
        <f>IFERROR(__xludf.DUMMYFUNCTION("IFERROR((FILTER(Data!A:A,Data!D:D=A1206,Data!B:B=$B$1)),"""")"),"")</f>
        <v/>
      </c>
      <c r="T1206" s="52">
        <f>IFERROR(__xludf.DUMMYFUNCTION("((COUNTIF(FILTER(Data!N:N,Data!D:D=A1206,Data!B:B=$B$1),""TRAVERSE"")*15)+(COUNTIF(FILTER(Data!N:N,Data!D:D=A1206,Data!B:B=B$1),""HIGH"")*10)+(COUNTIF(FILTER(Data!N:N,Data!D:D=A1206,Data!B:B=$B$1),""MIDDLE"")*6)+(COUNTIF(FILTER(Data!N:N,Data!D:D=A1206,Dat"&amp;"a!B:B=$B$1),""LOW"")*4))"),0.0)</f>
        <v>0</v>
      </c>
      <c r="V1206" s="138"/>
      <c r="W1206" s="134"/>
      <c r="X1206" s="134"/>
      <c r="Y1206" s="134"/>
      <c r="Z1206" s="134"/>
      <c r="AA1206" s="134"/>
      <c r="AB1206" s="134"/>
      <c r="AC1206" s="134"/>
      <c r="AD1206" s="139"/>
    </row>
    <row r="1207">
      <c r="A1207" s="143"/>
      <c r="B1207" s="134"/>
      <c r="C1207" s="134"/>
      <c r="D1207" s="134"/>
      <c r="E1207" s="134"/>
      <c r="F1207" s="134"/>
      <c r="G1207" s="134"/>
      <c r="H1207" s="134"/>
      <c r="J1207" s="134"/>
      <c r="K1207" s="135"/>
      <c r="L1207" s="136"/>
      <c r="M1207" s="137" t="str">
        <f>IFERROR(__xludf.DUMMYFUNCTION("IFERROR((FILTER(Data!A:A,Data!D:D=A1207,Data!B:B=$B$1)),"""")"),"")</f>
        <v/>
      </c>
      <c r="T1207" s="52">
        <f>IFERROR(__xludf.DUMMYFUNCTION("((COUNTIF(FILTER(Data!N:N,Data!D:D=A1207,Data!B:B=$B$1),""TRAVERSE"")*15)+(COUNTIF(FILTER(Data!N:N,Data!D:D=A1207,Data!B:B=B$1),""HIGH"")*10)+(COUNTIF(FILTER(Data!N:N,Data!D:D=A1207,Data!B:B=$B$1),""MIDDLE"")*6)+(COUNTIF(FILTER(Data!N:N,Data!D:D=A1207,Dat"&amp;"a!B:B=$B$1),""LOW"")*4))"),0.0)</f>
        <v>0</v>
      </c>
      <c r="V1207" s="138"/>
      <c r="W1207" s="134"/>
      <c r="X1207" s="134"/>
      <c r="Y1207" s="134"/>
      <c r="Z1207" s="134"/>
      <c r="AA1207" s="134"/>
      <c r="AB1207" s="134"/>
      <c r="AC1207" s="134"/>
      <c r="AD1207" s="139"/>
    </row>
    <row r="1208">
      <c r="A1208" s="143"/>
      <c r="B1208" s="134"/>
      <c r="C1208" s="134"/>
      <c r="D1208" s="134"/>
      <c r="E1208" s="134"/>
      <c r="F1208" s="134"/>
      <c r="G1208" s="134"/>
      <c r="H1208" s="134"/>
      <c r="J1208" s="134"/>
      <c r="K1208" s="135"/>
      <c r="L1208" s="136"/>
      <c r="M1208" s="137" t="str">
        <f>IFERROR(__xludf.DUMMYFUNCTION("IFERROR((FILTER(Data!A:A,Data!D:D=A1208,Data!B:B=$B$1)),"""")"),"")</f>
        <v/>
      </c>
      <c r="T1208" s="52">
        <f>IFERROR(__xludf.DUMMYFUNCTION("((COUNTIF(FILTER(Data!N:N,Data!D:D=A1208,Data!B:B=$B$1),""TRAVERSE"")*15)+(COUNTIF(FILTER(Data!N:N,Data!D:D=A1208,Data!B:B=B$1),""HIGH"")*10)+(COUNTIF(FILTER(Data!N:N,Data!D:D=A1208,Data!B:B=$B$1),""MIDDLE"")*6)+(COUNTIF(FILTER(Data!N:N,Data!D:D=A1208,Dat"&amp;"a!B:B=$B$1),""LOW"")*4))"),0.0)</f>
        <v>0</v>
      </c>
      <c r="V1208" s="138"/>
      <c r="W1208" s="134"/>
      <c r="X1208" s="134"/>
      <c r="Y1208" s="134"/>
      <c r="Z1208" s="134"/>
      <c r="AA1208" s="134"/>
      <c r="AB1208" s="134"/>
      <c r="AC1208" s="134"/>
      <c r="AD1208" s="139"/>
    </row>
    <row r="1209">
      <c r="A1209" s="143"/>
      <c r="B1209" s="134"/>
      <c r="C1209" s="134"/>
      <c r="D1209" s="134"/>
      <c r="E1209" s="134"/>
      <c r="F1209" s="134"/>
      <c r="G1209" s="134"/>
      <c r="H1209" s="134"/>
      <c r="J1209" s="134"/>
      <c r="K1209" s="135"/>
      <c r="L1209" s="136"/>
      <c r="M1209" s="137" t="str">
        <f>IFERROR(__xludf.DUMMYFUNCTION("IFERROR((FILTER(Data!A:A,Data!D:D=A1209,Data!B:B=$B$1)),"""")"),"")</f>
        <v/>
      </c>
      <c r="T1209" s="52">
        <f>IFERROR(__xludf.DUMMYFUNCTION("((COUNTIF(FILTER(Data!N:N,Data!D:D=A1209,Data!B:B=$B$1),""TRAVERSE"")*15)+(COUNTIF(FILTER(Data!N:N,Data!D:D=A1209,Data!B:B=B$1),""HIGH"")*10)+(COUNTIF(FILTER(Data!N:N,Data!D:D=A1209,Data!B:B=$B$1),""MIDDLE"")*6)+(COUNTIF(FILTER(Data!N:N,Data!D:D=A1209,Dat"&amp;"a!B:B=$B$1),""LOW"")*4))"),0.0)</f>
        <v>0</v>
      </c>
      <c r="V1209" s="138"/>
      <c r="W1209" s="134"/>
      <c r="X1209" s="134"/>
      <c r="Y1209" s="134"/>
      <c r="Z1209" s="134"/>
      <c r="AA1209" s="134"/>
      <c r="AB1209" s="134"/>
      <c r="AC1209" s="134"/>
      <c r="AD1209" s="139"/>
    </row>
    <row r="1210">
      <c r="A1210" s="143"/>
      <c r="B1210" s="134"/>
      <c r="C1210" s="134"/>
      <c r="D1210" s="134"/>
      <c r="E1210" s="134"/>
      <c r="F1210" s="134"/>
      <c r="G1210" s="134"/>
      <c r="H1210" s="134"/>
      <c r="J1210" s="134"/>
      <c r="K1210" s="135"/>
      <c r="L1210" s="136"/>
      <c r="M1210" s="137" t="str">
        <f>IFERROR(__xludf.DUMMYFUNCTION("IFERROR((FILTER(Data!A:A,Data!D:D=A1210,Data!B:B=$B$1)),"""")"),"")</f>
        <v/>
      </c>
      <c r="T1210" s="52">
        <f>IFERROR(__xludf.DUMMYFUNCTION("((COUNTIF(FILTER(Data!N:N,Data!D:D=A1210,Data!B:B=$B$1),""TRAVERSE"")*15)+(COUNTIF(FILTER(Data!N:N,Data!D:D=A1210,Data!B:B=B$1),""HIGH"")*10)+(COUNTIF(FILTER(Data!N:N,Data!D:D=A1210,Data!B:B=$B$1),""MIDDLE"")*6)+(COUNTIF(FILTER(Data!N:N,Data!D:D=A1210,Dat"&amp;"a!B:B=$B$1),""LOW"")*4))"),0.0)</f>
        <v>0</v>
      </c>
      <c r="V1210" s="138"/>
      <c r="W1210" s="134"/>
      <c r="X1210" s="134"/>
      <c r="Y1210" s="134"/>
      <c r="Z1210" s="134"/>
      <c r="AA1210" s="134"/>
      <c r="AB1210" s="134"/>
      <c r="AC1210" s="134"/>
      <c r="AD1210" s="139"/>
    </row>
    <row r="1211">
      <c r="A1211" s="143"/>
      <c r="B1211" s="134"/>
      <c r="C1211" s="134"/>
      <c r="D1211" s="134"/>
      <c r="E1211" s="134"/>
      <c r="F1211" s="134"/>
      <c r="G1211" s="134"/>
      <c r="H1211" s="134"/>
      <c r="J1211" s="134"/>
      <c r="K1211" s="135"/>
      <c r="L1211" s="136"/>
      <c r="M1211" s="137" t="str">
        <f>IFERROR(__xludf.DUMMYFUNCTION("IFERROR((FILTER(Data!A:A,Data!D:D=A1211,Data!B:B=$B$1)),"""")"),"")</f>
        <v/>
      </c>
      <c r="T1211" s="52">
        <f>IFERROR(__xludf.DUMMYFUNCTION("((COUNTIF(FILTER(Data!N:N,Data!D:D=A1211,Data!B:B=$B$1),""TRAVERSE"")*15)+(COUNTIF(FILTER(Data!N:N,Data!D:D=A1211,Data!B:B=B$1),""HIGH"")*10)+(COUNTIF(FILTER(Data!N:N,Data!D:D=A1211,Data!B:B=$B$1),""MIDDLE"")*6)+(COUNTIF(FILTER(Data!N:N,Data!D:D=A1211,Dat"&amp;"a!B:B=$B$1),""LOW"")*4))"),0.0)</f>
        <v>0</v>
      </c>
      <c r="V1211" s="138"/>
      <c r="W1211" s="134"/>
      <c r="X1211" s="134"/>
      <c r="Y1211" s="134"/>
      <c r="Z1211" s="134"/>
      <c r="AA1211" s="134"/>
      <c r="AB1211" s="134"/>
      <c r="AC1211" s="134"/>
      <c r="AD1211" s="139"/>
    </row>
    <row r="1212">
      <c r="A1212" s="143"/>
      <c r="B1212" s="134"/>
      <c r="C1212" s="134"/>
      <c r="D1212" s="134"/>
      <c r="E1212" s="134"/>
      <c r="F1212" s="134"/>
      <c r="G1212" s="134"/>
      <c r="H1212" s="134"/>
      <c r="J1212" s="134"/>
      <c r="K1212" s="135"/>
      <c r="L1212" s="136"/>
      <c r="M1212" s="137" t="str">
        <f>IFERROR(__xludf.DUMMYFUNCTION("IFERROR((FILTER(Data!A:A,Data!D:D=A1212,Data!B:B=$B$1)),"""")"),"")</f>
        <v/>
      </c>
      <c r="T1212" s="52">
        <f>IFERROR(__xludf.DUMMYFUNCTION("((COUNTIF(FILTER(Data!N:N,Data!D:D=A1212,Data!B:B=$B$1),""TRAVERSE"")*15)+(COUNTIF(FILTER(Data!N:N,Data!D:D=A1212,Data!B:B=B$1),""HIGH"")*10)+(COUNTIF(FILTER(Data!N:N,Data!D:D=A1212,Data!B:B=$B$1),""MIDDLE"")*6)+(COUNTIF(FILTER(Data!N:N,Data!D:D=A1212,Dat"&amp;"a!B:B=$B$1),""LOW"")*4))"),0.0)</f>
        <v>0</v>
      </c>
      <c r="V1212" s="138"/>
      <c r="W1212" s="134"/>
      <c r="X1212" s="134"/>
      <c r="Y1212" s="134"/>
      <c r="Z1212" s="134"/>
      <c r="AA1212" s="134"/>
      <c r="AB1212" s="134"/>
      <c r="AC1212" s="134"/>
      <c r="AD1212" s="139"/>
    </row>
    <row r="1213">
      <c r="A1213" s="143"/>
      <c r="B1213" s="134"/>
      <c r="C1213" s="134"/>
      <c r="D1213" s="134"/>
      <c r="E1213" s="134"/>
      <c r="F1213" s="134"/>
      <c r="G1213" s="134"/>
      <c r="H1213" s="134"/>
      <c r="J1213" s="134"/>
      <c r="K1213" s="135"/>
      <c r="L1213" s="136"/>
      <c r="M1213" s="137" t="str">
        <f>IFERROR(__xludf.DUMMYFUNCTION("IFERROR((FILTER(Data!A:A,Data!D:D=A1213,Data!B:B=$B$1)),"""")"),"")</f>
        <v/>
      </c>
      <c r="T1213" s="52">
        <f>IFERROR(__xludf.DUMMYFUNCTION("((COUNTIF(FILTER(Data!N:N,Data!D:D=A1213,Data!B:B=$B$1),""TRAVERSE"")*15)+(COUNTIF(FILTER(Data!N:N,Data!D:D=A1213,Data!B:B=B$1),""HIGH"")*10)+(COUNTIF(FILTER(Data!N:N,Data!D:D=A1213,Data!B:B=$B$1),""MIDDLE"")*6)+(COUNTIF(FILTER(Data!N:N,Data!D:D=A1213,Dat"&amp;"a!B:B=$B$1),""LOW"")*4))"),0.0)</f>
        <v>0</v>
      </c>
      <c r="V1213" s="138"/>
      <c r="W1213" s="134"/>
      <c r="X1213" s="134"/>
      <c r="Y1213" s="134"/>
      <c r="Z1213" s="134"/>
      <c r="AA1213" s="134"/>
      <c r="AB1213" s="134"/>
      <c r="AC1213" s="134"/>
      <c r="AD1213" s="139"/>
    </row>
    <row r="1214">
      <c r="A1214" s="143"/>
      <c r="B1214" s="134"/>
      <c r="C1214" s="134"/>
      <c r="D1214" s="134"/>
      <c r="E1214" s="134"/>
      <c r="F1214" s="134"/>
      <c r="G1214" s="134"/>
      <c r="H1214" s="134"/>
      <c r="J1214" s="134"/>
      <c r="K1214" s="135"/>
      <c r="L1214" s="136"/>
      <c r="M1214" s="137" t="str">
        <f>IFERROR(__xludf.DUMMYFUNCTION("IFERROR((FILTER(Data!A:A,Data!D:D=A1214,Data!B:B=$B$1)),"""")"),"")</f>
        <v/>
      </c>
      <c r="T1214" s="52">
        <f>IFERROR(__xludf.DUMMYFUNCTION("((COUNTIF(FILTER(Data!N:N,Data!D:D=A1214,Data!B:B=$B$1),""TRAVERSE"")*15)+(COUNTIF(FILTER(Data!N:N,Data!D:D=A1214,Data!B:B=B$1),""HIGH"")*10)+(COUNTIF(FILTER(Data!N:N,Data!D:D=A1214,Data!B:B=$B$1),""MIDDLE"")*6)+(COUNTIF(FILTER(Data!N:N,Data!D:D=A1214,Dat"&amp;"a!B:B=$B$1),""LOW"")*4))"),0.0)</f>
        <v>0</v>
      </c>
      <c r="V1214" s="138"/>
      <c r="W1214" s="134"/>
      <c r="X1214" s="134"/>
      <c r="Y1214" s="134"/>
      <c r="Z1214" s="134"/>
      <c r="AA1214" s="134"/>
      <c r="AB1214" s="134"/>
      <c r="AC1214" s="134"/>
      <c r="AD1214" s="139"/>
    </row>
    <row r="1215">
      <c r="A1215" s="143"/>
      <c r="B1215" s="134"/>
      <c r="C1215" s="134"/>
      <c r="D1215" s="134"/>
      <c r="E1215" s="134"/>
      <c r="F1215" s="134"/>
      <c r="G1215" s="134"/>
      <c r="H1215" s="134"/>
      <c r="J1215" s="134"/>
      <c r="K1215" s="135"/>
      <c r="L1215" s="136"/>
      <c r="M1215" s="137" t="str">
        <f>IFERROR(__xludf.DUMMYFUNCTION("IFERROR((FILTER(Data!A:A,Data!D:D=A1215,Data!B:B=$B$1)),"""")"),"")</f>
        <v/>
      </c>
      <c r="T1215" s="52">
        <f>IFERROR(__xludf.DUMMYFUNCTION("((COUNTIF(FILTER(Data!N:N,Data!D:D=A1215,Data!B:B=$B$1),""TRAVERSE"")*15)+(COUNTIF(FILTER(Data!N:N,Data!D:D=A1215,Data!B:B=B$1),""HIGH"")*10)+(COUNTIF(FILTER(Data!N:N,Data!D:D=A1215,Data!B:B=$B$1),""MIDDLE"")*6)+(COUNTIF(FILTER(Data!N:N,Data!D:D=A1215,Dat"&amp;"a!B:B=$B$1),""LOW"")*4))"),0.0)</f>
        <v>0</v>
      </c>
      <c r="V1215" s="138"/>
      <c r="W1215" s="134"/>
      <c r="X1215" s="134"/>
      <c r="Y1215" s="134"/>
      <c r="Z1215" s="134"/>
      <c r="AA1215" s="134"/>
      <c r="AB1215" s="134"/>
      <c r="AC1215" s="134"/>
      <c r="AD1215" s="139"/>
    </row>
    <row r="1216">
      <c r="A1216" s="143"/>
      <c r="B1216" s="134"/>
      <c r="C1216" s="134"/>
      <c r="D1216" s="134"/>
      <c r="E1216" s="134"/>
      <c r="F1216" s="134"/>
      <c r="G1216" s="134"/>
      <c r="H1216" s="134"/>
      <c r="J1216" s="134"/>
      <c r="K1216" s="135"/>
      <c r="L1216" s="136"/>
      <c r="M1216" s="137" t="str">
        <f>IFERROR(__xludf.DUMMYFUNCTION("IFERROR((FILTER(Data!A:A,Data!D:D=A1216,Data!B:B=$B$1)),"""")"),"")</f>
        <v/>
      </c>
      <c r="T1216" s="52">
        <f>IFERROR(__xludf.DUMMYFUNCTION("((COUNTIF(FILTER(Data!N:N,Data!D:D=A1216,Data!B:B=$B$1),""TRAVERSE"")*15)+(COUNTIF(FILTER(Data!N:N,Data!D:D=A1216,Data!B:B=B$1),""HIGH"")*10)+(COUNTIF(FILTER(Data!N:N,Data!D:D=A1216,Data!B:B=$B$1),""MIDDLE"")*6)+(COUNTIF(FILTER(Data!N:N,Data!D:D=A1216,Dat"&amp;"a!B:B=$B$1),""LOW"")*4))"),0.0)</f>
        <v>0</v>
      </c>
      <c r="V1216" s="138"/>
      <c r="W1216" s="134"/>
      <c r="X1216" s="134"/>
      <c r="Y1216" s="134"/>
      <c r="Z1216" s="134"/>
      <c r="AA1216" s="134"/>
      <c r="AB1216" s="134"/>
      <c r="AC1216" s="134"/>
      <c r="AD1216" s="139"/>
    </row>
    <row r="1217">
      <c r="A1217" s="143"/>
      <c r="B1217" s="134"/>
      <c r="C1217" s="134"/>
      <c r="D1217" s="134"/>
      <c r="E1217" s="134"/>
      <c r="F1217" s="134"/>
      <c r="G1217" s="134"/>
      <c r="H1217" s="134"/>
      <c r="J1217" s="134"/>
      <c r="K1217" s="135"/>
      <c r="L1217" s="136"/>
      <c r="M1217" s="137" t="str">
        <f>IFERROR(__xludf.DUMMYFUNCTION("IFERROR((FILTER(Data!A:A,Data!D:D=A1217,Data!B:B=$B$1)),"""")"),"")</f>
        <v/>
      </c>
      <c r="T1217" s="52">
        <f>IFERROR(__xludf.DUMMYFUNCTION("((COUNTIF(FILTER(Data!N:N,Data!D:D=A1217,Data!B:B=$B$1),""TRAVERSE"")*15)+(COUNTIF(FILTER(Data!N:N,Data!D:D=A1217,Data!B:B=B$1),""HIGH"")*10)+(COUNTIF(FILTER(Data!N:N,Data!D:D=A1217,Data!B:B=$B$1),""MIDDLE"")*6)+(COUNTIF(FILTER(Data!N:N,Data!D:D=A1217,Dat"&amp;"a!B:B=$B$1),""LOW"")*4))"),0.0)</f>
        <v>0</v>
      </c>
      <c r="V1217" s="138"/>
      <c r="W1217" s="134"/>
      <c r="X1217" s="134"/>
      <c r="Y1217" s="134"/>
      <c r="Z1217" s="134"/>
      <c r="AA1217" s="134"/>
      <c r="AB1217" s="134"/>
      <c r="AC1217" s="134"/>
      <c r="AD1217" s="139"/>
    </row>
    <row r="1218">
      <c r="A1218" s="143"/>
      <c r="B1218" s="134"/>
      <c r="C1218" s="134"/>
      <c r="D1218" s="134"/>
      <c r="E1218" s="134"/>
      <c r="F1218" s="134"/>
      <c r="G1218" s="134"/>
      <c r="H1218" s="134"/>
      <c r="J1218" s="134"/>
      <c r="K1218" s="135"/>
      <c r="L1218" s="136"/>
      <c r="M1218" s="137" t="str">
        <f>IFERROR(__xludf.DUMMYFUNCTION("IFERROR((FILTER(Data!A:A,Data!D:D=A1218,Data!B:B=$B$1)),"""")"),"")</f>
        <v/>
      </c>
      <c r="T1218" s="52">
        <f>IFERROR(__xludf.DUMMYFUNCTION("((COUNTIF(FILTER(Data!N:N,Data!D:D=A1218,Data!B:B=$B$1),""TRAVERSE"")*15)+(COUNTIF(FILTER(Data!N:N,Data!D:D=A1218,Data!B:B=B$1),""HIGH"")*10)+(COUNTIF(FILTER(Data!N:N,Data!D:D=A1218,Data!B:B=$B$1),""MIDDLE"")*6)+(COUNTIF(FILTER(Data!N:N,Data!D:D=A1218,Dat"&amp;"a!B:B=$B$1),""LOW"")*4))"),0.0)</f>
        <v>0</v>
      </c>
      <c r="V1218" s="138"/>
      <c r="W1218" s="134"/>
      <c r="X1218" s="134"/>
      <c r="Y1218" s="134"/>
      <c r="Z1218" s="134"/>
      <c r="AA1218" s="134"/>
      <c r="AB1218" s="134"/>
      <c r="AC1218" s="134"/>
      <c r="AD1218" s="139"/>
    </row>
    <row r="1219">
      <c r="A1219" s="143"/>
      <c r="B1219" s="134"/>
      <c r="C1219" s="134"/>
      <c r="D1219" s="134"/>
      <c r="E1219" s="134"/>
      <c r="F1219" s="134"/>
      <c r="G1219" s="134"/>
      <c r="H1219" s="134"/>
      <c r="J1219" s="134"/>
      <c r="K1219" s="135"/>
      <c r="L1219" s="136"/>
      <c r="M1219" s="137" t="str">
        <f>IFERROR(__xludf.DUMMYFUNCTION("IFERROR((FILTER(Data!A:A,Data!D:D=A1219,Data!B:B=$B$1)),"""")"),"")</f>
        <v/>
      </c>
      <c r="T1219" s="52">
        <f>IFERROR(__xludf.DUMMYFUNCTION("((COUNTIF(FILTER(Data!N:N,Data!D:D=A1219,Data!B:B=$B$1),""TRAVERSE"")*15)+(COUNTIF(FILTER(Data!N:N,Data!D:D=A1219,Data!B:B=B$1),""HIGH"")*10)+(COUNTIF(FILTER(Data!N:N,Data!D:D=A1219,Data!B:B=$B$1),""MIDDLE"")*6)+(COUNTIF(FILTER(Data!N:N,Data!D:D=A1219,Dat"&amp;"a!B:B=$B$1),""LOW"")*4))"),0.0)</f>
        <v>0</v>
      </c>
      <c r="V1219" s="138"/>
      <c r="W1219" s="134"/>
      <c r="X1219" s="134"/>
      <c r="Y1219" s="134"/>
      <c r="Z1219" s="134"/>
      <c r="AA1219" s="134"/>
      <c r="AB1219" s="134"/>
      <c r="AC1219" s="134"/>
      <c r="AD1219" s="139"/>
    </row>
    <row r="1220">
      <c r="A1220" s="143"/>
      <c r="B1220" s="134"/>
      <c r="C1220" s="134"/>
      <c r="D1220" s="134"/>
      <c r="E1220" s="134"/>
      <c r="F1220" s="134"/>
      <c r="G1220" s="134"/>
      <c r="H1220" s="134"/>
      <c r="J1220" s="134"/>
      <c r="K1220" s="135"/>
      <c r="L1220" s="136"/>
      <c r="M1220" s="137" t="str">
        <f>IFERROR(__xludf.DUMMYFUNCTION("IFERROR((FILTER(Data!A:A,Data!D:D=A1220,Data!B:B=$B$1)),"""")"),"")</f>
        <v/>
      </c>
      <c r="T1220" s="52">
        <f>IFERROR(__xludf.DUMMYFUNCTION("((COUNTIF(FILTER(Data!N:N,Data!D:D=A1220,Data!B:B=$B$1),""TRAVERSE"")*15)+(COUNTIF(FILTER(Data!N:N,Data!D:D=A1220,Data!B:B=B$1),""HIGH"")*10)+(COUNTIF(FILTER(Data!N:N,Data!D:D=A1220,Data!B:B=$B$1),""MIDDLE"")*6)+(COUNTIF(FILTER(Data!N:N,Data!D:D=A1220,Dat"&amp;"a!B:B=$B$1),""LOW"")*4))"),0.0)</f>
        <v>0</v>
      </c>
      <c r="V1220" s="138"/>
      <c r="W1220" s="134"/>
      <c r="X1220" s="134"/>
      <c r="Y1220" s="134"/>
      <c r="Z1220" s="134"/>
      <c r="AA1220" s="134"/>
      <c r="AB1220" s="134"/>
      <c r="AC1220" s="134"/>
      <c r="AD1220" s="139"/>
    </row>
    <row r="1221">
      <c r="A1221" s="143"/>
      <c r="B1221" s="134"/>
      <c r="C1221" s="134"/>
      <c r="D1221" s="134"/>
      <c r="E1221" s="134"/>
      <c r="F1221" s="134"/>
      <c r="G1221" s="134"/>
      <c r="H1221" s="134"/>
      <c r="J1221" s="134"/>
      <c r="K1221" s="135"/>
      <c r="L1221" s="136"/>
      <c r="M1221" s="137" t="str">
        <f>IFERROR(__xludf.DUMMYFUNCTION("IFERROR((FILTER(Data!A:A,Data!D:D=A1221,Data!B:B=$B$1)),"""")"),"")</f>
        <v/>
      </c>
      <c r="T1221" s="52">
        <f>IFERROR(__xludf.DUMMYFUNCTION("((COUNTIF(FILTER(Data!N:N,Data!D:D=A1221,Data!B:B=$B$1),""TRAVERSE"")*15)+(COUNTIF(FILTER(Data!N:N,Data!D:D=A1221,Data!B:B=B$1),""HIGH"")*10)+(COUNTIF(FILTER(Data!N:N,Data!D:D=A1221,Data!B:B=$B$1),""MIDDLE"")*6)+(COUNTIF(FILTER(Data!N:N,Data!D:D=A1221,Dat"&amp;"a!B:B=$B$1),""LOW"")*4))"),0.0)</f>
        <v>0</v>
      </c>
      <c r="V1221" s="138"/>
      <c r="W1221" s="134"/>
      <c r="X1221" s="134"/>
      <c r="Y1221" s="134"/>
      <c r="Z1221" s="134"/>
      <c r="AA1221" s="134"/>
      <c r="AB1221" s="134"/>
      <c r="AC1221" s="134"/>
      <c r="AD1221" s="139"/>
    </row>
    <row r="1222">
      <c r="A1222" s="143"/>
      <c r="B1222" s="134"/>
      <c r="C1222" s="134"/>
      <c r="D1222" s="134"/>
      <c r="E1222" s="134"/>
      <c r="F1222" s="134"/>
      <c r="G1222" s="134"/>
      <c r="H1222" s="134"/>
      <c r="J1222" s="134"/>
      <c r="K1222" s="135"/>
      <c r="L1222" s="136"/>
      <c r="M1222" s="137" t="str">
        <f>IFERROR(__xludf.DUMMYFUNCTION("IFERROR((FILTER(Data!A:A,Data!D:D=A1222,Data!B:B=$B$1)),"""")"),"")</f>
        <v/>
      </c>
      <c r="T1222" s="52">
        <f>IFERROR(__xludf.DUMMYFUNCTION("((COUNTIF(FILTER(Data!N:N,Data!D:D=A1222,Data!B:B=$B$1),""TRAVERSE"")*15)+(COUNTIF(FILTER(Data!N:N,Data!D:D=A1222,Data!B:B=B$1),""HIGH"")*10)+(COUNTIF(FILTER(Data!N:N,Data!D:D=A1222,Data!B:B=$B$1),""MIDDLE"")*6)+(COUNTIF(FILTER(Data!N:N,Data!D:D=A1222,Dat"&amp;"a!B:B=$B$1),""LOW"")*4))"),0.0)</f>
        <v>0</v>
      </c>
      <c r="V1222" s="138"/>
      <c r="W1222" s="134"/>
      <c r="X1222" s="134"/>
      <c r="Y1222" s="134"/>
      <c r="Z1222" s="134"/>
      <c r="AA1222" s="134"/>
      <c r="AB1222" s="134"/>
      <c r="AC1222" s="134"/>
      <c r="AD1222" s="139"/>
    </row>
    <row r="1223">
      <c r="A1223" s="143"/>
      <c r="B1223" s="134"/>
      <c r="C1223" s="134"/>
      <c r="D1223" s="134"/>
      <c r="E1223" s="134"/>
      <c r="F1223" s="134"/>
      <c r="G1223" s="134"/>
      <c r="H1223" s="134"/>
      <c r="J1223" s="134"/>
      <c r="K1223" s="135"/>
      <c r="L1223" s="136"/>
      <c r="M1223" s="137" t="str">
        <f>IFERROR(__xludf.DUMMYFUNCTION("IFERROR((FILTER(Data!A:A,Data!D:D=A1223,Data!B:B=$B$1)),"""")"),"")</f>
        <v/>
      </c>
      <c r="T1223" s="52">
        <f>IFERROR(__xludf.DUMMYFUNCTION("((COUNTIF(FILTER(Data!N:N,Data!D:D=A1223,Data!B:B=$B$1),""TRAVERSE"")*15)+(COUNTIF(FILTER(Data!N:N,Data!D:D=A1223,Data!B:B=B$1),""HIGH"")*10)+(COUNTIF(FILTER(Data!N:N,Data!D:D=A1223,Data!B:B=$B$1),""MIDDLE"")*6)+(COUNTIF(FILTER(Data!N:N,Data!D:D=A1223,Dat"&amp;"a!B:B=$B$1),""LOW"")*4))"),0.0)</f>
        <v>0</v>
      </c>
      <c r="V1223" s="138"/>
      <c r="W1223" s="134"/>
      <c r="X1223" s="134"/>
      <c r="Y1223" s="134"/>
      <c r="Z1223" s="134"/>
      <c r="AA1223" s="134"/>
      <c r="AB1223" s="134"/>
      <c r="AC1223" s="134"/>
      <c r="AD1223" s="139"/>
    </row>
    <row r="1224">
      <c r="A1224" s="143"/>
      <c r="B1224" s="134"/>
      <c r="C1224" s="134"/>
      <c r="D1224" s="134"/>
      <c r="E1224" s="134"/>
      <c r="F1224" s="134"/>
      <c r="G1224" s="134"/>
      <c r="H1224" s="134"/>
      <c r="J1224" s="134"/>
      <c r="K1224" s="135"/>
      <c r="L1224" s="136"/>
      <c r="M1224" s="137" t="str">
        <f>IFERROR(__xludf.DUMMYFUNCTION("IFERROR((FILTER(Data!A:A,Data!D:D=A1224,Data!B:B=$B$1)),"""")"),"")</f>
        <v/>
      </c>
      <c r="T1224" s="52">
        <f>IFERROR(__xludf.DUMMYFUNCTION("((COUNTIF(FILTER(Data!N:N,Data!D:D=A1224,Data!B:B=$B$1),""TRAVERSE"")*15)+(COUNTIF(FILTER(Data!N:N,Data!D:D=A1224,Data!B:B=B$1),""HIGH"")*10)+(COUNTIF(FILTER(Data!N:N,Data!D:D=A1224,Data!B:B=$B$1),""MIDDLE"")*6)+(COUNTIF(FILTER(Data!N:N,Data!D:D=A1224,Dat"&amp;"a!B:B=$B$1),""LOW"")*4))"),0.0)</f>
        <v>0</v>
      </c>
      <c r="V1224" s="138"/>
      <c r="W1224" s="134"/>
      <c r="X1224" s="134"/>
      <c r="Y1224" s="134"/>
      <c r="Z1224" s="134"/>
      <c r="AA1224" s="134"/>
      <c r="AB1224" s="134"/>
      <c r="AC1224" s="134"/>
      <c r="AD1224" s="139"/>
    </row>
    <row r="1225">
      <c r="A1225" s="143"/>
      <c r="B1225" s="134"/>
      <c r="C1225" s="134"/>
      <c r="D1225" s="134"/>
      <c r="E1225" s="134"/>
      <c r="F1225" s="134"/>
      <c r="G1225" s="134"/>
      <c r="H1225" s="134"/>
      <c r="J1225" s="134"/>
      <c r="K1225" s="135"/>
      <c r="L1225" s="136"/>
      <c r="M1225" s="137" t="str">
        <f>IFERROR(__xludf.DUMMYFUNCTION("IFERROR((FILTER(Data!A:A,Data!D:D=A1225,Data!B:B=$B$1)),"""")"),"")</f>
        <v/>
      </c>
      <c r="T1225" s="52">
        <f>IFERROR(__xludf.DUMMYFUNCTION("((COUNTIF(FILTER(Data!N:N,Data!D:D=A1225,Data!B:B=$B$1),""TRAVERSE"")*15)+(COUNTIF(FILTER(Data!N:N,Data!D:D=A1225,Data!B:B=B$1),""HIGH"")*10)+(COUNTIF(FILTER(Data!N:N,Data!D:D=A1225,Data!B:B=$B$1),""MIDDLE"")*6)+(COUNTIF(FILTER(Data!N:N,Data!D:D=A1225,Dat"&amp;"a!B:B=$B$1),""LOW"")*4))"),0.0)</f>
        <v>0</v>
      </c>
      <c r="V1225" s="138"/>
      <c r="W1225" s="134"/>
      <c r="X1225" s="134"/>
      <c r="Y1225" s="134"/>
      <c r="Z1225" s="134"/>
      <c r="AA1225" s="134"/>
      <c r="AB1225" s="134"/>
      <c r="AC1225" s="134"/>
      <c r="AD1225" s="139"/>
    </row>
    <row r="1226">
      <c r="A1226" s="143"/>
      <c r="B1226" s="134"/>
      <c r="C1226" s="134"/>
      <c r="D1226" s="134"/>
      <c r="E1226" s="134"/>
      <c r="F1226" s="134"/>
      <c r="G1226" s="134"/>
      <c r="H1226" s="134"/>
      <c r="J1226" s="134"/>
      <c r="K1226" s="135"/>
      <c r="L1226" s="136"/>
      <c r="M1226" s="137" t="str">
        <f>IFERROR(__xludf.DUMMYFUNCTION("IFERROR((FILTER(Data!A:A,Data!D:D=A1226,Data!B:B=$B$1)),"""")"),"")</f>
        <v/>
      </c>
      <c r="T1226" s="52">
        <f>IFERROR(__xludf.DUMMYFUNCTION("((COUNTIF(FILTER(Data!N:N,Data!D:D=A1226,Data!B:B=$B$1),""TRAVERSE"")*15)+(COUNTIF(FILTER(Data!N:N,Data!D:D=A1226,Data!B:B=B$1),""HIGH"")*10)+(COUNTIF(FILTER(Data!N:N,Data!D:D=A1226,Data!B:B=$B$1),""MIDDLE"")*6)+(COUNTIF(FILTER(Data!N:N,Data!D:D=A1226,Dat"&amp;"a!B:B=$B$1),""LOW"")*4))"),0.0)</f>
        <v>0</v>
      </c>
      <c r="V1226" s="138"/>
      <c r="W1226" s="134"/>
      <c r="X1226" s="134"/>
      <c r="Y1226" s="134"/>
      <c r="Z1226" s="134"/>
      <c r="AA1226" s="134"/>
      <c r="AB1226" s="134"/>
      <c r="AC1226" s="134"/>
      <c r="AD1226" s="139"/>
    </row>
    <row r="1227">
      <c r="A1227" s="143"/>
      <c r="B1227" s="134"/>
      <c r="C1227" s="134"/>
      <c r="D1227" s="134"/>
      <c r="E1227" s="134"/>
      <c r="F1227" s="134"/>
      <c r="G1227" s="134"/>
      <c r="H1227" s="134"/>
      <c r="J1227" s="134"/>
      <c r="K1227" s="135"/>
      <c r="L1227" s="136"/>
      <c r="M1227" s="137" t="str">
        <f>IFERROR(__xludf.DUMMYFUNCTION("IFERROR((FILTER(Data!A:A,Data!D:D=A1227,Data!B:B=$B$1)),"""")"),"")</f>
        <v/>
      </c>
      <c r="T1227" s="52">
        <f>IFERROR(__xludf.DUMMYFUNCTION("((COUNTIF(FILTER(Data!N:N,Data!D:D=A1227,Data!B:B=$B$1),""TRAVERSE"")*15)+(COUNTIF(FILTER(Data!N:N,Data!D:D=A1227,Data!B:B=B$1),""HIGH"")*10)+(COUNTIF(FILTER(Data!N:N,Data!D:D=A1227,Data!B:B=$B$1),""MIDDLE"")*6)+(COUNTIF(FILTER(Data!N:N,Data!D:D=A1227,Dat"&amp;"a!B:B=$B$1),""LOW"")*4))"),0.0)</f>
        <v>0</v>
      </c>
      <c r="V1227" s="138"/>
      <c r="W1227" s="134"/>
      <c r="X1227" s="134"/>
      <c r="Y1227" s="134"/>
      <c r="Z1227" s="134"/>
      <c r="AA1227" s="134"/>
      <c r="AB1227" s="134"/>
      <c r="AC1227" s="134"/>
      <c r="AD1227" s="139"/>
    </row>
    <row r="1228">
      <c r="A1228" s="143"/>
      <c r="B1228" s="134"/>
      <c r="C1228" s="134"/>
      <c r="D1228" s="134"/>
      <c r="E1228" s="134"/>
      <c r="F1228" s="134"/>
      <c r="G1228" s="134"/>
      <c r="H1228" s="134"/>
      <c r="J1228" s="134"/>
      <c r="K1228" s="135"/>
      <c r="L1228" s="136"/>
      <c r="M1228" s="137" t="str">
        <f>IFERROR(__xludf.DUMMYFUNCTION("IFERROR((FILTER(Data!A:A,Data!D:D=A1228,Data!B:B=$B$1)),"""")"),"")</f>
        <v/>
      </c>
      <c r="T1228" s="52">
        <f>IFERROR(__xludf.DUMMYFUNCTION("((COUNTIF(FILTER(Data!N:N,Data!D:D=A1228,Data!B:B=$B$1),""TRAVERSE"")*15)+(COUNTIF(FILTER(Data!N:N,Data!D:D=A1228,Data!B:B=B$1),""HIGH"")*10)+(COUNTIF(FILTER(Data!N:N,Data!D:D=A1228,Data!B:B=$B$1),""MIDDLE"")*6)+(COUNTIF(FILTER(Data!N:N,Data!D:D=A1228,Dat"&amp;"a!B:B=$B$1),""LOW"")*4))"),0.0)</f>
        <v>0</v>
      </c>
      <c r="V1228" s="138"/>
      <c r="W1228" s="134"/>
      <c r="X1228" s="134"/>
      <c r="Y1228" s="134"/>
      <c r="Z1228" s="134"/>
      <c r="AA1228" s="134"/>
      <c r="AB1228" s="134"/>
      <c r="AC1228" s="134"/>
      <c r="AD1228" s="139"/>
    </row>
    <row r="1229">
      <c r="A1229" s="143"/>
      <c r="B1229" s="134"/>
      <c r="C1229" s="134"/>
      <c r="D1229" s="134"/>
      <c r="E1229" s="134"/>
      <c r="F1229" s="134"/>
      <c r="G1229" s="134"/>
      <c r="H1229" s="134"/>
      <c r="J1229" s="134"/>
      <c r="K1229" s="135"/>
      <c r="L1229" s="136"/>
      <c r="M1229" s="137" t="str">
        <f>IFERROR(__xludf.DUMMYFUNCTION("IFERROR((FILTER(Data!A:A,Data!D:D=A1229,Data!B:B=$B$1)),"""")"),"")</f>
        <v/>
      </c>
      <c r="T1229" s="52">
        <f>IFERROR(__xludf.DUMMYFUNCTION("((COUNTIF(FILTER(Data!N:N,Data!D:D=A1229,Data!B:B=$B$1),""TRAVERSE"")*15)+(COUNTIF(FILTER(Data!N:N,Data!D:D=A1229,Data!B:B=B$1),""HIGH"")*10)+(COUNTIF(FILTER(Data!N:N,Data!D:D=A1229,Data!B:B=$B$1),""MIDDLE"")*6)+(COUNTIF(FILTER(Data!N:N,Data!D:D=A1229,Dat"&amp;"a!B:B=$B$1),""LOW"")*4))"),0.0)</f>
        <v>0</v>
      </c>
      <c r="V1229" s="138"/>
      <c r="W1229" s="134"/>
      <c r="X1229" s="134"/>
      <c r="Y1229" s="134"/>
      <c r="Z1229" s="134"/>
      <c r="AA1229" s="134"/>
      <c r="AB1229" s="134"/>
      <c r="AC1229" s="134"/>
      <c r="AD1229" s="139"/>
    </row>
    <row r="1230">
      <c r="A1230" s="143"/>
      <c r="B1230" s="134"/>
      <c r="C1230" s="134"/>
      <c r="D1230" s="134"/>
      <c r="E1230" s="134"/>
      <c r="F1230" s="134"/>
      <c r="G1230" s="134"/>
      <c r="H1230" s="134"/>
      <c r="J1230" s="134"/>
      <c r="K1230" s="135"/>
      <c r="L1230" s="136"/>
      <c r="M1230" s="137" t="str">
        <f>IFERROR(__xludf.DUMMYFUNCTION("IFERROR((FILTER(Data!A:A,Data!D:D=A1230,Data!B:B=$B$1)),"""")"),"")</f>
        <v/>
      </c>
      <c r="T1230" s="52">
        <f>IFERROR(__xludf.DUMMYFUNCTION("((COUNTIF(FILTER(Data!N:N,Data!D:D=A1230,Data!B:B=$B$1),""TRAVERSE"")*15)+(COUNTIF(FILTER(Data!N:N,Data!D:D=A1230,Data!B:B=B$1),""HIGH"")*10)+(COUNTIF(FILTER(Data!N:N,Data!D:D=A1230,Data!B:B=$B$1),""MIDDLE"")*6)+(COUNTIF(FILTER(Data!N:N,Data!D:D=A1230,Dat"&amp;"a!B:B=$B$1),""LOW"")*4))"),0.0)</f>
        <v>0</v>
      </c>
      <c r="V1230" s="138"/>
      <c r="W1230" s="134"/>
      <c r="X1230" s="134"/>
      <c r="Y1230" s="134"/>
      <c r="Z1230" s="134"/>
      <c r="AA1230" s="134"/>
      <c r="AB1230" s="134"/>
      <c r="AC1230" s="134"/>
      <c r="AD1230" s="139"/>
    </row>
    <row r="1231">
      <c r="A1231" s="143"/>
      <c r="B1231" s="134"/>
      <c r="C1231" s="134"/>
      <c r="D1231" s="134"/>
      <c r="E1231" s="134"/>
      <c r="F1231" s="134"/>
      <c r="G1231" s="134"/>
      <c r="H1231" s="134"/>
      <c r="J1231" s="134"/>
      <c r="K1231" s="135"/>
      <c r="L1231" s="136"/>
      <c r="M1231" s="137" t="str">
        <f>IFERROR(__xludf.DUMMYFUNCTION("IFERROR((FILTER(Data!A:A,Data!D:D=A1231,Data!B:B=$B$1)),"""")"),"")</f>
        <v/>
      </c>
      <c r="T1231" s="52">
        <f>IFERROR(__xludf.DUMMYFUNCTION("((COUNTIF(FILTER(Data!N:N,Data!D:D=A1231,Data!B:B=$B$1),""TRAVERSE"")*15)+(COUNTIF(FILTER(Data!N:N,Data!D:D=A1231,Data!B:B=B$1),""HIGH"")*10)+(COUNTIF(FILTER(Data!N:N,Data!D:D=A1231,Data!B:B=$B$1),""MIDDLE"")*6)+(COUNTIF(FILTER(Data!N:N,Data!D:D=A1231,Dat"&amp;"a!B:B=$B$1),""LOW"")*4))"),0.0)</f>
        <v>0</v>
      </c>
      <c r="V1231" s="138"/>
      <c r="W1231" s="134"/>
      <c r="X1231" s="134"/>
      <c r="Y1231" s="134"/>
      <c r="Z1231" s="134"/>
      <c r="AA1231" s="134"/>
      <c r="AB1231" s="134"/>
      <c r="AC1231" s="134"/>
      <c r="AD1231" s="139"/>
    </row>
    <row r="1232">
      <c r="A1232" s="143"/>
      <c r="B1232" s="134"/>
      <c r="C1232" s="134"/>
      <c r="D1232" s="134"/>
      <c r="E1232" s="134"/>
      <c r="F1232" s="134"/>
      <c r="G1232" s="134"/>
      <c r="H1232" s="134"/>
      <c r="J1232" s="134"/>
      <c r="K1232" s="135"/>
      <c r="L1232" s="136"/>
      <c r="M1232" s="137" t="str">
        <f>IFERROR(__xludf.DUMMYFUNCTION("IFERROR((FILTER(Data!A:A,Data!D:D=A1232,Data!B:B=$B$1)),"""")"),"")</f>
        <v/>
      </c>
      <c r="T1232" s="52">
        <f>IFERROR(__xludf.DUMMYFUNCTION("((COUNTIF(FILTER(Data!N:N,Data!D:D=A1232,Data!B:B=$B$1),""TRAVERSE"")*15)+(COUNTIF(FILTER(Data!N:N,Data!D:D=A1232,Data!B:B=B$1),""HIGH"")*10)+(COUNTIF(FILTER(Data!N:N,Data!D:D=A1232,Data!B:B=$B$1),""MIDDLE"")*6)+(COUNTIF(FILTER(Data!N:N,Data!D:D=A1232,Dat"&amp;"a!B:B=$B$1),""LOW"")*4))"),0.0)</f>
        <v>0</v>
      </c>
      <c r="V1232" s="138"/>
      <c r="W1232" s="134"/>
      <c r="X1232" s="134"/>
      <c r="Y1232" s="134"/>
      <c r="Z1232" s="134"/>
      <c r="AA1232" s="134"/>
      <c r="AB1232" s="134"/>
      <c r="AC1232" s="134"/>
      <c r="AD1232" s="139"/>
    </row>
    <row r="1233">
      <c r="A1233" s="143"/>
      <c r="B1233" s="134"/>
      <c r="C1233" s="134"/>
      <c r="D1233" s="134"/>
      <c r="E1233" s="134"/>
      <c r="F1233" s="134"/>
      <c r="G1233" s="134"/>
      <c r="H1233" s="134"/>
      <c r="J1233" s="134"/>
      <c r="K1233" s="135"/>
      <c r="L1233" s="136"/>
      <c r="M1233" s="137" t="str">
        <f>IFERROR(__xludf.DUMMYFUNCTION("IFERROR((FILTER(Data!A:A,Data!D:D=A1233,Data!B:B=$B$1)),"""")"),"")</f>
        <v/>
      </c>
      <c r="T1233" s="52">
        <f>IFERROR(__xludf.DUMMYFUNCTION("((COUNTIF(FILTER(Data!N:N,Data!D:D=A1233,Data!B:B=$B$1),""TRAVERSE"")*15)+(COUNTIF(FILTER(Data!N:N,Data!D:D=A1233,Data!B:B=B$1),""HIGH"")*10)+(COUNTIF(FILTER(Data!N:N,Data!D:D=A1233,Data!B:B=$B$1),""MIDDLE"")*6)+(COUNTIF(FILTER(Data!N:N,Data!D:D=A1233,Dat"&amp;"a!B:B=$B$1),""LOW"")*4))"),0.0)</f>
        <v>0</v>
      </c>
      <c r="V1233" s="138"/>
      <c r="W1233" s="134"/>
      <c r="X1233" s="134"/>
      <c r="Y1233" s="134"/>
      <c r="Z1233" s="134"/>
      <c r="AA1233" s="134"/>
      <c r="AB1233" s="134"/>
      <c r="AC1233" s="134"/>
      <c r="AD1233" s="139"/>
    </row>
    <row r="1234">
      <c r="A1234" s="143"/>
      <c r="B1234" s="134"/>
      <c r="C1234" s="134"/>
      <c r="D1234" s="134"/>
      <c r="E1234" s="134"/>
      <c r="F1234" s="134"/>
      <c r="G1234" s="134"/>
      <c r="H1234" s="134"/>
      <c r="J1234" s="134"/>
      <c r="K1234" s="135"/>
      <c r="L1234" s="136"/>
      <c r="M1234" s="137" t="str">
        <f>IFERROR(__xludf.DUMMYFUNCTION("IFERROR((FILTER(Data!A:A,Data!D:D=A1234,Data!B:B=$B$1)),"""")"),"")</f>
        <v/>
      </c>
      <c r="T1234" s="52">
        <f>IFERROR(__xludf.DUMMYFUNCTION("((COUNTIF(FILTER(Data!N:N,Data!D:D=A1234,Data!B:B=$B$1),""TRAVERSE"")*15)+(COUNTIF(FILTER(Data!N:N,Data!D:D=A1234,Data!B:B=B$1),""HIGH"")*10)+(COUNTIF(FILTER(Data!N:N,Data!D:D=A1234,Data!B:B=$B$1),""MIDDLE"")*6)+(COUNTIF(FILTER(Data!N:N,Data!D:D=A1234,Dat"&amp;"a!B:B=$B$1),""LOW"")*4))"),0.0)</f>
        <v>0</v>
      </c>
      <c r="V1234" s="138"/>
      <c r="W1234" s="134"/>
      <c r="X1234" s="134"/>
      <c r="Y1234" s="134"/>
      <c r="Z1234" s="134"/>
      <c r="AA1234" s="134"/>
      <c r="AB1234" s="134"/>
      <c r="AC1234" s="134"/>
      <c r="AD1234" s="139"/>
    </row>
    <row r="1235">
      <c r="A1235" s="143"/>
      <c r="B1235" s="134"/>
      <c r="C1235" s="134"/>
      <c r="D1235" s="134"/>
      <c r="E1235" s="134"/>
      <c r="F1235" s="134"/>
      <c r="G1235" s="134"/>
      <c r="H1235" s="134"/>
      <c r="J1235" s="134"/>
      <c r="K1235" s="135"/>
      <c r="L1235" s="136"/>
      <c r="M1235" s="137" t="str">
        <f>IFERROR(__xludf.DUMMYFUNCTION("IFERROR((FILTER(Data!A:A,Data!D:D=A1235,Data!B:B=$B$1)),"""")"),"")</f>
        <v/>
      </c>
      <c r="T1235" s="52">
        <f>IFERROR(__xludf.DUMMYFUNCTION("((COUNTIF(FILTER(Data!N:N,Data!D:D=A1235,Data!B:B=$B$1),""TRAVERSE"")*15)+(COUNTIF(FILTER(Data!N:N,Data!D:D=A1235,Data!B:B=B$1),""HIGH"")*10)+(COUNTIF(FILTER(Data!N:N,Data!D:D=A1235,Data!B:B=$B$1),""MIDDLE"")*6)+(COUNTIF(FILTER(Data!N:N,Data!D:D=A1235,Dat"&amp;"a!B:B=$B$1),""LOW"")*4))"),0.0)</f>
        <v>0</v>
      </c>
      <c r="V1235" s="138"/>
      <c r="W1235" s="134"/>
      <c r="X1235" s="134"/>
      <c r="Y1235" s="134"/>
      <c r="Z1235" s="134"/>
      <c r="AA1235" s="134"/>
      <c r="AB1235" s="134"/>
      <c r="AC1235" s="134"/>
      <c r="AD1235" s="139"/>
    </row>
    <row r="1236">
      <c r="A1236" s="143"/>
      <c r="B1236" s="134"/>
      <c r="C1236" s="134"/>
      <c r="D1236" s="134"/>
      <c r="E1236" s="134"/>
      <c r="F1236" s="134"/>
      <c r="G1236" s="134"/>
      <c r="H1236" s="134"/>
      <c r="J1236" s="134"/>
      <c r="K1236" s="135"/>
      <c r="L1236" s="136"/>
      <c r="M1236" s="137" t="str">
        <f>IFERROR(__xludf.DUMMYFUNCTION("IFERROR((FILTER(Data!A:A,Data!D:D=A1236,Data!B:B=$B$1)),"""")"),"")</f>
        <v/>
      </c>
      <c r="T1236" s="52">
        <f>IFERROR(__xludf.DUMMYFUNCTION("((COUNTIF(FILTER(Data!N:N,Data!D:D=A1236,Data!B:B=$B$1),""TRAVERSE"")*15)+(COUNTIF(FILTER(Data!N:N,Data!D:D=A1236,Data!B:B=B$1),""HIGH"")*10)+(COUNTIF(FILTER(Data!N:N,Data!D:D=A1236,Data!B:B=$B$1),""MIDDLE"")*6)+(COUNTIF(FILTER(Data!N:N,Data!D:D=A1236,Dat"&amp;"a!B:B=$B$1),""LOW"")*4))"),0.0)</f>
        <v>0</v>
      </c>
      <c r="V1236" s="138"/>
      <c r="W1236" s="134"/>
      <c r="X1236" s="134"/>
      <c r="Y1236" s="134"/>
      <c r="Z1236" s="134"/>
      <c r="AA1236" s="134"/>
      <c r="AB1236" s="134"/>
      <c r="AC1236" s="134"/>
      <c r="AD1236" s="139"/>
    </row>
    <row r="1237">
      <c r="A1237" s="143"/>
      <c r="B1237" s="134"/>
      <c r="C1237" s="134"/>
      <c r="D1237" s="134"/>
      <c r="E1237" s="134"/>
      <c r="F1237" s="134"/>
      <c r="G1237" s="134"/>
      <c r="H1237" s="134"/>
      <c r="J1237" s="134"/>
      <c r="K1237" s="135"/>
      <c r="L1237" s="136"/>
      <c r="M1237" s="137" t="str">
        <f>IFERROR(__xludf.DUMMYFUNCTION("IFERROR((FILTER(Data!A:A,Data!D:D=A1237,Data!B:B=$B$1)),"""")"),"")</f>
        <v/>
      </c>
      <c r="T1237" s="52">
        <f>IFERROR(__xludf.DUMMYFUNCTION("((COUNTIF(FILTER(Data!N:N,Data!D:D=A1237,Data!B:B=$B$1),""TRAVERSE"")*15)+(COUNTIF(FILTER(Data!N:N,Data!D:D=A1237,Data!B:B=B$1),""HIGH"")*10)+(COUNTIF(FILTER(Data!N:N,Data!D:D=A1237,Data!B:B=$B$1),""MIDDLE"")*6)+(COUNTIF(FILTER(Data!N:N,Data!D:D=A1237,Dat"&amp;"a!B:B=$B$1),""LOW"")*4))"),0.0)</f>
        <v>0</v>
      </c>
      <c r="V1237" s="138"/>
      <c r="W1237" s="134"/>
      <c r="X1237" s="134"/>
      <c r="Y1237" s="134"/>
      <c r="Z1237" s="134"/>
      <c r="AA1237" s="134"/>
      <c r="AB1237" s="134"/>
      <c r="AC1237" s="134"/>
      <c r="AD1237" s="139"/>
    </row>
    <row r="1238">
      <c r="A1238" s="143"/>
      <c r="B1238" s="134"/>
      <c r="C1238" s="134"/>
      <c r="D1238" s="134"/>
      <c r="E1238" s="134"/>
      <c r="F1238" s="134"/>
      <c r="G1238" s="134"/>
      <c r="H1238" s="134"/>
      <c r="J1238" s="134"/>
      <c r="K1238" s="135"/>
      <c r="L1238" s="136"/>
      <c r="M1238" s="137" t="str">
        <f>IFERROR(__xludf.DUMMYFUNCTION("IFERROR((FILTER(Data!A:A,Data!D:D=A1238,Data!B:B=$B$1)),"""")"),"")</f>
        <v/>
      </c>
      <c r="T1238" s="52">
        <f>IFERROR(__xludf.DUMMYFUNCTION("((COUNTIF(FILTER(Data!N:N,Data!D:D=A1238,Data!B:B=$B$1),""TRAVERSE"")*15)+(COUNTIF(FILTER(Data!N:N,Data!D:D=A1238,Data!B:B=B$1),""HIGH"")*10)+(COUNTIF(FILTER(Data!N:N,Data!D:D=A1238,Data!B:B=$B$1),""MIDDLE"")*6)+(COUNTIF(FILTER(Data!N:N,Data!D:D=A1238,Dat"&amp;"a!B:B=$B$1),""LOW"")*4))"),0.0)</f>
        <v>0</v>
      </c>
      <c r="V1238" s="138"/>
      <c r="W1238" s="134"/>
      <c r="X1238" s="134"/>
      <c r="Y1238" s="134"/>
      <c r="Z1238" s="134"/>
      <c r="AA1238" s="134"/>
      <c r="AB1238" s="134"/>
      <c r="AC1238" s="134"/>
      <c r="AD1238" s="139"/>
    </row>
    <row r="1239">
      <c r="A1239" s="143"/>
      <c r="B1239" s="134"/>
      <c r="C1239" s="134"/>
      <c r="D1239" s="134"/>
      <c r="E1239" s="134"/>
      <c r="F1239" s="134"/>
      <c r="G1239" s="134"/>
      <c r="H1239" s="134"/>
      <c r="J1239" s="134"/>
      <c r="K1239" s="135"/>
      <c r="L1239" s="136"/>
      <c r="M1239" s="137" t="str">
        <f>IFERROR(__xludf.DUMMYFUNCTION("IFERROR((FILTER(Data!A:A,Data!D:D=A1239,Data!B:B=$B$1)),"""")"),"")</f>
        <v/>
      </c>
      <c r="T1239" s="52">
        <f>IFERROR(__xludf.DUMMYFUNCTION("((COUNTIF(FILTER(Data!N:N,Data!D:D=A1239,Data!B:B=$B$1),""TRAVERSE"")*15)+(COUNTIF(FILTER(Data!N:N,Data!D:D=A1239,Data!B:B=B$1),""HIGH"")*10)+(COUNTIF(FILTER(Data!N:N,Data!D:D=A1239,Data!B:B=$B$1),""MIDDLE"")*6)+(COUNTIF(FILTER(Data!N:N,Data!D:D=A1239,Dat"&amp;"a!B:B=$B$1),""LOW"")*4))"),0.0)</f>
        <v>0</v>
      </c>
      <c r="V1239" s="138"/>
      <c r="W1239" s="134"/>
      <c r="X1239" s="134"/>
      <c r="Y1239" s="134"/>
      <c r="Z1239" s="134"/>
      <c r="AA1239" s="134"/>
      <c r="AB1239" s="134"/>
      <c r="AC1239" s="134"/>
      <c r="AD1239" s="139"/>
    </row>
    <row r="1240">
      <c r="A1240" s="143"/>
      <c r="B1240" s="134"/>
      <c r="C1240" s="134"/>
      <c r="D1240" s="134"/>
      <c r="E1240" s="134"/>
      <c r="F1240" s="134"/>
      <c r="G1240" s="134"/>
      <c r="H1240" s="134"/>
      <c r="J1240" s="134"/>
      <c r="K1240" s="135"/>
      <c r="L1240" s="136"/>
      <c r="M1240" s="137" t="str">
        <f>IFERROR(__xludf.DUMMYFUNCTION("IFERROR((FILTER(Data!A:A,Data!D:D=A1240,Data!B:B=$B$1)),"""")"),"")</f>
        <v/>
      </c>
      <c r="T1240" s="52">
        <f>IFERROR(__xludf.DUMMYFUNCTION("((COUNTIF(FILTER(Data!N:N,Data!D:D=A1240,Data!B:B=$B$1),""TRAVERSE"")*15)+(COUNTIF(FILTER(Data!N:N,Data!D:D=A1240,Data!B:B=B$1),""HIGH"")*10)+(COUNTIF(FILTER(Data!N:N,Data!D:D=A1240,Data!B:B=$B$1),""MIDDLE"")*6)+(COUNTIF(FILTER(Data!N:N,Data!D:D=A1240,Dat"&amp;"a!B:B=$B$1),""LOW"")*4))"),0.0)</f>
        <v>0</v>
      </c>
      <c r="V1240" s="138"/>
      <c r="W1240" s="134"/>
      <c r="X1240" s="134"/>
      <c r="Y1240" s="134"/>
      <c r="Z1240" s="134"/>
      <c r="AA1240" s="134"/>
      <c r="AB1240" s="134"/>
      <c r="AC1240" s="134"/>
      <c r="AD1240" s="139"/>
    </row>
    <row r="1241">
      <c r="A1241" s="143"/>
      <c r="B1241" s="134"/>
      <c r="C1241" s="134"/>
      <c r="D1241" s="134"/>
      <c r="E1241" s="134"/>
      <c r="F1241" s="134"/>
      <c r="G1241" s="134"/>
      <c r="H1241" s="134"/>
      <c r="J1241" s="134"/>
      <c r="K1241" s="135"/>
      <c r="L1241" s="136"/>
      <c r="M1241" s="137" t="str">
        <f>IFERROR(__xludf.DUMMYFUNCTION("IFERROR((FILTER(Data!A:A,Data!D:D=A1241,Data!B:B=$B$1)),"""")"),"")</f>
        <v/>
      </c>
      <c r="T1241" s="52">
        <f>IFERROR(__xludf.DUMMYFUNCTION("((COUNTIF(FILTER(Data!N:N,Data!D:D=A1241,Data!B:B=$B$1),""TRAVERSE"")*15)+(COUNTIF(FILTER(Data!N:N,Data!D:D=A1241,Data!B:B=B$1),""HIGH"")*10)+(COUNTIF(FILTER(Data!N:N,Data!D:D=A1241,Data!B:B=$B$1),""MIDDLE"")*6)+(COUNTIF(FILTER(Data!N:N,Data!D:D=A1241,Dat"&amp;"a!B:B=$B$1),""LOW"")*4))"),0.0)</f>
        <v>0</v>
      </c>
      <c r="V1241" s="138"/>
      <c r="W1241" s="134"/>
      <c r="X1241" s="134"/>
      <c r="Y1241" s="134"/>
      <c r="Z1241" s="134"/>
      <c r="AA1241" s="134"/>
      <c r="AB1241" s="134"/>
      <c r="AC1241" s="134"/>
      <c r="AD1241" s="139"/>
    </row>
    <row r="1242">
      <c r="A1242" s="143"/>
      <c r="B1242" s="134"/>
      <c r="C1242" s="134"/>
      <c r="D1242" s="134"/>
      <c r="E1242" s="134"/>
      <c r="F1242" s="134"/>
      <c r="G1242" s="134"/>
      <c r="H1242" s="134"/>
      <c r="J1242" s="134"/>
      <c r="K1242" s="135"/>
      <c r="L1242" s="136"/>
      <c r="M1242" s="137" t="str">
        <f>IFERROR(__xludf.DUMMYFUNCTION("IFERROR((FILTER(Data!A:A,Data!D:D=A1242,Data!B:B=$B$1)),"""")"),"")</f>
        <v/>
      </c>
      <c r="T1242" s="52">
        <f>IFERROR(__xludf.DUMMYFUNCTION("((COUNTIF(FILTER(Data!N:N,Data!D:D=A1242,Data!B:B=$B$1),""TRAVERSE"")*15)+(COUNTIF(FILTER(Data!N:N,Data!D:D=A1242,Data!B:B=B$1),""HIGH"")*10)+(COUNTIF(FILTER(Data!N:N,Data!D:D=A1242,Data!B:B=$B$1),""MIDDLE"")*6)+(COUNTIF(FILTER(Data!N:N,Data!D:D=A1242,Dat"&amp;"a!B:B=$B$1),""LOW"")*4))"),0.0)</f>
        <v>0</v>
      </c>
      <c r="V1242" s="138"/>
      <c r="W1242" s="134"/>
      <c r="X1242" s="134"/>
      <c r="Y1242" s="134"/>
      <c r="Z1242" s="134"/>
      <c r="AA1242" s="134"/>
      <c r="AB1242" s="134"/>
      <c r="AC1242" s="134"/>
      <c r="AD1242" s="139"/>
    </row>
    <row r="1243">
      <c r="A1243" s="143"/>
      <c r="B1243" s="134"/>
      <c r="C1243" s="134"/>
      <c r="D1243" s="134"/>
      <c r="E1243" s="134"/>
      <c r="F1243" s="134"/>
      <c r="G1243" s="134"/>
      <c r="H1243" s="134"/>
      <c r="J1243" s="134"/>
      <c r="K1243" s="135"/>
      <c r="L1243" s="136"/>
      <c r="M1243" s="137" t="str">
        <f>IFERROR(__xludf.DUMMYFUNCTION("IFERROR((FILTER(Data!A:A,Data!D:D=A1243,Data!B:B=$B$1)),"""")"),"")</f>
        <v/>
      </c>
      <c r="T1243" s="52">
        <f>IFERROR(__xludf.DUMMYFUNCTION("((COUNTIF(FILTER(Data!N:N,Data!D:D=A1243,Data!B:B=$B$1),""TRAVERSE"")*15)+(COUNTIF(FILTER(Data!N:N,Data!D:D=A1243,Data!B:B=B$1),""HIGH"")*10)+(COUNTIF(FILTER(Data!N:N,Data!D:D=A1243,Data!B:B=$B$1),""MIDDLE"")*6)+(COUNTIF(FILTER(Data!N:N,Data!D:D=A1243,Dat"&amp;"a!B:B=$B$1),""LOW"")*4))"),0.0)</f>
        <v>0</v>
      </c>
      <c r="V1243" s="138"/>
      <c r="W1243" s="134"/>
      <c r="X1243" s="134"/>
      <c r="Y1243" s="134"/>
      <c r="Z1243" s="134"/>
      <c r="AA1243" s="134"/>
      <c r="AB1243" s="134"/>
      <c r="AC1243" s="134"/>
      <c r="AD1243" s="139"/>
    </row>
    <row r="1244">
      <c r="A1244" s="143"/>
      <c r="B1244" s="134"/>
      <c r="C1244" s="134"/>
      <c r="D1244" s="134"/>
      <c r="E1244" s="134"/>
      <c r="F1244" s="134"/>
      <c r="G1244" s="134"/>
      <c r="H1244" s="134"/>
      <c r="J1244" s="134"/>
      <c r="K1244" s="135"/>
      <c r="L1244" s="136"/>
      <c r="M1244" s="137" t="str">
        <f>IFERROR(__xludf.DUMMYFUNCTION("IFERROR((FILTER(Data!A:A,Data!D:D=A1244,Data!B:B=$B$1)),"""")"),"")</f>
        <v/>
      </c>
      <c r="T1244" s="52">
        <f>IFERROR(__xludf.DUMMYFUNCTION("((COUNTIF(FILTER(Data!N:N,Data!D:D=A1244,Data!B:B=$B$1),""TRAVERSE"")*15)+(COUNTIF(FILTER(Data!N:N,Data!D:D=A1244,Data!B:B=B$1),""HIGH"")*10)+(COUNTIF(FILTER(Data!N:N,Data!D:D=A1244,Data!B:B=$B$1),""MIDDLE"")*6)+(COUNTIF(FILTER(Data!N:N,Data!D:D=A1244,Dat"&amp;"a!B:B=$B$1),""LOW"")*4))"),0.0)</f>
        <v>0</v>
      </c>
      <c r="V1244" s="138"/>
      <c r="W1244" s="134"/>
      <c r="X1244" s="134"/>
      <c r="Y1244" s="134"/>
      <c r="Z1244" s="134"/>
      <c r="AA1244" s="134"/>
      <c r="AB1244" s="134"/>
      <c r="AC1244" s="134"/>
      <c r="AD1244" s="139"/>
    </row>
    <row r="1245">
      <c r="A1245" s="143"/>
      <c r="B1245" s="134"/>
      <c r="C1245" s="134"/>
      <c r="D1245" s="134"/>
      <c r="E1245" s="134"/>
      <c r="F1245" s="134"/>
      <c r="G1245" s="134"/>
      <c r="H1245" s="134"/>
      <c r="J1245" s="134"/>
      <c r="K1245" s="135"/>
      <c r="L1245" s="136"/>
      <c r="M1245" s="137" t="str">
        <f>IFERROR(__xludf.DUMMYFUNCTION("IFERROR((FILTER(Data!A:A,Data!D:D=A1245,Data!B:B=$B$1)),"""")"),"")</f>
        <v/>
      </c>
      <c r="T1245" s="52">
        <f>IFERROR(__xludf.DUMMYFUNCTION("((COUNTIF(FILTER(Data!N:N,Data!D:D=A1245,Data!B:B=$B$1),""TRAVERSE"")*15)+(COUNTIF(FILTER(Data!N:N,Data!D:D=A1245,Data!B:B=B$1),""HIGH"")*10)+(COUNTIF(FILTER(Data!N:N,Data!D:D=A1245,Data!B:B=$B$1),""MIDDLE"")*6)+(COUNTIF(FILTER(Data!N:N,Data!D:D=A1245,Dat"&amp;"a!B:B=$B$1),""LOW"")*4))"),0.0)</f>
        <v>0</v>
      </c>
      <c r="V1245" s="138"/>
      <c r="W1245" s="134"/>
      <c r="X1245" s="134"/>
      <c r="Y1245" s="134"/>
      <c r="Z1245" s="134"/>
      <c r="AA1245" s="134"/>
      <c r="AB1245" s="134"/>
      <c r="AC1245" s="134"/>
      <c r="AD1245" s="139"/>
    </row>
    <row r="1246">
      <c r="A1246" s="143"/>
      <c r="B1246" s="134"/>
      <c r="C1246" s="134"/>
      <c r="D1246" s="134"/>
      <c r="E1246" s="134"/>
      <c r="F1246" s="134"/>
      <c r="G1246" s="134"/>
      <c r="H1246" s="134"/>
      <c r="J1246" s="134"/>
      <c r="K1246" s="135"/>
      <c r="L1246" s="136"/>
      <c r="M1246" s="137" t="str">
        <f>IFERROR(__xludf.DUMMYFUNCTION("IFERROR((FILTER(Data!A:A,Data!D:D=A1246,Data!B:B=$B$1)),"""")"),"")</f>
        <v/>
      </c>
      <c r="T1246" s="52">
        <f>IFERROR(__xludf.DUMMYFUNCTION("((COUNTIF(FILTER(Data!N:N,Data!D:D=A1246,Data!B:B=$B$1),""TRAVERSE"")*15)+(COUNTIF(FILTER(Data!N:N,Data!D:D=A1246,Data!B:B=B$1),""HIGH"")*10)+(COUNTIF(FILTER(Data!N:N,Data!D:D=A1246,Data!B:B=$B$1),""MIDDLE"")*6)+(COUNTIF(FILTER(Data!N:N,Data!D:D=A1246,Dat"&amp;"a!B:B=$B$1),""LOW"")*4))"),0.0)</f>
        <v>0</v>
      </c>
      <c r="V1246" s="138"/>
      <c r="W1246" s="134"/>
      <c r="X1246" s="134"/>
      <c r="Y1246" s="134"/>
      <c r="Z1246" s="134"/>
      <c r="AA1246" s="134"/>
      <c r="AB1246" s="134"/>
      <c r="AC1246" s="134"/>
      <c r="AD1246" s="139"/>
    </row>
    <row r="1247">
      <c r="A1247" s="143"/>
      <c r="B1247" s="134"/>
      <c r="C1247" s="134"/>
      <c r="D1247" s="134"/>
      <c r="E1247" s="134"/>
      <c r="F1247" s="134"/>
      <c r="G1247" s="134"/>
      <c r="H1247" s="134"/>
      <c r="J1247" s="134"/>
      <c r="K1247" s="135"/>
      <c r="L1247" s="136"/>
      <c r="M1247" s="137" t="str">
        <f>IFERROR(__xludf.DUMMYFUNCTION("IFERROR((FILTER(Data!A:A,Data!D:D=A1247,Data!B:B=$B$1)),"""")"),"")</f>
        <v/>
      </c>
      <c r="T1247" s="52">
        <f>IFERROR(__xludf.DUMMYFUNCTION("((COUNTIF(FILTER(Data!N:N,Data!D:D=A1247,Data!B:B=$B$1),""TRAVERSE"")*15)+(COUNTIF(FILTER(Data!N:N,Data!D:D=A1247,Data!B:B=B$1),""HIGH"")*10)+(COUNTIF(FILTER(Data!N:N,Data!D:D=A1247,Data!B:B=$B$1),""MIDDLE"")*6)+(COUNTIF(FILTER(Data!N:N,Data!D:D=A1247,Dat"&amp;"a!B:B=$B$1),""LOW"")*4))"),0.0)</f>
        <v>0</v>
      </c>
      <c r="V1247" s="138"/>
      <c r="W1247" s="134"/>
      <c r="X1247" s="134"/>
      <c r="Y1247" s="134"/>
      <c r="Z1247" s="134"/>
      <c r="AA1247" s="134"/>
      <c r="AB1247" s="134"/>
      <c r="AC1247" s="134"/>
      <c r="AD1247" s="139"/>
    </row>
    <row r="1248">
      <c r="A1248" s="143"/>
      <c r="B1248" s="134"/>
      <c r="C1248" s="134"/>
      <c r="D1248" s="134"/>
      <c r="E1248" s="134"/>
      <c r="F1248" s="134"/>
      <c r="G1248" s="134"/>
      <c r="H1248" s="134"/>
      <c r="J1248" s="134"/>
      <c r="K1248" s="135"/>
      <c r="L1248" s="136"/>
      <c r="M1248" s="137" t="str">
        <f>IFERROR(__xludf.DUMMYFUNCTION("IFERROR((FILTER(Data!A:A,Data!D:D=A1248,Data!B:B=$B$1)),"""")"),"")</f>
        <v/>
      </c>
      <c r="T1248" s="52">
        <f>IFERROR(__xludf.DUMMYFUNCTION("((COUNTIF(FILTER(Data!N:N,Data!D:D=A1248,Data!B:B=$B$1),""TRAVERSE"")*15)+(COUNTIF(FILTER(Data!N:N,Data!D:D=A1248,Data!B:B=B$1),""HIGH"")*10)+(COUNTIF(FILTER(Data!N:N,Data!D:D=A1248,Data!B:B=$B$1),""MIDDLE"")*6)+(COUNTIF(FILTER(Data!N:N,Data!D:D=A1248,Dat"&amp;"a!B:B=$B$1),""LOW"")*4))"),0.0)</f>
        <v>0</v>
      </c>
      <c r="V1248" s="138"/>
      <c r="W1248" s="134"/>
      <c r="X1248" s="134"/>
      <c r="Y1248" s="134"/>
      <c r="Z1248" s="134"/>
      <c r="AA1248" s="134"/>
      <c r="AB1248" s="134"/>
      <c r="AC1248" s="134"/>
      <c r="AD1248" s="139"/>
    </row>
    <row r="1249">
      <c r="A1249" s="143"/>
      <c r="B1249" s="134"/>
      <c r="C1249" s="134"/>
      <c r="D1249" s="134"/>
      <c r="E1249" s="134"/>
      <c r="F1249" s="134"/>
      <c r="G1249" s="134"/>
      <c r="H1249" s="134"/>
      <c r="J1249" s="134"/>
      <c r="K1249" s="135"/>
      <c r="L1249" s="136"/>
      <c r="M1249" s="137" t="str">
        <f>IFERROR(__xludf.DUMMYFUNCTION("IFERROR((FILTER(Data!A:A,Data!D:D=A1249,Data!B:B=$B$1)),"""")"),"")</f>
        <v/>
      </c>
      <c r="T1249" s="52">
        <f>IFERROR(__xludf.DUMMYFUNCTION("((COUNTIF(FILTER(Data!N:N,Data!D:D=A1249,Data!B:B=$B$1),""TRAVERSE"")*15)+(COUNTIF(FILTER(Data!N:N,Data!D:D=A1249,Data!B:B=B$1),""HIGH"")*10)+(COUNTIF(FILTER(Data!N:N,Data!D:D=A1249,Data!B:B=$B$1),""MIDDLE"")*6)+(COUNTIF(FILTER(Data!N:N,Data!D:D=A1249,Dat"&amp;"a!B:B=$B$1),""LOW"")*4))"),0.0)</f>
        <v>0</v>
      </c>
      <c r="V1249" s="138"/>
      <c r="W1249" s="134"/>
      <c r="X1249" s="134"/>
      <c r="Y1249" s="134"/>
      <c r="Z1249" s="134"/>
      <c r="AA1249" s="134"/>
      <c r="AB1249" s="134"/>
      <c r="AC1249" s="134"/>
      <c r="AD1249" s="139"/>
    </row>
    <row r="1250">
      <c r="A1250" s="143"/>
      <c r="B1250" s="134"/>
      <c r="C1250" s="134"/>
      <c r="D1250" s="134"/>
      <c r="E1250" s="134"/>
      <c r="F1250" s="134"/>
      <c r="G1250" s="134"/>
      <c r="H1250" s="134"/>
      <c r="J1250" s="134"/>
      <c r="K1250" s="135"/>
      <c r="L1250" s="136"/>
      <c r="M1250" s="137" t="str">
        <f>IFERROR(__xludf.DUMMYFUNCTION("IFERROR((FILTER(Data!A:A,Data!D:D=A1250,Data!B:B=$B$1)),"""")"),"")</f>
        <v/>
      </c>
      <c r="T1250" s="52">
        <f>IFERROR(__xludf.DUMMYFUNCTION("((COUNTIF(FILTER(Data!N:N,Data!D:D=A1250,Data!B:B=$B$1),""TRAVERSE"")*15)+(COUNTIF(FILTER(Data!N:N,Data!D:D=A1250,Data!B:B=B$1),""HIGH"")*10)+(COUNTIF(FILTER(Data!N:N,Data!D:D=A1250,Data!B:B=$B$1),""MIDDLE"")*6)+(COUNTIF(FILTER(Data!N:N,Data!D:D=A1250,Dat"&amp;"a!B:B=$B$1),""LOW"")*4))"),0.0)</f>
        <v>0</v>
      </c>
      <c r="V1250" s="138"/>
      <c r="W1250" s="134"/>
      <c r="X1250" s="134"/>
      <c r="Y1250" s="134"/>
      <c r="Z1250" s="134"/>
      <c r="AA1250" s="134"/>
      <c r="AB1250" s="134"/>
      <c r="AC1250" s="134"/>
      <c r="AD1250" s="139"/>
    </row>
    <row r="1251">
      <c r="A1251" s="143"/>
      <c r="B1251" s="134"/>
      <c r="C1251" s="134"/>
      <c r="D1251" s="134"/>
      <c r="E1251" s="134"/>
      <c r="F1251" s="134"/>
      <c r="G1251" s="134"/>
      <c r="H1251" s="134"/>
      <c r="J1251" s="134"/>
      <c r="K1251" s="135"/>
      <c r="L1251" s="136"/>
      <c r="M1251" s="137" t="str">
        <f>IFERROR(__xludf.DUMMYFUNCTION("IFERROR((FILTER(Data!A:A,Data!D:D=A1251,Data!B:B=$B$1)),"""")"),"")</f>
        <v/>
      </c>
      <c r="T1251" s="52">
        <f>IFERROR(__xludf.DUMMYFUNCTION("((COUNTIF(FILTER(Data!N:N,Data!D:D=A1251,Data!B:B=$B$1),""TRAVERSE"")*15)+(COUNTIF(FILTER(Data!N:N,Data!D:D=A1251,Data!B:B=B$1),""HIGH"")*10)+(COUNTIF(FILTER(Data!N:N,Data!D:D=A1251,Data!B:B=$B$1),""MIDDLE"")*6)+(COUNTIF(FILTER(Data!N:N,Data!D:D=A1251,Dat"&amp;"a!B:B=$B$1),""LOW"")*4))"),0.0)</f>
        <v>0</v>
      </c>
      <c r="V1251" s="138"/>
      <c r="W1251" s="134"/>
      <c r="X1251" s="134"/>
      <c r="Y1251" s="134"/>
      <c r="Z1251" s="134"/>
      <c r="AA1251" s="134"/>
      <c r="AB1251" s="134"/>
      <c r="AC1251" s="134"/>
      <c r="AD1251" s="139"/>
    </row>
    <row r="1252">
      <c r="A1252" s="143"/>
      <c r="B1252" s="134"/>
      <c r="C1252" s="134"/>
      <c r="D1252" s="134"/>
      <c r="E1252" s="134"/>
      <c r="F1252" s="134"/>
      <c r="G1252" s="134"/>
      <c r="H1252" s="134"/>
      <c r="J1252" s="134"/>
      <c r="K1252" s="135"/>
      <c r="L1252" s="136"/>
      <c r="M1252" s="137" t="str">
        <f>IFERROR(__xludf.DUMMYFUNCTION("IFERROR((FILTER(Data!A:A,Data!D:D=A1252,Data!B:B=$B$1)),"""")"),"")</f>
        <v/>
      </c>
      <c r="T1252" s="52">
        <f>IFERROR(__xludf.DUMMYFUNCTION("((COUNTIF(FILTER(Data!N:N,Data!D:D=A1252,Data!B:B=$B$1),""TRAVERSE"")*15)+(COUNTIF(FILTER(Data!N:N,Data!D:D=A1252,Data!B:B=B$1),""HIGH"")*10)+(COUNTIF(FILTER(Data!N:N,Data!D:D=A1252,Data!B:B=$B$1),""MIDDLE"")*6)+(COUNTIF(FILTER(Data!N:N,Data!D:D=A1252,Dat"&amp;"a!B:B=$B$1),""LOW"")*4))"),0.0)</f>
        <v>0</v>
      </c>
      <c r="V1252" s="138"/>
      <c r="W1252" s="134"/>
      <c r="X1252" s="134"/>
      <c r="Y1252" s="134"/>
      <c r="Z1252" s="134"/>
      <c r="AA1252" s="134"/>
      <c r="AB1252" s="134"/>
      <c r="AC1252" s="134"/>
      <c r="AD1252" s="139"/>
    </row>
    <row r="1253">
      <c r="A1253" s="143"/>
      <c r="B1253" s="134"/>
      <c r="C1253" s="134"/>
      <c r="D1253" s="134"/>
      <c r="E1253" s="134"/>
      <c r="F1253" s="134"/>
      <c r="G1253" s="134"/>
      <c r="H1253" s="134"/>
      <c r="J1253" s="134"/>
      <c r="K1253" s="135"/>
      <c r="L1253" s="136"/>
      <c r="M1253" s="137" t="str">
        <f>IFERROR(__xludf.DUMMYFUNCTION("IFERROR((FILTER(Data!A:A,Data!D:D=A1253,Data!B:B=$B$1)),"""")"),"")</f>
        <v/>
      </c>
      <c r="T1253" s="52">
        <f>IFERROR(__xludf.DUMMYFUNCTION("((COUNTIF(FILTER(Data!N:N,Data!D:D=A1253,Data!B:B=$B$1),""TRAVERSE"")*15)+(COUNTIF(FILTER(Data!N:N,Data!D:D=A1253,Data!B:B=B$1),""HIGH"")*10)+(COUNTIF(FILTER(Data!N:N,Data!D:D=A1253,Data!B:B=$B$1),""MIDDLE"")*6)+(COUNTIF(FILTER(Data!N:N,Data!D:D=A1253,Dat"&amp;"a!B:B=$B$1),""LOW"")*4))"),0.0)</f>
        <v>0</v>
      </c>
      <c r="V1253" s="138"/>
      <c r="W1253" s="134"/>
      <c r="X1253" s="134"/>
      <c r="Y1253" s="134"/>
      <c r="Z1253" s="134"/>
      <c r="AA1253" s="134"/>
      <c r="AB1253" s="134"/>
      <c r="AC1253" s="134"/>
      <c r="AD1253" s="139"/>
    </row>
    <row r="1254">
      <c r="A1254" s="143"/>
      <c r="B1254" s="134"/>
      <c r="C1254" s="134"/>
      <c r="D1254" s="134"/>
      <c r="E1254" s="134"/>
      <c r="F1254" s="134"/>
      <c r="G1254" s="134"/>
      <c r="H1254" s="134"/>
      <c r="J1254" s="134"/>
      <c r="K1254" s="135"/>
      <c r="L1254" s="136"/>
      <c r="M1254" s="137" t="str">
        <f>IFERROR(__xludf.DUMMYFUNCTION("IFERROR((FILTER(Data!A:A,Data!D:D=A1254,Data!B:B=$B$1)),"""")"),"")</f>
        <v/>
      </c>
      <c r="T1254" s="52">
        <f>IFERROR(__xludf.DUMMYFUNCTION("((COUNTIF(FILTER(Data!N:N,Data!D:D=A1254,Data!B:B=$B$1),""TRAVERSE"")*15)+(COUNTIF(FILTER(Data!N:N,Data!D:D=A1254,Data!B:B=B$1),""HIGH"")*10)+(COUNTIF(FILTER(Data!N:N,Data!D:D=A1254,Data!B:B=$B$1),""MIDDLE"")*6)+(COUNTIF(FILTER(Data!N:N,Data!D:D=A1254,Dat"&amp;"a!B:B=$B$1),""LOW"")*4))"),0.0)</f>
        <v>0</v>
      </c>
      <c r="V1254" s="138"/>
      <c r="W1254" s="134"/>
      <c r="X1254" s="134"/>
      <c r="Y1254" s="134"/>
      <c r="Z1254" s="134"/>
      <c r="AA1254" s="134"/>
      <c r="AB1254" s="134"/>
      <c r="AC1254" s="134"/>
      <c r="AD1254" s="139"/>
    </row>
    <row r="1255">
      <c r="A1255" s="143"/>
      <c r="B1255" s="134"/>
      <c r="C1255" s="134"/>
      <c r="D1255" s="134"/>
      <c r="E1255" s="134"/>
      <c r="F1255" s="134"/>
      <c r="G1255" s="134"/>
      <c r="H1255" s="134"/>
      <c r="J1255" s="134"/>
      <c r="K1255" s="135"/>
      <c r="L1255" s="136"/>
      <c r="M1255" s="137" t="str">
        <f>IFERROR(__xludf.DUMMYFUNCTION("IFERROR((FILTER(Data!A:A,Data!D:D=A1255,Data!B:B=$B$1)),"""")"),"")</f>
        <v/>
      </c>
      <c r="T1255" s="52">
        <f>IFERROR(__xludf.DUMMYFUNCTION("((COUNTIF(FILTER(Data!N:N,Data!D:D=A1255,Data!B:B=$B$1),""TRAVERSE"")*15)+(COUNTIF(FILTER(Data!N:N,Data!D:D=A1255,Data!B:B=B$1),""HIGH"")*10)+(COUNTIF(FILTER(Data!N:N,Data!D:D=A1255,Data!B:B=$B$1),""MIDDLE"")*6)+(COUNTIF(FILTER(Data!N:N,Data!D:D=A1255,Dat"&amp;"a!B:B=$B$1),""LOW"")*4))"),0.0)</f>
        <v>0</v>
      </c>
      <c r="V1255" s="138"/>
      <c r="W1255" s="134"/>
      <c r="X1255" s="134"/>
      <c r="Y1255" s="134"/>
      <c r="Z1255" s="134"/>
      <c r="AA1255" s="134"/>
      <c r="AB1255" s="134"/>
      <c r="AC1255" s="134"/>
      <c r="AD1255" s="139"/>
    </row>
    <row r="1256">
      <c r="A1256" s="143"/>
      <c r="B1256" s="134"/>
      <c r="C1256" s="134"/>
      <c r="D1256" s="134"/>
      <c r="E1256" s="134"/>
      <c r="F1256" s="134"/>
      <c r="G1256" s="134"/>
      <c r="H1256" s="134"/>
      <c r="J1256" s="134"/>
      <c r="K1256" s="135"/>
      <c r="L1256" s="136"/>
      <c r="M1256" s="137" t="str">
        <f>IFERROR(__xludf.DUMMYFUNCTION("IFERROR((FILTER(Data!A:A,Data!D:D=A1256,Data!B:B=$B$1)),"""")"),"")</f>
        <v/>
      </c>
      <c r="T1256" s="52">
        <f>IFERROR(__xludf.DUMMYFUNCTION("((COUNTIF(FILTER(Data!N:N,Data!D:D=A1256,Data!B:B=$B$1),""TRAVERSE"")*15)+(COUNTIF(FILTER(Data!N:N,Data!D:D=A1256,Data!B:B=B$1),""HIGH"")*10)+(COUNTIF(FILTER(Data!N:N,Data!D:D=A1256,Data!B:B=$B$1),""MIDDLE"")*6)+(COUNTIF(FILTER(Data!N:N,Data!D:D=A1256,Dat"&amp;"a!B:B=$B$1),""LOW"")*4))"),0.0)</f>
        <v>0</v>
      </c>
      <c r="V1256" s="138"/>
      <c r="W1256" s="134"/>
      <c r="X1256" s="134"/>
      <c r="Y1256" s="134"/>
      <c r="Z1256" s="134"/>
      <c r="AA1256" s="134"/>
      <c r="AB1256" s="134"/>
      <c r="AC1256" s="134"/>
      <c r="AD1256" s="139"/>
    </row>
    <row r="1257">
      <c r="A1257" s="143"/>
      <c r="B1257" s="134"/>
      <c r="C1257" s="134"/>
      <c r="D1257" s="134"/>
      <c r="E1257" s="134"/>
      <c r="F1257" s="134"/>
      <c r="G1257" s="134"/>
      <c r="H1257" s="134"/>
      <c r="J1257" s="134"/>
      <c r="K1257" s="135"/>
      <c r="L1257" s="136"/>
      <c r="M1257" s="137" t="str">
        <f>IFERROR(__xludf.DUMMYFUNCTION("IFERROR((FILTER(Data!A:A,Data!D:D=A1257,Data!B:B=$B$1)),"""")"),"")</f>
        <v/>
      </c>
      <c r="T1257" s="52">
        <f>IFERROR(__xludf.DUMMYFUNCTION("((COUNTIF(FILTER(Data!N:N,Data!D:D=A1257,Data!B:B=$B$1),""TRAVERSE"")*15)+(COUNTIF(FILTER(Data!N:N,Data!D:D=A1257,Data!B:B=B$1),""HIGH"")*10)+(COUNTIF(FILTER(Data!N:N,Data!D:D=A1257,Data!B:B=$B$1),""MIDDLE"")*6)+(COUNTIF(FILTER(Data!N:N,Data!D:D=A1257,Dat"&amp;"a!B:B=$B$1),""LOW"")*4))"),0.0)</f>
        <v>0</v>
      </c>
      <c r="V1257" s="138"/>
      <c r="W1257" s="134"/>
      <c r="X1257" s="134"/>
      <c r="Y1257" s="134"/>
      <c r="Z1257" s="134"/>
      <c r="AA1257" s="134"/>
      <c r="AB1257" s="134"/>
      <c r="AC1257" s="134"/>
      <c r="AD1257" s="139"/>
    </row>
    <row r="1258">
      <c r="A1258" s="143"/>
      <c r="B1258" s="134"/>
      <c r="C1258" s="134"/>
      <c r="D1258" s="134"/>
      <c r="E1258" s="134"/>
      <c r="F1258" s="134"/>
      <c r="G1258" s="134"/>
      <c r="H1258" s="134"/>
      <c r="J1258" s="134"/>
      <c r="K1258" s="135"/>
      <c r="L1258" s="136"/>
      <c r="M1258" s="137" t="str">
        <f>IFERROR(__xludf.DUMMYFUNCTION("IFERROR((FILTER(Data!A:A,Data!D:D=A1258,Data!B:B=$B$1)),"""")"),"")</f>
        <v/>
      </c>
      <c r="T1258" s="52">
        <f>IFERROR(__xludf.DUMMYFUNCTION("((COUNTIF(FILTER(Data!N:N,Data!D:D=A1258,Data!B:B=$B$1),""TRAVERSE"")*15)+(COUNTIF(FILTER(Data!N:N,Data!D:D=A1258,Data!B:B=B$1),""HIGH"")*10)+(COUNTIF(FILTER(Data!N:N,Data!D:D=A1258,Data!B:B=$B$1),""MIDDLE"")*6)+(COUNTIF(FILTER(Data!N:N,Data!D:D=A1258,Dat"&amp;"a!B:B=$B$1),""LOW"")*4))"),0.0)</f>
        <v>0</v>
      </c>
      <c r="V1258" s="138"/>
      <c r="W1258" s="134"/>
      <c r="X1258" s="134"/>
      <c r="Y1258" s="134"/>
      <c r="Z1258" s="134"/>
      <c r="AA1258" s="134"/>
      <c r="AB1258" s="134"/>
      <c r="AC1258" s="134"/>
      <c r="AD1258" s="139"/>
    </row>
    <row r="1259">
      <c r="A1259" s="143"/>
      <c r="B1259" s="134"/>
      <c r="C1259" s="134"/>
      <c r="D1259" s="134"/>
      <c r="E1259" s="134"/>
      <c r="F1259" s="134"/>
      <c r="G1259" s="134"/>
      <c r="H1259" s="134"/>
      <c r="J1259" s="134"/>
      <c r="K1259" s="135"/>
      <c r="L1259" s="136"/>
      <c r="M1259" s="137" t="str">
        <f>IFERROR(__xludf.DUMMYFUNCTION("IFERROR((FILTER(Data!A:A,Data!D:D=A1259,Data!B:B=$B$1)),"""")"),"")</f>
        <v/>
      </c>
      <c r="T1259" s="52">
        <f>IFERROR(__xludf.DUMMYFUNCTION("((COUNTIF(FILTER(Data!N:N,Data!D:D=A1259,Data!B:B=$B$1),""TRAVERSE"")*15)+(COUNTIF(FILTER(Data!N:N,Data!D:D=A1259,Data!B:B=B$1),""HIGH"")*10)+(COUNTIF(FILTER(Data!N:N,Data!D:D=A1259,Data!B:B=$B$1),""MIDDLE"")*6)+(COUNTIF(FILTER(Data!N:N,Data!D:D=A1259,Dat"&amp;"a!B:B=$B$1),""LOW"")*4))"),0.0)</f>
        <v>0</v>
      </c>
      <c r="V1259" s="138"/>
      <c r="W1259" s="134"/>
      <c r="X1259" s="134"/>
      <c r="Y1259" s="134"/>
      <c r="Z1259" s="134"/>
      <c r="AA1259" s="134"/>
      <c r="AB1259" s="134"/>
      <c r="AC1259" s="134"/>
      <c r="AD1259" s="139"/>
    </row>
    <row r="1260">
      <c r="A1260" s="143"/>
      <c r="B1260" s="134"/>
      <c r="C1260" s="134"/>
      <c r="D1260" s="134"/>
      <c r="E1260" s="134"/>
      <c r="F1260" s="134"/>
      <c r="G1260" s="134"/>
      <c r="H1260" s="134"/>
      <c r="J1260" s="134"/>
      <c r="K1260" s="135"/>
      <c r="L1260" s="136"/>
      <c r="M1260" s="137" t="str">
        <f>IFERROR(__xludf.DUMMYFUNCTION("IFERROR((FILTER(Data!A:A,Data!D:D=A1260,Data!B:B=$B$1)),"""")"),"")</f>
        <v/>
      </c>
      <c r="T1260" s="52">
        <f>IFERROR(__xludf.DUMMYFUNCTION("((COUNTIF(FILTER(Data!N:N,Data!D:D=A1260,Data!B:B=$B$1),""TRAVERSE"")*15)+(COUNTIF(FILTER(Data!N:N,Data!D:D=A1260,Data!B:B=B$1),""HIGH"")*10)+(COUNTIF(FILTER(Data!N:N,Data!D:D=A1260,Data!B:B=$B$1),""MIDDLE"")*6)+(COUNTIF(FILTER(Data!N:N,Data!D:D=A1260,Dat"&amp;"a!B:B=$B$1),""LOW"")*4))"),0.0)</f>
        <v>0</v>
      </c>
      <c r="V1260" s="138"/>
      <c r="W1260" s="134"/>
      <c r="X1260" s="134"/>
      <c r="Y1260" s="134"/>
      <c r="Z1260" s="134"/>
      <c r="AA1260" s="134"/>
      <c r="AB1260" s="134"/>
      <c r="AC1260" s="134"/>
      <c r="AD1260" s="139"/>
    </row>
    <row r="1261">
      <c r="A1261" s="143"/>
      <c r="B1261" s="134"/>
      <c r="C1261" s="134"/>
      <c r="D1261" s="134"/>
      <c r="E1261" s="134"/>
      <c r="F1261" s="134"/>
      <c r="G1261" s="134"/>
      <c r="H1261" s="134"/>
      <c r="J1261" s="134"/>
      <c r="K1261" s="135"/>
      <c r="L1261" s="136"/>
      <c r="M1261" s="137" t="str">
        <f>IFERROR(__xludf.DUMMYFUNCTION("IFERROR((FILTER(Data!A:A,Data!D:D=A1261,Data!B:B=$B$1)),"""")"),"")</f>
        <v/>
      </c>
      <c r="T1261" s="52">
        <f>IFERROR(__xludf.DUMMYFUNCTION("((COUNTIF(FILTER(Data!N:N,Data!D:D=A1261,Data!B:B=$B$1),""TRAVERSE"")*15)+(COUNTIF(FILTER(Data!N:N,Data!D:D=A1261,Data!B:B=B$1),""HIGH"")*10)+(COUNTIF(FILTER(Data!N:N,Data!D:D=A1261,Data!B:B=$B$1),""MIDDLE"")*6)+(COUNTIF(FILTER(Data!N:N,Data!D:D=A1261,Dat"&amp;"a!B:B=$B$1),""LOW"")*4))"),0.0)</f>
        <v>0</v>
      </c>
      <c r="V1261" s="138"/>
      <c r="W1261" s="134"/>
      <c r="X1261" s="134"/>
      <c r="Y1261" s="134"/>
      <c r="Z1261" s="134"/>
      <c r="AA1261" s="134"/>
      <c r="AB1261" s="134"/>
      <c r="AC1261" s="134"/>
      <c r="AD1261" s="139"/>
    </row>
    <row r="1262">
      <c r="A1262" s="143"/>
      <c r="B1262" s="134"/>
      <c r="C1262" s="134"/>
      <c r="D1262" s="134"/>
      <c r="E1262" s="134"/>
      <c r="F1262" s="134"/>
      <c r="G1262" s="134"/>
      <c r="H1262" s="134"/>
      <c r="J1262" s="134"/>
      <c r="K1262" s="135"/>
      <c r="L1262" s="136"/>
      <c r="M1262" s="137" t="str">
        <f>IFERROR(__xludf.DUMMYFUNCTION("IFERROR((FILTER(Data!A:A,Data!D:D=A1262,Data!B:B=$B$1)),"""")"),"")</f>
        <v/>
      </c>
      <c r="T1262" s="52">
        <f>IFERROR(__xludf.DUMMYFUNCTION("((COUNTIF(FILTER(Data!N:N,Data!D:D=A1262,Data!B:B=$B$1),""TRAVERSE"")*15)+(COUNTIF(FILTER(Data!N:N,Data!D:D=A1262,Data!B:B=B$1),""HIGH"")*10)+(COUNTIF(FILTER(Data!N:N,Data!D:D=A1262,Data!B:B=$B$1),""MIDDLE"")*6)+(COUNTIF(FILTER(Data!N:N,Data!D:D=A1262,Dat"&amp;"a!B:B=$B$1),""LOW"")*4))"),0.0)</f>
        <v>0</v>
      </c>
      <c r="V1262" s="138"/>
      <c r="W1262" s="134"/>
      <c r="X1262" s="134"/>
      <c r="Y1262" s="134"/>
      <c r="Z1262" s="134"/>
      <c r="AA1262" s="134"/>
      <c r="AB1262" s="134"/>
      <c r="AC1262" s="134"/>
      <c r="AD1262" s="139"/>
    </row>
    <row r="1263">
      <c r="A1263" s="143"/>
      <c r="B1263" s="134"/>
      <c r="C1263" s="134"/>
      <c r="D1263" s="134"/>
      <c r="E1263" s="134"/>
      <c r="F1263" s="134"/>
      <c r="G1263" s="134"/>
      <c r="H1263" s="134"/>
      <c r="J1263" s="134"/>
      <c r="K1263" s="135"/>
      <c r="L1263" s="136"/>
      <c r="M1263" s="137" t="str">
        <f>IFERROR(__xludf.DUMMYFUNCTION("IFERROR((FILTER(Data!A:A,Data!D:D=A1263,Data!B:B=$B$1)),"""")"),"")</f>
        <v/>
      </c>
      <c r="T1263" s="52">
        <f>IFERROR(__xludf.DUMMYFUNCTION("((COUNTIF(FILTER(Data!N:N,Data!D:D=A1263,Data!B:B=$B$1),""TRAVERSE"")*15)+(COUNTIF(FILTER(Data!N:N,Data!D:D=A1263,Data!B:B=B$1),""HIGH"")*10)+(COUNTIF(FILTER(Data!N:N,Data!D:D=A1263,Data!B:B=$B$1),""MIDDLE"")*6)+(COUNTIF(FILTER(Data!N:N,Data!D:D=A1263,Dat"&amp;"a!B:B=$B$1),""LOW"")*4))"),0.0)</f>
        <v>0</v>
      </c>
      <c r="V1263" s="138"/>
      <c r="W1263" s="134"/>
      <c r="X1263" s="134"/>
      <c r="Y1263" s="134"/>
      <c r="Z1263" s="134"/>
      <c r="AA1263" s="134"/>
      <c r="AB1263" s="134"/>
      <c r="AC1263" s="134"/>
      <c r="AD1263" s="139"/>
    </row>
    <row r="1264">
      <c r="A1264" s="143"/>
      <c r="B1264" s="134"/>
      <c r="C1264" s="134"/>
      <c r="D1264" s="134"/>
      <c r="E1264" s="134"/>
      <c r="F1264" s="134"/>
      <c r="G1264" s="134"/>
      <c r="H1264" s="134"/>
      <c r="J1264" s="134"/>
      <c r="K1264" s="135"/>
      <c r="L1264" s="136"/>
      <c r="M1264" s="137" t="str">
        <f>IFERROR(__xludf.DUMMYFUNCTION("IFERROR((FILTER(Data!A:A,Data!D:D=A1264,Data!B:B=$B$1)),"""")"),"")</f>
        <v/>
      </c>
      <c r="T1264" s="52">
        <f>IFERROR(__xludf.DUMMYFUNCTION("((COUNTIF(FILTER(Data!N:N,Data!D:D=A1264,Data!B:B=$B$1),""TRAVERSE"")*15)+(COUNTIF(FILTER(Data!N:N,Data!D:D=A1264,Data!B:B=B$1),""HIGH"")*10)+(COUNTIF(FILTER(Data!N:N,Data!D:D=A1264,Data!B:B=$B$1),""MIDDLE"")*6)+(COUNTIF(FILTER(Data!N:N,Data!D:D=A1264,Dat"&amp;"a!B:B=$B$1),""LOW"")*4))"),0.0)</f>
        <v>0</v>
      </c>
      <c r="V1264" s="138"/>
      <c r="W1264" s="134"/>
      <c r="X1264" s="134"/>
      <c r="Y1264" s="134"/>
      <c r="Z1264" s="134"/>
      <c r="AA1264" s="134"/>
      <c r="AB1264" s="134"/>
      <c r="AC1264" s="134"/>
      <c r="AD1264" s="139"/>
    </row>
    <row r="1265">
      <c r="A1265" s="143"/>
      <c r="B1265" s="134"/>
      <c r="C1265" s="134"/>
      <c r="D1265" s="134"/>
      <c r="E1265" s="134"/>
      <c r="F1265" s="134"/>
      <c r="G1265" s="134"/>
      <c r="H1265" s="134"/>
      <c r="J1265" s="134"/>
      <c r="K1265" s="135"/>
      <c r="L1265" s="136"/>
      <c r="M1265" s="137" t="str">
        <f>IFERROR(__xludf.DUMMYFUNCTION("IFERROR((FILTER(Data!A:A,Data!D:D=A1265,Data!B:B=$B$1)),"""")"),"")</f>
        <v/>
      </c>
      <c r="T1265" s="52">
        <f>IFERROR(__xludf.DUMMYFUNCTION("((COUNTIF(FILTER(Data!N:N,Data!D:D=A1265,Data!B:B=$B$1),""TRAVERSE"")*15)+(COUNTIF(FILTER(Data!N:N,Data!D:D=A1265,Data!B:B=B$1),""HIGH"")*10)+(COUNTIF(FILTER(Data!N:N,Data!D:D=A1265,Data!B:B=$B$1),""MIDDLE"")*6)+(COUNTIF(FILTER(Data!N:N,Data!D:D=A1265,Dat"&amp;"a!B:B=$B$1),""LOW"")*4))"),0.0)</f>
        <v>0</v>
      </c>
      <c r="V1265" s="138"/>
      <c r="W1265" s="134"/>
      <c r="X1265" s="134"/>
      <c r="Y1265" s="134"/>
      <c r="Z1265" s="134"/>
      <c r="AA1265" s="134"/>
      <c r="AB1265" s="134"/>
      <c r="AC1265" s="134"/>
      <c r="AD1265" s="139"/>
    </row>
    <row r="1266">
      <c r="A1266" s="143"/>
      <c r="B1266" s="134"/>
      <c r="C1266" s="134"/>
      <c r="D1266" s="134"/>
      <c r="E1266" s="134"/>
      <c r="F1266" s="134"/>
      <c r="G1266" s="134"/>
      <c r="H1266" s="134"/>
      <c r="J1266" s="134"/>
      <c r="K1266" s="135"/>
      <c r="L1266" s="136"/>
      <c r="M1266" s="137" t="str">
        <f>IFERROR(__xludf.DUMMYFUNCTION("IFERROR((FILTER(Data!A:A,Data!D:D=A1266,Data!B:B=$B$1)),"""")"),"")</f>
        <v/>
      </c>
      <c r="T1266" s="52">
        <f>IFERROR(__xludf.DUMMYFUNCTION("((COUNTIF(FILTER(Data!N:N,Data!D:D=A1266,Data!B:B=$B$1),""TRAVERSE"")*15)+(COUNTIF(FILTER(Data!N:N,Data!D:D=A1266,Data!B:B=B$1),""HIGH"")*10)+(COUNTIF(FILTER(Data!N:N,Data!D:D=A1266,Data!B:B=$B$1),""MIDDLE"")*6)+(COUNTIF(FILTER(Data!N:N,Data!D:D=A1266,Dat"&amp;"a!B:B=$B$1),""LOW"")*4))"),0.0)</f>
        <v>0</v>
      </c>
      <c r="V1266" s="138"/>
      <c r="W1266" s="134"/>
      <c r="X1266" s="134"/>
      <c r="Y1266" s="134"/>
      <c r="Z1266" s="134"/>
      <c r="AA1266" s="134"/>
      <c r="AB1266" s="134"/>
      <c r="AC1266" s="134"/>
      <c r="AD1266" s="139"/>
    </row>
    <row r="1267">
      <c r="A1267" s="143"/>
      <c r="B1267" s="134"/>
      <c r="C1267" s="134"/>
      <c r="D1267" s="134"/>
      <c r="E1267" s="134"/>
      <c r="F1267" s="134"/>
      <c r="G1267" s="134"/>
      <c r="H1267" s="134"/>
      <c r="J1267" s="134"/>
      <c r="K1267" s="135"/>
      <c r="L1267" s="136"/>
      <c r="M1267" s="137" t="str">
        <f>IFERROR(__xludf.DUMMYFUNCTION("IFERROR((FILTER(Data!A:A,Data!D:D=A1267,Data!B:B=$B$1)),"""")"),"")</f>
        <v/>
      </c>
      <c r="T1267" s="52">
        <f>IFERROR(__xludf.DUMMYFUNCTION("((COUNTIF(FILTER(Data!N:N,Data!D:D=A1267,Data!B:B=$B$1),""TRAVERSE"")*15)+(COUNTIF(FILTER(Data!N:N,Data!D:D=A1267,Data!B:B=B$1),""HIGH"")*10)+(COUNTIF(FILTER(Data!N:N,Data!D:D=A1267,Data!B:B=$B$1),""MIDDLE"")*6)+(COUNTIF(FILTER(Data!N:N,Data!D:D=A1267,Dat"&amp;"a!B:B=$B$1),""LOW"")*4))"),0.0)</f>
        <v>0</v>
      </c>
      <c r="V1267" s="138"/>
      <c r="W1267" s="134"/>
      <c r="X1267" s="134"/>
      <c r="Y1267" s="134"/>
      <c r="Z1267" s="134"/>
      <c r="AA1267" s="134"/>
      <c r="AB1267" s="134"/>
      <c r="AC1267" s="134"/>
      <c r="AD1267" s="139"/>
    </row>
    <row r="1268">
      <c r="A1268" s="143"/>
      <c r="B1268" s="134"/>
      <c r="C1268" s="134"/>
      <c r="D1268" s="134"/>
      <c r="E1268" s="134"/>
      <c r="F1268" s="134"/>
      <c r="G1268" s="134"/>
      <c r="H1268" s="134"/>
      <c r="J1268" s="134"/>
      <c r="K1268" s="135"/>
      <c r="L1268" s="136"/>
      <c r="M1268" s="137" t="str">
        <f>IFERROR(__xludf.DUMMYFUNCTION("IFERROR((FILTER(Data!A:A,Data!D:D=A1268,Data!B:B=$B$1)),"""")"),"")</f>
        <v/>
      </c>
      <c r="T1268" s="52">
        <f>IFERROR(__xludf.DUMMYFUNCTION("((COUNTIF(FILTER(Data!N:N,Data!D:D=A1268,Data!B:B=$B$1),""TRAVERSE"")*15)+(COUNTIF(FILTER(Data!N:N,Data!D:D=A1268,Data!B:B=B$1),""HIGH"")*10)+(COUNTIF(FILTER(Data!N:N,Data!D:D=A1268,Data!B:B=$B$1),""MIDDLE"")*6)+(COUNTIF(FILTER(Data!N:N,Data!D:D=A1268,Dat"&amp;"a!B:B=$B$1),""LOW"")*4))"),0.0)</f>
        <v>0</v>
      </c>
      <c r="V1268" s="138"/>
      <c r="W1268" s="134"/>
      <c r="X1268" s="134"/>
      <c r="Y1268" s="134"/>
      <c r="Z1268" s="134"/>
      <c r="AA1268" s="134"/>
      <c r="AB1268" s="134"/>
      <c r="AC1268" s="134"/>
      <c r="AD1268" s="139"/>
    </row>
    <row r="1269">
      <c r="A1269" s="143"/>
      <c r="B1269" s="134"/>
      <c r="C1269" s="134"/>
      <c r="D1269" s="134"/>
      <c r="E1269" s="134"/>
      <c r="F1269" s="134"/>
      <c r="G1269" s="134"/>
      <c r="H1269" s="134"/>
      <c r="J1269" s="134"/>
      <c r="K1269" s="135"/>
      <c r="L1269" s="136"/>
      <c r="M1269" s="137" t="str">
        <f>IFERROR(__xludf.DUMMYFUNCTION("IFERROR((FILTER(Data!A:A,Data!D:D=A1269,Data!B:B=$B$1)),"""")"),"")</f>
        <v/>
      </c>
      <c r="T1269" s="52">
        <f>IFERROR(__xludf.DUMMYFUNCTION("((COUNTIF(FILTER(Data!N:N,Data!D:D=A1269,Data!B:B=$B$1),""TRAVERSE"")*15)+(COUNTIF(FILTER(Data!N:N,Data!D:D=A1269,Data!B:B=B$1),""HIGH"")*10)+(COUNTIF(FILTER(Data!N:N,Data!D:D=A1269,Data!B:B=$B$1),""MIDDLE"")*6)+(COUNTIF(FILTER(Data!N:N,Data!D:D=A1269,Dat"&amp;"a!B:B=$B$1),""LOW"")*4))"),0.0)</f>
        <v>0</v>
      </c>
      <c r="V1269" s="138"/>
      <c r="W1269" s="134"/>
      <c r="X1269" s="134"/>
      <c r="Y1269" s="134"/>
      <c r="Z1269" s="134"/>
      <c r="AA1269" s="134"/>
      <c r="AB1269" s="134"/>
      <c r="AC1269" s="134"/>
      <c r="AD1269" s="139"/>
    </row>
    <row r="1270">
      <c r="A1270" s="143"/>
      <c r="B1270" s="134"/>
      <c r="C1270" s="134"/>
      <c r="D1270" s="134"/>
      <c r="E1270" s="134"/>
      <c r="F1270" s="134"/>
      <c r="G1270" s="134"/>
      <c r="H1270" s="134"/>
      <c r="J1270" s="134"/>
      <c r="K1270" s="135"/>
      <c r="L1270" s="136"/>
      <c r="M1270" s="137" t="str">
        <f>IFERROR(__xludf.DUMMYFUNCTION("IFERROR((FILTER(Data!A:A,Data!D:D=A1270,Data!B:B=$B$1)),"""")"),"")</f>
        <v/>
      </c>
      <c r="T1270" s="52">
        <f>IFERROR(__xludf.DUMMYFUNCTION("((COUNTIF(FILTER(Data!N:N,Data!D:D=A1270,Data!B:B=$B$1),""TRAVERSE"")*15)+(COUNTIF(FILTER(Data!N:N,Data!D:D=A1270,Data!B:B=B$1),""HIGH"")*10)+(COUNTIF(FILTER(Data!N:N,Data!D:D=A1270,Data!B:B=$B$1),""MIDDLE"")*6)+(COUNTIF(FILTER(Data!N:N,Data!D:D=A1270,Dat"&amp;"a!B:B=$B$1),""LOW"")*4))"),0.0)</f>
        <v>0</v>
      </c>
      <c r="V1270" s="138"/>
      <c r="W1270" s="134"/>
      <c r="X1270" s="134"/>
      <c r="Y1270" s="134"/>
      <c r="Z1270" s="134"/>
      <c r="AA1270" s="134"/>
      <c r="AB1270" s="134"/>
      <c r="AC1270" s="134"/>
      <c r="AD1270" s="139"/>
    </row>
    <row r="1271">
      <c r="A1271" s="143"/>
      <c r="B1271" s="134"/>
      <c r="C1271" s="134"/>
      <c r="D1271" s="134"/>
      <c r="E1271" s="134"/>
      <c r="F1271" s="134"/>
      <c r="G1271" s="134"/>
      <c r="H1271" s="134"/>
      <c r="J1271" s="134"/>
      <c r="K1271" s="135"/>
      <c r="L1271" s="136"/>
      <c r="M1271" s="137" t="str">
        <f>IFERROR(__xludf.DUMMYFUNCTION("IFERROR((FILTER(Data!A:A,Data!D:D=A1271,Data!B:B=$B$1)),"""")"),"")</f>
        <v/>
      </c>
      <c r="T1271" s="52">
        <f>IFERROR(__xludf.DUMMYFUNCTION("((COUNTIF(FILTER(Data!N:N,Data!D:D=A1271,Data!B:B=$B$1),""TRAVERSE"")*15)+(COUNTIF(FILTER(Data!N:N,Data!D:D=A1271,Data!B:B=B$1),""HIGH"")*10)+(COUNTIF(FILTER(Data!N:N,Data!D:D=A1271,Data!B:B=$B$1),""MIDDLE"")*6)+(COUNTIF(FILTER(Data!N:N,Data!D:D=A1271,Dat"&amp;"a!B:B=$B$1),""LOW"")*4))"),0.0)</f>
        <v>0</v>
      </c>
      <c r="V1271" s="138"/>
      <c r="W1271" s="134"/>
      <c r="X1271" s="134"/>
      <c r="Y1271" s="134"/>
      <c r="Z1271" s="134"/>
      <c r="AA1271" s="134"/>
      <c r="AB1271" s="134"/>
      <c r="AC1271" s="134"/>
      <c r="AD1271" s="139"/>
    </row>
    <row r="1272">
      <c r="A1272" s="143"/>
      <c r="B1272" s="134"/>
      <c r="C1272" s="134"/>
      <c r="D1272" s="134"/>
      <c r="E1272" s="134"/>
      <c r="F1272" s="134"/>
      <c r="G1272" s="134"/>
      <c r="H1272" s="134"/>
      <c r="J1272" s="134"/>
      <c r="K1272" s="135"/>
      <c r="L1272" s="136"/>
      <c r="M1272" s="137" t="str">
        <f>IFERROR(__xludf.DUMMYFUNCTION("IFERROR((FILTER(Data!A:A,Data!D:D=A1272,Data!B:B=$B$1)),"""")"),"")</f>
        <v/>
      </c>
      <c r="T1272" s="52">
        <f>IFERROR(__xludf.DUMMYFUNCTION("((COUNTIF(FILTER(Data!N:N,Data!D:D=A1272,Data!B:B=$B$1),""TRAVERSE"")*15)+(COUNTIF(FILTER(Data!N:N,Data!D:D=A1272,Data!B:B=B$1),""HIGH"")*10)+(COUNTIF(FILTER(Data!N:N,Data!D:D=A1272,Data!B:B=$B$1),""MIDDLE"")*6)+(COUNTIF(FILTER(Data!N:N,Data!D:D=A1272,Dat"&amp;"a!B:B=$B$1),""LOW"")*4))"),0.0)</f>
        <v>0</v>
      </c>
      <c r="V1272" s="138"/>
      <c r="W1272" s="134"/>
      <c r="X1272" s="134"/>
      <c r="Y1272" s="134"/>
      <c r="Z1272" s="134"/>
      <c r="AA1272" s="134"/>
      <c r="AB1272" s="134"/>
      <c r="AC1272" s="134"/>
      <c r="AD1272" s="139"/>
    </row>
    <row r="1273">
      <c r="A1273" s="143"/>
      <c r="B1273" s="134"/>
      <c r="C1273" s="134"/>
      <c r="D1273" s="134"/>
      <c r="E1273" s="134"/>
      <c r="F1273" s="134"/>
      <c r="G1273" s="134"/>
      <c r="H1273" s="134"/>
      <c r="J1273" s="134"/>
      <c r="K1273" s="135"/>
      <c r="L1273" s="136"/>
      <c r="M1273" s="137" t="str">
        <f>IFERROR(__xludf.DUMMYFUNCTION("IFERROR((FILTER(Data!A:A,Data!D:D=A1273,Data!B:B=$B$1)),"""")"),"")</f>
        <v/>
      </c>
      <c r="T1273" s="52">
        <f>IFERROR(__xludf.DUMMYFUNCTION("((COUNTIF(FILTER(Data!N:N,Data!D:D=A1273,Data!B:B=$B$1),""TRAVERSE"")*15)+(COUNTIF(FILTER(Data!N:N,Data!D:D=A1273,Data!B:B=B$1),""HIGH"")*10)+(COUNTIF(FILTER(Data!N:N,Data!D:D=A1273,Data!B:B=$B$1),""MIDDLE"")*6)+(COUNTIF(FILTER(Data!N:N,Data!D:D=A1273,Dat"&amp;"a!B:B=$B$1),""LOW"")*4))"),0.0)</f>
        <v>0</v>
      </c>
      <c r="V1273" s="138"/>
      <c r="W1273" s="134"/>
      <c r="X1273" s="134"/>
      <c r="Y1273" s="134"/>
      <c r="Z1273" s="134"/>
      <c r="AA1273" s="134"/>
      <c r="AB1273" s="134"/>
      <c r="AC1273" s="134"/>
      <c r="AD1273" s="139"/>
    </row>
    <row r="1274">
      <c r="A1274" s="143"/>
      <c r="B1274" s="134"/>
      <c r="C1274" s="134"/>
      <c r="D1274" s="134"/>
      <c r="E1274" s="134"/>
      <c r="F1274" s="134"/>
      <c r="G1274" s="134"/>
      <c r="H1274" s="134"/>
      <c r="J1274" s="134"/>
      <c r="K1274" s="135"/>
      <c r="L1274" s="136"/>
      <c r="M1274" s="137" t="str">
        <f>IFERROR(__xludf.DUMMYFUNCTION("IFERROR((FILTER(Data!A:A,Data!D:D=A1274,Data!B:B=$B$1)),"""")"),"")</f>
        <v/>
      </c>
      <c r="T1274" s="52">
        <f>IFERROR(__xludf.DUMMYFUNCTION("((COUNTIF(FILTER(Data!N:N,Data!D:D=A1274,Data!B:B=$B$1),""TRAVERSE"")*15)+(COUNTIF(FILTER(Data!N:N,Data!D:D=A1274,Data!B:B=B$1),""HIGH"")*10)+(COUNTIF(FILTER(Data!N:N,Data!D:D=A1274,Data!B:B=$B$1),""MIDDLE"")*6)+(COUNTIF(FILTER(Data!N:N,Data!D:D=A1274,Dat"&amp;"a!B:B=$B$1),""LOW"")*4))"),0.0)</f>
        <v>0</v>
      </c>
      <c r="V1274" s="138"/>
      <c r="W1274" s="134"/>
      <c r="X1274" s="134"/>
      <c r="Y1274" s="134"/>
      <c r="Z1274" s="134"/>
      <c r="AA1274" s="134"/>
      <c r="AB1274" s="134"/>
      <c r="AC1274" s="134"/>
      <c r="AD1274" s="139"/>
    </row>
    <row r="1275">
      <c r="A1275" s="143"/>
      <c r="B1275" s="134"/>
      <c r="C1275" s="134"/>
      <c r="D1275" s="134"/>
      <c r="E1275" s="134"/>
      <c r="F1275" s="134"/>
      <c r="G1275" s="134"/>
      <c r="H1275" s="134"/>
      <c r="J1275" s="134"/>
      <c r="K1275" s="135"/>
      <c r="L1275" s="136"/>
      <c r="M1275" s="137" t="str">
        <f>IFERROR(__xludf.DUMMYFUNCTION("IFERROR((FILTER(Data!A:A,Data!D:D=A1275,Data!B:B=$B$1)),"""")"),"")</f>
        <v/>
      </c>
      <c r="T1275" s="52">
        <f>IFERROR(__xludf.DUMMYFUNCTION("((COUNTIF(FILTER(Data!N:N,Data!D:D=A1275,Data!B:B=$B$1),""TRAVERSE"")*15)+(COUNTIF(FILTER(Data!N:N,Data!D:D=A1275,Data!B:B=B$1),""HIGH"")*10)+(COUNTIF(FILTER(Data!N:N,Data!D:D=A1275,Data!B:B=$B$1),""MIDDLE"")*6)+(COUNTIF(FILTER(Data!N:N,Data!D:D=A1275,Dat"&amp;"a!B:B=$B$1),""LOW"")*4))"),0.0)</f>
        <v>0</v>
      </c>
      <c r="V1275" s="138"/>
      <c r="W1275" s="134"/>
      <c r="X1275" s="134"/>
      <c r="Y1275" s="134"/>
      <c r="Z1275" s="134"/>
      <c r="AA1275" s="134"/>
      <c r="AB1275" s="134"/>
      <c r="AC1275" s="134"/>
      <c r="AD1275" s="139"/>
    </row>
    <row r="1276">
      <c r="A1276" s="143"/>
      <c r="B1276" s="134"/>
      <c r="C1276" s="134"/>
      <c r="D1276" s="134"/>
      <c r="E1276" s="134"/>
      <c r="F1276" s="134"/>
      <c r="G1276" s="134"/>
      <c r="H1276" s="134"/>
      <c r="J1276" s="134"/>
      <c r="K1276" s="135"/>
      <c r="L1276" s="136"/>
      <c r="M1276" s="137" t="str">
        <f>IFERROR(__xludf.DUMMYFUNCTION("IFERROR((FILTER(Data!A:A,Data!D:D=A1276,Data!B:B=$B$1)),"""")"),"")</f>
        <v/>
      </c>
      <c r="T1276" s="52">
        <f>IFERROR(__xludf.DUMMYFUNCTION("((COUNTIF(FILTER(Data!N:N,Data!D:D=A1276,Data!B:B=$B$1),""TRAVERSE"")*15)+(COUNTIF(FILTER(Data!N:N,Data!D:D=A1276,Data!B:B=B$1),""HIGH"")*10)+(COUNTIF(FILTER(Data!N:N,Data!D:D=A1276,Data!B:B=$B$1),""MIDDLE"")*6)+(COUNTIF(FILTER(Data!N:N,Data!D:D=A1276,Dat"&amp;"a!B:B=$B$1),""LOW"")*4))"),0.0)</f>
        <v>0</v>
      </c>
      <c r="V1276" s="138"/>
      <c r="W1276" s="134"/>
      <c r="X1276" s="134"/>
      <c r="Y1276" s="134"/>
      <c r="Z1276" s="134"/>
      <c r="AA1276" s="134"/>
      <c r="AB1276" s="134"/>
      <c r="AC1276" s="134"/>
      <c r="AD1276" s="139"/>
    </row>
    <row r="1277">
      <c r="A1277" s="143"/>
      <c r="B1277" s="134"/>
      <c r="C1277" s="134"/>
      <c r="D1277" s="134"/>
      <c r="E1277" s="134"/>
      <c r="F1277" s="134"/>
      <c r="G1277" s="134"/>
      <c r="H1277" s="134"/>
      <c r="J1277" s="134"/>
      <c r="K1277" s="135"/>
      <c r="L1277" s="136"/>
      <c r="M1277" s="137" t="str">
        <f>IFERROR(__xludf.DUMMYFUNCTION("IFERROR((FILTER(Data!A:A,Data!D:D=A1277,Data!B:B=$B$1)),"""")"),"")</f>
        <v/>
      </c>
      <c r="T1277" s="52">
        <f>IFERROR(__xludf.DUMMYFUNCTION("((COUNTIF(FILTER(Data!N:N,Data!D:D=A1277,Data!B:B=$B$1),""TRAVERSE"")*15)+(COUNTIF(FILTER(Data!N:N,Data!D:D=A1277,Data!B:B=B$1),""HIGH"")*10)+(COUNTIF(FILTER(Data!N:N,Data!D:D=A1277,Data!B:B=$B$1),""MIDDLE"")*6)+(COUNTIF(FILTER(Data!N:N,Data!D:D=A1277,Dat"&amp;"a!B:B=$B$1),""LOW"")*4))"),0.0)</f>
        <v>0</v>
      </c>
      <c r="V1277" s="138"/>
      <c r="W1277" s="134"/>
      <c r="X1277" s="134"/>
      <c r="Y1277" s="134"/>
      <c r="Z1277" s="134"/>
      <c r="AA1277" s="134"/>
      <c r="AB1277" s="134"/>
      <c r="AC1277" s="134"/>
      <c r="AD1277" s="139"/>
    </row>
    <row r="1278">
      <c r="A1278" s="143"/>
      <c r="B1278" s="134"/>
      <c r="C1278" s="134"/>
      <c r="D1278" s="134"/>
      <c r="E1278" s="134"/>
      <c r="F1278" s="134"/>
      <c r="G1278" s="134"/>
      <c r="H1278" s="134"/>
      <c r="J1278" s="134"/>
      <c r="K1278" s="135"/>
      <c r="L1278" s="136"/>
      <c r="M1278" s="137" t="str">
        <f>IFERROR(__xludf.DUMMYFUNCTION("IFERROR((FILTER(Data!A:A,Data!D:D=A1278,Data!B:B=$B$1)),"""")"),"")</f>
        <v/>
      </c>
      <c r="T1278" s="52"/>
      <c r="V1278" s="138"/>
      <c r="W1278" s="134"/>
      <c r="X1278" s="134"/>
      <c r="Y1278" s="134"/>
      <c r="Z1278" s="134"/>
      <c r="AA1278" s="134"/>
      <c r="AB1278" s="134"/>
      <c r="AC1278" s="134"/>
      <c r="AD1278" s="139"/>
    </row>
    <row r="1279">
      <c r="A1279" s="143"/>
      <c r="B1279" s="134"/>
      <c r="C1279" s="134"/>
      <c r="D1279" s="134"/>
      <c r="E1279" s="134"/>
      <c r="F1279" s="134"/>
      <c r="G1279" s="134"/>
      <c r="H1279" s="134"/>
      <c r="J1279" s="134"/>
      <c r="K1279" s="135"/>
      <c r="L1279" s="136"/>
      <c r="M1279" s="137" t="str">
        <f>IFERROR(__xludf.DUMMYFUNCTION("IFERROR((FILTER(Data!A:A,Data!D:D=A1279,Data!B:B=$B$1)),"""")"),"")</f>
        <v/>
      </c>
      <c r="T1279" s="52"/>
      <c r="V1279" s="138"/>
      <c r="W1279" s="134"/>
      <c r="X1279" s="134"/>
      <c r="Y1279" s="134"/>
      <c r="Z1279" s="134"/>
      <c r="AA1279" s="134"/>
      <c r="AB1279" s="134"/>
      <c r="AC1279" s="134"/>
      <c r="AD1279" s="139"/>
    </row>
    <row r="1280">
      <c r="A1280" s="143"/>
      <c r="B1280" s="134"/>
      <c r="C1280" s="134"/>
      <c r="D1280" s="134"/>
      <c r="E1280" s="134"/>
      <c r="F1280" s="134"/>
      <c r="G1280" s="134"/>
      <c r="H1280" s="134"/>
      <c r="J1280" s="134"/>
      <c r="K1280" s="135"/>
      <c r="L1280" s="136"/>
      <c r="M1280" s="137" t="str">
        <f>IFERROR(__xludf.DUMMYFUNCTION("IFERROR((FILTER(Data!A:A,Data!D:D=A1280,Data!B:B=$B$1)),"""")"),"")</f>
        <v/>
      </c>
      <c r="T1280" s="52"/>
      <c r="V1280" s="138"/>
      <c r="W1280" s="134"/>
      <c r="X1280" s="134"/>
      <c r="Y1280" s="134"/>
      <c r="Z1280" s="134"/>
      <c r="AA1280" s="134"/>
      <c r="AB1280" s="134"/>
      <c r="AC1280" s="134"/>
      <c r="AD1280" s="139"/>
    </row>
    <row r="1281">
      <c r="A1281" s="143"/>
      <c r="B1281" s="134"/>
      <c r="C1281" s="134"/>
      <c r="D1281" s="134"/>
      <c r="E1281" s="134"/>
      <c r="F1281" s="134"/>
      <c r="G1281" s="134"/>
      <c r="H1281" s="134"/>
      <c r="J1281" s="134"/>
      <c r="K1281" s="135"/>
      <c r="L1281" s="136"/>
      <c r="M1281" s="137" t="str">
        <f>IFERROR(__xludf.DUMMYFUNCTION("IFERROR((FILTER(Data!A:A,Data!D:D=A1281,Data!B:B=$B$1)),"""")"),"")</f>
        <v/>
      </c>
      <c r="T1281" s="52"/>
      <c r="V1281" s="138"/>
      <c r="W1281" s="134"/>
      <c r="X1281" s="134"/>
      <c r="Y1281" s="134"/>
      <c r="Z1281" s="134"/>
      <c r="AA1281" s="134"/>
      <c r="AB1281" s="134"/>
      <c r="AC1281" s="134"/>
      <c r="AD1281" s="139"/>
    </row>
    <row r="1282">
      <c r="A1282" s="143"/>
      <c r="B1282" s="134"/>
      <c r="C1282" s="134"/>
      <c r="D1282" s="134"/>
      <c r="E1282" s="134"/>
      <c r="F1282" s="134"/>
      <c r="G1282" s="134"/>
      <c r="H1282" s="134"/>
      <c r="J1282" s="134"/>
      <c r="K1282" s="135"/>
      <c r="L1282" s="136"/>
      <c r="M1282" s="137" t="str">
        <f>IFERROR(__xludf.DUMMYFUNCTION("IFERROR((FILTER(Data!A:A,Data!D:D=A1282,Data!B:B=$B$1)),"""")"),"")</f>
        <v/>
      </c>
      <c r="T1282" s="52"/>
      <c r="V1282" s="138"/>
      <c r="W1282" s="134"/>
      <c r="X1282" s="134"/>
      <c r="Y1282" s="134"/>
      <c r="Z1282" s="134"/>
      <c r="AA1282" s="134"/>
      <c r="AB1282" s="134"/>
      <c r="AC1282" s="134"/>
      <c r="AD1282" s="139"/>
    </row>
    <row r="1283">
      <c r="A1283" s="143"/>
      <c r="B1283" s="134"/>
      <c r="C1283" s="134"/>
      <c r="D1283" s="134"/>
      <c r="E1283" s="134"/>
      <c r="F1283" s="134"/>
      <c r="G1283" s="134"/>
      <c r="H1283" s="134"/>
      <c r="J1283" s="134"/>
      <c r="K1283" s="135"/>
      <c r="L1283" s="136"/>
      <c r="M1283" s="137" t="str">
        <f>IFERROR(__xludf.DUMMYFUNCTION("IFERROR((FILTER(Data!A:A,Data!D:D=A1283,Data!B:B=$B$1)),"""")"),"")</f>
        <v/>
      </c>
      <c r="T1283" s="52"/>
      <c r="V1283" s="138"/>
      <c r="W1283" s="134"/>
      <c r="X1283" s="134"/>
      <c r="Y1283" s="134"/>
      <c r="Z1283" s="134"/>
      <c r="AA1283" s="134"/>
      <c r="AB1283" s="134"/>
      <c r="AC1283" s="134"/>
      <c r="AD1283" s="139"/>
    </row>
    <row r="1284">
      <c r="A1284" s="143"/>
      <c r="B1284" s="134"/>
      <c r="C1284" s="134"/>
      <c r="D1284" s="134"/>
      <c r="E1284" s="134"/>
      <c r="F1284" s="134"/>
      <c r="G1284" s="134"/>
      <c r="H1284" s="134"/>
      <c r="J1284" s="134"/>
      <c r="K1284" s="135"/>
      <c r="L1284" s="136"/>
      <c r="M1284" s="137" t="str">
        <f>IFERROR(__xludf.DUMMYFUNCTION("IFERROR((FILTER(Data!A:A,Data!D:D=A1284,Data!B:B=$B$1)),"""")"),"")</f>
        <v/>
      </c>
      <c r="T1284" s="52"/>
      <c r="V1284" s="138"/>
      <c r="W1284" s="134"/>
      <c r="X1284" s="134"/>
      <c r="Y1284" s="134"/>
      <c r="Z1284" s="134"/>
      <c r="AA1284" s="134"/>
      <c r="AB1284" s="134"/>
      <c r="AC1284" s="134"/>
      <c r="AD1284" s="139"/>
    </row>
    <row r="1285">
      <c r="A1285" s="143"/>
      <c r="B1285" s="134"/>
      <c r="C1285" s="134"/>
      <c r="D1285" s="134"/>
      <c r="E1285" s="134"/>
      <c r="F1285" s="134"/>
      <c r="G1285" s="134"/>
      <c r="H1285" s="134"/>
      <c r="J1285" s="134"/>
      <c r="K1285" s="135"/>
      <c r="L1285" s="136"/>
      <c r="M1285" s="144"/>
      <c r="T1285" s="52"/>
      <c r="V1285" s="138"/>
      <c r="W1285" s="134"/>
      <c r="X1285" s="134"/>
      <c r="Y1285" s="134"/>
      <c r="Z1285" s="134"/>
      <c r="AA1285" s="134"/>
      <c r="AB1285" s="134"/>
      <c r="AC1285" s="134"/>
      <c r="AD1285" s="139"/>
    </row>
    <row r="1286">
      <c r="A1286" s="143"/>
      <c r="B1286" s="134"/>
      <c r="C1286" s="134"/>
      <c r="D1286" s="134"/>
      <c r="E1286" s="134"/>
      <c r="F1286" s="134"/>
      <c r="G1286" s="134"/>
      <c r="H1286" s="134"/>
      <c r="J1286" s="134"/>
      <c r="K1286" s="135"/>
      <c r="L1286" s="136"/>
      <c r="M1286" s="144"/>
      <c r="T1286" s="52"/>
      <c r="V1286" s="138"/>
      <c r="W1286" s="134"/>
      <c r="X1286" s="134"/>
      <c r="Y1286" s="134"/>
      <c r="Z1286" s="134"/>
      <c r="AA1286" s="134"/>
      <c r="AB1286" s="134"/>
      <c r="AC1286" s="134"/>
      <c r="AD1286" s="139"/>
    </row>
    <row r="1287">
      <c r="A1287" s="143"/>
      <c r="B1287" s="134"/>
      <c r="C1287" s="134"/>
      <c r="D1287" s="134"/>
      <c r="E1287" s="134"/>
      <c r="F1287" s="134"/>
      <c r="G1287" s="134"/>
      <c r="H1287" s="134"/>
      <c r="J1287" s="134"/>
      <c r="K1287" s="135"/>
      <c r="L1287" s="136"/>
      <c r="M1287" s="144"/>
      <c r="T1287" s="52"/>
      <c r="V1287" s="138"/>
      <c r="W1287" s="134"/>
      <c r="X1287" s="134"/>
      <c r="Y1287" s="134"/>
      <c r="Z1287" s="134"/>
      <c r="AA1287" s="134"/>
      <c r="AB1287" s="134"/>
      <c r="AC1287" s="134"/>
      <c r="AD1287" s="139"/>
    </row>
    <row r="1288">
      <c r="A1288" s="143"/>
      <c r="B1288" s="134"/>
      <c r="C1288" s="134"/>
      <c r="D1288" s="134"/>
      <c r="E1288" s="134"/>
      <c r="F1288" s="134"/>
      <c r="G1288" s="134"/>
      <c r="H1288" s="134"/>
      <c r="J1288" s="134"/>
      <c r="K1288" s="135"/>
      <c r="L1288" s="136"/>
      <c r="M1288" s="144"/>
      <c r="T1288" s="52"/>
      <c r="V1288" s="138"/>
      <c r="W1288" s="134"/>
      <c r="X1288" s="134"/>
      <c r="Y1288" s="134"/>
      <c r="Z1288" s="134"/>
      <c r="AA1288" s="134"/>
      <c r="AB1288" s="134"/>
      <c r="AC1288" s="134"/>
      <c r="AD1288" s="139"/>
    </row>
    <row r="1289">
      <c r="A1289" s="143"/>
      <c r="B1289" s="134"/>
      <c r="C1289" s="134"/>
      <c r="D1289" s="134"/>
      <c r="E1289" s="134"/>
      <c r="F1289" s="134"/>
      <c r="G1289" s="134"/>
      <c r="H1289" s="134"/>
      <c r="J1289" s="134"/>
      <c r="K1289" s="135"/>
      <c r="L1289" s="136"/>
      <c r="M1289" s="144"/>
      <c r="T1289" s="52"/>
      <c r="V1289" s="138"/>
      <c r="W1289" s="134"/>
      <c r="X1289" s="134"/>
      <c r="Y1289" s="134"/>
      <c r="Z1289" s="134"/>
      <c r="AA1289" s="134"/>
      <c r="AB1289" s="134"/>
      <c r="AC1289" s="134"/>
      <c r="AD1289" s="139"/>
    </row>
    <row r="1290">
      <c r="A1290" s="143"/>
      <c r="B1290" s="134"/>
      <c r="C1290" s="134"/>
      <c r="D1290" s="134"/>
      <c r="E1290" s="134"/>
      <c r="F1290" s="134"/>
      <c r="G1290" s="134"/>
      <c r="H1290" s="134"/>
      <c r="J1290" s="134"/>
      <c r="K1290" s="135"/>
      <c r="L1290" s="136"/>
      <c r="M1290" s="144"/>
      <c r="T1290" s="52"/>
      <c r="V1290" s="138"/>
      <c r="W1290" s="134"/>
      <c r="X1290" s="134"/>
      <c r="Y1290" s="134"/>
      <c r="Z1290" s="134"/>
      <c r="AA1290" s="134"/>
      <c r="AB1290" s="134"/>
      <c r="AC1290" s="134"/>
      <c r="AD1290" s="139"/>
    </row>
    <row r="1291">
      <c r="A1291" s="143"/>
      <c r="B1291" s="134"/>
      <c r="C1291" s="134"/>
      <c r="D1291" s="134"/>
      <c r="E1291" s="134"/>
      <c r="F1291" s="134"/>
      <c r="G1291" s="134"/>
      <c r="H1291" s="134"/>
      <c r="J1291" s="134"/>
      <c r="K1291" s="135"/>
      <c r="L1291" s="136"/>
      <c r="M1291" s="144"/>
      <c r="T1291" s="52"/>
      <c r="V1291" s="138"/>
      <c r="W1291" s="134"/>
      <c r="X1291" s="134"/>
      <c r="Y1291" s="134"/>
      <c r="Z1291" s="134"/>
      <c r="AA1291" s="134"/>
      <c r="AB1291" s="134"/>
      <c r="AC1291" s="134"/>
      <c r="AD1291" s="139"/>
    </row>
    <row r="1292">
      <c r="A1292" s="143"/>
      <c r="B1292" s="134"/>
      <c r="C1292" s="134"/>
      <c r="D1292" s="134"/>
      <c r="E1292" s="134"/>
      <c r="F1292" s="134"/>
      <c r="G1292" s="134"/>
      <c r="H1292" s="134"/>
      <c r="J1292" s="134"/>
      <c r="K1292" s="135"/>
      <c r="L1292" s="136"/>
      <c r="M1292" s="144"/>
      <c r="T1292" s="52"/>
      <c r="V1292" s="138"/>
      <c r="W1292" s="134"/>
      <c r="X1292" s="134"/>
      <c r="Y1292" s="134"/>
      <c r="Z1292" s="134"/>
      <c r="AA1292" s="134"/>
      <c r="AB1292" s="134"/>
      <c r="AC1292" s="134"/>
      <c r="AD1292" s="139"/>
    </row>
    <row r="1293">
      <c r="A1293" s="143"/>
      <c r="B1293" s="134"/>
      <c r="C1293" s="134"/>
      <c r="D1293" s="134"/>
      <c r="E1293" s="134"/>
      <c r="F1293" s="134"/>
      <c r="G1293" s="134"/>
      <c r="H1293" s="134"/>
      <c r="J1293" s="134"/>
      <c r="K1293" s="135"/>
      <c r="L1293" s="136"/>
      <c r="M1293" s="144"/>
      <c r="T1293" s="52"/>
      <c r="V1293" s="138"/>
      <c r="W1293" s="134"/>
      <c r="X1293" s="134"/>
      <c r="Y1293" s="134"/>
      <c r="Z1293" s="134"/>
      <c r="AA1293" s="134"/>
      <c r="AB1293" s="134"/>
      <c r="AC1293" s="134"/>
      <c r="AD1293" s="139"/>
    </row>
    <row r="1294">
      <c r="A1294" s="143"/>
      <c r="B1294" s="134"/>
      <c r="C1294" s="134"/>
      <c r="D1294" s="134"/>
      <c r="E1294" s="134"/>
      <c r="F1294" s="134"/>
      <c r="G1294" s="134"/>
      <c r="H1294" s="134"/>
      <c r="J1294" s="134"/>
      <c r="K1294" s="135"/>
      <c r="L1294" s="136"/>
      <c r="M1294" s="144"/>
      <c r="T1294" s="52"/>
      <c r="V1294" s="138"/>
      <c r="W1294" s="134"/>
      <c r="X1294" s="134"/>
      <c r="Y1294" s="134"/>
      <c r="Z1294" s="134"/>
      <c r="AA1294" s="134"/>
      <c r="AB1294" s="134"/>
      <c r="AC1294" s="134"/>
      <c r="AD1294" s="139"/>
    </row>
    <row r="1295">
      <c r="A1295" s="143"/>
      <c r="B1295" s="134"/>
      <c r="C1295" s="134"/>
      <c r="D1295" s="134"/>
      <c r="E1295" s="134"/>
      <c r="F1295" s="134"/>
      <c r="G1295" s="134"/>
      <c r="H1295" s="134"/>
      <c r="J1295" s="134"/>
      <c r="K1295" s="135"/>
      <c r="L1295" s="136"/>
      <c r="M1295" s="144"/>
      <c r="T1295" s="52"/>
      <c r="V1295" s="138"/>
      <c r="W1295" s="134"/>
      <c r="X1295" s="134"/>
      <c r="Y1295" s="134"/>
      <c r="Z1295" s="134"/>
      <c r="AA1295" s="134"/>
      <c r="AB1295" s="134"/>
      <c r="AC1295" s="134"/>
      <c r="AD1295" s="139"/>
    </row>
    <row r="1296">
      <c r="A1296" s="143"/>
      <c r="B1296" s="134"/>
      <c r="C1296" s="134"/>
      <c r="D1296" s="134"/>
      <c r="E1296" s="134"/>
      <c r="F1296" s="134"/>
      <c r="G1296" s="134"/>
      <c r="H1296" s="134"/>
      <c r="J1296" s="134"/>
      <c r="K1296" s="135"/>
      <c r="L1296" s="136"/>
      <c r="M1296" s="144"/>
      <c r="T1296" s="52"/>
      <c r="V1296" s="138"/>
      <c r="W1296" s="134"/>
      <c r="X1296" s="134"/>
      <c r="Y1296" s="134"/>
      <c r="Z1296" s="134"/>
      <c r="AA1296" s="134"/>
      <c r="AB1296" s="134"/>
      <c r="AC1296" s="134"/>
      <c r="AD1296" s="139"/>
    </row>
    <row r="1297">
      <c r="A1297" s="143"/>
      <c r="B1297" s="134"/>
      <c r="C1297" s="134"/>
      <c r="D1297" s="134"/>
      <c r="E1297" s="134"/>
      <c r="F1297" s="134"/>
      <c r="G1297" s="134"/>
      <c r="H1297" s="134"/>
      <c r="J1297" s="134"/>
      <c r="K1297" s="135"/>
      <c r="L1297" s="136"/>
      <c r="M1297" s="144"/>
      <c r="T1297" s="52"/>
      <c r="V1297" s="138"/>
      <c r="W1297" s="134"/>
      <c r="X1297" s="134"/>
      <c r="Y1297" s="134"/>
      <c r="Z1297" s="134"/>
      <c r="AA1297" s="134"/>
      <c r="AB1297" s="134"/>
      <c r="AC1297" s="134"/>
      <c r="AD1297" s="139"/>
    </row>
    <row r="1298">
      <c r="A1298" s="143"/>
      <c r="B1298" s="134"/>
      <c r="C1298" s="134"/>
      <c r="D1298" s="134"/>
      <c r="E1298" s="134"/>
      <c r="F1298" s="134"/>
      <c r="G1298" s="134"/>
      <c r="H1298" s="134"/>
      <c r="J1298" s="134"/>
      <c r="K1298" s="135"/>
      <c r="L1298" s="136"/>
      <c r="M1298" s="144"/>
      <c r="T1298" s="52"/>
      <c r="V1298" s="138"/>
      <c r="W1298" s="134"/>
      <c r="X1298" s="134"/>
      <c r="Y1298" s="134"/>
      <c r="Z1298" s="134"/>
      <c r="AA1298" s="134"/>
      <c r="AB1298" s="134"/>
      <c r="AC1298" s="134"/>
      <c r="AD1298" s="139"/>
    </row>
    <row r="1299">
      <c r="A1299" s="143"/>
      <c r="B1299" s="134"/>
      <c r="C1299" s="134"/>
      <c r="D1299" s="134"/>
      <c r="E1299" s="134"/>
      <c r="F1299" s="134"/>
      <c r="G1299" s="134"/>
      <c r="H1299" s="134"/>
      <c r="J1299" s="134"/>
      <c r="K1299" s="135"/>
      <c r="L1299" s="136"/>
      <c r="M1299" s="144"/>
      <c r="T1299" s="52"/>
      <c r="V1299" s="138"/>
      <c r="W1299" s="134"/>
      <c r="X1299" s="134"/>
      <c r="Y1299" s="134"/>
      <c r="Z1299" s="134"/>
      <c r="AA1299" s="134"/>
      <c r="AB1299" s="134"/>
      <c r="AC1299" s="134"/>
      <c r="AD1299" s="139"/>
    </row>
    <row r="1300">
      <c r="A1300" s="143"/>
      <c r="B1300" s="134"/>
      <c r="C1300" s="134"/>
      <c r="D1300" s="134"/>
      <c r="E1300" s="134"/>
      <c r="F1300" s="134"/>
      <c r="G1300" s="134"/>
      <c r="H1300" s="134"/>
      <c r="J1300" s="134"/>
      <c r="K1300" s="135"/>
      <c r="L1300" s="136"/>
      <c r="M1300" s="144"/>
      <c r="T1300" s="52"/>
      <c r="V1300" s="138"/>
      <c r="W1300" s="134"/>
      <c r="X1300" s="134"/>
      <c r="Y1300" s="134"/>
      <c r="Z1300" s="134"/>
      <c r="AA1300" s="134"/>
      <c r="AB1300" s="134"/>
      <c r="AC1300" s="134"/>
      <c r="AD1300" s="139"/>
    </row>
    <row r="1301">
      <c r="A1301" s="143"/>
      <c r="B1301" s="134"/>
      <c r="C1301" s="134"/>
      <c r="D1301" s="134"/>
      <c r="E1301" s="134"/>
      <c r="F1301" s="134"/>
      <c r="G1301" s="134"/>
      <c r="H1301" s="134"/>
      <c r="J1301" s="134"/>
      <c r="K1301" s="135"/>
      <c r="L1301" s="136"/>
      <c r="M1301" s="144"/>
      <c r="T1301" s="52"/>
      <c r="V1301" s="138"/>
      <c r="W1301" s="134"/>
      <c r="X1301" s="134"/>
      <c r="Y1301" s="134"/>
      <c r="Z1301" s="134"/>
      <c r="AA1301" s="134"/>
      <c r="AB1301" s="134"/>
      <c r="AC1301" s="134"/>
      <c r="AD1301" s="139"/>
    </row>
    <row r="1302">
      <c r="A1302" s="143"/>
      <c r="B1302" s="134"/>
      <c r="C1302" s="134"/>
      <c r="D1302" s="134"/>
      <c r="E1302" s="134"/>
      <c r="F1302" s="134"/>
      <c r="G1302" s="134"/>
      <c r="H1302" s="134"/>
      <c r="J1302" s="134"/>
      <c r="K1302" s="135"/>
      <c r="L1302" s="136"/>
      <c r="M1302" s="144"/>
      <c r="T1302" s="52"/>
      <c r="V1302" s="138"/>
      <c r="W1302" s="134"/>
      <c r="X1302" s="134"/>
      <c r="Y1302" s="134"/>
      <c r="Z1302" s="134"/>
      <c r="AA1302" s="134"/>
      <c r="AB1302" s="134"/>
      <c r="AC1302" s="134"/>
      <c r="AD1302" s="139"/>
    </row>
    <row r="1303">
      <c r="A1303" s="143"/>
      <c r="B1303" s="134"/>
      <c r="C1303" s="134"/>
      <c r="D1303" s="134"/>
      <c r="E1303" s="134"/>
      <c r="F1303" s="134"/>
      <c r="G1303" s="134"/>
      <c r="H1303" s="134"/>
      <c r="J1303" s="134"/>
      <c r="K1303" s="135"/>
      <c r="L1303" s="136"/>
      <c r="M1303" s="144"/>
      <c r="T1303" s="52"/>
      <c r="V1303" s="138"/>
      <c r="W1303" s="134"/>
      <c r="X1303" s="134"/>
      <c r="Y1303" s="134"/>
      <c r="Z1303" s="134"/>
      <c r="AA1303" s="134"/>
      <c r="AB1303" s="134"/>
      <c r="AC1303" s="134"/>
      <c r="AD1303" s="139"/>
    </row>
    <row r="1304">
      <c r="A1304" s="143"/>
      <c r="B1304" s="134"/>
      <c r="C1304" s="134"/>
      <c r="D1304" s="134"/>
      <c r="E1304" s="134"/>
      <c r="F1304" s="134"/>
      <c r="G1304" s="134"/>
      <c r="H1304" s="134"/>
      <c r="J1304" s="134"/>
      <c r="K1304" s="135"/>
      <c r="L1304" s="136"/>
      <c r="M1304" s="144"/>
      <c r="T1304" s="52"/>
      <c r="V1304" s="138"/>
      <c r="W1304" s="134"/>
      <c r="X1304" s="134"/>
      <c r="Y1304" s="134"/>
      <c r="Z1304" s="134"/>
      <c r="AA1304" s="134"/>
      <c r="AB1304" s="134"/>
      <c r="AC1304" s="134"/>
      <c r="AD1304" s="139"/>
    </row>
    <row r="1305">
      <c r="A1305" s="143"/>
      <c r="B1305" s="134"/>
      <c r="C1305" s="134"/>
      <c r="D1305" s="134"/>
      <c r="E1305" s="134"/>
      <c r="F1305" s="134"/>
      <c r="G1305" s="134"/>
      <c r="H1305" s="134"/>
      <c r="J1305" s="134"/>
      <c r="K1305" s="135"/>
      <c r="L1305" s="136"/>
      <c r="M1305" s="144"/>
      <c r="T1305" s="52"/>
      <c r="V1305" s="138"/>
      <c r="W1305" s="134"/>
      <c r="X1305" s="134"/>
      <c r="Y1305" s="134"/>
      <c r="Z1305" s="134"/>
      <c r="AA1305" s="134"/>
      <c r="AB1305" s="134"/>
      <c r="AC1305" s="134"/>
      <c r="AD1305" s="139"/>
    </row>
    <row r="1306">
      <c r="A1306" s="143"/>
      <c r="B1306" s="134"/>
      <c r="C1306" s="134"/>
      <c r="D1306" s="134"/>
      <c r="E1306" s="134"/>
      <c r="F1306" s="134"/>
      <c r="G1306" s="134"/>
      <c r="H1306" s="134"/>
      <c r="J1306" s="134"/>
      <c r="K1306" s="135"/>
      <c r="L1306" s="136"/>
      <c r="M1306" s="144"/>
      <c r="T1306" s="52"/>
      <c r="V1306" s="138"/>
      <c r="W1306" s="134"/>
      <c r="X1306" s="134"/>
      <c r="Y1306" s="134"/>
      <c r="Z1306" s="134"/>
      <c r="AA1306" s="134"/>
      <c r="AB1306" s="134"/>
      <c r="AC1306" s="134"/>
      <c r="AD1306" s="139"/>
    </row>
    <row r="1307">
      <c r="A1307" s="143"/>
      <c r="B1307" s="134"/>
      <c r="C1307" s="134"/>
      <c r="D1307" s="134"/>
      <c r="E1307" s="134"/>
      <c r="F1307" s="134"/>
      <c r="G1307" s="134"/>
      <c r="H1307" s="134"/>
      <c r="J1307" s="134"/>
      <c r="K1307" s="135"/>
      <c r="L1307" s="136"/>
      <c r="M1307" s="144"/>
      <c r="T1307" s="52"/>
      <c r="V1307" s="138"/>
      <c r="W1307" s="134"/>
      <c r="X1307" s="134"/>
      <c r="Y1307" s="134"/>
      <c r="Z1307" s="134"/>
      <c r="AA1307" s="134"/>
      <c r="AB1307" s="134"/>
      <c r="AC1307" s="134"/>
      <c r="AD1307" s="139"/>
    </row>
    <row r="1308">
      <c r="A1308" s="143"/>
      <c r="B1308" s="134"/>
      <c r="C1308" s="134"/>
      <c r="D1308" s="134"/>
      <c r="E1308" s="134"/>
      <c r="F1308" s="134"/>
      <c r="G1308" s="134"/>
      <c r="H1308" s="134"/>
      <c r="J1308" s="134"/>
      <c r="K1308" s="135"/>
      <c r="L1308" s="136"/>
      <c r="M1308" s="144"/>
      <c r="T1308" s="52"/>
      <c r="V1308" s="138"/>
      <c r="W1308" s="134"/>
      <c r="X1308" s="134"/>
      <c r="Y1308" s="134"/>
      <c r="Z1308" s="134"/>
      <c r="AA1308" s="134"/>
      <c r="AB1308" s="134"/>
      <c r="AC1308" s="134"/>
      <c r="AD1308" s="139"/>
    </row>
    <row r="1309">
      <c r="A1309" s="143"/>
      <c r="B1309" s="134"/>
      <c r="C1309" s="134"/>
      <c r="D1309" s="134"/>
      <c r="E1309" s="134"/>
      <c r="F1309" s="134"/>
      <c r="G1309" s="134"/>
      <c r="H1309" s="134"/>
      <c r="J1309" s="134"/>
      <c r="K1309" s="135"/>
      <c r="L1309" s="136"/>
      <c r="M1309" s="144"/>
      <c r="T1309" s="52"/>
      <c r="V1309" s="138"/>
      <c r="W1309" s="134"/>
      <c r="X1309" s="134"/>
      <c r="Y1309" s="134"/>
      <c r="Z1309" s="134"/>
      <c r="AA1309" s="134"/>
      <c r="AB1309" s="134"/>
      <c r="AC1309" s="134"/>
      <c r="AD1309" s="139"/>
    </row>
    <row r="1310">
      <c r="A1310" s="143"/>
      <c r="B1310" s="134"/>
      <c r="C1310" s="134"/>
      <c r="D1310" s="134"/>
      <c r="E1310" s="134"/>
      <c r="F1310" s="134"/>
      <c r="G1310" s="134"/>
      <c r="H1310" s="134"/>
      <c r="J1310" s="134"/>
      <c r="K1310" s="135"/>
      <c r="L1310" s="136"/>
      <c r="M1310" s="144"/>
      <c r="T1310" s="52"/>
      <c r="V1310" s="138"/>
      <c r="W1310" s="134"/>
      <c r="X1310" s="134"/>
      <c r="Y1310" s="134"/>
      <c r="Z1310" s="134"/>
      <c r="AA1310" s="134"/>
      <c r="AB1310" s="134"/>
      <c r="AC1310" s="134"/>
      <c r="AD1310" s="139"/>
    </row>
    <row r="1311">
      <c r="A1311" s="143"/>
      <c r="B1311" s="134"/>
      <c r="C1311" s="134"/>
      <c r="D1311" s="134"/>
      <c r="E1311" s="134"/>
      <c r="F1311" s="134"/>
      <c r="G1311" s="134"/>
      <c r="H1311" s="134"/>
      <c r="J1311" s="134"/>
      <c r="K1311" s="135"/>
      <c r="L1311" s="136"/>
      <c r="M1311" s="144"/>
      <c r="T1311" s="52"/>
      <c r="V1311" s="138"/>
      <c r="W1311" s="134"/>
      <c r="X1311" s="134"/>
      <c r="Y1311" s="134"/>
      <c r="Z1311" s="134"/>
      <c r="AA1311" s="134"/>
      <c r="AB1311" s="134"/>
      <c r="AC1311" s="134"/>
      <c r="AD1311" s="139"/>
    </row>
    <row r="1312">
      <c r="A1312" s="143"/>
      <c r="B1312" s="134"/>
      <c r="C1312" s="134"/>
      <c r="D1312" s="134"/>
      <c r="E1312" s="134"/>
      <c r="F1312" s="134"/>
      <c r="G1312" s="134"/>
      <c r="H1312" s="134"/>
      <c r="J1312" s="134"/>
      <c r="K1312" s="135"/>
      <c r="L1312" s="136"/>
      <c r="M1312" s="144"/>
      <c r="T1312" s="52"/>
      <c r="V1312" s="138"/>
      <c r="W1312" s="134"/>
      <c r="X1312" s="134"/>
      <c r="Y1312" s="134"/>
      <c r="Z1312" s="134"/>
      <c r="AA1312" s="134"/>
      <c r="AB1312" s="134"/>
      <c r="AC1312" s="134"/>
      <c r="AD1312" s="139"/>
    </row>
    <row r="1313">
      <c r="A1313" s="143"/>
      <c r="B1313" s="134"/>
      <c r="C1313" s="134"/>
      <c r="D1313" s="134"/>
      <c r="E1313" s="134"/>
      <c r="F1313" s="134"/>
      <c r="G1313" s="134"/>
      <c r="H1313" s="134"/>
      <c r="J1313" s="134"/>
      <c r="K1313" s="135"/>
      <c r="L1313" s="136"/>
      <c r="M1313" s="144"/>
      <c r="T1313" s="52"/>
      <c r="V1313" s="138"/>
      <c r="W1313" s="134"/>
      <c r="X1313" s="134"/>
      <c r="Y1313" s="134"/>
      <c r="Z1313" s="134"/>
      <c r="AA1313" s="134"/>
      <c r="AB1313" s="134"/>
      <c r="AC1313" s="134"/>
      <c r="AD1313" s="139"/>
    </row>
    <row r="1314">
      <c r="A1314" s="143"/>
      <c r="B1314" s="134"/>
      <c r="C1314" s="134"/>
      <c r="D1314" s="134"/>
      <c r="E1314" s="134"/>
      <c r="F1314" s="134"/>
      <c r="G1314" s="134"/>
      <c r="H1314" s="134"/>
      <c r="J1314" s="134"/>
      <c r="K1314" s="135"/>
      <c r="L1314" s="136"/>
      <c r="M1314" s="144"/>
      <c r="T1314" s="52"/>
      <c r="V1314" s="138"/>
      <c r="W1314" s="134"/>
      <c r="X1314" s="134"/>
      <c r="Y1314" s="134"/>
      <c r="Z1314" s="134"/>
      <c r="AA1314" s="134"/>
      <c r="AB1314" s="134"/>
      <c r="AC1314" s="134"/>
      <c r="AD1314" s="139"/>
    </row>
    <row r="1315">
      <c r="A1315" s="143"/>
      <c r="B1315" s="134"/>
      <c r="C1315" s="134"/>
      <c r="D1315" s="134"/>
      <c r="E1315" s="134"/>
      <c r="F1315" s="134"/>
      <c r="G1315" s="134"/>
      <c r="H1315" s="134"/>
      <c r="J1315" s="134"/>
      <c r="K1315" s="135"/>
      <c r="L1315" s="136"/>
      <c r="M1315" s="144"/>
      <c r="T1315" s="52"/>
      <c r="V1315" s="138"/>
      <c r="W1315" s="134"/>
      <c r="X1315" s="134"/>
      <c r="Y1315" s="134"/>
      <c r="Z1315" s="134"/>
      <c r="AA1315" s="134"/>
      <c r="AB1315" s="134"/>
      <c r="AC1315" s="134"/>
      <c r="AD1315" s="139"/>
    </row>
    <row r="1316">
      <c r="A1316" s="143"/>
      <c r="B1316" s="134"/>
      <c r="C1316" s="134"/>
      <c r="D1316" s="134"/>
      <c r="E1316" s="134"/>
      <c r="F1316" s="134"/>
      <c r="G1316" s="134"/>
      <c r="H1316" s="134"/>
      <c r="J1316" s="134"/>
      <c r="K1316" s="135"/>
      <c r="L1316" s="136"/>
      <c r="M1316" s="144"/>
      <c r="T1316" s="52"/>
      <c r="V1316" s="138"/>
      <c r="W1316" s="134"/>
      <c r="X1316" s="134"/>
      <c r="Y1316" s="134"/>
      <c r="Z1316" s="134"/>
      <c r="AA1316" s="134"/>
      <c r="AB1316" s="134"/>
      <c r="AC1316" s="134"/>
      <c r="AD1316" s="139"/>
    </row>
    <row r="1317">
      <c r="A1317" s="143"/>
      <c r="B1317" s="134"/>
      <c r="C1317" s="134"/>
      <c r="D1317" s="134"/>
      <c r="E1317" s="134"/>
      <c r="F1317" s="134"/>
      <c r="G1317" s="134"/>
      <c r="H1317" s="134"/>
      <c r="J1317" s="134"/>
      <c r="K1317" s="135"/>
      <c r="L1317" s="136"/>
      <c r="M1317" s="144"/>
      <c r="T1317" s="52"/>
      <c r="V1317" s="138"/>
      <c r="W1317" s="134"/>
      <c r="X1317" s="134"/>
      <c r="Y1317" s="134"/>
      <c r="Z1317" s="134"/>
      <c r="AA1317" s="134"/>
      <c r="AB1317" s="134"/>
      <c r="AC1317" s="134"/>
      <c r="AD1317" s="139"/>
    </row>
    <row r="1318">
      <c r="A1318" s="143"/>
      <c r="B1318" s="134"/>
      <c r="C1318" s="134"/>
      <c r="D1318" s="134"/>
      <c r="E1318" s="134"/>
      <c r="F1318" s="134"/>
      <c r="G1318" s="134"/>
      <c r="H1318" s="134"/>
      <c r="J1318" s="134"/>
      <c r="K1318" s="135"/>
      <c r="L1318" s="136"/>
      <c r="M1318" s="144"/>
      <c r="T1318" s="52"/>
      <c r="V1318" s="138"/>
      <c r="W1318" s="134"/>
      <c r="X1318" s="134"/>
      <c r="Y1318" s="134"/>
      <c r="Z1318" s="134"/>
      <c r="AA1318" s="134"/>
      <c r="AB1318" s="134"/>
      <c r="AC1318" s="134"/>
      <c r="AD1318" s="139"/>
    </row>
    <row r="1319">
      <c r="A1319" s="143"/>
      <c r="B1319" s="134"/>
      <c r="C1319" s="134"/>
      <c r="D1319" s="134"/>
      <c r="E1319" s="134"/>
      <c r="F1319" s="134"/>
      <c r="G1319" s="134"/>
      <c r="H1319" s="134"/>
      <c r="J1319" s="134"/>
      <c r="K1319" s="135"/>
      <c r="L1319" s="136"/>
      <c r="M1319" s="144"/>
      <c r="T1319" s="52"/>
      <c r="V1319" s="138"/>
      <c r="W1319" s="134"/>
      <c r="X1319" s="134"/>
      <c r="Y1319" s="134"/>
      <c r="Z1319" s="134"/>
      <c r="AA1319" s="134"/>
      <c r="AB1319" s="134"/>
      <c r="AC1319" s="134"/>
      <c r="AD1319" s="139"/>
    </row>
    <row r="1320">
      <c r="A1320" s="143"/>
      <c r="B1320" s="134"/>
      <c r="C1320" s="134"/>
      <c r="D1320" s="134"/>
      <c r="E1320" s="134"/>
      <c r="F1320" s="134"/>
      <c r="G1320" s="134"/>
      <c r="H1320" s="134"/>
      <c r="J1320" s="134"/>
      <c r="K1320" s="135"/>
      <c r="L1320" s="136"/>
      <c r="M1320" s="144"/>
      <c r="T1320" s="52"/>
      <c r="V1320" s="138"/>
      <c r="W1320" s="134"/>
      <c r="X1320" s="134"/>
      <c r="Y1320" s="134"/>
      <c r="Z1320" s="134"/>
      <c r="AA1320" s="134"/>
      <c r="AB1320" s="134"/>
      <c r="AC1320" s="134"/>
      <c r="AD1320" s="139"/>
    </row>
    <row r="1321">
      <c r="A1321" s="143"/>
      <c r="B1321" s="134"/>
      <c r="C1321" s="134"/>
      <c r="D1321" s="134"/>
      <c r="E1321" s="134"/>
      <c r="F1321" s="134"/>
      <c r="G1321" s="134"/>
      <c r="H1321" s="134"/>
      <c r="J1321" s="134"/>
      <c r="K1321" s="135"/>
      <c r="L1321" s="136"/>
      <c r="M1321" s="144"/>
      <c r="T1321" s="52"/>
      <c r="V1321" s="138"/>
      <c r="W1321" s="134"/>
      <c r="X1321" s="134"/>
      <c r="Y1321" s="134"/>
      <c r="Z1321" s="134"/>
      <c r="AA1321" s="134"/>
      <c r="AB1321" s="134"/>
      <c r="AC1321" s="134"/>
      <c r="AD1321" s="139"/>
    </row>
    <row r="1322">
      <c r="A1322" s="143"/>
      <c r="B1322" s="134"/>
      <c r="C1322" s="134"/>
      <c r="D1322" s="134"/>
      <c r="E1322" s="134"/>
      <c r="F1322" s="134"/>
      <c r="G1322" s="134"/>
      <c r="H1322" s="134"/>
      <c r="J1322" s="134"/>
      <c r="K1322" s="135"/>
      <c r="L1322" s="136"/>
      <c r="M1322" s="144"/>
      <c r="T1322" s="52"/>
      <c r="V1322" s="138"/>
      <c r="W1322" s="134"/>
      <c r="X1322" s="134"/>
      <c r="Y1322" s="134"/>
      <c r="Z1322" s="134"/>
      <c r="AA1322" s="134"/>
      <c r="AB1322" s="134"/>
      <c r="AC1322" s="134"/>
      <c r="AD1322" s="139"/>
    </row>
    <row r="1323">
      <c r="A1323" s="143"/>
      <c r="B1323" s="134"/>
      <c r="C1323" s="134"/>
      <c r="D1323" s="134"/>
      <c r="E1323" s="134"/>
      <c r="F1323" s="134"/>
      <c r="G1323" s="134"/>
      <c r="H1323" s="134"/>
      <c r="J1323" s="134"/>
      <c r="K1323" s="135"/>
      <c r="L1323" s="136"/>
      <c r="M1323" s="144"/>
      <c r="T1323" s="52"/>
      <c r="V1323" s="138"/>
      <c r="W1323" s="134"/>
      <c r="X1323" s="134"/>
      <c r="Y1323" s="134"/>
      <c r="Z1323" s="134"/>
      <c r="AA1323" s="134"/>
      <c r="AB1323" s="134"/>
      <c r="AC1323" s="134"/>
      <c r="AD1323" s="139"/>
    </row>
    <row r="1324">
      <c r="A1324" s="143"/>
      <c r="B1324" s="134"/>
      <c r="C1324" s="134"/>
      <c r="D1324" s="134"/>
      <c r="E1324" s="134"/>
      <c r="F1324" s="134"/>
      <c r="G1324" s="134"/>
      <c r="H1324" s="134"/>
      <c r="J1324" s="134"/>
      <c r="K1324" s="135"/>
      <c r="L1324" s="136"/>
      <c r="M1324" s="144"/>
      <c r="T1324" s="52"/>
      <c r="V1324" s="138"/>
      <c r="W1324" s="134"/>
      <c r="X1324" s="134"/>
      <c r="Y1324" s="134"/>
      <c r="Z1324" s="134"/>
      <c r="AA1324" s="134"/>
      <c r="AB1324" s="134"/>
      <c r="AC1324" s="134"/>
      <c r="AD1324" s="139"/>
    </row>
    <row r="1325">
      <c r="A1325" s="143"/>
      <c r="B1325" s="134"/>
      <c r="C1325" s="134"/>
      <c r="D1325" s="134"/>
      <c r="E1325" s="134"/>
      <c r="F1325" s="134"/>
      <c r="G1325" s="134"/>
      <c r="H1325" s="134"/>
      <c r="J1325" s="134"/>
      <c r="K1325" s="135"/>
      <c r="L1325" s="136"/>
      <c r="M1325" s="144"/>
      <c r="T1325" s="52"/>
      <c r="V1325" s="138"/>
      <c r="W1325" s="134"/>
      <c r="X1325" s="134"/>
      <c r="Y1325" s="134"/>
      <c r="Z1325" s="134"/>
      <c r="AA1325" s="134"/>
      <c r="AB1325" s="134"/>
      <c r="AC1325" s="134"/>
      <c r="AD1325" s="139"/>
    </row>
    <row r="1326">
      <c r="A1326" s="143"/>
      <c r="B1326" s="134"/>
      <c r="C1326" s="134"/>
      <c r="D1326" s="134"/>
      <c r="E1326" s="134"/>
      <c r="F1326" s="134"/>
      <c r="G1326" s="134"/>
      <c r="H1326" s="134"/>
      <c r="J1326" s="134"/>
      <c r="K1326" s="135"/>
      <c r="L1326" s="136"/>
      <c r="M1326" s="144"/>
      <c r="T1326" s="52"/>
      <c r="V1326" s="138"/>
      <c r="W1326" s="134"/>
      <c r="X1326" s="134"/>
      <c r="Y1326" s="134"/>
      <c r="Z1326" s="134"/>
      <c r="AA1326" s="134"/>
      <c r="AB1326" s="134"/>
      <c r="AC1326" s="134"/>
      <c r="AD1326" s="139"/>
    </row>
    <row r="1327">
      <c r="A1327" s="143"/>
      <c r="B1327" s="134"/>
      <c r="C1327" s="134"/>
      <c r="D1327" s="134"/>
      <c r="E1327" s="134"/>
      <c r="F1327" s="134"/>
      <c r="G1327" s="134"/>
      <c r="H1327" s="134"/>
      <c r="J1327" s="134"/>
      <c r="K1327" s="135"/>
      <c r="L1327" s="136"/>
      <c r="M1327" s="144"/>
      <c r="T1327" s="52"/>
      <c r="V1327" s="138"/>
      <c r="W1327" s="134"/>
      <c r="X1327" s="134"/>
      <c r="Y1327" s="134"/>
      <c r="Z1327" s="134"/>
      <c r="AA1327" s="134"/>
      <c r="AB1327" s="134"/>
      <c r="AC1327" s="134"/>
      <c r="AD1327" s="139"/>
    </row>
    <row r="1328">
      <c r="A1328" s="143"/>
      <c r="B1328" s="134"/>
      <c r="C1328" s="134"/>
      <c r="D1328" s="134"/>
      <c r="E1328" s="134"/>
      <c r="F1328" s="134"/>
      <c r="G1328" s="134"/>
      <c r="H1328" s="134"/>
      <c r="J1328" s="134"/>
      <c r="K1328" s="135"/>
      <c r="L1328" s="136"/>
      <c r="M1328" s="144"/>
      <c r="T1328" s="52"/>
      <c r="V1328" s="138"/>
      <c r="W1328" s="134"/>
      <c r="X1328" s="134"/>
      <c r="Y1328" s="134"/>
      <c r="Z1328" s="134"/>
      <c r="AA1328" s="134"/>
      <c r="AB1328" s="134"/>
      <c r="AC1328" s="134"/>
      <c r="AD1328" s="139"/>
    </row>
    <row r="1329">
      <c r="A1329" s="143"/>
      <c r="B1329" s="134"/>
      <c r="C1329" s="134"/>
      <c r="D1329" s="134"/>
      <c r="E1329" s="134"/>
      <c r="F1329" s="134"/>
      <c r="G1329" s="134"/>
      <c r="H1329" s="134"/>
      <c r="J1329" s="134"/>
      <c r="K1329" s="135"/>
      <c r="L1329" s="136"/>
      <c r="M1329" s="144"/>
      <c r="T1329" s="52"/>
      <c r="V1329" s="138"/>
      <c r="W1329" s="134"/>
      <c r="X1329" s="134"/>
      <c r="Y1329" s="134"/>
      <c r="Z1329" s="134"/>
      <c r="AA1329" s="134"/>
      <c r="AB1329" s="134"/>
      <c r="AC1329" s="134"/>
      <c r="AD1329" s="139"/>
    </row>
    <row r="1330">
      <c r="A1330" s="143"/>
      <c r="B1330" s="134"/>
      <c r="C1330" s="134"/>
      <c r="D1330" s="134"/>
      <c r="E1330" s="134"/>
      <c r="F1330" s="134"/>
      <c r="G1330" s="134"/>
      <c r="H1330" s="134"/>
      <c r="J1330" s="134"/>
      <c r="K1330" s="135"/>
      <c r="L1330" s="136"/>
      <c r="M1330" s="144"/>
      <c r="T1330" s="52"/>
      <c r="V1330" s="138"/>
      <c r="W1330" s="134"/>
      <c r="X1330" s="134"/>
      <c r="Y1330" s="134"/>
      <c r="Z1330" s="134"/>
      <c r="AA1330" s="134"/>
      <c r="AB1330" s="134"/>
      <c r="AC1330" s="134"/>
      <c r="AD1330" s="139"/>
    </row>
    <row r="1331">
      <c r="A1331" s="143"/>
      <c r="B1331" s="134"/>
      <c r="C1331" s="134"/>
      <c r="D1331" s="134"/>
      <c r="E1331" s="134"/>
      <c r="F1331" s="134"/>
      <c r="G1331" s="134"/>
      <c r="H1331" s="134"/>
      <c r="J1331" s="134"/>
      <c r="K1331" s="135"/>
      <c r="L1331" s="136"/>
      <c r="M1331" s="144"/>
      <c r="T1331" s="52"/>
      <c r="V1331" s="138"/>
      <c r="W1331" s="134"/>
      <c r="X1331" s="134"/>
      <c r="Y1331" s="134"/>
      <c r="Z1331" s="134"/>
      <c r="AA1331" s="134"/>
      <c r="AB1331" s="134"/>
      <c r="AC1331" s="134"/>
      <c r="AD1331" s="139"/>
    </row>
    <row r="1332">
      <c r="A1332" s="143"/>
      <c r="B1332" s="134"/>
      <c r="C1332" s="134"/>
      <c r="D1332" s="134"/>
      <c r="E1332" s="134"/>
      <c r="F1332" s="134"/>
      <c r="G1332" s="134"/>
      <c r="H1332" s="134"/>
      <c r="J1332" s="134"/>
      <c r="K1332" s="135"/>
      <c r="L1332" s="136"/>
      <c r="M1332" s="144"/>
      <c r="T1332" s="52"/>
      <c r="V1332" s="138"/>
      <c r="W1332" s="134"/>
      <c r="X1332" s="134"/>
      <c r="Y1332" s="134"/>
      <c r="Z1332" s="134"/>
      <c r="AA1332" s="134"/>
      <c r="AB1332" s="134"/>
      <c r="AC1332" s="134"/>
      <c r="AD1332" s="139"/>
    </row>
    <row r="1333">
      <c r="A1333" s="143"/>
      <c r="B1333" s="134"/>
      <c r="C1333" s="134"/>
      <c r="D1333" s="134"/>
      <c r="E1333" s="134"/>
      <c r="F1333" s="134"/>
      <c r="G1333" s="134"/>
      <c r="H1333" s="134"/>
      <c r="J1333" s="134"/>
      <c r="K1333" s="135"/>
      <c r="L1333" s="136"/>
      <c r="M1333" s="144"/>
      <c r="T1333" s="52"/>
      <c r="V1333" s="138"/>
      <c r="W1333" s="134"/>
      <c r="X1333" s="134"/>
      <c r="Y1333" s="134"/>
      <c r="Z1333" s="134"/>
      <c r="AA1333" s="134"/>
      <c r="AB1333" s="134"/>
      <c r="AC1333" s="134"/>
      <c r="AD1333" s="139"/>
    </row>
    <row r="1334">
      <c r="A1334" s="143"/>
      <c r="B1334" s="134"/>
      <c r="C1334" s="134"/>
      <c r="D1334" s="134"/>
      <c r="E1334" s="134"/>
      <c r="F1334" s="134"/>
      <c r="G1334" s="134"/>
      <c r="H1334" s="134"/>
      <c r="J1334" s="134"/>
      <c r="K1334" s="135"/>
      <c r="L1334" s="136"/>
      <c r="M1334" s="144"/>
      <c r="T1334" s="52"/>
      <c r="V1334" s="138"/>
      <c r="W1334" s="134"/>
      <c r="X1334" s="134"/>
      <c r="Y1334" s="134"/>
      <c r="Z1334" s="134"/>
      <c r="AA1334" s="134"/>
      <c r="AB1334" s="134"/>
      <c r="AC1334" s="134"/>
      <c r="AD1334" s="139"/>
    </row>
    <row r="1335">
      <c r="A1335" s="143"/>
      <c r="B1335" s="134"/>
      <c r="C1335" s="134"/>
      <c r="D1335" s="134"/>
      <c r="E1335" s="134"/>
      <c r="F1335" s="134"/>
      <c r="G1335" s="134"/>
      <c r="H1335" s="134"/>
      <c r="J1335" s="134"/>
      <c r="K1335" s="135"/>
      <c r="L1335" s="136"/>
      <c r="M1335" s="144"/>
      <c r="T1335" s="52"/>
      <c r="V1335" s="138"/>
      <c r="W1335" s="134"/>
      <c r="X1335" s="134"/>
      <c r="Y1335" s="134"/>
      <c r="Z1335" s="134"/>
      <c r="AA1335" s="134"/>
      <c r="AB1335" s="134"/>
      <c r="AC1335" s="134"/>
      <c r="AD1335" s="139"/>
    </row>
    <row r="1336">
      <c r="A1336" s="143"/>
      <c r="B1336" s="134"/>
      <c r="C1336" s="134"/>
      <c r="D1336" s="134"/>
      <c r="E1336" s="134"/>
      <c r="F1336" s="134"/>
      <c r="G1336" s="134"/>
      <c r="H1336" s="134"/>
      <c r="J1336" s="134"/>
      <c r="K1336" s="135"/>
      <c r="L1336" s="136"/>
      <c r="M1336" s="144"/>
      <c r="T1336" s="52"/>
      <c r="V1336" s="138"/>
      <c r="W1336" s="134"/>
      <c r="X1336" s="134"/>
      <c r="Y1336" s="134"/>
      <c r="Z1336" s="134"/>
      <c r="AA1336" s="134"/>
      <c r="AB1336" s="134"/>
      <c r="AC1336" s="134"/>
      <c r="AD1336" s="139"/>
    </row>
    <row r="1337">
      <c r="A1337" s="143"/>
      <c r="B1337" s="134"/>
      <c r="C1337" s="134"/>
      <c r="D1337" s="134"/>
      <c r="E1337" s="134"/>
      <c r="F1337" s="134"/>
      <c r="G1337" s="134"/>
      <c r="H1337" s="134"/>
      <c r="J1337" s="134"/>
      <c r="K1337" s="135"/>
      <c r="L1337" s="136"/>
      <c r="M1337" s="144"/>
      <c r="T1337" s="52"/>
      <c r="V1337" s="138"/>
      <c r="W1337" s="134"/>
      <c r="X1337" s="134"/>
      <c r="Y1337" s="134"/>
      <c r="Z1337" s="134"/>
      <c r="AA1337" s="134"/>
      <c r="AB1337" s="134"/>
      <c r="AC1337" s="134"/>
      <c r="AD1337" s="139"/>
    </row>
    <row r="1338">
      <c r="A1338" s="143"/>
      <c r="B1338" s="134"/>
      <c r="C1338" s="134"/>
      <c r="D1338" s="134"/>
      <c r="E1338" s="134"/>
      <c r="F1338" s="134"/>
      <c r="G1338" s="134"/>
      <c r="H1338" s="134"/>
      <c r="J1338" s="134"/>
      <c r="K1338" s="135"/>
      <c r="L1338" s="136"/>
      <c r="M1338" s="144"/>
      <c r="T1338" s="52"/>
      <c r="V1338" s="138"/>
      <c r="W1338" s="134"/>
      <c r="X1338" s="134"/>
      <c r="Y1338" s="134"/>
      <c r="Z1338" s="134"/>
      <c r="AA1338" s="134"/>
      <c r="AB1338" s="134"/>
      <c r="AC1338" s="134"/>
      <c r="AD1338" s="139"/>
    </row>
    <row r="1339">
      <c r="A1339" s="143"/>
      <c r="B1339" s="134"/>
      <c r="C1339" s="134"/>
      <c r="D1339" s="134"/>
      <c r="E1339" s="134"/>
      <c r="F1339" s="134"/>
      <c r="G1339" s="134"/>
      <c r="H1339" s="134"/>
      <c r="J1339" s="134"/>
      <c r="K1339" s="135"/>
      <c r="L1339" s="136"/>
      <c r="M1339" s="144"/>
      <c r="T1339" s="52"/>
      <c r="V1339" s="138"/>
      <c r="W1339" s="134"/>
      <c r="X1339" s="134"/>
      <c r="Y1339" s="134"/>
      <c r="Z1339" s="134"/>
      <c r="AA1339" s="134"/>
      <c r="AB1339" s="134"/>
      <c r="AC1339" s="134"/>
      <c r="AD1339" s="139"/>
    </row>
    <row r="1340">
      <c r="A1340" s="143"/>
      <c r="B1340" s="134"/>
      <c r="C1340" s="134"/>
      <c r="D1340" s="134"/>
      <c r="E1340" s="134"/>
      <c r="F1340" s="134"/>
      <c r="G1340" s="134"/>
      <c r="H1340" s="134"/>
      <c r="J1340" s="134"/>
      <c r="K1340" s="135"/>
      <c r="L1340" s="136"/>
      <c r="M1340" s="144"/>
      <c r="T1340" s="52"/>
      <c r="V1340" s="138"/>
      <c r="W1340" s="134"/>
      <c r="X1340" s="134"/>
      <c r="Y1340" s="134"/>
      <c r="Z1340" s="134"/>
      <c r="AA1340" s="134"/>
      <c r="AB1340" s="134"/>
      <c r="AC1340" s="134"/>
      <c r="AD1340" s="139"/>
    </row>
    <row r="1341">
      <c r="A1341" s="143"/>
      <c r="B1341" s="134"/>
      <c r="C1341" s="134"/>
      <c r="D1341" s="134"/>
      <c r="E1341" s="134"/>
      <c r="F1341" s="134"/>
      <c r="G1341" s="134"/>
      <c r="H1341" s="134"/>
      <c r="J1341" s="134"/>
      <c r="K1341" s="135"/>
      <c r="L1341" s="136"/>
      <c r="M1341" s="144"/>
      <c r="T1341" s="52"/>
      <c r="V1341" s="138"/>
      <c r="W1341" s="134"/>
      <c r="X1341" s="134"/>
      <c r="Y1341" s="134"/>
      <c r="Z1341" s="134"/>
      <c r="AA1341" s="134"/>
      <c r="AB1341" s="134"/>
      <c r="AC1341" s="134"/>
      <c r="AD1341" s="139"/>
    </row>
    <row r="1342">
      <c r="A1342" s="143"/>
      <c r="B1342" s="134"/>
      <c r="C1342" s="134"/>
      <c r="D1342" s="134"/>
      <c r="E1342" s="134"/>
      <c r="F1342" s="134"/>
      <c r="G1342" s="134"/>
      <c r="H1342" s="134"/>
      <c r="J1342" s="134"/>
      <c r="K1342" s="135"/>
      <c r="L1342" s="136"/>
      <c r="M1342" s="144"/>
      <c r="T1342" s="52"/>
      <c r="V1342" s="138"/>
      <c r="W1342" s="134"/>
      <c r="X1342" s="134"/>
      <c r="Y1342" s="134"/>
      <c r="Z1342" s="134"/>
      <c r="AA1342" s="134"/>
      <c r="AB1342" s="134"/>
      <c r="AC1342" s="134"/>
      <c r="AD1342" s="139"/>
    </row>
    <row r="1343">
      <c r="A1343" s="143"/>
      <c r="B1343" s="134"/>
      <c r="C1343" s="134"/>
      <c r="D1343" s="134"/>
      <c r="E1343" s="134"/>
      <c r="F1343" s="134"/>
      <c r="G1343" s="134"/>
      <c r="H1343" s="134"/>
      <c r="J1343" s="134"/>
      <c r="K1343" s="135"/>
      <c r="L1343" s="136"/>
      <c r="M1343" s="144"/>
      <c r="T1343" s="52"/>
      <c r="V1343" s="138"/>
      <c r="W1343" s="134"/>
      <c r="X1343" s="134"/>
      <c r="Y1343" s="134"/>
      <c r="Z1343" s="134"/>
      <c r="AA1343" s="134"/>
      <c r="AB1343" s="134"/>
      <c r="AC1343" s="134"/>
      <c r="AD1343" s="139"/>
    </row>
    <row r="1344">
      <c r="A1344" s="143"/>
      <c r="B1344" s="134"/>
      <c r="C1344" s="134"/>
      <c r="D1344" s="134"/>
      <c r="E1344" s="134"/>
      <c r="F1344" s="134"/>
      <c r="G1344" s="134"/>
      <c r="H1344" s="134"/>
      <c r="J1344" s="134"/>
      <c r="K1344" s="135"/>
      <c r="L1344" s="136"/>
      <c r="M1344" s="144"/>
      <c r="T1344" s="52"/>
      <c r="V1344" s="138"/>
      <c r="W1344" s="134"/>
      <c r="X1344" s="134"/>
      <c r="Y1344" s="134"/>
      <c r="Z1344" s="134"/>
      <c r="AA1344" s="134"/>
      <c r="AB1344" s="134"/>
      <c r="AC1344" s="134"/>
      <c r="AD1344" s="139"/>
    </row>
    <row r="1345">
      <c r="A1345" s="143"/>
      <c r="B1345" s="134"/>
      <c r="C1345" s="134"/>
      <c r="D1345" s="134"/>
      <c r="E1345" s="134"/>
      <c r="F1345" s="134"/>
      <c r="G1345" s="134"/>
      <c r="H1345" s="134"/>
      <c r="J1345" s="134"/>
      <c r="K1345" s="135"/>
      <c r="L1345" s="136"/>
      <c r="M1345" s="144"/>
      <c r="T1345" s="52"/>
      <c r="V1345" s="138"/>
      <c r="W1345" s="134"/>
      <c r="X1345" s="134"/>
      <c r="Y1345" s="134"/>
      <c r="Z1345" s="134"/>
      <c r="AA1345" s="134"/>
      <c r="AB1345" s="134"/>
      <c r="AC1345" s="134"/>
      <c r="AD1345" s="139"/>
    </row>
    <row r="1346">
      <c r="A1346" s="143"/>
      <c r="B1346" s="134"/>
      <c r="C1346" s="134"/>
      <c r="D1346" s="134"/>
      <c r="E1346" s="134"/>
      <c r="F1346" s="134"/>
      <c r="G1346" s="134"/>
      <c r="H1346" s="134"/>
      <c r="J1346" s="134"/>
      <c r="K1346" s="135"/>
      <c r="L1346" s="136"/>
      <c r="M1346" s="144"/>
      <c r="T1346" s="52"/>
      <c r="V1346" s="138"/>
      <c r="W1346" s="134"/>
      <c r="X1346" s="134"/>
      <c r="Y1346" s="134"/>
      <c r="Z1346" s="134"/>
      <c r="AA1346" s="134"/>
      <c r="AB1346" s="134"/>
      <c r="AC1346" s="134"/>
      <c r="AD1346" s="139"/>
    </row>
    <row r="1347">
      <c r="A1347" s="143"/>
      <c r="B1347" s="134"/>
      <c r="C1347" s="134"/>
      <c r="D1347" s="134"/>
      <c r="E1347" s="134"/>
      <c r="F1347" s="134"/>
      <c r="G1347" s="134"/>
      <c r="H1347" s="134"/>
      <c r="J1347" s="134"/>
      <c r="K1347" s="135"/>
      <c r="L1347" s="136"/>
      <c r="M1347" s="144"/>
      <c r="T1347" s="52"/>
      <c r="V1347" s="138"/>
      <c r="W1347" s="134"/>
      <c r="X1347" s="134"/>
      <c r="Y1347" s="134"/>
      <c r="Z1347" s="134"/>
      <c r="AA1347" s="134"/>
      <c r="AB1347" s="134"/>
      <c r="AC1347" s="134"/>
      <c r="AD1347" s="139"/>
    </row>
    <row r="1348">
      <c r="A1348" s="143"/>
      <c r="B1348" s="134"/>
      <c r="C1348" s="134"/>
      <c r="D1348" s="134"/>
      <c r="E1348" s="134"/>
      <c r="F1348" s="134"/>
      <c r="G1348" s="134"/>
      <c r="H1348" s="134"/>
      <c r="J1348" s="134"/>
      <c r="K1348" s="135"/>
      <c r="L1348" s="136"/>
      <c r="M1348" s="144"/>
      <c r="T1348" s="52"/>
      <c r="V1348" s="138"/>
      <c r="W1348" s="134"/>
      <c r="X1348" s="134"/>
      <c r="Y1348" s="134"/>
      <c r="Z1348" s="134"/>
      <c r="AA1348" s="134"/>
      <c r="AB1348" s="134"/>
      <c r="AC1348" s="134"/>
      <c r="AD1348" s="139"/>
    </row>
    <row r="1349">
      <c r="A1349" s="143"/>
      <c r="B1349" s="134"/>
      <c r="C1349" s="134"/>
      <c r="D1349" s="134"/>
      <c r="E1349" s="134"/>
      <c r="F1349" s="134"/>
      <c r="G1349" s="134"/>
      <c r="H1349" s="134"/>
      <c r="J1349" s="134"/>
      <c r="K1349" s="135"/>
      <c r="L1349" s="136"/>
      <c r="M1349" s="144"/>
      <c r="T1349" s="52"/>
      <c r="V1349" s="138"/>
      <c r="W1349" s="134"/>
      <c r="X1349" s="134"/>
      <c r="Y1349" s="134"/>
      <c r="Z1349" s="134"/>
      <c r="AA1349" s="134"/>
      <c r="AB1349" s="134"/>
      <c r="AC1349" s="134"/>
      <c r="AD1349" s="139"/>
    </row>
    <row r="1350">
      <c r="A1350" s="143"/>
      <c r="B1350" s="134"/>
      <c r="C1350" s="134"/>
      <c r="D1350" s="134"/>
      <c r="E1350" s="134"/>
      <c r="F1350" s="134"/>
      <c r="G1350" s="134"/>
      <c r="H1350" s="134"/>
      <c r="J1350" s="134"/>
      <c r="K1350" s="135"/>
      <c r="L1350" s="136"/>
      <c r="M1350" s="144"/>
      <c r="T1350" s="52"/>
      <c r="V1350" s="138"/>
      <c r="W1350" s="134"/>
      <c r="X1350" s="134"/>
      <c r="Y1350" s="134"/>
      <c r="Z1350" s="134"/>
      <c r="AA1350" s="134"/>
      <c r="AB1350" s="134"/>
      <c r="AC1350" s="134"/>
      <c r="AD1350" s="139"/>
    </row>
    <row r="1351">
      <c r="A1351" s="143"/>
      <c r="B1351" s="134"/>
      <c r="C1351" s="134"/>
      <c r="D1351" s="134"/>
      <c r="E1351" s="134"/>
      <c r="F1351" s="134"/>
      <c r="G1351" s="134"/>
      <c r="H1351" s="134"/>
      <c r="J1351" s="134"/>
      <c r="K1351" s="135"/>
      <c r="L1351" s="136"/>
      <c r="M1351" s="144"/>
      <c r="T1351" s="52"/>
      <c r="V1351" s="138"/>
      <c r="W1351" s="134"/>
      <c r="X1351" s="134"/>
      <c r="Y1351" s="134"/>
      <c r="Z1351" s="134"/>
      <c r="AA1351" s="134"/>
      <c r="AB1351" s="134"/>
      <c r="AC1351" s="134"/>
      <c r="AD1351" s="139"/>
    </row>
    <row r="1352">
      <c r="A1352" s="143"/>
      <c r="B1352" s="134"/>
      <c r="C1352" s="134"/>
      <c r="D1352" s="134"/>
      <c r="E1352" s="134"/>
      <c r="F1352" s="134"/>
      <c r="G1352" s="134"/>
      <c r="H1352" s="134"/>
      <c r="J1352" s="134"/>
      <c r="K1352" s="135"/>
      <c r="L1352" s="136"/>
      <c r="M1352" s="144"/>
      <c r="T1352" s="52"/>
      <c r="V1352" s="138"/>
      <c r="W1352" s="134"/>
      <c r="X1352" s="134"/>
      <c r="Y1352" s="134"/>
      <c r="Z1352" s="134"/>
      <c r="AA1352" s="134"/>
      <c r="AB1352" s="134"/>
      <c r="AC1352" s="134"/>
      <c r="AD1352" s="139"/>
    </row>
    <row r="1353">
      <c r="A1353" s="143"/>
      <c r="B1353" s="134"/>
      <c r="C1353" s="134"/>
      <c r="D1353" s="134"/>
      <c r="E1353" s="134"/>
      <c r="F1353" s="134"/>
      <c r="G1353" s="134"/>
      <c r="H1353" s="134"/>
      <c r="J1353" s="134"/>
      <c r="K1353" s="135"/>
      <c r="L1353" s="136"/>
      <c r="M1353" s="144"/>
      <c r="T1353" s="52"/>
      <c r="V1353" s="138"/>
      <c r="W1353" s="134"/>
      <c r="X1353" s="134"/>
      <c r="Y1353" s="134"/>
      <c r="Z1353" s="134"/>
      <c r="AA1353" s="134"/>
      <c r="AB1353" s="134"/>
      <c r="AC1353" s="134"/>
      <c r="AD1353" s="139"/>
    </row>
    <row r="1354">
      <c r="A1354" s="143"/>
      <c r="B1354" s="134"/>
      <c r="C1354" s="134"/>
      <c r="D1354" s="134"/>
      <c r="E1354" s="134"/>
      <c r="F1354" s="134"/>
      <c r="G1354" s="134"/>
      <c r="H1354" s="134"/>
      <c r="J1354" s="134"/>
      <c r="K1354" s="135"/>
      <c r="L1354" s="136"/>
      <c r="M1354" s="144"/>
      <c r="T1354" s="52"/>
      <c r="V1354" s="138"/>
      <c r="W1354" s="134"/>
      <c r="X1354" s="134"/>
      <c r="Y1354" s="134"/>
      <c r="Z1354" s="134"/>
      <c r="AA1354" s="134"/>
      <c r="AB1354" s="134"/>
      <c r="AC1354" s="134"/>
      <c r="AD1354" s="139"/>
    </row>
    <row r="1355">
      <c r="A1355" s="143"/>
      <c r="B1355" s="134"/>
      <c r="C1355" s="134"/>
      <c r="D1355" s="134"/>
      <c r="E1355" s="134"/>
      <c r="F1355" s="134"/>
      <c r="G1355" s="134"/>
      <c r="H1355" s="134"/>
      <c r="J1355" s="134"/>
      <c r="K1355" s="135"/>
      <c r="L1355" s="136"/>
      <c r="M1355" s="144"/>
      <c r="T1355" s="52"/>
      <c r="V1355" s="138"/>
      <c r="W1355" s="134"/>
      <c r="X1355" s="134"/>
      <c r="Y1355" s="134"/>
      <c r="Z1355" s="134"/>
      <c r="AA1355" s="134"/>
      <c r="AB1355" s="134"/>
      <c r="AC1355" s="134"/>
      <c r="AD1355" s="139"/>
    </row>
    <row r="1356">
      <c r="A1356" s="143"/>
      <c r="B1356" s="134"/>
      <c r="C1356" s="134"/>
      <c r="D1356" s="134"/>
      <c r="E1356" s="134"/>
      <c r="F1356" s="134"/>
      <c r="G1356" s="134"/>
      <c r="H1356" s="134"/>
      <c r="J1356" s="134"/>
      <c r="K1356" s="135"/>
      <c r="L1356" s="136"/>
      <c r="M1356" s="144"/>
      <c r="T1356" s="52"/>
      <c r="V1356" s="138"/>
      <c r="W1356" s="134"/>
      <c r="X1356" s="134"/>
      <c r="Y1356" s="134"/>
      <c r="Z1356" s="134"/>
      <c r="AA1356" s="134"/>
      <c r="AB1356" s="134"/>
      <c r="AC1356" s="134"/>
      <c r="AD1356" s="139"/>
    </row>
    <row r="1357">
      <c r="A1357" s="143"/>
      <c r="B1357" s="134"/>
      <c r="C1357" s="134"/>
      <c r="D1357" s="134"/>
      <c r="E1357" s="134"/>
      <c r="F1357" s="134"/>
      <c r="G1357" s="134"/>
      <c r="H1357" s="134"/>
      <c r="J1357" s="134"/>
      <c r="K1357" s="135"/>
      <c r="L1357" s="136"/>
      <c r="M1357" s="144"/>
      <c r="T1357" s="52"/>
      <c r="V1357" s="138"/>
      <c r="W1357" s="134"/>
      <c r="X1357" s="134"/>
      <c r="Y1357" s="134"/>
      <c r="Z1357" s="134"/>
      <c r="AA1357" s="134"/>
      <c r="AB1357" s="134"/>
      <c r="AC1357" s="134"/>
      <c r="AD1357" s="139"/>
    </row>
    <row r="1358">
      <c r="A1358" s="143"/>
      <c r="B1358" s="134"/>
      <c r="C1358" s="134"/>
      <c r="D1358" s="134"/>
      <c r="E1358" s="134"/>
      <c r="F1358" s="134"/>
      <c r="G1358" s="134"/>
      <c r="H1358" s="134"/>
      <c r="J1358" s="134"/>
      <c r="K1358" s="135"/>
      <c r="L1358" s="136"/>
      <c r="M1358" s="144"/>
      <c r="T1358" s="52"/>
      <c r="V1358" s="138"/>
      <c r="W1358" s="134"/>
      <c r="X1358" s="134"/>
      <c r="Y1358" s="134"/>
      <c r="Z1358" s="134"/>
      <c r="AA1358" s="134"/>
      <c r="AB1358" s="134"/>
      <c r="AC1358" s="134"/>
      <c r="AD1358" s="139"/>
    </row>
    <row r="1359">
      <c r="A1359" s="143"/>
      <c r="B1359" s="134"/>
      <c r="C1359" s="134"/>
      <c r="D1359" s="134"/>
      <c r="E1359" s="134"/>
      <c r="F1359" s="134"/>
      <c r="G1359" s="134"/>
      <c r="H1359" s="134"/>
      <c r="J1359" s="134"/>
      <c r="K1359" s="135"/>
      <c r="L1359" s="136"/>
      <c r="M1359" s="144"/>
      <c r="T1359" s="52"/>
      <c r="V1359" s="138"/>
      <c r="W1359" s="134"/>
      <c r="X1359" s="134"/>
      <c r="Y1359" s="134"/>
      <c r="Z1359" s="134"/>
      <c r="AA1359" s="134"/>
      <c r="AB1359" s="134"/>
      <c r="AC1359" s="134"/>
      <c r="AD1359" s="139"/>
    </row>
    <row r="1360">
      <c r="A1360" s="143"/>
      <c r="B1360" s="134"/>
      <c r="C1360" s="134"/>
      <c r="D1360" s="134"/>
      <c r="E1360" s="134"/>
      <c r="F1360" s="134"/>
      <c r="G1360" s="134"/>
      <c r="H1360" s="134"/>
      <c r="J1360" s="134"/>
      <c r="K1360" s="135"/>
      <c r="L1360" s="136"/>
      <c r="M1360" s="144"/>
      <c r="T1360" s="52"/>
      <c r="V1360" s="138"/>
      <c r="W1360" s="134"/>
      <c r="X1360" s="134"/>
      <c r="Y1360" s="134"/>
      <c r="Z1360" s="134"/>
      <c r="AA1360" s="134"/>
      <c r="AB1360" s="134"/>
      <c r="AC1360" s="134"/>
      <c r="AD1360" s="139"/>
    </row>
    <row r="1361">
      <c r="A1361" s="143"/>
      <c r="B1361" s="134"/>
      <c r="C1361" s="134"/>
      <c r="D1361" s="134"/>
      <c r="E1361" s="134"/>
      <c r="F1361" s="134"/>
      <c r="G1361" s="134"/>
      <c r="H1361" s="134"/>
      <c r="J1361" s="134"/>
      <c r="K1361" s="135"/>
      <c r="L1361" s="136"/>
      <c r="M1361" s="144"/>
      <c r="T1361" s="52"/>
      <c r="V1361" s="138"/>
      <c r="W1361" s="134"/>
      <c r="X1361" s="134"/>
      <c r="Y1361" s="134"/>
      <c r="Z1361" s="134"/>
      <c r="AA1361" s="134"/>
      <c r="AB1361" s="134"/>
      <c r="AC1361" s="134"/>
      <c r="AD1361" s="139"/>
    </row>
    <row r="1362">
      <c r="A1362" s="143"/>
      <c r="B1362" s="134"/>
      <c r="C1362" s="134"/>
      <c r="D1362" s="134"/>
      <c r="E1362" s="134"/>
      <c r="F1362" s="134"/>
      <c r="G1362" s="134"/>
      <c r="H1362" s="134"/>
      <c r="J1362" s="134"/>
      <c r="K1362" s="135"/>
      <c r="L1362" s="136"/>
      <c r="M1362" s="144"/>
      <c r="T1362" s="52"/>
      <c r="V1362" s="138"/>
      <c r="W1362" s="134"/>
      <c r="X1362" s="134"/>
      <c r="Y1362" s="134"/>
      <c r="Z1362" s="134"/>
      <c r="AA1362" s="134"/>
      <c r="AB1362" s="134"/>
      <c r="AC1362" s="134"/>
      <c r="AD1362" s="139"/>
    </row>
    <row r="1363">
      <c r="A1363" s="143"/>
      <c r="B1363" s="134"/>
      <c r="C1363" s="134"/>
      <c r="D1363" s="134"/>
      <c r="E1363" s="134"/>
      <c r="F1363" s="134"/>
      <c r="G1363" s="134"/>
      <c r="H1363" s="134"/>
      <c r="J1363" s="134"/>
      <c r="K1363" s="135"/>
      <c r="L1363" s="136"/>
      <c r="M1363" s="144"/>
      <c r="T1363" s="52"/>
      <c r="V1363" s="138"/>
      <c r="W1363" s="134"/>
      <c r="X1363" s="134"/>
      <c r="Y1363" s="134"/>
      <c r="Z1363" s="134"/>
      <c r="AA1363" s="134"/>
      <c r="AB1363" s="134"/>
      <c r="AC1363" s="134"/>
      <c r="AD1363" s="139"/>
    </row>
    <row r="1364">
      <c r="A1364" s="143"/>
      <c r="B1364" s="134"/>
      <c r="C1364" s="134"/>
      <c r="D1364" s="134"/>
      <c r="E1364" s="134"/>
      <c r="F1364" s="134"/>
      <c r="G1364" s="134"/>
      <c r="H1364" s="134"/>
      <c r="J1364" s="134"/>
      <c r="K1364" s="135"/>
      <c r="L1364" s="136"/>
      <c r="M1364" s="144"/>
      <c r="T1364" s="52"/>
      <c r="V1364" s="138"/>
      <c r="W1364" s="134"/>
      <c r="X1364" s="134"/>
      <c r="Y1364" s="134"/>
      <c r="Z1364" s="134"/>
      <c r="AA1364" s="134"/>
      <c r="AB1364" s="134"/>
      <c r="AC1364" s="134"/>
      <c r="AD1364" s="139"/>
    </row>
    <row r="1365">
      <c r="A1365" s="143"/>
      <c r="B1365" s="134"/>
      <c r="C1365" s="134"/>
      <c r="D1365" s="134"/>
      <c r="E1365" s="134"/>
      <c r="F1365" s="134"/>
      <c r="G1365" s="134"/>
      <c r="H1365" s="134"/>
      <c r="J1365" s="134"/>
      <c r="K1365" s="135"/>
      <c r="L1365" s="136"/>
      <c r="M1365" s="144"/>
      <c r="T1365" s="52"/>
      <c r="V1365" s="138"/>
      <c r="W1365" s="134"/>
      <c r="X1365" s="134"/>
      <c r="Y1365" s="134"/>
      <c r="Z1365" s="134"/>
      <c r="AA1365" s="134"/>
      <c r="AB1365" s="134"/>
      <c r="AC1365" s="134"/>
      <c r="AD1365" s="139"/>
    </row>
    <row r="1366">
      <c r="A1366" s="143"/>
      <c r="B1366" s="134"/>
      <c r="C1366" s="134"/>
      <c r="D1366" s="134"/>
      <c r="E1366" s="134"/>
      <c r="F1366" s="134"/>
      <c r="G1366" s="134"/>
      <c r="H1366" s="134"/>
      <c r="J1366" s="134"/>
      <c r="K1366" s="135"/>
      <c r="L1366" s="136"/>
      <c r="M1366" s="144"/>
      <c r="T1366" s="52"/>
      <c r="V1366" s="138"/>
      <c r="W1366" s="134"/>
      <c r="X1366" s="134"/>
      <c r="Y1366" s="134"/>
      <c r="Z1366" s="134"/>
      <c r="AA1366" s="134"/>
      <c r="AB1366" s="134"/>
      <c r="AC1366" s="134"/>
      <c r="AD1366" s="139"/>
    </row>
    <row r="1367">
      <c r="A1367" s="143"/>
      <c r="B1367" s="134"/>
      <c r="C1367" s="134"/>
      <c r="D1367" s="134"/>
      <c r="E1367" s="134"/>
      <c r="F1367" s="134"/>
      <c r="G1367" s="134"/>
      <c r="H1367" s="134"/>
      <c r="J1367" s="134"/>
      <c r="K1367" s="135"/>
      <c r="L1367" s="136"/>
      <c r="M1367" s="144"/>
      <c r="T1367" s="52"/>
      <c r="V1367" s="138"/>
      <c r="W1367" s="134"/>
      <c r="X1367" s="134"/>
      <c r="Y1367" s="134"/>
      <c r="Z1367" s="134"/>
      <c r="AA1367" s="134"/>
      <c r="AB1367" s="134"/>
      <c r="AC1367" s="134"/>
      <c r="AD1367" s="139"/>
    </row>
    <row r="1368">
      <c r="A1368" s="143"/>
      <c r="B1368" s="134"/>
      <c r="C1368" s="134"/>
      <c r="D1368" s="134"/>
      <c r="E1368" s="134"/>
      <c r="F1368" s="134"/>
      <c r="G1368" s="134"/>
      <c r="H1368" s="134"/>
      <c r="J1368" s="134"/>
      <c r="K1368" s="135"/>
      <c r="L1368" s="136"/>
      <c r="M1368" s="144"/>
      <c r="T1368" s="52"/>
      <c r="V1368" s="138"/>
      <c r="W1368" s="134"/>
      <c r="X1368" s="134"/>
      <c r="Y1368" s="134"/>
      <c r="Z1368" s="134"/>
      <c r="AA1368" s="134"/>
      <c r="AB1368" s="134"/>
      <c r="AC1368" s="134"/>
      <c r="AD1368" s="139"/>
    </row>
    <row r="1369">
      <c r="A1369" s="143"/>
      <c r="B1369" s="134"/>
      <c r="C1369" s="134"/>
      <c r="D1369" s="134"/>
      <c r="E1369" s="134"/>
      <c r="F1369" s="134"/>
      <c r="G1369" s="134"/>
      <c r="H1369" s="134"/>
      <c r="J1369" s="134"/>
      <c r="K1369" s="135"/>
      <c r="L1369" s="136"/>
      <c r="M1369" s="144"/>
      <c r="T1369" s="52"/>
      <c r="V1369" s="138"/>
      <c r="W1369" s="134"/>
      <c r="X1369" s="134"/>
      <c r="Y1369" s="134"/>
      <c r="Z1369" s="134"/>
      <c r="AA1369" s="134"/>
      <c r="AB1369" s="134"/>
      <c r="AC1369" s="134"/>
      <c r="AD1369" s="139"/>
    </row>
    <row r="1370">
      <c r="A1370" s="143"/>
      <c r="B1370" s="134"/>
      <c r="C1370" s="134"/>
      <c r="D1370" s="134"/>
      <c r="E1370" s="134"/>
      <c r="F1370" s="134"/>
      <c r="G1370" s="134"/>
      <c r="H1370" s="134"/>
      <c r="J1370" s="134"/>
      <c r="K1370" s="135"/>
      <c r="L1370" s="136"/>
      <c r="M1370" s="144"/>
      <c r="T1370" s="52"/>
      <c r="V1370" s="138"/>
      <c r="W1370" s="134"/>
      <c r="X1370" s="134"/>
      <c r="Y1370" s="134"/>
      <c r="Z1370" s="134"/>
      <c r="AA1370" s="134"/>
      <c r="AB1370" s="134"/>
      <c r="AC1370" s="134"/>
      <c r="AD1370" s="139"/>
    </row>
    <row r="1371">
      <c r="A1371" s="143"/>
      <c r="B1371" s="134"/>
      <c r="C1371" s="134"/>
      <c r="D1371" s="134"/>
      <c r="E1371" s="134"/>
      <c r="F1371" s="134"/>
      <c r="G1371" s="134"/>
      <c r="H1371" s="134"/>
      <c r="J1371" s="134"/>
      <c r="K1371" s="135"/>
      <c r="L1371" s="136"/>
      <c r="M1371" s="144"/>
      <c r="T1371" s="52"/>
      <c r="V1371" s="138"/>
      <c r="W1371" s="134"/>
      <c r="X1371" s="134"/>
      <c r="Y1371" s="134"/>
      <c r="Z1371" s="134"/>
      <c r="AA1371" s="134"/>
      <c r="AB1371" s="134"/>
      <c r="AC1371" s="134"/>
      <c r="AD1371" s="139"/>
    </row>
    <row r="1372">
      <c r="A1372" s="143"/>
      <c r="B1372" s="134"/>
      <c r="C1372" s="134"/>
      <c r="D1372" s="134"/>
      <c r="E1372" s="134"/>
      <c r="F1372" s="134"/>
      <c r="G1372" s="134"/>
      <c r="H1372" s="134"/>
      <c r="J1372" s="134"/>
      <c r="K1372" s="135"/>
      <c r="L1372" s="136"/>
      <c r="M1372" s="144"/>
      <c r="T1372" s="52"/>
      <c r="V1372" s="134"/>
      <c r="W1372" s="134"/>
      <c r="X1372" s="134"/>
      <c r="Y1372" s="134"/>
      <c r="Z1372" s="134"/>
      <c r="AA1372" s="134"/>
      <c r="AB1372" s="134"/>
      <c r="AC1372" s="134"/>
      <c r="AD1372" s="134"/>
    </row>
    <row r="1373">
      <c r="A1373" s="143"/>
      <c r="B1373" s="134"/>
      <c r="C1373" s="134"/>
      <c r="D1373" s="134"/>
      <c r="E1373" s="134"/>
      <c r="F1373" s="134"/>
      <c r="G1373" s="134"/>
      <c r="H1373" s="134"/>
      <c r="J1373" s="134"/>
      <c r="K1373" s="135"/>
      <c r="L1373" s="136"/>
      <c r="M1373" s="144"/>
      <c r="T1373" s="52"/>
      <c r="V1373" s="134"/>
      <c r="W1373" s="134"/>
      <c r="X1373" s="134"/>
      <c r="Y1373" s="134"/>
      <c r="Z1373" s="134"/>
      <c r="AA1373" s="134"/>
      <c r="AB1373" s="134"/>
      <c r="AC1373" s="134"/>
      <c r="AD1373" s="134"/>
    </row>
    <row r="1374">
      <c r="A1374" s="143"/>
      <c r="B1374" s="134"/>
      <c r="C1374" s="134"/>
      <c r="D1374" s="134"/>
      <c r="E1374" s="134"/>
      <c r="F1374" s="134"/>
      <c r="G1374" s="134"/>
      <c r="H1374" s="134"/>
      <c r="J1374" s="134"/>
      <c r="K1374" s="135"/>
      <c r="L1374" s="136"/>
      <c r="M1374" s="144"/>
      <c r="T1374" s="52"/>
      <c r="V1374" s="134"/>
      <c r="W1374" s="134"/>
      <c r="X1374" s="134"/>
      <c r="Y1374" s="134"/>
      <c r="Z1374" s="134"/>
      <c r="AA1374" s="134"/>
      <c r="AB1374" s="134"/>
      <c r="AC1374" s="134"/>
      <c r="AD1374" s="134"/>
    </row>
    <row r="1375">
      <c r="A1375" s="143"/>
      <c r="B1375" s="134"/>
      <c r="C1375" s="134"/>
      <c r="D1375" s="134"/>
      <c r="E1375" s="134"/>
      <c r="F1375" s="134"/>
      <c r="G1375" s="134"/>
      <c r="H1375" s="134"/>
      <c r="J1375" s="134"/>
      <c r="K1375" s="135"/>
      <c r="L1375" s="136"/>
      <c r="M1375" s="144"/>
      <c r="T1375" s="52"/>
      <c r="V1375" s="134"/>
      <c r="W1375" s="134"/>
      <c r="X1375" s="134"/>
      <c r="Y1375" s="134"/>
      <c r="Z1375" s="134"/>
      <c r="AA1375" s="134"/>
      <c r="AB1375" s="134"/>
      <c r="AC1375" s="134"/>
      <c r="AD1375" s="134"/>
    </row>
    <row r="1376">
      <c r="A1376" s="143"/>
      <c r="B1376" s="134"/>
      <c r="C1376" s="134"/>
      <c r="D1376" s="134"/>
      <c r="E1376" s="134"/>
      <c r="F1376" s="134"/>
      <c r="G1376" s="134"/>
      <c r="H1376" s="134"/>
      <c r="J1376" s="134"/>
      <c r="K1376" s="135"/>
      <c r="L1376" s="136"/>
      <c r="M1376" s="144"/>
      <c r="T1376" s="52"/>
      <c r="V1376" s="134"/>
      <c r="W1376" s="134"/>
      <c r="X1376" s="134"/>
      <c r="Y1376" s="134"/>
      <c r="Z1376" s="134"/>
      <c r="AA1376" s="134"/>
      <c r="AB1376" s="134"/>
      <c r="AC1376" s="134"/>
      <c r="AD1376" s="134"/>
    </row>
    <row r="1377">
      <c r="A1377" s="143"/>
      <c r="B1377" s="134"/>
      <c r="C1377" s="134"/>
      <c r="D1377" s="134"/>
      <c r="E1377" s="134"/>
      <c r="F1377" s="134"/>
      <c r="G1377" s="134"/>
      <c r="H1377" s="134"/>
      <c r="J1377" s="134"/>
      <c r="K1377" s="135"/>
      <c r="L1377" s="136"/>
      <c r="M1377" s="144"/>
      <c r="T1377" s="52"/>
      <c r="V1377" s="134"/>
      <c r="W1377" s="134"/>
      <c r="X1377" s="134"/>
      <c r="Y1377" s="134"/>
      <c r="Z1377" s="134"/>
      <c r="AA1377" s="134"/>
      <c r="AB1377" s="134"/>
      <c r="AC1377" s="134"/>
      <c r="AD1377" s="134"/>
    </row>
    <row r="1378">
      <c r="A1378" s="143"/>
      <c r="B1378" s="134"/>
      <c r="C1378" s="134"/>
      <c r="D1378" s="134"/>
      <c r="E1378" s="134"/>
      <c r="F1378" s="134"/>
      <c r="G1378" s="134"/>
      <c r="H1378" s="134"/>
      <c r="J1378" s="134"/>
      <c r="K1378" s="135"/>
      <c r="L1378" s="136"/>
      <c r="M1378" s="144"/>
      <c r="T1378" s="52"/>
      <c r="V1378" s="134"/>
      <c r="W1378" s="134"/>
      <c r="X1378" s="134"/>
      <c r="Y1378" s="134"/>
      <c r="Z1378" s="134"/>
      <c r="AA1378" s="134"/>
      <c r="AB1378" s="134"/>
      <c r="AC1378" s="134"/>
      <c r="AD1378" s="134"/>
    </row>
    <row r="1379">
      <c r="A1379" s="143"/>
      <c r="B1379" s="134"/>
      <c r="C1379" s="134"/>
      <c r="D1379" s="134"/>
      <c r="E1379" s="134"/>
      <c r="F1379" s="134"/>
      <c r="G1379" s="134"/>
      <c r="H1379" s="134"/>
      <c r="J1379" s="134"/>
      <c r="K1379" s="135"/>
      <c r="L1379" s="136"/>
      <c r="M1379" s="144"/>
      <c r="T1379" s="52"/>
      <c r="V1379" s="134"/>
      <c r="W1379" s="134"/>
      <c r="X1379" s="134"/>
      <c r="Y1379" s="134"/>
      <c r="Z1379" s="134"/>
      <c r="AA1379" s="134"/>
      <c r="AB1379" s="134"/>
      <c r="AC1379" s="134"/>
      <c r="AD1379" s="134"/>
    </row>
    <row r="1380">
      <c r="A1380" s="143"/>
      <c r="B1380" s="134"/>
      <c r="C1380" s="134"/>
      <c r="D1380" s="134"/>
      <c r="E1380" s="134"/>
      <c r="F1380" s="134"/>
      <c r="G1380" s="134"/>
      <c r="H1380" s="134"/>
      <c r="J1380" s="134"/>
      <c r="K1380" s="135"/>
      <c r="L1380" s="136"/>
      <c r="M1380" s="144"/>
      <c r="T1380" s="52"/>
      <c r="V1380" s="134"/>
      <c r="W1380" s="134"/>
      <c r="X1380" s="134"/>
      <c r="Y1380" s="134"/>
      <c r="Z1380" s="134"/>
      <c r="AA1380" s="134"/>
      <c r="AB1380" s="134"/>
      <c r="AC1380" s="134"/>
      <c r="AD1380" s="134"/>
    </row>
    <row r="1381">
      <c r="A1381" s="143"/>
      <c r="B1381" s="134"/>
      <c r="C1381" s="134"/>
      <c r="D1381" s="134"/>
      <c r="E1381" s="134"/>
      <c r="F1381" s="134"/>
      <c r="G1381" s="134"/>
      <c r="H1381" s="134"/>
      <c r="J1381" s="134"/>
      <c r="K1381" s="135"/>
      <c r="L1381" s="136"/>
      <c r="M1381" s="144"/>
      <c r="T1381" s="52"/>
      <c r="V1381" s="134"/>
      <c r="W1381" s="134"/>
      <c r="X1381" s="134"/>
      <c r="Y1381" s="134"/>
      <c r="Z1381" s="134"/>
      <c r="AA1381" s="134"/>
      <c r="AB1381" s="134"/>
      <c r="AC1381" s="134"/>
      <c r="AD1381" s="134"/>
    </row>
    <row r="1382">
      <c r="A1382" s="143"/>
      <c r="B1382" s="134"/>
      <c r="C1382" s="134"/>
      <c r="D1382" s="134"/>
      <c r="E1382" s="134"/>
      <c r="F1382" s="134"/>
      <c r="G1382" s="134"/>
      <c r="H1382" s="134"/>
      <c r="J1382" s="134"/>
      <c r="K1382" s="135"/>
      <c r="L1382" s="136"/>
      <c r="M1382" s="144"/>
      <c r="T1382" s="52"/>
      <c r="V1382" s="134"/>
      <c r="W1382" s="134"/>
      <c r="X1382" s="134"/>
      <c r="Y1382" s="134"/>
      <c r="Z1382" s="134"/>
      <c r="AA1382" s="134"/>
      <c r="AB1382" s="134"/>
      <c r="AC1382" s="134"/>
      <c r="AD1382" s="134"/>
    </row>
    <row r="1383">
      <c r="A1383" s="143"/>
      <c r="B1383" s="134"/>
      <c r="C1383" s="134"/>
      <c r="D1383" s="134"/>
      <c r="E1383" s="134"/>
      <c r="F1383" s="134"/>
      <c r="G1383" s="134"/>
      <c r="H1383" s="134"/>
      <c r="J1383" s="134"/>
      <c r="K1383" s="135"/>
      <c r="L1383" s="136"/>
      <c r="M1383" s="144"/>
      <c r="T1383" s="52"/>
      <c r="V1383" s="134"/>
      <c r="W1383" s="134"/>
      <c r="X1383" s="134"/>
      <c r="Y1383" s="134"/>
      <c r="Z1383" s="134"/>
      <c r="AA1383" s="134"/>
      <c r="AB1383" s="134"/>
      <c r="AC1383" s="134"/>
      <c r="AD1383" s="134"/>
    </row>
    <row r="1384">
      <c r="A1384" s="143"/>
      <c r="B1384" s="134"/>
      <c r="C1384" s="134"/>
      <c r="D1384" s="134"/>
      <c r="E1384" s="134"/>
      <c r="F1384" s="134"/>
      <c r="G1384" s="134"/>
      <c r="H1384" s="134"/>
      <c r="J1384" s="134"/>
      <c r="K1384" s="135"/>
      <c r="L1384" s="136"/>
      <c r="M1384" s="144"/>
      <c r="T1384" s="52"/>
      <c r="V1384" s="134"/>
      <c r="W1384" s="134"/>
      <c r="X1384" s="134"/>
      <c r="Y1384" s="134"/>
      <c r="Z1384" s="134"/>
      <c r="AA1384" s="134"/>
      <c r="AB1384" s="134"/>
      <c r="AC1384" s="134"/>
      <c r="AD1384" s="134"/>
    </row>
    <row r="1385">
      <c r="A1385" s="143"/>
      <c r="B1385" s="134"/>
      <c r="C1385" s="134"/>
      <c r="D1385" s="134"/>
      <c r="E1385" s="134"/>
      <c r="F1385" s="134"/>
      <c r="G1385" s="134"/>
      <c r="H1385" s="134"/>
      <c r="J1385" s="134"/>
      <c r="K1385" s="135"/>
      <c r="L1385" s="136"/>
      <c r="M1385" s="144"/>
      <c r="T1385" s="52"/>
      <c r="V1385" s="134"/>
      <c r="W1385" s="134"/>
      <c r="X1385" s="134"/>
      <c r="Y1385" s="134"/>
      <c r="Z1385" s="134"/>
      <c r="AA1385" s="134"/>
      <c r="AB1385" s="134"/>
      <c r="AC1385" s="134"/>
      <c r="AD1385" s="134"/>
    </row>
    <row r="1386">
      <c r="A1386" s="143"/>
      <c r="B1386" s="134"/>
      <c r="C1386" s="134"/>
      <c r="D1386" s="134"/>
      <c r="E1386" s="134"/>
      <c r="F1386" s="134"/>
      <c r="G1386" s="134"/>
      <c r="H1386" s="134"/>
      <c r="J1386" s="134"/>
      <c r="K1386" s="135"/>
      <c r="L1386" s="136"/>
      <c r="M1386" s="144"/>
      <c r="T1386" s="52"/>
      <c r="V1386" s="134"/>
      <c r="W1386" s="134"/>
      <c r="X1386" s="134"/>
      <c r="Y1386" s="134"/>
      <c r="Z1386" s="134"/>
      <c r="AA1386" s="134"/>
      <c r="AB1386" s="134"/>
      <c r="AC1386" s="134"/>
      <c r="AD1386" s="134"/>
    </row>
    <row r="1387">
      <c r="A1387" s="143"/>
      <c r="B1387" s="134"/>
      <c r="C1387" s="134"/>
      <c r="D1387" s="134"/>
      <c r="E1387" s="134"/>
      <c r="F1387" s="134"/>
      <c r="G1387" s="134"/>
      <c r="H1387" s="134"/>
      <c r="J1387" s="134"/>
      <c r="K1387" s="135"/>
      <c r="L1387" s="136"/>
      <c r="M1387" s="144"/>
      <c r="T1387" s="52"/>
      <c r="V1387" s="134"/>
      <c r="W1387" s="134"/>
      <c r="X1387" s="134"/>
      <c r="Y1387" s="134"/>
      <c r="Z1387" s="134"/>
      <c r="AA1387" s="134"/>
      <c r="AB1387" s="134"/>
      <c r="AC1387" s="134"/>
      <c r="AD1387" s="134"/>
    </row>
    <row r="1388">
      <c r="A1388" s="143"/>
      <c r="B1388" s="134"/>
      <c r="C1388" s="134"/>
      <c r="D1388" s="134"/>
      <c r="E1388" s="134"/>
      <c r="F1388" s="134"/>
      <c r="G1388" s="134"/>
      <c r="H1388" s="134"/>
      <c r="J1388" s="134"/>
      <c r="K1388" s="135"/>
      <c r="L1388" s="136"/>
      <c r="M1388" s="144"/>
      <c r="T1388" s="52"/>
      <c r="V1388" s="134"/>
      <c r="W1388" s="134"/>
      <c r="X1388" s="134"/>
      <c r="Y1388" s="134"/>
      <c r="Z1388" s="134"/>
      <c r="AA1388" s="134"/>
      <c r="AB1388" s="134"/>
      <c r="AC1388" s="134"/>
      <c r="AD1388" s="134"/>
    </row>
    <row r="1389">
      <c r="A1389" s="143"/>
      <c r="B1389" s="134"/>
      <c r="C1389" s="134"/>
      <c r="D1389" s="134"/>
      <c r="E1389" s="134"/>
      <c r="F1389" s="134"/>
      <c r="G1389" s="134"/>
      <c r="H1389" s="134"/>
      <c r="J1389" s="134"/>
      <c r="K1389" s="135"/>
      <c r="L1389" s="136"/>
      <c r="M1389" s="144"/>
      <c r="T1389" s="52"/>
      <c r="V1389" s="134"/>
      <c r="W1389" s="134"/>
      <c r="X1389" s="134"/>
      <c r="Y1389" s="134"/>
      <c r="Z1389" s="134"/>
      <c r="AA1389" s="134"/>
      <c r="AB1389" s="134"/>
      <c r="AC1389" s="134"/>
      <c r="AD1389" s="134"/>
    </row>
    <row r="1390">
      <c r="A1390" s="143"/>
      <c r="B1390" s="134"/>
      <c r="C1390" s="134"/>
      <c r="D1390" s="134"/>
      <c r="E1390" s="134"/>
      <c r="F1390" s="134"/>
      <c r="G1390" s="134"/>
      <c r="H1390" s="134"/>
      <c r="J1390" s="134"/>
      <c r="K1390" s="135"/>
      <c r="L1390" s="136"/>
      <c r="M1390" s="144"/>
      <c r="T1390" s="52"/>
      <c r="V1390" s="134"/>
      <c r="W1390" s="134"/>
      <c r="X1390" s="134"/>
      <c r="Y1390" s="134"/>
      <c r="Z1390" s="134"/>
      <c r="AA1390" s="134"/>
      <c r="AB1390" s="134"/>
      <c r="AC1390" s="134"/>
      <c r="AD1390" s="134"/>
    </row>
    <row r="1391">
      <c r="A1391" s="143"/>
      <c r="B1391" s="134"/>
      <c r="C1391" s="134"/>
      <c r="D1391" s="134"/>
      <c r="E1391" s="134"/>
      <c r="F1391" s="134"/>
      <c r="G1391" s="134"/>
      <c r="H1391" s="134"/>
      <c r="J1391" s="134"/>
      <c r="K1391" s="135"/>
      <c r="L1391" s="136"/>
      <c r="M1391" s="144"/>
      <c r="T1391" s="52"/>
      <c r="V1391" s="134"/>
      <c r="W1391" s="134"/>
      <c r="X1391" s="134"/>
      <c r="Y1391" s="134"/>
      <c r="Z1391" s="134"/>
      <c r="AA1391" s="134"/>
      <c r="AB1391" s="134"/>
      <c r="AC1391" s="134"/>
      <c r="AD1391" s="134"/>
    </row>
    <row r="1392">
      <c r="A1392" s="143"/>
      <c r="B1392" s="134"/>
      <c r="C1392" s="134"/>
      <c r="D1392" s="134"/>
      <c r="E1392" s="134"/>
      <c r="F1392" s="134"/>
      <c r="G1392" s="134"/>
      <c r="H1392" s="134"/>
      <c r="J1392" s="134"/>
      <c r="K1392" s="135"/>
      <c r="L1392" s="136"/>
      <c r="M1392" s="144"/>
      <c r="T1392" s="52"/>
      <c r="V1392" s="134"/>
      <c r="W1392" s="134"/>
      <c r="X1392" s="134"/>
      <c r="Y1392" s="134"/>
      <c r="Z1392" s="134"/>
      <c r="AA1392" s="134"/>
      <c r="AB1392" s="134"/>
      <c r="AC1392" s="134"/>
      <c r="AD1392" s="134"/>
    </row>
    <row r="1393">
      <c r="A1393" s="143"/>
      <c r="B1393" s="134"/>
      <c r="C1393" s="134"/>
      <c r="D1393" s="134"/>
      <c r="E1393" s="134"/>
      <c r="F1393" s="134"/>
      <c r="G1393" s="134"/>
      <c r="H1393" s="134"/>
      <c r="J1393" s="134"/>
      <c r="K1393" s="135"/>
      <c r="L1393" s="136"/>
      <c r="M1393" s="144"/>
      <c r="T1393" s="52"/>
      <c r="V1393" s="134"/>
      <c r="W1393" s="134"/>
      <c r="X1393" s="134"/>
      <c r="Y1393" s="134"/>
      <c r="Z1393" s="134"/>
      <c r="AA1393" s="134"/>
      <c r="AB1393" s="134"/>
      <c r="AC1393" s="134"/>
      <c r="AD1393" s="134"/>
    </row>
    <row r="1394">
      <c r="A1394" s="143"/>
      <c r="B1394" s="134"/>
      <c r="C1394" s="134"/>
      <c r="D1394" s="134"/>
      <c r="E1394" s="134"/>
      <c r="F1394" s="134"/>
      <c r="G1394" s="134"/>
      <c r="H1394" s="134"/>
      <c r="J1394" s="134"/>
      <c r="K1394" s="135"/>
      <c r="L1394" s="136"/>
      <c r="M1394" s="144"/>
      <c r="T1394" s="52"/>
      <c r="V1394" s="134"/>
      <c r="W1394" s="134"/>
      <c r="X1394" s="134"/>
      <c r="Y1394" s="134"/>
      <c r="Z1394" s="134"/>
      <c r="AA1394" s="134"/>
      <c r="AB1394" s="134"/>
      <c r="AC1394" s="134"/>
      <c r="AD1394" s="134"/>
    </row>
    <row r="1395">
      <c r="A1395" s="143"/>
      <c r="B1395" s="134"/>
      <c r="C1395" s="134"/>
      <c r="D1395" s="134"/>
      <c r="E1395" s="134"/>
      <c r="F1395" s="134"/>
      <c r="G1395" s="134"/>
      <c r="H1395" s="134"/>
      <c r="J1395" s="134"/>
      <c r="K1395" s="135"/>
      <c r="L1395" s="136"/>
      <c r="M1395" s="144"/>
      <c r="T1395" s="52"/>
      <c r="V1395" s="134"/>
      <c r="W1395" s="134"/>
      <c r="X1395" s="134"/>
      <c r="Y1395" s="134"/>
      <c r="Z1395" s="134"/>
      <c r="AA1395" s="134"/>
      <c r="AB1395" s="134"/>
      <c r="AC1395" s="134"/>
      <c r="AD1395" s="134"/>
    </row>
    <row r="1396">
      <c r="A1396" s="143"/>
      <c r="B1396" s="134"/>
      <c r="C1396" s="134"/>
      <c r="D1396" s="134"/>
      <c r="E1396" s="134"/>
      <c r="F1396" s="134"/>
      <c r="G1396" s="134"/>
      <c r="H1396" s="134"/>
      <c r="J1396" s="134"/>
      <c r="K1396" s="135"/>
      <c r="L1396" s="136"/>
      <c r="M1396" s="144"/>
      <c r="T1396" s="52"/>
      <c r="V1396" s="134"/>
      <c r="W1396" s="134"/>
      <c r="X1396" s="134"/>
      <c r="Y1396" s="134"/>
      <c r="Z1396" s="134"/>
      <c r="AA1396" s="134"/>
      <c r="AB1396" s="134"/>
      <c r="AC1396" s="134"/>
      <c r="AD1396" s="134"/>
    </row>
    <row r="1397">
      <c r="A1397" s="143"/>
      <c r="B1397" s="134"/>
      <c r="C1397" s="134"/>
      <c r="D1397" s="134"/>
      <c r="E1397" s="134"/>
      <c r="F1397" s="134"/>
      <c r="G1397" s="134"/>
      <c r="H1397" s="134"/>
      <c r="J1397" s="134"/>
      <c r="K1397" s="135"/>
      <c r="L1397" s="136"/>
      <c r="M1397" s="144"/>
      <c r="T1397" s="52"/>
      <c r="V1397" s="134"/>
      <c r="W1397" s="134"/>
      <c r="X1397" s="134"/>
      <c r="Y1397" s="134"/>
      <c r="Z1397" s="134"/>
      <c r="AA1397" s="134"/>
      <c r="AB1397" s="134"/>
      <c r="AC1397" s="134"/>
      <c r="AD1397" s="134"/>
    </row>
    <row r="1398">
      <c r="A1398" s="143"/>
      <c r="B1398" s="134"/>
      <c r="C1398" s="134"/>
      <c r="D1398" s="134"/>
      <c r="E1398" s="134"/>
      <c r="F1398" s="134"/>
      <c r="G1398" s="134"/>
      <c r="H1398" s="134"/>
      <c r="J1398" s="134"/>
      <c r="K1398" s="135"/>
      <c r="L1398" s="136"/>
      <c r="M1398" s="144"/>
      <c r="T1398" s="52"/>
      <c r="V1398" s="134"/>
      <c r="W1398" s="134"/>
      <c r="X1398" s="134"/>
      <c r="Y1398" s="134"/>
      <c r="Z1398" s="134"/>
      <c r="AA1398" s="134"/>
      <c r="AB1398" s="134"/>
      <c r="AC1398" s="134"/>
      <c r="AD1398" s="134"/>
    </row>
    <row r="1399">
      <c r="A1399" s="143"/>
      <c r="B1399" s="134"/>
      <c r="C1399" s="134"/>
      <c r="D1399" s="134"/>
      <c r="E1399" s="134"/>
      <c r="F1399" s="134"/>
      <c r="G1399" s="134"/>
      <c r="H1399" s="134"/>
      <c r="J1399" s="134"/>
      <c r="K1399" s="135"/>
      <c r="L1399" s="136"/>
      <c r="M1399" s="144"/>
      <c r="T1399" s="52"/>
      <c r="V1399" s="134"/>
      <c r="W1399" s="134"/>
      <c r="X1399" s="134"/>
      <c r="Y1399" s="134"/>
      <c r="Z1399" s="134"/>
      <c r="AA1399" s="134"/>
      <c r="AB1399" s="134"/>
      <c r="AC1399" s="134"/>
      <c r="AD1399" s="134"/>
    </row>
    <row r="1400">
      <c r="A1400" s="143"/>
      <c r="B1400" s="134"/>
      <c r="C1400" s="134"/>
      <c r="D1400" s="134"/>
      <c r="E1400" s="134"/>
      <c r="F1400" s="134"/>
      <c r="G1400" s="134"/>
      <c r="H1400" s="134"/>
      <c r="J1400" s="134"/>
      <c r="K1400" s="135"/>
      <c r="L1400" s="136"/>
      <c r="M1400" s="144"/>
      <c r="T1400" s="52"/>
      <c r="V1400" s="134"/>
      <c r="W1400" s="134"/>
      <c r="X1400" s="134"/>
      <c r="Y1400" s="134"/>
      <c r="Z1400" s="134"/>
      <c r="AA1400" s="134"/>
      <c r="AB1400" s="134"/>
      <c r="AC1400" s="134"/>
      <c r="AD1400" s="134"/>
    </row>
    <row r="1401">
      <c r="A1401" s="143"/>
      <c r="B1401" s="134"/>
      <c r="C1401" s="134"/>
      <c r="D1401" s="134"/>
      <c r="E1401" s="134"/>
      <c r="F1401" s="134"/>
      <c r="G1401" s="134"/>
      <c r="H1401" s="134"/>
      <c r="J1401" s="134"/>
      <c r="K1401" s="135"/>
      <c r="L1401" s="136"/>
      <c r="M1401" s="144"/>
      <c r="T1401" s="52"/>
      <c r="V1401" s="134"/>
      <c r="W1401" s="134"/>
      <c r="X1401" s="134"/>
      <c r="Y1401" s="134"/>
      <c r="Z1401" s="134"/>
      <c r="AA1401" s="134"/>
      <c r="AB1401" s="134"/>
      <c r="AC1401" s="134"/>
      <c r="AD1401" s="134"/>
    </row>
    <row r="1402">
      <c r="A1402" s="143"/>
      <c r="B1402" s="134"/>
      <c r="C1402" s="134"/>
      <c r="D1402" s="134"/>
      <c r="E1402" s="134"/>
      <c r="F1402" s="134"/>
      <c r="G1402" s="134"/>
      <c r="H1402" s="134"/>
      <c r="J1402" s="134"/>
      <c r="K1402" s="135"/>
      <c r="L1402" s="136"/>
      <c r="M1402" s="144"/>
      <c r="T1402" s="52"/>
      <c r="V1402" s="134"/>
      <c r="W1402" s="134"/>
      <c r="X1402" s="134"/>
      <c r="Y1402" s="134"/>
      <c r="Z1402" s="134"/>
      <c r="AA1402" s="134"/>
      <c r="AB1402" s="134"/>
      <c r="AC1402" s="134"/>
      <c r="AD1402" s="134"/>
    </row>
    <row r="1403">
      <c r="A1403" s="143"/>
      <c r="B1403" s="134"/>
      <c r="C1403" s="134"/>
      <c r="D1403" s="134"/>
      <c r="E1403" s="134"/>
      <c r="F1403" s="134"/>
      <c r="G1403" s="134"/>
      <c r="H1403" s="134"/>
      <c r="J1403" s="134"/>
      <c r="K1403" s="135"/>
      <c r="L1403" s="136"/>
      <c r="M1403" s="144"/>
      <c r="T1403" s="52"/>
      <c r="V1403" s="134"/>
      <c r="W1403" s="134"/>
      <c r="X1403" s="134"/>
      <c r="Y1403" s="134"/>
      <c r="Z1403" s="134"/>
      <c r="AA1403" s="134"/>
      <c r="AB1403" s="134"/>
      <c r="AC1403" s="134"/>
      <c r="AD1403" s="134"/>
    </row>
    <row r="1404">
      <c r="A1404" s="143"/>
      <c r="B1404" s="134"/>
      <c r="C1404" s="134"/>
      <c r="D1404" s="134"/>
      <c r="E1404" s="134"/>
      <c r="F1404" s="134"/>
      <c r="G1404" s="134"/>
      <c r="H1404" s="134"/>
      <c r="J1404" s="134"/>
      <c r="K1404" s="135"/>
      <c r="L1404" s="136"/>
      <c r="M1404" s="144"/>
      <c r="T1404" s="52"/>
      <c r="V1404" s="134"/>
      <c r="W1404" s="134"/>
      <c r="X1404" s="134"/>
      <c r="Y1404" s="134"/>
      <c r="Z1404" s="134"/>
      <c r="AA1404" s="134"/>
      <c r="AB1404" s="134"/>
      <c r="AC1404" s="134"/>
      <c r="AD1404" s="134"/>
    </row>
    <row r="1405">
      <c r="A1405" s="143"/>
      <c r="B1405" s="134"/>
      <c r="C1405" s="134"/>
      <c r="D1405" s="134"/>
      <c r="E1405" s="134"/>
      <c r="F1405" s="134"/>
      <c r="G1405" s="134"/>
      <c r="H1405" s="134"/>
      <c r="J1405" s="134"/>
      <c r="K1405" s="135"/>
      <c r="L1405" s="136"/>
      <c r="M1405" s="144"/>
      <c r="T1405" s="52"/>
      <c r="V1405" s="134"/>
      <c r="W1405" s="134"/>
      <c r="X1405" s="134"/>
      <c r="Y1405" s="134"/>
      <c r="Z1405" s="134"/>
      <c r="AA1405" s="134"/>
      <c r="AB1405" s="134"/>
      <c r="AC1405" s="134"/>
      <c r="AD1405" s="134"/>
    </row>
    <row r="1406">
      <c r="A1406" s="143"/>
      <c r="B1406" s="134"/>
      <c r="C1406" s="134"/>
      <c r="D1406" s="134"/>
      <c r="E1406" s="134"/>
      <c r="F1406" s="134"/>
      <c r="G1406" s="134"/>
      <c r="H1406" s="134"/>
      <c r="J1406" s="134"/>
      <c r="K1406" s="135"/>
      <c r="L1406" s="136"/>
      <c r="M1406" s="144"/>
      <c r="T1406" s="52"/>
      <c r="V1406" s="134"/>
      <c r="W1406" s="134"/>
      <c r="X1406" s="134"/>
      <c r="Y1406" s="134"/>
      <c r="Z1406" s="134"/>
      <c r="AA1406" s="134"/>
      <c r="AB1406" s="134"/>
      <c r="AC1406" s="134"/>
      <c r="AD1406" s="134"/>
    </row>
    <row r="1407">
      <c r="A1407" s="143"/>
      <c r="B1407" s="134"/>
      <c r="C1407" s="134"/>
      <c r="D1407" s="134"/>
      <c r="E1407" s="134"/>
      <c r="F1407" s="134"/>
      <c r="G1407" s="134"/>
      <c r="H1407" s="134"/>
      <c r="J1407" s="134"/>
      <c r="K1407" s="135"/>
      <c r="L1407" s="136"/>
      <c r="M1407" s="144"/>
      <c r="T1407" s="52"/>
      <c r="V1407" s="134"/>
      <c r="W1407" s="134"/>
      <c r="X1407" s="134"/>
      <c r="Y1407" s="134"/>
      <c r="Z1407" s="134"/>
      <c r="AA1407" s="134"/>
      <c r="AB1407" s="134"/>
      <c r="AC1407" s="134"/>
      <c r="AD1407" s="134"/>
    </row>
    <row r="1408">
      <c r="A1408" s="143"/>
      <c r="B1408" s="134"/>
      <c r="C1408" s="134"/>
      <c r="D1408" s="134"/>
      <c r="E1408" s="134"/>
      <c r="F1408" s="134"/>
      <c r="G1408" s="134"/>
      <c r="H1408" s="134"/>
      <c r="J1408" s="134"/>
      <c r="K1408" s="135"/>
      <c r="L1408" s="136"/>
      <c r="M1408" s="144"/>
      <c r="T1408" s="52"/>
      <c r="V1408" s="134"/>
      <c r="W1408" s="134"/>
      <c r="X1408" s="134"/>
      <c r="Y1408" s="134"/>
      <c r="Z1408" s="134"/>
      <c r="AA1408" s="134"/>
      <c r="AB1408" s="134"/>
      <c r="AC1408" s="134"/>
      <c r="AD1408" s="134"/>
    </row>
    <row r="1409">
      <c r="A1409" s="143"/>
      <c r="B1409" s="134"/>
      <c r="C1409" s="134"/>
      <c r="D1409" s="134"/>
      <c r="E1409" s="134"/>
      <c r="F1409" s="134"/>
      <c r="G1409" s="134"/>
      <c r="H1409" s="134"/>
      <c r="J1409" s="134"/>
      <c r="K1409" s="135"/>
      <c r="L1409" s="136"/>
      <c r="M1409" s="144"/>
      <c r="T1409" s="52"/>
      <c r="V1409" s="134"/>
      <c r="W1409" s="134"/>
      <c r="X1409" s="134"/>
      <c r="Y1409" s="134"/>
      <c r="Z1409" s="134"/>
      <c r="AA1409" s="134"/>
      <c r="AB1409" s="134"/>
      <c r="AC1409" s="134"/>
      <c r="AD1409" s="134"/>
    </row>
    <row r="1410">
      <c r="A1410" s="143"/>
      <c r="B1410" s="134"/>
      <c r="C1410" s="134"/>
      <c r="D1410" s="134"/>
      <c r="E1410" s="134"/>
      <c r="F1410" s="134"/>
      <c r="G1410" s="134"/>
      <c r="H1410" s="134"/>
      <c r="J1410" s="134"/>
      <c r="K1410" s="135"/>
      <c r="L1410" s="136"/>
      <c r="M1410" s="144"/>
      <c r="T1410" s="52"/>
      <c r="V1410" s="134"/>
      <c r="W1410" s="134"/>
      <c r="X1410" s="134"/>
      <c r="Y1410" s="134"/>
      <c r="Z1410" s="134"/>
      <c r="AA1410" s="134"/>
      <c r="AB1410" s="134"/>
      <c r="AC1410" s="134"/>
      <c r="AD1410" s="134"/>
    </row>
    <row r="1411">
      <c r="A1411" s="143"/>
      <c r="B1411" s="134"/>
      <c r="C1411" s="134"/>
      <c r="D1411" s="134"/>
      <c r="E1411" s="134"/>
      <c r="F1411" s="134"/>
      <c r="G1411" s="134"/>
      <c r="H1411" s="134"/>
      <c r="J1411" s="134"/>
      <c r="K1411" s="135"/>
      <c r="L1411" s="136"/>
      <c r="M1411" s="144"/>
      <c r="T1411" s="52"/>
      <c r="V1411" s="134"/>
      <c r="W1411" s="134"/>
      <c r="X1411" s="134"/>
      <c r="Y1411" s="134"/>
      <c r="Z1411" s="134"/>
      <c r="AA1411" s="134"/>
      <c r="AB1411" s="134"/>
      <c r="AC1411" s="134"/>
      <c r="AD1411" s="134"/>
    </row>
    <row r="1412">
      <c r="A1412" s="143"/>
      <c r="B1412" s="134"/>
      <c r="C1412" s="134"/>
      <c r="D1412" s="134"/>
      <c r="E1412" s="134"/>
      <c r="F1412" s="134"/>
      <c r="G1412" s="134"/>
      <c r="H1412" s="134"/>
      <c r="J1412" s="134"/>
      <c r="K1412" s="135"/>
      <c r="L1412" s="136"/>
      <c r="M1412" s="144"/>
      <c r="T1412" s="52"/>
      <c r="V1412" s="134"/>
      <c r="W1412" s="134"/>
      <c r="X1412" s="134"/>
      <c r="Y1412" s="134"/>
      <c r="Z1412" s="134"/>
      <c r="AA1412" s="134"/>
      <c r="AB1412" s="134"/>
      <c r="AC1412" s="134"/>
      <c r="AD1412" s="134"/>
    </row>
    <row r="1413">
      <c r="A1413" s="143"/>
      <c r="B1413" s="134"/>
      <c r="C1413" s="134"/>
      <c r="D1413" s="134"/>
      <c r="E1413" s="134"/>
      <c r="F1413" s="134"/>
      <c r="G1413" s="134"/>
      <c r="H1413" s="134"/>
      <c r="J1413" s="134"/>
      <c r="K1413" s="135"/>
      <c r="L1413" s="136"/>
      <c r="M1413" s="144"/>
      <c r="T1413" s="52"/>
      <c r="V1413" s="134"/>
      <c r="W1413" s="134"/>
      <c r="X1413" s="134"/>
      <c r="Y1413" s="134"/>
      <c r="Z1413" s="134"/>
      <c r="AA1413" s="134"/>
      <c r="AB1413" s="134"/>
      <c r="AC1413" s="134"/>
      <c r="AD1413" s="134"/>
    </row>
    <row r="1414">
      <c r="A1414" s="143"/>
      <c r="B1414" s="134"/>
      <c r="C1414" s="134"/>
      <c r="D1414" s="134"/>
      <c r="E1414" s="134"/>
      <c r="F1414" s="134"/>
      <c r="G1414" s="134"/>
      <c r="H1414" s="134"/>
      <c r="J1414" s="134"/>
      <c r="K1414" s="135"/>
      <c r="L1414" s="136"/>
      <c r="M1414" s="144"/>
      <c r="T1414" s="52"/>
      <c r="V1414" s="134"/>
      <c r="W1414" s="134"/>
      <c r="X1414" s="134"/>
      <c r="Y1414" s="134"/>
      <c r="Z1414" s="134"/>
      <c r="AA1414" s="134"/>
      <c r="AB1414" s="134"/>
      <c r="AC1414" s="134"/>
      <c r="AD1414" s="134"/>
    </row>
    <row r="1415">
      <c r="A1415" s="143"/>
      <c r="B1415" s="134"/>
      <c r="C1415" s="134"/>
      <c r="D1415" s="134"/>
      <c r="E1415" s="134"/>
      <c r="F1415" s="134"/>
      <c r="G1415" s="134"/>
      <c r="H1415" s="134"/>
      <c r="J1415" s="134"/>
      <c r="K1415" s="135"/>
      <c r="L1415" s="136"/>
      <c r="M1415" s="144"/>
      <c r="T1415" s="52"/>
      <c r="V1415" s="134"/>
      <c r="W1415" s="134"/>
      <c r="X1415" s="134"/>
      <c r="Y1415" s="134"/>
      <c r="Z1415" s="134"/>
      <c r="AA1415" s="134"/>
      <c r="AB1415" s="134"/>
      <c r="AC1415" s="134"/>
      <c r="AD1415" s="134"/>
    </row>
    <row r="1416">
      <c r="A1416" s="143"/>
      <c r="B1416" s="134"/>
      <c r="C1416" s="134"/>
      <c r="D1416" s="134"/>
      <c r="E1416" s="134"/>
      <c r="F1416" s="134"/>
      <c r="G1416" s="134"/>
      <c r="H1416" s="134"/>
      <c r="J1416" s="134"/>
      <c r="K1416" s="135"/>
      <c r="L1416" s="136"/>
      <c r="M1416" s="144"/>
      <c r="T1416" s="52"/>
      <c r="V1416" s="134"/>
      <c r="W1416" s="134"/>
      <c r="X1416" s="134"/>
      <c r="Y1416" s="134"/>
      <c r="Z1416" s="134"/>
      <c r="AA1416" s="134"/>
      <c r="AB1416" s="134"/>
      <c r="AC1416" s="134"/>
      <c r="AD1416" s="134"/>
    </row>
    <row r="1417">
      <c r="A1417" s="143"/>
      <c r="B1417" s="134"/>
      <c r="C1417" s="134"/>
      <c r="D1417" s="134"/>
      <c r="E1417" s="134"/>
      <c r="F1417" s="134"/>
      <c r="G1417" s="134"/>
      <c r="H1417" s="134"/>
      <c r="J1417" s="134"/>
      <c r="K1417" s="135"/>
      <c r="L1417" s="136"/>
      <c r="M1417" s="144"/>
      <c r="T1417" s="52"/>
      <c r="V1417" s="134"/>
      <c r="W1417" s="134"/>
      <c r="X1417" s="134"/>
      <c r="Y1417" s="134"/>
      <c r="Z1417" s="134"/>
      <c r="AA1417" s="134"/>
      <c r="AB1417" s="134"/>
      <c r="AC1417" s="134"/>
      <c r="AD1417" s="134"/>
    </row>
    <row r="1418">
      <c r="A1418" s="143"/>
      <c r="B1418" s="134"/>
      <c r="C1418" s="134"/>
      <c r="D1418" s="134"/>
      <c r="E1418" s="134"/>
      <c r="F1418" s="134"/>
      <c r="G1418" s="134"/>
      <c r="H1418" s="134"/>
      <c r="J1418" s="134"/>
      <c r="K1418" s="135"/>
      <c r="L1418" s="136"/>
      <c r="M1418" s="144"/>
      <c r="T1418" s="52"/>
      <c r="V1418" s="134"/>
      <c r="W1418" s="134"/>
      <c r="X1418" s="134"/>
      <c r="Y1418" s="134"/>
      <c r="Z1418" s="134"/>
      <c r="AA1418" s="134"/>
      <c r="AB1418" s="134"/>
      <c r="AC1418" s="134"/>
      <c r="AD1418" s="134"/>
    </row>
    <row r="1419">
      <c r="A1419" s="143"/>
      <c r="B1419" s="134"/>
      <c r="C1419" s="134"/>
      <c r="D1419" s="134"/>
      <c r="E1419" s="134"/>
      <c r="F1419" s="134"/>
      <c r="G1419" s="134"/>
      <c r="H1419" s="134"/>
      <c r="J1419" s="134"/>
      <c r="K1419" s="135"/>
      <c r="L1419" s="136"/>
      <c r="M1419" s="144"/>
      <c r="T1419" s="52"/>
      <c r="V1419" s="134"/>
      <c r="W1419" s="134"/>
      <c r="X1419" s="134"/>
      <c r="Y1419" s="134"/>
      <c r="Z1419" s="134"/>
      <c r="AA1419" s="134"/>
      <c r="AB1419" s="134"/>
      <c r="AC1419" s="134"/>
      <c r="AD1419" s="134"/>
    </row>
    <row r="1420">
      <c r="A1420" s="143"/>
      <c r="B1420" s="134"/>
      <c r="C1420" s="134"/>
      <c r="D1420" s="134"/>
      <c r="E1420" s="134"/>
      <c r="F1420" s="134"/>
      <c r="G1420" s="134"/>
      <c r="H1420" s="134"/>
      <c r="J1420" s="134"/>
      <c r="K1420" s="135"/>
      <c r="L1420" s="136"/>
      <c r="M1420" s="144"/>
      <c r="T1420" s="52"/>
      <c r="V1420" s="134"/>
      <c r="W1420" s="134"/>
      <c r="X1420" s="134"/>
      <c r="Y1420" s="134"/>
      <c r="Z1420" s="134"/>
      <c r="AA1420" s="134"/>
      <c r="AB1420" s="134"/>
      <c r="AC1420" s="134"/>
      <c r="AD1420" s="134"/>
    </row>
    <row r="1421">
      <c r="A1421" s="143"/>
      <c r="B1421" s="134"/>
      <c r="C1421" s="134"/>
      <c r="D1421" s="134"/>
      <c r="E1421" s="134"/>
      <c r="F1421" s="134"/>
      <c r="G1421" s="134"/>
      <c r="H1421" s="134"/>
      <c r="J1421" s="134"/>
      <c r="K1421" s="135"/>
      <c r="L1421" s="136"/>
      <c r="M1421" s="144"/>
      <c r="T1421" s="52"/>
      <c r="V1421" s="134"/>
      <c r="W1421" s="134"/>
      <c r="X1421" s="134"/>
      <c r="Y1421" s="134"/>
      <c r="Z1421" s="134"/>
      <c r="AA1421" s="134"/>
      <c r="AB1421" s="134"/>
      <c r="AC1421" s="134"/>
      <c r="AD1421" s="134"/>
    </row>
    <row r="1422">
      <c r="A1422" s="143"/>
      <c r="B1422" s="134"/>
      <c r="C1422" s="134"/>
      <c r="D1422" s="134"/>
      <c r="E1422" s="134"/>
      <c r="F1422" s="134"/>
      <c r="G1422" s="134"/>
      <c r="H1422" s="134"/>
      <c r="J1422" s="134"/>
      <c r="K1422" s="135"/>
      <c r="L1422" s="136"/>
      <c r="M1422" s="144"/>
      <c r="T1422" s="52"/>
      <c r="V1422" s="134"/>
      <c r="W1422" s="134"/>
      <c r="X1422" s="134"/>
      <c r="Y1422" s="134"/>
      <c r="Z1422" s="134"/>
      <c r="AA1422" s="134"/>
      <c r="AB1422" s="134"/>
      <c r="AC1422" s="134"/>
      <c r="AD1422" s="134"/>
    </row>
    <row r="1423">
      <c r="A1423" s="143"/>
      <c r="B1423" s="134"/>
      <c r="C1423" s="134"/>
      <c r="D1423" s="134"/>
      <c r="E1423" s="134"/>
      <c r="F1423" s="134"/>
      <c r="G1423" s="134"/>
      <c r="H1423" s="134"/>
      <c r="J1423" s="134"/>
      <c r="K1423" s="135"/>
      <c r="L1423" s="136"/>
      <c r="M1423" s="144"/>
      <c r="T1423" s="52"/>
      <c r="V1423" s="134"/>
      <c r="W1423" s="134"/>
      <c r="X1423" s="134"/>
      <c r="Y1423" s="134"/>
      <c r="Z1423" s="134"/>
      <c r="AA1423" s="134"/>
      <c r="AB1423" s="134"/>
      <c r="AC1423" s="134"/>
      <c r="AD1423" s="134"/>
    </row>
    <row r="1424">
      <c r="A1424" s="143"/>
      <c r="B1424" s="134"/>
      <c r="C1424" s="134"/>
      <c r="D1424" s="134"/>
      <c r="E1424" s="134"/>
      <c r="F1424" s="134"/>
      <c r="G1424" s="134"/>
      <c r="H1424" s="134"/>
      <c r="J1424" s="134"/>
      <c r="K1424" s="135"/>
      <c r="L1424" s="136"/>
      <c r="M1424" s="144"/>
      <c r="T1424" s="52"/>
      <c r="V1424" s="134"/>
      <c r="W1424" s="134"/>
      <c r="X1424" s="134"/>
      <c r="Y1424" s="134"/>
      <c r="Z1424" s="134"/>
      <c r="AA1424" s="134"/>
      <c r="AB1424" s="134"/>
      <c r="AC1424" s="134"/>
      <c r="AD1424" s="134"/>
    </row>
    <row r="1425">
      <c r="A1425" s="143"/>
      <c r="B1425" s="134"/>
      <c r="C1425" s="134"/>
      <c r="D1425" s="134"/>
      <c r="E1425" s="134"/>
      <c r="F1425" s="134"/>
      <c r="G1425" s="134"/>
      <c r="H1425" s="134"/>
      <c r="J1425" s="134"/>
      <c r="K1425" s="135"/>
      <c r="L1425" s="136"/>
      <c r="M1425" s="144"/>
      <c r="T1425" s="52"/>
      <c r="V1425" s="134"/>
      <c r="W1425" s="134"/>
      <c r="X1425" s="134"/>
      <c r="Y1425" s="134"/>
      <c r="Z1425" s="134"/>
      <c r="AA1425" s="134"/>
      <c r="AB1425" s="134"/>
      <c r="AC1425" s="134"/>
      <c r="AD1425" s="134"/>
    </row>
    <row r="1426">
      <c r="A1426" s="143"/>
      <c r="B1426" s="134"/>
      <c r="C1426" s="134"/>
      <c r="D1426" s="134"/>
      <c r="E1426" s="134"/>
      <c r="F1426" s="134"/>
      <c r="G1426" s="134"/>
      <c r="H1426" s="134"/>
      <c r="J1426" s="134"/>
      <c r="K1426" s="135"/>
      <c r="L1426" s="136"/>
      <c r="M1426" s="144"/>
      <c r="T1426" s="52"/>
      <c r="V1426" s="134"/>
      <c r="W1426" s="134"/>
      <c r="X1426" s="134"/>
      <c r="Y1426" s="134"/>
      <c r="Z1426" s="134"/>
      <c r="AA1426" s="134"/>
      <c r="AB1426" s="134"/>
      <c r="AC1426" s="134"/>
      <c r="AD1426" s="134"/>
    </row>
    <row r="1427">
      <c r="A1427" s="143"/>
      <c r="B1427" s="134"/>
      <c r="C1427" s="134"/>
      <c r="D1427" s="134"/>
      <c r="E1427" s="134"/>
      <c r="F1427" s="134"/>
      <c r="G1427" s="134"/>
      <c r="H1427" s="134"/>
      <c r="J1427" s="134"/>
      <c r="K1427" s="135"/>
      <c r="L1427" s="136"/>
      <c r="M1427" s="144"/>
      <c r="T1427" s="52"/>
      <c r="V1427" s="134"/>
      <c r="W1427" s="134"/>
      <c r="X1427" s="134"/>
      <c r="Y1427" s="134"/>
      <c r="Z1427" s="134"/>
      <c r="AA1427" s="134"/>
      <c r="AB1427" s="134"/>
      <c r="AC1427" s="134"/>
      <c r="AD1427" s="134"/>
    </row>
    <row r="1428">
      <c r="A1428" s="143"/>
      <c r="B1428" s="134"/>
      <c r="C1428" s="134"/>
      <c r="D1428" s="134"/>
      <c r="E1428" s="134"/>
      <c r="F1428" s="134"/>
      <c r="G1428" s="134"/>
      <c r="H1428" s="134"/>
      <c r="J1428" s="134"/>
      <c r="K1428" s="135"/>
      <c r="L1428" s="136"/>
      <c r="M1428" s="144"/>
      <c r="T1428" s="52"/>
      <c r="V1428" s="134"/>
      <c r="W1428" s="134"/>
      <c r="X1428" s="134"/>
      <c r="Y1428" s="134"/>
      <c r="Z1428" s="134"/>
      <c r="AA1428" s="134"/>
      <c r="AB1428" s="134"/>
      <c r="AC1428" s="134"/>
      <c r="AD1428" s="134"/>
    </row>
    <row r="1429">
      <c r="A1429" s="143"/>
      <c r="B1429" s="134"/>
      <c r="C1429" s="134"/>
      <c r="D1429" s="134"/>
      <c r="E1429" s="134"/>
      <c r="F1429" s="134"/>
      <c r="G1429" s="134"/>
      <c r="H1429" s="134"/>
      <c r="J1429" s="134"/>
      <c r="K1429" s="135"/>
      <c r="L1429" s="136"/>
      <c r="M1429" s="144"/>
      <c r="T1429" s="52"/>
      <c r="V1429" s="134"/>
      <c r="W1429" s="134"/>
      <c r="X1429" s="134"/>
      <c r="Y1429" s="134"/>
      <c r="Z1429" s="134"/>
      <c r="AA1429" s="134"/>
      <c r="AB1429" s="134"/>
      <c r="AC1429" s="134"/>
      <c r="AD1429" s="134"/>
    </row>
    <row r="1430">
      <c r="A1430" s="143"/>
      <c r="B1430" s="134"/>
      <c r="C1430" s="134"/>
      <c r="D1430" s="134"/>
      <c r="E1430" s="134"/>
      <c r="F1430" s="134"/>
      <c r="G1430" s="134"/>
      <c r="H1430" s="134"/>
      <c r="J1430" s="134"/>
      <c r="K1430" s="135"/>
      <c r="L1430" s="136"/>
      <c r="M1430" s="144"/>
      <c r="T1430" s="52"/>
      <c r="V1430" s="134"/>
      <c r="W1430" s="134"/>
      <c r="X1430" s="134"/>
      <c r="Y1430" s="134"/>
      <c r="Z1430" s="134"/>
      <c r="AA1430" s="134"/>
      <c r="AB1430" s="134"/>
      <c r="AC1430" s="134"/>
      <c r="AD1430" s="134"/>
    </row>
    <row r="1431">
      <c r="A1431" s="143"/>
      <c r="B1431" s="134"/>
      <c r="C1431" s="134"/>
      <c r="D1431" s="134"/>
      <c r="E1431" s="134"/>
      <c r="F1431" s="134"/>
      <c r="G1431" s="134"/>
      <c r="H1431" s="134"/>
      <c r="J1431" s="134"/>
      <c r="K1431" s="135"/>
      <c r="L1431" s="136"/>
      <c r="M1431" s="144"/>
      <c r="T1431" s="52"/>
      <c r="V1431" s="134"/>
      <c r="W1431" s="134"/>
      <c r="X1431" s="134"/>
      <c r="Y1431" s="134"/>
      <c r="Z1431" s="134"/>
      <c r="AA1431" s="134"/>
      <c r="AB1431" s="134"/>
      <c r="AC1431" s="134"/>
      <c r="AD1431" s="134"/>
    </row>
    <row r="1432">
      <c r="A1432" s="143"/>
      <c r="B1432" s="134"/>
      <c r="C1432" s="134"/>
      <c r="D1432" s="134"/>
      <c r="E1432" s="134"/>
      <c r="F1432" s="134"/>
      <c r="G1432" s="134"/>
      <c r="H1432" s="134"/>
      <c r="J1432" s="134"/>
      <c r="K1432" s="135"/>
      <c r="L1432" s="136"/>
      <c r="M1432" s="144"/>
      <c r="T1432" s="52"/>
      <c r="V1432" s="134"/>
      <c r="W1432" s="134"/>
      <c r="X1432" s="134"/>
      <c r="Y1432" s="134"/>
      <c r="Z1432" s="134"/>
      <c r="AA1432" s="134"/>
      <c r="AB1432" s="134"/>
      <c r="AC1432" s="134"/>
      <c r="AD1432" s="134"/>
    </row>
    <row r="1433">
      <c r="A1433" s="143"/>
      <c r="B1433" s="134"/>
      <c r="C1433" s="134"/>
      <c r="D1433" s="134"/>
      <c r="E1433" s="134"/>
      <c r="F1433" s="134"/>
      <c r="G1433" s="134"/>
      <c r="H1433" s="134"/>
      <c r="J1433" s="134"/>
      <c r="K1433" s="135"/>
      <c r="L1433" s="136"/>
      <c r="M1433" s="144"/>
      <c r="T1433" s="52"/>
      <c r="V1433" s="134"/>
      <c r="W1433" s="134"/>
      <c r="X1433" s="134"/>
      <c r="Y1433" s="134"/>
      <c r="Z1433" s="134"/>
      <c r="AA1433" s="134"/>
      <c r="AB1433" s="134"/>
      <c r="AC1433" s="134"/>
      <c r="AD1433" s="134"/>
    </row>
    <row r="1434">
      <c r="A1434" s="143"/>
      <c r="B1434" s="134"/>
      <c r="C1434" s="134"/>
      <c r="D1434" s="134"/>
      <c r="E1434" s="134"/>
      <c r="F1434" s="134"/>
      <c r="G1434" s="134"/>
      <c r="H1434" s="134"/>
      <c r="J1434" s="134"/>
      <c r="K1434" s="135"/>
      <c r="L1434" s="136"/>
      <c r="M1434" s="144"/>
      <c r="T1434" s="52"/>
      <c r="V1434" s="134"/>
      <c r="W1434" s="134"/>
      <c r="X1434" s="134"/>
      <c r="Y1434" s="134"/>
      <c r="Z1434" s="134"/>
      <c r="AA1434" s="134"/>
      <c r="AB1434" s="134"/>
      <c r="AC1434" s="134"/>
      <c r="AD1434" s="134"/>
    </row>
    <row r="1435">
      <c r="A1435" s="143"/>
      <c r="B1435" s="134"/>
      <c r="C1435" s="134"/>
      <c r="D1435" s="134"/>
      <c r="E1435" s="134"/>
      <c r="F1435" s="134"/>
      <c r="G1435" s="134"/>
      <c r="H1435" s="134"/>
      <c r="J1435" s="134"/>
      <c r="K1435" s="135"/>
      <c r="L1435" s="136"/>
      <c r="M1435" s="144"/>
      <c r="T1435" s="52"/>
      <c r="V1435" s="134"/>
      <c r="W1435" s="134"/>
      <c r="X1435" s="134"/>
      <c r="Y1435" s="134"/>
      <c r="Z1435" s="134"/>
      <c r="AA1435" s="134"/>
      <c r="AB1435" s="134"/>
      <c r="AC1435" s="134"/>
      <c r="AD1435" s="134"/>
    </row>
    <row r="1436">
      <c r="A1436" s="143"/>
      <c r="B1436" s="134"/>
      <c r="C1436" s="134"/>
      <c r="D1436" s="134"/>
      <c r="E1436" s="134"/>
      <c r="F1436" s="134"/>
      <c r="G1436" s="134"/>
      <c r="H1436" s="134"/>
      <c r="J1436" s="134"/>
      <c r="K1436" s="135"/>
      <c r="L1436" s="136"/>
      <c r="M1436" s="144"/>
      <c r="T1436" s="52"/>
      <c r="V1436" s="134"/>
      <c r="W1436" s="134"/>
      <c r="X1436" s="134"/>
      <c r="Y1436" s="134"/>
      <c r="Z1436" s="134"/>
      <c r="AA1436" s="134"/>
      <c r="AB1436" s="134"/>
      <c r="AC1436" s="134"/>
      <c r="AD1436" s="134"/>
    </row>
    <row r="1437">
      <c r="A1437" s="143"/>
      <c r="B1437" s="134"/>
      <c r="C1437" s="134"/>
      <c r="D1437" s="134"/>
      <c r="E1437" s="134"/>
      <c r="F1437" s="134"/>
      <c r="G1437" s="134"/>
      <c r="H1437" s="134"/>
      <c r="J1437" s="134"/>
      <c r="K1437" s="135"/>
      <c r="L1437" s="136"/>
      <c r="M1437" s="144"/>
      <c r="T1437" s="52"/>
      <c r="V1437" s="134"/>
      <c r="W1437" s="134"/>
      <c r="X1437" s="134"/>
      <c r="Y1437" s="134"/>
      <c r="Z1437" s="134"/>
      <c r="AA1437" s="134"/>
      <c r="AB1437" s="134"/>
      <c r="AC1437" s="134"/>
      <c r="AD1437" s="134"/>
    </row>
    <row r="1438">
      <c r="A1438" s="143"/>
      <c r="B1438" s="134"/>
      <c r="C1438" s="134"/>
      <c r="D1438" s="134"/>
      <c r="E1438" s="134"/>
      <c r="F1438" s="134"/>
      <c r="G1438" s="134"/>
      <c r="H1438" s="134"/>
      <c r="J1438" s="134"/>
      <c r="K1438" s="135"/>
      <c r="L1438" s="136"/>
      <c r="M1438" s="144"/>
      <c r="T1438" s="52"/>
      <c r="V1438" s="134"/>
      <c r="W1438" s="134"/>
      <c r="X1438" s="134"/>
      <c r="Y1438" s="134"/>
      <c r="Z1438" s="134"/>
      <c r="AA1438" s="134"/>
      <c r="AB1438" s="134"/>
      <c r="AC1438" s="134"/>
      <c r="AD1438" s="134"/>
    </row>
    <row r="1439">
      <c r="A1439" s="143"/>
      <c r="B1439" s="134"/>
      <c r="C1439" s="134"/>
      <c r="D1439" s="134"/>
      <c r="E1439" s="134"/>
      <c r="F1439" s="134"/>
      <c r="G1439" s="134"/>
      <c r="H1439" s="134"/>
      <c r="J1439" s="134"/>
      <c r="K1439" s="135"/>
      <c r="L1439" s="136"/>
      <c r="M1439" s="144"/>
      <c r="T1439" s="52"/>
      <c r="V1439" s="134"/>
      <c r="W1439" s="134"/>
      <c r="X1439" s="134"/>
      <c r="Y1439" s="134"/>
      <c r="Z1439" s="134"/>
      <c r="AA1439" s="134"/>
      <c r="AB1439" s="134"/>
      <c r="AC1439" s="134"/>
      <c r="AD1439" s="134"/>
    </row>
    <row r="1440">
      <c r="A1440" s="143"/>
      <c r="B1440" s="134"/>
      <c r="C1440" s="134"/>
      <c r="D1440" s="134"/>
      <c r="E1440" s="134"/>
      <c r="F1440" s="134"/>
      <c r="G1440" s="134"/>
      <c r="H1440" s="134"/>
      <c r="J1440" s="134"/>
      <c r="K1440" s="135"/>
      <c r="L1440" s="136"/>
      <c r="M1440" s="144"/>
      <c r="T1440" s="52"/>
      <c r="V1440" s="134"/>
      <c r="W1440" s="134"/>
      <c r="X1440" s="134"/>
      <c r="Y1440" s="134"/>
      <c r="Z1440" s="134"/>
      <c r="AA1440" s="134"/>
      <c r="AB1440" s="134"/>
      <c r="AC1440" s="134"/>
      <c r="AD1440" s="134"/>
    </row>
    <row r="1441">
      <c r="A1441" s="143"/>
      <c r="B1441" s="134"/>
      <c r="C1441" s="134"/>
      <c r="D1441" s="134"/>
      <c r="E1441" s="134"/>
      <c r="F1441" s="134"/>
      <c r="G1441" s="134"/>
      <c r="H1441" s="134"/>
      <c r="J1441" s="134"/>
      <c r="K1441" s="135"/>
      <c r="L1441" s="136"/>
      <c r="M1441" s="144"/>
      <c r="T1441" s="52"/>
      <c r="V1441" s="134"/>
      <c r="W1441" s="134"/>
      <c r="X1441" s="134"/>
      <c r="Y1441" s="134"/>
      <c r="Z1441" s="134"/>
      <c r="AA1441" s="134"/>
      <c r="AB1441" s="134"/>
      <c r="AC1441" s="134"/>
      <c r="AD1441" s="134"/>
    </row>
    <row r="1442">
      <c r="A1442" s="143"/>
      <c r="B1442" s="134"/>
      <c r="C1442" s="134"/>
      <c r="D1442" s="134"/>
      <c r="E1442" s="134"/>
      <c r="F1442" s="134"/>
      <c r="G1442" s="134"/>
      <c r="H1442" s="134"/>
      <c r="J1442" s="134"/>
      <c r="K1442" s="135"/>
      <c r="L1442" s="136"/>
      <c r="M1442" s="144"/>
      <c r="T1442" s="52"/>
      <c r="V1442" s="134"/>
      <c r="W1442" s="134"/>
      <c r="X1442" s="134"/>
      <c r="Y1442" s="134"/>
      <c r="Z1442" s="134"/>
      <c r="AA1442" s="134"/>
      <c r="AB1442" s="134"/>
      <c r="AC1442" s="134"/>
      <c r="AD1442" s="134"/>
    </row>
    <row r="1443">
      <c r="A1443" s="143"/>
      <c r="B1443" s="134"/>
      <c r="C1443" s="134"/>
      <c r="D1443" s="134"/>
      <c r="E1443" s="134"/>
      <c r="F1443" s="134"/>
      <c r="G1443" s="134"/>
      <c r="H1443" s="134"/>
      <c r="J1443" s="134"/>
      <c r="K1443" s="135"/>
      <c r="L1443" s="136"/>
      <c r="M1443" s="144"/>
      <c r="T1443" s="52"/>
      <c r="V1443" s="134"/>
      <c r="W1443" s="134"/>
      <c r="X1443" s="134"/>
      <c r="Y1443" s="134"/>
      <c r="Z1443" s="134"/>
      <c r="AA1443" s="134"/>
      <c r="AB1443" s="134"/>
      <c r="AC1443" s="134"/>
      <c r="AD1443" s="134"/>
    </row>
    <row r="1444">
      <c r="A1444" s="143"/>
      <c r="B1444" s="134"/>
      <c r="C1444" s="134"/>
      <c r="D1444" s="134"/>
      <c r="E1444" s="134"/>
      <c r="F1444" s="134"/>
      <c r="G1444" s="134"/>
      <c r="H1444" s="134"/>
      <c r="J1444" s="134"/>
      <c r="K1444" s="135"/>
      <c r="L1444" s="136"/>
      <c r="M1444" s="144"/>
      <c r="T1444" s="52"/>
      <c r="V1444" s="134"/>
      <c r="W1444" s="134"/>
      <c r="X1444" s="134"/>
      <c r="Y1444" s="134"/>
      <c r="Z1444" s="134"/>
      <c r="AA1444" s="134"/>
      <c r="AB1444" s="134"/>
      <c r="AC1444" s="134"/>
      <c r="AD1444" s="134"/>
    </row>
    <row r="1445">
      <c r="A1445" s="143"/>
      <c r="B1445" s="134"/>
      <c r="C1445" s="134"/>
      <c r="D1445" s="134"/>
      <c r="E1445" s="134"/>
      <c r="F1445" s="134"/>
      <c r="G1445" s="134"/>
      <c r="H1445" s="134"/>
      <c r="J1445" s="134"/>
      <c r="K1445" s="135"/>
      <c r="L1445" s="136"/>
      <c r="M1445" s="144"/>
      <c r="T1445" s="52"/>
      <c r="V1445" s="134"/>
      <c r="W1445" s="134"/>
      <c r="X1445" s="134"/>
      <c r="Y1445" s="134"/>
      <c r="Z1445" s="134"/>
      <c r="AA1445" s="134"/>
      <c r="AB1445" s="134"/>
      <c r="AC1445" s="134"/>
      <c r="AD1445" s="134"/>
    </row>
    <row r="1446">
      <c r="A1446" s="143"/>
      <c r="B1446" s="134"/>
      <c r="C1446" s="134"/>
      <c r="D1446" s="134"/>
      <c r="E1446" s="134"/>
      <c r="F1446" s="134"/>
      <c r="G1446" s="134"/>
      <c r="H1446" s="134"/>
      <c r="J1446" s="134"/>
      <c r="K1446" s="135"/>
      <c r="L1446" s="136"/>
      <c r="M1446" s="144"/>
      <c r="T1446" s="52"/>
      <c r="V1446" s="134"/>
      <c r="W1446" s="134"/>
      <c r="X1446" s="134"/>
      <c r="Y1446" s="134"/>
      <c r="Z1446" s="134"/>
      <c r="AA1446" s="134"/>
      <c r="AB1446" s="134"/>
      <c r="AC1446" s="134"/>
      <c r="AD1446" s="134"/>
    </row>
    <row r="1447">
      <c r="A1447" s="143"/>
      <c r="B1447" s="134"/>
      <c r="C1447" s="134"/>
      <c r="D1447" s="134"/>
      <c r="E1447" s="134"/>
      <c r="F1447" s="134"/>
      <c r="G1447" s="134"/>
      <c r="H1447" s="134"/>
      <c r="J1447" s="134"/>
      <c r="K1447" s="135"/>
      <c r="L1447" s="136"/>
      <c r="M1447" s="144"/>
      <c r="T1447" s="52"/>
      <c r="V1447" s="134"/>
      <c r="W1447" s="134"/>
      <c r="X1447" s="134"/>
      <c r="Y1447" s="134"/>
      <c r="Z1447" s="134"/>
      <c r="AA1447" s="134"/>
      <c r="AB1447" s="134"/>
      <c r="AC1447" s="134"/>
      <c r="AD1447" s="134"/>
    </row>
    <row r="1448">
      <c r="A1448" s="143"/>
      <c r="B1448" s="134"/>
      <c r="C1448" s="134"/>
      <c r="D1448" s="134"/>
      <c r="E1448" s="134"/>
      <c r="F1448" s="134"/>
      <c r="G1448" s="134"/>
      <c r="H1448" s="134"/>
      <c r="J1448" s="134"/>
      <c r="K1448" s="135"/>
      <c r="L1448" s="136"/>
      <c r="M1448" s="144"/>
      <c r="T1448" s="52"/>
      <c r="V1448" s="134"/>
      <c r="W1448" s="134"/>
      <c r="X1448" s="134"/>
      <c r="Y1448" s="134"/>
      <c r="Z1448" s="134"/>
      <c r="AA1448" s="134"/>
      <c r="AB1448" s="134"/>
      <c r="AC1448" s="134"/>
      <c r="AD1448" s="134"/>
    </row>
    <row r="1449">
      <c r="A1449" s="143"/>
      <c r="B1449" s="134"/>
      <c r="C1449" s="134"/>
      <c r="D1449" s="134"/>
      <c r="E1449" s="134"/>
      <c r="F1449" s="134"/>
      <c r="G1449" s="134"/>
      <c r="H1449" s="134"/>
      <c r="J1449" s="134"/>
      <c r="K1449" s="135"/>
      <c r="L1449" s="136"/>
      <c r="M1449" s="144"/>
      <c r="T1449" s="52"/>
      <c r="V1449" s="134"/>
      <c r="W1449" s="134"/>
      <c r="X1449" s="134"/>
      <c r="Y1449" s="134"/>
      <c r="Z1449" s="134"/>
      <c r="AA1449" s="134"/>
      <c r="AB1449" s="134"/>
      <c r="AC1449" s="134"/>
      <c r="AD1449" s="134"/>
    </row>
    <row r="1450">
      <c r="A1450" s="143"/>
      <c r="B1450" s="134"/>
      <c r="C1450" s="134"/>
      <c r="D1450" s="134"/>
      <c r="E1450" s="134"/>
      <c r="F1450" s="134"/>
      <c r="G1450" s="134"/>
      <c r="H1450" s="134"/>
      <c r="J1450" s="134"/>
      <c r="K1450" s="135"/>
      <c r="L1450" s="136"/>
      <c r="M1450" s="144"/>
      <c r="T1450" s="52"/>
      <c r="V1450" s="134"/>
      <c r="W1450" s="134"/>
      <c r="X1450" s="134"/>
      <c r="Y1450" s="134"/>
      <c r="Z1450" s="134"/>
      <c r="AA1450" s="134"/>
      <c r="AB1450" s="134"/>
      <c r="AC1450" s="134"/>
      <c r="AD1450" s="134"/>
    </row>
    <row r="1451">
      <c r="A1451" s="143"/>
      <c r="B1451" s="134"/>
      <c r="C1451" s="134"/>
      <c r="D1451" s="134"/>
      <c r="E1451" s="134"/>
      <c r="F1451" s="134"/>
      <c r="G1451" s="134"/>
      <c r="H1451" s="134"/>
      <c r="J1451" s="134"/>
      <c r="K1451" s="135"/>
      <c r="L1451" s="136"/>
      <c r="M1451" s="144"/>
      <c r="T1451" s="52"/>
      <c r="V1451" s="134"/>
      <c r="W1451" s="134"/>
      <c r="X1451" s="134"/>
      <c r="Y1451" s="134"/>
      <c r="Z1451" s="134"/>
      <c r="AA1451" s="134"/>
      <c r="AB1451" s="134"/>
      <c r="AC1451" s="134"/>
      <c r="AD1451" s="134"/>
    </row>
    <row r="1452">
      <c r="A1452" s="143"/>
      <c r="B1452" s="134"/>
      <c r="C1452" s="134"/>
      <c r="D1452" s="134"/>
      <c r="E1452" s="134"/>
      <c r="F1452" s="134"/>
      <c r="G1452" s="134"/>
      <c r="H1452" s="134"/>
      <c r="J1452" s="134"/>
      <c r="K1452" s="135"/>
      <c r="L1452" s="136"/>
      <c r="M1452" s="144"/>
      <c r="T1452" s="52"/>
      <c r="V1452" s="134"/>
      <c r="W1452" s="134"/>
      <c r="X1452" s="134"/>
      <c r="Y1452" s="134"/>
      <c r="Z1452" s="134"/>
      <c r="AA1452" s="134"/>
      <c r="AB1452" s="134"/>
      <c r="AC1452" s="134"/>
      <c r="AD1452" s="134"/>
    </row>
    <row r="1453">
      <c r="A1453" s="143"/>
      <c r="B1453" s="134"/>
      <c r="C1453" s="134"/>
      <c r="D1453" s="134"/>
      <c r="E1453" s="134"/>
      <c r="F1453" s="134"/>
      <c r="G1453" s="134"/>
      <c r="H1453" s="134"/>
      <c r="J1453" s="134"/>
      <c r="K1453" s="135"/>
      <c r="L1453" s="136"/>
      <c r="M1453" s="144"/>
      <c r="T1453" s="52"/>
      <c r="V1453" s="134"/>
      <c r="W1453" s="134"/>
      <c r="X1453" s="134"/>
      <c r="Y1453" s="134"/>
      <c r="Z1453" s="134"/>
      <c r="AA1453" s="134"/>
      <c r="AB1453" s="134"/>
      <c r="AC1453" s="134"/>
      <c r="AD1453" s="134"/>
    </row>
    <row r="1454">
      <c r="A1454" s="143"/>
      <c r="B1454" s="134"/>
      <c r="C1454" s="134"/>
      <c r="D1454" s="134"/>
      <c r="E1454" s="134"/>
      <c r="F1454" s="134"/>
      <c r="G1454" s="134"/>
      <c r="H1454" s="134"/>
      <c r="J1454" s="134"/>
      <c r="K1454" s="135"/>
      <c r="L1454" s="136"/>
      <c r="M1454" s="144"/>
      <c r="T1454" s="52"/>
      <c r="V1454" s="134"/>
      <c r="W1454" s="134"/>
      <c r="X1454" s="134"/>
      <c r="Y1454" s="134"/>
      <c r="Z1454" s="134"/>
      <c r="AA1454" s="134"/>
      <c r="AB1454" s="134"/>
      <c r="AC1454" s="134"/>
      <c r="AD1454" s="134"/>
    </row>
    <row r="1455">
      <c r="A1455" s="143"/>
      <c r="B1455" s="134"/>
      <c r="C1455" s="134"/>
      <c r="D1455" s="134"/>
      <c r="E1455" s="134"/>
      <c r="F1455" s="134"/>
      <c r="G1455" s="134"/>
      <c r="H1455" s="134"/>
      <c r="J1455" s="134"/>
      <c r="K1455" s="135"/>
      <c r="L1455" s="136"/>
      <c r="M1455" s="144"/>
      <c r="T1455" s="52"/>
      <c r="V1455" s="134"/>
      <c r="W1455" s="134"/>
      <c r="X1455" s="134"/>
      <c r="Y1455" s="134"/>
      <c r="Z1455" s="134"/>
      <c r="AA1455" s="134"/>
      <c r="AB1455" s="134"/>
      <c r="AC1455" s="134"/>
      <c r="AD1455" s="134"/>
    </row>
    <row r="1456">
      <c r="A1456" s="143"/>
      <c r="B1456" s="134"/>
      <c r="C1456" s="134"/>
      <c r="D1456" s="134"/>
      <c r="E1456" s="134"/>
      <c r="F1456" s="134"/>
      <c r="G1456" s="134"/>
      <c r="H1456" s="134"/>
      <c r="J1456" s="134"/>
      <c r="K1456" s="135"/>
      <c r="L1456" s="136"/>
      <c r="M1456" s="144"/>
      <c r="T1456" s="52"/>
      <c r="V1456" s="134"/>
      <c r="W1456" s="134"/>
      <c r="X1456" s="134"/>
      <c r="Y1456" s="134"/>
      <c r="Z1456" s="134"/>
      <c r="AA1456" s="134"/>
      <c r="AB1456" s="134"/>
      <c r="AC1456" s="134"/>
      <c r="AD1456" s="134"/>
    </row>
    <row r="1457">
      <c r="A1457" s="143"/>
      <c r="B1457" s="134"/>
      <c r="C1457" s="134"/>
      <c r="D1457" s="134"/>
      <c r="E1457" s="134"/>
      <c r="F1457" s="134"/>
      <c r="G1457" s="134"/>
      <c r="H1457" s="134"/>
      <c r="J1457" s="134"/>
      <c r="K1457" s="135"/>
      <c r="L1457" s="136"/>
      <c r="M1457" s="144"/>
      <c r="T1457" s="52"/>
      <c r="V1457" s="134"/>
      <c r="W1457" s="134"/>
      <c r="X1457" s="134"/>
      <c r="Y1457" s="134"/>
      <c r="Z1457" s="134"/>
      <c r="AA1457" s="134"/>
      <c r="AB1457" s="134"/>
      <c r="AC1457" s="134"/>
      <c r="AD1457" s="134"/>
    </row>
    <row r="1458">
      <c r="A1458" s="143"/>
      <c r="B1458" s="134"/>
      <c r="C1458" s="134"/>
      <c r="D1458" s="134"/>
      <c r="E1458" s="134"/>
      <c r="F1458" s="134"/>
      <c r="G1458" s="134"/>
      <c r="H1458" s="134"/>
      <c r="J1458" s="134"/>
      <c r="K1458" s="135"/>
      <c r="L1458" s="136"/>
      <c r="M1458" s="144"/>
      <c r="T1458" s="52"/>
      <c r="V1458" s="134"/>
      <c r="W1458" s="134"/>
      <c r="X1458" s="134"/>
      <c r="Y1458" s="134"/>
      <c r="Z1458" s="134"/>
      <c r="AA1458" s="134"/>
      <c r="AB1458" s="134"/>
      <c r="AC1458" s="134"/>
      <c r="AD1458" s="134"/>
    </row>
    <row r="1459">
      <c r="A1459" s="143"/>
      <c r="B1459" s="134"/>
      <c r="C1459" s="134"/>
      <c r="D1459" s="134"/>
      <c r="E1459" s="134"/>
      <c r="F1459" s="134"/>
      <c r="G1459" s="134"/>
      <c r="H1459" s="134"/>
      <c r="J1459" s="134"/>
      <c r="K1459" s="135"/>
      <c r="L1459" s="136"/>
      <c r="M1459" s="144"/>
      <c r="T1459" s="52"/>
      <c r="V1459" s="134"/>
      <c r="W1459" s="134"/>
      <c r="X1459" s="134"/>
      <c r="Y1459" s="134"/>
      <c r="Z1459" s="134"/>
      <c r="AA1459" s="134"/>
      <c r="AB1459" s="134"/>
      <c r="AC1459" s="134"/>
      <c r="AD1459" s="134"/>
    </row>
    <row r="1460">
      <c r="A1460" s="143"/>
      <c r="B1460" s="134"/>
      <c r="C1460" s="134"/>
      <c r="D1460" s="134"/>
      <c r="E1460" s="134"/>
      <c r="F1460" s="134"/>
      <c r="G1460" s="134"/>
      <c r="H1460" s="134"/>
      <c r="J1460" s="134"/>
      <c r="K1460" s="135"/>
      <c r="L1460" s="136"/>
      <c r="M1460" s="144"/>
      <c r="T1460" s="52"/>
      <c r="V1460" s="134"/>
      <c r="W1460" s="134"/>
      <c r="X1460" s="134"/>
      <c r="Y1460" s="134"/>
      <c r="Z1460" s="134"/>
      <c r="AA1460" s="134"/>
      <c r="AB1460" s="134"/>
      <c r="AC1460" s="134"/>
      <c r="AD1460" s="134"/>
    </row>
    <row r="1461">
      <c r="A1461" s="143"/>
      <c r="B1461" s="134"/>
      <c r="C1461" s="134"/>
      <c r="D1461" s="134"/>
      <c r="E1461" s="134"/>
      <c r="F1461" s="134"/>
      <c r="G1461" s="134"/>
      <c r="H1461" s="134"/>
      <c r="J1461" s="134"/>
      <c r="K1461" s="135"/>
      <c r="L1461" s="136"/>
      <c r="M1461" s="144"/>
      <c r="T1461" s="52"/>
      <c r="V1461" s="134"/>
      <c r="W1461" s="134"/>
      <c r="X1461" s="134"/>
      <c r="Y1461" s="134"/>
      <c r="Z1461" s="134"/>
      <c r="AA1461" s="134"/>
      <c r="AB1461" s="134"/>
      <c r="AC1461" s="134"/>
      <c r="AD1461" s="134"/>
    </row>
    <row r="1462">
      <c r="A1462" s="143"/>
      <c r="B1462" s="134"/>
      <c r="C1462" s="134"/>
      <c r="D1462" s="134"/>
      <c r="E1462" s="134"/>
      <c r="F1462" s="134"/>
      <c r="G1462" s="134"/>
      <c r="H1462" s="134"/>
      <c r="J1462" s="134"/>
      <c r="K1462" s="135"/>
      <c r="L1462" s="136"/>
      <c r="M1462" s="144"/>
      <c r="T1462" s="52"/>
      <c r="V1462" s="134"/>
      <c r="W1462" s="134"/>
      <c r="X1462" s="134"/>
      <c r="Y1462" s="134"/>
      <c r="Z1462" s="134"/>
      <c r="AA1462" s="134"/>
      <c r="AB1462" s="134"/>
      <c r="AC1462" s="134"/>
      <c r="AD1462" s="134"/>
    </row>
    <row r="1463">
      <c r="A1463" s="143"/>
      <c r="B1463" s="134"/>
      <c r="C1463" s="134"/>
      <c r="D1463" s="134"/>
      <c r="E1463" s="134"/>
      <c r="F1463" s="134"/>
      <c r="G1463" s="134"/>
      <c r="H1463" s="134"/>
      <c r="J1463" s="134"/>
      <c r="K1463" s="135"/>
      <c r="L1463" s="136"/>
      <c r="M1463" s="144"/>
      <c r="T1463" s="52"/>
      <c r="V1463" s="134"/>
      <c r="W1463" s="134"/>
      <c r="X1463" s="134"/>
      <c r="Y1463" s="134"/>
      <c r="Z1463" s="134"/>
      <c r="AA1463" s="134"/>
      <c r="AB1463" s="134"/>
      <c r="AC1463" s="134"/>
      <c r="AD1463" s="134"/>
    </row>
    <row r="1464">
      <c r="A1464" s="143"/>
      <c r="B1464" s="134"/>
      <c r="C1464" s="134"/>
      <c r="D1464" s="134"/>
      <c r="E1464" s="134"/>
      <c r="F1464" s="134"/>
      <c r="G1464" s="134"/>
      <c r="H1464" s="134"/>
      <c r="J1464" s="134"/>
      <c r="K1464" s="135"/>
      <c r="L1464" s="136"/>
      <c r="M1464" s="144"/>
      <c r="T1464" s="52"/>
      <c r="V1464" s="134"/>
      <c r="W1464" s="134"/>
      <c r="X1464" s="134"/>
      <c r="Y1464" s="134"/>
      <c r="Z1464" s="134"/>
      <c r="AA1464" s="134"/>
      <c r="AB1464" s="134"/>
      <c r="AC1464" s="134"/>
      <c r="AD1464" s="134"/>
    </row>
    <row r="1465">
      <c r="A1465" s="143"/>
      <c r="B1465" s="134"/>
      <c r="C1465" s="134"/>
      <c r="D1465" s="134"/>
      <c r="E1465" s="134"/>
      <c r="F1465" s="134"/>
      <c r="G1465" s="134"/>
      <c r="H1465" s="134"/>
      <c r="J1465" s="134"/>
      <c r="K1465" s="135"/>
      <c r="L1465" s="136"/>
      <c r="M1465" s="144"/>
      <c r="T1465" s="52"/>
      <c r="V1465" s="134"/>
      <c r="W1465" s="134"/>
      <c r="X1465" s="134"/>
      <c r="Y1465" s="134"/>
      <c r="Z1465" s="134"/>
      <c r="AA1465" s="134"/>
      <c r="AB1465" s="134"/>
      <c r="AC1465" s="134"/>
      <c r="AD1465" s="134"/>
    </row>
    <row r="1466">
      <c r="A1466" s="143"/>
      <c r="B1466" s="134"/>
      <c r="C1466" s="134"/>
      <c r="D1466" s="134"/>
      <c r="E1466" s="134"/>
      <c r="F1466" s="134"/>
      <c r="G1466" s="134"/>
      <c r="H1466" s="134"/>
      <c r="J1466" s="134"/>
      <c r="K1466" s="135"/>
      <c r="L1466" s="136"/>
      <c r="M1466" s="144"/>
      <c r="T1466" s="52"/>
      <c r="V1466" s="134"/>
      <c r="W1466" s="134"/>
      <c r="X1466" s="134"/>
      <c r="Y1466" s="134"/>
      <c r="Z1466" s="134"/>
      <c r="AA1466" s="134"/>
      <c r="AB1466" s="134"/>
      <c r="AC1466" s="134"/>
      <c r="AD1466" s="134"/>
    </row>
    <row r="1467">
      <c r="A1467" s="143"/>
      <c r="B1467" s="134"/>
      <c r="C1467" s="134"/>
      <c r="D1467" s="134"/>
      <c r="E1467" s="134"/>
      <c r="F1467" s="134"/>
      <c r="G1467" s="134"/>
      <c r="H1467" s="134"/>
      <c r="J1467" s="134"/>
      <c r="K1467" s="135"/>
      <c r="L1467" s="136"/>
      <c r="M1467" s="144"/>
      <c r="T1467" s="52"/>
      <c r="V1467" s="134"/>
      <c r="W1467" s="134"/>
      <c r="X1467" s="134"/>
      <c r="Y1467" s="134"/>
      <c r="Z1467" s="134"/>
      <c r="AA1467" s="134"/>
      <c r="AB1467" s="134"/>
      <c r="AC1467" s="134"/>
      <c r="AD1467" s="134"/>
    </row>
    <row r="1468">
      <c r="A1468" s="143"/>
      <c r="B1468" s="134"/>
      <c r="C1468" s="134"/>
      <c r="D1468" s="134"/>
      <c r="E1468" s="134"/>
      <c r="F1468" s="134"/>
      <c r="G1468" s="134"/>
      <c r="H1468" s="134"/>
      <c r="J1468" s="134"/>
      <c r="K1468" s="135"/>
      <c r="L1468" s="136"/>
      <c r="M1468" s="144"/>
      <c r="T1468" s="52"/>
      <c r="V1468" s="134"/>
      <c r="W1468" s="134"/>
      <c r="X1468" s="134"/>
      <c r="Y1468" s="134"/>
      <c r="Z1468" s="134"/>
      <c r="AA1468" s="134"/>
      <c r="AB1468" s="134"/>
      <c r="AC1468" s="134"/>
      <c r="AD1468" s="134"/>
    </row>
    <row r="1469">
      <c r="A1469" s="143"/>
      <c r="B1469" s="134"/>
      <c r="C1469" s="134"/>
      <c r="D1469" s="134"/>
      <c r="E1469" s="134"/>
      <c r="F1469" s="134"/>
      <c r="G1469" s="134"/>
      <c r="H1469" s="134"/>
      <c r="J1469" s="134"/>
      <c r="K1469" s="135"/>
      <c r="L1469" s="136"/>
      <c r="M1469" s="144"/>
      <c r="T1469" s="52"/>
      <c r="V1469" s="134"/>
      <c r="W1469" s="134"/>
      <c r="X1469" s="134"/>
      <c r="Y1469" s="134"/>
      <c r="Z1469" s="134"/>
      <c r="AA1469" s="134"/>
      <c r="AB1469" s="134"/>
      <c r="AC1469" s="134"/>
      <c r="AD1469" s="134"/>
    </row>
    <row r="1470">
      <c r="A1470" s="143"/>
      <c r="B1470" s="134"/>
      <c r="C1470" s="134"/>
      <c r="D1470" s="134"/>
      <c r="E1470" s="134"/>
      <c r="F1470" s="134"/>
      <c r="G1470" s="134"/>
      <c r="H1470" s="134"/>
      <c r="J1470" s="134"/>
      <c r="K1470" s="135"/>
      <c r="L1470" s="136"/>
      <c r="M1470" s="144"/>
      <c r="T1470" s="52"/>
      <c r="V1470" s="134"/>
      <c r="W1470" s="134"/>
      <c r="X1470" s="134"/>
      <c r="Y1470" s="134"/>
      <c r="Z1470" s="134"/>
      <c r="AA1470" s="134"/>
      <c r="AB1470" s="134"/>
      <c r="AC1470" s="134"/>
      <c r="AD1470" s="134"/>
    </row>
    <row r="1471">
      <c r="A1471" s="143"/>
      <c r="B1471" s="134"/>
      <c r="C1471" s="134"/>
      <c r="D1471" s="134"/>
      <c r="E1471" s="134"/>
      <c r="F1471" s="134"/>
      <c r="G1471" s="134"/>
      <c r="H1471" s="134"/>
      <c r="J1471" s="134"/>
      <c r="K1471" s="135"/>
      <c r="L1471" s="136"/>
      <c r="M1471" s="144"/>
      <c r="T1471" s="52"/>
      <c r="V1471" s="134"/>
      <c r="W1471" s="134"/>
      <c r="X1471" s="134"/>
      <c r="Y1471" s="134"/>
      <c r="Z1471" s="134"/>
      <c r="AA1471" s="134"/>
      <c r="AB1471" s="134"/>
      <c r="AC1471" s="134"/>
      <c r="AD1471" s="134"/>
    </row>
    <row r="1472">
      <c r="A1472" s="143"/>
      <c r="B1472" s="134"/>
      <c r="C1472" s="134"/>
      <c r="D1472" s="134"/>
      <c r="E1472" s="134"/>
      <c r="F1472" s="134"/>
      <c r="G1472" s="134"/>
      <c r="H1472" s="134"/>
      <c r="J1472" s="134"/>
      <c r="K1472" s="135"/>
      <c r="L1472" s="136"/>
      <c r="M1472" s="144"/>
      <c r="T1472" s="52"/>
      <c r="V1472" s="134"/>
      <c r="W1472" s="134"/>
      <c r="X1472" s="134"/>
      <c r="Y1472" s="134"/>
      <c r="Z1472" s="134"/>
      <c r="AA1472" s="134"/>
      <c r="AB1472" s="134"/>
      <c r="AC1472" s="134"/>
      <c r="AD1472" s="134"/>
    </row>
    <row r="1473">
      <c r="A1473" s="143"/>
      <c r="B1473" s="134"/>
      <c r="C1473" s="134"/>
      <c r="D1473" s="134"/>
      <c r="E1473" s="134"/>
      <c r="F1473" s="134"/>
      <c r="G1473" s="134"/>
      <c r="H1473" s="134"/>
      <c r="J1473" s="134"/>
      <c r="K1473" s="135"/>
      <c r="L1473" s="136"/>
      <c r="M1473" s="144"/>
      <c r="T1473" s="52"/>
      <c r="V1473" s="134"/>
      <c r="W1473" s="134"/>
      <c r="X1473" s="134"/>
      <c r="Y1473" s="134"/>
      <c r="Z1473" s="134"/>
      <c r="AA1473" s="134"/>
      <c r="AB1473" s="134"/>
      <c r="AC1473" s="134"/>
      <c r="AD1473" s="134"/>
    </row>
    <row r="1474">
      <c r="A1474" s="143"/>
      <c r="B1474" s="134"/>
      <c r="C1474" s="134"/>
      <c r="D1474" s="134"/>
      <c r="E1474" s="134"/>
      <c r="F1474" s="134"/>
      <c r="G1474" s="134"/>
      <c r="H1474" s="134"/>
      <c r="J1474" s="134"/>
      <c r="K1474" s="135"/>
      <c r="L1474" s="136"/>
      <c r="M1474" s="144"/>
      <c r="T1474" s="52"/>
      <c r="V1474" s="134"/>
      <c r="W1474" s="134"/>
      <c r="X1474" s="134"/>
      <c r="Y1474" s="134"/>
      <c r="Z1474" s="134"/>
      <c r="AA1474" s="134"/>
      <c r="AB1474" s="134"/>
      <c r="AC1474" s="134"/>
      <c r="AD1474" s="134"/>
    </row>
    <row r="1475">
      <c r="A1475" s="143"/>
      <c r="B1475" s="134"/>
      <c r="C1475" s="134"/>
      <c r="D1475" s="134"/>
      <c r="E1475" s="134"/>
      <c r="F1475" s="134"/>
      <c r="G1475" s="134"/>
      <c r="H1475" s="134"/>
      <c r="J1475" s="134"/>
      <c r="K1475" s="135"/>
      <c r="L1475" s="136"/>
      <c r="M1475" s="144"/>
      <c r="T1475" s="52"/>
      <c r="V1475" s="134"/>
      <c r="W1475" s="134"/>
      <c r="X1475" s="134"/>
      <c r="Y1475" s="134"/>
      <c r="Z1475" s="134"/>
      <c r="AA1475" s="134"/>
      <c r="AB1475" s="134"/>
      <c r="AC1475" s="134"/>
      <c r="AD1475" s="134"/>
    </row>
    <row r="1476">
      <c r="A1476" s="143"/>
      <c r="B1476" s="134"/>
      <c r="C1476" s="134"/>
      <c r="D1476" s="134"/>
      <c r="E1476" s="134"/>
      <c r="F1476" s="134"/>
      <c r="G1476" s="134"/>
      <c r="H1476" s="134"/>
      <c r="J1476" s="134"/>
      <c r="K1476" s="135"/>
      <c r="L1476" s="136"/>
      <c r="M1476" s="144"/>
      <c r="T1476" s="52"/>
      <c r="V1476" s="134"/>
      <c r="W1476" s="134"/>
      <c r="X1476" s="134"/>
      <c r="Y1476" s="134"/>
      <c r="Z1476" s="134"/>
      <c r="AA1476" s="134"/>
      <c r="AB1476" s="134"/>
      <c r="AC1476" s="134"/>
      <c r="AD1476" s="134"/>
    </row>
    <row r="1477">
      <c r="A1477" s="143"/>
      <c r="B1477" s="134"/>
      <c r="C1477" s="134"/>
      <c r="D1477" s="134"/>
      <c r="E1477" s="134"/>
      <c r="F1477" s="134"/>
      <c r="G1477" s="134"/>
      <c r="H1477" s="134"/>
      <c r="J1477" s="134"/>
      <c r="K1477" s="135"/>
      <c r="L1477" s="136"/>
      <c r="M1477" s="144"/>
      <c r="T1477" s="52"/>
      <c r="V1477" s="134"/>
      <c r="W1477" s="134"/>
      <c r="X1477" s="134"/>
      <c r="Y1477" s="134"/>
      <c r="Z1477" s="134"/>
      <c r="AA1477" s="134"/>
      <c r="AB1477" s="134"/>
      <c r="AC1477" s="134"/>
      <c r="AD1477" s="134"/>
    </row>
    <row r="1478">
      <c r="A1478" s="143"/>
      <c r="B1478" s="134"/>
      <c r="C1478" s="134"/>
      <c r="D1478" s="134"/>
      <c r="E1478" s="134"/>
      <c r="F1478" s="134"/>
      <c r="G1478" s="134"/>
      <c r="H1478" s="134"/>
      <c r="J1478" s="134"/>
      <c r="K1478" s="135"/>
      <c r="L1478" s="136"/>
      <c r="M1478" s="144"/>
      <c r="T1478" s="52"/>
      <c r="V1478" s="134"/>
      <c r="W1478" s="134"/>
      <c r="X1478" s="134"/>
      <c r="Y1478" s="134"/>
      <c r="Z1478" s="134"/>
      <c r="AA1478" s="134"/>
      <c r="AB1478" s="134"/>
      <c r="AC1478" s="134"/>
      <c r="AD1478" s="134"/>
    </row>
    <row r="1479">
      <c r="A1479" s="143"/>
      <c r="B1479" s="134"/>
      <c r="C1479" s="134"/>
      <c r="D1479" s="134"/>
      <c r="E1479" s="134"/>
      <c r="F1479" s="134"/>
      <c r="G1479" s="134"/>
      <c r="H1479" s="134"/>
      <c r="J1479" s="134"/>
      <c r="K1479" s="135"/>
      <c r="L1479" s="136"/>
      <c r="M1479" s="144"/>
      <c r="T1479" s="52"/>
      <c r="V1479" s="134"/>
      <c r="W1479" s="134"/>
      <c r="X1479" s="134"/>
      <c r="Y1479" s="134"/>
      <c r="Z1479" s="134"/>
      <c r="AA1479" s="134"/>
      <c r="AB1479" s="134"/>
      <c r="AC1479" s="134"/>
      <c r="AD1479" s="134"/>
    </row>
    <row r="1480">
      <c r="A1480" s="143"/>
      <c r="B1480" s="134"/>
      <c r="C1480" s="134"/>
      <c r="D1480" s="134"/>
      <c r="E1480" s="134"/>
      <c r="F1480" s="134"/>
      <c r="G1480" s="134"/>
      <c r="H1480" s="134"/>
      <c r="J1480" s="134"/>
      <c r="K1480" s="135"/>
      <c r="L1480" s="136"/>
      <c r="M1480" s="144"/>
      <c r="T1480" s="52"/>
      <c r="V1480" s="134"/>
      <c r="W1480" s="134"/>
      <c r="X1480" s="134"/>
      <c r="Y1480" s="134"/>
      <c r="Z1480" s="134"/>
      <c r="AA1480" s="134"/>
      <c r="AB1480" s="134"/>
      <c r="AC1480" s="134"/>
      <c r="AD1480" s="134"/>
    </row>
    <row r="1481">
      <c r="A1481" s="143"/>
      <c r="B1481" s="134"/>
      <c r="C1481" s="134"/>
      <c r="D1481" s="134"/>
      <c r="E1481" s="134"/>
      <c r="F1481" s="134"/>
      <c r="G1481" s="134"/>
      <c r="H1481" s="134"/>
      <c r="J1481" s="134"/>
      <c r="K1481" s="135"/>
      <c r="L1481" s="136"/>
      <c r="M1481" s="144"/>
      <c r="T1481" s="52"/>
      <c r="V1481" s="134"/>
      <c r="W1481" s="134"/>
      <c r="X1481" s="134"/>
      <c r="Y1481" s="134"/>
      <c r="Z1481" s="134"/>
      <c r="AA1481" s="134"/>
      <c r="AB1481" s="134"/>
      <c r="AC1481" s="134"/>
      <c r="AD1481" s="134"/>
    </row>
    <row r="1482">
      <c r="A1482" s="143"/>
      <c r="B1482" s="134"/>
      <c r="C1482" s="134"/>
      <c r="D1482" s="134"/>
      <c r="E1482" s="134"/>
      <c r="F1482" s="134"/>
      <c r="G1482" s="134"/>
      <c r="H1482" s="134"/>
      <c r="J1482" s="134"/>
      <c r="K1482" s="135"/>
      <c r="L1482" s="136"/>
      <c r="M1482" s="144"/>
      <c r="T1482" s="52"/>
      <c r="V1482" s="134"/>
      <c r="W1482" s="134"/>
      <c r="X1482" s="134"/>
      <c r="Y1482" s="134"/>
      <c r="Z1482" s="134"/>
      <c r="AA1482" s="134"/>
      <c r="AB1482" s="134"/>
      <c r="AC1482" s="134"/>
      <c r="AD1482" s="134"/>
    </row>
    <row r="1483">
      <c r="A1483" s="143"/>
      <c r="B1483" s="134"/>
      <c r="C1483" s="134"/>
      <c r="D1483" s="134"/>
      <c r="E1483" s="134"/>
      <c r="F1483" s="134"/>
      <c r="G1483" s="134"/>
      <c r="H1483" s="134"/>
      <c r="J1483" s="134"/>
      <c r="K1483" s="135"/>
      <c r="L1483" s="136"/>
      <c r="M1483" s="144"/>
      <c r="T1483" s="52"/>
      <c r="V1483" s="134"/>
      <c r="W1483" s="134"/>
      <c r="X1483" s="134"/>
      <c r="Y1483" s="134"/>
      <c r="Z1483" s="134"/>
      <c r="AA1483" s="134"/>
      <c r="AB1483" s="134"/>
      <c r="AC1483" s="134"/>
      <c r="AD1483" s="134"/>
    </row>
    <row r="1484">
      <c r="A1484" s="143"/>
      <c r="B1484" s="134"/>
      <c r="C1484" s="134"/>
      <c r="D1484" s="134"/>
      <c r="E1484" s="134"/>
      <c r="F1484" s="134"/>
      <c r="G1484" s="134"/>
      <c r="H1484" s="134"/>
      <c r="J1484" s="134"/>
      <c r="K1484" s="135"/>
      <c r="L1484" s="136"/>
      <c r="M1484" s="144"/>
      <c r="T1484" s="52"/>
      <c r="V1484" s="134"/>
      <c r="W1484" s="134"/>
      <c r="X1484" s="134"/>
      <c r="Y1484" s="134"/>
      <c r="Z1484" s="134"/>
      <c r="AA1484" s="134"/>
      <c r="AB1484" s="134"/>
      <c r="AC1484" s="134"/>
      <c r="AD1484" s="134"/>
    </row>
    <row r="1485">
      <c r="A1485" s="143"/>
      <c r="B1485" s="134"/>
      <c r="C1485" s="134"/>
      <c r="D1485" s="134"/>
      <c r="E1485" s="134"/>
      <c r="F1485" s="134"/>
      <c r="G1485" s="134"/>
      <c r="H1485" s="134"/>
      <c r="J1485" s="134"/>
      <c r="K1485" s="135"/>
      <c r="L1485" s="136"/>
      <c r="M1485" s="144"/>
      <c r="T1485" s="52"/>
      <c r="V1485" s="134"/>
      <c r="W1485" s="134"/>
      <c r="X1485" s="134"/>
      <c r="Y1485" s="134"/>
      <c r="Z1485" s="134"/>
      <c r="AA1485" s="134"/>
      <c r="AB1485" s="134"/>
      <c r="AC1485" s="134"/>
      <c r="AD1485" s="134"/>
    </row>
    <row r="1486">
      <c r="A1486" s="143"/>
      <c r="B1486" s="134"/>
      <c r="C1486" s="134"/>
      <c r="D1486" s="134"/>
      <c r="E1486" s="134"/>
      <c r="F1486" s="134"/>
      <c r="G1486" s="134"/>
      <c r="H1486" s="134"/>
      <c r="J1486" s="134"/>
      <c r="K1486" s="135"/>
      <c r="L1486" s="136"/>
      <c r="M1486" s="144"/>
      <c r="T1486" s="52"/>
      <c r="V1486" s="134"/>
      <c r="W1486" s="134"/>
      <c r="X1486" s="134"/>
      <c r="Y1486" s="134"/>
      <c r="Z1486" s="134"/>
      <c r="AA1486" s="134"/>
      <c r="AB1486" s="134"/>
      <c r="AC1486" s="134"/>
      <c r="AD1486" s="134"/>
    </row>
    <row r="1487">
      <c r="A1487" s="143"/>
      <c r="B1487" s="134"/>
      <c r="C1487" s="134"/>
      <c r="D1487" s="134"/>
      <c r="E1487" s="134"/>
      <c r="F1487" s="134"/>
      <c r="G1487" s="134"/>
      <c r="H1487" s="134"/>
      <c r="J1487" s="134"/>
      <c r="K1487" s="135"/>
      <c r="L1487" s="136"/>
      <c r="M1487" s="144"/>
      <c r="T1487" s="52"/>
      <c r="V1487" s="134"/>
      <c r="W1487" s="134"/>
      <c r="X1487" s="134"/>
      <c r="Y1487" s="134"/>
      <c r="Z1487" s="134"/>
      <c r="AA1487" s="134"/>
      <c r="AB1487" s="134"/>
      <c r="AC1487" s="134"/>
      <c r="AD1487" s="134"/>
    </row>
    <row r="1488">
      <c r="A1488" s="143"/>
      <c r="B1488" s="134"/>
      <c r="C1488" s="134"/>
      <c r="D1488" s="134"/>
      <c r="E1488" s="134"/>
      <c r="F1488" s="134"/>
      <c r="G1488" s="134"/>
      <c r="H1488" s="134"/>
      <c r="J1488" s="134"/>
      <c r="K1488" s="135"/>
      <c r="L1488" s="136"/>
      <c r="M1488" s="144"/>
      <c r="T1488" s="52"/>
      <c r="V1488" s="134"/>
      <c r="W1488" s="134"/>
      <c r="X1488" s="134"/>
      <c r="Y1488" s="134"/>
      <c r="Z1488" s="134"/>
      <c r="AA1488" s="134"/>
      <c r="AB1488" s="134"/>
      <c r="AC1488" s="134"/>
      <c r="AD1488" s="134"/>
    </row>
    <row r="1489">
      <c r="A1489" s="143"/>
      <c r="B1489" s="134"/>
      <c r="C1489" s="134"/>
      <c r="D1489" s="134"/>
      <c r="E1489" s="134"/>
      <c r="F1489" s="134"/>
      <c r="G1489" s="134"/>
      <c r="H1489" s="134"/>
      <c r="J1489" s="134"/>
      <c r="K1489" s="135"/>
      <c r="L1489" s="136"/>
      <c r="M1489" s="144"/>
      <c r="T1489" s="52"/>
      <c r="V1489" s="134"/>
      <c r="W1489" s="134"/>
      <c r="X1489" s="134"/>
      <c r="Y1489" s="134"/>
      <c r="Z1489" s="134"/>
      <c r="AA1489" s="134"/>
      <c r="AB1489" s="134"/>
      <c r="AC1489" s="134"/>
      <c r="AD1489" s="134"/>
    </row>
    <row r="1490">
      <c r="A1490" s="143"/>
      <c r="B1490" s="134"/>
      <c r="C1490" s="134"/>
      <c r="D1490" s="134"/>
      <c r="E1490" s="134"/>
      <c r="F1490" s="134"/>
      <c r="G1490" s="134"/>
      <c r="H1490" s="134"/>
      <c r="J1490" s="134"/>
      <c r="K1490" s="135"/>
      <c r="L1490" s="136"/>
      <c r="M1490" s="144"/>
      <c r="T1490" s="52"/>
      <c r="V1490" s="134"/>
      <c r="W1490" s="134"/>
      <c r="X1490" s="134"/>
      <c r="Y1490" s="134"/>
      <c r="Z1490" s="134"/>
      <c r="AA1490" s="134"/>
      <c r="AB1490" s="134"/>
      <c r="AC1490" s="134"/>
      <c r="AD1490" s="134"/>
    </row>
    <row r="1491">
      <c r="A1491" s="143"/>
      <c r="B1491" s="134"/>
      <c r="C1491" s="134"/>
      <c r="D1491" s="134"/>
      <c r="E1491" s="134"/>
      <c r="F1491" s="134"/>
      <c r="G1491" s="134"/>
      <c r="H1491" s="134"/>
      <c r="J1491" s="134"/>
      <c r="K1491" s="135"/>
      <c r="L1491" s="136"/>
      <c r="M1491" s="144"/>
      <c r="T1491" s="52"/>
      <c r="V1491" s="134"/>
      <c r="W1491" s="134"/>
      <c r="X1491" s="134"/>
      <c r="Y1491" s="134"/>
      <c r="Z1491" s="134"/>
      <c r="AA1491" s="134"/>
      <c r="AB1491" s="134"/>
      <c r="AC1491" s="134"/>
      <c r="AD1491" s="134"/>
    </row>
    <row r="1492">
      <c r="A1492" s="143"/>
      <c r="B1492" s="134"/>
      <c r="C1492" s="134"/>
      <c r="D1492" s="134"/>
      <c r="E1492" s="134"/>
      <c r="F1492" s="134"/>
      <c r="G1492" s="134"/>
      <c r="H1492" s="134"/>
      <c r="J1492" s="134"/>
      <c r="K1492" s="135"/>
      <c r="L1492" s="136"/>
      <c r="M1492" s="144"/>
      <c r="T1492" s="52"/>
      <c r="V1492" s="134"/>
      <c r="W1492" s="134"/>
      <c r="X1492" s="134"/>
      <c r="Y1492" s="134"/>
      <c r="Z1492" s="134"/>
      <c r="AA1492" s="134"/>
      <c r="AB1492" s="134"/>
      <c r="AC1492" s="134"/>
      <c r="AD1492" s="134"/>
    </row>
    <row r="1493">
      <c r="A1493" s="143"/>
      <c r="B1493" s="134"/>
      <c r="C1493" s="134"/>
      <c r="D1493" s="134"/>
      <c r="E1493" s="134"/>
      <c r="F1493" s="134"/>
      <c r="G1493" s="134"/>
      <c r="H1493" s="134"/>
      <c r="J1493" s="134"/>
      <c r="K1493" s="135"/>
      <c r="L1493" s="136"/>
      <c r="M1493" s="144"/>
      <c r="T1493" s="52"/>
      <c r="V1493" s="134"/>
      <c r="W1493" s="134"/>
      <c r="X1493" s="134"/>
      <c r="Y1493" s="134"/>
      <c r="Z1493" s="134"/>
      <c r="AA1493" s="134"/>
      <c r="AB1493" s="134"/>
      <c r="AC1493" s="134"/>
      <c r="AD1493" s="134"/>
    </row>
    <row r="1494">
      <c r="A1494" s="143"/>
      <c r="B1494" s="134"/>
      <c r="C1494" s="134"/>
      <c r="D1494" s="134"/>
      <c r="E1494" s="134"/>
      <c r="F1494" s="134"/>
      <c r="G1494" s="134"/>
      <c r="H1494" s="134"/>
      <c r="J1494" s="134"/>
      <c r="K1494" s="135"/>
      <c r="L1494" s="136"/>
      <c r="M1494" s="144"/>
      <c r="T1494" s="52"/>
      <c r="V1494" s="134"/>
      <c r="W1494" s="134"/>
      <c r="X1494" s="134"/>
      <c r="Y1494" s="134"/>
      <c r="Z1494" s="134"/>
      <c r="AA1494" s="134"/>
      <c r="AB1494" s="134"/>
      <c r="AC1494" s="134"/>
      <c r="AD1494" s="134"/>
    </row>
    <row r="1495">
      <c r="A1495" s="143"/>
      <c r="B1495" s="134"/>
      <c r="C1495" s="134"/>
      <c r="D1495" s="134"/>
      <c r="E1495" s="134"/>
      <c r="F1495" s="134"/>
      <c r="G1495" s="134"/>
      <c r="H1495" s="134"/>
      <c r="J1495" s="134"/>
      <c r="K1495" s="135"/>
      <c r="L1495" s="136"/>
      <c r="M1495" s="144"/>
      <c r="T1495" s="52"/>
      <c r="V1495" s="134"/>
      <c r="W1495" s="134"/>
      <c r="X1495" s="134"/>
      <c r="Y1495" s="134"/>
      <c r="Z1495" s="134"/>
      <c r="AA1495" s="134"/>
      <c r="AB1495" s="134"/>
      <c r="AC1495" s="134"/>
      <c r="AD1495" s="134"/>
    </row>
    <row r="1496">
      <c r="A1496" s="143"/>
      <c r="B1496" s="134"/>
      <c r="C1496" s="134"/>
      <c r="D1496" s="134"/>
      <c r="E1496" s="134"/>
      <c r="F1496" s="134"/>
      <c r="G1496" s="134"/>
      <c r="H1496" s="134"/>
      <c r="J1496" s="134"/>
      <c r="K1496" s="135"/>
      <c r="L1496" s="136"/>
      <c r="M1496" s="144"/>
      <c r="T1496" s="52"/>
      <c r="V1496" s="134"/>
      <c r="W1496" s="134"/>
      <c r="X1496" s="134"/>
      <c r="Y1496" s="134"/>
      <c r="Z1496" s="134"/>
      <c r="AA1496" s="134"/>
      <c r="AB1496" s="134"/>
      <c r="AC1496" s="134"/>
      <c r="AD1496" s="134"/>
    </row>
    <row r="1497">
      <c r="A1497" s="143"/>
      <c r="B1497" s="134"/>
      <c r="C1497" s="134"/>
      <c r="D1497" s="134"/>
      <c r="E1497" s="134"/>
      <c r="F1497" s="134"/>
      <c r="G1497" s="134"/>
      <c r="H1497" s="134"/>
      <c r="J1497" s="134"/>
      <c r="K1497" s="135"/>
      <c r="L1497" s="136"/>
      <c r="M1497" s="144"/>
      <c r="T1497" s="52"/>
      <c r="V1497" s="134"/>
      <c r="W1497" s="134"/>
      <c r="X1497" s="134"/>
      <c r="Y1497" s="134"/>
      <c r="Z1497" s="134"/>
      <c r="AA1497" s="134"/>
      <c r="AB1497" s="134"/>
      <c r="AC1497" s="134"/>
      <c r="AD1497" s="134"/>
    </row>
    <row r="1498">
      <c r="A1498" s="143"/>
      <c r="B1498" s="134"/>
      <c r="C1498" s="134"/>
      <c r="D1498" s="134"/>
      <c r="E1498" s="134"/>
      <c r="F1498" s="134"/>
      <c r="G1498" s="134"/>
      <c r="H1498" s="134"/>
      <c r="J1498" s="134"/>
      <c r="K1498" s="135"/>
      <c r="L1498" s="136"/>
      <c r="M1498" s="144"/>
      <c r="T1498" s="52"/>
      <c r="V1498" s="134"/>
      <c r="W1498" s="134"/>
      <c r="X1498" s="134"/>
      <c r="Y1498" s="134"/>
      <c r="Z1498" s="134"/>
      <c r="AA1498" s="134"/>
      <c r="AB1498" s="134"/>
      <c r="AC1498" s="134"/>
      <c r="AD1498" s="134"/>
    </row>
    <row r="1499">
      <c r="A1499" s="143"/>
      <c r="B1499" s="134"/>
      <c r="C1499" s="134"/>
      <c r="D1499" s="134"/>
      <c r="E1499" s="134"/>
      <c r="F1499" s="134"/>
      <c r="G1499" s="134"/>
      <c r="H1499" s="134"/>
      <c r="J1499" s="134"/>
      <c r="K1499" s="135"/>
      <c r="L1499" s="136"/>
      <c r="M1499" s="144"/>
      <c r="T1499" s="52"/>
      <c r="V1499" s="134"/>
      <c r="W1499" s="134"/>
      <c r="X1499" s="134"/>
      <c r="Y1499" s="134"/>
      <c r="Z1499" s="134"/>
      <c r="AA1499" s="134"/>
      <c r="AB1499" s="134"/>
      <c r="AC1499" s="134"/>
      <c r="AD1499" s="134"/>
    </row>
    <row r="1500">
      <c r="A1500" s="143"/>
      <c r="B1500" s="134"/>
      <c r="C1500" s="134"/>
      <c r="D1500" s="134"/>
      <c r="E1500" s="134"/>
      <c r="F1500" s="134"/>
      <c r="G1500" s="134"/>
      <c r="H1500" s="134"/>
      <c r="J1500" s="134"/>
      <c r="K1500" s="135"/>
      <c r="L1500" s="136"/>
      <c r="M1500" s="144"/>
      <c r="T1500" s="52"/>
      <c r="V1500" s="134"/>
      <c r="W1500" s="134"/>
      <c r="X1500" s="134"/>
      <c r="Y1500" s="134"/>
      <c r="Z1500" s="134"/>
      <c r="AA1500" s="134"/>
      <c r="AB1500" s="134"/>
      <c r="AC1500" s="134"/>
      <c r="AD1500" s="134"/>
    </row>
    <row r="1501">
      <c r="A1501" s="143"/>
      <c r="B1501" s="134"/>
      <c r="C1501" s="134"/>
      <c r="D1501" s="134"/>
      <c r="E1501" s="134"/>
      <c r="F1501" s="134"/>
      <c r="G1501" s="134"/>
      <c r="H1501" s="134"/>
      <c r="J1501" s="134"/>
      <c r="K1501" s="135"/>
      <c r="L1501" s="136"/>
      <c r="M1501" s="144"/>
      <c r="T1501" s="52"/>
      <c r="V1501" s="134"/>
      <c r="W1501" s="134"/>
      <c r="X1501" s="134"/>
      <c r="Y1501" s="134"/>
      <c r="Z1501" s="134"/>
      <c r="AA1501" s="134"/>
      <c r="AB1501" s="134"/>
      <c r="AC1501" s="134"/>
      <c r="AD1501" s="134"/>
    </row>
    <row r="1502">
      <c r="A1502" s="143"/>
      <c r="B1502" s="134"/>
      <c r="C1502" s="134"/>
      <c r="D1502" s="134"/>
      <c r="E1502" s="134"/>
      <c r="F1502" s="134"/>
      <c r="G1502" s="134"/>
      <c r="H1502" s="134"/>
      <c r="J1502" s="134"/>
      <c r="K1502" s="135"/>
      <c r="L1502" s="136"/>
      <c r="M1502" s="144"/>
      <c r="T1502" s="52"/>
      <c r="V1502" s="134"/>
      <c r="W1502" s="134"/>
      <c r="X1502" s="134"/>
      <c r="Y1502" s="134"/>
      <c r="Z1502" s="134"/>
      <c r="AA1502" s="134"/>
      <c r="AB1502" s="134"/>
      <c r="AC1502" s="134"/>
      <c r="AD1502" s="134"/>
    </row>
    <row r="1503">
      <c r="A1503" s="143"/>
      <c r="B1503" s="134"/>
      <c r="C1503" s="134"/>
      <c r="D1503" s="134"/>
      <c r="E1503" s="134"/>
      <c r="F1503" s="134"/>
      <c r="G1503" s="134"/>
      <c r="H1503" s="134"/>
      <c r="J1503" s="134"/>
      <c r="K1503" s="135"/>
      <c r="L1503" s="136"/>
      <c r="M1503" s="144"/>
      <c r="T1503" s="52"/>
      <c r="V1503" s="134"/>
      <c r="W1503" s="134"/>
      <c r="X1503" s="134"/>
      <c r="Y1503" s="134"/>
      <c r="Z1503" s="134"/>
      <c r="AA1503" s="134"/>
      <c r="AB1503" s="134"/>
      <c r="AC1503" s="134"/>
      <c r="AD1503" s="134"/>
    </row>
    <row r="1504">
      <c r="A1504" s="143"/>
      <c r="B1504" s="134"/>
      <c r="C1504" s="134"/>
      <c r="D1504" s="134"/>
      <c r="E1504" s="134"/>
      <c r="F1504" s="134"/>
      <c r="G1504" s="134"/>
      <c r="H1504" s="134"/>
      <c r="J1504" s="134"/>
      <c r="K1504" s="135"/>
      <c r="L1504" s="136"/>
      <c r="M1504" s="144"/>
      <c r="T1504" s="52"/>
      <c r="V1504" s="134"/>
      <c r="W1504" s="134"/>
      <c r="X1504" s="134"/>
      <c r="Y1504" s="134"/>
      <c r="Z1504" s="134"/>
      <c r="AA1504" s="134"/>
      <c r="AB1504" s="134"/>
      <c r="AC1504" s="134"/>
      <c r="AD1504" s="134"/>
    </row>
    <row r="1505">
      <c r="A1505" s="143"/>
      <c r="B1505" s="134"/>
      <c r="C1505" s="134"/>
      <c r="D1505" s="134"/>
      <c r="E1505" s="134"/>
      <c r="F1505" s="134"/>
      <c r="G1505" s="134"/>
      <c r="H1505" s="134"/>
      <c r="J1505" s="134"/>
      <c r="K1505" s="135"/>
      <c r="L1505" s="136"/>
      <c r="M1505" s="144"/>
      <c r="T1505" s="52"/>
      <c r="V1505" s="134"/>
      <c r="W1505" s="134"/>
      <c r="X1505" s="134"/>
      <c r="Y1505" s="134"/>
      <c r="Z1505" s="134"/>
      <c r="AA1505" s="134"/>
      <c r="AB1505" s="134"/>
      <c r="AC1505" s="134"/>
      <c r="AD1505" s="134"/>
    </row>
    <row r="1506">
      <c r="A1506" s="143"/>
      <c r="B1506" s="134"/>
      <c r="C1506" s="134"/>
      <c r="D1506" s="134"/>
      <c r="E1506" s="134"/>
      <c r="F1506" s="134"/>
      <c r="G1506" s="134"/>
      <c r="H1506" s="134"/>
      <c r="J1506" s="134"/>
      <c r="K1506" s="135"/>
      <c r="L1506" s="136"/>
      <c r="M1506" s="144"/>
      <c r="T1506" s="52"/>
      <c r="V1506" s="134"/>
      <c r="W1506" s="134"/>
      <c r="X1506" s="134"/>
      <c r="Y1506" s="134"/>
      <c r="Z1506" s="134"/>
      <c r="AA1506" s="134"/>
      <c r="AB1506" s="134"/>
      <c r="AC1506" s="134"/>
      <c r="AD1506" s="134"/>
    </row>
    <row r="1507">
      <c r="A1507" s="143"/>
      <c r="B1507" s="134"/>
      <c r="C1507" s="134"/>
      <c r="D1507" s="134"/>
      <c r="E1507" s="134"/>
      <c r="F1507" s="134"/>
      <c r="G1507" s="134"/>
      <c r="H1507" s="134"/>
      <c r="J1507" s="134"/>
      <c r="K1507" s="135"/>
      <c r="L1507" s="136"/>
      <c r="M1507" s="144"/>
      <c r="T1507" s="52"/>
      <c r="V1507" s="134"/>
      <c r="W1507" s="134"/>
      <c r="X1507" s="134"/>
      <c r="Y1507" s="134"/>
      <c r="Z1507" s="134"/>
      <c r="AA1507" s="134"/>
      <c r="AB1507" s="134"/>
      <c r="AC1507" s="134"/>
      <c r="AD1507" s="134"/>
    </row>
    <row r="1508">
      <c r="A1508" s="143"/>
      <c r="B1508" s="134"/>
      <c r="C1508" s="134"/>
      <c r="D1508" s="134"/>
      <c r="E1508" s="134"/>
      <c r="F1508" s="134"/>
      <c r="G1508" s="134"/>
      <c r="H1508" s="134"/>
      <c r="J1508" s="134"/>
      <c r="K1508" s="135"/>
      <c r="L1508" s="136"/>
      <c r="M1508" s="144"/>
      <c r="T1508" s="52"/>
      <c r="V1508" s="134"/>
      <c r="W1508" s="134"/>
      <c r="X1508" s="134"/>
      <c r="Y1508" s="134"/>
      <c r="Z1508" s="134"/>
      <c r="AA1508" s="134"/>
      <c r="AB1508" s="134"/>
      <c r="AC1508" s="134"/>
      <c r="AD1508" s="134"/>
    </row>
    <row r="1509">
      <c r="A1509" s="143"/>
      <c r="B1509" s="134"/>
      <c r="C1509" s="134"/>
      <c r="D1509" s="134"/>
      <c r="E1509" s="134"/>
      <c r="F1509" s="134"/>
      <c r="G1509" s="134"/>
      <c r="H1509" s="134"/>
      <c r="J1509" s="134"/>
      <c r="K1509" s="135"/>
      <c r="L1509" s="136"/>
      <c r="M1509" s="144"/>
      <c r="T1509" s="52"/>
      <c r="V1509" s="134"/>
      <c r="W1509" s="134"/>
      <c r="X1509" s="134"/>
      <c r="Y1509" s="134"/>
      <c r="Z1509" s="134"/>
      <c r="AA1509" s="134"/>
      <c r="AB1509" s="134"/>
      <c r="AC1509" s="134"/>
      <c r="AD1509" s="134"/>
    </row>
    <row r="1510">
      <c r="A1510" s="143"/>
      <c r="B1510" s="134"/>
      <c r="C1510" s="134"/>
      <c r="D1510" s="134"/>
      <c r="E1510" s="134"/>
      <c r="F1510" s="134"/>
      <c r="G1510" s="134"/>
      <c r="H1510" s="134"/>
      <c r="J1510" s="134"/>
      <c r="K1510" s="135"/>
      <c r="L1510" s="136"/>
      <c r="M1510" s="144"/>
      <c r="T1510" s="52"/>
      <c r="V1510" s="134"/>
      <c r="W1510" s="134"/>
      <c r="X1510" s="134"/>
      <c r="Y1510" s="134"/>
      <c r="Z1510" s="134"/>
      <c r="AA1510" s="134"/>
      <c r="AB1510" s="134"/>
      <c r="AC1510" s="134"/>
      <c r="AD1510" s="134"/>
    </row>
    <row r="1511">
      <c r="A1511" s="143"/>
      <c r="B1511" s="134"/>
      <c r="C1511" s="134"/>
      <c r="D1511" s="134"/>
      <c r="E1511" s="134"/>
      <c r="F1511" s="134"/>
      <c r="G1511" s="134"/>
      <c r="H1511" s="134"/>
      <c r="J1511" s="134"/>
      <c r="K1511" s="135"/>
      <c r="L1511" s="136"/>
      <c r="M1511" s="144"/>
      <c r="T1511" s="52"/>
      <c r="V1511" s="134"/>
      <c r="W1511" s="134"/>
      <c r="X1511" s="134"/>
      <c r="Y1511" s="134"/>
      <c r="Z1511" s="134"/>
      <c r="AA1511" s="134"/>
      <c r="AB1511" s="134"/>
      <c r="AC1511" s="134"/>
      <c r="AD1511" s="134"/>
    </row>
    <row r="1512">
      <c r="A1512" s="143"/>
      <c r="B1512" s="134"/>
      <c r="C1512" s="134"/>
      <c r="D1512" s="134"/>
      <c r="E1512" s="134"/>
      <c r="F1512" s="134"/>
      <c r="G1512" s="134"/>
      <c r="H1512" s="134"/>
      <c r="J1512" s="134"/>
      <c r="K1512" s="135"/>
      <c r="L1512" s="136"/>
      <c r="M1512" s="144"/>
      <c r="T1512" s="52"/>
      <c r="V1512" s="134"/>
      <c r="W1512" s="134"/>
      <c r="X1512" s="134"/>
      <c r="Y1512" s="134"/>
      <c r="Z1512" s="134"/>
      <c r="AA1512" s="134"/>
      <c r="AB1512" s="134"/>
      <c r="AC1512" s="134"/>
      <c r="AD1512" s="134"/>
    </row>
    <row r="1513">
      <c r="A1513" s="143"/>
      <c r="B1513" s="134"/>
      <c r="C1513" s="134"/>
      <c r="D1513" s="134"/>
      <c r="E1513" s="134"/>
      <c r="F1513" s="134"/>
      <c r="G1513" s="134"/>
      <c r="H1513" s="134"/>
      <c r="J1513" s="134"/>
      <c r="K1513" s="135"/>
      <c r="L1513" s="136"/>
      <c r="M1513" s="144"/>
      <c r="T1513" s="52"/>
      <c r="V1513" s="134"/>
      <c r="W1513" s="134"/>
      <c r="X1513" s="134"/>
      <c r="Y1513" s="134"/>
      <c r="Z1513" s="134"/>
      <c r="AA1513" s="134"/>
      <c r="AB1513" s="134"/>
      <c r="AC1513" s="134"/>
      <c r="AD1513" s="134"/>
    </row>
    <row r="1514">
      <c r="A1514" s="143"/>
      <c r="B1514" s="134"/>
      <c r="C1514" s="134"/>
      <c r="D1514" s="134"/>
      <c r="E1514" s="134"/>
      <c r="F1514" s="134"/>
      <c r="G1514" s="134"/>
      <c r="H1514" s="134"/>
      <c r="J1514" s="134"/>
      <c r="K1514" s="135"/>
      <c r="L1514" s="136"/>
      <c r="M1514" s="144"/>
      <c r="T1514" s="52"/>
      <c r="V1514" s="134"/>
      <c r="W1514" s="134"/>
      <c r="X1514" s="134"/>
      <c r="Y1514" s="134"/>
      <c r="Z1514" s="134"/>
      <c r="AA1514" s="134"/>
      <c r="AB1514" s="134"/>
      <c r="AC1514" s="134"/>
      <c r="AD1514" s="134"/>
    </row>
    <row r="1515">
      <c r="A1515" s="143"/>
      <c r="B1515" s="134"/>
      <c r="C1515" s="134"/>
      <c r="D1515" s="134"/>
      <c r="E1515" s="134"/>
      <c r="F1515" s="134"/>
      <c r="G1515" s="134"/>
      <c r="H1515" s="134"/>
      <c r="J1515" s="134"/>
      <c r="K1515" s="135"/>
      <c r="L1515" s="136"/>
      <c r="M1515" s="144"/>
      <c r="T1515" s="52"/>
      <c r="V1515" s="134"/>
      <c r="W1515" s="134"/>
      <c r="X1515" s="134"/>
      <c r="Y1515" s="134"/>
      <c r="Z1515" s="134"/>
      <c r="AA1515" s="134"/>
      <c r="AB1515" s="134"/>
      <c r="AC1515" s="134"/>
      <c r="AD1515" s="134"/>
    </row>
    <row r="1516">
      <c r="A1516" s="143"/>
      <c r="B1516" s="134"/>
      <c r="C1516" s="134"/>
      <c r="D1516" s="134"/>
      <c r="E1516" s="134"/>
      <c r="F1516" s="134"/>
      <c r="G1516" s="134"/>
      <c r="H1516" s="134"/>
      <c r="J1516" s="134"/>
      <c r="K1516" s="135"/>
      <c r="L1516" s="136"/>
      <c r="M1516" s="144"/>
      <c r="T1516" s="52"/>
      <c r="V1516" s="134"/>
      <c r="W1516" s="134"/>
      <c r="X1516" s="134"/>
      <c r="Y1516" s="134"/>
      <c r="Z1516" s="134"/>
      <c r="AA1516" s="134"/>
      <c r="AB1516" s="134"/>
      <c r="AC1516" s="134"/>
      <c r="AD1516" s="134"/>
    </row>
    <row r="1517">
      <c r="A1517" s="143"/>
      <c r="B1517" s="134"/>
      <c r="C1517" s="134"/>
      <c r="D1517" s="134"/>
      <c r="E1517" s="134"/>
      <c r="F1517" s="134"/>
      <c r="G1517" s="134"/>
      <c r="H1517" s="134"/>
      <c r="J1517" s="134"/>
      <c r="K1517" s="135"/>
      <c r="L1517" s="136"/>
      <c r="M1517" s="144"/>
      <c r="T1517" s="52"/>
      <c r="V1517" s="134"/>
      <c r="W1517" s="134"/>
      <c r="X1517" s="134"/>
      <c r="Y1517" s="134"/>
      <c r="Z1517" s="134"/>
      <c r="AA1517" s="134"/>
      <c r="AB1517" s="134"/>
      <c r="AC1517" s="134"/>
      <c r="AD1517" s="134"/>
    </row>
    <row r="1518">
      <c r="A1518" s="143"/>
      <c r="B1518" s="134"/>
      <c r="C1518" s="134"/>
      <c r="D1518" s="134"/>
      <c r="E1518" s="134"/>
      <c r="F1518" s="134"/>
      <c r="G1518" s="134"/>
      <c r="H1518" s="134"/>
      <c r="J1518" s="134"/>
      <c r="K1518" s="135"/>
      <c r="L1518" s="136"/>
      <c r="M1518" s="144"/>
      <c r="T1518" s="52"/>
      <c r="V1518" s="134"/>
      <c r="W1518" s="134"/>
      <c r="X1518" s="134"/>
      <c r="Y1518" s="134"/>
      <c r="Z1518" s="134"/>
      <c r="AA1518" s="134"/>
      <c r="AB1518" s="134"/>
      <c r="AC1518" s="134"/>
      <c r="AD1518" s="134"/>
    </row>
    <row r="1519">
      <c r="A1519" s="143"/>
      <c r="B1519" s="134"/>
      <c r="C1519" s="134"/>
      <c r="D1519" s="134"/>
      <c r="E1519" s="134"/>
      <c r="F1519" s="134"/>
      <c r="G1519" s="134"/>
      <c r="H1519" s="134"/>
      <c r="J1519" s="134"/>
      <c r="K1519" s="135"/>
      <c r="L1519" s="136"/>
      <c r="M1519" s="144"/>
      <c r="T1519" s="52"/>
      <c r="V1519" s="134"/>
      <c r="W1519" s="134"/>
      <c r="X1519" s="134"/>
      <c r="Y1519" s="134"/>
      <c r="Z1519" s="134"/>
      <c r="AA1519" s="134"/>
      <c r="AB1519" s="134"/>
      <c r="AC1519" s="134"/>
      <c r="AD1519" s="134"/>
    </row>
    <row r="1520">
      <c r="A1520" s="143"/>
      <c r="B1520" s="134"/>
      <c r="C1520" s="134"/>
      <c r="D1520" s="134"/>
      <c r="E1520" s="134"/>
      <c r="F1520" s="134"/>
      <c r="G1520" s="134"/>
      <c r="H1520" s="134"/>
      <c r="J1520" s="134"/>
      <c r="K1520" s="135"/>
      <c r="L1520" s="136"/>
      <c r="M1520" s="144"/>
      <c r="T1520" s="52"/>
      <c r="V1520" s="134"/>
      <c r="W1520" s="134"/>
      <c r="X1520" s="134"/>
      <c r="Y1520" s="134"/>
      <c r="Z1520" s="134"/>
      <c r="AA1520" s="134"/>
      <c r="AB1520" s="134"/>
      <c r="AC1520" s="134"/>
      <c r="AD1520" s="134"/>
    </row>
    <row r="1521">
      <c r="A1521" s="143"/>
      <c r="B1521" s="134"/>
      <c r="C1521" s="134"/>
      <c r="D1521" s="134"/>
      <c r="E1521" s="134"/>
      <c r="F1521" s="134"/>
      <c r="G1521" s="134"/>
      <c r="H1521" s="134"/>
      <c r="J1521" s="134"/>
      <c r="K1521" s="135"/>
      <c r="L1521" s="136"/>
      <c r="M1521" s="144"/>
      <c r="T1521" s="52"/>
      <c r="V1521" s="134"/>
      <c r="W1521" s="134"/>
      <c r="X1521" s="134"/>
      <c r="Y1521" s="134"/>
      <c r="Z1521" s="134"/>
      <c r="AA1521" s="134"/>
      <c r="AB1521" s="134"/>
      <c r="AC1521" s="134"/>
      <c r="AD1521" s="134"/>
    </row>
    <row r="1522">
      <c r="A1522" s="143"/>
      <c r="B1522" s="134"/>
      <c r="C1522" s="134"/>
      <c r="D1522" s="134"/>
      <c r="E1522" s="134"/>
      <c r="F1522" s="134"/>
      <c r="G1522" s="134"/>
      <c r="H1522" s="134"/>
      <c r="J1522" s="134"/>
      <c r="K1522" s="135"/>
      <c r="L1522" s="136"/>
      <c r="M1522" s="144"/>
      <c r="T1522" s="52"/>
      <c r="V1522" s="134"/>
      <c r="W1522" s="134"/>
      <c r="X1522" s="134"/>
      <c r="Y1522" s="134"/>
      <c r="Z1522" s="134"/>
      <c r="AA1522" s="134"/>
      <c r="AB1522" s="134"/>
      <c r="AC1522" s="134"/>
      <c r="AD1522" s="134"/>
    </row>
    <row r="1523">
      <c r="A1523" s="143"/>
      <c r="B1523" s="134"/>
      <c r="C1523" s="134"/>
      <c r="D1523" s="134"/>
      <c r="E1523" s="134"/>
      <c r="F1523" s="134"/>
      <c r="G1523" s="134"/>
      <c r="H1523" s="134"/>
      <c r="J1523" s="134"/>
      <c r="K1523" s="135"/>
      <c r="L1523" s="136"/>
      <c r="M1523" s="144"/>
      <c r="T1523" s="52"/>
      <c r="V1523" s="134"/>
      <c r="W1523" s="134"/>
      <c r="X1523" s="134"/>
      <c r="Y1523" s="134"/>
      <c r="Z1523" s="134"/>
      <c r="AA1523" s="134"/>
      <c r="AB1523" s="134"/>
      <c r="AC1523" s="134"/>
      <c r="AD1523" s="134"/>
    </row>
    <row r="1524">
      <c r="A1524" s="143"/>
      <c r="B1524" s="134"/>
      <c r="C1524" s="134"/>
      <c r="D1524" s="134"/>
      <c r="E1524" s="134"/>
      <c r="F1524" s="134"/>
      <c r="G1524" s="134"/>
      <c r="H1524" s="134"/>
      <c r="J1524" s="134"/>
      <c r="K1524" s="135"/>
      <c r="L1524" s="136"/>
      <c r="M1524" s="144"/>
      <c r="T1524" s="52"/>
      <c r="V1524" s="134"/>
      <c r="W1524" s="134"/>
      <c r="X1524" s="134"/>
      <c r="Y1524" s="134"/>
      <c r="Z1524" s="134"/>
      <c r="AA1524" s="134"/>
      <c r="AB1524" s="134"/>
      <c r="AC1524" s="134"/>
      <c r="AD1524" s="134"/>
    </row>
    <row r="1525">
      <c r="A1525" s="143"/>
      <c r="B1525" s="134"/>
      <c r="C1525" s="134"/>
      <c r="D1525" s="134"/>
      <c r="E1525" s="134"/>
      <c r="F1525" s="134"/>
      <c r="G1525" s="134"/>
      <c r="H1525" s="134"/>
      <c r="J1525" s="134"/>
      <c r="K1525" s="135"/>
      <c r="L1525" s="136"/>
      <c r="M1525" s="144"/>
      <c r="T1525" s="52"/>
      <c r="V1525" s="134"/>
      <c r="W1525" s="134"/>
      <c r="X1525" s="134"/>
      <c r="Y1525" s="134"/>
      <c r="Z1525" s="134"/>
      <c r="AA1525" s="134"/>
      <c r="AB1525" s="134"/>
      <c r="AC1525" s="134"/>
      <c r="AD1525" s="134"/>
    </row>
    <row r="1526">
      <c r="A1526" s="143"/>
      <c r="B1526" s="134"/>
      <c r="C1526" s="134"/>
      <c r="D1526" s="134"/>
      <c r="E1526" s="134"/>
      <c r="F1526" s="134"/>
      <c r="G1526" s="134"/>
      <c r="H1526" s="134"/>
      <c r="J1526" s="134"/>
      <c r="K1526" s="135"/>
      <c r="L1526" s="136"/>
      <c r="M1526" s="144"/>
      <c r="T1526" s="52"/>
      <c r="V1526" s="134"/>
      <c r="W1526" s="134"/>
      <c r="X1526" s="134"/>
      <c r="Y1526" s="134"/>
      <c r="Z1526" s="134"/>
      <c r="AA1526" s="134"/>
      <c r="AB1526" s="134"/>
      <c r="AC1526" s="134"/>
      <c r="AD1526" s="134"/>
    </row>
    <row r="1527">
      <c r="A1527" s="143"/>
      <c r="B1527" s="134"/>
      <c r="C1527" s="134"/>
      <c r="D1527" s="134"/>
      <c r="E1527" s="134"/>
      <c r="F1527" s="134"/>
      <c r="G1527" s="134"/>
      <c r="H1527" s="134"/>
      <c r="J1527" s="134"/>
      <c r="K1527" s="135"/>
      <c r="L1527" s="136"/>
      <c r="M1527" s="144"/>
      <c r="T1527" s="52"/>
      <c r="V1527" s="134"/>
      <c r="W1527" s="134"/>
      <c r="X1527" s="134"/>
      <c r="Y1527" s="134"/>
      <c r="Z1527" s="134"/>
      <c r="AA1527" s="134"/>
      <c r="AB1527" s="134"/>
      <c r="AC1527" s="134"/>
      <c r="AD1527" s="134"/>
    </row>
    <row r="1528">
      <c r="A1528" s="143"/>
      <c r="B1528" s="134"/>
      <c r="C1528" s="134"/>
      <c r="D1528" s="134"/>
      <c r="E1528" s="134"/>
      <c r="F1528" s="134"/>
      <c r="G1528" s="134"/>
      <c r="H1528" s="134"/>
      <c r="J1528" s="134"/>
      <c r="K1528" s="135"/>
      <c r="L1528" s="136"/>
      <c r="M1528" s="144"/>
      <c r="T1528" s="52"/>
      <c r="V1528" s="134"/>
      <c r="W1528" s="134"/>
      <c r="X1528" s="134"/>
      <c r="Y1528" s="134"/>
      <c r="Z1528" s="134"/>
      <c r="AA1528" s="134"/>
      <c r="AB1528" s="134"/>
      <c r="AC1528" s="134"/>
      <c r="AD1528" s="134"/>
    </row>
    <row r="1529">
      <c r="A1529" s="143"/>
      <c r="B1529" s="134"/>
      <c r="C1529" s="134"/>
      <c r="D1529" s="134"/>
      <c r="E1529" s="134"/>
      <c r="F1529" s="134"/>
      <c r="G1529" s="134"/>
      <c r="H1529" s="134"/>
      <c r="J1529" s="134"/>
      <c r="K1529" s="135"/>
      <c r="L1529" s="136"/>
      <c r="M1529" s="144"/>
      <c r="T1529" s="52"/>
      <c r="V1529" s="134"/>
      <c r="W1529" s="134"/>
      <c r="X1529" s="134"/>
      <c r="Y1529" s="134"/>
      <c r="Z1529" s="134"/>
      <c r="AA1529" s="134"/>
      <c r="AB1529" s="134"/>
      <c r="AC1529" s="134"/>
      <c r="AD1529" s="134"/>
    </row>
    <row r="1530">
      <c r="A1530" s="143"/>
      <c r="B1530" s="134"/>
      <c r="C1530" s="134"/>
      <c r="D1530" s="134"/>
      <c r="E1530" s="134"/>
      <c r="F1530" s="134"/>
      <c r="G1530" s="134"/>
      <c r="H1530" s="134"/>
      <c r="J1530" s="134"/>
      <c r="K1530" s="135"/>
      <c r="L1530" s="136"/>
      <c r="M1530" s="144"/>
      <c r="T1530" s="52"/>
      <c r="V1530" s="134"/>
      <c r="W1530" s="134"/>
      <c r="X1530" s="134"/>
      <c r="Y1530" s="134"/>
      <c r="Z1530" s="134"/>
      <c r="AA1530" s="134"/>
      <c r="AB1530" s="134"/>
      <c r="AC1530" s="134"/>
      <c r="AD1530" s="134"/>
    </row>
    <row r="1531">
      <c r="A1531" s="143"/>
      <c r="B1531" s="134"/>
      <c r="C1531" s="134"/>
      <c r="D1531" s="134"/>
      <c r="E1531" s="134"/>
      <c r="F1531" s="134"/>
      <c r="G1531" s="134"/>
      <c r="H1531" s="134"/>
      <c r="J1531" s="134"/>
      <c r="K1531" s="135"/>
      <c r="L1531" s="136"/>
      <c r="M1531" s="144"/>
      <c r="T1531" s="52"/>
      <c r="V1531" s="134"/>
      <c r="W1531" s="134"/>
      <c r="X1531" s="134"/>
      <c r="Y1531" s="134"/>
      <c r="Z1531" s="134"/>
      <c r="AA1531" s="134"/>
      <c r="AB1531" s="134"/>
      <c r="AC1531" s="134"/>
      <c r="AD1531" s="134"/>
    </row>
    <row r="1532">
      <c r="A1532" s="143"/>
      <c r="B1532" s="134"/>
      <c r="C1532" s="134"/>
      <c r="D1532" s="134"/>
      <c r="E1532" s="134"/>
      <c r="F1532" s="134"/>
      <c r="G1532" s="134"/>
      <c r="H1532" s="134"/>
      <c r="J1532" s="134"/>
      <c r="K1532" s="135"/>
      <c r="L1532" s="136"/>
      <c r="M1532" s="144"/>
      <c r="T1532" s="52"/>
      <c r="V1532" s="134"/>
      <c r="W1532" s="134"/>
      <c r="X1532" s="134"/>
      <c r="Y1532" s="134"/>
      <c r="Z1532" s="134"/>
      <c r="AA1532" s="134"/>
      <c r="AB1532" s="134"/>
      <c r="AC1532" s="134"/>
      <c r="AD1532" s="134"/>
    </row>
    <row r="1533">
      <c r="A1533" s="143"/>
      <c r="B1533" s="134"/>
      <c r="C1533" s="134"/>
      <c r="D1533" s="134"/>
      <c r="E1533" s="134"/>
      <c r="F1533" s="134"/>
      <c r="G1533" s="134"/>
      <c r="H1533" s="134"/>
      <c r="J1533" s="134"/>
      <c r="K1533" s="135"/>
      <c r="L1533" s="136"/>
      <c r="M1533" s="144"/>
      <c r="T1533" s="52"/>
      <c r="V1533" s="134"/>
      <c r="W1533" s="134"/>
      <c r="X1533" s="134"/>
      <c r="Y1533" s="134"/>
      <c r="Z1533" s="134"/>
      <c r="AA1533" s="134"/>
      <c r="AB1533" s="134"/>
      <c r="AC1533" s="134"/>
      <c r="AD1533" s="134"/>
    </row>
    <row r="1534">
      <c r="A1534" s="143"/>
      <c r="B1534" s="134"/>
      <c r="C1534" s="134"/>
      <c r="D1534" s="134"/>
      <c r="E1534" s="134"/>
      <c r="F1534" s="134"/>
      <c r="G1534" s="134"/>
      <c r="H1534" s="134"/>
      <c r="J1534" s="134"/>
      <c r="K1534" s="135"/>
      <c r="L1534" s="136"/>
      <c r="M1534" s="144"/>
      <c r="T1534" s="52"/>
      <c r="V1534" s="134"/>
      <c r="W1534" s="134"/>
      <c r="X1534" s="134"/>
      <c r="Y1534" s="134"/>
      <c r="Z1534" s="134"/>
      <c r="AA1534" s="134"/>
      <c r="AB1534" s="134"/>
      <c r="AC1534" s="134"/>
      <c r="AD1534" s="134"/>
    </row>
    <row r="1535">
      <c r="A1535" s="143"/>
      <c r="B1535" s="134"/>
      <c r="C1535" s="134"/>
      <c r="D1535" s="134"/>
      <c r="E1535" s="134"/>
      <c r="F1535" s="134"/>
      <c r="G1535" s="134"/>
      <c r="H1535" s="134"/>
      <c r="J1535" s="134"/>
      <c r="K1535" s="135"/>
      <c r="L1535" s="136"/>
      <c r="M1535" s="144"/>
      <c r="T1535" s="52"/>
      <c r="V1535" s="134"/>
      <c r="W1535" s="134"/>
      <c r="X1535" s="134"/>
      <c r="Y1535" s="134"/>
      <c r="Z1535" s="134"/>
      <c r="AA1535" s="134"/>
      <c r="AB1535" s="134"/>
      <c r="AC1535" s="134"/>
      <c r="AD1535" s="134"/>
    </row>
    <row r="1536">
      <c r="A1536" s="143"/>
      <c r="B1536" s="134"/>
      <c r="C1536" s="134"/>
      <c r="D1536" s="134"/>
      <c r="E1536" s="134"/>
      <c r="F1536" s="134"/>
      <c r="G1536" s="134"/>
      <c r="H1536" s="134"/>
      <c r="J1536" s="134"/>
      <c r="K1536" s="135"/>
      <c r="L1536" s="136"/>
      <c r="M1536" s="144"/>
      <c r="T1536" s="52"/>
      <c r="V1536" s="134"/>
      <c r="W1536" s="134"/>
      <c r="X1536" s="134"/>
      <c r="Y1536" s="134"/>
      <c r="Z1536" s="134"/>
      <c r="AA1536" s="134"/>
      <c r="AB1536" s="134"/>
      <c r="AC1536" s="134"/>
      <c r="AD1536" s="134"/>
    </row>
    <row r="1537">
      <c r="A1537" s="143"/>
      <c r="B1537" s="134"/>
      <c r="C1537" s="134"/>
      <c r="D1537" s="134"/>
      <c r="E1537" s="134"/>
      <c r="F1537" s="134"/>
      <c r="G1537" s="134"/>
      <c r="H1537" s="134"/>
      <c r="J1537" s="134"/>
      <c r="K1537" s="135"/>
      <c r="L1537" s="136"/>
      <c r="M1537" s="144"/>
      <c r="T1537" s="52"/>
      <c r="V1537" s="134"/>
      <c r="W1537" s="134"/>
      <c r="X1537" s="134"/>
      <c r="Y1537" s="134"/>
      <c r="Z1537" s="134"/>
      <c r="AA1537" s="134"/>
      <c r="AB1537" s="134"/>
      <c r="AC1537" s="134"/>
      <c r="AD1537" s="134"/>
    </row>
    <row r="1538">
      <c r="A1538" s="143"/>
      <c r="B1538" s="134"/>
      <c r="C1538" s="134"/>
      <c r="D1538" s="134"/>
      <c r="E1538" s="134"/>
      <c r="F1538" s="134"/>
      <c r="G1538" s="134"/>
      <c r="H1538" s="134"/>
      <c r="J1538" s="134"/>
      <c r="K1538" s="135"/>
      <c r="L1538" s="136"/>
      <c r="M1538" s="144"/>
      <c r="T1538" s="52"/>
      <c r="V1538" s="134"/>
      <c r="W1538" s="134"/>
      <c r="X1538" s="134"/>
      <c r="Y1538" s="134"/>
      <c r="Z1538" s="134"/>
      <c r="AA1538" s="134"/>
      <c r="AB1538" s="134"/>
      <c r="AC1538" s="134"/>
      <c r="AD1538" s="134"/>
    </row>
    <row r="1539">
      <c r="A1539" s="143"/>
      <c r="B1539" s="134"/>
      <c r="C1539" s="134"/>
      <c r="D1539" s="134"/>
      <c r="E1539" s="134"/>
      <c r="F1539" s="134"/>
      <c r="G1539" s="134"/>
      <c r="H1539" s="134"/>
      <c r="J1539" s="134"/>
      <c r="K1539" s="135"/>
      <c r="L1539" s="136"/>
      <c r="M1539" s="144"/>
      <c r="T1539" s="52"/>
      <c r="V1539" s="134"/>
      <c r="W1539" s="134"/>
      <c r="X1539" s="134"/>
      <c r="Y1539" s="134"/>
      <c r="Z1539" s="134"/>
      <c r="AA1539" s="134"/>
      <c r="AB1539" s="134"/>
      <c r="AC1539" s="134"/>
      <c r="AD1539" s="134"/>
    </row>
    <row r="1540">
      <c r="A1540" s="143"/>
      <c r="B1540" s="134"/>
      <c r="C1540" s="134"/>
      <c r="D1540" s="134"/>
      <c r="E1540" s="134"/>
      <c r="F1540" s="134"/>
      <c r="G1540" s="134"/>
      <c r="H1540" s="134"/>
      <c r="J1540" s="134"/>
      <c r="K1540" s="135"/>
      <c r="L1540" s="136"/>
      <c r="M1540" s="144"/>
      <c r="T1540" s="52"/>
      <c r="V1540" s="134"/>
      <c r="W1540" s="134"/>
      <c r="X1540" s="134"/>
      <c r="Y1540" s="134"/>
      <c r="Z1540" s="134"/>
      <c r="AA1540" s="134"/>
      <c r="AB1540" s="134"/>
      <c r="AC1540" s="134"/>
      <c r="AD1540" s="134"/>
    </row>
    <row r="1541">
      <c r="A1541" s="143"/>
      <c r="B1541" s="134"/>
      <c r="C1541" s="134"/>
      <c r="D1541" s="134"/>
      <c r="E1541" s="134"/>
      <c r="F1541" s="134"/>
      <c r="G1541" s="134"/>
      <c r="H1541" s="134"/>
      <c r="J1541" s="134"/>
      <c r="K1541" s="135"/>
      <c r="L1541" s="136"/>
      <c r="M1541" s="144"/>
      <c r="T1541" s="52"/>
      <c r="V1541" s="134"/>
      <c r="W1541" s="134"/>
      <c r="X1541" s="134"/>
      <c r="Y1541" s="134"/>
      <c r="Z1541" s="134"/>
      <c r="AA1541" s="134"/>
      <c r="AB1541" s="134"/>
      <c r="AC1541" s="134"/>
      <c r="AD1541" s="134"/>
    </row>
    <row r="1542">
      <c r="A1542" s="143"/>
      <c r="B1542" s="134"/>
      <c r="C1542" s="134"/>
      <c r="D1542" s="134"/>
      <c r="E1542" s="134"/>
      <c r="F1542" s="134"/>
      <c r="G1542" s="134"/>
      <c r="H1542" s="134"/>
      <c r="J1542" s="134"/>
      <c r="K1542" s="135"/>
      <c r="L1542" s="136"/>
      <c r="M1542" s="144"/>
      <c r="T1542" s="52"/>
      <c r="V1542" s="134"/>
      <c r="W1542" s="134"/>
      <c r="X1542" s="134"/>
      <c r="Y1542" s="134"/>
      <c r="Z1542" s="134"/>
      <c r="AA1542" s="134"/>
      <c r="AB1542" s="134"/>
      <c r="AC1542" s="134"/>
      <c r="AD1542" s="134"/>
    </row>
    <row r="1543">
      <c r="A1543" s="143"/>
      <c r="B1543" s="134"/>
      <c r="C1543" s="134"/>
      <c r="D1543" s="134"/>
      <c r="E1543" s="134"/>
      <c r="F1543" s="134"/>
      <c r="G1543" s="134"/>
      <c r="H1543" s="134"/>
      <c r="J1543" s="134"/>
      <c r="K1543" s="135"/>
      <c r="L1543" s="136"/>
      <c r="M1543" s="144"/>
      <c r="T1543" s="52"/>
      <c r="V1543" s="134"/>
      <c r="W1543" s="134"/>
      <c r="X1543" s="134"/>
      <c r="Y1543" s="134"/>
      <c r="Z1543" s="134"/>
      <c r="AA1543" s="134"/>
      <c r="AB1543" s="134"/>
      <c r="AC1543" s="134"/>
      <c r="AD1543" s="134"/>
    </row>
    <row r="1544">
      <c r="A1544" s="143"/>
      <c r="B1544" s="134"/>
      <c r="C1544" s="134"/>
      <c r="D1544" s="134"/>
      <c r="E1544" s="134"/>
      <c r="F1544" s="134"/>
      <c r="G1544" s="134"/>
      <c r="H1544" s="134"/>
      <c r="J1544" s="134"/>
      <c r="K1544" s="135"/>
      <c r="L1544" s="136"/>
      <c r="M1544" s="144"/>
      <c r="T1544" s="52"/>
      <c r="V1544" s="134"/>
      <c r="W1544" s="134"/>
      <c r="X1544" s="134"/>
      <c r="Y1544" s="134"/>
      <c r="Z1544" s="134"/>
      <c r="AA1544" s="134"/>
      <c r="AB1544" s="134"/>
      <c r="AC1544" s="134"/>
      <c r="AD1544" s="134"/>
    </row>
    <row r="1545">
      <c r="A1545" s="143"/>
      <c r="B1545" s="134"/>
      <c r="C1545" s="134"/>
      <c r="D1545" s="134"/>
      <c r="E1545" s="134"/>
      <c r="F1545" s="134"/>
      <c r="G1545" s="134"/>
      <c r="H1545" s="134"/>
      <c r="J1545" s="134"/>
      <c r="K1545" s="135"/>
      <c r="L1545" s="136"/>
      <c r="M1545" s="144"/>
      <c r="T1545" s="52"/>
      <c r="V1545" s="134"/>
      <c r="W1545" s="134"/>
      <c r="X1545" s="134"/>
      <c r="Y1545" s="134"/>
      <c r="Z1545" s="134"/>
      <c r="AA1545" s="134"/>
      <c r="AB1545" s="134"/>
      <c r="AC1545" s="134"/>
      <c r="AD1545" s="134"/>
    </row>
    <row r="1546">
      <c r="A1546" s="143"/>
      <c r="B1546" s="134"/>
      <c r="C1546" s="134"/>
      <c r="D1546" s="134"/>
      <c r="E1546" s="134"/>
      <c r="F1546" s="134"/>
      <c r="G1546" s="134"/>
      <c r="H1546" s="134"/>
      <c r="J1546" s="134"/>
      <c r="K1546" s="135"/>
      <c r="L1546" s="136"/>
      <c r="M1546" s="144"/>
      <c r="T1546" s="52"/>
      <c r="V1546" s="134"/>
      <c r="W1546" s="134"/>
      <c r="X1546" s="134"/>
      <c r="Y1546" s="134"/>
      <c r="Z1546" s="134"/>
      <c r="AA1546" s="134"/>
      <c r="AB1546" s="134"/>
      <c r="AC1546" s="134"/>
      <c r="AD1546" s="134"/>
    </row>
    <row r="1547">
      <c r="A1547" s="143"/>
      <c r="B1547" s="134"/>
      <c r="C1547" s="134"/>
      <c r="D1547" s="134"/>
      <c r="E1547" s="134"/>
      <c r="F1547" s="134"/>
      <c r="G1547" s="134"/>
      <c r="H1547" s="134"/>
      <c r="J1547" s="134"/>
      <c r="K1547" s="135"/>
      <c r="L1547" s="136"/>
      <c r="M1547" s="144"/>
      <c r="T1547" s="52"/>
      <c r="V1547" s="134"/>
      <c r="W1547" s="134"/>
      <c r="X1547" s="134"/>
      <c r="Y1547" s="134"/>
      <c r="Z1547" s="134"/>
      <c r="AA1547" s="134"/>
      <c r="AB1547" s="134"/>
      <c r="AC1547" s="134"/>
      <c r="AD1547" s="134"/>
    </row>
    <row r="1548">
      <c r="A1548" s="143"/>
      <c r="B1548" s="134"/>
      <c r="C1548" s="134"/>
      <c r="D1548" s="134"/>
      <c r="E1548" s="134"/>
      <c r="F1548" s="134"/>
      <c r="G1548" s="134"/>
      <c r="H1548" s="134"/>
      <c r="J1548" s="134"/>
      <c r="K1548" s="135"/>
      <c r="L1548" s="136"/>
      <c r="M1548" s="144"/>
      <c r="T1548" s="52"/>
      <c r="V1548" s="134"/>
      <c r="W1548" s="134"/>
      <c r="X1548" s="134"/>
      <c r="Y1548" s="134"/>
      <c r="Z1548" s="134"/>
      <c r="AA1548" s="134"/>
      <c r="AB1548" s="134"/>
      <c r="AC1548" s="134"/>
      <c r="AD1548" s="134"/>
    </row>
    <row r="1549">
      <c r="A1549" s="143"/>
      <c r="B1549" s="134"/>
      <c r="C1549" s="134"/>
      <c r="D1549" s="134"/>
      <c r="E1549" s="134"/>
      <c r="F1549" s="134"/>
      <c r="G1549" s="134"/>
      <c r="H1549" s="134"/>
      <c r="J1549" s="134"/>
      <c r="K1549" s="135"/>
      <c r="L1549" s="136"/>
      <c r="M1549" s="144"/>
      <c r="T1549" s="52"/>
      <c r="V1549" s="134"/>
      <c r="W1549" s="134"/>
      <c r="X1549" s="134"/>
      <c r="Y1549" s="134"/>
      <c r="Z1549" s="134"/>
      <c r="AA1549" s="134"/>
      <c r="AB1549" s="134"/>
      <c r="AC1549" s="134"/>
      <c r="AD1549" s="134"/>
    </row>
    <row r="1550">
      <c r="A1550" s="143"/>
      <c r="B1550" s="134"/>
      <c r="C1550" s="134"/>
      <c r="D1550" s="134"/>
      <c r="E1550" s="134"/>
      <c r="F1550" s="134"/>
      <c r="G1550" s="134"/>
      <c r="H1550" s="134"/>
      <c r="J1550" s="134"/>
      <c r="K1550" s="135"/>
      <c r="L1550" s="136"/>
      <c r="M1550" s="144"/>
      <c r="T1550" s="52"/>
      <c r="V1550" s="134"/>
      <c r="W1550" s="134"/>
      <c r="X1550" s="134"/>
      <c r="Y1550" s="134"/>
      <c r="Z1550" s="134"/>
      <c r="AA1550" s="134"/>
      <c r="AB1550" s="134"/>
      <c r="AC1550" s="134"/>
      <c r="AD1550" s="134"/>
    </row>
    <row r="1551">
      <c r="A1551" s="143"/>
      <c r="B1551" s="134"/>
      <c r="C1551" s="134"/>
      <c r="D1551" s="134"/>
      <c r="E1551" s="134"/>
      <c r="F1551" s="134"/>
      <c r="G1551" s="134"/>
      <c r="H1551" s="134"/>
      <c r="J1551" s="134"/>
      <c r="K1551" s="135"/>
      <c r="L1551" s="136"/>
      <c r="M1551" s="144"/>
      <c r="T1551" s="52"/>
      <c r="V1551" s="134"/>
      <c r="W1551" s="134"/>
      <c r="X1551" s="134"/>
      <c r="Y1551" s="134"/>
      <c r="Z1551" s="134"/>
      <c r="AA1551" s="134"/>
      <c r="AB1551" s="134"/>
      <c r="AC1551" s="134"/>
      <c r="AD1551" s="134"/>
    </row>
    <row r="1552">
      <c r="A1552" s="143"/>
      <c r="B1552" s="134"/>
      <c r="C1552" s="134"/>
      <c r="D1552" s="134"/>
      <c r="E1552" s="134"/>
      <c r="F1552" s="134"/>
      <c r="G1552" s="134"/>
      <c r="H1552" s="134"/>
      <c r="J1552" s="134"/>
      <c r="K1552" s="135"/>
      <c r="L1552" s="136"/>
      <c r="M1552" s="144"/>
      <c r="T1552" s="52"/>
      <c r="V1552" s="134"/>
      <c r="W1552" s="134"/>
      <c r="X1552" s="134"/>
      <c r="Y1552" s="134"/>
      <c r="Z1552" s="134"/>
      <c r="AA1552" s="134"/>
      <c r="AB1552" s="134"/>
      <c r="AC1552" s="134"/>
      <c r="AD1552" s="134"/>
    </row>
    <row r="1553">
      <c r="A1553" s="143"/>
      <c r="B1553" s="134"/>
      <c r="C1553" s="134"/>
      <c r="D1553" s="134"/>
      <c r="E1553" s="134"/>
      <c r="F1553" s="134"/>
      <c r="G1553" s="134"/>
      <c r="H1553" s="134"/>
      <c r="J1553" s="134"/>
      <c r="K1553" s="135"/>
      <c r="L1553" s="136"/>
      <c r="M1553" s="144"/>
      <c r="T1553" s="52"/>
      <c r="V1553" s="134"/>
      <c r="W1553" s="134"/>
      <c r="X1553" s="134"/>
      <c r="Y1553" s="134"/>
      <c r="Z1553" s="134"/>
      <c r="AA1553" s="134"/>
      <c r="AB1553" s="134"/>
      <c r="AC1553" s="134"/>
      <c r="AD1553" s="134"/>
    </row>
    <row r="1554">
      <c r="A1554" s="143"/>
      <c r="B1554" s="134"/>
      <c r="C1554" s="134"/>
      <c r="D1554" s="134"/>
      <c r="E1554" s="134"/>
      <c r="F1554" s="134"/>
      <c r="G1554" s="134"/>
      <c r="H1554" s="134"/>
      <c r="J1554" s="134"/>
      <c r="K1554" s="135"/>
      <c r="L1554" s="136"/>
      <c r="M1554" s="144"/>
      <c r="T1554" s="52"/>
      <c r="V1554" s="134"/>
      <c r="W1554" s="134"/>
      <c r="X1554" s="134"/>
      <c r="Y1554" s="134"/>
      <c r="Z1554" s="134"/>
      <c r="AA1554" s="134"/>
      <c r="AB1554" s="134"/>
      <c r="AC1554" s="134"/>
      <c r="AD1554" s="134"/>
    </row>
    <row r="1555">
      <c r="A1555" s="143"/>
      <c r="B1555" s="134"/>
      <c r="C1555" s="134"/>
      <c r="D1555" s="134"/>
      <c r="E1555" s="134"/>
      <c r="F1555" s="134"/>
      <c r="G1555" s="134"/>
      <c r="H1555" s="134"/>
      <c r="J1555" s="134"/>
      <c r="K1555" s="135"/>
      <c r="L1555" s="136"/>
      <c r="M1555" s="144"/>
      <c r="T1555" s="52"/>
      <c r="V1555" s="134"/>
      <c r="W1555" s="134"/>
      <c r="X1555" s="134"/>
      <c r="Y1555" s="134"/>
      <c r="Z1555" s="134"/>
      <c r="AA1555" s="134"/>
      <c r="AB1555" s="134"/>
      <c r="AC1555" s="134"/>
      <c r="AD1555" s="134"/>
    </row>
    <row r="1556">
      <c r="A1556" s="143"/>
      <c r="B1556" s="134"/>
      <c r="C1556" s="134"/>
      <c r="D1556" s="134"/>
      <c r="E1556" s="134"/>
      <c r="F1556" s="134"/>
      <c r="G1556" s="134"/>
      <c r="H1556" s="134"/>
      <c r="J1556" s="134"/>
      <c r="K1556" s="135"/>
      <c r="L1556" s="136"/>
      <c r="M1556" s="144"/>
      <c r="T1556" s="52"/>
      <c r="V1556" s="134"/>
      <c r="W1556" s="134"/>
      <c r="X1556" s="134"/>
      <c r="Y1556" s="134"/>
      <c r="Z1556" s="134"/>
      <c r="AA1556" s="134"/>
      <c r="AB1556" s="134"/>
      <c r="AC1556" s="134"/>
      <c r="AD1556" s="134"/>
    </row>
    <row r="1557">
      <c r="A1557" s="143"/>
      <c r="B1557" s="134"/>
      <c r="C1557" s="134"/>
      <c r="D1557" s="134"/>
      <c r="E1557" s="134"/>
      <c r="F1557" s="134"/>
      <c r="G1557" s="134"/>
      <c r="H1557" s="134"/>
      <c r="J1557" s="134"/>
      <c r="K1557" s="135"/>
      <c r="L1557" s="136"/>
      <c r="M1557" s="144"/>
      <c r="T1557" s="52"/>
      <c r="V1557" s="134"/>
      <c r="W1557" s="134"/>
      <c r="X1557" s="134"/>
      <c r="Y1557" s="134"/>
      <c r="Z1557" s="134"/>
      <c r="AA1557" s="134"/>
      <c r="AB1557" s="134"/>
      <c r="AC1557" s="134"/>
      <c r="AD1557" s="134"/>
    </row>
    <row r="1558">
      <c r="A1558" s="143"/>
      <c r="B1558" s="134"/>
      <c r="C1558" s="134"/>
      <c r="D1558" s="134"/>
      <c r="E1558" s="134"/>
      <c r="F1558" s="134"/>
      <c r="G1558" s="134"/>
      <c r="H1558" s="134"/>
      <c r="J1558" s="134"/>
      <c r="K1558" s="135"/>
      <c r="L1558" s="136"/>
      <c r="M1558" s="144"/>
      <c r="T1558" s="52"/>
      <c r="V1558" s="134"/>
      <c r="W1558" s="134"/>
      <c r="X1558" s="134"/>
      <c r="Y1558" s="134"/>
      <c r="Z1558" s="134"/>
      <c r="AA1558" s="134"/>
      <c r="AB1558" s="134"/>
      <c r="AC1558" s="134"/>
      <c r="AD1558" s="134"/>
    </row>
    <row r="1559">
      <c r="A1559" s="143"/>
      <c r="B1559" s="134"/>
      <c r="C1559" s="134"/>
      <c r="D1559" s="134"/>
      <c r="E1559" s="134"/>
      <c r="F1559" s="134"/>
      <c r="G1559" s="134"/>
      <c r="H1559" s="134"/>
      <c r="J1559" s="134"/>
      <c r="K1559" s="135"/>
      <c r="L1559" s="136"/>
      <c r="M1559" s="144"/>
      <c r="T1559" s="52"/>
      <c r="V1559" s="134"/>
      <c r="W1559" s="134"/>
      <c r="X1559" s="134"/>
      <c r="Y1559" s="134"/>
      <c r="Z1559" s="134"/>
      <c r="AA1559" s="134"/>
      <c r="AB1559" s="134"/>
      <c r="AC1559" s="134"/>
      <c r="AD1559" s="134"/>
    </row>
    <row r="1560">
      <c r="A1560" s="143"/>
      <c r="B1560" s="134"/>
      <c r="C1560" s="134"/>
      <c r="D1560" s="134"/>
      <c r="E1560" s="134"/>
      <c r="F1560" s="134"/>
      <c r="G1560" s="134"/>
      <c r="H1560" s="134"/>
      <c r="J1560" s="134"/>
      <c r="K1560" s="135"/>
      <c r="L1560" s="136"/>
      <c r="M1560" s="144"/>
      <c r="T1560" s="52"/>
      <c r="V1560" s="134"/>
      <c r="W1560" s="134"/>
      <c r="X1560" s="134"/>
      <c r="Y1560" s="134"/>
      <c r="Z1560" s="134"/>
      <c r="AA1560" s="134"/>
      <c r="AB1560" s="134"/>
      <c r="AC1560" s="134"/>
      <c r="AD1560" s="134"/>
    </row>
    <row r="1561">
      <c r="A1561" s="143"/>
      <c r="B1561" s="134"/>
      <c r="C1561" s="134"/>
      <c r="D1561" s="134"/>
      <c r="E1561" s="134"/>
      <c r="F1561" s="134"/>
      <c r="G1561" s="134"/>
      <c r="H1561" s="134"/>
      <c r="J1561" s="134"/>
      <c r="K1561" s="135"/>
      <c r="L1561" s="136"/>
      <c r="M1561" s="144"/>
      <c r="T1561" s="52"/>
      <c r="V1561" s="134"/>
      <c r="W1561" s="134"/>
      <c r="X1561" s="134"/>
      <c r="Y1561" s="134"/>
      <c r="Z1561" s="134"/>
      <c r="AA1561" s="134"/>
      <c r="AB1561" s="134"/>
      <c r="AC1561" s="134"/>
      <c r="AD1561" s="134"/>
    </row>
    <row r="1562">
      <c r="A1562" s="143"/>
      <c r="B1562" s="134"/>
      <c r="C1562" s="134"/>
      <c r="D1562" s="134"/>
      <c r="E1562" s="134"/>
      <c r="F1562" s="134"/>
      <c r="G1562" s="134"/>
      <c r="H1562" s="134"/>
      <c r="J1562" s="134"/>
      <c r="K1562" s="135"/>
      <c r="L1562" s="136"/>
      <c r="M1562" s="144"/>
      <c r="T1562" s="52"/>
      <c r="V1562" s="134"/>
      <c r="W1562" s="134"/>
      <c r="X1562" s="134"/>
      <c r="Y1562" s="134"/>
      <c r="Z1562" s="134"/>
      <c r="AA1562" s="134"/>
      <c r="AB1562" s="134"/>
      <c r="AC1562" s="134"/>
      <c r="AD1562" s="134"/>
    </row>
    <row r="1563">
      <c r="A1563" s="143"/>
      <c r="B1563" s="134"/>
      <c r="C1563" s="134"/>
      <c r="D1563" s="134"/>
      <c r="E1563" s="134"/>
      <c r="F1563" s="134"/>
      <c r="G1563" s="134"/>
      <c r="H1563" s="134"/>
      <c r="J1563" s="134"/>
      <c r="K1563" s="135"/>
      <c r="L1563" s="136"/>
      <c r="M1563" s="144"/>
      <c r="T1563" s="52"/>
      <c r="V1563" s="134"/>
      <c r="W1563" s="134"/>
      <c r="X1563" s="134"/>
      <c r="Y1563" s="134"/>
      <c r="Z1563" s="134"/>
      <c r="AA1563" s="134"/>
      <c r="AB1563" s="134"/>
      <c r="AC1563" s="134"/>
      <c r="AD1563" s="134"/>
    </row>
    <row r="1564">
      <c r="A1564" s="143"/>
      <c r="B1564" s="134"/>
      <c r="C1564" s="134"/>
      <c r="D1564" s="134"/>
      <c r="E1564" s="134"/>
      <c r="F1564" s="134"/>
      <c r="G1564" s="134"/>
      <c r="H1564" s="134"/>
      <c r="J1564" s="134"/>
      <c r="K1564" s="135"/>
      <c r="L1564" s="136"/>
      <c r="M1564" s="144"/>
      <c r="T1564" s="52"/>
      <c r="V1564" s="134"/>
      <c r="W1564" s="134"/>
      <c r="X1564" s="134"/>
      <c r="Y1564" s="134"/>
      <c r="Z1564" s="134"/>
      <c r="AA1564" s="134"/>
      <c r="AB1564" s="134"/>
      <c r="AC1564" s="134"/>
      <c r="AD1564" s="134"/>
    </row>
    <row r="1565">
      <c r="A1565" s="143"/>
      <c r="B1565" s="134"/>
      <c r="C1565" s="134"/>
      <c r="D1565" s="134"/>
      <c r="E1565" s="134"/>
      <c r="F1565" s="134"/>
      <c r="G1565" s="134"/>
      <c r="H1565" s="134"/>
      <c r="J1565" s="134"/>
      <c r="K1565" s="135"/>
      <c r="L1565" s="136"/>
      <c r="M1565" s="144"/>
      <c r="T1565" s="52"/>
      <c r="V1565" s="134"/>
      <c r="W1565" s="134"/>
      <c r="X1565" s="134"/>
      <c r="Y1565" s="134"/>
      <c r="Z1565" s="134"/>
      <c r="AA1565" s="134"/>
      <c r="AB1565" s="134"/>
      <c r="AC1565" s="134"/>
      <c r="AD1565" s="134"/>
    </row>
    <row r="1566">
      <c r="A1566" s="143"/>
      <c r="B1566" s="134"/>
      <c r="C1566" s="134"/>
      <c r="D1566" s="134"/>
      <c r="E1566" s="134"/>
      <c r="F1566" s="134"/>
      <c r="G1566" s="134"/>
      <c r="H1566" s="134"/>
      <c r="J1566" s="134"/>
      <c r="K1566" s="135"/>
      <c r="L1566" s="136"/>
      <c r="M1566" s="144"/>
      <c r="T1566" s="52"/>
      <c r="V1566" s="134"/>
      <c r="W1566" s="134"/>
      <c r="X1566" s="134"/>
      <c r="Y1566" s="134"/>
      <c r="Z1566" s="134"/>
      <c r="AA1566" s="134"/>
      <c r="AB1566" s="134"/>
      <c r="AC1566" s="134"/>
      <c r="AD1566" s="134"/>
    </row>
    <row r="1567">
      <c r="A1567" s="143"/>
      <c r="B1567" s="134"/>
      <c r="C1567" s="134"/>
      <c r="D1567" s="134"/>
      <c r="E1567" s="134"/>
      <c r="F1567" s="134"/>
      <c r="G1567" s="134"/>
      <c r="H1567" s="134"/>
      <c r="J1567" s="134"/>
      <c r="K1567" s="135"/>
      <c r="L1567" s="136"/>
      <c r="M1567" s="144"/>
      <c r="T1567" s="52"/>
      <c r="V1567" s="134"/>
      <c r="W1567" s="134"/>
      <c r="X1567" s="134"/>
      <c r="Y1567" s="134"/>
      <c r="Z1567" s="134"/>
      <c r="AA1567" s="134"/>
      <c r="AB1567" s="134"/>
      <c r="AC1567" s="134"/>
      <c r="AD1567" s="134"/>
    </row>
    <row r="1568">
      <c r="A1568" s="143"/>
      <c r="B1568" s="134"/>
      <c r="C1568" s="134"/>
      <c r="D1568" s="134"/>
      <c r="E1568" s="134"/>
      <c r="F1568" s="134"/>
      <c r="G1568" s="134"/>
      <c r="H1568" s="134"/>
      <c r="J1568" s="134"/>
      <c r="K1568" s="135"/>
      <c r="L1568" s="136"/>
      <c r="M1568" s="144"/>
      <c r="T1568" s="52"/>
      <c r="V1568" s="134"/>
      <c r="W1568" s="134"/>
      <c r="X1568" s="134"/>
      <c r="Y1568" s="134"/>
      <c r="Z1568" s="134"/>
      <c r="AA1568" s="134"/>
      <c r="AB1568" s="134"/>
      <c r="AC1568" s="134"/>
      <c r="AD1568" s="134"/>
    </row>
    <row r="1569">
      <c r="A1569" s="143"/>
      <c r="B1569" s="134"/>
      <c r="C1569" s="134"/>
      <c r="D1569" s="134"/>
      <c r="E1569" s="134"/>
      <c r="F1569" s="134"/>
      <c r="G1569" s="134"/>
      <c r="H1569" s="134"/>
      <c r="J1569" s="134"/>
      <c r="K1569" s="135"/>
      <c r="L1569" s="136"/>
      <c r="M1569" s="144"/>
      <c r="T1569" s="52"/>
      <c r="V1569" s="134"/>
      <c r="W1569" s="134"/>
      <c r="X1569" s="134"/>
      <c r="Y1569" s="134"/>
      <c r="Z1569" s="134"/>
      <c r="AA1569" s="134"/>
      <c r="AB1569" s="134"/>
      <c r="AC1569" s="134"/>
      <c r="AD1569" s="134"/>
    </row>
    <row r="1570">
      <c r="A1570" s="143"/>
      <c r="B1570" s="134"/>
      <c r="C1570" s="134"/>
      <c r="D1570" s="134"/>
      <c r="E1570" s="134"/>
      <c r="F1570" s="134"/>
      <c r="G1570" s="134"/>
      <c r="H1570" s="134"/>
      <c r="J1570" s="134"/>
      <c r="K1570" s="135"/>
      <c r="L1570" s="136"/>
      <c r="M1570" s="144"/>
      <c r="T1570" s="52"/>
      <c r="V1570" s="134"/>
      <c r="W1570" s="134"/>
      <c r="X1570" s="134"/>
      <c r="Y1570" s="134"/>
      <c r="Z1570" s="134"/>
      <c r="AA1570" s="134"/>
      <c r="AB1570" s="134"/>
      <c r="AC1570" s="134"/>
      <c r="AD1570" s="134"/>
    </row>
    <row r="1571">
      <c r="A1571" s="143"/>
      <c r="B1571" s="134"/>
      <c r="C1571" s="134"/>
      <c r="D1571" s="134"/>
      <c r="E1571" s="134"/>
      <c r="F1571" s="134"/>
      <c r="G1571" s="134"/>
      <c r="H1571" s="134"/>
      <c r="J1571" s="134"/>
      <c r="K1571" s="135"/>
      <c r="L1571" s="136"/>
      <c r="M1571" s="144"/>
      <c r="T1571" s="52"/>
      <c r="V1571" s="134"/>
      <c r="W1571" s="134"/>
      <c r="X1571" s="134"/>
      <c r="Y1571" s="134"/>
      <c r="Z1571" s="134"/>
      <c r="AA1571" s="134"/>
      <c r="AB1571" s="134"/>
      <c r="AC1571" s="134"/>
      <c r="AD1571" s="134"/>
    </row>
    <row r="1572">
      <c r="A1572" s="143"/>
      <c r="B1572" s="134"/>
      <c r="C1572" s="134"/>
      <c r="D1572" s="134"/>
      <c r="E1572" s="134"/>
      <c r="F1572" s="134"/>
      <c r="G1572" s="134"/>
      <c r="H1572" s="134"/>
      <c r="J1572" s="134"/>
      <c r="K1572" s="135"/>
      <c r="L1572" s="136"/>
      <c r="M1572" s="144"/>
      <c r="T1572" s="52"/>
      <c r="V1572" s="134"/>
      <c r="W1572" s="134"/>
      <c r="X1572" s="134"/>
      <c r="Y1572" s="134"/>
      <c r="Z1572" s="134"/>
      <c r="AA1572" s="134"/>
      <c r="AB1572" s="134"/>
      <c r="AC1572" s="134"/>
      <c r="AD1572" s="134"/>
    </row>
    <row r="1573">
      <c r="A1573" s="143"/>
      <c r="B1573" s="134"/>
      <c r="C1573" s="134"/>
      <c r="D1573" s="134"/>
      <c r="E1573" s="134"/>
      <c r="F1573" s="134"/>
      <c r="G1573" s="134"/>
      <c r="H1573" s="134"/>
      <c r="J1573" s="134"/>
      <c r="K1573" s="135"/>
      <c r="L1573" s="136"/>
      <c r="M1573" s="144"/>
      <c r="T1573" s="52"/>
      <c r="V1573" s="134"/>
      <c r="W1573" s="134"/>
      <c r="X1573" s="134"/>
      <c r="Y1573" s="134"/>
      <c r="Z1573" s="134"/>
      <c r="AA1573" s="134"/>
      <c r="AB1573" s="134"/>
      <c r="AC1573" s="134"/>
      <c r="AD1573" s="134"/>
    </row>
    <row r="1574">
      <c r="A1574" s="143"/>
      <c r="B1574" s="134"/>
      <c r="C1574" s="134"/>
      <c r="D1574" s="134"/>
      <c r="E1574" s="134"/>
      <c r="F1574" s="134"/>
      <c r="G1574" s="134"/>
      <c r="H1574" s="134"/>
      <c r="J1574" s="134"/>
      <c r="K1574" s="135"/>
      <c r="L1574" s="136"/>
      <c r="M1574" s="144"/>
      <c r="T1574" s="52"/>
      <c r="V1574" s="134"/>
      <c r="W1574" s="134"/>
      <c r="X1574" s="134"/>
      <c r="Y1574" s="134"/>
      <c r="Z1574" s="134"/>
      <c r="AA1574" s="134"/>
      <c r="AB1574" s="134"/>
      <c r="AC1574" s="134"/>
      <c r="AD1574" s="134"/>
    </row>
    <row r="1575">
      <c r="A1575" s="143"/>
      <c r="B1575" s="134"/>
      <c r="C1575" s="134"/>
      <c r="D1575" s="134"/>
      <c r="E1575" s="134"/>
      <c r="F1575" s="134"/>
      <c r="G1575" s="134"/>
      <c r="H1575" s="134"/>
      <c r="J1575" s="134"/>
      <c r="K1575" s="135"/>
      <c r="L1575" s="136"/>
      <c r="M1575" s="144"/>
      <c r="T1575" s="52"/>
      <c r="V1575" s="134"/>
      <c r="W1575" s="134"/>
      <c r="X1575" s="134"/>
      <c r="Y1575" s="134"/>
      <c r="Z1575" s="134"/>
      <c r="AA1575" s="134"/>
      <c r="AB1575" s="134"/>
      <c r="AC1575" s="134"/>
      <c r="AD1575" s="134"/>
    </row>
    <row r="1576">
      <c r="A1576" s="143"/>
      <c r="B1576" s="134"/>
      <c r="C1576" s="134"/>
      <c r="D1576" s="134"/>
      <c r="E1576" s="134"/>
      <c r="F1576" s="134"/>
      <c r="G1576" s="134"/>
      <c r="H1576" s="134"/>
      <c r="J1576" s="134"/>
      <c r="K1576" s="135"/>
      <c r="L1576" s="136"/>
      <c r="M1576" s="144"/>
      <c r="T1576" s="52"/>
      <c r="V1576" s="134"/>
      <c r="W1576" s="134"/>
      <c r="X1576" s="134"/>
      <c r="Y1576" s="134"/>
      <c r="Z1576" s="134"/>
      <c r="AA1576" s="134"/>
      <c r="AB1576" s="134"/>
      <c r="AC1576" s="134"/>
      <c r="AD1576" s="134"/>
    </row>
    <row r="1577">
      <c r="A1577" s="143"/>
      <c r="B1577" s="134"/>
      <c r="C1577" s="134"/>
      <c r="D1577" s="134"/>
      <c r="E1577" s="134"/>
      <c r="F1577" s="134"/>
      <c r="G1577" s="134"/>
      <c r="H1577" s="134"/>
      <c r="J1577" s="134"/>
      <c r="K1577" s="135"/>
      <c r="L1577" s="136"/>
      <c r="M1577" s="144"/>
      <c r="T1577" s="52"/>
      <c r="V1577" s="134"/>
      <c r="W1577" s="134"/>
      <c r="X1577" s="134"/>
      <c r="Y1577" s="134"/>
      <c r="Z1577" s="134"/>
      <c r="AA1577" s="134"/>
      <c r="AB1577" s="134"/>
      <c r="AC1577" s="134"/>
      <c r="AD1577" s="134"/>
    </row>
    <row r="1578">
      <c r="A1578" s="143"/>
      <c r="B1578" s="134"/>
      <c r="C1578" s="134"/>
      <c r="D1578" s="134"/>
      <c r="E1578" s="134"/>
      <c r="F1578" s="134"/>
      <c r="G1578" s="134"/>
      <c r="H1578" s="134"/>
      <c r="J1578" s="134"/>
      <c r="K1578" s="135"/>
      <c r="L1578" s="136"/>
      <c r="M1578" s="144"/>
      <c r="T1578" s="52"/>
      <c r="V1578" s="134"/>
      <c r="W1578" s="134"/>
      <c r="X1578" s="134"/>
      <c r="Y1578" s="134"/>
      <c r="Z1578" s="134"/>
      <c r="AA1578" s="134"/>
      <c r="AB1578" s="134"/>
      <c r="AC1578" s="134"/>
      <c r="AD1578" s="134"/>
    </row>
    <row r="1579">
      <c r="A1579" s="143"/>
      <c r="B1579" s="134"/>
      <c r="C1579" s="134"/>
      <c r="D1579" s="134"/>
      <c r="E1579" s="134"/>
      <c r="F1579" s="134"/>
      <c r="G1579" s="134"/>
      <c r="H1579" s="134"/>
      <c r="J1579" s="134"/>
      <c r="K1579" s="135"/>
      <c r="L1579" s="136"/>
      <c r="M1579" s="144"/>
      <c r="T1579" s="52"/>
      <c r="V1579" s="134"/>
      <c r="W1579" s="134"/>
      <c r="X1579" s="134"/>
      <c r="Y1579" s="134"/>
      <c r="Z1579" s="134"/>
      <c r="AA1579" s="134"/>
      <c r="AB1579" s="134"/>
      <c r="AC1579" s="134"/>
      <c r="AD1579" s="134"/>
    </row>
    <row r="1580">
      <c r="A1580" s="143"/>
      <c r="B1580" s="134"/>
      <c r="C1580" s="134"/>
      <c r="D1580" s="134"/>
      <c r="E1580" s="134"/>
      <c r="F1580" s="134"/>
      <c r="G1580" s="134"/>
      <c r="H1580" s="134"/>
      <c r="J1580" s="134"/>
      <c r="K1580" s="135"/>
      <c r="L1580" s="136"/>
      <c r="M1580" s="144"/>
      <c r="T1580" s="52"/>
      <c r="V1580" s="134"/>
      <c r="W1580" s="134"/>
      <c r="X1580" s="134"/>
      <c r="Y1580" s="134"/>
      <c r="Z1580" s="134"/>
      <c r="AA1580" s="134"/>
      <c r="AB1580" s="134"/>
      <c r="AC1580" s="134"/>
      <c r="AD1580" s="134"/>
    </row>
    <row r="1581">
      <c r="A1581" s="143"/>
      <c r="B1581" s="134"/>
      <c r="C1581" s="134"/>
      <c r="D1581" s="134"/>
      <c r="E1581" s="134"/>
      <c r="F1581" s="134"/>
      <c r="G1581" s="134"/>
      <c r="H1581" s="134"/>
      <c r="J1581" s="134"/>
      <c r="K1581" s="135"/>
      <c r="L1581" s="136"/>
      <c r="M1581" s="144"/>
      <c r="T1581" s="52"/>
      <c r="V1581" s="134"/>
      <c r="W1581" s="134"/>
      <c r="X1581" s="134"/>
      <c r="Y1581" s="134"/>
      <c r="Z1581" s="134"/>
      <c r="AA1581" s="134"/>
      <c r="AB1581" s="134"/>
      <c r="AC1581" s="134"/>
      <c r="AD1581" s="134"/>
    </row>
    <row r="1582">
      <c r="A1582" s="143"/>
      <c r="B1582" s="134"/>
      <c r="C1582" s="134"/>
      <c r="D1582" s="134"/>
      <c r="E1582" s="134"/>
      <c r="F1582" s="134"/>
      <c r="G1582" s="134"/>
      <c r="H1582" s="134"/>
      <c r="J1582" s="134"/>
      <c r="K1582" s="135"/>
      <c r="L1582" s="136"/>
      <c r="M1582" s="144"/>
      <c r="T1582" s="52"/>
      <c r="V1582" s="134"/>
      <c r="W1582" s="134"/>
      <c r="X1582" s="134"/>
      <c r="Y1582" s="134"/>
      <c r="Z1582" s="134"/>
      <c r="AA1582" s="134"/>
      <c r="AB1582" s="134"/>
      <c r="AC1582" s="134"/>
      <c r="AD1582" s="134"/>
    </row>
    <row r="1583">
      <c r="A1583" s="143"/>
      <c r="B1583" s="134"/>
      <c r="C1583" s="134"/>
      <c r="D1583" s="134"/>
      <c r="E1583" s="134"/>
      <c r="F1583" s="134"/>
      <c r="G1583" s="134"/>
      <c r="H1583" s="134"/>
      <c r="J1583" s="134"/>
      <c r="K1583" s="135"/>
      <c r="L1583" s="136"/>
      <c r="M1583" s="144"/>
      <c r="T1583" s="52"/>
      <c r="V1583" s="134"/>
      <c r="W1583" s="134"/>
      <c r="X1583" s="134"/>
      <c r="Y1583" s="134"/>
      <c r="Z1583" s="134"/>
      <c r="AA1583" s="134"/>
      <c r="AB1583" s="134"/>
      <c r="AC1583" s="134"/>
      <c r="AD1583" s="134"/>
    </row>
    <row r="1584">
      <c r="A1584" s="143"/>
      <c r="B1584" s="134"/>
      <c r="C1584" s="134"/>
      <c r="D1584" s="134"/>
      <c r="E1584" s="134"/>
      <c r="F1584" s="134"/>
      <c r="G1584" s="134"/>
      <c r="H1584" s="134"/>
      <c r="J1584" s="134"/>
      <c r="K1584" s="135"/>
      <c r="L1584" s="136"/>
      <c r="M1584" s="144"/>
      <c r="T1584" s="52"/>
      <c r="V1584" s="134"/>
      <c r="W1584" s="134"/>
      <c r="X1584" s="134"/>
      <c r="Y1584" s="134"/>
      <c r="Z1584" s="134"/>
      <c r="AA1584" s="134"/>
      <c r="AB1584" s="134"/>
      <c r="AC1584" s="134"/>
      <c r="AD1584" s="134"/>
    </row>
    <row r="1585">
      <c r="A1585" s="143"/>
      <c r="B1585" s="134"/>
      <c r="C1585" s="134"/>
      <c r="D1585" s="134"/>
      <c r="E1585" s="134"/>
      <c r="F1585" s="134"/>
      <c r="G1585" s="134"/>
      <c r="H1585" s="134"/>
      <c r="J1585" s="134"/>
      <c r="K1585" s="135"/>
      <c r="L1585" s="136"/>
      <c r="M1585" s="144"/>
      <c r="T1585" s="52"/>
      <c r="V1585" s="134"/>
      <c r="W1585" s="134"/>
      <c r="X1585" s="134"/>
      <c r="Y1585" s="134"/>
      <c r="Z1585" s="134"/>
      <c r="AA1585" s="134"/>
      <c r="AB1585" s="134"/>
      <c r="AC1585" s="134"/>
      <c r="AD1585" s="134"/>
    </row>
    <row r="1586">
      <c r="A1586" s="143"/>
      <c r="B1586" s="134"/>
      <c r="C1586" s="134"/>
      <c r="D1586" s="134"/>
      <c r="E1586" s="134"/>
      <c r="F1586" s="134"/>
      <c r="G1586" s="134"/>
      <c r="H1586" s="134"/>
      <c r="J1586" s="134"/>
      <c r="K1586" s="135"/>
      <c r="L1586" s="136"/>
      <c r="M1586" s="144"/>
      <c r="T1586" s="52"/>
      <c r="V1586" s="134"/>
      <c r="W1586" s="134"/>
      <c r="X1586" s="134"/>
      <c r="Y1586" s="134"/>
      <c r="Z1586" s="134"/>
      <c r="AA1586" s="134"/>
      <c r="AB1586" s="134"/>
      <c r="AC1586" s="134"/>
      <c r="AD1586" s="134"/>
    </row>
    <row r="1587">
      <c r="A1587" s="143"/>
      <c r="B1587" s="134"/>
      <c r="C1587" s="134"/>
      <c r="D1587" s="134"/>
      <c r="E1587" s="134"/>
      <c r="F1587" s="134"/>
      <c r="G1587" s="134"/>
      <c r="H1587" s="134"/>
      <c r="J1587" s="134"/>
      <c r="K1587" s="135"/>
      <c r="L1587" s="136"/>
      <c r="M1587" s="144"/>
      <c r="T1587" s="52"/>
      <c r="V1587" s="134"/>
      <c r="W1587" s="134"/>
      <c r="X1587" s="134"/>
      <c r="Y1587" s="134"/>
      <c r="Z1587" s="134"/>
      <c r="AA1587" s="134"/>
      <c r="AB1587" s="134"/>
      <c r="AC1587" s="134"/>
      <c r="AD1587" s="134"/>
    </row>
    <row r="1588">
      <c r="A1588" s="143"/>
      <c r="B1588" s="134"/>
      <c r="C1588" s="134"/>
      <c r="D1588" s="134"/>
      <c r="E1588" s="134"/>
      <c r="F1588" s="134"/>
      <c r="G1588" s="134"/>
      <c r="H1588" s="134"/>
      <c r="J1588" s="134"/>
      <c r="K1588" s="135"/>
      <c r="L1588" s="136"/>
      <c r="M1588" s="144"/>
      <c r="T1588" s="52"/>
      <c r="V1588" s="134"/>
      <c r="W1588" s="134"/>
      <c r="X1588" s="134"/>
      <c r="Y1588" s="134"/>
      <c r="Z1588" s="134"/>
      <c r="AA1588" s="134"/>
      <c r="AB1588" s="134"/>
      <c r="AC1588" s="134"/>
      <c r="AD1588" s="134"/>
    </row>
    <row r="1589">
      <c r="A1589" s="143"/>
      <c r="B1589" s="134"/>
      <c r="C1589" s="134"/>
      <c r="D1589" s="134"/>
      <c r="E1589" s="134"/>
      <c r="F1589" s="134"/>
      <c r="G1589" s="134"/>
      <c r="H1589" s="134"/>
      <c r="J1589" s="134"/>
      <c r="K1589" s="135"/>
      <c r="L1589" s="136"/>
      <c r="M1589" s="144"/>
      <c r="T1589" s="52"/>
      <c r="V1589" s="134"/>
      <c r="W1589" s="134"/>
      <c r="X1589" s="134"/>
      <c r="Y1589" s="134"/>
      <c r="Z1589" s="134"/>
      <c r="AA1589" s="134"/>
      <c r="AB1589" s="134"/>
      <c r="AC1589" s="134"/>
      <c r="AD1589" s="134"/>
    </row>
    <row r="1590">
      <c r="A1590" s="143"/>
      <c r="B1590" s="134"/>
      <c r="C1590" s="134"/>
      <c r="D1590" s="134"/>
      <c r="E1590" s="134"/>
      <c r="F1590" s="134"/>
      <c r="G1590" s="134"/>
      <c r="H1590" s="134"/>
      <c r="J1590" s="134"/>
      <c r="K1590" s="135"/>
      <c r="L1590" s="136"/>
      <c r="M1590" s="144"/>
      <c r="T1590" s="52"/>
      <c r="V1590" s="134"/>
      <c r="W1590" s="134"/>
      <c r="X1590" s="134"/>
      <c r="Y1590" s="134"/>
      <c r="Z1590" s="134"/>
      <c r="AA1590" s="134"/>
      <c r="AB1590" s="134"/>
      <c r="AC1590" s="134"/>
      <c r="AD1590" s="134"/>
    </row>
    <row r="1591">
      <c r="A1591" s="143"/>
      <c r="B1591" s="134"/>
      <c r="C1591" s="134"/>
      <c r="D1591" s="134"/>
      <c r="E1591" s="134"/>
      <c r="F1591" s="134"/>
      <c r="G1591" s="134"/>
      <c r="H1591" s="134"/>
      <c r="J1591" s="134"/>
      <c r="K1591" s="135"/>
      <c r="L1591" s="136"/>
      <c r="M1591" s="144"/>
      <c r="T1591" s="52"/>
      <c r="V1591" s="134"/>
      <c r="W1591" s="134"/>
      <c r="X1591" s="134"/>
      <c r="Y1591" s="134"/>
      <c r="Z1591" s="134"/>
      <c r="AA1591" s="134"/>
      <c r="AB1591" s="134"/>
      <c r="AC1591" s="134"/>
      <c r="AD1591" s="134"/>
    </row>
    <row r="1592">
      <c r="A1592" s="143"/>
      <c r="B1592" s="134"/>
      <c r="C1592" s="134"/>
      <c r="D1592" s="134"/>
      <c r="E1592" s="134"/>
      <c r="F1592" s="134"/>
      <c r="G1592" s="134"/>
      <c r="H1592" s="134"/>
      <c r="J1592" s="134"/>
      <c r="K1592" s="135"/>
      <c r="L1592" s="136"/>
      <c r="M1592" s="144"/>
      <c r="T1592" s="52"/>
      <c r="V1592" s="134"/>
      <c r="W1592" s="134"/>
      <c r="X1592" s="134"/>
      <c r="Y1592" s="134"/>
      <c r="Z1592" s="134"/>
      <c r="AA1592" s="134"/>
      <c r="AB1592" s="134"/>
      <c r="AC1592" s="134"/>
      <c r="AD1592" s="134"/>
    </row>
    <row r="1593">
      <c r="A1593" s="143"/>
      <c r="B1593" s="134"/>
      <c r="C1593" s="134"/>
      <c r="D1593" s="134"/>
      <c r="E1593" s="134"/>
      <c r="F1593" s="134"/>
      <c r="G1593" s="134"/>
      <c r="H1593" s="134"/>
      <c r="J1593" s="134"/>
      <c r="K1593" s="135"/>
      <c r="L1593" s="136"/>
      <c r="M1593" s="144"/>
      <c r="T1593" s="52"/>
      <c r="V1593" s="134"/>
      <c r="W1593" s="134"/>
      <c r="X1593" s="134"/>
      <c r="Y1593" s="134"/>
      <c r="Z1593" s="134"/>
      <c r="AA1593" s="134"/>
      <c r="AB1593" s="134"/>
      <c r="AC1593" s="134"/>
      <c r="AD1593" s="134"/>
    </row>
    <row r="1594">
      <c r="A1594" s="143"/>
      <c r="B1594" s="134"/>
      <c r="C1594" s="134"/>
      <c r="D1594" s="134"/>
      <c r="E1594" s="134"/>
      <c r="F1594" s="134"/>
      <c r="G1594" s="134"/>
      <c r="H1594" s="134"/>
      <c r="J1594" s="134"/>
      <c r="K1594" s="135"/>
      <c r="L1594" s="136"/>
      <c r="M1594" s="144"/>
      <c r="T1594" s="52"/>
      <c r="V1594" s="134"/>
      <c r="W1594" s="134"/>
      <c r="X1594" s="134"/>
      <c r="Y1594" s="134"/>
      <c r="Z1594" s="134"/>
      <c r="AA1594" s="134"/>
      <c r="AB1594" s="134"/>
      <c r="AC1594" s="134"/>
      <c r="AD1594" s="134"/>
    </row>
    <row r="1595">
      <c r="A1595" s="143"/>
      <c r="B1595" s="134"/>
      <c r="C1595" s="134"/>
      <c r="D1595" s="134"/>
      <c r="E1595" s="134"/>
      <c r="F1595" s="134"/>
      <c r="G1595" s="134"/>
      <c r="H1595" s="134"/>
      <c r="J1595" s="134"/>
      <c r="K1595" s="135"/>
      <c r="L1595" s="136"/>
      <c r="M1595" s="144"/>
      <c r="T1595" s="52"/>
      <c r="V1595" s="134"/>
      <c r="W1595" s="134"/>
      <c r="X1595" s="134"/>
      <c r="Y1595" s="134"/>
      <c r="Z1595" s="134"/>
      <c r="AA1595" s="134"/>
      <c r="AB1595" s="134"/>
      <c r="AC1595" s="134"/>
      <c r="AD1595" s="134"/>
    </row>
    <row r="1596">
      <c r="A1596" s="143"/>
      <c r="B1596" s="134"/>
      <c r="C1596" s="134"/>
      <c r="D1596" s="134"/>
      <c r="E1596" s="134"/>
      <c r="F1596" s="134"/>
      <c r="G1596" s="134"/>
      <c r="H1596" s="134"/>
      <c r="J1596" s="134"/>
      <c r="K1596" s="135"/>
      <c r="L1596" s="136"/>
      <c r="M1596" s="144"/>
      <c r="T1596" s="52"/>
      <c r="V1596" s="134"/>
      <c r="W1596" s="134"/>
      <c r="X1596" s="134"/>
      <c r="Y1596" s="134"/>
      <c r="Z1596" s="134"/>
      <c r="AA1596" s="134"/>
      <c r="AB1596" s="134"/>
      <c r="AC1596" s="134"/>
      <c r="AD1596" s="134"/>
    </row>
    <row r="1597">
      <c r="A1597" s="143"/>
      <c r="B1597" s="134"/>
      <c r="C1597" s="134"/>
      <c r="D1597" s="134"/>
      <c r="E1597" s="134"/>
      <c r="F1597" s="134"/>
      <c r="G1597" s="134"/>
      <c r="H1597" s="134"/>
      <c r="J1597" s="134"/>
      <c r="K1597" s="135"/>
      <c r="L1597" s="136"/>
      <c r="M1597" s="144"/>
      <c r="T1597" s="52"/>
      <c r="V1597" s="134"/>
      <c r="W1597" s="134"/>
      <c r="X1597" s="134"/>
      <c r="Y1597" s="134"/>
      <c r="Z1597" s="134"/>
      <c r="AA1597" s="134"/>
      <c r="AB1597" s="134"/>
      <c r="AC1597" s="134"/>
      <c r="AD1597" s="134"/>
    </row>
    <row r="1598">
      <c r="A1598" s="143"/>
      <c r="B1598" s="134"/>
      <c r="C1598" s="134"/>
      <c r="D1598" s="134"/>
      <c r="E1598" s="134"/>
      <c r="F1598" s="134"/>
      <c r="G1598" s="134"/>
      <c r="H1598" s="134"/>
      <c r="J1598" s="134"/>
      <c r="K1598" s="135"/>
      <c r="L1598" s="136"/>
      <c r="M1598" s="144"/>
      <c r="T1598" s="52"/>
      <c r="V1598" s="134"/>
      <c r="W1598" s="134"/>
      <c r="X1598" s="134"/>
      <c r="Y1598" s="134"/>
      <c r="Z1598" s="134"/>
      <c r="AA1598" s="134"/>
      <c r="AB1598" s="134"/>
      <c r="AC1598" s="134"/>
      <c r="AD1598" s="134"/>
    </row>
    <row r="1599">
      <c r="A1599" s="143"/>
      <c r="B1599" s="134"/>
      <c r="C1599" s="134"/>
      <c r="D1599" s="134"/>
      <c r="E1599" s="134"/>
      <c r="F1599" s="134"/>
      <c r="G1599" s="134"/>
      <c r="H1599" s="134"/>
      <c r="J1599" s="134"/>
      <c r="K1599" s="135"/>
      <c r="L1599" s="136"/>
      <c r="M1599" s="144"/>
      <c r="T1599" s="52"/>
      <c r="V1599" s="134"/>
      <c r="W1599" s="134"/>
      <c r="X1599" s="134"/>
      <c r="Y1599" s="134"/>
      <c r="Z1599" s="134"/>
      <c r="AA1599" s="134"/>
      <c r="AB1599" s="134"/>
      <c r="AC1599" s="134"/>
      <c r="AD1599" s="134"/>
    </row>
    <row r="1600">
      <c r="A1600" s="143"/>
      <c r="B1600" s="134"/>
      <c r="C1600" s="134"/>
      <c r="D1600" s="134"/>
      <c r="E1600" s="134"/>
      <c r="F1600" s="134"/>
      <c r="G1600" s="134"/>
      <c r="H1600" s="134"/>
      <c r="J1600" s="134"/>
      <c r="K1600" s="135"/>
      <c r="L1600" s="136"/>
      <c r="M1600" s="144"/>
      <c r="T1600" s="52"/>
      <c r="V1600" s="134"/>
      <c r="W1600" s="134"/>
      <c r="X1600" s="134"/>
      <c r="Y1600" s="134"/>
      <c r="Z1600" s="134"/>
      <c r="AA1600" s="134"/>
      <c r="AB1600" s="134"/>
      <c r="AC1600" s="134"/>
      <c r="AD1600" s="134"/>
    </row>
    <row r="1601">
      <c r="A1601" s="143"/>
      <c r="B1601" s="134"/>
      <c r="C1601" s="134"/>
      <c r="D1601" s="134"/>
      <c r="E1601" s="134"/>
      <c r="F1601" s="134"/>
      <c r="G1601" s="134"/>
      <c r="H1601" s="134"/>
      <c r="J1601" s="134"/>
      <c r="K1601" s="135"/>
      <c r="L1601" s="136"/>
      <c r="M1601" s="144"/>
      <c r="T1601" s="52"/>
      <c r="V1601" s="134"/>
      <c r="W1601" s="134"/>
      <c r="X1601" s="134"/>
      <c r="Y1601" s="134"/>
      <c r="Z1601" s="134"/>
      <c r="AA1601" s="134"/>
      <c r="AB1601" s="134"/>
      <c r="AC1601" s="134"/>
      <c r="AD1601" s="134"/>
    </row>
    <row r="1602">
      <c r="A1602" s="143"/>
      <c r="B1602" s="134"/>
      <c r="C1602" s="134"/>
      <c r="D1602" s="134"/>
      <c r="E1602" s="134"/>
      <c r="F1602" s="134"/>
      <c r="G1602" s="134"/>
      <c r="H1602" s="134"/>
      <c r="J1602" s="134"/>
      <c r="K1602" s="135"/>
      <c r="L1602" s="136"/>
      <c r="M1602" s="144"/>
      <c r="T1602" s="52"/>
      <c r="V1602" s="134"/>
      <c r="W1602" s="134"/>
      <c r="X1602" s="134"/>
      <c r="Y1602" s="134"/>
      <c r="Z1602" s="134"/>
      <c r="AA1602" s="134"/>
      <c r="AB1602" s="134"/>
      <c r="AC1602" s="134"/>
      <c r="AD1602" s="134"/>
    </row>
    <row r="1603">
      <c r="A1603" s="143"/>
      <c r="B1603" s="134"/>
      <c r="C1603" s="134"/>
      <c r="D1603" s="134"/>
      <c r="E1603" s="134"/>
      <c r="F1603" s="134"/>
      <c r="G1603" s="134"/>
      <c r="H1603" s="134"/>
      <c r="J1603" s="134"/>
      <c r="K1603" s="135"/>
      <c r="L1603" s="136"/>
      <c r="M1603" s="144"/>
      <c r="T1603" s="52"/>
      <c r="V1603" s="134"/>
      <c r="W1603" s="134"/>
      <c r="X1603" s="134"/>
      <c r="Y1603" s="134"/>
      <c r="Z1603" s="134"/>
      <c r="AA1603" s="134"/>
      <c r="AB1603" s="134"/>
      <c r="AC1603" s="134"/>
      <c r="AD1603" s="134"/>
    </row>
    <row r="1604">
      <c r="A1604" s="143"/>
      <c r="B1604" s="134"/>
      <c r="C1604" s="134"/>
      <c r="D1604" s="134"/>
      <c r="E1604" s="134"/>
      <c r="F1604" s="134"/>
      <c r="G1604" s="134"/>
      <c r="H1604" s="134"/>
      <c r="J1604" s="134"/>
      <c r="K1604" s="135"/>
      <c r="L1604" s="136"/>
      <c r="M1604" s="144"/>
      <c r="T1604" s="52"/>
      <c r="V1604" s="134"/>
      <c r="W1604" s="134"/>
      <c r="X1604" s="134"/>
      <c r="Y1604" s="134"/>
      <c r="Z1604" s="134"/>
      <c r="AA1604" s="134"/>
      <c r="AB1604" s="134"/>
      <c r="AC1604" s="134"/>
      <c r="AD1604" s="134"/>
    </row>
    <row r="1605">
      <c r="A1605" s="143"/>
      <c r="B1605" s="134"/>
      <c r="C1605" s="134"/>
      <c r="D1605" s="134"/>
      <c r="E1605" s="134"/>
      <c r="F1605" s="134"/>
      <c r="G1605" s="134"/>
      <c r="H1605" s="134"/>
      <c r="J1605" s="134"/>
      <c r="K1605" s="135"/>
      <c r="L1605" s="136"/>
      <c r="M1605" s="144"/>
      <c r="T1605" s="52"/>
      <c r="V1605" s="134"/>
      <c r="W1605" s="134"/>
      <c r="X1605" s="134"/>
      <c r="Y1605" s="134"/>
      <c r="Z1605" s="134"/>
      <c r="AA1605" s="134"/>
      <c r="AB1605" s="134"/>
      <c r="AC1605" s="134"/>
      <c r="AD1605" s="134"/>
    </row>
    <row r="1606">
      <c r="A1606" s="143"/>
      <c r="B1606" s="134"/>
      <c r="C1606" s="134"/>
      <c r="D1606" s="134"/>
      <c r="E1606" s="134"/>
      <c r="F1606" s="134"/>
      <c r="G1606" s="134"/>
      <c r="H1606" s="134"/>
      <c r="J1606" s="134"/>
      <c r="K1606" s="135"/>
      <c r="L1606" s="136"/>
      <c r="M1606" s="144"/>
      <c r="T1606" s="52"/>
      <c r="V1606" s="134"/>
      <c r="W1606" s="134"/>
      <c r="X1606" s="134"/>
      <c r="Y1606" s="134"/>
      <c r="Z1606" s="134"/>
      <c r="AA1606" s="134"/>
      <c r="AB1606" s="134"/>
      <c r="AC1606" s="134"/>
      <c r="AD1606" s="134"/>
    </row>
    <row r="1607">
      <c r="A1607" s="143"/>
      <c r="B1607" s="134"/>
      <c r="C1607" s="134"/>
      <c r="D1607" s="134"/>
      <c r="E1607" s="134"/>
      <c r="F1607" s="134"/>
      <c r="G1607" s="134"/>
      <c r="H1607" s="134"/>
      <c r="J1607" s="134"/>
      <c r="K1607" s="135"/>
      <c r="L1607" s="136"/>
      <c r="M1607" s="144"/>
      <c r="T1607" s="52"/>
      <c r="V1607" s="134"/>
      <c r="W1607" s="134"/>
      <c r="X1607" s="134"/>
      <c r="Y1607" s="134"/>
      <c r="Z1607" s="134"/>
      <c r="AA1607" s="134"/>
      <c r="AB1607" s="134"/>
      <c r="AC1607" s="134"/>
      <c r="AD1607" s="134"/>
    </row>
    <row r="1608">
      <c r="A1608" s="143"/>
      <c r="B1608" s="134"/>
      <c r="C1608" s="134"/>
      <c r="D1608" s="134"/>
      <c r="E1608" s="134"/>
      <c r="F1608" s="134"/>
      <c r="G1608" s="134"/>
      <c r="H1608" s="134"/>
      <c r="J1608" s="134"/>
      <c r="K1608" s="135"/>
      <c r="L1608" s="136"/>
      <c r="M1608" s="144"/>
      <c r="T1608" s="52"/>
      <c r="V1608" s="134"/>
      <c r="W1608" s="134"/>
      <c r="X1608" s="134"/>
      <c r="Y1608" s="134"/>
      <c r="Z1608" s="134"/>
      <c r="AA1608" s="134"/>
      <c r="AB1608" s="134"/>
      <c r="AC1608" s="134"/>
      <c r="AD1608" s="134"/>
    </row>
    <row r="1609">
      <c r="A1609" s="143"/>
      <c r="B1609" s="134"/>
      <c r="C1609" s="134"/>
      <c r="D1609" s="134"/>
      <c r="E1609" s="134"/>
      <c r="F1609" s="134"/>
      <c r="G1609" s="134"/>
      <c r="H1609" s="134"/>
      <c r="J1609" s="134"/>
      <c r="K1609" s="135"/>
      <c r="L1609" s="136"/>
      <c r="M1609" s="144"/>
      <c r="T1609" s="52"/>
      <c r="V1609" s="134"/>
      <c r="W1609" s="134"/>
      <c r="X1609" s="134"/>
      <c r="Y1609" s="134"/>
      <c r="Z1609" s="134"/>
      <c r="AA1609" s="134"/>
      <c r="AB1609" s="134"/>
      <c r="AC1609" s="134"/>
      <c r="AD1609" s="134"/>
    </row>
    <row r="1610">
      <c r="A1610" s="143"/>
      <c r="B1610" s="134"/>
      <c r="C1610" s="134"/>
      <c r="D1610" s="134"/>
      <c r="E1610" s="134"/>
      <c r="F1610" s="134"/>
      <c r="G1610" s="134"/>
      <c r="H1610" s="134"/>
      <c r="J1610" s="134"/>
      <c r="K1610" s="135"/>
      <c r="L1610" s="136"/>
      <c r="M1610" s="144"/>
      <c r="T1610" s="52"/>
      <c r="V1610" s="134"/>
      <c r="W1610" s="134"/>
      <c r="X1610" s="134"/>
      <c r="Y1610" s="134"/>
      <c r="Z1610" s="134"/>
      <c r="AA1610" s="134"/>
      <c r="AB1610" s="134"/>
      <c r="AC1610" s="134"/>
      <c r="AD1610" s="134"/>
    </row>
    <row r="1611">
      <c r="A1611" s="143"/>
      <c r="B1611" s="134"/>
      <c r="C1611" s="134"/>
      <c r="D1611" s="134"/>
      <c r="E1611" s="134"/>
      <c r="F1611" s="134"/>
      <c r="G1611" s="134"/>
      <c r="H1611" s="134"/>
      <c r="J1611" s="134"/>
      <c r="K1611" s="135"/>
      <c r="L1611" s="136"/>
      <c r="M1611" s="144"/>
      <c r="T1611" s="52"/>
      <c r="V1611" s="134"/>
      <c r="W1611" s="134"/>
      <c r="X1611" s="134"/>
      <c r="Y1611" s="134"/>
      <c r="Z1611" s="134"/>
      <c r="AA1611" s="134"/>
      <c r="AB1611" s="134"/>
      <c r="AC1611" s="134"/>
      <c r="AD1611" s="134"/>
    </row>
    <row r="1612">
      <c r="A1612" s="143"/>
      <c r="B1612" s="134"/>
      <c r="C1612" s="134"/>
      <c r="D1612" s="134"/>
      <c r="E1612" s="134"/>
      <c r="F1612" s="134"/>
      <c r="G1612" s="134"/>
      <c r="H1612" s="134"/>
      <c r="J1612" s="134"/>
      <c r="K1612" s="135"/>
      <c r="L1612" s="136"/>
      <c r="M1612" s="144"/>
      <c r="T1612" s="52"/>
      <c r="V1612" s="134"/>
      <c r="W1612" s="134"/>
      <c r="X1612" s="134"/>
      <c r="Y1612" s="134"/>
      <c r="Z1612" s="134"/>
      <c r="AA1612" s="134"/>
      <c r="AB1612" s="134"/>
      <c r="AC1612" s="134"/>
      <c r="AD1612" s="134"/>
    </row>
    <row r="1613">
      <c r="A1613" s="143"/>
      <c r="B1613" s="134"/>
      <c r="C1613" s="134"/>
      <c r="D1613" s="134"/>
      <c r="E1613" s="134"/>
      <c r="F1613" s="134"/>
      <c r="G1613" s="134"/>
      <c r="H1613" s="134"/>
      <c r="J1613" s="134"/>
      <c r="K1613" s="135"/>
      <c r="L1613" s="136"/>
      <c r="M1613" s="144"/>
      <c r="T1613" s="52"/>
      <c r="V1613" s="134"/>
      <c r="W1613" s="134"/>
      <c r="X1613" s="134"/>
      <c r="Y1613" s="134"/>
      <c r="Z1613" s="134"/>
      <c r="AA1613" s="134"/>
      <c r="AB1613" s="134"/>
      <c r="AC1613" s="134"/>
      <c r="AD1613" s="134"/>
    </row>
    <row r="1614">
      <c r="A1614" s="143"/>
      <c r="B1614" s="134"/>
      <c r="C1614" s="134"/>
      <c r="D1614" s="134"/>
      <c r="E1614" s="134"/>
      <c r="F1614" s="134"/>
      <c r="G1614" s="134"/>
      <c r="H1614" s="134"/>
      <c r="J1614" s="134"/>
      <c r="K1614" s="135"/>
      <c r="L1614" s="136"/>
      <c r="M1614" s="144"/>
      <c r="T1614" s="52"/>
      <c r="V1614" s="134"/>
      <c r="W1614" s="134"/>
      <c r="X1614" s="134"/>
      <c r="Y1614" s="134"/>
      <c r="Z1614" s="134"/>
      <c r="AA1614" s="134"/>
      <c r="AB1614" s="134"/>
      <c r="AC1614" s="134"/>
      <c r="AD1614" s="134"/>
    </row>
    <row r="1615">
      <c r="A1615" s="143"/>
      <c r="B1615" s="134"/>
      <c r="C1615" s="134"/>
      <c r="D1615" s="134"/>
      <c r="E1615" s="134"/>
      <c r="F1615" s="134"/>
      <c r="G1615" s="134"/>
      <c r="H1615" s="134"/>
      <c r="J1615" s="134"/>
      <c r="K1615" s="135"/>
      <c r="L1615" s="136"/>
      <c r="M1615" s="144"/>
      <c r="T1615" s="52"/>
      <c r="V1615" s="134"/>
      <c r="W1615" s="134"/>
      <c r="X1615" s="134"/>
      <c r="Y1615" s="134"/>
      <c r="Z1615" s="134"/>
      <c r="AA1615" s="134"/>
      <c r="AB1615" s="134"/>
      <c r="AC1615" s="134"/>
      <c r="AD1615" s="134"/>
    </row>
    <row r="1616">
      <c r="A1616" s="143"/>
      <c r="B1616" s="134"/>
      <c r="C1616" s="134"/>
      <c r="D1616" s="134"/>
      <c r="E1616" s="134"/>
      <c r="F1616" s="134"/>
      <c r="G1616" s="134"/>
      <c r="H1616" s="134"/>
      <c r="J1616" s="134"/>
      <c r="K1616" s="135"/>
      <c r="L1616" s="136"/>
      <c r="M1616" s="144"/>
      <c r="T1616" s="52"/>
      <c r="V1616" s="134"/>
      <c r="W1616" s="134"/>
      <c r="X1616" s="134"/>
      <c r="Y1616" s="134"/>
      <c r="Z1616" s="134"/>
      <c r="AA1616" s="134"/>
      <c r="AB1616" s="134"/>
      <c r="AC1616" s="134"/>
      <c r="AD1616" s="134"/>
    </row>
    <row r="1617">
      <c r="A1617" s="143"/>
      <c r="B1617" s="134"/>
      <c r="C1617" s="134"/>
      <c r="D1617" s="134"/>
      <c r="E1617" s="134"/>
      <c r="F1617" s="134"/>
      <c r="G1617" s="134"/>
      <c r="H1617" s="134"/>
      <c r="J1617" s="134"/>
      <c r="K1617" s="135"/>
      <c r="L1617" s="136"/>
      <c r="M1617" s="144"/>
      <c r="T1617" s="52"/>
      <c r="V1617" s="134"/>
      <c r="W1617" s="134"/>
      <c r="X1617" s="134"/>
      <c r="Y1617" s="134"/>
      <c r="Z1617" s="134"/>
      <c r="AA1617" s="134"/>
      <c r="AB1617" s="134"/>
      <c r="AC1617" s="134"/>
      <c r="AD1617" s="134"/>
    </row>
    <row r="1618">
      <c r="A1618" s="143"/>
      <c r="B1618" s="134"/>
      <c r="C1618" s="134"/>
      <c r="D1618" s="134"/>
      <c r="E1618" s="134"/>
      <c r="F1618" s="134"/>
      <c r="G1618" s="134"/>
      <c r="H1618" s="134"/>
      <c r="J1618" s="134"/>
      <c r="K1618" s="135"/>
      <c r="L1618" s="136"/>
      <c r="M1618" s="144"/>
      <c r="T1618" s="52"/>
      <c r="V1618" s="134"/>
      <c r="W1618" s="134"/>
      <c r="X1618" s="134"/>
      <c r="Y1618" s="134"/>
      <c r="Z1618" s="134"/>
      <c r="AA1618" s="134"/>
      <c r="AB1618" s="134"/>
      <c r="AC1618" s="134"/>
      <c r="AD1618" s="134"/>
    </row>
    <row r="1619">
      <c r="A1619" s="143"/>
      <c r="B1619" s="134"/>
      <c r="C1619" s="134"/>
      <c r="D1619" s="134"/>
      <c r="E1619" s="134"/>
      <c r="F1619" s="134"/>
      <c r="G1619" s="134"/>
      <c r="H1619" s="134"/>
      <c r="J1619" s="134"/>
      <c r="K1619" s="135"/>
      <c r="L1619" s="136"/>
      <c r="M1619" s="144"/>
      <c r="T1619" s="52"/>
      <c r="V1619" s="134"/>
      <c r="W1619" s="134"/>
      <c r="X1619" s="134"/>
      <c r="Y1619" s="134"/>
      <c r="Z1619" s="134"/>
      <c r="AA1619" s="134"/>
      <c r="AB1619" s="134"/>
      <c r="AC1619" s="134"/>
      <c r="AD1619" s="134"/>
    </row>
    <row r="1620">
      <c r="A1620" s="143"/>
      <c r="B1620" s="134"/>
      <c r="C1620" s="134"/>
      <c r="D1620" s="134"/>
      <c r="E1620" s="134"/>
      <c r="F1620" s="134"/>
      <c r="G1620" s="134"/>
      <c r="H1620" s="134"/>
      <c r="J1620" s="134"/>
      <c r="K1620" s="135"/>
      <c r="L1620" s="136"/>
      <c r="M1620" s="144"/>
      <c r="T1620" s="52"/>
      <c r="V1620" s="134"/>
      <c r="W1620" s="134"/>
      <c r="X1620" s="134"/>
      <c r="Y1620" s="134"/>
      <c r="Z1620" s="134"/>
      <c r="AA1620" s="134"/>
      <c r="AB1620" s="134"/>
      <c r="AC1620" s="134"/>
      <c r="AD1620" s="134"/>
    </row>
    <row r="1621">
      <c r="A1621" s="143"/>
      <c r="B1621" s="134"/>
      <c r="C1621" s="134"/>
      <c r="D1621" s="134"/>
      <c r="E1621" s="134"/>
      <c r="F1621" s="134"/>
      <c r="G1621" s="134"/>
      <c r="H1621" s="134"/>
      <c r="J1621" s="134"/>
      <c r="K1621" s="135"/>
      <c r="L1621" s="136"/>
      <c r="M1621" s="144"/>
      <c r="T1621" s="52"/>
      <c r="V1621" s="134"/>
      <c r="W1621" s="134"/>
      <c r="X1621" s="134"/>
      <c r="Y1621" s="134"/>
      <c r="Z1621" s="134"/>
      <c r="AA1621" s="134"/>
      <c r="AB1621" s="134"/>
      <c r="AC1621" s="134"/>
      <c r="AD1621" s="134"/>
    </row>
    <row r="1622">
      <c r="A1622" s="143"/>
      <c r="B1622" s="134"/>
      <c r="C1622" s="134"/>
      <c r="D1622" s="134"/>
      <c r="E1622" s="134"/>
      <c r="F1622" s="134"/>
      <c r="G1622" s="134"/>
      <c r="H1622" s="134"/>
      <c r="J1622" s="134"/>
      <c r="K1622" s="135"/>
      <c r="L1622" s="136"/>
      <c r="M1622" s="144"/>
      <c r="T1622" s="52"/>
      <c r="V1622" s="134"/>
      <c r="W1622" s="134"/>
      <c r="X1622" s="134"/>
      <c r="Y1622" s="134"/>
      <c r="Z1622" s="134"/>
      <c r="AA1622" s="134"/>
      <c r="AB1622" s="134"/>
      <c r="AC1622" s="134"/>
      <c r="AD1622" s="134"/>
    </row>
    <row r="1623">
      <c r="A1623" s="143"/>
      <c r="B1623" s="134"/>
      <c r="C1623" s="134"/>
      <c r="D1623" s="134"/>
      <c r="E1623" s="134"/>
      <c r="F1623" s="134"/>
      <c r="G1623" s="134"/>
      <c r="H1623" s="134"/>
      <c r="J1623" s="134"/>
      <c r="K1623" s="135"/>
      <c r="L1623" s="136"/>
      <c r="M1623" s="144"/>
      <c r="T1623" s="52"/>
      <c r="V1623" s="134"/>
      <c r="W1623" s="134"/>
      <c r="X1623" s="134"/>
      <c r="Y1623" s="134"/>
      <c r="Z1623" s="134"/>
      <c r="AA1623" s="134"/>
      <c r="AB1623" s="134"/>
      <c r="AC1623" s="134"/>
      <c r="AD1623" s="134"/>
    </row>
    <row r="1624">
      <c r="A1624" s="143"/>
      <c r="B1624" s="134"/>
      <c r="C1624" s="134"/>
      <c r="D1624" s="134"/>
      <c r="E1624" s="134"/>
      <c r="F1624" s="134"/>
      <c r="G1624" s="134"/>
      <c r="H1624" s="134"/>
      <c r="J1624" s="134"/>
      <c r="K1624" s="135"/>
      <c r="L1624" s="136"/>
      <c r="M1624" s="144"/>
      <c r="T1624" s="52"/>
      <c r="V1624" s="134"/>
      <c r="W1624" s="134"/>
      <c r="X1624" s="134"/>
      <c r="Y1624" s="134"/>
      <c r="Z1624" s="134"/>
      <c r="AA1624" s="134"/>
      <c r="AB1624" s="134"/>
      <c r="AC1624" s="134"/>
      <c r="AD1624" s="134"/>
    </row>
    <row r="1625">
      <c r="A1625" s="143"/>
      <c r="B1625" s="134"/>
      <c r="C1625" s="134"/>
      <c r="D1625" s="134"/>
      <c r="E1625" s="134"/>
      <c r="F1625" s="134"/>
      <c r="G1625" s="134"/>
      <c r="H1625" s="134"/>
      <c r="J1625" s="134"/>
      <c r="K1625" s="135"/>
      <c r="L1625" s="136"/>
      <c r="M1625" s="144"/>
      <c r="T1625" s="52"/>
      <c r="V1625" s="134"/>
      <c r="W1625" s="134"/>
      <c r="X1625" s="134"/>
      <c r="Y1625" s="134"/>
      <c r="Z1625" s="134"/>
      <c r="AA1625" s="134"/>
      <c r="AB1625" s="134"/>
      <c r="AC1625" s="134"/>
      <c r="AD1625" s="134"/>
    </row>
    <row r="1626">
      <c r="A1626" s="143"/>
      <c r="B1626" s="134"/>
      <c r="C1626" s="134"/>
      <c r="D1626" s="134"/>
      <c r="E1626" s="134"/>
      <c r="F1626" s="134"/>
      <c r="G1626" s="134"/>
      <c r="H1626" s="134"/>
      <c r="J1626" s="134"/>
      <c r="K1626" s="135"/>
      <c r="L1626" s="136"/>
      <c r="M1626" s="144"/>
      <c r="T1626" s="52"/>
      <c r="V1626" s="134"/>
      <c r="W1626" s="134"/>
      <c r="X1626" s="134"/>
      <c r="Y1626" s="134"/>
      <c r="Z1626" s="134"/>
      <c r="AA1626" s="134"/>
      <c r="AB1626" s="134"/>
      <c r="AC1626" s="134"/>
      <c r="AD1626" s="134"/>
    </row>
    <row r="1627">
      <c r="A1627" s="143"/>
      <c r="B1627" s="134"/>
      <c r="C1627" s="134"/>
      <c r="D1627" s="134"/>
      <c r="E1627" s="134"/>
      <c r="F1627" s="134"/>
      <c r="G1627" s="134"/>
      <c r="H1627" s="134"/>
      <c r="J1627" s="134"/>
      <c r="K1627" s="135"/>
      <c r="L1627" s="136"/>
      <c r="M1627" s="144"/>
      <c r="T1627" s="52"/>
      <c r="V1627" s="134"/>
      <c r="W1627" s="134"/>
      <c r="X1627" s="134"/>
      <c r="Y1627" s="134"/>
      <c r="Z1627" s="134"/>
      <c r="AA1627" s="134"/>
      <c r="AB1627" s="134"/>
      <c r="AC1627" s="134"/>
      <c r="AD1627" s="134"/>
    </row>
    <row r="1628">
      <c r="A1628" s="143"/>
      <c r="B1628" s="134"/>
      <c r="C1628" s="134"/>
      <c r="D1628" s="134"/>
      <c r="E1628" s="134"/>
      <c r="F1628" s="134"/>
      <c r="G1628" s="134"/>
      <c r="H1628" s="134"/>
      <c r="J1628" s="134"/>
      <c r="K1628" s="135"/>
      <c r="L1628" s="136"/>
      <c r="M1628" s="144"/>
      <c r="T1628" s="52"/>
      <c r="V1628" s="134"/>
      <c r="W1628" s="134"/>
      <c r="X1628" s="134"/>
      <c r="Y1628" s="134"/>
      <c r="Z1628" s="134"/>
      <c r="AA1628" s="134"/>
      <c r="AB1628" s="134"/>
      <c r="AC1628" s="134"/>
      <c r="AD1628" s="134"/>
    </row>
    <row r="1629">
      <c r="A1629" s="143"/>
      <c r="B1629" s="134"/>
      <c r="C1629" s="134"/>
      <c r="D1629" s="134"/>
      <c r="E1629" s="134"/>
      <c r="F1629" s="134"/>
      <c r="G1629" s="134"/>
      <c r="H1629" s="134"/>
      <c r="J1629" s="134"/>
      <c r="K1629" s="135"/>
      <c r="L1629" s="136"/>
      <c r="M1629" s="144"/>
      <c r="T1629" s="52"/>
      <c r="V1629" s="134"/>
      <c r="W1629" s="134"/>
      <c r="X1629" s="134"/>
      <c r="Y1629" s="134"/>
      <c r="Z1629" s="134"/>
      <c r="AA1629" s="134"/>
      <c r="AB1629" s="134"/>
      <c r="AC1629" s="134"/>
      <c r="AD1629" s="134"/>
    </row>
    <row r="1630">
      <c r="A1630" s="143"/>
      <c r="B1630" s="134"/>
      <c r="C1630" s="134"/>
      <c r="D1630" s="134"/>
      <c r="E1630" s="134"/>
      <c r="F1630" s="134"/>
      <c r="G1630" s="134"/>
      <c r="H1630" s="134"/>
      <c r="J1630" s="134"/>
      <c r="K1630" s="135"/>
      <c r="L1630" s="136"/>
      <c r="M1630" s="144"/>
      <c r="T1630" s="52"/>
      <c r="V1630" s="134"/>
      <c r="W1630" s="134"/>
      <c r="X1630" s="134"/>
      <c r="Y1630" s="134"/>
      <c r="Z1630" s="134"/>
      <c r="AA1630" s="134"/>
      <c r="AB1630" s="134"/>
      <c r="AC1630" s="134"/>
      <c r="AD1630" s="134"/>
    </row>
    <row r="1631">
      <c r="A1631" s="143"/>
      <c r="B1631" s="134"/>
      <c r="C1631" s="134"/>
      <c r="D1631" s="134"/>
      <c r="E1631" s="134"/>
      <c r="F1631" s="134"/>
      <c r="G1631" s="134"/>
      <c r="H1631" s="134"/>
      <c r="J1631" s="134"/>
      <c r="K1631" s="135"/>
      <c r="L1631" s="136"/>
      <c r="M1631" s="144"/>
      <c r="T1631" s="52"/>
      <c r="V1631" s="134"/>
      <c r="W1631" s="134"/>
      <c r="X1631" s="134"/>
      <c r="Y1631" s="134"/>
      <c r="Z1631" s="134"/>
      <c r="AA1631" s="134"/>
      <c r="AB1631" s="134"/>
      <c r="AC1631" s="134"/>
      <c r="AD1631" s="134"/>
    </row>
    <row r="1632">
      <c r="A1632" s="143"/>
      <c r="B1632" s="134"/>
      <c r="C1632" s="134"/>
      <c r="D1632" s="134"/>
      <c r="E1632" s="134"/>
      <c r="F1632" s="134"/>
      <c r="G1632" s="134"/>
      <c r="H1632" s="134"/>
      <c r="J1632" s="134"/>
      <c r="K1632" s="135"/>
      <c r="L1632" s="136"/>
      <c r="M1632" s="144"/>
      <c r="T1632" s="52"/>
      <c r="V1632" s="134"/>
      <c r="W1632" s="134"/>
      <c r="X1632" s="134"/>
      <c r="Y1632" s="134"/>
      <c r="Z1632" s="134"/>
      <c r="AA1632" s="134"/>
      <c r="AB1632" s="134"/>
      <c r="AC1632" s="134"/>
      <c r="AD1632" s="134"/>
    </row>
    <row r="1633">
      <c r="A1633" s="143"/>
      <c r="B1633" s="134"/>
      <c r="C1633" s="134"/>
      <c r="D1633" s="134"/>
      <c r="E1633" s="134"/>
      <c r="F1633" s="134"/>
      <c r="G1633" s="134"/>
      <c r="H1633" s="134"/>
      <c r="J1633" s="134"/>
      <c r="K1633" s="135"/>
      <c r="L1633" s="136"/>
      <c r="M1633" s="144"/>
      <c r="T1633" s="52"/>
      <c r="V1633" s="134"/>
      <c r="W1633" s="134"/>
      <c r="X1633" s="134"/>
      <c r="Y1633" s="134"/>
      <c r="Z1633" s="134"/>
      <c r="AA1633" s="134"/>
      <c r="AB1633" s="134"/>
      <c r="AC1633" s="134"/>
      <c r="AD1633" s="134"/>
    </row>
    <row r="1634">
      <c r="A1634" s="143"/>
      <c r="B1634" s="134"/>
      <c r="C1634" s="134"/>
      <c r="D1634" s="134"/>
      <c r="E1634" s="134"/>
      <c r="F1634" s="134"/>
      <c r="G1634" s="134"/>
      <c r="H1634" s="134"/>
      <c r="J1634" s="134"/>
      <c r="K1634" s="135"/>
      <c r="L1634" s="136"/>
      <c r="M1634" s="144"/>
      <c r="T1634" s="52"/>
      <c r="V1634" s="134"/>
      <c r="W1634" s="134"/>
      <c r="X1634" s="134"/>
      <c r="Y1634" s="134"/>
      <c r="Z1634" s="134"/>
      <c r="AA1634" s="134"/>
      <c r="AB1634" s="134"/>
      <c r="AC1634" s="134"/>
      <c r="AD1634" s="134"/>
    </row>
    <row r="1635">
      <c r="A1635" s="143"/>
      <c r="B1635" s="134"/>
      <c r="C1635" s="134"/>
      <c r="D1635" s="134"/>
      <c r="E1635" s="134"/>
      <c r="F1635" s="134"/>
      <c r="G1635" s="134"/>
      <c r="H1635" s="134"/>
      <c r="J1635" s="134"/>
      <c r="K1635" s="135"/>
      <c r="L1635" s="136"/>
      <c r="M1635" s="144"/>
      <c r="T1635" s="52"/>
      <c r="V1635" s="134"/>
      <c r="W1635" s="134"/>
      <c r="X1635" s="134"/>
      <c r="Y1635" s="134"/>
      <c r="Z1635" s="134"/>
      <c r="AA1635" s="134"/>
      <c r="AB1635" s="134"/>
      <c r="AC1635" s="134"/>
      <c r="AD1635" s="134"/>
    </row>
    <row r="1636">
      <c r="A1636" s="143"/>
      <c r="B1636" s="134"/>
      <c r="C1636" s="134"/>
      <c r="D1636" s="134"/>
      <c r="E1636" s="134"/>
      <c r="F1636" s="134"/>
      <c r="G1636" s="134"/>
      <c r="H1636" s="134"/>
      <c r="J1636" s="134"/>
      <c r="K1636" s="135"/>
      <c r="L1636" s="136"/>
      <c r="M1636" s="144"/>
      <c r="T1636" s="52"/>
      <c r="V1636" s="134"/>
      <c r="W1636" s="134"/>
      <c r="X1636" s="134"/>
      <c r="Y1636" s="134"/>
      <c r="Z1636" s="134"/>
      <c r="AA1636" s="134"/>
      <c r="AB1636" s="134"/>
      <c r="AC1636" s="134"/>
      <c r="AD1636" s="134"/>
    </row>
    <row r="1637">
      <c r="A1637" s="143"/>
      <c r="B1637" s="134"/>
      <c r="C1637" s="134"/>
      <c r="D1637" s="134"/>
      <c r="E1637" s="134"/>
      <c r="F1637" s="134"/>
      <c r="G1637" s="134"/>
      <c r="H1637" s="134"/>
      <c r="J1637" s="134"/>
      <c r="K1637" s="135"/>
      <c r="L1637" s="136"/>
      <c r="M1637" s="144"/>
      <c r="T1637" s="52"/>
      <c r="V1637" s="134"/>
      <c r="W1637" s="134"/>
      <c r="X1637" s="134"/>
      <c r="Y1637" s="134"/>
      <c r="Z1637" s="134"/>
      <c r="AA1637" s="134"/>
      <c r="AB1637" s="134"/>
      <c r="AC1637" s="134"/>
      <c r="AD1637" s="134"/>
    </row>
    <row r="1638">
      <c r="A1638" s="143"/>
      <c r="B1638" s="134"/>
      <c r="C1638" s="134"/>
      <c r="D1638" s="134"/>
      <c r="E1638" s="134"/>
      <c r="F1638" s="134"/>
      <c r="G1638" s="134"/>
      <c r="H1638" s="134"/>
      <c r="J1638" s="134"/>
      <c r="K1638" s="135"/>
      <c r="L1638" s="136"/>
      <c r="M1638" s="144"/>
      <c r="T1638" s="52"/>
      <c r="V1638" s="134"/>
      <c r="W1638" s="134"/>
      <c r="X1638" s="134"/>
      <c r="Y1638" s="134"/>
      <c r="Z1638" s="134"/>
      <c r="AA1638" s="134"/>
      <c r="AB1638" s="134"/>
      <c r="AC1638" s="134"/>
      <c r="AD1638" s="134"/>
    </row>
    <row r="1639">
      <c r="A1639" s="143"/>
      <c r="B1639" s="134"/>
      <c r="C1639" s="134"/>
      <c r="D1639" s="134"/>
      <c r="E1639" s="134"/>
      <c r="F1639" s="134"/>
      <c r="G1639" s="134"/>
      <c r="H1639" s="134"/>
      <c r="J1639" s="134"/>
      <c r="K1639" s="135"/>
      <c r="L1639" s="136"/>
      <c r="M1639" s="144"/>
      <c r="T1639" s="52"/>
      <c r="V1639" s="134"/>
      <c r="W1639" s="134"/>
      <c r="X1639" s="134"/>
      <c r="Y1639" s="134"/>
      <c r="Z1639" s="134"/>
      <c r="AA1639" s="134"/>
      <c r="AB1639" s="134"/>
      <c r="AC1639" s="134"/>
      <c r="AD1639" s="134"/>
    </row>
    <row r="1640">
      <c r="A1640" s="143"/>
      <c r="B1640" s="134"/>
      <c r="C1640" s="134"/>
      <c r="D1640" s="134"/>
      <c r="E1640" s="134"/>
      <c r="F1640" s="134"/>
      <c r="G1640" s="134"/>
      <c r="H1640" s="134"/>
      <c r="J1640" s="134"/>
      <c r="K1640" s="135"/>
      <c r="L1640" s="136"/>
      <c r="M1640" s="144"/>
      <c r="T1640" s="52"/>
      <c r="V1640" s="134"/>
      <c r="W1640" s="134"/>
      <c r="X1640" s="134"/>
      <c r="Y1640" s="134"/>
      <c r="Z1640" s="134"/>
      <c r="AA1640" s="134"/>
      <c r="AB1640" s="134"/>
      <c r="AC1640" s="134"/>
      <c r="AD1640" s="134"/>
    </row>
    <row r="1641">
      <c r="A1641" s="143"/>
      <c r="B1641" s="134"/>
      <c r="C1641" s="134"/>
      <c r="D1641" s="134"/>
      <c r="E1641" s="134"/>
      <c r="F1641" s="134"/>
      <c r="G1641" s="134"/>
      <c r="H1641" s="134"/>
      <c r="J1641" s="134"/>
      <c r="K1641" s="135"/>
      <c r="L1641" s="136"/>
      <c r="M1641" s="144"/>
      <c r="T1641" s="52"/>
      <c r="V1641" s="134"/>
      <c r="W1641" s="134"/>
      <c r="X1641" s="134"/>
      <c r="Y1641" s="134"/>
      <c r="Z1641" s="134"/>
      <c r="AA1641" s="134"/>
      <c r="AB1641" s="134"/>
      <c r="AC1641" s="134"/>
      <c r="AD1641" s="134"/>
    </row>
    <row r="1642">
      <c r="A1642" s="143"/>
      <c r="B1642" s="134"/>
      <c r="C1642" s="134"/>
      <c r="D1642" s="134"/>
      <c r="E1642" s="134"/>
      <c r="F1642" s="134"/>
      <c r="G1642" s="134"/>
      <c r="H1642" s="134"/>
      <c r="J1642" s="134"/>
      <c r="K1642" s="135"/>
      <c r="L1642" s="136"/>
      <c r="M1642" s="144"/>
      <c r="T1642" s="52"/>
      <c r="V1642" s="134"/>
      <c r="W1642" s="134"/>
      <c r="X1642" s="134"/>
      <c r="Y1642" s="134"/>
      <c r="Z1642" s="134"/>
      <c r="AA1642" s="134"/>
      <c r="AB1642" s="134"/>
      <c r="AC1642" s="134"/>
      <c r="AD1642" s="134"/>
    </row>
    <row r="1643">
      <c r="A1643" s="143"/>
      <c r="B1643" s="134"/>
      <c r="C1643" s="134"/>
      <c r="D1643" s="134"/>
      <c r="E1643" s="134"/>
      <c r="F1643" s="134"/>
      <c r="G1643" s="134"/>
      <c r="H1643" s="134"/>
      <c r="J1643" s="134"/>
      <c r="K1643" s="135"/>
      <c r="L1643" s="136"/>
      <c r="M1643" s="144"/>
      <c r="T1643" s="52"/>
      <c r="V1643" s="134"/>
      <c r="W1643" s="134"/>
      <c r="X1643" s="134"/>
      <c r="Y1643" s="134"/>
      <c r="Z1643" s="134"/>
      <c r="AA1643" s="134"/>
      <c r="AB1643" s="134"/>
      <c r="AC1643" s="134"/>
      <c r="AD1643" s="134"/>
    </row>
    <row r="1644">
      <c r="A1644" s="143"/>
      <c r="B1644" s="134"/>
      <c r="C1644" s="134"/>
      <c r="D1644" s="134"/>
      <c r="E1644" s="134"/>
      <c r="F1644" s="134"/>
      <c r="G1644" s="134"/>
      <c r="H1644" s="134"/>
      <c r="J1644" s="134"/>
      <c r="K1644" s="135"/>
      <c r="L1644" s="136"/>
      <c r="M1644" s="144"/>
      <c r="T1644" s="52"/>
      <c r="V1644" s="134"/>
      <c r="W1644" s="134"/>
      <c r="X1644" s="134"/>
      <c r="Y1644" s="134"/>
      <c r="Z1644" s="134"/>
      <c r="AA1644" s="134"/>
      <c r="AB1644" s="134"/>
      <c r="AC1644" s="134"/>
      <c r="AD1644" s="134"/>
    </row>
    <row r="1645">
      <c r="A1645" s="143"/>
      <c r="B1645" s="134"/>
      <c r="C1645" s="134"/>
      <c r="D1645" s="134"/>
      <c r="E1645" s="134"/>
      <c r="F1645" s="134"/>
      <c r="G1645" s="134"/>
      <c r="H1645" s="134"/>
      <c r="J1645" s="134"/>
      <c r="K1645" s="135"/>
      <c r="L1645" s="136"/>
      <c r="M1645" s="144"/>
      <c r="T1645" s="52"/>
      <c r="V1645" s="134"/>
      <c r="W1645" s="134"/>
      <c r="X1645" s="134"/>
      <c r="Y1645" s="134"/>
      <c r="Z1645" s="134"/>
      <c r="AA1645" s="134"/>
      <c r="AB1645" s="134"/>
      <c r="AC1645" s="134"/>
      <c r="AD1645" s="134"/>
    </row>
    <row r="1646">
      <c r="A1646" s="143"/>
      <c r="B1646" s="134"/>
      <c r="C1646" s="134"/>
      <c r="D1646" s="134"/>
      <c r="E1646" s="134"/>
      <c r="F1646" s="134"/>
      <c r="G1646" s="134"/>
      <c r="H1646" s="134"/>
      <c r="J1646" s="134"/>
      <c r="K1646" s="135"/>
      <c r="L1646" s="136"/>
      <c r="M1646" s="144"/>
      <c r="T1646" s="52"/>
      <c r="V1646" s="134"/>
      <c r="W1646" s="134"/>
      <c r="X1646" s="134"/>
      <c r="Y1646" s="134"/>
      <c r="Z1646" s="134"/>
      <c r="AA1646" s="134"/>
      <c r="AB1646" s="134"/>
      <c r="AC1646" s="134"/>
      <c r="AD1646" s="134"/>
    </row>
    <row r="1647">
      <c r="A1647" s="143"/>
      <c r="B1647" s="134"/>
      <c r="C1647" s="134"/>
      <c r="D1647" s="134"/>
      <c r="E1647" s="134"/>
      <c r="F1647" s="134"/>
      <c r="G1647" s="134"/>
      <c r="H1647" s="134"/>
      <c r="J1647" s="134"/>
      <c r="K1647" s="135"/>
      <c r="L1647" s="136"/>
      <c r="M1647" s="144"/>
      <c r="T1647" s="52"/>
      <c r="V1647" s="134"/>
      <c r="W1647" s="134"/>
      <c r="X1647" s="134"/>
      <c r="Y1647" s="134"/>
      <c r="Z1647" s="134"/>
      <c r="AA1647" s="134"/>
      <c r="AB1647" s="134"/>
      <c r="AC1647" s="134"/>
      <c r="AD1647" s="134"/>
    </row>
    <row r="1648">
      <c r="A1648" s="143"/>
      <c r="B1648" s="134"/>
      <c r="C1648" s="134"/>
      <c r="D1648" s="134"/>
      <c r="E1648" s="134"/>
      <c r="F1648" s="134"/>
      <c r="G1648" s="134"/>
      <c r="H1648" s="134"/>
      <c r="J1648" s="134"/>
      <c r="K1648" s="135"/>
      <c r="L1648" s="136"/>
      <c r="M1648" s="144"/>
      <c r="T1648" s="52"/>
      <c r="V1648" s="134"/>
      <c r="W1648" s="134"/>
      <c r="X1648" s="134"/>
      <c r="Y1648" s="134"/>
      <c r="Z1648" s="134"/>
      <c r="AA1648" s="134"/>
      <c r="AB1648" s="134"/>
      <c r="AC1648" s="134"/>
      <c r="AD1648" s="134"/>
    </row>
    <row r="1649">
      <c r="A1649" s="143"/>
      <c r="B1649" s="134"/>
      <c r="C1649" s="134"/>
      <c r="D1649" s="134"/>
      <c r="E1649" s="134"/>
      <c r="F1649" s="134"/>
      <c r="G1649" s="134"/>
      <c r="H1649" s="134"/>
      <c r="J1649" s="134"/>
      <c r="K1649" s="135"/>
      <c r="L1649" s="136"/>
      <c r="M1649" s="144"/>
      <c r="T1649" s="52"/>
      <c r="V1649" s="134"/>
      <c r="W1649" s="134"/>
      <c r="X1649" s="134"/>
      <c r="Y1649" s="134"/>
      <c r="Z1649" s="134"/>
      <c r="AA1649" s="134"/>
      <c r="AB1649" s="134"/>
      <c r="AC1649" s="134"/>
      <c r="AD1649" s="134"/>
    </row>
    <row r="1650">
      <c r="A1650" s="143"/>
      <c r="B1650" s="134"/>
      <c r="C1650" s="134"/>
      <c r="D1650" s="134"/>
      <c r="E1650" s="134"/>
      <c r="F1650" s="134"/>
      <c r="G1650" s="134"/>
      <c r="H1650" s="134"/>
      <c r="J1650" s="134"/>
      <c r="K1650" s="135"/>
      <c r="L1650" s="136"/>
      <c r="M1650" s="144"/>
      <c r="T1650" s="52"/>
      <c r="V1650" s="134"/>
      <c r="W1650" s="134"/>
      <c r="X1650" s="134"/>
      <c r="Y1650" s="134"/>
      <c r="Z1650" s="134"/>
      <c r="AA1650" s="134"/>
      <c r="AB1650" s="134"/>
      <c r="AC1650" s="134"/>
      <c r="AD1650" s="134"/>
    </row>
    <row r="1651">
      <c r="A1651" s="143"/>
      <c r="B1651" s="134"/>
      <c r="C1651" s="134"/>
      <c r="D1651" s="134"/>
      <c r="E1651" s="134"/>
      <c r="F1651" s="134"/>
      <c r="G1651" s="134"/>
      <c r="H1651" s="134"/>
      <c r="J1651" s="134"/>
      <c r="K1651" s="135"/>
      <c r="L1651" s="136"/>
      <c r="M1651" s="144"/>
      <c r="T1651" s="52"/>
      <c r="V1651" s="134"/>
      <c r="W1651" s="134"/>
      <c r="X1651" s="134"/>
      <c r="Y1651" s="134"/>
      <c r="Z1651" s="134"/>
      <c r="AA1651" s="134"/>
      <c r="AB1651" s="134"/>
      <c r="AC1651" s="134"/>
      <c r="AD1651" s="134"/>
    </row>
    <row r="1652">
      <c r="A1652" s="143"/>
      <c r="B1652" s="134"/>
      <c r="C1652" s="134"/>
      <c r="D1652" s="134"/>
      <c r="E1652" s="134"/>
      <c r="F1652" s="134"/>
      <c r="G1652" s="134"/>
      <c r="H1652" s="134"/>
      <c r="J1652" s="134"/>
      <c r="K1652" s="135"/>
      <c r="L1652" s="136"/>
      <c r="M1652" s="144"/>
      <c r="T1652" s="52"/>
      <c r="V1652" s="134"/>
      <c r="W1652" s="134"/>
      <c r="X1652" s="134"/>
      <c r="Y1652" s="134"/>
      <c r="Z1652" s="134"/>
      <c r="AA1652" s="134"/>
      <c r="AB1652" s="134"/>
      <c r="AC1652" s="134"/>
      <c r="AD1652" s="134"/>
    </row>
    <row r="1653">
      <c r="A1653" s="143"/>
      <c r="B1653" s="134"/>
      <c r="C1653" s="134"/>
      <c r="D1653" s="134"/>
      <c r="E1653" s="134"/>
      <c r="F1653" s="134"/>
      <c r="G1653" s="134"/>
      <c r="H1653" s="134"/>
      <c r="J1653" s="134"/>
      <c r="K1653" s="135"/>
      <c r="L1653" s="136"/>
      <c r="M1653" s="144"/>
      <c r="T1653" s="52"/>
      <c r="V1653" s="134"/>
      <c r="W1653" s="134"/>
      <c r="X1653" s="134"/>
      <c r="Y1653" s="134"/>
      <c r="Z1653" s="134"/>
      <c r="AA1653" s="134"/>
      <c r="AB1653" s="134"/>
      <c r="AC1653" s="134"/>
      <c r="AD1653" s="134"/>
    </row>
    <row r="1654">
      <c r="A1654" s="143"/>
      <c r="B1654" s="134"/>
      <c r="C1654" s="134"/>
      <c r="D1654" s="134"/>
      <c r="E1654" s="134"/>
      <c r="F1654" s="134"/>
      <c r="G1654" s="134"/>
      <c r="H1654" s="134"/>
      <c r="J1654" s="134"/>
      <c r="K1654" s="135"/>
      <c r="L1654" s="136"/>
      <c r="M1654" s="144"/>
      <c r="T1654" s="52"/>
      <c r="V1654" s="134"/>
      <c r="W1654" s="134"/>
      <c r="X1654" s="134"/>
      <c r="Y1654" s="134"/>
      <c r="Z1654" s="134"/>
      <c r="AA1654" s="134"/>
      <c r="AB1654" s="134"/>
      <c r="AC1654" s="134"/>
      <c r="AD1654" s="134"/>
    </row>
    <row r="1655">
      <c r="A1655" s="143"/>
      <c r="B1655" s="134"/>
      <c r="C1655" s="134"/>
      <c r="D1655" s="134"/>
      <c r="E1655" s="134"/>
      <c r="F1655" s="134"/>
      <c r="G1655" s="134"/>
      <c r="H1655" s="134"/>
      <c r="J1655" s="134"/>
      <c r="K1655" s="135"/>
      <c r="L1655" s="136"/>
      <c r="M1655" s="144"/>
      <c r="T1655" s="52"/>
      <c r="V1655" s="134"/>
      <c r="W1655" s="134"/>
      <c r="X1655" s="134"/>
      <c r="Y1655" s="134"/>
      <c r="Z1655" s="134"/>
      <c r="AA1655" s="134"/>
      <c r="AB1655" s="134"/>
      <c r="AC1655" s="134"/>
      <c r="AD1655" s="134"/>
    </row>
    <row r="1656">
      <c r="A1656" s="143"/>
      <c r="B1656" s="134"/>
      <c r="C1656" s="134"/>
      <c r="D1656" s="134"/>
      <c r="E1656" s="134"/>
      <c r="F1656" s="134"/>
      <c r="G1656" s="134"/>
      <c r="H1656" s="134"/>
      <c r="J1656" s="134"/>
      <c r="K1656" s="135"/>
      <c r="L1656" s="136"/>
      <c r="M1656" s="144"/>
      <c r="T1656" s="52"/>
      <c r="V1656" s="134"/>
      <c r="W1656" s="134"/>
      <c r="X1656" s="134"/>
      <c r="Y1656" s="134"/>
      <c r="Z1656" s="134"/>
      <c r="AA1656" s="134"/>
      <c r="AB1656" s="134"/>
      <c r="AC1656" s="134"/>
      <c r="AD1656" s="134"/>
    </row>
    <row r="1657">
      <c r="A1657" s="143"/>
      <c r="B1657" s="134"/>
      <c r="C1657" s="134"/>
      <c r="D1657" s="134"/>
      <c r="E1657" s="134"/>
      <c r="F1657" s="134"/>
      <c r="G1657" s="134"/>
      <c r="H1657" s="134"/>
      <c r="J1657" s="134"/>
      <c r="K1657" s="135"/>
      <c r="L1657" s="136"/>
      <c r="M1657" s="144"/>
      <c r="T1657" s="52"/>
      <c r="V1657" s="134"/>
      <c r="W1657" s="134"/>
      <c r="X1657" s="134"/>
      <c r="Y1657" s="134"/>
      <c r="Z1657" s="134"/>
      <c r="AA1657" s="134"/>
      <c r="AB1657" s="134"/>
      <c r="AC1657" s="134"/>
      <c r="AD1657" s="134"/>
    </row>
    <row r="1658">
      <c r="A1658" s="143"/>
      <c r="B1658" s="134"/>
      <c r="C1658" s="134"/>
      <c r="D1658" s="134"/>
      <c r="E1658" s="134"/>
      <c r="F1658" s="134"/>
      <c r="G1658" s="134"/>
      <c r="H1658" s="134"/>
      <c r="J1658" s="134"/>
      <c r="K1658" s="135"/>
      <c r="L1658" s="136"/>
      <c r="M1658" s="144"/>
      <c r="T1658" s="52"/>
      <c r="V1658" s="134"/>
      <c r="W1658" s="134"/>
      <c r="X1658" s="134"/>
      <c r="Y1658" s="134"/>
      <c r="Z1658" s="134"/>
      <c r="AA1658" s="134"/>
      <c r="AB1658" s="134"/>
      <c r="AC1658" s="134"/>
      <c r="AD1658" s="134"/>
    </row>
    <row r="1659">
      <c r="A1659" s="143"/>
      <c r="B1659" s="134"/>
      <c r="C1659" s="134"/>
      <c r="D1659" s="134"/>
      <c r="E1659" s="134"/>
      <c r="F1659" s="134"/>
      <c r="G1659" s="134"/>
      <c r="H1659" s="134"/>
      <c r="J1659" s="134"/>
      <c r="K1659" s="135"/>
      <c r="L1659" s="136"/>
      <c r="M1659" s="144"/>
      <c r="T1659" s="52"/>
      <c r="V1659" s="134"/>
      <c r="W1659" s="134"/>
      <c r="X1659" s="134"/>
      <c r="Y1659" s="134"/>
      <c r="Z1659" s="134"/>
      <c r="AA1659" s="134"/>
      <c r="AB1659" s="134"/>
      <c r="AC1659" s="134"/>
      <c r="AD1659" s="134"/>
    </row>
    <row r="1660">
      <c r="A1660" s="143"/>
      <c r="B1660" s="134"/>
      <c r="C1660" s="134"/>
      <c r="D1660" s="134"/>
      <c r="E1660" s="134"/>
      <c r="F1660" s="134"/>
      <c r="G1660" s="134"/>
      <c r="H1660" s="134"/>
      <c r="J1660" s="134"/>
      <c r="K1660" s="135"/>
      <c r="L1660" s="136"/>
      <c r="M1660" s="144"/>
      <c r="T1660" s="52"/>
      <c r="V1660" s="134"/>
      <c r="W1660" s="134"/>
      <c r="X1660" s="134"/>
      <c r="Y1660" s="134"/>
      <c r="Z1660" s="134"/>
      <c r="AA1660" s="134"/>
      <c r="AB1660" s="134"/>
      <c r="AC1660" s="134"/>
      <c r="AD1660" s="134"/>
    </row>
    <row r="1661">
      <c r="A1661" s="143"/>
      <c r="B1661" s="134"/>
      <c r="C1661" s="134"/>
      <c r="D1661" s="134"/>
      <c r="E1661" s="134"/>
      <c r="F1661" s="134"/>
      <c r="G1661" s="134"/>
      <c r="H1661" s="134"/>
      <c r="J1661" s="134"/>
      <c r="K1661" s="135"/>
      <c r="L1661" s="136"/>
      <c r="M1661" s="144"/>
      <c r="T1661" s="52"/>
      <c r="V1661" s="134"/>
      <c r="W1661" s="134"/>
      <c r="X1661" s="134"/>
      <c r="Y1661" s="134"/>
      <c r="Z1661" s="134"/>
      <c r="AA1661" s="134"/>
      <c r="AB1661" s="134"/>
      <c r="AC1661" s="134"/>
      <c r="AD1661" s="134"/>
    </row>
    <row r="1662">
      <c r="A1662" s="143"/>
      <c r="B1662" s="134"/>
      <c r="C1662" s="134"/>
      <c r="D1662" s="134"/>
      <c r="E1662" s="134"/>
      <c r="F1662" s="134"/>
      <c r="G1662" s="134"/>
      <c r="H1662" s="134"/>
      <c r="J1662" s="134"/>
      <c r="K1662" s="135"/>
      <c r="L1662" s="136"/>
      <c r="M1662" s="144"/>
      <c r="T1662" s="52"/>
      <c r="V1662" s="134"/>
      <c r="W1662" s="134"/>
      <c r="X1662" s="134"/>
      <c r="Y1662" s="134"/>
      <c r="Z1662" s="134"/>
      <c r="AA1662" s="134"/>
      <c r="AB1662" s="134"/>
      <c r="AC1662" s="134"/>
      <c r="AD1662" s="134"/>
    </row>
    <row r="1663">
      <c r="A1663" s="143"/>
      <c r="B1663" s="134"/>
      <c r="C1663" s="134"/>
      <c r="D1663" s="134"/>
      <c r="E1663" s="134"/>
      <c r="F1663" s="134"/>
      <c r="G1663" s="134"/>
      <c r="H1663" s="134"/>
      <c r="J1663" s="134"/>
      <c r="K1663" s="135"/>
      <c r="L1663" s="136"/>
      <c r="M1663" s="144"/>
      <c r="T1663" s="52"/>
      <c r="V1663" s="134"/>
      <c r="W1663" s="134"/>
      <c r="X1663" s="134"/>
      <c r="Y1663" s="134"/>
      <c r="Z1663" s="134"/>
      <c r="AA1663" s="134"/>
      <c r="AB1663" s="134"/>
      <c r="AC1663" s="134"/>
      <c r="AD1663" s="134"/>
    </row>
    <row r="1664">
      <c r="A1664" s="143"/>
      <c r="B1664" s="134"/>
      <c r="C1664" s="134"/>
      <c r="D1664" s="134"/>
      <c r="E1664" s="134"/>
      <c r="F1664" s="134"/>
      <c r="G1664" s="134"/>
      <c r="H1664" s="134"/>
      <c r="J1664" s="134"/>
      <c r="K1664" s="135"/>
      <c r="L1664" s="136"/>
      <c r="M1664" s="144"/>
      <c r="T1664" s="52"/>
      <c r="V1664" s="134"/>
      <c r="W1664" s="134"/>
      <c r="X1664" s="134"/>
      <c r="Y1664" s="134"/>
      <c r="Z1664" s="134"/>
      <c r="AA1664" s="134"/>
      <c r="AB1664" s="134"/>
      <c r="AC1664" s="134"/>
      <c r="AD1664" s="134"/>
    </row>
    <row r="1665">
      <c r="A1665" s="143"/>
      <c r="B1665" s="134"/>
      <c r="C1665" s="134"/>
      <c r="D1665" s="134"/>
      <c r="E1665" s="134"/>
      <c r="F1665" s="134"/>
      <c r="G1665" s="134"/>
      <c r="H1665" s="134"/>
      <c r="J1665" s="134"/>
      <c r="K1665" s="135"/>
      <c r="L1665" s="136"/>
      <c r="M1665" s="144"/>
      <c r="T1665" s="52"/>
      <c r="V1665" s="134"/>
      <c r="W1665" s="134"/>
      <c r="X1665" s="134"/>
      <c r="Y1665" s="134"/>
      <c r="Z1665" s="134"/>
      <c r="AA1665" s="134"/>
      <c r="AB1665" s="134"/>
      <c r="AC1665" s="134"/>
      <c r="AD1665" s="134"/>
    </row>
    <row r="1666">
      <c r="A1666" s="143"/>
      <c r="B1666" s="134"/>
      <c r="C1666" s="134"/>
      <c r="D1666" s="134"/>
      <c r="E1666" s="134"/>
      <c r="F1666" s="134"/>
      <c r="G1666" s="134"/>
      <c r="H1666" s="134"/>
      <c r="J1666" s="134"/>
      <c r="K1666" s="135"/>
      <c r="L1666" s="136"/>
      <c r="M1666" s="144"/>
      <c r="T1666" s="52"/>
      <c r="V1666" s="134"/>
      <c r="W1666" s="134"/>
      <c r="X1666" s="134"/>
      <c r="Y1666" s="134"/>
      <c r="Z1666" s="134"/>
      <c r="AA1666" s="134"/>
      <c r="AB1666" s="134"/>
      <c r="AC1666" s="134"/>
      <c r="AD1666" s="134"/>
    </row>
    <row r="1667">
      <c r="A1667" s="143"/>
      <c r="B1667" s="134"/>
      <c r="C1667" s="134"/>
      <c r="D1667" s="134"/>
      <c r="E1667" s="134"/>
      <c r="F1667" s="134"/>
      <c r="G1667" s="134"/>
      <c r="H1667" s="134"/>
      <c r="J1667" s="134"/>
      <c r="K1667" s="135"/>
      <c r="L1667" s="136"/>
      <c r="M1667" s="144"/>
      <c r="T1667" s="52"/>
      <c r="V1667" s="134"/>
      <c r="W1667" s="134"/>
      <c r="X1667" s="134"/>
      <c r="Y1667" s="134"/>
      <c r="Z1667" s="134"/>
      <c r="AA1667" s="134"/>
      <c r="AB1667" s="134"/>
      <c r="AC1667" s="134"/>
      <c r="AD1667" s="134"/>
    </row>
    <row r="1668">
      <c r="A1668" s="143"/>
      <c r="B1668" s="134"/>
      <c r="C1668" s="134"/>
      <c r="D1668" s="134"/>
      <c r="E1668" s="134"/>
      <c r="F1668" s="134"/>
      <c r="G1668" s="134"/>
      <c r="H1668" s="134"/>
      <c r="J1668" s="134"/>
      <c r="K1668" s="135"/>
      <c r="L1668" s="136"/>
      <c r="M1668" s="144"/>
      <c r="T1668" s="52"/>
      <c r="V1668" s="134"/>
      <c r="W1668" s="134"/>
      <c r="X1668" s="134"/>
      <c r="Y1668" s="134"/>
      <c r="Z1668" s="134"/>
      <c r="AA1668" s="134"/>
      <c r="AB1668" s="134"/>
      <c r="AC1668" s="134"/>
      <c r="AD1668" s="134"/>
    </row>
    <row r="1669">
      <c r="A1669" s="143"/>
      <c r="B1669" s="134"/>
      <c r="C1669" s="134"/>
      <c r="D1669" s="134"/>
      <c r="E1669" s="134"/>
      <c r="F1669" s="134"/>
      <c r="G1669" s="134"/>
      <c r="H1669" s="134"/>
      <c r="J1669" s="134"/>
      <c r="K1669" s="135"/>
      <c r="L1669" s="136"/>
      <c r="M1669" s="144"/>
      <c r="T1669" s="52"/>
      <c r="V1669" s="134"/>
      <c r="W1669" s="134"/>
      <c r="X1669" s="134"/>
      <c r="Y1669" s="134"/>
      <c r="Z1669" s="134"/>
      <c r="AA1669" s="134"/>
      <c r="AB1669" s="134"/>
      <c r="AC1669" s="134"/>
      <c r="AD1669" s="134"/>
    </row>
    <row r="1670">
      <c r="A1670" s="143"/>
      <c r="B1670" s="134"/>
      <c r="C1670" s="134"/>
      <c r="D1670" s="134"/>
      <c r="E1670" s="134"/>
      <c r="F1670" s="134"/>
      <c r="G1670" s="134"/>
      <c r="H1670" s="134"/>
      <c r="J1670" s="134"/>
      <c r="K1670" s="135"/>
      <c r="L1670" s="136"/>
      <c r="M1670" s="144"/>
      <c r="T1670" s="52"/>
      <c r="V1670" s="134"/>
      <c r="W1670" s="134"/>
      <c r="X1670" s="134"/>
      <c r="Y1670" s="134"/>
      <c r="Z1670" s="134"/>
      <c r="AA1670" s="134"/>
      <c r="AB1670" s="134"/>
      <c r="AC1670" s="134"/>
      <c r="AD1670" s="134"/>
    </row>
    <row r="1671">
      <c r="A1671" s="143"/>
      <c r="B1671" s="134"/>
      <c r="C1671" s="134"/>
      <c r="D1671" s="134"/>
      <c r="E1671" s="134"/>
      <c r="F1671" s="134"/>
      <c r="G1671" s="134"/>
      <c r="H1671" s="134"/>
      <c r="J1671" s="134"/>
      <c r="K1671" s="135"/>
      <c r="L1671" s="136"/>
      <c r="M1671" s="144"/>
      <c r="T1671" s="52"/>
      <c r="V1671" s="134"/>
      <c r="W1671" s="134"/>
      <c r="X1671" s="134"/>
      <c r="Y1671" s="134"/>
      <c r="Z1671" s="134"/>
      <c r="AA1671" s="134"/>
      <c r="AB1671" s="134"/>
      <c r="AC1671" s="134"/>
      <c r="AD1671" s="134"/>
    </row>
    <row r="1672">
      <c r="A1672" s="143"/>
      <c r="B1672" s="134"/>
      <c r="C1672" s="134"/>
      <c r="D1672" s="134"/>
      <c r="E1672" s="134"/>
      <c r="F1672" s="134"/>
      <c r="G1672" s="134"/>
      <c r="H1672" s="134"/>
      <c r="J1672" s="134"/>
      <c r="K1672" s="135"/>
      <c r="L1672" s="136"/>
      <c r="M1672" s="144"/>
      <c r="T1672" s="52"/>
      <c r="V1672" s="134"/>
      <c r="W1672" s="134"/>
      <c r="X1672" s="134"/>
      <c r="Y1672" s="134"/>
      <c r="Z1672" s="134"/>
      <c r="AA1672" s="134"/>
      <c r="AB1672" s="134"/>
      <c r="AC1672" s="134"/>
      <c r="AD1672" s="134"/>
    </row>
    <row r="1673">
      <c r="A1673" s="143"/>
      <c r="B1673" s="134"/>
      <c r="C1673" s="134"/>
      <c r="D1673" s="134"/>
      <c r="E1673" s="134"/>
      <c r="F1673" s="134"/>
      <c r="G1673" s="134"/>
      <c r="H1673" s="134"/>
      <c r="J1673" s="134"/>
      <c r="K1673" s="135"/>
      <c r="L1673" s="136"/>
      <c r="M1673" s="144"/>
      <c r="T1673" s="52"/>
      <c r="V1673" s="134"/>
      <c r="W1673" s="134"/>
      <c r="X1673" s="134"/>
      <c r="Y1673" s="134"/>
      <c r="Z1673" s="134"/>
      <c r="AA1673" s="134"/>
      <c r="AB1673" s="134"/>
      <c r="AC1673" s="134"/>
      <c r="AD1673" s="134"/>
    </row>
    <row r="1674">
      <c r="A1674" s="143"/>
      <c r="B1674" s="134"/>
      <c r="C1674" s="134"/>
      <c r="D1674" s="134"/>
      <c r="E1674" s="134"/>
      <c r="F1674" s="134"/>
      <c r="G1674" s="134"/>
      <c r="H1674" s="134"/>
      <c r="J1674" s="134"/>
      <c r="K1674" s="135"/>
      <c r="L1674" s="136"/>
      <c r="M1674" s="144"/>
      <c r="T1674" s="52"/>
      <c r="V1674" s="134"/>
      <c r="W1674" s="134"/>
      <c r="X1674" s="134"/>
      <c r="Y1674" s="134"/>
      <c r="Z1674" s="134"/>
      <c r="AA1674" s="134"/>
      <c r="AB1674" s="134"/>
      <c r="AC1674" s="134"/>
      <c r="AD1674" s="134"/>
    </row>
    <row r="1675">
      <c r="A1675" s="143"/>
      <c r="B1675" s="134"/>
      <c r="C1675" s="134"/>
      <c r="D1675" s="134"/>
      <c r="E1675" s="134"/>
      <c r="F1675" s="134"/>
      <c r="G1675" s="134"/>
      <c r="H1675" s="134"/>
      <c r="J1675" s="134"/>
      <c r="K1675" s="135"/>
      <c r="L1675" s="136"/>
      <c r="M1675" s="144"/>
      <c r="T1675" s="52"/>
      <c r="V1675" s="134"/>
      <c r="W1675" s="134"/>
      <c r="X1675" s="134"/>
      <c r="Y1675" s="134"/>
      <c r="Z1675" s="134"/>
      <c r="AA1675" s="134"/>
      <c r="AB1675" s="134"/>
      <c r="AC1675" s="134"/>
      <c r="AD1675" s="134"/>
    </row>
    <row r="1676">
      <c r="A1676" s="143"/>
      <c r="B1676" s="134"/>
      <c r="C1676" s="134"/>
      <c r="D1676" s="134"/>
      <c r="E1676" s="134"/>
      <c r="F1676" s="134"/>
      <c r="G1676" s="134"/>
      <c r="H1676" s="134"/>
      <c r="J1676" s="134"/>
      <c r="K1676" s="135"/>
      <c r="L1676" s="136"/>
      <c r="M1676" s="144"/>
      <c r="T1676" s="52"/>
      <c r="V1676" s="134"/>
      <c r="W1676" s="134"/>
      <c r="X1676" s="134"/>
      <c r="Y1676" s="134"/>
      <c r="Z1676" s="134"/>
      <c r="AA1676" s="134"/>
      <c r="AB1676" s="134"/>
      <c r="AC1676" s="134"/>
      <c r="AD1676" s="134"/>
    </row>
    <row r="1677">
      <c r="A1677" s="143"/>
      <c r="B1677" s="134"/>
      <c r="C1677" s="134"/>
      <c r="D1677" s="134"/>
      <c r="E1677" s="134"/>
      <c r="F1677" s="134"/>
      <c r="G1677" s="134"/>
      <c r="H1677" s="134"/>
      <c r="J1677" s="134"/>
      <c r="K1677" s="135"/>
      <c r="L1677" s="136"/>
      <c r="M1677" s="144"/>
      <c r="T1677" s="52"/>
      <c r="V1677" s="134"/>
      <c r="W1677" s="134"/>
      <c r="X1677" s="134"/>
      <c r="Y1677" s="134"/>
      <c r="Z1677" s="134"/>
      <c r="AA1677" s="134"/>
      <c r="AB1677" s="134"/>
      <c r="AC1677" s="134"/>
      <c r="AD1677" s="134"/>
    </row>
    <row r="1678">
      <c r="A1678" s="143"/>
      <c r="B1678" s="134"/>
      <c r="C1678" s="134"/>
      <c r="D1678" s="134"/>
      <c r="E1678" s="134"/>
      <c r="F1678" s="134"/>
      <c r="G1678" s="134"/>
      <c r="H1678" s="134"/>
      <c r="J1678" s="134"/>
      <c r="K1678" s="135"/>
      <c r="L1678" s="136"/>
      <c r="M1678" s="144"/>
      <c r="T1678" s="52"/>
      <c r="V1678" s="134"/>
      <c r="W1678" s="134"/>
      <c r="X1678" s="134"/>
      <c r="Y1678" s="134"/>
      <c r="Z1678" s="134"/>
      <c r="AA1678" s="134"/>
      <c r="AB1678" s="134"/>
      <c r="AC1678" s="134"/>
      <c r="AD1678" s="134"/>
    </row>
    <row r="1679">
      <c r="A1679" s="143"/>
      <c r="B1679" s="134"/>
      <c r="C1679" s="134"/>
      <c r="D1679" s="134"/>
      <c r="E1679" s="134"/>
      <c r="F1679" s="134"/>
      <c r="G1679" s="134"/>
      <c r="H1679" s="134"/>
      <c r="J1679" s="134"/>
      <c r="K1679" s="135"/>
      <c r="L1679" s="136"/>
      <c r="M1679" s="144"/>
      <c r="T1679" s="52"/>
      <c r="V1679" s="134"/>
      <c r="W1679" s="134"/>
      <c r="X1679" s="134"/>
      <c r="Y1679" s="134"/>
      <c r="Z1679" s="134"/>
      <c r="AA1679" s="134"/>
      <c r="AB1679" s="134"/>
      <c r="AC1679" s="134"/>
      <c r="AD1679" s="134"/>
    </row>
    <row r="1680">
      <c r="A1680" s="143"/>
      <c r="B1680" s="134"/>
      <c r="C1680" s="134"/>
      <c r="D1680" s="134"/>
      <c r="E1680" s="134"/>
      <c r="F1680" s="134"/>
      <c r="G1680" s="134"/>
      <c r="H1680" s="134"/>
      <c r="J1680" s="134"/>
      <c r="K1680" s="135"/>
      <c r="L1680" s="136"/>
      <c r="M1680" s="144"/>
      <c r="T1680" s="52"/>
      <c r="V1680" s="134"/>
      <c r="W1680" s="134"/>
      <c r="X1680" s="134"/>
      <c r="Y1680" s="134"/>
      <c r="Z1680" s="134"/>
      <c r="AA1680" s="134"/>
      <c r="AB1680" s="134"/>
      <c r="AC1680" s="134"/>
      <c r="AD1680" s="134"/>
    </row>
    <row r="1681">
      <c r="A1681" s="143"/>
      <c r="B1681" s="134"/>
      <c r="C1681" s="134"/>
      <c r="D1681" s="134"/>
      <c r="E1681" s="134"/>
      <c r="F1681" s="134"/>
      <c r="G1681" s="134"/>
      <c r="H1681" s="134"/>
      <c r="J1681" s="134"/>
      <c r="K1681" s="135"/>
      <c r="L1681" s="136"/>
      <c r="M1681" s="144"/>
      <c r="T1681" s="52"/>
      <c r="V1681" s="134"/>
      <c r="W1681" s="134"/>
      <c r="X1681" s="134"/>
      <c r="Y1681" s="134"/>
      <c r="Z1681" s="134"/>
      <c r="AA1681" s="134"/>
      <c r="AB1681" s="134"/>
      <c r="AC1681" s="134"/>
      <c r="AD1681" s="134"/>
    </row>
    <row r="1682">
      <c r="A1682" s="143"/>
      <c r="B1682" s="134"/>
      <c r="C1682" s="134"/>
      <c r="D1682" s="134"/>
      <c r="E1682" s="134"/>
      <c r="F1682" s="134"/>
      <c r="G1682" s="134"/>
      <c r="H1682" s="134"/>
      <c r="J1682" s="134"/>
      <c r="K1682" s="135"/>
      <c r="L1682" s="136"/>
      <c r="M1682" s="144"/>
      <c r="T1682" s="52"/>
      <c r="V1682" s="134"/>
      <c r="W1682" s="134"/>
      <c r="X1682" s="134"/>
      <c r="Y1682" s="134"/>
      <c r="Z1682" s="134"/>
      <c r="AA1682" s="134"/>
      <c r="AB1682" s="134"/>
      <c r="AC1682" s="134"/>
      <c r="AD1682" s="134"/>
    </row>
    <row r="1683">
      <c r="A1683" s="143"/>
      <c r="B1683" s="134"/>
      <c r="C1683" s="134"/>
      <c r="D1683" s="134"/>
      <c r="E1683" s="134"/>
      <c r="F1683" s="134"/>
      <c r="G1683" s="134"/>
      <c r="H1683" s="134"/>
      <c r="J1683" s="134"/>
      <c r="K1683" s="135"/>
      <c r="L1683" s="136"/>
      <c r="M1683" s="144"/>
      <c r="T1683" s="52"/>
      <c r="V1683" s="134"/>
      <c r="W1683" s="134"/>
      <c r="X1683" s="134"/>
      <c r="Y1683" s="134"/>
      <c r="Z1683" s="134"/>
      <c r="AA1683" s="134"/>
      <c r="AB1683" s="134"/>
      <c r="AC1683" s="134"/>
      <c r="AD1683" s="134"/>
    </row>
    <row r="1684">
      <c r="A1684" s="143"/>
      <c r="B1684" s="134"/>
      <c r="C1684" s="134"/>
      <c r="D1684" s="134"/>
      <c r="E1684" s="134"/>
      <c r="F1684" s="134"/>
      <c r="G1684" s="134"/>
      <c r="H1684" s="134"/>
      <c r="J1684" s="134"/>
      <c r="K1684" s="135"/>
      <c r="L1684" s="136"/>
      <c r="M1684" s="144"/>
      <c r="T1684" s="52"/>
      <c r="V1684" s="134"/>
      <c r="W1684" s="134"/>
      <c r="X1684" s="134"/>
      <c r="Y1684" s="134"/>
      <c r="Z1684" s="134"/>
      <c r="AA1684" s="134"/>
      <c r="AB1684" s="134"/>
      <c r="AC1684" s="134"/>
      <c r="AD1684" s="134"/>
    </row>
    <row r="1685">
      <c r="A1685" s="143"/>
      <c r="B1685" s="134"/>
      <c r="C1685" s="134"/>
      <c r="D1685" s="134"/>
      <c r="E1685" s="134"/>
      <c r="F1685" s="134"/>
      <c r="G1685" s="134"/>
      <c r="H1685" s="134"/>
      <c r="J1685" s="134"/>
      <c r="K1685" s="135"/>
      <c r="L1685" s="136"/>
      <c r="M1685" s="144"/>
      <c r="T1685" s="52"/>
      <c r="V1685" s="134"/>
      <c r="W1685" s="134"/>
      <c r="X1685" s="134"/>
      <c r="Y1685" s="134"/>
      <c r="Z1685" s="134"/>
      <c r="AA1685" s="134"/>
      <c r="AB1685" s="134"/>
      <c r="AC1685" s="134"/>
      <c r="AD1685" s="134"/>
    </row>
    <row r="1686">
      <c r="A1686" s="143"/>
      <c r="B1686" s="134"/>
      <c r="C1686" s="134"/>
      <c r="D1686" s="134"/>
      <c r="E1686" s="134"/>
      <c r="F1686" s="134"/>
      <c r="G1686" s="134"/>
      <c r="H1686" s="134"/>
      <c r="J1686" s="134"/>
      <c r="K1686" s="135"/>
      <c r="L1686" s="136"/>
      <c r="M1686" s="144"/>
      <c r="T1686" s="52"/>
      <c r="V1686" s="134"/>
      <c r="W1686" s="134"/>
      <c r="X1686" s="134"/>
      <c r="Y1686" s="134"/>
      <c r="Z1686" s="134"/>
      <c r="AA1686" s="134"/>
      <c r="AB1686" s="134"/>
      <c r="AC1686" s="134"/>
      <c r="AD1686" s="134"/>
    </row>
    <row r="1687">
      <c r="A1687" s="143"/>
      <c r="B1687" s="134"/>
      <c r="C1687" s="134"/>
      <c r="D1687" s="134"/>
      <c r="E1687" s="134"/>
      <c r="F1687" s="134"/>
      <c r="G1687" s="134"/>
      <c r="H1687" s="134"/>
      <c r="J1687" s="134"/>
      <c r="K1687" s="135"/>
      <c r="L1687" s="136"/>
      <c r="M1687" s="144"/>
      <c r="T1687" s="52"/>
      <c r="V1687" s="134"/>
      <c r="W1687" s="134"/>
      <c r="X1687" s="134"/>
      <c r="Y1687" s="134"/>
      <c r="Z1687" s="134"/>
      <c r="AA1687" s="134"/>
      <c r="AB1687" s="134"/>
      <c r="AC1687" s="134"/>
      <c r="AD1687" s="134"/>
    </row>
    <row r="1688">
      <c r="A1688" s="143"/>
      <c r="B1688" s="134"/>
      <c r="C1688" s="134"/>
      <c r="D1688" s="134"/>
      <c r="E1688" s="134"/>
      <c r="F1688" s="134"/>
      <c r="G1688" s="134"/>
      <c r="H1688" s="134"/>
      <c r="J1688" s="134"/>
      <c r="K1688" s="135"/>
      <c r="L1688" s="136"/>
      <c r="M1688" s="144"/>
      <c r="T1688" s="52"/>
      <c r="V1688" s="134"/>
      <c r="W1688" s="134"/>
      <c r="X1688" s="134"/>
      <c r="Y1688" s="134"/>
      <c r="Z1688" s="134"/>
      <c r="AA1688" s="134"/>
      <c r="AB1688" s="134"/>
      <c r="AC1688" s="134"/>
      <c r="AD1688" s="134"/>
    </row>
    <row r="1689">
      <c r="A1689" s="143"/>
      <c r="B1689" s="134"/>
      <c r="C1689" s="134"/>
      <c r="D1689" s="134"/>
      <c r="E1689" s="134"/>
      <c r="F1689" s="134"/>
      <c r="G1689" s="134"/>
      <c r="H1689" s="134"/>
      <c r="J1689" s="134"/>
      <c r="K1689" s="135"/>
      <c r="L1689" s="136"/>
      <c r="M1689" s="144"/>
      <c r="T1689" s="52"/>
      <c r="V1689" s="134"/>
      <c r="W1689" s="134"/>
      <c r="X1689" s="134"/>
      <c r="Y1689" s="134"/>
      <c r="Z1689" s="134"/>
      <c r="AA1689" s="134"/>
      <c r="AB1689" s="134"/>
      <c r="AC1689" s="134"/>
      <c r="AD1689" s="134"/>
    </row>
    <row r="1690">
      <c r="A1690" s="143"/>
      <c r="B1690" s="134"/>
      <c r="C1690" s="134"/>
      <c r="D1690" s="134"/>
      <c r="E1690" s="134"/>
      <c r="F1690" s="134"/>
      <c r="G1690" s="134"/>
      <c r="H1690" s="134"/>
      <c r="J1690" s="134"/>
      <c r="K1690" s="135"/>
      <c r="L1690" s="136"/>
      <c r="M1690" s="144"/>
      <c r="T1690" s="52"/>
      <c r="V1690" s="134"/>
      <c r="W1690" s="134"/>
      <c r="X1690" s="134"/>
      <c r="Y1690" s="134"/>
      <c r="Z1690" s="134"/>
      <c r="AA1690" s="134"/>
      <c r="AB1690" s="134"/>
      <c r="AC1690" s="134"/>
      <c r="AD1690" s="134"/>
    </row>
    <row r="1691">
      <c r="A1691" s="143"/>
      <c r="B1691" s="134"/>
      <c r="C1691" s="134"/>
      <c r="D1691" s="134"/>
      <c r="E1691" s="134"/>
      <c r="F1691" s="134"/>
      <c r="G1691" s="134"/>
      <c r="H1691" s="134"/>
      <c r="J1691" s="134"/>
      <c r="K1691" s="135"/>
      <c r="L1691" s="136"/>
      <c r="M1691" s="144"/>
      <c r="T1691" s="52"/>
      <c r="V1691" s="134"/>
      <c r="W1691" s="134"/>
      <c r="X1691" s="134"/>
      <c r="Y1691" s="134"/>
      <c r="Z1691" s="134"/>
      <c r="AA1691" s="134"/>
      <c r="AB1691" s="134"/>
      <c r="AC1691" s="134"/>
      <c r="AD1691" s="134"/>
    </row>
    <row r="1692">
      <c r="A1692" s="143"/>
      <c r="B1692" s="134"/>
      <c r="C1692" s="134"/>
      <c r="D1692" s="134"/>
      <c r="E1692" s="134"/>
      <c r="F1692" s="134"/>
      <c r="G1692" s="134"/>
      <c r="H1692" s="134"/>
      <c r="J1692" s="134"/>
      <c r="K1692" s="135"/>
      <c r="L1692" s="136"/>
      <c r="M1692" s="144"/>
      <c r="T1692" s="52"/>
      <c r="V1692" s="134"/>
      <c r="W1692" s="134"/>
      <c r="X1692" s="134"/>
      <c r="Y1692" s="134"/>
      <c r="Z1692" s="134"/>
      <c r="AA1692" s="134"/>
      <c r="AB1692" s="134"/>
      <c r="AC1692" s="134"/>
      <c r="AD1692" s="134"/>
    </row>
    <row r="1693">
      <c r="A1693" s="143"/>
      <c r="B1693" s="134"/>
      <c r="C1693" s="134"/>
      <c r="D1693" s="134"/>
      <c r="E1693" s="134"/>
      <c r="F1693" s="134"/>
      <c r="G1693" s="134"/>
      <c r="H1693" s="134"/>
      <c r="J1693" s="134"/>
      <c r="K1693" s="135"/>
      <c r="L1693" s="136"/>
      <c r="M1693" s="144"/>
      <c r="T1693" s="52"/>
      <c r="V1693" s="134"/>
      <c r="W1693" s="134"/>
      <c r="X1693" s="134"/>
      <c r="Y1693" s="134"/>
      <c r="Z1693" s="134"/>
      <c r="AA1693" s="134"/>
      <c r="AB1693" s="134"/>
      <c r="AC1693" s="134"/>
      <c r="AD1693" s="134"/>
    </row>
    <row r="1694">
      <c r="A1694" s="143"/>
      <c r="B1694" s="134"/>
      <c r="C1694" s="134"/>
      <c r="D1694" s="134"/>
      <c r="E1694" s="134"/>
      <c r="F1694" s="134"/>
      <c r="G1694" s="134"/>
      <c r="H1694" s="134"/>
      <c r="J1694" s="134"/>
      <c r="K1694" s="135"/>
      <c r="L1694" s="136"/>
      <c r="M1694" s="144"/>
      <c r="T1694" s="52"/>
      <c r="V1694" s="134"/>
      <c r="W1694" s="134"/>
      <c r="X1694" s="134"/>
      <c r="Y1694" s="134"/>
      <c r="Z1694" s="134"/>
      <c r="AA1694" s="134"/>
      <c r="AB1694" s="134"/>
      <c r="AC1694" s="134"/>
      <c r="AD1694" s="134"/>
    </row>
    <row r="1695">
      <c r="A1695" s="143"/>
      <c r="B1695" s="134"/>
      <c r="C1695" s="134"/>
      <c r="D1695" s="134"/>
      <c r="E1695" s="134"/>
      <c r="F1695" s="134"/>
      <c r="G1695" s="134"/>
      <c r="H1695" s="134"/>
      <c r="J1695" s="134"/>
      <c r="K1695" s="135"/>
      <c r="L1695" s="136"/>
      <c r="M1695" s="144"/>
      <c r="T1695" s="52"/>
      <c r="V1695" s="134"/>
      <c r="W1695" s="134"/>
      <c r="X1695" s="134"/>
      <c r="Y1695" s="134"/>
      <c r="Z1695" s="134"/>
      <c r="AA1695" s="134"/>
      <c r="AB1695" s="134"/>
      <c r="AC1695" s="134"/>
      <c r="AD1695" s="134"/>
    </row>
    <row r="1696">
      <c r="A1696" s="143"/>
      <c r="B1696" s="134"/>
      <c r="C1696" s="134"/>
      <c r="D1696" s="134"/>
      <c r="E1696" s="134"/>
      <c r="F1696" s="134"/>
      <c r="G1696" s="134"/>
      <c r="H1696" s="134"/>
      <c r="J1696" s="134"/>
      <c r="K1696" s="135"/>
      <c r="L1696" s="136"/>
      <c r="M1696" s="144"/>
      <c r="T1696" s="52"/>
      <c r="V1696" s="134"/>
      <c r="W1696" s="134"/>
      <c r="X1696" s="134"/>
      <c r="Y1696" s="134"/>
      <c r="Z1696" s="134"/>
      <c r="AA1696" s="134"/>
      <c r="AB1696" s="134"/>
      <c r="AC1696" s="134"/>
      <c r="AD1696" s="134"/>
    </row>
    <row r="1697">
      <c r="A1697" s="143"/>
      <c r="B1697" s="134"/>
      <c r="C1697" s="134"/>
      <c r="D1697" s="134"/>
      <c r="E1697" s="134"/>
      <c r="F1697" s="134"/>
      <c r="G1697" s="134"/>
      <c r="H1697" s="134"/>
      <c r="J1697" s="134"/>
      <c r="K1697" s="135"/>
      <c r="L1697" s="136"/>
      <c r="M1697" s="144"/>
      <c r="T1697" s="52"/>
      <c r="V1697" s="134"/>
      <c r="W1697" s="134"/>
      <c r="X1697" s="134"/>
      <c r="Y1697" s="134"/>
      <c r="Z1697" s="134"/>
      <c r="AA1697" s="134"/>
      <c r="AB1697" s="134"/>
      <c r="AC1697" s="134"/>
      <c r="AD1697" s="134"/>
    </row>
    <row r="1698">
      <c r="A1698" s="143"/>
      <c r="B1698" s="134"/>
      <c r="C1698" s="134"/>
      <c r="D1698" s="134"/>
      <c r="E1698" s="134"/>
      <c r="F1698" s="134"/>
      <c r="G1698" s="134"/>
      <c r="H1698" s="134"/>
      <c r="J1698" s="134"/>
      <c r="K1698" s="135"/>
      <c r="L1698" s="136"/>
      <c r="M1698" s="144"/>
      <c r="T1698" s="52"/>
      <c r="V1698" s="134"/>
      <c r="W1698" s="134"/>
      <c r="X1698" s="134"/>
      <c r="Y1698" s="134"/>
      <c r="Z1698" s="134"/>
      <c r="AA1698" s="134"/>
      <c r="AB1698" s="134"/>
      <c r="AC1698" s="134"/>
      <c r="AD1698" s="134"/>
    </row>
    <row r="1699">
      <c r="A1699" s="143"/>
      <c r="B1699" s="134"/>
      <c r="C1699" s="134"/>
      <c r="D1699" s="134"/>
      <c r="E1699" s="134"/>
      <c r="F1699" s="134"/>
      <c r="G1699" s="134"/>
      <c r="H1699" s="134"/>
      <c r="J1699" s="134"/>
      <c r="K1699" s="135"/>
      <c r="L1699" s="136"/>
      <c r="M1699" s="144"/>
      <c r="T1699" s="52"/>
      <c r="V1699" s="134"/>
      <c r="W1699" s="134"/>
      <c r="X1699" s="134"/>
      <c r="Y1699" s="134"/>
      <c r="Z1699" s="134"/>
      <c r="AA1699" s="134"/>
      <c r="AB1699" s="134"/>
      <c r="AC1699" s="134"/>
      <c r="AD1699" s="134"/>
    </row>
    <row r="1700">
      <c r="A1700" s="143"/>
      <c r="B1700" s="134"/>
      <c r="C1700" s="134"/>
      <c r="D1700" s="134"/>
      <c r="E1700" s="134"/>
      <c r="F1700" s="134"/>
      <c r="G1700" s="134"/>
      <c r="H1700" s="134"/>
      <c r="J1700" s="134"/>
      <c r="K1700" s="135"/>
      <c r="L1700" s="136"/>
      <c r="M1700" s="144"/>
      <c r="T1700" s="52"/>
      <c r="V1700" s="134"/>
      <c r="W1700" s="134"/>
      <c r="X1700" s="134"/>
      <c r="Y1700" s="134"/>
      <c r="Z1700" s="134"/>
      <c r="AA1700" s="134"/>
      <c r="AB1700" s="134"/>
      <c r="AC1700" s="134"/>
      <c r="AD1700" s="134"/>
    </row>
    <row r="1701">
      <c r="A1701" s="143"/>
      <c r="B1701" s="134"/>
      <c r="C1701" s="134"/>
      <c r="D1701" s="134"/>
      <c r="E1701" s="134"/>
      <c r="F1701" s="134"/>
      <c r="G1701" s="134"/>
      <c r="H1701" s="134"/>
      <c r="J1701" s="134"/>
      <c r="K1701" s="135"/>
      <c r="L1701" s="136"/>
      <c r="M1701" s="144"/>
      <c r="T1701" s="52"/>
      <c r="V1701" s="134"/>
      <c r="W1701" s="134"/>
      <c r="X1701" s="134"/>
      <c r="Y1701" s="134"/>
      <c r="Z1701" s="134"/>
      <c r="AA1701" s="134"/>
      <c r="AB1701" s="134"/>
      <c r="AC1701" s="134"/>
      <c r="AD1701" s="134"/>
    </row>
    <row r="1702">
      <c r="A1702" s="143"/>
      <c r="B1702" s="134"/>
      <c r="C1702" s="134"/>
      <c r="D1702" s="134"/>
      <c r="E1702" s="134"/>
      <c r="F1702" s="134"/>
      <c r="G1702" s="134"/>
      <c r="H1702" s="134"/>
      <c r="J1702" s="134"/>
      <c r="K1702" s="135"/>
      <c r="L1702" s="136"/>
      <c r="M1702" s="144"/>
      <c r="T1702" s="52"/>
      <c r="V1702" s="134"/>
      <c r="W1702" s="134"/>
      <c r="X1702" s="134"/>
      <c r="Y1702" s="134"/>
      <c r="Z1702" s="134"/>
      <c r="AA1702" s="134"/>
      <c r="AB1702" s="134"/>
      <c r="AC1702" s="134"/>
      <c r="AD1702" s="134"/>
    </row>
    <row r="1703">
      <c r="A1703" s="143"/>
      <c r="B1703" s="134"/>
      <c r="C1703" s="134"/>
      <c r="D1703" s="134"/>
      <c r="E1703" s="134"/>
      <c r="F1703" s="134"/>
      <c r="G1703" s="134"/>
      <c r="H1703" s="134"/>
      <c r="J1703" s="134"/>
      <c r="K1703" s="135"/>
      <c r="L1703" s="136"/>
      <c r="M1703" s="144"/>
      <c r="T1703" s="52"/>
      <c r="V1703" s="134"/>
      <c r="W1703" s="134"/>
      <c r="X1703" s="134"/>
      <c r="Y1703" s="134"/>
      <c r="Z1703" s="134"/>
      <c r="AA1703" s="134"/>
      <c r="AB1703" s="134"/>
      <c r="AC1703" s="134"/>
      <c r="AD1703" s="134"/>
    </row>
    <row r="1704">
      <c r="A1704" s="143"/>
      <c r="B1704" s="134"/>
      <c r="C1704" s="134"/>
      <c r="D1704" s="134"/>
      <c r="E1704" s="134"/>
      <c r="F1704" s="134"/>
      <c r="G1704" s="134"/>
      <c r="H1704" s="134"/>
      <c r="J1704" s="134"/>
      <c r="K1704" s="135"/>
      <c r="L1704" s="136"/>
      <c r="M1704" s="144"/>
      <c r="T1704" s="52"/>
      <c r="V1704" s="134"/>
      <c r="W1704" s="134"/>
      <c r="X1704" s="134"/>
      <c r="Y1704" s="134"/>
      <c r="Z1704" s="134"/>
      <c r="AA1704" s="134"/>
      <c r="AB1704" s="134"/>
      <c r="AC1704" s="134"/>
      <c r="AD1704" s="134"/>
    </row>
    <row r="1705">
      <c r="A1705" s="143"/>
      <c r="B1705" s="134"/>
      <c r="C1705" s="134"/>
      <c r="D1705" s="134"/>
      <c r="E1705" s="134"/>
      <c r="F1705" s="134"/>
      <c r="G1705" s="134"/>
      <c r="H1705" s="134"/>
      <c r="J1705" s="134"/>
      <c r="K1705" s="135"/>
      <c r="L1705" s="136"/>
      <c r="M1705" s="144"/>
      <c r="T1705" s="52"/>
      <c r="V1705" s="134"/>
      <c r="W1705" s="134"/>
      <c r="X1705" s="134"/>
      <c r="Y1705" s="134"/>
      <c r="Z1705" s="134"/>
      <c r="AA1705" s="134"/>
      <c r="AB1705" s="134"/>
      <c r="AC1705" s="134"/>
      <c r="AD1705" s="134"/>
    </row>
    <row r="1706">
      <c r="A1706" s="143"/>
      <c r="B1706" s="134"/>
      <c r="C1706" s="134"/>
      <c r="D1706" s="134"/>
      <c r="E1706" s="134"/>
      <c r="F1706" s="134"/>
      <c r="G1706" s="134"/>
      <c r="H1706" s="134"/>
      <c r="J1706" s="134"/>
      <c r="K1706" s="135"/>
      <c r="L1706" s="136"/>
      <c r="M1706" s="144"/>
      <c r="T1706" s="52"/>
      <c r="V1706" s="134"/>
      <c r="W1706" s="134"/>
      <c r="X1706" s="134"/>
      <c r="Y1706" s="134"/>
      <c r="Z1706" s="134"/>
      <c r="AA1706" s="134"/>
      <c r="AB1706" s="134"/>
      <c r="AC1706" s="134"/>
      <c r="AD1706" s="134"/>
    </row>
    <row r="1707">
      <c r="A1707" s="143"/>
      <c r="B1707" s="134"/>
      <c r="C1707" s="134"/>
      <c r="D1707" s="134"/>
      <c r="E1707" s="134"/>
      <c r="F1707" s="134"/>
      <c r="G1707" s="134"/>
      <c r="H1707" s="134"/>
      <c r="J1707" s="134"/>
      <c r="K1707" s="135"/>
      <c r="L1707" s="136"/>
      <c r="M1707" s="144"/>
      <c r="T1707" s="52"/>
      <c r="V1707" s="134"/>
      <c r="W1707" s="134"/>
      <c r="X1707" s="134"/>
      <c r="Y1707" s="134"/>
      <c r="Z1707" s="134"/>
      <c r="AA1707" s="134"/>
      <c r="AB1707" s="134"/>
      <c r="AC1707" s="134"/>
      <c r="AD1707" s="134"/>
    </row>
    <row r="1708">
      <c r="A1708" s="143"/>
      <c r="B1708" s="134"/>
      <c r="C1708" s="134"/>
      <c r="D1708" s="134"/>
      <c r="E1708" s="134"/>
      <c r="F1708" s="134"/>
      <c r="G1708" s="134"/>
      <c r="H1708" s="134"/>
      <c r="J1708" s="134"/>
      <c r="K1708" s="135"/>
      <c r="L1708" s="136"/>
      <c r="M1708" s="144"/>
      <c r="T1708" s="52"/>
      <c r="V1708" s="134"/>
      <c r="W1708" s="134"/>
      <c r="X1708" s="134"/>
      <c r="Y1708" s="134"/>
      <c r="Z1708" s="134"/>
      <c r="AA1708" s="134"/>
      <c r="AB1708" s="134"/>
      <c r="AC1708" s="134"/>
      <c r="AD1708" s="134"/>
    </row>
    <row r="1709">
      <c r="A1709" s="143"/>
      <c r="B1709" s="134"/>
      <c r="C1709" s="134"/>
      <c r="D1709" s="134"/>
      <c r="E1709" s="134"/>
      <c r="F1709" s="134"/>
      <c r="G1709" s="134"/>
      <c r="H1709" s="134"/>
      <c r="J1709" s="134"/>
      <c r="K1709" s="135"/>
      <c r="L1709" s="136"/>
      <c r="M1709" s="144"/>
      <c r="T1709" s="52"/>
      <c r="V1709" s="134"/>
      <c r="W1709" s="134"/>
      <c r="X1709" s="134"/>
      <c r="Y1709" s="134"/>
      <c r="Z1709" s="134"/>
      <c r="AA1709" s="134"/>
      <c r="AB1709" s="134"/>
      <c r="AC1709" s="134"/>
      <c r="AD1709" s="134"/>
    </row>
    <row r="1710">
      <c r="A1710" s="143"/>
      <c r="B1710" s="134"/>
      <c r="C1710" s="134"/>
      <c r="D1710" s="134"/>
      <c r="E1710" s="134"/>
      <c r="F1710" s="134"/>
      <c r="G1710" s="134"/>
      <c r="H1710" s="134"/>
      <c r="J1710" s="134"/>
      <c r="K1710" s="135"/>
      <c r="L1710" s="136"/>
      <c r="M1710" s="144"/>
      <c r="T1710" s="52"/>
      <c r="V1710" s="134"/>
      <c r="W1710" s="134"/>
      <c r="X1710" s="134"/>
      <c r="Y1710" s="134"/>
      <c r="Z1710" s="134"/>
      <c r="AA1710" s="134"/>
      <c r="AB1710" s="134"/>
      <c r="AC1710" s="134"/>
      <c r="AD1710" s="134"/>
    </row>
    <row r="1711">
      <c r="A1711" s="143"/>
      <c r="B1711" s="134"/>
      <c r="C1711" s="134"/>
      <c r="D1711" s="134"/>
      <c r="E1711" s="134"/>
      <c r="F1711" s="134"/>
      <c r="G1711" s="134"/>
      <c r="H1711" s="134"/>
      <c r="J1711" s="134"/>
      <c r="K1711" s="135"/>
      <c r="L1711" s="136"/>
      <c r="M1711" s="144"/>
      <c r="T1711" s="52"/>
      <c r="V1711" s="134"/>
      <c r="W1711" s="134"/>
      <c r="X1711" s="134"/>
      <c r="Y1711" s="134"/>
      <c r="Z1711" s="134"/>
      <c r="AA1711" s="134"/>
      <c r="AB1711" s="134"/>
      <c r="AC1711" s="134"/>
      <c r="AD1711" s="134"/>
    </row>
    <row r="1712">
      <c r="A1712" s="143"/>
      <c r="B1712" s="134"/>
      <c r="C1712" s="134"/>
      <c r="D1712" s="134"/>
      <c r="E1712" s="134"/>
      <c r="F1712" s="134"/>
      <c r="G1712" s="134"/>
      <c r="H1712" s="134"/>
      <c r="J1712" s="134"/>
      <c r="K1712" s="135"/>
      <c r="L1712" s="136"/>
      <c r="M1712" s="144"/>
      <c r="T1712" s="52"/>
      <c r="V1712" s="134"/>
      <c r="W1712" s="134"/>
      <c r="X1712" s="134"/>
      <c r="Y1712" s="134"/>
      <c r="Z1712" s="134"/>
      <c r="AA1712" s="134"/>
      <c r="AB1712" s="134"/>
      <c r="AC1712" s="134"/>
      <c r="AD1712" s="134"/>
    </row>
    <row r="1713">
      <c r="A1713" s="143"/>
      <c r="B1713" s="134"/>
      <c r="C1713" s="134"/>
      <c r="D1713" s="134"/>
      <c r="E1713" s="134"/>
      <c r="F1713" s="134"/>
      <c r="G1713" s="134"/>
      <c r="H1713" s="134"/>
      <c r="J1713" s="134"/>
      <c r="K1713" s="135"/>
      <c r="L1713" s="136"/>
      <c r="M1713" s="144"/>
      <c r="T1713" s="52"/>
      <c r="V1713" s="134"/>
      <c r="W1713" s="134"/>
      <c r="X1713" s="134"/>
      <c r="Y1713" s="134"/>
      <c r="Z1713" s="134"/>
      <c r="AA1713" s="134"/>
      <c r="AB1713" s="134"/>
      <c r="AC1713" s="134"/>
      <c r="AD1713" s="134"/>
    </row>
    <row r="1714">
      <c r="A1714" s="143"/>
      <c r="B1714" s="134"/>
      <c r="C1714" s="134"/>
      <c r="D1714" s="134"/>
      <c r="E1714" s="134"/>
      <c r="F1714" s="134"/>
      <c r="G1714" s="134"/>
      <c r="H1714" s="134"/>
      <c r="J1714" s="134"/>
      <c r="K1714" s="135"/>
      <c r="L1714" s="136"/>
      <c r="M1714" s="144"/>
      <c r="T1714" s="52"/>
      <c r="V1714" s="134"/>
      <c r="W1714" s="134"/>
      <c r="X1714" s="134"/>
      <c r="Y1714" s="134"/>
      <c r="Z1714" s="134"/>
      <c r="AA1714" s="134"/>
      <c r="AB1714" s="134"/>
      <c r="AC1714" s="134"/>
      <c r="AD1714" s="134"/>
    </row>
    <row r="1715">
      <c r="A1715" s="143"/>
      <c r="B1715" s="134"/>
      <c r="C1715" s="134"/>
      <c r="D1715" s="134"/>
      <c r="E1715" s="134"/>
      <c r="F1715" s="134"/>
      <c r="G1715" s="134"/>
      <c r="H1715" s="134"/>
      <c r="J1715" s="134"/>
      <c r="K1715" s="135"/>
      <c r="L1715" s="136"/>
      <c r="M1715" s="144"/>
      <c r="T1715" s="52"/>
      <c r="V1715" s="134"/>
      <c r="W1715" s="134"/>
      <c r="X1715" s="134"/>
      <c r="Y1715" s="134"/>
      <c r="Z1715" s="134"/>
      <c r="AA1715" s="134"/>
      <c r="AB1715" s="134"/>
      <c r="AC1715" s="134"/>
      <c r="AD1715" s="134"/>
    </row>
    <row r="1716">
      <c r="A1716" s="143"/>
      <c r="B1716" s="134"/>
      <c r="C1716" s="134"/>
      <c r="D1716" s="134"/>
      <c r="E1716" s="134"/>
      <c r="F1716" s="134"/>
      <c r="G1716" s="134"/>
      <c r="H1716" s="134"/>
      <c r="J1716" s="134"/>
      <c r="K1716" s="135"/>
      <c r="L1716" s="136"/>
      <c r="M1716" s="144"/>
      <c r="T1716" s="52"/>
      <c r="V1716" s="134"/>
      <c r="W1716" s="134"/>
      <c r="X1716" s="134"/>
      <c r="Y1716" s="134"/>
      <c r="Z1716" s="134"/>
      <c r="AA1716" s="134"/>
      <c r="AB1716" s="134"/>
      <c r="AC1716" s="134"/>
      <c r="AD1716" s="134"/>
    </row>
    <row r="1717">
      <c r="A1717" s="143"/>
      <c r="B1717" s="134"/>
      <c r="C1717" s="134"/>
      <c r="D1717" s="134"/>
      <c r="E1717" s="134"/>
      <c r="F1717" s="134"/>
      <c r="G1717" s="134"/>
      <c r="H1717" s="134"/>
      <c r="J1717" s="134"/>
      <c r="K1717" s="135"/>
      <c r="L1717" s="136"/>
      <c r="M1717" s="144"/>
      <c r="T1717" s="52"/>
      <c r="V1717" s="134"/>
      <c r="W1717" s="134"/>
      <c r="X1717" s="134"/>
      <c r="Y1717" s="134"/>
      <c r="Z1717" s="134"/>
      <c r="AA1717" s="134"/>
      <c r="AB1717" s="134"/>
      <c r="AC1717" s="134"/>
      <c r="AD1717" s="134"/>
    </row>
    <row r="1718">
      <c r="A1718" s="143"/>
      <c r="B1718" s="134"/>
      <c r="C1718" s="134"/>
      <c r="D1718" s="134"/>
      <c r="E1718" s="134"/>
      <c r="F1718" s="134"/>
      <c r="G1718" s="134"/>
      <c r="H1718" s="134"/>
      <c r="J1718" s="134"/>
      <c r="K1718" s="135"/>
      <c r="L1718" s="136"/>
      <c r="M1718" s="144"/>
      <c r="T1718" s="52"/>
      <c r="V1718" s="134"/>
      <c r="W1718" s="134"/>
      <c r="X1718" s="134"/>
      <c r="Y1718" s="134"/>
      <c r="Z1718" s="134"/>
      <c r="AA1718" s="134"/>
      <c r="AB1718" s="134"/>
      <c r="AC1718" s="134"/>
      <c r="AD1718" s="134"/>
    </row>
    <row r="1719">
      <c r="A1719" s="143"/>
      <c r="B1719" s="134"/>
      <c r="C1719" s="134"/>
      <c r="D1719" s="134"/>
      <c r="E1719" s="134"/>
      <c r="F1719" s="134"/>
      <c r="G1719" s="134"/>
      <c r="H1719" s="134"/>
      <c r="J1719" s="134"/>
      <c r="K1719" s="135"/>
      <c r="L1719" s="136"/>
      <c r="M1719" s="144"/>
      <c r="T1719" s="52"/>
      <c r="V1719" s="134"/>
      <c r="W1719" s="134"/>
      <c r="X1719" s="134"/>
      <c r="Y1719" s="134"/>
      <c r="Z1719" s="134"/>
      <c r="AA1719" s="134"/>
      <c r="AB1719" s="134"/>
      <c r="AC1719" s="134"/>
      <c r="AD1719" s="134"/>
    </row>
    <row r="1720">
      <c r="A1720" s="143"/>
      <c r="B1720" s="134"/>
      <c r="C1720" s="134"/>
      <c r="D1720" s="134"/>
      <c r="E1720" s="134"/>
      <c r="F1720" s="134"/>
      <c r="G1720" s="134"/>
      <c r="H1720" s="134"/>
      <c r="J1720" s="134"/>
      <c r="K1720" s="135"/>
      <c r="L1720" s="136"/>
      <c r="M1720" s="144"/>
      <c r="T1720" s="52"/>
      <c r="V1720" s="134"/>
      <c r="W1720" s="134"/>
      <c r="X1720" s="134"/>
      <c r="Y1720" s="134"/>
      <c r="Z1720" s="134"/>
      <c r="AA1720" s="134"/>
      <c r="AB1720" s="134"/>
      <c r="AC1720" s="134"/>
      <c r="AD1720" s="134"/>
    </row>
    <row r="1721">
      <c r="A1721" s="143"/>
      <c r="B1721" s="134"/>
      <c r="C1721" s="134"/>
      <c r="D1721" s="134"/>
      <c r="E1721" s="134"/>
      <c r="F1721" s="134"/>
      <c r="G1721" s="134"/>
      <c r="H1721" s="134"/>
      <c r="J1721" s="134"/>
      <c r="K1721" s="135"/>
      <c r="L1721" s="136"/>
      <c r="M1721" s="144"/>
      <c r="T1721" s="52"/>
      <c r="V1721" s="134"/>
      <c r="W1721" s="134"/>
      <c r="X1721" s="134"/>
      <c r="Y1721" s="134"/>
      <c r="Z1721" s="134"/>
      <c r="AA1721" s="134"/>
      <c r="AB1721" s="134"/>
      <c r="AC1721" s="134"/>
      <c r="AD1721" s="134"/>
    </row>
    <row r="1722">
      <c r="A1722" s="143"/>
      <c r="B1722" s="134"/>
      <c r="C1722" s="134"/>
      <c r="D1722" s="134"/>
      <c r="E1722" s="134"/>
      <c r="F1722" s="134"/>
      <c r="G1722" s="134"/>
      <c r="H1722" s="134"/>
      <c r="J1722" s="134"/>
      <c r="K1722" s="135"/>
      <c r="L1722" s="136"/>
      <c r="M1722" s="144"/>
      <c r="T1722" s="52"/>
      <c r="V1722" s="134"/>
      <c r="W1722" s="134"/>
      <c r="X1722" s="134"/>
      <c r="Y1722" s="134"/>
      <c r="Z1722" s="134"/>
      <c r="AA1722" s="134"/>
      <c r="AB1722" s="134"/>
      <c r="AC1722" s="134"/>
      <c r="AD1722" s="134"/>
    </row>
    <row r="1723">
      <c r="A1723" s="143"/>
      <c r="B1723" s="134"/>
      <c r="C1723" s="134"/>
      <c r="D1723" s="134"/>
      <c r="E1723" s="134"/>
      <c r="F1723" s="134"/>
      <c r="G1723" s="134"/>
      <c r="H1723" s="134"/>
      <c r="J1723" s="134"/>
      <c r="K1723" s="135"/>
      <c r="L1723" s="136"/>
      <c r="M1723" s="144"/>
      <c r="T1723" s="52"/>
      <c r="V1723" s="134"/>
      <c r="W1723" s="134"/>
      <c r="X1723" s="134"/>
      <c r="Y1723" s="134"/>
      <c r="Z1723" s="134"/>
      <c r="AA1723" s="134"/>
      <c r="AB1723" s="134"/>
      <c r="AC1723" s="134"/>
      <c r="AD1723" s="134"/>
    </row>
    <row r="1724">
      <c r="A1724" s="143"/>
      <c r="B1724" s="134"/>
      <c r="C1724" s="134"/>
      <c r="D1724" s="134"/>
      <c r="E1724" s="134"/>
      <c r="F1724" s="134"/>
      <c r="G1724" s="134"/>
      <c r="H1724" s="134"/>
      <c r="J1724" s="134"/>
      <c r="K1724" s="135"/>
      <c r="L1724" s="136"/>
      <c r="M1724" s="144"/>
      <c r="T1724" s="52"/>
      <c r="V1724" s="134"/>
      <c r="W1724" s="134"/>
      <c r="X1724" s="134"/>
      <c r="Y1724" s="134"/>
      <c r="Z1724" s="134"/>
      <c r="AA1724" s="134"/>
      <c r="AB1724" s="134"/>
      <c r="AC1724" s="134"/>
      <c r="AD1724" s="134"/>
    </row>
    <row r="1725">
      <c r="A1725" s="143"/>
      <c r="B1725" s="134"/>
      <c r="C1725" s="134"/>
      <c r="D1725" s="134"/>
      <c r="E1725" s="134"/>
      <c r="F1725" s="134"/>
      <c r="G1725" s="134"/>
      <c r="H1725" s="134"/>
      <c r="J1725" s="134"/>
      <c r="K1725" s="135"/>
      <c r="L1725" s="136"/>
      <c r="M1725" s="144"/>
      <c r="T1725" s="52"/>
      <c r="V1725" s="134"/>
      <c r="W1725" s="134"/>
      <c r="X1725" s="134"/>
      <c r="Y1725" s="134"/>
      <c r="Z1725" s="134"/>
      <c r="AA1725" s="134"/>
      <c r="AB1725" s="134"/>
      <c r="AC1725" s="134"/>
      <c r="AD1725" s="134"/>
    </row>
    <row r="1726">
      <c r="A1726" s="143"/>
      <c r="B1726" s="134"/>
      <c r="C1726" s="134"/>
      <c r="D1726" s="134"/>
      <c r="E1726" s="134"/>
      <c r="F1726" s="134"/>
      <c r="G1726" s="134"/>
      <c r="H1726" s="134"/>
      <c r="J1726" s="134"/>
      <c r="K1726" s="135"/>
      <c r="L1726" s="136"/>
      <c r="M1726" s="144"/>
      <c r="T1726" s="52"/>
      <c r="V1726" s="134"/>
      <c r="W1726" s="134"/>
      <c r="X1726" s="134"/>
      <c r="Y1726" s="134"/>
      <c r="Z1726" s="134"/>
      <c r="AA1726" s="134"/>
      <c r="AB1726" s="134"/>
      <c r="AC1726" s="134"/>
      <c r="AD1726" s="134"/>
    </row>
    <row r="1727">
      <c r="A1727" s="143"/>
      <c r="B1727" s="134"/>
      <c r="C1727" s="134"/>
      <c r="D1727" s="134"/>
      <c r="E1727" s="134"/>
      <c r="F1727" s="134"/>
      <c r="G1727" s="134"/>
      <c r="H1727" s="134"/>
      <c r="J1727" s="134"/>
      <c r="K1727" s="135"/>
      <c r="L1727" s="136"/>
      <c r="M1727" s="144"/>
      <c r="T1727" s="52"/>
      <c r="V1727" s="134"/>
      <c r="W1727" s="134"/>
      <c r="X1727" s="134"/>
      <c r="Y1727" s="134"/>
      <c r="Z1727" s="134"/>
      <c r="AA1727" s="134"/>
      <c r="AB1727" s="134"/>
      <c r="AC1727" s="134"/>
      <c r="AD1727" s="134"/>
    </row>
    <row r="1728">
      <c r="A1728" s="143"/>
      <c r="B1728" s="134"/>
      <c r="C1728" s="134"/>
      <c r="D1728" s="134"/>
      <c r="E1728" s="134"/>
      <c r="F1728" s="134"/>
      <c r="G1728" s="134"/>
      <c r="H1728" s="134"/>
      <c r="J1728" s="134"/>
      <c r="K1728" s="135"/>
      <c r="L1728" s="136"/>
      <c r="M1728" s="144"/>
      <c r="T1728" s="52"/>
      <c r="V1728" s="134"/>
      <c r="W1728" s="134"/>
      <c r="X1728" s="134"/>
      <c r="Y1728" s="134"/>
      <c r="Z1728" s="134"/>
      <c r="AA1728" s="134"/>
      <c r="AB1728" s="134"/>
      <c r="AC1728" s="134"/>
      <c r="AD1728" s="134"/>
    </row>
    <row r="1729">
      <c r="A1729" s="143"/>
      <c r="B1729" s="134"/>
      <c r="C1729" s="134"/>
      <c r="D1729" s="134"/>
      <c r="E1729" s="134"/>
      <c r="F1729" s="134"/>
      <c r="G1729" s="134"/>
      <c r="H1729" s="134"/>
      <c r="J1729" s="134"/>
      <c r="K1729" s="135"/>
      <c r="L1729" s="136"/>
      <c r="M1729" s="144"/>
      <c r="T1729" s="52"/>
      <c r="V1729" s="134"/>
      <c r="W1729" s="134"/>
      <c r="X1729" s="134"/>
      <c r="Y1729" s="134"/>
      <c r="Z1729" s="134"/>
      <c r="AA1729" s="134"/>
      <c r="AB1729" s="134"/>
      <c r="AC1729" s="134"/>
      <c r="AD1729" s="134"/>
    </row>
    <row r="1730">
      <c r="A1730" s="143"/>
      <c r="B1730" s="134"/>
      <c r="C1730" s="134"/>
      <c r="D1730" s="134"/>
      <c r="E1730" s="134"/>
      <c r="F1730" s="134"/>
      <c r="G1730" s="134"/>
      <c r="H1730" s="134"/>
      <c r="J1730" s="134"/>
      <c r="K1730" s="135"/>
      <c r="L1730" s="136"/>
      <c r="M1730" s="144"/>
      <c r="T1730" s="52"/>
      <c r="V1730" s="134"/>
      <c r="W1730" s="134"/>
      <c r="X1730" s="134"/>
      <c r="Y1730" s="134"/>
      <c r="Z1730" s="134"/>
      <c r="AA1730" s="134"/>
      <c r="AB1730" s="134"/>
      <c r="AC1730" s="134"/>
      <c r="AD1730" s="134"/>
    </row>
    <row r="1731">
      <c r="A1731" s="143"/>
      <c r="B1731" s="134"/>
      <c r="C1731" s="134"/>
      <c r="D1731" s="134"/>
      <c r="E1731" s="134"/>
      <c r="F1731" s="134"/>
      <c r="G1731" s="134"/>
      <c r="H1731" s="134"/>
      <c r="J1731" s="134"/>
      <c r="K1731" s="135"/>
      <c r="L1731" s="136"/>
      <c r="M1731" s="144"/>
      <c r="T1731" s="52"/>
      <c r="V1731" s="134"/>
      <c r="W1731" s="134"/>
      <c r="X1731" s="134"/>
      <c r="Y1731" s="134"/>
      <c r="Z1731" s="134"/>
      <c r="AA1731" s="134"/>
      <c r="AB1731" s="134"/>
      <c r="AC1731" s="134"/>
      <c r="AD1731" s="134"/>
    </row>
    <row r="1732">
      <c r="A1732" s="143"/>
      <c r="B1732" s="134"/>
      <c r="C1732" s="134"/>
      <c r="D1732" s="134"/>
      <c r="E1732" s="134"/>
      <c r="F1732" s="134"/>
      <c r="G1732" s="134"/>
      <c r="H1732" s="134"/>
      <c r="J1732" s="134"/>
      <c r="K1732" s="135"/>
      <c r="L1732" s="136"/>
      <c r="M1732" s="144"/>
      <c r="T1732" s="52"/>
      <c r="V1732" s="134"/>
      <c r="W1732" s="134"/>
      <c r="X1732" s="134"/>
      <c r="Y1732" s="134"/>
      <c r="Z1732" s="134"/>
      <c r="AA1732" s="134"/>
      <c r="AB1732" s="134"/>
      <c r="AC1732" s="134"/>
      <c r="AD1732" s="134"/>
    </row>
    <row r="1733">
      <c r="A1733" s="143"/>
      <c r="B1733" s="134"/>
      <c r="C1733" s="134"/>
      <c r="D1733" s="134"/>
      <c r="E1733" s="134"/>
      <c r="F1733" s="134"/>
      <c r="G1733" s="134"/>
      <c r="H1733" s="134"/>
      <c r="J1733" s="134"/>
      <c r="K1733" s="135"/>
      <c r="L1733" s="136"/>
      <c r="M1733" s="144"/>
      <c r="T1733" s="52"/>
      <c r="V1733" s="134"/>
      <c r="W1733" s="134"/>
      <c r="X1733" s="134"/>
      <c r="Y1733" s="134"/>
      <c r="Z1733" s="134"/>
      <c r="AA1733" s="134"/>
      <c r="AB1733" s="134"/>
      <c r="AC1733" s="134"/>
      <c r="AD1733" s="134"/>
    </row>
    <row r="1734">
      <c r="A1734" s="143"/>
      <c r="B1734" s="134"/>
      <c r="C1734" s="134"/>
      <c r="D1734" s="134"/>
      <c r="E1734" s="134"/>
      <c r="F1734" s="134"/>
      <c r="G1734" s="134"/>
      <c r="H1734" s="134"/>
      <c r="J1734" s="134"/>
      <c r="K1734" s="135"/>
      <c r="L1734" s="136"/>
      <c r="M1734" s="144"/>
      <c r="T1734" s="52"/>
      <c r="V1734" s="134"/>
      <c r="W1734" s="134"/>
      <c r="X1734" s="134"/>
      <c r="Y1734" s="134"/>
      <c r="Z1734" s="134"/>
      <c r="AA1734" s="134"/>
      <c r="AB1734" s="134"/>
      <c r="AC1734" s="134"/>
      <c r="AD1734" s="134"/>
    </row>
    <row r="1735">
      <c r="A1735" s="143"/>
      <c r="B1735" s="134"/>
      <c r="C1735" s="134"/>
      <c r="D1735" s="134"/>
      <c r="E1735" s="134"/>
      <c r="F1735" s="134"/>
      <c r="G1735" s="134"/>
      <c r="H1735" s="134"/>
      <c r="J1735" s="134"/>
      <c r="K1735" s="135"/>
      <c r="L1735" s="136"/>
      <c r="M1735" s="144"/>
      <c r="T1735" s="52"/>
      <c r="V1735" s="134"/>
      <c r="W1735" s="134"/>
      <c r="X1735" s="134"/>
      <c r="Y1735" s="134"/>
      <c r="Z1735" s="134"/>
      <c r="AA1735" s="134"/>
      <c r="AB1735" s="134"/>
      <c r="AC1735" s="134"/>
      <c r="AD1735" s="134"/>
    </row>
    <row r="1736">
      <c r="A1736" s="143"/>
      <c r="B1736" s="134"/>
      <c r="C1736" s="134"/>
      <c r="D1736" s="134"/>
      <c r="E1736" s="134"/>
      <c r="F1736" s="134"/>
      <c r="G1736" s="134"/>
      <c r="H1736" s="134"/>
      <c r="J1736" s="134"/>
      <c r="K1736" s="135"/>
      <c r="L1736" s="136"/>
      <c r="M1736" s="144"/>
      <c r="T1736" s="52"/>
      <c r="V1736" s="134"/>
      <c r="W1736" s="134"/>
      <c r="X1736" s="134"/>
      <c r="Y1736" s="134"/>
      <c r="Z1736" s="134"/>
      <c r="AA1736" s="134"/>
      <c r="AB1736" s="134"/>
      <c r="AC1736" s="134"/>
      <c r="AD1736" s="134"/>
    </row>
    <row r="1737">
      <c r="A1737" s="143"/>
      <c r="B1737" s="134"/>
      <c r="C1737" s="134"/>
      <c r="D1737" s="134"/>
      <c r="E1737" s="134"/>
      <c r="F1737" s="134"/>
      <c r="G1737" s="134"/>
      <c r="H1737" s="134"/>
      <c r="J1737" s="134"/>
      <c r="K1737" s="135"/>
      <c r="L1737" s="136"/>
      <c r="M1737" s="144"/>
      <c r="T1737" s="52"/>
      <c r="V1737" s="134"/>
      <c r="W1737" s="134"/>
      <c r="X1737" s="134"/>
      <c r="Y1737" s="134"/>
      <c r="Z1737" s="134"/>
      <c r="AA1737" s="134"/>
      <c r="AB1737" s="134"/>
      <c r="AC1737" s="134"/>
      <c r="AD1737" s="134"/>
    </row>
    <row r="1738">
      <c r="A1738" s="143"/>
      <c r="B1738" s="134"/>
      <c r="C1738" s="134"/>
      <c r="D1738" s="134"/>
      <c r="E1738" s="134"/>
      <c r="F1738" s="134"/>
      <c r="G1738" s="134"/>
      <c r="H1738" s="134"/>
      <c r="J1738" s="134"/>
      <c r="K1738" s="135"/>
      <c r="L1738" s="136"/>
      <c r="M1738" s="144"/>
      <c r="T1738" s="52"/>
      <c r="V1738" s="134"/>
      <c r="W1738" s="134"/>
      <c r="X1738" s="134"/>
      <c r="Y1738" s="134"/>
      <c r="Z1738" s="134"/>
      <c r="AA1738" s="134"/>
      <c r="AB1738" s="134"/>
      <c r="AC1738" s="134"/>
      <c r="AD1738" s="134"/>
    </row>
    <row r="1739">
      <c r="A1739" s="143"/>
      <c r="B1739" s="134"/>
      <c r="C1739" s="134"/>
      <c r="D1739" s="134"/>
      <c r="E1739" s="134"/>
      <c r="F1739" s="134"/>
      <c r="G1739" s="134"/>
      <c r="H1739" s="134"/>
      <c r="J1739" s="134"/>
      <c r="K1739" s="135"/>
      <c r="L1739" s="136"/>
      <c r="M1739" s="144"/>
      <c r="T1739" s="52"/>
      <c r="V1739" s="134"/>
      <c r="W1739" s="134"/>
      <c r="X1739" s="134"/>
      <c r="Y1739" s="134"/>
      <c r="Z1739" s="134"/>
      <c r="AA1739" s="134"/>
      <c r="AB1739" s="134"/>
      <c r="AC1739" s="134"/>
      <c r="AD1739" s="134"/>
    </row>
    <row r="1740">
      <c r="A1740" s="143"/>
      <c r="B1740" s="134"/>
      <c r="C1740" s="134"/>
      <c r="D1740" s="134"/>
      <c r="E1740" s="134"/>
      <c r="F1740" s="134"/>
      <c r="G1740" s="134"/>
      <c r="H1740" s="134"/>
      <c r="J1740" s="134"/>
      <c r="K1740" s="135"/>
      <c r="L1740" s="136"/>
      <c r="M1740" s="144"/>
      <c r="T1740" s="52"/>
      <c r="V1740" s="134"/>
      <c r="W1740" s="134"/>
      <c r="X1740" s="134"/>
      <c r="Y1740" s="134"/>
      <c r="Z1740" s="134"/>
      <c r="AA1740" s="134"/>
      <c r="AB1740" s="134"/>
      <c r="AC1740" s="134"/>
      <c r="AD1740" s="134"/>
    </row>
    <row r="1741">
      <c r="A1741" s="143"/>
      <c r="B1741" s="134"/>
      <c r="C1741" s="134"/>
      <c r="D1741" s="134"/>
      <c r="E1741" s="134"/>
      <c r="F1741" s="134"/>
      <c r="G1741" s="134"/>
      <c r="H1741" s="134"/>
      <c r="J1741" s="134"/>
      <c r="K1741" s="135"/>
      <c r="L1741" s="136"/>
      <c r="M1741" s="144"/>
      <c r="T1741" s="52"/>
      <c r="V1741" s="134"/>
      <c r="W1741" s="134"/>
      <c r="X1741" s="134"/>
      <c r="Y1741" s="134"/>
      <c r="Z1741" s="134"/>
      <c r="AA1741" s="134"/>
      <c r="AB1741" s="134"/>
      <c r="AC1741" s="134"/>
      <c r="AD1741" s="134"/>
    </row>
    <row r="1742">
      <c r="A1742" s="143"/>
      <c r="B1742" s="134"/>
      <c r="C1742" s="134"/>
      <c r="D1742" s="134"/>
      <c r="E1742" s="134"/>
      <c r="F1742" s="134"/>
      <c r="G1742" s="134"/>
      <c r="H1742" s="134"/>
      <c r="J1742" s="134"/>
      <c r="K1742" s="135"/>
      <c r="L1742" s="136"/>
      <c r="M1742" s="144"/>
      <c r="T1742" s="52"/>
      <c r="V1742" s="134"/>
      <c r="W1742" s="134"/>
      <c r="X1742" s="134"/>
      <c r="Y1742" s="134"/>
      <c r="Z1742" s="134"/>
      <c r="AA1742" s="134"/>
      <c r="AB1742" s="134"/>
      <c r="AC1742" s="134"/>
      <c r="AD1742" s="134"/>
    </row>
    <row r="1743">
      <c r="A1743" s="143"/>
      <c r="B1743" s="134"/>
      <c r="C1743" s="134"/>
      <c r="D1743" s="134"/>
      <c r="E1743" s="134"/>
      <c r="F1743" s="134"/>
      <c r="G1743" s="134"/>
      <c r="H1743" s="134"/>
      <c r="J1743" s="134"/>
      <c r="K1743" s="135"/>
      <c r="L1743" s="136"/>
      <c r="M1743" s="144"/>
      <c r="T1743" s="52"/>
      <c r="V1743" s="134"/>
      <c r="W1743" s="134"/>
      <c r="X1743" s="134"/>
      <c r="Y1743" s="134"/>
      <c r="Z1743" s="134"/>
      <c r="AA1743" s="134"/>
      <c r="AB1743" s="134"/>
      <c r="AC1743" s="134"/>
      <c r="AD1743" s="134"/>
    </row>
    <row r="1744">
      <c r="A1744" s="143"/>
      <c r="B1744" s="134"/>
      <c r="C1744" s="134"/>
      <c r="D1744" s="134"/>
      <c r="E1744" s="134"/>
      <c r="F1744" s="134"/>
      <c r="G1744" s="134"/>
      <c r="H1744" s="134"/>
      <c r="J1744" s="134"/>
      <c r="K1744" s="135"/>
      <c r="L1744" s="136"/>
      <c r="M1744" s="144"/>
      <c r="T1744" s="52"/>
      <c r="V1744" s="134"/>
      <c r="W1744" s="134"/>
      <c r="X1744" s="134"/>
      <c r="Y1744" s="134"/>
      <c r="Z1744" s="134"/>
      <c r="AA1744" s="134"/>
      <c r="AB1744" s="134"/>
      <c r="AC1744" s="134"/>
      <c r="AD1744" s="134"/>
    </row>
    <row r="1745">
      <c r="A1745" s="143"/>
      <c r="B1745" s="134"/>
      <c r="C1745" s="134"/>
      <c r="D1745" s="134"/>
      <c r="E1745" s="134"/>
      <c r="F1745" s="134"/>
      <c r="G1745" s="134"/>
      <c r="H1745" s="134"/>
      <c r="J1745" s="134"/>
      <c r="K1745" s="135"/>
      <c r="L1745" s="136"/>
      <c r="M1745" s="144"/>
      <c r="T1745" s="52"/>
      <c r="V1745" s="134"/>
      <c r="W1745" s="134"/>
      <c r="X1745" s="134"/>
      <c r="Y1745" s="134"/>
      <c r="Z1745" s="134"/>
      <c r="AA1745" s="134"/>
      <c r="AB1745" s="134"/>
      <c r="AC1745" s="134"/>
      <c r="AD1745" s="134"/>
    </row>
    <row r="1746">
      <c r="A1746" s="143"/>
      <c r="B1746" s="134"/>
      <c r="C1746" s="134"/>
      <c r="D1746" s="134"/>
      <c r="E1746" s="134"/>
      <c r="F1746" s="134"/>
      <c r="G1746" s="134"/>
      <c r="H1746" s="134"/>
      <c r="J1746" s="134"/>
      <c r="K1746" s="135"/>
      <c r="L1746" s="136"/>
      <c r="M1746" s="144"/>
      <c r="T1746" s="52"/>
      <c r="V1746" s="134"/>
      <c r="W1746" s="134"/>
      <c r="X1746" s="134"/>
      <c r="Y1746" s="134"/>
      <c r="Z1746" s="134"/>
      <c r="AA1746" s="134"/>
      <c r="AB1746" s="134"/>
      <c r="AC1746" s="134"/>
      <c r="AD1746" s="134"/>
    </row>
    <row r="1747">
      <c r="A1747" s="143"/>
      <c r="B1747" s="134"/>
      <c r="C1747" s="134"/>
      <c r="D1747" s="134"/>
      <c r="E1747" s="134"/>
      <c r="F1747" s="134"/>
      <c r="G1747" s="134"/>
      <c r="H1747" s="134"/>
      <c r="J1747" s="134"/>
      <c r="K1747" s="135"/>
      <c r="L1747" s="136"/>
      <c r="M1747" s="144"/>
      <c r="T1747" s="52"/>
      <c r="V1747" s="134"/>
      <c r="W1747" s="134"/>
      <c r="X1747" s="134"/>
      <c r="Y1747" s="134"/>
      <c r="Z1747" s="134"/>
      <c r="AA1747" s="134"/>
      <c r="AB1747" s="134"/>
      <c r="AC1747" s="134"/>
      <c r="AD1747" s="134"/>
    </row>
    <row r="1748">
      <c r="A1748" s="143"/>
      <c r="B1748" s="134"/>
      <c r="C1748" s="134"/>
      <c r="D1748" s="134"/>
      <c r="E1748" s="134"/>
      <c r="F1748" s="134"/>
      <c r="G1748" s="134"/>
      <c r="H1748" s="134"/>
      <c r="J1748" s="134"/>
      <c r="K1748" s="135"/>
      <c r="L1748" s="136"/>
      <c r="M1748" s="144"/>
      <c r="T1748" s="52"/>
      <c r="V1748" s="134"/>
      <c r="W1748" s="134"/>
      <c r="X1748" s="134"/>
      <c r="Y1748" s="134"/>
      <c r="Z1748" s="134"/>
      <c r="AA1748" s="134"/>
      <c r="AB1748" s="134"/>
      <c r="AC1748" s="134"/>
      <c r="AD1748" s="134"/>
    </row>
    <row r="1749">
      <c r="A1749" s="143"/>
      <c r="B1749" s="134"/>
      <c r="C1749" s="134"/>
      <c r="D1749" s="134"/>
      <c r="E1749" s="134"/>
      <c r="F1749" s="134"/>
      <c r="G1749" s="134"/>
      <c r="H1749" s="134"/>
      <c r="J1749" s="134"/>
      <c r="K1749" s="135"/>
      <c r="L1749" s="136"/>
      <c r="M1749" s="144"/>
      <c r="T1749" s="52"/>
      <c r="V1749" s="134"/>
      <c r="W1749" s="134"/>
      <c r="X1749" s="134"/>
      <c r="Y1749" s="134"/>
      <c r="Z1749" s="134"/>
      <c r="AA1749" s="134"/>
      <c r="AB1749" s="134"/>
      <c r="AC1749" s="134"/>
      <c r="AD1749" s="134"/>
    </row>
    <row r="1750">
      <c r="A1750" s="143"/>
      <c r="B1750" s="134"/>
      <c r="C1750" s="134"/>
      <c r="D1750" s="134"/>
      <c r="E1750" s="134"/>
      <c r="F1750" s="134"/>
      <c r="G1750" s="134"/>
      <c r="H1750" s="134"/>
      <c r="J1750" s="134"/>
      <c r="K1750" s="135"/>
      <c r="L1750" s="136"/>
      <c r="M1750" s="144"/>
      <c r="T1750" s="52"/>
      <c r="V1750" s="134"/>
      <c r="W1750" s="134"/>
      <c r="X1750" s="134"/>
      <c r="Y1750" s="134"/>
      <c r="Z1750" s="134"/>
      <c r="AA1750" s="134"/>
      <c r="AB1750" s="134"/>
      <c r="AC1750" s="134"/>
      <c r="AD1750" s="134"/>
    </row>
    <row r="1751">
      <c r="A1751" s="143"/>
      <c r="B1751" s="134"/>
      <c r="C1751" s="134"/>
      <c r="D1751" s="134"/>
      <c r="E1751" s="134"/>
      <c r="F1751" s="134"/>
      <c r="G1751" s="134"/>
      <c r="H1751" s="134"/>
      <c r="J1751" s="134"/>
      <c r="K1751" s="135"/>
      <c r="L1751" s="136"/>
      <c r="M1751" s="144"/>
      <c r="T1751" s="52"/>
      <c r="V1751" s="134"/>
      <c r="W1751" s="134"/>
      <c r="X1751" s="134"/>
      <c r="Y1751" s="134"/>
      <c r="Z1751" s="134"/>
      <c r="AA1751" s="134"/>
      <c r="AB1751" s="134"/>
      <c r="AC1751" s="134"/>
      <c r="AD1751" s="134"/>
    </row>
    <row r="1752">
      <c r="A1752" s="143"/>
      <c r="B1752" s="134"/>
      <c r="C1752" s="134"/>
      <c r="D1752" s="134"/>
      <c r="E1752" s="134"/>
      <c r="F1752" s="134"/>
      <c r="G1752" s="134"/>
      <c r="H1752" s="134"/>
      <c r="J1752" s="134"/>
      <c r="K1752" s="135"/>
      <c r="L1752" s="136"/>
      <c r="M1752" s="144"/>
      <c r="T1752" s="52"/>
      <c r="V1752" s="134"/>
      <c r="W1752" s="134"/>
      <c r="X1752" s="134"/>
      <c r="Y1752" s="134"/>
      <c r="Z1752" s="134"/>
      <c r="AA1752" s="134"/>
      <c r="AB1752" s="134"/>
      <c r="AC1752" s="134"/>
      <c r="AD1752" s="134"/>
    </row>
    <row r="1753">
      <c r="A1753" s="143"/>
      <c r="B1753" s="134"/>
      <c r="C1753" s="134"/>
      <c r="D1753" s="134"/>
      <c r="E1753" s="134"/>
      <c r="F1753" s="134"/>
      <c r="G1753" s="134"/>
      <c r="H1753" s="134"/>
      <c r="J1753" s="134"/>
      <c r="K1753" s="135"/>
      <c r="L1753" s="136"/>
      <c r="M1753" s="144"/>
      <c r="T1753" s="52"/>
      <c r="V1753" s="134"/>
      <c r="W1753" s="134"/>
      <c r="X1753" s="134"/>
      <c r="Y1753" s="134"/>
      <c r="Z1753" s="134"/>
      <c r="AA1753" s="134"/>
      <c r="AB1753" s="134"/>
      <c r="AC1753" s="134"/>
      <c r="AD1753" s="134"/>
    </row>
    <row r="1754">
      <c r="A1754" s="143"/>
      <c r="B1754" s="134"/>
      <c r="C1754" s="134"/>
      <c r="D1754" s="134"/>
      <c r="E1754" s="134"/>
      <c r="F1754" s="134"/>
      <c r="G1754" s="134"/>
      <c r="H1754" s="134"/>
      <c r="J1754" s="134"/>
      <c r="K1754" s="135"/>
      <c r="L1754" s="136"/>
      <c r="M1754" s="144"/>
      <c r="T1754" s="52"/>
      <c r="V1754" s="134"/>
      <c r="W1754" s="134"/>
      <c r="X1754" s="134"/>
      <c r="Y1754" s="134"/>
      <c r="Z1754" s="134"/>
      <c r="AA1754" s="134"/>
      <c r="AB1754" s="134"/>
      <c r="AC1754" s="134"/>
      <c r="AD1754" s="134"/>
    </row>
    <row r="1755">
      <c r="A1755" s="143"/>
      <c r="B1755" s="134"/>
      <c r="C1755" s="134"/>
      <c r="D1755" s="134"/>
      <c r="E1755" s="134"/>
      <c r="F1755" s="134"/>
      <c r="G1755" s="134"/>
      <c r="H1755" s="134"/>
      <c r="J1755" s="134"/>
      <c r="K1755" s="135"/>
      <c r="L1755" s="136"/>
      <c r="M1755" s="144"/>
      <c r="T1755" s="52"/>
      <c r="V1755" s="134"/>
      <c r="W1755" s="134"/>
      <c r="X1755" s="134"/>
      <c r="Y1755" s="134"/>
      <c r="Z1755" s="134"/>
      <c r="AA1755" s="134"/>
      <c r="AB1755" s="134"/>
      <c r="AC1755" s="134"/>
      <c r="AD1755" s="134"/>
    </row>
    <row r="1756">
      <c r="A1756" s="143"/>
      <c r="B1756" s="134"/>
      <c r="C1756" s="134"/>
      <c r="D1756" s="134"/>
      <c r="E1756" s="134"/>
      <c r="F1756" s="134"/>
      <c r="G1756" s="134"/>
      <c r="H1756" s="134"/>
      <c r="J1756" s="134"/>
      <c r="K1756" s="135"/>
      <c r="L1756" s="136"/>
      <c r="M1756" s="144"/>
      <c r="T1756" s="52"/>
      <c r="V1756" s="134"/>
      <c r="W1756" s="134"/>
      <c r="X1756" s="134"/>
      <c r="Y1756" s="134"/>
      <c r="Z1756" s="134"/>
      <c r="AA1756" s="134"/>
      <c r="AB1756" s="134"/>
      <c r="AC1756" s="134"/>
      <c r="AD1756" s="134"/>
    </row>
    <row r="1757">
      <c r="A1757" s="143"/>
      <c r="B1757" s="134"/>
      <c r="C1757" s="134"/>
      <c r="D1757" s="134"/>
      <c r="E1757" s="134"/>
      <c r="F1757" s="134"/>
      <c r="G1757" s="134"/>
      <c r="H1757" s="134"/>
      <c r="J1757" s="134"/>
      <c r="K1757" s="135"/>
      <c r="L1757" s="136"/>
      <c r="M1757" s="144"/>
      <c r="T1757" s="52"/>
      <c r="V1757" s="134"/>
      <c r="W1757" s="134"/>
      <c r="X1757" s="134"/>
      <c r="Y1757" s="134"/>
      <c r="Z1757" s="134"/>
      <c r="AA1757" s="134"/>
      <c r="AB1757" s="134"/>
      <c r="AC1757" s="134"/>
      <c r="AD1757" s="134"/>
    </row>
    <row r="1758">
      <c r="A1758" s="143"/>
      <c r="B1758" s="134"/>
      <c r="C1758" s="134"/>
      <c r="D1758" s="134"/>
      <c r="E1758" s="134"/>
      <c r="F1758" s="134"/>
      <c r="G1758" s="134"/>
      <c r="H1758" s="134"/>
      <c r="J1758" s="134"/>
      <c r="K1758" s="135"/>
      <c r="L1758" s="136"/>
      <c r="M1758" s="144"/>
      <c r="T1758" s="52"/>
      <c r="V1758" s="134"/>
      <c r="W1758" s="134"/>
      <c r="X1758" s="134"/>
      <c r="Y1758" s="134"/>
      <c r="Z1758" s="134"/>
      <c r="AA1758" s="134"/>
      <c r="AB1758" s="134"/>
      <c r="AC1758" s="134"/>
      <c r="AD1758" s="134"/>
    </row>
    <row r="1759">
      <c r="A1759" s="143"/>
      <c r="B1759" s="134"/>
      <c r="C1759" s="134"/>
      <c r="D1759" s="134"/>
      <c r="E1759" s="134"/>
      <c r="F1759" s="134"/>
      <c r="G1759" s="134"/>
      <c r="H1759" s="134"/>
      <c r="J1759" s="134"/>
      <c r="K1759" s="135"/>
      <c r="L1759" s="136"/>
      <c r="M1759" s="144"/>
      <c r="T1759" s="52"/>
      <c r="V1759" s="134"/>
      <c r="W1759" s="134"/>
      <c r="X1759" s="134"/>
      <c r="Y1759" s="134"/>
      <c r="Z1759" s="134"/>
      <c r="AA1759" s="134"/>
      <c r="AB1759" s="134"/>
      <c r="AC1759" s="134"/>
      <c r="AD1759" s="134"/>
    </row>
    <row r="1760">
      <c r="A1760" s="143"/>
      <c r="B1760" s="134"/>
      <c r="C1760" s="134"/>
      <c r="D1760" s="134"/>
      <c r="E1760" s="134"/>
      <c r="F1760" s="134"/>
      <c r="G1760" s="134"/>
      <c r="H1760" s="134"/>
      <c r="J1760" s="134"/>
      <c r="K1760" s="135"/>
      <c r="L1760" s="136"/>
      <c r="M1760" s="144"/>
      <c r="T1760" s="52"/>
      <c r="V1760" s="134"/>
      <c r="W1760" s="134"/>
      <c r="X1760" s="134"/>
      <c r="Y1760" s="134"/>
      <c r="Z1760" s="134"/>
      <c r="AA1760" s="134"/>
      <c r="AB1760" s="134"/>
      <c r="AC1760" s="134"/>
      <c r="AD1760" s="134"/>
    </row>
    <row r="1761">
      <c r="A1761" s="143"/>
      <c r="B1761" s="134"/>
      <c r="C1761" s="134"/>
      <c r="D1761" s="134"/>
      <c r="E1761" s="134"/>
      <c r="F1761" s="134"/>
      <c r="G1761" s="134"/>
      <c r="H1761" s="134"/>
      <c r="J1761" s="134"/>
      <c r="K1761" s="135"/>
      <c r="L1761" s="136"/>
      <c r="M1761" s="144"/>
      <c r="T1761" s="52"/>
      <c r="V1761" s="134"/>
      <c r="W1761" s="134"/>
      <c r="X1761" s="134"/>
      <c r="Y1761" s="134"/>
      <c r="Z1761" s="134"/>
      <c r="AA1761" s="134"/>
      <c r="AB1761" s="134"/>
      <c r="AC1761" s="134"/>
      <c r="AD1761" s="134"/>
    </row>
    <row r="1762">
      <c r="A1762" s="143"/>
      <c r="B1762" s="134"/>
      <c r="C1762" s="134"/>
      <c r="D1762" s="134"/>
      <c r="E1762" s="134"/>
      <c r="F1762" s="134"/>
      <c r="G1762" s="134"/>
      <c r="H1762" s="134"/>
      <c r="J1762" s="134"/>
      <c r="K1762" s="135"/>
      <c r="L1762" s="136"/>
      <c r="M1762" s="144"/>
      <c r="T1762" s="52"/>
      <c r="V1762" s="134"/>
      <c r="W1762" s="134"/>
      <c r="X1762" s="134"/>
      <c r="Y1762" s="134"/>
      <c r="Z1762" s="134"/>
      <c r="AA1762" s="134"/>
      <c r="AB1762" s="134"/>
      <c r="AC1762" s="134"/>
      <c r="AD1762" s="134"/>
    </row>
    <row r="1763">
      <c r="A1763" s="143"/>
      <c r="B1763" s="134"/>
      <c r="C1763" s="134"/>
      <c r="D1763" s="134"/>
      <c r="E1763" s="134"/>
      <c r="F1763" s="134"/>
      <c r="G1763" s="134"/>
      <c r="H1763" s="134"/>
      <c r="J1763" s="134"/>
      <c r="K1763" s="135"/>
      <c r="L1763" s="136"/>
      <c r="M1763" s="144"/>
      <c r="T1763" s="52"/>
      <c r="V1763" s="134"/>
      <c r="W1763" s="134"/>
      <c r="X1763" s="134"/>
      <c r="Y1763" s="134"/>
      <c r="Z1763" s="134"/>
      <c r="AA1763" s="134"/>
      <c r="AB1763" s="134"/>
      <c r="AC1763" s="134"/>
      <c r="AD1763" s="134"/>
    </row>
    <row r="1764">
      <c r="A1764" s="143"/>
      <c r="B1764" s="134"/>
      <c r="C1764" s="134"/>
      <c r="D1764" s="134"/>
      <c r="E1764" s="134"/>
      <c r="F1764" s="134"/>
      <c r="G1764" s="134"/>
      <c r="H1764" s="134"/>
      <c r="J1764" s="134"/>
      <c r="K1764" s="135"/>
      <c r="L1764" s="136"/>
      <c r="M1764" s="144"/>
      <c r="T1764" s="52"/>
      <c r="V1764" s="134"/>
      <c r="W1764" s="134"/>
      <c r="X1764" s="134"/>
      <c r="Y1764" s="134"/>
      <c r="Z1764" s="134"/>
      <c r="AA1764" s="134"/>
      <c r="AB1764" s="134"/>
      <c r="AC1764" s="134"/>
      <c r="AD1764" s="134"/>
    </row>
    <row r="1765">
      <c r="A1765" s="143"/>
      <c r="B1765" s="134"/>
      <c r="C1765" s="134"/>
      <c r="D1765" s="134"/>
      <c r="E1765" s="134"/>
      <c r="F1765" s="134"/>
      <c r="G1765" s="134"/>
      <c r="H1765" s="134"/>
      <c r="J1765" s="134"/>
      <c r="K1765" s="135"/>
      <c r="L1765" s="136"/>
      <c r="M1765" s="144"/>
      <c r="T1765" s="52"/>
      <c r="V1765" s="134"/>
      <c r="W1765" s="134"/>
      <c r="X1765" s="134"/>
      <c r="Y1765" s="134"/>
      <c r="Z1765" s="134"/>
      <c r="AA1765" s="134"/>
      <c r="AB1765" s="134"/>
      <c r="AC1765" s="134"/>
      <c r="AD1765" s="134"/>
    </row>
    <row r="1766">
      <c r="A1766" s="143"/>
      <c r="B1766" s="134"/>
      <c r="C1766" s="134"/>
      <c r="D1766" s="134"/>
      <c r="E1766" s="134"/>
      <c r="F1766" s="134"/>
      <c r="G1766" s="134"/>
      <c r="H1766" s="134"/>
      <c r="J1766" s="134"/>
      <c r="K1766" s="135"/>
      <c r="L1766" s="136"/>
      <c r="M1766" s="144"/>
      <c r="T1766" s="52"/>
      <c r="V1766" s="134"/>
      <c r="W1766" s="134"/>
      <c r="X1766" s="134"/>
      <c r="Y1766" s="134"/>
      <c r="Z1766" s="134"/>
      <c r="AA1766" s="134"/>
      <c r="AB1766" s="134"/>
      <c r="AC1766" s="134"/>
      <c r="AD1766" s="134"/>
    </row>
    <row r="1767">
      <c r="A1767" s="143"/>
      <c r="B1767" s="134"/>
      <c r="C1767" s="134"/>
      <c r="D1767" s="134"/>
      <c r="E1767" s="134"/>
      <c r="F1767" s="134"/>
      <c r="G1767" s="134"/>
      <c r="H1767" s="134"/>
      <c r="J1767" s="134"/>
      <c r="K1767" s="135"/>
      <c r="L1767" s="136"/>
      <c r="M1767" s="144"/>
      <c r="T1767" s="52"/>
      <c r="V1767" s="134"/>
      <c r="W1767" s="134"/>
      <c r="X1767" s="134"/>
      <c r="Y1767" s="134"/>
      <c r="Z1767" s="134"/>
      <c r="AA1767" s="134"/>
      <c r="AB1767" s="134"/>
      <c r="AC1767" s="134"/>
      <c r="AD1767" s="134"/>
    </row>
    <row r="1768">
      <c r="A1768" s="143"/>
      <c r="B1768" s="134"/>
      <c r="C1768" s="134"/>
      <c r="D1768" s="134"/>
      <c r="E1768" s="134"/>
      <c r="F1768" s="134"/>
      <c r="G1768" s="134"/>
      <c r="H1768" s="134"/>
      <c r="J1768" s="134"/>
      <c r="K1768" s="135"/>
      <c r="L1768" s="136"/>
      <c r="M1768" s="144"/>
      <c r="T1768" s="52"/>
      <c r="V1768" s="134"/>
      <c r="W1768" s="134"/>
      <c r="X1768" s="134"/>
      <c r="Y1768" s="134"/>
      <c r="Z1768" s="134"/>
      <c r="AA1768" s="134"/>
      <c r="AB1768" s="134"/>
      <c r="AC1768" s="134"/>
      <c r="AD1768" s="134"/>
    </row>
    <row r="1769">
      <c r="A1769" s="143"/>
      <c r="B1769" s="134"/>
      <c r="C1769" s="134"/>
      <c r="D1769" s="134"/>
      <c r="E1769" s="134"/>
      <c r="F1769" s="134"/>
      <c r="G1769" s="134"/>
      <c r="H1769" s="134"/>
      <c r="J1769" s="134"/>
      <c r="K1769" s="135"/>
      <c r="L1769" s="136"/>
      <c r="M1769" s="144"/>
      <c r="T1769" s="52"/>
      <c r="V1769" s="134"/>
      <c r="W1769" s="134"/>
      <c r="X1769" s="134"/>
      <c r="Y1769" s="134"/>
      <c r="Z1769" s="134"/>
      <c r="AA1769" s="134"/>
      <c r="AB1769" s="134"/>
      <c r="AC1769" s="134"/>
      <c r="AD1769" s="134"/>
    </row>
    <row r="1770">
      <c r="A1770" s="143"/>
      <c r="B1770" s="134"/>
      <c r="C1770" s="134"/>
      <c r="D1770" s="134"/>
      <c r="E1770" s="134"/>
      <c r="F1770" s="134"/>
      <c r="G1770" s="134"/>
      <c r="H1770" s="134"/>
      <c r="J1770" s="134"/>
      <c r="K1770" s="135"/>
      <c r="L1770" s="136"/>
      <c r="M1770" s="144"/>
      <c r="T1770" s="52"/>
      <c r="V1770" s="134"/>
      <c r="W1770" s="134"/>
      <c r="X1770" s="134"/>
      <c r="Y1770" s="134"/>
      <c r="Z1770" s="134"/>
      <c r="AA1770" s="134"/>
      <c r="AB1770" s="134"/>
      <c r="AC1770" s="134"/>
      <c r="AD1770" s="134"/>
    </row>
    <row r="1771">
      <c r="A1771" s="143"/>
      <c r="B1771" s="134"/>
      <c r="C1771" s="134"/>
      <c r="D1771" s="134"/>
      <c r="E1771" s="134"/>
      <c r="F1771" s="134"/>
      <c r="G1771" s="134"/>
      <c r="H1771" s="134"/>
      <c r="J1771" s="134"/>
      <c r="K1771" s="135"/>
      <c r="L1771" s="136"/>
      <c r="M1771" s="144"/>
      <c r="T1771" s="52"/>
      <c r="V1771" s="134"/>
      <c r="W1771" s="134"/>
      <c r="X1771" s="134"/>
      <c r="Y1771" s="134"/>
      <c r="Z1771" s="134"/>
      <c r="AA1771" s="134"/>
      <c r="AB1771" s="134"/>
      <c r="AC1771" s="134"/>
      <c r="AD1771" s="134"/>
    </row>
    <row r="1772">
      <c r="A1772" s="143"/>
      <c r="B1772" s="134"/>
      <c r="C1772" s="134"/>
      <c r="D1772" s="134"/>
      <c r="E1772" s="134"/>
      <c r="F1772" s="134"/>
      <c r="G1772" s="134"/>
      <c r="H1772" s="134"/>
      <c r="J1772" s="134"/>
      <c r="K1772" s="135"/>
      <c r="L1772" s="136"/>
      <c r="M1772" s="144"/>
      <c r="T1772" s="52"/>
      <c r="V1772" s="134"/>
      <c r="W1772" s="134"/>
      <c r="X1772" s="134"/>
      <c r="Y1772" s="134"/>
      <c r="Z1772" s="134"/>
      <c r="AA1772" s="134"/>
      <c r="AB1772" s="134"/>
      <c r="AC1772" s="134"/>
      <c r="AD1772" s="134"/>
    </row>
    <row r="1773">
      <c r="A1773" s="143"/>
      <c r="B1773" s="134"/>
      <c r="C1773" s="134"/>
      <c r="D1773" s="134"/>
      <c r="E1773" s="134"/>
      <c r="F1773" s="134"/>
      <c r="G1773" s="134"/>
      <c r="H1773" s="134"/>
      <c r="J1773" s="134"/>
      <c r="K1773" s="135"/>
      <c r="L1773" s="136"/>
      <c r="M1773" s="144"/>
      <c r="T1773" s="52"/>
      <c r="V1773" s="134"/>
      <c r="W1773" s="134"/>
      <c r="X1773" s="134"/>
      <c r="Y1773" s="134"/>
      <c r="Z1773" s="134"/>
      <c r="AA1773" s="134"/>
      <c r="AB1773" s="134"/>
      <c r="AC1773" s="134"/>
      <c r="AD1773" s="134"/>
    </row>
    <row r="1774">
      <c r="A1774" s="143"/>
      <c r="B1774" s="134"/>
      <c r="C1774" s="134"/>
      <c r="D1774" s="134"/>
      <c r="E1774" s="134"/>
      <c r="F1774" s="134"/>
      <c r="G1774" s="134"/>
      <c r="H1774" s="134"/>
      <c r="J1774" s="134"/>
      <c r="K1774" s="135"/>
      <c r="L1774" s="136"/>
      <c r="M1774" s="144"/>
      <c r="T1774" s="52"/>
      <c r="V1774" s="134"/>
      <c r="W1774" s="134"/>
      <c r="X1774" s="134"/>
      <c r="Y1774" s="134"/>
      <c r="Z1774" s="134"/>
      <c r="AA1774" s="134"/>
      <c r="AB1774" s="134"/>
      <c r="AC1774" s="134"/>
      <c r="AD1774" s="134"/>
    </row>
    <row r="1775">
      <c r="A1775" s="143"/>
      <c r="B1775" s="134"/>
      <c r="C1775" s="134"/>
      <c r="D1775" s="134"/>
      <c r="E1775" s="134"/>
      <c r="F1775" s="134"/>
      <c r="G1775" s="134"/>
      <c r="H1775" s="134"/>
      <c r="J1775" s="134"/>
      <c r="K1775" s="135"/>
      <c r="L1775" s="136"/>
      <c r="M1775" s="144"/>
      <c r="T1775" s="52"/>
      <c r="V1775" s="134"/>
      <c r="W1775" s="134"/>
      <c r="X1775" s="134"/>
      <c r="Y1775" s="134"/>
      <c r="Z1775" s="134"/>
      <c r="AA1775" s="134"/>
      <c r="AB1775" s="134"/>
      <c r="AC1775" s="134"/>
      <c r="AD1775" s="134"/>
    </row>
    <row r="1776">
      <c r="A1776" s="143"/>
      <c r="B1776" s="134"/>
      <c r="C1776" s="134"/>
      <c r="D1776" s="134"/>
      <c r="E1776" s="134"/>
      <c r="F1776" s="134"/>
      <c r="G1776" s="134"/>
      <c r="H1776" s="134"/>
      <c r="J1776" s="134"/>
      <c r="K1776" s="135"/>
      <c r="L1776" s="136"/>
      <c r="M1776" s="144"/>
      <c r="T1776" s="52"/>
      <c r="V1776" s="134"/>
      <c r="W1776" s="134"/>
      <c r="X1776" s="134"/>
      <c r="Y1776" s="134"/>
      <c r="Z1776" s="134"/>
      <c r="AA1776" s="134"/>
      <c r="AB1776" s="134"/>
      <c r="AC1776" s="134"/>
      <c r="AD1776" s="134"/>
    </row>
    <row r="1777">
      <c r="A1777" s="143"/>
      <c r="B1777" s="134"/>
      <c r="C1777" s="134"/>
      <c r="D1777" s="134"/>
      <c r="E1777" s="134"/>
      <c r="F1777" s="134"/>
      <c r="G1777" s="134"/>
      <c r="H1777" s="134"/>
      <c r="J1777" s="134"/>
      <c r="K1777" s="135"/>
      <c r="L1777" s="136"/>
      <c r="M1777" s="144"/>
      <c r="T1777" s="52"/>
      <c r="V1777" s="134"/>
      <c r="W1777" s="134"/>
      <c r="X1777" s="134"/>
      <c r="Y1777" s="134"/>
      <c r="Z1777" s="134"/>
      <c r="AA1777" s="134"/>
      <c r="AB1777" s="134"/>
      <c r="AC1777" s="134"/>
      <c r="AD1777" s="134"/>
    </row>
    <row r="1778">
      <c r="A1778" s="143"/>
      <c r="B1778" s="134"/>
      <c r="C1778" s="134"/>
      <c r="D1778" s="134"/>
      <c r="E1778" s="134"/>
      <c r="F1778" s="134"/>
      <c r="G1778" s="134"/>
      <c r="H1778" s="134"/>
      <c r="J1778" s="134"/>
      <c r="K1778" s="135"/>
      <c r="L1778" s="136"/>
      <c r="M1778" s="144"/>
      <c r="T1778" s="52"/>
      <c r="V1778" s="134"/>
      <c r="W1778" s="134"/>
      <c r="X1778" s="134"/>
      <c r="Y1778" s="134"/>
      <c r="Z1778" s="134"/>
      <c r="AA1778" s="134"/>
      <c r="AB1778" s="134"/>
      <c r="AC1778" s="134"/>
      <c r="AD1778" s="134"/>
    </row>
    <row r="1779">
      <c r="A1779" s="143"/>
      <c r="B1779" s="134"/>
      <c r="C1779" s="134"/>
      <c r="D1779" s="134"/>
      <c r="E1779" s="134"/>
      <c r="F1779" s="134"/>
      <c r="G1779" s="134"/>
      <c r="H1779" s="134"/>
      <c r="J1779" s="134"/>
      <c r="K1779" s="135"/>
      <c r="L1779" s="136"/>
      <c r="M1779" s="144"/>
      <c r="T1779" s="52"/>
      <c r="V1779" s="134"/>
      <c r="W1779" s="134"/>
      <c r="X1779" s="134"/>
      <c r="Y1779" s="134"/>
      <c r="Z1779" s="134"/>
      <c r="AA1779" s="134"/>
      <c r="AB1779" s="134"/>
      <c r="AC1779" s="134"/>
      <c r="AD1779" s="134"/>
    </row>
    <row r="1780">
      <c r="A1780" s="143"/>
      <c r="B1780" s="134"/>
      <c r="C1780" s="134"/>
      <c r="D1780" s="134"/>
      <c r="E1780" s="134"/>
      <c r="F1780" s="134"/>
      <c r="G1780" s="134"/>
      <c r="H1780" s="134"/>
      <c r="J1780" s="134"/>
      <c r="K1780" s="135"/>
      <c r="L1780" s="136"/>
      <c r="M1780" s="144"/>
      <c r="T1780" s="52"/>
      <c r="V1780" s="134"/>
      <c r="W1780" s="134"/>
      <c r="X1780" s="134"/>
      <c r="Y1780" s="134"/>
      <c r="Z1780" s="134"/>
      <c r="AA1780" s="134"/>
      <c r="AB1780" s="134"/>
      <c r="AC1780" s="134"/>
      <c r="AD1780" s="134"/>
    </row>
    <row r="1781">
      <c r="A1781" s="143"/>
      <c r="B1781" s="134"/>
      <c r="C1781" s="134"/>
      <c r="D1781" s="134"/>
      <c r="E1781" s="134"/>
      <c r="F1781" s="134"/>
      <c r="G1781" s="134"/>
      <c r="H1781" s="134"/>
      <c r="J1781" s="134"/>
      <c r="K1781" s="135"/>
      <c r="L1781" s="136"/>
      <c r="M1781" s="144"/>
      <c r="T1781" s="52"/>
      <c r="V1781" s="134"/>
      <c r="W1781" s="134"/>
      <c r="X1781" s="134"/>
      <c r="Y1781" s="134"/>
      <c r="Z1781" s="134"/>
      <c r="AA1781" s="134"/>
      <c r="AB1781" s="134"/>
      <c r="AC1781" s="134"/>
      <c r="AD1781" s="134"/>
    </row>
    <row r="1782">
      <c r="A1782" s="143"/>
      <c r="B1782" s="134"/>
      <c r="C1782" s="134"/>
      <c r="D1782" s="134"/>
      <c r="E1782" s="134"/>
      <c r="F1782" s="134"/>
      <c r="G1782" s="134"/>
      <c r="H1782" s="134"/>
      <c r="J1782" s="134"/>
      <c r="K1782" s="135"/>
      <c r="L1782" s="136"/>
      <c r="M1782" s="144"/>
      <c r="T1782" s="52"/>
      <c r="V1782" s="134"/>
      <c r="W1782" s="134"/>
      <c r="X1782" s="134"/>
      <c r="Y1782" s="134"/>
      <c r="Z1782" s="134"/>
      <c r="AA1782" s="134"/>
      <c r="AB1782" s="134"/>
      <c r="AC1782" s="134"/>
      <c r="AD1782" s="134"/>
    </row>
    <row r="1783">
      <c r="A1783" s="143"/>
      <c r="B1783" s="134"/>
      <c r="C1783" s="134"/>
      <c r="D1783" s="134"/>
      <c r="E1783" s="134"/>
      <c r="F1783" s="134"/>
      <c r="G1783" s="134"/>
      <c r="H1783" s="134"/>
      <c r="J1783" s="134"/>
      <c r="K1783" s="135"/>
      <c r="L1783" s="136"/>
      <c r="M1783" s="144"/>
      <c r="T1783" s="52"/>
      <c r="V1783" s="134"/>
      <c r="W1783" s="134"/>
      <c r="X1783" s="134"/>
      <c r="Y1783" s="134"/>
      <c r="Z1783" s="134"/>
      <c r="AA1783" s="134"/>
      <c r="AB1783" s="134"/>
      <c r="AC1783" s="134"/>
      <c r="AD1783" s="134"/>
    </row>
    <row r="1784">
      <c r="A1784" s="143"/>
      <c r="B1784" s="134"/>
      <c r="C1784" s="134"/>
      <c r="D1784" s="134"/>
      <c r="E1784" s="134"/>
      <c r="F1784" s="134"/>
      <c r="G1784" s="134"/>
      <c r="H1784" s="134"/>
      <c r="J1784" s="134"/>
      <c r="K1784" s="135"/>
      <c r="L1784" s="136"/>
      <c r="M1784" s="144"/>
      <c r="T1784" s="52"/>
      <c r="V1784" s="134"/>
      <c r="W1784" s="134"/>
      <c r="X1784" s="134"/>
      <c r="Y1784" s="134"/>
      <c r="Z1784" s="134"/>
      <c r="AA1784" s="134"/>
      <c r="AB1784" s="134"/>
      <c r="AC1784" s="134"/>
      <c r="AD1784" s="134"/>
    </row>
    <row r="1785">
      <c r="A1785" s="143"/>
      <c r="B1785" s="134"/>
      <c r="C1785" s="134"/>
      <c r="D1785" s="134"/>
      <c r="E1785" s="134"/>
      <c r="F1785" s="134"/>
      <c r="G1785" s="134"/>
      <c r="H1785" s="134"/>
      <c r="J1785" s="134"/>
      <c r="K1785" s="135"/>
      <c r="L1785" s="136"/>
      <c r="M1785" s="144"/>
      <c r="T1785" s="52"/>
      <c r="V1785" s="134"/>
      <c r="W1785" s="134"/>
      <c r="X1785" s="134"/>
      <c r="Y1785" s="134"/>
      <c r="Z1785" s="134"/>
      <c r="AA1785" s="134"/>
      <c r="AB1785" s="134"/>
      <c r="AC1785" s="134"/>
      <c r="AD1785" s="134"/>
    </row>
    <row r="1786">
      <c r="A1786" s="143"/>
      <c r="B1786" s="134"/>
      <c r="C1786" s="134"/>
      <c r="D1786" s="134"/>
      <c r="E1786" s="134"/>
      <c r="F1786" s="134"/>
      <c r="G1786" s="134"/>
      <c r="H1786" s="134"/>
      <c r="J1786" s="134"/>
      <c r="K1786" s="135"/>
      <c r="L1786" s="136"/>
      <c r="M1786" s="144"/>
      <c r="T1786" s="52"/>
      <c r="V1786" s="134"/>
      <c r="W1786" s="134"/>
      <c r="X1786" s="134"/>
      <c r="Y1786" s="134"/>
      <c r="Z1786" s="134"/>
      <c r="AA1786" s="134"/>
      <c r="AB1786" s="134"/>
      <c r="AC1786" s="134"/>
      <c r="AD1786" s="134"/>
    </row>
    <row r="1787">
      <c r="A1787" s="143"/>
      <c r="B1787" s="134"/>
      <c r="C1787" s="134"/>
      <c r="D1787" s="134"/>
      <c r="E1787" s="134"/>
      <c r="F1787" s="134"/>
      <c r="G1787" s="134"/>
      <c r="H1787" s="134"/>
      <c r="J1787" s="134"/>
      <c r="K1787" s="135"/>
      <c r="L1787" s="136"/>
      <c r="M1787" s="144"/>
      <c r="T1787" s="52"/>
      <c r="V1787" s="134"/>
      <c r="W1787" s="134"/>
      <c r="X1787" s="134"/>
      <c r="Y1787" s="134"/>
      <c r="Z1787" s="134"/>
      <c r="AA1787" s="134"/>
      <c r="AB1787" s="134"/>
      <c r="AC1787" s="134"/>
      <c r="AD1787" s="134"/>
    </row>
    <row r="1788">
      <c r="A1788" s="143"/>
      <c r="B1788" s="134"/>
      <c r="C1788" s="134"/>
      <c r="D1788" s="134"/>
      <c r="E1788" s="134"/>
      <c r="F1788" s="134"/>
      <c r="G1788" s="134"/>
      <c r="H1788" s="134"/>
      <c r="J1788" s="134"/>
      <c r="K1788" s="135"/>
      <c r="L1788" s="136"/>
      <c r="M1788" s="144"/>
      <c r="T1788" s="52"/>
      <c r="V1788" s="134"/>
      <c r="W1788" s="134"/>
      <c r="X1788" s="134"/>
      <c r="Y1788" s="134"/>
      <c r="Z1788" s="134"/>
      <c r="AA1788" s="134"/>
      <c r="AB1788" s="134"/>
      <c r="AC1788" s="134"/>
      <c r="AD1788" s="134"/>
    </row>
    <row r="1789">
      <c r="A1789" s="143"/>
      <c r="B1789" s="134"/>
      <c r="C1789" s="134"/>
      <c r="D1789" s="134"/>
      <c r="E1789" s="134"/>
      <c r="F1789" s="134"/>
      <c r="G1789" s="134"/>
      <c r="H1789" s="134"/>
      <c r="J1789" s="134"/>
      <c r="K1789" s="135"/>
      <c r="L1789" s="136"/>
      <c r="M1789" s="144"/>
      <c r="T1789" s="52"/>
      <c r="V1789" s="134"/>
      <c r="W1789" s="134"/>
      <c r="X1789" s="134"/>
      <c r="Y1789" s="134"/>
      <c r="Z1789" s="134"/>
      <c r="AA1789" s="134"/>
      <c r="AB1789" s="134"/>
      <c r="AC1789" s="134"/>
      <c r="AD1789" s="134"/>
    </row>
    <row r="1790">
      <c r="A1790" s="143"/>
      <c r="B1790" s="134"/>
      <c r="C1790" s="134"/>
      <c r="D1790" s="134"/>
      <c r="E1790" s="134"/>
      <c r="F1790" s="134"/>
      <c r="G1790" s="134"/>
      <c r="H1790" s="134"/>
      <c r="J1790" s="134"/>
      <c r="K1790" s="135"/>
      <c r="L1790" s="136"/>
      <c r="M1790" s="144"/>
      <c r="T1790" s="52"/>
      <c r="V1790" s="134"/>
      <c r="W1790" s="134"/>
      <c r="X1790" s="134"/>
      <c r="Y1790" s="134"/>
      <c r="Z1790" s="134"/>
      <c r="AA1790" s="134"/>
      <c r="AB1790" s="134"/>
      <c r="AC1790" s="134"/>
      <c r="AD1790" s="134"/>
    </row>
    <row r="1791">
      <c r="A1791" s="143"/>
      <c r="B1791" s="134"/>
      <c r="C1791" s="134"/>
      <c r="D1791" s="134"/>
      <c r="E1791" s="134"/>
      <c r="F1791" s="134"/>
      <c r="G1791" s="134"/>
      <c r="H1791" s="134"/>
      <c r="J1791" s="134"/>
      <c r="K1791" s="135"/>
      <c r="L1791" s="136"/>
      <c r="M1791" s="144"/>
      <c r="T1791" s="52"/>
      <c r="V1791" s="134"/>
      <c r="W1791" s="134"/>
      <c r="X1791" s="134"/>
      <c r="Y1791" s="134"/>
      <c r="Z1791" s="134"/>
      <c r="AA1791" s="134"/>
      <c r="AB1791" s="134"/>
      <c r="AC1791" s="134"/>
      <c r="AD1791" s="134"/>
    </row>
    <row r="1792">
      <c r="A1792" s="143"/>
      <c r="B1792" s="134"/>
      <c r="C1792" s="134"/>
      <c r="D1792" s="134"/>
      <c r="E1792" s="134"/>
      <c r="F1792" s="134"/>
      <c r="G1792" s="134"/>
      <c r="H1792" s="134"/>
      <c r="J1792" s="134"/>
      <c r="K1792" s="135"/>
      <c r="L1792" s="136"/>
      <c r="M1792" s="144"/>
      <c r="T1792" s="52"/>
      <c r="V1792" s="134"/>
      <c r="W1792" s="134"/>
      <c r="X1792" s="134"/>
      <c r="Y1792" s="134"/>
      <c r="Z1792" s="134"/>
      <c r="AA1792" s="134"/>
      <c r="AB1792" s="134"/>
      <c r="AC1792" s="134"/>
      <c r="AD1792" s="134"/>
    </row>
    <row r="1793">
      <c r="A1793" s="143"/>
      <c r="B1793" s="134"/>
      <c r="C1793" s="134"/>
      <c r="D1793" s="134"/>
      <c r="E1793" s="134"/>
      <c r="F1793" s="134"/>
      <c r="G1793" s="134"/>
      <c r="H1793" s="134"/>
      <c r="J1793" s="134"/>
      <c r="K1793" s="135"/>
      <c r="L1793" s="136"/>
      <c r="M1793" s="144"/>
      <c r="T1793" s="52"/>
      <c r="V1793" s="134"/>
      <c r="W1793" s="134"/>
      <c r="X1793" s="134"/>
      <c r="Y1793" s="134"/>
      <c r="Z1793" s="134"/>
      <c r="AA1793" s="134"/>
      <c r="AB1793" s="134"/>
      <c r="AC1793" s="134"/>
      <c r="AD1793" s="134"/>
    </row>
    <row r="1794">
      <c r="A1794" s="143"/>
      <c r="B1794" s="134"/>
      <c r="C1794" s="134"/>
      <c r="D1794" s="134"/>
      <c r="E1794" s="134"/>
      <c r="F1794" s="134"/>
      <c r="G1794" s="134"/>
      <c r="H1794" s="134"/>
      <c r="J1794" s="134"/>
      <c r="K1794" s="135"/>
      <c r="L1794" s="136"/>
      <c r="M1794" s="144"/>
      <c r="T1794" s="52"/>
      <c r="V1794" s="134"/>
      <c r="W1794" s="134"/>
      <c r="X1794" s="134"/>
      <c r="Y1794" s="134"/>
      <c r="Z1794" s="134"/>
      <c r="AA1794" s="134"/>
      <c r="AB1794" s="134"/>
      <c r="AC1794" s="134"/>
      <c r="AD1794" s="134"/>
    </row>
    <row r="1795">
      <c r="A1795" s="143"/>
      <c r="B1795" s="134"/>
      <c r="C1795" s="134"/>
      <c r="D1795" s="134"/>
      <c r="E1795" s="134"/>
      <c r="F1795" s="134"/>
      <c r="G1795" s="134"/>
      <c r="H1795" s="134"/>
      <c r="J1795" s="134"/>
      <c r="K1795" s="135"/>
      <c r="L1795" s="136"/>
      <c r="M1795" s="144"/>
      <c r="T1795" s="52"/>
      <c r="V1795" s="134"/>
      <c r="W1795" s="134"/>
      <c r="X1795" s="134"/>
      <c r="Y1795" s="134"/>
      <c r="Z1795" s="134"/>
      <c r="AA1795" s="134"/>
      <c r="AB1795" s="134"/>
      <c r="AC1795" s="134"/>
      <c r="AD1795" s="134"/>
    </row>
    <row r="1796">
      <c r="A1796" s="143"/>
      <c r="B1796" s="134"/>
      <c r="C1796" s="134"/>
      <c r="D1796" s="134"/>
      <c r="E1796" s="134"/>
      <c r="F1796" s="134"/>
      <c r="G1796" s="134"/>
      <c r="H1796" s="134"/>
      <c r="J1796" s="134"/>
      <c r="K1796" s="135"/>
      <c r="L1796" s="136"/>
      <c r="M1796" s="144"/>
      <c r="T1796" s="52"/>
      <c r="V1796" s="134"/>
      <c r="W1796" s="134"/>
      <c r="X1796" s="134"/>
      <c r="Y1796" s="134"/>
      <c r="Z1796" s="134"/>
      <c r="AA1796" s="134"/>
      <c r="AB1796" s="134"/>
      <c r="AC1796" s="134"/>
      <c r="AD1796" s="134"/>
    </row>
    <row r="1797">
      <c r="A1797" s="143"/>
      <c r="B1797" s="134"/>
      <c r="C1797" s="134"/>
      <c r="D1797" s="134"/>
      <c r="E1797" s="134"/>
      <c r="F1797" s="134"/>
      <c r="G1797" s="134"/>
      <c r="H1797" s="134"/>
      <c r="J1797" s="134"/>
      <c r="K1797" s="135"/>
      <c r="L1797" s="136"/>
      <c r="M1797" s="144"/>
      <c r="T1797" s="52"/>
      <c r="V1797" s="134"/>
      <c r="W1797" s="134"/>
      <c r="X1797" s="134"/>
      <c r="Y1797" s="134"/>
      <c r="Z1797" s="134"/>
      <c r="AA1797" s="134"/>
      <c r="AB1797" s="134"/>
      <c r="AC1797" s="134"/>
      <c r="AD1797" s="134"/>
    </row>
    <row r="1798">
      <c r="A1798" s="143"/>
      <c r="B1798" s="134"/>
      <c r="C1798" s="134"/>
      <c r="D1798" s="134"/>
      <c r="E1798" s="134"/>
      <c r="F1798" s="134"/>
      <c r="G1798" s="134"/>
      <c r="H1798" s="134"/>
      <c r="J1798" s="134"/>
      <c r="K1798" s="135"/>
      <c r="L1798" s="136"/>
      <c r="M1798" s="144"/>
      <c r="T1798" s="52"/>
      <c r="V1798" s="134"/>
      <c r="W1798" s="134"/>
      <c r="X1798" s="134"/>
      <c r="Y1798" s="134"/>
      <c r="Z1798" s="134"/>
      <c r="AA1798" s="134"/>
      <c r="AB1798" s="134"/>
      <c r="AC1798" s="134"/>
      <c r="AD1798" s="134"/>
    </row>
    <row r="1799">
      <c r="A1799" s="143"/>
      <c r="B1799" s="134"/>
      <c r="C1799" s="134"/>
      <c r="D1799" s="134"/>
      <c r="E1799" s="134"/>
      <c r="F1799" s="134"/>
      <c r="G1799" s="134"/>
      <c r="H1799" s="134"/>
      <c r="J1799" s="134"/>
      <c r="K1799" s="135"/>
      <c r="L1799" s="136"/>
      <c r="M1799" s="144"/>
      <c r="T1799" s="52"/>
      <c r="V1799" s="134"/>
      <c r="W1799" s="134"/>
      <c r="X1799" s="134"/>
      <c r="Y1799" s="134"/>
      <c r="Z1799" s="134"/>
      <c r="AA1799" s="134"/>
      <c r="AB1799" s="134"/>
      <c r="AC1799" s="134"/>
      <c r="AD1799" s="134"/>
    </row>
    <row r="1800">
      <c r="A1800" s="143"/>
      <c r="B1800" s="134"/>
      <c r="C1800" s="134"/>
      <c r="D1800" s="134"/>
      <c r="E1800" s="134"/>
      <c r="F1800" s="134"/>
      <c r="G1800" s="134"/>
      <c r="H1800" s="134"/>
      <c r="J1800" s="134"/>
      <c r="K1800" s="135"/>
      <c r="L1800" s="136"/>
      <c r="M1800" s="144"/>
      <c r="T1800" s="52"/>
      <c r="V1800" s="134"/>
      <c r="W1800" s="134"/>
      <c r="X1800" s="134"/>
      <c r="Y1800" s="134"/>
      <c r="Z1800" s="134"/>
      <c r="AA1800" s="134"/>
      <c r="AB1800" s="134"/>
      <c r="AC1800" s="134"/>
      <c r="AD1800" s="134"/>
    </row>
    <row r="1801">
      <c r="A1801" s="143"/>
      <c r="B1801" s="134"/>
      <c r="C1801" s="134"/>
      <c r="D1801" s="134"/>
      <c r="E1801" s="134"/>
      <c r="F1801" s="134"/>
      <c r="G1801" s="134"/>
      <c r="H1801" s="134"/>
      <c r="J1801" s="134"/>
      <c r="K1801" s="135"/>
      <c r="L1801" s="136"/>
      <c r="M1801" s="144"/>
      <c r="T1801" s="52"/>
      <c r="V1801" s="134"/>
      <c r="W1801" s="134"/>
      <c r="X1801" s="134"/>
      <c r="Y1801" s="134"/>
      <c r="Z1801" s="134"/>
      <c r="AA1801" s="134"/>
      <c r="AB1801" s="134"/>
      <c r="AC1801" s="134"/>
      <c r="AD1801" s="134"/>
    </row>
    <row r="1802">
      <c r="A1802" s="143"/>
      <c r="B1802" s="134"/>
      <c r="C1802" s="134"/>
      <c r="D1802" s="134"/>
      <c r="E1802" s="134"/>
      <c r="F1802" s="134"/>
      <c r="G1802" s="134"/>
      <c r="H1802" s="134"/>
      <c r="J1802" s="134"/>
      <c r="K1802" s="135"/>
      <c r="L1802" s="136"/>
      <c r="M1802" s="144"/>
      <c r="T1802" s="52"/>
      <c r="V1802" s="134"/>
      <c r="W1802" s="134"/>
      <c r="X1802" s="134"/>
      <c r="Y1802" s="134"/>
      <c r="Z1802" s="134"/>
      <c r="AA1802" s="134"/>
      <c r="AB1802" s="134"/>
      <c r="AC1802" s="134"/>
      <c r="AD1802" s="134"/>
    </row>
    <row r="1803">
      <c r="A1803" s="143"/>
      <c r="B1803" s="134"/>
      <c r="C1803" s="134"/>
      <c r="D1803" s="134"/>
      <c r="E1803" s="134"/>
      <c r="F1803" s="134"/>
      <c r="G1803" s="134"/>
      <c r="H1803" s="134"/>
      <c r="J1803" s="134"/>
      <c r="K1803" s="135"/>
      <c r="L1803" s="136"/>
      <c r="M1803" s="144"/>
      <c r="T1803" s="52"/>
      <c r="V1803" s="134"/>
      <c r="W1803" s="134"/>
      <c r="X1803" s="134"/>
      <c r="Y1803" s="134"/>
      <c r="Z1803" s="134"/>
      <c r="AA1803" s="134"/>
      <c r="AB1803" s="134"/>
      <c r="AC1803" s="134"/>
      <c r="AD1803" s="134"/>
    </row>
    <row r="1804">
      <c r="A1804" s="143"/>
      <c r="B1804" s="134"/>
      <c r="C1804" s="134"/>
      <c r="D1804" s="134"/>
      <c r="E1804" s="134"/>
      <c r="F1804" s="134"/>
      <c r="G1804" s="134"/>
      <c r="H1804" s="134"/>
      <c r="J1804" s="134"/>
      <c r="K1804" s="135"/>
      <c r="L1804" s="136"/>
      <c r="M1804" s="144"/>
      <c r="T1804" s="52"/>
      <c r="V1804" s="134"/>
      <c r="W1804" s="134"/>
      <c r="X1804" s="134"/>
      <c r="Y1804" s="134"/>
      <c r="Z1804" s="134"/>
      <c r="AA1804" s="134"/>
      <c r="AB1804" s="134"/>
      <c r="AC1804" s="134"/>
      <c r="AD1804" s="134"/>
    </row>
    <row r="1805">
      <c r="A1805" s="143"/>
      <c r="B1805" s="134"/>
      <c r="C1805" s="134"/>
      <c r="D1805" s="134"/>
      <c r="E1805" s="134"/>
      <c r="F1805" s="134"/>
      <c r="G1805" s="134"/>
      <c r="H1805" s="134"/>
      <c r="J1805" s="134"/>
      <c r="K1805" s="135"/>
      <c r="L1805" s="136"/>
      <c r="M1805" s="144"/>
      <c r="T1805" s="52"/>
      <c r="V1805" s="134"/>
      <c r="W1805" s="134"/>
      <c r="X1805" s="134"/>
      <c r="Y1805" s="134"/>
      <c r="Z1805" s="134"/>
      <c r="AA1805" s="134"/>
      <c r="AB1805" s="134"/>
      <c r="AC1805" s="134"/>
      <c r="AD1805" s="134"/>
    </row>
    <row r="1806">
      <c r="A1806" s="143"/>
      <c r="B1806" s="134"/>
      <c r="C1806" s="134"/>
      <c r="D1806" s="134"/>
      <c r="E1806" s="134"/>
      <c r="F1806" s="134"/>
      <c r="G1806" s="134"/>
      <c r="H1806" s="134"/>
      <c r="J1806" s="134"/>
      <c r="K1806" s="135"/>
      <c r="L1806" s="136"/>
      <c r="M1806" s="144"/>
      <c r="T1806" s="52"/>
      <c r="V1806" s="134"/>
      <c r="W1806" s="134"/>
      <c r="X1806" s="134"/>
      <c r="Y1806" s="134"/>
      <c r="Z1806" s="134"/>
      <c r="AA1806" s="134"/>
      <c r="AB1806" s="134"/>
      <c r="AC1806" s="134"/>
      <c r="AD1806" s="134"/>
    </row>
    <row r="1807">
      <c r="A1807" s="143"/>
      <c r="B1807" s="134"/>
      <c r="C1807" s="134"/>
      <c r="D1807" s="134"/>
      <c r="E1807" s="134"/>
      <c r="F1807" s="134"/>
      <c r="G1807" s="134"/>
      <c r="H1807" s="134"/>
      <c r="J1807" s="134"/>
      <c r="K1807" s="135"/>
      <c r="L1807" s="136"/>
      <c r="M1807" s="144"/>
      <c r="T1807" s="52"/>
      <c r="V1807" s="134"/>
      <c r="W1807" s="134"/>
      <c r="X1807" s="134"/>
      <c r="Y1807" s="134"/>
      <c r="Z1807" s="134"/>
      <c r="AA1807" s="134"/>
      <c r="AB1807" s="134"/>
      <c r="AC1807" s="134"/>
      <c r="AD1807" s="134"/>
    </row>
    <row r="1808">
      <c r="A1808" s="143"/>
      <c r="B1808" s="134"/>
      <c r="C1808" s="134"/>
      <c r="D1808" s="134"/>
      <c r="E1808" s="134"/>
      <c r="F1808" s="134"/>
      <c r="G1808" s="134"/>
      <c r="H1808" s="134"/>
      <c r="J1808" s="134"/>
      <c r="K1808" s="135"/>
      <c r="L1808" s="136"/>
      <c r="M1808" s="144"/>
      <c r="T1808" s="52"/>
      <c r="V1808" s="134"/>
      <c r="W1808" s="134"/>
      <c r="X1808" s="134"/>
      <c r="Y1808" s="134"/>
      <c r="Z1808" s="134"/>
      <c r="AA1808" s="134"/>
      <c r="AB1808" s="134"/>
      <c r="AC1808" s="134"/>
      <c r="AD1808" s="134"/>
    </row>
    <row r="1809">
      <c r="A1809" s="143"/>
      <c r="B1809" s="134"/>
      <c r="C1809" s="134"/>
      <c r="D1809" s="134"/>
      <c r="E1809" s="134"/>
      <c r="F1809" s="134"/>
      <c r="G1809" s="134"/>
      <c r="H1809" s="134"/>
      <c r="J1809" s="134"/>
      <c r="K1809" s="135"/>
      <c r="L1809" s="136"/>
      <c r="M1809" s="144"/>
      <c r="T1809" s="52"/>
      <c r="V1809" s="134"/>
      <c r="W1809" s="134"/>
      <c r="X1809" s="134"/>
      <c r="Y1809" s="134"/>
      <c r="Z1809" s="134"/>
      <c r="AA1809" s="134"/>
      <c r="AB1809" s="134"/>
      <c r="AC1809" s="134"/>
      <c r="AD1809" s="134"/>
    </row>
    <row r="1810">
      <c r="A1810" s="143"/>
      <c r="B1810" s="134"/>
      <c r="C1810" s="134"/>
      <c r="D1810" s="134"/>
      <c r="E1810" s="134"/>
      <c r="F1810" s="134"/>
      <c r="G1810" s="134"/>
      <c r="H1810" s="134"/>
      <c r="J1810" s="134"/>
      <c r="K1810" s="135"/>
      <c r="L1810" s="136"/>
      <c r="M1810" s="144"/>
      <c r="T1810" s="52"/>
      <c r="V1810" s="134"/>
      <c r="W1810" s="134"/>
      <c r="X1810" s="134"/>
      <c r="Y1810" s="134"/>
      <c r="Z1810" s="134"/>
      <c r="AA1810" s="134"/>
      <c r="AB1810" s="134"/>
      <c r="AC1810" s="134"/>
      <c r="AD1810" s="134"/>
    </row>
    <row r="1811">
      <c r="A1811" s="143"/>
      <c r="B1811" s="134"/>
      <c r="C1811" s="134"/>
      <c r="D1811" s="134"/>
      <c r="E1811" s="134"/>
      <c r="F1811" s="134"/>
      <c r="G1811" s="134"/>
      <c r="H1811" s="134"/>
      <c r="J1811" s="134"/>
      <c r="K1811" s="135"/>
      <c r="L1811" s="136"/>
      <c r="M1811" s="144"/>
      <c r="T1811" s="52"/>
      <c r="V1811" s="134"/>
      <c r="W1811" s="134"/>
      <c r="X1811" s="134"/>
      <c r="Y1811" s="134"/>
      <c r="Z1811" s="134"/>
      <c r="AA1811" s="134"/>
      <c r="AB1811" s="134"/>
      <c r="AC1811" s="134"/>
      <c r="AD1811" s="134"/>
    </row>
    <row r="1812">
      <c r="A1812" s="143"/>
      <c r="B1812" s="134"/>
      <c r="C1812" s="134"/>
      <c r="D1812" s="134"/>
      <c r="E1812" s="134"/>
      <c r="F1812" s="134"/>
      <c r="G1812" s="134"/>
      <c r="H1812" s="134"/>
      <c r="J1812" s="134"/>
      <c r="K1812" s="135"/>
      <c r="L1812" s="136"/>
      <c r="M1812" s="144"/>
      <c r="T1812" s="52"/>
      <c r="V1812" s="134"/>
      <c r="W1812" s="134"/>
      <c r="X1812" s="134"/>
      <c r="Y1812" s="134"/>
      <c r="Z1812" s="134"/>
      <c r="AA1812" s="134"/>
      <c r="AB1812" s="134"/>
      <c r="AC1812" s="134"/>
      <c r="AD1812" s="134"/>
    </row>
    <row r="1813">
      <c r="A1813" s="143"/>
      <c r="B1813" s="134"/>
      <c r="C1813" s="134"/>
      <c r="D1813" s="134"/>
      <c r="E1813" s="134"/>
      <c r="F1813" s="134"/>
      <c r="G1813" s="134"/>
      <c r="H1813" s="134"/>
      <c r="J1813" s="134"/>
      <c r="K1813" s="135"/>
      <c r="L1813" s="136"/>
      <c r="M1813" s="144"/>
      <c r="T1813" s="52"/>
      <c r="V1813" s="134"/>
      <c r="W1813" s="134"/>
      <c r="X1813" s="134"/>
      <c r="Y1813" s="134"/>
      <c r="Z1813" s="134"/>
      <c r="AA1813" s="134"/>
      <c r="AB1813" s="134"/>
      <c r="AC1813" s="134"/>
      <c r="AD1813" s="134"/>
    </row>
    <row r="1814">
      <c r="A1814" s="143"/>
      <c r="B1814" s="134"/>
      <c r="C1814" s="134"/>
      <c r="D1814" s="134"/>
      <c r="E1814" s="134"/>
      <c r="F1814" s="134"/>
      <c r="G1814" s="134"/>
      <c r="H1814" s="134"/>
      <c r="J1814" s="134"/>
      <c r="K1814" s="135"/>
      <c r="L1814" s="136"/>
      <c r="M1814" s="144"/>
      <c r="T1814" s="52"/>
      <c r="V1814" s="134"/>
      <c r="W1814" s="134"/>
      <c r="X1814" s="134"/>
      <c r="Y1814" s="134"/>
      <c r="Z1814" s="134"/>
      <c r="AA1814" s="134"/>
      <c r="AB1814" s="134"/>
      <c r="AC1814" s="134"/>
      <c r="AD1814" s="134"/>
    </row>
    <row r="1815">
      <c r="A1815" s="143"/>
      <c r="B1815" s="134"/>
      <c r="C1815" s="134"/>
      <c r="D1815" s="134"/>
      <c r="E1815" s="134"/>
      <c r="F1815" s="134"/>
      <c r="G1815" s="134"/>
      <c r="H1815" s="134"/>
      <c r="J1815" s="134"/>
      <c r="K1815" s="135"/>
      <c r="L1815" s="136"/>
      <c r="M1815" s="144"/>
      <c r="T1815" s="52"/>
      <c r="V1815" s="134"/>
      <c r="W1815" s="134"/>
      <c r="X1815" s="134"/>
      <c r="Y1815" s="134"/>
      <c r="Z1815" s="134"/>
      <c r="AA1815" s="134"/>
      <c r="AB1815" s="134"/>
      <c r="AC1815" s="134"/>
      <c r="AD1815" s="134"/>
    </row>
    <row r="1816">
      <c r="A1816" s="143"/>
      <c r="B1816" s="134"/>
      <c r="C1816" s="134"/>
      <c r="D1816" s="134"/>
      <c r="E1816" s="134"/>
      <c r="F1816" s="134"/>
      <c r="G1816" s="134"/>
      <c r="H1816" s="134"/>
      <c r="J1816" s="134"/>
      <c r="K1816" s="135"/>
      <c r="L1816" s="136"/>
      <c r="M1816" s="144"/>
      <c r="T1816" s="52"/>
      <c r="V1816" s="134"/>
      <c r="W1816" s="134"/>
      <c r="X1816" s="134"/>
      <c r="Y1816" s="134"/>
      <c r="Z1816" s="134"/>
      <c r="AA1816" s="134"/>
      <c r="AB1816" s="134"/>
      <c r="AC1816" s="134"/>
      <c r="AD1816" s="134"/>
    </row>
    <row r="1817">
      <c r="A1817" s="143"/>
      <c r="B1817" s="134"/>
      <c r="C1817" s="134"/>
      <c r="D1817" s="134"/>
      <c r="E1817" s="134"/>
      <c r="F1817" s="134"/>
      <c r="G1817" s="134"/>
      <c r="H1817" s="134"/>
      <c r="J1817" s="134"/>
      <c r="K1817" s="135"/>
      <c r="L1817" s="136"/>
      <c r="M1817" s="144"/>
      <c r="T1817" s="52"/>
      <c r="V1817" s="134"/>
      <c r="W1817" s="134"/>
      <c r="X1817" s="134"/>
      <c r="Y1817" s="134"/>
      <c r="Z1817" s="134"/>
      <c r="AA1817" s="134"/>
      <c r="AB1817" s="134"/>
      <c r="AC1817" s="134"/>
      <c r="AD1817" s="134"/>
    </row>
    <row r="1818">
      <c r="A1818" s="143"/>
      <c r="B1818" s="134"/>
      <c r="C1818" s="134"/>
      <c r="D1818" s="134"/>
      <c r="E1818" s="134"/>
      <c r="F1818" s="134"/>
      <c r="G1818" s="134"/>
      <c r="H1818" s="134"/>
      <c r="J1818" s="134"/>
      <c r="K1818" s="135"/>
      <c r="L1818" s="136"/>
      <c r="M1818" s="144"/>
      <c r="T1818" s="52"/>
      <c r="V1818" s="134"/>
      <c r="W1818" s="134"/>
      <c r="X1818" s="134"/>
      <c r="Y1818" s="134"/>
      <c r="Z1818" s="134"/>
      <c r="AA1818" s="134"/>
      <c r="AB1818" s="134"/>
      <c r="AC1818" s="134"/>
      <c r="AD1818" s="134"/>
    </row>
    <row r="1819">
      <c r="A1819" s="143"/>
      <c r="B1819" s="134"/>
      <c r="C1819" s="134"/>
      <c r="D1819" s="134"/>
      <c r="E1819" s="134"/>
      <c r="F1819" s="134"/>
      <c r="G1819" s="134"/>
      <c r="H1819" s="134"/>
      <c r="J1819" s="134"/>
      <c r="K1819" s="135"/>
      <c r="L1819" s="136"/>
      <c r="M1819" s="144"/>
      <c r="T1819" s="52"/>
      <c r="V1819" s="134"/>
      <c r="W1819" s="134"/>
      <c r="X1819" s="134"/>
      <c r="Y1819" s="134"/>
      <c r="Z1819" s="134"/>
      <c r="AA1819" s="134"/>
      <c r="AB1819" s="134"/>
      <c r="AC1819" s="134"/>
      <c r="AD1819" s="134"/>
    </row>
    <row r="1820">
      <c r="A1820" s="143"/>
      <c r="B1820" s="134"/>
      <c r="C1820" s="134"/>
      <c r="D1820" s="134"/>
      <c r="E1820" s="134"/>
      <c r="F1820" s="134"/>
      <c r="G1820" s="134"/>
      <c r="H1820" s="134"/>
      <c r="J1820" s="134"/>
      <c r="K1820" s="135"/>
      <c r="L1820" s="136"/>
      <c r="M1820" s="144"/>
      <c r="T1820" s="52"/>
      <c r="V1820" s="134"/>
      <c r="W1820" s="134"/>
      <c r="X1820" s="134"/>
      <c r="Y1820" s="134"/>
      <c r="Z1820" s="134"/>
      <c r="AA1820" s="134"/>
      <c r="AB1820" s="134"/>
      <c r="AC1820" s="134"/>
      <c r="AD1820" s="134"/>
    </row>
    <row r="1821">
      <c r="A1821" s="143"/>
      <c r="B1821" s="134"/>
      <c r="C1821" s="134"/>
      <c r="D1821" s="134"/>
      <c r="E1821" s="134"/>
      <c r="F1821" s="134"/>
      <c r="G1821" s="134"/>
      <c r="H1821" s="134"/>
      <c r="J1821" s="134"/>
      <c r="K1821" s="135"/>
      <c r="L1821" s="136"/>
      <c r="M1821" s="144"/>
      <c r="T1821" s="52"/>
      <c r="V1821" s="134"/>
      <c r="W1821" s="134"/>
      <c r="X1821" s="134"/>
      <c r="Y1821" s="134"/>
      <c r="Z1821" s="134"/>
      <c r="AA1821" s="134"/>
      <c r="AB1821" s="134"/>
      <c r="AC1821" s="134"/>
      <c r="AD1821" s="134"/>
    </row>
    <row r="1822">
      <c r="A1822" s="143"/>
      <c r="B1822" s="134"/>
      <c r="C1822" s="134"/>
      <c r="D1822" s="134"/>
      <c r="E1822" s="134"/>
      <c r="F1822" s="134"/>
      <c r="G1822" s="134"/>
      <c r="H1822" s="134"/>
      <c r="J1822" s="134"/>
      <c r="K1822" s="135"/>
      <c r="L1822" s="136"/>
      <c r="M1822" s="144"/>
      <c r="T1822" s="52"/>
      <c r="V1822" s="134"/>
      <c r="W1822" s="134"/>
      <c r="X1822" s="134"/>
      <c r="Y1822" s="134"/>
      <c r="Z1822" s="134"/>
      <c r="AA1822" s="134"/>
      <c r="AB1822" s="134"/>
      <c r="AC1822" s="134"/>
      <c r="AD1822" s="134"/>
    </row>
    <row r="1823">
      <c r="A1823" s="143"/>
      <c r="B1823" s="134"/>
      <c r="C1823" s="134"/>
      <c r="D1823" s="134"/>
      <c r="E1823" s="134"/>
      <c r="F1823" s="134"/>
      <c r="G1823" s="134"/>
      <c r="H1823" s="134"/>
      <c r="J1823" s="134"/>
      <c r="K1823" s="135"/>
      <c r="L1823" s="136"/>
      <c r="M1823" s="144"/>
      <c r="T1823" s="52"/>
      <c r="V1823" s="134"/>
      <c r="W1823" s="134"/>
      <c r="X1823" s="134"/>
      <c r="Y1823" s="134"/>
      <c r="Z1823" s="134"/>
      <c r="AA1823" s="134"/>
      <c r="AB1823" s="134"/>
      <c r="AC1823" s="134"/>
      <c r="AD1823" s="134"/>
    </row>
    <row r="1824">
      <c r="A1824" s="143"/>
      <c r="B1824" s="134"/>
      <c r="C1824" s="134"/>
      <c r="D1824" s="134"/>
      <c r="E1824" s="134"/>
      <c r="F1824" s="134"/>
      <c r="G1824" s="134"/>
      <c r="H1824" s="134"/>
      <c r="J1824" s="134"/>
      <c r="K1824" s="135"/>
      <c r="L1824" s="136"/>
      <c r="M1824" s="144"/>
      <c r="T1824" s="52"/>
      <c r="V1824" s="134"/>
      <c r="W1824" s="134"/>
      <c r="X1824" s="134"/>
      <c r="Y1824" s="134"/>
      <c r="Z1824" s="134"/>
      <c r="AA1824" s="134"/>
      <c r="AB1824" s="134"/>
      <c r="AC1824" s="134"/>
      <c r="AD1824" s="134"/>
    </row>
    <row r="1825">
      <c r="A1825" s="143"/>
      <c r="B1825" s="134"/>
      <c r="C1825" s="134"/>
      <c r="D1825" s="134"/>
      <c r="E1825" s="134"/>
      <c r="F1825" s="134"/>
      <c r="G1825" s="134"/>
      <c r="H1825" s="134"/>
      <c r="J1825" s="134"/>
      <c r="K1825" s="135"/>
      <c r="L1825" s="136"/>
      <c r="M1825" s="144"/>
      <c r="T1825" s="52"/>
      <c r="V1825" s="134"/>
      <c r="W1825" s="134"/>
      <c r="X1825" s="134"/>
      <c r="Y1825" s="134"/>
      <c r="Z1825" s="134"/>
      <c r="AA1825" s="134"/>
      <c r="AB1825" s="134"/>
      <c r="AC1825" s="134"/>
      <c r="AD1825" s="134"/>
    </row>
    <row r="1826">
      <c r="A1826" s="143"/>
      <c r="B1826" s="134"/>
      <c r="C1826" s="134"/>
      <c r="D1826" s="134"/>
      <c r="E1826" s="134"/>
      <c r="F1826" s="134"/>
      <c r="G1826" s="134"/>
      <c r="H1826" s="134"/>
      <c r="J1826" s="134"/>
      <c r="K1826" s="135"/>
      <c r="L1826" s="136"/>
      <c r="M1826" s="144"/>
      <c r="T1826" s="52"/>
      <c r="V1826" s="134"/>
      <c r="W1826" s="134"/>
      <c r="X1826" s="134"/>
      <c r="Y1826" s="134"/>
      <c r="Z1826" s="134"/>
      <c r="AA1826" s="134"/>
      <c r="AB1826" s="134"/>
      <c r="AC1826" s="134"/>
      <c r="AD1826" s="134"/>
    </row>
    <row r="1827">
      <c r="A1827" s="143"/>
      <c r="B1827" s="134"/>
      <c r="C1827" s="134"/>
      <c r="D1827" s="134"/>
      <c r="E1827" s="134"/>
      <c r="F1827" s="134"/>
      <c r="G1827" s="134"/>
      <c r="H1827" s="134"/>
      <c r="J1827" s="134"/>
      <c r="K1827" s="135"/>
      <c r="L1827" s="136"/>
      <c r="M1827" s="144"/>
      <c r="T1827" s="52"/>
      <c r="V1827" s="134"/>
      <c r="W1827" s="134"/>
      <c r="X1827" s="134"/>
      <c r="Y1827" s="134"/>
      <c r="Z1827" s="134"/>
      <c r="AA1827" s="134"/>
      <c r="AB1827" s="134"/>
      <c r="AC1827" s="134"/>
      <c r="AD1827" s="134"/>
    </row>
    <row r="1828">
      <c r="A1828" s="143"/>
      <c r="B1828" s="134"/>
      <c r="C1828" s="134"/>
      <c r="D1828" s="134"/>
      <c r="E1828" s="134"/>
      <c r="F1828" s="134"/>
      <c r="G1828" s="134"/>
      <c r="H1828" s="134"/>
      <c r="J1828" s="134"/>
      <c r="K1828" s="135"/>
      <c r="L1828" s="136"/>
      <c r="M1828" s="144"/>
      <c r="T1828" s="52"/>
      <c r="V1828" s="134"/>
      <c r="W1828" s="134"/>
      <c r="X1828" s="134"/>
      <c r="Y1828" s="134"/>
      <c r="Z1828" s="134"/>
      <c r="AA1828" s="134"/>
      <c r="AB1828" s="134"/>
      <c r="AC1828" s="134"/>
      <c r="AD1828" s="134"/>
    </row>
    <row r="1829">
      <c r="A1829" s="143"/>
      <c r="B1829" s="134"/>
      <c r="C1829" s="134"/>
      <c r="D1829" s="134"/>
      <c r="E1829" s="134"/>
      <c r="F1829" s="134"/>
      <c r="G1829" s="134"/>
      <c r="H1829" s="134"/>
      <c r="J1829" s="134"/>
      <c r="K1829" s="135"/>
      <c r="L1829" s="136"/>
      <c r="M1829" s="144"/>
      <c r="T1829" s="52"/>
      <c r="V1829" s="134"/>
      <c r="W1829" s="134"/>
      <c r="X1829" s="134"/>
      <c r="Y1829" s="134"/>
      <c r="Z1829" s="134"/>
      <c r="AA1829" s="134"/>
      <c r="AB1829" s="134"/>
      <c r="AC1829" s="134"/>
      <c r="AD1829" s="134"/>
    </row>
    <row r="1830">
      <c r="A1830" s="143"/>
      <c r="B1830" s="134"/>
      <c r="C1830" s="134"/>
      <c r="D1830" s="134"/>
      <c r="E1830" s="134"/>
      <c r="F1830" s="134"/>
      <c r="G1830" s="134"/>
      <c r="H1830" s="134"/>
      <c r="J1830" s="134"/>
      <c r="K1830" s="135"/>
      <c r="L1830" s="136"/>
      <c r="M1830" s="144"/>
      <c r="T1830" s="52"/>
      <c r="V1830" s="134"/>
      <c r="W1830" s="134"/>
      <c r="X1830" s="134"/>
      <c r="Y1830" s="134"/>
      <c r="Z1830" s="134"/>
      <c r="AA1830" s="134"/>
      <c r="AB1830" s="134"/>
      <c r="AC1830" s="134"/>
      <c r="AD1830" s="134"/>
    </row>
    <row r="1831">
      <c r="A1831" s="143"/>
      <c r="B1831" s="134"/>
      <c r="C1831" s="134"/>
      <c r="D1831" s="134"/>
      <c r="E1831" s="134"/>
      <c r="F1831" s="134"/>
      <c r="G1831" s="134"/>
      <c r="H1831" s="134"/>
      <c r="J1831" s="134"/>
      <c r="K1831" s="135"/>
      <c r="L1831" s="136"/>
      <c r="M1831" s="144"/>
      <c r="T1831" s="52"/>
      <c r="V1831" s="134"/>
      <c r="W1831" s="134"/>
      <c r="X1831" s="134"/>
      <c r="Y1831" s="134"/>
      <c r="Z1831" s="134"/>
      <c r="AA1831" s="134"/>
      <c r="AB1831" s="134"/>
      <c r="AC1831" s="134"/>
      <c r="AD1831" s="134"/>
    </row>
    <row r="1832">
      <c r="A1832" s="143"/>
      <c r="B1832" s="134"/>
      <c r="C1832" s="134"/>
      <c r="D1832" s="134"/>
      <c r="E1832" s="134"/>
      <c r="F1832" s="134"/>
      <c r="G1832" s="134"/>
      <c r="H1832" s="134"/>
      <c r="J1832" s="134"/>
      <c r="K1832" s="135"/>
      <c r="L1832" s="136"/>
      <c r="M1832" s="144"/>
      <c r="T1832" s="52"/>
      <c r="V1832" s="134"/>
      <c r="W1832" s="134"/>
      <c r="X1832" s="134"/>
      <c r="Y1832" s="134"/>
      <c r="Z1832" s="134"/>
      <c r="AA1832" s="134"/>
      <c r="AB1832" s="134"/>
      <c r="AC1832" s="134"/>
      <c r="AD1832" s="134"/>
    </row>
    <row r="1833">
      <c r="A1833" s="143"/>
      <c r="B1833" s="134"/>
      <c r="C1833" s="134"/>
      <c r="D1833" s="134"/>
      <c r="E1833" s="134"/>
      <c r="F1833" s="134"/>
      <c r="G1833" s="134"/>
      <c r="H1833" s="134"/>
      <c r="J1833" s="134"/>
      <c r="K1833" s="135"/>
      <c r="L1833" s="136"/>
      <c r="M1833" s="144"/>
      <c r="T1833" s="52"/>
      <c r="V1833" s="134"/>
      <c r="W1833" s="134"/>
      <c r="X1833" s="134"/>
      <c r="Y1833" s="134"/>
      <c r="Z1833" s="134"/>
      <c r="AA1833" s="134"/>
      <c r="AB1833" s="134"/>
      <c r="AC1833" s="134"/>
      <c r="AD1833" s="134"/>
    </row>
    <row r="1834">
      <c r="A1834" s="143"/>
      <c r="B1834" s="134"/>
      <c r="C1834" s="134"/>
      <c r="D1834" s="134"/>
      <c r="E1834" s="134"/>
      <c r="F1834" s="134"/>
      <c r="G1834" s="134"/>
      <c r="H1834" s="134"/>
      <c r="J1834" s="134"/>
      <c r="K1834" s="135"/>
      <c r="L1834" s="136"/>
      <c r="M1834" s="144"/>
      <c r="T1834" s="52"/>
      <c r="V1834" s="134"/>
      <c r="W1834" s="134"/>
      <c r="X1834" s="134"/>
      <c r="Y1834" s="134"/>
      <c r="Z1834" s="134"/>
      <c r="AA1834" s="134"/>
      <c r="AB1834" s="134"/>
      <c r="AC1834" s="134"/>
      <c r="AD1834" s="134"/>
    </row>
    <row r="1835">
      <c r="A1835" s="143"/>
      <c r="B1835" s="134"/>
      <c r="C1835" s="134"/>
      <c r="D1835" s="134"/>
      <c r="E1835" s="134"/>
      <c r="F1835" s="134"/>
      <c r="G1835" s="134"/>
      <c r="H1835" s="134"/>
      <c r="J1835" s="134"/>
      <c r="K1835" s="135"/>
      <c r="L1835" s="136"/>
      <c r="M1835" s="144"/>
      <c r="T1835" s="52"/>
      <c r="V1835" s="134"/>
      <c r="W1835" s="134"/>
      <c r="X1835" s="134"/>
      <c r="Y1835" s="134"/>
      <c r="Z1835" s="134"/>
      <c r="AA1835" s="134"/>
      <c r="AB1835" s="134"/>
      <c r="AC1835" s="134"/>
      <c r="AD1835" s="134"/>
    </row>
    <row r="1836">
      <c r="A1836" s="143"/>
      <c r="B1836" s="134"/>
      <c r="C1836" s="134"/>
      <c r="D1836" s="134"/>
      <c r="E1836" s="134"/>
      <c r="F1836" s="134"/>
      <c r="G1836" s="134"/>
      <c r="H1836" s="134"/>
      <c r="J1836" s="134"/>
      <c r="K1836" s="135"/>
      <c r="L1836" s="136"/>
      <c r="M1836" s="144"/>
      <c r="T1836" s="52"/>
      <c r="V1836" s="134"/>
      <c r="W1836" s="134"/>
      <c r="X1836" s="134"/>
      <c r="Y1836" s="134"/>
      <c r="Z1836" s="134"/>
      <c r="AA1836" s="134"/>
      <c r="AB1836" s="134"/>
      <c r="AC1836" s="134"/>
      <c r="AD1836" s="134"/>
    </row>
    <row r="1837">
      <c r="A1837" s="143"/>
      <c r="B1837" s="134"/>
      <c r="C1837" s="134"/>
      <c r="D1837" s="134"/>
      <c r="E1837" s="134"/>
      <c r="F1837" s="134"/>
      <c r="G1837" s="134"/>
      <c r="H1837" s="134"/>
      <c r="J1837" s="134"/>
      <c r="K1837" s="135"/>
      <c r="L1837" s="136"/>
      <c r="M1837" s="144"/>
      <c r="T1837" s="52"/>
      <c r="V1837" s="134"/>
      <c r="W1837" s="134"/>
      <c r="X1837" s="134"/>
      <c r="Y1837" s="134"/>
      <c r="Z1837" s="134"/>
      <c r="AA1837" s="134"/>
      <c r="AB1837" s="134"/>
      <c r="AC1837" s="134"/>
      <c r="AD1837" s="134"/>
    </row>
    <row r="1838">
      <c r="A1838" s="143"/>
      <c r="B1838" s="134"/>
      <c r="C1838" s="134"/>
      <c r="D1838" s="134"/>
      <c r="E1838" s="134"/>
      <c r="F1838" s="134"/>
      <c r="G1838" s="134"/>
      <c r="H1838" s="134"/>
      <c r="J1838" s="134"/>
      <c r="K1838" s="135"/>
      <c r="L1838" s="136"/>
      <c r="M1838" s="144"/>
      <c r="T1838" s="52"/>
      <c r="V1838" s="134"/>
      <c r="W1838" s="134"/>
      <c r="X1838" s="134"/>
      <c r="Y1838" s="134"/>
      <c r="Z1838" s="134"/>
      <c r="AA1838" s="134"/>
      <c r="AB1838" s="134"/>
      <c r="AC1838" s="134"/>
      <c r="AD1838" s="134"/>
    </row>
    <row r="1839">
      <c r="A1839" s="143"/>
      <c r="B1839" s="134"/>
      <c r="C1839" s="134"/>
      <c r="D1839" s="134"/>
      <c r="E1839" s="134"/>
      <c r="F1839" s="134"/>
      <c r="G1839" s="134"/>
      <c r="H1839" s="134"/>
      <c r="J1839" s="134"/>
      <c r="K1839" s="135"/>
      <c r="L1839" s="136"/>
      <c r="M1839" s="144"/>
      <c r="T1839" s="52"/>
      <c r="V1839" s="134"/>
      <c r="W1839" s="134"/>
      <c r="X1839" s="134"/>
      <c r="Y1839" s="134"/>
      <c r="Z1839" s="134"/>
      <c r="AA1839" s="134"/>
      <c r="AB1839" s="134"/>
      <c r="AC1839" s="134"/>
      <c r="AD1839" s="134"/>
    </row>
    <row r="1840">
      <c r="A1840" s="143"/>
      <c r="B1840" s="134"/>
      <c r="C1840" s="134"/>
      <c r="D1840" s="134"/>
      <c r="E1840" s="134"/>
      <c r="F1840" s="134"/>
      <c r="G1840" s="134"/>
      <c r="H1840" s="134"/>
      <c r="J1840" s="134"/>
      <c r="K1840" s="135"/>
      <c r="L1840" s="136"/>
      <c r="M1840" s="144"/>
      <c r="T1840" s="52"/>
      <c r="V1840" s="134"/>
      <c r="W1840" s="134"/>
      <c r="X1840" s="134"/>
      <c r="Y1840" s="134"/>
      <c r="Z1840" s="134"/>
      <c r="AA1840" s="134"/>
      <c r="AB1840" s="134"/>
      <c r="AC1840" s="134"/>
      <c r="AD1840" s="134"/>
    </row>
    <row r="1841">
      <c r="A1841" s="143"/>
      <c r="B1841" s="134"/>
      <c r="C1841" s="134"/>
      <c r="D1841" s="134"/>
      <c r="E1841" s="134"/>
      <c r="F1841" s="134"/>
      <c r="G1841" s="134"/>
      <c r="H1841" s="134"/>
      <c r="J1841" s="134"/>
      <c r="K1841" s="135"/>
      <c r="L1841" s="136"/>
      <c r="M1841" s="144"/>
      <c r="T1841" s="52"/>
      <c r="V1841" s="134"/>
      <c r="W1841" s="134"/>
      <c r="X1841" s="134"/>
      <c r="Y1841" s="134"/>
      <c r="Z1841" s="134"/>
      <c r="AA1841" s="134"/>
      <c r="AB1841" s="134"/>
      <c r="AC1841" s="134"/>
      <c r="AD1841" s="134"/>
    </row>
    <row r="1842">
      <c r="A1842" s="143"/>
      <c r="B1842" s="134"/>
      <c r="C1842" s="134"/>
      <c r="D1842" s="134"/>
      <c r="E1842" s="134"/>
      <c r="F1842" s="134"/>
      <c r="G1842" s="134"/>
      <c r="H1842" s="134"/>
      <c r="J1842" s="134"/>
      <c r="K1842" s="135"/>
      <c r="L1842" s="136"/>
      <c r="M1842" s="144"/>
      <c r="T1842" s="52"/>
      <c r="V1842" s="134"/>
      <c r="W1842" s="134"/>
      <c r="X1842" s="134"/>
      <c r="Y1842" s="134"/>
      <c r="Z1842" s="134"/>
      <c r="AA1842" s="134"/>
      <c r="AB1842" s="134"/>
      <c r="AC1842" s="134"/>
      <c r="AD1842" s="134"/>
    </row>
    <row r="1843">
      <c r="A1843" s="143"/>
      <c r="B1843" s="134"/>
      <c r="C1843" s="134"/>
      <c r="D1843" s="134"/>
      <c r="E1843" s="134"/>
      <c r="F1843" s="134"/>
      <c r="G1843" s="134"/>
      <c r="H1843" s="134"/>
      <c r="J1843" s="134"/>
      <c r="K1843" s="135"/>
      <c r="L1843" s="136"/>
      <c r="M1843" s="144"/>
      <c r="T1843" s="52"/>
      <c r="V1843" s="134"/>
      <c r="W1843" s="134"/>
      <c r="X1843" s="134"/>
      <c r="Y1843" s="134"/>
      <c r="Z1843" s="134"/>
      <c r="AA1843" s="134"/>
      <c r="AB1843" s="134"/>
      <c r="AC1843" s="134"/>
      <c r="AD1843" s="134"/>
    </row>
    <row r="1844">
      <c r="A1844" s="143"/>
      <c r="B1844" s="134"/>
      <c r="C1844" s="134"/>
      <c r="D1844" s="134"/>
      <c r="E1844" s="134"/>
      <c r="F1844" s="134"/>
      <c r="G1844" s="134"/>
      <c r="H1844" s="134"/>
      <c r="J1844" s="134"/>
      <c r="K1844" s="135"/>
      <c r="L1844" s="136"/>
      <c r="M1844" s="144"/>
      <c r="T1844" s="52"/>
      <c r="V1844" s="134"/>
      <c r="W1844" s="134"/>
      <c r="X1844" s="134"/>
      <c r="Y1844" s="134"/>
      <c r="Z1844" s="134"/>
      <c r="AA1844" s="134"/>
      <c r="AB1844" s="134"/>
      <c r="AC1844" s="134"/>
      <c r="AD1844" s="134"/>
    </row>
    <row r="1845">
      <c r="A1845" s="143"/>
      <c r="B1845" s="134"/>
      <c r="C1845" s="134"/>
      <c r="D1845" s="134"/>
      <c r="E1845" s="134"/>
      <c r="F1845" s="134"/>
      <c r="G1845" s="134"/>
      <c r="H1845" s="134"/>
      <c r="J1845" s="134"/>
      <c r="K1845" s="135"/>
      <c r="L1845" s="136"/>
      <c r="M1845" s="144"/>
      <c r="T1845" s="52"/>
      <c r="V1845" s="134"/>
      <c r="W1845" s="134"/>
      <c r="X1845" s="134"/>
      <c r="Y1845" s="134"/>
      <c r="Z1845" s="134"/>
      <c r="AA1845" s="134"/>
      <c r="AB1845" s="134"/>
      <c r="AC1845" s="134"/>
      <c r="AD1845" s="134"/>
    </row>
    <row r="1846">
      <c r="A1846" s="143"/>
      <c r="B1846" s="134"/>
      <c r="C1846" s="134"/>
      <c r="D1846" s="134"/>
      <c r="E1846" s="134"/>
      <c r="F1846" s="134"/>
      <c r="G1846" s="134"/>
      <c r="H1846" s="134"/>
      <c r="J1846" s="134"/>
      <c r="K1846" s="135"/>
      <c r="L1846" s="136"/>
      <c r="M1846" s="144"/>
      <c r="T1846" s="52"/>
      <c r="V1846" s="134"/>
      <c r="W1846" s="134"/>
      <c r="X1846" s="134"/>
      <c r="Y1846" s="134"/>
      <c r="Z1846" s="134"/>
      <c r="AA1846" s="134"/>
      <c r="AB1846" s="134"/>
      <c r="AC1846" s="134"/>
      <c r="AD1846" s="134"/>
    </row>
    <row r="1847">
      <c r="A1847" s="143"/>
      <c r="B1847" s="134"/>
      <c r="C1847" s="134"/>
      <c r="D1847" s="134"/>
      <c r="E1847" s="134"/>
      <c r="F1847" s="134"/>
      <c r="G1847" s="134"/>
      <c r="H1847" s="134"/>
      <c r="J1847" s="134"/>
      <c r="K1847" s="135"/>
      <c r="L1847" s="136"/>
      <c r="M1847" s="144"/>
      <c r="T1847" s="52"/>
      <c r="V1847" s="134"/>
      <c r="W1847" s="134"/>
      <c r="X1847" s="134"/>
      <c r="Y1847" s="134"/>
      <c r="Z1847" s="134"/>
      <c r="AA1847" s="134"/>
      <c r="AB1847" s="134"/>
      <c r="AC1847" s="134"/>
      <c r="AD1847" s="134"/>
    </row>
    <row r="1848">
      <c r="A1848" s="143"/>
      <c r="B1848" s="134"/>
      <c r="C1848" s="134"/>
      <c r="D1848" s="134"/>
      <c r="E1848" s="134"/>
      <c r="F1848" s="134"/>
      <c r="G1848" s="134"/>
      <c r="H1848" s="134"/>
      <c r="J1848" s="134"/>
      <c r="K1848" s="135"/>
      <c r="L1848" s="136"/>
      <c r="M1848" s="144"/>
      <c r="T1848" s="52"/>
      <c r="V1848" s="134"/>
      <c r="W1848" s="134"/>
      <c r="X1848" s="134"/>
      <c r="Y1848" s="134"/>
      <c r="Z1848" s="134"/>
      <c r="AA1848" s="134"/>
      <c r="AB1848" s="134"/>
      <c r="AC1848" s="134"/>
      <c r="AD1848" s="134"/>
    </row>
    <row r="1849">
      <c r="A1849" s="143"/>
      <c r="B1849" s="134"/>
      <c r="C1849" s="134"/>
      <c r="D1849" s="134"/>
      <c r="E1849" s="134"/>
      <c r="F1849" s="134"/>
      <c r="G1849" s="134"/>
      <c r="H1849" s="134"/>
      <c r="J1849" s="134"/>
      <c r="K1849" s="135"/>
      <c r="L1849" s="136"/>
      <c r="M1849" s="144"/>
      <c r="T1849" s="52"/>
      <c r="V1849" s="134"/>
      <c r="W1849" s="134"/>
      <c r="X1849" s="134"/>
      <c r="Y1849" s="134"/>
      <c r="Z1849" s="134"/>
      <c r="AA1849" s="134"/>
      <c r="AB1849" s="134"/>
      <c r="AC1849" s="134"/>
      <c r="AD1849" s="134"/>
    </row>
    <row r="1850">
      <c r="A1850" s="143"/>
      <c r="B1850" s="134"/>
      <c r="C1850" s="134"/>
      <c r="D1850" s="134"/>
      <c r="E1850" s="134"/>
      <c r="F1850" s="134"/>
      <c r="G1850" s="134"/>
      <c r="H1850" s="134"/>
      <c r="J1850" s="134"/>
      <c r="K1850" s="135"/>
      <c r="L1850" s="136"/>
      <c r="M1850" s="144"/>
      <c r="T1850" s="52"/>
      <c r="V1850" s="134"/>
      <c r="W1850" s="134"/>
      <c r="X1850" s="134"/>
      <c r="Y1850" s="134"/>
      <c r="Z1850" s="134"/>
      <c r="AA1850" s="134"/>
      <c r="AB1850" s="134"/>
      <c r="AC1850" s="134"/>
      <c r="AD1850" s="134"/>
    </row>
    <row r="1851">
      <c r="A1851" s="143"/>
      <c r="B1851" s="134"/>
      <c r="C1851" s="134"/>
      <c r="D1851" s="134"/>
      <c r="E1851" s="134"/>
      <c r="F1851" s="134"/>
      <c r="G1851" s="134"/>
      <c r="H1851" s="134"/>
      <c r="J1851" s="134"/>
      <c r="K1851" s="135"/>
      <c r="L1851" s="136"/>
      <c r="M1851" s="144"/>
      <c r="T1851" s="52"/>
      <c r="V1851" s="134"/>
      <c r="W1851" s="134"/>
      <c r="X1851" s="134"/>
      <c r="Y1851" s="134"/>
      <c r="Z1851" s="134"/>
      <c r="AA1851" s="134"/>
      <c r="AB1851" s="134"/>
      <c r="AC1851" s="134"/>
      <c r="AD1851" s="134"/>
    </row>
    <row r="1852">
      <c r="A1852" s="143"/>
      <c r="B1852" s="134"/>
      <c r="C1852" s="134"/>
      <c r="D1852" s="134"/>
      <c r="E1852" s="134"/>
      <c r="F1852" s="134"/>
      <c r="G1852" s="134"/>
      <c r="H1852" s="134"/>
      <c r="J1852" s="134"/>
      <c r="K1852" s="135"/>
      <c r="L1852" s="136"/>
      <c r="M1852" s="144"/>
      <c r="T1852" s="52"/>
      <c r="V1852" s="134"/>
      <c r="W1852" s="134"/>
      <c r="X1852" s="134"/>
      <c r="Y1852" s="134"/>
      <c r="Z1852" s="134"/>
      <c r="AA1852" s="134"/>
      <c r="AB1852" s="134"/>
      <c r="AC1852" s="134"/>
      <c r="AD1852" s="134"/>
    </row>
    <row r="1853">
      <c r="A1853" s="143"/>
      <c r="B1853" s="134"/>
      <c r="C1853" s="134"/>
      <c r="D1853" s="134"/>
      <c r="E1853" s="134"/>
      <c r="F1853" s="134"/>
      <c r="G1853" s="134"/>
      <c r="H1853" s="134"/>
      <c r="J1853" s="134"/>
      <c r="K1853" s="135"/>
      <c r="L1853" s="136"/>
      <c r="M1853" s="144"/>
      <c r="T1853" s="52"/>
      <c r="V1853" s="134"/>
      <c r="W1853" s="134"/>
      <c r="X1853" s="134"/>
      <c r="Y1853" s="134"/>
      <c r="Z1853" s="134"/>
      <c r="AA1853" s="134"/>
      <c r="AB1853" s="134"/>
      <c r="AC1853" s="134"/>
      <c r="AD1853" s="134"/>
    </row>
    <row r="1854">
      <c r="A1854" s="143"/>
      <c r="B1854" s="134"/>
      <c r="C1854" s="134"/>
      <c r="D1854" s="134"/>
      <c r="E1854" s="134"/>
      <c r="F1854" s="134"/>
      <c r="G1854" s="134"/>
      <c r="H1854" s="134"/>
      <c r="J1854" s="134"/>
      <c r="K1854" s="135"/>
      <c r="L1854" s="136"/>
      <c r="M1854" s="144"/>
      <c r="T1854" s="52"/>
      <c r="V1854" s="134"/>
      <c r="W1854" s="134"/>
      <c r="X1854" s="134"/>
      <c r="Y1854" s="134"/>
      <c r="Z1854" s="134"/>
      <c r="AA1854" s="134"/>
      <c r="AB1854" s="134"/>
      <c r="AC1854" s="134"/>
      <c r="AD1854" s="134"/>
    </row>
    <row r="1855">
      <c r="A1855" s="143"/>
      <c r="B1855" s="134"/>
      <c r="C1855" s="134"/>
      <c r="D1855" s="134"/>
      <c r="E1855" s="134"/>
      <c r="F1855" s="134"/>
      <c r="G1855" s="134"/>
      <c r="H1855" s="134"/>
      <c r="J1855" s="134"/>
      <c r="K1855" s="135"/>
      <c r="L1855" s="136"/>
      <c r="M1855" s="144"/>
      <c r="T1855" s="52"/>
      <c r="V1855" s="134"/>
      <c r="W1855" s="134"/>
      <c r="X1855" s="134"/>
      <c r="Y1855" s="134"/>
      <c r="Z1855" s="134"/>
      <c r="AA1855" s="134"/>
      <c r="AB1855" s="134"/>
      <c r="AC1855" s="134"/>
      <c r="AD1855" s="134"/>
    </row>
    <row r="1856">
      <c r="A1856" s="143"/>
      <c r="B1856" s="134"/>
      <c r="C1856" s="134"/>
      <c r="D1856" s="134"/>
      <c r="E1856" s="134"/>
      <c r="F1856" s="134"/>
      <c r="G1856" s="134"/>
      <c r="H1856" s="134"/>
      <c r="J1856" s="134"/>
      <c r="K1856" s="135"/>
      <c r="L1856" s="136"/>
      <c r="M1856" s="144"/>
      <c r="T1856" s="52"/>
      <c r="V1856" s="134"/>
      <c r="W1856" s="134"/>
      <c r="X1856" s="134"/>
      <c r="Y1856" s="134"/>
      <c r="Z1856" s="134"/>
      <c r="AA1856" s="134"/>
      <c r="AB1856" s="134"/>
      <c r="AC1856" s="134"/>
      <c r="AD1856" s="134"/>
    </row>
    <row r="1857">
      <c r="A1857" s="143"/>
      <c r="B1857" s="134"/>
      <c r="C1857" s="134"/>
      <c r="D1857" s="134"/>
      <c r="E1857" s="134"/>
      <c r="F1857" s="134"/>
      <c r="G1857" s="134"/>
      <c r="H1857" s="134"/>
      <c r="J1857" s="134"/>
      <c r="K1857" s="135"/>
      <c r="L1857" s="136"/>
      <c r="M1857" s="144"/>
      <c r="T1857" s="52"/>
      <c r="V1857" s="134"/>
      <c r="W1857" s="134"/>
      <c r="X1857" s="134"/>
      <c r="Y1857" s="134"/>
      <c r="Z1857" s="134"/>
      <c r="AA1857" s="134"/>
      <c r="AB1857" s="134"/>
      <c r="AC1857" s="134"/>
      <c r="AD1857" s="134"/>
    </row>
    <row r="1858">
      <c r="A1858" s="143"/>
      <c r="B1858" s="134"/>
      <c r="C1858" s="134"/>
      <c r="D1858" s="134"/>
      <c r="E1858" s="134"/>
      <c r="F1858" s="134"/>
      <c r="G1858" s="134"/>
      <c r="H1858" s="134"/>
      <c r="J1858" s="134"/>
      <c r="K1858" s="135"/>
      <c r="L1858" s="136"/>
      <c r="M1858" s="144"/>
      <c r="T1858" s="52"/>
      <c r="V1858" s="134"/>
      <c r="W1858" s="134"/>
      <c r="X1858" s="134"/>
      <c r="Y1858" s="134"/>
      <c r="Z1858" s="134"/>
      <c r="AA1858" s="134"/>
      <c r="AB1858" s="134"/>
      <c r="AC1858" s="134"/>
      <c r="AD1858" s="134"/>
    </row>
    <row r="1859">
      <c r="A1859" s="143"/>
      <c r="B1859" s="134"/>
      <c r="C1859" s="134"/>
      <c r="D1859" s="134"/>
      <c r="E1859" s="134"/>
      <c r="F1859" s="134"/>
      <c r="G1859" s="134"/>
      <c r="H1859" s="134"/>
      <c r="J1859" s="134"/>
      <c r="K1859" s="135"/>
      <c r="L1859" s="136"/>
      <c r="M1859" s="144"/>
      <c r="T1859" s="52"/>
      <c r="V1859" s="134"/>
      <c r="W1859" s="134"/>
      <c r="X1859" s="134"/>
      <c r="Y1859" s="134"/>
      <c r="Z1859" s="134"/>
      <c r="AA1859" s="134"/>
      <c r="AB1859" s="134"/>
      <c r="AC1859" s="134"/>
      <c r="AD1859" s="134"/>
    </row>
    <row r="1860">
      <c r="A1860" s="143"/>
      <c r="B1860" s="134"/>
      <c r="C1860" s="134"/>
      <c r="D1860" s="134"/>
      <c r="E1860" s="134"/>
      <c r="F1860" s="134"/>
      <c r="G1860" s="134"/>
      <c r="H1860" s="134"/>
      <c r="J1860" s="134"/>
      <c r="K1860" s="135"/>
      <c r="L1860" s="136"/>
      <c r="M1860" s="144"/>
      <c r="T1860" s="52"/>
      <c r="V1860" s="134"/>
      <c r="W1860" s="134"/>
      <c r="X1860" s="134"/>
      <c r="Y1860" s="134"/>
      <c r="Z1860" s="134"/>
      <c r="AA1860" s="134"/>
      <c r="AB1860" s="134"/>
      <c r="AC1860" s="134"/>
      <c r="AD1860" s="134"/>
    </row>
    <row r="1861">
      <c r="A1861" s="143"/>
      <c r="B1861" s="134"/>
      <c r="C1861" s="134"/>
      <c r="D1861" s="134"/>
      <c r="E1861" s="134"/>
      <c r="F1861" s="134"/>
      <c r="G1861" s="134"/>
      <c r="H1861" s="134"/>
      <c r="J1861" s="134"/>
      <c r="K1861" s="135"/>
      <c r="L1861" s="136"/>
      <c r="M1861" s="144"/>
      <c r="T1861" s="52"/>
      <c r="V1861" s="134"/>
      <c r="W1861" s="134"/>
      <c r="X1861" s="134"/>
      <c r="Y1861" s="134"/>
      <c r="Z1861" s="134"/>
      <c r="AA1861" s="134"/>
      <c r="AB1861" s="134"/>
      <c r="AC1861" s="134"/>
      <c r="AD1861" s="134"/>
    </row>
    <row r="1862">
      <c r="A1862" s="143"/>
      <c r="B1862" s="134"/>
      <c r="C1862" s="134"/>
      <c r="D1862" s="134"/>
      <c r="E1862" s="134"/>
      <c r="F1862" s="134"/>
      <c r="G1862" s="134"/>
      <c r="H1862" s="134"/>
      <c r="J1862" s="134"/>
      <c r="K1862" s="135"/>
      <c r="L1862" s="136"/>
      <c r="M1862" s="144"/>
      <c r="T1862" s="52"/>
      <c r="V1862" s="134"/>
      <c r="W1862" s="134"/>
      <c r="X1862" s="134"/>
      <c r="Y1862" s="134"/>
      <c r="Z1862" s="134"/>
      <c r="AA1862" s="134"/>
      <c r="AB1862" s="134"/>
      <c r="AC1862" s="134"/>
      <c r="AD1862" s="134"/>
    </row>
    <row r="1863">
      <c r="A1863" s="143"/>
      <c r="B1863" s="134"/>
      <c r="C1863" s="134"/>
      <c r="D1863" s="134"/>
      <c r="E1863" s="134"/>
      <c r="F1863" s="134"/>
      <c r="G1863" s="134"/>
      <c r="H1863" s="134"/>
      <c r="J1863" s="134"/>
      <c r="K1863" s="135"/>
      <c r="L1863" s="136"/>
      <c r="M1863" s="144"/>
      <c r="T1863" s="52"/>
      <c r="V1863" s="134"/>
      <c r="W1863" s="134"/>
      <c r="X1863" s="134"/>
      <c r="Y1863" s="134"/>
      <c r="Z1863" s="134"/>
      <c r="AA1863" s="134"/>
      <c r="AB1863" s="134"/>
      <c r="AC1863" s="134"/>
      <c r="AD1863" s="134"/>
    </row>
    <row r="1864">
      <c r="A1864" s="143"/>
      <c r="B1864" s="134"/>
      <c r="C1864" s="134"/>
      <c r="D1864" s="134"/>
      <c r="E1864" s="134"/>
      <c r="F1864" s="134"/>
      <c r="G1864" s="134"/>
      <c r="H1864" s="134"/>
      <c r="J1864" s="134"/>
      <c r="K1864" s="135"/>
      <c r="L1864" s="136"/>
      <c r="M1864" s="144"/>
      <c r="T1864" s="52"/>
      <c r="V1864" s="134"/>
      <c r="W1864" s="134"/>
      <c r="X1864" s="134"/>
      <c r="Y1864" s="134"/>
      <c r="Z1864" s="134"/>
      <c r="AA1864" s="134"/>
      <c r="AB1864" s="134"/>
      <c r="AC1864" s="134"/>
      <c r="AD1864" s="134"/>
    </row>
    <row r="1865">
      <c r="A1865" s="143"/>
      <c r="B1865" s="134"/>
      <c r="C1865" s="134"/>
      <c r="D1865" s="134"/>
      <c r="E1865" s="134"/>
      <c r="F1865" s="134"/>
      <c r="G1865" s="134"/>
      <c r="H1865" s="134"/>
      <c r="J1865" s="134"/>
      <c r="K1865" s="135"/>
      <c r="L1865" s="136"/>
      <c r="M1865" s="144"/>
      <c r="T1865" s="52"/>
      <c r="V1865" s="134"/>
      <c r="W1865" s="134"/>
      <c r="X1865" s="134"/>
      <c r="Y1865" s="134"/>
      <c r="Z1865" s="134"/>
      <c r="AA1865" s="134"/>
      <c r="AB1865" s="134"/>
      <c r="AC1865" s="134"/>
      <c r="AD1865" s="134"/>
    </row>
    <row r="1866">
      <c r="A1866" s="143"/>
      <c r="B1866" s="134"/>
      <c r="C1866" s="134"/>
      <c r="D1866" s="134"/>
      <c r="E1866" s="134"/>
      <c r="F1866" s="134"/>
      <c r="G1866" s="134"/>
      <c r="H1866" s="134"/>
      <c r="J1866" s="134"/>
      <c r="K1866" s="135"/>
      <c r="L1866" s="136"/>
      <c r="M1866" s="144"/>
      <c r="T1866" s="52"/>
      <c r="V1866" s="134"/>
      <c r="W1866" s="134"/>
      <c r="X1866" s="134"/>
      <c r="Y1866" s="134"/>
      <c r="Z1866" s="134"/>
      <c r="AA1866" s="134"/>
      <c r="AB1866" s="134"/>
      <c r="AC1866" s="134"/>
      <c r="AD1866" s="134"/>
    </row>
    <row r="1867">
      <c r="A1867" s="143"/>
      <c r="B1867" s="134"/>
      <c r="C1867" s="134"/>
      <c r="D1867" s="134"/>
      <c r="E1867" s="134"/>
      <c r="F1867" s="134"/>
      <c r="G1867" s="134"/>
      <c r="H1867" s="134"/>
      <c r="J1867" s="134"/>
      <c r="K1867" s="135"/>
      <c r="L1867" s="136"/>
      <c r="M1867" s="144"/>
      <c r="T1867" s="52"/>
      <c r="V1867" s="134"/>
      <c r="W1867" s="134"/>
      <c r="X1867" s="134"/>
      <c r="Y1867" s="134"/>
      <c r="Z1867" s="134"/>
      <c r="AA1867" s="134"/>
      <c r="AB1867" s="134"/>
      <c r="AC1867" s="134"/>
      <c r="AD1867" s="134"/>
    </row>
    <row r="1868">
      <c r="A1868" s="143"/>
      <c r="B1868" s="134"/>
      <c r="C1868" s="134"/>
      <c r="D1868" s="134"/>
      <c r="E1868" s="134"/>
      <c r="F1868" s="134"/>
      <c r="G1868" s="134"/>
      <c r="H1868" s="134"/>
      <c r="J1868" s="134"/>
      <c r="K1868" s="135"/>
      <c r="L1868" s="136"/>
      <c r="M1868" s="144"/>
      <c r="T1868" s="52"/>
      <c r="V1868" s="134"/>
      <c r="W1868" s="134"/>
      <c r="X1868" s="134"/>
      <c r="Y1868" s="134"/>
      <c r="Z1868" s="134"/>
      <c r="AA1868" s="134"/>
      <c r="AB1868" s="134"/>
      <c r="AC1868" s="134"/>
      <c r="AD1868" s="134"/>
    </row>
    <row r="1869">
      <c r="A1869" s="143"/>
      <c r="B1869" s="134"/>
      <c r="C1869" s="134"/>
      <c r="D1869" s="134"/>
      <c r="E1869" s="134"/>
      <c r="F1869" s="134"/>
      <c r="G1869" s="134"/>
      <c r="H1869" s="134"/>
      <c r="J1869" s="134"/>
      <c r="K1869" s="135"/>
      <c r="L1869" s="136"/>
      <c r="M1869" s="144"/>
      <c r="T1869" s="52"/>
      <c r="V1869" s="134"/>
      <c r="W1869" s="134"/>
      <c r="X1869" s="134"/>
      <c r="Y1869" s="134"/>
      <c r="Z1869" s="134"/>
      <c r="AA1869" s="134"/>
      <c r="AB1869" s="134"/>
      <c r="AC1869" s="134"/>
      <c r="AD1869" s="134"/>
    </row>
    <row r="1870">
      <c r="A1870" s="143"/>
      <c r="B1870" s="134"/>
      <c r="C1870" s="134"/>
      <c r="D1870" s="134"/>
      <c r="E1870" s="134"/>
      <c r="F1870" s="134"/>
      <c r="G1870" s="134"/>
      <c r="H1870" s="134"/>
      <c r="J1870" s="134"/>
      <c r="K1870" s="135"/>
      <c r="L1870" s="136"/>
      <c r="M1870" s="144"/>
      <c r="T1870" s="52"/>
      <c r="V1870" s="134"/>
      <c r="W1870" s="134"/>
      <c r="X1870" s="134"/>
      <c r="Y1870" s="134"/>
      <c r="Z1870" s="134"/>
      <c r="AA1870" s="134"/>
      <c r="AB1870" s="134"/>
      <c r="AC1870" s="134"/>
      <c r="AD1870" s="134"/>
    </row>
    <row r="1871">
      <c r="A1871" s="143"/>
      <c r="B1871" s="134"/>
      <c r="C1871" s="134"/>
      <c r="D1871" s="134"/>
      <c r="E1871" s="134"/>
      <c r="F1871" s="134"/>
      <c r="G1871" s="134"/>
      <c r="H1871" s="134"/>
      <c r="J1871" s="134"/>
      <c r="K1871" s="135"/>
      <c r="L1871" s="136"/>
      <c r="M1871" s="144"/>
      <c r="T1871" s="52"/>
      <c r="V1871" s="134"/>
      <c r="W1871" s="134"/>
      <c r="X1871" s="134"/>
      <c r="Y1871" s="134"/>
      <c r="Z1871" s="134"/>
      <c r="AA1871" s="134"/>
      <c r="AB1871" s="134"/>
      <c r="AC1871" s="134"/>
      <c r="AD1871" s="134"/>
    </row>
    <row r="1872">
      <c r="A1872" s="143"/>
      <c r="B1872" s="134"/>
      <c r="C1872" s="134"/>
      <c r="D1872" s="134"/>
      <c r="E1872" s="134"/>
      <c r="F1872" s="134"/>
      <c r="G1872" s="134"/>
      <c r="H1872" s="134"/>
      <c r="J1872" s="134"/>
      <c r="K1872" s="135"/>
      <c r="L1872" s="136"/>
      <c r="M1872" s="144"/>
      <c r="T1872" s="52"/>
      <c r="V1872" s="134"/>
      <c r="W1872" s="134"/>
      <c r="X1872" s="134"/>
      <c r="Y1872" s="134"/>
      <c r="Z1872" s="134"/>
      <c r="AA1872" s="134"/>
      <c r="AB1872" s="134"/>
      <c r="AC1872" s="134"/>
      <c r="AD1872" s="134"/>
    </row>
    <row r="1873">
      <c r="A1873" s="143"/>
      <c r="B1873" s="134"/>
      <c r="C1873" s="134"/>
      <c r="D1873" s="134"/>
      <c r="E1873" s="134"/>
      <c r="F1873" s="134"/>
      <c r="G1873" s="134"/>
      <c r="H1873" s="134"/>
      <c r="J1873" s="134"/>
      <c r="K1873" s="135"/>
      <c r="L1873" s="136"/>
      <c r="M1873" s="144"/>
      <c r="T1873" s="52"/>
      <c r="V1873" s="134"/>
      <c r="W1873" s="134"/>
      <c r="X1873" s="134"/>
      <c r="Y1873" s="134"/>
      <c r="Z1873" s="134"/>
      <c r="AA1873" s="134"/>
      <c r="AB1873" s="134"/>
      <c r="AC1873" s="134"/>
      <c r="AD1873" s="134"/>
    </row>
    <row r="1874">
      <c r="A1874" s="143"/>
      <c r="B1874" s="134"/>
      <c r="C1874" s="134"/>
      <c r="D1874" s="134"/>
      <c r="E1874" s="134"/>
      <c r="F1874" s="134"/>
      <c r="G1874" s="134"/>
      <c r="H1874" s="134"/>
      <c r="J1874" s="134"/>
      <c r="K1874" s="135"/>
      <c r="L1874" s="136"/>
      <c r="M1874" s="144"/>
      <c r="T1874" s="52"/>
      <c r="V1874" s="134"/>
      <c r="W1874" s="134"/>
      <c r="X1874" s="134"/>
      <c r="Y1874" s="134"/>
      <c r="Z1874" s="134"/>
      <c r="AA1874" s="134"/>
      <c r="AB1874" s="134"/>
      <c r="AC1874" s="134"/>
      <c r="AD1874" s="134"/>
    </row>
    <row r="1875">
      <c r="A1875" s="143"/>
      <c r="B1875" s="134"/>
      <c r="C1875" s="134"/>
      <c r="D1875" s="134"/>
      <c r="E1875" s="134"/>
      <c r="F1875" s="134"/>
      <c r="G1875" s="134"/>
      <c r="H1875" s="134"/>
      <c r="J1875" s="134"/>
      <c r="K1875" s="135"/>
      <c r="L1875" s="136"/>
      <c r="M1875" s="144"/>
      <c r="T1875" s="52"/>
      <c r="V1875" s="134"/>
      <c r="W1875" s="134"/>
      <c r="X1875" s="134"/>
      <c r="Y1875" s="134"/>
      <c r="Z1875" s="134"/>
      <c r="AA1875" s="134"/>
      <c r="AB1875" s="134"/>
      <c r="AC1875" s="134"/>
      <c r="AD1875" s="134"/>
    </row>
    <row r="1876">
      <c r="A1876" s="143"/>
      <c r="B1876" s="134"/>
      <c r="C1876" s="134"/>
      <c r="D1876" s="134"/>
      <c r="E1876" s="134"/>
      <c r="F1876" s="134"/>
      <c r="G1876" s="134"/>
      <c r="H1876" s="134"/>
      <c r="J1876" s="134"/>
      <c r="K1876" s="135"/>
      <c r="L1876" s="136"/>
      <c r="M1876" s="144"/>
      <c r="T1876" s="52"/>
      <c r="V1876" s="134"/>
      <c r="W1876" s="134"/>
      <c r="X1876" s="134"/>
      <c r="Y1876" s="134"/>
      <c r="Z1876" s="134"/>
      <c r="AA1876" s="134"/>
      <c r="AB1876" s="134"/>
      <c r="AC1876" s="134"/>
      <c r="AD1876" s="134"/>
    </row>
    <row r="1877">
      <c r="A1877" s="143"/>
      <c r="B1877" s="134"/>
      <c r="C1877" s="134"/>
      <c r="D1877" s="134"/>
      <c r="E1877" s="134"/>
      <c r="F1877" s="134"/>
      <c r="G1877" s="134"/>
      <c r="H1877" s="134"/>
      <c r="J1877" s="134"/>
      <c r="K1877" s="135"/>
      <c r="L1877" s="136"/>
      <c r="M1877" s="144"/>
      <c r="T1877" s="52"/>
      <c r="V1877" s="134"/>
      <c r="W1877" s="134"/>
      <c r="X1877" s="134"/>
      <c r="Y1877" s="134"/>
      <c r="Z1877" s="134"/>
      <c r="AA1877" s="134"/>
      <c r="AB1877" s="134"/>
      <c r="AC1877" s="134"/>
      <c r="AD1877" s="134"/>
    </row>
    <row r="1878">
      <c r="A1878" s="143"/>
      <c r="B1878" s="134"/>
      <c r="C1878" s="134"/>
      <c r="D1878" s="134"/>
      <c r="E1878" s="134"/>
      <c r="F1878" s="134"/>
      <c r="G1878" s="134"/>
      <c r="H1878" s="134"/>
      <c r="J1878" s="134"/>
      <c r="K1878" s="135"/>
      <c r="L1878" s="136"/>
      <c r="M1878" s="144"/>
      <c r="T1878" s="52"/>
      <c r="V1878" s="134"/>
      <c r="W1878" s="134"/>
      <c r="X1878" s="134"/>
      <c r="Y1878" s="134"/>
      <c r="Z1878" s="134"/>
      <c r="AA1878" s="134"/>
      <c r="AB1878" s="134"/>
      <c r="AC1878" s="134"/>
      <c r="AD1878" s="134"/>
    </row>
    <row r="1879">
      <c r="A1879" s="143"/>
      <c r="B1879" s="134"/>
      <c r="C1879" s="134"/>
      <c r="D1879" s="134"/>
      <c r="E1879" s="134"/>
      <c r="F1879" s="134"/>
      <c r="G1879" s="134"/>
      <c r="H1879" s="134"/>
      <c r="J1879" s="134"/>
      <c r="K1879" s="135"/>
      <c r="L1879" s="136"/>
      <c r="M1879" s="144"/>
      <c r="T1879" s="52"/>
      <c r="V1879" s="134"/>
      <c r="W1879" s="134"/>
      <c r="X1879" s="134"/>
      <c r="Y1879" s="134"/>
      <c r="Z1879" s="134"/>
      <c r="AA1879" s="134"/>
      <c r="AB1879" s="134"/>
      <c r="AC1879" s="134"/>
      <c r="AD1879" s="134"/>
    </row>
    <row r="1880">
      <c r="A1880" s="143"/>
      <c r="B1880" s="134"/>
      <c r="C1880" s="134"/>
      <c r="D1880" s="134"/>
      <c r="E1880" s="134"/>
      <c r="F1880" s="134"/>
      <c r="G1880" s="134"/>
      <c r="H1880" s="134"/>
      <c r="J1880" s="134"/>
      <c r="K1880" s="135"/>
      <c r="L1880" s="136"/>
      <c r="M1880" s="144"/>
      <c r="T1880" s="52"/>
      <c r="V1880" s="134"/>
      <c r="W1880" s="134"/>
      <c r="X1880" s="134"/>
      <c r="Y1880" s="134"/>
      <c r="Z1880" s="134"/>
      <c r="AA1880" s="134"/>
      <c r="AB1880" s="134"/>
      <c r="AC1880" s="134"/>
      <c r="AD1880" s="134"/>
    </row>
    <row r="1881">
      <c r="A1881" s="143"/>
      <c r="B1881" s="134"/>
      <c r="C1881" s="134"/>
      <c r="D1881" s="134"/>
      <c r="E1881" s="134"/>
      <c r="F1881" s="134"/>
      <c r="G1881" s="134"/>
      <c r="H1881" s="134"/>
      <c r="J1881" s="134"/>
      <c r="K1881" s="135"/>
      <c r="L1881" s="136"/>
      <c r="M1881" s="144"/>
      <c r="T1881" s="52"/>
      <c r="V1881" s="134"/>
      <c r="W1881" s="134"/>
      <c r="X1881" s="134"/>
      <c r="Y1881" s="134"/>
      <c r="Z1881" s="134"/>
      <c r="AA1881" s="134"/>
      <c r="AB1881" s="134"/>
      <c r="AC1881" s="134"/>
      <c r="AD1881" s="134"/>
    </row>
    <row r="1882">
      <c r="A1882" s="143"/>
      <c r="B1882" s="134"/>
      <c r="C1882" s="134"/>
      <c r="D1882" s="134"/>
      <c r="E1882" s="134"/>
      <c r="F1882" s="134"/>
      <c r="G1882" s="134"/>
      <c r="H1882" s="134"/>
      <c r="J1882" s="134"/>
      <c r="K1882" s="135"/>
      <c r="L1882" s="136"/>
      <c r="M1882" s="144"/>
      <c r="T1882" s="52"/>
      <c r="V1882" s="134"/>
      <c r="W1882" s="134"/>
      <c r="X1882" s="134"/>
      <c r="Y1882" s="134"/>
      <c r="Z1882" s="134"/>
      <c r="AA1882" s="134"/>
      <c r="AB1882" s="134"/>
      <c r="AC1882" s="134"/>
      <c r="AD1882" s="134"/>
    </row>
    <row r="1883">
      <c r="A1883" s="143"/>
      <c r="B1883" s="134"/>
      <c r="C1883" s="134"/>
      <c r="D1883" s="134"/>
      <c r="E1883" s="134"/>
      <c r="F1883" s="134"/>
      <c r="G1883" s="134"/>
      <c r="H1883" s="134"/>
      <c r="J1883" s="134"/>
      <c r="K1883" s="135"/>
      <c r="L1883" s="136"/>
      <c r="M1883" s="144"/>
      <c r="T1883" s="52"/>
      <c r="V1883" s="134"/>
      <c r="W1883" s="134"/>
      <c r="X1883" s="134"/>
      <c r="Y1883" s="134"/>
      <c r="Z1883" s="134"/>
      <c r="AA1883" s="134"/>
      <c r="AB1883" s="134"/>
      <c r="AC1883" s="134"/>
      <c r="AD1883" s="134"/>
    </row>
    <row r="1884">
      <c r="A1884" s="143"/>
      <c r="B1884" s="134"/>
      <c r="C1884" s="134"/>
      <c r="D1884" s="134"/>
      <c r="E1884" s="134"/>
      <c r="F1884" s="134"/>
      <c r="G1884" s="134"/>
      <c r="H1884" s="134"/>
      <c r="J1884" s="134"/>
      <c r="K1884" s="135"/>
      <c r="L1884" s="136"/>
      <c r="M1884" s="144"/>
      <c r="T1884" s="52"/>
      <c r="V1884" s="134"/>
      <c r="W1884" s="134"/>
      <c r="X1884" s="134"/>
      <c r="Y1884" s="134"/>
      <c r="Z1884" s="134"/>
      <c r="AA1884" s="134"/>
      <c r="AB1884" s="134"/>
      <c r="AC1884" s="134"/>
      <c r="AD1884" s="134"/>
    </row>
    <row r="1885">
      <c r="A1885" s="143"/>
      <c r="B1885" s="134"/>
      <c r="C1885" s="134"/>
      <c r="D1885" s="134"/>
      <c r="E1885" s="134"/>
      <c r="F1885" s="134"/>
      <c r="G1885" s="134"/>
      <c r="H1885" s="134"/>
      <c r="J1885" s="134"/>
      <c r="K1885" s="135"/>
      <c r="L1885" s="136"/>
      <c r="M1885" s="144"/>
      <c r="T1885" s="52"/>
      <c r="V1885" s="134"/>
      <c r="W1885" s="134"/>
      <c r="X1885" s="134"/>
      <c r="Y1885" s="134"/>
      <c r="Z1885" s="134"/>
      <c r="AA1885" s="134"/>
      <c r="AB1885" s="134"/>
      <c r="AC1885" s="134"/>
      <c r="AD1885" s="134"/>
    </row>
    <row r="1886">
      <c r="A1886" s="143"/>
      <c r="B1886" s="134"/>
      <c r="C1886" s="134"/>
      <c r="D1886" s="134"/>
      <c r="E1886" s="134"/>
      <c r="F1886" s="134"/>
      <c r="G1886" s="134"/>
      <c r="H1886" s="134"/>
      <c r="J1886" s="134"/>
      <c r="K1886" s="135"/>
      <c r="L1886" s="136"/>
      <c r="M1886" s="144"/>
      <c r="T1886" s="52"/>
      <c r="V1886" s="134"/>
      <c r="W1886" s="134"/>
      <c r="X1886" s="134"/>
      <c r="Y1886" s="134"/>
      <c r="Z1886" s="134"/>
      <c r="AA1886" s="134"/>
      <c r="AB1886" s="134"/>
      <c r="AC1886" s="134"/>
      <c r="AD1886" s="134"/>
    </row>
    <row r="1887">
      <c r="A1887" s="143"/>
      <c r="B1887" s="134"/>
      <c r="C1887" s="134"/>
      <c r="D1887" s="134"/>
      <c r="E1887" s="134"/>
      <c r="F1887" s="134"/>
      <c r="G1887" s="134"/>
      <c r="H1887" s="134"/>
      <c r="J1887" s="134"/>
      <c r="K1887" s="135"/>
      <c r="L1887" s="136"/>
      <c r="M1887" s="144"/>
      <c r="T1887" s="52"/>
      <c r="V1887" s="134"/>
      <c r="W1887" s="134"/>
      <c r="X1887" s="134"/>
      <c r="Y1887" s="134"/>
      <c r="Z1887" s="134"/>
      <c r="AA1887" s="134"/>
      <c r="AB1887" s="134"/>
      <c r="AC1887" s="134"/>
      <c r="AD1887" s="134"/>
    </row>
    <row r="1888">
      <c r="A1888" s="143"/>
      <c r="B1888" s="134"/>
      <c r="C1888" s="134"/>
      <c r="D1888" s="134"/>
      <c r="E1888" s="134"/>
      <c r="F1888" s="134"/>
      <c r="G1888" s="134"/>
      <c r="H1888" s="134"/>
      <c r="J1888" s="134"/>
      <c r="K1888" s="135"/>
      <c r="L1888" s="136"/>
      <c r="M1888" s="144"/>
      <c r="T1888" s="52"/>
      <c r="V1888" s="134"/>
      <c r="W1888" s="134"/>
      <c r="X1888" s="134"/>
      <c r="Y1888" s="134"/>
      <c r="Z1888" s="134"/>
      <c r="AA1888" s="134"/>
      <c r="AB1888" s="134"/>
      <c r="AC1888" s="134"/>
      <c r="AD1888" s="134"/>
    </row>
    <row r="1889">
      <c r="A1889" s="143"/>
      <c r="B1889" s="134"/>
      <c r="C1889" s="134"/>
      <c r="D1889" s="134"/>
      <c r="E1889" s="134"/>
      <c r="F1889" s="134"/>
      <c r="G1889" s="134"/>
      <c r="H1889" s="134"/>
      <c r="J1889" s="134"/>
      <c r="K1889" s="135"/>
      <c r="L1889" s="136"/>
      <c r="M1889" s="144"/>
      <c r="T1889" s="52"/>
      <c r="V1889" s="134"/>
      <c r="W1889" s="134"/>
      <c r="X1889" s="134"/>
      <c r="Y1889" s="134"/>
      <c r="Z1889" s="134"/>
      <c r="AA1889" s="134"/>
      <c r="AB1889" s="134"/>
      <c r="AC1889" s="134"/>
      <c r="AD1889" s="134"/>
    </row>
    <row r="1890">
      <c r="A1890" s="143"/>
      <c r="B1890" s="134"/>
      <c r="C1890" s="134"/>
      <c r="D1890" s="134"/>
      <c r="E1890" s="134"/>
      <c r="F1890" s="134"/>
      <c r="G1890" s="134"/>
      <c r="H1890" s="134"/>
      <c r="J1890" s="134"/>
      <c r="K1890" s="135"/>
      <c r="L1890" s="136"/>
      <c r="M1890" s="144"/>
      <c r="T1890" s="52"/>
      <c r="V1890" s="134"/>
      <c r="W1890" s="134"/>
      <c r="X1890" s="134"/>
      <c r="Y1890" s="134"/>
      <c r="Z1890" s="134"/>
      <c r="AA1890" s="134"/>
      <c r="AB1890" s="134"/>
      <c r="AC1890" s="134"/>
      <c r="AD1890" s="134"/>
    </row>
    <row r="1891">
      <c r="A1891" s="143"/>
      <c r="B1891" s="134"/>
      <c r="C1891" s="134"/>
      <c r="D1891" s="134"/>
      <c r="E1891" s="134"/>
      <c r="F1891" s="134"/>
      <c r="G1891" s="134"/>
      <c r="H1891" s="134"/>
      <c r="J1891" s="134"/>
      <c r="K1891" s="135"/>
      <c r="L1891" s="136"/>
      <c r="M1891" s="144"/>
      <c r="T1891" s="52"/>
      <c r="V1891" s="134"/>
      <c r="W1891" s="134"/>
      <c r="X1891" s="134"/>
      <c r="Y1891" s="134"/>
      <c r="Z1891" s="134"/>
      <c r="AA1891" s="134"/>
      <c r="AB1891" s="134"/>
      <c r="AC1891" s="134"/>
      <c r="AD1891" s="134"/>
    </row>
    <row r="1892">
      <c r="A1892" s="143"/>
      <c r="B1892" s="134"/>
      <c r="C1892" s="134"/>
      <c r="D1892" s="134"/>
      <c r="E1892" s="134"/>
      <c r="F1892" s="134"/>
      <c r="G1892" s="134"/>
      <c r="H1892" s="134"/>
      <c r="J1892" s="134"/>
      <c r="K1892" s="135"/>
      <c r="L1892" s="136"/>
      <c r="M1892" s="144"/>
      <c r="T1892" s="52"/>
      <c r="V1892" s="134"/>
      <c r="W1892" s="134"/>
      <c r="X1892" s="134"/>
      <c r="Y1892" s="134"/>
      <c r="Z1892" s="134"/>
      <c r="AA1892" s="134"/>
      <c r="AB1892" s="134"/>
      <c r="AC1892" s="134"/>
      <c r="AD1892" s="134"/>
    </row>
    <row r="1893">
      <c r="A1893" s="143"/>
      <c r="B1893" s="134"/>
      <c r="C1893" s="134"/>
      <c r="D1893" s="134"/>
      <c r="E1893" s="134"/>
      <c r="F1893" s="134"/>
      <c r="G1893" s="134"/>
      <c r="H1893" s="134"/>
      <c r="J1893" s="134"/>
      <c r="K1893" s="135"/>
      <c r="L1893" s="136"/>
      <c r="M1893" s="144"/>
      <c r="T1893" s="52"/>
      <c r="V1893" s="134"/>
      <c r="W1893" s="134"/>
      <c r="X1893" s="134"/>
      <c r="Y1893" s="134"/>
      <c r="Z1893" s="134"/>
      <c r="AA1893" s="134"/>
      <c r="AB1893" s="134"/>
      <c r="AC1893" s="134"/>
      <c r="AD1893" s="134"/>
    </row>
    <row r="1894">
      <c r="A1894" s="143"/>
      <c r="B1894" s="134"/>
      <c r="C1894" s="134"/>
      <c r="D1894" s="134"/>
      <c r="E1894" s="134"/>
      <c r="F1894" s="134"/>
      <c r="G1894" s="134"/>
      <c r="H1894" s="134"/>
      <c r="J1894" s="134"/>
      <c r="K1894" s="135"/>
      <c r="L1894" s="136"/>
      <c r="M1894" s="144"/>
      <c r="T1894" s="52"/>
      <c r="V1894" s="134"/>
      <c r="W1894" s="134"/>
      <c r="X1894" s="134"/>
      <c r="Y1894" s="134"/>
      <c r="Z1894" s="134"/>
      <c r="AA1894" s="134"/>
      <c r="AB1894" s="134"/>
      <c r="AC1894" s="134"/>
      <c r="AD1894" s="134"/>
    </row>
    <row r="1895">
      <c r="A1895" s="143"/>
      <c r="B1895" s="134"/>
      <c r="C1895" s="134"/>
      <c r="D1895" s="134"/>
      <c r="E1895" s="134"/>
      <c r="F1895" s="134"/>
      <c r="G1895" s="134"/>
      <c r="H1895" s="134"/>
      <c r="J1895" s="134"/>
      <c r="K1895" s="135"/>
      <c r="L1895" s="136"/>
      <c r="M1895" s="144"/>
      <c r="T1895" s="52"/>
      <c r="V1895" s="134"/>
      <c r="W1895" s="134"/>
      <c r="X1895" s="134"/>
      <c r="Y1895" s="134"/>
      <c r="Z1895" s="134"/>
      <c r="AA1895" s="134"/>
      <c r="AB1895" s="134"/>
      <c r="AC1895" s="134"/>
      <c r="AD1895" s="134"/>
    </row>
    <row r="1896">
      <c r="A1896" s="143"/>
      <c r="B1896" s="134"/>
      <c r="C1896" s="134"/>
      <c r="D1896" s="134"/>
      <c r="E1896" s="134"/>
      <c r="F1896" s="134"/>
      <c r="G1896" s="134"/>
      <c r="H1896" s="134"/>
      <c r="J1896" s="134"/>
      <c r="K1896" s="135"/>
      <c r="L1896" s="136"/>
      <c r="M1896" s="144"/>
      <c r="T1896" s="52"/>
      <c r="V1896" s="134"/>
      <c r="W1896" s="134"/>
      <c r="X1896" s="134"/>
      <c r="Y1896" s="134"/>
      <c r="Z1896" s="134"/>
      <c r="AA1896" s="134"/>
      <c r="AB1896" s="134"/>
      <c r="AC1896" s="134"/>
      <c r="AD1896" s="134"/>
    </row>
    <row r="1897">
      <c r="A1897" s="143"/>
      <c r="B1897" s="134"/>
      <c r="C1897" s="134"/>
      <c r="D1897" s="134"/>
      <c r="E1897" s="134"/>
      <c r="F1897" s="134"/>
      <c r="G1897" s="134"/>
      <c r="H1897" s="134"/>
      <c r="J1897" s="134"/>
      <c r="K1897" s="135"/>
      <c r="L1897" s="136"/>
      <c r="M1897" s="144"/>
      <c r="T1897" s="52"/>
      <c r="V1897" s="134"/>
      <c r="W1897" s="134"/>
      <c r="X1897" s="134"/>
      <c r="Y1897" s="134"/>
      <c r="Z1897" s="134"/>
      <c r="AA1897" s="134"/>
      <c r="AB1897" s="134"/>
      <c r="AC1897" s="134"/>
      <c r="AD1897" s="134"/>
    </row>
    <row r="1898">
      <c r="A1898" s="143"/>
      <c r="B1898" s="134"/>
      <c r="C1898" s="134"/>
      <c r="D1898" s="134"/>
      <c r="E1898" s="134"/>
      <c r="F1898" s="134"/>
      <c r="G1898" s="134"/>
      <c r="H1898" s="134"/>
      <c r="J1898" s="134"/>
      <c r="K1898" s="135"/>
      <c r="L1898" s="136"/>
      <c r="M1898" s="144"/>
      <c r="T1898" s="52"/>
      <c r="V1898" s="134"/>
      <c r="W1898" s="134"/>
      <c r="X1898" s="134"/>
      <c r="Y1898" s="134"/>
      <c r="Z1898" s="134"/>
      <c r="AA1898" s="134"/>
      <c r="AB1898" s="134"/>
      <c r="AC1898" s="134"/>
      <c r="AD1898" s="134"/>
    </row>
    <row r="1899">
      <c r="A1899" s="143"/>
      <c r="B1899" s="134"/>
      <c r="C1899" s="134"/>
      <c r="D1899" s="134"/>
      <c r="E1899" s="134"/>
      <c r="F1899" s="134"/>
      <c r="G1899" s="134"/>
      <c r="H1899" s="134"/>
      <c r="J1899" s="134"/>
      <c r="K1899" s="135"/>
      <c r="L1899" s="136"/>
      <c r="M1899" s="144"/>
      <c r="T1899" s="52"/>
      <c r="V1899" s="134"/>
      <c r="W1899" s="134"/>
      <c r="X1899" s="134"/>
      <c r="Y1899" s="134"/>
      <c r="Z1899" s="134"/>
      <c r="AA1899" s="134"/>
      <c r="AB1899" s="134"/>
      <c r="AC1899" s="134"/>
      <c r="AD1899" s="134"/>
    </row>
    <row r="1900">
      <c r="A1900" s="143"/>
      <c r="B1900" s="134"/>
      <c r="C1900" s="134"/>
      <c r="D1900" s="134"/>
      <c r="E1900" s="134"/>
      <c r="F1900" s="134"/>
      <c r="G1900" s="134"/>
      <c r="H1900" s="134"/>
      <c r="J1900" s="134"/>
      <c r="K1900" s="135"/>
      <c r="L1900" s="136"/>
      <c r="M1900" s="144"/>
      <c r="T1900" s="52"/>
      <c r="V1900" s="134"/>
      <c r="W1900" s="134"/>
      <c r="X1900" s="134"/>
      <c r="Y1900" s="134"/>
      <c r="Z1900" s="134"/>
      <c r="AA1900" s="134"/>
      <c r="AB1900" s="134"/>
      <c r="AC1900" s="134"/>
      <c r="AD1900" s="134"/>
    </row>
    <row r="1901">
      <c r="A1901" s="143"/>
      <c r="B1901" s="134"/>
      <c r="C1901" s="134"/>
      <c r="D1901" s="134"/>
      <c r="E1901" s="134"/>
      <c r="F1901" s="134"/>
      <c r="G1901" s="134"/>
      <c r="H1901" s="134"/>
      <c r="J1901" s="134"/>
      <c r="K1901" s="135"/>
      <c r="L1901" s="136"/>
      <c r="M1901" s="144"/>
      <c r="T1901" s="52"/>
      <c r="V1901" s="134"/>
      <c r="W1901" s="134"/>
      <c r="X1901" s="134"/>
      <c r="Y1901" s="134"/>
      <c r="Z1901" s="134"/>
      <c r="AA1901" s="134"/>
      <c r="AB1901" s="134"/>
      <c r="AC1901" s="134"/>
      <c r="AD1901" s="134"/>
    </row>
    <row r="1902">
      <c r="A1902" s="143"/>
      <c r="B1902" s="134"/>
      <c r="C1902" s="134"/>
      <c r="D1902" s="134"/>
      <c r="E1902" s="134"/>
      <c r="F1902" s="134"/>
      <c r="G1902" s="134"/>
      <c r="H1902" s="134"/>
      <c r="J1902" s="134"/>
      <c r="K1902" s="135"/>
      <c r="L1902" s="136"/>
      <c r="M1902" s="144"/>
      <c r="T1902" s="52"/>
      <c r="V1902" s="134"/>
      <c r="W1902" s="134"/>
      <c r="X1902" s="134"/>
      <c r="Y1902" s="134"/>
      <c r="Z1902" s="134"/>
      <c r="AA1902" s="134"/>
      <c r="AB1902" s="134"/>
      <c r="AC1902" s="134"/>
      <c r="AD1902" s="134"/>
    </row>
    <row r="1903">
      <c r="A1903" s="143"/>
      <c r="B1903" s="134"/>
      <c r="C1903" s="134"/>
      <c r="D1903" s="134"/>
      <c r="E1903" s="134"/>
      <c r="F1903" s="134"/>
      <c r="G1903" s="134"/>
      <c r="H1903" s="134"/>
      <c r="J1903" s="134"/>
      <c r="K1903" s="135"/>
      <c r="L1903" s="136"/>
      <c r="M1903" s="144"/>
      <c r="T1903" s="52"/>
      <c r="V1903" s="134"/>
      <c r="W1903" s="134"/>
      <c r="X1903" s="134"/>
      <c r="Y1903" s="134"/>
      <c r="Z1903" s="134"/>
      <c r="AA1903" s="134"/>
      <c r="AB1903" s="134"/>
      <c r="AC1903" s="134"/>
      <c r="AD1903" s="134"/>
    </row>
    <row r="1904">
      <c r="A1904" s="143"/>
      <c r="B1904" s="134"/>
      <c r="C1904" s="134"/>
      <c r="D1904" s="134"/>
      <c r="E1904" s="134"/>
      <c r="F1904" s="134"/>
      <c r="G1904" s="134"/>
      <c r="H1904" s="134"/>
      <c r="J1904" s="134"/>
      <c r="K1904" s="135"/>
      <c r="L1904" s="136"/>
      <c r="M1904" s="144"/>
      <c r="T1904" s="52"/>
      <c r="V1904" s="134"/>
      <c r="W1904" s="134"/>
      <c r="X1904" s="134"/>
      <c r="Y1904" s="134"/>
      <c r="Z1904" s="134"/>
      <c r="AA1904" s="134"/>
      <c r="AB1904" s="134"/>
      <c r="AC1904" s="134"/>
      <c r="AD1904" s="134"/>
    </row>
    <row r="1905">
      <c r="A1905" s="143"/>
      <c r="B1905" s="134"/>
      <c r="C1905" s="134"/>
      <c r="D1905" s="134"/>
      <c r="E1905" s="134"/>
      <c r="F1905" s="134"/>
      <c r="G1905" s="134"/>
      <c r="H1905" s="134"/>
      <c r="J1905" s="134"/>
      <c r="K1905" s="135"/>
      <c r="L1905" s="136"/>
      <c r="M1905" s="144"/>
      <c r="T1905" s="52"/>
      <c r="V1905" s="134"/>
      <c r="W1905" s="134"/>
      <c r="X1905" s="134"/>
      <c r="Y1905" s="134"/>
      <c r="Z1905" s="134"/>
      <c r="AA1905" s="134"/>
      <c r="AB1905" s="134"/>
      <c r="AC1905" s="134"/>
      <c r="AD1905" s="134"/>
    </row>
    <row r="1906">
      <c r="A1906" s="143"/>
      <c r="B1906" s="134"/>
      <c r="C1906" s="134"/>
      <c r="D1906" s="134"/>
      <c r="E1906" s="134"/>
      <c r="F1906" s="134"/>
      <c r="G1906" s="134"/>
      <c r="H1906" s="134"/>
      <c r="J1906" s="134"/>
      <c r="K1906" s="135"/>
      <c r="L1906" s="136"/>
      <c r="M1906" s="144"/>
      <c r="T1906" s="52"/>
      <c r="V1906" s="134"/>
      <c r="W1906" s="134"/>
      <c r="X1906" s="134"/>
      <c r="Y1906" s="134"/>
      <c r="Z1906" s="134"/>
      <c r="AA1906" s="134"/>
      <c r="AB1906" s="134"/>
      <c r="AC1906" s="134"/>
      <c r="AD1906" s="134"/>
    </row>
    <row r="1907">
      <c r="A1907" s="143"/>
      <c r="B1907" s="134"/>
      <c r="C1907" s="134"/>
      <c r="D1907" s="134"/>
      <c r="E1907" s="134"/>
      <c r="F1907" s="134"/>
      <c r="G1907" s="134"/>
      <c r="H1907" s="134"/>
      <c r="J1907" s="134"/>
      <c r="K1907" s="135"/>
      <c r="L1907" s="136"/>
      <c r="M1907" s="144"/>
      <c r="T1907" s="52"/>
      <c r="V1907" s="134"/>
      <c r="W1907" s="134"/>
      <c r="X1907" s="134"/>
      <c r="Y1907" s="134"/>
      <c r="Z1907" s="134"/>
      <c r="AA1907" s="134"/>
      <c r="AB1907" s="134"/>
      <c r="AC1907" s="134"/>
      <c r="AD1907" s="134"/>
    </row>
    <row r="1908">
      <c r="A1908" s="143"/>
      <c r="B1908" s="134"/>
      <c r="C1908" s="134"/>
      <c r="D1908" s="134"/>
      <c r="E1908" s="134"/>
      <c r="F1908" s="134"/>
      <c r="G1908" s="134"/>
      <c r="H1908" s="134"/>
      <c r="J1908" s="134"/>
      <c r="K1908" s="135"/>
      <c r="L1908" s="136"/>
      <c r="M1908" s="144"/>
      <c r="T1908" s="52"/>
      <c r="V1908" s="134"/>
      <c r="W1908" s="134"/>
      <c r="X1908" s="134"/>
      <c r="Y1908" s="134"/>
      <c r="Z1908" s="134"/>
      <c r="AA1908" s="134"/>
      <c r="AB1908" s="134"/>
      <c r="AC1908" s="134"/>
      <c r="AD1908" s="134"/>
    </row>
    <row r="1909">
      <c r="A1909" s="143"/>
      <c r="B1909" s="134"/>
      <c r="C1909" s="134"/>
      <c r="D1909" s="134"/>
      <c r="E1909" s="134"/>
      <c r="F1909" s="134"/>
      <c r="G1909" s="134"/>
      <c r="H1909" s="134"/>
      <c r="J1909" s="134"/>
      <c r="K1909" s="135"/>
      <c r="L1909" s="136"/>
      <c r="M1909" s="144"/>
      <c r="T1909" s="52"/>
      <c r="V1909" s="134"/>
      <c r="W1909" s="134"/>
      <c r="X1909" s="134"/>
      <c r="Y1909" s="134"/>
      <c r="Z1909" s="134"/>
      <c r="AA1909" s="134"/>
      <c r="AB1909" s="134"/>
      <c r="AC1909" s="134"/>
      <c r="AD1909" s="134"/>
    </row>
    <row r="1910">
      <c r="A1910" s="143"/>
      <c r="B1910" s="134"/>
      <c r="C1910" s="134"/>
      <c r="D1910" s="134"/>
      <c r="E1910" s="134"/>
      <c r="F1910" s="134"/>
      <c r="G1910" s="134"/>
      <c r="H1910" s="134"/>
      <c r="J1910" s="134"/>
      <c r="K1910" s="135"/>
      <c r="L1910" s="136"/>
      <c r="M1910" s="144"/>
      <c r="T1910" s="52"/>
      <c r="V1910" s="134"/>
      <c r="W1910" s="134"/>
      <c r="X1910" s="134"/>
      <c r="Y1910" s="134"/>
      <c r="Z1910" s="134"/>
      <c r="AA1910" s="134"/>
      <c r="AB1910" s="134"/>
      <c r="AC1910" s="134"/>
      <c r="AD1910" s="134"/>
    </row>
    <row r="1911">
      <c r="A1911" s="143"/>
      <c r="B1911" s="134"/>
      <c r="C1911" s="134"/>
      <c r="D1911" s="134"/>
      <c r="E1911" s="134"/>
      <c r="F1911" s="134"/>
      <c r="G1911" s="134"/>
      <c r="H1911" s="134"/>
      <c r="J1911" s="134"/>
      <c r="K1911" s="135"/>
      <c r="L1911" s="136"/>
      <c r="M1911" s="144"/>
      <c r="T1911" s="52"/>
      <c r="V1911" s="134"/>
      <c r="W1911" s="134"/>
      <c r="X1911" s="134"/>
      <c r="Y1911" s="134"/>
      <c r="Z1911" s="134"/>
      <c r="AA1911" s="134"/>
      <c r="AB1911" s="134"/>
      <c r="AC1911" s="134"/>
      <c r="AD1911" s="134"/>
    </row>
    <row r="1912">
      <c r="A1912" s="143"/>
      <c r="B1912" s="134"/>
      <c r="C1912" s="134"/>
      <c r="D1912" s="134"/>
      <c r="E1912" s="134"/>
      <c r="F1912" s="134"/>
      <c r="G1912" s="134"/>
      <c r="H1912" s="134"/>
      <c r="J1912" s="134"/>
      <c r="K1912" s="135"/>
      <c r="L1912" s="136"/>
      <c r="M1912" s="144"/>
      <c r="T1912" s="52"/>
      <c r="V1912" s="134"/>
      <c r="W1912" s="134"/>
      <c r="X1912" s="134"/>
      <c r="Y1912" s="134"/>
      <c r="Z1912" s="134"/>
      <c r="AA1912" s="134"/>
      <c r="AB1912" s="134"/>
      <c r="AC1912" s="134"/>
      <c r="AD1912" s="134"/>
    </row>
    <row r="1913">
      <c r="A1913" s="143"/>
      <c r="B1913" s="134"/>
      <c r="C1913" s="134"/>
      <c r="D1913" s="134"/>
      <c r="E1913" s="134"/>
      <c r="F1913" s="134"/>
      <c r="G1913" s="134"/>
      <c r="H1913" s="134"/>
      <c r="J1913" s="134"/>
      <c r="K1913" s="135"/>
      <c r="L1913" s="136"/>
      <c r="M1913" s="144"/>
      <c r="T1913" s="52"/>
      <c r="V1913" s="134"/>
      <c r="W1913" s="134"/>
      <c r="X1913" s="134"/>
      <c r="Y1913" s="134"/>
      <c r="Z1913" s="134"/>
      <c r="AA1913" s="134"/>
      <c r="AB1913" s="134"/>
      <c r="AC1913" s="134"/>
      <c r="AD1913" s="134"/>
    </row>
    <row r="1914">
      <c r="A1914" s="143"/>
      <c r="B1914" s="134"/>
      <c r="C1914" s="134"/>
      <c r="D1914" s="134"/>
      <c r="E1914" s="134"/>
      <c r="F1914" s="134"/>
      <c r="G1914" s="134"/>
      <c r="H1914" s="134"/>
      <c r="J1914" s="134"/>
      <c r="K1914" s="135"/>
      <c r="L1914" s="136"/>
      <c r="M1914" s="144"/>
      <c r="T1914" s="52"/>
      <c r="V1914" s="134"/>
      <c r="W1914" s="134"/>
      <c r="X1914" s="134"/>
      <c r="Y1914" s="134"/>
      <c r="Z1914" s="134"/>
      <c r="AA1914" s="134"/>
      <c r="AB1914" s="134"/>
      <c r="AC1914" s="134"/>
      <c r="AD1914" s="134"/>
    </row>
    <row r="1915">
      <c r="A1915" s="143"/>
      <c r="B1915" s="134"/>
      <c r="C1915" s="134"/>
      <c r="D1915" s="134"/>
      <c r="E1915" s="134"/>
      <c r="F1915" s="134"/>
      <c r="G1915" s="134"/>
      <c r="H1915" s="134"/>
      <c r="J1915" s="134"/>
      <c r="K1915" s="135"/>
      <c r="L1915" s="136"/>
      <c r="M1915" s="144"/>
      <c r="T1915" s="52"/>
      <c r="V1915" s="134"/>
      <c r="W1915" s="134"/>
      <c r="X1915" s="134"/>
      <c r="Y1915" s="134"/>
      <c r="Z1915" s="134"/>
      <c r="AA1915" s="134"/>
      <c r="AB1915" s="134"/>
      <c r="AC1915" s="134"/>
      <c r="AD1915" s="134"/>
    </row>
    <row r="1916">
      <c r="A1916" s="143"/>
      <c r="B1916" s="134"/>
      <c r="C1916" s="134"/>
      <c r="D1916" s="134"/>
      <c r="E1916" s="134"/>
      <c r="F1916" s="134"/>
      <c r="G1916" s="134"/>
      <c r="H1916" s="134"/>
      <c r="J1916" s="134"/>
      <c r="K1916" s="135"/>
      <c r="L1916" s="136"/>
      <c r="M1916" s="144"/>
      <c r="T1916" s="52"/>
      <c r="V1916" s="134"/>
      <c r="W1916" s="134"/>
      <c r="X1916" s="134"/>
      <c r="Y1916" s="134"/>
      <c r="Z1916" s="134"/>
      <c r="AA1916" s="134"/>
      <c r="AB1916" s="134"/>
      <c r="AC1916" s="134"/>
      <c r="AD1916" s="134"/>
    </row>
    <row r="1917">
      <c r="A1917" s="143"/>
      <c r="B1917" s="134"/>
      <c r="C1917" s="134"/>
      <c r="D1917" s="134"/>
      <c r="E1917" s="134"/>
      <c r="F1917" s="134"/>
      <c r="G1917" s="134"/>
      <c r="H1917" s="134"/>
      <c r="J1917" s="134"/>
      <c r="K1917" s="135"/>
      <c r="L1917" s="136"/>
      <c r="M1917" s="144"/>
      <c r="T1917" s="52"/>
      <c r="V1917" s="134"/>
      <c r="W1917" s="134"/>
      <c r="X1917" s="134"/>
      <c r="Y1917" s="134"/>
      <c r="Z1917" s="134"/>
      <c r="AA1917" s="134"/>
      <c r="AB1917" s="134"/>
      <c r="AC1917" s="134"/>
      <c r="AD1917" s="134"/>
    </row>
    <row r="1918">
      <c r="A1918" s="143"/>
      <c r="B1918" s="134"/>
      <c r="C1918" s="134"/>
      <c r="D1918" s="134"/>
      <c r="E1918" s="134"/>
      <c r="F1918" s="134"/>
      <c r="G1918" s="134"/>
      <c r="H1918" s="134"/>
      <c r="J1918" s="134"/>
      <c r="K1918" s="135"/>
      <c r="L1918" s="136"/>
      <c r="M1918" s="144"/>
      <c r="T1918" s="52"/>
      <c r="V1918" s="134"/>
      <c r="W1918" s="134"/>
      <c r="X1918" s="134"/>
      <c r="Y1918" s="134"/>
      <c r="Z1918" s="134"/>
      <c r="AA1918" s="134"/>
      <c r="AB1918" s="134"/>
      <c r="AC1918" s="134"/>
      <c r="AD1918" s="134"/>
    </row>
    <row r="1919">
      <c r="A1919" s="143"/>
      <c r="B1919" s="134"/>
      <c r="C1919" s="134"/>
      <c r="D1919" s="134"/>
      <c r="E1919" s="134"/>
      <c r="F1919" s="134"/>
      <c r="G1919" s="134"/>
      <c r="H1919" s="134"/>
      <c r="J1919" s="134"/>
      <c r="K1919" s="135"/>
      <c r="L1919" s="136"/>
      <c r="M1919" s="144"/>
      <c r="T1919" s="52"/>
      <c r="V1919" s="134"/>
      <c r="W1919" s="134"/>
      <c r="X1919" s="134"/>
      <c r="Y1919" s="134"/>
      <c r="Z1919" s="134"/>
      <c r="AA1919" s="134"/>
      <c r="AB1919" s="134"/>
      <c r="AC1919" s="134"/>
      <c r="AD1919" s="134"/>
    </row>
    <row r="1920">
      <c r="A1920" s="143"/>
      <c r="B1920" s="134"/>
      <c r="C1920" s="134"/>
      <c r="D1920" s="134"/>
      <c r="E1920" s="134"/>
      <c r="F1920" s="134"/>
      <c r="G1920" s="134"/>
      <c r="H1920" s="134"/>
      <c r="J1920" s="134"/>
      <c r="K1920" s="135"/>
      <c r="L1920" s="136"/>
      <c r="M1920" s="144"/>
      <c r="T1920" s="52"/>
      <c r="V1920" s="134"/>
      <c r="W1920" s="134"/>
      <c r="X1920" s="134"/>
      <c r="Y1920" s="134"/>
      <c r="Z1920" s="134"/>
      <c r="AA1920" s="134"/>
      <c r="AB1920" s="134"/>
      <c r="AC1920" s="134"/>
      <c r="AD1920" s="134"/>
    </row>
    <row r="1921">
      <c r="A1921" s="143"/>
      <c r="B1921" s="134"/>
      <c r="C1921" s="134"/>
      <c r="D1921" s="134"/>
      <c r="E1921" s="134"/>
      <c r="F1921" s="134"/>
      <c r="G1921" s="134"/>
      <c r="H1921" s="134"/>
      <c r="J1921" s="134"/>
      <c r="K1921" s="135"/>
      <c r="L1921" s="136"/>
      <c r="M1921" s="144"/>
      <c r="T1921" s="52"/>
      <c r="V1921" s="134"/>
      <c r="W1921" s="134"/>
      <c r="X1921" s="134"/>
      <c r="Y1921" s="134"/>
      <c r="Z1921" s="134"/>
      <c r="AA1921" s="134"/>
      <c r="AB1921" s="134"/>
      <c r="AC1921" s="134"/>
      <c r="AD1921" s="134"/>
    </row>
    <row r="1922">
      <c r="A1922" s="143"/>
      <c r="B1922" s="134"/>
      <c r="C1922" s="134"/>
      <c r="D1922" s="134"/>
      <c r="E1922" s="134"/>
      <c r="F1922" s="134"/>
      <c r="G1922" s="134"/>
      <c r="H1922" s="134"/>
      <c r="J1922" s="134"/>
      <c r="K1922" s="135"/>
      <c r="L1922" s="136"/>
      <c r="M1922" s="144"/>
      <c r="T1922" s="52"/>
      <c r="V1922" s="134"/>
      <c r="W1922" s="134"/>
      <c r="X1922" s="134"/>
      <c r="Y1922" s="134"/>
      <c r="Z1922" s="134"/>
      <c r="AA1922" s="134"/>
      <c r="AB1922" s="134"/>
      <c r="AC1922" s="134"/>
      <c r="AD1922" s="134"/>
    </row>
    <row r="1923">
      <c r="A1923" s="143"/>
      <c r="B1923" s="134"/>
      <c r="C1923" s="134"/>
      <c r="D1923" s="134"/>
      <c r="E1923" s="134"/>
      <c r="F1923" s="134"/>
      <c r="G1923" s="134"/>
      <c r="H1923" s="134"/>
      <c r="J1923" s="134"/>
      <c r="K1923" s="135"/>
      <c r="L1923" s="136"/>
      <c r="M1923" s="144"/>
      <c r="T1923" s="52"/>
      <c r="V1923" s="134"/>
      <c r="W1923" s="134"/>
      <c r="X1923" s="134"/>
      <c r="Y1923" s="134"/>
      <c r="Z1923" s="134"/>
      <c r="AA1923" s="134"/>
      <c r="AB1923" s="134"/>
      <c r="AC1923" s="134"/>
      <c r="AD1923" s="134"/>
    </row>
    <row r="1924">
      <c r="A1924" s="143"/>
      <c r="B1924" s="134"/>
      <c r="C1924" s="134"/>
      <c r="D1924" s="134"/>
      <c r="E1924" s="134"/>
      <c r="F1924" s="134"/>
      <c r="G1924" s="134"/>
      <c r="H1924" s="134"/>
      <c r="J1924" s="134"/>
      <c r="K1924" s="135"/>
      <c r="L1924" s="136"/>
      <c r="M1924" s="144"/>
      <c r="T1924" s="52"/>
      <c r="V1924" s="134"/>
      <c r="W1924" s="134"/>
      <c r="X1924" s="134"/>
      <c r="Y1924" s="134"/>
      <c r="Z1924" s="134"/>
      <c r="AA1924" s="134"/>
      <c r="AB1924" s="134"/>
      <c r="AC1924" s="134"/>
      <c r="AD1924" s="134"/>
    </row>
    <row r="1925">
      <c r="A1925" s="143"/>
      <c r="B1925" s="134"/>
      <c r="C1925" s="134"/>
      <c r="D1925" s="134"/>
      <c r="E1925" s="134"/>
      <c r="F1925" s="134"/>
      <c r="G1925" s="134"/>
      <c r="H1925" s="134"/>
      <c r="J1925" s="134"/>
      <c r="K1925" s="135"/>
      <c r="L1925" s="136"/>
      <c r="M1925" s="144"/>
      <c r="T1925" s="52"/>
      <c r="V1925" s="134"/>
      <c r="W1925" s="134"/>
      <c r="X1925" s="134"/>
      <c r="Y1925" s="134"/>
      <c r="Z1925" s="134"/>
      <c r="AA1925" s="134"/>
      <c r="AB1925" s="134"/>
      <c r="AC1925" s="134"/>
      <c r="AD1925" s="134"/>
    </row>
    <row r="1926">
      <c r="A1926" s="143"/>
      <c r="B1926" s="134"/>
      <c r="C1926" s="134"/>
      <c r="D1926" s="134"/>
      <c r="E1926" s="134"/>
      <c r="F1926" s="134"/>
      <c r="G1926" s="134"/>
      <c r="H1926" s="134"/>
      <c r="J1926" s="134"/>
      <c r="K1926" s="135"/>
      <c r="L1926" s="136"/>
      <c r="M1926" s="144"/>
      <c r="T1926" s="52"/>
      <c r="V1926" s="134"/>
      <c r="W1926" s="134"/>
      <c r="X1926" s="134"/>
      <c r="Y1926" s="134"/>
      <c r="Z1926" s="134"/>
      <c r="AA1926" s="134"/>
      <c r="AB1926" s="134"/>
      <c r="AC1926" s="134"/>
      <c r="AD1926" s="134"/>
    </row>
    <row r="1927">
      <c r="A1927" s="143"/>
      <c r="B1927" s="134"/>
      <c r="C1927" s="134"/>
      <c r="D1927" s="134"/>
      <c r="E1927" s="134"/>
      <c r="F1927" s="134"/>
      <c r="G1927" s="134"/>
      <c r="H1927" s="134"/>
      <c r="J1927" s="134"/>
      <c r="K1927" s="135"/>
      <c r="L1927" s="136"/>
      <c r="M1927" s="144"/>
      <c r="T1927" s="52"/>
      <c r="V1927" s="134"/>
      <c r="W1927" s="134"/>
      <c r="X1927" s="134"/>
      <c r="Y1927" s="134"/>
      <c r="Z1927" s="134"/>
      <c r="AA1927" s="134"/>
      <c r="AB1927" s="134"/>
      <c r="AC1927" s="134"/>
      <c r="AD1927" s="134"/>
    </row>
    <row r="1928">
      <c r="A1928" s="143"/>
      <c r="B1928" s="134"/>
      <c r="C1928" s="134"/>
      <c r="D1928" s="134"/>
      <c r="E1928" s="134"/>
      <c r="F1928" s="134"/>
      <c r="G1928" s="134"/>
      <c r="H1928" s="134"/>
      <c r="J1928" s="134"/>
      <c r="K1928" s="135"/>
      <c r="L1928" s="136"/>
      <c r="M1928" s="144"/>
      <c r="T1928" s="52"/>
      <c r="V1928" s="134"/>
      <c r="W1928" s="134"/>
      <c r="X1928" s="134"/>
      <c r="Y1928" s="134"/>
      <c r="Z1928" s="134"/>
      <c r="AA1928" s="134"/>
      <c r="AB1928" s="134"/>
      <c r="AC1928" s="134"/>
      <c r="AD1928" s="134"/>
    </row>
    <row r="1929">
      <c r="A1929" s="143"/>
      <c r="B1929" s="134"/>
      <c r="C1929" s="134"/>
      <c r="D1929" s="134"/>
      <c r="E1929" s="134"/>
      <c r="F1929" s="134"/>
      <c r="G1929" s="134"/>
      <c r="H1929" s="134"/>
      <c r="J1929" s="134"/>
      <c r="K1929" s="135"/>
      <c r="L1929" s="136"/>
      <c r="M1929" s="144"/>
      <c r="T1929" s="52"/>
      <c r="V1929" s="134"/>
      <c r="W1929" s="134"/>
      <c r="X1929" s="134"/>
      <c r="Y1929" s="134"/>
      <c r="Z1929" s="134"/>
      <c r="AA1929" s="134"/>
      <c r="AB1929" s="134"/>
      <c r="AC1929" s="134"/>
      <c r="AD1929" s="134"/>
    </row>
    <row r="1930">
      <c r="A1930" s="143"/>
      <c r="B1930" s="134"/>
      <c r="C1930" s="134"/>
      <c r="D1930" s="134"/>
      <c r="E1930" s="134"/>
      <c r="F1930" s="134"/>
      <c r="G1930" s="134"/>
      <c r="H1930" s="134"/>
      <c r="J1930" s="134"/>
      <c r="K1930" s="135"/>
      <c r="L1930" s="136"/>
      <c r="M1930" s="144"/>
      <c r="T1930" s="52"/>
      <c r="V1930" s="134"/>
      <c r="W1930" s="134"/>
      <c r="X1930" s="134"/>
      <c r="Y1930" s="134"/>
      <c r="Z1930" s="134"/>
      <c r="AA1930" s="134"/>
      <c r="AB1930" s="134"/>
      <c r="AC1930" s="134"/>
      <c r="AD1930" s="134"/>
    </row>
    <row r="1931">
      <c r="A1931" s="143"/>
      <c r="B1931" s="134"/>
      <c r="C1931" s="134"/>
      <c r="D1931" s="134"/>
      <c r="E1931" s="134"/>
      <c r="F1931" s="134"/>
      <c r="G1931" s="134"/>
      <c r="H1931" s="134"/>
      <c r="J1931" s="134"/>
      <c r="K1931" s="135"/>
      <c r="L1931" s="136"/>
      <c r="M1931" s="144"/>
      <c r="T1931" s="52"/>
      <c r="V1931" s="134"/>
      <c r="W1931" s="134"/>
      <c r="X1931" s="134"/>
      <c r="Y1931" s="134"/>
      <c r="Z1931" s="134"/>
      <c r="AA1931" s="134"/>
      <c r="AB1931" s="134"/>
      <c r="AC1931" s="134"/>
      <c r="AD1931" s="134"/>
    </row>
    <row r="1932">
      <c r="A1932" s="143"/>
      <c r="B1932" s="134"/>
      <c r="C1932" s="134"/>
      <c r="D1932" s="134"/>
      <c r="E1932" s="134"/>
      <c r="F1932" s="134"/>
      <c r="G1932" s="134"/>
      <c r="H1932" s="134"/>
      <c r="J1932" s="134"/>
      <c r="K1932" s="135"/>
      <c r="L1932" s="136"/>
      <c r="M1932" s="144"/>
      <c r="T1932" s="52"/>
      <c r="V1932" s="134"/>
      <c r="W1932" s="134"/>
      <c r="X1932" s="134"/>
      <c r="Y1932" s="134"/>
      <c r="Z1932" s="134"/>
      <c r="AA1932" s="134"/>
      <c r="AB1932" s="134"/>
      <c r="AC1932" s="134"/>
      <c r="AD1932" s="134"/>
    </row>
    <row r="1933">
      <c r="A1933" s="143"/>
      <c r="B1933" s="134"/>
      <c r="C1933" s="134"/>
      <c r="D1933" s="134"/>
      <c r="E1933" s="134"/>
      <c r="F1933" s="134"/>
      <c r="G1933" s="134"/>
      <c r="H1933" s="134"/>
      <c r="J1933" s="134"/>
      <c r="K1933" s="135"/>
      <c r="L1933" s="136"/>
      <c r="M1933" s="144"/>
      <c r="T1933" s="52"/>
      <c r="V1933" s="134"/>
      <c r="W1933" s="134"/>
      <c r="X1933" s="134"/>
      <c r="Y1933" s="134"/>
      <c r="Z1933" s="134"/>
      <c r="AA1933" s="134"/>
      <c r="AB1933" s="134"/>
      <c r="AC1933" s="134"/>
      <c r="AD1933" s="134"/>
    </row>
    <row r="1934">
      <c r="A1934" s="143"/>
      <c r="B1934" s="134"/>
      <c r="C1934" s="134"/>
      <c r="D1934" s="134"/>
      <c r="E1934" s="134"/>
      <c r="F1934" s="134"/>
      <c r="G1934" s="134"/>
      <c r="H1934" s="134"/>
      <c r="J1934" s="134"/>
      <c r="K1934" s="135"/>
      <c r="L1934" s="136"/>
      <c r="M1934" s="144"/>
      <c r="T1934" s="52"/>
      <c r="V1934" s="134"/>
      <c r="W1934" s="134"/>
      <c r="X1934" s="134"/>
      <c r="Y1934" s="134"/>
      <c r="Z1934" s="134"/>
      <c r="AA1934" s="134"/>
      <c r="AB1934" s="134"/>
      <c r="AC1934" s="134"/>
      <c r="AD1934" s="134"/>
    </row>
    <row r="1935">
      <c r="A1935" s="143"/>
      <c r="B1935" s="134"/>
      <c r="C1935" s="134"/>
      <c r="D1935" s="134"/>
      <c r="E1935" s="134"/>
      <c r="F1935" s="134"/>
      <c r="G1935" s="134"/>
      <c r="H1935" s="134"/>
      <c r="J1935" s="134"/>
      <c r="K1935" s="135"/>
      <c r="L1935" s="136"/>
      <c r="M1935" s="144"/>
      <c r="T1935" s="52"/>
      <c r="V1935" s="134"/>
      <c r="W1935" s="134"/>
      <c r="X1935" s="134"/>
      <c r="Y1935" s="134"/>
      <c r="Z1935" s="134"/>
      <c r="AA1935" s="134"/>
      <c r="AB1935" s="134"/>
      <c r="AC1935" s="134"/>
      <c r="AD1935" s="134"/>
    </row>
    <row r="1936">
      <c r="A1936" s="143"/>
      <c r="B1936" s="134"/>
      <c r="C1936" s="134"/>
      <c r="D1936" s="134"/>
      <c r="E1936" s="134"/>
      <c r="F1936" s="134"/>
      <c r="G1936" s="134"/>
      <c r="H1936" s="134"/>
      <c r="J1936" s="134"/>
      <c r="K1936" s="135"/>
      <c r="L1936" s="136"/>
      <c r="M1936" s="144"/>
      <c r="T1936" s="52"/>
      <c r="V1936" s="134"/>
      <c r="W1936" s="134"/>
      <c r="X1936" s="134"/>
      <c r="Y1936" s="134"/>
      <c r="Z1936" s="134"/>
      <c r="AA1936" s="134"/>
      <c r="AB1936" s="134"/>
      <c r="AC1936" s="134"/>
      <c r="AD1936" s="134"/>
    </row>
    <row r="1937">
      <c r="A1937" s="143"/>
      <c r="B1937" s="134"/>
      <c r="C1937" s="134"/>
      <c r="D1937" s="134"/>
      <c r="E1937" s="134"/>
      <c r="F1937" s="134"/>
      <c r="G1937" s="134"/>
      <c r="H1937" s="134"/>
      <c r="J1937" s="134"/>
      <c r="K1937" s="135"/>
      <c r="L1937" s="136"/>
      <c r="M1937" s="144"/>
      <c r="T1937" s="52"/>
      <c r="V1937" s="134"/>
      <c r="W1937" s="134"/>
      <c r="X1937" s="134"/>
      <c r="Y1937" s="134"/>
      <c r="Z1937" s="134"/>
      <c r="AA1937" s="134"/>
      <c r="AB1937" s="134"/>
      <c r="AC1937" s="134"/>
      <c r="AD1937" s="134"/>
    </row>
    <row r="1938">
      <c r="A1938" s="143"/>
      <c r="B1938" s="134"/>
      <c r="C1938" s="134"/>
      <c r="D1938" s="134"/>
      <c r="E1938" s="134"/>
      <c r="F1938" s="134"/>
      <c r="G1938" s="134"/>
      <c r="H1938" s="134"/>
      <c r="J1938" s="134"/>
      <c r="K1938" s="135"/>
      <c r="L1938" s="136"/>
      <c r="M1938" s="144"/>
      <c r="T1938" s="52"/>
      <c r="V1938" s="134"/>
      <c r="W1938" s="134"/>
      <c r="X1938" s="134"/>
      <c r="Y1938" s="134"/>
      <c r="Z1938" s="134"/>
      <c r="AA1938" s="134"/>
      <c r="AB1938" s="134"/>
      <c r="AC1938" s="134"/>
      <c r="AD1938" s="134"/>
    </row>
    <row r="1939">
      <c r="A1939" s="143"/>
      <c r="B1939" s="134"/>
      <c r="C1939" s="134"/>
      <c r="D1939" s="134"/>
      <c r="E1939" s="134"/>
      <c r="F1939" s="134"/>
      <c r="G1939" s="134"/>
      <c r="H1939" s="134"/>
      <c r="J1939" s="134"/>
      <c r="K1939" s="135"/>
      <c r="L1939" s="136"/>
      <c r="M1939" s="144"/>
      <c r="T1939" s="52"/>
      <c r="V1939" s="134"/>
      <c r="W1939" s="134"/>
      <c r="X1939" s="134"/>
      <c r="Y1939" s="134"/>
      <c r="Z1939" s="134"/>
      <c r="AA1939" s="134"/>
      <c r="AB1939" s="134"/>
      <c r="AC1939" s="134"/>
      <c r="AD1939" s="134"/>
    </row>
    <row r="1940">
      <c r="A1940" s="143"/>
      <c r="B1940" s="134"/>
      <c r="C1940" s="134"/>
      <c r="D1940" s="134"/>
      <c r="E1940" s="134"/>
      <c r="F1940" s="134"/>
      <c r="G1940" s="134"/>
      <c r="H1940" s="134"/>
      <c r="J1940" s="134"/>
      <c r="K1940" s="135"/>
      <c r="L1940" s="136"/>
      <c r="M1940" s="144"/>
      <c r="T1940" s="52"/>
      <c r="V1940" s="134"/>
      <c r="W1940" s="134"/>
      <c r="X1940" s="134"/>
      <c r="Y1940" s="134"/>
      <c r="Z1940" s="134"/>
      <c r="AA1940" s="134"/>
      <c r="AB1940" s="134"/>
      <c r="AC1940" s="134"/>
      <c r="AD1940" s="134"/>
    </row>
    <row r="1941">
      <c r="A1941" s="143"/>
      <c r="B1941" s="134"/>
      <c r="C1941" s="134"/>
      <c r="D1941" s="134"/>
      <c r="E1941" s="134"/>
      <c r="F1941" s="134"/>
      <c r="G1941" s="134"/>
      <c r="H1941" s="134"/>
      <c r="J1941" s="134"/>
      <c r="K1941" s="135"/>
      <c r="L1941" s="136"/>
      <c r="M1941" s="144"/>
      <c r="T1941" s="52"/>
      <c r="V1941" s="134"/>
      <c r="W1941" s="134"/>
      <c r="X1941" s="134"/>
      <c r="Y1941" s="134"/>
      <c r="Z1941" s="134"/>
      <c r="AA1941" s="134"/>
      <c r="AB1941" s="134"/>
      <c r="AC1941" s="134"/>
      <c r="AD1941" s="134"/>
    </row>
    <row r="1942">
      <c r="A1942" s="143"/>
      <c r="B1942" s="134"/>
      <c r="C1942" s="134"/>
      <c r="D1942" s="134"/>
      <c r="E1942" s="134"/>
      <c r="F1942" s="134"/>
      <c r="G1942" s="134"/>
      <c r="H1942" s="134"/>
      <c r="J1942" s="134"/>
      <c r="K1942" s="135"/>
      <c r="L1942" s="136"/>
      <c r="M1942" s="144"/>
      <c r="T1942" s="52"/>
      <c r="V1942" s="134"/>
      <c r="W1942" s="134"/>
      <c r="X1942" s="134"/>
      <c r="Y1942" s="134"/>
      <c r="Z1942" s="134"/>
      <c r="AA1942" s="134"/>
      <c r="AB1942" s="134"/>
      <c r="AC1942" s="134"/>
      <c r="AD1942" s="134"/>
    </row>
    <row r="1943">
      <c r="A1943" s="143"/>
      <c r="B1943" s="134"/>
      <c r="C1943" s="134"/>
      <c r="D1943" s="134"/>
      <c r="E1943" s="134"/>
      <c r="F1943" s="134"/>
      <c r="G1943" s="134"/>
      <c r="H1943" s="134"/>
      <c r="J1943" s="134"/>
      <c r="K1943" s="135"/>
      <c r="L1943" s="136"/>
      <c r="M1943" s="144"/>
      <c r="T1943" s="52"/>
      <c r="V1943" s="134"/>
      <c r="W1943" s="134"/>
      <c r="X1943" s="134"/>
      <c r="Y1943" s="134"/>
      <c r="Z1943" s="134"/>
      <c r="AA1943" s="134"/>
      <c r="AB1943" s="134"/>
      <c r="AC1943" s="134"/>
      <c r="AD1943" s="134"/>
    </row>
    <row r="1944">
      <c r="A1944" s="143"/>
      <c r="B1944" s="134"/>
      <c r="C1944" s="134"/>
      <c r="D1944" s="134"/>
      <c r="E1944" s="134"/>
      <c r="F1944" s="134"/>
      <c r="G1944" s="134"/>
      <c r="H1944" s="134"/>
      <c r="J1944" s="134"/>
      <c r="K1944" s="135"/>
      <c r="L1944" s="136"/>
      <c r="M1944" s="144"/>
      <c r="T1944" s="52"/>
      <c r="V1944" s="134"/>
      <c r="W1944" s="134"/>
      <c r="X1944" s="134"/>
      <c r="Y1944" s="134"/>
      <c r="Z1944" s="134"/>
      <c r="AA1944" s="134"/>
      <c r="AB1944" s="134"/>
      <c r="AC1944" s="134"/>
      <c r="AD1944" s="134"/>
    </row>
    <row r="1945">
      <c r="A1945" s="143"/>
      <c r="B1945" s="134"/>
      <c r="C1945" s="134"/>
      <c r="D1945" s="134"/>
      <c r="E1945" s="134"/>
      <c r="F1945" s="134"/>
      <c r="G1945" s="134"/>
      <c r="H1945" s="134"/>
      <c r="J1945" s="134"/>
      <c r="K1945" s="135"/>
      <c r="L1945" s="136"/>
      <c r="M1945" s="144"/>
      <c r="T1945" s="52"/>
      <c r="V1945" s="134"/>
      <c r="W1945" s="134"/>
      <c r="X1945" s="134"/>
      <c r="Y1945" s="134"/>
      <c r="Z1945" s="134"/>
      <c r="AA1945" s="134"/>
      <c r="AB1945" s="134"/>
      <c r="AC1945" s="134"/>
      <c r="AD1945" s="134"/>
    </row>
    <row r="1946">
      <c r="A1946" s="143"/>
      <c r="B1946" s="134"/>
      <c r="C1946" s="134"/>
      <c r="D1946" s="134"/>
      <c r="E1946" s="134"/>
      <c r="F1946" s="134"/>
      <c r="G1946" s="134"/>
      <c r="H1946" s="134"/>
      <c r="J1946" s="134"/>
      <c r="K1946" s="135"/>
      <c r="L1946" s="136"/>
      <c r="M1946" s="144"/>
      <c r="T1946" s="52"/>
      <c r="V1946" s="134"/>
      <c r="W1946" s="134"/>
      <c r="X1946" s="134"/>
      <c r="Y1946" s="134"/>
      <c r="Z1946" s="134"/>
      <c r="AA1946" s="134"/>
      <c r="AB1946" s="134"/>
      <c r="AC1946" s="134"/>
      <c r="AD1946" s="134"/>
    </row>
    <row r="1947">
      <c r="A1947" s="143"/>
      <c r="B1947" s="134"/>
      <c r="C1947" s="134"/>
      <c r="D1947" s="134"/>
      <c r="E1947" s="134"/>
      <c r="F1947" s="134"/>
      <c r="G1947" s="134"/>
      <c r="H1947" s="134"/>
      <c r="J1947" s="134"/>
      <c r="K1947" s="135"/>
      <c r="L1947" s="136"/>
      <c r="M1947" s="144"/>
      <c r="T1947" s="52"/>
      <c r="V1947" s="134"/>
      <c r="W1947" s="134"/>
      <c r="X1947" s="134"/>
      <c r="Y1947" s="134"/>
      <c r="Z1947" s="134"/>
      <c r="AA1947" s="134"/>
      <c r="AB1947" s="134"/>
      <c r="AC1947" s="134"/>
      <c r="AD1947" s="134"/>
    </row>
    <row r="1948">
      <c r="A1948" s="143"/>
      <c r="B1948" s="134"/>
      <c r="C1948" s="134"/>
      <c r="D1948" s="134"/>
      <c r="E1948" s="134"/>
      <c r="F1948" s="134"/>
      <c r="G1948" s="134"/>
      <c r="H1948" s="134"/>
      <c r="J1948" s="134"/>
      <c r="K1948" s="135"/>
      <c r="L1948" s="136"/>
      <c r="M1948" s="144"/>
      <c r="T1948" s="52"/>
      <c r="V1948" s="134"/>
      <c r="W1948" s="134"/>
      <c r="X1948" s="134"/>
      <c r="Y1948" s="134"/>
      <c r="Z1948" s="134"/>
      <c r="AA1948" s="134"/>
      <c r="AB1948" s="134"/>
      <c r="AC1948" s="134"/>
      <c r="AD1948" s="134"/>
    </row>
    <row r="1949">
      <c r="A1949" s="143"/>
      <c r="B1949" s="134"/>
      <c r="C1949" s="134"/>
      <c r="D1949" s="134"/>
      <c r="E1949" s="134"/>
      <c r="F1949" s="134"/>
      <c r="G1949" s="134"/>
      <c r="H1949" s="134"/>
      <c r="J1949" s="134"/>
      <c r="K1949" s="135"/>
      <c r="L1949" s="136"/>
      <c r="M1949" s="144"/>
      <c r="T1949" s="52"/>
      <c r="V1949" s="134"/>
      <c r="W1949" s="134"/>
      <c r="X1949" s="134"/>
      <c r="Y1949" s="134"/>
      <c r="Z1949" s="134"/>
      <c r="AA1949" s="134"/>
      <c r="AB1949" s="134"/>
      <c r="AC1949" s="134"/>
      <c r="AD1949" s="134"/>
    </row>
    <row r="1950">
      <c r="A1950" s="143"/>
      <c r="B1950" s="134"/>
      <c r="C1950" s="134"/>
      <c r="D1950" s="134"/>
      <c r="E1950" s="134"/>
      <c r="F1950" s="134"/>
      <c r="G1950" s="134"/>
      <c r="H1950" s="134"/>
      <c r="J1950" s="134"/>
      <c r="K1950" s="135"/>
      <c r="L1950" s="136"/>
      <c r="M1950" s="144"/>
      <c r="T1950" s="52"/>
      <c r="V1950" s="134"/>
      <c r="W1950" s="134"/>
      <c r="X1950" s="134"/>
      <c r="Y1950" s="134"/>
      <c r="Z1950" s="134"/>
      <c r="AA1950" s="134"/>
      <c r="AB1950" s="134"/>
      <c r="AC1950" s="134"/>
      <c r="AD1950" s="134"/>
    </row>
    <row r="1951">
      <c r="A1951" s="143"/>
      <c r="B1951" s="134"/>
      <c r="C1951" s="134"/>
      <c r="D1951" s="134"/>
      <c r="E1951" s="134"/>
      <c r="F1951" s="134"/>
      <c r="G1951" s="134"/>
      <c r="H1951" s="134"/>
      <c r="J1951" s="134"/>
      <c r="K1951" s="135"/>
      <c r="L1951" s="136"/>
      <c r="M1951" s="144"/>
      <c r="T1951" s="52"/>
      <c r="V1951" s="134"/>
      <c r="W1951" s="134"/>
      <c r="X1951" s="134"/>
      <c r="Y1951" s="134"/>
      <c r="Z1951" s="134"/>
      <c r="AA1951" s="134"/>
      <c r="AB1951" s="134"/>
      <c r="AC1951" s="134"/>
      <c r="AD1951" s="134"/>
    </row>
    <row r="1952">
      <c r="A1952" s="143"/>
      <c r="B1952" s="134"/>
      <c r="C1952" s="134"/>
      <c r="D1952" s="134"/>
      <c r="E1952" s="134"/>
      <c r="F1952" s="134"/>
      <c r="G1952" s="134"/>
      <c r="H1952" s="134"/>
      <c r="J1952" s="134"/>
      <c r="K1952" s="135"/>
      <c r="L1952" s="136"/>
      <c r="M1952" s="144"/>
      <c r="T1952" s="52"/>
      <c r="V1952" s="134"/>
      <c r="W1952" s="134"/>
      <c r="X1952" s="134"/>
      <c r="Y1952" s="134"/>
      <c r="Z1952" s="134"/>
      <c r="AA1952" s="134"/>
      <c r="AB1952" s="134"/>
      <c r="AC1952" s="134"/>
      <c r="AD1952" s="134"/>
    </row>
    <row r="1953">
      <c r="A1953" s="143"/>
      <c r="B1953" s="134"/>
      <c r="C1953" s="134"/>
      <c r="D1953" s="134"/>
      <c r="E1953" s="134"/>
      <c r="F1953" s="134"/>
      <c r="G1953" s="134"/>
      <c r="H1953" s="134"/>
      <c r="J1953" s="134"/>
      <c r="K1953" s="135"/>
      <c r="L1953" s="136"/>
      <c r="M1953" s="144"/>
      <c r="T1953" s="52"/>
      <c r="V1953" s="134"/>
      <c r="W1953" s="134"/>
      <c r="X1953" s="134"/>
      <c r="Y1953" s="134"/>
      <c r="Z1953" s="134"/>
      <c r="AA1953" s="134"/>
      <c r="AB1953" s="134"/>
      <c r="AC1953" s="134"/>
      <c r="AD1953" s="134"/>
    </row>
    <row r="1954">
      <c r="A1954" s="143"/>
      <c r="B1954" s="134"/>
      <c r="C1954" s="134"/>
      <c r="D1954" s="134"/>
      <c r="E1954" s="134"/>
      <c r="F1954" s="134"/>
      <c r="G1954" s="134"/>
      <c r="H1954" s="134"/>
      <c r="J1954" s="134"/>
      <c r="K1954" s="135"/>
      <c r="L1954" s="136"/>
      <c r="M1954" s="144"/>
      <c r="T1954" s="52"/>
      <c r="V1954" s="134"/>
      <c r="W1954" s="134"/>
      <c r="X1954" s="134"/>
      <c r="Y1954" s="134"/>
      <c r="Z1954" s="134"/>
      <c r="AA1954" s="134"/>
      <c r="AB1954" s="134"/>
      <c r="AC1954" s="134"/>
      <c r="AD1954" s="134"/>
    </row>
    <row r="1955">
      <c r="A1955" s="143"/>
      <c r="B1955" s="134"/>
      <c r="C1955" s="134"/>
      <c r="D1955" s="134"/>
      <c r="E1955" s="134"/>
      <c r="F1955" s="134"/>
      <c r="G1955" s="134"/>
      <c r="H1955" s="134"/>
      <c r="J1955" s="134"/>
      <c r="K1955" s="135"/>
      <c r="L1955" s="136"/>
      <c r="M1955" s="144"/>
      <c r="T1955" s="52"/>
      <c r="V1955" s="134"/>
      <c r="W1955" s="134"/>
      <c r="X1955" s="134"/>
      <c r="Y1955" s="134"/>
      <c r="Z1955" s="134"/>
      <c r="AA1955" s="134"/>
      <c r="AB1955" s="134"/>
      <c r="AC1955" s="134"/>
      <c r="AD1955" s="134"/>
    </row>
    <row r="1956">
      <c r="A1956" s="143"/>
      <c r="B1956" s="134"/>
      <c r="C1956" s="134"/>
      <c r="D1956" s="134"/>
      <c r="E1956" s="134"/>
      <c r="F1956" s="134"/>
      <c r="G1956" s="134"/>
      <c r="H1956" s="134"/>
      <c r="J1956" s="134"/>
      <c r="K1956" s="135"/>
      <c r="L1956" s="136"/>
      <c r="M1956" s="144"/>
      <c r="T1956" s="52"/>
      <c r="V1956" s="134"/>
      <c r="W1956" s="134"/>
      <c r="X1956" s="134"/>
      <c r="Y1956" s="134"/>
      <c r="Z1956" s="134"/>
      <c r="AA1956" s="134"/>
      <c r="AB1956" s="134"/>
      <c r="AC1956" s="134"/>
      <c r="AD1956" s="134"/>
    </row>
    <row r="1957">
      <c r="A1957" s="143"/>
      <c r="B1957" s="134"/>
      <c r="C1957" s="134"/>
      <c r="D1957" s="134"/>
      <c r="E1957" s="134"/>
      <c r="F1957" s="134"/>
      <c r="G1957" s="134"/>
      <c r="H1957" s="134"/>
      <c r="J1957" s="134"/>
      <c r="K1957" s="135"/>
      <c r="L1957" s="136"/>
      <c r="M1957" s="144"/>
      <c r="T1957" s="52"/>
      <c r="V1957" s="134"/>
      <c r="W1957" s="134"/>
      <c r="X1957" s="134"/>
      <c r="Y1957" s="134"/>
      <c r="Z1957" s="134"/>
      <c r="AA1957" s="134"/>
      <c r="AB1957" s="134"/>
      <c r="AC1957" s="134"/>
      <c r="AD1957" s="134"/>
    </row>
    <row r="1958">
      <c r="A1958" s="143"/>
      <c r="B1958" s="134"/>
      <c r="C1958" s="134"/>
      <c r="D1958" s="134"/>
      <c r="E1958" s="134"/>
      <c r="F1958" s="134"/>
      <c r="G1958" s="134"/>
      <c r="H1958" s="134"/>
      <c r="J1958" s="134"/>
      <c r="K1958" s="135"/>
      <c r="L1958" s="136"/>
      <c r="M1958" s="144"/>
      <c r="T1958" s="52"/>
      <c r="V1958" s="134"/>
      <c r="W1958" s="134"/>
      <c r="X1958" s="134"/>
      <c r="Y1958" s="134"/>
      <c r="Z1958" s="134"/>
      <c r="AA1958" s="134"/>
      <c r="AB1958" s="134"/>
      <c r="AC1958" s="134"/>
      <c r="AD1958" s="134"/>
    </row>
    <row r="1959">
      <c r="A1959" s="143"/>
      <c r="B1959" s="134"/>
      <c r="C1959" s="134"/>
      <c r="D1959" s="134"/>
      <c r="E1959" s="134"/>
      <c r="F1959" s="134"/>
      <c r="G1959" s="134"/>
      <c r="H1959" s="134"/>
      <c r="J1959" s="134"/>
      <c r="K1959" s="135"/>
      <c r="L1959" s="136"/>
      <c r="M1959" s="144"/>
      <c r="T1959" s="52"/>
      <c r="V1959" s="134"/>
      <c r="W1959" s="134"/>
      <c r="X1959" s="134"/>
      <c r="Y1959" s="134"/>
      <c r="Z1959" s="134"/>
      <c r="AA1959" s="134"/>
      <c r="AB1959" s="134"/>
      <c r="AC1959" s="134"/>
      <c r="AD1959" s="134"/>
    </row>
    <row r="1960">
      <c r="A1960" s="143"/>
      <c r="B1960" s="134"/>
      <c r="C1960" s="134"/>
      <c r="D1960" s="134"/>
      <c r="E1960" s="134"/>
      <c r="F1960" s="134"/>
      <c r="G1960" s="134"/>
      <c r="H1960" s="134"/>
      <c r="J1960" s="134"/>
      <c r="K1960" s="135"/>
      <c r="L1960" s="136"/>
      <c r="M1960" s="144"/>
      <c r="T1960" s="52"/>
      <c r="V1960" s="134"/>
      <c r="W1960" s="134"/>
      <c r="X1960" s="134"/>
      <c r="Y1960" s="134"/>
      <c r="Z1960" s="134"/>
      <c r="AA1960" s="134"/>
      <c r="AB1960" s="134"/>
      <c r="AC1960" s="134"/>
      <c r="AD1960" s="134"/>
    </row>
    <row r="1961">
      <c r="A1961" s="143"/>
      <c r="B1961" s="134"/>
      <c r="C1961" s="134"/>
      <c r="D1961" s="134"/>
      <c r="E1961" s="134"/>
      <c r="F1961" s="134"/>
      <c r="G1961" s="134"/>
      <c r="H1961" s="134"/>
      <c r="J1961" s="134"/>
      <c r="K1961" s="135"/>
      <c r="L1961" s="136"/>
      <c r="M1961" s="144"/>
      <c r="T1961" s="52"/>
      <c r="V1961" s="134"/>
      <c r="W1961" s="134"/>
      <c r="X1961" s="134"/>
      <c r="Y1961" s="134"/>
      <c r="Z1961" s="134"/>
      <c r="AA1961" s="134"/>
      <c r="AB1961" s="134"/>
      <c r="AC1961" s="134"/>
      <c r="AD1961" s="134"/>
    </row>
    <row r="1962">
      <c r="A1962" s="143"/>
      <c r="B1962" s="134"/>
      <c r="C1962" s="134"/>
      <c r="D1962" s="134"/>
      <c r="E1962" s="134"/>
      <c r="F1962" s="134"/>
      <c r="G1962" s="134"/>
      <c r="H1962" s="134"/>
      <c r="J1962" s="134"/>
      <c r="K1962" s="135"/>
      <c r="L1962" s="136"/>
      <c r="M1962" s="144"/>
      <c r="T1962" s="52"/>
      <c r="V1962" s="134"/>
      <c r="W1962" s="134"/>
      <c r="X1962" s="134"/>
      <c r="Y1962" s="134"/>
      <c r="Z1962" s="134"/>
      <c r="AA1962" s="134"/>
      <c r="AB1962" s="134"/>
      <c r="AC1962" s="134"/>
      <c r="AD1962" s="134"/>
    </row>
    <row r="1963">
      <c r="A1963" s="143"/>
      <c r="B1963" s="134"/>
      <c r="C1963" s="134"/>
      <c r="D1963" s="134"/>
      <c r="E1963" s="134"/>
      <c r="F1963" s="134"/>
      <c r="G1963" s="134"/>
      <c r="H1963" s="134"/>
      <c r="J1963" s="134"/>
      <c r="K1963" s="135"/>
      <c r="L1963" s="136"/>
      <c r="M1963" s="144"/>
      <c r="T1963" s="52"/>
      <c r="V1963" s="134"/>
      <c r="W1963" s="134"/>
      <c r="X1963" s="134"/>
      <c r="Y1963" s="134"/>
      <c r="Z1963" s="134"/>
      <c r="AA1963" s="134"/>
      <c r="AB1963" s="134"/>
      <c r="AC1963" s="134"/>
      <c r="AD1963" s="134"/>
    </row>
    <row r="1964">
      <c r="A1964" s="143"/>
      <c r="B1964" s="134"/>
      <c r="C1964" s="134"/>
      <c r="D1964" s="134"/>
      <c r="E1964" s="134"/>
      <c r="F1964" s="134"/>
      <c r="G1964" s="134"/>
      <c r="H1964" s="134"/>
      <c r="J1964" s="134"/>
      <c r="K1964" s="135"/>
      <c r="L1964" s="136"/>
      <c r="M1964" s="144"/>
      <c r="T1964" s="52"/>
      <c r="V1964" s="134"/>
      <c r="W1964" s="134"/>
      <c r="X1964" s="134"/>
      <c r="Y1964" s="134"/>
      <c r="Z1964" s="134"/>
      <c r="AA1964" s="134"/>
      <c r="AB1964" s="134"/>
      <c r="AC1964" s="134"/>
      <c r="AD1964" s="134"/>
    </row>
    <row r="1965">
      <c r="A1965" s="143"/>
      <c r="B1965" s="134"/>
      <c r="C1965" s="134"/>
      <c r="D1965" s="134"/>
      <c r="E1965" s="134"/>
      <c r="F1965" s="134"/>
      <c r="G1965" s="134"/>
      <c r="H1965" s="134"/>
      <c r="J1965" s="134"/>
      <c r="K1965" s="135"/>
      <c r="L1965" s="136"/>
      <c r="M1965" s="144"/>
      <c r="T1965" s="52"/>
      <c r="V1965" s="134"/>
      <c r="W1965" s="134"/>
      <c r="X1965" s="134"/>
      <c r="Y1965" s="134"/>
      <c r="Z1965" s="134"/>
      <c r="AA1965" s="134"/>
      <c r="AB1965" s="134"/>
      <c r="AC1965" s="134"/>
      <c r="AD1965" s="134"/>
    </row>
    <row r="1966">
      <c r="A1966" s="143"/>
      <c r="B1966" s="134"/>
      <c r="C1966" s="134"/>
      <c r="D1966" s="134"/>
      <c r="E1966" s="134"/>
      <c r="F1966" s="134"/>
      <c r="G1966" s="134"/>
      <c r="H1966" s="134"/>
      <c r="J1966" s="134"/>
      <c r="K1966" s="135"/>
      <c r="L1966" s="136"/>
      <c r="M1966" s="144"/>
      <c r="T1966" s="52"/>
      <c r="V1966" s="134"/>
      <c r="W1966" s="134"/>
      <c r="X1966" s="134"/>
      <c r="Y1966" s="134"/>
      <c r="Z1966" s="134"/>
      <c r="AA1966" s="134"/>
      <c r="AB1966" s="134"/>
      <c r="AC1966" s="134"/>
      <c r="AD1966" s="134"/>
    </row>
    <row r="1967">
      <c r="A1967" s="143"/>
      <c r="B1967" s="134"/>
      <c r="C1967" s="134"/>
      <c r="D1967" s="134"/>
      <c r="E1967" s="134"/>
      <c r="F1967" s="134"/>
      <c r="G1967" s="134"/>
      <c r="H1967" s="134"/>
      <c r="J1967" s="134"/>
      <c r="K1967" s="135"/>
      <c r="L1967" s="136"/>
      <c r="M1967" s="144"/>
      <c r="T1967" s="52"/>
      <c r="V1967" s="134"/>
      <c r="W1967" s="134"/>
      <c r="X1967" s="134"/>
      <c r="Y1967" s="134"/>
      <c r="Z1967" s="134"/>
      <c r="AA1967" s="134"/>
      <c r="AB1967" s="134"/>
      <c r="AC1967" s="134"/>
      <c r="AD1967" s="134"/>
    </row>
    <row r="1968">
      <c r="A1968" s="143"/>
      <c r="B1968" s="134"/>
      <c r="C1968" s="134"/>
      <c r="D1968" s="134"/>
      <c r="E1968" s="134"/>
      <c r="F1968" s="134"/>
      <c r="G1968" s="134"/>
      <c r="H1968" s="134"/>
      <c r="J1968" s="134"/>
      <c r="K1968" s="135"/>
      <c r="L1968" s="136"/>
      <c r="M1968" s="144"/>
      <c r="T1968" s="52"/>
      <c r="V1968" s="134"/>
      <c r="W1968" s="134"/>
      <c r="X1968" s="134"/>
      <c r="Y1968" s="134"/>
      <c r="Z1968" s="134"/>
      <c r="AA1968" s="134"/>
      <c r="AB1968" s="134"/>
      <c r="AC1968" s="134"/>
      <c r="AD1968" s="134"/>
    </row>
    <row r="1969">
      <c r="A1969" s="143"/>
      <c r="B1969" s="134"/>
      <c r="C1969" s="134"/>
      <c r="D1969" s="134"/>
      <c r="E1969" s="134"/>
      <c r="F1969" s="134"/>
      <c r="G1969" s="134"/>
      <c r="H1969" s="134"/>
      <c r="J1969" s="134"/>
      <c r="K1969" s="135"/>
      <c r="L1969" s="136"/>
      <c r="M1969" s="144"/>
      <c r="T1969" s="52"/>
      <c r="V1969" s="134"/>
      <c r="W1969" s="134"/>
      <c r="X1969" s="134"/>
      <c r="Y1969" s="134"/>
      <c r="Z1969" s="134"/>
      <c r="AA1969" s="134"/>
      <c r="AB1969" s="134"/>
      <c r="AC1969" s="134"/>
      <c r="AD1969" s="134"/>
    </row>
    <row r="1970">
      <c r="A1970" s="143"/>
      <c r="B1970" s="134"/>
      <c r="C1970" s="134"/>
      <c r="D1970" s="134"/>
      <c r="E1970" s="134"/>
      <c r="F1970" s="134"/>
      <c r="G1970" s="134"/>
      <c r="H1970" s="134"/>
      <c r="J1970" s="134"/>
      <c r="K1970" s="135"/>
      <c r="L1970" s="136"/>
      <c r="M1970" s="144"/>
      <c r="T1970" s="52"/>
      <c r="V1970" s="134"/>
      <c r="W1970" s="134"/>
      <c r="X1970" s="134"/>
      <c r="Y1970" s="134"/>
      <c r="Z1970" s="134"/>
      <c r="AA1970" s="134"/>
      <c r="AB1970" s="134"/>
      <c r="AC1970" s="134"/>
      <c r="AD1970" s="134"/>
    </row>
    <row r="1971">
      <c r="A1971" s="143"/>
      <c r="B1971" s="134"/>
      <c r="C1971" s="134"/>
      <c r="D1971" s="134"/>
      <c r="E1971" s="134"/>
      <c r="F1971" s="134"/>
      <c r="G1971" s="134"/>
      <c r="H1971" s="134"/>
      <c r="J1971" s="134"/>
      <c r="K1971" s="135"/>
      <c r="L1971" s="136"/>
      <c r="M1971" s="144"/>
      <c r="T1971" s="52"/>
      <c r="V1971" s="134"/>
      <c r="W1971" s="134"/>
      <c r="X1971" s="134"/>
      <c r="Y1971" s="134"/>
      <c r="Z1971" s="134"/>
      <c r="AA1971" s="134"/>
      <c r="AB1971" s="134"/>
      <c r="AC1971" s="134"/>
      <c r="AD1971" s="134"/>
    </row>
    <row r="1972">
      <c r="A1972" s="143"/>
      <c r="B1972" s="134"/>
      <c r="C1972" s="134"/>
      <c r="D1972" s="134"/>
      <c r="E1972" s="134"/>
      <c r="F1972" s="134"/>
      <c r="G1972" s="134"/>
      <c r="H1972" s="134"/>
      <c r="J1972" s="134"/>
      <c r="K1972" s="135"/>
      <c r="L1972" s="136"/>
      <c r="M1972" s="144"/>
      <c r="T1972" s="52"/>
      <c r="V1972" s="134"/>
      <c r="W1972" s="134"/>
      <c r="X1972" s="134"/>
      <c r="Y1972" s="134"/>
      <c r="Z1972" s="134"/>
      <c r="AA1972" s="134"/>
      <c r="AB1972" s="134"/>
      <c r="AC1972" s="134"/>
      <c r="AD1972" s="134"/>
    </row>
    <row r="1973">
      <c r="A1973" s="143"/>
      <c r="B1973" s="134"/>
      <c r="C1973" s="134"/>
      <c r="D1973" s="134"/>
      <c r="E1973" s="134"/>
      <c r="F1973" s="134"/>
      <c r="G1973" s="134"/>
      <c r="H1973" s="134"/>
      <c r="J1973" s="134"/>
      <c r="K1973" s="135"/>
      <c r="L1973" s="136"/>
      <c r="M1973" s="144"/>
      <c r="T1973" s="52"/>
      <c r="V1973" s="134"/>
      <c r="W1973" s="134"/>
      <c r="X1973" s="134"/>
      <c r="Y1973" s="134"/>
      <c r="Z1973" s="134"/>
      <c r="AA1973" s="134"/>
      <c r="AB1973" s="134"/>
      <c r="AC1973" s="134"/>
      <c r="AD1973" s="134"/>
    </row>
    <row r="1974">
      <c r="A1974" s="143"/>
      <c r="B1974" s="134"/>
      <c r="C1974" s="134"/>
      <c r="D1974" s="134"/>
      <c r="E1974" s="134"/>
      <c r="F1974" s="134"/>
      <c r="G1974" s="134"/>
      <c r="H1974" s="134"/>
      <c r="J1974" s="134"/>
      <c r="K1974" s="135"/>
      <c r="L1974" s="136"/>
      <c r="M1974" s="144"/>
      <c r="T1974" s="52"/>
      <c r="V1974" s="134"/>
      <c r="W1974" s="134"/>
      <c r="X1974" s="134"/>
      <c r="Y1974" s="134"/>
      <c r="Z1974" s="134"/>
      <c r="AA1974" s="134"/>
      <c r="AB1974" s="134"/>
      <c r="AC1974" s="134"/>
      <c r="AD1974" s="134"/>
    </row>
    <row r="1975">
      <c r="A1975" s="143"/>
      <c r="B1975" s="134"/>
      <c r="C1975" s="134"/>
      <c r="D1975" s="134"/>
      <c r="E1975" s="134"/>
      <c r="F1975" s="134"/>
      <c r="G1975" s="134"/>
      <c r="H1975" s="134"/>
      <c r="J1975" s="134"/>
      <c r="K1975" s="135"/>
      <c r="L1975" s="136"/>
      <c r="M1975" s="144"/>
      <c r="T1975" s="52"/>
      <c r="V1975" s="134"/>
      <c r="W1975" s="134"/>
      <c r="X1975" s="134"/>
      <c r="Y1975" s="134"/>
      <c r="Z1975" s="134"/>
      <c r="AA1975" s="134"/>
      <c r="AB1975" s="134"/>
      <c r="AC1975" s="134"/>
      <c r="AD1975" s="134"/>
    </row>
    <row r="1976">
      <c r="A1976" s="143"/>
      <c r="B1976" s="134"/>
      <c r="C1976" s="134"/>
      <c r="D1976" s="134"/>
      <c r="E1976" s="134"/>
      <c r="F1976" s="134"/>
      <c r="G1976" s="134"/>
      <c r="H1976" s="134"/>
      <c r="J1976" s="134"/>
      <c r="K1976" s="135"/>
      <c r="L1976" s="136"/>
      <c r="M1976" s="144"/>
      <c r="T1976" s="52"/>
      <c r="V1976" s="134"/>
      <c r="W1976" s="134"/>
      <c r="X1976" s="134"/>
      <c r="Y1976" s="134"/>
      <c r="Z1976" s="134"/>
      <c r="AA1976" s="134"/>
      <c r="AB1976" s="134"/>
      <c r="AC1976" s="134"/>
      <c r="AD1976" s="134"/>
    </row>
    <row r="1977">
      <c r="A1977" s="143"/>
      <c r="B1977" s="134"/>
      <c r="C1977" s="134"/>
      <c r="D1977" s="134"/>
      <c r="E1977" s="134"/>
      <c r="F1977" s="134"/>
      <c r="G1977" s="134"/>
      <c r="H1977" s="134"/>
      <c r="J1977" s="134"/>
      <c r="K1977" s="135"/>
      <c r="L1977" s="136"/>
      <c r="M1977" s="144"/>
      <c r="T1977" s="52"/>
      <c r="V1977" s="134"/>
      <c r="W1977" s="134"/>
      <c r="X1977" s="134"/>
      <c r="Y1977" s="134"/>
      <c r="Z1977" s="134"/>
      <c r="AA1977" s="134"/>
      <c r="AB1977" s="134"/>
      <c r="AC1977" s="134"/>
      <c r="AD1977" s="134"/>
    </row>
    <row r="1978">
      <c r="A1978" s="143"/>
      <c r="B1978" s="134"/>
      <c r="C1978" s="134"/>
      <c r="D1978" s="134"/>
      <c r="E1978" s="134"/>
      <c r="F1978" s="134"/>
      <c r="G1978" s="134"/>
      <c r="H1978" s="134"/>
      <c r="J1978" s="134"/>
      <c r="K1978" s="135"/>
      <c r="L1978" s="136"/>
      <c r="M1978" s="144"/>
      <c r="T1978" s="52"/>
      <c r="V1978" s="134"/>
      <c r="W1978" s="134"/>
      <c r="X1978" s="134"/>
      <c r="Y1978" s="134"/>
      <c r="Z1978" s="134"/>
      <c r="AA1978" s="134"/>
      <c r="AB1978" s="134"/>
      <c r="AC1978" s="134"/>
      <c r="AD1978" s="134"/>
    </row>
    <row r="1979">
      <c r="A1979" s="143"/>
      <c r="B1979" s="134"/>
      <c r="C1979" s="134"/>
      <c r="D1979" s="134"/>
      <c r="E1979" s="134"/>
      <c r="F1979" s="134"/>
      <c r="G1979" s="134"/>
      <c r="H1979" s="134"/>
      <c r="J1979" s="134"/>
      <c r="K1979" s="135"/>
      <c r="L1979" s="136"/>
      <c r="M1979" s="144"/>
      <c r="T1979" s="52"/>
      <c r="V1979" s="134"/>
      <c r="W1979" s="134"/>
      <c r="X1979" s="134"/>
      <c r="Y1979" s="134"/>
      <c r="Z1979" s="134"/>
      <c r="AA1979" s="134"/>
      <c r="AB1979" s="134"/>
      <c r="AC1979" s="134"/>
      <c r="AD1979" s="134"/>
    </row>
    <row r="1980">
      <c r="A1980" s="143"/>
      <c r="B1980" s="134"/>
      <c r="C1980" s="134"/>
      <c r="D1980" s="134"/>
      <c r="E1980" s="134"/>
      <c r="F1980" s="134"/>
      <c r="G1980" s="134"/>
      <c r="H1980" s="134"/>
      <c r="J1980" s="134"/>
      <c r="K1980" s="135"/>
      <c r="L1980" s="136"/>
      <c r="M1980" s="144"/>
      <c r="T1980" s="52"/>
      <c r="V1980" s="134"/>
      <c r="W1980" s="134"/>
      <c r="X1980" s="134"/>
      <c r="Y1980" s="134"/>
      <c r="Z1980" s="134"/>
      <c r="AA1980" s="134"/>
      <c r="AB1980" s="134"/>
      <c r="AC1980" s="134"/>
      <c r="AD1980" s="134"/>
    </row>
    <row r="1981">
      <c r="A1981" s="143"/>
      <c r="B1981" s="134"/>
      <c r="C1981" s="134"/>
      <c r="D1981" s="134"/>
      <c r="E1981" s="134"/>
      <c r="F1981" s="134"/>
      <c r="G1981" s="134"/>
      <c r="H1981" s="134"/>
      <c r="J1981" s="134"/>
      <c r="K1981" s="135"/>
      <c r="L1981" s="136"/>
      <c r="M1981" s="144"/>
      <c r="T1981" s="52"/>
      <c r="V1981" s="134"/>
      <c r="W1981" s="134"/>
      <c r="X1981" s="134"/>
      <c r="Y1981" s="134"/>
      <c r="Z1981" s="134"/>
      <c r="AA1981" s="134"/>
      <c r="AB1981" s="134"/>
      <c r="AC1981" s="134"/>
      <c r="AD1981" s="134"/>
    </row>
    <row r="1982">
      <c r="A1982" s="143"/>
      <c r="B1982" s="134"/>
      <c r="C1982" s="134"/>
      <c r="D1982" s="134"/>
      <c r="E1982" s="134"/>
      <c r="F1982" s="134"/>
      <c r="G1982" s="134"/>
      <c r="H1982" s="134"/>
      <c r="J1982" s="134"/>
      <c r="K1982" s="135"/>
      <c r="L1982" s="136"/>
      <c r="M1982" s="144"/>
      <c r="T1982" s="52"/>
      <c r="V1982" s="134"/>
      <c r="W1982" s="134"/>
      <c r="X1982" s="134"/>
      <c r="Y1982" s="134"/>
      <c r="Z1982" s="134"/>
      <c r="AA1982" s="134"/>
      <c r="AB1982" s="134"/>
      <c r="AC1982" s="134"/>
      <c r="AD1982" s="134"/>
    </row>
    <row r="1983">
      <c r="A1983" s="143"/>
      <c r="B1983" s="134"/>
      <c r="C1983" s="134"/>
      <c r="D1983" s="134"/>
      <c r="E1983" s="134"/>
      <c r="F1983" s="134"/>
      <c r="G1983" s="134"/>
      <c r="H1983" s="134"/>
      <c r="J1983" s="134"/>
      <c r="K1983" s="135"/>
      <c r="L1983" s="136"/>
      <c r="M1983" s="144"/>
      <c r="T1983" s="52"/>
      <c r="V1983" s="134"/>
      <c r="W1983" s="134"/>
      <c r="X1983" s="134"/>
      <c r="Y1983" s="134"/>
      <c r="Z1983" s="134"/>
      <c r="AA1983" s="134"/>
      <c r="AB1983" s="134"/>
      <c r="AC1983" s="134"/>
      <c r="AD1983" s="134"/>
    </row>
    <row r="1984">
      <c r="A1984" s="143"/>
      <c r="B1984" s="134"/>
      <c r="C1984" s="134"/>
      <c r="D1984" s="134"/>
      <c r="E1984" s="134"/>
      <c r="F1984" s="134"/>
      <c r="G1984" s="134"/>
      <c r="H1984" s="134"/>
      <c r="J1984" s="134"/>
      <c r="K1984" s="135"/>
      <c r="L1984" s="136"/>
      <c r="M1984" s="144"/>
      <c r="T1984" s="52"/>
      <c r="V1984" s="134"/>
      <c r="W1984" s="134"/>
      <c r="X1984" s="134"/>
      <c r="Y1984" s="134"/>
      <c r="Z1984" s="134"/>
      <c r="AA1984" s="134"/>
      <c r="AB1984" s="134"/>
      <c r="AC1984" s="134"/>
      <c r="AD1984" s="134"/>
    </row>
    <row r="1985">
      <c r="A1985" s="143"/>
      <c r="B1985" s="134"/>
      <c r="C1985" s="134"/>
      <c r="D1985" s="134"/>
      <c r="E1985" s="134"/>
      <c r="F1985" s="134"/>
      <c r="G1985" s="134"/>
      <c r="H1985" s="134"/>
      <c r="J1985" s="134"/>
      <c r="K1985" s="135"/>
      <c r="L1985" s="136"/>
      <c r="M1985" s="144"/>
      <c r="T1985" s="52"/>
      <c r="V1985" s="134"/>
      <c r="W1985" s="134"/>
      <c r="X1985" s="134"/>
      <c r="Y1985" s="134"/>
      <c r="Z1985" s="134"/>
      <c r="AA1985" s="134"/>
      <c r="AB1985" s="134"/>
      <c r="AC1985" s="134"/>
      <c r="AD1985" s="134"/>
    </row>
    <row r="1986">
      <c r="A1986" s="143"/>
      <c r="B1986" s="134"/>
      <c r="C1986" s="134"/>
      <c r="D1986" s="134"/>
      <c r="E1986" s="134"/>
      <c r="F1986" s="134"/>
      <c r="G1986" s="134"/>
      <c r="H1986" s="134"/>
      <c r="J1986" s="134"/>
      <c r="K1986" s="135"/>
      <c r="L1986" s="136"/>
      <c r="M1986" s="144"/>
      <c r="T1986" s="52"/>
      <c r="V1986" s="134"/>
      <c r="W1986" s="134"/>
      <c r="X1986" s="134"/>
      <c r="Y1986" s="134"/>
      <c r="Z1986" s="134"/>
      <c r="AA1986" s="134"/>
      <c r="AB1986" s="134"/>
      <c r="AC1986" s="134"/>
      <c r="AD1986" s="134"/>
    </row>
    <row r="1987">
      <c r="A1987" s="143"/>
      <c r="B1987" s="134"/>
      <c r="C1987" s="134"/>
      <c r="D1987" s="134"/>
      <c r="E1987" s="134"/>
      <c r="F1987" s="134"/>
      <c r="G1987" s="134"/>
      <c r="H1987" s="134"/>
      <c r="J1987" s="134"/>
      <c r="K1987" s="135"/>
      <c r="L1987" s="136"/>
      <c r="M1987" s="144"/>
      <c r="T1987" s="52"/>
      <c r="V1987" s="134"/>
      <c r="W1987" s="134"/>
      <c r="X1987" s="134"/>
      <c r="Y1987" s="134"/>
      <c r="Z1987" s="134"/>
      <c r="AA1987" s="134"/>
      <c r="AB1987" s="134"/>
      <c r="AC1987" s="134"/>
      <c r="AD1987" s="134"/>
    </row>
    <row r="1988">
      <c r="A1988" s="143"/>
      <c r="B1988" s="134"/>
      <c r="C1988" s="134"/>
      <c r="D1988" s="134"/>
      <c r="E1988" s="134"/>
      <c r="F1988" s="134"/>
      <c r="G1988" s="134"/>
      <c r="H1988" s="134"/>
      <c r="J1988" s="134"/>
      <c r="K1988" s="135"/>
      <c r="L1988" s="136"/>
      <c r="M1988" s="144"/>
      <c r="T1988" s="52"/>
      <c r="V1988" s="134"/>
      <c r="W1988" s="134"/>
      <c r="X1988" s="134"/>
      <c r="Y1988" s="134"/>
      <c r="Z1988" s="134"/>
      <c r="AA1988" s="134"/>
      <c r="AB1988" s="134"/>
      <c r="AC1988" s="134"/>
      <c r="AD1988" s="134"/>
    </row>
    <row r="1989">
      <c r="A1989" s="143"/>
      <c r="B1989" s="134"/>
      <c r="C1989" s="134"/>
      <c r="D1989" s="134"/>
      <c r="E1989" s="134"/>
      <c r="F1989" s="134"/>
      <c r="G1989" s="134"/>
      <c r="H1989" s="134"/>
      <c r="J1989" s="134"/>
      <c r="K1989" s="135"/>
      <c r="L1989" s="136"/>
      <c r="M1989" s="144"/>
      <c r="T1989" s="52"/>
      <c r="V1989" s="134"/>
      <c r="W1989" s="134"/>
      <c r="X1989" s="134"/>
      <c r="Y1989" s="134"/>
      <c r="Z1989" s="134"/>
      <c r="AA1989" s="134"/>
      <c r="AB1989" s="134"/>
      <c r="AC1989" s="134"/>
      <c r="AD1989" s="134"/>
    </row>
    <row r="1990">
      <c r="A1990" s="143"/>
      <c r="B1990" s="134"/>
      <c r="C1990" s="134"/>
      <c r="D1990" s="134"/>
      <c r="E1990" s="134"/>
      <c r="F1990" s="134"/>
      <c r="G1990" s="134"/>
      <c r="H1990" s="134"/>
      <c r="J1990" s="134"/>
      <c r="K1990" s="135"/>
      <c r="L1990" s="136"/>
      <c r="M1990" s="144"/>
      <c r="T1990" s="52"/>
      <c r="V1990" s="134"/>
      <c r="W1990" s="134"/>
      <c r="X1990" s="134"/>
      <c r="Y1990" s="134"/>
      <c r="Z1990" s="134"/>
      <c r="AA1990" s="134"/>
      <c r="AB1990" s="134"/>
      <c r="AC1990" s="134"/>
      <c r="AD1990" s="134"/>
    </row>
    <row r="1991">
      <c r="A1991" s="143"/>
      <c r="B1991" s="134"/>
      <c r="C1991" s="134"/>
      <c r="D1991" s="134"/>
      <c r="E1991" s="134"/>
      <c r="F1991" s="134"/>
      <c r="G1991" s="134"/>
      <c r="H1991" s="134"/>
      <c r="J1991" s="134"/>
      <c r="K1991" s="135"/>
      <c r="L1991" s="136"/>
      <c r="M1991" s="144"/>
      <c r="T1991" s="52"/>
      <c r="V1991" s="134"/>
      <c r="W1991" s="134"/>
      <c r="X1991" s="134"/>
      <c r="Y1991" s="134"/>
      <c r="Z1991" s="134"/>
      <c r="AA1991" s="134"/>
      <c r="AB1991" s="134"/>
      <c r="AC1991" s="134"/>
      <c r="AD1991" s="134"/>
    </row>
    <row r="1992">
      <c r="A1992" s="143"/>
      <c r="B1992" s="134"/>
      <c r="C1992" s="134"/>
      <c r="D1992" s="134"/>
      <c r="E1992" s="134"/>
      <c r="F1992" s="134"/>
      <c r="G1992" s="134"/>
      <c r="H1992" s="134"/>
      <c r="J1992" s="134"/>
      <c r="K1992" s="135"/>
      <c r="L1992" s="136"/>
      <c r="M1992" s="144"/>
      <c r="T1992" s="52"/>
      <c r="V1992" s="134"/>
      <c r="W1992" s="134"/>
      <c r="X1992" s="134"/>
      <c r="Y1992" s="134"/>
      <c r="Z1992" s="134"/>
      <c r="AA1992" s="134"/>
      <c r="AB1992" s="134"/>
      <c r="AC1992" s="134"/>
      <c r="AD1992" s="134"/>
    </row>
    <row r="1993">
      <c r="A1993" s="143"/>
      <c r="B1993" s="134"/>
      <c r="C1993" s="134"/>
      <c r="D1993" s="134"/>
      <c r="E1993" s="134"/>
      <c r="F1993" s="134"/>
      <c r="G1993" s="134"/>
      <c r="H1993" s="134"/>
      <c r="J1993" s="134"/>
      <c r="K1993" s="135"/>
      <c r="L1993" s="136"/>
      <c r="M1993" s="144"/>
      <c r="T1993" s="52"/>
      <c r="V1993" s="134"/>
      <c r="W1993" s="134"/>
      <c r="X1993" s="134"/>
      <c r="Y1993" s="134"/>
      <c r="Z1993" s="134"/>
      <c r="AA1993" s="134"/>
      <c r="AB1993" s="134"/>
      <c r="AC1993" s="134"/>
      <c r="AD1993" s="134"/>
    </row>
    <row r="1994">
      <c r="A1994" s="143"/>
      <c r="B1994" s="134"/>
      <c r="C1994" s="134"/>
      <c r="D1994" s="134"/>
      <c r="E1994" s="134"/>
      <c r="F1994" s="134"/>
      <c r="G1994" s="134"/>
      <c r="H1994" s="134"/>
      <c r="J1994" s="134"/>
      <c r="K1994" s="135"/>
      <c r="L1994" s="136"/>
      <c r="M1994" s="144"/>
      <c r="T1994" s="52"/>
      <c r="V1994" s="134"/>
      <c r="W1994" s="134"/>
      <c r="X1994" s="134"/>
      <c r="Y1994" s="134"/>
      <c r="Z1994" s="134"/>
      <c r="AA1994" s="134"/>
      <c r="AB1994" s="134"/>
      <c r="AC1994" s="134"/>
      <c r="AD1994" s="134"/>
    </row>
    <row r="1995">
      <c r="A1995" s="143"/>
      <c r="B1995" s="134"/>
      <c r="C1995" s="134"/>
      <c r="D1995" s="134"/>
      <c r="E1995" s="134"/>
      <c r="F1995" s="134"/>
      <c r="G1995" s="134"/>
      <c r="H1995" s="134"/>
      <c r="J1995" s="134"/>
      <c r="K1995" s="135"/>
      <c r="L1995" s="136"/>
      <c r="M1995" s="144"/>
      <c r="T1995" s="52"/>
      <c r="V1995" s="134"/>
      <c r="W1995" s="134"/>
      <c r="X1995" s="134"/>
      <c r="Y1995" s="134"/>
      <c r="Z1995" s="134"/>
      <c r="AA1995" s="134"/>
      <c r="AB1995" s="134"/>
      <c r="AC1995" s="134"/>
      <c r="AD1995" s="134"/>
    </row>
    <row r="1996">
      <c r="A1996" s="143"/>
      <c r="B1996" s="134"/>
      <c r="C1996" s="134"/>
      <c r="D1996" s="134"/>
      <c r="E1996" s="134"/>
      <c r="F1996" s="134"/>
      <c r="G1996" s="134"/>
      <c r="H1996" s="134"/>
      <c r="J1996" s="134"/>
      <c r="K1996" s="135"/>
      <c r="L1996" s="136"/>
      <c r="M1996" s="144"/>
      <c r="T1996" s="52"/>
      <c r="V1996" s="134"/>
      <c r="W1996" s="134"/>
      <c r="X1996" s="134"/>
      <c r="Y1996" s="134"/>
      <c r="Z1996" s="134"/>
      <c r="AA1996" s="134"/>
      <c r="AB1996" s="134"/>
      <c r="AC1996" s="134"/>
      <c r="AD1996" s="134"/>
    </row>
    <row r="1997">
      <c r="A1997" s="143"/>
      <c r="B1997" s="134"/>
      <c r="C1997" s="134"/>
      <c r="D1997" s="134"/>
      <c r="E1997" s="134"/>
      <c r="F1997" s="134"/>
      <c r="G1997" s="134"/>
      <c r="H1997" s="134"/>
      <c r="J1997" s="134"/>
      <c r="K1997" s="135"/>
      <c r="L1997" s="136"/>
      <c r="M1997" s="144"/>
      <c r="T1997" s="52"/>
      <c r="V1997" s="134"/>
      <c r="W1997" s="134"/>
      <c r="X1997" s="134"/>
      <c r="Y1997" s="134"/>
      <c r="Z1997" s="134"/>
      <c r="AA1997" s="134"/>
      <c r="AB1997" s="134"/>
      <c r="AC1997" s="134"/>
      <c r="AD1997" s="134"/>
    </row>
    <row r="1998">
      <c r="A1998" s="143"/>
      <c r="B1998" s="134"/>
      <c r="C1998" s="134"/>
      <c r="D1998" s="134"/>
      <c r="E1998" s="134"/>
      <c r="F1998" s="134"/>
      <c r="G1998" s="134"/>
      <c r="H1998" s="134"/>
      <c r="J1998" s="134"/>
      <c r="K1998" s="135"/>
      <c r="L1998" s="136"/>
      <c r="M1998" s="144"/>
      <c r="T1998" s="52"/>
      <c r="V1998" s="134"/>
      <c r="W1998" s="134"/>
      <c r="X1998" s="134"/>
      <c r="Y1998" s="134"/>
      <c r="Z1998" s="134"/>
      <c r="AA1998" s="134"/>
      <c r="AB1998" s="134"/>
      <c r="AC1998" s="134"/>
      <c r="AD1998" s="134"/>
    </row>
    <row r="1999">
      <c r="A1999" s="143"/>
      <c r="B1999" s="134"/>
      <c r="C1999" s="134"/>
      <c r="D1999" s="134"/>
      <c r="E1999" s="134"/>
      <c r="F1999" s="134"/>
      <c r="G1999" s="134"/>
      <c r="H1999" s="134"/>
      <c r="J1999" s="134"/>
      <c r="K1999" s="135"/>
      <c r="L1999" s="136"/>
      <c r="M1999" s="144"/>
      <c r="T1999" s="52"/>
      <c r="V1999" s="134"/>
      <c r="W1999" s="134"/>
      <c r="X1999" s="134"/>
      <c r="Y1999" s="134"/>
      <c r="Z1999" s="134"/>
      <c r="AA1999" s="134"/>
      <c r="AB1999" s="134"/>
      <c r="AC1999" s="134"/>
      <c r="AD1999" s="134"/>
    </row>
    <row r="2000">
      <c r="A2000" s="143"/>
      <c r="B2000" s="134"/>
      <c r="C2000" s="134"/>
      <c r="D2000" s="134"/>
      <c r="E2000" s="134"/>
      <c r="F2000" s="134"/>
      <c r="G2000" s="134"/>
      <c r="H2000" s="134"/>
      <c r="J2000" s="134"/>
      <c r="K2000" s="135"/>
      <c r="L2000" s="136"/>
      <c r="M2000" s="144"/>
      <c r="T2000" s="52"/>
      <c r="V2000" s="134"/>
      <c r="W2000" s="134"/>
      <c r="X2000" s="134"/>
      <c r="Y2000" s="134"/>
      <c r="Z2000" s="134"/>
      <c r="AA2000" s="134"/>
      <c r="AB2000" s="134"/>
      <c r="AC2000" s="134"/>
      <c r="AD2000" s="134"/>
    </row>
    <row r="2001">
      <c r="A2001" s="143"/>
      <c r="B2001" s="134"/>
      <c r="C2001" s="134"/>
      <c r="D2001" s="134"/>
      <c r="E2001" s="134"/>
      <c r="F2001" s="134"/>
      <c r="G2001" s="134"/>
      <c r="H2001" s="134"/>
      <c r="J2001" s="134"/>
      <c r="K2001" s="135"/>
      <c r="L2001" s="136"/>
      <c r="M2001" s="144"/>
      <c r="T2001" s="52"/>
      <c r="V2001" s="134"/>
      <c r="W2001" s="134"/>
      <c r="X2001" s="134"/>
      <c r="Y2001" s="134"/>
      <c r="Z2001" s="134"/>
      <c r="AA2001" s="134"/>
      <c r="AB2001" s="134"/>
      <c r="AC2001" s="134"/>
      <c r="AD2001" s="134"/>
    </row>
    <row r="2002">
      <c r="A2002" s="143"/>
      <c r="B2002" s="134"/>
      <c r="C2002" s="134"/>
      <c r="D2002" s="134"/>
      <c r="E2002" s="134"/>
      <c r="F2002" s="134"/>
      <c r="G2002" s="134"/>
      <c r="H2002" s="134"/>
      <c r="J2002" s="134"/>
      <c r="K2002" s="135"/>
      <c r="L2002" s="136"/>
      <c r="M2002" s="144"/>
      <c r="T2002" s="52"/>
      <c r="V2002" s="134"/>
      <c r="W2002" s="134"/>
      <c r="X2002" s="134"/>
      <c r="Y2002" s="134"/>
      <c r="Z2002" s="134"/>
      <c r="AA2002" s="134"/>
      <c r="AB2002" s="134"/>
      <c r="AC2002" s="134"/>
      <c r="AD2002" s="134"/>
    </row>
    <row r="2003">
      <c r="A2003" s="143"/>
      <c r="B2003" s="134"/>
      <c r="C2003" s="134"/>
      <c r="D2003" s="134"/>
      <c r="E2003" s="134"/>
      <c r="F2003" s="134"/>
      <c r="G2003" s="134"/>
      <c r="H2003" s="134"/>
      <c r="J2003" s="134"/>
      <c r="K2003" s="135"/>
      <c r="L2003" s="136"/>
      <c r="M2003" s="144"/>
      <c r="T2003" s="52"/>
      <c r="V2003" s="134"/>
      <c r="W2003" s="134"/>
      <c r="X2003" s="134"/>
      <c r="Y2003" s="134"/>
      <c r="Z2003" s="134"/>
      <c r="AA2003" s="134"/>
      <c r="AB2003" s="134"/>
      <c r="AC2003" s="134"/>
      <c r="AD2003" s="134"/>
    </row>
    <row r="2004">
      <c r="A2004" s="143"/>
      <c r="B2004" s="134"/>
      <c r="C2004" s="134"/>
      <c r="D2004" s="134"/>
      <c r="E2004" s="134"/>
      <c r="F2004" s="134"/>
      <c r="G2004" s="134"/>
      <c r="H2004" s="134"/>
      <c r="J2004" s="134"/>
      <c r="K2004" s="135"/>
      <c r="L2004" s="136"/>
      <c r="M2004" s="144"/>
      <c r="T2004" s="52"/>
      <c r="V2004" s="134"/>
      <c r="W2004" s="134"/>
      <c r="X2004" s="134"/>
      <c r="Y2004" s="134"/>
      <c r="Z2004" s="134"/>
      <c r="AA2004" s="134"/>
      <c r="AB2004" s="134"/>
      <c r="AC2004" s="134"/>
      <c r="AD2004" s="134"/>
    </row>
    <row r="2005">
      <c r="A2005" s="143"/>
      <c r="B2005" s="134"/>
      <c r="C2005" s="134"/>
      <c r="D2005" s="134"/>
      <c r="E2005" s="134"/>
      <c r="F2005" s="134"/>
      <c r="G2005" s="134"/>
      <c r="H2005" s="134"/>
      <c r="J2005" s="134"/>
      <c r="K2005" s="135"/>
      <c r="L2005" s="136"/>
      <c r="M2005" s="144"/>
      <c r="T2005" s="52"/>
      <c r="V2005" s="134"/>
      <c r="W2005" s="134"/>
      <c r="X2005" s="134"/>
      <c r="Y2005" s="134"/>
      <c r="Z2005" s="134"/>
      <c r="AA2005" s="134"/>
      <c r="AB2005" s="134"/>
      <c r="AC2005" s="134"/>
      <c r="AD2005" s="134"/>
    </row>
    <row r="2006">
      <c r="A2006" s="143"/>
      <c r="B2006" s="134"/>
      <c r="C2006" s="134"/>
      <c r="D2006" s="134"/>
      <c r="E2006" s="134"/>
      <c r="F2006" s="134"/>
      <c r="G2006" s="134"/>
      <c r="H2006" s="134"/>
      <c r="J2006" s="134"/>
      <c r="K2006" s="135"/>
      <c r="L2006" s="136"/>
      <c r="M2006" s="144"/>
      <c r="T2006" s="52"/>
      <c r="V2006" s="134"/>
      <c r="W2006" s="134"/>
      <c r="X2006" s="134"/>
      <c r="Y2006" s="134"/>
      <c r="Z2006" s="134"/>
      <c r="AA2006" s="134"/>
      <c r="AB2006" s="134"/>
      <c r="AC2006" s="134"/>
      <c r="AD2006" s="134"/>
    </row>
    <row r="2007">
      <c r="A2007" s="143"/>
      <c r="B2007" s="134"/>
      <c r="C2007" s="134"/>
      <c r="D2007" s="134"/>
      <c r="E2007" s="134"/>
      <c r="F2007" s="134"/>
      <c r="G2007" s="134"/>
      <c r="H2007" s="134"/>
      <c r="J2007" s="134"/>
      <c r="K2007" s="135"/>
      <c r="L2007" s="136"/>
      <c r="M2007" s="144"/>
      <c r="T2007" s="52"/>
      <c r="V2007" s="134"/>
      <c r="W2007" s="134"/>
      <c r="X2007" s="134"/>
      <c r="Y2007" s="134"/>
      <c r="Z2007" s="134"/>
      <c r="AA2007" s="134"/>
      <c r="AB2007" s="134"/>
      <c r="AC2007" s="134"/>
      <c r="AD2007" s="134"/>
    </row>
    <row r="2008">
      <c r="A2008" s="143"/>
      <c r="B2008" s="134"/>
      <c r="C2008" s="134"/>
      <c r="D2008" s="134"/>
      <c r="E2008" s="134"/>
      <c r="F2008" s="134"/>
      <c r="G2008" s="134"/>
      <c r="H2008" s="134"/>
      <c r="J2008" s="134"/>
      <c r="K2008" s="135"/>
      <c r="L2008" s="136"/>
      <c r="M2008" s="144"/>
      <c r="T2008" s="52"/>
      <c r="V2008" s="134"/>
      <c r="W2008" s="134"/>
      <c r="X2008" s="134"/>
      <c r="Y2008" s="134"/>
      <c r="Z2008" s="134"/>
      <c r="AA2008" s="134"/>
      <c r="AB2008" s="134"/>
      <c r="AC2008" s="134"/>
      <c r="AD2008" s="134"/>
    </row>
    <row r="2009">
      <c r="A2009" s="143"/>
      <c r="B2009" s="134"/>
      <c r="C2009" s="134"/>
      <c r="D2009" s="134"/>
      <c r="E2009" s="134"/>
      <c r="F2009" s="134"/>
      <c r="G2009" s="134"/>
      <c r="H2009" s="134"/>
      <c r="J2009" s="134"/>
      <c r="K2009" s="135"/>
      <c r="L2009" s="136"/>
      <c r="M2009" s="144"/>
      <c r="T2009" s="52"/>
      <c r="V2009" s="134"/>
      <c r="W2009" s="134"/>
      <c r="X2009" s="134"/>
      <c r="Y2009" s="134"/>
      <c r="Z2009" s="134"/>
      <c r="AA2009" s="134"/>
      <c r="AB2009" s="134"/>
      <c r="AC2009" s="134"/>
      <c r="AD2009" s="134"/>
    </row>
    <row r="2010">
      <c r="A2010" s="143"/>
      <c r="B2010" s="134"/>
      <c r="C2010" s="134"/>
      <c r="D2010" s="134"/>
      <c r="E2010" s="134"/>
      <c r="F2010" s="134"/>
      <c r="G2010" s="134"/>
      <c r="H2010" s="134"/>
      <c r="J2010" s="134"/>
      <c r="K2010" s="135"/>
      <c r="L2010" s="136"/>
      <c r="M2010" s="144"/>
      <c r="T2010" s="52"/>
      <c r="V2010" s="134"/>
      <c r="W2010" s="134"/>
      <c r="X2010" s="134"/>
      <c r="Y2010" s="134"/>
      <c r="Z2010" s="134"/>
      <c r="AA2010" s="134"/>
      <c r="AB2010" s="134"/>
      <c r="AC2010" s="134"/>
      <c r="AD2010" s="134"/>
    </row>
    <row r="2011">
      <c r="A2011" s="143"/>
      <c r="B2011" s="134"/>
      <c r="C2011" s="134"/>
      <c r="D2011" s="134"/>
      <c r="E2011" s="134"/>
      <c r="F2011" s="134"/>
      <c r="G2011" s="134"/>
      <c r="H2011" s="134"/>
      <c r="J2011" s="134"/>
      <c r="K2011" s="135"/>
      <c r="L2011" s="136"/>
      <c r="M2011" s="144"/>
      <c r="T2011" s="52"/>
      <c r="V2011" s="134"/>
      <c r="W2011" s="134"/>
      <c r="X2011" s="134"/>
      <c r="Y2011" s="134"/>
      <c r="Z2011" s="134"/>
      <c r="AA2011" s="134"/>
      <c r="AB2011" s="134"/>
      <c r="AC2011" s="134"/>
      <c r="AD2011" s="134"/>
    </row>
    <row r="2012">
      <c r="A2012" s="143"/>
      <c r="B2012" s="134"/>
      <c r="C2012" s="134"/>
      <c r="D2012" s="134"/>
      <c r="E2012" s="134"/>
      <c r="F2012" s="134"/>
      <c r="G2012" s="134"/>
      <c r="H2012" s="134"/>
      <c r="J2012" s="134"/>
      <c r="K2012" s="135"/>
      <c r="L2012" s="136"/>
      <c r="M2012" s="144"/>
      <c r="T2012" s="52"/>
      <c r="V2012" s="134"/>
      <c r="W2012" s="134"/>
      <c r="X2012" s="134"/>
      <c r="Y2012" s="134"/>
      <c r="Z2012" s="134"/>
      <c r="AA2012" s="134"/>
      <c r="AB2012" s="134"/>
      <c r="AC2012" s="134"/>
      <c r="AD2012" s="134"/>
    </row>
    <row r="2013">
      <c r="A2013" s="143"/>
      <c r="B2013" s="134"/>
      <c r="C2013" s="134"/>
      <c r="D2013" s="134"/>
      <c r="E2013" s="134"/>
      <c r="F2013" s="134"/>
      <c r="G2013" s="134"/>
      <c r="H2013" s="134"/>
      <c r="J2013" s="134"/>
      <c r="K2013" s="135"/>
      <c r="L2013" s="136"/>
      <c r="M2013" s="144"/>
      <c r="T2013" s="52"/>
      <c r="V2013" s="134"/>
      <c r="W2013" s="134"/>
      <c r="X2013" s="134"/>
      <c r="Y2013" s="134"/>
      <c r="Z2013" s="134"/>
      <c r="AA2013" s="134"/>
      <c r="AB2013" s="134"/>
      <c r="AC2013" s="134"/>
      <c r="AD2013" s="134"/>
    </row>
    <row r="2014">
      <c r="A2014" s="143"/>
      <c r="B2014" s="134"/>
      <c r="C2014" s="134"/>
      <c r="D2014" s="134"/>
      <c r="E2014" s="134"/>
      <c r="F2014" s="134"/>
      <c r="G2014" s="134"/>
      <c r="H2014" s="134"/>
      <c r="J2014" s="134"/>
      <c r="K2014" s="135"/>
      <c r="L2014" s="136"/>
      <c r="M2014" s="144"/>
      <c r="T2014" s="52"/>
      <c r="V2014" s="134"/>
      <c r="W2014" s="134"/>
      <c r="X2014" s="134"/>
      <c r="Y2014" s="134"/>
      <c r="Z2014" s="134"/>
      <c r="AA2014" s="134"/>
      <c r="AB2014" s="134"/>
      <c r="AC2014" s="134"/>
      <c r="AD2014" s="134"/>
    </row>
    <row r="2015">
      <c r="A2015" s="143"/>
      <c r="B2015" s="134"/>
      <c r="C2015" s="134"/>
      <c r="D2015" s="134"/>
      <c r="E2015" s="134"/>
      <c r="F2015" s="134"/>
      <c r="G2015" s="134"/>
      <c r="H2015" s="134"/>
      <c r="J2015" s="134"/>
      <c r="K2015" s="135"/>
      <c r="L2015" s="136"/>
      <c r="M2015" s="144"/>
      <c r="T2015" s="52"/>
      <c r="V2015" s="134"/>
      <c r="W2015" s="134"/>
      <c r="X2015" s="134"/>
      <c r="Y2015" s="134"/>
      <c r="Z2015" s="134"/>
      <c r="AA2015" s="134"/>
      <c r="AB2015" s="134"/>
      <c r="AC2015" s="134"/>
      <c r="AD2015" s="134"/>
    </row>
    <row r="2016">
      <c r="A2016" s="143"/>
      <c r="B2016" s="134"/>
      <c r="C2016" s="134"/>
      <c r="D2016" s="134"/>
      <c r="E2016" s="134"/>
      <c r="F2016" s="134"/>
      <c r="G2016" s="134"/>
      <c r="H2016" s="134"/>
      <c r="J2016" s="134"/>
      <c r="K2016" s="135"/>
      <c r="L2016" s="136"/>
      <c r="M2016" s="144"/>
      <c r="T2016" s="52"/>
      <c r="V2016" s="134"/>
      <c r="W2016" s="134"/>
      <c r="X2016" s="134"/>
      <c r="Y2016" s="134"/>
      <c r="Z2016" s="134"/>
      <c r="AA2016" s="134"/>
      <c r="AB2016" s="134"/>
      <c r="AC2016" s="134"/>
      <c r="AD2016" s="134"/>
    </row>
    <row r="2017">
      <c r="A2017" s="143"/>
      <c r="B2017" s="134"/>
      <c r="C2017" s="134"/>
      <c r="D2017" s="134"/>
      <c r="E2017" s="134"/>
      <c r="F2017" s="134"/>
      <c r="G2017" s="134"/>
      <c r="H2017" s="134"/>
      <c r="J2017" s="134"/>
      <c r="K2017" s="135"/>
      <c r="L2017" s="136"/>
      <c r="M2017" s="144"/>
      <c r="T2017" s="52"/>
      <c r="V2017" s="134"/>
      <c r="W2017" s="134"/>
      <c r="X2017" s="134"/>
      <c r="Y2017" s="134"/>
      <c r="Z2017" s="134"/>
      <c r="AA2017" s="134"/>
      <c r="AB2017" s="134"/>
      <c r="AC2017" s="134"/>
      <c r="AD2017" s="134"/>
    </row>
    <row r="2018">
      <c r="A2018" s="143"/>
      <c r="B2018" s="134"/>
      <c r="C2018" s="134"/>
      <c r="D2018" s="134"/>
      <c r="E2018" s="134"/>
      <c r="F2018" s="134"/>
      <c r="G2018" s="134"/>
      <c r="H2018" s="134"/>
      <c r="J2018" s="134"/>
      <c r="K2018" s="135"/>
      <c r="L2018" s="136"/>
      <c r="M2018" s="144"/>
      <c r="T2018" s="52"/>
      <c r="V2018" s="134"/>
      <c r="W2018" s="134"/>
      <c r="X2018" s="134"/>
      <c r="Y2018" s="134"/>
      <c r="Z2018" s="134"/>
      <c r="AA2018" s="134"/>
      <c r="AB2018" s="134"/>
      <c r="AC2018" s="134"/>
      <c r="AD2018" s="134"/>
    </row>
    <row r="2019">
      <c r="A2019" s="143"/>
      <c r="B2019" s="134"/>
      <c r="C2019" s="134"/>
      <c r="D2019" s="134"/>
      <c r="E2019" s="134"/>
      <c r="F2019" s="134"/>
      <c r="G2019" s="134"/>
      <c r="H2019" s="134"/>
      <c r="J2019" s="134"/>
      <c r="K2019" s="135"/>
      <c r="L2019" s="136"/>
      <c r="M2019" s="144"/>
      <c r="T2019" s="52"/>
      <c r="V2019" s="134"/>
      <c r="W2019" s="134"/>
      <c r="X2019" s="134"/>
      <c r="Y2019" s="134"/>
      <c r="Z2019" s="134"/>
      <c r="AA2019" s="134"/>
      <c r="AB2019" s="134"/>
      <c r="AC2019" s="134"/>
      <c r="AD2019" s="134"/>
    </row>
    <row r="2020">
      <c r="A2020" s="143"/>
      <c r="B2020" s="134"/>
      <c r="C2020" s="134"/>
      <c r="D2020" s="134"/>
      <c r="E2020" s="134"/>
      <c r="F2020" s="134"/>
      <c r="G2020" s="134"/>
      <c r="H2020" s="134"/>
      <c r="J2020" s="134"/>
      <c r="K2020" s="135"/>
      <c r="L2020" s="136"/>
      <c r="M2020" s="144"/>
      <c r="T2020" s="52"/>
      <c r="V2020" s="134"/>
      <c r="W2020" s="134"/>
      <c r="X2020" s="134"/>
      <c r="Y2020" s="134"/>
      <c r="Z2020" s="134"/>
      <c r="AA2020" s="134"/>
      <c r="AB2020" s="134"/>
      <c r="AC2020" s="134"/>
      <c r="AD2020" s="134"/>
    </row>
    <row r="2021">
      <c r="A2021" s="143"/>
      <c r="B2021" s="134"/>
      <c r="C2021" s="134"/>
      <c r="D2021" s="134"/>
      <c r="E2021" s="134"/>
      <c r="F2021" s="134"/>
      <c r="G2021" s="134"/>
      <c r="H2021" s="134"/>
      <c r="J2021" s="134"/>
      <c r="K2021" s="135"/>
      <c r="L2021" s="136"/>
      <c r="M2021" s="144"/>
      <c r="T2021" s="52"/>
      <c r="V2021" s="134"/>
      <c r="W2021" s="134"/>
      <c r="X2021" s="134"/>
      <c r="Y2021" s="134"/>
      <c r="Z2021" s="134"/>
      <c r="AA2021" s="134"/>
      <c r="AB2021" s="134"/>
      <c r="AC2021" s="134"/>
      <c r="AD2021" s="134"/>
    </row>
    <row r="2022">
      <c r="A2022" s="143"/>
      <c r="B2022" s="134"/>
      <c r="C2022" s="134"/>
      <c r="D2022" s="134"/>
      <c r="E2022" s="134"/>
      <c r="F2022" s="134"/>
      <c r="G2022" s="134"/>
      <c r="H2022" s="134"/>
      <c r="J2022" s="134"/>
      <c r="K2022" s="135"/>
      <c r="L2022" s="136"/>
      <c r="M2022" s="144"/>
      <c r="T2022" s="52"/>
      <c r="V2022" s="134"/>
      <c r="W2022" s="134"/>
      <c r="X2022" s="134"/>
      <c r="Y2022" s="134"/>
      <c r="Z2022" s="134"/>
      <c r="AA2022" s="134"/>
      <c r="AB2022" s="134"/>
      <c r="AC2022" s="134"/>
      <c r="AD2022" s="134"/>
    </row>
    <row r="2023">
      <c r="A2023" s="143"/>
      <c r="B2023" s="134"/>
      <c r="C2023" s="134"/>
      <c r="D2023" s="134"/>
      <c r="E2023" s="134"/>
      <c r="F2023" s="134"/>
      <c r="G2023" s="134"/>
      <c r="H2023" s="134"/>
      <c r="J2023" s="134"/>
      <c r="K2023" s="135"/>
      <c r="L2023" s="136"/>
      <c r="M2023" s="144"/>
      <c r="T2023" s="52"/>
      <c r="V2023" s="134"/>
      <c r="W2023" s="134"/>
      <c r="X2023" s="134"/>
      <c r="Y2023" s="134"/>
      <c r="Z2023" s="134"/>
      <c r="AA2023" s="134"/>
      <c r="AB2023" s="134"/>
      <c r="AC2023" s="134"/>
      <c r="AD2023" s="134"/>
    </row>
    <row r="2024">
      <c r="A2024" s="143"/>
      <c r="B2024" s="134"/>
      <c r="C2024" s="134"/>
      <c r="D2024" s="134"/>
      <c r="E2024" s="134"/>
      <c r="F2024" s="134"/>
      <c r="G2024" s="134"/>
      <c r="H2024" s="134"/>
      <c r="J2024" s="134"/>
      <c r="K2024" s="135"/>
      <c r="L2024" s="136"/>
      <c r="M2024" s="144"/>
      <c r="T2024" s="52"/>
      <c r="V2024" s="134"/>
      <c r="W2024" s="134"/>
      <c r="X2024" s="134"/>
      <c r="Y2024" s="134"/>
      <c r="Z2024" s="134"/>
      <c r="AA2024" s="134"/>
      <c r="AB2024" s="134"/>
      <c r="AC2024" s="134"/>
      <c r="AD2024" s="134"/>
    </row>
    <row r="2025">
      <c r="A2025" s="143"/>
      <c r="B2025" s="134"/>
      <c r="C2025" s="134"/>
      <c r="D2025" s="134"/>
      <c r="E2025" s="134"/>
      <c r="F2025" s="134"/>
      <c r="G2025" s="134"/>
      <c r="H2025" s="134"/>
      <c r="J2025" s="134"/>
      <c r="K2025" s="135"/>
      <c r="L2025" s="136"/>
      <c r="M2025" s="144"/>
      <c r="T2025" s="52"/>
      <c r="V2025" s="134"/>
      <c r="W2025" s="134"/>
      <c r="X2025" s="134"/>
      <c r="Y2025" s="134"/>
      <c r="Z2025" s="134"/>
      <c r="AA2025" s="134"/>
      <c r="AB2025" s="134"/>
      <c r="AC2025" s="134"/>
      <c r="AD2025" s="134"/>
    </row>
    <row r="2026">
      <c r="A2026" s="143"/>
      <c r="B2026" s="134"/>
      <c r="C2026" s="134"/>
      <c r="D2026" s="134"/>
      <c r="E2026" s="134"/>
      <c r="F2026" s="134"/>
      <c r="G2026" s="134"/>
      <c r="H2026" s="134"/>
      <c r="J2026" s="134"/>
      <c r="K2026" s="135"/>
      <c r="L2026" s="136"/>
      <c r="M2026" s="144"/>
      <c r="T2026" s="52"/>
      <c r="V2026" s="134"/>
      <c r="W2026" s="134"/>
      <c r="X2026" s="134"/>
      <c r="Y2026" s="134"/>
      <c r="Z2026" s="134"/>
      <c r="AA2026" s="134"/>
      <c r="AB2026" s="134"/>
      <c r="AC2026" s="134"/>
      <c r="AD2026" s="134"/>
    </row>
    <row r="2027">
      <c r="A2027" s="143"/>
      <c r="B2027" s="134"/>
      <c r="C2027" s="134"/>
      <c r="D2027" s="134"/>
      <c r="E2027" s="134"/>
      <c r="F2027" s="134"/>
      <c r="G2027" s="134"/>
      <c r="H2027" s="134"/>
      <c r="J2027" s="134"/>
      <c r="K2027" s="135"/>
      <c r="L2027" s="136"/>
      <c r="M2027" s="144"/>
      <c r="T2027" s="52"/>
      <c r="V2027" s="134"/>
      <c r="W2027" s="134"/>
      <c r="X2027" s="134"/>
      <c r="Y2027" s="134"/>
      <c r="Z2027" s="134"/>
      <c r="AA2027" s="134"/>
      <c r="AB2027" s="134"/>
      <c r="AC2027" s="134"/>
      <c r="AD2027" s="134"/>
    </row>
    <row r="2028">
      <c r="A2028" s="143"/>
      <c r="B2028" s="134"/>
      <c r="C2028" s="134"/>
      <c r="D2028" s="134"/>
      <c r="E2028" s="134"/>
      <c r="F2028" s="134"/>
      <c r="G2028" s="134"/>
      <c r="H2028" s="134"/>
      <c r="J2028" s="134"/>
      <c r="K2028" s="135"/>
      <c r="L2028" s="136"/>
      <c r="M2028" s="144"/>
      <c r="T2028" s="52"/>
      <c r="V2028" s="134"/>
      <c r="W2028" s="134"/>
      <c r="X2028" s="134"/>
      <c r="Y2028" s="134"/>
      <c r="Z2028" s="134"/>
      <c r="AA2028" s="134"/>
      <c r="AB2028" s="134"/>
      <c r="AC2028" s="134"/>
      <c r="AD2028" s="134"/>
    </row>
    <row r="2029">
      <c r="A2029" s="143"/>
      <c r="B2029" s="134"/>
      <c r="C2029" s="134"/>
      <c r="D2029" s="134"/>
      <c r="E2029" s="134"/>
      <c r="F2029" s="134"/>
      <c r="G2029" s="134"/>
      <c r="H2029" s="134"/>
      <c r="J2029" s="134"/>
      <c r="K2029" s="135"/>
      <c r="L2029" s="136"/>
      <c r="M2029" s="144"/>
      <c r="T2029" s="52"/>
      <c r="V2029" s="134"/>
      <c r="W2029" s="134"/>
      <c r="X2029" s="134"/>
      <c r="Y2029" s="134"/>
      <c r="Z2029" s="134"/>
      <c r="AA2029" s="134"/>
      <c r="AB2029" s="134"/>
      <c r="AC2029" s="134"/>
      <c r="AD2029" s="134"/>
    </row>
    <row r="2030">
      <c r="A2030" s="143"/>
      <c r="B2030" s="134"/>
      <c r="C2030" s="134"/>
      <c r="D2030" s="134"/>
      <c r="E2030" s="134"/>
      <c r="F2030" s="134"/>
      <c r="G2030" s="134"/>
      <c r="H2030" s="134"/>
      <c r="J2030" s="134"/>
      <c r="K2030" s="135"/>
      <c r="L2030" s="136"/>
      <c r="M2030" s="144"/>
      <c r="T2030" s="52"/>
      <c r="V2030" s="134"/>
      <c r="W2030" s="134"/>
      <c r="X2030" s="134"/>
      <c r="Y2030" s="134"/>
      <c r="Z2030" s="134"/>
      <c r="AA2030" s="134"/>
      <c r="AB2030" s="134"/>
      <c r="AC2030" s="134"/>
      <c r="AD2030" s="134"/>
    </row>
    <row r="2031">
      <c r="A2031" s="143"/>
      <c r="B2031" s="134"/>
      <c r="C2031" s="134"/>
      <c r="D2031" s="134"/>
      <c r="E2031" s="134"/>
      <c r="F2031" s="134"/>
      <c r="G2031" s="134"/>
      <c r="H2031" s="134"/>
      <c r="J2031" s="134"/>
      <c r="K2031" s="135"/>
      <c r="L2031" s="136"/>
      <c r="M2031" s="144"/>
      <c r="T2031" s="52"/>
      <c r="V2031" s="134"/>
      <c r="W2031" s="134"/>
      <c r="X2031" s="134"/>
      <c r="Y2031" s="134"/>
      <c r="Z2031" s="134"/>
      <c r="AA2031" s="134"/>
      <c r="AB2031" s="134"/>
      <c r="AC2031" s="134"/>
      <c r="AD2031" s="134"/>
    </row>
    <row r="2032">
      <c r="A2032" s="143"/>
      <c r="B2032" s="134"/>
      <c r="C2032" s="134"/>
      <c r="D2032" s="134"/>
      <c r="E2032" s="134"/>
      <c r="F2032" s="134"/>
      <c r="G2032" s="134"/>
      <c r="H2032" s="134"/>
      <c r="J2032" s="134"/>
      <c r="K2032" s="135"/>
      <c r="L2032" s="136"/>
      <c r="M2032" s="144"/>
      <c r="T2032" s="52"/>
      <c r="V2032" s="134"/>
      <c r="W2032" s="134"/>
      <c r="X2032" s="134"/>
      <c r="Y2032" s="134"/>
      <c r="Z2032" s="134"/>
      <c r="AA2032" s="134"/>
      <c r="AB2032" s="134"/>
      <c r="AC2032" s="134"/>
      <c r="AD2032" s="134"/>
    </row>
    <row r="2033">
      <c r="A2033" s="143"/>
      <c r="B2033" s="134"/>
      <c r="C2033" s="134"/>
      <c r="D2033" s="134"/>
      <c r="E2033" s="134"/>
      <c r="F2033" s="134"/>
      <c r="G2033" s="134"/>
      <c r="H2033" s="134"/>
      <c r="J2033" s="134"/>
      <c r="K2033" s="135"/>
      <c r="L2033" s="136"/>
      <c r="M2033" s="144"/>
      <c r="T2033" s="52"/>
      <c r="V2033" s="134"/>
      <c r="W2033" s="134"/>
      <c r="X2033" s="134"/>
      <c r="Y2033" s="134"/>
      <c r="Z2033" s="134"/>
      <c r="AA2033" s="134"/>
      <c r="AB2033" s="134"/>
      <c r="AC2033" s="134"/>
      <c r="AD2033" s="134"/>
    </row>
    <row r="2034">
      <c r="A2034" s="143"/>
      <c r="B2034" s="134"/>
      <c r="C2034" s="134"/>
      <c r="D2034" s="134"/>
      <c r="E2034" s="134"/>
      <c r="F2034" s="134"/>
      <c r="G2034" s="134"/>
      <c r="H2034" s="134"/>
      <c r="J2034" s="134"/>
      <c r="K2034" s="135"/>
      <c r="L2034" s="136"/>
      <c r="M2034" s="144"/>
      <c r="T2034" s="52"/>
      <c r="V2034" s="134"/>
      <c r="W2034" s="134"/>
      <c r="X2034" s="134"/>
      <c r="Y2034" s="134"/>
      <c r="Z2034" s="134"/>
      <c r="AA2034" s="134"/>
      <c r="AB2034" s="134"/>
      <c r="AC2034" s="134"/>
      <c r="AD2034" s="134"/>
    </row>
    <row r="2035">
      <c r="A2035" s="143"/>
      <c r="B2035" s="134"/>
      <c r="C2035" s="134"/>
      <c r="D2035" s="134"/>
      <c r="E2035" s="134"/>
      <c r="F2035" s="134"/>
      <c r="G2035" s="134"/>
      <c r="H2035" s="134"/>
      <c r="J2035" s="134"/>
      <c r="K2035" s="135"/>
      <c r="L2035" s="136"/>
      <c r="M2035" s="144"/>
      <c r="T2035" s="52"/>
      <c r="V2035" s="134"/>
      <c r="W2035" s="134"/>
      <c r="X2035" s="134"/>
      <c r="Y2035" s="134"/>
      <c r="Z2035" s="134"/>
      <c r="AA2035" s="134"/>
      <c r="AB2035" s="134"/>
      <c r="AC2035" s="134"/>
      <c r="AD2035" s="134"/>
    </row>
    <row r="2036">
      <c r="A2036" s="143"/>
      <c r="B2036" s="134"/>
      <c r="C2036" s="134"/>
      <c r="D2036" s="134"/>
      <c r="E2036" s="134"/>
      <c r="F2036" s="134"/>
      <c r="G2036" s="134"/>
      <c r="H2036" s="134"/>
      <c r="J2036" s="134"/>
      <c r="K2036" s="135"/>
      <c r="L2036" s="136"/>
      <c r="M2036" s="144"/>
      <c r="T2036" s="52"/>
      <c r="V2036" s="134"/>
      <c r="W2036" s="134"/>
      <c r="X2036" s="134"/>
      <c r="Y2036" s="134"/>
      <c r="Z2036" s="134"/>
      <c r="AA2036" s="134"/>
      <c r="AB2036" s="134"/>
      <c r="AC2036" s="134"/>
      <c r="AD2036" s="134"/>
    </row>
    <row r="2037">
      <c r="A2037" s="143"/>
      <c r="B2037" s="134"/>
      <c r="C2037" s="134"/>
      <c r="D2037" s="134"/>
      <c r="E2037" s="134"/>
      <c r="F2037" s="134"/>
      <c r="G2037" s="134"/>
      <c r="H2037" s="134"/>
      <c r="J2037" s="134"/>
      <c r="K2037" s="135"/>
      <c r="L2037" s="136"/>
      <c r="M2037" s="144"/>
      <c r="T2037" s="52"/>
      <c r="V2037" s="134"/>
      <c r="W2037" s="134"/>
      <c r="X2037" s="134"/>
      <c r="Y2037" s="134"/>
      <c r="Z2037" s="134"/>
      <c r="AA2037" s="134"/>
      <c r="AB2037" s="134"/>
      <c r="AC2037" s="134"/>
      <c r="AD2037" s="134"/>
    </row>
    <row r="2038">
      <c r="A2038" s="143"/>
      <c r="B2038" s="134"/>
      <c r="C2038" s="134"/>
      <c r="D2038" s="134"/>
      <c r="E2038" s="134"/>
      <c r="F2038" s="134"/>
      <c r="G2038" s="134"/>
      <c r="H2038" s="134"/>
      <c r="J2038" s="134"/>
      <c r="K2038" s="135"/>
      <c r="L2038" s="136"/>
      <c r="M2038" s="144"/>
      <c r="T2038" s="52"/>
      <c r="V2038" s="134"/>
      <c r="W2038" s="134"/>
      <c r="X2038" s="134"/>
      <c r="Y2038" s="134"/>
      <c r="Z2038" s="134"/>
      <c r="AA2038" s="134"/>
      <c r="AB2038" s="134"/>
      <c r="AC2038" s="134"/>
      <c r="AD2038" s="134"/>
    </row>
    <row r="2039">
      <c r="A2039" s="143"/>
      <c r="B2039" s="134"/>
      <c r="C2039" s="134"/>
      <c r="D2039" s="134"/>
      <c r="E2039" s="134"/>
      <c r="F2039" s="134"/>
      <c r="G2039" s="134"/>
      <c r="H2039" s="134"/>
      <c r="J2039" s="134"/>
      <c r="K2039" s="135"/>
      <c r="L2039" s="136"/>
      <c r="M2039" s="144"/>
      <c r="T2039" s="52"/>
      <c r="V2039" s="134"/>
      <c r="W2039" s="134"/>
      <c r="X2039" s="134"/>
      <c r="Y2039" s="134"/>
      <c r="Z2039" s="134"/>
      <c r="AA2039" s="134"/>
      <c r="AB2039" s="134"/>
      <c r="AC2039" s="134"/>
      <c r="AD2039" s="134"/>
    </row>
    <row r="2040">
      <c r="A2040" s="143"/>
      <c r="B2040" s="134"/>
      <c r="C2040" s="134"/>
      <c r="D2040" s="134"/>
      <c r="E2040" s="134"/>
      <c r="F2040" s="134"/>
      <c r="G2040" s="134"/>
      <c r="H2040" s="134"/>
      <c r="J2040" s="134"/>
      <c r="K2040" s="135"/>
      <c r="L2040" s="136"/>
      <c r="M2040" s="144"/>
      <c r="T2040" s="52"/>
      <c r="V2040" s="134"/>
      <c r="W2040" s="134"/>
      <c r="X2040" s="134"/>
      <c r="Y2040" s="134"/>
      <c r="Z2040" s="134"/>
      <c r="AA2040" s="134"/>
      <c r="AB2040" s="134"/>
      <c r="AC2040" s="134"/>
      <c r="AD2040" s="134"/>
    </row>
    <row r="2041">
      <c r="A2041" s="143"/>
      <c r="B2041" s="134"/>
      <c r="C2041" s="134"/>
      <c r="D2041" s="134"/>
      <c r="E2041" s="134"/>
      <c r="F2041" s="134"/>
      <c r="G2041" s="134"/>
      <c r="H2041" s="134"/>
      <c r="J2041" s="134"/>
      <c r="K2041" s="135"/>
      <c r="L2041" s="136"/>
      <c r="M2041" s="144"/>
      <c r="T2041" s="52"/>
      <c r="V2041" s="134"/>
      <c r="W2041" s="134"/>
      <c r="X2041" s="134"/>
      <c r="Y2041" s="134"/>
      <c r="Z2041" s="134"/>
      <c r="AA2041" s="134"/>
      <c r="AB2041" s="134"/>
      <c r="AC2041" s="134"/>
      <c r="AD2041" s="134"/>
    </row>
    <row r="2042">
      <c r="A2042" s="143"/>
      <c r="B2042" s="134"/>
      <c r="C2042" s="134"/>
      <c r="D2042" s="134"/>
      <c r="E2042" s="134"/>
      <c r="F2042" s="134"/>
      <c r="G2042" s="134"/>
      <c r="H2042" s="134"/>
      <c r="J2042" s="134"/>
      <c r="K2042" s="135"/>
      <c r="L2042" s="136"/>
      <c r="M2042" s="144"/>
      <c r="T2042" s="52"/>
      <c r="V2042" s="134"/>
      <c r="W2042" s="134"/>
      <c r="X2042" s="134"/>
      <c r="Y2042" s="134"/>
      <c r="Z2042" s="134"/>
      <c r="AA2042" s="134"/>
      <c r="AB2042" s="134"/>
      <c r="AC2042" s="134"/>
      <c r="AD2042" s="134"/>
    </row>
    <row r="2043">
      <c r="A2043" s="143"/>
      <c r="B2043" s="134"/>
      <c r="C2043" s="134"/>
      <c r="D2043" s="134"/>
      <c r="E2043" s="134"/>
      <c r="F2043" s="134"/>
      <c r="G2043" s="134"/>
      <c r="H2043" s="134"/>
      <c r="J2043" s="134"/>
      <c r="K2043" s="135"/>
      <c r="L2043" s="136"/>
      <c r="M2043" s="144"/>
      <c r="T2043" s="52"/>
      <c r="V2043" s="134"/>
      <c r="W2043" s="134"/>
      <c r="X2043" s="134"/>
      <c r="Y2043" s="134"/>
      <c r="Z2043" s="134"/>
      <c r="AA2043" s="134"/>
      <c r="AB2043" s="134"/>
      <c r="AC2043" s="134"/>
      <c r="AD2043" s="134"/>
    </row>
    <row r="2044">
      <c r="A2044" s="143"/>
      <c r="B2044" s="134"/>
      <c r="C2044" s="134"/>
      <c r="D2044" s="134"/>
      <c r="E2044" s="134"/>
      <c r="F2044" s="134"/>
      <c r="G2044" s="134"/>
      <c r="H2044" s="134"/>
      <c r="J2044" s="134"/>
      <c r="K2044" s="135"/>
      <c r="L2044" s="136"/>
      <c r="M2044" s="144"/>
      <c r="T2044" s="52"/>
      <c r="V2044" s="134"/>
      <c r="W2044" s="134"/>
      <c r="X2044" s="134"/>
      <c r="Y2044" s="134"/>
      <c r="Z2044" s="134"/>
      <c r="AA2044" s="134"/>
      <c r="AB2044" s="134"/>
      <c r="AC2044" s="134"/>
      <c r="AD2044" s="134"/>
    </row>
    <row r="2045">
      <c r="A2045" s="143"/>
      <c r="B2045" s="134"/>
      <c r="C2045" s="134"/>
      <c r="D2045" s="134"/>
      <c r="E2045" s="134"/>
      <c r="F2045" s="134"/>
      <c r="G2045" s="134"/>
      <c r="H2045" s="134"/>
      <c r="J2045" s="134"/>
      <c r="K2045" s="135"/>
      <c r="L2045" s="136"/>
      <c r="M2045" s="144"/>
      <c r="T2045" s="52"/>
      <c r="V2045" s="134"/>
      <c r="W2045" s="134"/>
      <c r="X2045" s="134"/>
      <c r="Y2045" s="134"/>
      <c r="Z2045" s="134"/>
      <c r="AA2045" s="134"/>
      <c r="AB2045" s="134"/>
      <c r="AC2045" s="134"/>
      <c r="AD2045" s="134"/>
    </row>
    <row r="2046">
      <c r="A2046" s="143"/>
      <c r="B2046" s="134"/>
      <c r="C2046" s="134"/>
      <c r="D2046" s="134"/>
      <c r="E2046" s="134"/>
      <c r="F2046" s="134"/>
      <c r="G2046" s="134"/>
      <c r="H2046" s="134"/>
      <c r="J2046" s="134"/>
      <c r="K2046" s="135"/>
      <c r="L2046" s="136"/>
      <c r="M2046" s="144"/>
      <c r="T2046" s="52"/>
      <c r="V2046" s="134"/>
      <c r="W2046" s="134"/>
      <c r="X2046" s="134"/>
      <c r="Y2046" s="134"/>
      <c r="Z2046" s="134"/>
      <c r="AA2046" s="134"/>
      <c r="AB2046" s="134"/>
      <c r="AC2046" s="134"/>
      <c r="AD2046" s="134"/>
    </row>
    <row r="2047">
      <c r="A2047" s="143"/>
      <c r="B2047" s="134"/>
      <c r="C2047" s="134"/>
      <c r="D2047" s="134"/>
      <c r="E2047" s="134"/>
      <c r="F2047" s="134"/>
      <c r="G2047" s="134"/>
      <c r="H2047" s="134"/>
      <c r="J2047" s="134"/>
      <c r="K2047" s="135"/>
      <c r="L2047" s="136"/>
      <c r="M2047" s="144"/>
      <c r="T2047" s="52"/>
      <c r="V2047" s="134"/>
      <c r="W2047" s="134"/>
      <c r="X2047" s="134"/>
      <c r="Y2047" s="134"/>
      <c r="Z2047" s="134"/>
      <c r="AA2047" s="134"/>
      <c r="AB2047" s="134"/>
      <c r="AC2047" s="134"/>
      <c r="AD2047" s="134"/>
    </row>
    <row r="2048">
      <c r="A2048" s="143"/>
      <c r="B2048" s="134"/>
      <c r="C2048" s="134"/>
      <c r="D2048" s="134"/>
      <c r="E2048" s="134"/>
      <c r="F2048" s="134"/>
      <c r="G2048" s="134"/>
      <c r="H2048" s="134"/>
      <c r="J2048" s="134"/>
      <c r="K2048" s="135"/>
      <c r="L2048" s="136"/>
      <c r="M2048" s="144"/>
      <c r="T2048" s="52"/>
      <c r="V2048" s="134"/>
      <c r="W2048" s="134"/>
      <c r="X2048" s="134"/>
      <c r="Y2048" s="134"/>
      <c r="Z2048" s="134"/>
      <c r="AA2048" s="134"/>
      <c r="AB2048" s="134"/>
      <c r="AC2048" s="134"/>
      <c r="AD2048" s="134"/>
    </row>
    <row r="2049">
      <c r="A2049" s="143"/>
      <c r="B2049" s="134"/>
      <c r="C2049" s="134"/>
      <c r="D2049" s="134"/>
      <c r="E2049" s="134"/>
      <c r="F2049" s="134"/>
      <c r="G2049" s="134"/>
      <c r="H2049" s="134"/>
      <c r="J2049" s="134"/>
      <c r="K2049" s="135"/>
      <c r="L2049" s="136"/>
      <c r="M2049" s="144"/>
      <c r="T2049" s="52"/>
      <c r="V2049" s="134"/>
      <c r="W2049" s="134"/>
      <c r="X2049" s="134"/>
      <c r="Y2049" s="134"/>
      <c r="Z2049" s="134"/>
      <c r="AA2049" s="134"/>
      <c r="AB2049" s="134"/>
      <c r="AC2049" s="134"/>
      <c r="AD2049" s="134"/>
    </row>
    <row r="2050">
      <c r="A2050" s="143"/>
      <c r="B2050" s="134"/>
      <c r="C2050" s="134"/>
      <c r="D2050" s="134"/>
      <c r="E2050" s="134"/>
      <c r="F2050" s="134"/>
      <c r="G2050" s="134"/>
      <c r="H2050" s="134"/>
      <c r="J2050" s="134"/>
      <c r="K2050" s="135"/>
      <c r="L2050" s="136"/>
      <c r="M2050" s="144"/>
      <c r="T2050" s="52"/>
      <c r="V2050" s="134"/>
      <c r="W2050" s="134"/>
      <c r="X2050" s="134"/>
      <c r="Y2050" s="134"/>
      <c r="Z2050" s="134"/>
      <c r="AA2050" s="134"/>
      <c r="AB2050" s="134"/>
      <c r="AC2050" s="134"/>
      <c r="AD2050" s="134"/>
    </row>
    <row r="2051">
      <c r="A2051" s="143"/>
      <c r="B2051" s="134"/>
      <c r="C2051" s="134"/>
      <c r="D2051" s="134"/>
      <c r="E2051" s="134"/>
      <c r="F2051" s="134"/>
      <c r="G2051" s="134"/>
      <c r="H2051" s="134"/>
      <c r="J2051" s="134"/>
      <c r="K2051" s="135"/>
      <c r="L2051" s="136"/>
      <c r="M2051" s="144"/>
      <c r="T2051" s="52"/>
      <c r="V2051" s="134"/>
      <c r="W2051" s="134"/>
      <c r="X2051" s="134"/>
      <c r="Y2051" s="134"/>
      <c r="Z2051" s="134"/>
      <c r="AA2051" s="134"/>
      <c r="AB2051" s="134"/>
      <c r="AC2051" s="134"/>
      <c r="AD2051" s="134"/>
    </row>
    <row r="2052">
      <c r="A2052" s="143"/>
      <c r="B2052" s="134"/>
      <c r="C2052" s="134"/>
      <c r="D2052" s="134"/>
      <c r="E2052" s="134"/>
      <c r="F2052" s="134"/>
      <c r="G2052" s="134"/>
      <c r="H2052" s="134"/>
      <c r="J2052" s="134"/>
      <c r="K2052" s="135"/>
      <c r="L2052" s="136"/>
      <c r="M2052" s="144"/>
      <c r="T2052" s="52"/>
      <c r="V2052" s="134"/>
      <c r="W2052" s="134"/>
      <c r="X2052" s="134"/>
      <c r="Y2052" s="134"/>
      <c r="Z2052" s="134"/>
      <c r="AA2052" s="134"/>
      <c r="AB2052" s="134"/>
      <c r="AC2052" s="134"/>
      <c r="AD2052" s="134"/>
    </row>
    <row r="2053">
      <c r="A2053" s="143"/>
      <c r="B2053" s="134"/>
      <c r="C2053" s="134"/>
      <c r="D2053" s="134"/>
      <c r="E2053" s="134"/>
      <c r="F2053" s="134"/>
      <c r="G2053" s="134"/>
      <c r="H2053" s="134"/>
      <c r="J2053" s="134"/>
      <c r="K2053" s="135"/>
      <c r="L2053" s="136"/>
      <c r="M2053" s="144"/>
      <c r="T2053" s="52"/>
      <c r="V2053" s="134"/>
      <c r="W2053" s="134"/>
      <c r="X2053" s="134"/>
      <c r="Y2053" s="134"/>
      <c r="Z2053" s="134"/>
      <c r="AA2053" s="134"/>
      <c r="AB2053" s="134"/>
      <c r="AC2053" s="134"/>
      <c r="AD2053" s="134"/>
    </row>
    <row r="2054">
      <c r="A2054" s="143"/>
      <c r="B2054" s="134"/>
      <c r="C2054" s="134"/>
      <c r="D2054" s="134"/>
      <c r="E2054" s="134"/>
      <c r="F2054" s="134"/>
      <c r="G2054" s="134"/>
      <c r="H2054" s="134"/>
      <c r="J2054" s="134"/>
      <c r="K2054" s="135"/>
      <c r="L2054" s="136"/>
      <c r="M2054" s="144"/>
      <c r="T2054" s="52"/>
      <c r="V2054" s="134"/>
      <c r="W2054" s="134"/>
      <c r="X2054" s="134"/>
      <c r="Y2054" s="134"/>
      <c r="Z2054" s="134"/>
      <c r="AA2054" s="134"/>
      <c r="AB2054" s="134"/>
      <c r="AC2054" s="134"/>
      <c r="AD2054" s="134"/>
    </row>
    <row r="2055">
      <c r="A2055" s="143"/>
      <c r="B2055" s="134"/>
      <c r="C2055" s="134"/>
      <c r="D2055" s="134"/>
      <c r="E2055" s="134"/>
      <c r="F2055" s="134"/>
      <c r="G2055" s="134"/>
      <c r="H2055" s="134"/>
      <c r="J2055" s="134"/>
      <c r="K2055" s="135"/>
      <c r="L2055" s="136"/>
      <c r="M2055" s="144"/>
      <c r="T2055" s="52"/>
      <c r="V2055" s="134"/>
      <c r="W2055" s="134"/>
      <c r="X2055" s="134"/>
      <c r="Y2055" s="134"/>
      <c r="Z2055" s="134"/>
      <c r="AA2055" s="134"/>
      <c r="AB2055" s="134"/>
      <c r="AC2055" s="134"/>
      <c r="AD2055" s="134"/>
    </row>
    <row r="2056">
      <c r="A2056" s="143"/>
      <c r="B2056" s="134"/>
      <c r="C2056" s="134"/>
      <c r="D2056" s="134"/>
      <c r="E2056" s="134"/>
      <c r="F2056" s="134"/>
      <c r="G2056" s="134"/>
      <c r="H2056" s="134"/>
      <c r="J2056" s="134"/>
      <c r="K2056" s="135"/>
      <c r="L2056" s="136"/>
      <c r="M2056" s="144"/>
      <c r="T2056" s="52"/>
      <c r="V2056" s="134"/>
      <c r="W2056" s="134"/>
      <c r="X2056" s="134"/>
      <c r="Y2056" s="134"/>
      <c r="Z2056" s="134"/>
      <c r="AA2056" s="134"/>
      <c r="AB2056" s="134"/>
      <c r="AC2056" s="134"/>
      <c r="AD2056" s="134"/>
    </row>
    <row r="2057">
      <c r="A2057" s="143"/>
      <c r="B2057" s="134"/>
      <c r="C2057" s="134"/>
      <c r="D2057" s="134"/>
      <c r="E2057" s="134"/>
      <c r="F2057" s="134"/>
      <c r="G2057" s="134"/>
      <c r="H2057" s="134"/>
      <c r="J2057" s="134"/>
      <c r="K2057" s="135"/>
      <c r="L2057" s="136"/>
      <c r="M2057" s="144"/>
      <c r="T2057" s="52"/>
      <c r="V2057" s="134"/>
      <c r="W2057" s="134"/>
      <c r="X2057" s="134"/>
      <c r="Y2057" s="134"/>
      <c r="Z2057" s="134"/>
      <c r="AA2057" s="134"/>
      <c r="AB2057" s="134"/>
      <c r="AC2057" s="134"/>
      <c r="AD2057" s="134"/>
    </row>
    <row r="2058">
      <c r="A2058" s="143"/>
      <c r="B2058" s="134"/>
      <c r="C2058" s="134"/>
      <c r="D2058" s="134"/>
      <c r="E2058" s="134"/>
      <c r="F2058" s="134"/>
      <c r="G2058" s="134"/>
      <c r="H2058" s="134"/>
      <c r="J2058" s="134"/>
      <c r="K2058" s="135"/>
      <c r="L2058" s="136"/>
      <c r="M2058" s="144"/>
      <c r="T2058" s="52"/>
      <c r="V2058" s="134"/>
      <c r="W2058" s="134"/>
      <c r="X2058" s="134"/>
      <c r="Y2058" s="134"/>
      <c r="Z2058" s="134"/>
      <c r="AA2058" s="134"/>
      <c r="AB2058" s="134"/>
      <c r="AC2058" s="134"/>
      <c r="AD2058" s="134"/>
    </row>
    <row r="2059">
      <c r="A2059" s="143"/>
      <c r="B2059" s="134"/>
      <c r="C2059" s="134"/>
      <c r="D2059" s="134"/>
      <c r="E2059" s="134"/>
      <c r="F2059" s="134"/>
      <c r="G2059" s="134"/>
      <c r="H2059" s="134"/>
      <c r="J2059" s="134"/>
      <c r="K2059" s="135"/>
      <c r="L2059" s="136"/>
      <c r="M2059" s="144"/>
      <c r="T2059" s="52"/>
      <c r="V2059" s="134"/>
      <c r="W2059" s="134"/>
      <c r="X2059" s="134"/>
      <c r="Y2059" s="134"/>
      <c r="Z2059" s="134"/>
      <c r="AA2059" s="134"/>
      <c r="AB2059" s="134"/>
      <c r="AC2059" s="134"/>
      <c r="AD2059" s="134"/>
    </row>
    <row r="2060">
      <c r="A2060" s="143"/>
      <c r="B2060" s="134"/>
      <c r="C2060" s="134"/>
      <c r="D2060" s="134"/>
      <c r="E2060" s="134"/>
      <c r="F2060" s="134"/>
      <c r="G2060" s="134"/>
      <c r="H2060" s="134"/>
      <c r="J2060" s="134"/>
      <c r="K2060" s="135"/>
      <c r="L2060" s="136"/>
      <c r="M2060" s="144"/>
      <c r="T2060" s="52"/>
      <c r="V2060" s="134"/>
      <c r="W2060" s="134"/>
      <c r="X2060" s="134"/>
      <c r="Y2060" s="134"/>
      <c r="Z2060" s="134"/>
      <c r="AA2060" s="134"/>
      <c r="AB2060" s="134"/>
      <c r="AC2060" s="134"/>
      <c r="AD2060" s="134"/>
    </row>
    <row r="2061">
      <c r="A2061" s="143"/>
      <c r="B2061" s="134"/>
      <c r="C2061" s="134"/>
      <c r="D2061" s="134"/>
      <c r="E2061" s="134"/>
      <c r="F2061" s="134"/>
      <c r="G2061" s="134"/>
      <c r="H2061" s="134"/>
      <c r="J2061" s="134"/>
      <c r="K2061" s="135"/>
      <c r="L2061" s="136"/>
      <c r="M2061" s="144"/>
      <c r="T2061" s="52"/>
      <c r="V2061" s="134"/>
      <c r="W2061" s="134"/>
      <c r="X2061" s="134"/>
      <c r="Y2061" s="134"/>
      <c r="Z2061" s="134"/>
      <c r="AA2061" s="134"/>
      <c r="AB2061" s="134"/>
      <c r="AC2061" s="134"/>
      <c r="AD2061" s="134"/>
    </row>
    <row r="2062">
      <c r="A2062" s="143"/>
      <c r="B2062" s="134"/>
      <c r="C2062" s="134"/>
      <c r="D2062" s="134"/>
      <c r="E2062" s="134"/>
      <c r="F2062" s="134"/>
      <c r="G2062" s="134"/>
      <c r="H2062" s="134"/>
      <c r="J2062" s="134"/>
      <c r="K2062" s="135"/>
      <c r="L2062" s="136"/>
      <c r="M2062" s="144"/>
      <c r="T2062" s="52"/>
      <c r="V2062" s="134"/>
      <c r="W2062" s="134"/>
      <c r="X2062" s="134"/>
      <c r="Y2062" s="134"/>
      <c r="Z2062" s="134"/>
      <c r="AA2062" s="134"/>
      <c r="AB2062" s="134"/>
      <c r="AC2062" s="134"/>
      <c r="AD2062" s="134"/>
    </row>
    <row r="2063">
      <c r="A2063" s="143"/>
      <c r="B2063" s="134"/>
      <c r="C2063" s="134"/>
      <c r="D2063" s="134"/>
      <c r="E2063" s="134"/>
      <c r="F2063" s="134"/>
      <c r="G2063" s="134"/>
      <c r="H2063" s="134"/>
      <c r="J2063" s="134"/>
      <c r="K2063" s="135"/>
      <c r="L2063" s="136"/>
      <c r="M2063" s="144"/>
      <c r="T2063" s="52"/>
      <c r="V2063" s="134"/>
      <c r="W2063" s="134"/>
      <c r="X2063" s="134"/>
      <c r="Y2063" s="134"/>
      <c r="Z2063" s="134"/>
      <c r="AA2063" s="134"/>
      <c r="AB2063" s="134"/>
      <c r="AC2063" s="134"/>
      <c r="AD2063" s="134"/>
    </row>
    <row r="2064">
      <c r="A2064" s="143"/>
      <c r="B2064" s="134"/>
      <c r="C2064" s="134"/>
      <c r="D2064" s="134"/>
      <c r="E2064" s="134"/>
      <c r="F2064" s="134"/>
      <c r="G2064" s="134"/>
      <c r="H2064" s="134"/>
      <c r="J2064" s="134"/>
      <c r="K2064" s="135"/>
      <c r="L2064" s="136"/>
      <c r="M2064" s="144"/>
      <c r="T2064" s="52"/>
      <c r="V2064" s="134"/>
      <c r="W2064" s="134"/>
      <c r="X2064" s="134"/>
      <c r="Y2064" s="134"/>
      <c r="Z2064" s="134"/>
      <c r="AA2064" s="134"/>
      <c r="AB2064" s="134"/>
      <c r="AC2064" s="134"/>
      <c r="AD2064" s="134"/>
    </row>
    <row r="2065">
      <c r="A2065" s="143"/>
      <c r="B2065" s="134"/>
      <c r="C2065" s="134"/>
      <c r="D2065" s="134"/>
      <c r="E2065" s="134"/>
      <c r="F2065" s="134"/>
      <c r="G2065" s="134"/>
      <c r="H2065" s="134"/>
      <c r="J2065" s="134"/>
      <c r="K2065" s="135"/>
      <c r="L2065" s="136"/>
      <c r="M2065" s="144"/>
      <c r="T2065" s="52"/>
      <c r="V2065" s="134"/>
      <c r="W2065" s="134"/>
      <c r="X2065" s="134"/>
      <c r="Y2065" s="134"/>
      <c r="Z2065" s="134"/>
      <c r="AA2065" s="134"/>
      <c r="AB2065" s="134"/>
      <c r="AC2065" s="134"/>
      <c r="AD2065" s="134"/>
    </row>
    <row r="2066">
      <c r="A2066" s="143"/>
      <c r="B2066" s="134"/>
      <c r="C2066" s="134"/>
      <c r="D2066" s="134"/>
      <c r="E2066" s="134"/>
      <c r="F2066" s="134"/>
      <c r="G2066" s="134"/>
      <c r="H2066" s="134"/>
      <c r="J2066" s="134"/>
      <c r="K2066" s="135"/>
      <c r="L2066" s="136"/>
      <c r="M2066" s="144"/>
      <c r="T2066" s="52"/>
      <c r="V2066" s="134"/>
      <c r="W2066" s="134"/>
      <c r="X2066" s="134"/>
      <c r="Y2066" s="134"/>
      <c r="Z2066" s="134"/>
      <c r="AA2066" s="134"/>
      <c r="AB2066" s="134"/>
      <c r="AC2066" s="134"/>
      <c r="AD2066" s="134"/>
    </row>
    <row r="2067">
      <c r="A2067" s="143"/>
      <c r="B2067" s="134"/>
      <c r="C2067" s="134"/>
      <c r="D2067" s="134"/>
      <c r="E2067" s="134"/>
      <c r="F2067" s="134"/>
      <c r="G2067" s="134"/>
      <c r="H2067" s="134"/>
      <c r="J2067" s="134"/>
      <c r="K2067" s="135"/>
      <c r="L2067" s="136"/>
      <c r="M2067" s="144"/>
      <c r="T2067" s="52"/>
      <c r="V2067" s="134"/>
      <c r="W2067" s="134"/>
      <c r="X2067" s="134"/>
      <c r="Y2067" s="134"/>
      <c r="Z2067" s="134"/>
      <c r="AA2067" s="134"/>
      <c r="AB2067" s="134"/>
      <c r="AC2067" s="134"/>
      <c r="AD2067" s="134"/>
    </row>
    <row r="2068">
      <c r="A2068" s="143"/>
      <c r="B2068" s="134"/>
      <c r="C2068" s="134"/>
      <c r="D2068" s="134"/>
      <c r="E2068" s="134"/>
      <c r="F2068" s="134"/>
      <c r="G2068" s="134"/>
      <c r="H2068" s="134"/>
      <c r="J2068" s="134"/>
      <c r="K2068" s="135"/>
      <c r="L2068" s="136"/>
      <c r="M2068" s="144"/>
      <c r="T2068" s="52"/>
      <c r="V2068" s="134"/>
      <c r="W2068" s="134"/>
      <c r="X2068" s="134"/>
      <c r="Y2068" s="134"/>
      <c r="Z2068" s="134"/>
      <c r="AA2068" s="134"/>
      <c r="AB2068" s="134"/>
      <c r="AC2068" s="134"/>
      <c r="AD2068" s="134"/>
    </row>
    <row r="2069">
      <c r="A2069" s="143"/>
      <c r="B2069" s="134"/>
      <c r="C2069" s="134"/>
      <c r="D2069" s="134"/>
      <c r="E2069" s="134"/>
      <c r="F2069" s="134"/>
      <c r="G2069" s="134"/>
      <c r="H2069" s="134"/>
      <c r="J2069" s="134"/>
      <c r="K2069" s="135"/>
      <c r="L2069" s="136"/>
      <c r="M2069" s="144"/>
      <c r="T2069" s="52"/>
      <c r="V2069" s="134"/>
      <c r="W2069" s="134"/>
      <c r="X2069" s="134"/>
      <c r="Y2069" s="134"/>
      <c r="Z2069" s="134"/>
      <c r="AA2069" s="134"/>
      <c r="AB2069" s="134"/>
      <c r="AC2069" s="134"/>
      <c r="AD2069" s="134"/>
    </row>
    <row r="2070">
      <c r="A2070" s="143"/>
      <c r="B2070" s="134"/>
      <c r="C2070" s="134"/>
      <c r="D2070" s="134"/>
      <c r="E2070" s="134"/>
      <c r="F2070" s="134"/>
      <c r="G2070" s="134"/>
      <c r="H2070" s="134"/>
      <c r="J2070" s="134"/>
      <c r="K2070" s="135"/>
      <c r="L2070" s="136"/>
      <c r="M2070" s="144"/>
      <c r="T2070" s="52"/>
      <c r="V2070" s="134"/>
      <c r="W2070" s="134"/>
      <c r="X2070" s="134"/>
      <c r="Y2070" s="134"/>
      <c r="Z2070" s="134"/>
      <c r="AA2070" s="134"/>
      <c r="AB2070" s="134"/>
      <c r="AC2070" s="134"/>
      <c r="AD2070" s="134"/>
    </row>
    <row r="2071">
      <c r="A2071" s="143"/>
      <c r="B2071" s="134"/>
      <c r="C2071" s="134"/>
      <c r="D2071" s="134"/>
      <c r="E2071" s="134"/>
      <c r="F2071" s="134"/>
      <c r="G2071" s="134"/>
      <c r="H2071" s="134"/>
      <c r="J2071" s="134"/>
      <c r="K2071" s="135"/>
      <c r="L2071" s="136"/>
      <c r="M2071" s="144"/>
      <c r="T2071" s="52"/>
      <c r="V2071" s="134"/>
      <c r="W2071" s="134"/>
      <c r="X2071" s="134"/>
      <c r="Y2071" s="134"/>
      <c r="Z2071" s="134"/>
      <c r="AA2071" s="134"/>
      <c r="AB2071" s="134"/>
      <c r="AC2071" s="134"/>
      <c r="AD2071" s="134"/>
    </row>
    <row r="2072">
      <c r="A2072" s="143"/>
      <c r="B2072" s="134"/>
      <c r="C2072" s="134"/>
      <c r="D2072" s="134"/>
      <c r="E2072" s="134"/>
      <c r="F2072" s="134"/>
      <c r="G2072" s="134"/>
      <c r="H2072" s="134"/>
      <c r="J2072" s="134"/>
      <c r="K2072" s="135"/>
      <c r="L2072" s="136"/>
      <c r="M2072" s="144"/>
      <c r="T2072" s="52"/>
      <c r="V2072" s="134"/>
      <c r="W2072" s="134"/>
      <c r="X2072" s="134"/>
      <c r="Y2072" s="134"/>
      <c r="Z2072" s="134"/>
      <c r="AA2072" s="134"/>
      <c r="AB2072" s="134"/>
      <c r="AC2072" s="134"/>
      <c r="AD2072" s="134"/>
    </row>
    <row r="2073">
      <c r="A2073" s="143"/>
      <c r="B2073" s="134"/>
      <c r="C2073" s="134"/>
      <c r="D2073" s="134"/>
      <c r="E2073" s="134"/>
      <c r="F2073" s="134"/>
      <c r="G2073" s="134"/>
      <c r="H2073" s="134"/>
      <c r="J2073" s="134"/>
      <c r="K2073" s="135"/>
      <c r="L2073" s="136"/>
      <c r="M2073" s="144"/>
      <c r="T2073" s="52"/>
      <c r="V2073" s="134"/>
      <c r="W2073" s="134"/>
      <c r="X2073" s="134"/>
      <c r="Y2073" s="134"/>
      <c r="Z2073" s="134"/>
      <c r="AA2073" s="134"/>
      <c r="AB2073" s="134"/>
      <c r="AC2073" s="134"/>
      <c r="AD2073" s="134"/>
    </row>
    <row r="2074">
      <c r="A2074" s="143"/>
      <c r="B2074" s="134"/>
      <c r="C2074" s="134"/>
      <c r="D2074" s="134"/>
      <c r="E2074" s="134"/>
      <c r="F2074" s="134"/>
      <c r="G2074" s="134"/>
      <c r="H2074" s="134"/>
      <c r="J2074" s="134"/>
      <c r="K2074" s="135"/>
      <c r="L2074" s="136"/>
      <c r="M2074" s="144"/>
      <c r="T2074" s="52"/>
      <c r="V2074" s="134"/>
      <c r="W2074" s="134"/>
      <c r="X2074" s="134"/>
      <c r="Y2074" s="134"/>
      <c r="Z2074" s="134"/>
      <c r="AA2074" s="134"/>
      <c r="AB2074" s="134"/>
      <c r="AC2074" s="134"/>
      <c r="AD2074" s="134"/>
    </row>
    <row r="2075">
      <c r="A2075" s="143"/>
      <c r="B2075" s="134"/>
      <c r="C2075" s="134"/>
      <c r="D2075" s="134"/>
      <c r="E2075" s="134"/>
      <c r="F2075" s="134"/>
      <c r="G2075" s="134"/>
      <c r="H2075" s="134"/>
      <c r="J2075" s="134"/>
      <c r="K2075" s="135"/>
      <c r="L2075" s="136"/>
      <c r="M2075" s="144"/>
      <c r="T2075" s="52"/>
      <c r="V2075" s="134"/>
      <c r="W2075" s="134"/>
      <c r="X2075" s="134"/>
      <c r="Y2075" s="134"/>
      <c r="Z2075" s="134"/>
      <c r="AA2075" s="134"/>
      <c r="AB2075" s="134"/>
      <c r="AC2075" s="134"/>
      <c r="AD2075" s="134"/>
    </row>
    <row r="2076">
      <c r="A2076" s="143"/>
      <c r="B2076" s="134"/>
      <c r="C2076" s="134"/>
      <c r="D2076" s="134"/>
      <c r="E2076" s="134"/>
      <c r="F2076" s="134"/>
      <c r="G2076" s="134"/>
      <c r="H2076" s="134"/>
      <c r="J2076" s="134"/>
      <c r="K2076" s="135"/>
      <c r="L2076" s="136"/>
      <c r="M2076" s="144"/>
      <c r="T2076" s="52"/>
      <c r="V2076" s="134"/>
      <c r="W2076" s="134"/>
      <c r="X2076" s="134"/>
      <c r="Y2076" s="134"/>
      <c r="Z2076" s="134"/>
      <c r="AA2076" s="134"/>
      <c r="AB2076" s="134"/>
      <c r="AC2076" s="134"/>
      <c r="AD2076" s="134"/>
    </row>
    <row r="2077">
      <c r="A2077" s="143"/>
      <c r="B2077" s="134"/>
      <c r="C2077" s="134"/>
      <c r="D2077" s="134"/>
      <c r="E2077" s="134"/>
      <c r="F2077" s="134"/>
      <c r="G2077" s="134"/>
      <c r="H2077" s="134"/>
      <c r="J2077" s="134"/>
      <c r="K2077" s="135"/>
      <c r="L2077" s="136"/>
      <c r="M2077" s="144"/>
      <c r="T2077" s="52"/>
      <c r="V2077" s="134"/>
      <c r="W2077" s="134"/>
      <c r="X2077" s="134"/>
      <c r="Y2077" s="134"/>
      <c r="Z2077" s="134"/>
      <c r="AA2077" s="134"/>
      <c r="AB2077" s="134"/>
      <c r="AC2077" s="134"/>
      <c r="AD2077" s="134"/>
    </row>
    <row r="2078">
      <c r="A2078" s="143"/>
      <c r="B2078" s="134"/>
      <c r="C2078" s="134"/>
      <c r="D2078" s="134"/>
      <c r="E2078" s="134"/>
      <c r="F2078" s="134"/>
      <c r="G2078" s="134"/>
      <c r="H2078" s="134"/>
      <c r="J2078" s="134"/>
      <c r="K2078" s="135"/>
      <c r="L2078" s="136"/>
      <c r="M2078" s="144"/>
      <c r="T2078" s="52"/>
      <c r="V2078" s="134"/>
      <c r="W2078" s="134"/>
      <c r="X2078" s="134"/>
      <c r="Y2078" s="134"/>
      <c r="Z2078" s="134"/>
      <c r="AA2078" s="134"/>
      <c r="AB2078" s="134"/>
      <c r="AC2078" s="134"/>
      <c r="AD2078" s="134"/>
    </row>
    <row r="2079">
      <c r="A2079" s="143"/>
      <c r="B2079" s="134"/>
      <c r="C2079" s="134"/>
      <c r="D2079" s="134"/>
      <c r="E2079" s="134"/>
      <c r="F2079" s="134"/>
      <c r="G2079" s="134"/>
      <c r="H2079" s="134"/>
      <c r="J2079" s="134"/>
      <c r="K2079" s="135"/>
      <c r="L2079" s="136"/>
      <c r="M2079" s="144"/>
      <c r="T2079" s="52"/>
      <c r="V2079" s="134"/>
      <c r="W2079" s="134"/>
      <c r="X2079" s="134"/>
      <c r="Y2079" s="134"/>
      <c r="Z2079" s="134"/>
      <c r="AA2079" s="134"/>
      <c r="AB2079" s="134"/>
      <c r="AC2079" s="134"/>
      <c r="AD2079" s="134"/>
    </row>
    <row r="2080">
      <c r="A2080" s="143"/>
      <c r="B2080" s="134"/>
      <c r="C2080" s="134"/>
      <c r="D2080" s="134"/>
      <c r="E2080" s="134"/>
      <c r="F2080" s="134"/>
      <c r="G2080" s="134"/>
      <c r="H2080" s="134"/>
      <c r="J2080" s="134"/>
      <c r="K2080" s="135"/>
      <c r="L2080" s="136"/>
      <c r="M2080" s="144"/>
      <c r="T2080" s="52"/>
      <c r="V2080" s="134"/>
      <c r="W2080" s="134"/>
      <c r="X2080" s="134"/>
      <c r="Y2080" s="134"/>
      <c r="Z2080" s="134"/>
      <c r="AA2080" s="134"/>
      <c r="AB2080" s="134"/>
      <c r="AC2080" s="134"/>
      <c r="AD2080" s="134"/>
    </row>
    <row r="2081">
      <c r="A2081" s="143"/>
      <c r="B2081" s="134"/>
      <c r="C2081" s="134"/>
      <c r="D2081" s="134"/>
      <c r="E2081" s="134"/>
      <c r="F2081" s="134"/>
      <c r="G2081" s="134"/>
      <c r="H2081" s="134"/>
      <c r="J2081" s="134"/>
      <c r="K2081" s="135"/>
      <c r="L2081" s="136"/>
      <c r="M2081" s="144"/>
      <c r="T2081" s="52"/>
      <c r="V2081" s="134"/>
      <c r="W2081" s="134"/>
      <c r="X2081" s="134"/>
      <c r="Y2081" s="134"/>
      <c r="Z2081" s="134"/>
      <c r="AA2081" s="134"/>
      <c r="AB2081" s="134"/>
      <c r="AC2081" s="134"/>
      <c r="AD2081" s="134"/>
    </row>
    <row r="2082">
      <c r="A2082" s="143"/>
      <c r="B2082" s="134"/>
      <c r="C2082" s="134"/>
      <c r="D2082" s="134"/>
      <c r="E2082" s="134"/>
      <c r="F2082" s="134"/>
      <c r="G2082" s="134"/>
      <c r="H2082" s="134"/>
      <c r="J2082" s="134"/>
      <c r="K2082" s="135"/>
      <c r="L2082" s="136"/>
      <c r="M2082" s="144"/>
      <c r="T2082" s="52"/>
      <c r="V2082" s="134"/>
      <c r="W2082" s="134"/>
      <c r="X2082" s="134"/>
      <c r="Y2082" s="134"/>
      <c r="Z2082" s="134"/>
      <c r="AA2082" s="134"/>
      <c r="AB2082" s="134"/>
      <c r="AC2082" s="134"/>
      <c r="AD2082" s="134"/>
    </row>
    <row r="2083">
      <c r="A2083" s="143"/>
      <c r="B2083" s="134"/>
      <c r="C2083" s="134"/>
      <c r="D2083" s="134"/>
      <c r="E2083" s="134"/>
      <c r="F2083" s="134"/>
      <c r="G2083" s="134"/>
      <c r="H2083" s="134"/>
      <c r="J2083" s="134"/>
      <c r="K2083" s="135"/>
      <c r="L2083" s="136"/>
      <c r="M2083" s="144"/>
      <c r="T2083" s="52"/>
      <c r="V2083" s="134"/>
      <c r="W2083" s="134"/>
      <c r="X2083" s="134"/>
      <c r="Y2083" s="134"/>
      <c r="Z2083" s="134"/>
      <c r="AA2083" s="134"/>
      <c r="AB2083" s="134"/>
      <c r="AC2083" s="134"/>
      <c r="AD2083" s="134"/>
    </row>
    <row r="2084">
      <c r="A2084" s="143"/>
      <c r="B2084" s="134"/>
      <c r="C2084" s="134"/>
      <c r="D2084" s="134"/>
      <c r="E2084" s="134"/>
      <c r="F2084" s="134"/>
      <c r="G2084" s="134"/>
      <c r="H2084" s="134"/>
      <c r="J2084" s="134"/>
      <c r="K2084" s="135"/>
      <c r="L2084" s="136"/>
      <c r="M2084" s="144"/>
      <c r="T2084" s="52"/>
      <c r="V2084" s="134"/>
      <c r="W2084" s="134"/>
      <c r="X2084" s="134"/>
      <c r="Y2084" s="134"/>
      <c r="Z2084" s="134"/>
      <c r="AA2084" s="134"/>
      <c r="AB2084" s="134"/>
      <c r="AC2084" s="134"/>
      <c r="AD2084" s="134"/>
    </row>
    <row r="2085">
      <c r="A2085" s="143"/>
      <c r="B2085" s="134"/>
      <c r="C2085" s="134"/>
      <c r="D2085" s="134"/>
      <c r="E2085" s="134"/>
      <c r="F2085" s="134"/>
      <c r="G2085" s="134"/>
      <c r="H2085" s="134"/>
      <c r="J2085" s="134"/>
      <c r="K2085" s="135"/>
      <c r="L2085" s="136"/>
      <c r="M2085" s="144"/>
      <c r="T2085" s="52"/>
      <c r="V2085" s="134"/>
      <c r="W2085" s="134"/>
      <c r="X2085" s="134"/>
      <c r="Y2085" s="134"/>
      <c r="Z2085" s="134"/>
      <c r="AA2085" s="134"/>
      <c r="AB2085" s="134"/>
      <c r="AC2085" s="134"/>
      <c r="AD2085" s="134"/>
    </row>
    <row r="2086">
      <c r="A2086" s="143"/>
      <c r="B2086" s="134"/>
      <c r="C2086" s="134"/>
      <c r="D2086" s="134"/>
      <c r="E2086" s="134"/>
      <c r="F2086" s="134"/>
      <c r="G2086" s="134"/>
      <c r="H2086" s="134"/>
      <c r="J2086" s="134"/>
      <c r="K2086" s="135"/>
      <c r="L2086" s="136"/>
      <c r="M2086" s="144"/>
      <c r="T2086" s="52"/>
      <c r="V2086" s="134"/>
      <c r="W2086" s="134"/>
      <c r="X2086" s="134"/>
      <c r="Y2086" s="134"/>
      <c r="Z2086" s="134"/>
      <c r="AA2086" s="134"/>
      <c r="AB2086" s="134"/>
      <c r="AC2086" s="134"/>
      <c r="AD2086" s="134"/>
    </row>
    <row r="2087">
      <c r="A2087" s="143"/>
      <c r="B2087" s="134"/>
      <c r="C2087" s="134"/>
      <c r="D2087" s="134"/>
      <c r="E2087" s="134"/>
      <c r="F2087" s="134"/>
      <c r="G2087" s="134"/>
      <c r="H2087" s="134"/>
      <c r="J2087" s="134"/>
      <c r="K2087" s="135"/>
      <c r="L2087" s="136"/>
      <c r="M2087" s="144"/>
      <c r="T2087" s="52"/>
      <c r="V2087" s="134"/>
      <c r="W2087" s="134"/>
      <c r="X2087" s="134"/>
      <c r="Y2087" s="134"/>
      <c r="Z2087" s="134"/>
      <c r="AA2087" s="134"/>
      <c r="AB2087" s="134"/>
      <c r="AC2087" s="134"/>
      <c r="AD2087" s="134"/>
    </row>
    <row r="2088">
      <c r="A2088" s="143"/>
      <c r="B2088" s="134"/>
      <c r="C2088" s="134"/>
      <c r="D2088" s="134"/>
      <c r="E2088" s="134"/>
      <c r="F2088" s="134"/>
      <c r="G2088" s="134"/>
      <c r="H2088" s="134"/>
      <c r="J2088" s="134"/>
      <c r="K2088" s="135"/>
      <c r="L2088" s="136"/>
      <c r="M2088" s="144"/>
      <c r="T2088" s="52"/>
      <c r="V2088" s="134"/>
      <c r="W2088" s="134"/>
      <c r="X2088" s="134"/>
      <c r="Y2088" s="134"/>
      <c r="Z2088" s="134"/>
      <c r="AA2088" s="134"/>
      <c r="AB2088" s="134"/>
      <c r="AC2088" s="134"/>
      <c r="AD2088" s="134"/>
    </row>
    <row r="2089">
      <c r="A2089" s="143"/>
      <c r="B2089" s="134"/>
      <c r="C2089" s="134"/>
      <c r="D2089" s="134"/>
      <c r="E2089" s="134"/>
      <c r="F2089" s="134"/>
      <c r="G2089" s="134"/>
      <c r="H2089" s="134"/>
      <c r="J2089" s="134"/>
      <c r="K2089" s="135"/>
      <c r="L2089" s="136"/>
      <c r="M2089" s="144"/>
      <c r="T2089" s="52"/>
      <c r="V2089" s="134"/>
      <c r="W2089" s="134"/>
      <c r="X2089" s="134"/>
      <c r="Y2089" s="134"/>
      <c r="Z2089" s="134"/>
      <c r="AA2089" s="134"/>
      <c r="AB2089" s="134"/>
      <c r="AC2089" s="134"/>
      <c r="AD2089" s="134"/>
    </row>
    <row r="2090">
      <c r="A2090" s="143"/>
      <c r="B2090" s="134"/>
      <c r="C2090" s="134"/>
      <c r="D2090" s="134"/>
      <c r="E2090" s="134"/>
      <c r="F2090" s="134"/>
      <c r="G2090" s="134"/>
      <c r="H2090" s="134"/>
      <c r="J2090" s="134"/>
      <c r="K2090" s="135"/>
      <c r="L2090" s="136"/>
      <c r="M2090" s="144"/>
      <c r="T2090" s="52"/>
      <c r="V2090" s="134"/>
      <c r="W2090" s="134"/>
      <c r="X2090" s="134"/>
      <c r="Y2090" s="134"/>
      <c r="Z2090" s="134"/>
      <c r="AA2090" s="134"/>
      <c r="AB2090" s="134"/>
      <c r="AC2090" s="134"/>
      <c r="AD2090" s="134"/>
    </row>
    <row r="2091">
      <c r="A2091" s="143"/>
      <c r="B2091" s="134"/>
      <c r="C2091" s="134"/>
      <c r="D2091" s="134"/>
      <c r="E2091" s="134"/>
      <c r="F2091" s="134"/>
      <c r="G2091" s="134"/>
      <c r="H2091" s="134"/>
      <c r="J2091" s="134"/>
      <c r="K2091" s="135"/>
      <c r="L2091" s="136"/>
      <c r="M2091" s="144"/>
      <c r="T2091" s="52"/>
      <c r="V2091" s="134"/>
      <c r="W2091" s="134"/>
      <c r="X2091" s="134"/>
      <c r="Y2091" s="134"/>
      <c r="Z2091" s="134"/>
      <c r="AA2091" s="134"/>
      <c r="AB2091" s="134"/>
      <c r="AC2091" s="134"/>
      <c r="AD2091" s="134"/>
    </row>
    <row r="2092">
      <c r="A2092" s="143"/>
      <c r="B2092" s="134"/>
      <c r="C2092" s="134"/>
      <c r="D2092" s="134"/>
      <c r="E2092" s="134"/>
      <c r="F2092" s="134"/>
      <c r="G2092" s="134"/>
      <c r="H2092" s="134"/>
      <c r="J2092" s="134"/>
      <c r="K2092" s="135"/>
      <c r="L2092" s="136"/>
      <c r="M2092" s="144"/>
      <c r="T2092" s="52"/>
      <c r="V2092" s="134"/>
      <c r="W2092" s="134"/>
      <c r="X2092" s="134"/>
      <c r="Y2092" s="134"/>
      <c r="Z2092" s="134"/>
      <c r="AA2092" s="134"/>
      <c r="AB2092" s="134"/>
      <c r="AC2092" s="134"/>
      <c r="AD2092" s="134"/>
    </row>
    <row r="2093">
      <c r="A2093" s="143"/>
      <c r="B2093" s="134"/>
      <c r="C2093" s="134"/>
      <c r="D2093" s="134"/>
      <c r="E2093" s="134"/>
      <c r="F2093" s="134"/>
      <c r="G2093" s="134"/>
      <c r="H2093" s="134"/>
      <c r="J2093" s="134"/>
      <c r="K2093" s="135"/>
      <c r="L2093" s="136"/>
      <c r="M2093" s="144"/>
      <c r="T2093" s="52"/>
      <c r="V2093" s="134"/>
      <c r="W2093" s="134"/>
      <c r="X2093" s="134"/>
      <c r="Y2093" s="134"/>
      <c r="Z2093" s="134"/>
      <c r="AA2093" s="134"/>
      <c r="AB2093" s="134"/>
      <c r="AC2093" s="134"/>
      <c r="AD2093" s="134"/>
    </row>
    <row r="2094">
      <c r="A2094" s="143"/>
      <c r="B2094" s="134"/>
      <c r="C2094" s="134"/>
      <c r="D2094" s="134"/>
      <c r="E2094" s="134"/>
      <c r="F2094" s="134"/>
      <c r="G2094" s="134"/>
      <c r="H2094" s="134"/>
      <c r="J2094" s="134"/>
      <c r="K2094" s="135"/>
      <c r="L2094" s="136"/>
      <c r="M2094" s="144"/>
      <c r="T2094" s="52"/>
      <c r="V2094" s="134"/>
      <c r="W2094" s="134"/>
      <c r="X2094" s="134"/>
      <c r="Y2094" s="134"/>
      <c r="Z2094" s="134"/>
      <c r="AA2094" s="134"/>
      <c r="AB2094" s="134"/>
      <c r="AC2094" s="134"/>
      <c r="AD2094" s="134"/>
    </row>
    <row r="2095">
      <c r="A2095" s="143"/>
      <c r="B2095" s="134"/>
      <c r="C2095" s="134"/>
      <c r="D2095" s="134"/>
      <c r="E2095" s="134"/>
      <c r="F2095" s="134"/>
      <c r="G2095" s="134"/>
      <c r="H2095" s="134"/>
      <c r="J2095" s="134"/>
      <c r="K2095" s="135"/>
      <c r="L2095" s="136"/>
      <c r="M2095" s="144"/>
      <c r="T2095" s="52"/>
      <c r="V2095" s="134"/>
      <c r="W2095" s="134"/>
      <c r="X2095" s="134"/>
      <c r="Y2095" s="134"/>
      <c r="Z2095" s="134"/>
      <c r="AA2095" s="134"/>
      <c r="AB2095" s="134"/>
      <c r="AC2095" s="134"/>
      <c r="AD2095" s="134"/>
    </row>
    <row r="2096">
      <c r="A2096" s="143"/>
      <c r="B2096" s="134"/>
      <c r="C2096" s="134"/>
      <c r="D2096" s="134"/>
      <c r="E2096" s="134"/>
      <c r="F2096" s="134"/>
      <c r="G2096" s="134"/>
      <c r="H2096" s="134"/>
      <c r="J2096" s="134"/>
      <c r="K2096" s="135"/>
      <c r="L2096" s="136"/>
      <c r="M2096" s="144"/>
      <c r="T2096" s="52"/>
      <c r="V2096" s="134"/>
      <c r="W2096" s="134"/>
      <c r="X2096" s="134"/>
      <c r="Y2096" s="134"/>
      <c r="Z2096" s="134"/>
      <c r="AA2096" s="134"/>
      <c r="AB2096" s="134"/>
      <c r="AC2096" s="134"/>
      <c r="AD2096" s="134"/>
    </row>
    <row r="2097">
      <c r="A2097" s="143"/>
      <c r="B2097" s="134"/>
      <c r="C2097" s="134"/>
      <c r="D2097" s="134"/>
      <c r="E2097" s="134"/>
      <c r="F2097" s="134"/>
      <c r="G2097" s="134"/>
      <c r="H2097" s="134"/>
      <c r="J2097" s="134"/>
      <c r="K2097" s="135"/>
      <c r="L2097" s="136"/>
      <c r="M2097" s="144"/>
      <c r="T2097" s="52"/>
      <c r="V2097" s="134"/>
      <c r="W2097" s="134"/>
      <c r="X2097" s="134"/>
      <c r="Y2097" s="134"/>
      <c r="Z2097" s="134"/>
      <c r="AA2097" s="134"/>
      <c r="AB2097" s="134"/>
      <c r="AC2097" s="134"/>
      <c r="AD2097" s="134"/>
    </row>
    <row r="2098">
      <c r="A2098" s="143"/>
      <c r="B2098" s="134"/>
      <c r="C2098" s="134"/>
      <c r="D2098" s="134"/>
      <c r="E2098" s="134"/>
      <c r="F2098" s="134"/>
      <c r="G2098" s="134"/>
      <c r="H2098" s="134"/>
      <c r="J2098" s="134"/>
      <c r="K2098" s="135"/>
      <c r="L2098" s="136"/>
      <c r="M2098" s="144"/>
      <c r="T2098" s="52"/>
      <c r="V2098" s="134"/>
      <c r="W2098" s="134"/>
      <c r="X2098" s="134"/>
      <c r="Y2098" s="134"/>
      <c r="Z2098" s="134"/>
      <c r="AA2098" s="134"/>
      <c r="AB2098" s="134"/>
      <c r="AC2098" s="134"/>
      <c r="AD2098" s="134"/>
    </row>
    <row r="2099">
      <c r="A2099" s="143"/>
      <c r="B2099" s="134"/>
      <c r="C2099" s="134"/>
      <c r="D2099" s="134"/>
      <c r="E2099" s="134"/>
      <c r="F2099" s="134"/>
      <c r="G2099" s="134"/>
      <c r="H2099" s="134"/>
      <c r="J2099" s="134"/>
      <c r="K2099" s="135"/>
      <c r="L2099" s="136"/>
      <c r="M2099" s="144"/>
      <c r="T2099" s="52"/>
      <c r="V2099" s="134"/>
      <c r="W2099" s="134"/>
      <c r="X2099" s="134"/>
      <c r="Y2099" s="134"/>
      <c r="Z2099" s="134"/>
      <c r="AA2099" s="134"/>
      <c r="AB2099" s="134"/>
      <c r="AC2099" s="134"/>
      <c r="AD2099" s="134"/>
    </row>
    <row r="2100">
      <c r="A2100" s="143"/>
      <c r="B2100" s="134"/>
      <c r="C2100" s="134"/>
      <c r="D2100" s="134"/>
      <c r="E2100" s="134"/>
      <c r="F2100" s="134"/>
      <c r="G2100" s="134"/>
      <c r="H2100" s="134"/>
      <c r="J2100" s="134"/>
      <c r="K2100" s="135"/>
      <c r="L2100" s="136"/>
      <c r="M2100" s="144"/>
      <c r="T2100" s="52"/>
      <c r="V2100" s="134"/>
      <c r="W2100" s="134"/>
      <c r="X2100" s="134"/>
      <c r="Y2100" s="134"/>
      <c r="Z2100" s="134"/>
      <c r="AA2100" s="134"/>
      <c r="AB2100" s="134"/>
      <c r="AC2100" s="134"/>
      <c r="AD2100" s="134"/>
    </row>
    <row r="2101">
      <c r="A2101" s="143"/>
      <c r="B2101" s="134"/>
      <c r="C2101" s="134"/>
      <c r="D2101" s="134"/>
      <c r="E2101" s="134"/>
      <c r="F2101" s="134"/>
      <c r="G2101" s="134"/>
      <c r="H2101" s="134"/>
      <c r="J2101" s="134"/>
      <c r="K2101" s="135"/>
      <c r="L2101" s="136"/>
      <c r="M2101" s="144"/>
      <c r="T2101" s="52"/>
      <c r="V2101" s="134"/>
      <c r="W2101" s="134"/>
      <c r="X2101" s="134"/>
      <c r="Y2101" s="134"/>
      <c r="Z2101" s="134"/>
      <c r="AA2101" s="134"/>
      <c r="AB2101" s="134"/>
      <c r="AC2101" s="134"/>
      <c r="AD2101" s="134"/>
    </row>
    <row r="2102">
      <c r="A2102" s="143"/>
      <c r="B2102" s="134"/>
      <c r="C2102" s="134"/>
      <c r="D2102" s="134"/>
      <c r="E2102" s="134"/>
      <c r="F2102" s="134"/>
      <c r="G2102" s="134"/>
      <c r="H2102" s="134"/>
      <c r="J2102" s="134"/>
      <c r="K2102" s="135"/>
      <c r="L2102" s="136"/>
      <c r="M2102" s="144"/>
      <c r="T2102" s="52"/>
      <c r="V2102" s="134"/>
      <c r="W2102" s="134"/>
      <c r="X2102" s="134"/>
      <c r="Y2102" s="134"/>
      <c r="Z2102" s="134"/>
      <c r="AA2102" s="134"/>
      <c r="AB2102" s="134"/>
      <c r="AC2102" s="134"/>
      <c r="AD2102" s="134"/>
    </row>
    <row r="2103">
      <c r="A2103" s="143"/>
      <c r="B2103" s="134"/>
      <c r="C2103" s="134"/>
      <c r="D2103" s="134"/>
      <c r="E2103" s="134"/>
      <c r="F2103" s="134"/>
      <c r="G2103" s="134"/>
      <c r="H2103" s="134"/>
      <c r="J2103" s="134"/>
      <c r="K2103" s="135"/>
      <c r="L2103" s="136"/>
      <c r="M2103" s="144"/>
      <c r="T2103" s="52"/>
      <c r="V2103" s="134"/>
      <c r="W2103" s="134"/>
      <c r="X2103" s="134"/>
      <c r="Y2103" s="134"/>
      <c r="Z2103" s="134"/>
      <c r="AA2103" s="134"/>
      <c r="AB2103" s="134"/>
      <c r="AC2103" s="134"/>
      <c r="AD2103" s="134"/>
    </row>
    <row r="2104">
      <c r="A2104" s="143"/>
      <c r="B2104" s="134"/>
      <c r="C2104" s="134"/>
      <c r="D2104" s="134"/>
      <c r="E2104" s="134"/>
      <c r="F2104" s="134"/>
      <c r="G2104" s="134"/>
      <c r="H2104" s="134"/>
      <c r="J2104" s="134"/>
      <c r="K2104" s="135"/>
      <c r="L2104" s="136"/>
      <c r="M2104" s="144"/>
      <c r="T2104" s="52"/>
      <c r="V2104" s="134"/>
      <c r="W2104" s="134"/>
      <c r="X2104" s="134"/>
      <c r="Y2104" s="134"/>
      <c r="Z2104" s="134"/>
      <c r="AA2104" s="134"/>
      <c r="AB2104" s="134"/>
      <c r="AC2104" s="134"/>
      <c r="AD2104" s="134"/>
    </row>
    <row r="2105">
      <c r="A2105" s="143"/>
      <c r="B2105" s="134"/>
      <c r="C2105" s="134"/>
      <c r="D2105" s="134"/>
      <c r="E2105" s="134"/>
      <c r="F2105" s="134"/>
      <c r="G2105" s="134"/>
      <c r="H2105" s="134"/>
      <c r="J2105" s="134"/>
      <c r="K2105" s="135"/>
      <c r="L2105" s="136"/>
      <c r="M2105" s="144"/>
      <c r="T2105" s="52"/>
      <c r="V2105" s="134"/>
      <c r="W2105" s="134"/>
      <c r="X2105" s="134"/>
      <c r="Y2105" s="134"/>
      <c r="Z2105" s="134"/>
      <c r="AA2105" s="134"/>
      <c r="AB2105" s="134"/>
      <c r="AC2105" s="134"/>
      <c r="AD2105" s="134"/>
    </row>
    <row r="2106">
      <c r="A2106" s="143"/>
      <c r="B2106" s="134"/>
      <c r="C2106" s="134"/>
      <c r="D2106" s="134"/>
      <c r="E2106" s="134"/>
      <c r="F2106" s="134"/>
      <c r="G2106" s="134"/>
      <c r="H2106" s="134"/>
      <c r="J2106" s="134"/>
      <c r="K2106" s="135"/>
      <c r="L2106" s="136"/>
      <c r="M2106" s="144"/>
      <c r="T2106" s="52"/>
      <c r="V2106" s="134"/>
      <c r="W2106" s="134"/>
      <c r="X2106" s="134"/>
      <c r="Y2106" s="134"/>
      <c r="Z2106" s="134"/>
      <c r="AA2106" s="134"/>
      <c r="AB2106" s="134"/>
      <c r="AC2106" s="134"/>
      <c r="AD2106" s="134"/>
    </row>
    <row r="2107">
      <c r="A2107" s="143"/>
      <c r="B2107" s="134"/>
      <c r="C2107" s="134"/>
      <c r="D2107" s="134"/>
      <c r="E2107" s="134"/>
      <c r="F2107" s="134"/>
      <c r="G2107" s="134"/>
      <c r="H2107" s="134"/>
      <c r="J2107" s="134"/>
      <c r="K2107" s="135"/>
      <c r="L2107" s="136"/>
      <c r="M2107" s="144"/>
      <c r="T2107" s="52"/>
      <c r="V2107" s="134"/>
      <c r="W2107" s="134"/>
      <c r="X2107" s="134"/>
      <c r="Y2107" s="134"/>
      <c r="Z2107" s="134"/>
      <c r="AA2107" s="134"/>
      <c r="AB2107" s="134"/>
      <c r="AC2107" s="134"/>
      <c r="AD2107" s="134"/>
    </row>
    <row r="2108">
      <c r="A2108" s="143"/>
      <c r="B2108" s="134"/>
      <c r="C2108" s="134"/>
      <c r="D2108" s="134"/>
      <c r="E2108" s="134"/>
      <c r="F2108" s="134"/>
      <c r="G2108" s="134"/>
      <c r="H2108" s="134"/>
      <c r="J2108" s="134"/>
      <c r="K2108" s="135"/>
      <c r="L2108" s="136"/>
      <c r="M2108" s="144"/>
      <c r="T2108" s="52"/>
      <c r="V2108" s="134"/>
      <c r="W2108" s="134"/>
      <c r="X2108" s="134"/>
      <c r="Y2108" s="134"/>
      <c r="Z2108" s="134"/>
      <c r="AA2108" s="134"/>
      <c r="AB2108" s="134"/>
      <c r="AC2108" s="134"/>
      <c r="AD2108" s="134"/>
    </row>
    <row r="2109">
      <c r="A2109" s="143"/>
      <c r="B2109" s="134"/>
      <c r="C2109" s="134"/>
      <c r="D2109" s="134"/>
      <c r="E2109" s="134"/>
      <c r="F2109" s="134"/>
      <c r="G2109" s="134"/>
      <c r="H2109" s="134"/>
      <c r="J2109" s="134"/>
      <c r="K2109" s="135"/>
      <c r="L2109" s="136"/>
      <c r="M2109" s="144"/>
      <c r="T2109" s="52"/>
      <c r="V2109" s="134"/>
      <c r="W2109" s="134"/>
      <c r="X2109" s="134"/>
      <c r="Y2109" s="134"/>
      <c r="Z2109" s="134"/>
      <c r="AA2109" s="134"/>
      <c r="AB2109" s="134"/>
      <c r="AC2109" s="134"/>
      <c r="AD2109" s="134"/>
    </row>
    <row r="2110">
      <c r="A2110" s="143"/>
      <c r="B2110" s="134"/>
      <c r="C2110" s="134"/>
      <c r="D2110" s="134"/>
      <c r="E2110" s="134"/>
      <c r="F2110" s="134"/>
      <c r="G2110" s="134"/>
      <c r="H2110" s="134"/>
      <c r="J2110" s="134"/>
      <c r="K2110" s="135"/>
      <c r="L2110" s="136"/>
      <c r="M2110" s="144"/>
      <c r="T2110" s="52"/>
      <c r="V2110" s="134"/>
      <c r="W2110" s="134"/>
      <c r="X2110" s="134"/>
      <c r="Y2110" s="134"/>
      <c r="Z2110" s="134"/>
      <c r="AA2110" s="134"/>
      <c r="AB2110" s="134"/>
      <c r="AC2110" s="134"/>
      <c r="AD2110" s="134"/>
    </row>
    <row r="2111">
      <c r="A2111" s="143"/>
      <c r="B2111" s="134"/>
      <c r="C2111" s="134"/>
      <c r="D2111" s="134"/>
      <c r="E2111" s="134"/>
      <c r="F2111" s="134"/>
      <c r="G2111" s="134"/>
      <c r="H2111" s="134"/>
      <c r="J2111" s="134"/>
      <c r="K2111" s="135"/>
      <c r="L2111" s="136"/>
      <c r="M2111" s="144"/>
      <c r="T2111" s="52"/>
      <c r="V2111" s="134"/>
      <c r="W2111" s="134"/>
      <c r="X2111" s="134"/>
      <c r="Y2111" s="134"/>
      <c r="Z2111" s="134"/>
      <c r="AA2111" s="134"/>
      <c r="AB2111" s="134"/>
      <c r="AC2111" s="134"/>
      <c r="AD2111" s="134"/>
    </row>
    <row r="2112">
      <c r="A2112" s="143"/>
      <c r="B2112" s="134"/>
      <c r="C2112" s="134"/>
      <c r="D2112" s="134"/>
      <c r="E2112" s="134"/>
      <c r="F2112" s="134"/>
      <c r="G2112" s="134"/>
      <c r="H2112" s="134"/>
      <c r="J2112" s="134"/>
      <c r="K2112" s="135"/>
      <c r="L2112" s="136"/>
      <c r="M2112" s="144"/>
      <c r="T2112" s="52"/>
      <c r="V2112" s="134"/>
      <c r="W2112" s="134"/>
      <c r="X2112" s="134"/>
      <c r="Y2112" s="134"/>
      <c r="Z2112" s="134"/>
      <c r="AA2112" s="134"/>
      <c r="AB2112" s="134"/>
      <c r="AC2112" s="134"/>
      <c r="AD2112" s="134"/>
    </row>
    <row r="2113">
      <c r="A2113" s="143"/>
      <c r="B2113" s="134"/>
      <c r="C2113" s="134"/>
      <c r="D2113" s="134"/>
      <c r="E2113" s="134"/>
      <c r="F2113" s="134"/>
      <c r="G2113" s="134"/>
      <c r="H2113" s="134"/>
      <c r="J2113" s="134"/>
      <c r="K2113" s="135"/>
      <c r="L2113" s="136"/>
      <c r="M2113" s="144"/>
      <c r="T2113" s="52"/>
      <c r="V2113" s="134"/>
      <c r="W2113" s="134"/>
      <c r="X2113" s="134"/>
      <c r="Y2113" s="134"/>
      <c r="Z2113" s="134"/>
      <c r="AA2113" s="134"/>
      <c r="AB2113" s="134"/>
      <c r="AC2113" s="134"/>
      <c r="AD2113" s="134"/>
    </row>
    <row r="2114">
      <c r="A2114" s="143"/>
      <c r="B2114" s="134"/>
      <c r="C2114" s="134"/>
      <c r="D2114" s="134"/>
      <c r="E2114" s="134"/>
      <c r="F2114" s="134"/>
      <c r="G2114" s="134"/>
      <c r="H2114" s="134"/>
      <c r="J2114" s="134"/>
      <c r="K2114" s="135"/>
      <c r="L2114" s="136"/>
      <c r="M2114" s="144"/>
      <c r="T2114" s="52"/>
      <c r="V2114" s="134"/>
      <c r="W2114" s="134"/>
      <c r="X2114" s="134"/>
      <c r="Y2114" s="134"/>
      <c r="Z2114" s="134"/>
      <c r="AA2114" s="134"/>
      <c r="AB2114" s="134"/>
      <c r="AC2114" s="134"/>
      <c r="AD2114" s="134"/>
    </row>
    <row r="2115">
      <c r="A2115" s="143"/>
      <c r="B2115" s="134"/>
      <c r="C2115" s="134"/>
      <c r="D2115" s="134"/>
      <c r="E2115" s="134"/>
      <c r="F2115" s="134"/>
      <c r="G2115" s="134"/>
      <c r="H2115" s="134"/>
      <c r="J2115" s="134"/>
      <c r="K2115" s="135"/>
      <c r="L2115" s="136"/>
      <c r="M2115" s="144"/>
      <c r="T2115" s="52"/>
      <c r="V2115" s="134"/>
      <c r="W2115" s="134"/>
      <c r="X2115" s="134"/>
      <c r="Y2115" s="134"/>
      <c r="Z2115" s="134"/>
      <c r="AA2115" s="134"/>
      <c r="AB2115" s="134"/>
      <c r="AC2115" s="134"/>
      <c r="AD2115" s="134"/>
    </row>
    <row r="2116">
      <c r="A2116" s="143"/>
      <c r="B2116" s="134"/>
      <c r="C2116" s="134"/>
      <c r="D2116" s="134"/>
      <c r="E2116" s="134"/>
      <c r="F2116" s="134"/>
      <c r="G2116" s="134"/>
      <c r="H2116" s="134"/>
      <c r="J2116" s="134"/>
      <c r="K2116" s="135"/>
      <c r="L2116" s="136"/>
      <c r="M2116" s="144"/>
      <c r="T2116" s="52"/>
      <c r="V2116" s="134"/>
      <c r="W2116" s="134"/>
      <c r="X2116" s="134"/>
      <c r="Y2116" s="134"/>
      <c r="Z2116" s="134"/>
      <c r="AA2116" s="134"/>
      <c r="AB2116" s="134"/>
      <c r="AC2116" s="134"/>
      <c r="AD2116" s="134"/>
    </row>
    <row r="2117">
      <c r="A2117" s="143"/>
      <c r="B2117" s="134"/>
      <c r="C2117" s="134"/>
      <c r="D2117" s="134"/>
      <c r="E2117" s="134"/>
      <c r="F2117" s="134"/>
      <c r="G2117" s="134"/>
      <c r="H2117" s="134"/>
      <c r="J2117" s="134"/>
      <c r="K2117" s="135"/>
      <c r="L2117" s="136"/>
      <c r="M2117" s="144"/>
      <c r="T2117" s="52"/>
      <c r="V2117" s="134"/>
      <c r="W2117" s="134"/>
      <c r="X2117" s="134"/>
      <c r="Y2117" s="134"/>
      <c r="Z2117" s="134"/>
      <c r="AA2117" s="134"/>
      <c r="AB2117" s="134"/>
      <c r="AC2117" s="134"/>
      <c r="AD2117" s="134"/>
    </row>
    <row r="2118">
      <c r="A2118" s="143"/>
      <c r="B2118" s="134"/>
      <c r="C2118" s="134"/>
      <c r="D2118" s="134"/>
      <c r="E2118" s="134"/>
      <c r="F2118" s="134"/>
      <c r="G2118" s="134"/>
      <c r="H2118" s="134"/>
      <c r="J2118" s="134"/>
      <c r="K2118" s="135"/>
      <c r="L2118" s="136"/>
      <c r="M2118" s="144"/>
      <c r="T2118" s="52"/>
      <c r="V2118" s="134"/>
      <c r="W2118" s="134"/>
      <c r="X2118" s="134"/>
      <c r="Y2118" s="134"/>
      <c r="Z2118" s="134"/>
      <c r="AA2118" s="134"/>
      <c r="AB2118" s="134"/>
      <c r="AC2118" s="134"/>
      <c r="AD2118" s="134"/>
    </row>
    <row r="2119">
      <c r="A2119" s="143"/>
      <c r="B2119" s="134"/>
      <c r="C2119" s="134"/>
      <c r="D2119" s="134"/>
      <c r="E2119" s="134"/>
      <c r="F2119" s="134"/>
      <c r="G2119" s="134"/>
      <c r="H2119" s="134"/>
      <c r="J2119" s="134"/>
      <c r="K2119" s="135"/>
      <c r="L2119" s="136"/>
      <c r="M2119" s="144"/>
      <c r="T2119" s="52"/>
      <c r="V2119" s="134"/>
      <c r="W2119" s="134"/>
      <c r="X2119" s="134"/>
      <c r="Y2119" s="134"/>
      <c r="Z2119" s="134"/>
      <c r="AA2119" s="134"/>
      <c r="AB2119" s="134"/>
      <c r="AC2119" s="134"/>
      <c r="AD2119" s="134"/>
    </row>
    <row r="2120">
      <c r="A2120" s="143"/>
      <c r="B2120" s="134"/>
      <c r="C2120" s="134"/>
      <c r="D2120" s="134"/>
      <c r="E2120" s="134"/>
      <c r="F2120" s="134"/>
      <c r="G2120" s="134"/>
      <c r="H2120" s="134"/>
      <c r="J2120" s="134"/>
      <c r="K2120" s="135"/>
      <c r="L2120" s="136"/>
      <c r="M2120" s="144"/>
      <c r="T2120" s="52"/>
      <c r="V2120" s="134"/>
      <c r="W2120" s="134"/>
      <c r="X2120" s="134"/>
      <c r="Y2120" s="134"/>
      <c r="Z2120" s="134"/>
      <c r="AA2120" s="134"/>
      <c r="AB2120" s="134"/>
      <c r="AC2120" s="134"/>
      <c r="AD2120" s="134"/>
    </row>
    <row r="2121">
      <c r="A2121" s="143"/>
      <c r="B2121" s="134"/>
      <c r="C2121" s="134"/>
      <c r="D2121" s="134"/>
      <c r="E2121" s="134"/>
      <c r="F2121" s="134"/>
      <c r="G2121" s="134"/>
      <c r="H2121" s="134"/>
      <c r="J2121" s="134"/>
      <c r="K2121" s="135"/>
      <c r="L2121" s="136"/>
      <c r="M2121" s="144"/>
      <c r="T2121" s="52"/>
      <c r="V2121" s="134"/>
      <c r="W2121" s="134"/>
      <c r="X2121" s="134"/>
      <c r="Y2121" s="134"/>
      <c r="Z2121" s="134"/>
      <c r="AA2121" s="134"/>
      <c r="AB2121" s="134"/>
      <c r="AC2121" s="134"/>
      <c r="AD2121" s="134"/>
    </row>
    <row r="2122">
      <c r="A2122" s="143"/>
      <c r="B2122" s="134"/>
      <c r="C2122" s="134"/>
      <c r="D2122" s="134"/>
      <c r="E2122" s="134"/>
      <c r="F2122" s="134"/>
      <c r="G2122" s="134"/>
      <c r="H2122" s="134"/>
      <c r="J2122" s="134"/>
      <c r="K2122" s="135"/>
      <c r="L2122" s="136"/>
      <c r="M2122" s="144"/>
      <c r="T2122" s="52"/>
      <c r="V2122" s="134"/>
      <c r="W2122" s="134"/>
      <c r="X2122" s="134"/>
      <c r="Y2122" s="134"/>
      <c r="Z2122" s="134"/>
      <c r="AA2122" s="134"/>
      <c r="AB2122" s="134"/>
      <c r="AC2122" s="134"/>
      <c r="AD2122" s="134"/>
    </row>
    <row r="2123">
      <c r="A2123" s="143"/>
      <c r="B2123" s="134"/>
      <c r="C2123" s="134"/>
      <c r="D2123" s="134"/>
      <c r="E2123" s="134"/>
      <c r="F2123" s="134"/>
      <c r="G2123" s="134"/>
      <c r="H2123" s="134"/>
      <c r="J2123" s="134"/>
      <c r="K2123" s="135"/>
      <c r="L2123" s="136"/>
      <c r="M2123" s="144"/>
      <c r="T2123" s="52"/>
      <c r="V2123" s="134"/>
      <c r="W2123" s="134"/>
      <c r="X2123" s="134"/>
      <c r="Y2123" s="134"/>
      <c r="Z2123" s="134"/>
      <c r="AA2123" s="134"/>
      <c r="AB2123" s="134"/>
      <c r="AC2123" s="134"/>
      <c r="AD2123" s="134"/>
    </row>
    <row r="2124">
      <c r="A2124" s="143"/>
      <c r="B2124" s="134"/>
      <c r="C2124" s="134"/>
      <c r="D2124" s="134"/>
      <c r="E2124" s="134"/>
      <c r="F2124" s="134"/>
      <c r="G2124" s="134"/>
      <c r="H2124" s="134"/>
      <c r="J2124" s="134"/>
      <c r="K2124" s="135"/>
      <c r="L2124" s="136"/>
      <c r="M2124" s="144"/>
      <c r="T2124" s="52"/>
      <c r="V2124" s="134"/>
      <c r="W2124" s="134"/>
      <c r="X2124" s="134"/>
      <c r="Y2124" s="134"/>
      <c r="Z2124" s="134"/>
      <c r="AA2124" s="134"/>
      <c r="AB2124" s="134"/>
      <c r="AC2124" s="134"/>
      <c r="AD2124" s="134"/>
    </row>
    <row r="2125">
      <c r="A2125" s="143"/>
      <c r="B2125" s="134"/>
      <c r="C2125" s="134"/>
      <c r="D2125" s="134"/>
      <c r="E2125" s="134"/>
      <c r="F2125" s="134"/>
      <c r="G2125" s="134"/>
      <c r="H2125" s="134"/>
      <c r="J2125" s="134"/>
      <c r="K2125" s="135"/>
      <c r="L2125" s="136"/>
      <c r="M2125" s="144"/>
      <c r="T2125" s="52"/>
      <c r="V2125" s="134"/>
      <c r="W2125" s="134"/>
      <c r="X2125" s="134"/>
      <c r="Y2125" s="134"/>
      <c r="Z2125" s="134"/>
      <c r="AA2125" s="134"/>
      <c r="AB2125" s="134"/>
      <c r="AC2125" s="134"/>
      <c r="AD2125" s="134"/>
    </row>
    <row r="2126">
      <c r="A2126" s="143"/>
      <c r="B2126" s="134"/>
      <c r="C2126" s="134"/>
      <c r="D2126" s="134"/>
      <c r="E2126" s="134"/>
      <c r="F2126" s="134"/>
      <c r="G2126" s="134"/>
      <c r="H2126" s="134"/>
      <c r="J2126" s="134"/>
      <c r="K2126" s="135"/>
      <c r="L2126" s="136"/>
      <c r="M2126" s="144"/>
      <c r="T2126" s="52"/>
      <c r="V2126" s="134"/>
      <c r="W2126" s="134"/>
      <c r="X2126" s="134"/>
      <c r="Y2126" s="134"/>
      <c r="Z2126" s="134"/>
      <c r="AA2126" s="134"/>
      <c r="AB2126" s="134"/>
      <c r="AC2126" s="134"/>
      <c r="AD2126" s="134"/>
    </row>
    <row r="2127">
      <c r="A2127" s="143"/>
      <c r="B2127" s="134"/>
      <c r="C2127" s="134"/>
      <c r="D2127" s="134"/>
      <c r="E2127" s="134"/>
      <c r="F2127" s="134"/>
      <c r="G2127" s="134"/>
      <c r="H2127" s="134"/>
      <c r="J2127" s="134"/>
      <c r="K2127" s="135"/>
      <c r="L2127" s="136"/>
      <c r="M2127" s="144"/>
      <c r="T2127" s="52"/>
      <c r="V2127" s="134"/>
      <c r="W2127" s="134"/>
      <c r="X2127" s="134"/>
      <c r="Y2127" s="134"/>
      <c r="Z2127" s="134"/>
      <c r="AA2127" s="134"/>
      <c r="AB2127" s="134"/>
      <c r="AC2127" s="134"/>
      <c r="AD2127" s="134"/>
    </row>
    <row r="2128">
      <c r="A2128" s="143"/>
      <c r="B2128" s="134"/>
      <c r="C2128" s="134"/>
      <c r="D2128" s="134"/>
      <c r="E2128" s="134"/>
      <c r="F2128" s="134"/>
      <c r="G2128" s="134"/>
      <c r="H2128" s="134"/>
      <c r="J2128" s="134"/>
      <c r="K2128" s="135"/>
      <c r="L2128" s="136"/>
      <c r="M2128" s="144"/>
      <c r="T2128" s="52"/>
      <c r="V2128" s="134"/>
      <c r="W2128" s="134"/>
      <c r="X2128" s="134"/>
      <c r="Y2128" s="134"/>
      <c r="Z2128" s="134"/>
      <c r="AA2128" s="134"/>
      <c r="AB2128" s="134"/>
      <c r="AC2128" s="134"/>
      <c r="AD2128" s="134"/>
    </row>
    <row r="2129">
      <c r="A2129" s="143"/>
      <c r="B2129" s="134"/>
      <c r="C2129" s="134"/>
      <c r="D2129" s="134"/>
      <c r="E2129" s="134"/>
      <c r="F2129" s="134"/>
      <c r="G2129" s="134"/>
      <c r="H2129" s="134"/>
      <c r="J2129" s="134"/>
      <c r="K2129" s="135"/>
      <c r="L2129" s="136"/>
      <c r="M2129" s="144"/>
      <c r="T2129" s="52"/>
      <c r="V2129" s="134"/>
      <c r="W2129" s="134"/>
      <c r="X2129" s="134"/>
      <c r="Y2129" s="134"/>
      <c r="Z2129" s="134"/>
      <c r="AA2129" s="134"/>
      <c r="AB2129" s="134"/>
      <c r="AC2129" s="134"/>
      <c r="AD2129" s="134"/>
    </row>
    <row r="2130">
      <c r="A2130" s="143"/>
      <c r="B2130" s="134"/>
      <c r="C2130" s="134"/>
      <c r="D2130" s="134"/>
      <c r="E2130" s="134"/>
      <c r="F2130" s="134"/>
      <c r="G2130" s="134"/>
      <c r="H2130" s="134"/>
      <c r="J2130" s="134"/>
      <c r="K2130" s="135"/>
      <c r="L2130" s="136"/>
      <c r="M2130" s="144"/>
      <c r="T2130" s="52"/>
      <c r="V2130" s="134"/>
      <c r="W2130" s="134"/>
      <c r="X2130" s="134"/>
      <c r="Y2130" s="134"/>
      <c r="Z2130" s="134"/>
      <c r="AA2130" s="134"/>
      <c r="AB2130" s="134"/>
      <c r="AC2130" s="134"/>
      <c r="AD2130" s="134"/>
    </row>
    <row r="2131">
      <c r="A2131" s="143"/>
      <c r="B2131" s="134"/>
      <c r="C2131" s="134"/>
      <c r="D2131" s="134"/>
      <c r="E2131" s="134"/>
      <c r="F2131" s="134"/>
      <c r="G2131" s="134"/>
      <c r="H2131" s="134"/>
      <c r="J2131" s="134"/>
      <c r="K2131" s="135"/>
      <c r="L2131" s="136"/>
      <c r="M2131" s="144"/>
      <c r="T2131" s="52"/>
      <c r="V2131" s="134"/>
      <c r="W2131" s="134"/>
      <c r="X2131" s="134"/>
      <c r="Y2131" s="134"/>
      <c r="Z2131" s="134"/>
      <c r="AA2131" s="134"/>
      <c r="AB2131" s="134"/>
      <c r="AC2131" s="134"/>
      <c r="AD2131" s="134"/>
    </row>
    <row r="2132">
      <c r="A2132" s="143"/>
      <c r="B2132" s="134"/>
      <c r="C2132" s="134"/>
      <c r="D2132" s="134"/>
      <c r="E2132" s="134"/>
      <c r="F2132" s="134"/>
      <c r="G2132" s="134"/>
      <c r="H2132" s="134"/>
      <c r="J2132" s="134"/>
      <c r="K2132" s="135"/>
      <c r="L2132" s="136"/>
      <c r="M2132" s="144"/>
      <c r="T2132" s="52"/>
      <c r="V2132" s="134"/>
      <c r="W2132" s="134"/>
      <c r="X2132" s="134"/>
      <c r="Y2132" s="134"/>
      <c r="Z2132" s="134"/>
      <c r="AA2132" s="134"/>
      <c r="AB2132" s="134"/>
      <c r="AC2132" s="134"/>
      <c r="AD2132" s="134"/>
    </row>
    <row r="2133">
      <c r="A2133" s="143"/>
      <c r="B2133" s="134"/>
      <c r="C2133" s="134"/>
      <c r="D2133" s="134"/>
      <c r="E2133" s="134"/>
      <c r="F2133" s="134"/>
      <c r="G2133" s="134"/>
      <c r="H2133" s="134"/>
      <c r="J2133" s="134"/>
      <c r="K2133" s="135"/>
      <c r="L2133" s="136"/>
      <c r="M2133" s="144"/>
      <c r="T2133" s="52"/>
      <c r="V2133" s="134"/>
      <c r="W2133" s="134"/>
      <c r="X2133" s="134"/>
      <c r="Y2133" s="134"/>
      <c r="Z2133" s="134"/>
      <c r="AA2133" s="134"/>
      <c r="AB2133" s="134"/>
      <c r="AC2133" s="134"/>
      <c r="AD2133" s="134"/>
    </row>
    <row r="2134">
      <c r="A2134" s="143"/>
      <c r="B2134" s="134"/>
      <c r="C2134" s="134"/>
      <c r="D2134" s="134"/>
      <c r="E2134" s="134"/>
      <c r="F2134" s="134"/>
      <c r="G2134" s="134"/>
      <c r="H2134" s="134"/>
      <c r="J2134" s="134"/>
      <c r="K2134" s="135"/>
      <c r="L2134" s="136"/>
      <c r="M2134" s="144"/>
      <c r="T2134" s="52"/>
      <c r="V2134" s="134"/>
      <c r="W2134" s="134"/>
      <c r="X2134" s="134"/>
      <c r="Y2134" s="134"/>
      <c r="Z2134" s="134"/>
      <c r="AA2134" s="134"/>
      <c r="AB2134" s="134"/>
      <c r="AC2134" s="134"/>
      <c r="AD2134" s="134"/>
    </row>
    <row r="2135">
      <c r="A2135" s="143"/>
      <c r="B2135" s="134"/>
      <c r="C2135" s="134"/>
      <c r="D2135" s="134"/>
      <c r="E2135" s="134"/>
      <c r="F2135" s="134"/>
      <c r="G2135" s="134"/>
      <c r="H2135" s="134"/>
      <c r="J2135" s="134"/>
      <c r="K2135" s="135"/>
      <c r="L2135" s="136"/>
      <c r="M2135" s="144"/>
      <c r="T2135" s="52"/>
      <c r="V2135" s="134"/>
      <c r="W2135" s="134"/>
      <c r="X2135" s="134"/>
      <c r="Y2135" s="134"/>
      <c r="Z2135" s="134"/>
      <c r="AA2135" s="134"/>
      <c r="AB2135" s="134"/>
      <c r="AC2135" s="134"/>
      <c r="AD2135" s="134"/>
    </row>
    <row r="2136">
      <c r="A2136" s="143"/>
      <c r="B2136" s="134"/>
      <c r="C2136" s="134"/>
      <c r="D2136" s="134"/>
      <c r="E2136" s="134"/>
      <c r="F2136" s="134"/>
      <c r="G2136" s="134"/>
      <c r="H2136" s="134"/>
      <c r="J2136" s="134"/>
      <c r="K2136" s="135"/>
      <c r="L2136" s="136"/>
      <c r="M2136" s="144"/>
      <c r="T2136" s="52"/>
      <c r="V2136" s="134"/>
      <c r="W2136" s="134"/>
      <c r="X2136" s="134"/>
      <c r="Y2136" s="134"/>
      <c r="Z2136" s="134"/>
      <c r="AA2136" s="134"/>
      <c r="AB2136" s="134"/>
      <c r="AC2136" s="134"/>
      <c r="AD2136" s="134"/>
    </row>
    <row r="2137">
      <c r="A2137" s="143"/>
      <c r="B2137" s="134"/>
      <c r="C2137" s="134"/>
      <c r="D2137" s="134"/>
      <c r="E2137" s="134"/>
      <c r="F2137" s="134"/>
      <c r="G2137" s="134"/>
      <c r="H2137" s="134"/>
      <c r="J2137" s="134"/>
      <c r="K2137" s="135"/>
      <c r="L2137" s="136"/>
      <c r="M2137" s="144"/>
      <c r="T2137" s="52"/>
      <c r="V2137" s="134"/>
      <c r="W2137" s="134"/>
      <c r="X2137" s="134"/>
      <c r="Y2137" s="134"/>
      <c r="Z2137" s="134"/>
      <c r="AA2137" s="134"/>
      <c r="AB2137" s="134"/>
      <c r="AC2137" s="134"/>
      <c r="AD2137" s="134"/>
    </row>
    <row r="2138">
      <c r="A2138" s="143"/>
      <c r="B2138" s="134"/>
      <c r="C2138" s="134"/>
      <c r="D2138" s="134"/>
      <c r="E2138" s="134"/>
      <c r="F2138" s="134"/>
      <c r="G2138" s="134"/>
      <c r="H2138" s="134"/>
      <c r="J2138" s="134"/>
      <c r="K2138" s="135"/>
      <c r="L2138" s="136"/>
      <c r="M2138" s="144"/>
      <c r="T2138" s="52"/>
      <c r="V2138" s="134"/>
      <c r="W2138" s="134"/>
      <c r="X2138" s="134"/>
      <c r="Y2138" s="134"/>
      <c r="Z2138" s="134"/>
      <c r="AA2138" s="134"/>
      <c r="AB2138" s="134"/>
      <c r="AC2138" s="134"/>
      <c r="AD2138" s="134"/>
    </row>
    <row r="2139">
      <c r="A2139" s="143"/>
      <c r="B2139" s="134"/>
      <c r="C2139" s="134"/>
      <c r="D2139" s="134"/>
      <c r="E2139" s="134"/>
      <c r="F2139" s="134"/>
      <c r="G2139" s="134"/>
      <c r="H2139" s="134"/>
      <c r="J2139" s="134"/>
      <c r="K2139" s="135"/>
      <c r="L2139" s="136"/>
      <c r="M2139" s="144"/>
      <c r="T2139" s="52"/>
      <c r="V2139" s="134"/>
      <c r="W2139" s="134"/>
      <c r="X2139" s="134"/>
      <c r="Y2139" s="134"/>
      <c r="Z2139" s="134"/>
      <c r="AA2139" s="134"/>
      <c r="AB2139" s="134"/>
      <c r="AC2139" s="134"/>
      <c r="AD2139" s="134"/>
    </row>
    <row r="2140">
      <c r="A2140" s="143"/>
      <c r="B2140" s="134"/>
      <c r="C2140" s="134"/>
      <c r="D2140" s="134"/>
      <c r="E2140" s="134"/>
      <c r="F2140" s="134"/>
      <c r="G2140" s="134"/>
      <c r="H2140" s="134"/>
      <c r="J2140" s="134"/>
      <c r="K2140" s="135"/>
      <c r="L2140" s="136"/>
      <c r="M2140" s="144"/>
      <c r="T2140" s="52"/>
      <c r="V2140" s="134"/>
      <c r="W2140" s="134"/>
      <c r="X2140" s="134"/>
      <c r="Y2140" s="134"/>
      <c r="Z2140" s="134"/>
      <c r="AA2140" s="134"/>
      <c r="AB2140" s="134"/>
      <c r="AC2140" s="134"/>
      <c r="AD2140" s="134"/>
    </row>
    <row r="2141">
      <c r="A2141" s="143"/>
      <c r="B2141" s="134"/>
      <c r="C2141" s="134"/>
      <c r="D2141" s="134"/>
      <c r="E2141" s="134"/>
      <c r="F2141" s="134"/>
      <c r="G2141" s="134"/>
      <c r="H2141" s="134"/>
      <c r="J2141" s="134"/>
      <c r="K2141" s="135"/>
      <c r="L2141" s="136"/>
      <c r="M2141" s="144"/>
      <c r="T2141" s="52"/>
      <c r="V2141" s="134"/>
      <c r="W2141" s="134"/>
      <c r="X2141" s="134"/>
      <c r="Y2141" s="134"/>
      <c r="Z2141" s="134"/>
      <c r="AA2141" s="134"/>
      <c r="AB2141" s="134"/>
      <c r="AC2141" s="134"/>
      <c r="AD2141" s="134"/>
    </row>
    <row r="2142">
      <c r="A2142" s="143"/>
      <c r="B2142" s="134"/>
      <c r="C2142" s="134"/>
      <c r="D2142" s="134"/>
      <c r="E2142" s="134"/>
      <c r="F2142" s="134"/>
      <c r="G2142" s="134"/>
      <c r="H2142" s="134"/>
      <c r="J2142" s="134"/>
      <c r="K2142" s="135"/>
      <c r="L2142" s="136"/>
      <c r="M2142" s="144"/>
      <c r="T2142" s="52"/>
      <c r="V2142" s="134"/>
      <c r="W2142" s="134"/>
      <c r="X2142" s="134"/>
      <c r="Y2142" s="134"/>
      <c r="Z2142" s="134"/>
      <c r="AA2142" s="134"/>
      <c r="AB2142" s="134"/>
      <c r="AC2142" s="134"/>
      <c r="AD2142" s="134"/>
    </row>
    <row r="2143">
      <c r="A2143" s="143"/>
      <c r="B2143" s="134"/>
      <c r="C2143" s="134"/>
      <c r="D2143" s="134"/>
      <c r="E2143" s="134"/>
      <c r="F2143" s="134"/>
      <c r="G2143" s="134"/>
      <c r="H2143" s="134"/>
      <c r="J2143" s="134"/>
      <c r="K2143" s="135"/>
      <c r="L2143" s="136"/>
      <c r="M2143" s="144"/>
      <c r="T2143" s="52"/>
      <c r="V2143" s="134"/>
      <c r="W2143" s="134"/>
      <c r="X2143" s="134"/>
      <c r="Y2143" s="134"/>
      <c r="Z2143" s="134"/>
      <c r="AA2143" s="134"/>
      <c r="AB2143" s="134"/>
      <c r="AC2143" s="134"/>
      <c r="AD2143" s="134"/>
    </row>
    <row r="2144">
      <c r="A2144" s="143"/>
      <c r="B2144" s="134"/>
      <c r="C2144" s="134"/>
      <c r="D2144" s="134"/>
      <c r="E2144" s="134"/>
      <c r="F2144" s="134"/>
      <c r="G2144" s="134"/>
      <c r="H2144" s="134"/>
      <c r="J2144" s="134"/>
      <c r="K2144" s="135"/>
      <c r="L2144" s="136"/>
      <c r="M2144" s="144"/>
      <c r="T2144" s="52"/>
      <c r="V2144" s="134"/>
      <c r="W2144" s="134"/>
      <c r="X2144" s="134"/>
      <c r="Y2144" s="134"/>
      <c r="Z2144" s="134"/>
      <c r="AA2144" s="134"/>
      <c r="AB2144" s="134"/>
      <c r="AC2144" s="134"/>
      <c r="AD2144" s="134"/>
    </row>
    <row r="2145">
      <c r="A2145" s="143"/>
      <c r="B2145" s="134"/>
      <c r="C2145" s="134"/>
      <c r="D2145" s="134"/>
      <c r="E2145" s="134"/>
      <c r="F2145" s="134"/>
      <c r="G2145" s="134"/>
      <c r="H2145" s="134"/>
      <c r="J2145" s="134"/>
      <c r="K2145" s="135"/>
      <c r="L2145" s="136"/>
      <c r="M2145" s="144"/>
      <c r="T2145" s="52"/>
      <c r="V2145" s="134"/>
      <c r="W2145" s="134"/>
      <c r="X2145" s="134"/>
      <c r="Y2145" s="134"/>
      <c r="Z2145" s="134"/>
      <c r="AA2145" s="134"/>
      <c r="AB2145" s="134"/>
      <c r="AC2145" s="134"/>
      <c r="AD2145" s="134"/>
    </row>
    <row r="2146">
      <c r="A2146" s="143"/>
      <c r="B2146" s="134"/>
      <c r="C2146" s="134"/>
      <c r="D2146" s="134"/>
      <c r="E2146" s="134"/>
      <c r="F2146" s="134"/>
      <c r="G2146" s="134"/>
      <c r="H2146" s="134"/>
      <c r="J2146" s="134"/>
      <c r="K2146" s="135"/>
      <c r="L2146" s="136"/>
      <c r="M2146" s="144"/>
      <c r="T2146" s="52"/>
      <c r="V2146" s="134"/>
      <c r="W2146" s="134"/>
      <c r="X2146" s="134"/>
      <c r="Y2146" s="134"/>
      <c r="Z2146" s="134"/>
      <c r="AA2146" s="134"/>
      <c r="AB2146" s="134"/>
      <c r="AC2146" s="134"/>
      <c r="AD2146" s="134"/>
    </row>
    <row r="2147">
      <c r="A2147" s="143"/>
      <c r="B2147" s="134"/>
      <c r="C2147" s="134"/>
      <c r="D2147" s="134"/>
      <c r="E2147" s="134"/>
      <c r="F2147" s="134"/>
      <c r="G2147" s="134"/>
      <c r="H2147" s="134"/>
      <c r="J2147" s="134"/>
      <c r="K2147" s="135"/>
      <c r="L2147" s="136"/>
      <c r="M2147" s="144"/>
      <c r="T2147" s="52"/>
      <c r="V2147" s="134"/>
      <c r="W2147" s="134"/>
      <c r="X2147" s="134"/>
      <c r="Y2147" s="134"/>
      <c r="Z2147" s="134"/>
      <c r="AA2147" s="134"/>
      <c r="AB2147" s="134"/>
      <c r="AC2147" s="134"/>
      <c r="AD2147" s="134"/>
    </row>
    <row r="2148">
      <c r="A2148" s="143"/>
      <c r="B2148" s="134"/>
      <c r="C2148" s="134"/>
      <c r="D2148" s="134"/>
      <c r="E2148" s="134"/>
      <c r="F2148" s="134"/>
      <c r="G2148" s="134"/>
      <c r="H2148" s="134"/>
      <c r="J2148" s="134"/>
      <c r="K2148" s="135"/>
      <c r="L2148" s="136"/>
      <c r="M2148" s="144"/>
      <c r="T2148" s="52"/>
      <c r="V2148" s="134"/>
      <c r="W2148" s="134"/>
      <c r="X2148" s="134"/>
      <c r="Y2148" s="134"/>
      <c r="Z2148" s="134"/>
      <c r="AA2148" s="134"/>
      <c r="AB2148" s="134"/>
      <c r="AC2148" s="134"/>
      <c r="AD2148" s="134"/>
    </row>
    <row r="2149">
      <c r="A2149" s="143"/>
      <c r="B2149" s="134"/>
      <c r="C2149" s="134"/>
      <c r="D2149" s="134"/>
      <c r="E2149" s="134"/>
      <c r="F2149" s="134"/>
      <c r="G2149" s="134"/>
      <c r="H2149" s="134"/>
      <c r="J2149" s="134"/>
      <c r="K2149" s="135"/>
      <c r="L2149" s="136"/>
      <c r="M2149" s="144"/>
      <c r="T2149" s="52"/>
      <c r="V2149" s="134"/>
      <c r="W2149" s="134"/>
      <c r="X2149" s="134"/>
      <c r="Y2149" s="134"/>
      <c r="Z2149" s="134"/>
      <c r="AA2149" s="134"/>
      <c r="AB2149" s="134"/>
      <c r="AC2149" s="134"/>
      <c r="AD2149" s="134"/>
    </row>
    <row r="2150">
      <c r="A2150" s="143"/>
      <c r="B2150" s="134"/>
      <c r="C2150" s="134"/>
      <c r="D2150" s="134"/>
      <c r="E2150" s="134"/>
      <c r="F2150" s="134"/>
      <c r="G2150" s="134"/>
      <c r="H2150" s="134"/>
      <c r="J2150" s="134"/>
      <c r="K2150" s="135"/>
      <c r="L2150" s="136"/>
      <c r="M2150" s="144"/>
      <c r="T2150" s="52"/>
      <c r="V2150" s="134"/>
      <c r="W2150" s="134"/>
      <c r="X2150" s="134"/>
      <c r="Y2150" s="134"/>
      <c r="Z2150" s="134"/>
      <c r="AA2150" s="134"/>
      <c r="AB2150" s="134"/>
      <c r="AC2150" s="134"/>
      <c r="AD2150" s="134"/>
    </row>
    <row r="2151">
      <c r="A2151" s="143"/>
      <c r="B2151" s="134"/>
      <c r="C2151" s="134"/>
      <c r="D2151" s="134"/>
      <c r="E2151" s="134"/>
      <c r="F2151" s="134"/>
      <c r="G2151" s="134"/>
      <c r="H2151" s="134"/>
      <c r="J2151" s="134"/>
      <c r="K2151" s="135"/>
      <c r="L2151" s="136"/>
      <c r="M2151" s="144"/>
      <c r="T2151" s="52"/>
      <c r="V2151" s="134"/>
      <c r="W2151" s="134"/>
      <c r="X2151" s="134"/>
      <c r="Y2151" s="134"/>
      <c r="Z2151" s="134"/>
      <c r="AA2151" s="134"/>
      <c r="AB2151" s="134"/>
      <c r="AC2151" s="134"/>
      <c r="AD2151" s="134"/>
    </row>
    <row r="2152">
      <c r="A2152" s="143"/>
      <c r="B2152" s="134"/>
      <c r="C2152" s="134"/>
      <c r="D2152" s="134"/>
      <c r="E2152" s="134"/>
      <c r="F2152" s="134"/>
      <c r="G2152" s="134"/>
      <c r="H2152" s="134"/>
      <c r="J2152" s="134"/>
      <c r="K2152" s="135"/>
      <c r="L2152" s="136"/>
      <c r="M2152" s="144"/>
      <c r="T2152" s="52"/>
      <c r="V2152" s="134"/>
      <c r="W2152" s="134"/>
      <c r="X2152" s="134"/>
      <c r="Y2152" s="134"/>
      <c r="Z2152" s="134"/>
      <c r="AA2152" s="134"/>
      <c r="AB2152" s="134"/>
      <c r="AC2152" s="134"/>
      <c r="AD2152" s="134"/>
    </row>
    <row r="2153">
      <c r="A2153" s="143"/>
      <c r="B2153" s="134"/>
      <c r="C2153" s="134"/>
      <c r="D2153" s="134"/>
      <c r="E2153" s="134"/>
      <c r="F2153" s="134"/>
      <c r="G2153" s="134"/>
      <c r="H2153" s="134"/>
      <c r="J2153" s="134"/>
      <c r="K2153" s="135"/>
      <c r="L2153" s="136"/>
      <c r="M2153" s="144"/>
      <c r="T2153" s="52"/>
      <c r="V2153" s="134"/>
      <c r="W2153" s="134"/>
      <c r="X2153" s="134"/>
      <c r="Y2153" s="134"/>
      <c r="Z2153" s="134"/>
      <c r="AA2153" s="134"/>
      <c r="AB2153" s="134"/>
      <c r="AC2153" s="134"/>
      <c r="AD2153" s="134"/>
    </row>
    <row r="2154">
      <c r="A2154" s="143"/>
      <c r="B2154" s="134"/>
      <c r="C2154" s="134"/>
      <c r="D2154" s="134"/>
      <c r="E2154" s="134"/>
      <c r="F2154" s="134"/>
      <c r="G2154" s="134"/>
      <c r="H2154" s="134"/>
      <c r="J2154" s="134"/>
      <c r="K2154" s="135"/>
      <c r="L2154" s="136"/>
      <c r="M2154" s="144"/>
      <c r="T2154" s="52"/>
      <c r="V2154" s="134"/>
      <c r="W2154" s="134"/>
      <c r="X2154" s="134"/>
      <c r="Y2154" s="134"/>
      <c r="Z2154" s="134"/>
      <c r="AA2154" s="134"/>
      <c r="AB2154" s="134"/>
      <c r="AC2154" s="134"/>
      <c r="AD2154" s="134"/>
    </row>
    <row r="2155">
      <c r="A2155" s="143"/>
      <c r="B2155" s="134"/>
      <c r="C2155" s="134"/>
      <c r="D2155" s="134"/>
      <c r="E2155" s="134"/>
      <c r="F2155" s="134"/>
      <c r="G2155" s="134"/>
      <c r="H2155" s="134"/>
      <c r="J2155" s="134"/>
      <c r="K2155" s="135"/>
      <c r="L2155" s="136"/>
      <c r="M2155" s="144"/>
      <c r="T2155" s="52"/>
      <c r="V2155" s="134"/>
      <c r="W2155" s="134"/>
      <c r="X2155" s="134"/>
      <c r="Y2155" s="134"/>
      <c r="Z2155" s="134"/>
      <c r="AA2155" s="134"/>
      <c r="AB2155" s="134"/>
      <c r="AC2155" s="134"/>
      <c r="AD2155" s="134"/>
    </row>
    <row r="2156">
      <c r="A2156" s="143"/>
      <c r="B2156" s="134"/>
      <c r="C2156" s="134"/>
      <c r="D2156" s="134"/>
      <c r="E2156" s="134"/>
      <c r="F2156" s="134"/>
      <c r="G2156" s="134"/>
      <c r="H2156" s="134"/>
      <c r="J2156" s="134"/>
      <c r="K2156" s="135"/>
      <c r="L2156" s="136"/>
      <c r="M2156" s="144"/>
      <c r="T2156" s="52"/>
      <c r="V2156" s="134"/>
      <c r="W2156" s="134"/>
      <c r="X2156" s="134"/>
      <c r="Y2156" s="134"/>
      <c r="Z2156" s="134"/>
      <c r="AA2156" s="134"/>
      <c r="AB2156" s="134"/>
      <c r="AC2156" s="134"/>
      <c r="AD2156" s="134"/>
    </row>
    <row r="2157">
      <c r="A2157" s="143"/>
      <c r="B2157" s="134"/>
      <c r="C2157" s="134"/>
      <c r="D2157" s="134"/>
      <c r="E2157" s="134"/>
      <c r="F2157" s="134"/>
      <c r="G2157" s="134"/>
      <c r="H2157" s="134"/>
      <c r="J2157" s="134"/>
      <c r="K2157" s="135"/>
      <c r="L2157" s="136"/>
      <c r="M2157" s="144"/>
      <c r="T2157" s="52"/>
      <c r="V2157" s="134"/>
      <c r="W2157" s="134"/>
      <c r="X2157" s="134"/>
      <c r="Y2157" s="134"/>
      <c r="Z2157" s="134"/>
      <c r="AA2157" s="134"/>
      <c r="AB2157" s="134"/>
      <c r="AC2157" s="134"/>
      <c r="AD2157" s="134"/>
    </row>
    <row r="2158">
      <c r="A2158" s="143"/>
      <c r="B2158" s="134"/>
      <c r="C2158" s="134"/>
      <c r="D2158" s="134"/>
      <c r="E2158" s="134"/>
      <c r="F2158" s="134"/>
      <c r="G2158" s="134"/>
      <c r="H2158" s="134"/>
      <c r="J2158" s="134"/>
      <c r="K2158" s="135"/>
      <c r="L2158" s="136"/>
      <c r="M2158" s="144"/>
      <c r="T2158" s="52"/>
      <c r="V2158" s="134"/>
      <c r="W2158" s="134"/>
      <c r="X2158" s="134"/>
      <c r="Y2158" s="134"/>
      <c r="Z2158" s="134"/>
      <c r="AA2158" s="134"/>
      <c r="AB2158" s="134"/>
      <c r="AC2158" s="134"/>
      <c r="AD2158" s="134"/>
    </row>
    <row r="2159">
      <c r="A2159" s="143"/>
      <c r="B2159" s="134"/>
      <c r="C2159" s="134"/>
      <c r="D2159" s="134"/>
      <c r="E2159" s="134"/>
      <c r="F2159" s="134"/>
      <c r="G2159" s="134"/>
      <c r="H2159" s="134"/>
      <c r="J2159" s="134"/>
      <c r="K2159" s="135"/>
      <c r="L2159" s="136"/>
      <c r="M2159" s="144"/>
      <c r="T2159" s="52"/>
      <c r="V2159" s="134"/>
      <c r="W2159" s="134"/>
      <c r="X2159" s="134"/>
      <c r="Y2159" s="134"/>
      <c r="Z2159" s="134"/>
      <c r="AA2159" s="134"/>
      <c r="AB2159" s="134"/>
      <c r="AC2159" s="134"/>
      <c r="AD2159" s="134"/>
    </row>
    <row r="2160">
      <c r="A2160" s="143"/>
      <c r="B2160" s="134"/>
      <c r="C2160" s="134"/>
      <c r="D2160" s="134"/>
      <c r="E2160" s="134"/>
      <c r="F2160" s="134"/>
      <c r="G2160" s="134"/>
      <c r="H2160" s="134"/>
      <c r="J2160" s="134"/>
      <c r="K2160" s="135"/>
      <c r="L2160" s="136"/>
      <c r="M2160" s="144"/>
      <c r="T2160" s="52"/>
      <c r="V2160" s="134"/>
      <c r="W2160" s="134"/>
      <c r="X2160" s="134"/>
      <c r="Y2160" s="134"/>
      <c r="Z2160" s="134"/>
      <c r="AA2160" s="134"/>
      <c r="AB2160" s="134"/>
      <c r="AC2160" s="134"/>
      <c r="AD2160" s="134"/>
    </row>
    <row r="2161">
      <c r="A2161" s="143"/>
      <c r="B2161" s="134"/>
      <c r="C2161" s="134"/>
      <c r="D2161" s="134"/>
      <c r="E2161" s="134"/>
      <c r="F2161" s="134"/>
      <c r="G2161" s="134"/>
      <c r="H2161" s="134"/>
      <c r="J2161" s="134"/>
      <c r="K2161" s="135"/>
      <c r="L2161" s="136"/>
      <c r="M2161" s="144"/>
      <c r="T2161" s="52"/>
      <c r="V2161" s="134"/>
      <c r="W2161" s="134"/>
      <c r="X2161" s="134"/>
      <c r="Y2161" s="134"/>
      <c r="Z2161" s="134"/>
      <c r="AA2161" s="134"/>
      <c r="AB2161" s="134"/>
      <c r="AC2161" s="134"/>
      <c r="AD2161" s="134"/>
    </row>
    <row r="2162">
      <c r="A2162" s="143"/>
      <c r="B2162" s="134"/>
      <c r="C2162" s="134"/>
      <c r="D2162" s="134"/>
      <c r="E2162" s="134"/>
      <c r="F2162" s="134"/>
      <c r="G2162" s="134"/>
      <c r="H2162" s="134"/>
      <c r="J2162" s="134"/>
      <c r="K2162" s="135"/>
      <c r="L2162" s="136"/>
      <c r="M2162" s="144"/>
      <c r="T2162" s="52"/>
      <c r="V2162" s="134"/>
      <c r="W2162" s="134"/>
      <c r="X2162" s="134"/>
      <c r="Y2162" s="134"/>
      <c r="Z2162" s="134"/>
      <c r="AA2162" s="134"/>
      <c r="AB2162" s="134"/>
      <c r="AC2162" s="134"/>
      <c r="AD2162" s="134"/>
    </row>
    <row r="2163">
      <c r="A2163" s="143"/>
      <c r="B2163" s="134"/>
      <c r="C2163" s="134"/>
      <c r="D2163" s="134"/>
      <c r="E2163" s="134"/>
      <c r="F2163" s="134"/>
      <c r="G2163" s="134"/>
      <c r="H2163" s="134"/>
      <c r="J2163" s="134"/>
      <c r="K2163" s="135"/>
      <c r="L2163" s="136"/>
      <c r="M2163" s="144"/>
      <c r="T2163" s="52"/>
      <c r="V2163" s="134"/>
      <c r="W2163" s="134"/>
      <c r="X2163" s="134"/>
      <c r="Y2163" s="134"/>
      <c r="Z2163" s="134"/>
      <c r="AA2163" s="134"/>
      <c r="AB2163" s="134"/>
      <c r="AC2163" s="134"/>
      <c r="AD2163" s="134"/>
    </row>
    <row r="2164">
      <c r="A2164" s="143"/>
      <c r="B2164" s="134"/>
      <c r="C2164" s="134"/>
      <c r="D2164" s="134"/>
      <c r="E2164" s="134"/>
      <c r="F2164" s="134"/>
      <c r="G2164" s="134"/>
      <c r="H2164" s="134"/>
      <c r="J2164" s="134"/>
      <c r="K2164" s="135"/>
      <c r="L2164" s="136"/>
      <c r="M2164" s="144"/>
      <c r="T2164" s="52"/>
      <c r="V2164" s="134"/>
      <c r="W2164" s="134"/>
      <c r="X2164" s="134"/>
      <c r="Y2164" s="134"/>
      <c r="Z2164" s="134"/>
      <c r="AA2164" s="134"/>
      <c r="AB2164" s="134"/>
      <c r="AC2164" s="134"/>
      <c r="AD2164" s="134"/>
    </row>
    <row r="2165">
      <c r="A2165" s="143"/>
      <c r="B2165" s="134"/>
      <c r="C2165" s="134"/>
      <c r="D2165" s="134"/>
      <c r="E2165" s="134"/>
      <c r="F2165" s="134"/>
      <c r="G2165" s="134"/>
      <c r="H2165" s="134"/>
      <c r="J2165" s="134"/>
      <c r="K2165" s="135"/>
      <c r="L2165" s="136"/>
      <c r="M2165" s="144"/>
      <c r="T2165" s="52"/>
      <c r="V2165" s="134"/>
      <c r="W2165" s="134"/>
      <c r="X2165" s="134"/>
      <c r="Y2165" s="134"/>
      <c r="Z2165" s="134"/>
      <c r="AA2165" s="134"/>
      <c r="AB2165" s="134"/>
      <c r="AC2165" s="134"/>
      <c r="AD2165" s="134"/>
    </row>
    <row r="2166">
      <c r="A2166" s="143"/>
      <c r="B2166" s="134"/>
      <c r="C2166" s="134"/>
      <c r="D2166" s="134"/>
      <c r="E2166" s="134"/>
      <c r="F2166" s="134"/>
      <c r="G2166" s="134"/>
      <c r="H2166" s="134"/>
      <c r="J2166" s="134"/>
      <c r="K2166" s="135"/>
      <c r="L2166" s="136"/>
      <c r="M2166" s="144"/>
      <c r="T2166" s="52"/>
      <c r="V2166" s="134"/>
      <c r="W2166" s="134"/>
      <c r="X2166" s="134"/>
      <c r="Y2166" s="134"/>
      <c r="Z2166" s="134"/>
      <c r="AA2166" s="134"/>
      <c r="AB2166" s="134"/>
      <c r="AC2166" s="134"/>
      <c r="AD2166" s="134"/>
    </row>
    <row r="2167">
      <c r="A2167" s="143"/>
      <c r="B2167" s="134"/>
      <c r="C2167" s="134"/>
      <c r="D2167" s="134"/>
      <c r="E2167" s="134"/>
      <c r="F2167" s="134"/>
      <c r="G2167" s="134"/>
      <c r="H2167" s="134"/>
      <c r="J2167" s="134"/>
      <c r="K2167" s="135"/>
      <c r="L2167" s="136"/>
      <c r="M2167" s="144"/>
      <c r="T2167" s="52"/>
      <c r="V2167" s="134"/>
      <c r="W2167" s="134"/>
      <c r="X2167" s="134"/>
      <c r="Y2167" s="134"/>
      <c r="Z2167" s="134"/>
      <c r="AA2167" s="134"/>
      <c r="AB2167" s="134"/>
      <c r="AC2167" s="134"/>
      <c r="AD2167" s="134"/>
    </row>
    <row r="2168">
      <c r="A2168" s="143"/>
      <c r="B2168" s="134"/>
      <c r="C2168" s="134"/>
      <c r="D2168" s="134"/>
      <c r="E2168" s="134"/>
      <c r="F2168" s="134"/>
      <c r="G2168" s="134"/>
      <c r="H2168" s="134"/>
      <c r="J2168" s="134"/>
      <c r="K2168" s="135"/>
      <c r="L2168" s="136"/>
      <c r="M2168" s="144"/>
      <c r="T2168" s="52"/>
      <c r="V2168" s="134"/>
      <c r="W2168" s="134"/>
      <c r="X2168" s="134"/>
      <c r="Y2168" s="134"/>
      <c r="Z2168" s="134"/>
      <c r="AA2168" s="134"/>
      <c r="AB2168" s="134"/>
      <c r="AC2168" s="134"/>
      <c r="AD2168" s="134"/>
    </row>
    <row r="2169">
      <c r="A2169" s="143"/>
      <c r="B2169" s="134"/>
      <c r="C2169" s="134"/>
      <c r="D2169" s="134"/>
      <c r="E2169" s="134"/>
      <c r="F2169" s="134"/>
      <c r="G2169" s="134"/>
      <c r="H2169" s="134"/>
      <c r="J2169" s="134"/>
      <c r="K2169" s="135"/>
      <c r="L2169" s="136"/>
      <c r="M2169" s="144"/>
      <c r="T2169" s="52"/>
      <c r="V2169" s="134"/>
      <c r="W2169" s="134"/>
      <c r="X2169" s="134"/>
      <c r="Y2169" s="134"/>
      <c r="Z2169" s="134"/>
      <c r="AA2169" s="134"/>
      <c r="AB2169" s="134"/>
      <c r="AC2169" s="134"/>
      <c r="AD2169" s="134"/>
    </row>
    <row r="2170">
      <c r="A2170" s="143"/>
      <c r="B2170" s="134"/>
      <c r="C2170" s="134"/>
      <c r="D2170" s="134"/>
      <c r="E2170" s="134"/>
      <c r="F2170" s="134"/>
      <c r="G2170" s="134"/>
      <c r="H2170" s="134"/>
      <c r="J2170" s="134"/>
      <c r="K2170" s="135"/>
      <c r="L2170" s="136"/>
      <c r="M2170" s="144"/>
      <c r="T2170" s="52"/>
      <c r="V2170" s="134"/>
      <c r="W2170" s="134"/>
      <c r="X2170" s="134"/>
      <c r="Y2170" s="134"/>
      <c r="Z2170" s="134"/>
      <c r="AA2170" s="134"/>
      <c r="AB2170" s="134"/>
      <c r="AC2170" s="134"/>
      <c r="AD2170" s="134"/>
    </row>
    <row r="2171">
      <c r="A2171" s="143"/>
      <c r="B2171" s="134"/>
      <c r="C2171" s="134"/>
      <c r="D2171" s="134"/>
      <c r="E2171" s="134"/>
      <c r="F2171" s="134"/>
      <c r="G2171" s="134"/>
      <c r="H2171" s="134"/>
      <c r="J2171" s="134"/>
      <c r="K2171" s="135"/>
      <c r="L2171" s="136"/>
      <c r="M2171" s="144"/>
      <c r="T2171" s="52"/>
      <c r="V2171" s="134"/>
      <c r="W2171" s="134"/>
      <c r="X2171" s="134"/>
      <c r="Y2171" s="134"/>
      <c r="Z2171" s="134"/>
      <c r="AA2171" s="134"/>
      <c r="AB2171" s="134"/>
      <c r="AC2171" s="134"/>
      <c r="AD2171" s="134"/>
    </row>
    <row r="2172">
      <c r="A2172" s="143"/>
      <c r="B2172" s="134"/>
      <c r="C2172" s="134"/>
      <c r="D2172" s="134"/>
      <c r="E2172" s="134"/>
      <c r="F2172" s="134"/>
      <c r="G2172" s="134"/>
      <c r="H2172" s="134"/>
      <c r="J2172" s="134"/>
      <c r="K2172" s="135"/>
      <c r="L2172" s="136"/>
      <c r="M2172" s="144"/>
      <c r="T2172" s="52"/>
      <c r="V2172" s="134"/>
      <c r="W2172" s="134"/>
      <c r="X2172" s="134"/>
      <c r="Y2172" s="134"/>
      <c r="Z2172" s="134"/>
      <c r="AA2172" s="134"/>
      <c r="AB2172" s="134"/>
      <c r="AC2172" s="134"/>
      <c r="AD2172" s="134"/>
    </row>
    <row r="2173">
      <c r="A2173" s="143"/>
      <c r="B2173" s="134"/>
      <c r="C2173" s="134"/>
      <c r="D2173" s="134"/>
      <c r="E2173" s="134"/>
      <c r="F2173" s="134"/>
      <c r="G2173" s="134"/>
      <c r="H2173" s="134"/>
      <c r="J2173" s="134"/>
      <c r="K2173" s="135"/>
      <c r="L2173" s="136"/>
      <c r="M2173" s="144"/>
      <c r="T2173" s="52"/>
      <c r="V2173" s="134"/>
      <c r="W2173" s="134"/>
      <c r="X2173" s="134"/>
      <c r="Y2173" s="134"/>
      <c r="Z2173" s="134"/>
      <c r="AA2173" s="134"/>
      <c r="AB2173" s="134"/>
      <c r="AC2173" s="134"/>
      <c r="AD2173" s="134"/>
    </row>
    <row r="2174">
      <c r="A2174" s="143"/>
      <c r="B2174" s="134"/>
      <c r="C2174" s="134"/>
      <c r="D2174" s="134"/>
      <c r="E2174" s="134"/>
      <c r="F2174" s="134"/>
      <c r="G2174" s="134"/>
      <c r="H2174" s="134"/>
      <c r="J2174" s="134"/>
      <c r="K2174" s="135"/>
      <c r="L2174" s="136"/>
      <c r="M2174" s="144"/>
      <c r="T2174" s="52"/>
      <c r="V2174" s="134"/>
      <c r="W2174" s="134"/>
      <c r="X2174" s="134"/>
      <c r="Y2174" s="134"/>
      <c r="Z2174" s="134"/>
      <c r="AA2174" s="134"/>
      <c r="AB2174" s="134"/>
      <c r="AC2174" s="134"/>
      <c r="AD2174" s="134"/>
    </row>
    <row r="2175">
      <c r="A2175" s="143"/>
      <c r="B2175" s="134"/>
      <c r="C2175" s="134"/>
      <c r="D2175" s="134"/>
      <c r="E2175" s="134"/>
      <c r="F2175" s="134"/>
      <c r="G2175" s="134"/>
      <c r="H2175" s="134"/>
      <c r="J2175" s="134"/>
      <c r="K2175" s="135"/>
      <c r="L2175" s="136"/>
      <c r="M2175" s="144"/>
      <c r="T2175" s="52"/>
      <c r="V2175" s="134"/>
      <c r="W2175" s="134"/>
      <c r="X2175" s="134"/>
      <c r="Y2175" s="134"/>
      <c r="Z2175" s="134"/>
      <c r="AA2175" s="134"/>
      <c r="AB2175" s="134"/>
      <c r="AC2175" s="134"/>
      <c r="AD2175" s="134"/>
    </row>
    <row r="2176">
      <c r="A2176" s="143"/>
      <c r="B2176" s="134"/>
      <c r="C2176" s="134"/>
      <c r="D2176" s="134"/>
      <c r="E2176" s="134"/>
      <c r="F2176" s="134"/>
      <c r="G2176" s="134"/>
      <c r="H2176" s="134"/>
      <c r="J2176" s="134"/>
      <c r="K2176" s="135"/>
      <c r="L2176" s="136"/>
      <c r="M2176" s="144"/>
      <c r="T2176" s="52"/>
      <c r="V2176" s="134"/>
      <c r="W2176" s="134"/>
      <c r="X2176" s="134"/>
      <c r="Y2176" s="134"/>
      <c r="Z2176" s="134"/>
      <c r="AA2176" s="134"/>
      <c r="AB2176" s="134"/>
      <c r="AC2176" s="134"/>
      <c r="AD2176" s="134"/>
    </row>
    <row r="2177">
      <c r="A2177" s="143"/>
      <c r="B2177" s="134"/>
      <c r="C2177" s="134"/>
      <c r="D2177" s="134"/>
      <c r="E2177" s="134"/>
      <c r="F2177" s="134"/>
      <c r="G2177" s="134"/>
      <c r="H2177" s="134"/>
      <c r="J2177" s="134"/>
      <c r="K2177" s="135"/>
      <c r="L2177" s="136"/>
      <c r="M2177" s="144"/>
      <c r="T2177" s="52"/>
      <c r="V2177" s="134"/>
      <c r="W2177" s="134"/>
      <c r="X2177" s="134"/>
      <c r="Y2177" s="134"/>
      <c r="Z2177" s="134"/>
      <c r="AA2177" s="134"/>
      <c r="AB2177" s="134"/>
      <c r="AC2177" s="134"/>
      <c r="AD2177" s="134"/>
    </row>
    <row r="2178">
      <c r="A2178" s="143"/>
      <c r="B2178" s="134"/>
      <c r="C2178" s="134"/>
      <c r="D2178" s="134"/>
      <c r="E2178" s="134"/>
      <c r="F2178" s="134"/>
      <c r="G2178" s="134"/>
      <c r="H2178" s="134"/>
      <c r="J2178" s="134"/>
      <c r="K2178" s="135"/>
      <c r="L2178" s="136"/>
      <c r="M2178" s="144"/>
      <c r="T2178" s="52"/>
      <c r="V2178" s="134"/>
      <c r="W2178" s="134"/>
      <c r="X2178" s="134"/>
      <c r="Y2178" s="134"/>
      <c r="Z2178" s="134"/>
      <c r="AA2178" s="134"/>
      <c r="AB2178" s="134"/>
      <c r="AC2178" s="134"/>
      <c r="AD2178" s="134"/>
    </row>
    <row r="2179">
      <c r="A2179" s="143"/>
      <c r="B2179" s="134"/>
      <c r="C2179" s="134"/>
      <c r="D2179" s="134"/>
      <c r="E2179" s="134"/>
      <c r="F2179" s="134"/>
      <c r="G2179" s="134"/>
      <c r="H2179" s="134"/>
      <c r="J2179" s="134"/>
      <c r="K2179" s="135"/>
      <c r="L2179" s="136"/>
      <c r="M2179" s="144"/>
      <c r="T2179" s="52"/>
      <c r="V2179" s="134"/>
      <c r="W2179" s="134"/>
      <c r="X2179" s="134"/>
      <c r="Y2179" s="134"/>
      <c r="Z2179" s="134"/>
      <c r="AA2179" s="134"/>
      <c r="AB2179" s="134"/>
      <c r="AC2179" s="134"/>
      <c r="AD2179" s="134"/>
    </row>
    <row r="2180">
      <c r="A2180" s="143"/>
      <c r="B2180" s="134"/>
      <c r="C2180" s="134"/>
      <c r="D2180" s="134"/>
      <c r="E2180" s="134"/>
      <c r="F2180" s="134"/>
      <c r="G2180" s="134"/>
      <c r="H2180" s="134"/>
      <c r="J2180" s="134"/>
      <c r="K2180" s="135"/>
      <c r="L2180" s="136"/>
      <c r="M2180" s="144"/>
      <c r="T2180" s="52"/>
      <c r="V2180" s="134"/>
      <c r="W2180" s="134"/>
      <c r="X2180" s="134"/>
      <c r="Y2180" s="134"/>
      <c r="Z2180" s="134"/>
      <c r="AA2180" s="134"/>
      <c r="AB2180" s="134"/>
      <c r="AC2180" s="134"/>
      <c r="AD2180" s="134"/>
    </row>
    <row r="2181">
      <c r="A2181" s="143"/>
      <c r="B2181" s="134"/>
      <c r="C2181" s="134"/>
      <c r="D2181" s="134"/>
      <c r="E2181" s="134"/>
      <c r="F2181" s="134"/>
      <c r="G2181" s="134"/>
      <c r="H2181" s="134"/>
      <c r="J2181" s="134"/>
      <c r="K2181" s="135"/>
      <c r="L2181" s="136"/>
      <c r="M2181" s="144"/>
      <c r="T2181" s="52"/>
      <c r="V2181" s="134"/>
      <c r="W2181" s="134"/>
      <c r="X2181" s="134"/>
      <c r="Y2181" s="134"/>
      <c r="Z2181" s="134"/>
      <c r="AA2181" s="134"/>
      <c r="AB2181" s="134"/>
      <c r="AC2181" s="134"/>
      <c r="AD2181" s="134"/>
    </row>
    <row r="2182">
      <c r="A2182" s="143"/>
      <c r="B2182" s="134"/>
      <c r="C2182" s="134"/>
      <c r="D2182" s="134"/>
      <c r="E2182" s="134"/>
      <c r="F2182" s="134"/>
      <c r="G2182" s="134"/>
      <c r="H2182" s="134"/>
      <c r="J2182" s="134"/>
      <c r="K2182" s="135"/>
      <c r="L2182" s="136"/>
      <c r="M2182" s="144"/>
      <c r="T2182" s="52"/>
      <c r="V2182" s="134"/>
      <c r="W2182" s="134"/>
      <c r="X2182" s="134"/>
      <c r="Y2182" s="134"/>
      <c r="Z2182" s="134"/>
      <c r="AA2182" s="134"/>
      <c r="AB2182" s="134"/>
      <c r="AC2182" s="134"/>
      <c r="AD2182" s="134"/>
    </row>
    <row r="2183">
      <c r="A2183" s="143"/>
      <c r="B2183" s="134"/>
      <c r="C2183" s="134"/>
      <c r="D2183" s="134"/>
      <c r="E2183" s="134"/>
      <c r="F2183" s="134"/>
      <c r="G2183" s="134"/>
      <c r="H2183" s="134"/>
      <c r="J2183" s="134"/>
      <c r="K2183" s="135"/>
      <c r="L2183" s="136"/>
      <c r="M2183" s="144"/>
      <c r="T2183" s="52"/>
      <c r="V2183" s="134"/>
      <c r="W2183" s="134"/>
      <c r="X2183" s="134"/>
      <c r="Y2183" s="134"/>
      <c r="Z2183" s="134"/>
      <c r="AA2183" s="134"/>
      <c r="AB2183" s="134"/>
      <c r="AC2183" s="134"/>
      <c r="AD2183" s="134"/>
    </row>
    <row r="2184">
      <c r="A2184" s="143"/>
      <c r="B2184" s="134"/>
      <c r="C2184" s="134"/>
      <c r="D2184" s="134"/>
      <c r="E2184" s="134"/>
      <c r="F2184" s="134"/>
      <c r="G2184" s="134"/>
      <c r="H2184" s="134"/>
      <c r="J2184" s="134"/>
      <c r="K2184" s="135"/>
      <c r="L2184" s="136"/>
      <c r="M2184" s="144"/>
      <c r="T2184" s="52"/>
      <c r="V2184" s="134"/>
      <c r="W2184" s="134"/>
      <c r="X2184" s="134"/>
      <c r="Y2184" s="134"/>
      <c r="Z2184" s="134"/>
      <c r="AA2184" s="134"/>
      <c r="AB2184" s="134"/>
      <c r="AC2184" s="134"/>
      <c r="AD2184" s="134"/>
    </row>
    <row r="2185">
      <c r="A2185" s="143"/>
      <c r="B2185" s="134"/>
      <c r="C2185" s="134"/>
      <c r="D2185" s="134"/>
      <c r="E2185" s="134"/>
      <c r="F2185" s="134"/>
      <c r="G2185" s="134"/>
      <c r="H2185" s="134"/>
      <c r="J2185" s="134"/>
      <c r="K2185" s="135"/>
      <c r="L2185" s="136"/>
      <c r="M2185" s="144"/>
      <c r="T2185" s="52"/>
      <c r="V2185" s="134"/>
      <c r="W2185" s="134"/>
      <c r="X2185" s="134"/>
      <c r="Y2185" s="134"/>
      <c r="Z2185" s="134"/>
      <c r="AA2185" s="134"/>
      <c r="AB2185" s="134"/>
      <c r="AC2185" s="134"/>
      <c r="AD2185" s="134"/>
    </row>
    <row r="2186">
      <c r="A2186" s="143"/>
      <c r="B2186" s="134"/>
      <c r="C2186" s="134"/>
      <c r="D2186" s="134"/>
      <c r="E2186" s="134"/>
      <c r="F2186" s="134"/>
      <c r="G2186" s="134"/>
      <c r="H2186" s="134"/>
      <c r="J2186" s="134"/>
      <c r="K2186" s="135"/>
      <c r="L2186" s="136"/>
      <c r="M2186" s="144"/>
      <c r="T2186" s="52"/>
      <c r="V2186" s="134"/>
      <c r="W2186" s="134"/>
      <c r="X2186" s="134"/>
      <c r="Y2186" s="134"/>
      <c r="Z2186" s="134"/>
      <c r="AA2186" s="134"/>
      <c r="AB2186" s="134"/>
      <c r="AC2186" s="134"/>
      <c r="AD2186" s="134"/>
    </row>
    <row r="2187">
      <c r="A2187" s="143"/>
      <c r="B2187" s="134"/>
      <c r="C2187" s="134"/>
      <c r="D2187" s="134"/>
      <c r="E2187" s="134"/>
      <c r="F2187" s="134"/>
      <c r="G2187" s="134"/>
      <c r="H2187" s="134"/>
      <c r="J2187" s="134"/>
      <c r="K2187" s="135"/>
      <c r="L2187" s="136"/>
      <c r="M2187" s="144"/>
      <c r="T2187" s="52"/>
      <c r="V2187" s="134"/>
      <c r="W2187" s="134"/>
      <c r="X2187" s="134"/>
      <c r="Y2187" s="134"/>
      <c r="Z2187" s="134"/>
      <c r="AA2187" s="134"/>
      <c r="AB2187" s="134"/>
      <c r="AC2187" s="134"/>
      <c r="AD2187" s="134"/>
    </row>
    <row r="2188">
      <c r="A2188" s="143"/>
      <c r="B2188" s="134"/>
      <c r="C2188" s="134"/>
      <c r="D2188" s="134"/>
      <c r="E2188" s="134"/>
      <c r="F2188" s="134"/>
      <c r="G2188" s="134"/>
      <c r="H2188" s="134"/>
      <c r="J2188" s="134"/>
      <c r="K2188" s="135"/>
      <c r="L2188" s="136"/>
      <c r="M2188" s="144"/>
      <c r="T2188" s="52"/>
      <c r="V2188" s="134"/>
      <c r="W2188" s="134"/>
      <c r="X2188" s="134"/>
      <c r="Y2188" s="134"/>
      <c r="Z2188" s="134"/>
      <c r="AA2188" s="134"/>
      <c r="AB2188" s="134"/>
      <c r="AC2188" s="134"/>
      <c r="AD2188" s="134"/>
    </row>
    <row r="2189">
      <c r="A2189" s="143"/>
      <c r="B2189" s="134"/>
      <c r="C2189" s="134"/>
      <c r="D2189" s="134"/>
      <c r="E2189" s="134"/>
      <c r="F2189" s="134"/>
      <c r="G2189" s="134"/>
      <c r="H2189" s="134"/>
      <c r="J2189" s="134"/>
      <c r="K2189" s="135"/>
      <c r="L2189" s="136"/>
      <c r="M2189" s="144"/>
      <c r="T2189" s="52"/>
      <c r="V2189" s="134"/>
      <c r="W2189" s="134"/>
      <c r="X2189" s="134"/>
      <c r="Y2189" s="134"/>
      <c r="Z2189" s="134"/>
      <c r="AA2189" s="134"/>
      <c r="AB2189" s="134"/>
      <c r="AC2189" s="134"/>
      <c r="AD2189" s="134"/>
    </row>
    <row r="2190">
      <c r="A2190" s="143"/>
      <c r="B2190" s="134"/>
      <c r="C2190" s="134"/>
      <c r="D2190" s="134"/>
      <c r="E2190" s="134"/>
      <c r="F2190" s="134"/>
      <c r="G2190" s="134"/>
      <c r="H2190" s="134"/>
      <c r="J2190" s="134"/>
      <c r="K2190" s="135"/>
      <c r="L2190" s="136"/>
      <c r="M2190" s="144"/>
      <c r="T2190" s="52"/>
      <c r="V2190" s="134"/>
      <c r="W2190" s="134"/>
      <c r="X2190" s="134"/>
      <c r="Y2190" s="134"/>
      <c r="Z2190" s="134"/>
      <c r="AA2190" s="134"/>
      <c r="AB2190" s="134"/>
      <c r="AC2190" s="134"/>
      <c r="AD2190" s="134"/>
    </row>
    <row r="2191">
      <c r="A2191" s="143"/>
      <c r="B2191" s="134"/>
      <c r="C2191" s="134"/>
      <c r="D2191" s="134"/>
      <c r="E2191" s="134"/>
      <c r="F2191" s="134"/>
      <c r="G2191" s="134"/>
      <c r="H2191" s="134"/>
      <c r="J2191" s="134"/>
      <c r="K2191" s="135"/>
      <c r="L2191" s="136"/>
      <c r="M2191" s="144"/>
      <c r="T2191" s="52"/>
      <c r="V2191" s="134"/>
      <c r="W2191" s="134"/>
      <c r="X2191" s="134"/>
      <c r="Y2191" s="134"/>
      <c r="Z2191" s="134"/>
      <c r="AA2191" s="134"/>
      <c r="AB2191" s="134"/>
      <c r="AC2191" s="134"/>
      <c r="AD2191" s="134"/>
    </row>
    <row r="2192">
      <c r="A2192" s="143"/>
      <c r="B2192" s="134"/>
      <c r="C2192" s="134"/>
      <c r="D2192" s="134"/>
      <c r="E2192" s="134"/>
      <c r="F2192" s="134"/>
      <c r="G2192" s="134"/>
      <c r="H2192" s="134"/>
      <c r="J2192" s="134"/>
      <c r="K2192" s="135"/>
      <c r="L2192" s="136"/>
      <c r="M2192" s="144"/>
      <c r="T2192" s="52"/>
      <c r="V2192" s="134"/>
      <c r="W2192" s="134"/>
      <c r="X2192" s="134"/>
      <c r="Y2192" s="134"/>
      <c r="Z2192" s="134"/>
      <c r="AA2192" s="134"/>
      <c r="AB2192" s="134"/>
      <c r="AC2192" s="134"/>
      <c r="AD2192" s="134"/>
    </row>
    <row r="2193">
      <c r="A2193" s="143"/>
      <c r="B2193" s="134"/>
      <c r="C2193" s="134"/>
      <c r="D2193" s="134"/>
      <c r="E2193" s="134"/>
      <c r="F2193" s="134"/>
      <c r="G2193" s="134"/>
      <c r="H2193" s="134"/>
      <c r="J2193" s="134"/>
      <c r="K2193" s="135"/>
      <c r="L2193" s="136"/>
      <c r="M2193" s="144"/>
      <c r="T2193" s="52"/>
      <c r="V2193" s="134"/>
      <c r="W2193" s="134"/>
      <c r="X2193" s="134"/>
      <c r="Y2193" s="134"/>
      <c r="Z2193" s="134"/>
      <c r="AA2193" s="134"/>
      <c r="AB2193" s="134"/>
      <c r="AC2193" s="134"/>
      <c r="AD2193" s="134"/>
    </row>
    <row r="2194">
      <c r="A2194" s="143"/>
      <c r="B2194" s="134"/>
      <c r="C2194" s="134"/>
      <c r="D2194" s="134"/>
      <c r="E2194" s="134"/>
      <c r="F2194" s="134"/>
      <c r="G2194" s="134"/>
      <c r="H2194" s="134"/>
      <c r="J2194" s="134"/>
      <c r="K2194" s="135"/>
      <c r="L2194" s="136"/>
      <c r="M2194" s="144"/>
      <c r="T2194" s="52"/>
      <c r="V2194" s="134"/>
      <c r="W2194" s="134"/>
      <c r="X2194" s="134"/>
      <c r="Y2194" s="134"/>
      <c r="Z2194" s="134"/>
      <c r="AA2194" s="134"/>
      <c r="AB2194" s="134"/>
      <c r="AC2194" s="134"/>
      <c r="AD2194" s="134"/>
    </row>
    <row r="2195">
      <c r="A2195" s="143"/>
      <c r="B2195" s="134"/>
      <c r="C2195" s="134"/>
      <c r="D2195" s="134"/>
      <c r="E2195" s="134"/>
      <c r="F2195" s="134"/>
      <c r="G2195" s="134"/>
      <c r="H2195" s="134"/>
      <c r="J2195" s="134"/>
      <c r="K2195" s="135"/>
      <c r="L2195" s="136"/>
      <c r="M2195" s="144"/>
      <c r="T2195" s="52"/>
      <c r="V2195" s="134"/>
      <c r="W2195" s="134"/>
      <c r="X2195" s="134"/>
      <c r="Y2195" s="134"/>
      <c r="Z2195" s="134"/>
      <c r="AA2195" s="134"/>
      <c r="AB2195" s="134"/>
      <c r="AC2195" s="134"/>
      <c r="AD2195" s="134"/>
    </row>
    <row r="2196">
      <c r="A2196" s="143"/>
      <c r="B2196" s="134"/>
      <c r="C2196" s="134"/>
      <c r="D2196" s="134"/>
      <c r="E2196" s="134"/>
      <c r="F2196" s="134"/>
      <c r="G2196" s="134"/>
      <c r="H2196" s="134"/>
      <c r="J2196" s="134"/>
      <c r="K2196" s="135"/>
      <c r="L2196" s="136"/>
      <c r="M2196" s="144"/>
      <c r="T2196" s="52"/>
      <c r="V2196" s="134"/>
      <c r="W2196" s="134"/>
      <c r="X2196" s="134"/>
      <c r="Y2196" s="134"/>
      <c r="Z2196" s="134"/>
      <c r="AA2196" s="134"/>
      <c r="AB2196" s="134"/>
      <c r="AC2196" s="134"/>
      <c r="AD2196" s="134"/>
    </row>
    <row r="2197">
      <c r="A2197" s="143"/>
      <c r="B2197" s="134"/>
      <c r="C2197" s="134"/>
      <c r="D2197" s="134"/>
      <c r="E2197" s="134"/>
      <c r="F2197" s="134"/>
      <c r="G2197" s="134"/>
      <c r="H2197" s="134"/>
      <c r="J2197" s="134"/>
      <c r="K2197" s="135"/>
      <c r="L2197" s="136"/>
      <c r="M2197" s="144"/>
      <c r="T2197" s="52"/>
      <c r="V2197" s="134"/>
      <c r="W2197" s="134"/>
      <c r="X2197" s="134"/>
      <c r="Y2197" s="134"/>
      <c r="Z2197" s="134"/>
      <c r="AA2197" s="134"/>
      <c r="AB2197" s="134"/>
      <c r="AC2197" s="134"/>
      <c r="AD2197" s="134"/>
    </row>
    <row r="2198">
      <c r="A2198" s="143"/>
      <c r="B2198" s="134"/>
      <c r="C2198" s="134"/>
      <c r="D2198" s="134"/>
      <c r="E2198" s="134"/>
      <c r="F2198" s="134"/>
      <c r="G2198" s="134"/>
      <c r="H2198" s="134"/>
      <c r="J2198" s="134"/>
      <c r="K2198" s="135"/>
      <c r="L2198" s="136"/>
      <c r="M2198" s="144"/>
      <c r="T2198" s="52"/>
      <c r="V2198" s="134"/>
      <c r="W2198" s="134"/>
      <c r="X2198" s="134"/>
      <c r="Y2198" s="134"/>
      <c r="Z2198" s="134"/>
      <c r="AA2198" s="134"/>
      <c r="AB2198" s="134"/>
      <c r="AC2198" s="134"/>
      <c r="AD2198" s="134"/>
    </row>
    <row r="2199">
      <c r="A2199" s="143"/>
      <c r="B2199" s="134"/>
      <c r="C2199" s="134"/>
      <c r="D2199" s="134"/>
      <c r="E2199" s="134"/>
      <c r="F2199" s="134"/>
      <c r="G2199" s="134"/>
      <c r="H2199" s="134"/>
      <c r="J2199" s="134"/>
      <c r="K2199" s="135"/>
      <c r="L2199" s="136"/>
      <c r="M2199" s="144"/>
      <c r="T2199" s="52"/>
      <c r="V2199" s="134"/>
      <c r="W2199" s="134"/>
      <c r="X2199" s="134"/>
      <c r="Y2199" s="134"/>
      <c r="Z2199" s="134"/>
      <c r="AA2199" s="134"/>
      <c r="AB2199" s="134"/>
      <c r="AC2199" s="134"/>
      <c r="AD2199" s="134"/>
    </row>
    <row r="2200">
      <c r="A2200" s="143"/>
      <c r="B2200" s="134"/>
      <c r="C2200" s="134"/>
      <c r="D2200" s="134"/>
      <c r="E2200" s="134"/>
      <c r="F2200" s="134"/>
      <c r="G2200" s="134"/>
      <c r="H2200" s="134"/>
      <c r="J2200" s="134"/>
      <c r="K2200" s="135"/>
      <c r="L2200" s="136"/>
      <c r="M2200" s="144"/>
      <c r="T2200" s="52"/>
      <c r="V2200" s="134"/>
      <c r="W2200" s="134"/>
      <c r="X2200" s="134"/>
      <c r="Y2200" s="134"/>
      <c r="Z2200" s="134"/>
      <c r="AA2200" s="134"/>
      <c r="AB2200" s="134"/>
      <c r="AC2200" s="134"/>
      <c r="AD2200" s="134"/>
    </row>
    <row r="2201">
      <c r="A2201" s="143"/>
      <c r="B2201" s="134"/>
      <c r="C2201" s="134"/>
      <c r="D2201" s="134"/>
      <c r="E2201" s="134"/>
      <c r="F2201" s="134"/>
      <c r="G2201" s="134"/>
      <c r="H2201" s="134"/>
      <c r="J2201" s="134"/>
      <c r="K2201" s="135"/>
      <c r="L2201" s="136"/>
      <c r="M2201" s="144"/>
      <c r="T2201" s="52"/>
      <c r="V2201" s="134"/>
      <c r="W2201" s="134"/>
      <c r="X2201" s="134"/>
      <c r="Y2201" s="134"/>
      <c r="Z2201" s="134"/>
      <c r="AA2201" s="134"/>
      <c r="AB2201" s="134"/>
      <c r="AC2201" s="134"/>
      <c r="AD2201" s="134"/>
    </row>
    <row r="2202">
      <c r="A2202" s="143"/>
      <c r="B2202" s="134"/>
      <c r="C2202" s="134"/>
      <c r="D2202" s="134"/>
      <c r="E2202" s="134"/>
      <c r="F2202" s="134"/>
      <c r="G2202" s="134"/>
      <c r="H2202" s="134"/>
      <c r="J2202" s="134"/>
      <c r="K2202" s="135"/>
      <c r="L2202" s="136"/>
      <c r="M2202" s="144"/>
      <c r="T2202" s="52"/>
      <c r="V2202" s="134"/>
      <c r="W2202" s="134"/>
      <c r="X2202" s="134"/>
      <c r="Y2202" s="134"/>
      <c r="Z2202" s="134"/>
      <c r="AA2202" s="134"/>
      <c r="AB2202" s="134"/>
      <c r="AC2202" s="134"/>
      <c r="AD2202" s="134"/>
    </row>
    <row r="2203">
      <c r="A2203" s="143"/>
      <c r="B2203" s="134"/>
      <c r="C2203" s="134"/>
      <c r="D2203" s="134"/>
      <c r="E2203" s="134"/>
      <c r="F2203" s="134"/>
      <c r="G2203" s="134"/>
      <c r="H2203" s="134"/>
      <c r="J2203" s="134"/>
      <c r="K2203" s="135"/>
      <c r="L2203" s="136"/>
      <c r="M2203" s="144"/>
      <c r="T2203" s="52"/>
      <c r="V2203" s="134"/>
      <c r="W2203" s="134"/>
      <c r="X2203" s="134"/>
      <c r="Y2203" s="134"/>
      <c r="Z2203" s="134"/>
      <c r="AA2203" s="134"/>
      <c r="AB2203" s="134"/>
      <c r="AC2203" s="134"/>
      <c r="AD2203" s="134"/>
    </row>
    <row r="2204">
      <c r="A2204" s="143"/>
      <c r="B2204" s="134"/>
      <c r="C2204" s="134"/>
      <c r="D2204" s="134"/>
      <c r="E2204" s="134"/>
      <c r="F2204" s="134"/>
      <c r="G2204" s="134"/>
      <c r="H2204" s="134"/>
      <c r="J2204" s="134"/>
      <c r="K2204" s="135"/>
      <c r="L2204" s="136"/>
      <c r="M2204" s="144"/>
      <c r="T2204" s="52"/>
      <c r="V2204" s="134"/>
      <c r="W2204" s="134"/>
      <c r="X2204" s="134"/>
      <c r="Y2204" s="134"/>
      <c r="Z2204" s="134"/>
      <c r="AA2204" s="134"/>
      <c r="AB2204" s="134"/>
      <c r="AC2204" s="134"/>
      <c r="AD2204" s="134"/>
    </row>
    <row r="2205">
      <c r="A2205" s="143"/>
      <c r="B2205" s="134"/>
      <c r="C2205" s="134"/>
      <c r="D2205" s="134"/>
      <c r="E2205" s="134"/>
      <c r="F2205" s="134"/>
      <c r="G2205" s="134"/>
      <c r="H2205" s="134"/>
      <c r="J2205" s="134"/>
      <c r="K2205" s="135"/>
      <c r="L2205" s="136"/>
      <c r="M2205" s="144"/>
      <c r="T2205" s="52"/>
      <c r="V2205" s="134"/>
      <c r="W2205" s="134"/>
      <c r="X2205" s="134"/>
      <c r="Y2205" s="134"/>
      <c r="Z2205" s="134"/>
      <c r="AA2205" s="134"/>
      <c r="AB2205" s="134"/>
      <c r="AC2205" s="134"/>
      <c r="AD2205" s="134"/>
    </row>
    <row r="2206">
      <c r="A2206" s="143"/>
      <c r="B2206" s="134"/>
      <c r="C2206" s="134"/>
      <c r="D2206" s="134"/>
      <c r="E2206" s="134"/>
      <c r="F2206" s="134"/>
      <c r="G2206" s="134"/>
      <c r="H2206" s="134"/>
      <c r="J2206" s="134"/>
      <c r="K2206" s="135"/>
      <c r="L2206" s="136"/>
      <c r="M2206" s="144"/>
      <c r="T2206" s="52"/>
      <c r="V2206" s="134"/>
      <c r="W2206" s="134"/>
      <c r="X2206" s="134"/>
      <c r="Y2206" s="134"/>
      <c r="Z2206" s="134"/>
      <c r="AA2206" s="134"/>
      <c r="AB2206" s="134"/>
      <c r="AC2206" s="134"/>
      <c r="AD2206" s="134"/>
    </row>
    <row r="2207">
      <c r="A2207" s="143"/>
      <c r="B2207" s="134"/>
      <c r="C2207" s="134"/>
      <c r="D2207" s="134"/>
      <c r="E2207" s="134"/>
      <c r="F2207" s="134"/>
      <c r="G2207" s="134"/>
      <c r="H2207" s="134"/>
      <c r="J2207" s="134"/>
      <c r="K2207" s="135"/>
      <c r="L2207" s="136"/>
      <c r="M2207" s="144"/>
      <c r="T2207" s="52"/>
      <c r="V2207" s="134"/>
      <c r="W2207" s="134"/>
      <c r="X2207" s="134"/>
      <c r="Y2207" s="134"/>
      <c r="Z2207" s="134"/>
      <c r="AA2207" s="134"/>
      <c r="AB2207" s="134"/>
      <c r="AC2207" s="134"/>
      <c r="AD2207" s="134"/>
    </row>
    <row r="2208">
      <c r="A2208" s="143"/>
      <c r="B2208" s="134"/>
      <c r="C2208" s="134"/>
      <c r="D2208" s="134"/>
      <c r="E2208" s="134"/>
      <c r="F2208" s="134"/>
      <c r="G2208" s="134"/>
      <c r="H2208" s="134"/>
      <c r="J2208" s="134"/>
      <c r="K2208" s="135"/>
      <c r="L2208" s="136"/>
      <c r="M2208" s="144"/>
      <c r="T2208" s="52"/>
      <c r="V2208" s="134"/>
      <c r="W2208" s="134"/>
      <c r="X2208" s="134"/>
      <c r="Y2208" s="134"/>
      <c r="Z2208" s="134"/>
      <c r="AA2208" s="134"/>
      <c r="AB2208" s="134"/>
      <c r="AC2208" s="134"/>
      <c r="AD2208" s="134"/>
    </row>
    <row r="2209">
      <c r="A2209" s="143"/>
      <c r="B2209" s="134"/>
      <c r="C2209" s="134"/>
      <c r="D2209" s="134"/>
      <c r="E2209" s="134"/>
      <c r="F2209" s="134"/>
      <c r="G2209" s="134"/>
      <c r="H2209" s="134"/>
      <c r="J2209" s="134"/>
      <c r="K2209" s="135"/>
      <c r="L2209" s="136"/>
      <c r="M2209" s="144"/>
      <c r="T2209" s="52"/>
      <c r="V2209" s="134"/>
      <c r="W2209" s="134"/>
      <c r="X2209" s="134"/>
      <c r="Y2209" s="134"/>
      <c r="Z2209" s="134"/>
      <c r="AA2209" s="134"/>
      <c r="AB2209" s="134"/>
      <c r="AC2209" s="134"/>
      <c r="AD2209" s="134"/>
    </row>
    <row r="2210">
      <c r="A2210" s="143"/>
      <c r="B2210" s="134"/>
      <c r="C2210" s="134"/>
      <c r="D2210" s="134"/>
      <c r="E2210" s="134"/>
      <c r="F2210" s="134"/>
      <c r="G2210" s="134"/>
      <c r="H2210" s="134"/>
      <c r="J2210" s="134"/>
      <c r="K2210" s="135"/>
      <c r="L2210" s="136"/>
      <c r="M2210" s="144"/>
      <c r="T2210" s="52"/>
      <c r="V2210" s="134"/>
      <c r="W2210" s="134"/>
      <c r="X2210" s="134"/>
      <c r="Y2210" s="134"/>
      <c r="Z2210" s="134"/>
      <c r="AA2210" s="134"/>
      <c r="AB2210" s="134"/>
      <c r="AC2210" s="134"/>
      <c r="AD2210" s="134"/>
    </row>
    <row r="2211">
      <c r="A2211" s="143"/>
      <c r="B2211" s="134"/>
      <c r="C2211" s="134"/>
      <c r="D2211" s="134"/>
      <c r="E2211" s="134"/>
      <c r="F2211" s="134"/>
      <c r="G2211" s="134"/>
      <c r="H2211" s="134"/>
      <c r="J2211" s="134"/>
      <c r="K2211" s="135"/>
      <c r="L2211" s="136"/>
      <c r="M2211" s="144"/>
      <c r="T2211" s="52"/>
      <c r="V2211" s="134"/>
      <c r="W2211" s="134"/>
      <c r="X2211" s="134"/>
      <c r="Y2211" s="134"/>
      <c r="Z2211" s="134"/>
      <c r="AA2211" s="134"/>
      <c r="AB2211" s="134"/>
      <c r="AC2211" s="134"/>
      <c r="AD2211" s="134"/>
    </row>
    <row r="2212">
      <c r="A2212" s="143"/>
      <c r="B2212" s="134"/>
      <c r="C2212" s="134"/>
      <c r="D2212" s="134"/>
      <c r="E2212" s="134"/>
      <c r="F2212" s="134"/>
      <c r="G2212" s="134"/>
      <c r="H2212" s="134"/>
      <c r="J2212" s="134"/>
      <c r="K2212" s="135"/>
      <c r="L2212" s="136"/>
      <c r="M2212" s="144"/>
      <c r="T2212" s="52"/>
      <c r="V2212" s="134"/>
      <c r="W2212" s="134"/>
      <c r="X2212" s="134"/>
      <c r="Y2212" s="134"/>
      <c r="Z2212" s="134"/>
      <c r="AA2212" s="134"/>
      <c r="AB2212" s="134"/>
      <c r="AC2212" s="134"/>
      <c r="AD2212" s="134"/>
    </row>
    <row r="2213">
      <c r="A2213" s="143"/>
      <c r="B2213" s="134"/>
      <c r="C2213" s="134"/>
      <c r="D2213" s="134"/>
      <c r="E2213" s="134"/>
      <c r="F2213" s="134"/>
      <c r="G2213" s="134"/>
      <c r="H2213" s="134"/>
      <c r="J2213" s="134"/>
      <c r="K2213" s="135"/>
      <c r="L2213" s="136"/>
      <c r="M2213" s="144"/>
      <c r="T2213" s="52"/>
      <c r="V2213" s="134"/>
      <c r="W2213" s="134"/>
      <c r="X2213" s="134"/>
      <c r="Y2213" s="134"/>
      <c r="Z2213" s="134"/>
      <c r="AA2213" s="134"/>
      <c r="AB2213" s="134"/>
      <c r="AC2213" s="134"/>
      <c r="AD2213" s="134"/>
    </row>
    <row r="2214">
      <c r="A2214" s="143"/>
      <c r="B2214" s="134"/>
      <c r="C2214" s="134"/>
      <c r="D2214" s="134"/>
      <c r="E2214" s="134"/>
      <c r="F2214" s="134"/>
      <c r="G2214" s="134"/>
      <c r="H2214" s="134"/>
      <c r="J2214" s="134"/>
      <c r="K2214" s="135"/>
      <c r="L2214" s="136"/>
      <c r="M2214" s="144"/>
      <c r="T2214" s="52"/>
      <c r="V2214" s="134"/>
      <c r="W2214" s="134"/>
      <c r="X2214" s="134"/>
      <c r="Y2214" s="134"/>
      <c r="Z2214" s="134"/>
      <c r="AA2214" s="134"/>
      <c r="AB2214" s="134"/>
      <c r="AC2214" s="134"/>
      <c r="AD2214" s="134"/>
    </row>
    <row r="2215">
      <c r="A2215" s="143"/>
      <c r="B2215" s="134"/>
      <c r="C2215" s="134"/>
      <c r="D2215" s="134"/>
      <c r="E2215" s="134"/>
      <c r="F2215" s="134"/>
      <c r="G2215" s="134"/>
      <c r="H2215" s="134"/>
      <c r="J2215" s="134"/>
      <c r="K2215" s="135"/>
      <c r="L2215" s="136"/>
      <c r="M2215" s="144"/>
      <c r="T2215" s="52"/>
      <c r="V2215" s="134"/>
      <c r="W2215" s="134"/>
      <c r="X2215" s="134"/>
      <c r="Y2215" s="134"/>
      <c r="Z2215" s="134"/>
      <c r="AA2215" s="134"/>
      <c r="AB2215" s="134"/>
      <c r="AC2215" s="134"/>
      <c r="AD2215" s="134"/>
    </row>
    <row r="2216">
      <c r="A2216" s="143"/>
      <c r="B2216" s="134"/>
      <c r="C2216" s="134"/>
      <c r="D2216" s="134"/>
      <c r="E2216" s="134"/>
      <c r="F2216" s="134"/>
      <c r="G2216" s="134"/>
      <c r="H2216" s="134"/>
      <c r="J2216" s="134"/>
      <c r="K2216" s="135"/>
      <c r="L2216" s="136"/>
      <c r="M2216" s="144"/>
      <c r="T2216" s="52"/>
      <c r="V2216" s="134"/>
      <c r="W2216" s="134"/>
      <c r="X2216" s="134"/>
      <c r="Y2216" s="134"/>
      <c r="Z2216" s="134"/>
      <c r="AA2216" s="134"/>
      <c r="AB2216" s="134"/>
      <c r="AC2216" s="134"/>
      <c r="AD2216" s="134"/>
    </row>
    <row r="2217">
      <c r="A2217" s="143"/>
      <c r="B2217" s="134"/>
      <c r="C2217" s="134"/>
      <c r="D2217" s="134"/>
      <c r="E2217" s="134"/>
      <c r="F2217" s="134"/>
      <c r="G2217" s="134"/>
      <c r="H2217" s="134"/>
      <c r="J2217" s="134"/>
      <c r="K2217" s="135"/>
      <c r="L2217" s="136"/>
      <c r="M2217" s="144"/>
      <c r="T2217" s="52"/>
      <c r="V2217" s="134"/>
      <c r="W2217" s="134"/>
      <c r="X2217" s="134"/>
      <c r="Y2217" s="134"/>
      <c r="Z2217" s="134"/>
      <c r="AA2217" s="134"/>
      <c r="AB2217" s="134"/>
      <c r="AC2217" s="134"/>
      <c r="AD2217" s="134"/>
    </row>
    <row r="2218">
      <c r="A2218" s="143"/>
      <c r="B2218" s="134"/>
      <c r="C2218" s="134"/>
      <c r="D2218" s="134"/>
      <c r="E2218" s="134"/>
      <c r="F2218" s="134"/>
      <c r="G2218" s="134"/>
      <c r="H2218" s="134"/>
      <c r="J2218" s="134"/>
      <c r="K2218" s="135"/>
      <c r="L2218" s="136"/>
      <c r="M2218" s="144"/>
      <c r="T2218" s="52"/>
      <c r="V2218" s="134"/>
      <c r="W2218" s="134"/>
      <c r="X2218" s="134"/>
      <c r="Y2218" s="134"/>
      <c r="Z2218" s="134"/>
      <c r="AA2218" s="134"/>
      <c r="AB2218" s="134"/>
      <c r="AC2218" s="134"/>
      <c r="AD2218" s="134"/>
    </row>
    <row r="2219">
      <c r="A2219" s="143"/>
      <c r="B2219" s="134"/>
      <c r="C2219" s="134"/>
      <c r="D2219" s="134"/>
      <c r="E2219" s="134"/>
      <c r="F2219" s="134"/>
      <c r="G2219" s="134"/>
      <c r="H2219" s="134"/>
      <c r="J2219" s="134"/>
      <c r="K2219" s="135"/>
      <c r="L2219" s="136"/>
      <c r="M2219" s="144"/>
      <c r="T2219" s="52"/>
      <c r="V2219" s="134"/>
      <c r="W2219" s="134"/>
      <c r="X2219" s="134"/>
      <c r="Y2219" s="134"/>
      <c r="Z2219" s="134"/>
      <c r="AA2219" s="134"/>
      <c r="AB2219" s="134"/>
      <c r="AC2219" s="134"/>
      <c r="AD2219" s="134"/>
    </row>
    <row r="2220">
      <c r="A2220" s="143"/>
      <c r="B2220" s="134"/>
      <c r="C2220" s="134"/>
      <c r="D2220" s="134"/>
      <c r="E2220" s="134"/>
      <c r="F2220" s="134"/>
      <c r="G2220" s="134"/>
      <c r="H2220" s="134"/>
      <c r="J2220" s="134"/>
      <c r="K2220" s="135"/>
      <c r="L2220" s="136"/>
      <c r="M2220" s="144"/>
      <c r="T2220" s="52"/>
      <c r="V2220" s="134"/>
      <c r="W2220" s="134"/>
      <c r="X2220" s="134"/>
      <c r="Y2220" s="134"/>
      <c r="Z2220" s="134"/>
      <c r="AA2220" s="134"/>
      <c r="AB2220" s="134"/>
      <c r="AC2220" s="134"/>
      <c r="AD2220" s="134"/>
    </row>
    <row r="2221">
      <c r="A2221" s="143"/>
      <c r="B2221" s="134"/>
      <c r="C2221" s="134"/>
      <c r="D2221" s="134"/>
      <c r="E2221" s="134"/>
      <c r="F2221" s="134"/>
      <c r="G2221" s="134"/>
      <c r="H2221" s="134"/>
      <c r="J2221" s="134"/>
      <c r="K2221" s="135"/>
      <c r="L2221" s="136"/>
      <c r="M2221" s="144"/>
      <c r="T2221" s="52"/>
      <c r="V2221" s="134"/>
      <c r="W2221" s="134"/>
      <c r="X2221" s="134"/>
      <c r="Y2221" s="134"/>
      <c r="Z2221" s="134"/>
      <c r="AA2221" s="134"/>
      <c r="AB2221" s="134"/>
      <c r="AC2221" s="134"/>
      <c r="AD2221" s="134"/>
    </row>
    <row r="2222">
      <c r="A2222" s="143"/>
      <c r="B2222" s="134"/>
      <c r="C2222" s="134"/>
      <c r="D2222" s="134"/>
      <c r="E2222" s="134"/>
      <c r="F2222" s="134"/>
      <c r="G2222" s="134"/>
      <c r="H2222" s="134"/>
      <c r="J2222" s="134"/>
      <c r="K2222" s="135"/>
      <c r="L2222" s="136"/>
      <c r="M2222" s="144"/>
      <c r="T2222" s="52"/>
      <c r="V2222" s="134"/>
      <c r="W2222" s="134"/>
      <c r="X2222" s="134"/>
      <c r="Y2222" s="134"/>
      <c r="Z2222" s="134"/>
      <c r="AA2222" s="134"/>
      <c r="AB2222" s="134"/>
      <c r="AC2222" s="134"/>
      <c r="AD2222" s="134"/>
    </row>
    <row r="2223">
      <c r="A2223" s="143"/>
      <c r="B2223" s="134"/>
      <c r="C2223" s="134"/>
      <c r="D2223" s="134"/>
      <c r="E2223" s="134"/>
      <c r="F2223" s="134"/>
      <c r="G2223" s="134"/>
      <c r="H2223" s="134"/>
      <c r="J2223" s="134"/>
      <c r="K2223" s="135"/>
      <c r="L2223" s="136"/>
      <c r="M2223" s="144"/>
      <c r="T2223" s="52"/>
      <c r="V2223" s="134"/>
      <c r="W2223" s="134"/>
      <c r="X2223" s="134"/>
      <c r="Y2223" s="134"/>
      <c r="Z2223" s="134"/>
      <c r="AA2223" s="134"/>
      <c r="AB2223" s="134"/>
      <c r="AC2223" s="134"/>
      <c r="AD2223" s="134"/>
    </row>
    <row r="2224">
      <c r="A2224" s="143"/>
      <c r="B2224" s="134"/>
      <c r="C2224" s="134"/>
      <c r="D2224" s="134"/>
      <c r="E2224" s="134"/>
      <c r="F2224" s="134"/>
      <c r="G2224" s="134"/>
      <c r="H2224" s="134"/>
      <c r="J2224" s="134"/>
      <c r="K2224" s="135"/>
      <c r="L2224" s="136"/>
      <c r="M2224" s="144"/>
      <c r="T2224" s="52"/>
      <c r="V2224" s="134"/>
      <c r="W2224" s="134"/>
      <c r="X2224" s="134"/>
      <c r="Y2224" s="134"/>
      <c r="Z2224" s="134"/>
      <c r="AA2224" s="134"/>
      <c r="AB2224" s="134"/>
      <c r="AC2224" s="134"/>
      <c r="AD2224" s="134"/>
    </row>
    <row r="2225">
      <c r="A2225" s="143"/>
      <c r="B2225" s="134"/>
      <c r="C2225" s="134"/>
      <c r="D2225" s="134"/>
      <c r="E2225" s="134"/>
      <c r="F2225" s="134"/>
      <c r="G2225" s="134"/>
      <c r="H2225" s="134"/>
      <c r="J2225" s="134"/>
      <c r="K2225" s="135"/>
      <c r="L2225" s="136"/>
      <c r="M2225" s="144"/>
      <c r="T2225" s="52"/>
      <c r="V2225" s="134"/>
      <c r="W2225" s="134"/>
      <c r="X2225" s="134"/>
      <c r="Y2225" s="134"/>
      <c r="Z2225" s="134"/>
      <c r="AA2225" s="134"/>
      <c r="AB2225" s="134"/>
      <c r="AC2225" s="134"/>
      <c r="AD2225" s="134"/>
    </row>
    <row r="2226">
      <c r="A2226" s="143"/>
      <c r="B2226" s="134"/>
      <c r="C2226" s="134"/>
      <c r="D2226" s="134"/>
      <c r="E2226" s="134"/>
      <c r="F2226" s="134"/>
      <c r="G2226" s="134"/>
      <c r="H2226" s="134"/>
      <c r="J2226" s="134"/>
      <c r="K2226" s="135"/>
      <c r="L2226" s="136"/>
      <c r="M2226" s="144"/>
      <c r="T2226" s="52"/>
      <c r="V2226" s="134"/>
      <c r="W2226" s="134"/>
      <c r="X2226" s="134"/>
      <c r="Y2226" s="134"/>
      <c r="Z2226" s="134"/>
      <c r="AA2226" s="134"/>
      <c r="AB2226" s="134"/>
      <c r="AC2226" s="134"/>
      <c r="AD2226" s="134"/>
    </row>
    <row r="2227">
      <c r="A2227" s="143"/>
      <c r="B2227" s="134"/>
      <c r="C2227" s="134"/>
      <c r="D2227" s="134"/>
      <c r="E2227" s="134"/>
      <c r="F2227" s="134"/>
      <c r="G2227" s="134"/>
      <c r="H2227" s="134"/>
      <c r="J2227" s="134"/>
      <c r="K2227" s="135"/>
      <c r="L2227" s="136"/>
      <c r="M2227" s="144"/>
      <c r="T2227" s="52"/>
      <c r="V2227" s="134"/>
      <c r="W2227" s="134"/>
      <c r="X2227" s="134"/>
      <c r="Y2227" s="134"/>
      <c r="Z2227" s="134"/>
      <c r="AA2227" s="134"/>
      <c r="AB2227" s="134"/>
      <c r="AC2227" s="134"/>
      <c r="AD2227" s="134"/>
    </row>
    <row r="2228">
      <c r="A2228" s="143"/>
      <c r="B2228" s="134"/>
      <c r="C2228" s="134"/>
      <c r="D2228" s="134"/>
      <c r="E2228" s="134"/>
      <c r="F2228" s="134"/>
      <c r="G2228" s="134"/>
      <c r="H2228" s="134"/>
      <c r="J2228" s="134"/>
      <c r="K2228" s="135"/>
      <c r="L2228" s="136"/>
      <c r="M2228" s="144"/>
      <c r="T2228" s="52"/>
      <c r="V2228" s="134"/>
      <c r="W2228" s="134"/>
      <c r="X2228" s="134"/>
      <c r="Y2228" s="134"/>
      <c r="Z2228" s="134"/>
      <c r="AA2228" s="134"/>
      <c r="AB2228" s="134"/>
      <c r="AC2228" s="134"/>
      <c r="AD2228" s="134"/>
    </row>
    <row r="2229">
      <c r="A2229" s="143"/>
      <c r="B2229" s="134"/>
      <c r="C2229" s="134"/>
      <c r="D2229" s="134"/>
      <c r="E2229" s="134"/>
      <c r="F2229" s="134"/>
      <c r="G2229" s="134"/>
      <c r="H2229" s="134"/>
      <c r="J2229" s="134"/>
      <c r="K2229" s="135"/>
      <c r="L2229" s="136"/>
      <c r="M2229" s="144"/>
      <c r="T2229" s="52"/>
      <c r="V2229" s="134"/>
      <c r="W2229" s="134"/>
      <c r="X2229" s="134"/>
      <c r="Y2229" s="134"/>
      <c r="Z2229" s="134"/>
      <c r="AA2229" s="134"/>
      <c r="AB2229" s="134"/>
      <c r="AC2229" s="134"/>
      <c r="AD2229" s="134"/>
    </row>
    <row r="2230">
      <c r="A2230" s="143"/>
      <c r="B2230" s="134"/>
      <c r="C2230" s="134"/>
      <c r="D2230" s="134"/>
      <c r="E2230" s="134"/>
      <c r="F2230" s="134"/>
      <c r="G2230" s="134"/>
      <c r="H2230" s="134"/>
      <c r="J2230" s="134"/>
      <c r="K2230" s="135"/>
      <c r="L2230" s="136"/>
      <c r="M2230" s="144"/>
      <c r="T2230" s="52"/>
      <c r="V2230" s="134"/>
      <c r="W2230" s="134"/>
      <c r="X2230" s="134"/>
      <c r="Y2230" s="134"/>
      <c r="Z2230" s="134"/>
      <c r="AA2230" s="134"/>
      <c r="AB2230" s="134"/>
      <c r="AC2230" s="134"/>
      <c r="AD2230" s="134"/>
    </row>
    <row r="2231">
      <c r="A2231" s="143"/>
      <c r="B2231" s="134"/>
      <c r="C2231" s="134"/>
      <c r="D2231" s="134"/>
      <c r="E2231" s="134"/>
      <c r="F2231" s="134"/>
      <c r="G2231" s="134"/>
      <c r="H2231" s="134"/>
      <c r="J2231" s="134"/>
      <c r="K2231" s="135"/>
      <c r="L2231" s="136"/>
      <c r="M2231" s="144"/>
      <c r="T2231" s="52"/>
      <c r="V2231" s="134"/>
      <c r="W2231" s="134"/>
      <c r="X2231" s="134"/>
      <c r="Y2231" s="134"/>
      <c r="Z2231" s="134"/>
      <c r="AA2231" s="134"/>
      <c r="AB2231" s="134"/>
      <c r="AC2231" s="134"/>
      <c r="AD2231" s="134"/>
    </row>
    <row r="2232">
      <c r="A2232" s="143"/>
      <c r="B2232" s="134"/>
      <c r="C2232" s="134"/>
      <c r="D2232" s="134"/>
      <c r="E2232" s="134"/>
      <c r="F2232" s="134"/>
      <c r="G2232" s="134"/>
      <c r="H2232" s="134"/>
      <c r="J2232" s="134"/>
      <c r="K2232" s="135"/>
      <c r="L2232" s="136"/>
      <c r="M2232" s="144"/>
      <c r="T2232" s="52"/>
      <c r="V2232" s="134"/>
      <c r="W2232" s="134"/>
      <c r="X2232" s="134"/>
      <c r="Y2232" s="134"/>
      <c r="Z2232" s="134"/>
      <c r="AA2232" s="134"/>
      <c r="AB2232" s="134"/>
      <c r="AC2232" s="134"/>
      <c r="AD2232" s="134"/>
    </row>
    <row r="2233">
      <c r="A2233" s="143"/>
      <c r="B2233" s="134"/>
      <c r="C2233" s="134"/>
      <c r="D2233" s="134"/>
      <c r="E2233" s="134"/>
      <c r="F2233" s="134"/>
      <c r="G2233" s="134"/>
      <c r="H2233" s="134"/>
      <c r="J2233" s="134"/>
      <c r="K2233" s="135"/>
      <c r="L2233" s="136"/>
      <c r="M2233" s="144"/>
      <c r="T2233" s="52"/>
      <c r="V2233" s="134"/>
      <c r="W2233" s="134"/>
      <c r="X2233" s="134"/>
      <c r="Y2233" s="134"/>
      <c r="Z2233" s="134"/>
      <c r="AA2233" s="134"/>
      <c r="AB2233" s="134"/>
      <c r="AC2233" s="134"/>
      <c r="AD2233" s="134"/>
    </row>
    <row r="2234">
      <c r="A2234" s="143"/>
      <c r="B2234" s="134"/>
      <c r="C2234" s="134"/>
      <c r="D2234" s="134"/>
      <c r="E2234" s="134"/>
      <c r="F2234" s="134"/>
      <c r="G2234" s="134"/>
      <c r="H2234" s="134"/>
      <c r="J2234" s="134"/>
      <c r="K2234" s="135"/>
      <c r="L2234" s="136"/>
      <c r="M2234" s="144"/>
      <c r="T2234" s="52"/>
      <c r="V2234" s="134"/>
      <c r="W2234" s="134"/>
      <c r="X2234" s="134"/>
      <c r="Y2234" s="134"/>
      <c r="Z2234" s="134"/>
      <c r="AA2234" s="134"/>
      <c r="AB2234" s="134"/>
      <c r="AC2234" s="134"/>
      <c r="AD2234" s="134"/>
    </row>
    <row r="2235">
      <c r="A2235" s="143"/>
      <c r="B2235" s="134"/>
      <c r="C2235" s="134"/>
      <c r="D2235" s="134"/>
      <c r="E2235" s="134"/>
      <c r="F2235" s="134"/>
      <c r="G2235" s="134"/>
      <c r="H2235" s="134"/>
      <c r="J2235" s="134"/>
      <c r="K2235" s="135"/>
      <c r="L2235" s="136"/>
      <c r="M2235" s="144"/>
      <c r="T2235" s="52"/>
      <c r="V2235" s="134"/>
      <c r="W2235" s="134"/>
      <c r="X2235" s="134"/>
      <c r="Y2235" s="134"/>
      <c r="Z2235" s="134"/>
      <c r="AA2235" s="134"/>
      <c r="AB2235" s="134"/>
      <c r="AC2235" s="134"/>
      <c r="AD2235" s="134"/>
    </row>
    <row r="2236">
      <c r="A2236" s="143"/>
      <c r="B2236" s="134"/>
      <c r="C2236" s="134"/>
      <c r="D2236" s="134"/>
      <c r="E2236" s="134"/>
      <c r="F2236" s="134"/>
      <c r="G2236" s="134"/>
      <c r="H2236" s="134"/>
      <c r="J2236" s="134"/>
      <c r="K2236" s="135"/>
      <c r="L2236" s="136"/>
      <c r="M2236" s="144"/>
      <c r="T2236" s="52"/>
      <c r="V2236" s="134"/>
      <c r="W2236" s="134"/>
      <c r="X2236" s="134"/>
      <c r="Y2236" s="134"/>
      <c r="Z2236" s="134"/>
      <c r="AA2236" s="134"/>
      <c r="AB2236" s="134"/>
      <c r="AC2236" s="134"/>
      <c r="AD2236" s="134"/>
    </row>
    <row r="2237">
      <c r="A2237" s="143"/>
      <c r="B2237" s="134"/>
      <c r="C2237" s="134"/>
      <c r="D2237" s="134"/>
      <c r="E2237" s="134"/>
      <c r="F2237" s="134"/>
      <c r="G2237" s="134"/>
      <c r="H2237" s="134"/>
      <c r="J2237" s="134"/>
      <c r="K2237" s="135"/>
      <c r="L2237" s="136"/>
      <c r="M2237" s="144"/>
      <c r="T2237" s="52"/>
      <c r="V2237" s="134"/>
      <c r="W2237" s="134"/>
      <c r="X2237" s="134"/>
      <c r="Y2237" s="134"/>
      <c r="Z2237" s="134"/>
      <c r="AA2237" s="134"/>
      <c r="AB2237" s="134"/>
      <c r="AC2237" s="134"/>
      <c r="AD2237" s="134"/>
    </row>
    <row r="2238">
      <c r="A2238" s="143"/>
      <c r="B2238" s="134"/>
      <c r="C2238" s="134"/>
      <c r="D2238" s="134"/>
      <c r="E2238" s="134"/>
      <c r="F2238" s="134"/>
      <c r="G2238" s="134"/>
      <c r="H2238" s="134"/>
      <c r="J2238" s="134"/>
      <c r="K2238" s="135"/>
      <c r="L2238" s="136"/>
      <c r="M2238" s="144"/>
      <c r="T2238" s="52"/>
      <c r="V2238" s="134"/>
      <c r="W2238" s="134"/>
      <c r="X2238" s="134"/>
      <c r="Y2238" s="134"/>
      <c r="Z2238" s="134"/>
      <c r="AA2238" s="134"/>
      <c r="AB2238" s="134"/>
      <c r="AC2238" s="134"/>
      <c r="AD2238" s="134"/>
    </row>
    <row r="2239">
      <c r="A2239" s="143"/>
      <c r="B2239" s="134"/>
      <c r="C2239" s="134"/>
      <c r="D2239" s="134"/>
      <c r="E2239" s="134"/>
      <c r="F2239" s="134"/>
      <c r="G2239" s="134"/>
      <c r="H2239" s="134"/>
      <c r="J2239" s="134"/>
      <c r="K2239" s="135"/>
      <c r="L2239" s="136"/>
      <c r="M2239" s="144"/>
      <c r="T2239" s="52"/>
      <c r="V2239" s="134"/>
      <c r="W2239" s="134"/>
      <c r="X2239" s="134"/>
      <c r="Y2239" s="134"/>
      <c r="Z2239" s="134"/>
      <c r="AA2239" s="134"/>
      <c r="AB2239" s="134"/>
      <c r="AC2239" s="134"/>
      <c r="AD2239" s="134"/>
    </row>
    <row r="2240">
      <c r="A2240" s="143"/>
      <c r="B2240" s="134"/>
      <c r="C2240" s="134"/>
      <c r="D2240" s="134"/>
      <c r="E2240" s="134"/>
      <c r="F2240" s="134"/>
      <c r="G2240" s="134"/>
      <c r="H2240" s="134"/>
      <c r="J2240" s="134"/>
      <c r="K2240" s="135"/>
      <c r="L2240" s="136"/>
      <c r="M2240" s="144"/>
      <c r="T2240" s="52"/>
      <c r="V2240" s="134"/>
      <c r="W2240" s="134"/>
      <c r="X2240" s="134"/>
      <c r="Y2240" s="134"/>
      <c r="Z2240" s="134"/>
      <c r="AA2240" s="134"/>
      <c r="AB2240" s="134"/>
      <c r="AC2240" s="134"/>
      <c r="AD2240" s="134"/>
    </row>
    <row r="2241">
      <c r="A2241" s="143"/>
      <c r="B2241" s="134"/>
      <c r="C2241" s="134"/>
      <c r="D2241" s="134"/>
      <c r="E2241" s="134"/>
      <c r="F2241" s="134"/>
      <c r="G2241" s="134"/>
      <c r="H2241" s="134"/>
      <c r="J2241" s="134"/>
      <c r="K2241" s="135"/>
      <c r="L2241" s="136"/>
      <c r="M2241" s="144"/>
      <c r="T2241" s="52"/>
      <c r="V2241" s="134"/>
      <c r="W2241" s="134"/>
      <c r="X2241" s="134"/>
      <c r="Y2241" s="134"/>
      <c r="Z2241" s="134"/>
      <c r="AA2241" s="134"/>
      <c r="AB2241" s="134"/>
      <c r="AC2241" s="134"/>
      <c r="AD2241" s="134"/>
    </row>
    <row r="2242">
      <c r="A2242" s="143"/>
      <c r="B2242" s="134"/>
      <c r="C2242" s="134"/>
      <c r="D2242" s="134"/>
      <c r="E2242" s="134"/>
      <c r="F2242" s="134"/>
      <c r="G2242" s="134"/>
      <c r="H2242" s="134"/>
      <c r="J2242" s="134"/>
      <c r="K2242" s="135"/>
      <c r="L2242" s="136"/>
      <c r="M2242" s="144"/>
      <c r="T2242" s="52"/>
      <c r="V2242" s="134"/>
      <c r="W2242" s="134"/>
      <c r="X2242" s="134"/>
      <c r="Y2242" s="134"/>
      <c r="Z2242" s="134"/>
      <c r="AA2242" s="134"/>
      <c r="AB2242" s="134"/>
      <c r="AC2242" s="134"/>
      <c r="AD2242" s="134"/>
    </row>
    <row r="2243">
      <c r="A2243" s="143"/>
      <c r="B2243" s="134"/>
      <c r="C2243" s="134"/>
      <c r="D2243" s="134"/>
      <c r="E2243" s="134"/>
      <c r="F2243" s="134"/>
      <c r="G2243" s="134"/>
      <c r="H2243" s="134"/>
      <c r="J2243" s="134"/>
      <c r="K2243" s="135"/>
      <c r="L2243" s="136"/>
      <c r="M2243" s="144"/>
      <c r="T2243" s="52"/>
      <c r="V2243" s="134"/>
      <c r="W2243" s="134"/>
      <c r="X2243" s="134"/>
      <c r="Y2243" s="134"/>
      <c r="Z2243" s="134"/>
      <c r="AA2243" s="134"/>
      <c r="AB2243" s="134"/>
      <c r="AC2243" s="134"/>
      <c r="AD2243" s="134"/>
    </row>
    <row r="2244">
      <c r="A2244" s="143"/>
      <c r="B2244" s="134"/>
      <c r="C2244" s="134"/>
      <c r="D2244" s="134"/>
      <c r="E2244" s="134"/>
      <c r="F2244" s="134"/>
      <c r="G2244" s="134"/>
      <c r="H2244" s="134"/>
      <c r="J2244" s="134"/>
      <c r="K2244" s="135"/>
      <c r="L2244" s="136"/>
      <c r="M2244" s="144"/>
      <c r="T2244" s="52"/>
      <c r="V2244" s="134"/>
      <c r="W2244" s="134"/>
      <c r="X2244" s="134"/>
      <c r="Y2244" s="134"/>
      <c r="Z2244" s="134"/>
      <c r="AA2244" s="134"/>
      <c r="AB2244" s="134"/>
      <c r="AC2244" s="134"/>
      <c r="AD2244" s="134"/>
    </row>
    <row r="2245">
      <c r="A2245" s="143"/>
      <c r="B2245" s="134"/>
      <c r="C2245" s="134"/>
      <c r="D2245" s="134"/>
      <c r="E2245" s="134"/>
      <c r="F2245" s="134"/>
      <c r="G2245" s="134"/>
      <c r="H2245" s="134"/>
      <c r="J2245" s="134"/>
      <c r="K2245" s="135"/>
      <c r="L2245" s="136"/>
      <c r="M2245" s="144"/>
      <c r="T2245" s="52"/>
      <c r="V2245" s="134"/>
      <c r="W2245" s="134"/>
      <c r="X2245" s="134"/>
      <c r="Y2245" s="134"/>
      <c r="Z2245" s="134"/>
      <c r="AA2245" s="134"/>
      <c r="AB2245" s="134"/>
      <c r="AC2245" s="134"/>
      <c r="AD2245" s="134"/>
    </row>
    <row r="2246">
      <c r="A2246" s="143"/>
      <c r="B2246" s="134"/>
      <c r="C2246" s="134"/>
      <c r="D2246" s="134"/>
      <c r="E2246" s="134"/>
      <c r="F2246" s="134"/>
      <c r="G2246" s="134"/>
      <c r="H2246" s="134"/>
      <c r="J2246" s="134"/>
      <c r="K2246" s="135"/>
      <c r="L2246" s="136"/>
      <c r="M2246" s="144"/>
      <c r="T2246" s="52"/>
      <c r="V2246" s="134"/>
      <c r="W2246" s="134"/>
      <c r="X2246" s="134"/>
      <c r="Y2246" s="134"/>
      <c r="Z2246" s="134"/>
      <c r="AA2246" s="134"/>
      <c r="AB2246" s="134"/>
      <c r="AC2246" s="134"/>
      <c r="AD2246" s="134"/>
    </row>
    <row r="2247">
      <c r="A2247" s="143"/>
      <c r="B2247" s="134"/>
      <c r="C2247" s="134"/>
      <c r="D2247" s="134"/>
      <c r="E2247" s="134"/>
      <c r="F2247" s="134"/>
      <c r="G2247" s="134"/>
      <c r="H2247" s="134"/>
      <c r="J2247" s="134"/>
      <c r="K2247" s="135"/>
      <c r="L2247" s="136"/>
      <c r="M2247" s="144"/>
      <c r="T2247" s="52"/>
      <c r="V2247" s="134"/>
      <c r="W2247" s="134"/>
      <c r="X2247" s="134"/>
      <c r="Y2247" s="134"/>
      <c r="Z2247" s="134"/>
      <c r="AA2247" s="134"/>
      <c r="AB2247" s="134"/>
      <c r="AC2247" s="134"/>
      <c r="AD2247" s="134"/>
    </row>
    <row r="2248">
      <c r="A2248" s="143"/>
      <c r="B2248" s="134"/>
      <c r="C2248" s="134"/>
      <c r="D2248" s="134"/>
      <c r="E2248" s="134"/>
      <c r="F2248" s="134"/>
      <c r="G2248" s="134"/>
      <c r="H2248" s="134"/>
      <c r="J2248" s="134"/>
      <c r="K2248" s="135"/>
      <c r="L2248" s="136"/>
      <c r="M2248" s="144"/>
      <c r="T2248" s="52"/>
      <c r="V2248" s="134"/>
      <c r="W2248" s="134"/>
      <c r="X2248" s="134"/>
      <c r="Y2248" s="134"/>
      <c r="Z2248" s="134"/>
      <c r="AA2248" s="134"/>
      <c r="AB2248" s="134"/>
      <c r="AC2248" s="134"/>
      <c r="AD2248" s="134"/>
    </row>
    <row r="2249">
      <c r="A2249" s="143"/>
      <c r="B2249" s="134"/>
      <c r="C2249" s="134"/>
      <c r="D2249" s="134"/>
      <c r="E2249" s="134"/>
      <c r="F2249" s="134"/>
      <c r="G2249" s="134"/>
      <c r="H2249" s="134"/>
      <c r="J2249" s="134"/>
      <c r="K2249" s="135"/>
      <c r="L2249" s="136"/>
      <c r="M2249" s="144"/>
      <c r="T2249" s="52"/>
      <c r="V2249" s="134"/>
      <c r="W2249" s="134"/>
      <c r="X2249" s="134"/>
      <c r="Y2249" s="134"/>
      <c r="Z2249" s="134"/>
      <c r="AA2249" s="134"/>
      <c r="AB2249" s="134"/>
      <c r="AC2249" s="134"/>
      <c r="AD2249" s="134"/>
    </row>
    <row r="2250">
      <c r="A2250" s="143"/>
      <c r="B2250" s="134"/>
      <c r="C2250" s="134"/>
      <c r="D2250" s="134"/>
      <c r="E2250" s="134"/>
      <c r="F2250" s="134"/>
      <c r="G2250" s="134"/>
      <c r="H2250" s="134"/>
      <c r="J2250" s="134"/>
      <c r="K2250" s="135"/>
      <c r="L2250" s="136"/>
      <c r="M2250" s="144"/>
      <c r="T2250" s="52"/>
      <c r="V2250" s="134"/>
      <c r="W2250" s="134"/>
      <c r="X2250" s="134"/>
      <c r="Y2250" s="134"/>
      <c r="Z2250" s="134"/>
      <c r="AA2250" s="134"/>
      <c r="AB2250" s="134"/>
      <c r="AC2250" s="134"/>
      <c r="AD2250" s="134"/>
    </row>
    <row r="2251">
      <c r="A2251" s="143"/>
      <c r="B2251" s="134"/>
      <c r="C2251" s="134"/>
      <c r="D2251" s="134"/>
      <c r="E2251" s="134"/>
      <c r="F2251" s="134"/>
      <c r="G2251" s="134"/>
      <c r="H2251" s="134"/>
      <c r="J2251" s="134"/>
      <c r="K2251" s="135"/>
      <c r="L2251" s="136"/>
      <c r="M2251" s="144"/>
      <c r="T2251" s="52"/>
      <c r="V2251" s="134"/>
      <c r="W2251" s="134"/>
      <c r="X2251" s="134"/>
      <c r="Y2251" s="134"/>
      <c r="Z2251" s="134"/>
      <c r="AA2251" s="134"/>
      <c r="AB2251" s="134"/>
      <c r="AC2251" s="134"/>
      <c r="AD2251" s="134"/>
    </row>
    <row r="2252">
      <c r="A2252" s="143"/>
      <c r="B2252" s="134"/>
      <c r="C2252" s="134"/>
      <c r="D2252" s="134"/>
      <c r="E2252" s="134"/>
      <c r="F2252" s="134"/>
      <c r="G2252" s="134"/>
      <c r="H2252" s="134"/>
      <c r="J2252" s="134"/>
      <c r="K2252" s="135"/>
      <c r="L2252" s="136"/>
      <c r="M2252" s="144"/>
      <c r="T2252" s="52"/>
      <c r="V2252" s="134"/>
      <c r="W2252" s="134"/>
      <c r="X2252" s="134"/>
      <c r="Y2252" s="134"/>
      <c r="Z2252" s="134"/>
      <c r="AA2252" s="134"/>
      <c r="AB2252" s="134"/>
      <c r="AC2252" s="134"/>
      <c r="AD2252" s="134"/>
    </row>
    <row r="2253">
      <c r="A2253" s="143"/>
      <c r="B2253" s="134"/>
      <c r="C2253" s="134"/>
      <c r="D2253" s="134"/>
      <c r="E2253" s="134"/>
      <c r="F2253" s="134"/>
      <c r="G2253" s="134"/>
      <c r="H2253" s="134"/>
      <c r="J2253" s="134"/>
      <c r="K2253" s="135"/>
      <c r="L2253" s="136"/>
      <c r="M2253" s="144"/>
      <c r="T2253" s="52"/>
      <c r="V2253" s="134"/>
      <c r="W2253" s="134"/>
      <c r="X2253" s="134"/>
      <c r="Y2253" s="134"/>
      <c r="Z2253" s="134"/>
      <c r="AA2253" s="134"/>
      <c r="AB2253" s="134"/>
      <c r="AC2253" s="134"/>
      <c r="AD2253" s="134"/>
    </row>
    <row r="2254">
      <c r="A2254" s="143"/>
      <c r="B2254" s="134"/>
      <c r="C2254" s="134"/>
      <c r="D2254" s="134"/>
      <c r="E2254" s="134"/>
      <c r="F2254" s="134"/>
      <c r="G2254" s="134"/>
      <c r="H2254" s="134"/>
      <c r="J2254" s="134"/>
      <c r="K2254" s="135"/>
      <c r="L2254" s="136"/>
      <c r="M2254" s="144"/>
      <c r="T2254" s="52"/>
      <c r="V2254" s="134"/>
      <c r="W2254" s="134"/>
      <c r="X2254" s="134"/>
      <c r="Y2254" s="134"/>
      <c r="Z2254" s="134"/>
      <c r="AA2254" s="134"/>
      <c r="AB2254" s="134"/>
      <c r="AC2254" s="134"/>
      <c r="AD2254" s="134"/>
    </row>
    <row r="2255">
      <c r="A2255" s="143"/>
      <c r="B2255" s="134"/>
      <c r="C2255" s="134"/>
      <c r="D2255" s="134"/>
      <c r="E2255" s="134"/>
      <c r="F2255" s="134"/>
      <c r="G2255" s="134"/>
      <c r="H2255" s="134"/>
      <c r="J2255" s="134"/>
      <c r="K2255" s="135"/>
      <c r="L2255" s="136"/>
      <c r="M2255" s="144"/>
      <c r="T2255" s="52"/>
      <c r="V2255" s="134"/>
      <c r="W2255" s="134"/>
      <c r="X2255" s="134"/>
      <c r="Y2255" s="134"/>
      <c r="Z2255" s="134"/>
      <c r="AA2255" s="134"/>
      <c r="AB2255" s="134"/>
      <c r="AC2255" s="134"/>
      <c r="AD2255" s="134"/>
    </row>
    <row r="2256">
      <c r="A2256" s="143"/>
      <c r="B2256" s="134"/>
      <c r="C2256" s="134"/>
      <c r="D2256" s="134"/>
      <c r="E2256" s="134"/>
      <c r="F2256" s="134"/>
      <c r="G2256" s="134"/>
      <c r="H2256" s="134"/>
      <c r="J2256" s="134"/>
      <c r="K2256" s="135"/>
      <c r="L2256" s="136"/>
      <c r="M2256" s="144"/>
      <c r="T2256" s="52"/>
      <c r="V2256" s="134"/>
      <c r="W2256" s="134"/>
      <c r="X2256" s="134"/>
      <c r="Y2256" s="134"/>
      <c r="Z2256" s="134"/>
      <c r="AA2256" s="134"/>
      <c r="AB2256" s="134"/>
      <c r="AC2256" s="134"/>
      <c r="AD2256" s="134"/>
    </row>
    <row r="2257">
      <c r="A2257" s="143"/>
      <c r="B2257" s="134"/>
      <c r="C2257" s="134"/>
      <c r="D2257" s="134"/>
      <c r="E2257" s="134"/>
      <c r="F2257" s="134"/>
      <c r="G2257" s="134"/>
      <c r="H2257" s="134"/>
      <c r="J2257" s="134"/>
      <c r="K2257" s="135"/>
      <c r="L2257" s="136"/>
      <c r="M2257" s="144"/>
      <c r="T2257" s="52"/>
      <c r="V2257" s="134"/>
      <c r="W2257" s="134"/>
      <c r="X2257" s="134"/>
      <c r="Y2257" s="134"/>
      <c r="Z2257" s="134"/>
      <c r="AA2257" s="134"/>
      <c r="AB2257" s="134"/>
      <c r="AC2257" s="134"/>
      <c r="AD2257" s="134"/>
    </row>
    <row r="2258">
      <c r="A2258" s="143"/>
      <c r="B2258" s="134"/>
      <c r="C2258" s="134"/>
      <c r="D2258" s="134"/>
      <c r="E2258" s="134"/>
      <c r="F2258" s="134"/>
      <c r="G2258" s="134"/>
      <c r="H2258" s="134"/>
      <c r="J2258" s="134"/>
      <c r="K2258" s="135"/>
      <c r="L2258" s="136"/>
      <c r="M2258" s="144"/>
      <c r="T2258" s="52"/>
      <c r="V2258" s="134"/>
      <c r="W2258" s="134"/>
      <c r="X2258" s="134"/>
      <c r="Y2258" s="134"/>
      <c r="Z2258" s="134"/>
      <c r="AA2258" s="134"/>
      <c r="AB2258" s="134"/>
      <c r="AC2258" s="134"/>
      <c r="AD2258" s="134"/>
    </row>
    <row r="2259">
      <c r="A2259" s="143"/>
      <c r="B2259" s="134"/>
      <c r="C2259" s="134"/>
      <c r="D2259" s="134"/>
      <c r="E2259" s="134"/>
      <c r="F2259" s="134"/>
      <c r="G2259" s="134"/>
      <c r="H2259" s="134"/>
      <c r="J2259" s="134"/>
      <c r="K2259" s="135"/>
      <c r="L2259" s="136"/>
      <c r="M2259" s="144"/>
      <c r="T2259" s="52"/>
      <c r="V2259" s="134"/>
      <c r="W2259" s="134"/>
      <c r="X2259" s="134"/>
      <c r="Y2259" s="134"/>
      <c r="Z2259" s="134"/>
      <c r="AA2259" s="134"/>
      <c r="AB2259" s="134"/>
      <c r="AC2259" s="134"/>
      <c r="AD2259" s="134"/>
    </row>
    <row r="2260">
      <c r="A2260" s="143"/>
      <c r="B2260" s="134"/>
      <c r="C2260" s="134"/>
      <c r="D2260" s="134"/>
      <c r="E2260" s="134"/>
      <c r="F2260" s="134"/>
      <c r="G2260" s="134"/>
      <c r="H2260" s="134"/>
      <c r="J2260" s="134"/>
      <c r="K2260" s="135"/>
      <c r="L2260" s="136"/>
      <c r="M2260" s="144"/>
      <c r="T2260" s="52"/>
      <c r="V2260" s="134"/>
      <c r="W2260" s="134"/>
      <c r="X2260" s="134"/>
      <c r="Y2260" s="134"/>
      <c r="Z2260" s="134"/>
      <c r="AA2260" s="134"/>
      <c r="AB2260" s="134"/>
      <c r="AC2260" s="134"/>
      <c r="AD2260" s="134"/>
    </row>
    <row r="2261">
      <c r="A2261" s="143"/>
      <c r="B2261" s="134"/>
      <c r="C2261" s="134"/>
      <c r="D2261" s="134"/>
      <c r="E2261" s="134"/>
      <c r="F2261" s="134"/>
      <c r="G2261" s="134"/>
      <c r="H2261" s="134"/>
      <c r="J2261" s="134"/>
      <c r="K2261" s="135"/>
      <c r="L2261" s="136"/>
      <c r="M2261" s="144"/>
      <c r="T2261" s="52"/>
      <c r="V2261" s="134"/>
      <c r="W2261" s="134"/>
      <c r="X2261" s="134"/>
      <c r="Y2261" s="134"/>
      <c r="Z2261" s="134"/>
      <c r="AA2261" s="134"/>
      <c r="AB2261" s="134"/>
      <c r="AC2261" s="134"/>
      <c r="AD2261" s="134"/>
    </row>
    <row r="2262">
      <c r="A2262" s="143"/>
      <c r="B2262" s="134"/>
      <c r="C2262" s="134"/>
      <c r="D2262" s="134"/>
      <c r="E2262" s="134"/>
      <c r="F2262" s="134"/>
      <c r="G2262" s="134"/>
      <c r="H2262" s="134"/>
      <c r="J2262" s="134"/>
      <c r="K2262" s="135"/>
      <c r="L2262" s="136"/>
      <c r="M2262" s="144"/>
      <c r="T2262" s="52"/>
      <c r="V2262" s="134"/>
      <c r="W2262" s="134"/>
      <c r="X2262" s="134"/>
      <c r="Y2262" s="134"/>
      <c r="Z2262" s="134"/>
      <c r="AA2262" s="134"/>
      <c r="AB2262" s="134"/>
      <c r="AC2262" s="134"/>
      <c r="AD2262" s="134"/>
    </row>
    <row r="2263">
      <c r="A2263" s="143"/>
      <c r="B2263" s="134"/>
      <c r="C2263" s="134"/>
      <c r="D2263" s="134"/>
      <c r="E2263" s="134"/>
      <c r="F2263" s="134"/>
      <c r="G2263" s="134"/>
      <c r="H2263" s="134"/>
      <c r="J2263" s="134"/>
      <c r="K2263" s="135"/>
      <c r="L2263" s="136"/>
      <c r="M2263" s="144"/>
      <c r="T2263" s="52"/>
      <c r="V2263" s="134"/>
      <c r="W2263" s="134"/>
      <c r="X2263" s="134"/>
      <c r="Y2263" s="134"/>
      <c r="Z2263" s="134"/>
      <c r="AA2263" s="134"/>
      <c r="AB2263" s="134"/>
      <c r="AC2263" s="134"/>
      <c r="AD2263" s="134"/>
    </row>
    <row r="2264">
      <c r="A2264" s="143"/>
      <c r="B2264" s="134"/>
      <c r="C2264" s="134"/>
      <c r="D2264" s="134"/>
      <c r="E2264" s="134"/>
      <c r="F2264" s="134"/>
      <c r="G2264" s="134"/>
      <c r="H2264" s="134"/>
      <c r="J2264" s="134"/>
      <c r="K2264" s="135"/>
      <c r="L2264" s="136"/>
      <c r="M2264" s="144"/>
      <c r="T2264" s="52"/>
      <c r="V2264" s="134"/>
      <c r="W2264" s="134"/>
      <c r="X2264" s="134"/>
      <c r="Y2264" s="134"/>
      <c r="Z2264" s="134"/>
      <c r="AA2264" s="134"/>
      <c r="AB2264" s="134"/>
      <c r="AC2264" s="134"/>
      <c r="AD2264" s="134"/>
    </row>
    <row r="2265">
      <c r="A2265" s="143"/>
      <c r="B2265" s="134"/>
      <c r="C2265" s="134"/>
      <c r="D2265" s="134"/>
      <c r="E2265" s="134"/>
      <c r="F2265" s="134"/>
      <c r="G2265" s="134"/>
      <c r="H2265" s="134"/>
      <c r="J2265" s="134"/>
      <c r="K2265" s="135"/>
      <c r="L2265" s="136"/>
      <c r="M2265" s="144"/>
      <c r="T2265" s="52"/>
      <c r="V2265" s="134"/>
      <c r="W2265" s="134"/>
      <c r="X2265" s="134"/>
      <c r="Y2265" s="134"/>
      <c r="Z2265" s="134"/>
      <c r="AA2265" s="134"/>
      <c r="AB2265" s="134"/>
      <c r="AC2265" s="134"/>
      <c r="AD2265" s="134"/>
    </row>
    <row r="2266">
      <c r="A2266" s="143"/>
      <c r="B2266" s="134"/>
      <c r="C2266" s="134"/>
      <c r="D2266" s="134"/>
      <c r="E2266" s="134"/>
      <c r="F2266" s="134"/>
      <c r="G2266" s="134"/>
      <c r="H2266" s="134"/>
      <c r="J2266" s="134"/>
      <c r="K2266" s="135"/>
      <c r="L2266" s="136"/>
      <c r="M2266" s="144"/>
      <c r="T2266" s="52"/>
      <c r="V2266" s="134"/>
      <c r="W2266" s="134"/>
      <c r="X2266" s="134"/>
      <c r="Y2266" s="134"/>
      <c r="Z2266" s="134"/>
      <c r="AA2266" s="134"/>
      <c r="AB2266" s="134"/>
      <c r="AC2266" s="134"/>
      <c r="AD2266" s="134"/>
    </row>
    <row r="2267">
      <c r="A2267" s="143"/>
      <c r="B2267" s="134"/>
      <c r="C2267" s="134"/>
      <c r="D2267" s="134"/>
      <c r="E2267" s="134"/>
      <c r="F2267" s="134"/>
      <c r="G2267" s="134"/>
      <c r="H2267" s="134"/>
      <c r="J2267" s="134"/>
      <c r="K2267" s="135"/>
      <c r="L2267" s="136"/>
      <c r="M2267" s="144"/>
      <c r="T2267" s="52"/>
      <c r="V2267" s="134"/>
      <c r="W2267" s="134"/>
      <c r="X2267" s="134"/>
      <c r="Y2267" s="134"/>
      <c r="Z2267" s="134"/>
      <c r="AA2267" s="134"/>
      <c r="AB2267" s="134"/>
      <c r="AC2267" s="134"/>
      <c r="AD2267" s="134"/>
    </row>
    <row r="2268">
      <c r="A2268" s="143"/>
      <c r="B2268" s="134"/>
      <c r="C2268" s="134"/>
      <c r="D2268" s="134"/>
      <c r="E2268" s="134"/>
      <c r="F2268" s="134"/>
      <c r="G2268" s="134"/>
      <c r="H2268" s="134"/>
      <c r="J2268" s="134"/>
      <c r="K2268" s="135"/>
      <c r="L2268" s="136"/>
      <c r="M2268" s="144"/>
      <c r="T2268" s="52"/>
      <c r="V2268" s="134"/>
      <c r="W2268" s="134"/>
      <c r="X2268" s="134"/>
      <c r="Y2268" s="134"/>
      <c r="Z2268" s="134"/>
      <c r="AA2268" s="134"/>
      <c r="AB2268" s="134"/>
      <c r="AC2268" s="134"/>
      <c r="AD2268" s="134"/>
    </row>
    <row r="2269">
      <c r="A2269" s="143"/>
      <c r="B2269" s="134"/>
      <c r="C2269" s="134"/>
      <c r="D2269" s="134"/>
      <c r="E2269" s="134"/>
      <c r="F2269" s="134"/>
      <c r="G2269" s="134"/>
      <c r="H2269" s="134"/>
      <c r="J2269" s="134"/>
      <c r="K2269" s="135"/>
      <c r="L2269" s="136"/>
      <c r="M2269" s="144"/>
      <c r="T2269" s="52"/>
      <c r="V2269" s="134"/>
      <c r="W2269" s="134"/>
      <c r="X2269" s="134"/>
      <c r="Y2269" s="134"/>
      <c r="Z2269" s="134"/>
      <c r="AA2269" s="134"/>
      <c r="AB2269" s="134"/>
      <c r="AC2269" s="134"/>
      <c r="AD2269" s="134"/>
    </row>
    <row r="2270">
      <c r="A2270" s="143"/>
      <c r="B2270" s="134"/>
      <c r="C2270" s="134"/>
      <c r="D2270" s="134"/>
      <c r="E2270" s="134"/>
      <c r="F2270" s="134"/>
      <c r="G2270" s="134"/>
      <c r="H2270" s="134"/>
      <c r="J2270" s="134"/>
      <c r="K2270" s="135"/>
      <c r="L2270" s="136"/>
      <c r="M2270" s="144"/>
      <c r="T2270" s="52"/>
      <c r="V2270" s="134"/>
      <c r="W2270" s="134"/>
      <c r="X2270" s="134"/>
      <c r="Y2270" s="134"/>
      <c r="Z2270" s="134"/>
      <c r="AA2270" s="134"/>
      <c r="AB2270" s="134"/>
      <c r="AC2270" s="134"/>
      <c r="AD2270" s="134"/>
    </row>
    <row r="2271">
      <c r="A2271" s="143"/>
      <c r="B2271" s="134"/>
      <c r="C2271" s="134"/>
      <c r="D2271" s="134"/>
      <c r="E2271" s="134"/>
      <c r="F2271" s="134"/>
      <c r="G2271" s="134"/>
      <c r="H2271" s="134"/>
      <c r="J2271" s="134"/>
      <c r="K2271" s="135"/>
      <c r="L2271" s="136"/>
      <c r="M2271" s="144"/>
      <c r="T2271" s="52"/>
      <c r="V2271" s="134"/>
      <c r="W2271" s="134"/>
      <c r="X2271" s="134"/>
      <c r="Y2271" s="134"/>
      <c r="Z2271" s="134"/>
      <c r="AA2271" s="134"/>
      <c r="AB2271" s="134"/>
      <c r="AC2271" s="134"/>
      <c r="AD2271" s="134"/>
    </row>
    <row r="2272">
      <c r="A2272" s="143"/>
      <c r="B2272" s="134"/>
      <c r="C2272" s="134"/>
      <c r="D2272" s="134"/>
      <c r="E2272" s="134"/>
      <c r="F2272" s="134"/>
      <c r="G2272" s="134"/>
      <c r="H2272" s="134"/>
      <c r="J2272" s="134"/>
      <c r="K2272" s="135"/>
      <c r="L2272" s="136"/>
      <c r="M2272" s="144"/>
      <c r="T2272" s="52"/>
      <c r="V2272" s="134"/>
      <c r="W2272" s="134"/>
      <c r="X2272" s="134"/>
      <c r="Y2272" s="134"/>
      <c r="Z2272" s="134"/>
      <c r="AA2272" s="134"/>
      <c r="AB2272" s="134"/>
      <c r="AC2272" s="134"/>
      <c r="AD2272" s="134"/>
    </row>
    <row r="2273">
      <c r="A2273" s="143"/>
      <c r="B2273" s="134"/>
      <c r="C2273" s="134"/>
      <c r="D2273" s="134"/>
      <c r="E2273" s="134"/>
      <c r="F2273" s="134"/>
      <c r="G2273" s="134"/>
      <c r="H2273" s="134"/>
      <c r="J2273" s="134"/>
      <c r="K2273" s="135"/>
      <c r="L2273" s="136"/>
      <c r="M2273" s="144"/>
      <c r="T2273" s="52"/>
      <c r="V2273" s="134"/>
      <c r="W2273" s="134"/>
      <c r="X2273" s="134"/>
      <c r="Y2273" s="134"/>
      <c r="Z2273" s="134"/>
      <c r="AA2273" s="134"/>
      <c r="AB2273" s="134"/>
      <c r="AC2273" s="134"/>
      <c r="AD2273" s="134"/>
    </row>
    <row r="2274">
      <c r="A2274" s="143"/>
      <c r="B2274" s="134"/>
      <c r="C2274" s="134"/>
      <c r="D2274" s="134"/>
      <c r="E2274" s="134"/>
      <c r="F2274" s="134"/>
      <c r="G2274" s="134"/>
      <c r="H2274" s="134"/>
      <c r="J2274" s="134"/>
      <c r="K2274" s="135"/>
      <c r="L2274" s="136"/>
      <c r="M2274" s="144"/>
      <c r="T2274" s="52"/>
      <c r="V2274" s="134"/>
      <c r="W2274" s="134"/>
      <c r="X2274" s="134"/>
      <c r="Y2274" s="134"/>
      <c r="Z2274" s="134"/>
      <c r="AA2274" s="134"/>
      <c r="AB2274" s="134"/>
      <c r="AC2274" s="134"/>
      <c r="AD2274" s="134"/>
    </row>
    <row r="2275">
      <c r="A2275" s="143"/>
      <c r="B2275" s="134"/>
      <c r="C2275" s="134"/>
      <c r="D2275" s="134"/>
      <c r="E2275" s="134"/>
      <c r="F2275" s="134"/>
      <c r="G2275" s="134"/>
      <c r="H2275" s="134"/>
      <c r="J2275" s="134"/>
      <c r="K2275" s="135"/>
      <c r="L2275" s="136"/>
      <c r="M2275" s="144"/>
      <c r="T2275" s="52"/>
      <c r="V2275" s="134"/>
      <c r="W2275" s="134"/>
      <c r="X2275" s="134"/>
      <c r="Y2275" s="134"/>
      <c r="Z2275" s="134"/>
      <c r="AA2275" s="134"/>
      <c r="AB2275" s="134"/>
      <c r="AC2275" s="134"/>
      <c r="AD2275" s="134"/>
    </row>
    <row r="2276">
      <c r="A2276" s="143"/>
      <c r="B2276" s="134"/>
      <c r="C2276" s="134"/>
      <c r="D2276" s="134"/>
      <c r="E2276" s="134"/>
      <c r="F2276" s="134"/>
      <c r="G2276" s="134"/>
      <c r="H2276" s="134"/>
      <c r="J2276" s="134"/>
      <c r="K2276" s="135"/>
      <c r="L2276" s="136"/>
      <c r="M2276" s="144"/>
      <c r="T2276" s="52"/>
      <c r="V2276" s="134"/>
      <c r="W2276" s="134"/>
      <c r="X2276" s="134"/>
      <c r="Y2276" s="134"/>
      <c r="Z2276" s="134"/>
      <c r="AA2276" s="134"/>
      <c r="AB2276" s="134"/>
      <c r="AC2276" s="134"/>
      <c r="AD2276" s="134"/>
    </row>
    <row r="2277">
      <c r="A2277" s="143"/>
      <c r="B2277" s="134"/>
      <c r="C2277" s="134"/>
      <c r="D2277" s="134"/>
      <c r="E2277" s="134"/>
      <c r="F2277" s="134"/>
      <c r="G2277" s="134"/>
      <c r="H2277" s="134"/>
      <c r="J2277" s="134"/>
      <c r="K2277" s="135"/>
      <c r="L2277" s="136"/>
      <c r="M2277" s="144"/>
      <c r="T2277" s="52"/>
      <c r="V2277" s="134"/>
      <c r="W2277" s="134"/>
      <c r="X2277" s="134"/>
      <c r="Y2277" s="134"/>
      <c r="Z2277" s="134"/>
      <c r="AA2277" s="134"/>
      <c r="AB2277" s="134"/>
      <c r="AC2277" s="134"/>
      <c r="AD2277" s="134"/>
    </row>
    <row r="2278">
      <c r="A2278" s="143"/>
      <c r="B2278" s="134"/>
      <c r="C2278" s="134"/>
      <c r="D2278" s="134"/>
      <c r="E2278" s="134"/>
      <c r="F2278" s="134"/>
      <c r="G2278" s="134"/>
      <c r="H2278" s="134"/>
      <c r="J2278" s="134"/>
      <c r="K2278" s="135"/>
      <c r="L2278" s="136"/>
      <c r="M2278" s="144"/>
      <c r="T2278" s="52"/>
      <c r="V2278" s="134"/>
      <c r="W2278" s="134"/>
      <c r="X2278" s="134"/>
      <c r="Y2278" s="134"/>
      <c r="Z2278" s="134"/>
      <c r="AA2278" s="134"/>
      <c r="AB2278" s="134"/>
      <c r="AC2278" s="134"/>
      <c r="AD2278" s="134"/>
    </row>
    <row r="2279">
      <c r="A2279" s="143"/>
      <c r="B2279" s="134"/>
      <c r="C2279" s="134"/>
      <c r="D2279" s="134"/>
      <c r="E2279" s="134"/>
      <c r="F2279" s="134"/>
      <c r="G2279" s="134"/>
      <c r="H2279" s="134"/>
      <c r="J2279" s="134"/>
      <c r="K2279" s="135"/>
      <c r="L2279" s="136"/>
      <c r="M2279" s="144"/>
      <c r="T2279" s="52"/>
      <c r="V2279" s="134"/>
      <c r="W2279" s="134"/>
      <c r="X2279" s="134"/>
      <c r="Y2279" s="134"/>
      <c r="Z2279" s="134"/>
      <c r="AA2279" s="134"/>
      <c r="AB2279" s="134"/>
      <c r="AC2279" s="134"/>
      <c r="AD2279" s="134"/>
    </row>
    <row r="2280">
      <c r="A2280" s="143"/>
      <c r="B2280" s="134"/>
      <c r="C2280" s="134"/>
      <c r="D2280" s="134"/>
      <c r="E2280" s="134"/>
      <c r="F2280" s="134"/>
      <c r="G2280" s="134"/>
      <c r="H2280" s="134"/>
      <c r="J2280" s="134"/>
      <c r="K2280" s="135"/>
      <c r="L2280" s="136"/>
      <c r="M2280" s="144"/>
      <c r="T2280" s="52"/>
      <c r="V2280" s="134"/>
      <c r="W2280" s="134"/>
      <c r="X2280" s="134"/>
      <c r="Y2280" s="134"/>
      <c r="Z2280" s="134"/>
      <c r="AA2280" s="134"/>
      <c r="AB2280" s="134"/>
      <c r="AC2280" s="134"/>
      <c r="AD2280" s="134"/>
    </row>
    <row r="2281">
      <c r="A2281" s="143"/>
      <c r="B2281" s="134"/>
      <c r="C2281" s="134"/>
      <c r="D2281" s="134"/>
      <c r="E2281" s="134"/>
      <c r="F2281" s="134"/>
      <c r="G2281" s="134"/>
      <c r="H2281" s="134"/>
      <c r="J2281" s="134"/>
      <c r="K2281" s="135"/>
      <c r="L2281" s="136"/>
      <c r="M2281" s="144"/>
      <c r="T2281" s="52"/>
      <c r="V2281" s="134"/>
      <c r="W2281" s="134"/>
      <c r="X2281" s="134"/>
      <c r="Y2281" s="134"/>
      <c r="Z2281" s="134"/>
      <c r="AA2281" s="134"/>
      <c r="AB2281" s="134"/>
      <c r="AC2281" s="134"/>
      <c r="AD2281" s="134"/>
    </row>
    <row r="2282">
      <c r="A2282" s="143"/>
      <c r="B2282" s="134"/>
      <c r="C2282" s="134"/>
      <c r="D2282" s="134"/>
      <c r="E2282" s="134"/>
      <c r="F2282" s="134"/>
      <c r="G2282" s="134"/>
      <c r="H2282" s="134"/>
      <c r="J2282" s="134"/>
      <c r="K2282" s="135"/>
      <c r="L2282" s="136"/>
      <c r="M2282" s="144"/>
      <c r="T2282" s="52"/>
      <c r="V2282" s="134"/>
      <c r="W2282" s="134"/>
      <c r="X2282" s="134"/>
      <c r="Y2282" s="134"/>
      <c r="Z2282" s="134"/>
      <c r="AA2282" s="134"/>
      <c r="AB2282" s="134"/>
      <c r="AC2282" s="134"/>
      <c r="AD2282" s="134"/>
    </row>
    <row r="2283">
      <c r="A2283" s="143"/>
      <c r="B2283" s="134"/>
      <c r="C2283" s="134"/>
      <c r="D2283" s="134"/>
      <c r="E2283" s="134"/>
      <c r="F2283" s="134"/>
      <c r="G2283" s="134"/>
      <c r="H2283" s="134"/>
      <c r="J2283" s="134"/>
      <c r="K2283" s="135"/>
      <c r="L2283" s="136"/>
      <c r="M2283" s="144"/>
      <c r="T2283" s="52"/>
      <c r="V2283" s="134"/>
      <c r="W2283" s="134"/>
      <c r="X2283" s="134"/>
      <c r="Y2283" s="134"/>
      <c r="Z2283" s="134"/>
      <c r="AA2283" s="134"/>
      <c r="AB2283" s="134"/>
      <c r="AC2283" s="134"/>
      <c r="AD2283" s="134"/>
    </row>
    <row r="2284">
      <c r="A2284" s="143"/>
      <c r="B2284" s="134"/>
      <c r="C2284" s="134"/>
      <c r="D2284" s="134"/>
      <c r="E2284" s="134"/>
      <c r="F2284" s="134"/>
      <c r="G2284" s="134"/>
      <c r="H2284" s="134"/>
      <c r="J2284" s="134"/>
      <c r="K2284" s="135"/>
      <c r="L2284" s="136"/>
      <c r="M2284" s="144"/>
      <c r="T2284" s="52"/>
      <c r="V2284" s="134"/>
      <c r="W2284" s="134"/>
      <c r="X2284" s="134"/>
      <c r="Y2284" s="134"/>
      <c r="Z2284" s="134"/>
      <c r="AA2284" s="134"/>
      <c r="AB2284" s="134"/>
      <c r="AC2284" s="134"/>
      <c r="AD2284" s="134"/>
    </row>
    <row r="2285">
      <c r="A2285" s="143"/>
      <c r="B2285" s="134"/>
      <c r="C2285" s="134"/>
      <c r="D2285" s="134"/>
      <c r="E2285" s="134"/>
      <c r="F2285" s="134"/>
      <c r="G2285" s="134"/>
      <c r="H2285" s="134"/>
      <c r="J2285" s="134"/>
      <c r="K2285" s="135"/>
      <c r="L2285" s="136"/>
      <c r="M2285" s="144"/>
      <c r="T2285" s="52"/>
      <c r="V2285" s="134"/>
      <c r="W2285" s="134"/>
      <c r="X2285" s="134"/>
      <c r="Y2285" s="134"/>
      <c r="Z2285" s="134"/>
      <c r="AA2285" s="134"/>
      <c r="AB2285" s="134"/>
      <c r="AC2285" s="134"/>
      <c r="AD2285" s="134"/>
    </row>
    <row r="2286">
      <c r="A2286" s="143"/>
      <c r="B2286" s="134"/>
      <c r="C2286" s="134"/>
      <c r="D2286" s="134"/>
      <c r="E2286" s="134"/>
      <c r="F2286" s="134"/>
      <c r="G2286" s="134"/>
      <c r="H2286" s="134"/>
      <c r="J2286" s="134"/>
      <c r="K2286" s="135"/>
      <c r="L2286" s="136"/>
      <c r="M2286" s="144"/>
      <c r="T2286" s="52"/>
      <c r="V2286" s="134"/>
      <c r="W2286" s="134"/>
      <c r="X2286" s="134"/>
      <c r="Y2286" s="134"/>
      <c r="Z2286" s="134"/>
      <c r="AA2286" s="134"/>
      <c r="AB2286" s="134"/>
      <c r="AC2286" s="134"/>
      <c r="AD2286" s="134"/>
    </row>
    <row r="2287">
      <c r="A2287" s="143"/>
      <c r="B2287" s="134"/>
      <c r="C2287" s="134"/>
      <c r="D2287" s="134"/>
      <c r="E2287" s="134"/>
      <c r="F2287" s="134"/>
      <c r="G2287" s="134"/>
      <c r="H2287" s="134"/>
      <c r="J2287" s="134"/>
      <c r="K2287" s="135"/>
      <c r="L2287" s="136"/>
      <c r="M2287" s="144"/>
      <c r="T2287" s="52"/>
      <c r="V2287" s="134"/>
      <c r="W2287" s="134"/>
      <c r="X2287" s="134"/>
      <c r="Y2287" s="134"/>
      <c r="Z2287" s="134"/>
      <c r="AA2287" s="134"/>
      <c r="AB2287" s="134"/>
      <c r="AC2287" s="134"/>
      <c r="AD2287" s="134"/>
    </row>
    <row r="2288">
      <c r="A2288" s="143"/>
      <c r="B2288" s="134"/>
      <c r="C2288" s="134"/>
      <c r="D2288" s="134"/>
      <c r="E2288" s="134"/>
      <c r="F2288" s="134"/>
      <c r="G2288" s="134"/>
      <c r="H2288" s="134"/>
      <c r="J2288" s="134"/>
      <c r="K2288" s="135"/>
      <c r="L2288" s="136"/>
      <c r="M2288" s="144"/>
      <c r="T2288" s="52"/>
      <c r="V2288" s="134"/>
      <c r="W2288" s="134"/>
      <c r="X2288" s="134"/>
      <c r="Y2288" s="134"/>
      <c r="Z2288" s="134"/>
      <c r="AA2288" s="134"/>
      <c r="AB2288" s="134"/>
      <c r="AC2288" s="134"/>
      <c r="AD2288" s="134"/>
    </row>
    <row r="2289">
      <c r="A2289" s="143"/>
      <c r="B2289" s="134"/>
      <c r="C2289" s="134"/>
      <c r="D2289" s="134"/>
      <c r="E2289" s="134"/>
      <c r="F2289" s="134"/>
      <c r="G2289" s="134"/>
      <c r="H2289" s="134"/>
      <c r="J2289" s="134"/>
      <c r="K2289" s="135"/>
      <c r="L2289" s="136"/>
      <c r="M2289" s="144"/>
      <c r="T2289" s="52"/>
      <c r="V2289" s="134"/>
      <c r="W2289" s="134"/>
      <c r="X2289" s="134"/>
      <c r="Y2289" s="134"/>
      <c r="Z2289" s="134"/>
      <c r="AA2289" s="134"/>
      <c r="AB2289" s="134"/>
      <c r="AC2289" s="134"/>
      <c r="AD2289" s="134"/>
    </row>
    <row r="2290">
      <c r="A2290" s="143"/>
      <c r="B2290" s="134"/>
      <c r="C2290" s="134"/>
      <c r="D2290" s="134"/>
      <c r="E2290" s="134"/>
      <c r="F2290" s="134"/>
      <c r="G2290" s="134"/>
      <c r="H2290" s="134"/>
      <c r="J2290" s="134"/>
      <c r="K2290" s="135"/>
      <c r="L2290" s="136"/>
      <c r="M2290" s="144"/>
      <c r="T2290" s="52"/>
      <c r="V2290" s="134"/>
      <c r="W2290" s="134"/>
      <c r="X2290" s="134"/>
      <c r="Y2290" s="134"/>
      <c r="Z2290" s="134"/>
      <c r="AA2290" s="134"/>
      <c r="AB2290" s="134"/>
      <c r="AC2290" s="134"/>
      <c r="AD2290" s="134"/>
    </row>
    <row r="2291">
      <c r="A2291" s="143"/>
      <c r="B2291" s="134"/>
      <c r="C2291" s="134"/>
      <c r="D2291" s="134"/>
      <c r="E2291" s="134"/>
      <c r="F2291" s="134"/>
      <c r="G2291" s="134"/>
      <c r="H2291" s="134"/>
      <c r="J2291" s="134"/>
      <c r="K2291" s="135"/>
      <c r="L2291" s="136"/>
      <c r="M2291" s="144"/>
      <c r="T2291" s="52"/>
      <c r="V2291" s="134"/>
      <c r="W2291" s="134"/>
      <c r="X2291" s="134"/>
      <c r="Y2291" s="134"/>
      <c r="Z2291" s="134"/>
      <c r="AA2291" s="134"/>
      <c r="AB2291" s="134"/>
      <c r="AC2291" s="134"/>
      <c r="AD2291" s="134"/>
    </row>
    <row r="2292">
      <c r="A2292" s="143"/>
      <c r="B2292" s="134"/>
      <c r="C2292" s="134"/>
      <c r="D2292" s="134"/>
      <c r="E2292" s="134"/>
      <c r="F2292" s="134"/>
      <c r="G2292" s="134"/>
      <c r="H2292" s="134"/>
      <c r="J2292" s="134"/>
      <c r="K2292" s="135"/>
      <c r="L2292" s="136"/>
      <c r="M2292" s="144"/>
      <c r="T2292" s="52"/>
      <c r="V2292" s="134"/>
      <c r="W2292" s="134"/>
      <c r="X2292" s="134"/>
      <c r="Y2292" s="134"/>
      <c r="Z2292" s="134"/>
      <c r="AA2292" s="134"/>
      <c r="AB2292" s="134"/>
      <c r="AC2292" s="134"/>
      <c r="AD2292" s="134"/>
    </row>
    <row r="2293">
      <c r="A2293" s="143"/>
      <c r="B2293" s="134"/>
      <c r="C2293" s="134"/>
      <c r="D2293" s="134"/>
      <c r="E2293" s="134"/>
      <c r="F2293" s="134"/>
      <c r="G2293" s="134"/>
      <c r="H2293" s="134"/>
      <c r="J2293" s="134"/>
      <c r="K2293" s="135"/>
      <c r="L2293" s="136"/>
      <c r="M2293" s="144"/>
      <c r="T2293" s="52"/>
      <c r="V2293" s="134"/>
      <c r="W2293" s="134"/>
      <c r="X2293" s="134"/>
      <c r="Y2293" s="134"/>
      <c r="Z2293" s="134"/>
      <c r="AA2293" s="134"/>
      <c r="AB2293" s="134"/>
      <c r="AC2293" s="134"/>
      <c r="AD2293" s="134"/>
    </row>
    <row r="2294">
      <c r="A2294" s="143"/>
      <c r="B2294" s="134"/>
      <c r="C2294" s="134"/>
      <c r="D2294" s="134"/>
      <c r="E2294" s="134"/>
      <c r="F2294" s="134"/>
      <c r="G2294" s="134"/>
      <c r="H2294" s="134"/>
      <c r="J2294" s="134"/>
      <c r="K2294" s="135"/>
      <c r="L2294" s="136"/>
      <c r="M2294" s="144"/>
      <c r="T2294" s="52"/>
      <c r="V2294" s="134"/>
      <c r="W2294" s="134"/>
      <c r="X2294" s="134"/>
      <c r="Y2294" s="134"/>
      <c r="Z2294" s="134"/>
      <c r="AA2294" s="134"/>
      <c r="AB2294" s="134"/>
      <c r="AC2294" s="134"/>
      <c r="AD2294" s="134"/>
    </row>
    <row r="2295">
      <c r="A2295" s="143"/>
      <c r="B2295" s="134"/>
      <c r="C2295" s="134"/>
      <c r="D2295" s="134"/>
      <c r="E2295" s="134"/>
      <c r="F2295" s="134"/>
      <c r="G2295" s="134"/>
      <c r="H2295" s="134"/>
      <c r="J2295" s="134"/>
      <c r="K2295" s="135"/>
      <c r="L2295" s="136"/>
      <c r="M2295" s="144"/>
      <c r="T2295" s="52"/>
      <c r="V2295" s="134"/>
      <c r="W2295" s="134"/>
      <c r="X2295" s="134"/>
      <c r="Y2295" s="134"/>
      <c r="Z2295" s="134"/>
      <c r="AA2295" s="134"/>
      <c r="AB2295" s="134"/>
      <c r="AC2295" s="134"/>
      <c r="AD2295" s="134"/>
    </row>
    <row r="2296">
      <c r="A2296" s="143"/>
      <c r="B2296" s="134"/>
      <c r="C2296" s="134"/>
      <c r="D2296" s="134"/>
      <c r="E2296" s="134"/>
      <c r="F2296" s="134"/>
      <c r="G2296" s="134"/>
      <c r="H2296" s="134"/>
      <c r="J2296" s="134"/>
      <c r="K2296" s="135"/>
      <c r="L2296" s="136"/>
      <c r="M2296" s="144"/>
      <c r="T2296" s="52"/>
      <c r="V2296" s="134"/>
      <c r="W2296" s="134"/>
      <c r="X2296" s="134"/>
      <c r="Y2296" s="134"/>
      <c r="Z2296" s="134"/>
      <c r="AA2296" s="134"/>
      <c r="AB2296" s="134"/>
      <c r="AC2296" s="134"/>
      <c r="AD2296" s="134"/>
    </row>
    <row r="2297">
      <c r="A2297" s="143"/>
      <c r="B2297" s="134"/>
      <c r="C2297" s="134"/>
      <c r="D2297" s="134"/>
      <c r="E2297" s="134"/>
      <c r="F2297" s="134"/>
      <c r="G2297" s="134"/>
      <c r="H2297" s="134"/>
      <c r="J2297" s="134"/>
      <c r="K2297" s="135"/>
      <c r="L2297" s="136"/>
      <c r="M2297" s="144"/>
      <c r="T2297" s="52"/>
      <c r="V2297" s="134"/>
      <c r="W2297" s="134"/>
      <c r="X2297" s="134"/>
      <c r="Y2297" s="134"/>
      <c r="Z2297" s="134"/>
      <c r="AA2297" s="134"/>
      <c r="AB2297" s="134"/>
      <c r="AC2297" s="134"/>
      <c r="AD2297" s="134"/>
    </row>
    <row r="2298">
      <c r="A2298" s="143"/>
      <c r="B2298" s="134"/>
      <c r="C2298" s="134"/>
      <c r="D2298" s="134"/>
      <c r="E2298" s="134"/>
      <c r="F2298" s="134"/>
      <c r="G2298" s="134"/>
      <c r="H2298" s="134"/>
      <c r="J2298" s="134"/>
      <c r="K2298" s="135"/>
      <c r="L2298" s="136"/>
      <c r="M2298" s="144"/>
      <c r="T2298" s="52"/>
      <c r="V2298" s="134"/>
      <c r="W2298" s="134"/>
      <c r="X2298" s="134"/>
      <c r="Y2298" s="134"/>
      <c r="Z2298" s="134"/>
      <c r="AA2298" s="134"/>
      <c r="AB2298" s="134"/>
      <c r="AC2298" s="134"/>
      <c r="AD2298" s="134"/>
    </row>
    <row r="2299">
      <c r="A2299" s="143"/>
      <c r="B2299" s="134"/>
      <c r="C2299" s="134"/>
      <c r="D2299" s="134"/>
      <c r="E2299" s="134"/>
      <c r="F2299" s="134"/>
      <c r="G2299" s="134"/>
      <c r="H2299" s="134"/>
      <c r="J2299" s="134"/>
      <c r="K2299" s="135"/>
      <c r="L2299" s="136"/>
      <c r="M2299" s="144"/>
      <c r="T2299" s="52"/>
      <c r="V2299" s="134"/>
      <c r="W2299" s="134"/>
      <c r="X2299" s="134"/>
      <c r="Y2299" s="134"/>
      <c r="Z2299" s="134"/>
      <c r="AA2299" s="134"/>
      <c r="AB2299" s="134"/>
      <c r="AC2299" s="134"/>
      <c r="AD2299" s="134"/>
    </row>
    <row r="2300">
      <c r="A2300" s="143"/>
      <c r="B2300" s="134"/>
      <c r="C2300" s="134"/>
      <c r="D2300" s="134"/>
      <c r="E2300" s="134"/>
      <c r="F2300" s="134"/>
      <c r="G2300" s="134"/>
      <c r="H2300" s="134"/>
      <c r="J2300" s="134"/>
      <c r="K2300" s="135"/>
      <c r="L2300" s="136"/>
      <c r="M2300" s="144"/>
      <c r="T2300" s="52"/>
      <c r="V2300" s="134"/>
      <c r="W2300" s="134"/>
      <c r="X2300" s="134"/>
      <c r="Y2300" s="134"/>
      <c r="Z2300" s="134"/>
      <c r="AA2300" s="134"/>
      <c r="AB2300" s="134"/>
      <c r="AC2300" s="134"/>
      <c r="AD2300" s="134"/>
    </row>
    <row r="2301">
      <c r="A2301" s="143"/>
      <c r="B2301" s="134"/>
      <c r="C2301" s="134"/>
      <c r="D2301" s="134"/>
      <c r="E2301" s="134"/>
      <c r="F2301" s="134"/>
      <c r="G2301" s="134"/>
      <c r="H2301" s="134"/>
      <c r="J2301" s="134"/>
      <c r="K2301" s="135"/>
      <c r="L2301" s="136"/>
      <c r="M2301" s="144"/>
      <c r="T2301" s="52"/>
      <c r="V2301" s="134"/>
      <c r="W2301" s="134"/>
      <c r="X2301" s="134"/>
      <c r="Y2301" s="134"/>
      <c r="Z2301" s="134"/>
      <c r="AA2301" s="134"/>
      <c r="AB2301" s="134"/>
      <c r="AC2301" s="134"/>
      <c r="AD2301" s="134"/>
    </row>
    <row r="2302">
      <c r="A2302" s="143"/>
      <c r="B2302" s="134"/>
      <c r="C2302" s="134"/>
      <c r="D2302" s="134"/>
      <c r="E2302" s="134"/>
      <c r="F2302" s="134"/>
      <c r="G2302" s="134"/>
      <c r="H2302" s="134"/>
      <c r="J2302" s="134"/>
      <c r="K2302" s="135"/>
      <c r="L2302" s="136"/>
      <c r="M2302" s="144"/>
      <c r="T2302" s="52"/>
      <c r="V2302" s="134"/>
      <c r="W2302" s="134"/>
      <c r="X2302" s="134"/>
      <c r="Y2302" s="134"/>
      <c r="Z2302" s="134"/>
      <c r="AA2302" s="134"/>
      <c r="AB2302" s="134"/>
      <c r="AC2302" s="134"/>
      <c r="AD2302" s="134"/>
    </row>
    <row r="2303">
      <c r="A2303" s="143"/>
      <c r="B2303" s="134"/>
      <c r="C2303" s="134"/>
      <c r="D2303" s="134"/>
      <c r="E2303" s="134"/>
      <c r="F2303" s="134"/>
      <c r="G2303" s="134"/>
      <c r="H2303" s="134"/>
      <c r="J2303" s="134"/>
      <c r="K2303" s="135"/>
      <c r="L2303" s="136"/>
      <c r="M2303" s="144"/>
      <c r="T2303" s="52"/>
      <c r="V2303" s="134"/>
      <c r="W2303" s="134"/>
      <c r="X2303" s="134"/>
      <c r="Y2303" s="134"/>
      <c r="Z2303" s="134"/>
      <c r="AA2303" s="134"/>
      <c r="AB2303" s="134"/>
      <c r="AC2303" s="134"/>
      <c r="AD2303" s="134"/>
    </row>
    <row r="2304">
      <c r="A2304" s="143"/>
      <c r="B2304" s="134"/>
      <c r="C2304" s="134"/>
      <c r="D2304" s="134"/>
      <c r="E2304" s="134"/>
      <c r="F2304" s="134"/>
      <c r="G2304" s="134"/>
      <c r="H2304" s="134"/>
      <c r="J2304" s="134"/>
      <c r="K2304" s="135"/>
      <c r="L2304" s="136"/>
      <c r="M2304" s="144"/>
      <c r="T2304" s="52"/>
      <c r="V2304" s="134"/>
      <c r="W2304" s="134"/>
      <c r="X2304" s="134"/>
      <c r="Y2304" s="134"/>
      <c r="Z2304" s="134"/>
      <c r="AA2304" s="134"/>
      <c r="AB2304" s="134"/>
      <c r="AC2304" s="134"/>
      <c r="AD2304" s="134"/>
    </row>
    <row r="2305">
      <c r="A2305" s="143"/>
      <c r="B2305" s="134"/>
      <c r="C2305" s="134"/>
      <c r="D2305" s="134"/>
      <c r="E2305" s="134"/>
      <c r="F2305" s="134"/>
      <c r="G2305" s="134"/>
      <c r="H2305" s="134"/>
      <c r="J2305" s="134"/>
      <c r="K2305" s="135"/>
      <c r="L2305" s="136"/>
      <c r="M2305" s="144"/>
      <c r="T2305" s="52"/>
      <c r="V2305" s="134"/>
      <c r="W2305" s="134"/>
      <c r="X2305" s="134"/>
      <c r="Y2305" s="134"/>
      <c r="Z2305" s="134"/>
      <c r="AA2305" s="134"/>
      <c r="AB2305" s="134"/>
      <c r="AC2305" s="134"/>
      <c r="AD2305" s="134"/>
    </row>
    <row r="2306">
      <c r="A2306" s="143"/>
      <c r="B2306" s="134"/>
      <c r="C2306" s="134"/>
      <c r="D2306" s="134"/>
      <c r="E2306" s="134"/>
      <c r="F2306" s="134"/>
      <c r="G2306" s="134"/>
      <c r="H2306" s="134"/>
      <c r="J2306" s="134"/>
      <c r="K2306" s="135"/>
      <c r="L2306" s="136"/>
      <c r="M2306" s="144"/>
      <c r="T2306" s="52"/>
      <c r="V2306" s="134"/>
      <c r="W2306" s="134"/>
      <c r="X2306" s="134"/>
      <c r="Y2306" s="134"/>
      <c r="Z2306" s="134"/>
      <c r="AA2306" s="134"/>
      <c r="AB2306" s="134"/>
      <c r="AC2306" s="134"/>
      <c r="AD2306" s="134"/>
    </row>
    <row r="2307">
      <c r="A2307" s="143"/>
      <c r="B2307" s="134"/>
      <c r="C2307" s="134"/>
      <c r="D2307" s="134"/>
      <c r="E2307" s="134"/>
      <c r="F2307" s="134"/>
      <c r="G2307" s="134"/>
      <c r="H2307" s="134"/>
      <c r="J2307" s="134"/>
      <c r="K2307" s="135"/>
      <c r="L2307" s="136"/>
      <c r="M2307" s="144"/>
      <c r="T2307" s="52"/>
      <c r="V2307" s="134"/>
      <c r="W2307" s="134"/>
      <c r="X2307" s="134"/>
      <c r="Y2307" s="134"/>
      <c r="Z2307" s="134"/>
      <c r="AA2307" s="134"/>
      <c r="AB2307" s="134"/>
      <c r="AC2307" s="134"/>
      <c r="AD2307" s="134"/>
    </row>
    <row r="2308">
      <c r="A2308" s="143"/>
      <c r="B2308" s="134"/>
      <c r="C2308" s="134"/>
      <c r="D2308" s="134"/>
      <c r="E2308" s="134"/>
      <c r="F2308" s="134"/>
      <c r="G2308" s="134"/>
      <c r="H2308" s="134"/>
      <c r="J2308" s="134"/>
      <c r="K2308" s="135"/>
      <c r="L2308" s="136"/>
      <c r="M2308" s="144"/>
      <c r="T2308" s="52"/>
      <c r="V2308" s="134"/>
      <c r="W2308" s="134"/>
      <c r="X2308" s="134"/>
      <c r="Y2308" s="134"/>
      <c r="Z2308" s="134"/>
      <c r="AA2308" s="134"/>
      <c r="AB2308" s="134"/>
      <c r="AC2308" s="134"/>
      <c r="AD2308" s="134"/>
    </row>
    <row r="2309">
      <c r="A2309" s="143"/>
      <c r="B2309" s="134"/>
      <c r="C2309" s="134"/>
      <c r="D2309" s="134"/>
      <c r="E2309" s="134"/>
      <c r="F2309" s="134"/>
      <c r="G2309" s="134"/>
      <c r="H2309" s="134"/>
      <c r="J2309" s="134"/>
      <c r="K2309" s="135"/>
      <c r="L2309" s="136"/>
      <c r="M2309" s="144"/>
      <c r="T2309" s="52"/>
      <c r="V2309" s="134"/>
      <c r="W2309" s="134"/>
      <c r="X2309" s="134"/>
      <c r="Y2309" s="134"/>
      <c r="Z2309" s="134"/>
      <c r="AA2309" s="134"/>
      <c r="AB2309" s="134"/>
      <c r="AC2309" s="134"/>
      <c r="AD2309" s="134"/>
    </row>
    <row r="2310">
      <c r="A2310" s="143"/>
      <c r="B2310" s="134"/>
      <c r="C2310" s="134"/>
      <c r="D2310" s="134"/>
      <c r="E2310" s="134"/>
      <c r="F2310" s="134"/>
      <c r="G2310" s="134"/>
      <c r="H2310" s="134"/>
      <c r="J2310" s="134"/>
      <c r="K2310" s="135"/>
      <c r="L2310" s="136"/>
      <c r="M2310" s="144"/>
      <c r="T2310" s="52"/>
      <c r="V2310" s="134"/>
      <c r="W2310" s="134"/>
      <c r="X2310" s="134"/>
      <c r="Y2310" s="134"/>
      <c r="Z2310" s="134"/>
      <c r="AA2310" s="134"/>
      <c r="AB2310" s="134"/>
      <c r="AC2310" s="134"/>
      <c r="AD2310" s="134"/>
    </row>
    <row r="2311">
      <c r="A2311" s="143"/>
      <c r="B2311" s="134"/>
      <c r="C2311" s="134"/>
      <c r="D2311" s="134"/>
      <c r="E2311" s="134"/>
      <c r="F2311" s="134"/>
      <c r="G2311" s="134"/>
      <c r="H2311" s="134"/>
      <c r="J2311" s="134"/>
      <c r="K2311" s="135"/>
      <c r="L2311" s="136"/>
      <c r="M2311" s="144"/>
      <c r="T2311" s="52"/>
      <c r="V2311" s="134"/>
      <c r="W2311" s="134"/>
      <c r="X2311" s="134"/>
      <c r="Y2311" s="134"/>
      <c r="Z2311" s="134"/>
      <c r="AA2311" s="134"/>
      <c r="AB2311" s="134"/>
      <c r="AC2311" s="134"/>
      <c r="AD2311" s="134"/>
    </row>
    <row r="2312">
      <c r="A2312" s="143"/>
      <c r="B2312" s="134"/>
      <c r="C2312" s="134"/>
      <c r="D2312" s="134"/>
      <c r="E2312" s="134"/>
      <c r="F2312" s="134"/>
      <c r="G2312" s="134"/>
      <c r="H2312" s="134"/>
      <c r="J2312" s="134"/>
      <c r="K2312" s="135"/>
      <c r="L2312" s="136"/>
      <c r="M2312" s="144"/>
      <c r="T2312" s="52"/>
      <c r="V2312" s="134"/>
      <c r="W2312" s="134"/>
      <c r="X2312" s="134"/>
      <c r="Y2312" s="134"/>
      <c r="Z2312" s="134"/>
      <c r="AA2312" s="134"/>
      <c r="AB2312" s="134"/>
      <c r="AC2312" s="134"/>
      <c r="AD2312" s="134"/>
    </row>
    <row r="2313">
      <c r="A2313" s="143"/>
      <c r="B2313" s="134"/>
      <c r="C2313" s="134"/>
      <c r="D2313" s="134"/>
      <c r="E2313" s="134"/>
      <c r="F2313" s="134"/>
      <c r="G2313" s="134"/>
      <c r="H2313" s="134"/>
      <c r="J2313" s="134"/>
      <c r="K2313" s="135"/>
      <c r="L2313" s="136"/>
      <c r="M2313" s="144"/>
      <c r="T2313" s="52"/>
      <c r="V2313" s="134"/>
      <c r="W2313" s="134"/>
      <c r="X2313" s="134"/>
      <c r="Y2313" s="134"/>
      <c r="Z2313" s="134"/>
      <c r="AA2313" s="134"/>
      <c r="AB2313" s="134"/>
      <c r="AC2313" s="134"/>
      <c r="AD2313" s="134"/>
    </row>
    <row r="2314">
      <c r="A2314" s="143"/>
      <c r="B2314" s="134"/>
      <c r="C2314" s="134"/>
      <c r="D2314" s="134"/>
      <c r="E2314" s="134"/>
      <c r="F2314" s="134"/>
      <c r="G2314" s="134"/>
      <c r="H2314" s="134"/>
      <c r="J2314" s="134"/>
      <c r="K2314" s="135"/>
      <c r="L2314" s="136"/>
      <c r="M2314" s="144"/>
      <c r="T2314" s="52"/>
      <c r="V2314" s="134"/>
      <c r="W2314" s="134"/>
      <c r="X2314" s="134"/>
      <c r="Y2314" s="134"/>
      <c r="Z2314" s="134"/>
      <c r="AA2314" s="134"/>
      <c r="AB2314" s="134"/>
      <c r="AC2314" s="134"/>
      <c r="AD2314" s="134"/>
    </row>
    <row r="2315">
      <c r="A2315" s="143"/>
      <c r="B2315" s="134"/>
      <c r="C2315" s="134"/>
      <c r="D2315" s="134"/>
      <c r="E2315" s="134"/>
      <c r="F2315" s="134"/>
      <c r="G2315" s="134"/>
      <c r="H2315" s="134"/>
      <c r="J2315" s="134"/>
      <c r="K2315" s="135"/>
      <c r="L2315" s="136"/>
      <c r="M2315" s="144"/>
      <c r="T2315" s="52"/>
      <c r="V2315" s="134"/>
      <c r="W2315" s="134"/>
      <c r="X2315" s="134"/>
      <c r="Y2315" s="134"/>
      <c r="Z2315" s="134"/>
      <c r="AA2315" s="134"/>
      <c r="AB2315" s="134"/>
      <c r="AC2315" s="134"/>
      <c r="AD2315" s="134"/>
    </row>
    <row r="2316">
      <c r="A2316" s="143"/>
      <c r="B2316" s="134"/>
      <c r="C2316" s="134"/>
      <c r="D2316" s="134"/>
      <c r="E2316" s="134"/>
      <c r="F2316" s="134"/>
      <c r="G2316" s="134"/>
      <c r="H2316" s="134"/>
      <c r="J2316" s="134"/>
      <c r="K2316" s="135"/>
      <c r="L2316" s="136"/>
      <c r="M2316" s="144"/>
      <c r="T2316" s="52"/>
      <c r="V2316" s="134"/>
      <c r="W2316" s="134"/>
      <c r="X2316" s="134"/>
      <c r="Y2316" s="134"/>
      <c r="Z2316" s="134"/>
      <c r="AA2316" s="134"/>
      <c r="AB2316" s="134"/>
      <c r="AC2316" s="134"/>
      <c r="AD2316" s="134"/>
    </row>
    <row r="2317">
      <c r="A2317" s="143"/>
      <c r="B2317" s="134"/>
      <c r="C2317" s="134"/>
      <c r="D2317" s="134"/>
      <c r="E2317" s="134"/>
      <c r="F2317" s="134"/>
      <c r="G2317" s="134"/>
      <c r="H2317" s="134"/>
      <c r="J2317" s="134"/>
      <c r="K2317" s="135"/>
      <c r="L2317" s="136"/>
      <c r="M2317" s="144"/>
      <c r="T2317" s="52"/>
      <c r="V2317" s="134"/>
      <c r="W2317" s="134"/>
      <c r="X2317" s="134"/>
      <c r="Y2317" s="134"/>
      <c r="Z2317" s="134"/>
      <c r="AA2317" s="134"/>
      <c r="AB2317" s="134"/>
      <c r="AC2317" s="134"/>
      <c r="AD2317" s="134"/>
    </row>
    <row r="2318">
      <c r="A2318" s="143"/>
      <c r="B2318" s="134"/>
      <c r="C2318" s="134"/>
      <c r="D2318" s="134"/>
      <c r="E2318" s="134"/>
      <c r="F2318" s="134"/>
      <c r="G2318" s="134"/>
      <c r="H2318" s="134"/>
      <c r="J2318" s="134"/>
      <c r="K2318" s="135"/>
      <c r="L2318" s="136"/>
      <c r="M2318" s="144"/>
      <c r="T2318" s="52"/>
      <c r="V2318" s="134"/>
      <c r="W2318" s="134"/>
      <c r="X2318" s="134"/>
      <c r="Y2318" s="134"/>
      <c r="Z2318" s="134"/>
      <c r="AA2318" s="134"/>
      <c r="AB2318" s="134"/>
      <c r="AC2318" s="134"/>
      <c r="AD2318" s="134"/>
    </row>
    <row r="2319">
      <c r="A2319" s="143"/>
      <c r="B2319" s="134"/>
      <c r="C2319" s="134"/>
      <c r="D2319" s="134"/>
      <c r="E2319" s="134"/>
      <c r="F2319" s="134"/>
      <c r="G2319" s="134"/>
      <c r="H2319" s="134"/>
      <c r="J2319" s="134"/>
      <c r="K2319" s="135"/>
      <c r="L2319" s="136"/>
      <c r="M2319" s="144"/>
      <c r="T2319" s="52"/>
      <c r="V2319" s="134"/>
      <c r="W2319" s="134"/>
      <c r="X2319" s="134"/>
      <c r="Y2319" s="134"/>
      <c r="Z2319" s="134"/>
      <c r="AA2319" s="134"/>
      <c r="AB2319" s="134"/>
      <c r="AC2319" s="134"/>
      <c r="AD2319" s="134"/>
    </row>
    <row r="2320">
      <c r="A2320" s="143"/>
      <c r="B2320" s="134"/>
      <c r="C2320" s="134"/>
      <c r="D2320" s="134"/>
      <c r="E2320" s="134"/>
      <c r="F2320" s="134"/>
      <c r="G2320" s="134"/>
      <c r="H2320" s="134"/>
      <c r="J2320" s="134"/>
      <c r="K2320" s="135"/>
      <c r="L2320" s="136"/>
      <c r="M2320" s="144"/>
      <c r="T2320" s="52"/>
      <c r="V2320" s="134"/>
      <c r="W2320" s="134"/>
      <c r="X2320" s="134"/>
      <c r="Y2320" s="134"/>
      <c r="Z2320" s="134"/>
      <c r="AA2320" s="134"/>
      <c r="AB2320" s="134"/>
      <c r="AC2320" s="134"/>
      <c r="AD2320" s="134"/>
    </row>
    <row r="2321">
      <c r="A2321" s="143"/>
      <c r="B2321" s="134"/>
      <c r="C2321" s="134"/>
      <c r="D2321" s="134"/>
      <c r="E2321" s="134"/>
      <c r="F2321" s="134"/>
      <c r="G2321" s="134"/>
      <c r="H2321" s="134"/>
      <c r="J2321" s="134"/>
      <c r="K2321" s="135"/>
      <c r="L2321" s="136"/>
      <c r="M2321" s="144"/>
      <c r="T2321" s="52"/>
      <c r="V2321" s="134"/>
      <c r="W2321" s="134"/>
      <c r="X2321" s="134"/>
      <c r="Y2321" s="134"/>
      <c r="Z2321" s="134"/>
      <c r="AA2321" s="134"/>
      <c r="AB2321" s="134"/>
      <c r="AC2321" s="134"/>
      <c r="AD2321" s="134"/>
    </row>
    <row r="2322">
      <c r="A2322" s="143"/>
      <c r="B2322" s="134"/>
      <c r="C2322" s="134"/>
      <c r="D2322" s="134"/>
      <c r="E2322" s="134"/>
      <c r="F2322" s="134"/>
      <c r="G2322" s="134"/>
      <c r="H2322" s="134"/>
      <c r="J2322" s="134"/>
      <c r="K2322" s="135"/>
      <c r="L2322" s="136"/>
      <c r="M2322" s="144"/>
      <c r="T2322" s="52"/>
      <c r="V2322" s="134"/>
      <c r="W2322" s="134"/>
      <c r="X2322" s="134"/>
      <c r="Y2322" s="134"/>
      <c r="Z2322" s="134"/>
      <c r="AA2322" s="134"/>
      <c r="AB2322" s="134"/>
      <c r="AC2322" s="134"/>
      <c r="AD2322" s="134"/>
    </row>
    <row r="2323">
      <c r="A2323" s="143"/>
      <c r="B2323" s="134"/>
      <c r="C2323" s="134"/>
      <c r="D2323" s="134"/>
      <c r="E2323" s="134"/>
      <c r="F2323" s="134"/>
      <c r="G2323" s="134"/>
      <c r="H2323" s="134"/>
      <c r="J2323" s="134"/>
      <c r="K2323" s="135"/>
      <c r="L2323" s="136"/>
      <c r="M2323" s="144"/>
      <c r="T2323" s="52"/>
      <c r="V2323" s="134"/>
      <c r="W2323" s="134"/>
      <c r="X2323" s="134"/>
      <c r="Y2323" s="134"/>
      <c r="Z2323" s="134"/>
      <c r="AA2323" s="134"/>
      <c r="AB2323" s="134"/>
      <c r="AC2323" s="134"/>
      <c r="AD2323" s="134"/>
    </row>
    <row r="2324">
      <c r="A2324" s="143"/>
      <c r="B2324" s="134"/>
      <c r="C2324" s="134"/>
      <c r="D2324" s="134"/>
      <c r="E2324" s="134"/>
      <c r="F2324" s="134"/>
      <c r="G2324" s="134"/>
      <c r="H2324" s="134"/>
      <c r="J2324" s="134"/>
      <c r="K2324" s="135"/>
      <c r="L2324" s="136"/>
      <c r="M2324" s="144"/>
      <c r="T2324" s="52"/>
      <c r="V2324" s="134"/>
      <c r="W2324" s="134"/>
      <c r="X2324" s="134"/>
      <c r="Y2324" s="134"/>
      <c r="Z2324" s="134"/>
      <c r="AA2324" s="134"/>
      <c r="AB2324" s="134"/>
      <c r="AC2324" s="134"/>
      <c r="AD2324" s="134"/>
    </row>
    <row r="2325">
      <c r="A2325" s="143"/>
      <c r="B2325" s="134"/>
      <c r="C2325" s="134"/>
      <c r="D2325" s="134"/>
      <c r="E2325" s="134"/>
      <c r="F2325" s="134"/>
      <c r="G2325" s="134"/>
      <c r="H2325" s="134"/>
      <c r="J2325" s="134"/>
      <c r="K2325" s="135"/>
      <c r="L2325" s="136"/>
      <c r="M2325" s="144"/>
      <c r="T2325" s="52"/>
      <c r="V2325" s="134"/>
      <c r="W2325" s="134"/>
      <c r="X2325" s="134"/>
      <c r="Y2325" s="134"/>
      <c r="Z2325" s="134"/>
      <c r="AA2325" s="134"/>
      <c r="AB2325" s="134"/>
      <c r="AC2325" s="134"/>
      <c r="AD2325" s="134"/>
    </row>
    <row r="2326">
      <c r="A2326" s="143"/>
      <c r="B2326" s="134"/>
      <c r="C2326" s="134"/>
      <c r="D2326" s="134"/>
      <c r="E2326" s="134"/>
      <c r="F2326" s="134"/>
      <c r="G2326" s="134"/>
      <c r="H2326" s="134"/>
      <c r="J2326" s="134"/>
      <c r="K2326" s="135"/>
      <c r="L2326" s="136"/>
      <c r="M2326" s="144"/>
      <c r="T2326" s="52"/>
      <c r="V2326" s="134"/>
      <c r="W2326" s="134"/>
      <c r="X2326" s="134"/>
      <c r="Y2326" s="134"/>
      <c r="Z2326" s="134"/>
      <c r="AA2326" s="134"/>
      <c r="AB2326" s="134"/>
      <c r="AC2326" s="134"/>
      <c r="AD2326" s="134"/>
    </row>
    <row r="2327">
      <c r="A2327" s="143"/>
      <c r="B2327" s="134"/>
      <c r="C2327" s="134"/>
      <c r="D2327" s="134"/>
      <c r="E2327" s="134"/>
      <c r="F2327" s="134"/>
      <c r="G2327" s="134"/>
      <c r="H2327" s="134"/>
      <c r="J2327" s="134"/>
      <c r="K2327" s="135"/>
      <c r="L2327" s="136"/>
      <c r="M2327" s="144"/>
      <c r="T2327" s="52"/>
      <c r="V2327" s="134"/>
      <c r="W2327" s="134"/>
      <c r="X2327" s="134"/>
      <c r="Y2327" s="134"/>
      <c r="Z2327" s="134"/>
      <c r="AA2327" s="134"/>
      <c r="AB2327" s="134"/>
      <c r="AC2327" s="134"/>
      <c r="AD2327" s="134"/>
    </row>
    <row r="2328">
      <c r="A2328" s="143"/>
      <c r="B2328" s="134"/>
      <c r="C2328" s="134"/>
      <c r="D2328" s="134"/>
      <c r="E2328" s="134"/>
      <c r="F2328" s="134"/>
      <c r="G2328" s="134"/>
      <c r="H2328" s="134"/>
      <c r="J2328" s="134"/>
      <c r="K2328" s="135"/>
      <c r="L2328" s="136"/>
      <c r="M2328" s="144"/>
      <c r="T2328" s="52"/>
      <c r="V2328" s="134"/>
      <c r="W2328" s="134"/>
      <c r="X2328" s="134"/>
      <c r="Y2328" s="134"/>
      <c r="Z2328" s="134"/>
      <c r="AA2328" s="134"/>
      <c r="AB2328" s="134"/>
      <c r="AC2328" s="134"/>
      <c r="AD2328" s="134"/>
    </row>
    <row r="2329">
      <c r="A2329" s="143"/>
      <c r="B2329" s="134"/>
      <c r="C2329" s="134"/>
      <c r="D2329" s="134"/>
      <c r="E2329" s="134"/>
      <c r="F2329" s="134"/>
      <c r="G2329" s="134"/>
      <c r="H2329" s="134"/>
      <c r="J2329" s="134"/>
      <c r="K2329" s="135"/>
      <c r="L2329" s="136"/>
      <c r="M2329" s="144"/>
      <c r="T2329" s="52"/>
      <c r="V2329" s="134"/>
      <c r="W2329" s="134"/>
      <c r="X2329" s="134"/>
      <c r="Y2329" s="134"/>
      <c r="Z2329" s="134"/>
      <c r="AA2329" s="134"/>
      <c r="AB2329" s="134"/>
      <c r="AC2329" s="134"/>
      <c r="AD2329" s="134"/>
    </row>
    <row r="2330">
      <c r="A2330" s="143"/>
      <c r="B2330" s="134"/>
      <c r="C2330" s="134"/>
      <c r="D2330" s="134"/>
      <c r="E2330" s="134"/>
      <c r="F2330" s="134"/>
      <c r="G2330" s="134"/>
      <c r="H2330" s="134"/>
      <c r="J2330" s="134"/>
      <c r="K2330" s="135"/>
      <c r="L2330" s="136"/>
      <c r="M2330" s="144"/>
      <c r="T2330" s="52"/>
      <c r="V2330" s="134"/>
      <c r="W2330" s="134"/>
      <c r="X2330" s="134"/>
      <c r="Y2330" s="134"/>
      <c r="Z2330" s="134"/>
      <c r="AA2330" s="134"/>
      <c r="AB2330" s="134"/>
      <c r="AC2330" s="134"/>
      <c r="AD2330" s="134"/>
    </row>
    <row r="2331">
      <c r="A2331" s="143"/>
      <c r="B2331" s="134"/>
      <c r="C2331" s="134"/>
      <c r="D2331" s="134"/>
      <c r="E2331" s="134"/>
      <c r="F2331" s="134"/>
      <c r="G2331" s="134"/>
      <c r="H2331" s="134"/>
      <c r="J2331" s="134"/>
      <c r="K2331" s="135"/>
      <c r="L2331" s="136"/>
      <c r="M2331" s="144"/>
      <c r="T2331" s="52"/>
      <c r="V2331" s="134"/>
      <c r="W2331" s="134"/>
      <c r="X2331" s="134"/>
      <c r="Y2331" s="134"/>
      <c r="Z2331" s="134"/>
      <c r="AA2331" s="134"/>
      <c r="AB2331" s="134"/>
      <c r="AC2331" s="134"/>
      <c r="AD2331" s="134"/>
    </row>
    <row r="2332">
      <c r="A2332" s="143"/>
      <c r="B2332" s="134"/>
      <c r="C2332" s="134"/>
      <c r="D2332" s="134"/>
      <c r="E2332" s="134"/>
      <c r="F2332" s="134"/>
      <c r="G2332" s="134"/>
      <c r="H2332" s="134"/>
      <c r="J2332" s="134"/>
      <c r="K2332" s="135"/>
      <c r="L2332" s="136"/>
      <c r="M2332" s="144"/>
      <c r="T2332" s="52"/>
      <c r="V2332" s="134"/>
      <c r="W2332" s="134"/>
      <c r="X2332" s="134"/>
      <c r="Y2332" s="134"/>
      <c r="Z2332" s="134"/>
      <c r="AA2332" s="134"/>
      <c r="AB2332" s="134"/>
      <c r="AC2332" s="134"/>
      <c r="AD2332" s="134"/>
    </row>
    <row r="2333">
      <c r="A2333" s="143"/>
      <c r="B2333" s="134"/>
      <c r="C2333" s="134"/>
      <c r="D2333" s="134"/>
      <c r="E2333" s="134"/>
      <c r="F2333" s="134"/>
      <c r="G2333" s="134"/>
      <c r="H2333" s="134"/>
      <c r="J2333" s="134"/>
      <c r="K2333" s="135"/>
      <c r="L2333" s="136"/>
      <c r="M2333" s="144"/>
      <c r="T2333" s="52"/>
      <c r="V2333" s="134"/>
      <c r="W2333" s="134"/>
      <c r="X2333" s="134"/>
      <c r="Y2333" s="134"/>
      <c r="Z2333" s="134"/>
      <c r="AA2333" s="134"/>
      <c r="AB2333" s="134"/>
      <c r="AC2333" s="134"/>
      <c r="AD2333" s="134"/>
    </row>
    <row r="2334">
      <c r="A2334" s="143"/>
      <c r="B2334" s="134"/>
      <c r="C2334" s="134"/>
      <c r="D2334" s="134"/>
      <c r="E2334" s="134"/>
      <c r="F2334" s="134"/>
      <c r="G2334" s="134"/>
      <c r="H2334" s="134"/>
      <c r="J2334" s="134"/>
      <c r="K2334" s="135"/>
      <c r="L2334" s="136"/>
      <c r="M2334" s="144"/>
      <c r="T2334" s="52"/>
      <c r="V2334" s="134"/>
      <c r="W2334" s="134"/>
      <c r="X2334" s="134"/>
      <c r="Y2334" s="134"/>
      <c r="Z2334" s="134"/>
      <c r="AA2334" s="134"/>
      <c r="AB2334" s="134"/>
      <c r="AC2334" s="134"/>
      <c r="AD2334" s="134"/>
    </row>
    <row r="2335">
      <c r="A2335" s="143"/>
      <c r="B2335" s="134"/>
      <c r="C2335" s="134"/>
      <c r="D2335" s="134"/>
      <c r="E2335" s="134"/>
      <c r="F2335" s="134"/>
      <c r="G2335" s="134"/>
      <c r="H2335" s="134"/>
      <c r="J2335" s="134"/>
      <c r="K2335" s="135"/>
      <c r="L2335" s="136"/>
      <c r="M2335" s="144"/>
      <c r="T2335" s="52"/>
      <c r="V2335" s="134"/>
      <c r="W2335" s="134"/>
      <c r="X2335" s="134"/>
      <c r="Y2335" s="134"/>
      <c r="Z2335" s="134"/>
      <c r="AA2335" s="134"/>
      <c r="AB2335" s="134"/>
      <c r="AC2335" s="134"/>
      <c r="AD2335" s="134"/>
    </row>
    <row r="2336">
      <c r="A2336" s="143"/>
      <c r="B2336" s="134"/>
      <c r="C2336" s="134"/>
      <c r="D2336" s="134"/>
      <c r="E2336" s="134"/>
      <c r="F2336" s="134"/>
      <c r="G2336" s="134"/>
      <c r="H2336" s="134"/>
      <c r="J2336" s="134"/>
      <c r="K2336" s="135"/>
      <c r="L2336" s="136"/>
      <c r="M2336" s="144"/>
      <c r="T2336" s="52"/>
      <c r="V2336" s="134"/>
      <c r="W2336" s="134"/>
      <c r="X2336" s="134"/>
      <c r="Y2336" s="134"/>
      <c r="Z2336" s="134"/>
      <c r="AA2336" s="134"/>
      <c r="AB2336" s="134"/>
      <c r="AC2336" s="134"/>
      <c r="AD2336" s="134"/>
    </row>
    <row r="2337">
      <c r="A2337" s="143"/>
      <c r="B2337" s="134"/>
      <c r="C2337" s="134"/>
      <c r="D2337" s="134"/>
      <c r="E2337" s="134"/>
      <c r="F2337" s="134"/>
      <c r="G2337" s="134"/>
      <c r="H2337" s="134"/>
      <c r="J2337" s="134"/>
      <c r="K2337" s="135"/>
      <c r="L2337" s="136"/>
      <c r="M2337" s="144"/>
      <c r="T2337" s="52"/>
      <c r="V2337" s="134"/>
      <c r="W2337" s="134"/>
      <c r="X2337" s="134"/>
      <c r="Y2337" s="134"/>
      <c r="Z2337" s="134"/>
      <c r="AA2337" s="134"/>
      <c r="AB2337" s="134"/>
      <c r="AC2337" s="134"/>
      <c r="AD2337" s="134"/>
    </row>
    <row r="2338">
      <c r="A2338" s="143"/>
      <c r="B2338" s="134"/>
      <c r="C2338" s="134"/>
      <c r="D2338" s="134"/>
      <c r="E2338" s="134"/>
      <c r="F2338" s="134"/>
      <c r="G2338" s="134"/>
      <c r="H2338" s="134"/>
      <c r="J2338" s="134"/>
      <c r="K2338" s="135"/>
      <c r="L2338" s="136"/>
      <c r="M2338" s="144"/>
      <c r="T2338" s="52"/>
      <c r="V2338" s="134"/>
      <c r="W2338" s="134"/>
      <c r="X2338" s="134"/>
      <c r="Y2338" s="134"/>
      <c r="Z2338" s="134"/>
      <c r="AA2338" s="134"/>
      <c r="AB2338" s="134"/>
      <c r="AC2338" s="134"/>
      <c r="AD2338" s="134"/>
    </row>
    <row r="2339">
      <c r="A2339" s="143"/>
      <c r="B2339" s="134"/>
      <c r="C2339" s="134"/>
      <c r="D2339" s="134"/>
      <c r="E2339" s="134"/>
      <c r="F2339" s="134"/>
      <c r="G2339" s="134"/>
      <c r="H2339" s="134"/>
      <c r="J2339" s="134"/>
      <c r="K2339" s="135"/>
      <c r="L2339" s="136"/>
      <c r="M2339" s="144"/>
      <c r="T2339" s="52"/>
      <c r="V2339" s="134"/>
      <c r="W2339" s="134"/>
      <c r="X2339" s="134"/>
      <c r="Y2339" s="134"/>
      <c r="Z2339" s="134"/>
      <c r="AA2339" s="134"/>
      <c r="AB2339" s="134"/>
      <c r="AC2339" s="134"/>
      <c r="AD2339" s="134"/>
    </row>
    <row r="2340">
      <c r="A2340" s="143"/>
      <c r="B2340" s="134"/>
      <c r="C2340" s="134"/>
      <c r="D2340" s="134"/>
      <c r="E2340" s="134"/>
      <c r="F2340" s="134"/>
      <c r="G2340" s="134"/>
      <c r="H2340" s="134"/>
      <c r="J2340" s="134"/>
      <c r="K2340" s="135"/>
      <c r="L2340" s="136"/>
      <c r="M2340" s="144"/>
      <c r="T2340" s="52"/>
      <c r="V2340" s="134"/>
      <c r="W2340" s="134"/>
      <c r="X2340" s="134"/>
      <c r="Y2340" s="134"/>
      <c r="Z2340" s="134"/>
      <c r="AA2340" s="134"/>
      <c r="AB2340" s="134"/>
      <c r="AC2340" s="134"/>
      <c r="AD2340" s="134"/>
    </row>
    <row r="2341">
      <c r="A2341" s="143"/>
      <c r="B2341" s="134"/>
      <c r="C2341" s="134"/>
      <c r="D2341" s="134"/>
      <c r="E2341" s="134"/>
      <c r="F2341" s="134"/>
      <c r="G2341" s="134"/>
      <c r="H2341" s="134"/>
      <c r="J2341" s="134"/>
      <c r="K2341" s="135"/>
      <c r="L2341" s="136"/>
      <c r="M2341" s="144"/>
      <c r="T2341" s="52"/>
      <c r="V2341" s="134"/>
      <c r="W2341" s="134"/>
      <c r="X2341" s="134"/>
      <c r="Y2341" s="134"/>
      <c r="Z2341" s="134"/>
      <c r="AA2341" s="134"/>
      <c r="AB2341" s="134"/>
      <c r="AC2341" s="134"/>
      <c r="AD2341" s="134"/>
    </row>
    <row r="2342">
      <c r="A2342" s="143"/>
      <c r="B2342" s="134"/>
      <c r="C2342" s="134"/>
      <c r="D2342" s="134"/>
      <c r="E2342" s="134"/>
      <c r="F2342" s="134"/>
      <c r="G2342" s="134"/>
      <c r="H2342" s="134"/>
      <c r="J2342" s="134"/>
      <c r="K2342" s="135"/>
      <c r="L2342" s="136"/>
      <c r="M2342" s="144"/>
      <c r="T2342" s="52"/>
      <c r="V2342" s="134"/>
      <c r="W2342" s="134"/>
      <c r="X2342" s="134"/>
      <c r="Y2342" s="134"/>
      <c r="Z2342" s="134"/>
      <c r="AA2342" s="134"/>
      <c r="AB2342" s="134"/>
      <c r="AC2342" s="134"/>
      <c r="AD2342" s="134"/>
    </row>
    <row r="2343">
      <c r="A2343" s="143"/>
      <c r="B2343" s="134"/>
      <c r="C2343" s="134"/>
      <c r="D2343" s="134"/>
      <c r="E2343" s="134"/>
      <c r="F2343" s="134"/>
      <c r="G2343" s="134"/>
      <c r="H2343" s="134"/>
      <c r="J2343" s="134"/>
      <c r="K2343" s="135"/>
      <c r="L2343" s="136"/>
      <c r="M2343" s="144"/>
      <c r="T2343" s="52"/>
      <c r="V2343" s="134"/>
      <c r="W2343" s="134"/>
      <c r="X2343" s="134"/>
      <c r="Y2343" s="134"/>
      <c r="Z2343" s="134"/>
      <c r="AA2343" s="134"/>
      <c r="AB2343" s="134"/>
      <c r="AC2343" s="134"/>
      <c r="AD2343" s="134"/>
    </row>
    <row r="2344">
      <c r="A2344" s="143"/>
      <c r="B2344" s="134"/>
      <c r="C2344" s="134"/>
      <c r="D2344" s="134"/>
      <c r="E2344" s="134"/>
      <c r="F2344" s="134"/>
      <c r="G2344" s="134"/>
      <c r="H2344" s="134"/>
      <c r="J2344" s="134"/>
      <c r="K2344" s="135"/>
      <c r="L2344" s="136"/>
      <c r="M2344" s="144"/>
      <c r="T2344" s="52"/>
      <c r="V2344" s="134"/>
      <c r="W2344" s="134"/>
      <c r="X2344" s="134"/>
      <c r="Y2344" s="134"/>
      <c r="Z2344" s="134"/>
      <c r="AA2344" s="134"/>
      <c r="AB2344" s="134"/>
      <c r="AC2344" s="134"/>
      <c r="AD2344" s="134"/>
    </row>
    <row r="2345">
      <c r="A2345" s="143"/>
      <c r="B2345" s="134"/>
      <c r="C2345" s="134"/>
      <c r="D2345" s="134"/>
      <c r="E2345" s="134"/>
      <c r="F2345" s="134"/>
      <c r="G2345" s="134"/>
      <c r="H2345" s="134"/>
      <c r="J2345" s="134"/>
      <c r="K2345" s="135"/>
      <c r="L2345" s="136"/>
      <c r="M2345" s="144"/>
      <c r="T2345" s="52"/>
      <c r="V2345" s="134"/>
      <c r="W2345" s="134"/>
      <c r="X2345" s="134"/>
      <c r="Y2345" s="134"/>
      <c r="Z2345" s="134"/>
      <c r="AA2345" s="134"/>
      <c r="AB2345" s="134"/>
      <c r="AC2345" s="134"/>
      <c r="AD2345" s="134"/>
    </row>
    <row r="2346">
      <c r="A2346" s="143"/>
      <c r="B2346" s="134"/>
      <c r="C2346" s="134"/>
      <c r="D2346" s="134"/>
      <c r="E2346" s="134"/>
      <c r="F2346" s="134"/>
      <c r="G2346" s="134"/>
      <c r="H2346" s="134"/>
      <c r="J2346" s="134"/>
      <c r="K2346" s="135"/>
      <c r="L2346" s="136"/>
      <c r="M2346" s="144"/>
      <c r="T2346" s="52"/>
      <c r="V2346" s="134"/>
      <c r="W2346" s="134"/>
      <c r="X2346" s="134"/>
      <c r="Y2346" s="134"/>
      <c r="Z2346" s="134"/>
      <c r="AA2346" s="134"/>
      <c r="AB2346" s="134"/>
      <c r="AC2346" s="134"/>
      <c r="AD2346" s="134"/>
    </row>
    <row r="2347">
      <c r="A2347" s="143"/>
      <c r="B2347" s="134"/>
      <c r="C2347" s="134"/>
      <c r="D2347" s="134"/>
      <c r="E2347" s="134"/>
      <c r="F2347" s="134"/>
      <c r="G2347" s="134"/>
      <c r="H2347" s="134"/>
      <c r="J2347" s="134"/>
      <c r="K2347" s="135"/>
      <c r="L2347" s="136"/>
      <c r="M2347" s="144"/>
      <c r="T2347" s="52"/>
      <c r="V2347" s="134"/>
      <c r="W2347" s="134"/>
      <c r="X2347" s="134"/>
      <c r="Y2347" s="134"/>
      <c r="Z2347" s="134"/>
      <c r="AA2347" s="134"/>
      <c r="AB2347" s="134"/>
      <c r="AC2347" s="134"/>
      <c r="AD2347" s="134"/>
    </row>
    <row r="2348">
      <c r="A2348" s="143"/>
      <c r="B2348" s="134"/>
      <c r="C2348" s="134"/>
      <c r="D2348" s="134"/>
      <c r="E2348" s="134"/>
      <c r="F2348" s="134"/>
      <c r="G2348" s="134"/>
      <c r="H2348" s="134"/>
      <c r="J2348" s="134"/>
      <c r="K2348" s="135"/>
      <c r="L2348" s="136"/>
      <c r="M2348" s="144"/>
      <c r="T2348" s="52"/>
      <c r="V2348" s="134"/>
      <c r="W2348" s="134"/>
      <c r="X2348" s="134"/>
      <c r="Y2348" s="134"/>
      <c r="Z2348" s="134"/>
      <c r="AA2348" s="134"/>
      <c r="AB2348" s="134"/>
      <c r="AC2348" s="134"/>
      <c r="AD2348" s="134"/>
    </row>
    <row r="2349">
      <c r="A2349" s="143"/>
      <c r="B2349" s="134"/>
      <c r="C2349" s="134"/>
      <c r="D2349" s="134"/>
      <c r="E2349" s="134"/>
      <c r="F2349" s="134"/>
      <c r="G2349" s="134"/>
      <c r="H2349" s="134"/>
      <c r="J2349" s="134"/>
      <c r="K2349" s="135"/>
      <c r="L2349" s="136"/>
      <c r="M2349" s="144"/>
      <c r="T2349" s="52"/>
      <c r="V2349" s="134"/>
      <c r="W2349" s="134"/>
      <c r="X2349" s="134"/>
      <c r="Y2349" s="134"/>
      <c r="Z2349" s="134"/>
      <c r="AA2349" s="134"/>
      <c r="AB2349" s="134"/>
      <c r="AC2349" s="134"/>
      <c r="AD2349" s="134"/>
    </row>
    <row r="2350">
      <c r="A2350" s="143"/>
      <c r="B2350" s="134"/>
      <c r="C2350" s="134"/>
      <c r="D2350" s="134"/>
      <c r="E2350" s="134"/>
      <c r="F2350" s="134"/>
      <c r="G2350" s="134"/>
      <c r="H2350" s="134"/>
      <c r="J2350" s="134"/>
      <c r="K2350" s="135"/>
      <c r="L2350" s="136"/>
      <c r="M2350" s="144"/>
      <c r="T2350" s="52"/>
      <c r="V2350" s="134"/>
      <c r="W2350" s="134"/>
      <c r="X2350" s="134"/>
      <c r="Y2350" s="134"/>
      <c r="Z2350" s="134"/>
      <c r="AA2350" s="134"/>
      <c r="AB2350" s="134"/>
      <c r="AC2350" s="134"/>
      <c r="AD2350" s="134"/>
    </row>
    <row r="2351">
      <c r="A2351" s="143"/>
      <c r="B2351" s="134"/>
      <c r="C2351" s="134"/>
      <c r="D2351" s="134"/>
      <c r="E2351" s="134"/>
      <c r="F2351" s="134"/>
      <c r="G2351" s="134"/>
      <c r="H2351" s="134"/>
      <c r="J2351" s="134"/>
      <c r="K2351" s="135"/>
      <c r="L2351" s="136"/>
      <c r="M2351" s="144"/>
      <c r="T2351" s="52"/>
      <c r="V2351" s="134"/>
      <c r="W2351" s="134"/>
      <c r="X2351" s="134"/>
      <c r="Y2351" s="134"/>
      <c r="Z2351" s="134"/>
      <c r="AA2351" s="134"/>
      <c r="AB2351" s="134"/>
      <c r="AC2351" s="134"/>
      <c r="AD2351" s="134"/>
    </row>
    <row r="2352">
      <c r="A2352" s="143"/>
      <c r="B2352" s="134"/>
      <c r="C2352" s="134"/>
      <c r="D2352" s="134"/>
      <c r="E2352" s="134"/>
      <c r="F2352" s="134"/>
      <c r="G2352" s="134"/>
      <c r="H2352" s="134"/>
      <c r="J2352" s="134"/>
      <c r="K2352" s="135"/>
      <c r="L2352" s="136"/>
      <c r="M2352" s="144"/>
      <c r="T2352" s="52"/>
      <c r="V2352" s="134"/>
      <c r="W2352" s="134"/>
      <c r="X2352" s="134"/>
      <c r="Y2352" s="134"/>
      <c r="Z2352" s="134"/>
      <c r="AA2352" s="134"/>
      <c r="AB2352" s="134"/>
      <c r="AC2352" s="134"/>
      <c r="AD2352" s="134"/>
    </row>
    <row r="2353">
      <c r="A2353" s="143"/>
      <c r="B2353" s="134"/>
      <c r="C2353" s="134"/>
      <c r="D2353" s="134"/>
      <c r="E2353" s="134"/>
      <c r="F2353" s="134"/>
      <c r="G2353" s="134"/>
      <c r="H2353" s="134"/>
      <c r="J2353" s="134"/>
      <c r="K2353" s="135"/>
      <c r="L2353" s="136"/>
      <c r="M2353" s="144"/>
      <c r="T2353" s="52"/>
      <c r="V2353" s="134"/>
      <c r="W2353" s="134"/>
      <c r="X2353" s="134"/>
      <c r="Y2353" s="134"/>
      <c r="Z2353" s="134"/>
      <c r="AA2353" s="134"/>
      <c r="AB2353" s="134"/>
      <c r="AC2353" s="134"/>
      <c r="AD2353" s="134"/>
    </row>
    <row r="2354">
      <c r="A2354" s="143"/>
      <c r="B2354" s="134"/>
      <c r="C2354" s="134"/>
      <c r="D2354" s="134"/>
      <c r="E2354" s="134"/>
      <c r="F2354" s="134"/>
      <c r="G2354" s="134"/>
      <c r="H2354" s="134"/>
      <c r="J2354" s="134"/>
      <c r="K2354" s="135"/>
      <c r="L2354" s="136"/>
      <c r="M2354" s="144"/>
      <c r="T2354" s="52"/>
      <c r="V2354" s="134"/>
      <c r="W2354" s="134"/>
      <c r="X2354" s="134"/>
      <c r="Y2354" s="134"/>
      <c r="Z2354" s="134"/>
      <c r="AA2354" s="134"/>
      <c r="AB2354" s="134"/>
      <c r="AC2354" s="134"/>
      <c r="AD2354" s="134"/>
    </row>
    <row r="2355">
      <c r="A2355" s="143"/>
      <c r="B2355" s="134"/>
      <c r="C2355" s="134"/>
      <c r="D2355" s="134"/>
      <c r="E2355" s="134"/>
      <c r="F2355" s="134"/>
      <c r="G2355" s="134"/>
      <c r="H2355" s="134"/>
      <c r="J2355" s="134"/>
      <c r="K2355" s="135"/>
      <c r="L2355" s="136"/>
      <c r="M2355" s="144"/>
      <c r="T2355" s="52"/>
      <c r="V2355" s="134"/>
      <c r="W2355" s="134"/>
      <c r="X2355" s="134"/>
      <c r="Y2355" s="134"/>
      <c r="Z2355" s="134"/>
      <c r="AA2355" s="134"/>
      <c r="AB2355" s="134"/>
      <c r="AC2355" s="134"/>
      <c r="AD2355" s="134"/>
    </row>
    <row r="2356">
      <c r="A2356" s="143"/>
      <c r="B2356" s="134"/>
      <c r="C2356" s="134"/>
      <c r="D2356" s="134"/>
      <c r="E2356" s="134"/>
      <c r="F2356" s="134"/>
      <c r="G2356" s="134"/>
      <c r="H2356" s="134"/>
      <c r="J2356" s="134"/>
      <c r="K2356" s="135"/>
      <c r="L2356" s="136"/>
      <c r="M2356" s="144"/>
      <c r="T2356" s="52"/>
      <c r="V2356" s="134"/>
      <c r="W2356" s="134"/>
      <c r="X2356" s="134"/>
      <c r="Y2356" s="134"/>
      <c r="Z2356" s="134"/>
      <c r="AA2356" s="134"/>
      <c r="AB2356" s="134"/>
      <c r="AC2356" s="134"/>
      <c r="AD2356" s="134"/>
    </row>
    <row r="2357">
      <c r="A2357" s="143"/>
      <c r="B2357" s="134"/>
      <c r="C2357" s="134"/>
      <c r="D2357" s="134"/>
      <c r="E2357" s="134"/>
      <c r="F2357" s="134"/>
      <c r="G2357" s="134"/>
      <c r="H2357" s="134"/>
      <c r="J2357" s="134"/>
      <c r="K2357" s="135"/>
      <c r="L2357" s="136"/>
      <c r="M2357" s="144"/>
      <c r="T2357" s="52"/>
      <c r="V2357" s="134"/>
      <c r="W2357" s="134"/>
      <c r="X2357" s="134"/>
      <c r="Y2357" s="134"/>
      <c r="Z2357" s="134"/>
      <c r="AA2357" s="134"/>
      <c r="AB2357" s="134"/>
      <c r="AC2357" s="134"/>
      <c r="AD2357" s="134"/>
    </row>
    <row r="2358">
      <c r="A2358" s="143"/>
      <c r="B2358" s="134"/>
      <c r="C2358" s="134"/>
      <c r="D2358" s="134"/>
      <c r="E2358" s="134"/>
      <c r="F2358" s="134"/>
      <c r="G2358" s="134"/>
      <c r="H2358" s="134"/>
      <c r="J2358" s="134"/>
      <c r="K2358" s="135"/>
      <c r="L2358" s="136"/>
      <c r="M2358" s="144"/>
      <c r="T2358" s="52"/>
      <c r="V2358" s="134"/>
      <c r="W2358" s="134"/>
      <c r="X2358" s="134"/>
      <c r="Y2358" s="134"/>
      <c r="Z2358" s="134"/>
      <c r="AA2358" s="134"/>
      <c r="AB2358" s="134"/>
      <c r="AC2358" s="134"/>
      <c r="AD2358" s="134"/>
    </row>
    <row r="2359">
      <c r="A2359" s="143"/>
      <c r="B2359" s="134"/>
      <c r="C2359" s="134"/>
      <c r="D2359" s="134"/>
      <c r="E2359" s="134"/>
      <c r="F2359" s="134"/>
      <c r="G2359" s="134"/>
      <c r="H2359" s="134"/>
      <c r="J2359" s="134"/>
      <c r="K2359" s="135"/>
      <c r="L2359" s="136"/>
      <c r="M2359" s="144"/>
      <c r="T2359" s="52"/>
      <c r="V2359" s="134"/>
      <c r="W2359" s="134"/>
      <c r="X2359" s="134"/>
      <c r="Y2359" s="134"/>
      <c r="Z2359" s="134"/>
      <c r="AA2359" s="134"/>
      <c r="AB2359" s="134"/>
      <c r="AC2359" s="134"/>
      <c r="AD2359" s="134"/>
    </row>
    <row r="2360">
      <c r="A2360" s="143"/>
      <c r="B2360" s="134"/>
      <c r="C2360" s="134"/>
      <c r="D2360" s="134"/>
      <c r="E2360" s="134"/>
      <c r="F2360" s="134"/>
      <c r="G2360" s="134"/>
      <c r="H2360" s="134"/>
      <c r="J2360" s="134"/>
      <c r="K2360" s="135"/>
      <c r="L2360" s="136"/>
      <c r="M2360" s="144"/>
      <c r="T2360" s="52"/>
      <c r="V2360" s="134"/>
      <c r="W2360" s="134"/>
      <c r="X2360" s="134"/>
      <c r="Y2360" s="134"/>
      <c r="Z2360" s="134"/>
      <c r="AA2360" s="134"/>
      <c r="AB2360" s="134"/>
      <c r="AC2360" s="134"/>
      <c r="AD2360" s="134"/>
    </row>
    <row r="2361">
      <c r="A2361" s="143"/>
      <c r="B2361" s="134"/>
      <c r="C2361" s="134"/>
      <c r="D2361" s="134"/>
      <c r="E2361" s="134"/>
      <c r="F2361" s="134"/>
      <c r="G2361" s="134"/>
      <c r="H2361" s="134"/>
      <c r="J2361" s="134"/>
      <c r="K2361" s="135"/>
      <c r="L2361" s="136"/>
      <c r="M2361" s="144"/>
      <c r="T2361" s="52"/>
      <c r="V2361" s="134"/>
      <c r="W2361" s="134"/>
      <c r="X2361" s="134"/>
      <c r="Y2361" s="134"/>
      <c r="Z2361" s="134"/>
      <c r="AA2361" s="134"/>
      <c r="AB2361" s="134"/>
      <c r="AC2361" s="134"/>
      <c r="AD2361" s="134"/>
    </row>
    <row r="2362">
      <c r="A2362" s="143"/>
      <c r="B2362" s="134"/>
      <c r="C2362" s="134"/>
      <c r="D2362" s="134"/>
      <c r="E2362" s="134"/>
      <c r="F2362" s="134"/>
      <c r="G2362" s="134"/>
      <c r="H2362" s="134"/>
      <c r="J2362" s="134"/>
      <c r="K2362" s="135"/>
      <c r="L2362" s="136"/>
      <c r="M2362" s="144"/>
      <c r="T2362" s="52"/>
      <c r="V2362" s="134"/>
      <c r="W2362" s="134"/>
      <c r="X2362" s="134"/>
      <c r="Y2362" s="134"/>
      <c r="Z2362" s="134"/>
      <c r="AA2362" s="134"/>
      <c r="AB2362" s="134"/>
      <c r="AC2362" s="134"/>
      <c r="AD2362" s="134"/>
    </row>
    <row r="2363">
      <c r="A2363" s="143"/>
      <c r="B2363" s="134"/>
      <c r="C2363" s="134"/>
      <c r="D2363" s="134"/>
      <c r="E2363" s="134"/>
      <c r="F2363" s="134"/>
      <c r="G2363" s="134"/>
      <c r="H2363" s="134"/>
      <c r="J2363" s="134"/>
      <c r="K2363" s="135"/>
      <c r="L2363" s="136"/>
      <c r="M2363" s="144"/>
      <c r="T2363" s="52"/>
      <c r="V2363" s="134"/>
      <c r="W2363" s="134"/>
      <c r="X2363" s="134"/>
      <c r="Y2363" s="134"/>
      <c r="Z2363" s="134"/>
      <c r="AA2363" s="134"/>
      <c r="AB2363" s="134"/>
      <c r="AC2363" s="134"/>
      <c r="AD2363" s="134"/>
    </row>
    <row r="2364">
      <c r="A2364" s="143"/>
      <c r="B2364" s="134"/>
      <c r="C2364" s="134"/>
      <c r="D2364" s="134"/>
      <c r="E2364" s="134"/>
      <c r="F2364" s="134"/>
      <c r="G2364" s="134"/>
      <c r="H2364" s="134"/>
      <c r="J2364" s="134"/>
      <c r="K2364" s="135"/>
      <c r="L2364" s="136"/>
      <c r="M2364" s="144"/>
      <c r="T2364" s="52"/>
      <c r="V2364" s="134"/>
      <c r="W2364" s="134"/>
      <c r="X2364" s="134"/>
      <c r="Y2364" s="134"/>
      <c r="Z2364" s="134"/>
      <c r="AA2364" s="134"/>
      <c r="AB2364" s="134"/>
      <c r="AC2364" s="134"/>
      <c r="AD2364" s="134"/>
    </row>
    <row r="2365">
      <c r="A2365" s="143"/>
      <c r="B2365" s="134"/>
      <c r="C2365" s="134"/>
      <c r="D2365" s="134"/>
      <c r="E2365" s="134"/>
      <c r="F2365" s="134"/>
      <c r="G2365" s="134"/>
      <c r="H2365" s="134"/>
      <c r="J2365" s="134"/>
      <c r="K2365" s="135"/>
      <c r="L2365" s="136"/>
      <c r="M2365" s="144"/>
      <c r="T2365" s="52"/>
      <c r="V2365" s="134"/>
      <c r="W2365" s="134"/>
      <c r="X2365" s="134"/>
      <c r="Y2365" s="134"/>
      <c r="Z2365" s="134"/>
      <c r="AA2365" s="134"/>
      <c r="AB2365" s="134"/>
      <c r="AC2365" s="134"/>
      <c r="AD2365" s="134"/>
    </row>
    <row r="2366">
      <c r="A2366" s="143"/>
      <c r="B2366" s="134"/>
      <c r="C2366" s="134"/>
      <c r="D2366" s="134"/>
      <c r="E2366" s="134"/>
      <c r="F2366" s="134"/>
      <c r="G2366" s="134"/>
      <c r="H2366" s="134"/>
      <c r="J2366" s="134"/>
      <c r="K2366" s="135"/>
      <c r="L2366" s="136"/>
      <c r="M2366" s="144"/>
      <c r="T2366" s="52"/>
      <c r="V2366" s="134"/>
      <c r="W2366" s="134"/>
      <c r="X2366" s="134"/>
      <c r="Y2366" s="134"/>
      <c r="Z2366" s="134"/>
      <c r="AA2366" s="134"/>
      <c r="AB2366" s="134"/>
      <c r="AC2366" s="134"/>
      <c r="AD2366" s="134"/>
    </row>
    <row r="2367">
      <c r="A2367" s="143"/>
      <c r="B2367" s="134"/>
      <c r="C2367" s="134"/>
      <c r="D2367" s="134"/>
      <c r="E2367" s="134"/>
      <c r="F2367" s="134"/>
      <c r="G2367" s="134"/>
      <c r="H2367" s="134"/>
      <c r="J2367" s="134"/>
      <c r="K2367" s="135"/>
      <c r="L2367" s="136"/>
      <c r="M2367" s="144"/>
      <c r="T2367" s="52"/>
      <c r="V2367" s="134"/>
      <c r="W2367" s="134"/>
      <c r="X2367" s="134"/>
      <c r="Y2367" s="134"/>
      <c r="Z2367" s="134"/>
      <c r="AA2367" s="134"/>
      <c r="AB2367" s="134"/>
      <c r="AC2367" s="134"/>
      <c r="AD2367" s="134"/>
    </row>
    <row r="2368">
      <c r="A2368" s="143"/>
      <c r="B2368" s="134"/>
      <c r="C2368" s="134"/>
      <c r="D2368" s="134"/>
      <c r="E2368" s="134"/>
      <c r="F2368" s="134"/>
      <c r="G2368" s="134"/>
      <c r="H2368" s="134"/>
      <c r="J2368" s="134"/>
      <c r="K2368" s="135"/>
      <c r="L2368" s="136"/>
      <c r="M2368" s="144"/>
      <c r="T2368" s="52"/>
      <c r="V2368" s="134"/>
      <c r="W2368" s="134"/>
      <c r="X2368" s="134"/>
      <c r="Y2368" s="134"/>
      <c r="Z2368" s="134"/>
      <c r="AA2368" s="134"/>
      <c r="AB2368" s="134"/>
      <c r="AC2368" s="134"/>
      <c r="AD2368" s="134"/>
    </row>
    <row r="2369">
      <c r="A2369" s="143"/>
      <c r="B2369" s="134"/>
      <c r="C2369" s="134"/>
      <c r="D2369" s="134"/>
      <c r="E2369" s="134"/>
      <c r="F2369" s="134"/>
      <c r="G2369" s="134"/>
      <c r="H2369" s="134"/>
      <c r="J2369" s="134"/>
      <c r="K2369" s="135"/>
      <c r="L2369" s="136"/>
      <c r="M2369" s="144"/>
      <c r="T2369" s="52"/>
      <c r="V2369" s="134"/>
      <c r="W2369" s="134"/>
      <c r="X2369" s="134"/>
      <c r="Y2369" s="134"/>
      <c r="Z2369" s="134"/>
      <c r="AA2369" s="134"/>
      <c r="AB2369" s="134"/>
      <c r="AC2369" s="134"/>
      <c r="AD2369" s="134"/>
    </row>
    <row r="2370">
      <c r="A2370" s="143"/>
      <c r="B2370" s="134"/>
      <c r="C2370" s="134"/>
      <c r="D2370" s="134"/>
      <c r="E2370" s="134"/>
      <c r="F2370" s="134"/>
      <c r="G2370" s="134"/>
      <c r="H2370" s="134"/>
      <c r="J2370" s="134"/>
      <c r="K2370" s="135"/>
      <c r="L2370" s="136"/>
      <c r="M2370" s="144"/>
      <c r="T2370" s="52"/>
      <c r="V2370" s="134"/>
      <c r="W2370" s="134"/>
      <c r="X2370" s="134"/>
      <c r="Y2370" s="134"/>
      <c r="Z2370" s="134"/>
      <c r="AA2370" s="134"/>
      <c r="AB2370" s="134"/>
      <c r="AC2370" s="134"/>
      <c r="AD2370" s="134"/>
    </row>
    <row r="2371">
      <c r="A2371" s="143"/>
      <c r="B2371" s="134"/>
      <c r="C2371" s="134"/>
      <c r="D2371" s="134"/>
      <c r="E2371" s="134"/>
      <c r="F2371" s="134"/>
      <c r="G2371" s="134"/>
      <c r="H2371" s="134"/>
      <c r="J2371" s="134"/>
      <c r="K2371" s="135"/>
      <c r="L2371" s="136"/>
      <c r="M2371" s="144"/>
      <c r="T2371" s="52"/>
      <c r="V2371" s="134"/>
      <c r="W2371" s="134"/>
      <c r="X2371" s="134"/>
      <c r="Y2371" s="134"/>
      <c r="Z2371" s="134"/>
      <c r="AA2371" s="134"/>
      <c r="AB2371" s="134"/>
      <c r="AC2371" s="134"/>
      <c r="AD2371" s="134"/>
    </row>
    <row r="2372">
      <c r="A2372" s="143"/>
      <c r="B2372" s="134"/>
      <c r="C2372" s="134"/>
      <c r="D2372" s="134"/>
      <c r="E2372" s="134"/>
      <c r="F2372" s="134"/>
      <c r="G2372" s="134"/>
      <c r="H2372" s="134"/>
      <c r="J2372" s="134"/>
      <c r="K2372" s="135"/>
      <c r="L2372" s="136"/>
      <c r="M2372" s="144"/>
      <c r="T2372" s="52"/>
      <c r="V2372" s="134"/>
      <c r="W2372" s="134"/>
      <c r="X2372" s="134"/>
      <c r="Y2372" s="134"/>
      <c r="Z2372" s="134"/>
      <c r="AA2372" s="134"/>
      <c r="AB2372" s="134"/>
      <c r="AC2372" s="134"/>
      <c r="AD2372" s="134"/>
    </row>
    <row r="2373">
      <c r="A2373" s="143"/>
      <c r="B2373" s="134"/>
      <c r="C2373" s="134"/>
      <c r="D2373" s="134"/>
      <c r="E2373" s="134"/>
      <c r="F2373" s="134"/>
      <c r="G2373" s="134"/>
      <c r="H2373" s="134"/>
      <c r="J2373" s="134"/>
      <c r="K2373" s="135"/>
      <c r="L2373" s="136"/>
      <c r="M2373" s="144"/>
      <c r="T2373" s="52"/>
      <c r="V2373" s="134"/>
      <c r="W2373" s="134"/>
      <c r="X2373" s="134"/>
      <c r="Y2373" s="134"/>
      <c r="Z2373" s="134"/>
      <c r="AA2373" s="134"/>
      <c r="AB2373" s="134"/>
      <c r="AC2373" s="134"/>
      <c r="AD2373" s="134"/>
    </row>
    <row r="2374">
      <c r="A2374" s="143"/>
      <c r="B2374" s="134"/>
      <c r="C2374" s="134"/>
      <c r="D2374" s="134"/>
      <c r="E2374" s="134"/>
      <c r="F2374" s="134"/>
      <c r="G2374" s="134"/>
      <c r="H2374" s="134"/>
      <c r="J2374" s="134"/>
      <c r="K2374" s="135"/>
      <c r="L2374" s="136"/>
      <c r="M2374" s="144"/>
      <c r="T2374" s="52"/>
      <c r="V2374" s="134"/>
      <c r="W2374" s="134"/>
      <c r="X2374" s="134"/>
      <c r="Y2374" s="134"/>
      <c r="Z2374" s="134"/>
      <c r="AA2374" s="134"/>
      <c r="AB2374" s="134"/>
      <c r="AC2374" s="134"/>
      <c r="AD2374" s="134"/>
    </row>
    <row r="2375">
      <c r="A2375" s="143"/>
      <c r="B2375" s="134"/>
      <c r="C2375" s="134"/>
      <c r="D2375" s="134"/>
      <c r="E2375" s="134"/>
      <c r="F2375" s="134"/>
      <c r="G2375" s="134"/>
      <c r="H2375" s="134"/>
      <c r="J2375" s="134"/>
      <c r="K2375" s="135"/>
      <c r="L2375" s="136"/>
      <c r="M2375" s="144"/>
      <c r="T2375" s="52"/>
      <c r="V2375" s="134"/>
      <c r="W2375" s="134"/>
      <c r="X2375" s="134"/>
      <c r="Y2375" s="134"/>
      <c r="Z2375" s="134"/>
      <c r="AA2375" s="134"/>
      <c r="AB2375" s="134"/>
      <c r="AC2375" s="134"/>
      <c r="AD2375" s="134"/>
    </row>
    <row r="2376">
      <c r="A2376" s="143"/>
      <c r="B2376" s="134"/>
      <c r="C2376" s="134"/>
      <c r="D2376" s="134"/>
      <c r="E2376" s="134"/>
      <c r="F2376" s="134"/>
      <c r="G2376" s="134"/>
      <c r="H2376" s="134"/>
      <c r="J2376" s="134"/>
      <c r="K2376" s="135"/>
      <c r="L2376" s="136"/>
      <c r="M2376" s="144"/>
      <c r="T2376" s="52"/>
      <c r="V2376" s="134"/>
      <c r="W2376" s="134"/>
      <c r="X2376" s="134"/>
      <c r="Y2376" s="134"/>
      <c r="Z2376" s="134"/>
      <c r="AA2376" s="134"/>
      <c r="AB2376" s="134"/>
      <c r="AC2376" s="134"/>
      <c r="AD2376" s="134"/>
    </row>
    <row r="2377">
      <c r="A2377" s="143"/>
      <c r="B2377" s="134"/>
      <c r="C2377" s="134"/>
      <c r="D2377" s="134"/>
      <c r="E2377" s="134"/>
      <c r="F2377" s="134"/>
      <c r="G2377" s="134"/>
      <c r="H2377" s="134"/>
      <c r="J2377" s="134"/>
      <c r="K2377" s="135"/>
      <c r="L2377" s="136"/>
      <c r="M2377" s="144"/>
      <c r="T2377" s="52"/>
      <c r="V2377" s="134"/>
      <c r="W2377" s="134"/>
      <c r="X2377" s="134"/>
      <c r="Y2377" s="134"/>
      <c r="Z2377" s="134"/>
      <c r="AA2377" s="134"/>
      <c r="AB2377" s="134"/>
      <c r="AC2377" s="134"/>
      <c r="AD2377" s="134"/>
    </row>
    <row r="2378">
      <c r="A2378" s="143"/>
      <c r="B2378" s="134"/>
      <c r="C2378" s="134"/>
      <c r="D2378" s="134"/>
      <c r="E2378" s="134"/>
      <c r="F2378" s="134"/>
      <c r="G2378" s="134"/>
      <c r="H2378" s="134"/>
      <c r="J2378" s="134"/>
      <c r="K2378" s="135"/>
      <c r="L2378" s="136"/>
      <c r="M2378" s="144"/>
      <c r="T2378" s="52"/>
      <c r="V2378" s="134"/>
      <c r="W2378" s="134"/>
      <c r="X2378" s="134"/>
      <c r="Y2378" s="134"/>
      <c r="Z2378" s="134"/>
      <c r="AA2378" s="134"/>
      <c r="AB2378" s="134"/>
      <c r="AC2378" s="134"/>
      <c r="AD2378" s="134"/>
    </row>
    <row r="2379">
      <c r="A2379" s="143"/>
      <c r="B2379" s="134"/>
      <c r="C2379" s="134"/>
      <c r="D2379" s="134"/>
      <c r="E2379" s="134"/>
      <c r="F2379" s="134"/>
      <c r="G2379" s="134"/>
      <c r="H2379" s="134"/>
      <c r="J2379" s="134"/>
      <c r="K2379" s="135"/>
      <c r="L2379" s="136"/>
      <c r="M2379" s="144"/>
      <c r="T2379" s="52"/>
      <c r="V2379" s="134"/>
      <c r="W2379" s="134"/>
      <c r="X2379" s="134"/>
      <c r="Y2379" s="134"/>
      <c r="Z2379" s="134"/>
      <c r="AA2379" s="134"/>
      <c r="AB2379" s="134"/>
      <c r="AC2379" s="134"/>
      <c r="AD2379" s="134"/>
    </row>
    <row r="2380">
      <c r="A2380" s="143"/>
      <c r="B2380" s="134"/>
      <c r="C2380" s="134"/>
      <c r="D2380" s="134"/>
      <c r="E2380" s="134"/>
      <c r="F2380" s="134"/>
      <c r="G2380" s="134"/>
      <c r="H2380" s="134"/>
      <c r="J2380" s="134"/>
      <c r="K2380" s="135"/>
      <c r="L2380" s="136"/>
      <c r="M2380" s="144"/>
      <c r="T2380" s="52"/>
      <c r="V2380" s="134"/>
      <c r="W2380" s="134"/>
      <c r="X2380" s="134"/>
      <c r="Y2380" s="134"/>
      <c r="Z2380" s="134"/>
      <c r="AA2380" s="134"/>
      <c r="AB2380" s="134"/>
      <c r="AC2380" s="134"/>
      <c r="AD2380" s="134"/>
    </row>
    <row r="2381">
      <c r="A2381" s="143"/>
      <c r="B2381" s="134"/>
      <c r="C2381" s="134"/>
      <c r="D2381" s="134"/>
      <c r="E2381" s="134"/>
      <c r="F2381" s="134"/>
      <c r="G2381" s="134"/>
      <c r="H2381" s="134"/>
      <c r="J2381" s="134"/>
      <c r="K2381" s="135"/>
      <c r="L2381" s="136"/>
      <c r="M2381" s="144"/>
      <c r="T2381" s="52"/>
      <c r="V2381" s="134"/>
      <c r="W2381" s="134"/>
      <c r="X2381" s="134"/>
      <c r="Y2381" s="134"/>
      <c r="Z2381" s="134"/>
      <c r="AA2381" s="134"/>
      <c r="AB2381" s="134"/>
      <c r="AC2381" s="134"/>
      <c r="AD2381" s="134"/>
    </row>
    <row r="2382">
      <c r="A2382" s="143"/>
      <c r="B2382" s="134"/>
      <c r="C2382" s="134"/>
      <c r="D2382" s="134"/>
      <c r="E2382" s="134"/>
      <c r="F2382" s="134"/>
      <c r="G2382" s="134"/>
      <c r="H2382" s="134"/>
      <c r="J2382" s="134"/>
      <c r="K2382" s="135"/>
      <c r="L2382" s="136"/>
      <c r="M2382" s="144"/>
      <c r="T2382" s="52"/>
      <c r="V2382" s="134"/>
      <c r="W2382" s="134"/>
      <c r="X2382" s="134"/>
      <c r="Y2382" s="134"/>
      <c r="Z2382" s="134"/>
      <c r="AA2382" s="134"/>
      <c r="AB2382" s="134"/>
      <c r="AC2382" s="134"/>
      <c r="AD2382" s="134"/>
    </row>
    <row r="2383">
      <c r="A2383" s="143"/>
      <c r="B2383" s="134"/>
      <c r="C2383" s="134"/>
      <c r="D2383" s="134"/>
      <c r="E2383" s="134"/>
      <c r="F2383" s="134"/>
      <c r="G2383" s="134"/>
      <c r="H2383" s="134"/>
      <c r="J2383" s="134"/>
      <c r="K2383" s="135"/>
      <c r="L2383" s="136"/>
      <c r="M2383" s="144"/>
      <c r="T2383" s="52"/>
      <c r="V2383" s="134"/>
      <c r="W2383" s="134"/>
      <c r="X2383" s="134"/>
      <c r="Y2383" s="134"/>
      <c r="Z2383" s="134"/>
      <c r="AA2383" s="134"/>
      <c r="AB2383" s="134"/>
      <c r="AC2383" s="134"/>
      <c r="AD2383" s="134"/>
    </row>
    <row r="2384">
      <c r="A2384" s="143"/>
      <c r="B2384" s="134"/>
      <c r="C2384" s="134"/>
      <c r="D2384" s="134"/>
      <c r="E2384" s="134"/>
      <c r="F2384" s="134"/>
      <c r="G2384" s="134"/>
      <c r="H2384" s="134"/>
      <c r="J2384" s="134"/>
      <c r="K2384" s="135"/>
      <c r="L2384" s="136"/>
      <c r="M2384" s="144"/>
      <c r="T2384" s="52"/>
      <c r="V2384" s="134"/>
      <c r="W2384" s="134"/>
      <c r="X2384" s="134"/>
      <c r="Y2384" s="134"/>
      <c r="Z2384" s="134"/>
      <c r="AA2384" s="134"/>
      <c r="AB2384" s="134"/>
      <c r="AC2384" s="134"/>
      <c r="AD2384" s="134"/>
    </row>
    <row r="2385">
      <c r="A2385" s="143"/>
      <c r="B2385" s="134"/>
      <c r="C2385" s="134"/>
      <c r="D2385" s="134"/>
      <c r="E2385" s="134"/>
      <c r="F2385" s="134"/>
      <c r="G2385" s="134"/>
      <c r="H2385" s="134"/>
      <c r="J2385" s="134"/>
      <c r="K2385" s="135"/>
      <c r="L2385" s="136"/>
      <c r="M2385" s="144"/>
      <c r="T2385" s="52"/>
      <c r="V2385" s="134"/>
      <c r="W2385" s="134"/>
      <c r="X2385" s="134"/>
      <c r="Y2385" s="134"/>
      <c r="Z2385" s="134"/>
      <c r="AA2385" s="134"/>
      <c r="AB2385" s="134"/>
      <c r="AC2385" s="134"/>
      <c r="AD2385" s="134"/>
    </row>
    <row r="2386">
      <c r="A2386" s="143"/>
      <c r="B2386" s="134"/>
      <c r="C2386" s="134"/>
      <c r="D2386" s="134"/>
      <c r="E2386" s="134"/>
      <c r="F2386" s="134"/>
      <c r="G2386" s="134"/>
      <c r="H2386" s="134"/>
      <c r="J2386" s="134"/>
      <c r="K2386" s="135"/>
      <c r="L2386" s="136"/>
      <c r="M2386" s="144"/>
      <c r="T2386" s="52"/>
      <c r="V2386" s="134"/>
      <c r="W2386" s="134"/>
      <c r="X2386" s="134"/>
      <c r="Y2386" s="134"/>
      <c r="Z2386" s="134"/>
      <c r="AA2386" s="134"/>
      <c r="AB2386" s="134"/>
      <c r="AC2386" s="134"/>
      <c r="AD2386" s="134"/>
    </row>
    <row r="2387">
      <c r="A2387" s="143"/>
      <c r="B2387" s="134"/>
      <c r="C2387" s="134"/>
      <c r="D2387" s="134"/>
      <c r="E2387" s="134"/>
      <c r="F2387" s="134"/>
      <c r="G2387" s="134"/>
      <c r="H2387" s="134"/>
      <c r="J2387" s="134"/>
      <c r="K2387" s="135"/>
      <c r="L2387" s="136"/>
      <c r="M2387" s="144"/>
      <c r="T2387" s="52"/>
      <c r="V2387" s="134"/>
      <c r="W2387" s="134"/>
      <c r="X2387" s="134"/>
      <c r="Y2387" s="134"/>
      <c r="Z2387" s="134"/>
      <c r="AA2387" s="134"/>
      <c r="AB2387" s="134"/>
      <c r="AC2387" s="134"/>
      <c r="AD2387" s="134"/>
    </row>
    <row r="2388">
      <c r="A2388" s="143"/>
      <c r="B2388" s="134"/>
      <c r="C2388" s="134"/>
      <c r="D2388" s="134"/>
      <c r="E2388" s="134"/>
      <c r="F2388" s="134"/>
      <c r="G2388" s="134"/>
      <c r="H2388" s="134"/>
      <c r="J2388" s="134"/>
      <c r="K2388" s="135"/>
      <c r="L2388" s="136"/>
      <c r="M2388" s="144"/>
      <c r="T2388" s="52"/>
      <c r="V2388" s="134"/>
      <c r="W2388" s="134"/>
      <c r="X2388" s="134"/>
      <c r="Y2388" s="134"/>
      <c r="Z2388" s="134"/>
      <c r="AA2388" s="134"/>
      <c r="AB2388" s="134"/>
      <c r="AC2388" s="134"/>
      <c r="AD2388" s="134"/>
    </row>
    <row r="2389">
      <c r="A2389" s="143"/>
      <c r="B2389" s="134"/>
      <c r="C2389" s="134"/>
      <c r="D2389" s="134"/>
      <c r="E2389" s="134"/>
      <c r="F2389" s="134"/>
      <c r="G2389" s="134"/>
      <c r="H2389" s="134"/>
      <c r="J2389" s="134"/>
      <c r="K2389" s="135"/>
      <c r="L2389" s="136"/>
      <c r="M2389" s="144"/>
      <c r="T2389" s="52"/>
      <c r="V2389" s="134"/>
      <c r="W2389" s="134"/>
      <c r="X2389" s="134"/>
      <c r="Y2389" s="134"/>
      <c r="Z2389" s="134"/>
      <c r="AA2389" s="134"/>
      <c r="AB2389" s="134"/>
      <c r="AC2389" s="134"/>
      <c r="AD2389" s="134"/>
    </row>
    <row r="2390">
      <c r="A2390" s="143"/>
      <c r="B2390" s="134"/>
      <c r="C2390" s="134"/>
      <c r="D2390" s="134"/>
      <c r="E2390" s="134"/>
      <c r="F2390" s="134"/>
      <c r="G2390" s="134"/>
      <c r="H2390" s="134"/>
      <c r="J2390" s="134"/>
      <c r="K2390" s="135"/>
      <c r="L2390" s="136"/>
      <c r="M2390" s="144"/>
      <c r="T2390" s="52"/>
      <c r="V2390" s="134"/>
      <c r="W2390" s="134"/>
      <c r="X2390" s="134"/>
      <c r="Y2390" s="134"/>
      <c r="Z2390" s="134"/>
      <c r="AA2390" s="134"/>
      <c r="AB2390" s="134"/>
      <c r="AC2390" s="134"/>
      <c r="AD2390" s="134"/>
    </row>
    <row r="2391">
      <c r="A2391" s="143"/>
      <c r="B2391" s="134"/>
      <c r="C2391" s="134"/>
      <c r="D2391" s="134"/>
      <c r="E2391" s="134"/>
      <c r="F2391" s="134"/>
      <c r="G2391" s="134"/>
      <c r="H2391" s="134"/>
      <c r="J2391" s="134"/>
      <c r="K2391" s="135"/>
      <c r="L2391" s="136"/>
      <c r="M2391" s="144"/>
      <c r="T2391" s="52"/>
      <c r="V2391" s="134"/>
      <c r="W2391" s="134"/>
      <c r="X2391" s="134"/>
      <c r="Y2391" s="134"/>
      <c r="Z2391" s="134"/>
      <c r="AA2391" s="134"/>
      <c r="AB2391" s="134"/>
      <c r="AC2391" s="134"/>
      <c r="AD2391" s="134"/>
    </row>
    <row r="2392">
      <c r="A2392" s="143"/>
      <c r="B2392" s="134"/>
      <c r="C2392" s="134"/>
      <c r="D2392" s="134"/>
      <c r="E2392" s="134"/>
      <c r="F2392" s="134"/>
      <c r="G2392" s="134"/>
      <c r="H2392" s="134"/>
      <c r="J2392" s="134"/>
      <c r="K2392" s="135"/>
      <c r="L2392" s="136"/>
      <c r="M2392" s="144"/>
      <c r="T2392" s="52"/>
      <c r="V2392" s="134"/>
      <c r="W2392" s="134"/>
      <c r="X2392" s="134"/>
      <c r="Y2392" s="134"/>
      <c r="Z2392" s="134"/>
      <c r="AA2392" s="134"/>
      <c r="AB2392" s="134"/>
      <c r="AC2392" s="134"/>
      <c r="AD2392" s="134"/>
    </row>
    <row r="2393">
      <c r="A2393" s="143"/>
      <c r="B2393" s="134"/>
      <c r="C2393" s="134"/>
      <c r="D2393" s="134"/>
      <c r="E2393" s="134"/>
      <c r="F2393" s="134"/>
      <c r="G2393" s="134"/>
      <c r="H2393" s="134"/>
      <c r="J2393" s="134"/>
      <c r="K2393" s="135"/>
      <c r="L2393" s="136"/>
      <c r="M2393" s="144"/>
      <c r="T2393" s="52"/>
      <c r="V2393" s="134"/>
      <c r="W2393" s="134"/>
      <c r="X2393" s="134"/>
      <c r="Y2393" s="134"/>
      <c r="Z2393" s="134"/>
      <c r="AA2393" s="134"/>
      <c r="AB2393" s="134"/>
      <c r="AC2393" s="134"/>
      <c r="AD2393" s="134"/>
    </row>
    <row r="2394">
      <c r="A2394" s="143"/>
      <c r="B2394" s="134"/>
      <c r="C2394" s="134"/>
      <c r="D2394" s="134"/>
      <c r="E2394" s="134"/>
      <c r="F2394" s="134"/>
      <c r="G2394" s="134"/>
      <c r="H2394" s="134"/>
      <c r="J2394" s="134"/>
      <c r="K2394" s="135"/>
      <c r="L2394" s="136"/>
      <c r="M2394" s="144"/>
      <c r="T2394" s="52"/>
      <c r="V2394" s="134"/>
      <c r="W2394" s="134"/>
      <c r="X2394" s="134"/>
      <c r="Y2394" s="134"/>
      <c r="Z2394" s="134"/>
      <c r="AA2394" s="134"/>
      <c r="AB2394" s="134"/>
      <c r="AC2394" s="134"/>
      <c r="AD2394" s="134"/>
    </row>
    <row r="2395">
      <c r="A2395" s="143"/>
      <c r="B2395" s="134"/>
      <c r="C2395" s="134"/>
      <c r="D2395" s="134"/>
      <c r="E2395" s="134"/>
      <c r="F2395" s="134"/>
      <c r="G2395" s="134"/>
      <c r="H2395" s="134"/>
      <c r="J2395" s="134"/>
      <c r="K2395" s="135"/>
      <c r="L2395" s="136"/>
      <c r="M2395" s="144"/>
      <c r="T2395" s="52"/>
      <c r="V2395" s="134"/>
      <c r="W2395" s="134"/>
      <c r="X2395" s="134"/>
      <c r="Y2395" s="134"/>
      <c r="Z2395" s="134"/>
      <c r="AA2395" s="134"/>
      <c r="AB2395" s="134"/>
      <c r="AC2395" s="134"/>
      <c r="AD2395" s="134"/>
    </row>
    <row r="2396">
      <c r="A2396" s="143"/>
      <c r="B2396" s="134"/>
      <c r="C2396" s="134"/>
      <c r="D2396" s="134"/>
      <c r="E2396" s="134"/>
      <c r="F2396" s="134"/>
      <c r="G2396" s="134"/>
      <c r="H2396" s="134"/>
      <c r="J2396" s="134"/>
      <c r="K2396" s="135"/>
      <c r="L2396" s="136"/>
      <c r="M2396" s="144"/>
      <c r="T2396" s="52"/>
      <c r="V2396" s="134"/>
      <c r="W2396" s="134"/>
      <c r="X2396" s="134"/>
      <c r="Y2396" s="134"/>
      <c r="Z2396" s="134"/>
      <c r="AA2396" s="134"/>
      <c r="AB2396" s="134"/>
      <c r="AC2396" s="134"/>
      <c r="AD2396" s="134"/>
    </row>
    <row r="2397">
      <c r="A2397" s="143"/>
      <c r="B2397" s="134"/>
      <c r="C2397" s="134"/>
      <c r="D2397" s="134"/>
      <c r="E2397" s="134"/>
      <c r="F2397" s="134"/>
      <c r="G2397" s="134"/>
      <c r="H2397" s="134"/>
      <c r="J2397" s="134"/>
      <c r="K2397" s="135"/>
      <c r="L2397" s="136"/>
      <c r="M2397" s="144"/>
      <c r="T2397" s="52"/>
      <c r="V2397" s="134"/>
      <c r="W2397" s="134"/>
      <c r="X2397" s="134"/>
      <c r="Y2397" s="134"/>
      <c r="Z2397" s="134"/>
      <c r="AA2397" s="134"/>
      <c r="AB2397" s="134"/>
      <c r="AC2397" s="134"/>
      <c r="AD2397" s="134"/>
    </row>
    <row r="2398">
      <c r="A2398" s="143"/>
      <c r="B2398" s="134"/>
      <c r="C2398" s="134"/>
      <c r="D2398" s="134"/>
      <c r="E2398" s="134"/>
      <c r="F2398" s="134"/>
      <c r="G2398" s="134"/>
      <c r="H2398" s="134"/>
      <c r="J2398" s="134"/>
      <c r="K2398" s="135"/>
      <c r="L2398" s="136"/>
      <c r="M2398" s="144"/>
      <c r="T2398" s="52"/>
      <c r="V2398" s="134"/>
      <c r="W2398" s="134"/>
      <c r="X2398" s="134"/>
      <c r="Y2398" s="134"/>
      <c r="Z2398" s="134"/>
      <c r="AA2398" s="134"/>
      <c r="AB2398" s="134"/>
      <c r="AC2398" s="134"/>
      <c r="AD2398" s="134"/>
    </row>
    <row r="2399">
      <c r="A2399" s="143"/>
      <c r="B2399" s="134"/>
      <c r="C2399" s="134"/>
      <c r="D2399" s="134"/>
      <c r="E2399" s="134"/>
      <c r="F2399" s="134"/>
      <c r="G2399" s="134"/>
      <c r="H2399" s="134"/>
      <c r="J2399" s="134"/>
      <c r="K2399" s="135"/>
      <c r="L2399" s="136"/>
      <c r="M2399" s="144"/>
      <c r="T2399" s="52"/>
      <c r="V2399" s="134"/>
      <c r="W2399" s="134"/>
      <c r="X2399" s="134"/>
      <c r="Y2399" s="134"/>
      <c r="Z2399" s="134"/>
      <c r="AA2399" s="134"/>
      <c r="AB2399" s="134"/>
      <c r="AC2399" s="134"/>
      <c r="AD2399" s="134"/>
    </row>
    <row r="2400">
      <c r="A2400" s="143"/>
      <c r="B2400" s="134"/>
      <c r="C2400" s="134"/>
      <c r="D2400" s="134"/>
      <c r="E2400" s="134"/>
      <c r="F2400" s="134"/>
      <c r="G2400" s="134"/>
      <c r="H2400" s="134"/>
      <c r="J2400" s="134"/>
      <c r="K2400" s="135"/>
      <c r="L2400" s="136"/>
      <c r="M2400" s="144"/>
      <c r="T2400" s="52"/>
      <c r="V2400" s="134"/>
      <c r="W2400" s="134"/>
      <c r="X2400" s="134"/>
      <c r="Y2400" s="134"/>
      <c r="Z2400" s="134"/>
      <c r="AA2400" s="134"/>
      <c r="AB2400" s="134"/>
      <c r="AC2400" s="134"/>
      <c r="AD2400" s="134"/>
    </row>
    <row r="2401">
      <c r="A2401" s="143"/>
      <c r="B2401" s="134"/>
      <c r="C2401" s="134"/>
      <c r="D2401" s="134"/>
      <c r="E2401" s="134"/>
      <c r="F2401" s="134"/>
      <c r="G2401" s="134"/>
      <c r="H2401" s="134"/>
      <c r="J2401" s="134"/>
      <c r="K2401" s="135"/>
      <c r="L2401" s="136"/>
      <c r="M2401" s="144"/>
      <c r="T2401" s="52"/>
      <c r="V2401" s="134"/>
      <c r="W2401" s="134"/>
      <c r="X2401" s="134"/>
      <c r="Y2401" s="134"/>
      <c r="Z2401" s="134"/>
      <c r="AA2401" s="134"/>
      <c r="AB2401" s="134"/>
      <c r="AC2401" s="134"/>
      <c r="AD2401" s="134"/>
    </row>
    <row r="2402">
      <c r="A2402" s="143"/>
      <c r="B2402" s="134"/>
      <c r="C2402" s="134"/>
      <c r="D2402" s="134"/>
      <c r="E2402" s="134"/>
      <c r="F2402" s="134"/>
      <c r="G2402" s="134"/>
      <c r="H2402" s="134"/>
      <c r="J2402" s="134"/>
      <c r="K2402" s="135"/>
      <c r="L2402" s="136"/>
      <c r="M2402" s="144"/>
      <c r="T2402" s="52"/>
      <c r="V2402" s="134"/>
      <c r="W2402" s="134"/>
      <c r="X2402" s="134"/>
      <c r="Y2402" s="134"/>
      <c r="Z2402" s="134"/>
      <c r="AA2402" s="134"/>
      <c r="AB2402" s="134"/>
      <c r="AC2402" s="134"/>
      <c r="AD2402" s="134"/>
    </row>
    <row r="2403">
      <c r="A2403" s="143"/>
      <c r="B2403" s="134"/>
      <c r="C2403" s="134"/>
      <c r="D2403" s="134"/>
      <c r="E2403" s="134"/>
      <c r="F2403" s="134"/>
      <c r="G2403" s="134"/>
      <c r="H2403" s="134"/>
      <c r="J2403" s="134"/>
      <c r="K2403" s="135"/>
      <c r="L2403" s="136"/>
      <c r="M2403" s="144"/>
      <c r="T2403" s="52"/>
      <c r="V2403" s="134"/>
      <c r="W2403" s="134"/>
      <c r="X2403" s="134"/>
      <c r="Y2403" s="134"/>
      <c r="Z2403" s="134"/>
      <c r="AA2403" s="134"/>
      <c r="AB2403" s="134"/>
      <c r="AC2403" s="134"/>
      <c r="AD2403" s="134"/>
    </row>
    <row r="2404">
      <c r="A2404" s="143"/>
      <c r="B2404" s="134"/>
      <c r="C2404" s="134"/>
      <c r="D2404" s="134"/>
      <c r="E2404" s="134"/>
      <c r="F2404" s="134"/>
      <c r="G2404" s="134"/>
      <c r="H2404" s="134"/>
      <c r="J2404" s="134"/>
      <c r="K2404" s="135"/>
      <c r="L2404" s="136"/>
      <c r="M2404" s="144"/>
      <c r="T2404" s="52"/>
      <c r="V2404" s="134"/>
      <c r="W2404" s="134"/>
      <c r="X2404" s="134"/>
      <c r="Y2404" s="134"/>
      <c r="Z2404" s="134"/>
      <c r="AA2404" s="134"/>
      <c r="AB2404" s="134"/>
      <c r="AC2404" s="134"/>
      <c r="AD2404" s="134"/>
    </row>
    <row r="2405">
      <c r="A2405" s="143"/>
      <c r="B2405" s="134"/>
      <c r="C2405" s="134"/>
      <c r="D2405" s="134"/>
      <c r="E2405" s="134"/>
      <c r="F2405" s="134"/>
      <c r="G2405" s="134"/>
      <c r="H2405" s="134"/>
      <c r="J2405" s="134"/>
      <c r="K2405" s="135"/>
      <c r="L2405" s="136"/>
      <c r="M2405" s="144"/>
      <c r="T2405" s="52"/>
      <c r="V2405" s="134"/>
      <c r="W2405" s="134"/>
      <c r="X2405" s="134"/>
      <c r="Y2405" s="134"/>
      <c r="Z2405" s="134"/>
      <c r="AA2405" s="134"/>
      <c r="AB2405" s="134"/>
      <c r="AC2405" s="134"/>
      <c r="AD2405" s="134"/>
    </row>
    <row r="2406">
      <c r="A2406" s="143"/>
      <c r="B2406" s="134"/>
      <c r="C2406" s="134"/>
      <c r="D2406" s="134"/>
      <c r="E2406" s="134"/>
      <c r="F2406" s="134"/>
      <c r="G2406" s="134"/>
      <c r="H2406" s="134"/>
      <c r="J2406" s="134"/>
      <c r="K2406" s="135"/>
      <c r="L2406" s="136"/>
      <c r="M2406" s="144"/>
      <c r="T2406" s="52"/>
      <c r="V2406" s="134"/>
      <c r="W2406" s="134"/>
      <c r="X2406" s="134"/>
      <c r="Y2406" s="134"/>
      <c r="Z2406" s="134"/>
      <c r="AA2406" s="134"/>
      <c r="AB2406" s="134"/>
      <c r="AC2406" s="134"/>
      <c r="AD2406" s="134"/>
    </row>
    <row r="2407">
      <c r="A2407" s="143"/>
      <c r="B2407" s="134"/>
      <c r="C2407" s="134"/>
      <c r="D2407" s="134"/>
      <c r="E2407" s="134"/>
      <c r="F2407" s="134"/>
      <c r="G2407" s="134"/>
      <c r="H2407" s="134"/>
      <c r="J2407" s="134"/>
      <c r="K2407" s="135"/>
      <c r="L2407" s="136"/>
      <c r="M2407" s="144"/>
      <c r="T2407" s="52"/>
      <c r="V2407" s="134"/>
      <c r="W2407" s="134"/>
      <c r="X2407" s="134"/>
      <c r="Y2407" s="134"/>
      <c r="Z2407" s="134"/>
      <c r="AA2407" s="134"/>
      <c r="AB2407" s="134"/>
      <c r="AC2407" s="134"/>
      <c r="AD2407" s="134"/>
    </row>
    <row r="2408">
      <c r="A2408" s="143"/>
      <c r="B2408" s="134"/>
      <c r="C2408" s="134"/>
      <c r="D2408" s="134"/>
      <c r="E2408" s="134"/>
      <c r="F2408" s="134"/>
      <c r="G2408" s="134"/>
      <c r="H2408" s="134"/>
      <c r="J2408" s="134"/>
      <c r="K2408" s="135"/>
      <c r="L2408" s="136"/>
      <c r="M2408" s="144"/>
      <c r="T2408" s="52"/>
      <c r="V2408" s="134"/>
      <c r="W2408" s="134"/>
      <c r="X2408" s="134"/>
      <c r="Y2408" s="134"/>
      <c r="Z2408" s="134"/>
      <c r="AA2408" s="134"/>
      <c r="AB2408" s="134"/>
      <c r="AC2408" s="134"/>
      <c r="AD2408" s="134"/>
    </row>
    <row r="2409">
      <c r="A2409" s="143"/>
      <c r="B2409" s="134"/>
      <c r="C2409" s="134"/>
      <c r="D2409" s="134"/>
      <c r="E2409" s="134"/>
      <c r="F2409" s="134"/>
      <c r="G2409" s="134"/>
      <c r="H2409" s="134"/>
      <c r="J2409" s="134"/>
      <c r="K2409" s="135"/>
      <c r="L2409" s="136"/>
      <c r="M2409" s="144"/>
      <c r="T2409" s="52"/>
      <c r="V2409" s="134"/>
      <c r="W2409" s="134"/>
      <c r="X2409" s="134"/>
      <c r="Y2409" s="134"/>
      <c r="Z2409" s="134"/>
      <c r="AA2409" s="134"/>
      <c r="AB2409" s="134"/>
      <c r="AC2409" s="134"/>
      <c r="AD2409" s="134"/>
    </row>
    <row r="2410">
      <c r="A2410" s="143"/>
      <c r="B2410" s="134"/>
      <c r="C2410" s="134"/>
      <c r="D2410" s="134"/>
      <c r="E2410" s="134"/>
      <c r="F2410" s="134"/>
      <c r="G2410" s="134"/>
      <c r="H2410" s="134"/>
      <c r="J2410" s="134"/>
      <c r="K2410" s="135"/>
      <c r="L2410" s="136"/>
      <c r="M2410" s="144"/>
      <c r="T2410" s="52"/>
      <c r="V2410" s="134"/>
      <c r="W2410" s="134"/>
      <c r="X2410" s="134"/>
      <c r="Y2410" s="134"/>
      <c r="Z2410" s="134"/>
      <c r="AA2410" s="134"/>
      <c r="AB2410" s="134"/>
      <c r="AC2410" s="134"/>
      <c r="AD2410" s="134"/>
    </row>
    <row r="2411">
      <c r="A2411" s="143"/>
      <c r="B2411" s="134"/>
      <c r="C2411" s="134"/>
      <c r="D2411" s="134"/>
      <c r="E2411" s="134"/>
      <c r="F2411" s="134"/>
      <c r="G2411" s="134"/>
      <c r="H2411" s="134"/>
      <c r="J2411" s="134"/>
      <c r="K2411" s="135"/>
      <c r="L2411" s="136"/>
      <c r="M2411" s="144"/>
      <c r="T2411" s="52"/>
      <c r="V2411" s="134"/>
      <c r="W2411" s="134"/>
      <c r="X2411" s="134"/>
      <c r="Y2411" s="134"/>
      <c r="Z2411" s="134"/>
      <c r="AA2411" s="134"/>
      <c r="AB2411" s="134"/>
      <c r="AC2411" s="134"/>
      <c r="AD2411" s="134"/>
    </row>
    <row r="2412">
      <c r="A2412" s="143"/>
      <c r="B2412" s="134"/>
      <c r="C2412" s="134"/>
      <c r="D2412" s="134"/>
      <c r="E2412" s="134"/>
      <c r="F2412" s="134"/>
      <c r="G2412" s="134"/>
      <c r="H2412" s="134"/>
      <c r="J2412" s="134"/>
      <c r="K2412" s="135"/>
      <c r="L2412" s="136"/>
      <c r="M2412" s="144"/>
      <c r="T2412" s="52"/>
      <c r="V2412" s="134"/>
      <c r="W2412" s="134"/>
      <c r="X2412" s="134"/>
      <c r="Y2412" s="134"/>
      <c r="Z2412" s="134"/>
      <c r="AA2412" s="134"/>
      <c r="AB2412" s="134"/>
      <c r="AC2412" s="134"/>
      <c r="AD2412" s="134"/>
    </row>
    <row r="2413">
      <c r="A2413" s="143"/>
      <c r="B2413" s="134"/>
      <c r="C2413" s="134"/>
      <c r="D2413" s="134"/>
      <c r="E2413" s="134"/>
      <c r="F2413" s="134"/>
      <c r="G2413" s="134"/>
      <c r="H2413" s="134"/>
      <c r="J2413" s="134"/>
      <c r="K2413" s="135"/>
      <c r="L2413" s="136"/>
      <c r="M2413" s="144"/>
      <c r="T2413" s="52"/>
      <c r="V2413" s="134"/>
      <c r="W2413" s="134"/>
      <c r="X2413" s="134"/>
      <c r="Y2413" s="134"/>
      <c r="Z2413" s="134"/>
      <c r="AA2413" s="134"/>
      <c r="AB2413" s="134"/>
      <c r="AC2413" s="134"/>
      <c r="AD2413" s="134"/>
    </row>
    <row r="2414">
      <c r="A2414" s="143"/>
      <c r="B2414" s="134"/>
      <c r="C2414" s="134"/>
      <c r="D2414" s="134"/>
      <c r="E2414" s="134"/>
      <c r="F2414" s="134"/>
      <c r="G2414" s="134"/>
      <c r="H2414" s="134"/>
      <c r="J2414" s="134"/>
      <c r="K2414" s="135"/>
      <c r="L2414" s="136"/>
      <c r="M2414" s="144"/>
      <c r="T2414" s="52"/>
      <c r="V2414" s="134"/>
      <c r="W2414" s="134"/>
      <c r="X2414" s="134"/>
      <c r="Y2414" s="134"/>
      <c r="Z2414" s="134"/>
      <c r="AA2414" s="134"/>
      <c r="AB2414" s="134"/>
      <c r="AC2414" s="134"/>
      <c r="AD2414" s="134"/>
    </row>
    <row r="2415">
      <c r="A2415" s="143"/>
      <c r="B2415" s="134"/>
      <c r="C2415" s="134"/>
      <c r="D2415" s="134"/>
      <c r="E2415" s="134"/>
      <c r="F2415" s="134"/>
      <c r="G2415" s="134"/>
      <c r="H2415" s="134"/>
      <c r="J2415" s="134"/>
      <c r="K2415" s="135"/>
      <c r="L2415" s="136"/>
      <c r="M2415" s="144"/>
      <c r="T2415" s="52"/>
      <c r="V2415" s="134"/>
      <c r="W2415" s="134"/>
      <c r="X2415" s="134"/>
      <c r="Y2415" s="134"/>
      <c r="Z2415" s="134"/>
      <c r="AA2415" s="134"/>
      <c r="AB2415" s="134"/>
      <c r="AC2415" s="134"/>
      <c r="AD2415" s="134"/>
    </row>
    <row r="2416">
      <c r="A2416" s="143"/>
      <c r="B2416" s="134"/>
      <c r="C2416" s="134"/>
      <c r="D2416" s="134"/>
      <c r="E2416" s="134"/>
      <c r="F2416" s="134"/>
      <c r="G2416" s="134"/>
      <c r="H2416" s="134"/>
      <c r="J2416" s="134"/>
      <c r="K2416" s="135"/>
      <c r="L2416" s="136"/>
      <c r="M2416" s="144"/>
      <c r="T2416" s="52"/>
      <c r="V2416" s="134"/>
      <c r="W2416" s="134"/>
      <c r="X2416" s="134"/>
      <c r="Y2416" s="134"/>
      <c r="Z2416" s="134"/>
      <c r="AA2416" s="134"/>
      <c r="AB2416" s="134"/>
      <c r="AC2416" s="134"/>
      <c r="AD2416" s="134"/>
    </row>
    <row r="2417">
      <c r="A2417" s="143"/>
      <c r="B2417" s="134"/>
      <c r="C2417" s="134"/>
      <c r="D2417" s="134"/>
      <c r="E2417" s="134"/>
      <c r="F2417" s="134"/>
      <c r="G2417" s="134"/>
      <c r="H2417" s="134"/>
      <c r="J2417" s="134"/>
      <c r="K2417" s="135"/>
      <c r="L2417" s="136"/>
      <c r="M2417" s="144"/>
      <c r="T2417" s="52"/>
      <c r="V2417" s="134"/>
      <c r="W2417" s="134"/>
      <c r="X2417" s="134"/>
      <c r="Y2417" s="134"/>
      <c r="Z2417" s="134"/>
      <c r="AA2417" s="134"/>
      <c r="AB2417" s="134"/>
      <c r="AC2417" s="134"/>
      <c r="AD2417" s="134"/>
    </row>
    <row r="2418">
      <c r="A2418" s="143"/>
      <c r="B2418" s="134"/>
      <c r="C2418" s="134"/>
      <c r="D2418" s="134"/>
      <c r="E2418" s="134"/>
      <c r="F2418" s="134"/>
      <c r="G2418" s="134"/>
      <c r="H2418" s="134"/>
      <c r="J2418" s="134"/>
      <c r="K2418" s="135"/>
      <c r="L2418" s="136"/>
      <c r="M2418" s="144"/>
      <c r="T2418" s="52"/>
      <c r="V2418" s="134"/>
      <c r="W2418" s="134"/>
      <c r="X2418" s="134"/>
      <c r="Y2418" s="134"/>
      <c r="Z2418" s="134"/>
      <c r="AA2418" s="134"/>
      <c r="AB2418" s="134"/>
      <c r="AC2418" s="134"/>
      <c r="AD2418" s="134"/>
    </row>
    <row r="2419">
      <c r="A2419" s="143"/>
      <c r="B2419" s="134"/>
      <c r="C2419" s="134"/>
      <c r="D2419" s="134"/>
      <c r="E2419" s="134"/>
      <c r="F2419" s="134"/>
      <c r="G2419" s="134"/>
      <c r="H2419" s="134"/>
      <c r="J2419" s="134"/>
      <c r="K2419" s="135"/>
      <c r="L2419" s="136"/>
      <c r="M2419" s="144"/>
      <c r="T2419" s="52"/>
      <c r="V2419" s="134"/>
      <c r="W2419" s="134"/>
      <c r="X2419" s="134"/>
      <c r="Y2419" s="134"/>
      <c r="Z2419" s="134"/>
      <c r="AA2419" s="134"/>
      <c r="AB2419" s="134"/>
      <c r="AC2419" s="134"/>
      <c r="AD2419" s="134"/>
    </row>
    <row r="2420">
      <c r="A2420" s="143"/>
      <c r="B2420" s="134"/>
      <c r="C2420" s="134"/>
      <c r="D2420" s="134"/>
      <c r="E2420" s="134"/>
      <c r="F2420" s="134"/>
      <c r="G2420" s="134"/>
      <c r="H2420" s="134"/>
      <c r="J2420" s="134"/>
      <c r="K2420" s="135"/>
      <c r="L2420" s="136"/>
      <c r="M2420" s="144"/>
      <c r="T2420" s="52"/>
      <c r="V2420" s="134"/>
      <c r="W2420" s="134"/>
      <c r="X2420" s="134"/>
      <c r="Y2420" s="134"/>
      <c r="Z2420" s="134"/>
      <c r="AA2420" s="134"/>
      <c r="AB2420" s="134"/>
      <c r="AC2420" s="134"/>
      <c r="AD2420" s="134"/>
    </row>
    <row r="2421">
      <c r="A2421" s="143"/>
      <c r="B2421" s="134"/>
      <c r="C2421" s="134"/>
      <c r="D2421" s="134"/>
      <c r="E2421" s="134"/>
      <c r="F2421" s="134"/>
      <c r="G2421" s="134"/>
      <c r="H2421" s="134"/>
      <c r="J2421" s="134"/>
      <c r="K2421" s="135"/>
      <c r="L2421" s="136"/>
      <c r="M2421" s="144"/>
      <c r="T2421" s="52"/>
      <c r="V2421" s="134"/>
      <c r="W2421" s="134"/>
      <c r="X2421" s="134"/>
      <c r="Y2421" s="134"/>
      <c r="Z2421" s="134"/>
      <c r="AA2421" s="134"/>
      <c r="AB2421" s="134"/>
      <c r="AC2421" s="134"/>
      <c r="AD2421" s="134"/>
    </row>
    <row r="2422">
      <c r="A2422" s="143"/>
      <c r="B2422" s="134"/>
      <c r="C2422" s="134"/>
      <c r="D2422" s="134"/>
      <c r="E2422" s="134"/>
      <c r="F2422" s="134"/>
      <c r="G2422" s="134"/>
      <c r="H2422" s="134"/>
      <c r="J2422" s="134"/>
      <c r="K2422" s="135"/>
      <c r="L2422" s="136"/>
      <c r="M2422" s="144"/>
      <c r="T2422" s="52"/>
      <c r="V2422" s="134"/>
      <c r="W2422" s="134"/>
      <c r="X2422" s="134"/>
      <c r="Y2422" s="134"/>
      <c r="Z2422" s="134"/>
      <c r="AA2422" s="134"/>
      <c r="AB2422" s="134"/>
      <c r="AC2422" s="134"/>
      <c r="AD2422" s="134"/>
    </row>
    <row r="2423">
      <c r="A2423" s="143"/>
      <c r="B2423" s="134"/>
      <c r="C2423" s="134"/>
      <c r="D2423" s="134"/>
      <c r="E2423" s="134"/>
      <c r="F2423" s="134"/>
      <c r="G2423" s="134"/>
      <c r="H2423" s="134"/>
      <c r="J2423" s="134"/>
      <c r="K2423" s="135"/>
      <c r="L2423" s="136"/>
      <c r="M2423" s="144"/>
      <c r="T2423" s="52"/>
      <c r="V2423" s="134"/>
      <c r="W2423" s="134"/>
      <c r="X2423" s="134"/>
      <c r="Y2423" s="134"/>
      <c r="Z2423" s="134"/>
      <c r="AA2423" s="134"/>
      <c r="AB2423" s="134"/>
      <c r="AC2423" s="134"/>
      <c r="AD2423" s="134"/>
    </row>
    <row r="2424">
      <c r="A2424" s="143"/>
      <c r="B2424" s="134"/>
      <c r="C2424" s="134"/>
      <c r="D2424" s="134"/>
      <c r="E2424" s="134"/>
      <c r="F2424" s="134"/>
      <c r="G2424" s="134"/>
      <c r="H2424" s="134"/>
      <c r="J2424" s="134"/>
      <c r="K2424" s="135"/>
      <c r="L2424" s="136"/>
      <c r="M2424" s="144"/>
      <c r="T2424" s="52"/>
      <c r="V2424" s="134"/>
      <c r="W2424" s="134"/>
      <c r="X2424" s="134"/>
      <c r="Y2424" s="134"/>
      <c r="Z2424" s="134"/>
      <c r="AA2424" s="134"/>
      <c r="AB2424" s="134"/>
      <c r="AC2424" s="134"/>
      <c r="AD2424" s="134"/>
    </row>
    <row r="2425">
      <c r="A2425" s="143"/>
      <c r="B2425" s="134"/>
      <c r="C2425" s="134"/>
      <c r="D2425" s="134"/>
      <c r="E2425" s="134"/>
      <c r="F2425" s="134"/>
      <c r="G2425" s="134"/>
      <c r="H2425" s="134"/>
      <c r="J2425" s="134"/>
      <c r="K2425" s="135"/>
      <c r="L2425" s="136"/>
      <c r="M2425" s="144"/>
      <c r="T2425" s="52"/>
      <c r="V2425" s="134"/>
      <c r="W2425" s="134"/>
      <c r="X2425" s="134"/>
      <c r="Y2425" s="134"/>
      <c r="Z2425" s="134"/>
      <c r="AA2425" s="134"/>
      <c r="AB2425" s="134"/>
      <c r="AC2425" s="134"/>
      <c r="AD2425" s="134"/>
    </row>
    <row r="2426">
      <c r="A2426" s="143"/>
      <c r="B2426" s="134"/>
      <c r="C2426" s="134"/>
      <c r="D2426" s="134"/>
      <c r="E2426" s="134"/>
      <c r="F2426" s="134"/>
      <c r="G2426" s="134"/>
      <c r="H2426" s="134"/>
      <c r="J2426" s="134"/>
      <c r="K2426" s="135"/>
      <c r="L2426" s="136"/>
      <c r="M2426" s="144"/>
      <c r="T2426" s="52"/>
      <c r="V2426" s="134"/>
      <c r="W2426" s="134"/>
      <c r="X2426" s="134"/>
      <c r="Y2426" s="134"/>
      <c r="Z2426" s="134"/>
      <c r="AA2426" s="134"/>
      <c r="AB2426" s="134"/>
      <c r="AC2426" s="134"/>
      <c r="AD2426" s="134"/>
    </row>
    <row r="2427">
      <c r="A2427" s="143"/>
      <c r="B2427" s="134"/>
      <c r="C2427" s="134"/>
      <c r="D2427" s="134"/>
      <c r="E2427" s="134"/>
      <c r="F2427" s="134"/>
      <c r="G2427" s="134"/>
      <c r="H2427" s="134"/>
      <c r="J2427" s="134"/>
      <c r="K2427" s="135"/>
      <c r="L2427" s="136"/>
      <c r="M2427" s="144"/>
      <c r="T2427" s="52"/>
      <c r="V2427" s="134"/>
      <c r="W2427" s="134"/>
      <c r="X2427" s="134"/>
      <c r="Y2427" s="134"/>
      <c r="Z2427" s="134"/>
      <c r="AA2427" s="134"/>
      <c r="AB2427" s="134"/>
      <c r="AC2427" s="134"/>
      <c r="AD2427" s="134"/>
    </row>
    <row r="2428">
      <c r="A2428" s="143"/>
      <c r="B2428" s="134"/>
      <c r="C2428" s="134"/>
      <c r="D2428" s="134"/>
      <c r="E2428" s="134"/>
      <c r="F2428" s="134"/>
      <c r="G2428" s="134"/>
      <c r="H2428" s="134"/>
      <c r="J2428" s="134"/>
      <c r="K2428" s="135"/>
      <c r="L2428" s="136"/>
      <c r="M2428" s="144"/>
      <c r="T2428" s="52"/>
      <c r="V2428" s="134"/>
      <c r="W2428" s="134"/>
      <c r="X2428" s="134"/>
      <c r="Y2428" s="134"/>
      <c r="Z2428" s="134"/>
      <c r="AA2428" s="134"/>
      <c r="AB2428" s="134"/>
      <c r="AC2428" s="134"/>
      <c r="AD2428" s="134"/>
    </row>
    <row r="2429">
      <c r="A2429" s="143"/>
      <c r="B2429" s="134"/>
      <c r="C2429" s="134"/>
      <c r="D2429" s="134"/>
      <c r="E2429" s="134"/>
      <c r="F2429" s="134"/>
      <c r="G2429" s="134"/>
      <c r="H2429" s="134"/>
      <c r="J2429" s="134"/>
      <c r="K2429" s="135"/>
      <c r="L2429" s="136"/>
      <c r="M2429" s="144"/>
      <c r="T2429" s="52"/>
      <c r="V2429" s="134"/>
      <c r="W2429" s="134"/>
      <c r="X2429" s="134"/>
      <c r="Y2429" s="134"/>
      <c r="Z2429" s="134"/>
      <c r="AA2429" s="134"/>
      <c r="AB2429" s="134"/>
      <c r="AC2429" s="134"/>
      <c r="AD2429" s="134"/>
    </row>
    <row r="2430">
      <c r="A2430" s="143"/>
      <c r="B2430" s="134"/>
      <c r="C2430" s="134"/>
      <c r="D2430" s="134"/>
      <c r="E2430" s="134"/>
      <c r="F2430" s="134"/>
      <c r="G2430" s="134"/>
      <c r="H2430" s="134"/>
      <c r="J2430" s="134"/>
      <c r="K2430" s="135"/>
      <c r="L2430" s="136"/>
      <c r="M2430" s="144"/>
      <c r="T2430" s="52"/>
      <c r="V2430" s="134"/>
      <c r="W2430" s="134"/>
      <c r="X2430" s="134"/>
      <c r="Y2430" s="134"/>
      <c r="Z2430" s="134"/>
      <c r="AA2430" s="134"/>
      <c r="AB2430" s="134"/>
      <c r="AC2430" s="134"/>
      <c r="AD2430" s="134"/>
    </row>
    <row r="2431">
      <c r="A2431" s="143"/>
      <c r="B2431" s="134"/>
      <c r="C2431" s="134"/>
      <c r="D2431" s="134"/>
      <c r="E2431" s="134"/>
      <c r="F2431" s="134"/>
      <c r="G2431" s="134"/>
      <c r="H2431" s="134"/>
      <c r="J2431" s="134"/>
      <c r="K2431" s="135"/>
      <c r="L2431" s="136"/>
      <c r="M2431" s="144"/>
      <c r="T2431" s="52"/>
      <c r="V2431" s="134"/>
      <c r="W2431" s="134"/>
      <c r="X2431" s="134"/>
      <c r="Y2431" s="134"/>
      <c r="Z2431" s="134"/>
      <c r="AA2431" s="134"/>
      <c r="AB2431" s="134"/>
      <c r="AC2431" s="134"/>
      <c r="AD2431" s="134"/>
    </row>
    <row r="2432">
      <c r="A2432" s="143"/>
      <c r="B2432" s="134"/>
      <c r="C2432" s="134"/>
      <c r="D2432" s="134"/>
      <c r="E2432" s="134"/>
      <c r="F2432" s="134"/>
      <c r="G2432" s="134"/>
      <c r="H2432" s="134"/>
      <c r="J2432" s="134"/>
      <c r="K2432" s="135"/>
      <c r="L2432" s="136"/>
      <c r="M2432" s="144"/>
      <c r="T2432" s="52"/>
      <c r="V2432" s="134"/>
      <c r="W2432" s="134"/>
      <c r="X2432" s="134"/>
      <c r="Y2432" s="134"/>
      <c r="Z2432" s="134"/>
      <c r="AA2432" s="134"/>
      <c r="AB2432" s="134"/>
      <c r="AC2432" s="134"/>
      <c r="AD2432" s="134"/>
    </row>
    <row r="2433">
      <c r="A2433" s="143"/>
      <c r="B2433" s="134"/>
      <c r="C2433" s="134"/>
      <c r="D2433" s="134"/>
      <c r="E2433" s="134"/>
      <c r="F2433" s="134"/>
      <c r="G2433" s="134"/>
      <c r="H2433" s="134"/>
      <c r="J2433" s="134"/>
      <c r="K2433" s="135"/>
      <c r="L2433" s="136"/>
      <c r="M2433" s="144"/>
      <c r="T2433" s="52"/>
      <c r="V2433" s="134"/>
      <c r="W2433" s="134"/>
      <c r="X2433" s="134"/>
      <c r="Y2433" s="134"/>
      <c r="Z2433" s="134"/>
      <c r="AA2433" s="134"/>
      <c r="AB2433" s="134"/>
      <c r="AC2433" s="134"/>
      <c r="AD2433" s="134"/>
    </row>
    <row r="2434">
      <c r="A2434" s="143"/>
      <c r="B2434" s="134"/>
      <c r="C2434" s="134"/>
      <c r="D2434" s="134"/>
      <c r="E2434" s="134"/>
      <c r="F2434" s="134"/>
      <c r="G2434" s="134"/>
      <c r="H2434" s="134"/>
      <c r="J2434" s="134"/>
      <c r="K2434" s="135"/>
      <c r="L2434" s="136"/>
      <c r="M2434" s="144"/>
      <c r="T2434" s="52"/>
      <c r="V2434" s="134"/>
      <c r="W2434" s="134"/>
      <c r="X2434" s="134"/>
      <c r="Y2434" s="134"/>
      <c r="Z2434" s="134"/>
      <c r="AA2434" s="134"/>
      <c r="AB2434" s="134"/>
      <c r="AC2434" s="134"/>
      <c r="AD2434" s="134"/>
    </row>
    <row r="2435">
      <c r="A2435" s="143"/>
      <c r="B2435" s="134"/>
      <c r="C2435" s="134"/>
      <c r="D2435" s="134"/>
      <c r="E2435" s="134"/>
      <c r="F2435" s="134"/>
      <c r="G2435" s="134"/>
      <c r="H2435" s="134"/>
      <c r="J2435" s="134"/>
      <c r="K2435" s="135"/>
      <c r="L2435" s="136"/>
      <c r="M2435" s="144"/>
      <c r="T2435" s="52"/>
      <c r="V2435" s="134"/>
      <c r="W2435" s="134"/>
      <c r="X2435" s="134"/>
      <c r="Y2435" s="134"/>
      <c r="Z2435" s="134"/>
      <c r="AA2435" s="134"/>
      <c r="AB2435" s="134"/>
      <c r="AC2435" s="134"/>
      <c r="AD2435" s="134"/>
    </row>
    <row r="2436">
      <c r="A2436" s="143"/>
      <c r="B2436" s="134"/>
      <c r="C2436" s="134"/>
      <c r="D2436" s="134"/>
      <c r="E2436" s="134"/>
      <c r="F2436" s="134"/>
      <c r="G2436" s="134"/>
      <c r="H2436" s="134"/>
      <c r="J2436" s="134"/>
      <c r="K2436" s="135"/>
      <c r="L2436" s="136"/>
      <c r="M2436" s="144"/>
      <c r="T2436" s="52"/>
      <c r="V2436" s="134"/>
      <c r="W2436" s="134"/>
      <c r="X2436" s="134"/>
      <c r="Y2436" s="134"/>
      <c r="Z2436" s="134"/>
      <c r="AA2436" s="134"/>
      <c r="AB2436" s="134"/>
      <c r="AC2436" s="134"/>
      <c r="AD2436" s="134"/>
    </row>
    <row r="2437">
      <c r="A2437" s="143"/>
      <c r="B2437" s="134"/>
      <c r="C2437" s="134"/>
      <c r="D2437" s="134"/>
      <c r="E2437" s="134"/>
      <c r="F2437" s="134"/>
      <c r="G2437" s="134"/>
      <c r="H2437" s="134"/>
      <c r="J2437" s="134"/>
      <c r="K2437" s="135"/>
      <c r="L2437" s="136"/>
      <c r="M2437" s="144"/>
      <c r="T2437" s="52"/>
      <c r="V2437" s="134"/>
      <c r="W2437" s="134"/>
      <c r="X2437" s="134"/>
      <c r="Y2437" s="134"/>
      <c r="Z2437" s="134"/>
      <c r="AA2437" s="134"/>
      <c r="AB2437" s="134"/>
      <c r="AC2437" s="134"/>
      <c r="AD2437" s="134"/>
    </row>
    <row r="2438">
      <c r="A2438" s="143"/>
      <c r="B2438" s="134"/>
      <c r="C2438" s="134"/>
      <c r="D2438" s="134"/>
      <c r="E2438" s="134"/>
      <c r="F2438" s="134"/>
      <c r="G2438" s="134"/>
      <c r="H2438" s="134"/>
      <c r="J2438" s="134"/>
      <c r="K2438" s="135"/>
      <c r="L2438" s="136"/>
      <c r="M2438" s="144"/>
      <c r="T2438" s="52"/>
      <c r="V2438" s="134"/>
      <c r="W2438" s="134"/>
      <c r="X2438" s="134"/>
      <c r="Y2438" s="134"/>
      <c r="Z2438" s="134"/>
      <c r="AA2438" s="134"/>
      <c r="AB2438" s="134"/>
      <c r="AC2438" s="134"/>
      <c r="AD2438" s="134"/>
    </row>
    <row r="2439">
      <c r="A2439" s="143"/>
      <c r="B2439" s="134"/>
      <c r="C2439" s="134"/>
      <c r="D2439" s="134"/>
      <c r="E2439" s="134"/>
      <c r="F2439" s="134"/>
      <c r="G2439" s="134"/>
      <c r="H2439" s="134"/>
      <c r="J2439" s="134"/>
      <c r="K2439" s="135"/>
      <c r="L2439" s="136"/>
      <c r="M2439" s="144"/>
      <c r="T2439" s="52"/>
      <c r="V2439" s="134"/>
      <c r="W2439" s="134"/>
      <c r="X2439" s="134"/>
      <c r="Y2439" s="134"/>
      <c r="Z2439" s="134"/>
      <c r="AA2439" s="134"/>
      <c r="AB2439" s="134"/>
      <c r="AC2439" s="134"/>
      <c r="AD2439" s="134"/>
    </row>
    <row r="2440">
      <c r="A2440" s="143"/>
      <c r="B2440" s="134"/>
      <c r="C2440" s="134"/>
      <c r="D2440" s="134"/>
      <c r="E2440" s="134"/>
      <c r="F2440" s="134"/>
      <c r="G2440" s="134"/>
      <c r="H2440" s="134"/>
      <c r="J2440" s="134"/>
      <c r="K2440" s="135"/>
      <c r="L2440" s="136"/>
      <c r="M2440" s="144"/>
      <c r="T2440" s="52"/>
      <c r="V2440" s="134"/>
      <c r="W2440" s="134"/>
      <c r="X2440" s="134"/>
      <c r="Y2440" s="134"/>
      <c r="Z2440" s="134"/>
      <c r="AA2440" s="134"/>
      <c r="AB2440" s="134"/>
      <c r="AC2440" s="134"/>
      <c r="AD2440" s="134"/>
    </row>
    <row r="2441">
      <c r="A2441" s="143"/>
      <c r="B2441" s="134"/>
      <c r="C2441" s="134"/>
      <c r="D2441" s="134"/>
      <c r="E2441" s="134"/>
      <c r="F2441" s="134"/>
      <c r="G2441" s="134"/>
      <c r="H2441" s="134"/>
      <c r="J2441" s="134"/>
      <c r="K2441" s="135"/>
      <c r="L2441" s="136"/>
      <c r="M2441" s="144"/>
      <c r="T2441" s="52"/>
      <c r="V2441" s="134"/>
      <c r="W2441" s="134"/>
      <c r="X2441" s="134"/>
      <c r="Y2441" s="134"/>
      <c r="Z2441" s="134"/>
      <c r="AA2441" s="134"/>
      <c r="AB2441" s="134"/>
      <c r="AC2441" s="134"/>
      <c r="AD2441" s="134"/>
    </row>
    <row r="2442">
      <c r="A2442" s="143"/>
      <c r="B2442" s="134"/>
      <c r="C2442" s="134"/>
      <c r="D2442" s="134"/>
      <c r="E2442" s="134"/>
      <c r="F2442" s="134"/>
      <c r="G2442" s="134"/>
      <c r="H2442" s="134"/>
      <c r="J2442" s="134"/>
      <c r="K2442" s="135"/>
      <c r="L2442" s="136"/>
      <c r="M2442" s="144"/>
      <c r="T2442" s="52"/>
      <c r="V2442" s="134"/>
      <c r="W2442" s="134"/>
      <c r="X2442" s="134"/>
      <c r="Y2442" s="134"/>
      <c r="Z2442" s="134"/>
      <c r="AA2442" s="134"/>
      <c r="AB2442" s="134"/>
      <c r="AC2442" s="134"/>
      <c r="AD2442" s="134"/>
    </row>
    <row r="2443">
      <c r="A2443" s="143"/>
      <c r="B2443" s="134"/>
      <c r="C2443" s="134"/>
      <c r="D2443" s="134"/>
      <c r="E2443" s="134"/>
      <c r="F2443" s="134"/>
      <c r="G2443" s="134"/>
      <c r="H2443" s="134"/>
      <c r="J2443" s="134"/>
      <c r="K2443" s="135"/>
      <c r="L2443" s="136"/>
      <c r="M2443" s="144"/>
      <c r="T2443" s="52"/>
      <c r="V2443" s="134"/>
      <c r="W2443" s="134"/>
      <c r="X2443" s="134"/>
      <c r="Y2443" s="134"/>
      <c r="Z2443" s="134"/>
      <c r="AA2443" s="134"/>
      <c r="AB2443" s="134"/>
      <c r="AC2443" s="134"/>
      <c r="AD2443" s="134"/>
    </row>
    <row r="2444">
      <c r="A2444" s="143"/>
      <c r="B2444" s="134"/>
      <c r="C2444" s="134"/>
      <c r="D2444" s="134"/>
      <c r="E2444" s="134"/>
      <c r="F2444" s="134"/>
      <c r="G2444" s="134"/>
      <c r="H2444" s="134"/>
      <c r="J2444" s="134"/>
      <c r="K2444" s="135"/>
      <c r="L2444" s="136"/>
      <c r="M2444" s="144"/>
      <c r="T2444" s="52"/>
      <c r="V2444" s="134"/>
      <c r="W2444" s="134"/>
      <c r="X2444" s="134"/>
      <c r="Y2444" s="134"/>
      <c r="Z2444" s="134"/>
      <c r="AA2444" s="134"/>
      <c r="AB2444" s="134"/>
      <c r="AC2444" s="134"/>
      <c r="AD2444" s="134"/>
    </row>
    <row r="2445">
      <c r="A2445" s="143"/>
      <c r="B2445" s="134"/>
      <c r="C2445" s="134"/>
      <c r="D2445" s="134"/>
      <c r="E2445" s="134"/>
      <c r="F2445" s="134"/>
      <c r="G2445" s="134"/>
      <c r="H2445" s="134"/>
      <c r="J2445" s="134"/>
      <c r="K2445" s="135"/>
      <c r="L2445" s="136"/>
      <c r="M2445" s="144"/>
      <c r="T2445" s="52"/>
      <c r="V2445" s="134"/>
      <c r="W2445" s="134"/>
      <c r="X2445" s="134"/>
      <c r="Y2445" s="134"/>
      <c r="Z2445" s="134"/>
      <c r="AA2445" s="134"/>
      <c r="AB2445" s="134"/>
      <c r="AC2445" s="134"/>
      <c r="AD2445" s="134"/>
    </row>
    <row r="2446">
      <c r="A2446" s="143"/>
      <c r="B2446" s="134"/>
      <c r="C2446" s="134"/>
      <c r="D2446" s="134"/>
      <c r="E2446" s="134"/>
      <c r="F2446" s="134"/>
      <c r="G2446" s="134"/>
      <c r="H2446" s="134"/>
      <c r="J2446" s="134"/>
      <c r="K2446" s="135"/>
      <c r="L2446" s="136"/>
      <c r="M2446" s="144"/>
      <c r="T2446" s="52"/>
      <c r="V2446" s="134"/>
      <c r="W2446" s="134"/>
      <c r="X2446" s="134"/>
      <c r="Y2446" s="134"/>
      <c r="Z2446" s="134"/>
      <c r="AA2446" s="134"/>
      <c r="AB2446" s="134"/>
      <c r="AC2446" s="134"/>
      <c r="AD2446" s="134"/>
    </row>
    <row r="2447">
      <c r="A2447" s="143"/>
      <c r="B2447" s="134"/>
      <c r="C2447" s="134"/>
      <c r="D2447" s="134"/>
      <c r="E2447" s="134"/>
      <c r="F2447" s="134"/>
      <c r="G2447" s="134"/>
      <c r="H2447" s="134"/>
      <c r="J2447" s="134"/>
      <c r="K2447" s="135"/>
      <c r="L2447" s="136"/>
      <c r="M2447" s="144"/>
      <c r="T2447" s="52"/>
      <c r="V2447" s="134"/>
      <c r="W2447" s="134"/>
      <c r="X2447" s="134"/>
      <c r="Y2447" s="134"/>
      <c r="Z2447" s="134"/>
      <c r="AA2447" s="134"/>
      <c r="AB2447" s="134"/>
      <c r="AC2447" s="134"/>
      <c r="AD2447" s="134"/>
    </row>
    <row r="2448">
      <c r="A2448" s="143"/>
      <c r="B2448" s="134"/>
      <c r="C2448" s="134"/>
      <c r="D2448" s="134"/>
      <c r="E2448" s="134"/>
      <c r="F2448" s="134"/>
      <c r="G2448" s="134"/>
      <c r="H2448" s="134"/>
      <c r="J2448" s="134"/>
      <c r="K2448" s="135"/>
      <c r="L2448" s="136"/>
      <c r="M2448" s="144"/>
      <c r="T2448" s="52"/>
      <c r="V2448" s="134"/>
      <c r="W2448" s="134"/>
      <c r="X2448" s="134"/>
      <c r="Y2448" s="134"/>
      <c r="Z2448" s="134"/>
      <c r="AA2448" s="134"/>
      <c r="AB2448" s="134"/>
      <c r="AC2448" s="134"/>
      <c r="AD2448" s="134"/>
    </row>
    <row r="2449">
      <c r="A2449" s="143"/>
      <c r="B2449" s="134"/>
      <c r="C2449" s="134"/>
      <c r="D2449" s="134"/>
      <c r="E2449" s="134"/>
      <c r="F2449" s="134"/>
      <c r="G2449" s="134"/>
      <c r="H2449" s="134"/>
      <c r="J2449" s="134"/>
      <c r="K2449" s="135"/>
      <c r="L2449" s="136"/>
      <c r="M2449" s="144"/>
      <c r="T2449" s="52"/>
      <c r="V2449" s="134"/>
      <c r="W2449" s="134"/>
      <c r="X2449" s="134"/>
      <c r="Y2449" s="134"/>
      <c r="Z2449" s="134"/>
      <c r="AA2449" s="134"/>
      <c r="AB2449" s="134"/>
      <c r="AC2449" s="134"/>
      <c r="AD2449" s="134"/>
    </row>
    <row r="2450">
      <c r="A2450" s="143"/>
      <c r="B2450" s="134"/>
      <c r="C2450" s="134"/>
      <c r="D2450" s="134"/>
      <c r="E2450" s="134"/>
      <c r="F2450" s="134"/>
      <c r="G2450" s="134"/>
      <c r="H2450" s="134"/>
      <c r="J2450" s="134"/>
      <c r="K2450" s="135"/>
      <c r="L2450" s="136"/>
      <c r="M2450" s="144"/>
      <c r="T2450" s="52"/>
      <c r="V2450" s="134"/>
      <c r="W2450" s="134"/>
      <c r="X2450" s="134"/>
      <c r="Y2450" s="134"/>
      <c r="Z2450" s="134"/>
      <c r="AA2450" s="134"/>
      <c r="AB2450" s="134"/>
      <c r="AC2450" s="134"/>
      <c r="AD2450" s="134"/>
    </row>
    <row r="2451">
      <c r="A2451" s="143"/>
      <c r="B2451" s="134"/>
      <c r="C2451" s="134"/>
      <c r="D2451" s="134"/>
      <c r="E2451" s="134"/>
      <c r="F2451" s="134"/>
      <c r="G2451" s="134"/>
      <c r="H2451" s="134"/>
      <c r="J2451" s="134"/>
      <c r="K2451" s="135"/>
      <c r="L2451" s="136"/>
      <c r="M2451" s="144"/>
      <c r="T2451" s="52"/>
      <c r="V2451" s="134"/>
      <c r="W2451" s="134"/>
      <c r="X2451" s="134"/>
      <c r="Y2451" s="134"/>
      <c r="Z2451" s="134"/>
      <c r="AA2451" s="134"/>
      <c r="AB2451" s="134"/>
      <c r="AC2451" s="134"/>
      <c r="AD2451" s="134"/>
    </row>
    <row r="2452">
      <c r="A2452" s="143"/>
      <c r="B2452" s="134"/>
      <c r="C2452" s="134"/>
      <c r="D2452" s="134"/>
      <c r="E2452" s="134"/>
      <c r="F2452" s="134"/>
      <c r="G2452" s="134"/>
      <c r="H2452" s="134"/>
      <c r="J2452" s="134"/>
      <c r="K2452" s="135"/>
      <c r="L2452" s="136"/>
      <c r="M2452" s="144"/>
      <c r="T2452" s="52"/>
      <c r="V2452" s="134"/>
      <c r="W2452" s="134"/>
      <c r="X2452" s="134"/>
      <c r="Y2452" s="134"/>
      <c r="Z2452" s="134"/>
      <c r="AA2452" s="134"/>
      <c r="AB2452" s="134"/>
      <c r="AC2452" s="134"/>
      <c r="AD2452" s="134"/>
    </row>
    <row r="2453">
      <c r="A2453" s="143"/>
      <c r="B2453" s="134"/>
      <c r="C2453" s="134"/>
      <c r="D2453" s="134"/>
      <c r="E2453" s="134"/>
      <c r="F2453" s="134"/>
      <c r="G2453" s="134"/>
      <c r="H2453" s="134"/>
      <c r="J2453" s="134"/>
      <c r="K2453" s="135"/>
      <c r="L2453" s="136"/>
      <c r="M2453" s="144"/>
      <c r="T2453" s="52"/>
      <c r="V2453" s="134"/>
      <c r="W2453" s="134"/>
      <c r="X2453" s="134"/>
      <c r="Y2453" s="134"/>
      <c r="Z2453" s="134"/>
      <c r="AA2453" s="134"/>
      <c r="AB2453" s="134"/>
      <c r="AC2453" s="134"/>
      <c r="AD2453" s="134"/>
    </row>
    <row r="2454">
      <c r="A2454" s="143"/>
      <c r="B2454" s="134"/>
      <c r="C2454" s="134"/>
      <c r="D2454" s="134"/>
      <c r="E2454" s="134"/>
      <c r="F2454" s="134"/>
      <c r="G2454" s="134"/>
      <c r="H2454" s="134"/>
      <c r="J2454" s="134"/>
      <c r="K2454" s="135"/>
      <c r="L2454" s="136"/>
      <c r="M2454" s="144"/>
      <c r="T2454" s="52"/>
      <c r="V2454" s="134"/>
      <c r="W2454" s="134"/>
      <c r="X2454" s="134"/>
      <c r="Y2454" s="134"/>
      <c r="Z2454" s="134"/>
      <c r="AA2454" s="134"/>
      <c r="AB2454" s="134"/>
      <c r="AC2454" s="134"/>
      <c r="AD2454" s="134"/>
    </row>
    <row r="2455">
      <c r="A2455" s="143"/>
      <c r="B2455" s="134"/>
      <c r="C2455" s="134"/>
      <c r="D2455" s="134"/>
      <c r="E2455" s="134"/>
      <c r="F2455" s="134"/>
      <c r="G2455" s="134"/>
      <c r="H2455" s="134"/>
      <c r="J2455" s="134"/>
      <c r="K2455" s="135"/>
      <c r="L2455" s="136"/>
      <c r="M2455" s="144"/>
      <c r="T2455" s="52"/>
      <c r="V2455" s="134"/>
      <c r="W2455" s="134"/>
      <c r="X2455" s="134"/>
      <c r="Y2455" s="134"/>
      <c r="Z2455" s="134"/>
      <c r="AA2455" s="134"/>
      <c r="AB2455" s="134"/>
      <c r="AC2455" s="134"/>
      <c r="AD2455" s="134"/>
    </row>
    <row r="2456">
      <c r="A2456" s="143"/>
      <c r="B2456" s="134"/>
      <c r="C2456" s="134"/>
      <c r="D2456" s="134"/>
      <c r="E2456" s="134"/>
      <c r="F2456" s="134"/>
      <c r="G2456" s="134"/>
      <c r="H2456" s="134"/>
      <c r="J2456" s="134"/>
      <c r="K2456" s="135"/>
      <c r="L2456" s="136"/>
      <c r="M2456" s="144"/>
      <c r="T2456" s="52"/>
      <c r="V2456" s="134"/>
      <c r="W2456" s="134"/>
      <c r="X2456" s="134"/>
      <c r="Y2456" s="134"/>
      <c r="Z2456" s="134"/>
      <c r="AA2456" s="134"/>
      <c r="AB2456" s="134"/>
      <c r="AC2456" s="134"/>
      <c r="AD2456" s="134"/>
    </row>
    <row r="2457">
      <c r="A2457" s="143"/>
      <c r="B2457" s="134"/>
      <c r="C2457" s="134"/>
      <c r="D2457" s="134"/>
      <c r="E2457" s="134"/>
      <c r="F2457" s="134"/>
      <c r="G2457" s="134"/>
      <c r="H2457" s="134"/>
      <c r="J2457" s="134"/>
      <c r="K2457" s="135"/>
      <c r="L2457" s="136"/>
      <c r="M2457" s="144"/>
      <c r="T2457" s="52"/>
      <c r="V2457" s="134"/>
      <c r="W2457" s="134"/>
      <c r="X2457" s="134"/>
      <c r="Y2457" s="134"/>
      <c r="Z2457" s="134"/>
      <c r="AA2457" s="134"/>
      <c r="AB2457" s="134"/>
      <c r="AC2457" s="134"/>
      <c r="AD2457" s="134"/>
    </row>
    <row r="2458">
      <c r="A2458" s="143"/>
      <c r="B2458" s="134"/>
      <c r="C2458" s="134"/>
      <c r="D2458" s="134"/>
      <c r="E2458" s="134"/>
      <c r="F2458" s="134"/>
      <c r="G2458" s="134"/>
      <c r="H2458" s="134"/>
      <c r="J2458" s="134"/>
      <c r="K2458" s="135"/>
      <c r="L2458" s="136"/>
      <c r="M2458" s="144"/>
      <c r="T2458" s="52"/>
      <c r="V2458" s="134"/>
      <c r="W2458" s="134"/>
      <c r="X2458" s="134"/>
      <c r="Y2458" s="134"/>
      <c r="Z2458" s="134"/>
      <c r="AA2458" s="134"/>
      <c r="AB2458" s="134"/>
      <c r="AC2458" s="134"/>
      <c r="AD2458" s="134"/>
    </row>
    <row r="2459">
      <c r="A2459" s="143"/>
      <c r="B2459" s="134"/>
      <c r="C2459" s="134"/>
      <c r="D2459" s="134"/>
      <c r="E2459" s="134"/>
      <c r="F2459" s="134"/>
      <c r="G2459" s="134"/>
      <c r="H2459" s="134"/>
      <c r="J2459" s="134"/>
      <c r="K2459" s="135"/>
      <c r="L2459" s="136"/>
      <c r="M2459" s="144"/>
      <c r="T2459" s="52"/>
      <c r="V2459" s="134"/>
      <c r="W2459" s="134"/>
      <c r="X2459" s="134"/>
      <c r="Y2459" s="134"/>
      <c r="Z2459" s="134"/>
      <c r="AA2459" s="134"/>
      <c r="AB2459" s="134"/>
      <c r="AC2459" s="134"/>
      <c r="AD2459" s="134"/>
    </row>
    <row r="2460">
      <c r="A2460" s="143"/>
      <c r="B2460" s="134"/>
      <c r="C2460" s="134"/>
      <c r="D2460" s="134"/>
      <c r="E2460" s="134"/>
      <c r="F2460" s="134"/>
      <c r="G2460" s="134"/>
      <c r="H2460" s="134"/>
      <c r="J2460" s="134"/>
      <c r="K2460" s="135"/>
      <c r="L2460" s="136"/>
      <c r="M2460" s="144"/>
      <c r="T2460" s="52"/>
      <c r="V2460" s="134"/>
      <c r="W2460" s="134"/>
      <c r="X2460" s="134"/>
      <c r="Y2460" s="134"/>
      <c r="Z2460" s="134"/>
      <c r="AA2460" s="134"/>
      <c r="AB2460" s="134"/>
      <c r="AC2460" s="134"/>
      <c r="AD2460" s="134"/>
    </row>
    <row r="2461">
      <c r="A2461" s="143"/>
      <c r="B2461" s="134"/>
      <c r="C2461" s="134"/>
      <c r="D2461" s="134"/>
      <c r="E2461" s="134"/>
      <c r="F2461" s="134"/>
      <c r="G2461" s="134"/>
      <c r="H2461" s="134"/>
      <c r="J2461" s="134"/>
      <c r="K2461" s="135"/>
      <c r="L2461" s="136"/>
      <c r="M2461" s="144"/>
      <c r="T2461" s="52"/>
      <c r="V2461" s="134"/>
      <c r="W2461" s="134"/>
      <c r="X2461" s="134"/>
      <c r="Y2461" s="134"/>
      <c r="Z2461" s="134"/>
      <c r="AA2461" s="134"/>
      <c r="AB2461" s="134"/>
      <c r="AC2461" s="134"/>
      <c r="AD2461" s="134"/>
    </row>
    <row r="2462">
      <c r="A2462" s="143"/>
      <c r="B2462" s="134"/>
      <c r="C2462" s="134"/>
      <c r="D2462" s="134"/>
      <c r="E2462" s="134"/>
      <c r="F2462" s="134"/>
      <c r="G2462" s="134"/>
      <c r="H2462" s="134"/>
      <c r="J2462" s="134"/>
      <c r="K2462" s="135"/>
      <c r="L2462" s="136"/>
      <c r="M2462" s="144"/>
      <c r="T2462" s="52"/>
      <c r="V2462" s="134"/>
      <c r="W2462" s="134"/>
      <c r="X2462" s="134"/>
      <c r="Y2462" s="134"/>
      <c r="Z2462" s="134"/>
      <c r="AA2462" s="134"/>
      <c r="AB2462" s="134"/>
      <c r="AC2462" s="134"/>
      <c r="AD2462" s="134"/>
    </row>
    <row r="2463">
      <c r="A2463" s="143"/>
      <c r="B2463" s="134"/>
      <c r="C2463" s="134"/>
      <c r="D2463" s="134"/>
      <c r="E2463" s="134"/>
      <c r="F2463" s="134"/>
      <c r="G2463" s="134"/>
      <c r="H2463" s="134"/>
      <c r="J2463" s="134"/>
      <c r="K2463" s="135"/>
      <c r="L2463" s="136"/>
      <c r="M2463" s="144"/>
      <c r="T2463" s="52"/>
      <c r="V2463" s="134"/>
      <c r="W2463" s="134"/>
      <c r="X2463" s="134"/>
      <c r="Y2463" s="134"/>
      <c r="Z2463" s="134"/>
      <c r="AA2463" s="134"/>
      <c r="AB2463" s="134"/>
      <c r="AC2463" s="134"/>
      <c r="AD2463" s="134"/>
    </row>
    <row r="2464">
      <c r="A2464" s="143"/>
      <c r="B2464" s="134"/>
      <c r="C2464" s="134"/>
      <c r="D2464" s="134"/>
      <c r="E2464" s="134"/>
      <c r="F2464" s="134"/>
      <c r="G2464" s="134"/>
      <c r="H2464" s="134"/>
      <c r="J2464" s="134"/>
      <c r="K2464" s="135"/>
      <c r="L2464" s="136"/>
      <c r="M2464" s="144"/>
      <c r="T2464" s="52"/>
      <c r="V2464" s="134"/>
      <c r="W2464" s="134"/>
      <c r="X2464" s="134"/>
      <c r="Y2464" s="134"/>
      <c r="Z2464" s="134"/>
      <c r="AA2464" s="134"/>
      <c r="AB2464" s="134"/>
      <c r="AC2464" s="134"/>
      <c r="AD2464" s="134"/>
    </row>
    <row r="2465">
      <c r="A2465" s="143"/>
      <c r="B2465" s="134"/>
      <c r="C2465" s="134"/>
      <c r="D2465" s="134"/>
      <c r="E2465" s="134"/>
      <c r="F2465" s="134"/>
      <c r="G2465" s="134"/>
      <c r="H2465" s="134"/>
      <c r="J2465" s="134"/>
      <c r="K2465" s="135"/>
      <c r="L2465" s="136"/>
      <c r="M2465" s="144"/>
      <c r="T2465" s="52"/>
      <c r="V2465" s="134"/>
      <c r="W2465" s="134"/>
      <c r="X2465" s="134"/>
      <c r="Y2465" s="134"/>
      <c r="Z2465" s="134"/>
      <c r="AA2465" s="134"/>
      <c r="AB2465" s="134"/>
      <c r="AC2465" s="134"/>
      <c r="AD2465" s="134"/>
    </row>
    <row r="2466">
      <c r="A2466" s="143"/>
      <c r="B2466" s="134"/>
      <c r="C2466" s="134"/>
      <c r="D2466" s="134"/>
      <c r="E2466" s="134"/>
      <c r="F2466" s="134"/>
      <c r="G2466" s="134"/>
      <c r="H2466" s="134"/>
      <c r="J2466" s="134"/>
      <c r="K2466" s="135"/>
      <c r="L2466" s="136"/>
      <c r="M2466" s="144"/>
      <c r="T2466" s="52"/>
      <c r="V2466" s="134"/>
      <c r="W2466" s="134"/>
      <c r="X2466" s="134"/>
      <c r="Y2466" s="134"/>
      <c r="Z2466" s="134"/>
      <c r="AA2466" s="134"/>
      <c r="AB2466" s="134"/>
      <c r="AC2466" s="134"/>
      <c r="AD2466" s="134"/>
    </row>
    <row r="2467">
      <c r="A2467" s="143"/>
      <c r="B2467" s="134"/>
      <c r="C2467" s="134"/>
      <c r="D2467" s="134"/>
      <c r="E2467" s="134"/>
      <c r="F2467" s="134"/>
      <c r="G2467" s="134"/>
      <c r="H2467" s="134"/>
      <c r="J2467" s="134"/>
      <c r="K2467" s="135"/>
      <c r="L2467" s="136"/>
      <c r="M2467" s="144"/>
      <c r="T2467" s="52"/>
      <c r="V2467" s="134"/>
      <c r="W2467" s="134"/>
      <c r="X2467" s="134"/>
      <c r="Y2467" s="134"/>
      <c r="Z2467" s="134"/>
      <c r="AA2467" s="134"/>
      <c r="AB2467" s="134"/>
      <c r="AC2467" s="134"/>
      <c r="AD2467" s="134"/>
    </row>
    <row r="2468">
      <c r="A2468" s="143"/>
      <c r="B2468" s="134"/>
      <c r="C2468" s="134"/>
      <c r="D2468" s="134"/>
      <c r="E2468" s="134"/>
      <c r="F2468" s="134"/>
      <c r="G2468" s="134"/>
      <c r="H2468" s="134"/>
      <c r="J2468" s="134"/>
      <c r="K2468" s="135"/>
      <c r="L2468" s="136"/>
      <c r="M2468" s="144"/>
      <c r="T2468" s="52"/>
      <c r="V2468" s="134"/>
      <c r="W2468" s="134"/>
      <c r="X2468" s="134"/>
      <c r="Y2468" s="134"/>
      <c r="Z2468" s="134"/>
      <c r="AA2468" s="134"/>
      <c r="AB2468" s="134"/>
      <c r="AC2468" s="134"/>
      <c r="AD2468" s="134"/>
    </row>
    <row r="2469">
      <c r="A2469" s="143"/>
      <c r="B2469" s="134"/>
      <c r="C2469" s="134"/>
      <c r="D2469" s="134"/>
      <c r="E2469" s="134"/>
      <c r="F2469" s="134"/>
      <c r="G2469" s="134"/>
      <c r="H2469" s="134"/>
      <c r="J2469" s="134"/>
      <c r="K2469" s="135"/>
      <c r="L2469" s="136"/>
      <c r="M2469" s="144"/>
      <c r="T2469" s="52"/>
      <c r="V2469" s="134"/>
      <c r="W2469" s="134"/>
      <c r="X2469" s="134"/>
      <c r="Y2469" s="134"/>
      <c r="Z2469" s="134"/>
      <c r="AA2469" s="134"/>
      <c r="AB2469" s="134"/>
      <c r="AC2469" s="134"/>
      <c r="AD2469" s="134"/>
    </row>
    <row r="2470">
      <c r="A2470" s="143"/>
      <c r="B2470" s="134"/>
      <c r="C2470" s="134"/>
      <c r="D2470" s="134"/>
      <c r="E2470" s="134"/>
      <c r="F2470" s="134"/>
      <c r="G2470" s="134"/>
      <c r="H2470" s="134"/>
      <c r="J2470" s="134"/>
      <c r="K2470" s="135"/>
      <c r="L2470" s="136"/>
      <c r="M2470" s="144"/>
      <c r="T2470" s="52"/>
      <c r="V2470" s="134"/>
      <c r="W2470" s="134"/>
      <c r="X2470" s="134"/>
      <c r="Y2470" s="134"/>
      <c r="Z2470" s="134"/>
      <c r="AA2470" s="134"/>
      <c r="AB2470" s="134"/>
      <c r="AC2470" s="134"/>
      <c r="AD2470" s="134"/>
    </row>
    <row r="2471">
      <c r="A2471" s="143"/>
      <c r="B2471" s="134"/>
      <c r="C2471" s="134"/>
      <c r="D2471" s="134"/>
      <c r="E2471" s="134"/>
      <c r="F2471" s="134"/>
      <c r="G2471" s="134"/>
      <c r="H2471" s="134"/>
      <c r="J2471" s="134"/>
      <c r="K2471" s="135"/>
      <c r="L2471" s="136"/>
      <c r="M2471" s="144"/>
      <c r="T2471" s="52"/>
      <c r="V2471" s="134"/>
      <c r="W2471" s="134"/>
      <c r="X2471" s="134"/>
      <c r="Y2471" s="134"/>
      <c r="Z2471" s="134"/>
      <c r="AA2471" s="134"/>
      <c r="AB2471" s="134"/>
      <c r="AC2471" s="134"/>
      <c r="AD2471" s="134"/>
    </row>
    <row r="2472">
      <c r="A2472" s="143"/>
      <c r="B2472" s="134"/>
      <c r="C2472" s="134"/>
      <c r="D2472" s="134"/>
      <c r="E2472" s="134"/>
      <c r="F2472" s="134"/>
      <c r="G2472" s="134"/>
      <c r="H2472" s="134"/>
      <c r="J2472" s="134"/>
      <c r="K2472" s="135"/>
      <c r="L2472" s="136"/>
      <c r="M2472" s="144"/>
      <c r="T2472" s="52"/>
      <c r="V2472" s="134"/>
      <c r="W2472" s="134"/>
      <c r="X2472" s="134"/>
      <c r="Y2472" s="134"/>
      <c r="Z2472" s="134"/>
      <c r="AA2472" s="134"/>
      <c r="AB2472" s="134"/>
      <c r="AC2472" s="134"/>
      <c r="AD2472" s="134"/>
    </row>
    <row r="2473">
      <c r="A2473" s="143"/>
      <c r="B2473" s="134"/>
      <c r="C2473" s="134"/>
      <c r="D2473" s="134"/>
      <c r="E2473" s="134"/>
      <c r="F2473" s="134"/>
      <c r="G2473" s="134"/>
      <c r="H2473" s="134"/>
      <c r="J2473" s="134"/>
      <c r="K2473" s="135"/>
      <c r="L2473" s="136"/>
      <c r="M2473" s="144"/>
      <c r="T2473" s="52"/>
      <c r="V2473" s="134"/>
      <c r="W2473" s="134"/>
      <c r="X2473" s="134"/>
      <c r="Y2473" s="134"/>
      <c r="Z2473" s="134"/>
      <c r="AA2473" s="134"/>
      <c r="AB2473" s="134"/>
      <c r="AC2473" s="134"/>
      <c r="AD2473" s="134"/>
    </row>
    <row r="2474">
      <c r="A2474" s="143"/>
      <c r="B2474" s="134"/>
      <c r="C2474" s="134"/>
      <c r="D2474" s="134"/>
      <c r="E2474" s="134"/>
      <c r="F2474" s="134"/>
      <c r="G2474" s="134"/>
      <c r="H2474" s="134"/>
      <c r="J2474" s="134"/>
      <c r="K2474" s="135"/>
      <c r="L2474" s="136"/>
      <c r="M2474" s="144"/>
      <c r="T2474" s="52"/>
      <c r="V2474" s="134"/>
      <c r="W2474" s="134"/>
      <c r="X2474" s="134"/>
      <c r="Y2474" s="134"/>
      <c r="Z2474" s="134"/>
      <c r="AA2474" s="134"/>
      <c r="AB2474" s="134"/>
      <c r="AC2474" s="134"/>
      <c r="AD2474" s="134"/>
    </row>
    <row r="2475">
      <c r="A2475" s="143"/>
      <c r="B2475" s="134"/>
      <c r="C2475" s="134"/>
      <c r="D2475" s="134"/>
      <c r="E2475" s="134"/>
      <c r="F2475" s="134"/>
      <c r="G2475" s="134"/>
      <c r="H2475" s="134"/>
      <c r="J2475" s="134"/>
      <c r="K2475" s="135"/>
      <c r="L2475" s="136"/>
      <c r="M2475" s="144"/>
      <c r="T2475" s="52"/>
      <c r="V2475" s="134"/>
      <c r="W2475" s="134"/>
      <c r="X2475" s="134"/>
      <c r="Y2475" s="134"/>
      <c r="Z2475" s="134"/>
      <c r="AA2475" s="134"/>
      <c r="AB2475" s="134"/>
      <c r="AC2475" s="134"/>
      <c r="AD2475" s="134"/>
    </row>
    <row r="2476">
      <c r="A2476" s="143"/>
      <c r="B2476" s="134"/>
      <c r="C2476" s="134"/>
      <c r="D2476" s="134"/>
      <c r="E2476" s="134"/>
      <c r="F2476" s="134"/>
      <c r="G2476" s="134"/>
      <c r="H2476" s="134"/>
      <c r="J2476" s="134"/>
      <c r="K2476" s="135"/>
      <c r="L2476" s="136"/>
      <c r="M2476" s="144"/>
      <c r="T2476" s="52"/>
      <c r="V2476" s="134"/>
      <c r="W2476" s="134"/>
      <c r="X2476" s="134"/>
      <c r="Y2476" s="134"/>
      <c r="Z2476" s="134"/>
      <c r="AA2476" s="134"/>
      <c r="AB2476" s="134"/>
      <c r="AC2476" s="134"/>
      <c r="AD2476" s="134"/>
    </row>
    <row r="2477">
      <c r="A2477" s="143"/>
      <c r="B2477" s="134"/>
      <c r="C2477" s="134"/>
      <c r="D2477" s="134"/>
      <c r="E2477" s="134"/>
      <c r="F2477" s="134"/>
      <c r="G2477" s="134"/>
      <c r="H2477" s="134"/>
      <c r="J2477" s="134"/>
      <c r="K2477" s="135"/>
      <c r="L2477" s="136"/>
      <c r="M2477" s="144"/>
      <c r="T2477" s="52"/>
      <c r="V2477" s="134"/>
      <c r="W2477" s="134"/>
      <c r="X2477" s="134"/>
      <c r="Y2477" s="134"/>
      <c r="Z2477" s="134"/>
      <c r="AA2477" s="134"/>
      <c r="AB2477" s="134"/>
      <c r="AC2477" s="134"/>
      <c r="AD2477" s="134"/>
    </row>
    <row r="2478">
      <c r="A2478" s="143"/>
      <c r="B2478" s="134"/>
      <c r="C2478" s="134"/>
      <c r="D2478" s="134"/>
      <c r="E2478" s="134"/>
      <c r="F2478" s="134"/>
      <c r="G2478" s="134"/>
      <c r="H2478" s="134"/>
      <c r="J2478" s="134"/>
      <c r="K2478" s="135"/>
      <c r="L2478" s="136"/>
      <c r="M2478" s="144"/>
      <c r="T2478" s="52"/>
      <c r="V2478" s="134"/>
      <c r="W2478" s="134"/>
      <c r="X2478" s="134"/>
      <c r="Y2478" s="134"/>
      <c r="Z2478" s="134"/>
      <c r="AA2478" s="134"/>
      <c r="AB2478" s="134"/>
      <c r="AC2478" s="134"/>
      <c r="AD2478" s="134"/>
    </row>
    <row r="2479">
      <c r="A2479" s="143"/>
      <c r="B2479" s="134"/>
      <c r="C2479" s="134"/>
      <c r="D2479" s="134"/>
      <c r="E2479" s="134"/>
      <c r="F2479" s="134"/>
      <c r="G2479" s="134"/>
      <c r="H2479" s="134"/>
      <c r="J2479" s="134"/>
      <c r="K2479" s="135"/>
      <c r="L2479" s="136"/>
      <c r="M2479" s="144"/>
      <c r="T2479" s="52"/>
      <c r="V2479" s="134"/>
      <c r="W2479" s="134"/>
      <c r="X2479" s="134"/>
      <c r="Y2479" s="134"/>
      <c r="Z2479" s="134"/>
      <c r="AA2479" s="134"/>
      <c r="AB2479" s="134"/>
      <c r="AC2479" s="134"/>
      <c r="AD2479" s="134"/>
    </row>
    <row r="2480">
      <c r="A2480" s="143"/>
      <c r="B2480" s="134"/>
      <c r="C2480" s="134"/>
      <c r="D2480" s="134"/>
      <c r="E2480" s="134"/>
      <c r="F2480" s="134"/>
      <c r="G2480" s="134"/>
      <c r="H2480" s="134"/>
      <c r="J2480" s="134"/>
      <c r="K2480" s="135"/>
      <c r="L2480" s="136"/>
      <c r="M2480" s="144"/>
      <c r="T2480" s="52"/>
      <c r="V2480" s="134"/>
      <c r="W2480" s="134"/>
      <c r="X2480" s="134"/>
      <c r="Y2480" s="134"/>
      <c r="Z2480" s="134"/>
      <c r="AA2480" s="134"/>
      <c r="AB2480" s="134"/>
      <c r="AC2480" s="134"/>
      <c r="AD2480" s="134"/>
    </row>
    <row r="2481">
      <c r="A2481" s="143"/>
      <c r="B2481" s="134"/>
      <c r="C2481" s="134"/>
      <c r="D2481" s="134"/>
      <c r="E2481" s="134"/>
      <c r="F2481" s="134"/>
      <c r="G2481" s="134"/>
      <c r="H2481" s="134"/>
      <c r="J2481" s="134"/>
      <c r="K2481" s="135"/>
      <c r="L2481" s="136"/>
      <c r="M2481" s="144"/>
      <c r="T2481" s="52"/>
      <c r="V2481" s="134"/>
      <c r="W2481" s="134"/>
      <c r="X2481" s="134"/>
      <c r="Y2481" s="134"/>
      <c r="Z2481" s="134"/>
      <c r="AA2481" s="134"/>
      <c r="AB2481" s="134"/>
      <c r="AC2481" s="134"/>
      <c r="AD2481" s="134"/>
    </row>
    <row r="2482">
      <c r="A2482" s="143"/>
      <c r="B2482" s="134"/>
      <c r="C2482" s="134"/>
      <c r="D2482" s="134"/>
      <c r="E2482" s="134"/>
      <c r="F2482" s="134"/>
      <c r="G2482" s="134"/>
      <c r="H2482" s="134"/>
      <c r="J2482" s="134"/>
      <c r="K2482" s="135"/>
      <c r="L2482" s="136"/>
      <c r="M2482" s="144"/>
      <c r="T2482" s="52"/>
      <c r="V2482" s="134"/>
      <c r="W2482" s="134"/>
      <c r="X2482" s="134"/>
      <c r="Y2482" s="134"/>
      <c r="Z2482" s="134"/>
      <c r="AA2482" s="134"/>
      <c r="AB2482" s="134"/>
      <c r="AC2482" s="134"/>
      <c r="AD2482" s="134"/>
    </row>
    <row r="2483">
      <c r="A2483" s="143"/>
      <c r="B2483" s="134"/>
      <c r="C2483" s="134"/>
      <c r="D2483" s="134"/>
      <c r="E2483" s="134"/>
      <c r="F2483" s="134"/>
      <c r="G2483" s="134"/>
      <c r="H2483" s="134"/>
      <c r="J2483" s="134"/>
      <c r="K2483" s="135"/>
      <c r="L2483" s="136"/>
      <c r="M2483" s="144"/>
      <c r="T2483" s="52"/>
      <c r="V2483" s="134"/>
      <c r="W2483" s="134"/>
      <c r="X2483" s="134"/>
      <c r="Y2483" s="134"/>
      <c r="Z2483" s="134"/>
      <c r="AA2483" s="134"/>
      <c r="AB2483" s="134"/>
      <c r="AC2483" s="134"/>
      <c r="AD2483" s="134"/>
    </row>
    <row r="2484">
      <c r="A2484" s="143"/>
      <c r="B2484" s="134"/>
      <c r="C2484" s="134"/>
      <c r="D2484" s="134"/>
      <c r="E2484" s="134"/>
      <c r="F2484" s="134"/>
      <c r="G2484" s="134"/>
      <c r="H2484" s="134"/>
      <c r="J2484" s="134"/>
      <c r="K2484" s="135"/>
      <c r="L2484" s="136"/>
      <c r="M2484" s="144"/>
      <c r="T2484" s="52"/>
      <c r="V2484" s="134"/>
      <c r="W2484" s="134"/>
      <c r="X2484" s="134"/>
      <c r="Y2484" s="134"/>
      <c r="Z2484" s="134"/>
      <c r="AA2484" s="134"/>
      <c r="AB2484" s="134"/>
      <c r="AC2484" s="134"/>
      <c r="AD2484" s="134"/>
    </row>
    <row r="2485">
      <c r="A2485" s="143"/>
      <c r="B2485" s="134"/>
      <c r="C2485" s="134"/>
      <c r="D2485" s="134"/>
      <c r="E2485" s="134"/>
      <c r="F2485" s="134"/>
      <c r="G2485" s="134"/>
      <c r="H2485" s="134"/>
      <c r="J2485" s="134"/>
      <c r="K2485" s="135"/>
      <c r="L2485" s="136"/>
      <c r="M2485" s="144"/>
      <c r="T2485" s="52"/>
      <c r="V2485" s="134"/>
      <c r="W2485" s="134"/>
      <c r="X2485" s="134"/>
      <c r="Y2485" s="134"/>
      <c r="Z2485" s="134"/>
      <c r="AA2485" s="134"/>
      <c r="AB2485" s="134"/>
      <c r="AC2485" s="134"/>
      <c r="AD2485" s="134"/>
    </row>
    <row r="2486">
      <c r="A2486" s="143"/>
      <c r="B2486" s="134"/>
      <c r="C2486" s="134"/>
      <c r="D2486" s="134"/>
      <c r="E2486" s="134"/>
      <c r="F2486" s="134"/>
      <c r="G2486" s="134"/>
      <c r="H2486" s="134"/>
      <c r="J2486" s="134"/>
      <c r="K2486" s="135"/>
      <c r="L2486" s="136"/>
      <c r="M2486" s="144"/>
      <c r="T2486" s="52"/>
      <c r="V2486" s="134"/>
      <c r="W2486" s="134"/>
      <c r="X2486" s="134"/>
      <c r="Y2486" s="134"/>
      <c r="Z2486" s="134"/>
      <c r="AA2486" s="134"/>
      <c r="AB2486" s="134"/>
      <c r="AC2486" s="134"/>
      <c r="AD2486" s="134"/>
    </row>
    <row r="2487">
      <c r="A2487" s="143"/>
      <c r="B2487" s="134"/>
      <c r="C2487" s="134"/>
      <c r="D2487" s="134"/>
      <c r="E2487" s="134"/>
      <c r="F2487" s="134"/>
      <c r="G2487" s="134"/>
      <c r="H2487" s="134"/>
      <c r="J2487" s="134"/>
      <c r="K2487" s="135"/>
      <c r="L2487" s="136"/>
      <c r="M2487" s="144"/>
      <c r="T2487" s="52"/>
      <c r="V2487" s="134"/>
      <c r="W2487" s="134"/>
      <c r="X2487" s="134"/>
      <c r="Y2487" s="134"/>
      <c r="Z2487" s="134"/>
      <c r="AA2487" s="134"/>
      <c r="AB2487" s="134"/>
      <c r="AC2487" s="134"/>
      <c r="AD2487" s="134"/>
    </row>
    <row r="2488">
      <c r="A2488" s="143"/>
      <c r="B2488" s="134"/>
      <c r="C2488" s="134"/>
      <c r="D2488" s="134"/>
      <c r="E2488" s="134"/>
      <c r="F2488" s="134"/>
      <c r="G2488" s="134"/>
      <c r="H2488" s="134"/>
      <c r="J2488" s="134"/>
      <c r="K2488" s="135"/>
      <c r="L2488" s="136"/>
      <c r="M2488" s="144"/>
      <c r="T2488" s="52"/>
      <c r="V2488" s="134"/>
      <c r="W2488" s="134"/>
      <c r="X2488" s="134"/>
      <c r="Y2488" s="134"/>
      <c r="Z2488" s="134"/>
      <c r="AA2488" s="134"/>
      <c r="AB2488" s="134"/>
      <c r="AC2488" s="134"/>
      <c r="AD2488" s="134"/>
    </row>
    <row r="2489">
      <c r="A2489" s="143"/>
      <c r="B2489" s="134"/>
      <c r="C2489" s="134"/>
      <c r="D2489" s="134"/>
      <c r="E2489" s="134"/>
      <c r="F2489" s="134"/>
      <c r="G2489" s="134"/>
      <c r="H2489" s="134"/>
      <c r="J2489" s="134"/>
      <c r="K2489" s="135"/>
      <c r="L2489" s="136"/>
      <c r="M2489" s="144"/>
      <c r="T2489" s="52"/>
      <c r="V2489" s="134"/>
      <c r="W2489" s="134"/>
      <c r="X2489" s="134"/>
      <c r="Y2489" s="134"/>
      <c r="Z2489" s="134"/>
      <c r="AA2489" s="134"/>
      <c r="AB2489" s="134"/>
      <c r="AC2489" s="134"/>
      <c r="AD2489" s="134"/>
    </row>
    <row r="2490">
      <c r="A2490" s="143"/>
      <c r="B2490" s="134"/>
      <c r="C2490" s="134"/>
      <c r="D2490" s="134"/>
      <c r="E2490" s="134"/>
      <c r="F2490" s="134"/>
      <c r="G2490" s="134"/>
      <c r="H2490" s="134"/>
      <c r="J2490" s="134"/>
      <c r="K2490" s="135"/>
      <c r="L2490" s="136"/>
      <c r="M2490" s="144"/>
      <c r="T2490" s="52"/>
      <c r="V2490" s="134"/>
      <c r="W2490" s="134"/>
      <c r="X2490" s="134"/>
      <c r="Y2490" s="134"/>
      <c r="Z2490" s="134"/>
      <c r="AA2490" s="134"/>
      <c r="AB2490" s="134"/>
      <c r="AC2490" s="134"/>
      <c r="AD2490" s="134"/>
    </row>
    <row r="2491">
      <c r="A2491" s="143"/>
      <c r="B2491" s="134"/>
      <c r="C2491" s="134"/>
      <c r="D2491" s="134"/>
      <c r="E2491" s="134"/>
      <c r="F2491" s="134"/>
      <c r="G2491" s="134"/>
      <c r="H2491" s="134"/>
      <c r="J2491" s="134"/>
      <c r="K2491" s="135"/>
      <c r="L2491" s="136"/>
      <c r="M2491" s="144"/>
      <c r="T2491" s="52"/>
      <c r="V2491" s="134"/>
      <c r="W2491" s="134"/>
      <c r="X2491" s="134"/>
      <c r="Y2491" s="134"/>
      <c r="Z2491" s="134"/>
      <c r="AA2491" s="134"/>
      <c r="AB2491" s="134"/>
      <c r="AC2491" s="134"/>
      <c r="AD2491" s="134"/>
    </row>
    <row r="2492">
      <c r="A2492" s="143"/>
      <c r="B2492" s="134"/>
      <c r="C2492" s="134"/>
      <c r="D2492" s="134"/>
      <c r="E2492" s="134"/>
      <c r="F2492" s="134"/>
      <c r="G2492" s="134"/>
      <c r="H2492" s="134"/>
      <c r="J2492" s="134"/>
      <c r="K2492" s="135"/>
      <c r="L2492" s="136"/>
      <c r="M2492" s="144"/>
      <c r="T2492" s="52"/>
      <c r="V2492" s="134"/>
      <c r="W2492" s="134"/>
      <c r="X2492" s="134"/>
      <c r="Y2492" s="134"/>
      <c r="Z2492" s="134"/>
      <c r="AA2492" s="134"/>
      <c r="AB2492" s="134"/>
      <c r="AC2492" s="134"/>
      <c r="AD2492" s="134"/>
    </row>
    <row r="2493">
      <c r="A2493" s="143"/>
      <c r="B2493" s="134"/>
      <c r="C2493" s="134"/>
      <c r="D2493" s="134"/>
      <c r="E2493" s="134"/>
      <c r="F2493" s="134"/>
      <c r="G2493" s="134"/>
      <c r="H2493" s="134"/>
      <c r="J2493" s="134"/>
      <c r="K2493" s="135"/>
      <c r="L2493" s="136"/>
      <c r="M2493" s="144"/>
      <c r="T2493" s="52"/>
      <c r="V2493" s="134"/>
      <c r="W2493" s="134"/>
      <c r="X2493" s="134"/>
      <c r="Y2493" s="134"/>
      <c r="Z2493" s="134"/>
      <c r="AA2493" s="134"/>
      <c r="AB2493" s="134"/>
      <c r="AC2493" s="134"/>
      <c r="AD2493" s="134"/>
    </row>
    <row r="2494">
      <c r="A2494" s="143"/>
      <c r="B2494" s="134"/>
      <c r="C2494" s="134"/>
      <c r="D2494" s="134"/>
      <c r="E2494" s="134"/>
      <c r="F2494" s="134"/>
      <c r="G2494" s="134"/>
      <c r="H2494" s="134"/>
      <c r="J2494" s="134"/>
      <c r="K2494" s="135"/>
      <c r="L2494" s="136"/>
      <c r="M2494" s="144"/>
      <c r="T2494" s="52"/>
      <c r="V2494" s="134"/>
      <c r="W2494" s="134"/>
      <c r="X2494" s="134"/>
      <c r="Y2494" s="134"/>
      <c r="Z2494" s="134"/>
      <c r="AA2494" s="134"/>
      <c r="AB2494" s="134"/>
      <c r="AC2494" s="134"/>
      <c r="AD2494" s="134"/>
    </row>
    <row r="2495">
      <c r="A2495" s="143"/>
      <c r="B2495" s="134"/>
      <c r="C2495" s="134"/>
      <c r="D2495" s="134"/>
      <c r="E2495" s="134"/>
      <c r="F2495" s="134"/>
      <c r="G2495" s="134"/>
      <c r="H2495" s="134"/>
      <c r="J2495" s="134"/>
      <c r="K2495" s="135"/>
      <c r="L2495" s="136"/>
      <c r="M2495" s="144"/>
      <c r="T2495" s="52"/>
      <c r="V2495" s="134"/>
      <c r="W2495" s="134"/>
      <c r="X2495" s="134"/>
      <c r="Y2495" s="134"/>
      <c r="Z2495" s="134"/>
      <c r="AA2495" s="134"/>
      <c r="AB2495" s="134"/>
      <c r="AC2495" s="134"/>
      <c r="AD2495" s="134"/>
    </row>
    <row r="2496">
      <c r="A2496" s="143"/>
      <c r="B2496" s="134"/>
      <c r="C2496" s="134"/>
      <c r="D2496" s="134"/>
      <c r="E2496" s="134"/>
      <c r="F2496" s="134"/>
      <c r="G2496" s="134"/>
      <c r="H2496" s="134"/>
      <c r="J2496" s="134"/>
      <c r="K2496" s="135"/>
      <c r="L2496" s="136"/>
      <c r="M2496" s="144"/>
      <c r="T2496" s="52"/>
      <c r="V2496" s="134"/>
      <c r="W2496" s="134"/>
      <c r="X2496" s="134"/>
      <c r="Y2496" s="134"/>
      <c r="Z2496" s="134"/>
      <c r="AA2496" s="134"/>
      <c r="AB2496" s="134"/>
      <c r="AC2496" s="134"/>
      <c r="AD2496" s="134"/>
    </row>
    <row r="2497">
      <c r="A2497" s="143"/>
      <c r="B2497" s="134"/>
      <c r="C2497" s="134"/>
      <c r="D2497" s="134"/>
      <c r="E2497" s="134"/>
      <c r="F2497" s="134"/>
      <c r="G2497" s="134"/>
      <c r="H2497" s="134"/>
      <c r="J2497" s="134"/>
      <c r="K2497" s="135"/>
      <c r="L2497" s="136"/>
      <c r="M2497" s="144"/>
      <c r="T2497" s="52"/>
      <c r="V2497" s="134"/>
      <c r="W2497" s="134"/>
      <c r="X2497" s="134"/>
      <c r="Y2497" s="134"/>
      <c r="Z2497" s="134"/>
      <c r="AA2497" s="134"/>
      <c r="AB2497" s="134"/>
      <c r="AC2497" s="134"/>
      <c r="AD2497" s="134"/>
    </row>
    <row r="2498">
      <c r="A2498" s="143"/>
      <c r="B2498" s="134"/>
      <c r="C2498" s="134"/>
      <c r="D2498" s="134"/>
      <c r="E2498" s="134"/>
      <c r="F2498" s="134"/>
      <c r="G2498" s="134"/>
      <c r="H2498" s="134"/>
      <c r="J2498" s="134"/>
      <c r="K2498" s="135"/>
      <c r="L2498" s="136"/>
      <c r="M2498" s="144"/>
      <c r="T2498" s="52"/>
      <c r="V2498" s="134"/>
      <c r="W2498" s="134"/>
      <c r="X2498" s="134"/>
      <c r="Y2498" s="134"/>
      <c r="Z2498" s="134"/>
      <c r="AA2498" s="134"/>
      <c r="AB2498" s="134"/>
      <c r="AC2498" s="134"/>
      <c r="AD2498" s="134"/>
    </row>
    <row r="2499">
      <c r="A2499" s="143"/>
      <c r="B2499" s="134"/>
      <c r="C2499" s="134"/>
      <c r="D2499" s="134"/>
      <c r="E2499" s="134"/>
      <c r="F2499" s="134"/>
      <c r="G2499" s="134"/>
      <c r="H2499" s="134"/>
      <c r="J2499" s="134"/>
      <c r="K2499" s="135"/>
      <c r="L2499" s="136"/>
      <c r="M2499" s="144"/>
      <c r="T2499" s="52"/>
      <c r="V2499" s="134"/>
      <c r="W2499" s="134"/>
      <c r="X2499" s="134"/>
      <c r="Y2499" s="134"/>
      <c r="Z2499" s="134"/>
      <c r="AA2499" s="134"/>
      <c r="AB2499" s="134"/>
      <c r="AC2499" s="134"/>
      <c r="AD2499" s="134"/>
    </row>
    <row r="2500">
      <c r="A2500" s="143"/>
      <c r="B2500" s="134"/>
      <c r="C2500" s="134"/>
      <c r="D2500" s="134"/>
      <c r="E2500" s="134"/>
      <c r="F2500" s="134"/>
      <c r="G2500" s="134"/>
      <c r="H2500" s="134"/>
      <c r="J2500" s="134"/>
      <c r="K2500" s="135"/>
      <c r="L2500" s="136"/>
      <c r="M2500" s="144"/>
      <c r="T2500" s="52"/>
      <c r="V2500" s="134"/>
      <c r="W2500" s="134"/>
      <c r="X2500" s="134"/>
      <c r="Y2500" s="134"/>
      <c r="Z2500" s="134"/>
      <c r="AA2500" s="134"/>
      <c r="AB2500" s="134"/>
      <c r="AC2500" s="134"/>
      <c r="AD2500" s="134"/>
    </row>
    <row r="2501">
      <c r="A2501" s="143"/>
      <c r="B2501" s="134"/>
      <c r="C2501" s="134"/>
      <c r="D2501" s="134"/>
      <c r="E2501" s="134"/>
      <c r="F2501" s="134"/>
      <c r="G2501" s="134"/>
      <c r="H2501" s="134"/>
      <c r="J2501" s="134"/>
      <c r="K2501" s="135"/>
      <c r="L2501" s="136"/>
      <c r="M2501" s="144"/>
      <c r="T2501" s="52"/>
      <c r="V2501" s="134"/>
      <c r="W2501" s="134"/>
      <c r="X2501" s="134"/>
      <c r="Y2501" s="134"/>
      <c r="Z2501" s="134"/>
      <c r="AA2501" s="134"/>
      <c r="AB2501" s="134"/>
      <c r="AC2501" s="134"/>
      <c r="AD2501" s="134"/>
    </row>
    <row r="2502">
      <c r="A2502" s="143"/>
      <c r="B2502" s="134"/>
      <c r="C2502" s="134"/>
      <c r="D2502" s="134"/>
      <c r="E2502" s="134"/>
      <c r="F2502" s="134"/>
      <c r="G2502" s="134"/>
      <c r="H2502" s="134"/>
      <c r="J2502" s="134"/>
      <c r="K2502" s="135"/>
      <c r="L2502" s="136"/>
      <c r="M2502" s="144"/>
      <c r="T2502" s="52"/>
      <c r="V2502" s="134"/>
      <c r="W2502" s="134"/>
      <c r="X2502" s="134"/>
      <c r="Y2502" s="134"/>
      <c r="Z2502" s="134"/>
      <c r="AA2502" s="134"/>
      <c r="AB2502" s="134"/>
      <c r="AC2502" s="134"/>
      <c r="AD2502" s="134"/>
    </row>
    <row r="2503">
      <c r="A2503" s="143"/>
      <c r="B2503" s="134"/>
      <c r="C2503" s="134"/>
      <c r="D2503" s="134"/>
      <c r="E2503" s="134"/>
      <c r="F2503" s="134"/>
      <c r="G2503" s="134"/>
      <c r="H2503" s="134"/>
      <c r="J2503" s="134"/>
      <c r="K2503" s="135"/>
      <c r="L2503" s="136"/>
      <c r="M2503" s="144"/>
      <c r="T2503" s="52"/>
      <c r="V2503" s="134"/>
      <c r="W2503" s="134"/>
      <c r="X2503" s="134"/>
      <c r="Y2503" s="134"/>
      <c r="Z2503" s="134"/>
      <c r="AA2503" s="134"/>
      <c r="AB2503" s="134"/>
      <c r="AC2503" s="134"/>
      <c r="AD2503" s="134"/>
    </row>
    <row r="2504">
      <c r="A2504" s="143"/>
      <c r="B2504" s="134"/>
      <c r="C2504" s="134"/>
      <c r="D2504" s="134"/>
      <c r="E2504" s="134"/>
      <c r="F2504" s="134"/>
      <c r="G2504" s="134"/>
      <c r="H2504" s="134"/>
      <c r="J2504" s="134"/>
      <c r="K2504" s="135"/>
      <c r="L2504" s="136"/>
      <c r="M2504" s="144"/>
      <c r="T2504" s="52"/>
      <c r="V2504" s="134"/>
      <c r="W2504" s="134"/>
      <c r="X2504" s="134"/>
      <c r="Y2504" s="134"/>
      <c r="Z2504" s="134"/>
      <c r="AA2504" s="134"/>
      <c r="AB2504" s="134"/>
      <c r="AC2504" s="134"/>
      <c r="AD2504" s="134"/>
    </row>
    <row r="2505">
      <c r="A2505" s="143"/>
      <c r="B2505" s="134"/>
      <c r="C2505" s="134"/>
      <c r="D2505" s="134"/>
      <c r="E2505" s="134"/>
      <c r="F2505" s="134"/>
      <c r="G2505" s="134"/>
      <c r="H2505" s="134"/>
      <c r="J2505" s="134"/>
      <c r="K2505" s="135"/>
      <c r="L2505" s="136"/>
      <c r="M2505" s="144"/>
      <c r="T2505" s="52"/>
      <c r="V2505" s="134"/>
      <c r="W2505" s="134"/>
      <c r="X2505" s="134"/>
      <c r="Y2505" s="134"/>
      <c r="Z2505" s="134"/>
      <c r="AA2505" s="134"/>
      <c r="AB2505" s="134"/>
      <c r="AC2505" s="134"/>
      <c r="AD2505" s="134"/>
    </row>
    <row r="2506">
      <c r="A2506" s="143"/>
      <c r="B2506" s="134"/>
      <c r="C2506" s="134"/>
      <c r="D2506" s="134"/>
      <c r="E2506" s="134"/>
      <c r="F2506" s="134"/>
      <c r="G2506" s="134"/>
      <c r="H2506" s="134"/>
      <c r="J2506" s="134"/>
      <c r="K2506" s="135"/>
      <c r="L2506" s="136"/>
      <c r="M2506" s="144"/>
      <c r="T2506" s="52"/>
      <c r="V2506" s="134"/>
      <c r="W2506" s="134"/>
      <c r="X2506" s="134"/>
      <c r="Y2506" s="134"/>
      <c r="Z2506" s="134"/>
      <c r="AA2506" s="134"/>
      <c r="AB2506" s="134"/>
      <c r="AC2506" s="134"/>
      <c r="AD2506" s="134"/>
    </row>
    <row r="2507">
      <c r="A2507" s="143"/>
      <c r="B2507" s="134"/>
      <c r="C2507" s="134"/>
      <c r="D2507" s="134"/>
      <c r="E2507" s="134"/>
      <c r="F2507" s="134"/>
      <c r="G2507" s="134"/>
      <c r="H2507" s="134"/>
      <c r="J2507" s="134"/>
      <c r="K2507" s="135"/>
      <c r="L2507" s="136"/>
      <c r="M2507" s="144"/>
      <c r="T2507" s="52"/>
      <c r="V2507" s="134"/>
      <c r="W2507" s="134"/>
      <c r="X2507" s="134"/>
      <c r="Y2507" s="134"/>
      <c r="Z2507" s="134"/>
      <c r="AA2507" s="134"/>
      <c r="AB2507" s="134"/>
      <c r="AC2507" s="134"/>
      <c r="AD2507" s="134"/>
    </row>
    <row r="2508">
      <c r="A2508" s="143"/>
      <c r="B2508" s="134"/>
      <c r="C2508" s="134"/>
      <c r="D2508" s="134"/>
      <c r="E2508" s="134"/>
      <c r="F2508" s="134"/>
      <c r="G2508" s="134"/>
      <c r="H2508" s="134"/>
      <c r="J2508" s="134"/>
      <c r="K2508" s="135"/>
      <c r="L2508" s="136"/>
      <c r="M2508" s="144"/>
      <c r="T2508" s="52"/>
      <c r="V2508" s="134"/>
      <c r="W2508" s="134"/>
      <c r="X2508" s="134"/>
      <c r="Y2508" s="134"/>
      <c r="Z2508" s="134"/>
      <c r="AA2508" s="134"/>
      <c r="AB2508" s="134"/>
      <c r="AC2508" s="134"/>
      <c r="AD2508" s="134"/>
    </row>
    <row r="2509">
      <c r="A2509" s="143"/>
      <c r="B2509" s="134"/>
      <c r="C2509" s="134"/>
      <c r="D2509" s="134"/>
      <c r="E2509" s="134"/>
      <c r="F2509" s="134"/>
      <c r="G2509" s="134"/>
      <c r="H2509" s="134"/>
      <c r="J2509" s="134"/>
      <c r="K2509" s="135"/>
      <c r="L2509" s="136"/>
      <c r="M2509" s="144"/>
      <c r="T2509" s="52"/>
      <c r="V2509" s="134"/>
      <c r="W2509" s="134"/>
      <c r="X2509" s="134"/>
      <c r="Y2509" s="134"/>
      <c r="Z2509" s="134"/>
      <c r="AA2509" s="134"/>
      <c r="AB2509" s="134"/>
      <c r="AC2509" s="134"/>
      <c r="AD2509" s="134"/>
    </row>
    <row r="2510">
      <c r="A2510" s="143"/>
      <c r="B2510" s="134"/>
      <c r="C2510" s="134"/>
      <c r="D2510" s="134"/>
      <c r="E2510" s="134"/>
      <c r="F2510" s="134"/>
      <c r="G2510" s="134"/>
      <c r="H2510" s="134"/>
      <c r="J2510" s="134"/>
      <c r="K2510" s="135"/>
      <c r="L2510" s="136"/>
      <c r="M2510" s="144"/>
      <c r="T2510" s="52"/>
      <c r="V2510" s="134"/>
      <c r="W2510" s="134"/>
      <c r="X2510" s="134"/>
      <c r="Y2510" s="134"/>
      <c r="Z2510" s="134"/>
      <c r="AA2510" s="134"/>
      <c r="AB2510" s="134"/>
      <c r="AC2510" s="134"/>
      <c r="AD2510" s="134"/>
    </row>
    <row r="2511">
      <c r="A2511" s="143"/>
      <c r="B2511" s="134"/>
      <c r="C2511" s="134"/>
      <c r="D2511" s="134"/>
      <c r="E2511" s="134"/>
      <c r="F2511" s="134"/>
      <c r="G2511" s="134"/>
      <c r="H2511" s="134"/>
      <c r="J2511" s="134"/>
      <c r="K2511" s="135"/>
      <c r="L2511" s="136"/>
      <c r="M2511" s="144"/>
      <c r="T2511" s="52"/>
      <c r="V2511" s="134"/>
      <c r="W2511" s="134"/>
      <c r="X2511" s="134"/>
      <c r="Y2511" s="134"/>
      <c r="Z2511" s="134"/>
      <c r="AA2511" s="134"/>
      <c r="AB2511" s="134"/>
      <c r="AC2511" s="134"/>
      <c r="AD2511" s="134"/>
    </row>
    <row r="2512">
      <c r="A2512" s="143"/>
      <c r="B2512" s="134"/>
      <c r="C2512" s="134"/>
      <c r="D2512" s="134"/>
      <c r="E2512" s="134"/>
      <c r="F2512" s="134"/>
      <c r="G2512" s="134"/>
      <c r="H2512" s="134"/>
      <c r="J2512" s="134"/>
      <c r="K2512" s="135"/>
      <c r="L2512" s="136"/>
      <c r="M2512" s="144"/>
      <c r="T2512" s="52"/>
      <c r="V2512" s="134"/>
      <c r="W2512" s="134"/>
      <c r="X2512" s="134"/>
      <c r="Y2512" s="134"/>
      <c r="Z2512" s="134"/>
      <c r="AA2512" s="134"/>
      <c r="AB2512" s="134"/>
      <c r="AC2512" s="134"/>
      <c r="AD2512" s="134"/>
    </row>
    <row r="2513">
      <c r="A2513" s="143"/>
      <c r="B2513" s="134"/>
      <c r="C2513" s="134"/>
      <c r="D2513" s="134"/>
      <c r="E2513" s="134"/>
      <c r="F2513" s="134"/>
      <c r="G2513" s="134"/>
      <c r="H2513" s="134"/>
      <c r="J2513" s="134"/>
      <c r="K2513" s="135"/>
      <c r="L2513" s="136"/>
      <c r="M2513" s="144"/>
      <c r="T2513" s="52"/>
      <c r="V2513" s="134"/>
      <c r="W2513" s="134"/>
      <c r="X2513" s="134"/>
      <c r="Y2513" s="134"/>
      <c r="Z2513" s="134"/>
      <c r="AA2513" s="134"/>
      <c r="AB2513" s="134"/>
      <c r="AC2513" s="134"/>
      <c r="AD2513" s="134"/>
    </row>
    <row r="2514">
      <c r="A2514" s="143"/>
      <c r="B2514" s="134"/>
      <c r="C2514" s="134"/>
      <c r="D2514" s="134"/>
      <c r="E2514" s="134"/>
      <c r="F2514" s="134"/>
      <c r="G2514" s="134"/>
      <c r="H2514" s="134"/>
      <c r="J2514" s="134"/>
      <c r="K2514" s="135"/>
      <c r="L2514" s="136"/>
      <c r="M2514" s="144"/>
      <c r="T2514" s="52"/>
      <c r="V2514" s="134"/>
      <c r="W2514" s="134"/>
      <c r="X2514" s="134"/>
      <c r="Y2514" s="134"/>
      <c r="Z2514" s="134"/>
      <c r="AA2514" s="134"/>
      <c r="AB2514" s="134"/>
      <c r="AC2514" s="134"/>
      <c r="AD2514" s="134"/>
    </row>
    <row r="2515">
      <c r="A2515" s="143"/>
      <c r="B2515" s="134"/>
      <c r="C2515" s="134"/>
      <c r="D2515" s="134"/>
      <c r="E2515" s="134"/>
      <c r="F2515" s="134"/>
      <c r="G2515" s="134"/>
      <c r="H2515" s="134"/>
      <c r="J2515" s="134"/>
      <c r="K2515" s="135"/>
      <c r="L2515" s="136"/>
      <c r="M2515" s="144"/>
      <c r="T2515" s="52"/>
      <c r="V2515" s="134"/>
      <c r="W2515" s="134"/>
      <c r="X2515" s="134"/>
      <c r="Y2515" s="134"/>
      <c r="Z2515" s="134"/>
      <c r="AA2515" s="134"/>
      <c r="AB2515" s="134"/>
      <c r="AC2515" s="134"/>
      <c r="AD2515" s="134"/>
    </row>
    <row r="2516">
      <c r="A2516" s="143"/>
      <c r="B2516" s="134"/>
      <c r="C2516" s="134"/>
      <c r="D2516" s="134"/>
      <c r="E2516" s="134"/>
      <c r="F2516" s="134"/>
      <c r="G2516" s="134"/>
      <c r="H2516" s="134"/>
      <c r="J2516" s="134"/>
      <c r="K2516" s="135"/>
      <c r="L2516" s="136"/>
      <c r="M2516" s="144"/>
      <c r="T2516" s="52"/>
      <c r="V2516" s="134"/>
      <c r="W2516" s="134"/>
      <c r="X2516" s="134"/>
      <c r="Y2516" s="134"/>
      <c r="Z2516" s="134"/>
      <c r="AA2516" s="134"/>
      <c r="AB2516" s="134"/>
      <c r="AC2516" s="134"/>
      <c r="AD2516" s="134"/>
    </row>
    <row r="2517">
      <c r="A2517" s="143"/>
      <c r="B2517" s="134"/>
      <c r="C2517" s="134"/>
      <c r="D2517" s="134"/>
      <c r="E2517" s="134"/>
      <c r="F2517" s="134"/>
      <c r="G2517" s="134"/>
      <c r="H2517" s="134"/>
      <c r="J2517" s="134"/>
      <c r="K2517" s="135"/>
      <c r="L2517" s="136"/>
      <c r="M2517" s="144"/>
      <c r="T2517" s="52"/>
      <c r="V2517" s="134"/>
      <c r="W2517" s="134"/>
      <c r="X2517" s="134"/>
      <c r="Y2517" s="134"/>
      <c r="Z2517" s="134"/>
      <c r="AA2517" s="134"/>
      <c r="AB2517" s="134"/>
      <c r="AC2517" s="134"/>
      <c r="AD2517" s="134"/>
    </row>
    <row r="2518">
      <c r="A2518" s="143"/>
      <c r="B2518" s="134"/>
      <c r="C2518" s="134"/>
      <c r="D2518" s="134"/>
      <c r="E2518" s="134"/>
      <c r="F2518" s="134"/>
      <c r="G2518" s="134"/>
      <c r="H2518" s="134"/>
      <c r="J2518" s="134"/>
      <c r="K2518" s="135"/>
      <c r="L2518" s="136"/>
      <c r="M2518" s="144"/>
      <c r="T2518" s="52"/>
      <c r="V2518" s="134"/>
      <c r="W2518" s="134"/>
      <c r="X2518" s="134"/>
      <c r="Y2518" s="134"/>
      <c r="Z2518" s="134"/>
      <c r="AA2518" s="134"/>
      <c r="AB2518" s="134"/>
      <c r="AC2518" s="134"/>
      <c r="AD2518" s="134"/>
    </row>
    <row r="2519">
      <c r="A2519" s="143"/>
      <c r="B2519" s="134"/>
      <c r="C2519" s="134"/>
      <c r="D2519" s="134"/>
      <c r="E2519" s="134"/>
      <c r="F2519" s="134"/>
      <c r="G2519" s="134"/>
      <c r="H2519" s="134"/>
      <c r="J2519" s="134"/>
      <c r="K2519" s="135"/>
      <c r="L2519" s="136"/>
      <c r="M2519" s="144"/>
      <c r="T2519" s="52"/>
      <c r="V2519" s="134"/>
      <c r="W2519" s="134"/>
      <c r="X2519" s="134"/>
      <c r="Y2519" s="134"/>
      <c r="Z2519" s="134"/>
      <c r="AA2519" s="134"/>
      <c r="AB2519" s="134"/>
      <c r="AC2519" s="134"/>
      <c r="AD2519" s="134"/>
    </row>
    <row r="2520">
      <c r="A2520" s="143"/>
      <c r="B2520" s="134"/>
      <c r="C2520" s="134"/>
      <c r="D2520" s="134"/>
      <c r="E2520" s="134"/>
      <c r="F2520" s="134"/>
      <c r="G2520" s="134"/>
      <c r="H2520" s="134"/>
      <c r="J2520" s="134"/>
      <c r="K2520" s="135"/>
      <c r="L2520" s="136"/>
      <c r="M2520" s="144"/>
      <c r="T2520" s="52"/>
      <c r="V2520" s="134"/>
      <c r="W2520" s="134"/>
      <c r="X2520" s="134"/>
      <c r="Y2520" s="134"/>
      <c r="Z2520" s="134"/>
      <c r="AA2520" s="134"/>
      <c r="AB2520" s="134"/>
      <c r="AC2520" s="134"/>
      <c r="AD2520" s="134"/>
    </row>
    <row r="2521">
      <c r="A2521" s="143"/>
      <c r="B2521" s="134"/>
      <c r="C2521" s="134"/>
      <c r="D2521" s="134"/>
      <c r="E2521" s="134"/>
      <c r="F2521" s="134"/>
      <c r="G2521" s="134"/>
      <c r="H2521" s="134"/>
      <c r="J2521" s="134"/>
      <c r="K2521" s="135"/>
      <c r="L2521" s="136"/>
      <c r="M2521" s="144"/>
      <c r="T2521" s="52"/>
      <c r="V2521" s="134"/>
      <c r="W2521" s="134"/>
      <c r="X2521" s="134"/>
      <c r="Y2521" s="134"/>
      <c r="Z2521" s="134"/>
      <c r="AA2521" s="134"/>
      <c r="AB2521" s="134"/>
      <c r="AC2521" s="134"/>
      <c r="AD2521" s="134"/>
    </row>
    <row r="2522">
      <c r="A2522" s="143"/>
      <c r="B2522" s="134"/>
      <c r="C2522" s="134"/>
      <c r="D2522" s="134"/>
      <c r="E2522" s="134"/>
      <c r="F2522" s="134"/>
      <c r="G2522" s="134"/>
      <c r="H2522" s="134"/>
      <c r="J2522" s="134"/>
      <c r="K2522" s="135"/>
      <c r="L2522" s="136"/>
      <c r="M2522" s="144"/>
      <c r="T2522" s="52"/>
      <c r="V2522" s="134"/>
      <c r="W2522" s="134"/>
      <c r="X2522" s="134"/>
      <c r="Y2522" s="134"/>
      <c r="Z2522" s="134"/>
      <c r="AA2522" s="134"/>
      <c r="AB2522" s="134"/>
      <c r="AC2522" s="134"/>
      <c r="AD2522" s="134"/>
    </row>
    <row r="2523">
      <c r="A2523" s="143"/>
      <c r="B2523" s="134"/>
      <c r="C2523" s="134"/>
      <c r="D2523" s="134"/>
      <c r="E2523" s="134"/>
      <c r="F2523" s="134"/>
      <c r="G2523" s="134"/>
      <c r="H2523" s="134"/>
      <c r="J2523" s="134"/>
      <c r="K2523" s="135"/>
      <c r="L2523" s="136"/>
      <c r="M2523" s="144"/>
      <c r="T2523" s="52"/>
      <c r="V2523" s="134"/>
      <c r="W2523" s="134"/>
      <c r="X2523" s="134"/>
      <c r="Y2523" s="134"/>
      <c r="Z2523" s="134"/>
      <c r="AA2523" s="134"/>
      <c r="AB2523" s="134"/>
      <c r="AC2523" s="134"/>
      <c r="AD2523" s="134"/>
    </row>
    <row r="2524">
      <c r="A2524" s="143"/>
      <c r="B2524" s="134"/>
      <c r="C2524" s="134"/>
      <c r="D2524" s="134"/>
      <c r="E2524" s="134"/>
      <c r="F2524" s="134"/>
      <c r="G2524" s="134"/>
      <c r="H2524" s="134"/>
      <c r="J2524" s="134"/>
      <c r="K2524" s="135"/>
      <c r="L2524" s="136"/>
      <c r="M2524" s="144"/>
      <c r="T2524" s="52"/>
      <c r="V2524" s="134"/>
      <c r="W2524" s="134"/>
      <c r="X2524" s="134"/>
      <c r="Y2524" s="134"/>
      <c r="Z2524" s="134"/>
      <c r="AA2524" s="134"/>
      <c r="AB2524" s="134"/>
      <c r="AC2524" s="134"/>
      <c r="AD2524" s="134"/>
    </row>
    <row r="2525">
      <c r="A2525" s="143"/>
      <c r="B2525" s="134"/>
      <c r="C2525" s="134"/>
      <c r="D2525" s="134"/>
      <c r="E2525" s="134"/>
      <c r="F2525" s="134"/>
      <c r="G2525" s="134"/>
      <c r="H2525" s="134"/>
      <c r="J2525" s="134"/>
      <c r="K2525" s="135"/>
      <c r="L2525" s="136"/>
      <c r="M2525" s="144"/>
      <c r="T2525" s="52"/>
      <c r="V2525" s="134"/>
      <c r="W2525" s="134"/>
      <c r="X2525" s="134"/>
      <c r="Y2525" s="134"/>
      <c r="Z2525" s="134"/>
      <c r="AA2525" s="134"/>
      <c r="AB2525" s="134"/>
      <c r="AC2525" s="134"/>
      <c r="AD2525" s="134"/>
    </row>
    <row r="2526">
      <c r="A2526" s="143"/>
      <c r="B2526" s="134"/>
      <c r="C2526" s="134"/>
      <c r="D2526" s="134"/>
      <c r="E2526" s="134"/>
      <c r="F2526" s="134"/>
      <c r="G2526" s="134"/>
      <c r="H2526" s="134"/>
      <c r="J2526" s="134"/>
      <c r="K2526" s="135"/>
      <c r="L2526" s="136"/>
      <c r="M2526" s="144"/>
      <c r="T2526" s="52"/>
      <c r="V2526" s="134"/>
      <c r="W2526" s="134"/>
      <c r="X2526" s="134"/>
      <c r="Y2526" s="134"/>
      <c r="Z2526" s="134"/>
      <c r="AA2526" s="134"/>
      <c r="AB2526" s="134"/>
      <c r="AC2526" s="134"/>
      <c r="AD2526" s="134"/>
    </row>
    <row r="2527">
      <c r="A2527" s="143"/>
      <c r="B2527" s="134"/>
      <c r="C2527" s="134"/>
      <c r="D2527" s="134"/>
      <c r="E2527" s="134"/>
      <c r="F2527" s="134"/>
      <c r="G2527" s="134"/>
      <c r="H2527" s="134"/>
      <c r="J2527" s="134"/>
      <c r="K2527" s="135"/>
      <c r="L2527" s="136"/>
      <c r="M2527" s="144"/>
      <c r="T2527" s="52"/>
      <c r="V2527" s="134"/>
      <c r="W2527" s="134"/>
      <c r="X2527" s="134"/>
      <c r="Y2527" s="134"/>
      <c r="Z2527" s="134"/>
      <c r="AA2527" s="134"/>
      <c r="AB2527" s="134"/>
      <c r="AC2527" s="134"/>
      <c r="AD2527" s="134"/>
    </row>
    <row r="2528">
      <c r="A2528" s="143"/>
      <c r="B2528" s="134"/>
      <c r="C2528" s="134"/>
      <c r="D2528" s="134"/>
      <c r="E2528" s="134"/>
      <c r="F2528" s="134"/>
      <c r="G2528" s="134"/>
      <c r="H2528" s="134"/>
      <c r="J2528" s="134"/>
      <c r="K2528" s="135"/>
      <c r="L2528" s="136"/>
      <c r="M2528" s="144"/>
      <c r="T2528" s="52"/>
      <c r="V2528" s="134"/>
      <c r="W2528" s="134"/>
      <c r="X2528" s="134"/>
      <c r="Y2528" s="134"/>
      <c r="Z2528" s="134"/>
      <c r="AA2528" s="134"/>
      <c r="AB2528" s="134"/>
      <c r="AC2528" s="134"/>
      <c r="AD2528" s="134"/>
    </row>
    <row r="2529">
      <c r="A2529" s="143"/>
      <c r="B2529" s="134"/>
      <c r="C2529" s="134"/>
      <c r="D2529" s="134"/>
      <c r="E2529" s="134"/>
      <c r="F2529" s="134"/>
      <c r="G2529" s="134"/>
      <c r="H2529" s="134"/>
      <c r="J2529" s="134"/>
      <c r="K2529" s="135"/>
      <c r="L2529" s="136"/>
      <c r="M2529" s="144"/>
      <c r="T2529" s="52"/>
      <c r="V2529" s="134"/>
      <c r="W2529" s="134"/>
      <c r="X2529" s="134"/>
      <c r="Y2529" s="134"/>
      <c r="Z2529" s="134"/>
      <c r="AA2529" s="134"/>
      <c r="AB2529" s="134"/>
      <c r="AC2529" s="134"/>
      <c r="AD2529" s="134"/>
    </row>
    <row r="2530">
      <c r="A2530" s="143"/>
      <c r="B2530" s="134"/>
      <c r="C2530" s="134"/>
      <c r="D2530" s="134"/>
      <c r="E2530" s="134"/>
      <c r="F2530" s="134"/>
      <c r="G2530" s="134"/>
      <c r="H2530" s="134"/>
      <c r="J2530" s="134"/>
      <c r="K2530" s="135"/>
      <c r="L2530" s="136"/>
      <c r="M2530" s="144"/>
      <c r="T2530" s="52"/>
      <c r="V2530" s="134"/>
      <c r="W2530" s="134"/>
      <c r="X2530" s="134"/>
      <c r="Y2530" s="134"/>
      <c r="Z2530" s="134"/>
      <c r="AA2530" s="134"/>
      <c r="AB2530" s="134"/>
      <c r="AC2530" s="134"/>
      <c r="AD2530" s="134"/>
    </row>
    <row r="2531">
      <c r="A2531" s="143"/>
      <c r="B2531" s="134"/>
      <c r="C2531" s="134"/>
      <c r="D2531" s="134"/>
      <c r="E2531" s="134"/>
      <c r="F2531" s="134"/>
      <c r="G2531" s="134"/>
      <c r="H2531" s="134"/>
      <c r="J2531" s="134"/>
      <c r="K2531" s="135"/>
      <c r="L2531" s="136"/>
      <c r="M2531" s="144"/>
      <c r="T2531" s="52"/>
      <c r="V2531" s="134"/>
      <c r="W2531" s="134"/>
      <c r="X2531" s="134"/>
      <c r="Y2531" s="134"/>
      <c r="Z2531" s="134"/>
      <c r="AA2531" s="134"/>
      <c r="AB2531" s="134"/>
      <c r="AC2531" s="134"/>
      <c r="AD2531" s="134"/>
    </row>
    <row r="2532">
      <c r="A2532" s="143"/>
      <c r="B2532" s="134"/>
      <c r="C2532" s="134"/>
      <c r="D2532" s="134"/>
      <c r="E2532" s="134"/>
      <c r="F2532" s="134"/>
      <c r="G2532" s="134"/>
      <c r="H2532" s="134"/>
      <c r="J2532" s="134"/>
      <c r="K2532" s="135"/>
      <c r="L2532" s="136"/>
      <c r="M2532" s="144"/>
      <c r="T2532" s="52"/>
      <c r="V2532" s="134"/>
      <c r="W2532" s="134"/>
      <c r="X2532" s="134"/>
      <c r="Y2532" s="134"/>
      <c r="Z2532" s="134"/>
      <c r="AA2532" s="134"/>
      <c r="AB2532" s="134"/>
      <c r="AC2532" s="134"/>
      <c r="AD2532" s="134"/>
    </row>
    <row r="2533">
      <c r="A2533" s="143"/>
      <c r="B2533" s="134"/>
      <c r="C2533" s="134"/>
      <c r="D2533" s="134"/>
      <c r="E2533" s="134"/>
      <c r="F2533" s="134"/>
      <c r="G2533" s="134"/>
      <c r="H2533" s="134"/>
      <c r="J2533" s="134"/>
      <c r="K2533" s="135"/>
      <c r="L2533" s="136"/>
      <c r="M2533" s="144"/>
      <c r="T2533" s="52"/>
      <c r="V2533" s="134"/>
      <c r="W2533" s="134"/>
      <c r="X2533" s="134"/>
      <c r="Y2533" s="134"/>
      <c r="Z2533" s="134"/>
      <c r="AA2533" s="134"/>
      <c r="AB2533" s="134"/>
      <c r="AC2533" s="134"/>
      <c r="AD2533" s="134"/>
    </row>
    <row r="2534">
      <c r="A2534" s="143"/>
      <c r="B2534" s="134"/>
      <c r="C2534" s="134"/>
      <c r="D2534" s="134"/>
      <c r="E2534" s="134"/>
      <c r="F2534" s="134"/>
      <c r="G2534" s="134"/>
      <c r="H2534" s="134"/>
      <c r="J2534" s="134"/>
      <c r="K2534" s="135"/>
      <c r="L2534" s="136"/>
      <c r="M2534" s="144"/>
      <c r="T2534" s="52"/>
      <c r="V2534" s="134"/>
      <c r="W2534" s="134"/>
      <c r="X2534" s="134"/>
      <c r="Y2534" s="134"/>
      <c r="Z2534" s="134"/>
      <c r="AA2534" s="134"/>
      <c r="AB2534" s="134"/>
      <c r="AC2534" s="134"/>
      <c r="AD2534" s="134"/>
    </row>
    <row r="2535">
      <c r="A2535" s="143"/>
      <c r="B2535" s="134"/>
      <c r="C2535" s="134"/>
      <c r="D2535" s="134"/>
      <c r="E2535" s="134"/>
      <c r="F2535" s="134"/>
      <c r="G2535" s="134"/>
      <c r="H2535" s="134"/>
      <c r="J2535" s="134"/>
      <c r="K2535" s="135"/>
      <c r="L2535" s="136"/>
      <c r="M2535" s="144"/>
      <c r="T2535" s="52"/>
      <c r="V2535" s="134"/>
      <c r="W2535" s="134"/>
      <c r="X2535" s="134"/>
      <c r="Y2535" s="134"/>
      <c r="Z2535" s="134"/>
      <c r="AA2535" s="134"/>
      <c r="AB2535" s="134"/>
      <c r="AC2535" s="134"/>
      <c r="AD2535" s="134"/>
    </row>
    <row r="2536">
      <c r="A2536" s="143"/>
      <c r="B2536" s="134"/>
      <c r="C2536" s="134"/>
      <c r="D2536" s="134"/>
      <c r="E2536" s="134"/>
      <c r="F2536" s="134"/>
      <c r="G2536" s="134"/>
      <c r="H2536" s="134"/>
      <c r="J2536" s="134"/>
      <c r="K2536" s="135"/>
      <c r="L2536" s="136"/>
      <c r="M2536" s="144"/>
      <c r="T2536" s="52"/>
      <c r="V2536" s="134"/>
      <c r="W2536" s="134"/>
      <c r="X2536" s="134"/>
      <c r="Y2536" s="134"/>
      <c r="Z2536" s="134"/>
      <c r="AA2536" s="134"/>
      <c r="AB2536" s="134"/>
      <c r="AC2536" s="134"/>
      <c r="AD2536" s="134"/>
    </row>
    <row r="2537">
      <c r="A2537" s="143"/>
      <c r="B2537" s="134"/>
      <c r="C2537" s="134"/>
      <c r="D2537" s="134"/>
      <c r="E2537" s="134"/>
      <c r="F2537" s="134"/>
      <c r="G2537" s="134"/>
      <c r="H2537" s="134"/>
      <c r="J2537" s="134"/>
      <c r="K2537" s="135"/>
      <c r="L2537" s="136"/>
      <c r="M2537" s="144"/>
      <c r="T2537" s="52"/>
      <c r="V2537" s="134"/>
      <c r="W2537" s="134"/>
      <c r="X2537" s="134"/>
      <c r="Y2537" s="134"/>
      <c r="Z2537" s="134"/>
      <c r="AA2537" s="134"/>
      <c r="AB2537" s="134"/>
      <c r="AC2537" s="134"/>
      <c r="AD2537" s="134"/>
    </row>
    <row r="2538">
      <c r="A2538" s="143"/>
      <c r="B2538" s="134"/>
      <c r="C2538" s="134"/>
      <c r="D2538" s="134"/>
      <c r="E2538" s="134"/>
      <c r="F2538" s="134"/>
      <c r="G2538" s="134"/>
      <c r="H2538" s="134"/>
      <c r="J2538" s="134"/>
      <c r="K2538" s="135"/>
      <c r="L2538" s="136"/>
      <c r="M2538" s="144"/>
      <c r="T2538" s="52"/>
      <c r="V2538" s="134"/>
      <c r="W2538" s="134"/>
      <c r="X2538" s="134"/>
      <c r="Y2538" s="134"/>
      <c r="Z2538" s="134"/>
      <c r="AA2538" s="134"/>
      <c r="AB2538" s="134"/>
      <c r="AC2538" s="134"/>
      <c r="AD2538" s="134"/>
    </row>
    <row r="2539">
      <c r="A2539" s="143"/>
      <c r="B2539" s="134"/>
      <c r="C2539" s="134"/>
      <c r="D2539" s="134"/>
      <c r="E2539" s="134"/>
      <c r="F2539" s="134"/>
      <c r="G2539" s="134"/>
      <c r="H2539" s="134"/>
      <c r="J2539" s="134"/>
      <c r="K2539" s="135"/>
      <c r="L2539" s="136"/>
      <c r="M2539" s="144"/>
      <c r="T2539" s="52"/>
      <c r="V2539" s="134"/>
      <c r="W2539" s="134"/>
      <c r="X2539" s="134"/>
      <c r="Y2539" s="134"/>
      <c r="Z2539" s="134"/>
      <c r="AA2539" s="134"/>
      <c r="AB2539" s="134"/>
      <c r="AC2539" s="134"/>
      <c r="AD2539" s="134"/>
    </row>
    <row r="2540">
      <c r="A2540" s="143"/>
      <c r="B2540" s="134"/>
      <c r="C2540" s="134"/>
      <c r="D2540" s="134"/>
      <c r="E2540" s="134"/>
      <c r="F2540" s="134"/>
      <c r="G2540" s="134"/>
      <c r="H2540" s="134"/>
      <c r="J2540" s="134"/>
      <c r="K2540" s="135"/>
      <c r="L2540" s="136"/>
      <c r="M2540" s="144"/>
      <c r="T2540" s="52"/>
      <c r="V2540" s="134"/>
      <c r="W2540" s="134"/>
      <c r="X2540" s="134"/>
      <c r="Y2540" s="134"/>
      <c r="Z2540" s="134"/>
      <c r="AA2540" s="134"/>
      <c r="AB2540" s="134"/>
      <c r="AC2540" s="134"/>
      <c r="AD2540" s="134"/>
    </row>
    <row r="2541">
      <c r="A2541" s="143"/>
      <c r="B2541" s="134"/>
      <c r="C2541" s="134"/>
      <c r="D2541" s="134"/>
      <c r="E2541" s="134"/>
      <c r="F2541" s="134"/>
      <c r="G2541" s="134"/>
      <c r="H2541" s="134"/>
      <c r="J2541" s="134"/>
      <c r="K2541" s="135"/>
      <c r="L2541" s="136"/>
      <c r="M2541" s="144"/>
      <c r="T2541" s="52"/>
      <c r="V2541" s="134"/>
      <c r="W2541" s="134"/>
      <c r="X2541" s="134"/>
      <c r="Y2541" s="134"/>
      <c r="Z2541" s="134"/>
      <c r="AA2541" s="134"/>
      <c r="AB2541" s="134"/>
      <c r="AC2541" s="134"/>
      <c r="AD2541" s="134"/>
    </row>
    <row r="2542">
      <c r="A2542" s="143"/>
      <c r="B2542" s="134"/>
      <c r="C2542" s="134"/>
      <c r="D2542" s="134"/>
      <c r="E2542" s="134"/>
      <c r="F2542" s="134"/>
      <c r="G2542" s="134"/>
      <c r="H2542" s="134"/>
      <c r="J2542" s="134"/>
      <c r="K2542" s="135"/>
      <c r="L2542" s="136"/>
      <c r="M2542" s="144"/>
      <c r="T2542" s="52"/>
      <c r="V2542" s="134"/>
      <c r="W2542" s="134"/>
      <c r="X2542" s="134"/>
      <c r="Y2542" s="134"/>
      <c r="Z2542" s="134"/>
      <c r="AA2542" s="134"/>
      <c r="AB2542" s="134"/>
      <c r="AC2542" s="134"/>
      <c r="AD2542" s="134"/>
    </row>
    <row r="2543">
      <c r="A2543" s="143"/>
      <c r="B2543" s="134"/>
      <c r="C2543" s="134"/>
      <c r="D2543" s="134"/>
      <c r="E2543" s="134"/>
      <c r="F2543" s="134"/>
      <c r="G2543" s="134"/>
      <c r="H2543" s="134"/>
      <c r="J2543" s="134"/>
      <c r="K2543" s="135"/>
      <c r="L2543" s="136"/>
      <c r="M2543" s="144"/>
      <c r="T2543" s="52"/>
      <c r="V2543" s="134"/>
      <c r="W2543" s="134"/>
      <c r="X2543" s="134"/>
      <c r="Y2543" s="134"/>
      <c r="Z2543" s="134"/>
      <c r="AA2543" s="134"/>
      <c r="AB2543" s="134"/>
      <c r="AC2543" s="134"/>
      <c r="AD2543" s="134"/>
    </row>
    <row r="2544">
      <c r="A2544" s="143"/>
      <c r="B2544" s="134"/>
      <c r="C2544" s="134"/>
      <c r="D2544" s="134"/>
      <c r="E2544" s="134"/>
      <c r="F2544" s="134"/>
      <c r="G2544" s="134"/>
      <c r="H2544" s="134"/>
      <c r="J2544" s="134"/>
      <c r="K2544" s="135"/>
      <c r="L2544" s="136"/>
      <c r="M2544" s="144"/>
      <c r="T2544" s="52"/>
      <c r="V2544" s="134"/>
      <c r="W2544" s="134"/>
      <c r="X2544" s="134"/>
      <c r="Y2544" s="134"/>
      <c r="Z2544" s="134"/>
      <c r="AA2544" s="134"/>
      <c r="AB2544" s="134"/>
      <c r="AC2544" s="134"/>
      <c r="AD2544" s="134"/>
    </row>
    <row r="2545">
      <c r="A2545" s="143"/>
      <c r="B2545" s="134"/>
      <c r="C2545" s="134"/>
      <c r="D2545" s="134"/>
      <c r="E2545" s="134"/>
      <c r="F2545" s="134"/>
      <c r="G2545" s="134"/>
      <c r="H2545" s="134"/>
      <c r="J2545" s="134"/>
      <c r="K2545" s="135"/>
      <c r="L2545" s="136"/>
      <c r="M2545" s="144"/>
      <c r="T2545" s="52"/>
      <c r="V2545" s="134"/>
      <c r="W2545" s="134"/>
      <c r="X2545" s="134"/>
      <c r="Y2545" s="134"/>
      <c r="Z2545" s="134"/>
      <c r="AA2545" s="134"/>
      <c r="AB2545" s="134"/>
      <c r="AC2545" s="134"/>
      <c r="AD2545" s="134"/>
    </row>
    <row r="2546">
      <c r="A2546" s="143"/>
      <c r="B2546" s="134"/>
      <c r="C2546" s="134"/>
      <c r="D2546" s="134"/>
      <c r="E2546" s="134"/>
      <c r="F2546" s="134"/>
      <c r="G2546" s="134"/>
      <c r="H2546" s="134"/>
      <c r="J2546" s="134"/>
      <c r="K2546" s="135"/>
      <c r="L2546" s="136"/>
      <c r="M2546" s="144"/>
      <c r="T2546" s="52"/>
      <c r="V2546" s="134"/>
      <c r="W2546" s="134"/>
      <c r="X2546" s="134"/>
      <c r="Y2546" s="134"/>
      <c r="Z2546" s="134"/>
      <c r="AA2546" s="134"/>
      <c r="AB2546" s="134"/>
      <c r="AC2546" s="134"/>
      <c r="AD2546" s="134"/>
    </row>
    <row r="2547">
      <c r="A2547" s="143"/>
      <c r="B2547" s="134"/>
      <c r="C2547" s="134"/>
      <c r="D2547" s="134"/>
      <c r="E2547" s="134"/>
      <c r="F2547" s="134"/>
      <c r="G2547" s="134"/>
      <c r="H2547" s="134"/>
      <c r="J2547" s="134"/>
      <c r="K2547" s="135"/>
      <c r="L2547" s="136"/>
      <c r="M2547" s="144"/>
      <c r="T2547" s="52"/>
      <c r="V2547" s="134"/>
      <c r="W2547" s="134"/>
      <c r="X2547" s="134"/>
      <c r="Y2547" s="134"/>
      <c r="Z2547" s="134"/>
      <c r="AA2547" s="134"/>
      <c r="AB2547" s="134"/>
      <c r="AC2547" s="134"/>
      <c r="AD2547" s="134"/>
    </row>
    <row r="2548">
      <c r="A2548" s="143"/>
      <c r="B2548" s="134"/>
      <c r="C2548" s="134"/>
      <c r="D2548" s="134"/>
      <c r="E2548" s="134"/>
      <c r="F2548" s="134"/>
      <c r="G2548" s="134"/>
      <c r="H2548" s="134"/>
      <c r="J2548" s="134"/>
      <c r="K2548" s="135"/>
      <c r="L2548" s="136"/>
      <c r="M2548" s="144"/>
      <c r="T2548" s="52"/>
      <c r="V2548" s="134"/>
      <c r="W2548" s="134"/>
      <c r="X2548" s="134"/>
      <c r="Y2548" s="134"/>
      <c r="Z2548" s="134"/>
      <c r="AA2548" s="134"/>
      <c r="AB2548" s="134"/>
      <c r="AC2548" s="134"/>
      <c r="AD2548" s="134"/>
    </row>
    <row r="2549">
      <c r="A2549" s="143"/>
      <c r="B2549" s="134"/>
      <c r="C2549" s="134"/>
      <c r="D2549" s="134"/>
      <c r="E2549" s="134"/>
      <c r="F2549" s="134"/>
      <c r="G2549" s="134"/>
      <c r="H2549" s="134"/>
      <c r="J2549" s="134"/>
      <c r="K2549" s="135"/>
      <c r="L2549" s="136"/>
      <c r="M2549" s="144"/>
      <c r="T2549" s="52"/>
      <c r="V2549" s="134"/>
      <c r="W2549" s="134"/>
      <c r="X2549" s="134"/>
      <c r="Y2549" s="134"/>
      <c r="Z2549" s="134"/>
      <c r="AA2549" s="134"/>
      <c r="AB2549" s="134"/>
      <c r="AC2549" s="134"/>
      <c r="AD2549" s="134"/>
    </row>
    <row r="2550">
      <c r="A2550" s="143"/>
      <c r="B2550" s="134"/>
      <c r="C2550" s="134"/>
      <c r="D2550" s="134"/>
      <c r="E2550" s="134"/>
      <c r="F2550" s="134"/>
      <c r="G2550" s="134"/>
      <c r="H2550" s="134"/>
      <c r="J2550" s="134"/>
      <c r="K2550" s="135"/>
      <c r="L2550" s="136"/>
      <c r="M2550" s="144"/>
      <c r="T2550" s="52"/>
      <c r="V2550" s="134"/>
      <c r="W2550" s="134"/>
      <c r="X2550" s="134"/>
      <c r="Y2550" s="134"/>
      <c r="Z2550" s="134"/>
      <c r="AA2550" s="134"/>
      <c r="AB2550" s="134"/>
      <c r="AC2550" s="134"/>
      <c r="AD2550" s="134"/>
    </row>
    <row r="2551">
      <c r="A2551" s="143"/>
      <c r="B2551" s="134"/>
      <c r="C2551" s="134"/>
      <c r="D2551" s="134"/>
      <c r="E2551" s="134"/>
      <c r="F2551" s="134"/>
      <c r="G2551" s="134"/>
      <c r="H2551" s="134"/>
      <c r="J2551" s="134"/>
      <c r="K2551" s="135"/>
      <c r="L2551" s="136"/>
      <c r="M2551" s="144"/>
      <c r="T2551" s="52"/>
      <c r="V2551" s="134"/>
      <c r="W2551" s="134"/>
      <c r="X2551" s="134"/>
      <c r="Y2551" s="134"/>
      <c r="Z2551" s="134"/>
      <c r="AA2551" s="134"/>
      <c r="AB2551" s="134"/>
      <c r="AC2551" s="134"/>
      <c r="AD2551" s="134"/>
    </row>
    <row r="2552">
      <c r="A2552" s="143"/>
      <c r="B2552" s="134"/>
      <c r="C2552" s="134"/>
      <c r="D2552" s="134"/>
      <c r="E2552" s="134"/>
      <c r="F2552" s="134"/>
      <c r="G2552" s="134"/>
      <c r="H2552" s="134"/>
      <c r="J2552" s="134"/>
      <c r="K2552" s="135"/>
      <c r="L2552" s="136"/>
      <c r="M2552" s="144"/>
      <c r="T2552" s="52"/>
      <c r="V2552" s="134"/>
      <c r="W2552" s="134"/>
      <c r="X2552" s="134"/>
      <c r="Y2552" s="134"/>
      <c r="Z2552" s="134"/>
      <c r="AA2552" s="134"/>
      <c r="AB2552" s="134"/>
      <c r="AC2552" s="134"/>
      <c r="AD2552" s="134"/>
    </row>
    <row r="2553">
      <c r="A2553" s="143"/>
      <c r="B2553" s="134"/>
      <c r="C2553" s="134"/>
      <c r="D2553" s="134"/>
      <c r="E2553" s="134"/>
      <c r="F2553" s="134"/>
      <c r="G2553" s="134"/>
      <c r="H2553" s="134"/>
      <c r="J2553" s="134"/>
      <c r="K2553" s="135"/>
      <c r="L2553" s="136"/>
      <c r="M2553" s="144"/>
      <c r="T2553" s="52"/>
      <c r="V2553" s="134"/>
      <c r="W2553" s="134"/>
      <c r="X2553" s="134"/>
      <c r="Y2553" s="134"/>
      <c r="Z2553" s="134"/>
      <c r="AA2553" s="134"/>
      <c r="AB2553" s="134"/>
      <c r="AC2553" s="134"/>
      <c r="AD2553" s="134"/>
    </row>
    <row r="2554">
      <c r="A2554" s="143"/>
      <c r="B2554" s="134"/>
      <c r="C2554" s="134"/>
      <c r="D2554" s="134"/>
      <c r="E2554" s="134"/>
      <c r="F2554" s="134"/>
      <c r="G2554" s="134"/>
      <c r="H2554" s="134"/>
      <c r="J2554" s="134"/>
      <c r="K2554" s="135"/>
      <c r="L2554" s="136"/>
      <c r="M2554" s="144"/>
      <c r="T2554" s="52"/>
      <c r="V2554" s="134"/>
      <c r="W2554" s="134"/>
      <c r="X2554" s="134"/>
      <c r="Y2554" s="134"/>
      <c r="Z2554" s="134"/>
      <c r="AA2554" s="134"/>
      <c r="AB2554" s="134"/>
      <c r="AC2554" s="134"/>
      <c r="AD2554" s="134"/>
    </row>
    <row r="2555">
      <c r="A2555" s="143"/>
      <c r="B2555" s="134"/>
      <c r="C2555" s="134"/>
      <c r="D2555" s="134"/>
      <c r="E2555" s="134"/>
      <c r="F2555" s="134"/>
      <c r="G2555" s="134"/>
      <c r="H2555" s="134"/>
      <c r="J2555" s="134"/>
      <c r="K2555" s="135"/>
      <c r="L2555" s="136"/>
      <c r="M2555" s="144"/>
      <c r="T2555" s="52"/>
      <c r="V2555" s="134"/>
      <c r="W2555" s="134"/>
      <c r="X2555" s="134"/>
      <c r="Y2555" s="134"/>
      <c r="Z2555" s="134"/>
      <c r="AA2555" s="134"/>
      <c r="AB2555" s="134"/>
      <c r="AC2555" s="134"/>
      <c r="AD2555" s="134"/>
    </row>
    <row r="2556">
      <c r="A2556" s="143"/>
      <c r="B2556" s="134"/>
      <c r="C2556" s="134"/>
      <c r="D2556" s="134"/>
      <c r="E2556" s="134"/>
      <c r="F2556" s="134"/>
      <c r="G2556" s="134"/>
      <c r="H2556" s="134"/>
      <c r="J2556" s="134"/>
      <c r="K2556" s="135"/>
      <c r="L2556" s="136"/>
      <c r="M2556" s="144"/>
      <c r="T2556" s="52"/>
      <c r="V2556" s="134"/>
      <c r="W2556" s="134"/>
      <c r="X2556" s="134"/>
      <c r="Y2556" s="134"/>
      <c r="Z2556" s="134"/>
      <c r="AA2556" s="134"/>
      <c r="AB2556" s="134"/>
      <c r="AC2556" s="134"/>
      <c r="AD2556" s="134"/>
    </row>
    <row r="2557">
      <c r="A2557" s="143"/>
      <c r="B2557" s="134"/>
      <c r="C2557" s="134"/>
      <c r="D2557" s="134"/>
      <c r="E2557" s="134"/>
      <c r="F2557" s="134"/>
      <c r="G2557" s="134"/>
      <c r="H2557" s="134"/>
      <c r="J2557" s="134"/>
      <c r="K2557" s="135"/>
      <c r="L2557" s="136"/>
      <c r="M2557" s="144"/>
      <c r="T2557" s="52"/>
      <c r="V2557" s="134"/>
      <c r="W2557" s="134"/>
      <c r="X2557" s="134"/>
      <c r="Y2557" s="134"/>
      <c r="Z2557" s="134"/>
      <c r="AA2557" s="134"/>
      <c r="AB2557" s="134"/>
      <c r="AC2557" s="134"/>
      <c r="AD2557" s="134"/>
    </row>
    <row r="2558">
      <c r="A2558" s="143"/>
      <c r="B2558" s="134"/>
      <c r="C2558" s="134"/>
      <c r="D2558" s="134"/>
      <c r="E2558" s="134"/>
      <c r="F2558" s="134"/>
      <c r="G2558" s="134"/>
      <c r="H2558" s="134"/>
      <c r="J2558" s="134"/>
      <c r="K2558" s="135"/>
      <c r="L2558" s="136"/>
      <c r="M2558" s="144"/>
      <c r="T2558" s="52"/>
      <c r="V2558" s="134"/>
      <c r="W2558" s="134"/>
      <c r="X2558" s="134"/>
      <c r="Y2558" s="134"/>
      <c r="Z2558" s="134"/>
      <c r="AA2558" s="134"/>
      <c r="AB2558" s="134"/>
      <c r="AC2558" s="134"/>
      <c r="AD2558" s="134"/>
    </row>
    <row r="2559">
      <c r="A2559" s="143"/>
      <c r="B2559" s="134"/>
      <c r="C2559" s="134"/>
      <c r="D2559" s="134"/>
      <c r="E2559" s="134"/>
      <c r="F2559" s="134"/>
      <c r="G2559" s="134"/>
      <c r="H2559" s="134"/>
      <c r="J2559" s="134"/>
      <c r="K2559" s="135"/>
      <c r="L2559" s="136"/>
      <c r="M2559" s="144"/>
      <c r="T2559" s="52"/>
      <c r="V2559" s="134"/>
      <c r="W2559" s="134"/>
      <c r="X2559" s="134"/>
      <c r="Y2559" s="134"/>
      <c r="Z2559" s="134"/>
      <c r="AA2559" s="134"/>
      <c r="AB2559" s="134"/>
      <c r="AC2559" s="134"/>
      <c r="AD2559" s="134"/>
    </row>
    <row r="2560">
      <c r="A2560" s="143"/>
      <c r="B2560" s="134"/>
      <c r="C2560" s="134"/>
      <c r="D2560" s="134"/>
      <c r="E2560" s="134"/>
      <c r="F2560" s="134"/>
      <c r="G2560" s="134"/>
      <c r="H2560" s="134"/>
      <c r="J2560" s="134"/>
      <c r="K2560" s="135"/>
      <c r="L2560" s="136"/>
      <c r="M2560" s="144"/>
      <c r="T2560" s="52"/>
      <c r="V2560" s="134"/>
      <c r="W2560" s="134"/>
      <c r="X2560" s="134"/>
      <c r="Y2560" s="134"/>
      <c r="Z2560" s="134"/>
      <c r="AA2560" s="134"/>
      <c r="AB2560" s="134"/>
      <c r="AC2560" s="134"/>
      <c r="AD2560" s="134"/>
    </row>
    <row r="2561">
      <c r="A2561" s="143"/>
      <c r="B2561" s="134"/>
      <c r="C2561" s="134"/>
      <c r="D2561" s="134"/>
      <c r="E2561" s="134"/>
      <c r="F2561" s="134"/>
      <c r="G2561" s="134"/>
      <c r="H2561" s="134"/>
      <c r="J2561" s="134"/>
      <c r="K2561" s="135"/>
      <c r="L2561" s="136"/>
      <c r="M2561" s="144"/>
      <c r="T2561" s="52"/>
      <c r="V2561" s="134"/>
      <c r="W2561" s="134"/>
      <c r="X2561" s="134"/>
      <c r="Y2561" s="134"/>
      <c r="Z2561" s="134"/>
      <c r="AA2561" s="134"/>
      <c r="AB2561" s="134"/>
      <c r="AC2561" s="134"/>
      <c r="AD2561" s="134"/>
    </row>
    <row r="2562">
      <c r="A2562" s="143"/>
      <c r="B2562" s="134"/>
      <c r="C2562" s="134"/>
      <c r="D2562" s="134"/>
      <c r="E2562" s="134"/>
      <c r="F2562" s="134"/>
      <c r="G2562" s="134"/>
      <c r="H2562" s="134"/>
      <c r="J2562" s="134"/>
      <c r="K2562" s="135"/>
      <c r="L2562" s="136"/>
      <c r="M2562" s="144"/>
      <c r="T2562" s="52"/>
      <c r="V2562" s="134"/>
      <c r="W2562" s="134"/>
      <c r="X2562" s="134"/>
      <c r="Y2562" s="134"/>
      <c r="Z2562" s="134"/>
      <c r="AA2562" s="134"/>
      <c r="AB2562" s="134"/>
      <c r="AC2562" s="134"/>
      <c r="AD2562" s="134"/>
    </row>
    <row r="2563">
      <c r="A2563" s="143"/>
      <c r="B2563" s="134"/>
      <c r="C2563" s="134"/>
      <c r="D2563" s="134"/>
      <c r="E2563" s="134"/>
      <c r="F2563" s="134"/>
      <c r="G2563" s="134"/>
      <c r="H2563" s="134"/>
      <c r="J2563" s="134"/>
      <c r="K2563" s="135"/>
      <c r="L2563" s="136"/>
      <c r="M2563" s="144"/>
      <c r="T2563" s="52"/>
      <c r="V2563" s="134"/>
      <c r="W2563" s="134"/>
      <c r="X2563" s="134"/>
      <c r="Y2563" s="134"/>
      <c r="Z2563" s="134"/>
      <c r="AA2563" s="134"/>
      <c r="AB2563" s="134"/>
      <c r="AC2563" s="134"/>
      <c r="AD2563" s="134"/>
    </row>
    <row r="2564">
      <c r="A2564" s="143"/>
      <c r="B2564" s="134"/>
      <c r="C2564" s="134"/>
      <c r="D2564" s="134"/>
      <c r="E2564" s="134"/>
      <c r="F2564" s="134"/>
      <c r="G2564" s="134"/>
      <c r="H2564" s="134"/>
      <c r="J2564" s="134"/>
      <c r="K2564" s="135"/>
      <c r="L2564" s="136"/>
      <c r="M2564" s="144"/>
      <c r="T2564" s="52"/>
      <c r="V2564" s="134"/>
      <c r="W2564" s="134"/>
      <c r="X2564" s="134"/>
      <c r="Y2564" s="134"/>
      <c r="Z2564" s="134"/>
      <c r="AA2564" s="134"/>
      <c r="AB2564" s="134"/>
      <c r="AC2564" s="134"/>
      <c r="AD2564" s="134"/>
    </row>
    <row r="2565">
      <c r="A2565" s="143"/>
      <c r="B2565" s="134"/>
      <c r="C2565" s="134"/>
      <c r="D2565" s="134"/>
      <c r="E2565" s="134"/>
      <c r="F2565" s="134"/>
      <c r="G2565" s="134"/>
      <c r="H2565" s="134"/>
      <c r="J2565" s="134"/>
      <c r="K2565" s="135"/>
      <c r="L2565" s="136"/>
      <c r="M2565" s="144"/>
      <c r="T2565" s="52"/>
      <c r="V2565" s="134"/>
      <c r="W2565" s="134"/>
      <c r="X2565" s="134"/>
      <c r="Y2565" s="134"/>
      <c r="Z2565" s="134"/>
      <c r="AA2565" s="134"/>
      <c r="AB2565" s="134"/>
      <c r="AC2565" s="134"/>
      <c r="AD2565" s="134"/>
    </row>
    <row r="2566">
      <c r="A2566" s="143"/>
      <c r="B2566" s="134"/>
      <c r="C2566" s="134"/>
      <c r="D2566" s="134"/>
      <c r="E2566" s="134"/>
      <c r="F2566" s="134"/>
      <c r="G2566" s="134"/>
      <c r="H2566" s="134"/>
      <c r="J2566" s="134"/>
      <c r="K2566" s="135"/>
      <c r="L2566" s="136"/>
      <c r="M2566" s="144"/>
      <c r="T2566" s="52"/>
      <c r="V2566" s="134"/>
      <c r="W2566" s="134"/>
      <c r="X2566" s="134"/>
      <c r="Y2566" s="134"/>
      <c r="Z2566" s="134"/>
      <c r="AA2566" s="134"/>
      <c r="AB2566" s="134"/>
      <c r="AC2566" s="134"/>
      <c r="AD2566" s="134"/>
    </row>
    <row r="2567">
      <c r="A2567" s="143"/>
      <c r="B2567" s="134"/>
      <c r="C2567" s="134"/>
      <c r="D2567" s="134"/>
      <c r="E2567" s="134"/>
      <c r="F2567" s="134"/>
      <c r="G2567" s="134"/>
      <c r="H2567" s="134"/>
      <c r="J2567" s="134"/>
      <c r="K2567" s="135"/>
      <c r="L2567" s="136"/>
      <c r="M2567" s="144"/>
      <c r="T2567" s="52"/>
      <c r="V2567" s="134"/>
      <c r="W2567" s="134"/>
      <c r="X2567" s="134"/>
      <c r="Y2567" s="134"/>
      <c r="Z2567" s="134"/>
      <c r="AA2567" s="134"/>
      <c r="AB2567" s="134"/>
      <c r="AC2567" s="134"/>
      <c r="AD2567" s="134"/>
    </row>
    <row r="2568">
      <c r="A2568" s="143"/>
      <c r="B2568" s="134"/>
      <c r="C2568" s="134"/>
      <c r="D2568" s="134"/>
      <c r="E2568" s="134"/>
      <c r="F2568" s="134"/>
      <c r="G2568" s="134"/>
      <c r="H2568" s="134"/>
      <c r="J2568" s="134"/>
      <c r="K2568" s="135"/>
      <c r="L2568" s="136"/>
      <c r="M2568" s="144"/>
      <c r="T2568" s="52"/>
      <c r="V2568" s="134"/>
      <c r="W2568" s="134"/>
      <c r="X2568" s="134"/>
      <c r="Y2568" s="134"/>
      <c r="Z2568" s="134"/>
      <c r="AA2568" s="134"/>
      <c r="AB2568" s="134"/>
      <c r="AC2568" s="134"/>
      <c r="AD2568" s="134"/>
    </row>
    <row r="2569">
      <c r="A2569" s="143"/>
      <c r="B2569" s="134"/>
      <c r="C2569" s="134"/>
      <c r="D2569" s="134"/>
      <c r="E2569" s="134"/>
      <c r="F2569" s="134"/>
      <c r="G2569" s="134"/>
      <c r="H2569" s="134"/>
      <c r="J2569" s="134"/>
      <c r="K2569" s="135"/>
      <c r="L2569" s="136"/>
      <c r="M2569" s="144"/>
      <c r="T2569" s="52"/>
      <c r="V2569" s="134"/>
      <c r="W2569" s="134"/>
      <c r="X2569" s="134"/>
      <c r="Y2569" s="134"/>
      <c r="Z2569" s="134"/>
      <c r="AA2569" s="134"/>
      <c r="AB2569" s="134"/>
      <c r="AC2569" s="134"/>
      <c r="AD2569" s="134"/>
    </row>
    <row r="2570">
      <c r="A2570" s="143"/>
      <c r="B2570" s="134"/>
      <c r="C2570" s="134"/>
      <c r="D2570" s="134"/>
      <c r="E2570" s="134"/>
      <c r="F2570" s="134"/>
      <c r="G2570" s="134"/>
      <c r="H2570" s="134"/>
      <c r="J2570" s="134"/>
      <c r="K2570" s="135"/>
      <c r="L2570" s="136"/>
      <c r="M2570" s="144"/>
      <c r="T2570" s="52"/>
      <c r="V2570" s="134"/>
      <c r="W2570" s="134"/>
      <c r="X2570" s="134"/>
      <c r="Y2570" s="134"/>
      <c r="Z2570" s="134"/>
      <c r="AA2570" s="134"/>
      <c r="AB2570" s="134"/>
      <c r="AC2570" s="134"/>
      <c r="AD2570" s="134"/>
    </row>
    <row r="2571">
      <c r="A2571" s="143"/>
      <c r="B2571" s="134"/>
      <c r="C2571" s="134"/>
      <c r="D2571" s="134"/>
      <c r="E2571" s="134"/>
      <c r="F2571" s="134"/>
      <c r="G2571" s="134"/>
      <c r="H2571" s="134"/>
      <c r="J2571" s="134"/>
      <c r="K2571" s="135"/>
      <c r="L2571" s="136"/>
      <c r="M2571" s="144"/>
      <c r="T2571" s="52"/>
      <c r="V2571" s="134"/>
      <c r="W2571" s="134"/>
      <c r="X2571" s="134"/>
      <c r="Y2571" s="134"/>
      <c r="Z2571" s="134"/>
      <c r="AA2571" s="134"/>
      <c r="AB2571" s="134"/>
      <c r="AC2571" s="134"/>
      <c r="AD2571" s="134"/>
    </row>
    <row r="2572">
      <c r="A2572" s="143"/>
      <c r="B2572" s="134"/>
      <c r="C2572" s="134"/>
      <c r="D2572" s="134"/>
      <c r="E2572" s="134"/>
      <c r="F2572" s="134"/>
      <c r="G2572" s="134"/>
      <c r="H2572" s="134"/>
      <c r="J2572" s="134"/>
      <c r="K2572" s="135"/>
      <c r="L2572" s="136"/>
      <c r="M2572" s="144"/>
      <c r="T2572" s="52"/>
      <c r="V2572" s="134"/>
      <c r="W2572" s="134"/>
      <c r="X2572" s="134"/>
      <c r="Y2572" s="134"/>
      <c r="Z2572" s="134"/>
      <c r="AA2572" s="134"/>
      <c r="AB2572" s="134"/>
      <c r="AC2572" s="134"/>
      <c r="AD2572" s="134"/>
    </row>
    <row r="2573">
      <c r="A2573" s="143"/>
      <c r="B2573" s="134"/>
      <c r="C2573" s="134"/>
      <c r="D2573" s="134"/>
      <c r="E2573" s="134"/>
      <c r="F2573" s="134"/>
      <c r="G2573" s="134"/>
      <c r="H2573" s="134"/>
      <c r="J2573" s="134"/>
      <c r="K2573" s="135"/>
      <c r="L2573" s="136"/>
      <c r="M2573" s="144"/>
      <c r="T2573" s="52"/>
      <c r="V2573" s="134"/>
      <c r="W2573" s="134"/>
      <c r="X2573" s="134"/>
      <c r="Y2573" s="134"/>
      <c r="Z2573" s="134"/>
      <c r="AA2573" s="134"/>
      <c r="AB2573" s="134"/>
      <c r="AC2573" s="134"/>
      <c r="AD2573" s="134"/>
    </row>
    <row r="2574">
      <c r="A2574" s="143"/>
      <c r="B2574" s="134"/>
      <c r="C2574" s="134"/>
      <c r="D2574" s="134"/>
      <c r="E2574" s="134"/>
      <c r="F2574" s="134"/>
      <c r="G2574" s="134"/>
      <c r="H2574" s="134"/>
      <c r="J2574" s="134"/>
      <c r="K2574" s="135"/>
      <c r="L2574" s="136"/>
      <c r="M2574" s="144"/>
      <c r="T2574" s="52"/>
      <c r="V2574" s="134"/>
      <c r="W2574" s="134"/>
      <c r="X2574" s="134"/>
      <c r="Y2574" s="134"/>
      <c r="Z2574" s="134"/>
      <c r="AA2574" s="134"/>
      <c r="AB2574" s="134"/>
      <c r="AC2574" s="134"/>
      <c r="AD2574" s="134"/>
    </row>
    <row r="2575">
      <c r="A2575" s="143"/>
      <c r="B2575" s="134"/>
      <c r="C2575" s="134"/>
      <c r="D2575" s="134"/>
      <c r="E2575" s="134"/>
      <c r="F2575" s="134"/>
      <c r="G2575" s="134"/>
      <c r="H2575" s="134"/>
      <c r="J2575" s="134"/>
      <c r="K2575" s="135"/>
      <c r="L2575" s="136"/>
      <c r="M2575" s="144"/>
      <c r="T2575" s="52"/>
      <c r="V2575" s="134"/>
      <c r="W2575" s="134"/>
      <c r="X2575" s="134"/>
      <c r="Y2575" s="134"/>
      <c r="Z2575" s="134"/>
      <c r="AA2575" s="134"/>
      <c r="AB2575" s="134"/>
      <c r="AC2575" s="134"/>
      <c r="AD2575" s="134"/>
    </row>
    <row r="2576">
      <c r="A2576" s="143"/>
      <c r="B2576" s="134"/>
      <c r="C2576" s="134"/>
      <c r="D2576" s="134"/>
      <c r="E2576" s="134"/>
      <c r="F2576" s="134"/>
      <c r="G2576" s="134"/>
      <c r="H2576" s="134"/>
      <c r="J2576" s="134"/>
      <c r="K2576" s="135"/>
      <c r="L2576" s="136"/>
      <c r="M2576" s="144"/>
      <c r="T2576" s="52"/>
      <c r="V2576" s="134"/>
      <c r="W2576" s="134"/>
      <c r="X2576" s="134"/>
      <c r="Y2576" s="134"/>
      <c r="Z2576" s="134"/>
      <c r="AA2576" s="134"/>
      <c r="AB2576" s="134"/>
      <c r="AC2576" s="134"/>
      <c r="AD2576" s="134"/>
    </row>
    <row r="2577">
      <c r="A2577" s="143"/>
      <c r="B2577" s="134"/>
      <c r="C2577" s="134"/>
      <c r="D2577" s="134"/>
      <c r="E2577" s="134"/>
      <c r="F2577" s="134"/>
      <c r="G2577" s="134"/>
      <c r="H2577" s="134"/>
      <c r="J2577" s="134"/>
      <c r="K2577" s="135"/>
      <c r="L2577" s="136"/>
      <c r="M2577" s="144"/>
      <c r="T2577" s="52"/>
      <c r="V2577" s="134"/>
      <c r="W2577" s="134"/>
      <c r="X2577" s="134"/>
      <c r="Y2577" s="134"/>
      <c r="Z2577" s="134"/>
      <c r="AA2577" s="134"/>
      <c r="AB2577" s="134"/>
      <c r="AC2577" s="134"/>
      <c r="AD2577" s="134"/>
    </row>
    <row r="2578">
      <c r="A2578" s="143"/>
      <c r="B2578" s="134"/>
      <c r="C2578" s="134"/>
      <c r="D2578" s="134"/>
      <c r="E2578" s="134"/>
      <c r="F2578" s="134"/>
      <c r="G2578" s="134"/>
      <c r="H2578" s="134"/>
      <c r="J2578" s="134"/>
      <c r="K2578" s="135"/>
      <c r="L2578" s="136"/>
      <c r="M2578" s="144"/>
      <c r="T2578" s="52"/>
      <c r="V2578" s="134"/>
      <c r="W2578" s="134"/>
      <c r="X2578" s="134"/>
      <c r="Y2578" s="134"/>
      <c r="Z2578" s="134"/>
      <c r="AA2578" s="134"/>
      <c r="AB2578" s="134"/>
      <c r="AC2578" s="134"/>
      <c r="AD2578" s="134"/>
    </row>
    <row r="2579">
      <c r="A2579" s="143"/>
      <c r="B2579" s="134"/>
      <c r="C2579" s="134"/>
      <c r="D2579" s="134"/>
      <c r="E2579" s="134"/>
      <c r="F2579" s="134"/>
      <c r="G2579" s="134"/>
      <c r="H2579" s="134"/>
      <c r="J2579" s="134"/>
      <c r="K2579" s="135"/>
      <c r="L2579" s="136"/>
      <c r="M2579" s="144"/>
      <c r="T2579" s="52"/>
      <c r="V2579" s="134"/>
      <c r="W2579" s="134"/>
      <c r="X2579" s="134"/>
      <c r="Y2579" s="134"/>
      <c r="Z2579" s="134"/>
      <c r="AA2579" s="134"/>
      <c r="AB2579" s="134"/>
      <c r="AC2579" s="134"/>
      <c r="AD2579" s="134"/>
    </row>
    <row r="2580">
      <c r="A2580" s="143"/>
      <c r="B2580" s="134"/>
      <c r="C2580" s="134"/>
      <c r="D2580" s="134"/>
      <c r="E2580" s="134"/>
      <c r="F2580" s="134"/>
      <c r="G2580" s="134"/>
      <c r="H2580" s="134"/>
      <c r="J2580" s="134"/>
      <c r="K2580" s="135"/>
      <c r="L2580" s="136"/>
      <c r="M2580" s="144"/>
      <c r="T2580" s="52"/>
      <c r="V2580" s="134"/>
      <c r="W2580" s="134"/>
      <c r="X2580" s="134"/>
      <c r="Y2580" s="134"/>
      <c r="Z2580" s="134"/>
      <c r="AA2580" s="134"/>
      <c r="AB2580" s="134"/>
      <c r="AC2580" s="134"/>
      <c r="AD2580" s="134"/>
    </row>
    <row r="2581">
      <c r="A2581" s="143"/>
      <c r="B2581" s="134"/>
      <c r="C2581" s="134"/>
      <c r="D2581" s="134"/>
      <c r="E2581" s="134"/>
      <c r="F2581" s="134"/>
      <c r="G2581" s="134"/>
      <c r="H2581" s="134"/>
      <c r="J2581" s="134"/>
      <c r="K2581" s="135"/>
      <c r="L2581" s="136"/>
      <c r="M2581" s="144"/>
      <c r="T2581" s="52"/>
      <c r="V2581" s="134"/>
      <c r="W2581" s="134"/>
      <c r="X2581" s="134"/>
      <c r="Y2581" s="134"/>
      <c r="Z2581" s="134"/>
      <c r="AA2581" s="134"/>
      <c r="AB2581" s="134"/>
      <c r="AC2581" s="134"/>
      <c r="AD2581" s="134"/>
    </row>
    <row r="2582">
      <c r="A2582" s="143"/>
      <c r="B2582" s="134"/>
      <c r="C2582" s="134"/>
      <c r="D2582" s="134"/>
      <c r="E2582" s="134"/>
      <c r="F2582" s="134"/>
      <c r="G2582" s="134"/>
      <c r="H2582" s="134"/>
      <c r="J2582" s="134"/>
      <c r="K2582" s="135"/>
      <c r="L2582" s="136"/>
      <c r="M2582" s="144"/>
      <c r="T2582" s="52"/>
      <c r="V2582" s="134"/>
      <c r="W2582" s="134"/>
      <c r="X2582" s="134"/>
      <c r="Y2582" s="134"/>
      <c r="Z2582" s="134"/>
      <c r="AA2582" s="134"/>
      <c r="AB2582" s="134"/>
      <c r="AC2582" s="134"/>
      <c r="AD2582" s="134"/>
    </row>
    <row r="2583">
      <c r="A2583" s="143"/>
      <c r="B2583" s="134"/>
      <c r="C2583" s="134"/>
      <c r="D2583" s="134"/>
      <c r="E2583" s="134"/>
      <c r="F2583" s="134"/>
      <c r="G2583" s="134"/>
      <c r="H2583" s="134"/>
      <c r="J2583" s="134"/>
      <c r="K2583" s="135"/>
      <c r="L2583" s="136"/>
      <c r="M2583" s="144"/>
      <c r="T2583" s="52"/>
      <c r="V2583" s="134"/>
      <c r="W2583" s="134"/>
      <c r="X2583" s="134"/>
      <c r="Y2583" s="134"/>
      <c r="Z2583" s="134"/>
      <c r="AA2583" s="134"/>
      <c r="AB2583" s="134"/>
      <c r="AC2583" s="134"/>
      <c r="AD2583" s="134"/>
    </row>
    <row r="2584">
      <c r="A2584" s="143"/>
      <c r="B2584" s="134"/>
      <c r="C2584" s="134"/>
      <c r="D2584" s="134"/>
      <c r="E2584" s="134"/>
      <c r="F2584" s="134"/>
      <c r="G2584" s="134"/>
      <c r="H2584" s="134"/>
      <c r="J2584" s="134"/>
      <c r="K2584" s="135"/>
      <c r="L2584" s="136"/>
      <c r="M2584" s="144"/>
      <c r="T2584" s="52"/>
      <c r="V2584" s="134"/>
      <c r="W2584" s="134"/>
      <c r="X2584" s="134"/>
      <c r="Y2584" s="134"/>
      <c r="Z2584" s="134"/>
      <c r="AA2584" s="134"/>
      <c r="AB2584" s="134"/>
      <c r="AC2584" s="134"/>
      <c r="AD2584" s="134"/>
    </row>
    <row r="2585">
      <c r="A2585" s="143"/>
      <c r="B2585" s="134"/>
      <c r="C2585" s="134"/>
      <c r="D2585" s="134"/>
      <c r="E2585" s="134"/>
      <c r="F2585" s="134"/>
      <c r="G2585" s="134"/>
      <c r="H2585" s="134"/>
      <c r="J2585" s="134"/>
      <c r="K2585" s="135"/>
      <c r="L2585" s="136"/>
      <c r="M2585" s="144"/>
      <c r="T2585" s="52"/>
      <c r="V2585" s="134"/>
      <c r="W2585" s="134"/>
      <c r="X2585" s="134"/>
      <c r="Y2585" s="134"/>
      <c r="Z2585" s="134"/>
      <c r="AA2585" s="134"/>
      <c r="AB2585" s="134"/>
      <c r="AC2585" s="134"/>
      <c r="AD2585" s="134"/>
    </row>
    <row r="2586">
      <c r="A2586" s="143"/>
      <c r="B2586" s="134"/>
      <c r="C2586" s="134"/>
      <c r="D2586" s="134"/>
      <c r="E2586" s="134"/>
      <c r="F2586" s="134"/>
      <c r="G2586" s="134"/>
      <c r="H2586" s="134"/>
      <c r="J2586" s="134"/>
      <c r="K2586" s="135"/>
      <c r="L2586" s="136"/>
      <c r="M2586" s="144"/>
      <c r="T2586" s="52"/>
      <c r="V2586" s="134"/>
      <c r="W2586" s="134"/>
      <c r="X2586" s="134"/>
      <c r="Y2586" s="134"/>
      <c r="Z2586" s="134"/>
      <c r="AA2586" s="134"/>
      <c r="AB2586" s="134"/>
      <c r="AC2586" s="134"/>
      <c r="AD2586" s="134"/>
    </row>
    <row r="2587">
      <c r="A2587" s="143"/>
      <c r="B2587" s="134"/>
      <c r="C2587" s="134"/>
      <c r="D2587" s="134"/>
      <c r="E2587" s="134"/>
      <c r="F2587" s="134"/>
      <c r="G2587" s="134"/>
      <c r="H2587" s="134"/>
      <c r="J2587" s="134"/>
      <c r="K2587" s="135"/>
      <c r="L2587" s="136"/>
      <c r="M2587" s="144"/>
      <c r="T2587" s="52"/>
      <c r="V2587" s="134"/>
      <c r="W2587" s="134"/>
      <c r="X2587" s="134"/>
      <c r="Y2587" s="134"/>
      <c r="Z2587" s="134"/>
      <c r="AA2587" s="134"/>
      <c r="AB2587" s="134"/>
      <c r="AC2587" s="134"/>
      <c r="AD2587" s="134"/>
    </row>
    <row r="2588">
      <c r="A2588" s="143"/>
      <c r="B2588" s="134"/>
      <c r="C2588" s="134"/>
      <c r="D2588" s="134"/>
      <c r="E2588" s="134"/>
      <c r="F2588" s="134"/>
      <c r="G2588" s="134"/>
      <c r="H2588" s="134"/>
      <c r="J2588" s="134"/>
      <c r="K2588" s="135"/>
      <c r="L2588" s="136"/>
      <c r="M2588" s="144"/>
      <c r="T2588" s="52"/>
      <c r="V2588" s="134"/>
      <c r="W2588" s="134"/>
      <c r="X2588" s="134"/>
      <c r="Y2588" s="134"/>
      <c r="Z2588" s="134"/>
      <c r="AA2588" s="134"/>
      <c r="AB2588" s="134"/>
      <c r="AC2588" s="134"/>
      <c r="AD2588" s="134"/>
    </row>
    <row r="2589">
      <c r="A2589" s="143"/>
      <c r="B2589" s="134"/>
      <c r="C2589" s="134"/>
      <c r="D2589" s="134"/>
      <c r="E2589" s="134"/>
      <c r="F2589" s="134"/>
      <c r="G2589" s="134"/>
      <c r="H2589" s="134"/>
      <c r="J2589" s="134"/>
      <c r="K2589" s="135"/>
      <c r="L2589" s="136"/>
      <c r="M2589" s="144"/>
      <c r="T2589" s="52"/>
      <c r="V2589" s="134"/>
      <c r="W2589" s="134"/>
      <c r="X2589" s="134"/>
      <c r="Y2589" s="134"/>
      <c r="Z2589" s="134"/>
      <c r="AA2589" s="134"/>
      <c r="AB2589" s="134"/>
      <c r="AC2589" s="134"/>
      <c r="AD2589" s="134"/>
    </row>
    <row r="2590">
      <c r="A2590" s="143"/>
      <c r="B2590" s="134"/>
      <c r="C2590" s="134"/>
      <c r="D2590" s="134"/>
      <c r="E2590" s="134"/>
      <c r="F2590" s="134"/>
      <c r="G2590" s="134"/>
      <c r="H2590" s="134"/>
      <c r="J2590" s="134"/>
      <c r="K2590" s="135"/>
      <c r="L2590" s="136"/>
      <c r="M2590" s="144"/>
      <c r="T2590" s="52"/>
      <c r="V2590" s="134"/>
      <c r="W2590" s="134"/>
      <c r="X2590" s="134"/>
      <c r="Y2590" s="134"/>
      <c r="Z2590" s="134"/>
      <c r="AA2590" s="134"/>
      <c r="AB2590" s="134"/>
      <c r="AC2590" s="134"/>
      <c r="AD2590" s="134"/>
    </row>
    <row r="2591">
      <c r="A2591" s="143"/>
      <c r="B2591" s="134"/>
      <c r="C2591" s="134"/>
      <c r="D2591" s="134"/>
      <c r="E2591" s="134"/>
      <c r="F2591" s="134"/>
      <c r="G2591" s="134"/>
      <c r="H2591" s="134"/>
      <c r="J2591" s="134"/>
      <c r="K2591" s="135"/>
      <c r="L2591" s="136"/>
      <c r="M2591" s="144"/>
      <c r="T2591" s="52"/>
      <c r="V2591" s="134"/>
      <c r="W2591" s="134"/>
      <c r="X2591" s="134"/>
      <c r="Y2591" s="134"/>
      <c r="Z2591" s="134"/>
      <c r="AA2591" s="134"/>
      <c r="AB2591" s="134"/>
      <c r="AC2591" s="134"/>
      <c r="AD2591" s="134"/>
    </row>
    <row r="2592">
      <c r="A2592" s="143"/>
      <c r="B2592" s="134"/>
      <c r="C2592" s="134"/>
      <c r="D2592" s="134"/>
      <c r="E2592" s="134"/>
      <c r="F2592" s="134"/>
      <c r="G2592" s="134"/>
      <c r="H2592" s="134"/>
      <c r="J2592" s="134"/>
      <c r="K2592" s="135"/>
      <c r="L2592" s="136"/>
      <c r="M2592" s="144"/>
      <c r="T2592" s="52"/>
      <c r="V2592" s="134"/>
      <c r="W2592" s="134"/>
      <c r="X2592" s="134"/>
      <c r="Y2592" s="134"/>
      <c r="Z2592" s="134"/>
      <c r="AA2592" s="134"/>
      <c r="AB2592" s="134"/>
      <c r="AC2592" s="134"/>
      <c r="AD2592" s="134"/>
    </row>
    <row r="2593">
      <c r="A2593" s="143"/>
      <c r="B2593" s="134"/>
      <c r="C2593" s="134"/>
      <c r="D2593" s="134"/>
      <c r="E2593" s="134"/>
      <c r="F2593" s="134"/>
      <c r="G2593" s="134"/>
      <c r="H2593" s="134"/>
      <c r="J2593" s="134"/>
      <c r="K2593" s="135"/>
      <c r="L2593" s="136"/>
      <c r="M2593" s="144"/>
      <c r="T2593" s="52"/>
      <c r="V2593" s="134"/>
      <c r="W2593" s="134"/>
      <c r="X2593" s="134"/>
      <c r="Y2593" s="134"/>
      <c r="Z2593" s="134"/>
      <c r="AA2593" s="134"/>
      <c r="AB2593" s="134"/>
      <c r="AC2593" s="134"/>
      <c r="AD2593" s="134"/>
    </row>
    <row r="2594">
      <c r="A2594" s="143"/>
      <c r="B2594" s="134"/>
      <c r="C2594" s="134"/>
      <c r="D2594" s="134"/>
      <c r="E2594" s="134"/>
      <c r="F2594" s="134"/>
      <c r="G2594" s="134"/>
      <c r="H2594" s="134"/>
      <c r="J2594" s="134"/>
      <c r="K2594" s="135"/>
      <c r="L2594" s="136"/>
      <c r="M2594" s="144"/>
      <c r="T2594" s="52"/>
      <c r="V2594" s="134"/>
      <c r="W2594" s="134"/>
      <c r="X2594" s="134"/>
      <c r="Y2594" s="134"/>
      <c r="Z2594" s="134"/>
      <c r="AA2594" s="134"/>
      <c r="AB2594" s="134"/>
      <c r="AC2594" s="134"/>
      <c r="AD2594" s="134"/>
    </row>
    <row r="2595">
      <c r="A2595" s="143"/>
      <c r="B2595" s="134"/>
      <c r="C2595" s="134"/>
      <c r="D2595" s="134"/>
      <c r="E2595" s="134"/>
      <c r="F2595" s="134"/>
      <c r="G2595" s="134"/>
      <c r="H2595" s="134"/>
      <c r="J2595" s="134"/>
      <c r="K2595" s="135"/>
      <c r="L2595" s="136"/>
      <c r="M2595" s="144"/>
      <c r="T2595" s="52"/>
      <c r="V2595" s="134"/>
      <c r="W2595" s="134"/>
      <c r="X2595" s="134"/>
      <c r="Y2595" s="134"/>
      <c r="Z2595" s="134"/>
      <c r="AA2595" s="134"/>
      <c r="AB2595" s="134"/>
      <c r="AC2595" s="134"/>
      <c r="AD2595" s="134"/>
    </row>
    <row r="2596">
      <c r="A2596" s="143"/>
      <c r="B2596" s="134"/>
      <c r="C2596" s="134"/>
      <c r="D2596" s="134"/>
      <c r="E2596" s="134"/>
      <c r="F2596" s="134"/>
      <c r="G2596" s="134"/>
      <c r="H2596" s="134"/>
      <c r="J2596" s="134"/>
      <c r="K2596" s="135"/>
      <c r="L2596" s="136"/>
      <c r="M2596" s="144"/>
      <c r="T2596" s="52"/>
      <c r="V2596" s="134"/>
      <c r="W2596" s="134"/>
      <c r="X2596" s="134"/>
      <c r="Y2596" s="134"/>
      <c r="Z2596" s="134"/>
      <c r="AA2596" s="134"/>
      <c r="AB2596" s="134"/>
      <c r="AC2596" s="134"/>
      <c r="AD2596" s="134"/>
    </row>
    <row r="2597">
      <c r="A2597" s="143"/>
      <c r="B2597" s="134"/>
      <c r="C2597" s="134"/>
      <c r="D2597" s="134"/>
      <c r="E2597" s="134"/>
      <c r="F2597" s="134"/>
      <c r="G2597" s="134"/>
      <c r="H2597" s="134"/>
      <c r="J2597" s="134"/>
      <c r="K2597" s="135"/>
      <c r="L2597" s="136"/>
      <c r="M2597" s="144"/>
      <c r="T2597" s="52"/>
      <c r="V2597" s="134"/>
      <c r="W2597" s="134"/>
      <c r="X2597" s="134"/>
      <c r="Y2597" s="134"/>
      <c r="Z2597" s="134"/>
      <c r="AA2597" s="134"/>
      <c r="AB2597" s="134"/>
      <c r="AC2597" s="134"/>
      <c r="AD2597" s="134"/>
    </row>
    <row r="2598">
      <c r="A2598" s="143"/>
      <c r="B2598" s="134"/>
      <c r="C2598" s="134"/>
      <c r="D2598" s="134"/>
      <c r="E2598" s="134"/>
      <c r="F2598" s="134"/>
      <c r="G2598" s="134"/>
      <c r="H2598" s="134"/>
      <c r="J2598" s="134"/>
      <c r="K2598" s="135"/>
      <c r="L2598" s="136"/>
      <c r="M2598" s="144"/>
      <c r="T2598" s="52"/>
      <c r="V2598" s="134"/>
      <c r="W2598" s="134"/>
      <c r="X2598" s="134"/>
      <c r="Y2598" s="134"/>
      <c r="Z2598" s="134"/>
      <c r="AA2598" s="134"/>
      <c r="AB2598" s="134"/>
      <c r="AC2598" s="134"/>
      <c r="AD2598" s="134"/>
    </row>
    <row r="2599">
      <c r="A2599" s="143"/>
      <c r="B2599" s="134"/>
      <c r="C2599" s="134"/>
      <c r="D2599" s="134"/>
      <c r="E2599" s="134"/>
      <c r="F2599" s="134"/>
      <c r="G2599" s="134"/>
      <c r="H2599" s="134"/>
      <c r="J2599" s="134"/>
      <c r="K2599" s="135"/>
      <c r="L2599" s="136"/>
      <c r="M2599" s="144"/>
      <c r="T2599" s="52"/>
      <c r="V2599" s="134"/>
      <c r="W2599" s="134"/>
      <c r="X2599" s="134"/>
      <c r="Y2599" s="134"/>
      <c r="Z2599" s="134"/>
      <c r="AA2599" s="134"/>
      <c r="AB2599" s="134"/>
      <c r="AC2599" s="134"/>
      <c r="AD2599" s="134"/>
    </row>
    <row r="2600">
      <c r="A2600" s="143"/>
      <c r="B2600" s="134"/>
      <c r="C2600" s="134"/>
      <c r="D2600" s="134"/>
      <c r="E2600" s="134"/>
      <c r="F2600" s="134"/>
      <c r="G2600" s="134"/>
      <c r="H2600" s="134"/>
      <c r="J2600" s="134"/>
      <c r="K2600" s="135"/>
      <c r="L2600" s="136"/>
      <c r="M2600" s="144"/>
      <c r="T2600" s="52"/>
      <c r="V2600" s="134"/>
      <c r="W2600" s="134"/>
      <c r="X2600" s="134"/>
      <c r="Y2600" s="134"/>
      <c r="Z2600" s="134"/>
      <c r="AA2600" s="134"/>
      <c r="AB2600" s="134"/>
      <c r="AC2600" s="134"/>
      <c r="AD2600" s="134"/>
    </row>
    <row r="2601">
      <c r="A2601" s="143"/>
      <c r="B2601" s="134"/>
      <c r="C2601" s="134"/>
      <c r="D2601" s="134"/>
      <c r="E2601" s="134"/>
      <c r="F2601" s="134"/>
      <c r="G2601" s="134"/>
      <c r="H2601" s="134"/>
      <c r="J2601" s="134"/>
      <c r="K2601" s="135"/>
      <c r="L2601" s="136"/>
      <c r="M2601" s="144"/>
      <c r="T2601" s="52"/>
      <c r="V2601" s="134"/>
      <c r="W2601" s="134"/>
      <c r="X2601" s="134"/>
      <c r="Y2601" s="134"/>
      <c r="Z2601" s="134"/>
      <c r="AA2601" s="134"/>
      <c r="AB2601" s="134"/>
      <c r="AC2601" s="134"/>
      <c r="AD2601" s="134"/>
    </row>
    <row r="2602">
      <c r="A2602" s="143"/>
      <c r="B2602" s="134"/>
      <c r="C2602" s="134"/>
      <c r="D2602" s="134"/>
      <c r="E2602" s="134"/>
      <c r="F2602" s="134"/>
      <c r="G2602" s="134"/>
      <c r="H2602" s="134"/>
      <c r="J2602" s="134"/>
      <c r="K2602" s="135"/>
      <c r="L2602" s="136"/>
      <c r="M2602" s="144"/>
      <c r="T2602" s="52"/>
      <c r="V2602" s="134"/>
      <c r="W2602" s="134"/>
      <c r="X2602" s="134"/>
      <c r="Y2602" s="134"/>
      <c r="Z2602" s="134"/>
      <c r="AA2602" s="134"/>
      <c r="AB2602" s="134"/>
      <c r="AC2602" s="134"/>
      <c r="AD2602" s="134"/>
    </row>
    <row r="2603">
      <c r="A2603" s="143"/>
      <c r="B2603" s="134"/>
      <c r="C2603" s="134"/>
      <c r="D2603" s="134"/>
      <c r="E2603" s="134"/>
      <c r="F2603" s="134"/>
      <c r="G2603" s="134"/>
      <c r="H2603" s="134"/>
      <c r="J2603" s="134"/>
      <c r="K2603" s="135"/>
      <c r="L2603" s="136"/>
      <c r="M2603" s="144"/>
      <c r="T2603" s="52"/>
      <c r="V2603" s="134"/>
      <c r="W2603" s="134"/>
      <c r="X2603" s="134"/>
      <c r="Y2603" s="134"/>
      <c r="Z2603" s="134"/>
      <c r="AA2603" s="134"/>
      <c r="AB2603" s="134"/>
      <c r="AC2603" s="134"/>
      <c r="AD2603" s="134"/>
    </row>
    <row r="2604">
      <c r="A2604" s="143"/>
      <c r="B2604" s="134"/>
      <c r="C2604" s="134"/>
      <c r="D2604" s="134"/>
      <c r="E2604" s="134"/>
      <c r="F2604" s="134"/>
      <c r="G2604" s="134"/>
      <c r="H2604" s="134"/>
      <c r="J2604" s="134"/>
      <c r="K2604" s="135"/>
      <c r="L2604" s="136"/>
      <c r="M2604" s="144"/>
      <c r="T2604" s="52"/>
      <c r="V2604" s="134"/>
      <c r="W2604" s="134"/>
      <c r="X2604" s="134"/>
      <c r="Y2604" s="134"/>
      <c r="Z2604" s="134"/>
      <c r="AA2604" s="134"/>
      <c r="AB2604" s="134"/>
      <c r="AC2604" s="134"/>
      <c r="AD2604" s="134"/>
    </row>
    <row r="2605">
      <c r="A2605" s="143"/>
      <c r="B2605" s="134"/>
      <c r="C2605" s="134"/>
      <c r="D2605" s="134"/>
      <c r="E2605" s="134"/>
      <c r="F2605" s="134"/>
      <c r="G2605" s="134"/>
      <c r="H2605" s="134"/>
      <c r="J2605" s="134"/>
      <c r="K2605" s="135"/>
      <c r="L2605" s="136"/>
      <c r="M2605" s="144"/>
      <c r="T2605" s="52"/>
      <c r="V2605" s="134"/>
      <c r="W2605" s="134"/>
      <c r="X2605" s="134"/>
      <c r="Y2605" s="134"/>
      <c r="Z2605" s="134"/>
      <c r="AA2605" s="134"/>
      <c r="AB2605" s="134"/>
      <c r="AC2605" s="134"/>
      <c r="AD2605" s="134"/>
    </row>
    <row r="2606">
      <c r="A2606" s="143"/>
      <c r="B2606" s="134"/>
      <c r="C2606" s="134"/>
      <c r="D2606" s="134"/>
      <c r="E2606" s="134"/>
      <c r="F2606" s="134"/>
      <c r="G2606" s="134"/>
      <c r="H2606" s="134"/>
      <c r="J2606" s="134"/>
      <c r="K2606" s="135"/>
      <c r="L2606" s="136"/>
      <c r="M2606" s="144"/>
      <c r="T2606" s="52"/>
      <c r="V2606" s="134"/>
      <c r="W2606" s="134"/>
      <c r="X2606" s="134"/>
      <c r="Y2606" s="134"/>
      <c r="Z2606" s="134"/>
      <c r="AA2606" s="134"/>
      <c r="AB2606" s="134"/>
      <c r="AC2606" s="134"/>
      <c r="AD2606" s="134"/>
    </row>
    <row r="2607">
      <c r="A2607" s="143"/>
      <c r="B2607" s="134"/>
      <c r="C2607" s="134"/>
      <c r="D2607" s="134"/>
      <c r="E2607" s="134"/>
      <c r="F2607" s="134"/>
      <c r="G2607" s="134"/>
      <c r="H2607" s="134"/>
      <c r="J2607" s="134"/>
      <c r="K2607" s="135"/>
      <c r="L2607" s="136"/>
      <c r="M2607" s="144"/>
      <c r="T2607" s="52"/>
      <c r="V2607" s="134"/>
      <c r="W2607" s="134"/>
      <c r="X2607" s="134"/>
      <c r="Y2607" s="134"/>
      <c r="Z2607" s="134"/>
      <c r="AA2607" s="134"/>
      <c r="AB2607" s="134"/>
      <c r="AC2607" s="134"/>
      <c r="AD2607" s="134"/>
    </row>
    <row r="2608">
      <c r="A2608" s="143"/>
      <c r="B2608" s="134"/>
      <c r="C2608" s="134"/>
      <c r="D2608" s="134"/>
      <c r="E2608" s="134"/>
      <c r="F2608" s="134"/>
      <c r="G2608" s="134"/>
      <c r="H2608" s="134"/>
      <c r="J2608" s="134"/>
      <c r="K2608" s="135"/>
      <c r="L2608" s="136"/>
      <c r="M2608" s="144"/>
      <c r="T2608" s="52"/>
      <c r="V2608" s="134"/>
      <c r="W2608" s="134"/>
      <c r="X2608" s="134"/>
      <c r="Y2608" s="134"/>
      <c r="Z2608" s="134"/>
      <c r="AA2608" s="134"/>
      <c r="AB2608" s="134"/>
      <c r="AC2608" s="134"/>
      <c r="AD2608" s="134"/>
    </row>
    <row r="2609">
      <c r="A2609" s="143"/>
      <c r="B2609" s="134"/>
      <c r="C2609" s="134"/>
      <c r="D2609" s="134"/>
      <c r="E2609" s="134"/>
      <c r="F2609" s="134"/>
      <c r="G2609" s="134"/>
      <c r="H2609" s="134"/>
      <c r="J2609" s="134"/>
      <c r="K2609" s="135"/>
      <c r="L2609" s="136"/>
      <c r="M2609" s="144"/>
      <c r="T2609" s="52"/>
      <c r="V2609" s="134"/>
      <c r="W2609" s="134"/>
      <c r="X2609" s="134"/>
      <c r="Y2609" s="134"/>
      <c r="Z2609" s="134"/>
      <c r="AA2609" s="134"/>
      <c r="AB2609" s="134"/>
      <c r="AC2609" s="134"/>
      <c r="AD2609" s="134"/>
    </row>
    <row r="2610">
      <c r="A2610" s="143"/>
      <c r="B2610" s="134"/>
      <c r="C2610" s="134"/>
      <c r="D2610" s="134"/>
      <c r="E2610" s="134"/>
      <c r="F2610" s="134"/>
      <c r="G2610" s="134"/>
      <c r="H2610" s="134"/>
      <c r="J2610" s="134"/>
      <c r="K2610" s="135"/>
      <c r="L2610" s="136"/>
      <c r="M2610" s="144"/>
      <c r="T2610" s="52"/>
      <c r="V2610" s="134"/>
      <c r="W2610" s="134"/>
      <c r="X2610" s="134"/>
      <c r="Y2610" s="134"/>
      <c r="Z2610" s="134"/>
      <c r="AA2610" s="134"/>
      <c r="AB2610" s="134"/>
      <c r="AC2610" s="134"/>
      <c r="AD2610" s="134"/>
    </row>
    <row r="2611">
      <c r="A2611" s="143"/>
      <c r="B2611" s="134"/>
      <c r="C2611" s="134"/>
      <c r="D2611" s="134"/>
      <c r="E2611" s="134"/>
      <c r="F2611" s="134"/>
      <c r="G2611" s="134"/>
      <c r="H2611" s="134"/>
      <c r="J2611" s="134"/>
      <c r="K2611" s="135"/>
      <c r="L2611" s="136"/>
      <c r="M2611" s="144"/>
      <c r="T2611" s="52"/>
      <c r="V2611" s="134"/>
      <c r="W2611" s="134"/>
      <c r="X2611" s="134"/>
      <c r="Y2611" s="134"/>
      <c r="Z2611" s="134"/>
      <c r="AA2611" s="134"/>
      <c r="AB2611" s="134"/>
      <c r="AC2611" s="134"/>
      <c r="AD2611" s="134"/>
    </row>
    <row r="2612">
      <c r="A2612" s="143"/>
      <c r="B2612" s="134"/>
      <c r="C2612" s="134"/>
      <c r="D2612" s="134"/>
      <c r="E2612" s="134"/>
      <c r="F2612" s="134"/>
      <c r="G2612" s="134"/>
      <c r="H2612" s="134"/>
      <c r="J2612" s="134"/>
      <c r="K2612" s="135"/>
      <c r="L2612" s="136"/>
      <c r="M2612" s="144"/>
      <c r="T2612" s="52"/>
      <c r="V2612" s="134"/>
      <c r="W2612" s="134"/>
      <c r="X2612" s="134"/>
      <c r="Y2612" s="134"/>
      <c r="Z2612" s="134"/>
      <c r="AA2612" s="134"/>
      <c r="AB2612" s="134"/>
      <c r="AC2612" s="134"/>
      <c r="AD2612" s="134"/>
    </row>
    <row r="2613">
      <c r="A2613" s="143"/>
      <c r="B2613" s="134"/>
      <c r="C2613" s="134"/>
      <c r="D2613" s="134"/>
      <c r="E2613" s="134"/>
      <c r="F2613" s="134"/>
      <c r="G2613" s="134"/>
      <c r="H2613" s="134"/>
      <c r="J2613" s="134"/>
      <c r="K2613" s="135"/>
      <c r="L2613" s="136"/>
      <c r="M2613" s="144"/>
      <c r="T2613" s="52"/>
      <c r="V2613" s="134"/>
      <c r="W2613" s="134"/>
      <c r="X2613" s="134"/>
      <c r="Y2613" s="134"/>
      <c r="Z2613" s="134"/>
      <c r="AA2613" s="134"/>
      <c r="AB2613" s="134"/>
      <c r="AC2613" s="134"/>
      <c r="AD2613" s="134"/>
    </row>
    <row r="2614">
      <c r="A2614" s="143"/>
      <c r="B2614" s="134"/>
      <c r="C2614" s="134"/>
      <c r="D2614" s="134"/>
      <c r="E2614" s="134"/>
      <c r="F2614" s="134"/>
      <c r="G2614" s="134"/>
      <c r="H2614" s="134"/>
      <c r="J2614" s="134"/>
      <c r="K2614" s="135"/>
      <c r="L2614" s="136"/>
      <c r="M2614" s="144"/>
      <c r="T2614" s="52"/>
      <c r="V2614" s="134"/>
      <c r="W2614" s="134"/>
      <c r="X2614" s="134"/>
      <c r="Y2614" s="134"/>
      <c r="Z2614" s="134"/>
      <c r="AA2614" s="134"/>
      <c r="AB2614" s="134"/>
      <c r="AC2614" s="134"/>
      <c r="AD2614" s="134"/>
    </row>
    <row r="2615">
      <c r="A2615" s="143"/>
      <c r="B2615" s="134"/>
      <c r="C2615" s="134"/>
      <c r="D2615" s="134"/>
      <c r="E2615" s="134"/>
      <c r="F2615" s="134"/>
      <c r="G2615" s="134"/>
      <c r="H2615" s="134"/>
      <c r="J2615" s="134"/>
      <c r="K2615" s="135"/>
      <c r="L2615" s="136"/>
      <c r="M2615" s="144"/>
      <c r="T2615" s="52"/>
      <c r="V2615" s="134"/>
      <c r="W2615" s="134"/>
      <c r="X2615" s="134"/>
      <c r="Y2615" s="134"/>
      <c r="Z2615" s="134"/>
      <c r="AA2615" s="134"/>
      <c r="AB2615" s="134"/>
      <c r="AC2615" s="134"/>
      <c r="AD2615" s="134"/>
    </row>
    <row r="2616">
      <c r="A2616" s="143"/>
      <c r="B2616" s="134"/>
      <c r="C2616" s="134"/>
      <c r="D2616" s="134"/>
      <c r="E2616" s="134"/>
      <c r="F2616" s="134"/>
      <c r="G2616" s="134"/>
      <c r="H2616" s="134"/>
      <c r="J2616" s="134"/>
      <c r="K2616" s="135"/>
      <c r="L2616" s="136"/>
      <c r="M2616" s="144"/>
      <c r="T2616" s="52"/>
      <c r="V2616" s="134"/>
      <c r="W2616" s="134"/>
      <c r="X2616" s="134"/>
      <c r="Y2616" s="134"/>
      <c r="Z2616" s="134"/>
      <c r="AA2616" s="134"/>
      <c r="AB2616" s="134"/>
      <c r="AC2616" s="134"/>
      <c r="AD2616" s="134"/>
    </row>
    <row r="2617">
      <c r="A2617" s="143"/>
      <c r="B2617" s="134"/>
      <c r="C2617" s="134"/>
      <c r="D2617" s="134"/>
      <c r="E2617" s="134"/>
      <c r="F2617" s="134"/>
      <c r="G2617" s="134"/>
      <c r="H2617" s="134"/>
      <c r="J2617" s="134"/>
      <c r="K2617" s="135"/>
      <c r="L2617" s="136"/>
      <c r="M2617" s="144"/>
      <c r="T2617" s="52"/>
      <c r="V2617" s="134"/>
      <c r="W2617" s="134"/>
      <c r="X2617" s="134"/>
      <c r="Y2617" s="134"/>
      <c r="Z2617" s="134"/>
      <c r="AA2617" s="134"/>
      <c r="AB2617" s="134"/>
      <c r="AC2617" s="134"/>
      <c r="AD2617" s="134"/>
    </row>
    <row r="2618">
      <c r="A2618" s="143"/>
      <c r="B2618" s="134"/>
      <c r="C2618" s="134"/>
      <c r="D2618" s="134"/>
      <c r="E2618" s="134"/>
      <c r="F2618" s="134"/>
      <c r="G2618" s="134"/>
      <c r="H2618" s="134"/>
      <c r="J2618" s="134"/>
      <c r="K2618" s="135"/>
      <c r="L2618" s="136"/>
      <c r="M2618" s="144"/>
      <c r="T2618" s="52"/>
      <c r="V2618" s="134"/>
      <c r="W2618" s="134"/>
      <c r="X2618" s="134"/>
      <c r="Y2618" s="134"/>
      <c r="Z2618" s="134"/>
      <c r="AA2618" s="134"/>
      <c r="AB2618" s="134"/>
      <c r="AC2618" s="134"/>
      <c r="AD2618" s="134"/>
    </row>
    <row r="2619">
      <c r="A2619" s="143"/>
      <c r="B2619" s="134"/>
      <c r="C2619" s="134"/>
      <c r="D2619" s="134"/>
      <c r="E2619" s="134"/>
      <c r="F2619" s="134"/>
      <c r="G2619" s="134"/>
      <c r="H2619" s="134"/>
      <c r="J2619" s="134"/>
      <c r="K2619" s="135"/>
      <c r="L2619" s="136"/>
      <c r="M2619" s="144"/>
      <c r="T2619" s="52"/>
      <c r="V2619" s="134"/>
      <c r="W2619" s="134"/>
      <c r="X2619" s="134"/>
      <c r="Y2619" s="134"/>
      <c r="Z2619" s="134"/>
      <c r="AA2619" s="134"/>
      <c r="AB2619" s="134"/>
      <c r="AC2619" s="134"/>
      <c r="AD2619" s="134"/>
    </row>
    <row r="2620">
      <c r="A2620" s="143"/>
      <c r="B2620" s="134"/>
      <c r="C2620" s="134"/>
      <c r="D2620" s="134"/>
      <c r="E2620" s="134"/>
      <c r="F2620" s="134"/>
      <c r="G2620" s="134"/>
      <c r="H2620" s="134"/>
      <c r="J2620" s="134"/>
      <c r="K2620" s="135"/>
      <c r="L2620" s="136"/>
      <c r="M2620" s="144"/>
      <c r="T2620" s="52"/>
      <c r="V2620" s="134"/>
      <c r="W2620" s="134"/>
      <c r="X2620" s="134"/>
      <c r="Y2620" s="134"/>
      <c r="Z2620" s="134"/>
      <c r="AA2620" s="134"/>
      <c r="AB2620" s="134"/>
      <c r="AC2620" s="134"/>
      <c r="AD2620" s="134"/>
    </row>
    <row r="2621">
      <c r="A2621" s="143"/>
      <c r="B2621" s="134"/>
      <c r="C2621" s="134"/>
      <c r="D2621" s="134"/>
      <c r="E2621" s="134"/>
      <c r="F2621" s="134"/>
      <c r="G2621" s="134"/>
      <c r="H2621" s="134"/>
      <c r="J2621" s="134"/>
      <c r="K2621" s="135"/>
      <c r="L2621" s="136"/>
      <c r="M2621" s="144"/>
      <c r="T2621" s="52"/>
      <c r="V2621" s="134"/>
      <c r="W2621" s="134"/>
      <c r="X2621" s="134"/>
      <c r="Y2621" s="134"/>
      <c r="Z2621" s="134"/>
      <c r="AA2621" s="134"/>
      <c r="AB2621" s="134"/>
      <c r="AC2621" s="134"/>
      <c r="AD2621" s="134"/>
    </row>
    <row r="2622">
      <c r="A2622" s="143"/>
      <c r="B2622" s="134"/>
      <c r="C2622" s="134"/>
      <c r="D2622" s="134"/>
      <c r="E2622" s="134"/>
      <c r="F2622" s="134"/>
      <c r="G2622" s="134"/>
      <c r="H2622" s="134"/>
      <c r="J2622" s="134"/>
      <c r="K2622" s="135"/>
      <c r="L2622" s="136"/>
      <c r="M2622" s="144"/>
      <c r="T2622" s="52"/>
      <c r="V2622" s="134"/>
      <c r="W2622" s="134"/>
      <c r="X2622" s="134"/>
      <c r="Y2622" s="134"/>
      <c r="Z2622" s="134"/>
      <c r="AA2622" s="134"/>
      <c r="AB2622" s="134"/>
      <c r="AC2622" s="134"/>
      <c r="AD2622" s="134"/>
    </row>
    <row r="2623">
      <c r="A2623" s="143"/>
      <c r="B2623" s="134"/>
      <c r="C2623" s="134"/>
      <c r="D2623" s="134"/>
      <c r="E2623" s="134"/>
      <c r="F2623" s="134"/>
      <c r="G2623" s="134"/>
      <c r="H2623" s="134"/>
      <c r="J2623" s="134"/>
      <c r="K2623" s="135"/>
      <c r="L2623" s="136"/>
      <c r="M2623" s="144"/>
      <c r="T2623" s="52"/>
      <c r="V2623" s="134"/>
      <c r="W2623" s="134"/>
      <c r="X2623" s="134"/>
      <c r="Y2623" s="134"/>
      <c r="Z2623" s="134"/>
      <c r="AA2623" s="134"/>
      <c r="AB2623" s="134"/>
      <c r="AC2623" s="134"/>
      <c r="AD2623" s="134"/>
    </row>
    <row r="2624">
      <c r="A2624" s="143"/>
      <c r="B2624" s="134"/>
      <c r="C2624" s="134"/>
      <c r="D2624" s="134"/>
      <c r="E2624" s="134"/>
      <c r="F2624" s="134"/>
      <c r="G2624" s="134"/>
      <c r="H2624" s="134"/>
      <c r="J2624" s="134"/>
      <c r="K2624" s="135"/>
      <c r="L2624" s="136"/>
      <c r="M2624" s="144"/>
      <c r="T2624" s="52"/>
      <c r="V2624" s="134"/>
      <c r="W2624" s="134"/>
      <c r="X2624" s="134"/>
      <c r="Y2624" s="134"/>
      <c r="Z2624" s="134"/>
      <c r="AA2624" s="134"/>
      <c r="AB2624" s="134"/>
      <c r="AC2624" s="134"/>
      <c r="AD2624" s="134"/>
    </row>
    <row r="2625">
      <c r="A2625" s="143"/>
      <c r="B2625" s="134"/>
      <c r="C2625" s="134"/>
      <c r="D2625" s="134"/>
      <c r="E2625" s="134"/>
      <c r="F2625" s="134"/>
      <c r="G2625" s="134"/>
      <c r="H2625" s="134"/>
      <c r="J2625" s="134"/>
      <c r="K2625" s="135"/>
      <c r="L2625" s="136"/>
      <c r="M2625" s="144"/>
      <c r="T2625" s="52"/>
      <c r="V2625" s="134"/>
      <c r="W2625" s="134"/>
      <c r="X2625" s="134"/>
      <c r="Y2625" s="134"/>
      <c r="Z2625" s="134"/>
      <c r="AA2625" s="134"/>
      <c r="AB2625" s="134"/>
      <c r="AC2625" s="134"/>
      <c r="AD2625" s="134"/>
    </row>
    <row r="2626">
      <c r="A2626" s="143"/>
      <c r="B2626" s="134"/>
      <c r="C2626" s="134"/>
      <c r="D2626" s="134"/>
      <c r="E2626" s="134"/>
      <c r="F2626" s="134"/>
      <c r="G2626" s="134"/>
      <c r="H2626" s="134"/>
      <c r="J2626" s="134"/>
      <c r="K2626" s="135"/>
      <c r="L2626" s="136"/>
      <c r="M2626" s="144"/>
      <c r="T2626" s="52"/>
      <c r="V2626" s="134"/>
      <c r="W2626" s="134"/>
      <c r="X2626" s="134"/>
      <c r="Y2626" s="134"/>
      <c r="Z2626" s="134"/>
      <c r="AA2626" s="134"/>
      <c r="AB2626" s="134"/>
      <c r="AC2626" s="134"/>
      <c r="AD2626" s="134"/>
    </row>
    <row r="2627">
      <c r="A2627" s="143"/>
      <c r="B2627" s="134"/>
      <c r="C2627" s="134"/>
      <c r="D2627" s="134"/>
      <c r="E2627" s="134"/>
      <c r="F2627" s="134"/>
      <c r="G2627" s="134"/>
      <c r="H2627" s="134"/>
      <c r="J2627" s="134"/>
      <c r="K2627" s="135"/>
      <c r="L2627" s="136"/>
      <c r="M2627" s="144"/>
      <c r="T2627" s="52"/>
      <c r="V2627" s="134"/>
      <c r="W2627" s="134"/>
      <c r="X2627" s="134"/>
      <c r="Y2627" s="134"/>
      <c r="Z2627" s="134"/>
      <c r="AA2627" s="134"/>
      <c r="AB2627" s="134"/>
      <c r="AC2627" s="134"/>
      <c r="AD2627" s="134"/>
    </row>
    <row r="2628">
      <c r="A2628" s="143"/>
      <c r="B2628" s="134"/>
      <c r="C2628" s="134"/>
      <c r="D2628" s="134"/>
      <c r="E2628" s="134"/>
      <c r="F2628" s="134"/>
      <c r="G2628" s="134"/>
      <c r="H2628" s="134"/>
      <c r="J2628" s="134"/>
      <c r="K2628" s="135"/>
      <c r="L2628" s="136"/>
      <c r="M2628" s="144"/>
      <c r="T2628" s="52"/>
      <c r="V2628" s="134"/>
      <c r="W2628" s="134"/>
      <c r="X2628" s="134"/>
      <c r="Y2628" s="134"/>
      <c r="Z2628" s="134"/>
      <c r="AA2628" s="134"/>
      <c r="AB2628" s="134"/>
      <c r="AC2628" s="134"/>
      <c r="AD2628" s="134"/>
    </row>
    <row r="2629">
      <c r="A2629" s="143"/>
      <c r="B2629" s="134"/>
      <c r="C2629" s="134"/>
      <c r="D2629" s="134"/>
      <c r="E2629" s="134"/>
      <c r="F2629" s="134"/>
      <c r="G2629" s="134"/>
      <c r="H2629" s="134"/>
      <c r="J2629" s="134"/>
      <c r="K2629" s="135"/>
      <c r="L2629" s="136"/>
      <c r="M2629" s="144"/>
      <c r="T2629" s="52"/>
      <c r="V2629" s="134"/>
      <c r="W2629" s="134"/>
      <c r="X2629" s="134"/>
      <c r="Y2629" s="134"/>
      <c r="Z2629" s="134"/>
      <c r="AA2629" s="134"/>
      <c r="AB2629" s="134"/>
      <c r="AC2629" s="134"/>
      <c r="AD2629" s="134"/>
    </row>
    <row r="2630">
      <c r="A2630" s="143"/>
      <c r="B2630" s="134"/>
      <c r="C2630" s="134"/>
      <c r="D2630" s="134"/>
      <c r="E2630" s="134"/>
      <c r="F2630" s="134"/>
      <c r="G2630" s="134"/>
      <c r="H2630" s="134"/>
      <c r="J2630" s="134"/>
      <c r="K2630" s="135"/>
      <c r="L2630" s="136"/>
      <c r="M2630" s="144"/>
      <c r="T2630" s="52"/>
      <c r="V2630" s="134"/>
      <c r="W2630" s="134"/>
      <c r="X2630" s="134"/>
      <c r="Y2630" s="134"/>
      <c r="Z2630" s="134"/>
      <c r="AA2630" s="134"/>
      <c r="AB2630" s="134"/>
      <c r="AC2630" s="134"/>
      <c r="AD2630" s="134"/>
    </row>
    <row r="2631">
      <c r="A2631" s="143"/>
      <c r="B2631" s="134"/>
      <c r="C2631" s="134"/>
      <c r="D2631" s="134"/>
      <c r="E2631" s="134"/>
      <c r="F2631" s="134"/>
      <c r="G2631" s="134"/>
      <c r="H2631" s="134"/>
      <c r="J2631" s="134"/>
      <c r="K2631" s="135"/>
      <c r="L2631" s="136"/>
      <c r="M2631" s="144"/>
      <c r="T2631" s="52"/>
      <c r="V2631" s="134"/>
      <c r="W2631" s="134"/>
      <c r="X2631" s="134"/>
      <c r="Y2631" s="134"/>
      <c r="Z2631" s="134"/>
      <c r="AA2631" s="134"/>
      <c r="AB2631" s="134"/>
      <c r="AC2631" s="134"/>
      <c r="AD2631" s="134"/>
    </row>
    <row r="2632">
      <c r="A2632" s="143"/>
      <c r="B2632" s="134"/>
      <c r="C2632" s="134"/>
      <c r="D2632" s="134"/>
      <c r="E2632" s="134"/>
      <c r="F2632" s="134"/>
      <c r="G2632" s="134"/>
      <c r="H2632" s="134"/>
      <c r="J2632" s="134"/>
      <c r="K2632" s="135"/>
      <c r="L2632" s="136"/>
      <c r="M2632" s="144"/>
      <c r="T2632" s="52"/>
      <c r="V2632" s="134"/>
      <c r="W2632" s="134"/>
      <c r="X2632" s="134"/>
      <c r="Y2632" s="134"/>
      <c r="Z2632" s="134"/>
      <c r="AA2632" s="134"/>
      <c r="AB2632" s="134"/>
      <c r="AC2632" s="134"/>
      <c r="AD2632" s="134"/>
    </row>
    <row r="2633">
      <c r="A2633" s="143"/>
      <c r="B2633" s="134"/>
      <c r="C2633" s="134"/>
      <c r="D2633" s="134"/>
      <c r="E2633" s="134"/>
      <c r="F2633" s="134"/>
      <c r="G2633" s="134"/>
      <c r="H2633" s="134"/>
      <c r="J2633" s="134"/>
      <c r="K2633" s="135"/>
      <c r="L2633" s="136"/>
      <c r="M2633" s="144"/>
      <c r="T2633" s="52"/>
      <c r="V2633" s="134"/>
      <c r="W2633" s="134"/>
      <c r="X2633" s="134"/>
      <c r="Y2633" s="134"/>
      <c r="Z2633" s="134"/>
      <c r="AA2633" s="134"/>
      <c r="AB2633" s="134"/>
      <c r="AC2633" s="134"/>
      <c r="AD2633" s="134"/>
    </row>
    <row r="2634">
      <c r="A2634" s="143"/>
      <c r="B2634" s="134"/>
      <c r="C2634" s="134"/>
      <c r="D2634" s="134"/>
      <c r="E2634" s="134"/>
      <c r="F2634" s="134"/>
      <c r="G2634" s="134"/>
      <c r="H2634" s="134"/>
      <c r="J2634" s="134"/>
      <c r="K2634" s="135"/>
      <c r="L2634" s="136"/>
      <c r="M2634" s="144"/>
      <c r="T2634" s="52"/>
      <c r="V2634" s="134"/>
      <c r="W2634" s="134"/>
      <c r="X2634" s="134"/>
      <c r="Y2634" s="134"/>
      <c r="Z2634" s="134"/>
      <c r="AA2634" s="134"/>
      <c r="AB2634" s="134"/>
      <c r="AC2634" s="134"/>
      <c r="AD2634" s="134"/>
    </row>
    <row r="2635">
      <c r="A2635" s="143"/>
      <c r="B2635" s="134"/>
      <c r="C2635" s="134"/>
      <c r="D2635" s="134"/>
      <c r="E2635" s="134"/>
      <c r="F2635" s="134"/>
      <c r="G2635" s="134"/>
      <c r="H2635" s="134"/>
      <c r="J2635" s="134"/>
      <c r="K2635" s="135"/>
      <c r="L2635" s="136"/>
      <c r="M2635" s="144"/>
      <c r="T2635" s="52"/>
      <c r="V2635" s="134"/>
      <c r="W2635" s="134"/>
      <c r="X2635" s="134"/>
      <c r="Y2635" s="134"/>
      <c r="Z2635" s="134"/>
      <c r="AA2635" s="134"/>
      <c r="AB2635" s="134"/>
      <c r="AC2635" s="134"/>
      <c r="AD2635" s="134"/>
    </row>
    <row r="2636">
      <c r="A2636" s="143"/>
      <c r="B2636" s="134"/>
      <c r="C2636" s="134"/>
      <c r="D2636" s="134"/>
      <c r="E2636" s="134"/>
      <c r="F2636" s="134"/>
      <c r="G2636" s="134"/>
      <c r="H2636" s="134"/>
      <c r="J2636" s="134"/>
      <c r="K2636" s="135"/>
      <c r="L2636" s="136"/>
      <c r="M2636" s="144"/>
      <c r="T2636" s="52"/>
      <c r="V2636" s="134"/>
      <c r="W2636" s="134"/>
      <c r="X2636" s="134"/>
      <c r="Y2636" s="134"/>
      <c r="Z2636" s="134"/>
      <c r="AA2636" s="134"/>
      <c r="AB2636" s="134"/>
      <c r="AC2636" s="134"/>
      <c r="AD2636" s="134"/>
    </row>
    <row r="2637">
      <c r="A2637" s="143"/>
      <c r="B2637" s="134"/>
      <c r="C2637" s="134"/>
      <c r="D2637" s="134"/>
      <c r="E2637" s="134"/>
      <c r="F2637" s="134"/>
      <c r="G2637" s="134"/>
      <c r="H2637" s="134"/>
      <c r="J2637" s="134"/>
      <c r="K2637" s="135"/>
      <c r="L2637" s="136"/>
      <c r="M2637" s="144"/>
      <c r="T2637" s="52"/>
      <c r="V2637" s="134"/>
      <c r="W2637" s="134"/>
      <c r="X2637" s="134"/>
      <c r="Y2637" s="134"/>
      <c r="Z2637" s="134"/>
      <c r="AA2637" s="134"/>
      <c r="AB2637" s="134"/>
      <c r="AC2637" s="134"/>
      <c r="AD2637" s="134"/>
    </row>
    <row r="2638">
      <c r="A2638" s="143"/>
      <c r="B2638" s="134"/>
      <c r="C2638" s="134"/>
      <c r="D2638" s="134"/>
      <c r="E2638" s="134"/>
      <c r="F2638" s="134"/>
      <c r="G2638" s="134"/>
      <c r="H2638" s="134"/>
      <c r="J2638" s="134"/>
      <c r="K2638" s="135"/>
      <c r="L2638" s="136"/>
      <c r="M2638" s="144"/>
      <c r="T2638" s="52"/>
      <c r="V2638" s="134"/>
      <c r="W2638" s="134"/>
      <c r="X2638" s="134"/>
      <c r="Y2638" s="134"/>
      <c r="Z2638" s="134"/>
      <c r="AA2638" s="134"/>
      <c r="AB2638" s="134"/>
      <c r="AC2638" s="134"/>
      <c r="AD2638" s="134"/>
    </row>
    <row r="2639">
      <c r="A2639" s="143"/>
      <c r="B2639" s="134"/>
      <c r="C2639" s="134"/>
      <c r="D2639" s="134"/>
      <c r="E2639" s="134"/>
      <c r="F2639" s="134"/>
      <c r="G2639" s="134"/>
      <c r="H2639" s="134"/>
      <c r="J2639" s="134"/>
      <c r="K2639" s="135"/>
      <c r="L2639" s="136"/>
      <c r="M2639" s="144"/>
      <c r="T2639" s="52"/>
      <c r="V2639" s="134"/>
      <c r="W2639" s="134"/>
      <c r="X2639" s="134"/>
      <c r="Y2639" s="134"/>
      <c r="Z2639" s="134"/>
      <c r="AA2639" s="134"/>
      <c r="AB2639" s="134"/>
      <c r="AC2639" s="134"/>
      <c r="AD2639" s="134"/>
    </row>
    <row r="2640">
      <c r="A2640" s="143"/>
      <c r="B2640" s="134"/>
      <c r="C2640" s="134"/>
      <c r="D2640" s="134"/>
      <c r="E2640" s="134"/>
      <c r="F2640" s="134"/>
      <c r="G2640" s="134"/>
      <c r="H2640" s="134"/>
      <c r="J2640" s="134"/>
      <c r="K2640" s="135"/>
      <c r="L2640" s="136"/>
      <c r="M2640" s="144"/>
      <c r="T2640" s="52"/>
      <c r="V2640" s="134"/>
      <c r="W2640" s="134"/>
      <c r="X2640" s="134"/>
      <c r="Y2640" s="134"/>
      <c r="Z2640" s="134"/>
      <c r="AA2640" s="134"/>
      <c r="AB2640" s="134"/>
      <c r="AC2640" s="134"/>
      <c r="AD2640" s="134"/>
    </row>
    <row r="2641">
      <c r="A2641" s="143"/>
      <c r="B2641" s="134"/>
      <c r="C2641" s="134"/>
      <c r="D2641" s="134"/>
      <c r="E2641" s="134"/>
      <c r="F2641" s="134"/>
      <c r="G2641" s="134"/>
      <c r="H2641" s="134"/>
      <c r="J2641" s="134"/>
      <c r="K2641" s="135"/>
      <c r="L2641" s="136"/>
      <c r="M2641" s="144"/>
      <c r="T2641" s="52"/>
      <c r="V2641" s="134"/>
      <c r="W2641" s="134"/>
      <c r="X2641" s="134"/>
      <c r="Y2641" s="134"/>
      <c r="Z2641" s="134"/>
      <c r="AA2641" s="134"/>
      <c r="AB2641" s="134"/>
      <c r="AC2641" s="134"/>
      <c r="AD2641" s="134"/>
    </row>
    <row r="2642">
      <c r="A2642" s="143"/>
      <c r="B2642" s="134"/>
      <c r="C2642" s="134"/>
      <c r="D2642" s="134"/>
      <c r="E2642" s="134"/>
      <c r="F2642" s="134"/>
      <c r="G2642" s="134"/>
      <c r="H2642" s="134"/>
      <c r="J2642" s="134"/>
      <c r="K2642" s="135"/>
      <c r="L2642" s="136"/>
      <c r="M2642" s="144"/>
      <c r="T2642" s="52"/>
      <c r="V2642" s="134"/>
      <c r="W2642" s="134"/>
      <c r="X2642" s="134"/>
      <c r="Y2642" s="134"/>
      <c r="Z2642" s="134"/>
      <c r="AA2642" s="134"/>
      <c r="AB2642" s="134"/>
      <c r="AC2642" s="134"/>
      <c r="AD2642" s="134"/>
    </row>
    <row r="2643">
      <c r="A2643" s="143"/>
      <c r="B2643" s="134"/>
      <c r="C2643" s="134"/>
      <c r="D2643" s="134"/>
      <c r="E2643" s="134"/>
      <c r="F2643" s="134"/>
      <c r="G2643" s="134"/>
      <c r="H2643" s="134"/>
      <c r="J2643" s="134"/>
      <c r="K2643" s="135"/>
      <c r="L2643" s="136"/>
      <c r="M2643" s="144"/>
      <c r="T2643" s="52"/>
      <c r="V2643" s="134"/>
      <c r="W2643" s="134"/>
      <c r="X2643" s="134"/>
      <c r="Y2643" s="134"/>
      <c r="Z2643" s="134"/>
      <c r="AA2643" s="134"/>
      <c r="AB2643" s="134"/>
      <c r="AC2643" s="134"/>
      <c r="AD2643" s="134"/>
    </row>
    <row r="2644">
      <c r="A2644" s="143"/>
      <c r="B2644" s="134"/>
      <c r="C2644" s="134"/>
      <c r="D2644" s="134"/>
      <c r="E2644" s="134"/>
      <c r="F2644" s="134"/>
      <c r="G2644" s="134"/>
      <c r="H2644" s="134"/>
      <c r="J2644" s="134"/>
      <c r="K2644" s="135"/>
      <c r="L2644" s="136"/>
      <c r="M2644" s="144"/>
      <c r="T2644" s="52"/>
      <c r="V2644" s="134"/>
      <c r="W2644" s="134"/>
      <c r="X2644" s="134"/>
      <c r="Y2644" s="134"/>
      <c r="Z2644" s="134"/>
      <c r="AA2644" s="134"/>
      <c r="AB2644" s="134"/>
      <c r="AC2644" s="134"/>
      <c r="AD2644" s="134"/>
    </row>
    <row r="2645">
      <c r="A2645" s="143"/>
      <c r="B2645" s="134"/>
      <c r="C2645" s="134"/>
      <c r="D2645" s="134"/>
      <c r="E2645" s="134"/>
      <c r="F2645" s="134"/>
      <c r="G2645" s="134"/>
      <c r="H2645" s="134"/>
      <c r="J2645" s="134"/>
      <c r="K2645" s="135"/>
      <c r="L2645" s="136"/>
      <c r="M2645" s="144"/>
      <c r="T2645" s="52"/>
      <c r="V2645" s="134"/>
      <c r="W2645" s="134"/>
      <c r="X2645" s="134"/>
      <c r="Y2645" s="134"/>
      <c r="Z2645" s="134"/>
      <c r="AA2645" s="134"/>
      <c r="AB2645" s="134"/>
      <c r="AC2645" s="134"/>
      <c r="AD2645" s="134"/>
    </row>
    <row r="2646">
      <c r="A2646" s="143"/>
      <c r="B2646" s="134"/>
      <c r="C2646" s="134"/>
      <c r="D2646" s="134"/>
      <c r="E2646" s="134"/>
      <c r="F2646" s="134"/>
      <c r="G2646" s="134"/>
      <c r="H2646" s="134"/>
      <c r="J2646" s="134"/>
      <c r="K2646" s="135"/>
      <c r="L2646" s="136"/>
      <c r="M2646" s="144"/>
      <c r="T2646" s="52"/>
      <c r="V2646" s="134"/>
      <c r="W2646" s="134"/>
      <c r="X2646" s="134"/>
      <c r="Y2646" s="134"/>
      <c r="Z2646" s="134"/>
      <c r="AA2646" s="134"/>
      <c r="AB2646" s="134"/>
      <c r="AC2646" s="134"/>
      <c r="AD2646" s="134"/>
    </row>
    <row r="2647">
      <c r="A2647" s="143"/>
      <c r="B2647" s="134"/>
      <c r="C2647" s="134"/>
      <c r="D2647" s="134"/>
      <c r="E2647" s="134"/>
      <c r="F2647" s="134"/>
      <c r="G2647" s="134"/>
      <c r="H2647" s="134"/>
      <c r="J2647" s="134"/>
      <c r="K2647" s="135"/>
      <c r="L2647" s="136"/>
      <c r="M2647" s="144"/>
      <c r="T2647" s="52"/>
      <c r="V2647" s="134"/>
      <c r="W2647" s="134"/>
      <c r="X2647" s="134"/>
      <c r="Y2647" s="134"/>
      <c r="Z2647" s="134"/>
      <c r="AA2647" s="134"/>
      <c r="AB2647" s="134"/>
      <c r="AC2647" s="134"/>
      <c r="AD2647" s="134"/>
    </row>
    <row r="2648">
      <c r="A2648" s="143"/>
      <c r="B2648" s="134"/>
      <c r="C2648" s="134"/>
      <c r="D2648" s="134"/>
      <c r="E2648" s="134"/>
      <c r="F2648" s="134"/>
      <c r="G2648" s="134"/>
      <c r="H2648" s="134"/>
      <c r="J2648" s="134"/>
      <c r="K2648" s="135"/>
      <c r="L2648" s="136"/>
      <c r="M2648" s="144"/>
      <c r="T2648" s="52"/>
      <c r="V2648" s="134"/>
      <c r="W2648" s="134"/>
      <c r="X2648" s="134"/>
      <c r="Y2648" s="134"/>
      <c r="Z2648" s="134"/>
      <c r="AA2648" s="134"/>
      <c r="AB2648" s="134"/>
      <c r="AC2648" s="134"/>
      <c r="AD2648" s="134"/>
    </row>
    <row r="2649">
      <c r="A2649" s="143"/>
      <c r="B2649" s="134"/>
      <c r="C2649" s="134"/>
      <c r="D2649" s="134"/>
      <c r="E2649" s="134"/>
      <c r="F2649" s="134"/>
      <c r="G2649" s="134"/>
      <c r="H2649" s="134"/>
      <c r="J2649" s="134"/>
      <c r="K2649" s="135"/>
      <c r="L2649" s="136"/>
      <c r="M2649" s="144"/>
      <c r="T2649" s="52"/>
      <c r="V2649" s="134"/>
      <c r="W2649" s="134"/>
      <c r="X2649" s="134"/>
      <c r="Y2649" s="134"/>
      <c r="Z2649" s="134"/>
      <c r="AA2649" s="134"/>
      <c r="AB2649" s="134"/>
      <c r="AC2649" s="134"/>
      <c r="AD2649" s="134"/>
    </row>
    <row r="2650">
      <c r="A2650" s="143"/>
      <c r="B2650" s="134"/>
      <c r="C2650" s="134"/>
      <c r="D2650" s="134"/>
      <c r="E2650" s="134"/>
      <c r="F2650" s="134"/>
      <c r="G2650" s="134"/>
      <c r="H2650" s="134"/>
      <c r="J2650" s="134"/>
      <c r="K2650" s="135"/>
      <c r="L2650" s="136"/>
      <c r="M2650" s="144"/>
      <c r="T2650" s="52"/>
      <c r="V2650" s="134"/>
      <c r="W2650" s="134"/>
      <c r="X2650" s="134"/>
      <c r="Y2650" s="134"/>
      <c r="Z2650" s="134"/>
      <c r="AA2650" s="134"/>
      <c r="AB2650" s="134"/>
      <c r="AC2650" s="134"/>
      <c r="AD2650" s="134"/>
    </row>
    <row r="2651">
      <c r="A2651" s="143"/>
      <c r="B2651" s="134"/>
      <c r="C2651" s="134"/>
      <c r="D2651" s="134"/>
      <c r="E2651" s="134"/>
      <c r="F2651" s="134"/>
      <c r="G2651" s="134"/>
      <c r="H2651" s="134"/>
      <c r="J2651" s="134"/>
      <c r="K2651" s="135"/>
      <c r="L2651" s="136"/>
      <c r="M2651" s="144"/>
      <c r="T2651" s="52"/>
      <c r="V2651" s="134"/>
      <c r="W2651" s="134"/>
      <c r="X2651" s="134"/>
      <c r="Y2651" s="134"/>
      <c r="Z2651" s="134"/>
      <c r="AA2651" s="134"/>
      <c r="AB2651" s="134"/>
      <c r="AC2651" s="134"/>
      <c r="AD2651" s="134"/>
    </row>
    <row r="2652">
      <c r="A2652" s="143"/>
      <c r="B2652" s="134"/>
      <c r="C2652" s="134"/>
      <c r="D2652" s="134"/>
      <c r="E2652" s="134"/>
      <c r="F2652" s="134"/>
      <c r="G2652" s="134"/>
      <c r="H2652" s="134"/>
      <c r="J2652" s="134"/>
      <c r="K2652" s="135"/>
      <c r="L2652" s="136"/>
      <c r="M2652" s="144"/>
      <c r="T2652" s="52"/>
      <c r="V2652" s="134"/>
      <c r="W2652" s="134"/>
      <c r="X2652" s="134"/>
      <c r="Y2652" s="134"/>
      <c r="Z2652" s="134"/>
      <c r="AA2652" s="134"/>
      <c r="AB2652" s="134"/>
      <c r="AC2652" s="134"/>
      <c r="AD2652" s="134"/>
    </row>
    <row r="2653">
      <c r="A2653" s="143"/>
      <c r="B2653" s="134"/>
      <c r="C2653" s="134"/>
      <c r="D2653" s="134"/>
      <c r="E2653" s="134"/>
      <c r="F2653" s="134"/>
      <c r="G2653" s="134"/>
      <c r="H2653" s="134"/>
      <c r="J2653" s="134"/>
      <c r="K2653" s="135"/>
      <c r="L2653" s="136"/>
      <c r="M2653" s="144"/>
      <c r="T2653" s="52"/>
      <c r="V2653" s="134"/>
      <c r="W2653" s="134"/>
      <c r="X2653" s="134"/>
      <c r="Y2653" s="134"/>
      <c r="Z2653" s="134"/>
      <c r="AA2653" s="134"/>
      <c r="AB2653" s="134"/>
      <c r="AC2653" s="134"/>
      <c r="AD2653" s="134"/>
    </row>
    <row r="2654">
      <c r="A2654" s="143"/>
      <c r="B2654" s="134"/>
      <c r="C2654" s="134"/>
      <c r="D2654" s="134"/>
      <c r="E2654" s="134"/>
      <c r="F2654" s="134"/>
      <c r="G2654" s="134"/>
      <c r="H2654" s="134"/>
      <c r="J2654" s="134"/>
      <c r="K2654" s="135"/>
      <c r="L2654" s="136"/>
      <c r="M2654" s="144"/>
      <c r="T2654" s="52"/>
      <c r="V2654" s="134"/>
      <c r="W2654" s="134"/>
      <c r="X2654" s="134"/>
      <c r="Y2654" s="134"/>
      <c r="Z2654" s="134"/>
      <c r="AA2654" s="134"/>
      <c r="AB2654" s="134"/>
      <c r="AC2654" s="134"/>
      <c r="AD2654" s="134"/>
    </row>
    <row r="2655">
      <c r="A2655" s="143"/>
      <c r="B2655" s="134"/>
      <c r="C2655" s="134"/>
      <c r="D2655" s="134"/>
      <c r="E2655" s="134"/>
      <c r="F2655" s="134"/>
      <c r="G2655" s="134"/>
      <c r="H2655" s="134"/>
      <c r="J2655" s="134"/>
      <c r="K2655" s="135"/>
      <c r="L2655" s="136"/>
      <c r="M2655" s="144"/>
      <c r="T2655" s="52"/>
      <c r="V2655" s="134"/>
      <c r="W2655" s="134"/>
      <c r="X2655" s="134"/>
      <c r="Y2655" s="134"/>
      <c r="Z2655" s="134"/>
      <c r="AA2655" s="134"/>
      <c r="AB2655" s="134"/>
      <c r="AC2655" s="134"/>
      <c r="AD2655" s="134"/>
    </row>
    <row r="2656">
      <c r="A2656" s="143"/>
      <c r="B2656" s="134"/>
      <c r="C2656" s="134"/>
      <c r="D2656" s="134"/>
      <c r="E2656" s="134"/>
      <c r="F2656" s="134"/>
      <c r="G2656" s="134"/>
      <c r="H2656" s="134"/>
      <c r="J2656" s="134"/>
      <c r="K2656" s="135"/>
      <c r="L2656" s="136"/>
      <c r="M2656" s="144"/>
      <c r="T2656" s="52"/>
      <c r="V2656" s="134"/>
      <c r="W2656" s="134"/>
      <c r="X2656" s="134"/>
      <c r="Y2656" s="134"/>
      <c r="Z2656" s="134"/>
      <c r="AA2656" s="134"/>
      <c r="AB2656" s="134"/>
      <c r="AC2656" s="134"/>
      <c r="AD2656" s="134"/>
    </row>
    <row r="2657">
      <c r="A2657" s="143"/>
      <c r="B2657" s="134"/>
      <c r="C2657" s="134"/>
      <c r="D2657" s="134"/>
      <c r="E2657" s="134"/>
      <c r="F2657" s="134"/>
      <c r="G2657" s="134"/>
      <c r="H2657" s="134"/>
      <c r="J2657" s="134"/>
      <c r="K2657" s="135"/>
      <c r="L2657" s="136"/>
      <c r="M2657" s="144"/>
      <c r="T2657" s="52"/>
      <c r="V2657" s="134"/>
      <c r="W2657" s="134"/>
      <c r="X2657" s="134"/>
      <c r="Y2657" s="134"/>
      <c r="Z2657" s="134"/>
      <c r="AA2657" s="134"/>
      <c r="AB2657" s="134"/>
      <c r="AC2657" s="134"/>
      <c r="AD2657" s="134"/>
    </row>
    <row r="2658">
      <c r="A2658" s="143"/>
      <c r="B2658" s="134"/>
      <c r="C2658" s="134"/>
      <c r="D2658" s="134"/>
      <c r="E2658" s="134"/>
      <c r="F2658" s="134"/>
      <c r="G2658" s="134"/>
      <c r="H2658" s="134"/>
      <c r="J2658" s="134"/>
      <c r="K2658" s="135"/>
      <c r="L2658" s="136"/>
      <c r="M2658" s="144"/>
      <c r="T2658" s="52"/>
      <c r="V2658" s="134"/>
      <c r="W2658" s="134"/>
      <c r="X2658" s="134"/>
      <c r="Y2658" s="134"/>
      <c r="Z2658" s="134"/>
      <c r="AA2658" s="134"/>
      <c r="AB2658" s="134"/>
      <c r="AC2658" s="134"/>
      <c r="AD2658" s="134"/>
    </row>
    <row r="2659">
      <c r="A2659" s="143"/>
      <c r="B2659" s="134"/>
      <c r="C2659" s="134"/>
      <c r="D2659" s="134"/>
      <c r="E2659" s="134"/>
      <c r="F2659" s="134"/>
      <c r="G2659" s="134"/>
      <c r="H2659" s="134"/>
      <c r="J2659" s="134"/>
      <c r="K2659" s="135"/>
      <c r="L2659" s="136"/>
      <c r="M2659" s="144"/>
      <c r="T2659" s="52"/>
      <c r="V2659" s="134"/>
      <c r="W2659" s="134"/>
      <c r="X2659" s="134"/>
      <c r="Y2659" s="134"/>
      <c r="Z2659" s="134"/>
      <c r="AA2659" s="134"/>
      <c r="AB2659" s="134"/>
      <c r="AC2659" s="134"/>
      <c r="AD2659" s="134"/>
    </row>
    <row r="2660">
      <c r="A2660" s="143"/>
      <c r="B2660" s="134"/>
      <c r="C2660" s="134"/>
      <c r="D2660" s="134"/>
      <c r="E2660" s="134"/>
      <c r="F2660" s="134"/>
      <c r="G2660" s="134"/>
      <c r="H2660" s="134"/>
      <c r="J2660" s="134"/>
      <c r="K2660" s="135"/>
      <c r="L2660" s="136"/>
      <c r="M2660" s="144"/>
      <c r="T2660" s="52"/>
      <c r="V2660" s="134"/>
      <c r="W2660" s="134"/>
      <c r="X2660" s="134"/>
      <c r="Y2660" s="134"/>
      <c r="Z2660" s="134"/>
      <c r="AA2660" s="134"/>
      <c r="AB2660" s="134"/>
      <c r="AC2660" s="134"/>
      <c r="AD2660" s="134"/>
    </row>
    <row r="2661">
      <c r="A2661" s="143"/>
      <c r="B2661" s="134"/>
      <c r="C2661" s="134"/>
      <c r="D2661" s="134"/>
      <c r="E2661" s="134"/>
      <c r="F2661" s="134"/>
      <c r="G2661" s="134"/>
      <c r="H2661" s="134"/>
      <c r="J2661" s="134"/>
      <c r="K2661" s="135"/>
      <c r="L2661" s="136"/>
      <c r="M2661" s="144"/>
      <c r="T2661" s="52"/>
      <c r="V2661" s="134"/>
      <c r="W2661" s="134"/>
      <c r="X2661" s="134"/>
      <c r="Y2661" s="134"/>
      <c r="Z2661" s="134"/>
      <c r="AA2661" s="134"/>
      <c r="AB2661" s="134"/>
      <c r="AC2661" s="134"/>
      <c r="AD2661" s="134"/>
    </row>
    <row r="2662">
      <c r="A2662" s="143"/>
      <c r="B2662" s="134"/>
      <c r="C2662" s="134"/>
      <c r="D2662" s="134"/>
      <c r="E2662" s="134"/>
      <c r="F2662" s="134"/>
      <c r="G2662" s="134"/>
      <c r="H2662" s="134"/>
      <c r="J2662" s="134"/>
      <c r="K2662" s="135"/>
      <c r="L2662" s="136"/>
      <c r="M2662" s="144"/>
      <c r="T2662" s="52"/>
      <c r="V2662" s="134"/>
      <c r="W2662" s="134"/>
      <c r="X2662" s="134"/>
      <c r="Y2662" s="134"/>
      <c r="Z2662" s="134"/>
      <c r="AA2662" s="134"/>
      <c r="AB2662" s="134"/>
      <c r="AC2662" s="134"/>
      <c r="AD2662" s="134"/>
    </row>
    <row r="2663">
      <c r="A2663" s="143"/>
      <c r="B2663" s="134"/>
      <c r="C2663" s="134"/>
      <c r="D2663" s="134"/>
      <c r="E2663" s="134"/>
      <c r="F2663" s="134"/>
      <c r="G2663" s="134"/>
      <c r="H2663" s="134"/>
      <c r="J2663" s="134"/>
      <c r="K2663" s="135"/>
      <c r="L2663" s="136"/>
      <c r="M2663" s="144"/>
      <c r="T2663" s="52"/>
      <c r="V2663" s="134"/>
      <c r="W2663" s="134"/>
      <c r="X2663" s="134"/>
      <c r="Y2663" s="134"/>
      <c r="Z2663" s="134"/>
      <c r="AA2663" s="134"/>
      <c r="AB2663" s="134"/>
      <c r="AC2663" s="134"/>
      <c r="AD2663" s="134"/>
    </row>
    <row r="2664">
      <c r="A2664" s="143"/>
      <c r="B2664" s="134"/>
      <c r="C2664" s="134"/>
      <c r="D2664" s="134"/>
      <c r="E2664" s="134"/>
      <c r="F2664" s="134"/>
      <c r="G2664" s="134"/>
      <c r="H2664" s="134"/>
      <c r="J2664" s="134"/>
      <c r="K2664" s="135"/>
      <c r="L2664" s="136"/>
      <c r="M2664" s="144"/>
      <c r="T2664" s="52"/>
      <c r="V2664" s="134"/>
      <c r="W2664" s="134"/>
      <c r="X2664" s="134"/>
      <c r="Y2664" s="134"/>
      <c r="Z2664" s="134"/>
      <c r="AA2664" s="134"/>
      <c r="AB2664" s="134"/>
      <c r="AC2664" s="134"/>
      <c r="AD2664" s="134"/>
    </row>
    <row r="2665">
      <c r="A2665" s="143"/>
      <c r="B2665" s="134"/>
      <c r="C2665" s="134"/>
      <c r="D2665" s="134"/>
      <c r="E2665" s="134"/>
      <c r="F2665" s="134"/>
      <c r="G2665" s="134"/>
      <c r="H2665" s="134"/>
      <c r="J2665" s="134"/>
      <c r="K2665" s="135"/>
      <c r="L2665" s="136"/>
      <c r="M2665" s="144"/>
      <c r="T2665" s="52"/>
      <c r="V2665" s="134"/>
      <c r="W2665" s="134"/>
      <c r="X2665" s="134"/>
      <c r="Y2665" s="134"/>
      <c r="Z2665" s="134"/>
      <c r="AA2665" s="134"/>
      <c r="AB2665" s="134"/>
      <c r="AC2665" s="134"/>
      <c r="AD2665" s="134"/>
    </row>
    <row r="2666">
      <c r="A2666" s="143"/>
      <c r="B2666" s="134"/>
      <c r="C2666" s="134"/>
      <c r="D2666" s="134"/>
      <c r="E2666" s="134"/>
      <c r="F2666" s="134"/>
      <c r="G2666" s="134"/>
      <c r="H2666" s="134"/>
      <c r="J2666" s="134"/>
      <c r="K2666" s="135"/>
      <c r="L2666" s="136"/>
      <c r="M2666" s="144"/>
      <c r="T2666" s="52"/>
      <c r="V2666" s="134"/>
      <c r="W2666" s="134"/>
      <c r="X2666" s="134"/>
      <c r="Y2666" s="134"/>
      <c r="Z2666" s="134"/>
      <c r="AA2666" s="134"/>
      <c r="AB2666" s="134"/>
      <c r="AC2666" s="134"/>
      <c r="AD2666" s="134"/>
    </row>
    <row r="2667">
      <c r="A2667" s="143"/>
      <c r="B2667" s="134"/>
      <c r="C2667" s="134"/>
      <c r="D2667" s="134"/>
      <c r="E2667" s="134"/>
      <c r="F2667" s="134"/>
      <c r="G2667" s="134"/>
      <c r="H2667" s="134"/>
      <c r="J2667" s="134"/>
      <c r="K2667" s="135"/>
      <c r="L2667" s="136"/>
      <c r="M2667" s="144"/>
      <c r="T2667" s="52"/>
      <c r="V2667" s="134"/>
      <c r="W2667" s="134"/>
      <c r="X2667" s="134"/>
      <c r="Y2667" s="134"/>
      <c r="Z2667" s="134"/>
      <c r="AA2667" s="134"/>
      <c r="AB2667" s="134"/>
      <c r="AC2667" s="134"/>
      <c r="AD2667" s="134"/>
    </row>
    <row r="2668">
      <c r="A2668" s="143"/>
      <c r="B2668" s="134"/>
      <c r="C2668" s="134"/>
      <c r="D2668" s="134"/>
      <c r="E2668" s="134"/>
      <c r="F2668" s="134"/>
      <c r="G2668" s="134"/>
      <c r="H2668" s="134"/>
      <c r="J2668" s="134"/>
      <c r="K2668" s="135"/>
      <c r="L2668" s="136"/>
      <c r="M2668" s="144"/>
      <c r="T2668" s="52"/>
      <c r="V2668" s="134"/>
      <c r="W2668" s="134"/>
      <c r="X2668" s="134"/>
      <c r="Y2668" s="134"/>
      <c r="Z2668" s="134"/>
      <c r="AA2668" s="134"/>
      <c r="AB2668" s="134"/>
      <c r="AC2668" s="134"/>
      <c r="AD2668" s="134"/>
    </row>
    <row r="2669">
      <c r="A2669" s="143"/>
      <c r="B2669" s="134"/>
      <c r="C2669" s="134"/>
      <c r="D2669" s="134"/>
      <c r="E2669" s="134"/>
      <c r="F2669" s="134"/>
      <c r="G2669" s="134"/>
      <c r="H2669" s="134"/>
      <c r="J2669" s="134"/>
      <c r="K2669" s="135"/>
      <c r="L2669" s="136"/>
      <c r="M2669" s="144"/>
      <c r="T2669" s="52"/>
      <c r="V2669" s="134"/>
      <c r="W2669" s="134"/>
      <c r="X2669" s="134"/>
      <c r="Y2669" s="134"/>
      <c r="Z2669" s="134"/>
      <c r="AA2669" s="134"/>
      <c r="AB2669" s="134"/>
      <c r="AC2669" s="134"/>
      <c r="AD2669" s="134"/>
    </row>
    <row r="2670">
      <c r="A2670" s="143"/>
      <c r="B2670" s="134"/>
      <c r="C2670" s="134"/>
      <c r="D2670" s="134"/>
      <c r="E2670" s="134"/>
      <c r="F2670" s="134"/>
      <c r="G2670" s="134"/>
      <c r="H2670" s="134"/>
      <c r="J2670" s="134"/>
      <c r="K2670" s="135"/>
      <c r="L2670" s="136"/>
      <c r="M2670" s="144"/>
      <c r="T2670" s="52"/>
      <c r="V2670" s="134"/>
      <c r="W2670" s="134"/>
      <c r="X2670" s="134"/>
      <c r="Y2670" s="134"/>
      <c r="Z2670" s="134"/>
      <c r="AA2670" s="134"/>
      <c r="AB2670" s="134"/>
      <c r="AC2670" s="134"/>
      <c r="AD2670" s="134"/>
    </row>
    <row r="2671">
      <c r="A2671" s="143"/>
      <c r="B2671" s="134"/>
      <c r="C2671" s="134"/>
      <c r="D2671" s="134"/>
      <c r="E2671" s="134"/>
      <c r="F2671" s="134"/>
      <c r="G2671" s="134"/>
      <c r="H2671" s="134"/>
      <c r="J2671" s="134"/>
      <c r="K2671" s="135"/>
      <c r="L2671" s="136"/>
      <c r="M2671" s="144"/>
      <c r="T2671" s="52"/>
      <c r="V2671" s="134"/>
      <c r="W2671" s="134"/>
      <c r="X2671" s="134"/>
      <c r="Y2671" s="134"/>
      <c r="Z2671" s="134"/>
      <c r="AA2671" s="134"/>
      <c r="AB2671" s="134"/>
      <c r="AC2671" s="134"/>
      <c r="AD2671" s="134"/>
    </row>
    <row r="2672">
      <c r="A2672" s="143"/>
      <c r="B2672" s="134"/>
      <c r="C2672" s="134"/>
      <c r="D2672" s="134"/>
      <c r="E2672" s="134"/>
      <c r="F2672" s="134"/>
      <c r="G2672" s="134"/>
      <c r="H2672" s="134"/>
      <c r="J2672" s="134"/>
      <c r="K2672" s="135"/>
      <c r="L2672" s="136"/>
      <c r="M2672" s="144"/>
      <c r="T2672" s="52"/>
      <c r="V2672" s="134"/>
      <c r="W2672" s="134"/>
      <c r="X2672" s="134"/>
      <c r="Y2672" s="134"/>
      <c r="Z2672" s="134"/>
      <c r="AA2672" s="134"/>
      <c r="AB2672" s="134"/>
      <c r="AC2672" s="134"/>
      <c r="AD2672" s="134"/>
    </row>
    <row r="2673">
      <c r="A2673" s="143"/>
      <c r="B2673" s="134"/>
      <c r="C2673" s="134"/>
      <c r="D2673" s="134"/>
      <c r="E2673" s="134"/>
      <c r="F2673" s="134"/>
      <c r="G2673" s="134"/>
      <c r="H2673" s="134"/>
      <c r="J2673" s="134"/>
      <c r="K2673" s="135"/>
      <c r="L2673" s="136"/>
      <c r="M2673" s="144"/>
      <c r="T2673" s="52"/>
      <c r="V2673" s="134"/>
      <c r="W2673" s="134"/>
      <c r="X2673" s="134"/>
      <c r="Y2673" s="134"/>
      <c r="Z2673" s="134"/>
      <c r="AA2673" s="134"/>
      <c r="AB2673" s="134"/>
      <c r="AC2673" s="134"/>
      <c r="AD2673" s="134"/>
    </row>
    <row r="2674">
      <c r="A2674" s="143"/>
      <c r="B2674" s="134"/>
      <c r="C2674" s="134"/>
      <c r="D2674" s="134"/>
      <c r="E2674" s="134"/>
      <c r="F2674" s="134"/>
      <c r="G2674" s="134"/>
      <c r="H2674" s="134"/>
      <c r="J2674" s="134"/>
      <c r="K2674" s="135"/>
      <c r="L2674" s="136"/>
      <c r="M2674" s="144"/>
      <c r="T2674" s="52"/>
      <c r="V2674" s="134"/>
      <c r="W2674" s="134"/>
      <c r="X2674" s="134"/>
      <c r="Y2674" s="134"/>
      <c r="Z2674" s="134"/>
      <c r="AA2674" s="134"/>
      <c r="AB2674" s="134"/>
      <c r="AC2674" s="134"/>
      <c r="AD2674" s="134"/>
    </row>
    <row r="2675">
      <c r="A2675" s="143"/>
      <c r="B2675" s="134"/>
      <c r="C2675" s="134"/>
      <c r="D2675" s="134"/>
      <c r="E2675" s="134"/>
      <c r="F2675" s="134"/>
      <c r="G2675" s="134"/>
      <c r="H2675" s="134"/>
      <c r="J2675" s="134"/>
      <c r="K2675" s="135"/>
      <c r="L2675" s="136"/>
      <c r="M2675" s="144"/>
      <c r="T2675" s="52"/>
      <c r="V2675" s="134"/>
      <c r="W2675" s="134"/>
      <c r="X2675" s="134"/>
      <c r="Y2675" s="134"/>
      <c r="Z2675" s="134"/>
      <c r="AA2675" s="134"/>
      <c r="AB2675" s="134"/>
      <c r="AC2675" s="134"/>
      <c r="AD2675" s="134"/>
    </row>
    <row r="2676">
      <c r="A2676" s="143"/>
      <c r="B2676" s="134"/>
      <c r="C2676" s="134"/>
      <c r="D2676" s="134"/>
      <c r="E2676" s="134"/>
      <c r="F2676" s="134"/>
      <c r="G2676" s="134"/>
      <c r="H2676" s="134"/>
      <c r="J2676" s="134"/>
      <c r="K2676" s="135"/>
      <c r="L2676" s="136"/>
      <c r="M2676" s="144"/>
      <c r="T2676" s="52"/>
      <c r="V2676" s="134"/>
      <c r="W2676" s="134"/>
      <c r="X2676" s="134"/>
      <c r="Y2676" s="134"/>
      <c r="Z2676" s="134"/>
      <c r="AA2676" s="134"/>
      <c r="AB2676" s="134"/>
      <c r="AC2676" s="134"/>
      <c r="AD2676" s="134"/>
    </row>
    <row r="2677">
      <c r="A2677" s="143"/>
      <c r="B2677" s="134"/>
      <c r="C2677" s="134"/>
      <c r="D2677" s="134"/>
      <c r="E2677" s="134"/>
      <c r="F2677" s="134"/>
      <c r="G2677" s="134"/>
      <c r="H2677" s="134"/>
      <c r="J2677" s="134"/>
      <c r="K2677" s="135"/>
      <c r="L2677" s="136"/>
      <c r="M2677" s="144"/>
      <c r="T2677" s="52"/>
      <c r="V2677" s="134"/>
      <c r="W2677" s="134"/>
      <c r="X2677" s="134"/>
      <c r="Y2677" s="134"/>
      <c r="Z2677" s="134"/>
      <c r="AA2677" s="134"/>
      <c r="AB2677" s="134"/>
      <c r="AC2677" s="134"/>
      <c r="AD2677" s="134"/>
    </row>
    <row r="2678">
      <c r="A2678" s="143"/>
      <c r="B2678" s="134"/>
      <c r="C2678" s="134"/>
      <c r="D2678" s="134"/>
      <c r="E2678" s="134"/>
      <c r="F2678" s="134"/>
      <c r="G2678" s="134"/>
      <c r="H2678" s="134"/>
      <c r="J2678" s="134"/>
      <c r="K2678" s="135"/>
      <c r="L2678" s="136"/>
      <c r="M2678" s="144"/>
      <c r="T2678" s="52"/>
      <c r="V2678" s="134"/>
      <c r="W2678" s="134"/>
      <c r="X2678" s="134"/>
      <c r="Y2678" s="134"/>
      <c r="Z2678" s="134"/>
      <c r="AA2678" s="134"/>
      <c r="AB2678" s="134"/>
      <c r="AC2678" s="134"/>
      <c r="AD2678" s="134"/>
    </row>
    <row r="2679">
      <c r="A2679" s="143"/>
      <c r="B2679" s="134"/>
      <c r="C2679" s="134"/>
      <c r="D2679" s="134"/>
      <c r="E2679" s="134"/>
      <c r="F2679" s="134"/>
      <c r="G2679" s="134"/>
      <c r="H2679" s="134"/>
      <c r="J2679" s="134"/>
      <c r="K2679" s="135"/>
      <c r="L2679" s="136"/>
      <c r="M2679" s="144"/>
      <c r="T2679" s="52"/>
      <c r="V2679" s="134"/>
      <c r="W2679" s="134"/>
      <c r="X2679" s="134"/>
      <c r="Y2679" s="134"/>
      <c r="Z2679" s="134"/>
      <c r="AA2679" s="134"/>
      <c r="AB2679" s="134"/>
      <c r="AC2679" s="134"/>
      <c r="AD2679" s="134"/>
    </row>
    <row r="2680">
      <c r="A2680" s="143"/>
      <c r="B2680" s="134"/>
      <c r="C2680" s="134"/>
      <c r="D2680" s="134"/>
      <c r="E2680" s="134"/>
      <c r="F2680" s="134"/>
      <c r="G2680" s="134"/>
      <c r="H2680" s="134"/>
      <c r="J2680" s="134"/>
      <c r="K2680" s="135"/>
      <c r="L2680" s="136"/>
      <c r="M2680" s="144"/>
      <c r="T2680" s="52"/>
      <c r="V2680" s="134"/>
      <c r="W2680" s="134"/>
      <c r="X2680" s="134"/>
      <c r="Y2680" s="134"/>
      <c r="Z2680" s="134"/>
      <c r="AA2680" s="134"/>
      <c r="AB2680" s="134"/>
      <c r="AC2680" s="134"/>
      <c r="AD2680" s="134"/>
    </row>
    <row r="2681">
      <c r="A2681" s="143"/>
      <c r="B2681" s="134"/>
      <c r="C2681" s="134"/>
      <c r="D2681" s="134"/>
      <c r="E2681" s="134"/>
      <c r="F2681" s="134"/>
      <c r="G2681" s="134"/>
      <c r="H2681" s="134"/>
      <c r="J2681" s="134"/>
      <c r="K2681" s="135"/>
      <c r="L2681" s="136"/>
      <c r="M2681" s="144"/>
      <c r="T2681" s="52"/>
      <c r="V2681" s="134"/>
      <c r="W2681" s="134"/>
      <c r="X2681" s="134"/>
      <c r="Y2681" s="134"/>
      <c r="Z2681" s="134"/>
      <c r="AA2681" s="134"/>
      <c r="AB2681" s="134"/>
      <c r="AC2681" s="134"/>
      <c r="AD2681" s="134"/>
    </row>
    <row r="2682">
      <c r="A2682" s="143"/>
      <c r="B2682" s="134"/>
      <c r="C2682" s="134"/>
      <c r="D2682" s="134"/>
      <c r="E2682" s="134"/>
      <c r="F2682" s="134"/>
      <c r="G2682" s="134"/>
      <c r="H2682" s="134"/>
      <c r="J2682" s="134"/>
      <c r="K2682" s="135"/>
      <c r="L2682" s="136"/>
      <c r="M2682" s="144"/>
      <c r="T2682" s="52"/>
      <c r="V2682" s="134"/>
      <c r="W2682" s="134"/>
      <c r="X2682" s="134"/>
      <c r="Y2682" s="134"/>
      <c r="Z2682" s="134"/>
      <c r="AA2682" s="134"/>
      <c r="AB2682" s="134"/>
      <c r="AC2682" s="134"/>
      <c r="AD2682" s="134"/>
    </row>
    <row r="2683">
      <c r="A2683" s="143"/>
      <c r="B2683" s="134"/>
      <c r="C2683" s="134"/>
      <c r="D2683" s="134"/>
      <c r="E2683" s="134"/>
      <c r="F2683" s="134"/>
      <c r="G2683" s="134"/>
      <c r="H2683" s="134"/>
      <c r="J2683" s="134"/>
      <c r="K2683" s="135"/>
      <c r="L2683" s="136"/>
      <c r="M2683" s="144"/>
      <c r="T2683" s="52"/>
      <c r="V2683" s="134"/>
      <c r="W2683" s="134"/>
      <c r="X2683" s="134"/>
      <c r="Y2683" s="134"/>
      <c r="Z2683" s="134"/>
      <c r="AA2683" s="134"/>
      <c r="AB2683" s="134"/>
      <c r="AC2683" s="134"/>
      <c r="AD2683" s="134"/>
    </row>
    <row r="2684">
      <c r="A2684" s="143"/>
      <c r="B2684" s="134"/>
      <c r="C2684" s="134"/>
      <c r="D2684" s="134"/>
      <c r="E2684" s="134"/>
      <c r="F2684" s="134"/>
      <c r="G2684" s="134"/>
      <c r="H2684" s="134"/>
      <c r="J2684" s="134"/>
      <c r="K2684" s="135"/>
      <c r="L2684" s="136"/>
      <c r="M2684" s="144"/>
      <c r="T2684" s="52"/>
      <c r="V2684" s="134"/>
      <c r="W2684" s="134"/>
      <c r="X2684" s="134"/>
      <c r="Y2684" s="134"/>
      <c r="Z2684" s="134"/>
      <c r="AA2684" s="134"/>
      <c r="AB2684" s="134"/>
      <c r="AC2684" s="134"/>
      <c r="AD2684" s="134"/>
    </row>
    <row r="2685">
      <c r="A2685" s="143"/>
      <c r="B2685" s="134"/>
      <c r="C2685" s="134"/>
      <c r="D2685" s="134"/>
      <c r="E2685" s="134"/>
      <c r="F2685" s="134"/>
      <c r="G2685" s="134"/>
      <c r="H2685" s="134"/>
      <c r="J2685" s="134"/>
      <c r="K2685" s="135"/>
      <c r="L2685" s="136"/>
      <c r="M2685" s="144"/>
      <c r="T2685" s="52"/>
      <c r="V2685" s="134"/>
      <c r="W2685" s="134"/>
      <c r="X2685" s="134"/>
      <c r="Y2685" s="134"/>
      <c r="Z2685" s="134"/>
      <c r="AA2685" s="134"/>
      <c r="AB2685" s="134"/>
      <c r="AC2685" s="134"/>
      <c r="AD2685" s="134"/>
    </row>
    <row r="2686">
      <c r="A2686" s="143"/>
      <c r="B2686" s="134"/>
      <c r="C2686" s="134"/>
      <c r="D2686" s="134"/>
      <c r="E2686" s="134"/>
      <c r="F2686" s="134"/>
      <c r="G2686" s="134"/>
      <c r="H2686" s="134"/>
      <c r="J2686" s="134"/>
      <c r="K2686" s="135"/>
      <c r="L2686" s="136"/>
      <c r="M2686" s="144"/>
      <c r="T2686" s="52"/>
      <c r="V2686" s="134"/>
      <c r="W2686" s="134"/>
      <c r="X2686" s="134"/>
      <c r="Y2686" s="134"/>
      <c r="Z2686" s="134"/>
      <c r="AA2686" s="134"/>
      <c r="AB2686" s="134"/>
      <c r="AC2686" s="134"/>
      <c r="AD2686" s="134"/>
    </row>
    <row r="2687">
      <c r="A2687" s="143"/>
      <c r="B2687" s="134"/>
      <c r="C2687" s="134"/>
      <c r="D2687" s="134"/>
      <c r="E2687" s="134"/>
      <c r="F2687" s="134"/>
      <c r="G2687" s="134"/>
      <c r="H2687" s="134"/>
      <c r="J2687" s="134"/>
      <c r="K2687" s="135"/>
      <c r="L2687" s="136"/>
      <c r="M2687" s="144"/>
      <c r="T2687" s="52"/>
      <c r="V2687" s="134"/>
      <c r="W2687" s="134"/>
      <c r="X2687" s="134"/>
      <c r="Y2687" s="134"/>
      <c r="Z2687" s="134"/>
      <c r="AA2687" s="134"/>
      <c r="AB2687" s="134"/>
      <c r="AC2687" s="134"/>
      <c r="AD2687" s="134"/>
    </row>
    <row r="2688">
      <c r="A2688" s="143"/>
      <c r="B2688" s="134"/>
      <c r="C2688" s="134"/>
      <c r="D2688" s="134"/>
      <c r="E2688" s="134"/>
      <c r="F2688" s="134"/>
      <c r="G2688" s="134"/>
      <c r="H2688" s="134"/>
      <c r="J2688" s="134"/>
      <c r="K2688" s="135"/>
      <c r="L2688" s="136"/>
      <c r="M2688" s="144"/>
      <c r="T2688" s="52"/>
      <c r="V2688" s="134"/>
      <c r="W2688" s="134"/>
      <c r="X2688" s="134"/>
      <c r="Y2688" s="134"/>
      <c r="Z2688" s="134"/>
      <c r="AA2688" s="134"/>
      <c r="AB2688" s="134"/>
      <c r="AC2688" s="134"/>
      <c r="AD2688" s="134"/>
    </row>
    <row r="2689">
      <c r="A2689" s="143"/>
      <c r="B2689" s="134"/>
      <c r="C2689" s="134"/>
      <c r="D2689" s="134"/>
      <c r="E2689" s="134"/>
      <c r="F2689" s="134"/>
      <c r="G2689" s="134"/>
      <c r="H2689" s="134"/>
      <c r="J2689" s="134"/>
      <c r="K2689" s="135"/>
      <c r="L2689" s="136"/>
      <c r="M2689" s="144"/>
      <c r="T2689" s="52"/>
      <c r="V2689" s="134"/>
      <c r="W2689" s="134"/>
      <c r="X2689" s="134"/>
      <c r="Y2689" s="134"/>
      <c r="Z2689" s="134"/>
      <c r="AA2689" s="134"/>
      <c r="AB2689" s="134"/>
      <c r="AC2689" s="134"/>
      <c r="AD2689" s="134"/>
    </row>
    <row r="2690">
      <c r="A2690" s="143"/>
      <c r="B2690" s="134"/>
      <c r="C2690" s="134"/>
      <c r="D2690" s="134"/>
      <c r="E2690" s="134"/>
      <c r="F2690" s="134"/>
      <c r="G2690" s="134"/>
      <c r="H2690" s="134"/>
      <c r="J2690" s="134"/>
      <c r="K2690" s="135"/>
      <c r="L2690" s="136"/>
      <c r="M2690" s="144"/>
      <c r="T2690" s="52"/>
      <c r="V2690" s="134"/>
      <c r="W2690" s="134"/>
      <c r="X2690" s="134"/>
      <c r="Y2690" s="134"/>
      <c r="Z2690" s="134"/>
      <c r="AA2690" s="134"/>
      <c r="AB2690" s="134"/>
      <c r="AC2690" s="134"/>
      <c r="AD2690" s="134"/>
    </row>
    <row r="2691">
      <c r="A2691" s="143"/>
      <c r="B2691" s="134"/>
      <c r="C2691" s="134"/>
      <c r="D2691" s="134"/>
      <c r="E2691" s="134"/>
      <c r="F2691" s="134"/>
      <c r="G2691" s="134"/>
      <c r="H2691" s="134"/>
      <c r="J2691" s="134"/>
      <c r="K2691" s="135"/>
      <c r="L2691" s="136"/>
      <c r="M2691" s="144"/>
      <c r="T2691" s="52"/>
      <c r="V2691" s="134"/>
      <c r="W2691" s="134"/>
      <c r="X2691" s="134"/>
      <c r="Y2691" s="134"/>
      <c r="Z2691" s="134"/>
      <c r="AA2691" s="134"/>
      <c r="AB2691" s="134"/>
      <c r="AC2691" s="134"/>
      <c r="AD2691" s="134"/>
    </row>
    <row r="2692">
      <c r="A2692" s="143"/>
      <c r="B2692" s="134"/>
      <c r="C2692" s="134"/>
      <c r="D2692" s="134"/>
      <c r="E2692" s="134"/>
      <c r="F2692" s="134"/>
      <c r="G2692" s="134"/>
      <c r="H2692" s="134"/>
      <c r="J2692" s="134"/>
      <c r="K2692" s="135"/>
      <c r="L2692" s="136"/>
      <c r="M2692" s="144"/>
      <c r="T2692" s="52"/>
      <c r="V2692" s="134"/>
      <c r="W2692" s="134"/>
      <c r="X2692" s="134"/>
      <c r="Y2692" s="134"/>
      <c r="Z2692" s="134"/>
      <c r="AA2692" s="134"/>
      <c r="AB2692" s="134"/>
      <c r="AC2692" s="134"/>
      <c r="AD2692" s="134"/>
    </row>
    <row r="2693">
      <c r="A2693" s="143"/>
      <c r="B2693" s="134"/>
      <c r="C2693" s="134"/>
      <c r="D2693" s="134"/>
      <c r="E2693" s="134"/>
      <c r="F2693" s="134"/>
      <c r="G2693" s="134"/>
      <c r="H2693" s="134"/>
      <c r="J2693" s="134"/>
      <c r="K2693" s="135"/>
      <c r="L2693" s="136"/>
      <c r="M2693" s="144"/>
      <c r="T2693" s="52"/>
      <c r="V2693" s="134"/>
      <c r="W2693" s="134"/>
      <c r="X2693" s="134"/>
      <c r="Y2693" s="134"/>
      <c r="Z2693" s="134"/>
      <c r="AA2693" s="134"/>
      <c r="AB2693" s="134"/>
      <c r="AC2693" s="134"/>
      <c r="AD2693" s="134"/>
    </row>
    <row r="2694">
      <c r="A2694" s="143"/>
      <c r="B2694" s="134"/>
      <c r="C2694" s="134"/>
      <c r="D2694" s="134"/>
      <c r="E2694" s="134"/>
      <c r="F2694" s="134"/>
      <c r="G2694" s="134"/>
      <c r="H2694" s="134"/>
      <c r="J2694" s="134"/>
      <c r="K2694" s="135"/>
      <c r="L2694" s="136"/>
      <c r="M2694" s="144"/>
      <c r="T2694" s="52"/>
      <c r="V2694" s="134"/>
      <c r="W2694" s="134"/>
      <c r="X2694" s="134"/>
      <c r="Y2694" s="134"/>
      <c r="Z2694" s="134"/>
      <c r="AA2694" s="134"/>
      <c r="AB2694" s="134"/>
      <c r="AC2694" s="134"/>
      <c r="AD2694" s="134"/>
    </row>
    <row r="2695">
      <c r="A2695" s="143"/>
      <c r="B2695" s="134"/>
      <c r="C2695" s="134"/>
      <c r="D2695" s="134"/>
      <c r="E2695" s="134"/>
      <c r="F2695" s="134"/>
      <c r="G2695" s="134"/>
      <c r="H2695" s="134"/>
      <c r="J2695" s="134"/>
      <c r="K2695" s="135"/>
      <c r="L2695" s="136"/>
      <c r="M2695" s="144"/>
      <c r="T2695" s="52"/>
      <c r="V2695" s="134"/>
      <c r="W2695" s="134"/>
      <c r="X2695" s="134"/>
      <c r="Y2695" s="134"/>
      <c r="Z2695" s="134"/>
      <c r="AA2695" s="134"/>
      <c r="AB2695" s="134"/>
      <c r="AC2695" s="134"/>
      <c r="AD2695" s="134"/>
    </row>
    <row r="2696">
      <c r="A2696" s="143"/>
      <c r="B2696" s="134"/>
      <c r="C2696" s="134"/>
      <c r="D2696" s="134"/>
      <c r="E2696" s="134"/>
      <c r="F2696" s="134"/>
      <c r="G2696" s="134"/>
      <c r="H2696" s="134"/>
      <c r="J2696" s="134"/>
      <c r="K2696" s="135"/>
      <c r="L2696" s="136"/>
      <c r="M2696" s="144"/>
      <c r="T2696" s="52"/>
      <c r="V2696" s="134"/>
      <c r="W2696" s="134"/>
      <c r="X2696" s="134"/>
      <c r="Y2696" s="134"/>
      <c r="Z2696" s="134"/>
      <c r="AA2696" s="134"/>
      <c r="AB2696" s="134"/>
      <c r="AC2696" s="134"/>
      <c r="AD2696" s="134"/>
    </row>
    <row r="2697">
      <c r="A2697" s="143"/>
      <c r="B2697" s="134"/>
      <c r="C2697" s="134"/>
      <c r="D2697" s="134"/>
      <c r="E2697" s="134"/>
      <c r="F2697" s="134"/>
      <c r="G2697" s="134"/>
      <c r="H2697" s="134"/>
      <c r="J2697" s="134"/>
      <c r="K2697" s="135"/>
      <c r="L2697" s="136"/>
      <c r="M2697" s="144"/>
      <c r="T2697" s="52"/>
      <c r="V2697" s="134"/>
      <c r="W2697" s="134"/>
      <c r="X2697" s="134"/>
      <c r="Y2697" s="134"/>
      <c r="Z2697" s="134"/>
      <c r="AA2697" s="134"/>
      <c r="AB2697" s="134"/>
      <c r="AC2697" s="134"/>
      <c r="AD2697" s="134"/>
    </row>
    <row r="2698">
      <c r="A2698" s="143"/>
      <c r="B2698" s="134"/>
      <c r="C2698" s="134"/>
      <c r="D2698" s="134"/>
      <c r="E2698" s="134"/>
      <c r="F2698" s="134"/>
      <c r="G2698" s="134"/>
      <c r="H2698" s="134"/>
      <c r="J2698" s="134"/>
      <c r="K2698" s="135"/>
      <c r="L2698" s="136"/>
      <c r="M2698" s="144"/>
      <c r="T2698" s="52"/>
      <c r="V2698" s="134"/>
      <c r="W2698" s="134"/>
      <c r="X2698" s="134"/>
      <c r="Y2698" s="134"/>
      <c r="Z2698" s="134"/>
      <c r="AA2698" s="134"/>
      <c r="AB2698" s="134"/>
      <c r="AC2698" s="134"/>
      <c r="AD2698" s="134"/>
    </row>
    <row r="2699">
      <c r="A2699" s="143"/>
      <c r="B2699" s="134"/>
      <c r="C2699" s="134"/>
      <c r="D2699" s="134"/>
      <c r="E2699" s="134"/>
      <c r="F2699" s="134"/>
      <c r="G2699" s="134"/>
      <c r="H2699" s="134"/>
      <c r="J2699" s="134"/>
      <c r="K2699" s="135"/>
      <c r="L2699" s="136"/>
      <c r="M2699" s="144"/>
      <c r="T2699" s="52"/>
      <c r="V2699" s="134"/>
      <c r="W2699" s="134"/>
      <c r="X2699" s="134"/>
      <c r="Y2699" s="134"/>
      <c r="Z2699" s="134"/>
      <c r="AA2699" s="134"/>
      <c r="AB2699" s="134"/>
      <c r="AC2699" s="134"/>
      <c r="AD2699" s="134"/>
    </row>
    <row r="2700">
      <c r="A2700" s="143"/>
      <c r="B2700" s="134"/>
      <c r="C2700" s="134"/>
      <c r="D2700" s="134"/>
      <c r="E2700" s="134"/>
      <c r="F2700" s="134"/>
      <c r="G2700" s="134"/>
      <c r="H2700" s="134"/>
      <c r="J2700" s="134"/>
      <c r="K2700" s="135"/>
      <c r="L2700" s="136"/>
      <c r="M2700" s="144"/>
      <c r="T2700" s="52"/>
      <c r="V2700" s="134"/>
      <c r="W2700" s="134"/>
      <c r="X2700" s="134"/>
      <c r="Y2700" s="134"/>
      <c r="Z2700" s="134"/>
      <c r="AA2700" s="134"/>
      <c r="AB2700" s="134"/>
      <c r="AC2700" s="134"/>
      <c r="AD2700" s="134"/>
    </row>
    <row r="2701">
      <c r="A2701" s="143"/>
      <c r="B2701" s="134"/>
      <c r="C2701" s="134"/>
      <c r="D2701" s="134"/>
      <c r="E2701" s="134"/>
      <c r="F2701" s="134"/>
      <c r="G2701" s="134"/>
      <c r="H2701" s="134"/>
      <c r="J2701" s="134"/>
      <c r="K2701" s="135"/>
      <c r="L2701" s="136"/>
      <c r="M2701" s="144"/>
      <c r="T2701" s="52"/>
      <c r="V2701" s="134"/>
      <c r="W2701" s="134"/>
      <c r="X2701" s="134"/>
      <c r="Y2701" s="134"/>
      <c r="Z2701" s="134"/>
      <c r="AA2701" s="134"/>
      <c r="AB2701" s="134"/>
      <c r="AC2701" s="134"/>
      <c r="AD2701" s="134"/>
    </row>
    <row r="2702">
      <c r="A2702" s="143"/>
      <c r="B2702" s="134"/>
      <c r="C2702" s="134"/>
      <c r="D2702" s="134"/>
      <c r="E2702" s="134"/>
      <c r="F2702" s="134"/>
      <c r="G2702" s="134"/>
      <c r="H2702" s="134"/>
      <c r="J2702" s="134"/>
      <c r="K2702" s="135"/>
      <c r="L2702" s="136"/>
      <c r="M2702" s="144"/>
      <c r="T2702" s="52"/>
      <c r="V2702" s="134"/>
      <c r="W2702" s="134"/>
      <c r="X2702" s="134"/>
      <c r="Y2702" s="134"/>
      <c r="Z2702" s="134"/>
      <c r="AA2702" s="134"/>
      <c r="AB2702" s="134"/>
      <c r="AC2702" s="134"/>
      <c r="AD2702" s="134"/>
    </row>
    <row r="2703">
      <c r="A2703" s="143"/>
      <c r="B2703" s="134"/>
      <c r="C2703" s="134"/>
      <c r="D2703" s="134"/>
      <c r="E2703" s="134"/>
      <c r="F2703" s="134"/>
      <c r="G2703" s="134"/>
      <c r="H2703" s="134"/>
      <c r="J2703" s="134"/>
      <c r="K2703" s="135"/>
      <c r="L2703" s="136"/>
      <c r="M2703" s="144"/>
      <c r="T2703" s="52"/>
      <c r="V2703" s="134"/>
      <c r="W2703" s="134"/>
      <c r="X2703" s="134"/>
      <c r="Y2703" s="134"/>
      <c r="Z2703" s="134"/>
      <c r="AA2703" s="134"/>
      <c r="AB2703" s="134"/>
      <c r="AC2703" s="134"/>
      <c r="AD2703" s="134"/>
    </row>
    <row r="2704">
      <c r="A2704" s="143"/>
      <c r="B2704" s="134"/>
      <c r="C2704" s="134"/>
      <c r="D2704" s="134"/>
      <c r="E2704" s="134"/>
      <c r="F2704" s="134"/>
      <c r="G2704" s="134"/>
      <c r="H2704" s="134"/>
      <c r="J2704" s="134"/>
      <c r="K2704" s="135"/>
      <c r="L2704" s="136"/>
      <c r="M2704" s="144"/>
      <c r="T2704" s="52"/>
      <c r="V2704" s="134"/>
      <c r="W2704" s="134"/>
      <c r="X2704" s="134"/>
      <c r="Y2704" s="134"/>
      <c r="Z2704" s="134"/>
      <c r="AA2704" s="134"/>
      <c r="AB2704" s="134"/>
      <c r="AC2704" s="134"/>
      <c r="AD2704" s="134"/>
    </row>
    <row r="2705">
      <c r="A2705" s="143"/>
      <c r="B2705" s="134"/>
      <c r="C2705" s="134"/>
      <c r="D2705" s="134"/>
      <c r="E2705" s="134"/>
      <c r="F2705" s="134"/>
      <c r="G2705" s="134"/>
      <c r="H2705" s="134"/>
      <c r="J2705" s="134"/>
      <c r="K2705" s="135"/>
      <c r="L2705" s="136"/>
      <c r="M2705" s="144"/>
      <c r="T2705" s="52"/>
      <c r="V2705" s="134"/>
      <c r="W2705" s="134"/>
      <c r="X2705" s="134"/>
      <c r="Y2705" s="134"/>
      <c r="Z2705" s="134"/>
      <c r="AA2705" s="134"/>
      <c r="AB2705" s="134"/>
      <c r="AC2705" s="134"/>
      <c r="AD2705" s="134"/>
    </row>
    <row r="2706">
      <c r="A2706" s="143"/>
      <c r="B2706" s="134"/>
      <c r="C2706" s="134"/>
      <c r="D2706" s="134"/>
      <c r="E2706" s="134"/>
      <c r="F2706" s="134"/>
      <c r="G2706" s="134"/>
      <c r="H2706" s="134"/>
      <c r="J2706" s="134"/>
      <c r="K2706" s="135"/>
      <c r="L2706" s="136"/>
      <c r="M2706" s="144"/>
      <c r="T2706" s="52"/>
      <c r="V2706" s="134"/>
      <c r="W2706" s="134"/>
      <c r="X2706" s="134"/>
      <c r="Y2706" s="134"/>
      <c r="Z2706" s="134"/>
      <c r="AA2706" s="134"/>
      <c r="AB2706" s="134"/>
      <c r="AC2706" s="134"/>
      <c r="AD2706" s="134"/>
    </row>
    <row r="2707">
      <c r="A2707" s="143"/>
      <c r="B2707" s="134"/>
      <c r="C2707" s="134"/>
      <c r="D2707" s="134"/>
      <c r="E2707" s="134"/>
      <c r="F2707" s="134"/>
      <c r="G2707" s="134"/>
      <c r="H2707" s="134"/>
      <c r="J2707" s="134"/>
      <c r="K2707" s="135"/>
      <c r="L2707" s="136"/>
      <c r="M2707" s="144"/>
      <c r="T2707" s="52"/>
      <c r="V2707" s="134"/>
      <c r="W2707" s="134"/>
      <c r="X2707" s="134"/>
      <c r="Y2707" s="134"/>
      <c r="Z2707" s="134"/>
      <c r="AA2707" s="134"/>
      <c r="AB2707" s="134"/>
      <c r="AC2707" s="134"/>
      <c r="AD2707" s="134"/>
    </row>
    <row r="2708">
      <c r="A2708" s="143"/>
      <c r="B2708" s="134"/>
      <c r="C2708" s="134"/>
      <c r="D2708" s="134"/>
      <c r="E2708" s="134"/>
      <c r="F2708" s="134"/>
      <c r="G2708" s="134"/>
      <c r="H2708" s="134"/>
      <c r="J2708" s="134"/>
      <c r="K2708" s="135"/>
      <c r="L2708" s="136"/>
      <c r="M2708" s="144"/>
      <c r="T2708" s="52"/>
      <c r="V2708" s="134"/>
      <c r="W2708" s="134"/>
      <c r="X2708" s="134"/>
      <c r="Y2708" s="134"/>
      <c r="Z2708" s="134"/>
      <c r="AA2708" s="134"/>
      <c r="AB2708" s="134"/>
      <c r="AC2708" s="134"/>
      <c r="AD2708" s="134"/>
    </row>
    <row r="2709">
      <c r="A2709" s="143"/>
      <c r="B2709" s="134"/>
      <c r="C2709" s="134"/>
      <c r="D2709" s="134"/>
      <c r="E2709" s="134"/>
      <c r="F2709" s="134"/>
      <c r="G2709" s="134"/>
      <c r="H2709" s="134"/>
      <c r="J2709" s="134"/>
      <c r="K2709" s="135"/>
      <c r="L2709" s="136"/>
      <c r="M2709" s="144"/>
      <c r="T2709" s="52"/>
      <c r="V2709" s="134"/>
      <c r="W2709" s="134"/>
      <c r="X2709" s="134"/>
      <c r="Y2709" s="134"/>
      <c r="Z2709" s="134"/>
      <c r="AA2709" s="134"/>
      <c r="AB2709" s="134"/>
      <c r="AC2709" s="134"/>
      <c r="AD2709" s="134"/>
    </row>
    <row r="2710">
      <c r="A2710" s="143"/>
      <c r="B2710" s="134"/>
      <c r="C2710" s="134"/>
      <c r="D2710" s="134"/>
      <c r="E2710" s="134"/>
      <c r="F2710" s="134"/>
      <c r="G2710" s="134"/>
      <c r="H2710" s="134"/>
      <c r="J2710" s="134"/>
      <c r="K2710" s="135"/>
      <c r="L2710" s="136"/>
      <c r="M2710" s="144"/>
      <c r="T2710" s="52"/>
      <c r="V2710" s="134"/>
      <c r="W2710" s="134"/>
      <c r="X2710" s="134"/>
      <c r="Y2710" s="134"/>
      <c r="Z2710" s="134"/>
      <c r="AA2710" s="134"/>
      <c r="AB2710" s="134"/>
      <c r="AC2710" s="134"/>
      <c r="AD2710" s="134"/>
    </row>
    <row r="2711">
      <c r="A2711" s="143"/>
      <c r="B2711" s="134"/>
      <c r="C2711" s="134"/>
      <c r="D2711" s="134"/>
      <c r="E2711" s="134"/>
      <c r="F2711" s="134"/>
      <c r="G2711" s="134"/>
      <c r="H2711" s="134"/>
      <c r="J2711" s="134"/>
      <c r="K2711" s="135"/>
      <c r="L2711" s="136"/>
      <c r="M2711" s="144"/>
      <c r="T2711" s="52"/>
      <c r="V2711" s="134"/>
      <c r="W2711" s="134"/>
      <c r="X2711" s="134"/>
      <c r="Y2711" s="134"/>
      <c r="Z2711" s="134"/>
      <c r="AA2711" s="134"/>
      <c r="AB2711" s="134"/>
      <c r="AC2711" s="134"/>
      <c r="AD2711" s="134"/>
    </row>
    <row r="2712">
      <c r="A2712" s="143"/>
      <c r="B2712" s="134"/>
      <c r="C2712" s="134"/>
      <c r="D2712" s="134"/>
      <c r="E2712" s="134"/>
      <c r="F2712" s="134"/>
      <c r="G2712" s="134"/>
      <c r="H2712" s="134"/>
      <c r="J2712" s="134"/>
      <c r="K2712" s="135"/>
      <c r="L2712" s="136"/>
      <c r="M2712" s="144"/>
      <c r="T2712" s="52"/>
      <c r="V2712" s="134"/>
      <c r="W2712" s="134"/>
      <c r="X2712" s="134"/>
      <c r="Y2712" s="134"/>
      <c r="Z2712" s="134"/>
      <c r="AA2712" s="134"/>
      <c r="AB2712" s="134"/>
      <c r="AC2712" s="134"/>
      <c r="AD2712" s="134"/>
    </row>
    <row r="2713">
      <c r="A2713" s="143"/>
      <c r="B2713" s="134"/>
      <c r="C2713" s="134"/>
      <c r="D2713" s="134"/>
      <c r="E2713" s="134"/>
      <c r="F2713" s="134"/>
      <c r="G2713" s="134"/>
      <c r="H2713" s="134"/>
      <c r="J2713" s="134"/>
      <c r="K2713" s="135"/>
      <c r="L2713" s="136"/>
      <c r="M2713" s="144"/>
      <c r="T2713" s="52"/>
      <c r="V2713" s="134"/>
      <c r="W2713" s="134"/>
      <c r="X2713" s="134"/>
      <c r="Y2713" s="134"/>
      <c r="Z2713" s="134"/>
      <c r="AA2713" s="134"/>
      <c r="AB2713" s="134"/>
      <c r="AC2713" s="134"/>
      <c r="AD2713" s="134"/>
    </row>
    <row r="2714">
      <c r="A2714" s="143"/>
      <c r="B2714" s="134"/>
      <c r="C2714" s="134"/>
      <c r="D2714" s="134"/>
      <c r="E2714" s="134"/>
      <c r="F2714" s="134"/>
      <c r="G2714" s="134"/>
      <c r="H2714" s="134"/>
      <c r="J2714" s="134"/>
      <c r="K2714" s="135"/>
      <c r="L2714" s="136"/>
      <c r="M2714" s="144"/>
      <c r="T2714" s="52"/>
      <c r="V2714" s="134"/>
      <c r="W2714" s="134"/>
      <c r="X2714" s="134"/>
      <c r="Y2714" s="134"/>
      <c r="Z2714" s="134"/>
      <c r="AA2714" s="134"/>
      <c r="AB2714" s="134"/>
      <c r="AC2714" s="134"/>
      <c r="AD2714" s="134"/>
    </row>
    <row r="2715">
      <c r="A2715" s="143"/>
      <c r="B2715" s="134"/>
      <c r="C2715" s="134"/>
      <c r="D2715" s="134"/>
      <c r="E2715" s="134"/>
      <c r="F2715" s="134"/>
      <c r="G2715" s="134"/>
      <c r="H2715" s="134"/>
      <c r="J2715" s="134"/>
      <c r="K2715" s="135"/>
      <c r="L2715" s="136"/>
      <c r="M2715" s="144"/>
      <c r="T2715" s="52"/>
      <c r="V2715" s="134"/>
      <c r="W2715" s="134"/>
      <c r="X2715" s="134"/>
      <c r="Y2715" s="134"/>
      <c r="Z2715" s="134"/>
      <c r="AA2715" s="134"/>
      <c r="AB2715" s="134"/>
      <c r="AC2715" s="134"/>
      <c r="AD2715" s="134"/>
    </row>
    <row r="2716">
      <c r="A2716" s="143"/>
      <c r="B2716" s="134"/>
      <c r="C2716" s="134"/>
      <c r="D2716" s="134"/>
      <c r="E2716" s="134"/>
      <c r="F2716" s="134"/>
      <c r="G2716" s="134"/>
      <c r="H2716" s="134"/>
      <c r="J2716" s="134"/>
      <c r="K2716" s="135"/>
      <c r="L2716" s="136"/>
      <c r="M2716" s="144"/>
      <c r="T2716" s="52"/>
      <c r="V2716" s="134"/>
      <c r="W2716" s="134"/>
      <c r="X2716" s="134"/>
      <c r="Y2716" s="134"/>
      <c r="Z2716" s="134"/>
      <c r="AA2716" s="134"/>
      <c r="AB2716" s="134"/>
      <c r="AC2716" s="134"/>
      <c r="AD2716" s="134"/>
    </row>
    <row r="2717">
      <c r="A2717" s="143"/>
      <c r="B2717" s="134"/>
      <c r="C2717" s="134"/>
      <c r="D2717" s="134"/>
      <c r="E2717" s="134"/>
      <c r="F2717" s="134"/>
      <c r="G2717" s="134"/>
      <c r="H2717" s="134"/>
      <c r="J2717" s="134"/>
      <c r="K2717" s="135"/>
      <c r="L2717" s="136"/>
      <c r="M2717" s="144"/>
      <c r="T2717" s="52"/>
      <c r="V2717" s="134"/>
      <c r="W2717" s="134"/>
      <c r="X2717" s="134"/>
      <c r="Y2717" s="134"/>
      <c r="Z2717" s="134"/>
      <c r="AA2717" s="134"/>
      <c r="AB2717" s="134"/>
      <c r="AC2717" s="134"/>
      <c r="AD2717" s="134"/>
    </row>
    <row r="2718">
      <c r="A2718" s="143"/>
      <c r="B2718" s="134"/>
      <c r="C2718" s="134"/>
      <c r="D2718" s="134"/>
      <c r="E2718" s="134"/>
      <c r="F2718" s="134"/>
      <c r="G2718" s="134"/>
      <c r="H2718" s="134"/>
      <c r="J2718" s="134"/>
      <c r="K2718" s="135"/>
      <c r="L2718" s="136"/>
      <c r="M2718" s="144"/>
      <c r="T2718" s="52"/>
      <c r="V2718" s="134"/>
      <c r="W2718" s="134"/>
      <c r="X2718" s="134"/>
      <c r="Y2718" s="134"/>
      <c r="Z2718" s="134"/>
      <c r="AA2718" s="134"/>
      <c r="AB2718" s="134"/>
      <c r="AC2718" s="134"/>
      <c r="AD2718" s="134"/>
    </row>
    <row r="2719">
      <c r="A2719" s="143"/>
      <c r="B2719" s="134"/>
      <c r="C2719" s="134"/>
      <c r="D2719" s="134"/>
      <c r="E2719" s="134"/>
      <c r="F2719" s="134"/>
      <c r="G2719" s="134"/>
      <c r="H2719" s="134"/>
      <c r="J2719" s="134"/>
      <c r="K2719" s="135"/>
      <c r="L2719" s="136"/>
      <c r="M2719" s="144"/>
      <c r="T2719" s="52"/>
      <c r="V2719" s="134"/>
      <c r="W2719" s="134"/>
      <c r="X2719" s="134"/>
      <c r="Y2719" s="134"/>
      <c r="Z2719" s="134"/>
      <c r="AA2719" s="134"/>
      <c r="AB2719" s="134"/>
      <c r="AC2719" s="134"/>
      <c r="AD2719" s="134"/>
    </row>
    <row r="2720">
      <c r="A2720" s="143"/>
      <c r="B2720" s="134"/>
      <c r="C2720" s="134"/>
      <c r="D2720" s="134"/>
      <c r="E2720" s="134"/>
      <c r="F2720" s="134"/>
      <c r="G2720" s="134"/>
      <c r="H2720" s="134"/>
      <c r="J2720" s="134"/>
      <c r="K2720" s="135"/>
      <c r="L2720" s="136"/>
      <c r="M2720" s="144"/>
      <c r="T2720" s="52"/>
      <c r="V2720" s="134"/>
      <c r="W2720" s="134"/>
      <c r="X2720" s="134"/>
      <c r="Y2720" s="134"/>
      <c r="Z2720" s="134"/>
      <c r="AA2720" s="134"/>
      <c r="AB2720" s="134"/>
      <c r="AC2720" s="134"/>
      <c r="AD2720" s="134"/>
    </row>
    <row r="2721">
      <c r="A2721" s="143"/>
      <c r="B2721" s="134"/>
      <c r="C2721" s="134"/>
      <c r="D2721" s="134"/>
      <c r="E2721" s="134"/>
      <c r="F2721" s="134"/>
      <c r="G2721" s="134"/>
      <c r="H2721" s="134"/>
      <c r="J2721" s="134"/>
      <c r="K2721" s="135"/>
      <c r="L2721" s="136"/>
      <c r="M2721" s="144"/>
      <c r="T2721" s="52"/>
      <c r="V2721" s="134"/>
      <c r="W2721" s="134"/>
      <c r="X2721" s="134"/>
      <c r="Y2721" s="134"/>
      <c r="Z2721" s="134"/>
      <c r="AA2721" s="134"/>
      <c r="AB2721" s="134"/>
      <c r="AC2721" s="134"/>
      <c r="AD2721" s="134"/>
    </row>
    <row r="2722">
      <c r="A2722" s="143"/>
      <c r="B2722" s="134"/>
      <c r="C2722" s="134"/>
      <c r="D2722" s="134"/>
      <c r="E2722" s="134"/>
      <c r="F2722" s="134"/>
      <c r="G2722" s="134"/>
      <c r="H2722" s="134"/>
      <c r="J2722" s="134"/>
      <c r="K2722" s="135"/>
      <c r="L2722" s="136"/>
      <c r="M2722" s="144"/>
      <c r="T2722" s="52"/>
      <c r="V2722" s="134"/>
      <c r="W2722" s="134"/>
      <c r="X2722" s="134"/>
      <c r="Y2722" s="134"/>
      <c r="Z2722" s="134"/>
      <c r="AA2722" s="134"/>
      <c r="AB2722" s="134"/>
      <c r="AC2722" s="134"/>
      <c r="AD2722" s="134"/>
    </row>
    <row r="2723">
      <c r="A2723" s="143"/>
      <c r="B2723" s="134"/>
      <c r="C2723" s="134"/>
      <c r="D2723" s="134"/>
      <c r="E2723" s="134"/>
      <c r="F2723" s="134"/>
      <c r="G2723" s="134"/>
      <c r="H2723" s="134"/>
      <c r="J2723" s="134"/>
      <c r="K2723" s="135"/>
      <c r="L2723" s="136"/>
      <c r="M2723" s="144"/>
      <c r="T2723" s="52"/>
      <c r="V2723" s="134"/>
      <c r="W2723" s="134"/>
      <c r="X2723" s="134"/>
      <c r="Y2723" s="134"/>
      <c r="Z2723" s="134"/>
      <c r="AA2723" s="134"/>
      <c r="AB2723" s="134"/>
      <c r="AC2723" s="134"/>
      <c r="AD2723" s="134"/>
    </row>
    <row r="2724">
      <c r="A2724" s="143"/>
      <c r="B2724" s="134"/>
      <c r="C2724" s="134"/>
      <c r="D2724" s="134"/>
      <c r="E2724" s="134"/>
      <c r="F2724" s="134"/>
      <c r="G2724" s="134"/>
      <c r="H2724" s="134"/>
      <c r="J2724" s="134"/>
      <c r="K2724" s="135"/>
      <c r="L2724" s="136"/>
      <c r="M2724" s="144"/>
      <c r="T2724" s="52"/>
      <c r="V2724" s="134"/>
      <c r="W2724" s="134"/>
      <c r="X2724" s="134"/>
      <c r="Y2724" s="134"/>
      <c r="Z2724" s="134"/>
      <c r="AA2724" s="134"/>
      <c r="AB2724" s="134"/>
      <c r="AC2724" s="134"/>
      <c r="AD2724" s="134"/>
    </row>
    <row r="2725">
      <c r="A2725" s="143"/>
      <c r="B2725" s="134"/>
      <c r="C2725" s="134"/>
      <c r="D2725" s="134"/>
      <c r="E2725" s="134"/>
      <c r="F2725" s="134"/>
      <c r="G2725" s="134"/>
      <c r="H2725" s="134"/>
      <c r="J2725" s="134"/>
      <c r="K2725" s="135"/>
      <c r="L2725" s="136"/>
      <c r="M2725" s="144"/>
      <c r="T2725" s="52"/>
      <c r="V2725" s="134"/>
      <c r="W2725" s="134"/>
      <c r="X2725" s="134"/>
      <c r="Y2725" s="134"/>
      <c r="Z2725" s="134"/>
      <c r="AA2725" s="134"/>
      <c r="AB2725" s="134"/>
      <c r="AC2725" s="134"/>
      <c r="AD2725" s="134"/>
    </row>
    <row r="2726">
      <c r="A2726" s="143"/>
      <c r="B2726" s="134"/>
      <c r="C2726" s="134"/>
      <c r="D2726" s="134"/>
      <c r="E2726" s="134"/>
      <c r="F2726" s="134"/>
      <c r="G2726" s="134"/>
      <c r="H2726" s="134"/>
      <c r="J2726" s="134"/>
      <c r="K2726" s="135"/>
      <c r="L2726" s="136"/>
      <c r="M2726" s="144"/>
      <c r="T2726" s="52"/>
      <c r="V2726" s="134"/>
      <c r="W2726" s="134"/>
      <c r="X2726" s="134"/>
      <c r="Y2726" s="134"/>
      <c r="Z2726" s="134"/>
      <c r="AA2726" s="134"/>
      <c r="AB2726" s="134"/>
      <c r="AC2726" s="134"/>
      <c r="AD2726" s="134"/>
    </row>
    <row r="2727">
      <c r="A2727" s="143"/>
      <c r="B2727" s="134"/>
      <c r="C2727" s="134"/>
      <c r="D2727" s="134"/>
      <c r="E2727" s="134"/>
      <c r="F2727" s="134"/>
      <c r="G2727" s="134"/>
      <c r="H2727" s="134"/>
      <c r="J2727" s="134"/>
      <c r="K2727" s="135"/>
      <c r="L2727" s="136"/>
      <c r="M2727" s="144"/>
      <c r="T2727" s="52"/>
      <c r="V2727" s="134"/>
      <c r="W2727" s="134"/>
      <c r="X2727" s="134"/>
      <c r="Y2727" s="134"/>
      <c r="Z2727" s="134"/>
      <c r="AA2727" s="134"/>
      <c r="AB2727" s="134"/>
      <c r="AC2727" s="134"/>
      <c r="AD2727" s="134"/>
    </row>
    <row r="2728">
      <c r="A2728" s="143"/>
      <c r="B2728" s="134"/>
      <c r="C2728" s="134"/>
      <c r="D2728" s="134"/>
      <c r="E2728" s="134"/>
      <c r="F2728" s="134"/>
      <c r="G2728" s="134"/>
      <c r="H2728" s="134"/>
      <c r="J2728" s="134"/>
      <c r="K2728" s="135"/>
      <c r="L2728" s="136"/>
      <c r="M2728" s="144"/>
      <c r="T2728" s="52"/>
      <c r="V2728" s="134"/>
      <c r="W2728" s="134"/>
      <c r="X2728" s="134"/>
      <c r="Y2728" s="134"/>
      <c r="Z2728" s="134"/>
      <c r="AA2728" s="134"/>
      <c r="AB2728" s="134"/>
      <c r="AC2728" s="134"/>
      <c r="AD2728" s="134"/>
    </row>
    <row r="2729">
      <c r="A2729" s="143"/>
      <c r="B2729" s="134"/>
      <c r="C2729" s="134"/>
      <c r="D2729" s="134"/>
      <c r="E2729" s="134"/>
      <c r="F2729" s="134"/>
      <c r="G2729" s="134"/>
      <c r="H2729" s="134"/>
      <c r="J2729" s="134"/>
      <c r="K2729" s="135"/>
      <c r="L2729" s="136"/>
      <c r="M2729" s="144"/>
      <c r="T2729" s="52"/>
      <c r="V2729" s="134"/>
      <c r="W2729" s="134"/>
      <c r="X2729" s="134"/>
      <c r="Y2729" s="134"/>
      <c r="Z2729" s="134"/>
      <c r="AA2729" s="134"/>
      <c r="AB2729" s="134"/>
      <c r="AC2729" s="134"/>
      <c r="AD2729" s="134"/>
    </row>
    <row r="2730">
      <c r="A2730" s="143"/>
      <c r="B2730" s="134"/>
      <c r="C2730" s="134"/>
      <c r="D2730" s="134"/>
      <c r="E2730" s="134"/>
      <c r="F2730" s="134"/>
      <c r="G2730" s="134"/>
      <c r="H2730" s="134"/>
      <c r="J2730" s="134"/>
      <c r="K2730" s="135"/>
      <c r="L2730" s="136"/>
      <c r="M2730" s="144"/>
      <c r="T2730" s="52"/>
      <c r="V2730" s="134"/>
      <c r="W2730" s="134"/>
      <c r="X2730" s="134"/>
      <c r="Y2730" s="134"/>
      <c r="Z2730" s="134"/>
      <c r="AA2730" s="134"/>
      <c r="AB2730" s="134"/>
      <c r="AC2730" s="134"/>
      <c r="AD2730" s="134"/>
    </row>
    <row r="2731">
      <c r="A2731" s="143"/>
      <c r="B2731" s="134"/>
      <c r="C2731" s="134"/>
      <c r="D2731" s="134"/>
      <c r="E2731" s="134"/>
      <c r="F2731" s="134"/>
      <c r="G2731" s="134"/>
      <c r="H2731" s="134"/>
      <c r="J2731" s="134"/>
      <c r="K2731" s="135"/>
      <c r="L2731" s="136"/>
      <c r="M2731" s="144"/>
      <c r="T2731" s="52"/>
      <c r="V2731" s="134"/>
      <c r="W2731" s="134"/>
      <c r="X2731" s="134"/>
      <c r="Y2731" s="134"/>
      <c r="Z2731" s="134"/>
      <c r="AA2731" s="134"/>
      <c r="AB2731" s="134"/>
      <c r="AC2731" s="134"/>
      <c r="AD2731" s="134"/>
    </row>
    <row r="2732">
      <c r="A2732" s="143"/>
      <c r="B2732" s="134"/>
      <c r="C2732" s="134"/>
      <c r="D2732" s="134"/>
      <c r="E2732" s="134"/>
      <c r="F2732" s="134"/>
      <c r="G2732" s="134"/>
      <c r="H2732" s="134"/>
      <c r="J2732" s="134"/>
      <c r="K2732" s="135"/>
      <c r="L2732" s="136"/>
      <c r="M2732" s="144"/>
      <c r="T2732" s="52"/>
      <c r="V2732" s="134"/>
      <c r="W2732" s="134"/>
      <c r="X2732" s="134"/>
      <c r="Y2732" s="134"/>
      <c r="Z2732" s="134"/>
      <c r="AA2732" s="134"/>
      <c r="AB2732" s="134"/>
      <c r="AC2732" s="134"/>
      <c r="AD2732" s="134"/>
    </row>
    <row r="2733">
      <c r="A2733" s="143"/>
      <c r="B2733" s="134"/>
      <c r="C2733" s="134"/>
      <c r="D2733" s="134"/>
      <c r="E2733" s="134"/>
      <c r="F2733" s="134"/>
      <c r="G2733" s="134"/>
      <c r="H2733" s="134"/>
      <c r="J2733" s="134"/>
      <c r="K2733" s="135"/>
      <c r="L2733" s="136"/>
      <c r="M2733" s="144"/>
      <c r="T2733" s="52"/>
      <c r="V2733" s="134"/>
      <c r="W2733" s="134"/>
      <c r="X2733" s="134"/>
      <c r="Y2733" s="134"/>
      <c r="Z2733" s="134"/>
      <c r="AA2733" s="134"/>
      <c r="AB2733" s="134"/>
      <c r="AC2733" s="134"/>
      <c r="AD2733" s="134"/>
    </row>
    <row r="2734">
      <c r="A2734" s="143"/>
      <c r="B2734" s="134"/>
      <c r="C2734" s="134"/>
      <c r="D2734" s="134"/>
      <c r="E2734" s="134"/>
      <c r="F2734" s="134"/>
      <c r="G2734" s="134"/>
      <c r="H2734" s="134"/>
      <c r="J2734" s="134"/>
      <c r="K2734" s="135"/>
      <c r="L2734" s="136"/>
      <c r="M2734" s="144"/>
      <c r="T2734" s="52"/>
      <c r="V2734" s="134"/>
      <c r="W2734" s="134"/>
      <c r="X2734" s="134"/>
      <c r="Y2734" s="134"/>
      <c r="Z2734" s="134"/>
      <c r="AA2734" s="134"/>
      <c r="AB2734" s="134"/>
      <c r="AC2734" s="134"/>
      <c r="AD2734" s="134"/>
    </row>
    <row r="2735">
      <c r="A2735" s="143"/>
      <c r="B2735" s="134"/>
      <c r="C2735" s="134"/>
      <c r="D2735" s="134"/>
      <c r="E2735" s="134"/>
      <c r="F2735" s="134"/>
      <c r="G2735" s="134"/>
      <c r="H2735" s="134"/>
      <c r="J2735" s="134"/>
      <c r="K2735" s="135"/>
      <c r="L2735" s="136"/>
      <c r="M2735" s="144"/>
      <c r="T2735" s="52"/>
      <c r="V2735" s="134"/>
      <c r="W2735" s="134"/>
      <c r="X2735" s="134"/>
      <c r="Y2735" s="134"/>
      <c r="Z2735" s="134"/>
      <c r="AA2735" s="134"/>
      <c r="AB2735" s="134"/>
      <c r="AC2735" s="134"/>
      <c r="AD2735" s="134"/>
    </row>
    <row r="2736">
      <c r="A2736" s="143"/>
      <c r="B2736" s="134"/>
      <c r="C2736" s="134"/>
      <c r="D2736" s="134"/>
      <c r="E2736" s="134"/>
      <c r="F2736" s="134"/>
      <c r="G2736" s="134"/>
      <c r="H2736" s="134"/>
      <c r="J2736" s="134"/>
      <c r="K2736" s="135"/>
      <c r="L2736" s="136"/>
      <c r="M2736" s="144"/>
      <c r="T2736" s="52"/>
      <c r="V2736" s="134"/>
      <c r="W2736" s="134"/>
      <c r="X2736" s="134"/>
      <c r="Y2736" s="134"/>
      <c r="Z2736" s="134"/>
      <c r="AA2736" s="134"/>
      <c r="AB2736" s="134"/>
      <c r="AC2736" s="134"/>
      <c r="AD2736" s="134"/>
    </row>
    <row r="2737">
      <c r="A2737" s="143"/>
      <c r="B2737" s="134"/>
      <c r="C2737" s="134"/>
      <c r="D2737" s="134"/>
      <c r="E2737" s="134"/>
      <c r="F2737" s="134"/>
      <c r="G2737" s="134"/>
      <c r="H2737" s="134"/>
      <c r="J2737" s="134"/>
      <c r="K2737" s="135"/>
      <c r="L2737" s="136"/>
      <c r="M2737" s="144"/>
      <c r="T2737" s="52"/>
      <c r="V2737" s="134"/>
      <c r="W2737" s="134"/>
      <c r="X2737" s="134"/>
      <c r="Y2737" s="134"/>
      <c r="Z2737" s="134"/>
      <c r="AA2737" s="134"/>
      <c r="AB2737" s="134"/>
      <c r="AC2737" s="134"/>
      <c r="AD2737" s="134"/>
    </row>
    <row r="2738">
      <c r="A2738" s="143"/>
      <c r="B2738" s="134"/>
      <c r="C2738" s="134"/>
      <c r="D2738" s="134"/>
      <c r="E2738" s="134"/>
      <c r="F2738" s="134"/>
      <c r="G2738" s="134"/>
      <c r="H2738" s="134"/>
      <c r="J2738" s="134"/>
      <c r="K2738" s="135"/>
      <c r="L2738" s="136"/>
      <c r="M2738" s="144"/>
      <c r="T2738" s="52"/>
      <c r="V2738" s="134"/>
      <c r="W2738" s="134"/>
      <c r="X2738" s="134"/>
      <c r="Y2738" s="134"/>
      <c r="Z2738" s="134"/>
      <c r="AA2738" s="134"/>
      <c r="AB2738" s="134"/>
      <c r="AC2738" s="134"/>
      <c r="AD2738" s="134"/>
    </row>
    <row r="2739">
      <c r="A2739" s="143"/>
      <c r="B2739" s="134"/>
      <c r="C2739" s="134"/>
      <c r="D2739" s="134"/>
      <c r="E2739" s="134"/>
      <c r="F2739" s="134"/>
      <c r="G2739" s="134"/>
      <c r="H2739" s="134"/>
      <c r="J2739" s="134"/>
      <c r="K2739" s="135"/>
      <c r="L2739" s="136"/>
      <c r="M2739" s="144"/>
      <c r="T2739" s="52"/>
      <c r="V2739" s="134"/>
      <c r="W2739" s="134"/>
      <c r="X2739" s="134"/>
      <c r="Y2739" s="134"/>
      <c r="Z2739" s="134"/>
      <c r="AA2739" s="134"/>
      <c r="AB2739" s="134"/>
      <c r="AC2739" s="134"/>
      <c r="AD2739" s="134"/>
    </row>
    <row r="2740">
      <c r="A2740" s="143"/>
      <c r="B2740" s="134"/>
      <c r="C2740" s="134"/>
      <c r="D2740" s="134"/>
      <c r="E2740" s="134"/>
      <c r="F2740" s="134"/>
      <c r="G2740" s="134"/>
      <c r="H2740" s="134"/>
      <c r="J2740" s="134"/>
      <c r="K2740" s="135"/>
      <c r="L2740" s="136"/>
      <c r="M2740" s="144"/>
      <c r="T2740" s="52"/>
      <c r="V2740" s="134"/>
      <c r="W2740" s="134"/>
      <c r="X2740" s="134"/>
      <c r="Y2740" s="134"/>
      <c r="Z2740" s="134"/>
      <c r="AA2740" s="134"/>
      <c r="AB2740" s="134"/>
      <c r="AC2740" s="134"/>
      <c r="AD2740" s="134"/>
    </row>
    <row r="2741">
      <c r="A2741" s="143"/>
      <c r="B2741" s="134"/>
      <c r="C2741" s="134"/>
      <c r="D2741" s="134"/>
      <c r="E2741" s="134"/>
      <c r="F2741" s="134"/>
      <c r="G2741" s="134"/>
      <c r="H2741" s="134"/>
      <c r="J2741" s="134"/>
      <c r="K2741" s="135"/>
      <c r="L2741" s="136"/>
      <c r="M2741" s="144"/>
      <c r="T2741" s="52"/>
      <c r="V2741" s="134"/>
      <c r="W2741" s="134"/>
      <c r="X2741" s="134"/>
      <c r="Y2741" s="134"/>
      <c r="Z2741" s="134"/>
      <c r="AA2741" s="134"/>
      <c r="AB2741" s="134"/>
      <c r="AC2741" s="134"/>
      <c r="AD2741" s="134"/>
    </row>
    <row r="2742">
      <c r="A2742" s="143"/>
      <c r="B2742" s="134"/>
      <c r="C2742" s="134"/>
      <c r="D2742" s="134"/>
      <c r="E2742" s="134"/>
      <c r="F2742" s="134"/>
      <c r="G2742" s="134"/>
      <c r="H2742" s="134"/>
      <c r="J2742" s="134"/>
      <c r="K2742" s="135"/>
      <c r="L2742" s="136"/>
      <c r="M2742" s="144"/>
      <c r="T2742" s="52"/>
      <c r="V2742" s="134"/>
      <c r="W2742" s="134"/>
      <c r="X2742" s="134"/>
      <c r="Y2742" s="134"/>
      <c r="Z2742" s="134"/>
      <c r="AA2742" s="134"/>
      <c r="AB2742" s="134"/>
      <c r="AC2742" s="134"/>
      <c r="AD2742" s="134"/>
    </row>
    <row r="2743">
      <c r="A2743" s="143"/>
      <c r="B2743" s="134"/>
      <c r="C2743" s="134"/>
      <c r="D2743" s="134"/>
      <c r="E2743" s="134"/>
      <c r="F2743" s="134"/>
      <c r="G2743" s="134"/>
      <c r="H2743" s="134"/>
      <c r="J2743" s="134"/>
      <c r="K2743" s="135"/>
      <c r="L2743" s="136"/>
      <c r="M2743" s="144"/>
      <c r="T2743" s="52"/>
      <c r="V2743" s="134"/>
      <c r="W2743" s="134"/>
      <c r="X2743" s="134"/>
      <c r="Y2743" s="134"/>
      <c r="Z2743" s="134"/>
      <c r="AA2743" s="134"/>
      <c r="AB2743" s="134"/>
      <c r="AC2743" s="134"/>
      <c r="AD2743" s="134"/>
    </row>
    <row r="2744">
      <c r="A2744" s="143"/>
      <c r="B2744" s="134"/>
      <c r="C2744" s="134"/>
      <c r="D2744" s="134"/>
      <c r="E2744" s="134"/>
      <c r="F2744" s="134"/>
      <c r="G2744" s="134"/>
      <c r="H2744" s="134"/>
      <c r="J2744" s="134"/>
      <c r="K2744" s="135"/>
      <c r="L2744" s="136"/>
      <c r="M2744" s="144"/>
      <c r="T2744" s="52"/>
      <c r="V2744" s="134"/>
      <c r="W2744" s="134"/>
      <c r="X2744" s="134"/>
      <c r="Y2744" s="134"/>
      <c r="Z2744" s="134"/>
      <c r="AA2744" s="134"/>
      <c r="AB2744" s="134"/>
      <c r="AC2744" s="134"/>
      <c r="AD2744" s="134"/>
    </row>
    <row r="2745">
      <c r="A2745" s="143"/>
      <c r="B2745" s="134"/>
      <c r="C2745" s="134"/>
      <c r="D2745" s="134"/>
      <c r="E2745" s="134"/>
      <c r="F2745" s="134"/>
      <c r="G2745" s="134"/>
      <c r="H2745" s="134"/>
      <c r="J2745" s="134"/>
      <c r="K2745" s="135"/>
      <c r="L2745" s="136"/>
      <c r="M2745" s="144"/>
      <c r="T2745" s="52"/>
      <c r="V2745" s="134"/>
      <c r="W2745" s="134"/>
      <c r="X2745" s="134"/>
      <c r="Y2745" s="134"/>
      <c r="Z2745" s="134"/>
      <c r="AA2745" s="134"/>
      <c r="AB2745" s="134"/>
      <c r="AC2745" s="134"/>
      <c r="AD2745" s="134"/>
    </row>
    <row r="2746">
      <c r="A2746" s="143"/>
      <c r="B2746" s="134"/>
      <c r="C2746" s="134"/>
      <c r="D2746" s="134"/>
      <c r="E2746" s="134"/>
      <c r="F2746" s="134"/>
      <c r="G2746" s="134"/>
      <c r="H2746" s="134"/>
      <c r="J2746" s="134"/>
      <c r="K2746" s="135"/>
      <c r="L2746" s="136"/>
      <c r="M2746" s="144"/>
      <c r="T2746" s="52"/>
      <c r="V2746" s="134"/>
      <c r="W2746" s="134"/>
      <c r="X2746" s="134"/>
      <c r="Y2746" s="134"/>
      <c r="Z2746" s="134"/>
      <c r="AA2746" s="134"/>
      <c r="AB2746" s="134"/>
      <c r="AC2746" s="134"/>
      <c r="AD2746" s="134"/>
    </row>
    <row r="2747">
      <c r="A2747" s="143"/>
      <c r="B2747" s="134"/>
      <c r="C2747" s="134"/>
      <c r="D2747" s="134"/>
      <c r="E2747" s="134"/>
      <c r="F2747" s="134"/>
      <c r="G2747" s="134"/>
      <c r="H2747" s="134"/>
      <c r="J2747" s="134"/>
      <c r="K2747" s="135"/>
      <c r="L2747" s="136"/>
      <c r="M2747" s="144"/>
      <c r="T2747" s="52"/>
      <c r="V2747" s="134"/>
      <c r="W2747" s="134"/>
      <c r="X2747" s="134"/>
      <c r="Y2747" s="134"/>
      <c r="Z2747" s="134"/>
      <c r="AA2747" s="134"/>
      <c r="AB2747" s="134"/>
      <c r="AC2747" s="134"/>
      <c r="AD2747" s="134"/>
    </row>
    <row r="2748">
      <c r="A2748" s="143"/>
      <c r="B2748" s="134"/>
      <c r="C2748" s="134"/>
      <c r="D2748" s="134"/>
      <c r="E2748" s="134"/>
      <c r="F2748" s="134"/>
      <c r="G2748" s="134"/>
      <c r="H2748" s="134"/>
      <c r="J2748" s="134"/>
      <c r="K2748" s="135"/>
      <c r="L2748" s="136"/>
      <c r="M2748" s="144"/>
      <c r="T2748" s="52"/>
      <c r="V2748" s="134"/>
      <c r="W2748" s="134"/>
      <c r="X2748" s="134"/>
      <c r="Y2748" s="134"/>
      <c r="Z2748" s="134"/>
      <c r="AA2748" s="134"/>
      <c r="AB2748" s="134"/>
      <c r="AC2748" s="134"/>
      <c r="AD2748" s="134"/>
    </row>
    <row r="2749">
      <c r="A2749" s="143"/>
      <c r="B2749" s="134"/>
      <c r="C2749" s="134"/>
      <c r="D2749" s="134"/>
      <c r="E2749" s="134"/>
      <c r="F2749" s="134"/>
      <c r="G2749" s="134"/>
      <c r="H2749" s="134"/>
      <c r="J2749" s="134"/>
      <c r="K2749" s="135"/>
      <c r="L2749" s="136"/>
      <c r="M2749" s="144"/>
      <c r="T2749" s="52"/>
      <c r="V2749" s="134"/>
      <c r="W2749" s="134"/>
      <c r="X2749" s="134"/>
      <c r="Y2749" s="134"/>
      <c r="Z2749" s="134"/>
      <c r="AA2749" s="134"/>
      <c r="AB2749" s="134"/>
      <c r="AC2749" s="134"/>
      <c r="AD2749" s="134"/>
    </row>
    <row r="2750">
      <c r="A2750" s="143"/>
      <c r="B2750" s="134"/>
      <c r="C2750" s="134"/>
      <c r="D2750" s="134"/>
      <c r="E2750" s="134"/>
      <c r="F2750" s="134"/>
      <c r="G2750" s="134"/>
      <c r="H2750" s="134"/>
      <c r="J2750" s="134"/>
      <c r="K2750" s="135"/>
      <c r="L2750" s="136"/>
      <c r="M2750" s="144"/>
      <c r="T2750" s="52"/>
      <c r="V2750" s="134"/>
      <c r="W2750" s="134"/>
      <c r="X2750" s="134"/>
      <c r="Y2750" s="134"/>
      <c r="Z2750" s="134"/>
      <c r="AA2750" s="134"/>
      <c r="AB2750" s="134"/>
      <c r="AC2750" s="134"/>
      <c r="AD2750" s="134"/>
    </row>
    <row r="2751">
      <c r="A2751" s="143"/>
      <c r="B2751" s="134"/>
      <c r="C2751" s="134"/>
      <c r="D2751" s="134"/>
      <c r="E2751" s="134"/>
      <c r="F2751" s="134"/>
      <c r="G2751" s="134"/>
      <c r="H2751" s="134"/>
      <c r="J2751" s="134"/>
      <c r="K2751" s="135"/>
      <c r="L2751" s="136"/>
      <c r="M2751" s="144"/>
      <c r="T2751" s="52"/>
      <c r="V2751" s="134"/>
      <c r="W2751" s="134"/>
      <c r="X2751" s="134"/>
      <c r="Y2751" s="134"/>
      <c r="Z2751" s="134"/>
      <c r="AA2751" s="134"/>
      <c r="AB2751" s="134"/>
      <c r="AC2751" s="134"/>
      <c r="AD2751" s="134"/>
    </row>
    <row r="2752">
      <c r="A2752" s="143"/>
      <c r="B2752" s="134"/>
      <c r="C2752" s="134"/>
      <c r="D2752" s="134"/>
      <c r="E2752" s="134"/>
      <c r="F2752" s="134"/>
      <c r="G2752" s="134"/>
      <c r="H2752" s="134"/>
      <c r="J2752" s="134"/>
      <c r="K2752" s="135"/>
      <c r="L2752" s="136"/>
      <c r="M2752" s="144"/>
      <c r="T2752" s="52"/>
      <c r="V2752" s="134"/>
      <c r="W2752" s="134"/>
      <c r="X2752" s="134"/>
      <c r="Y2752" s="134"/>
      <c r="Z2752" s="134"/>
      <c r="AA2752" s="134"/>
      <c r="AB2752" s="134"/>
      <c r="AC2752" s="134"/>
      <c r="AD2752" s="134"/>
    </row>
    <row r="2753">
      <c r="A2753" s="143"/>
      <c r="B2753" s="134"/>
      <c r="C2753" s="134"/>
      <c r="D2753" s="134"/>
      <c r="E2753" s="134"/>
      <c r="F2753" s="134"/>
      <c r="G2753" s="134"/>
      <c r="H2753" s="134"/>
      <c r="J2753" s="134"/>
      <c r="K2753" s="135"/>
      <c r="L2753" s="136"/>
      <c r="M2753" s="144"/>
      <c r="T2753" s="52"/>
      <c r="V2753" s="134"/>
      <c r="W2753" s="134"/>
      <c r="X2753" s="134"/>
      <c r="Y2753" s="134"/>
      <c r="Z2753" s="134"/>
      <c r="AA2753" s="134"/>
      <c r="AB2753" s="134"/>
      <c r="AC2753" s="134"/>
      <c r="AD2753" s="134"/>
    </row>
    <row r="2754">
      <c r="A2754" s="143"/>
      <c r="B2754" s="134"/>
      <c r="C2754" s="134"/>
      <c r="D2754" s="134"/>
      <c r="E2754" s="134"/>
      <c r="F2754" s="134"/>
      <c r="G2754" s="134"/>
      <c r="H2754" s="134"/>
      <c r="J2754" s="134"/>
      <c r="K2754" s="135"/>
      <c r="L2754" s="136"/>
      <c r="M2754" s="144"/>
      <c r="T2754" s="52"/>
      <c r="V2754" s="134"/>
      <c r="W2754" s="134"/>
      <c r="X2754" s="134"/>
      <c r="Y2754" s="134"/>
      <c r="Z2754" s="134"/>
      <c r="AA2754" s="134"/>
      <c r="AB2754" s="134"/>
      <c r="AC2754" s="134"/>
      <c r="AD2754" s="134"/>
    </row>
    <row r="2755">
      <c r="A2755" s="143"/>
      <c r="B2755" s="134"/>
      <c r="C2755" s="134"/>
      <c r="D2755" s="134"/>
      <c r="E2755" s="134"/>
      <c r="F2755" s="134"/>
      <c r="G2755" s="134"/>
      <c r="H2755" s="134"/>
      <c r="J2755" s="134"/>
      <c r="K2755" s="135"/>
      <c r="L2755" s="136"/>
      <c r="M2755" s="144"/>
      <c r="T2755" s="52"/>
      <c r="V2755" s="134"/>
      <c r="W2755" s="134"/>
      <c r="X2755" s="134"/>
      <c r="Y2755" s="134"/>
      <c r="Z2755" s="134"/>
      <c r="AA2755" s="134"/>
      <c r="AB2755" s="134"/>
      <c r="AC2755" s="134"/>
      <c r="AD2755" s="134"/>
    </row>
    <row r="2756">
      <c r="A2756" s="143"/>
      <c r="B2756" s="134"/>
      <c r="C2756" s="134"/>
      <c r="D2756" s="134"/>
      <c r="E2756" s="134"/>
      <c r="F2756" s="134"/>
      <c r="G2756" s="134"/>
      <c r="H2756" s="134"/>
      <c r="J2756" s="134"/>
      <c r="K2756" s="135"/>
      <c r="L2756" s="136"/>
      <c r="M2756" s="144"/>
      <c r="T2756" s="52"/>
      <c r="V2756" s="134"/>
      <c r="W2756" s="134"/>
      <c r="X2756" s="134"/>
      <c r="Y2756" s="134"/>
      <c r="Z2756" s="134"/>
      <c r="AA2756" s="134"/>
      <c r="AB2756" s="134"/>
      <c r="AC2756" s="134"/>
      <c r="AD2756" s="134"/>
    </row>
    <row r="2757">
      <c r="A2757" s="143"/>
      <c r="B2757" s="134"/>
      <c r="C2757" s="134"/>
      <c r="D2757" s="134"/>
      <c r="E2757" s="134"/>
      <c r="F2757" s="134"/>
      <c r="G2757" s="134"/>
      <c r="H2757" s="134"/>
      <c r="J2757" s="134"/>
      <c r="K2757" s="135"/>
      <c r="L2757" s="136"/>
      <c r="M2757" s="144"/>
      <c r="T2757" s="52"/>
      <c r="V2757" s="134"/>
      <c r="W2757" s="134"/>
      <c r="X2757" s="134"/>
      <c r="Y2757" s="134"/>
      <c r="Z2757" s="134"/>
      <c r="AA2757" s="134"/>
      <c r="AB2757" s="134"/>
      <c r="AC2757" s="134"/>
      <c r="AD2757" s="134"/>
    </row>
    <row r="2758">
      <c r="A2758" s="143"/>
      <c r="B2758" s="134"/>
      <c r="C2758" s="134"/>
      <c r="D2758" s="134"/>
      <c r="E2758" s="134"/>
      <c r="F2758" s="134"/>
      <c r="G2758" s="134"/>
      <c r="H2758" s="134"/>
      <c r="J2758" s="134"/>
      <c r="K2758" s="135"/>
      <c r="L2758" s="136"/>
      <c r="M2758" s="144"/>
      <c r="T2758" s="52"/>
      <c r="V2758" s="134"/>
      <c r="W2758" s="134"/>
      <c r="X2758" s="134"/>
      <c r="Y2758" s="134"/>
      <c r="Z2758" s="134"/>
      <c r="AA2758" s="134"/>
      <c r="AB2758" s="134"/>
      <c r="AC2758" s="134"/>
      <c r="AD2758" s="134"/>
    </row>
    <row r="2759">
      <c r="A2759" s="143"/>
      <c r="B2759" s="134"/>
      <c r="C2759" s="134"/>
      <c r="D2759" s="134"/>
      <c r="E2759" s="134"/>
      <c r="F2759" s="134"/>
      <c r="G2759" s="134"/>
      <c r="H2759" s="134"/>
      <c r="J2759" s="134"/>
      <c r="K2759" s="135"/>
      <c r="L2759" s="136"/>
      <c r="M2759" s="144"/>
      <c r="T2759" s="52"/>
      <c r="V2759" s="134"/>
      <c r="W2759" s="134"/>
      <c r="X2759" s="134"/>
      <c r="Y2759" s="134"/>
      <c r="Z2759" s="134"/>
      <c r="AA2759" s="134"/>
      <c r="AB2759" s="134"/>
      <c r="AC2759" s="134"/>
      <c r="AD2759" s="134"/>
    </row>
    <row r="2760">
      <c r="A2760" s="143"/>
      <c r="B2760" s="134"/>
      <c r="C2760" s="134"/>
      <c r="D2760" s="134"/>
      <c r="E2760" s="134"/>
      <c r="F2760" s="134"/>
      <c r="G2760" s="134"/>
      <c r="H2760" s="134"/>
      <c r="J2760" s="134"/>
      <c r="K2760" s="135"/>
      <c r="L2760" s="136"/>
      <c r="M2760" s="144"/>
      <c r="T2760" s="52"/>
      <c r="V2760" s="134"/>
      <c r="W2760" s="134"/>
      <c r="X2760" s="134"/>
      <c r="Y2760" s="134"/>
      <c r="Z2760" s="134"/>
      <c r="AA2760" s="134"/>
      <c r="AB2760" s="134"/>
      <c r="AC2760" s="134"/>
      <c r="AD2760" s="134"/>
    </row>
    <row r="2761">
      <c r="A2761" s="143"/>
      <c r="B2761" s="134"/>
      <c r="C2761" s="134"/>
      <c r="D2761" s="134"/>
      <c r="E2761" s="134"/>
      <c r="F2761" s="134"/>
      <c r="G2761" s="134"/>
      <c r="H2761" s="134"/>
      <c r="J2761" s="134"/>
      <c r="K2761" s="135"/>
      <c r="L2761" s="136"/>
      <c r="M2761" s="144"/>
      <c r="T2761" s="52"/>
      <c r="V2761" s="134"/>
      <c r="W2761" s="134"/>
      <c r="X2761" s="134"/>
      <c r="Y2761" s="134"/>
      <c r="Z2761" s="134"/>
      <c r="AA2761" s="134"/>
      <c r="AB2761" s="134"/>
      <c r="AC2761" s="134"/>
      <c r="AD2761" s="134"/>
    </row>
    <row r="2762">
      <c r="A2762" s="143"/>
      <c r="B2762" s="134"/>
      <c r="C2762" s="134"/>
      <c r="D2762" s="134"/>
      <c r="E2762" s="134"/>
      <c r="F2762" s="134"/>
      <c r="G2762" s="134"/>
      <c r="H2762" s="134"/>
      <c r="J2762" s="134"/>
      <c r="K2762" s="135"/>
      <c r="L2762" s="136"/>
      <c r="M2762" s="144"/>
      <c r="T2762" s="52"/>
      <c r="V2762" s="134"/>
      <c r="W2762" s="134"/>
      <c r="X2762" s="134"/>
      <c r="Y2762" s="134"/>
      <c r="Z2762" s="134"/>
      <c r="AA2762" s="134"/>
      <c r="AB2762" s="134"/>
      <c r="AC2762" s="134"/>
      <c r="AD2762" s="134"/>
    </row>
    <row r="2763">
      <c r="A2763" s="143"/>
      <c r="B2763" s="134"/>
      <c r="C2763" s="134"/>
      <c r="D2763" s="134"/>
      <c r="E2763" s="134"/>
      <c r="F2763" s="134"/>
      <c r="G2763" s="134"/>
      <c r="H2763" s="134"/>
      <c r="J2763" s="134"/>
      <c r="K2763" s="135"/>
      <c r="L2763" s="136"/>
      <c r="M2763" s="144"/>
      <c r="T2763" s="52"/>
      <c r="V2763" s="134"/>
      <c r="W2763" s="134"/>
      <c r="X2763" s="134"/>
      <c r="Y2763" s="134"/>
      <c r="Z2763" s="134"/>
      <c r="AA2763" s="134"/>
      <c r="AB2763" s="134"/>
      <c r="AC2763" s="134"/>
      <c r="AD2763" s="134"/>
    </row>
    <row r="2764">
      <c r="A2764" s="143"/>
      <c r="B2764" s="134"/>
      <c r="C2764" s="134"/>
      <c r="D2764" s="134"/>
      <c r="E2764" s="134"/>
      <c r="F2764" s="134"/>
      <c r="G2764" s="134"/>
      <c r="H2764" s="134"/>
      <c r="J2764" s="134"/>
      <c r="K2764" s="135"/>
      <c r="L2764" s="136"/>
      <c r="M2764" s="144"/>
      <c r="T2764" s="52"/>
      <c r="V2764" s="134"/>
      <c r="W2764" s="134"/>
      <c r="X2764" s="134"/>
      <c r="Y2764" s="134"/>
      <c r="Z2764" s="134"/>
      <c r="AA2764" s="134"/>
      <c r="AB2764" s="134"/>
      <c r="AC2764" s="134"/>
      <c r="AD2764" s="134"/>
    </row>
    <row r="2765">
      <c r="A2765" s="143"/>
      <c r="B2765" s="134"/>
      <c r="C2765" s="134"/>
      <c r="D2765" s="134"/>
      <c r="E2765" s="134"/>
      <c r="F2765" s="134"/>
      <c r="G2765" s="134"/>
      <c r="H2765" s="134"/>
      <c r="J2765" s="134"/>
      <c r="K2765" s="135"/>
      <c r="L2765" s="136"/>
      <c r="M2765" s="144"/>
      <c r="T2765" s="52"/>
      <c r="V2765" s="134"/>
      <c r="W2765" s="134"/>
      <c r="X2765" s="134"/>
      <c r="Y2765" s="134"/>
      <c r="Z2765" s="134"/>
      <c r="AA2765" s="134"/>
      <c r="AB2765" s="134"/>
      <c r="AC2765" s="134"/>
      <c r="AD2765" s="134"/>
    </row>
    <row r="2766">
      <c r="A2766" s="143"/>
      <c r="B2766" s="134"/>
      <c r="C2766" s="134"/>
      <c r="D2766" s="134"/>
      <c r="E2766" s="134"/>
      <c r="F2766" s="134"/>
      <c r="G2766" s="134"/>
      <c r="H2766" s="134"/>
      <c r="J2766" s="134"/>
      <c r="K2766" s="135"/>
      <c r="L2766" s="136"/>
      <c r="M2766" s="144"/>
      <c r="T2766" s="52"/>
      <c r="V2766" s="134"/>
      <c r="W2766" s="134"/>
      <c r="X2766" s="134"/>
      <c r="Y2766" s="134"/>
      <c r="Z2766" s="134"/>
      <c r="AA2766" s="134"/>
      <c r="AB2766" s="134"/>
      <c r="AC2766" s="134"/>
      <c r="AD2766" s="134"/>
    </row>
    <row r="2767">
      <c r="A2767" s="143"/>
      <c r="B2767" s="134"/>
      <c r="C2767" s="134"/>
      <c r="D2767" s="134"/>
      <c r="E2767" s="134"/>
      <c r="F2767" s="134"/>
      <c r="G2767" s="134"/>
      <c r="H2767" s="134"/>
      <c r="J2767" s="134"/>
      <c r="K2767" s="135"/>
      <c r="L2767" s="136"/>
      <c r="M2767" s="144"/>
      <c r="T2767" s="52"/>
      <c r="V2767" s="134"/>
      <c r="W2767" s="134"/>
      <c r="X2767" s="134"/>
      <c r="Y2767" s="134"/>
      <c r="Z2767" s="134"/>
      <c r="AA2767" s="134"/>
      <c r="AB2767" s="134"/>
      <c r="AC2767" s="134"/>
      <c r="AD2767" s="134"/>
    </row>
    <row r="2768">
      <c r="A2768" s="143"/>
      <c r="B2768" s="134"/>
      <c r="C2768" s="134"/>
      <c r="D2768" s="134"/>
      <c r="E2768" s="134"/>
      <c r="F2768" s="134"/>
      <c r="G2768" s="134"/>
      <c r="H2768" s="134"/>
      <c r="J2768" s="134"/>
      <c r="K2768" s="135"/>
      <c r="L2768" s="136"/>
      <c r="M2768" s="144"/>
      <c r="T2768" s="52"/>
      <c r="V2768" s="134"/>
      <c r="W2768" s="134"/>
      <c r="X2768" s="134"/>
      <c r="Y2768" s="134"/>
      <c r="Z2768" s="134"/>
      <c r="AA2768" s="134"/>
      <c r="AB2768" s="134"/>
      <c r="AC2768" s="134"/>
      <c r="AD2768" s="134"/>
    </row>
    <row r="2769">
      <c r="A2769" s="143"/>
      <c r="B2769" s="134"/>
      <c r="C2769" s="134"/>
      <c r="D2769" s="134"/>
      <c r="E2769" s="134"/>
      <c r="F2769" s="134"/>
      <c r="G2769" s="134"/>
      <c r="H2769" s="134"/>
      <c r="J2769" s="134"/>
      <c r="K2769" s="135"/>
      <c r="L2769" s="136"/>
      <c r="M2769" s="144"/>
      <c r="T2769" s="52"/>
      <c r="V2769" s="134"/>
      <c r="W2769" s="134"/>
      <c r="X2769" s="134"/>
      <c r="Y2769" s="134"/>
      <c r="Z2769" s="134"/>
      <c r="AA2769" s="134"/>
      <c r="AB2769" s="134"/>
      <c r="AC2769" s="134"/>
      <c r="AD2769" s="134"/>
    </row>
    <row r="2770">
      <c r="A2770" s="143"/>
      <c r="B2770" s="134"/>
      <c r="C2770" s="134"/>
      <c r="D2770" s="134"/>
      <c r="E2770" s="134"/>
      <c r="F2770" s="134"/>
      <c r="G2770" s="134"/>
      <c r="H2770" s="134"/>
      <c r="J2770" s="134"/>
      <c r="K2770" s="135"/>
      <c r="L2770" s="136"/>
      <c r="M2770" s="144"/>
      <c r="T2770" s="52"/>
      <c r="V2770" s="134"/>
      <c r="W2770" s="134"/>
      <c r="X2770" s="134"/>
      <c r="Y2770" s="134"/>
      <c r="Z2770" s="134"/>
      <c r="AA2770" s="134"/>
      <c r="AB2770" s="134"/>
      <c r="AC2770" s="134"/>
      <c r="AD2770" s="134"/>
    </row>
    <row r="2771">
      <c r="A2771" s="143"/>
      <c r="B2771" s="134"/>
      <c r="C2771" s="134"/>
      <c r="D2771" s="134"/>
      <c r="E2771" s="134"/>
      <c r="F2771" s="134"/>
      <c r="G2771" s="134"/>
      <c r="H2771" s="134"/>
      <c r="J2771" s="134"/>
      <c r="K2771" s="135"/>
      <c r="L2771" s="136"/>
      <c r="M2771" s="144"/>
      <c r="T2771" s="52"/>
      <c r="V2771" s="134"/>
      <c r="W2771" s="134"/>
      <c r="X2771" s="134"/>
      <c r="Y2771" s="134"/>
      <c r="Z2771" s="134"/>
      <c r="AA2771" s="134"/>
      <c r="AB2771" s="134"/>
      <c r="AC2771" s="134"/>
      <c r="AD2771" s="134"/>
    </row>
    <row r="2772">
      <c r="A2772" s="143"/>
      <c r="B2772" s="134"/>
      <c r="C2772" s="134"/>
      <c r="D2772" s="134"/>
      <c r="E2772" s="134"/>
      <c r="F2772" s="134"/>
      <c r="G2772" s="134"/>
      <c r="H2772" s="134"/>
      <c r="J2772" s="134"/>
      <c r="K2772" s="135"/>
      <c r="L2772" s="136"/>
      <c r="M2772" s="144"/>
      <c r="T2772" s="52"/>
      <c r="V2772" s="134"/>
      <c r="W2772" s="134"/>
      <c r="X2772" s="134"/>
      <c r="Y2772" s="134"/>
      <c r="Z2772" s="134"/>
      <c r="AA2772" s="134"/>
      <c r="AB2772" s="134"/>
      <c r="AC2772" s="134"/>
      <c r="AD2772" s="134"/>
    </row>
    <row r="2773">
      <c r="A2773" s="143"/>
      <c r="B2773" s="134"/>
      <c r="C2773" s="134"/>
      <c r="D2773" s="134"/>
      <c r="E2773" s="134"/>
      <c r="F2773" s="134"/>
      <c r="G2773" s="134"/>
      <c r="H2773" s="134"/>
      <c r="J2773" s="134"/>
      <c r="K2773" s="135"/>
      <c r="L2773" s="136"/>
      <c r="M2773" s="144"/>
      <c r="T2773" s="52"/>
      <c r="V2773" s="134"/>
      <c r="W2773" s="134"/>
      <c r="X2773" s="134"/>
      <c r="Y2773" s="134"/>
      <c r="Z2773" s="134"/>
      <c r="AA2773" s="134"/>
      <c r="AB2773" s="134"/>
      <c r="AC2773" s="134"/>
      <c r="AD2773" s="134"/>
    </row>
    <row r="2774">
      <c r="A2774" s="143"/>
      <c r="B2774" s="134"/>
      <c r="C2774" s="134"/>
      <c r="D2774" s="134"/>
      <c r="E2774" s="134"/>
      <c r="F2774" s="134"/>
      <c r="G2774" s="134"/>
      <c r="H2774" s="134"/>
      <c r="J2774" s="134"/>
      <c r="K2774" s="135"/>
      <c r="L2774" s="136"/>
      <c r="M2774" s="144"/>
      <c r="T2774" s="52"/>
      <c r="V2774" s="134"/>
      <c r="W2774" s="134"/>
      <c r="X2774" s="134"/>
      <c r="Y2774" s="134"/>
      <c r="Z2774" s="134"/>
      <c r="AA2774" s="134"/>
      <c r="AB2774" s="134"/>
      <c r="AC2774" s="134"/>
      <c r="AD2774" s="134"/>
    </row>
    <row r="2775">
      <c r="A2775" s="143"/>
      <c r="B2775" s="134"/>
      <c r="C2775" s="134"/>
      <c r="D2775" s="134"/>
      <c r="E2775" s="134"/>
      <c r="F2775" s="134"/>
      <c r="G2775" s="134"/>
      <c r="H2775" s="134"/>
      <c r="J2775" s="134"/>
      <c r="K2775" s="135"/>
      <c r="L2775" s="136"/>
      <c r="M2775" s="144"/>
      <c r="T2775" s="52"/>
      <c r="V2775" s="134"/>
      <c r="W2775" s="134"/>
      <c r="X2775" s="134"/>
      <c r="Y2775" s="134"/>
      <c r="Z2775" s="134"/>
      <c r="AA2775" s="134"/>
      <c r="AB2775" s="134"/>
      <c r="AC2775" s="134"/>
      <c r="AD2775" s="134"/>
    </row>
    <row r="2776">
      <c r="A2776" s="143"/>
      <c r="B2776" s="134"/>
      <c r="C2776" s="134"/>
      <c r="D2776" s="134"/>
      <c r="E2776" s="134"/>
      <c r="F2776" s="134"/>
      <c r="G2776" s="134"/>
      <c r="H2776" s="134"/>
      <c r="J2776" s="134"/>
      <c r="K2776" s="135"/>
      <c r="L2776" s="136"/>
      <c r="M2776" s="144"/>
      <c r="T2776" s="52"/>
      <c r="V2776" s="134"/>
      <c r="W2776" s="134"/>
      <c r="X2776" s="134"/>
      <c r="Y2776" s="134"/>
      <c r="Z2776" s="134"/>
      <c r="AA2776" s="134"/>
      <c r="AB2776" s="134"/>
      <c r="AC2776" s="134"/>
      <c r="AD2776" s="134"/>
    </row>
    <row r="2777">
      <c r="A2777" s="143"/>
      <c r="B2777" s="134"/>
      <c r="C2777" s="134"/>
      <c r="D2777" s="134"/>
      <c r="E2777" s="134"/>
      <c r="F2777" s="134"/>
      <c r="G2777" s="134"/>
      <c r="H2777" s="134"/>
      <c r="J2777" s="134"/>
      <c r="K2777" s="135"/>
      <c r="L2777" s="136"/>
      <c r="M2777" s="144"/>
      <c r="T2777" s="52"/>
      <c r="V2777" s="134"/>
      <c r="W2777" s="134"/>
      <c r="X2777" s="134"/>
      <c r="Y2777" s="134"/>
      <c r="Z2777" s="134"/>
      <c r="AA2777" s="134"/>
      <c r="AB2777" s="134"/>
      <c r="AC2777" s="134"/>
      <c r="AD2777" s="134"/>
    </row>
    <row r="2778">
      <c r="A2778" s="143"/>
      <c r="B2778" s="134"/>
      <c r="C2778" s="134"/>
      <c r="D2778" s="134"/>
      <c r="E2778" s="134"/>
      <c r="F2778" s="134"/>
      <c r="G2778" s="134"/>
      <c r="H2778" s="134"/>
      <c r="J2778" s="134"/>
      <c r="K2778" s="135"/>
      <c r="L2778" s="136"/>
      <c r="M2778" s="144"/>
      <c r="T2778" s="52"/>
      <c r="V2778" s="134"/>
      <c r="W2778" s="134"/>
      <c r="X2778" s="134"/>
      <c r="Y2778" s="134"/>
      <c r="Z2778" s="134"/>
      <c r="AA2778" s="134"/>
      <c r="AB2778" s="134"/>
      <c r="AC2778" s="134"/>
      <c r="AD2778" s="134"/>
    </row>
    <row r="2779">
      <c r="A2779" s="143"/>
      <c r="B2779" s="134"/>
      <c r="C2779" s="134"/>
      <c r="D2779" s="134"/>
      <c r="E2779" s="134"/>
      <c r="F2779" s="134"/>
      <c r="G2779" s="134"/>
      <c r="H2779" s="134"/>
      <c r="J2779" s="134"/>
      <c r="K2779" s="135"/>
      <c r="L2779" s="136"/>
      <c r="M2779" s="144"/>
      <c r="T2779" s="52"/>
      <c r="V2779" s="134"/>
      <c r="W2779" s="134"/>
      <c r="X2779" s="134"/>
      <c r="Y2779" s="134"/>
      <c r="Z2779" s="134"/>
      <c r="AA2779" s="134"/>
      <c r="AB2779" s="134"/>
      <c r="AC2779" s="134"/>
      <c r="AD2779" s="134"/>
    </row>
    <row r="2780">
      <c r="A2780" s="143"/>
      <c r="B2780" s="134"/>
      <c r="C2780" s="134"/>
      <c r="D2780" s="134"/>
      <c r="E2780" s="134"/>
      <c r="F2780" s="134"/>
      <c r="G2780" s="134"/>
      <c r="H2780" s="134"/>
      <c r="J2780" s="134"/>
      <c r="K2780" s="135"/>
      <c r="L2780" s="136"/>
      <c r="M2780" s="144"/>
      <c r="T2780" s="52"/>
      <c r="V2780" s="134"/>
      <c r="W2780" s="134"/>
      <c r="X2780" s="134"/>
      <c r="Y2780" s="134"/>
      <c r="Z2780" s="134"/>
      <c r="AA2780" s="134"/>
      <c r="AB2780" s="134"/>
      <c r="AC2780" s="134"/>
      <c r="AD2780" s="134"/>
    </row>
    <row r="2781">
      <c r="A2781" s="143"/>
      <c r="B2781" s="134"/>
      <c r="C2781" s="134"/>
      <c r="D2781" s="134"/>
      <c r="E2781" s="134"/>
      <c r="F2781" s="134"/>
      <c r="G2781" s="134"/>
      <c r="H2781" s="134"/>
      <c r="J2781" s="134"/>
      <c r="K2781" s="135"/>
      <c r="L2781" s="136"/>
      <c r="M2781" s="144"/>
      <c r="T2781" s="52"/>
      <c r="V2781" s="134"/>
      <c r="W2781" s="134"/>
      <c r="X2781" s="134"/>
      <c r="Y2781" s="134"/>
      <c r="Z2781" s="134"/>
      <c r="AA2781" s="134"/>
      <c r="AB2781" s="134"/>
      <c r="AC2781" s="134"/>
      <c r="AD2781" s="134"/>
    </row>
    <row r="2782">
      <c r="A2782" s="143"/>
      <c r="B2782" s="134"/>
      <c r="C2782" s="134"/>
      <c r="D2782" s="134"/>
      <c r="E2782" s="134"/>
      <c r="F2782" s="134"/>
      <c r="G2782" s="134"/>
      <c r="H2782" s="134"/>
      <c r="J2782" s="134"/>
      <c r="K2782" s="135"/>
      <c r="L2782" s="136"/>
      <c r="M2782" s="144"/>
      <c r="T2782" s="52"/>
      <c r="V2782" s="134"/>
      <c r="W2782" s="134"/>
      <c r="X2782" s="134"/>
      <c r="Y2782" s="134"/>
      <c r="Z2782" s="134"/>
      <c r="AA2782" s="134"/>
      <c r="AB2782" s="134"/>
      <c r="AC2782" s="134"/>
      <c r="AD2782" s="134"/>
    </row>
    <row r="2783">
      <c r="A2783" s="143"/>
      <c r="B2783" s="134"/>
      <c r="C2783" s="134"/>
      <c r="D2783" s="134"/>
      <c r="E2783" s="134"/>
      <c r="F2783" s="134"/>
      <c r="G2783" s="134"/>
      <c r="H2783" s="134"/>
      <c r="J2783" s="134"/>
      <c r="K2783" s="135"/>
      <c r="L2783" s="136"/>
      <c r="M2783" s="144"/>
      <c r="T2783" s="52"/>
      <c r="V2783" s="134"/>
      <c r="W2783" s="134"/>
      <c r="X2783" s="134"/>
      <c r="Y2783" s="134"/>
      <c r="Z2783" s="134"/>
      <c r="AA2783" s="134"/>
      <c r="AB2783" s="134"/>
      <c r="AC2783" s="134"/>
      <c r="AD2783" s="134"/>
    </row>
    <row r="2784">
      <c r="A2784" s="143"/>
      <c r="B2784" s="134"/>
      <c r="C2784" s="134"/>
      <c r="D2784" s="134"/>
      <c r="E2784" s="134"/>
      <c r="F2784" s="134"/>
      <c r="G2784" s="134"/>
      <c r="H2784" s="134"/>
      <c r="J2784" s="134"/>
      <c r="K2784" s="135"/>
      <c r="L2784" s="136"/>
      <c r="M2784" s="144"/>
      <c r="T2784" s="52"/>
      <c r="V2784" s="134"/>
      <c r="W2784" s="134"/>
      <c r="X2784" s="134"/>
      <c r="Y2784" s="134"/>
      <c r="Z2784" s="134"/>
      <c r="AA2784" s="134"/>
      <c r="AB2784" s="134"/>
      <c r="AC2784" s="134"/>
      <c r="AD2784" s="134"/>
    </row>
    <row r="2785">
      <c r="A2785" s="143"/>
      <c r="B2785" s="134"/>
      <c r="C2785" s="134"/>
      <c r="D2785" s="134"/>
      <c r="E2785" s="134"/>
      <c r="F2785" s="134"/>
      <c r="G2785" s="134"/>
      <c r="H2785" s="134"/>
      <c r="J2785" s="134"/>
      <c r="K2785" s="135"/>
      <c r="L2785" s="136"/>
      <c r="M2785" s="144"/>
      <c r="T2785" s="52"/>
      <c r="V2785" s="134"/>
      <c r="W2785" s="134"/>
      <c r="X2785" s="134"/>
      <c r="Y2785" s="134"/>
      <c r="Z2785" s="134"/>
      <c r="AA2785" s="134"/>
      <c r="AB2785" s="134"/>
      <c r="AC2785" s="134"/>
      <c r="AD2785" s="134"/>
    </row>
    <row r="2786">
      <c r="A2786" s="143"/>
      <c r="B2786" s="134"/>
      <c r="C2786" s="134"/>
      <c r="D2786" s="134"/>
      <c r="E2786" s="134"/>
      <c r="F2786" s="134"/>
      <c r="G2786" s="134"/>
      <c r="H2786" s="134"/>
      <c r="J2786" s="134"/>
      <c r="K2786" s="135"/>
      <c r="L2786" s="136"/>
      <c r="M2786" s="144"/>
      <c r="T2786" s="52"/>
      <c r="V2786" s="134"/>
      <c r="W2786" s="134"/>
      <c r="X2786" s="134"/>
      <c r="Y2786" s="134"/>
      <c r="Z2786" s="134"/>
      <c r="AA2786" s="134"/>
      <c r="AB2786" s="134"/>
      <c r="AC2786" s="134"/>
      <c r="AD2786" s="134"/>
    </row>
    <row r="2787">
      <c r="A2787" s="143"/>
      <c r="B2787" s="134"/>
      <c r="C2787" s="134"/>
      <c r="D2787" s="134"/>
      <c r="E2787" s="134"/>
      <c r="F2787" s="134"/>
      <c r="G2787" s="134"/>
      <c r="H2787" s="134"/>
      <c r="J2787" s="134"/>
      <c r="K2787" s="135"/>
      <c r="L2787" s="136"/>
      <c r="M2787" s="144"/>
      <c r="T2787" s="52"/>
      <c r="V2787" s="134"/>
      <c r="W2787" s="134"/>
      <c r="X2787" s="134"/>
      <c r="Y2787" s="134"/>
      <c r="Z2787" s="134"/>
      <c r="AA2787" s="134"/>
      <c r="AB2787" s="134"/>
      <c r="AC2787" s="134"/>
      <c r="AD2787" s="134"/>
    </row>
    <row r="2788">
      <c r="A2788" s="143"/>
      <c r="B2788" s="134"/>
      <c r="C2788" s="134"/>
      <c r="D2788" s="134"/>
      <c r="E2788" s="134"/>
      <c r="F2788" s="134"/>
      <c r="G2788" s="134"/>
      <c r="H2788" s="134"/>
      <c r="J2788" s="134"/>
      <c r="K2788" s="135"/>
      <c r="L2788" s="136"/>
      <c r="M2788" s="144"/>
      <c r="T2788" s="52"/>
      <c r="V2788" s="134"/>
      <c r="W2788" s="134"/>
      <c r="X2788" s="134"/>
      <c r="Y2788" s="134"/>
      <c r="Z2788" s="134"/>
      <c r="AA2788" s="134"/>
      <c r="AB2788" s="134"/>
      <c r="AC2788" s="134"/>
      <c r="AD2788" s="134"/>
    </row>
    <row r="2789">
      <c r="A2789" s="143"/>
      <c r="B2789" s="134"/>
      <c r="C2789" s="134"/>
      <c r="D2789" s="134"/>
      <c r="E2789" s="134"/>
      <c r="F2789" s="134"/>
      <c r="G2789" s="134"/>
      <c r="H2789" s="134"/>
      <c r="J2789" s="134"/>
      <c r="K2789" s="135"/>
      <c r="L2789" s="136"/>
      <c r="M2789" s="144"/>
      <c r="T2789" s="52"/>
      <c r="V2789" s="134"/>
      <c r="W2789" s="134"/>
      <c r="X2789" s="134"/>
      <c r="Y2789" s="134"/>
      <c r="Z2789" s="134"/>
      <c r="AA2789" s="134"/>
      <c r="AB2789" s="134"/>
      <c r="AC2789" s="134"/>
      <c r="AD2789" s="134"/>
    </row>
    <row r="2790">
      <c r="A2790" s="143"/>
      <c r="B2790" s="134"/>
      <c r="C2790" s="134"/>
      <c r="D2790" s="134"/>
      <c r="E2790" s="134"/>
      <c r="F2790" s="134"/>
      <c r="G2790" s="134"/>
      <c r="H2790" s="134"/>
      <c r="J2790" s="134"/>
      <c r="K2790" s="135"/>
      <c r="L2790" s="136"/>
      <c r="M2790" s="144"/>
      <c r="T2790" s="52"/>
      <c r="V2790" s="134"/>
      <c r="W2790" s="134"/>
      <c r="X2790" s="134"/>
      <c r="Y2790" s="134"/>
      <c r="Z2790" s="134"/>
      <c r="AA2790" s="134"/>
      <c r="AB2790" s="134"/>
      <c r="AC2790" s="134"/>
      <c r="AD2790" s="134"/>
    </row>
    <row r="2791">
      <c r="A2791" s="143"/>
      <c r="B2791" s="134"/>
      <c r="C2791" s="134"/>
      <c r="D2791" s="134"/>
      <c r="E2791" s="134"/>
      <c r="F2791" s="134"/>
      <c r="G2791" s="134"/>
      <c r="H2791" s="134"/>
      <c r="J2791" s="134"/>
      <c r="K2791" s="135"/>
      <c r="L2791" s="136"/>
      <c r="M2791" s="144"/>
      <c r="T2791" s="52"/>
      <c r="V2791" s="134"/>
      <c r="W2791" s="134"/>
      <c r="X2791" s="134"/>
      <c r="Y2791" s="134"/>
      <c r="Z2791" s="134"/>
      <c r="AA2791" s="134"/>
      <c r="AB2791" s="134"/>
      <c r="AC2791" s="134"/>
      <c r="AD2791" s="134"/>
    </row>
    <row r="2792">
      <c r="A2792" s="143"/>
      <c r="B2792" s="134"/>
      <c r="C2792" s="134"/>
      <c r="D2792" s="134"/>
      <c r="E2792" s="134"/>
      <c r="F2792" s="134"/>
      <c r="G2792" s="134"/>
      <c r="H2792" s="134"/>
      <c r="J2792" s="134"/>
      <c r="K2792" s="135"/>
      <c r="L2792" s="136"/>
      <c r="M2792" s="144"/>
      <c r="T2792" s="52"/>
      <c r="V2792" s="134"/>
      <c r="W2792" s="134"/>
      <c r="X2792" s="134"/>
      <c r="Y2792" s="134"/>
      <c r="Z2792" s="134"/>
      <c r="AA2792" s="134"/>
      <c r="AB2792" s="134"/>
      <c r="AC2792" s="134"/>
      <c r="AD2792" s="134"/>
    </row>
    <row r="2793">
      <c r="A2793" s="143"/>
      <c r="B2793" s="134"/>
      <c r="C2793" s="134"/>
      <c r="D2793" s="134"/>
      <c r="E2793" s="134"/>
      <c r="F2793" s="134"/>
      <c r="G2793" s="134"/>
      <c r="H2793" s="134"/>
      <c r="J2793" s="134"/>
      <c r="K2793" s="135"/>
      <c r="L2793" s="136"/>
      <c r="M2793" s="144"/>
      <c r="T2793" s="52"/>
      <c r="V2793" s="134"/>
      <c r="W2793" s="134"/>
      <c r="X2793" s="134"/>
      <c r="Y2793" s="134"/>
      <c r="Z2793" s="134"/>
      <c r="AA2793" s="134"/>
      <c r="AB2793" s="134"/>
      <c r="AC2793" s="134"/>
      <c r="AD2793" s="134"/>
    </row>
    <row r="2794">
      <c r="A2794" s="143"/>
      <c r="B2794" s="134"/>
      <c r="C2794" s="134"/>
      <c r="D2794" s="134"/>
      <c r="E2794" s="134"/>
      <c r="F2794" s="134"/>
      <c r="G2794" s="134"/>
      <c r="H2794" s="134"/>
      <c r="J2794" s="134"/>
      <c r="K2794" s="135"/>
      <c r="L2794" s="136"/>
      <c r="M2794" s="144"/>
      <c r="T2794" s="52"/>
      <c r="V2794" s="134"/>
      <c r="W2794" s="134"/>
      <c r="X2794" s="134"/>
      <c r="Y2794" s="134"/>
      <c r="Z2794" s="134"/>
      <c r="AA2794" s="134"/>
      <c r="AB2794" s="134"/>
      <c r="AC2794" s="134"/>
      <c r="AD2794" s="134"/>
    </row>
    <row r="2795">
      <c r="A2795" s="143"/>
      <c r="B2795" s="134"/>
      <c r="C2795" s="134"/>
      <c r="D2795" s="134"/>
      <c r="E2795" s="134"/>
      <c r="F2795" s="134"/>
      <c r="G2795" s="134"/>
      <c r="H2795" s="134"/>
      <c r="J2795" s="134"/>
      <c r="K2795" s="135"/>
      <c r="L2795" s="136"/>
      <c r="M2795" s="144"/>
      <c r="T2795" s="52"/>
      <c r="V2795" s="134"/>
      <c r="W2795" s="134"/>
      <c r="X2795" s="134"/>
      <c r="Y2795" s="134"/>
      <c r="Z2795" s="134"/>
      <c r="AA2795" s="134"/>
      <c r="AB2795" s="134"/>
      <c r="AC2795" s="134"/>
      <c r="AD2795" s="134"/>
    </row>
    <row r="2796">
      <c r="A2796" s="143"/>
      <c r="B2796" s="134"/>
      <c r="C2796" s="134"/>
      <c r="D2796" s="134"/>
      <c r="E2796" s="134"/>
      <c r="F2796" s="134"/>
      <c r="G2796" s="134"/>
      <c r="H2796" s="134"/>
      <c r="J2796" s="134"/>
      <c r="K2796" s="135"/>
      <c r="L2796" s="136"/>
      <c r="M2796" s="144"/>
      <c r="T2796" s="52"/>
      <c r="V2796" s="134"/>
      <c r="W2796" s="134"/>
      <c r="X2796" s="134"/>
      <c r="Y2796" s="134"/>
      <c r="Z2796" s="134"/>
      <c r="AA2796" s="134"/>
      <c r="AB2796" s="134"/>
      <c r="AC2796" s="134"/>
      <c r="AD2796" s="134"/>
    </row>
    <row r="2797">
      <c r="A2797" s="143"/>
      <c r="B2797" s="134"/>
      <c r="C2797" s="134"/>
      <c r="D2797" s="134"/>
      <c r="E2797" s="134"/>
      <c r="F2797" s="134"/>
      <c r="G2797" s="134"/>
      <c r="H2797" s="134"/>
      <c r="J2797" s="134"/>
      <c r="K2797" s="135"/>
      <c r="L2797" s="136"/>
      <c r="M2797" s="144"/>
      <c r="T2797" s="52"/>
      <c r="V2797" s="134"/>
      <c r="W2797" s="134"/>
      <c r="X2797" s="134"/>
      <c r="Y2797" s="134"/>
      <c r="Z2797" s="134"/>
      <c r="AA2797" s="134"/>
      <c r="AB2797" s="134"/>
      <c r="AC2797" s="134"/>
      <c r="AD2797" s="134"/>
    </row>
    <row r="2798">
      <c r="A2798" s="143"/>
      <c r="B2798" s="134"/>
      <c r="C2798" s="134"/>
      <c r="D2798" s="134"/>
      <c r="E2798" s="134"/>
      <c r="F2798" s="134"/>
      <c r="G2798" s="134"/>
      <c r="H2798" s="134"/>
      <c r="J2798" s="134"/>
      <c r="K2798" s="135"/>
      <c r="L2798" s="136"/>
      <c r="M2798" s="144"/>
      <c r="T2798" s="52"/>
      <c r="V2798" s="134"/>
      <c r="W2798" s="134"/>
      <c r="X2798" s="134"/>
      <c r="Y2798" s="134"/>
      <c r="Z2798" s="134"/>
      <c r="AA2798" s="134"/>
      <c r="AB2798" s="134"/>
      <c r="AC2798" s="134"/>
      <c r="AD2798" s="134"/>
    </row>
    <row r="2799">
      <c r="A2799" s="143"/>
      <c r="B2799" s="134"/>
      <c r="C2799" s="134"/>
      <c r="D2799" s="134"/>
      <c r="E2799" s="134"/>
      <c r="F2799" s="134"/>
      <c r="G2799" s="134"/>
      <c r="H2799" s="134"/>
      <c r="J2799" s="134"/>
      <c r="K2799" s="135"/>
      <c r="L2799" s="136"/>
      <c r="M2799" s="144"/>
      <c r="T2799" s="52"/>
      <c r="V2799" s="134"/>
      <c r="W2799" s="134"/>
      <c r="X2799" s="134"/>
      <c r="Y2799" s="134"/>
      <c r="Z2799" s="134"/>
      <c r="AA2799" s="134"/>
      <c r="AB2799" s="134"/>
      <c r="AC2799" s="134"/>
      <c r="AD2799" s="134"/>
    </row>
    <row r="2800">
      <c r="A2800" s="143"/>
      <c r="B2800" s="134"/>
      <c r="C2800" s="134"/>
      <c r="D2800" s="134"/>
      <c r="E2800" s="134"/>
      <c r="F2800" s="134"/>
      <c r="G2800" s="134"/>
      <c r="H2800" s="134"/>
      <c r="J2800" s="134"/>
      <c r="K2800" s="135"/>
      <c r="L2800" s="136"/>
      <c r="M2800" s="144"/>
      <c r="T2800" s="52"/>
      <c r="V2800" s="134"/>
      <c r="W2800" s="134"/>
      <c r="X2800" s="134"/>
      <c r="Y2800" s="134"/>
      <c r="Z2800" s="134"/>
      <c r="AA2800" s="134"/>
      <c r="AB2800" s="134"/>
      <c r="AC2800" s="134"/>
      <c r="AD2800" s="134"/>
    </row>
    <row r="2801">
      <c r="A2801" s="143"/>
      <c r="B2801" s="134"/>
      <c r="C2801" s="134"/>
      <c r="D2801" s="134"/>
      <c r="E2801" s="134"/>
      <c r="F2801" s="134"/>
      <c r="G2801" s="134"/>
      <c r="H2801" s="134"/>
      <c r="J2801" s="134"/>
      <c r="K2801" s="135"/>
      <c r="L2801" s="136"/>
      <c r="M2801" s="144"/>
      <c r="T2801" s="52"/>
      <c r="V2801" s="134"/>
      <c r="W2801" s="134"/>
      <c r="X2801" s="134"/>
      <c r="Y2801" s="134"/>
      <c r="Z2801" s="134"/>
      <c r="AA2801" s="134"/>
      <c r="AB2801" s="134"/>
      <c r="AC2801" s="134"/>
      <c r="AD2801" s="134"/>
    </row>
    <row r="2802">
      <c r="A2802" s="143"/>
      <c r="B2802" s="134"/>
      <c r="C2802" s="134"/>
      <c r="D2802" s="134"/>
      <c r="E2802" s="134"/>
      <c r="F2802" s="134"/>
      <c r="G2802" s="134"/>
      <c r="H2802" s="134"/>
      <c r="J2802" s="134"/>
      <c r="K2802" s="135"/>
      <c r="L2802" s="136"/>
      <c r="M2802" s="144"/>
      <c r="T2802" s="52"/>
      <c r="V2802" s="134"/>
      <c r="W2802" s="134"/>
      <c r="X2802" s="134"/>
      <c r="Y2802" s="134"/>
      <c r="Z2802" s="134"/>
      <c r="AA2802" s="134"/>
      <c r="AB2802" s="134"/>
      <c r="AC2802" s="134"/>
      <c r="AD2802" s="134"/>
    </row>
    <row r="2803">
      <c r="A2803" s="143"/>
      <c r="B2803" s="134"/>
      <c r="C2803" s="134"/>
      <c r="D2803" s="134"/>
      <c r="E2803" s="134"/>
      <c r="F2803" s="134"/>
      <c r="G2803" s="134"/>
      <c r="H2803" s="134"/>
      <c r="J2803" s="134"/>
      <c r="K2803" s="135"/>
      <c r="L2803" s="136"/>
      <c r="M2803" s="144"/>
      <c r="T2803" s="52"/>
      <c r="V2803" s="134"/>
      <c r="W2803" s="134"/>
      <c r="X2803" s="134"/>
      <c r="Y2803" s="134"/>
      <c r="Z2803" s="134"/>
      <c r="AA2803" s="134"/>
      <c r="AB2803" s="134"/>
      <c r="AC2803" s="134"/>
      <c r="AD2803" s="134"/>
    </row>
    <row r="2804">
      <c r="A2804" s="143"/>
      <c r="B2804" s="134"/>
      <c r="C2804" s="134"/>
      <c r="D2804" s="134"/>
      <c r="E2804" s="134"/>
      <c r="F2804" s="134"/>
      <c r="G2804" s="134"/>
      <c r="H2804" s="134"/>
      <c r="J2804" s="134"/>
      <c r="K2804" s="135"/>
      <c r="L2804" s="136"/>
      <c r="M2804" s="144"/>
      <c r="T2804" s="52"/>
      <c r="V2804" s="134"/>
      <c r="W2804" s="134"/>
      <c r="X2804" s="134"/>
      <c r="Y2804" s="134"/>
      <c r="Z2804" s="134"/>
      <c r="AA2804" s="134"/>
      <c r="AB2804" s="134"/>
      <c r="AC2804" s="134"/>
      <c r="AD2804" s="134"/>
    </row>
    <row r="2805">
      <c r="A2805" s="143"/>
      <c r="B2805" s="134"/>
      <c r="C2805" s="134"/>
      <c r="D2805" s="134"/>
      <c r="E2805" s="134"/>
      <c r="F2805" s="134"/>
      <c r="G2805" s="134"/>
      <c r="H2805" s="134"/>
      <c r="J2805" s="134"/>
      <c r="K2805" s="135"/>
      <c r="L2805" s="136"/>
      <c r="M2805" s="144"/>
      <c r="T2805" s="52"/>
      <c r="V2805" s="134"/>
      <c r="W2805" s="134"/>
      <c r="X2805" s="134"/>
      <c r="Y2805" s="134"/>
      <c r="Z2805" s="134"/>
      <c r="AA2805" s="134"/>
      <c r="AB2805" s="134"/>
      <c r="AC2805" s="134"/>
      <c r="AD2805" s="134"/>
    </row>
    <row r="2806">
      <c r="A2806" s="143"/>
      <c r="B2806" s="134"/>
      <c r="C2806" s="134"/>
      <c r="D2806" s="134"/>
      <c r="E2806" s="134"/>
      <c r="F2806" s="134"/>
      <c r="G2806" s="134"/>
      <c r="H2806" s="134"/>
      <c r="J2806" s="134"/>
      <c r="K2806" s="135"/>
      <c r="L2806" s="136"/>
      <c r="M2806" s="144"/>
      <c r="T2806" s="52"/>
      <c r="V2806" s="134"/>
      <c r="W2806" s="134"/>
      <c r="X2806" s="134"/>
      <c r="Y2806" s="134"/>
      <c r="Z2806" s="134"/>
      <c r="AA2806" s="134"/>
      <c r="AB2806" s="134"/>
      <c r="AC2806" s="134"/>
      <c r="AD2806" s="134"/>
    </row>
    <row r="2807">
      <c r="A2807" s="143"/>
      <c r="B2807" s="134"/>
      <c r="C2807" s="134"/>
      <c r="D2807" s="134"/>
      <c r="E2807" s="134"/>
      <c r="F2807" s="134"/>
      <c r="G2807" s="134"/>
      <c r="H2807" s="134"/>
      <c r="J2807" s="134"/>
      <c r="K2807" s="135"/>
      <c r="L2807" s="136"/>
      <c r="M2807" s="144"/>
      <c r="T2807" s="52"/>
      <c r="V2807" s="134"/>
      <c r="W2807" s="134"/>
      <c r="X2807" s="134"/>
      <c r="Y2807" s="134"/>
      <c r="Z2807" s="134"/>
      <c r="AA2807" s="134"/>
      <c r="AB2807" s="134"/>
      <c r="AC2807" s="134"/>
      <c r="AD2807" s="134"/>
    </row>
    <row r="2808">
      <c r="A2808" s="143"/>
      <c r="B2808" s="134"/>
      <c r="C2808" s="134"/>
      <c r="D2808" s="134"/>
      <c r="E2808" s="134"/>
      <c r="F2808" s="134"/>
      <c r="G2808" s="134"/>
      <c r="H2808" s="134"/>
      <c r="J2808" s="134"/>
      <c r="K2808" s="135"/>
      <c r="L2808" s="136"/>
      <c r="M2808" s="144"/>
      <c r="T2808" s="52"/>
      <c r="V2808" s="134"/>
      <c r="W2808" s="134"/>
      <c r="X2808" s="134"/>
      <c r="Y2808" s="134"/>
      <c r="Z2808" s="134"/>
      <c r="AA2808" s="134"/>
      <c r="AB2808" s="134"/>
      <c r="AC2808" s="134"/>
      <c r="AD2808" s="134"/>
    </row>
    <row r="2809">
      <c r="A2809" s="143"/>
      <c r="B2809" s="134"/>
      <c r="C2809" s="134"/>
      <c r="D2809" s="134"/>
      <c r="E2809" s="134"/>
      <c r="F2809" s="134"/>
      <c r="G2809" s="134"/>
      <c r="H2809" s="134"/>
      <c r="J2809" s="134"/>
      <c r="K2809" s="135"/>
      <c r="L2809" s="136"/>
      <c r="M2809" s="144"/>
      <c r="T2809" s="52"/>
      <c r="V2809" s="134"/>
      <c r="W2809" s="134"/>
      <c r="X2809" s="134"/>
      <c r="Y2809" s="134"/>
      <c r="Z2809" s="134"/>
      <c r="AA2809" s="134"/>
      <c r="AB2809" s="134"/>
      <c r="AC2809" s="134"/>
      <c r="AD2809" s="134"/>
    </row>
    <row r="2810">
      <c r="A2810" s="143"/>
      <c r="B2810" s="134"/>
      <c r="C2810" s="134"/>
      <c r="D2810" s="134"/>
      <c r="E2810" s="134"/>
      <c r="F2810" s="134"/>
      <c r="G2810" s="134"/>
      <c r="H2810" s="134"/>
      <c r="J2810" s="134"/>
      <c r="K2810" s="135"/>
      <c r="L2810" s="136"/>
      <c r="M2810" s="144"/>
      <c r="T2810" s="52"/>
      <c r="V2810" s="134"/>
      <c r="W2810" s="134"/>
      <c r="X2810" s="134"/>
      <c r="Y2810" s="134"/>
      <c r="Z2810" s="134"/>
      <c r="AA2810" s="134"/>
      <c r="AB2810" s="134"/>
      <c r="AC2810" s="134"/>
      <c r="AD2810" s="134"/>
    </row>
    <row r="2811">
      <c r="A2811" s="143"/>
      <c r="B2811" s="134"/>
      <c r="C2811" s="134"/>
      <c r="D2811" s="134"/>
      <c r="E2811" s="134"/>
      <c r="F2811" s="134"/>
      <c r="G2811" s="134"/>
      <c r="H2811" s="134"/>
      <c r="J2811" s="134"/>
      <c r="K2811" s="135"/>
      <c r="L2811" s="136"/>
      <c r="M2811" s="144"/>
      <c r="T2811" s="52"/>
      <c r="V2811" s="134"/>
      <c r="W2811" s="134"/>
      <c r="X2811" s="134"/>
      <c r="Y2811" s="134"/>
      <c r="Z2811" s="134"/>
      <c r="AA2811" s="134"/>
      <c r="AB2811" s="134"/>
      <c r="AC2811" s="134"/>
      <c r="AD2811" s="134"/>
    </row>
    <row r="2812">
      <c r="A2812" s="143"/>
      <c r="B2812" s="134"/>
      <c r="C2812" s="134"/>
      <c r="D2812" s="134"/>
      <c r="E2812" s="134"/>
      <c r="F2812" s="134"/>
      <c r="G2812" s="134"/>
      <c r="H2812" s="134"/>
      <c r="J2812" s="134"/>
      <c r="K2812" s="135"/>
      <c r="L2812" s="136"/>
      <c r="M2812" s="144"/>
      <c r="T2812" s="52"/>
      <c r="V2812" s="134"/>
      <c r="W2812" s="134"/>
      <c r="X2812" s="134"/>
      <c r="Y2812" s="134"/>
      <c r="Z2812" s="134"/>
      <c r="AA2812" s="134"/>
      <c r="AB2812" s="134"/>
      <c r="AC2812" s="134"/>
      <c r="AD2812" s="134"/>
    </row>
    <row r="2813">
      <c r="A2813" s="143"/>
      <c r="B2813" s="134"/>
      <c r="C2813" s="134"/>
      <c r="D2813" s="134"/>
      <c r="E2813" s="134"/>
      <c r="F2813" s="134"/>
      <c r="G2813" s="134"/>
      <c r="H2813" s="134"/>
      <c r="J2813" s="134"/>
      <c r="K2813" s="135"/>
      <c r="L2813" s="136"/>
      <c r="M2813" s="144"/>
      <c r="T2813" s="52"/>
      <c r="V2813" s="134"/>
      <c r="W2813" s="134"/>
      <c r="X2813" s="134"/>
      <c r="Y2813" s="134"/>
      <c r="Z2813" s="134"/>
      <c r="AA2813" s="134"/>
      <c r="AB2813" s="134"/>
      <c r="AC2813" s="134"/>
      <c r="AD2813" s="134"/>
    </row>
    <row r="2814">
      <c r="A2814" s="143"/>
      <c r="B2814" s="134"/>
      <c r="C2814" s="134"/>
      <c r="D2814" s="134"/>
      <c r="E2814" s="134"/>
      <c r="F2814" s="134"/>
      <c r="G2814" s="134"/>
      <c r="H2814" s="134"/>
      <c r="J2814" s="134"/>
      <c r="K2814" s="135"/>
      <c r="L2814" s="136"/>
      <c r="M2814" s="144"/>
      <c r="T2814" s="52"/>
      <c r="V2814" s="134"/>
      <c r="W2814" s="134"/>
      <c r="X2814" s="134"/>
      <c r="Y2814" s="134"/>
      <c r="Z2814" s="134"/>
      <c r="AA2814" s="134"/>
      <c r="AB2814" s="134"/>
      <c r="AC2814" s="134"/>
      <c r="AD2814" s="134"/>
    </row>
    <row r="2815">
      <c r="A2815" s="143"/>
      <c r="B2815" s="134"/>
      <c r="C2815" s="134"/>
      <c r="D2815" s="134"/>
      <c r="E2815" s="134"/>
      <c r="F2815" s="134"/>
      <c r="G2815" s="134"/>
      <c r="H2815" s="134"/>
      <c r="J2815" s="134"/>
      <c r="K2815" s="135"/>
      <c r="L2815" s="136"/>
      <c r="M2815" s="144"/>
      <c r="T2815" s="52"/>
      <c r="V2815" s="134"/>
      <c r="W2815" s="134"/>
      <c r="X2815" s="134"/>
      <c r="Y2815" s="134"/>
      <c r="Z2815" s="134"/>
      <c r="AA2815" s="134"/>
      <c r="AB2815" s="134"/>
      <c r="AC2815" s="134"/>
      <c r="AD2815" s="134"/>
    </row>
    <row r="2816">
      <c r="A2816" s="143"/>
      <c r="B2816" s="134"/>
      <c r="C2816" s="134"/>
      <c r="D2816" s="134"/>
      <c r="E2816" s="134"/>
      <c r="F2816" s="134"/>
      <c r="G2816" s="134"/>
      <c r="H2816" s="134"/>
      <c r="J2816" s="134"/>
      <c r="K2816" s="135"/>
      <c r="L2816" s="136"/>
      <c r="M2816" s="144"/>
      <c r="T2816" s="52"/>
      <c r="V2816" s="134"/>
      <c r="W2816" s="134"/>
      <c r="X2816" s="134"/>
      <c r="Y2816" s="134"/>
      <c r="Z2816" s="134"/>
      <c r="AA2816" s="134"/>
      <c r="AB2816" s="134"/>
      <c r="AC2816" s="134"/>
      <c r="AD2816" s="134"/>
    </row>
    <row r="2817">
      <c r="A2817" s="143"/>
      <c r="B2817" s="134"/>
      <c r="C2817" s="134"/>
      <c r="D2817" s="134"/>
      <c r="E2817" s="134"/>
      <c r="F2817" s="134"/>
      <c r="G2817" s="134"/>
      <c r="H2817" s="134"/>
      <c r="J2817" s="134"/>
      <c r="K2817" s="135"/>
      <c r="L2817" s="136"/>
      <c r="M2817" s="144"/>
      <c r="T2817" s="52"/>
      <c r="V2817" s="134"/>
      <c r="W2817" s="134"/>
      <c r="X2817" s="134"/>
      <c r="Y2817" s="134"/>
      <c r="Z2817" s="134"/>
      <c r="AA2817" s="134"/>
      <c r="AB2817" s="134"/>
      <c r="AC2817" s="134"/>
      <c r="AD2817" s="134"/>
    </row>
    <row r="2818">
      <c r="A2818" s="143"/>
      <c r="B2818" s="134"/>
      <c r="C2818" s="134"/>
      <c r="D2818" s="134"/>
      <c r="E2818" s="134"/>
      <c r="F2818" s="134"/>
      <c r="G2818" s="134"/>
      <c r="H2818" s="134"/>
      <c r="J2818" s="134"/>
      <c r="K2818" s="135"/>
      <c r="L2818" s="136"/>
      <c r="M2818" s="144"/>
      <c r="T2818" s="52"/>
      <c r="V2818" s="134"/>
      <c r="W2818" s="134"/>
      <c r="X2818" s="134"/>
      <c r="Y2818" s="134"/>
      <c r="Z2818" s="134"/>
      <c r="AA2818" s="134"/>
      <c r="AB2818" s="134"/>
      <c r="AC2818" s="134"/>
      <c r="AD2818" s="134"/>
    </row>
    <row r="2819">
      <c r="A2819" s="143"/>
      <c r="B2819" s="134"/>
      <c r="C2819" s="134"/>
      <c r="D2819" s="134"/>
      <c r="E2819" s="134"/>
      <c r="F2819" s="134"/>
      <c r="G2819" s="134"/>
      <c r="H2819" s="134"/>
      <c r="J2819" s="134"/>
      <c r="K2819" s="135"/>
      <c r="L2819" s="136"/>
      <c r="M2819" s="144"/>
      <c r="T2819" s="52"/>
      <c r="V2819" s="134"/>
      <c r="W2819" s="134"/>
      <c r="X2819" s="134"/>
      <c r="Y2819" s="134"/>
      <c r="Z2819" s="134"/>
      <c r="AA2819" s="134"/>
      <c r="AB2819" s="134"/>
      <c r="AC2819" s="134"/>
      <c r="AD2819" s="134"/>
    </row>
    <row r="2820">
      <c r="A2820" s="143"/>
      <c r="B2820" s="134"/>
      <c r="C2820" s="134"/>
      <c r="D2820" s="134"/>
      <c r="E2820" s="134"/>
      <c r="F2820" s="134"/>
      <c r="G2820" s="134"/>
      <c r="H2820" s="134"/>
      <c r="J2820" s="134"/>
      <c r="K2820" s="135"/>
      <c r="L2820" s="136"/>
      <c r="M2820" s="144"/>
      <c r="T2820" s="52"/>
      <c r="V2820" s="134"/>
      <c r="W2820" s="134"/>
      <c r="X2820" s="134"/>
      <c r="Y2820" s="134"/>
      <c r="Z2820" s="134"/>
      <c r="AA2820" s="134"/>
      <c r="AB2820" s="134"/>
      <c r="AC2820" s="134"/>
      <c r="AD2820" s="134"/>
    </row>
    <row r="2821">
      <c r="A2821" s="143"/>
      <c r="B2821" s="134"/>
      <c r="C2821" s="134"/>
      <c r="D2821" s="134"/>
      <c r="E2821" s="134"/>
      <c r="F2821" s="134"/>
      <c r="G2821" s="134"/>
      <c r="H2821" s="134"/>
      <c r="J2821" s="134"/>
      <c r="K2821" s="135"/>
      <c r="L2821" s="136"/>
      <c r="M2821" s="144"/>
      <c r="T2821" s="52"/>
      <c r="V2821" s="134"/>
      <c r="W2821" s="134"/>
      <c r="X2821" s="134"/>
      <c r="Y2821" s="134"/>
      <c r="Z2821" s="134"/>
      <c r="AA2821" s="134"/>
      <c r="AB2821" s="134"/>
      <c r="AC2821" s="134"/>
      <c r="AD2821" s="134"/>
    </row>
    <row r="2822">
      <c r="A2822" s="143"/>
      <c r="B2822" s="134"/>
      <c r="C2822" s="134"/>
      <c r="D2822" s="134"/>
      <c r="E2822" s="134"/>
      <c r="F2822" s="134"/>
      <c r="G2822" s="134"/>
      <c r="H2822" s="134"/>
      <c r="J2822" s="134"/>
      <c r="K2822" s="135"/>
      <c r="L2822" s="136"/>
      <c r="M2822" s="144"/>
      <c r="T2822" s="52"/>
      <c r="V2822" s="134"/>
      <c r="W2822" s="134"/>
      <c r="X2822" s="134"/>
      <c r="Y2822" s="134"/>
      <c r="Z2822" s="134"/>
      <c r="AA2822" s="134"/>
      <c r="AB2822" s="134"/>
      <c r="AC2822" s="134"/>
      <c r="AD2822" s="134"/>
    </row>
    <row r="2823">
      <c r="A2823" s="143"/>
      <c r="B2823" s="134"/>
      <c r="C2823" s="134"/>
      <c r="D2823" s="134"/>
      <c r="E2823" s="134"/>
      <c r="F2823" s="134"/>
      <c r="G2823" s="134"/>
      <c r="H2823" s="134"/>
      <c r="J2823" s="134"/>
      <c r="K2823" s="135"/>
      <c r="L2823" s="136"/>
      <c r="M2823" s="144"/>
      <c r="T2823" s="52"/>
      <c r="V2823" s="134"/>
      <c r="W2823" s="134"/>
      <c r="X2823" s="134"/>
      <c r="Y2823" s="134"/>
      <c r="Z2823" s="134"/>
      <c r="AA2823" s="134"/>
      <c r="AB2823" s="134"/>
      <c r="AC2823" s="134"/>
      <c r="AD2823" s="134"/>
    </row>
    <row r="2824">
      <c r="A2824" s="143"/>
      <c r="B2824" s="134"/>
      <c r="C2824" s="134"/>
      <c r="D2824" s="134"/>
      <c r="E2824" s="134"/>
      <c r="F2824" s="134"/>
      <c r="G2824" s="134"/>
      <c r="H2824" s="134"/>
      <c r="J2824" s="134"/>
      <c r="K2824" s="135"/>
      <c r="L2824" s="136"/>
      <c r="M2824" s="144"/>
      <c r="T2824" s="52"/>
      <c r="V2824" s="134"/>
      <c r="W2824" s="134"/>
      <c r="X2824" s="134"/>
      <c r="Y2824" s="134"/>
      <c r="Z2824" s="134"/>
      <c r="AA2824" s="134"/>
      <c r="AB2824" s="134"/>
      <c r="AC2824" s="134"/>
      <c r="AD2824" s="134"/>
    </row>
    <row r="2825">
      <c r="A2825" s="143"/>
      <c r="B2825" s="134"/>
      <c r="C2825" s="134"/>
      <c r="D2825" s="134"/>
      <c r="E2825" s="134"/>
      <c r="F2825" s="134"/>
      <c r="G2825" s="134"/>
      <c r="H2825" s="134"/>
      <c r="J2825" s="134"/>
      <c r="K2825" s="135"/>
      <c r="L2825" s="136"/>
      <c r="M2825" s="144"/>
      <c r="T2825" s="52"/>
      <c r="V2825" s="134"/>
      <c r="W2825" s="134"/>
      <c r="X2825" s="134"/>
      <c r="Y2825" s="134"/>
      <c r="Z2825" s="134"/>
      <c r="AA2825" s="134"/>
      <c r="AB2825" s="134"/>
      <c r="AC2825" s="134"/>
      <c r="AD2825" s="134"/>
    </row>
    <row r="2826">
      <c r="A2826" s="143"/>
      <c r="B2826" s="134"/>
      <c r="C2826" s="134"/>
      <c r="D2826" s="134"/>
      <c r="E2826" s="134"/>
      <c r="F2826" s="134"/>
      <c r="G2826" s="134"/>
      <c r="H2826" s="134"/>
      <c r="J2826" s="134"/>
      <c r="K2826" s="135"/>
      <c r="L2826" s="136"/>
      <c r="M2826" s="144"/>
      <c r="T2826" s="52"/>
      <c r="V2826" s="134"/>
      <c r="W2826" s="134"/>
      <c r="X2826" s="134"/>
      <c r="Y2826" s="134"/>
      <c r="Z2826" s="134"/>
      <c r="AA2826" s="134"/>
      <c r="AB2826" s="134"/>
      <c r="AC2826" s="134"/>
      <c r="AD2826" s="134"/>
    </row>
    <row r="2827">
      <c r="A2827" s="143"/>
      <c r="B2827" s="134"/>
      <c r="C2827" s="134"/>
      <c r="D2827" s="134"/>
      <c r="E2827" s="134"/>
      <c r="F2827" s="134"/>
      <c r="G2827" s="134"/>
      <c r="H2827" s="134"/>
      <c r="J2827" s="134"/>
      <c r="K2827" s="135"/>
      <c r="L2827" s="136"/>
      <c r="M2827" s="144"/>
      <c r="T2827" s="52"/>
      <c r="V2827" s="134"/>
      <c r="W2827" s="134"/>
      <c r="X2827" s="134"/>
      <c r="Y2827" s="134"/>
      <c r="Z2827" s="134"/>
      <c r="AA2827" s="134"/>
      <c r="AB2827" s="134"/>
      <c r="AC2827" s="134"/>
      <c r="AD2827" s="134"/>
    </row>
    <row r="2828">
      <c r="A2828" s="143"/>
      <c r="B2828" s="134"/>
      <c r="C2828" s="134"/>
      <c r="D2828" s="134"/>
      <c r="E2828" s="134"/>
      <c r="F2828" s="134"/>
      <c r="G2828" s="134"/>
      <c r="H2828" s="134"/>
      <c r="J2828" s="134"/>
      <c r="K2828" s="135"/>
      <c r="L2828" s="136"/>
      <c r="M2828" s="144"/>
      <c r="T2828" s="52"/>
      <c r="V2828" s="134"/>
      <c r="W2828" s="134"/>
      <c r="X2828" s="134"/>
      <c r="Y2828" s="134"/>
      <c r="Z2828" s="134"/>
      <c r="AA2828" s="134"/>
      <c r="AB2828" s="134"/>
      <c r="AC2828" s="134"/>
      <c r="AD2828" s="134"/>
    </row>
    <row r="2829">
      <c r="A2829" s="143"/>
      <c r="B2829" s="134"/>
      <c r="C2829" s="134"/>
      <c r="D2829" s="134"/>
      <c r="E2829" s="134"/>
      <c r="F2829" s="134"/>
      <c r="G2829" s="134"/>
      <c r="H2829" s="134"/>
      <c r="J2829" s="134"/>
      <c r="K2829" s="135"/>
      <c r="L2829" s="136"/>
      <c r="M2829" s="144"/>
      <c r="T2829" s="52"/>
      <c r="V2829" s="134"/>
      <c r="W2829" s="134"/>
      <c r="X2829" s="134"/>
      <c r="Y2829" s="134"/>
      <c r="Z2829" s="134"/>
      <c r="AA2829" s="134"/>
      <c r="AB2829" s="134"/>
      <c r="AC2829" s="134"/>
      <c r="AD2829" s="134"/>
    </row>
    <row r="2830">
      <c r="A2830" s="143"/>
      <c r="B2830" s="134"/>
      <c r="C2830" s="134"/>
      <c r="D2830" s="134"/>
      <c r="E2830" s="134"/>
      <c r="F2830" s="134"/>
      <c r="G2830" s="134"/>
      <c r="H2830" s="134"/>
      <c r="J2830" s="134"/>
      <c r="K2830" s="135"/>
      <c r="L2830" s="136"/>
      <c r="M2830" s="144"/>
      <c r="T2830" s="52"/>
      <c r="V2830" s="134"/>
      <c r="W2830" s="134"/>
      <c r="X2830" s="134"/>
      <c r="Y2830" s="134"/>
      <c r="Z2830" s="134"/>
      <c r="AA2830" s="134"/>
      <c r="AB2830" s="134"/>
      <c r="AC2830" s="134"/>
      <c r="AD2830" s="134"/>
    </row>
    <row r="2831">
      <c r="A2831" s="143"/>
      <c r="B2831" s="134"/>
      <c r="C2831" s="134"/>
      <c r="D2831" s="134"/>
      <c r="E2831" s="134"/>
      <c r="F2831" s="134"/>
      <c r="G2831" s="134"/>
      <c r="H2831" s="134"/>
      <c r="J2831" s="134"/>
      <c r="K2831" s="135"/>
      <c r="L2831" s="136"/>
      <c r="M2831" s="144"/>
      <c r="T2831" s="52"/>
      <c r="V2831" s="134"/>
      <c r="W2831" s="134"/>
      <c r="X2831" s="134"/>
      <c r="Y2831" s="134"/>
      <c r="Z2831" s="134"/>
      <c r="AA2831" s="134"/>
      <c r="AB2831" s="134"/>
      <c r="AC2831" s="134"/>
      <c r="AD2831" s="134"/>
    </row>
    <row r="2832">
      <c r="A2832" s="143"/>
      <c r="B2832" s="134"/>
      <c r="C2832" s="134"/>
      <c r="D2832" s="134"/>
      <c r="E2832" s="134"/>
      <c r="F2832" s="134"/>
      <c r="G2832" s="134"/>
      <c r="H2832" s="134"/>
      <c r="J2832" s="134"/>
      <c r="K2832" s="135"/>
      <c r="L2832" s="136"/>
      <c r="M2832" s="144"/>
      <c r="T2832" s="52"/>
      <c r="V2832" s="134"/>
      <c r="W2832" s="134"/>
      <c r="X2832" s="134"/>
      <c r="Y2832" s="134"/>
      <c r="Z2832" s="134"/>
      <c r="AA2832" s="134"/>
      <c r="AB2832" s="134"/>
      <c r="AC2832" s="134"/>
      <c r="AD2832" s="134"/>
    </row>
    <row r="2833">
      <c r="A2833" s="143"/>
      <c r="B2833" s="134"/>
      <c r="C2833" s="134"/>
      <c r="D2833" s="134"/>
      <c r="E2833" s="134"/>
      <c r="F2833" s="134"/>
      <c r="G2833" s="134"/>
      <c r="H2833" s="134"/>
      <c r="J2833" s="134"/>
      <c r="K2833" s="135"/>
      <c r="L2833" s="136"/>
      <c r="M2833" s="144"/>
      <c r="T2833" s="52"/>
      <c r="V2833" s="134"/>
      <c r="W2833" s="134"/>
      <c r="X2833" s="134"/>
      <c r="Y2833" s="134"/>
      <c r="Z2833" s="134"/>
      <c r="AA2833" s="134"/>
      <c r="AB2833" s="134"/>
      <c r="AC2833" s="134"/>
      <c r="AD2833" s="134"/>
    </row>
    <row r="2834">
      <c r="A2834" s="143"/>
      <c r="B2834" s="134"/>
      <c r="C2834" s="134"/>
      <c r="D2834" s="134"/>
      <c r="E2834" s="134"/>
      <c r="F2834" s="134"/>
      <c r="G2834" s="134"/>
      <c r="H2834" s="134"/>
      <c r="J2834" s="134"/>
      <c r="K2834" s="135"/>
      <c r="L2834" s="136"/>
      <c r="M2834" s="144"/>
      <c r="T2834" s="52"/>
      <c r="V2834" s="134"/>
      <c r="W2834" s="134"/>
      <c r="X2834" s="134"/>
      <c r="Y2834" s="134"/>
      <c r="Z2834" s="134"/>
      <c r="AA2834" s="134"/>
      <c r="AB2834" s="134"/>
      <c r="AC2834" s="134"/>
      <c r="AD2834" s="134"/>
    </row>
    <row r="2835">
      <c r="A2835" s="143"/>
      <c r="B2835" s="134"/>
      <c r="C2835" s="134"/>
      <c r="D2835" s="134"/>
      <c r="E2835" s="134"/>
      <c r="F2835" s="134"/>
      <c r="G2835" s="134"/>
      <c r="H2835" s="134"/>
      <c r="J2835" s="134"/>
      <c r="K2835" s="135"/>
      <c r="L2835" s="136"/>
      <c r="M2835" s="144"/>
      <c r="T2835" s="52"/>
      <c r="V2835" s="134"/>
      <c r="W2835" s="134"/>
      <c r="X2835" s="134"/>
      <c r="Y2835" s="134"/>
      <c r="Z2835" s="134"/>
      <c r="AA2835" s="134"/>
      <c r="AB2835" s="134"/>
      <c r="AC2835" s="134"/>
      <c r="AD2835" s="134"/>
    </row>
    <row r="2836">
      <c r="A2836" s="143"/>
      <c r="B2836" s="134"/>
      <c r="C2836" s="134"/>
      <c r="D2836" s="134"/>
      <c r="E2836" s="134"/>
      <c r="F2836" s="134"/>
      <c r="G2836" s="134"/>
      <c r="H2836" s="134"/>
      <c r="J2836" s="134"/>
      <c r="K2836" s="135"/>
      <c r="L2836" s="136"/>
      <c r="M2836" s="144"/>
      <c r="T2836" s="52"/>
      <c r="V2836" s="134"/>
      <c r="W2836" s="134"/>
      <c r="X2836" s="134"/>
      <c r="Y2836" s="134"/>
      <c r="Z2836" s="134"/>
      <c r="AA2836" s="134"/>
      <c r="AB2836" s="134"/>
      <c r="AC2836" s="134"/>
      <c r="AD2836" s="134"/>
    </row>
    <row r="2837">
      <c r="A2837" s="143"/>
      <c r="B2837" s="134"/>
      <c r="C2837" s="134"/>
      <c r="D2837" s="134"/>
      <c r="E2837" s="134"/>
      <c r="F2837" s="134"/>
      <c r="G2837" s="134"/>
      <c r="H2837" s="134"/>
      <c r="J2837" s="134"/>
      <c r="K2837" s="135"/>
      <c r="L2837" s="136"/>
      <c r="M2837" s="144"/>
      <c r="T2837" s="52"/>
      <c r="V2837" s="134"/>
      <c r="W2837" s="134"/>
      <c r="X2837" s="134"/>
      <c r="Y2837" s="134"/>
      <c r="Z2837" s="134"/>
      <c r="AA2837" s="134"/>
      <c r="AB2837" s="134"/>
      <c r="AC2837" s="134"/>
      <c r="AD2837" s="134"/>
    </row>
    <row r="2838">
      <c r="A2838" s="143"/>
      <c r="B2838" s="134"/>
      <c r="C2838" s="134"/>
      <c r="D2838" s="134"/>
      <c r="E2838" s="134"/>
      <c r="F2838" s="134"/>
      <c r="G2838" s="134"/>
      <c r="H2838" s="134"/>
      <c r="J2838" s="134"/>
      <c r="K2838" s="135"/>
      <c r="L2838" s="136"/>
      <c r="M2838" s="144"/>
      <c r="T2838" s="52"/>
      <c r="V2838" s="134"/>
      <c r="W2838" s="134"/>
      <c r="X2838" s="134"/>
      <c r="Y2838" s="134"/>
      <c r="Z2838" s="134"/>
      <c r="AA2838" s="134"/>
      <c r="AB2838" s="134"/>
      <c r="AC2838" s="134"/>
      <c r="AD2838" s="134"/>
    </row>
    <row r="2839">
      <c r="A2839" s="143"/>
      <c r="B2839" s="134"/>
      <c r="C2839" s="134"/>
      <c r="D2839" s="134"/>
      <c r="E2839" s="134"/>
      <c r="F2839" s="134"/>
      <c r="G2839" s="134"/>
      <c r="H2839" s="134"/>
      <c r="J2839" s="134"/>
      <c r="K2839" s="135"/>
      <c r="L2839" s="136"/>
      <c r="M2839" s="144"/>
      <c r="T2839" s="52"/>
      <c r="V2839" s="134"/>
      <c r="W2839" s="134"/>
      <c r="X2839" s="134"/>
      <c r="Y2839" s="134"/>
      <c r="Z2839" s="134"/>
      <c r="AA2839" s="134"/>
      <c r="AB2839" s="134"/>
      <c r="AC2839" s="134"/>
      <c r="AD2839" s="134"/>
    </row>
    <row r="2840">
      <c r="A2840" s="143"/>
      <c r="B2840" s="134"/>
      <c r="C2840" s="134"/>
      <c r="D2840" s="134"/>
      <c r="E2840" s="134"/>
      <c r="F2840" s="134"/>
      <c r="G2840" s="134"/>
      <c r="H2840" s="134"/>
      <c r="J2840" s="134"/>
      <c r="K2840" s="135"/>
      <c r="L2840" s="136"/>
      <c r="M2840" s="144"/>
      <c r="T2840" s="52"/>
      <c r="V2840" s="134"/>
      <c r="W2840" s="134"/>
      <c r="X2840" s="134"/>
      <c r="Y2840" s="134"/>
      <c r="Z2840" s="134"/>
      <c r="AA2840" s="134"/>
      <c r="AB2840" s="134"/>
      <c r="AC2840" s="134"/>
      <c r="AD2840" s="134"/>
    </row>
    <row r="2841">
      <c r="A2841" s="143"/>
      <c r="B2841" s="134"/>
      <c r="C2841" s="134"/>
      <c r="D2841" s="134"/>
      <c r="E2841" s="134"/>
      <c r="F2841" s="134"/>
      <c r="G2841" s="134"/>
      <c r="H2841" s="134"/>
      <c r="J2841" s="134"/>
      <c r="K2841" s="135"/>
      <c r="L2841" s="136"/>
      <c r="M2841" s="144"/>
      <c r="T2841" s="52"/>
      <c r="V2841" s="134"/>
      <c r="W2841" s="134"/>
      <c r="X2841" s="134"/>
      <c r="Y2841" s="134"/>
      <c r="Z2841" s="134"/>
      <c r="AA2841" s="134"/>
      <c r="AB2841" s="134"/>
      <c r="AC2841" s="134"/>
      <c r="AD2841" s="134"/>
    </row>
    <row r="2842">
      <c r="A2842" s="143"/>
      <c r="B2842" s="134"/>
      <c r="C2842" s="134"/>
      <c r="D2842" s="134"/>
      <c r="E2842" s="134"/>
      <c r="F2842" s="134"/>
      <c r="G2842" s="134"/>
      <c r="H2842" s="134"/>
      <c r="J2842" s="134"/>
      <c r="K2842" s="135"/>
      <c r="L2842" s="136"/>
      <c r="M2842" s="144"/>
      <c r="T2842" s="52"/>
      <c r="V2842" s="134"/>
      <c r="W2842" s="134"/>
      <c r="X2842" s="134"/>
      <c r="Y2842" s="134"/>
      <c r="Z2842" s="134"/>
      <c r="AA2842" s="134"/>
      <c r="AB2842" s="134"/>
      <c r="AC2842" s="134"/>
      <c r="AD2842" s="134"/>
    </row>
    <row r="2843">
      <c r="A2843" s="143"/>
      <c r="B2843" s="134"/>
      <c r="C2843" s="134"/>
      <c r="D2843" s="134"/>
      <c r="E2843" s="134"/>
      <c r="F2843" s="134"/>
      <c r="G2843" s="134"/>
      <c r="H2843" s="134"/>
      <c r="J2843" s="134"/>
      <c r="K2843" s="135"/>
      <c r="L2843" s="136"/>
      <c r="M2843" s="144"/>
      <c r="T2843" s="52"/>
      <c r="V2843" s="134"/>
      <c r="W2843" s="134"/>
      <c r="X2843" s="134"/>
      <c r="Y2843" s="134"/>
      <c r="Z2843" s="134"/>
      <c r="AA2843" s="134"/>
      <c r="AB2843" s="134"/>
      <c r="AC2843" s="134"/>
      <c r="AD2843" s="134"/>
    </row>
    <row r="2844">
      <c r="A2844" s="143"/>
      <c r="B2844" s="134"/>
      <c r="C2844" s="134"/>
      <c r="D2844" s="134"/>
      <c r="E2844" s="134"/>
      <c r="F2844" s="134"/>
      <c r="G2844" s="134"/>
      <c r="H2844" s="134"/>
      <c r="J2844" s="134"/>
      <c r="K2844" s="135"/>
      <c r="L2844" s="136"/>
      <c r="M2844" s="144"/>
      <c r="T2844" s="52"/>
      <c r="V2844" s="134"/>
      <c r="W2844" s="134"/>
      <c r="X2844" s="134"/>
      <c r="Y2844" s="134"/>
      <c r="Z2844" s="134"/>
      <c r="AA2844" s="134"/>
      <c r="AB2844" s="134"/>
      <c r="AC2844" s="134"/>
      <c r="AD2844" s="134"/>
    </row>
    <row r="2845">
      <c r="A2845" s="143"/>
      <c r="B2845" s="134"/>
      <c r="C2845" s="134"/>
      <c r="D2845" s="134"/>
      <c r="E2845" s="134"/>
      <c r="F2845" s="134"/>
      <c r="G2845" s="134"/>
      <c r="H2845" s="134"/>
      <c r="J2845" s="134"/>
      <c r="K2845" s="135"/>
      <c r="L2845" s="136"/>
      <c r="M2845" s="144"/>
      <c r="T2845" s="52"/>
      <c r="V2845" s="134"/>
      <c r="W2845" s="134"/>
      <c r="X2845" s="134"/>
      <c r="Y2845" s="134"/>
      <c r="Z2845" s="134"/>
      <c r="AA2845" s="134"/>
      <c r="AB2845" s="134"/>
      <c r="AC2845" s="134"/>
      <c r="AD2845" s="134"/>
    </row>
    <row r="2846">
      <c r="A2846" s="143"/>
      <c r="B2846" s="134"/>
      <c r="C2846" s="134"/>
      <c r="D2846" s="134"/>
      <c r="E2846" s="134"/>
      <c r="F2846" s="134"/>
      <c r="G2846" s="134"/>
      <c r="H2846" s="134"/>
      <c r="J2846" s="134"/>
      <c r="K2846" s="135"/>
      <c r="L2846" s="136"/>
      <c r="M2846" s="144"/>
      <c r="T2846" s="52"/>
      <c r="V2846" s="134"/>
      <c r="W2846" s="134"/>
      <c r="X2846" s="134"/>
      <c r="Y2846" s="134"/>
      <c r="Z2846" s="134"/>
      <c r="AA2846" s="134"/>
      <c r="AB2846" s="134"/>
      <c r="AC2846" s="134"/>
      <c r="AD2846" s="134"/>
    </row>
    <row r="2847">
      <c r="A2847" s="143"/>
      <c r="B2847" s="134"/>
      <c r="C2847" s="134"/>
      <c r="D2847" s="134"/>
      <c r="E2847" s="134"/>
      <c r="F2847" s="134"/>
      <c r="G2847" s="134"/>
      <c r="H2847" s="134"/>
      <c r="J2847" s="134"/>
      <c r="K2847" s="135"/>
      <c r="L2847" s="136"/>
      <c r="M2847" s="144"/>
      <c r="T2847" s="52"/>
      <c r="V2847" s="134"/>
      <c r="W2847" s="134"/>
      <c r="X2847" s="134"/>
      <c r="Y2847" s="134"/>
      <c r="Z2847" s="134"/>
      <c r="AA2847" s="134"/>
      <c r="AB2847" s="134"/>
      <c r="AC2847" s="134"/>
      <c r="AD2847" s="134"/>
    </row>
    <row r="2848">
      <c r="A2848" s="143"/>
      <c r="B2848" s="134"/>
      <c r="C2848" s="134"/>
      <c r="D2848" s="134"/>
      <c r="E2848" s="134"/>
      <c r="F2848" s="134"/>
      <c r="G2848" s="134"/>
      <c r="H2848" s="134"/>
      <c r="J2848" s="134"/>
      <c r="K2848" s="135"/>
      <c r="L2848" s="136"/>
      <c r="M2848" s="144"/>
      <c r="T2848" s="52"/>
      <c r="V2848" s="134"/>
      <c r="W2848" s="134"/>
      <c r="X2848" s="134"/>
      <c r="Y2848" s="134"/>
      <c r="Z2848" s="134"/>
      <c r="AA2848" s="134"/>
      <c r="AB2848" s="134"/>
      <c r="AC2848" s="134"/>
      <c r="AD2848" s="134"/>
    </row>
    <row r="2849">
      <c r="A2849" s="143"/>
      <c r="B2849" s="134"/>
      <c r="C2849" s="134"/>
      <c r="D2849" s="134"/>
      <c r="E2849" s="134"/>
      <c r="F2849" s="134"/>
      <c r="G2849" s="134"/>
      <c r="H2849" s="134"/>
      <c r="J2849" s="134"/>
      <c r="K2849" s="135"/>
      <c r="L2849" s="136"/>
      <c r="M2849" s="144"/>
      <c r="T2849" s="52"/>
      <c r="V2849" s="134"/>
      <c r="W2849" s="134"/>
      <c r="X2849" s="134"/>
      <c r="Y2849" s="134"/>
      <c r="Z2849" s="134"/>
      <c r="AA2849" s="134"/>
      <c r="AB2849" s="134"/>
      <c r="AC2849" s="134"/>
      <c r="AD2849" s="134"/>
    </row>
    <row r="2850">
      <c r="A2850" s="143"/>
      <c r="B2850" s="134"/>
      <c r="C2850" s="134"/>
      <c r="D2850" s="134"/>
      <c r="E2850" s="134"/>
      <c r="F2850" s="134"/>
      <c r="G2850" s="134"/>
      <c r="H2850" s="134"/>
      <c r="J2850" s="134"/>
      <c r="K2850" s="135"/>
      <c r="L2850" s="136"/>
      <c r="M2850" s="144"/>
      <c r="T2850" s="52"/>
      <c r="V2850" s="134"/>
      <c r="W2850" s="134"/>
      <c r="X2850" s="134"/>
      <c r="Y2850" s="134"/>
      <c r="Z2850" s="134"/>
      <c r="AA2850" s="134"/>
      <c r="AB2850" s="134"/>
      <c r="AC2850" s="134"/>
      <c r="AD2850" s="134"/>
    </row>
    <row r="2851">
      <c r="A2851" s="143"/>
      <c r="B2851" s="134"/>
      <c r="C2851" s="134"/>
      <c r="D2851" s="134"/>
      <c r="E2851" s="134"/>
      <c r="F2851" s="134"/>
      <c r="G2851" s="134"/>
      <c r="H2851" s="134"/>
      <c r="J2851" s="134"/>
      <c r="K2851" s="135"/>
      <c r="L2851" s="136"/>
      <c r="M2851" s="144"/>
      <c r="T2851" s="52"/>
      <c r="V2851" s="134"/>
      <c r="W2851" s="134"/>
      <c r="X2851" s="134"/>
      <c r="Y2851" s="134"/>
      <c r="Z2851" s="134"/>
      <c r="AA2851" s="134"/>
      <c r="AB2851" s="134"/>
      <c r="AC2851" s="134"/>
      <c r="AD2851" s="134"/>
    </row>
    <row r="2852">
      <c r="A2852" s="143"/>
      <c r="B2852" s="134"/>
      <c r="C2852" s="134"/>
      <c r="D2852" s="134"/>
      <c r="E2852" s="134"/>
      <c r="F2852" s="134"/>
      <c r="G2852" s="134"/>
      <c r="H2852" s="134"/>
      <c r="J2852" s="134"/>
      <c r="K2852" s="135"/>
      <c r="L2852" s="136"/>
      <c r="M2852" s="144"/>
      <c r="T2852" s="52"/>
      <c r="V2852" s="134"/>
      <c r="W2852" s="134"/>
      <c r="X2852" s="134"/>
      <c r="Y2852" s="134"/>
      <c r="Z2852" s="134"/>
      <c r="AA2852" s="134"/>
      <c r="AB2852" s="134"/>
      <c r="AC2852" s="134"/>
      <c r="AD2852" s="134"/>
    </row>
    <row r="2853">
      <c r="A2853" s="143"/>
      <c r="B2853" s="134"/>
      <c r="C2853" s="134"/>
      <c r="D2853" s="134"/>
      <c r="E2853" s="134"/>
      <c r="F2853" s="134"/>
      <c r="G2853" s="134"/>
      <c r="H2853" s="134"/>
      <c r="J2853" s="134"/>
      <c r="K2853" s="135"/>
      <c r="L2853" s="136"/>
      <c r="M2853" s="144"/>
      <c r="T2853" s="52"/>
      <c r="V2853" s="134"/>
      <c r="W2853" s="134"/>
      <c r="X2853" s="134"/>
      <c r="Y2853" s="134"/>
      <c r="Z2853" s="134"/>
      <c r="AA2853" s="134"/>
      <c r="AB2853" s="134"/>
      <c r="AC2853" s="134"/>
      <c r="AD2853" s="134"/>
    </row>
    <row r="2854">
      <c r="A2854" s="143"/>
      <c r="B2854" s="134"/>
      <c r="C2854" s="134"/>
      <c r="D2854" s="134"/>
      <c r="E2854" s="134"/>
      <c r="F2854" s="134"/>
      <c r="G2854" s="134"/>
      <c r="H2854" s="134"/>
      <c r="J2854" s="134"/>
      <c r="K2854" s="135"/>
      <c r="L2854" s="136"/>
      <c r="M2854" s="144"/>
      <c r="T2854" s="52"/>
      <c r="V2854" s="134"/>
      <c r="W2854" s="134"/>
      <c r="X2854" s="134"/>
      <c r="Y2854" s="134"/>
      <c r="Z2854" s="134"/>
      <c r="AA2854" s="134"/>
      <c r="AB2854" s="134"/>
      <c r="AC2854" s="134"/>
      <c r="AD2854" s="134"/>
    </row>
    <row r="2855">
      <c r="A2855" s="143"/>
      <c r="B2855" s="134"/>
      <c r="C2855" s="134"/>
      <c r="D2855" s="134"/>
      <c r="E2855" s="134"/>
      <c r="F2855" s="134"/>
      <c r="G2855" s="134"/>
      <c r="H2855" s="134"/>
      <c r="J2855" s="134"/>
      <c r="K2855" s="135"/>
      <c r="L2855" s="136"/>
      <c r="M2855" s="144"/>
      <c r="T2855" s="52"/>
      <c r="V2855" s="134"/>
      <c r="W2855" s="134"/>
      <c r="X2855" s="134"/>
      <c r="Y2855" s="134"/>
      <c r="Z2855" s="134"/>
      <c r="AA2855" s="134"/>
      <c r="AB2855" s="134"/>
      <c r="AC2855" s="134"/>
      <c r="AD2855" s="134"/>
    </row>
    <row r="2856">
      <c r="A2856" s="143"/>
      <c r="B2856" s="134"/>
      <c r="C2856" s="134"/>
      <c r="D2856" s="134"/>
      <c r="E2856" s="134"/>
      <c r="F2856" s="134"/>
      <c r="G2856" s="134"/>
      <c r="H2856" s="134"/>
      <c r="J2856" s="134"/>
      <c r="K2856" s="135"/>
      <c r="L2856" s="136"/>
      <c r="M2856" s="144"/>
      <c r="T2856" s="52"/>
      <c r="V2856" s="134"/>
      <c r="W2856" s="134"/>
      <c r="X2856" s="134"/>
      <c r="Y2856" s="134"/>
      <c r="Z2856" s="134"/>
      <c r="AA2856" s="134"/>
      <c r="AB2856" s="134"/>
      <c r="AC2856" s="134"/>
      <c r="AD2856" s="134"/>
    </row>
    <row r="2857">
      <c r="A2857" s="143"/>
      <c r="B2857" s="134"/>
      <c r="C2857" s="134"/>
      <c r="D2857" s="134"/>
      <c r="E2857" s="134"/>
      <c r="F2857" s="134"/>
      <c r="G2857" s="134"/>
      <c r="H2857" s="134"/>
      <c r="J2857" s="134"/>
      <c r="K2857" s="135"/>
      <c r="L2857" s="136"/>
      <c r="M2857" s="144"/>
      <c r="T2857" s="52"/>
      <c r="V2857" s="134"/>
      <c r="W2857" s="134"/>
      <c r="X2857" s="134"/>
      <c r="Y2857" s="134"/>
      <c r="Z2857" s="134"/>
      <c r="AA2857" s="134"/>
      <c r="AB2857" s="134"/>
      <c r="AC2857" s="134"/>
      <c r="AD2857" s="134"/>
    </row>
    <row r="2858">
      <c r="A2858" s="143"/>
      <c r="B2858" s="134"/>
      <c r="C2858" s="134"/>
      <c r="D2858" s="134"/>
      <c r="E2858" s="134"/>
      <c r="F2858" s="134"/>
      <c r="G2858" s="134"/>
      <c r="H2858" s="134"/>
      <c r="J2858" s="134"/>
      <c r="K2858" s="135"/>
      <c r="L2858" s="136"/>
      <c r="M2858" s="144"/>
      <c r="T2858" s="52"/>
      <c r="V2858" s="134"/>
      <c r="W2858" s="134"/>
      <c r="X2858" s="134"/>
      <c r="Y2858" s="134"/>
      <c r="Z2858" s="134"/>
      <c r="AA2858" s="134"/>
      <c r="AB2858" s="134"/>
      <c r="AC2858" s="134"/>
      <c r="AD2858" s="134"/>
    </row>
    <row r="2859">
      <c r="A2859" s="143"/>
      <c r="B2859" s="134"/>
      <c r="C2859" s="134"/>
      <c r="D2859" s="134"/>
      <c r="E2859" s="134"/>
      <c r="F2859" s="134"/>
      <c r="G2859" s="134"/>
      <c r="H2859" s="134"/>
      <c r="J2859" s="134"/>
      <c r="K2859" s="135"/>
      <c r="L2859" s="136"/>
      <c r="M2859" s="144"/>
      <c r="T2859" s="52"/>
      <c r="V2859" s="134"/>
      <c r="W2859" s="134"/>
      <c r="X2859" s="134"/>
      <c r="Y2859" s="134"/>
      <c r="Z2859" s="134"/>
      <c r="AA2859" s="134"/>
      <c r="AB2859" s="134"/>
      <c r="AC2859" s="134"/>
      <c r="AD2859" s="134"/>
    </row>
    <row r="2860">
      <c r="A2860" s="143"/>
      <c r="B2860" s="134"/>
      <c r="C2860" s="134"/>
      <c r="D2860" s="134"/>
      <c r="E2860" s="134"/>
      <c r="F2860" s="134"/>
      <c r="G2860" s="134"/>
      <c r="H2860" s="134"/>
      <c r="J2860" s="134"/>
      <c r="K2860" s="135"/>
      <c r="L2860" s="136"/>
      <c r="M2860" s="144"/>
      <c r="T2860" s="52"/>
      <c r="V2860" s="134"/>
      <c r="W2860" s="134"/>
      <c r="X2860" s="134"/>
      <c r="Y2860" s="134"/>
      <c r="Z2860" s="134"/>
      <c r="AA2860" s="134"/>
      <c r="AB2860" s="134"/>
      <c r="AC2860" s="134"/>
      <c r="AD2860" s="134"/>
    </row>
    <row r="2861">
      <c r="A2861" s="143"/>
      <c r="B2861" s="134"/>
      <c r="C2861" s="134"/>
      <c r="D2861" s="134"/>
      <c r="E2861" s="134"/>
      <c r="F2861" s="134"/>
      <c r="G2861" s="134"/>
      <c r="H2861" s="134"/>
      <c r="J2861" s="134"/>
      <c r="K2861" s="135"/>
      <c r="L2861" s="136"/>
      <c r="M2861" s="144"/>
      <c r="T2861" s="52"/>
      <c r="V2861" s="134"/>
      <c r="W2861" s="134"/>
      <c r="X2861" s="134"/>
      <c r="Y2861" s="134"/>
      <c r="Z2861" s="134"/>
      <c r="AA2861" s="134"/>
      <c r="AB2861" s="134"/>
      <c r="AC2861" s="134"/>
      <c r="AD2861" s="134"/>
    </row>
    <row r="2862">
      <c r="A2862" s="143"/>
      <c r="B2862" s="134"/>
      <c r="C2862" s="134"/>
      <c r="D2862" s="134"/>
      <c r="E2862" s="134"/>
      <c r="F2862" s="134"/>
      <c r="G2862" s="134"/>
      <c r="H2862" s="134"/>
      <c r="J2862" s="134"/>
      <c r="K2862" s="135"/>
      <c r="L2862" s="136"/>
      <c r="M2862" s="144"/>
      <c r="T2862" s="52"/>
      <c r="V2862" s="134"/>
      <c r="W2862" s="134"/>
      <c r="X2862" s="134"/>
      <c r="Y2862" s="134"/>
      <c r="Z2862" s="134"/>
      <c r="AA2862" s="134"/>
      <c r="AB2862" s="134"/>
      <c r="AC2862" s="134"/>
      <c r="AD2862" s="134"/>
    </row>
    <row r="2863">
      <c r="A2863" s="143"/>
      <c r="B2863" s="134"/>
      <c r="C2863" s="134"/>
      <c r="D2863" s="134"/>
      <c r="E2863" s="134"/>
      <c r="F2863" s="134"/>
      <c r="G2863" s="134"/>
      <c r="H2863" s="134"/>
      <c r="J2863" s="134"/>
      <c r="K2863" s="135"/>
      <c r="L2863" s="136"/>
      <c r="M2863" s="144"/>
      <c r="T2863" s="52"/>
      <c r="V2863" s="134"/>
      <c r="W2863" s="134"/>
      <c r="X2863" s="134"/>
      <c r="Y2863" s="134"/>
      <c r="Z2863" s="134"/>
      <c r="AA2863" s="134"/>
      <c r="AB2863" s="134"/>
      <c r="AC2863" s="134"/>
      <c r="AD2863" s="134"/>
    </row>
    <row r="2864">
      <c r="A2864" s="143"/>
      <c r="B2864" s="134"/>
      <c r="C2864" s="134"/>
      <c r="D2864" s="134"/>
      <c r="E2864" s="134"/>
      <c r="F2864" s="134"/>
      <c r="G2864" s="134"/>
      <c r="H2864" s="134"/>
      <c r="J2864" s="134"/>
      <c r="K2864" s="135"/>
      <c r="L2864" s="136"/>
      <c r="M2864" s="144"/>
      <c r="T2864" s="52"/>
      <c r="V2864" s="134"/>
      <c r="W2864" s="134"/>
      <c r="X2864" s="134"/>
      <c r="Y2864" s="134"/>
      <c r="Z2864" s="134"/>
      <c r="AA2864" s="134"/>
      <c r="AB2864" s="134"/>
      <c r="AC2864" s="134"/>
      <c r="AD2864" s="134"/>
    </row>
    <row r="2865">
      <c r="A2865" s="143"/>
      <c r="B2865" s="134"/>
      <c r="C2865" s="134"/>
      <c r="D2865" s="134"/>
      <c r="E2865" s="134"/>
      <c r="F2865" s="134"/>
      <c r="G2865" s="134"/>
      <c r="H2865" s="134"/>
      <c r="J2865" s="134"/>
      <c r="K2865" s="135"/>
      <c r="L2865" s="136"/>
      <c r="M2865" s="144"/>
      <c r="T2865" s="52"/>
      <c r="V2865" s="134"/>
      <c r="W2865" s="134"/>
      <c r="X2865" s="134"/>
      <c r="Y2865" s="134"/>
      <c r="Z2865" s="134"/>
      <c r="AA2865" s="134"/>
      <c r="AB2865" s="134"/>
      <c r="AC2865" s="134"/>
      <c r="AD2865" s="134"/>
    </row>
    <row r="2866">
      <c r="A2866" s="143"/>
      <c r="B2866" s="134"/>
      <c r="C2866" s="134"/>
      <c r="D2866" s="134"/>
      <c r="E2866" s="134"/>
      <c r="F2866" s="134"/>
      <c r="G2866" s="134"/>
      <c r="H2866" s="134"/>
      <c r="J2866" s="134"/>
      <c r="K2866" s="135"/>
      <c r="L2866" s="136"/>
      <c r="M2866" s="144"/>
      <c r="T2866" s="52"/>
      <c r="V2866" s="134"/>
      <c r="W2866" s="134"/>
      <c r="X2866" s="134"/>
      <c r="Y2866" s="134"/>
      <c r="Z2866" s="134"/>
      <c r="AA2866" s="134"/>
      <c r="AB2866" s="134"/>
      <c r="AC2866" s="134"/>
      <c r="AD2866" s="134"/>
    </row>
    <row r="2867">
      <c r="A2867" s="143"/>
      <c r="B2867" s="134"/>
      <c r="C2867" s="134"/>
      <c r="D2867" s="134"/>
      <c r="E2867" s="134"/>
      <c r="F2867" s="134"/>
      <c r="G2867" s="134"/>
      <c r="H2867" s="134"/>
      <c r="J2867" s="134"/>
      <c r="K2867" s="135"/>
      <c r="L2867" s="136"/>
      <c r="M2867" s="144"/>
      <c r="T2867" s="52"/>
      <c r="V2867" s="134"/>
      <c r="W2867" s="134"/>
      <c r="X2867" s="134"/>
      <c r="Y2867" s="134"/>
      <c r="Z2867" s="134"/>
      <c r="AA2867" s="134"/>
      <c r="AB2867" s="134"/>
      <c r="AC2867" s="134"/>
      <c r="AD2867" s="134"/>
    </row>
    <row r="2868">
      <c r="A2868" s="143"/>
      <c r="B2868" s="134"/>
      <c r="C2868" s="134"/>
      <c r="D2868" s="134"/>
      <c r="E2868" s="134"/>
      <c r="F2868" s="134"/>
      <c r="G2868" s="134"/>
      <c r="H2868" s="134"/>
      <c r="J2868" s="134"/>
      <c r="K2868" s="135"/>
      <c r="L2868" s="136"/>
      <c r="M2868" s="144"/>
      <c r="T2868" s="52"/>
      <c r="V2868" s="134"/>
      <c r="W2868" s="134"/>
      <c r="X2868" s="134"/>
      <c r="Y2868" s="134"/>
      <c r="Z2868" s="134"/>
      <c r="AA2868" s="134"/>
      <c r="AB2868" s="134"/>
      <c r="AC2868" s="134"/>
      <c r="AD2868" s="134"/>
    </row>
    <row r="2869">
      <c r="A2869" s="143"/>
      <c r="B2869" s="134"/>
      <c r="C2869" s="134"/>
      <c r="D2869" s="134"/>
      <c r="E2869" s="134"/>
      <c r="F2869" s="134"/>
      <c r="G2869" s="134"/>
      <c r="H2869" s="134"/>
      <c r="J2869" s="134"/>
      <c r="K2869" s="135"/>
      <c r="L2869" s="136"/>
      <c r="M2869" s="144"/>
      <c r="T2869" s="52"/>
      <c r="V2869" s="134"/>
      <c r="W2869" s="134"/>
      <c r="X2869" s="134"/>
      <c r="Y2869" s="134"/>
      <c r="Z2869" s="134"/>
      <c r="AA2869" s="134"/>
      <c r="AB2869" s="134"/>
      <c r="AC2869" s="134"/>
      <c r="AD2869" s="134"/>
    </row>
    <row r="2870">
      <c r="A2870" s="143"/>
      <c r="B2870" s="134"/>
      <c r="C2870" s="134"/>
      <c r="D2870" s="134"/>
      <c r="E2870" s="134"/>
      <c r="F2870" s="134"/>
      <c r="G2870" s="134"/>
      <c r="H2870" s="134"/>
      <c r="J2870" s="134"/>
      <c r="K2870" s="135"/>
      <c r="L2870" s="136"/>
      <c r="M2870" s="144"/>
      <c r="T2870" s="52"/>
      <c r="V2870" s="134"/>
      <c r="W2870" s="134"/>
      <c r="X2870" s="134"/>
      <c r="Y2870" s="134"/>
      <c r="Z2870" s="134"/>
      <c r="AA2870" s="134"/>
      <c r="AB2870" s="134"/>
      <c r="AC2870" s="134"/>
      <c r="AD2870" s="134"/>
    </row>
    <row r="2871">
      <c r="A2871" s="143"/>
      <c r="B2871" s="134"/>
      <c r="C2871" s="134"/>
      <c r="D2871" s="134"/>
      <c r="E2871" s="134"/>
      <c r="F2871" s="134"/>
      <c r="G2871" s="134"/>
      <c r="H2871" s="134"/>
      <c r="J2871" s="134"/>
      <c r="K2871" s="135"/>
      <c r="L2871" s="136"/>
      <c r="M2871" s="144"/>
      <c r="T2871" s="52"/>
      <c r="V2871" s="134"/>
      <c r="W2871" s="134"/>
      <c r="X2871" s="134"/>
      <c r="Y2871" s="134"/>
      <c r="Z2871" s="134"/>
      <c r="AA2871" s="134"/>
      <c r="AB2871" s="134"/>
      <c r="AC2871" s="134"/>
      <c r="AD2871" s="134"/>
    </row>
    <row r="2872">
      <c r="A2872" s="143"/>
      <c r="B2872" s="134"/>
      <c r="C2872" s="134"/>
      <c r="D2872" s="134"/>
      <c r="E2872" s="134"/>
      <c r="F2872" s="134"/>
      <c r="G2872" s="134"/>
      <c r="H2872" s="134"/>
      <c r="J2872" s="134"/>
      <c r="K2872" s="135"/>
      <c r="L2872" s="136"/>
      <c r="M2872" s="144"/>
      <c r="T2872" s="52"/>
      <c r="V2872" s="134"/>
      <c r="W2872" s="134"/>
      <c r="X2872" s="134"/>
      <c r="Y2872" s="134"/>
      <c r="Z2872" s="134"/>
      <c r="AA2872" s="134"/>
      <c r="AB2872" s="134"/>
      <c r="AC2872" s="134"/>
      <c r="AD2872" s="134"/>
    </row>
    <row r="2873">
      <c r="A2873" s="143"/>
      <c r="B2873" s="134"/>
      <c r="C2873" s="134"/>
      <c r="D2873" s="134"/>
      <c r="E2873" s="134"/>
      <c r="F2873" s="134"/>
      <c r="G2873" s="134"/>
      <c r="H2873" s="134"/>
      <c r="J2873" s="134"/>
      <c r="K2873" s="135"/>
      <c r="L2873" s="136"/>
      <c r="M2873" s="144"/>
      <c r="T2873" s="52"/>
      <c r="V2873" s="134"/>
      <c r="W2873" s="134"/>
      <c r="X2873" s="134"/>
      <c r="Y2873" s="134"/>
      <c r="Z2873" s="134"/>
      <c r="AA2873" s="134"/>
      <c r="AB2873" s="134"/>
      <c r="AC2873" s="134"/>
      <c r="AD2873" s="134"/>
    </row>
    <row r="2874">
      <c r="A2874" s="143"/>
      <c r="B2874" s="134"/>
      <c r="C2874" s="134"/>
      <c r="D2874" s="134"/>
      <c r="E2874" s="134"/>
      <c r="F2874" s="134"/>
      <c r="G2874" s="134"/>
      <c r="H2874" s="134"/>
      <c r="J2874" s="134"/>
      <c r="K2874" s="135"/>
      <c r="L2874" s="136"/>
      <c r="M2874" s="144"/>
      <c r="T2874" s="52"/>
      <c r="V2874" s="134"/>
      <c r="W2874" s="134"/>
      <c r="X2874" s="134"/>
      <c r="Y2874" s="134"/>
      <c r="Z2874" s="134"/>
      <c r="AA2874" s="134"/>
      <c r="AB2874" s="134"/>
      <c r="AC2874" s="134"/>
      <c r="AD2874" s="134"/>
    </row>
    <row r="2875">
      <c r="A2875" s="143"/>
      <c r="B2875" s="134"/>
      <c r="C2875" s="134"/>
      <c r="D2875" s="134"/>
      <c r="E2875" s="134"/>
      <c r="F2875" s="134"/>
      <c r="G2875" s="134"/>
      <c r="H2875" s="134"/>
      <c r="J2875" s="134"/>
      <c r="K2875" s="135"/>
      <c r="L2875" s="136"/>
      <c r="M2875" s="144"/>
      <c r="T2875" s="52"/>
      <c r="V2875" s="134"/>
      <c r="W2875" s="134"/>
      <c r="X2875" s="134"/>
      <c r="Y2875" s="134"/>
      <c r="Z2875" s="134"/>
      <c r="AA2875" s="134"/>
      <c r="AB2875" s="134"/>
      <c r="AC2875" s="134"/>
      <c r="AD2875" s="134"/>
    </row>
    <row r="2876">
      <c r="A2876" s="143"/>
      <c r="B2876" s="134"/>
      <c r="C2876" s="134"/>
      <c r="D2876" s="134"/>
      <c r="E2876" s="134"/>
      <c r="F2876" s="134"/>
      <c r="G2876" s="134"/>
      <c r="H2876" s="134"/>
      <c r="J2876" s="134"/>
      <c r="K2876" s="135"/>
      <c r="L2876" s="136"/>
      <c r="M2876" s="144"/>
      <c r="T2876" s="52"/>
      <c r="V2876" s="134"/>
      <c r="W2876" s="134"/>
      <c r="X2876" s="134"/>
      <c r="Y2876" s="134"/>
      <c r="Z2876" s="134"/>
      <c r="AA2876" s="134"/>
      <c r="AB2876" s="134"/>
      <c r="AC2876" s="134"/>
      <c r="AD2876" s="134"/>
    </row>
    <row r="2877">
      <c r="A2877" s="143"/>
      <c r="B2877" s="134"/>
      <c r="C2877" s="134"/>
      <c r="D2877" s="134"/>
      <c r="E2877" s="134"/>
      <c r="F2877" s="134"/>
      <c r="G2877" s="134"/>
      <c r="H2877" s="134"/>
      <c r="J2877" s="134"/>
      <c r="K2877" s="135"/>
      <c r="L2877" s="136"/>
      <c r="M2877" s="144"/>
      <c r="T2877" s="52"/>
      <c r="V2877" s="134"/>
      <c r="W2877" s="134"/>
      <c r="X2877" s="134"/>
      <c r="Y2877" s="134"/>
      <c r="Z2877" s="134"/>
      <c r="AA2877" s="134"/>
      <c r="AB2877" s="134"/>
      <c r="AC2877" s="134"/>
      <c r="AD2877" s="134"/>
    </row>
    <row r="2878">
      <c r="A2878" s="143"/>
      <c r="B2878" s="134"/>
      <c r="C2878" s="134"/>
      <c r="D2878" s="134"/>
      <c r="E2878" s="134"/>
      <c r="F2878" s="134"/>
      <c r="G2878" s="134"/>
      <c r="H2878" s="134"/>
      <c r="J2878" s="134"/>
      <c r="K2878" s="135"/>
      <c r="L2878" s="136"/>
      <c r="M2878" s="144"/>
      <c r="T2878" s="52"/>
      <c r="V2878" s="134"/>
      <c r="W2878" s="134"/>
      <c r="X2878" s="134"/>
      <c r="Y2878" s="134"/>
      <c r="Z2878" s="134"/>
      <c r="AA2878" s="134"/>
      <c r="AB2878" s="134"/>
      <c r="AC2878" s="134"/>
      <c r="AD2878" s="134"/>
    </row>
    <row r="2879">
      <c r="A2879" s="143"/>
      <c r="B2879" s="134"/>
      <c r="C2879" s="134"/>
      <c r="D2879" s="134"/>
      <c r="E2879" s="134"/>
      <c r="F2879" s="134"/>
      <c r="G2879" s="134"/>
      <c r="H2879" s="134"/>
      <c r="J2879" s="134"/>
      <c r="K2879" s="135"/>
      <c r="L2879" s="136"/>
      <c r="M2879" s="144"/>
      <c r="T2879" s="52"/>
      <c r="V2879" s="134"/>
      <c r="W2879" s="134"/>
      <c r="X2879" s="134"/>
      <c r="Y2879" s="134"/>
      <c r="Z2879" s="134"/>
      <c r="AA2879" s="134"/>
      <c r="AB2879" s="134"/>
      <c r="AC2879" s="134"/>
      <c r="AD2879" s="134"/>
    </row>
    <row r="2880">
      <c r="A2880" s="143"/>
      <c r="B2880" s="134"/>
      <c r="C2880" s="134"/>
      <c r="D2880" s="134"/>
      <c r="E2880" s="134"/>
      <c r="F2880" s="134"/>
      <c r="G2880" s="134"/>
      <c r="H2880" s="134"/>
      <c r="J2880" s="134"/>
      <c r="K2880" s="135"/>
      <c r="L2880" s="136"/>
      <c r="M2880" s="144"/>
      <c r="T2880" s="52"/>
      <c r="V2880" s="134"/>
      <c r="W2880" s="134"/>
      <c r="X2880" s="134"/>
      <c r="Y2880" s="134"/>
      <c r="Z2880" s="134"/>
      <c r="AA2880" s="134"/>
      <c r="AB2880" s="134"/>
      <c r="AC2880" s="134"/>
      <c r="AD2880" s="134"/>
    </row>
    <row r="2881">
      <c r="A2881" s="143"/>
      <c r="B2881" s="134"/>
      <c r="C2881" s="134"/>
      <c r="D2881" s="134"/>
      <c r="E2881" s="134"/>
      <c r="F2881" s="134"/>
      <c r="G2881" s="134"/>
      <c r="H2881" s="134"/>
      <c r="J2881" s="134"/>
      <c r="K2881" s="135"/>
      <c r="L2881" s="136"/>
      <c r="M2881" s="144"/>
      <c r="T2881" s="52"/>
      <c r="V2881" s="134"/>
      <c r="W2881" s="134"/>
      <c r="X2881" s="134"/>
      <c r="Y2881" s="134"/>
      <c r="Z2881" s="134"/>
      <c r="AA2881" s="134"/>
      <c r="AB2881" s="134"/>
      <c r="AC2881" s="134"/>
      <c r="AD2881" s="134"/>
    </row>
    <row r="2882">
      <c r="A2882" s="143"/>
      <c r="B2882" s="134"/>
      <c r="C2882" s="134"/>
      <c r="D2882" s="134"/>
      <c r="E2882" s="134"/>
      <c r="F2882" s="134"/>
      <c r="G2882" s="134"/>
      <c r="H2882" s="134"/>
      <c r="J2882" s="134"/>
      <c r="K2882" s="135"/>
      <c r="L2882" s="136"/>
      <c r="M2882" s="144"/>
      <c r="T2882" s="52"/>
      <c r="V2882" s="134"/>
      <c r="W2882" s="134"/>
      <c r="X2882" s="134"/>
      <c r="Y2882" s="134"/>
      <c r="Z2882" s="134"/>
      <c r="AA2882" s="134"/>
      <c r="AB2882" s="134"/>
      <c r="AC2882" s="134"/>
      <c r="AD2882" s="134"/>
    </row>
    <row r="2883">
      <c r="A2883" s="143"/>
      <c r="B2883" s="134"/>
      <c r="C2883" s="134"/>
      <c r="D2883" s="134"/>
      <c r="E2883" s="134"/>
      <c r="F2883" s="134"/>
      <c r="G2883" s="134"/>
      <c r="H2883" s="134"/>
      <c r="J2883" s="134"/>
      <c r="K2883" s="135"/>
      <c r="L2883" s="136"/>
      <c r="M2883" s="144"/>
      <c r="T2883" s="52"/>
      <c r="V2883" s="134"/>
      <c r="W2883" s="134"/>
      <c r="X2883" s="134"/>
      <c r="Y2883" s="134"/>
      <c r="Z2883" s="134"/>
      <c r="AA2883" s="134"/>
      <c r="AB2883" s="134"/>
      <c r="AC2883" s="134"/>
      <c r="AD2883" s="134"/>
    </row>
    <row r="2884">
      <c r="A2884" s="143"/>
      <c r="B2884" s="134"/>
      <c r="C2884" s="134"/>
      <c r="D2884" s="134"/>
      <c r="E2884" s="134"/>
      <c r="F2884" s="134"/>
      <c r="G2884" s="134"/>
      <c r="H2884" s="134"/>
      <c r="J2884" s="134"/>
      <c r="K2884" s="135"/>
      <c r="L2884" s="136"/>
      <c r="M2884" s="144"/>
      <c r="T2884" s="52"/>
      <c r="V2884" s="134"/>
      <c r="W2884" s="134"/>
      <c r="X2884" s="134"/>
      <c r="Y2884" s="134"/>
      <c r="Z2884" s="134"/>
      <c r="AA2884" s="134"/>
      <c r="AB2884" s="134"/>
      <c r="AC2884" s="134"/>
      <c r="AD2884" s="134"/>
    </row>
    <row r="2885">
      <c r="A2885" s="143"/>
      <c r="B2885" s="134"/>
      <c r="C2885" s="134"/>
      <c r="D2885" s="134"/>
      <c r="E2885" s="134"/>
      <c r="F2885" s="134"/>
      <c r="G2885" s="134"/>
      <c r="H2885" s="134"/>
      <c r="J2885" s="134"/>
      <c r="K2885" s="135"/>
      <c r="L2885" s="136"/>
      <c r="M2885" s="144"/>
      <c r="T2885" s="52"/>
      <c r="V2885" s="134"/>
      <c r="W2885" s="134"/>
      <c r="X2885" s="134"/>
      <c r="Y2885" s="134"/>
      <c r="Z2885" s="134"/>
      <c r="AA2885" s="134"/>
      <c r="AB2885" s="134"/>
      <c r="AC2885" s="134"/>
      <c r="AD2885" s="134"/>
    </row>
    <row r="2886">
      <c r="A2886" s="143"/>
      <c r="B2886" s="134"/>
      <c r="C2886" s="134"/>
      <c r="D2886" s="134"/>
      <c r="E2886" s="134"/>
      <c r="F2886" s="134"/>
      <c r="G2886" s="134"/>
      <c r="H2886" s="134"/>
      <c r="J2886" s="134"/>
      <c r="K2886" s="135"/>
      <c r="L2886" s="136"/>
      <c r="M2886" s="144"/>
      <c r="T2886" s="52"/>
      <c r="V2886" s="134"/>
      <c r="W2886" s="134"/>
      <c r="X2886" s="134"/>
      <c r="Y2886" s="134"/>
      <c r="Z2886" s="134"/>
      <c r="AA2886" s="134"/>
      <c r="AB2886" s="134"/>
      <c r="AC2886" s="134"/>
      <c r="AD2886" s="134"/>
    </row>
    <row r="2887">
      <c r="A2887" s="143"/>
      <c r="B2887" s="134"/>
      <c r="C2887" s="134"/>
      <c r="D2887" s="134"/>
      <c r="E2887" s="134"/>
      <c r="F2887" s="134"/>
      <c r="G2887" s="134"/>
      <c r="H2887" s="134"/>
      <c r="J2887" s="134"/>
      <c r="K2887" s="135"/>
      <c r="L2887" s="136"/>
      <c r="M2887" s="144"/>
      <c r="T2887" s="52"/>
      <c r="V2887" s="134"/>
      <c r="W2887" s="134"/>
      <c r="X2887" s="134"/>
      <c r="Y2887" s="134"/>
      <c r="Z2887" s="134"/>
      <c r="AA2887" s="134"/>
      <c r="AB2887" s="134"/>
      <c r="AC2887" s="134"/>
      <c r="AD2887" s="134"/>
    </row>
    <row r="2888">
      <c r="A2888" s="143"/>
      <c r="B2888" s="134"/>
      <c r="C2888" s="134"/>
      <c r="D2888" s="134"/>
      <c r="E2888" s="134"/>
      <c r="F2888" s="134"/>
      <c r="G2888" s="134"/>
      <c r="H2888" s="134"/>
      <c r="J2888" s="134"/>
      <c r="K2888" s="135"/>
      <c r="L2888" s="136"/>
      <c r="M2888" s="144"/>
      <c r="T2888" s="52"/>
      <c r="V2888" s="134"/>
      <c r="W2888" s="134"/>
      <c r="X2888" s="134"/>
      <c r="Y2888" s="134"/>
      <c r="Z2888" s="134"/>
      <c r="AA2888" s="134"/>
      <c r="AB2888" s="134"/>
      <c r="AC2888" s="134"/>
      <c r="AD2888" s="134"/>
    </row>
    <row r="2889">
      <c r="A2889" s="143"/>
      <c r="B2889" s="134"/>
      <c r="C2889" s="134"/>
      <c r="D2889" s="134"/>
      <c r="E2889" s="134"/>
      <c r="F2889" s="134"/>
      <c r="G2889" s="134"/>
      <c r="H2889" s="134"/>
      <c r="J2889" s="134"/>
      <c r="K2889" s="135"/>
      <c r="L2889" s="136"/>
      <c r="M2889" s="144"/>
      <c r="T2889" s="52"/>
      <c r="V2889" s="134"/>
      <c r="W2889" s="134"/>
      <c r="X2889" s="134"/>
      <c r="Y2889" s="134"/>
      <c r="Z2889" s="134"/>
      <c r="AA2889" s="134"/>
      <c r="AB2889" s="134"/>
      <c r="AC2889" s="134"/>
      <c r="AD2889" s="134"/>
    </row>
    <row r="2890">
      <c r="A2890" s="143"/>
      <c r="B2890" s="134"/>
      <c r="C2890" s="134"/>
      <c r="D2890" s="134"/>
      <c r="E2890" s="134"/>
      <c r="F2890" s="134"/>
      <c r="G2890" s="134"/>
      <c r="H2890" s="134"/>
      <c r="J2890" s="134"/>
      <c r="K2890" s="135"/>
      <c r="L2890" s="136"/>
      <c r="M2890" s="144"/>
      <c r="T2890" s="52"/>
      <c r="V2890" s="134"/>
      <c r="W2890" s="134"/>
      <c r="X2890" s="134"/>
      <c r="Y2890" s="134"/>
      <c r="Z2890" s="134"/>
      <c r="AA2890" s="134"/>
      <c r="AB2890" s="134"/>
      <c r="AC2890" s="134"/>
      <c r="AD2890" s="134"/>
    </row>
    <row r="2891">
      <c r="A2891" s="143"/>
      <c r="B2891" s="134"/>
      <c r="C2891" s="134"/>
      <c r="D2891" s="134"/>
      <c r="E2891" s="134"/>
      <c r="F2891" s="134"/>
      <c r="G2891" s="134"/>
      <c r="H2891" s="134"/>
      <c r="J2891" s="134"/>
      <c r="K2891" s="135"/>
      <c r="L2891" s="136"/>
      <c r="M2891" s="144"/>
      <c r="T2891" s="52"/>
      <c r="V2891" s="134"/>
      <c r="W2891" s="134"/>
      <c r="X2891" s="134"/>
      <c r="Y2891" s="134"/>
      <c r="Z2891" s="134"/>
      <c r="AA2891" s="134"/>
      <c r="AB2891" s="134"/>
      <c r="AC2891" s="134"/>
      <c r="AD2891" s="134"/>
    </row>
    <row r="2892">
      <c r="A2892" s="143"/>
      <c r="B2892" s="134"/>
      <c r="C2892" s="134"/>
      <c r="D2892" s="134"/>
      <c r="E2892" s="134"/>
      <c r="F2892" s="134"/>
      <c r="G2892" s="134"/>
      <c r="H2892" s="134"/>
      <c r="J2892" s="134"/>
      <c r="K2892" s="135"/>
      <c r="L2892" s="136"/>
      <c r="M2892" s="144"/>
      <c r="T2892" s="52"/>
      <c r="V2892" s="134"/>
      <c r="W2892" s="134"/>
      <c r="X2892" s="134"/>
      <c r="Y2892" s="134"/>
      <c r="Z2892" s="134"/>
      <c r="AA2892" s="134"/>
      <c r="AB2892" s="134"/>
      <c r="AC2892" s="134"/>
      <c r="AD2892" s="134"/>
    </row>
    <row r="2893">
      <c r="A2893" s="143"/>
      <c r="B2893" s="134"/>
      <c r="C2893" s="134"/>
      <c r="D2893" s="134"/>
      <c r="E2893" s="134"/>
      <c r="F2893" s="134"/>
      <c r="G2893" s="134"/>
      <c r="H2893" s="134"/>
      <c r="J2893" s="134"/>
      <c r="K2893" s="135"/>
      <c r="L2893" s="136"/>
      <c r="M2893" s="144"/>
      <c r="T2893" s="52"/>
      <c r="V2893" s="134"/>
      <c r="W2893" s="134"/>
      <c r="X2893" s="134"/>
      <c r="Y2893" s="134"/>
      <c r="Z2893" s="134"/>
      <c r="AA2893" s="134"/>
      <c r="AB2893" s="134"/>
      <c r="AC2893" s="134"/>
      <c r="AD2893" s="134"/>
    </row>
    <row r="2894">
      <c r="A2894" s="143"/>
      <c r="B2894" s="134"/>
      <c r="C2894" s="134"/>
      <c r="D2894" s="134"/>
      <c r="E2894" s="134"/>
      <c r="F2894" s="134"/>
      <c r="G2894" s="134"/>
      <c r="H2894" s="134"/>
      <c r="J2894" s="134"/>
      <c r="K2894" s="135"/>
      <c r="L2894" s="136"/>
      <c r="M2894" s="144"/>
      <c r="T2894" s="52"/>
      <c r="V2894" s="134"/>
      <c r="W2894" s="134"/>
      <c r="X2894" s="134"/>
      <c r="Y2894" s="134"/>
      <c r="Z2894" s="134"/>
      <c r="AA2894" s="134"/>
      <c r="AB2894" s="134"/>
      <c r="AC2894" s="134"/>
      <c r="AD2894" s="134"/>
    </row>
    <row r="2895">
      <c r="A2895" s="143"/>
      <c r="B2895" s="134"/>
      <c r="C2895" s="134"/>
      <c r="D2895" s="134"/>
      <c r="E2895" s="134"/>
      <c r="F2895" s="134"/>
      <c r="G2895" s="134"/>
      <c r="H2895" s="134"/>
      <c r="J2895" s="134"/>
      <c r="K2895" s="135"/>
      <c r="L2895" s="136"/>
      <c r="M2895" s="144"/>
      <c r="T2895" s="52"/>
      <c r="V2895" s="134"/>
      <c r="W2895" s="134"/>
      <c r="X2895" s="134"/>
      <c r="Y2895" s="134"/>
      <c r="Z2895" s="134"/>
      <c r="AA2895" s="134"/>
      <c r="AB2895" s="134"/>
      <c r="AC2895" s="134"/>
      <c r="AD2895" s="134"/>
    </row>
    <row r="2896">
      <c r="A2896" s="143"/>
      <c r="B2896" s="134"/>
      <c r="C2896" s="134"/>
      <c r="D2896" s="134"/>
      <c r="E2896" s="134"/>
      <c r="F2896" s="134"/>
      <c r="G2896" s="134"/>
      <c r="H2896" s="134"/>
      <c r="J2896" s="134"/>
      <c r="K2896" s="135"/>
      <c r="L2896" s="136"/>
      <c r="M2896" s="144"/>
      <c r="T2896" s="52"/>
      <c r="V2896" s="134"/>
      <c r="W2896" s="134"/>
      <c r="X2896" s="134"/>
      <c r="Y2896" s="134"/>
      <c r="Z2896" s="134"/>
      <c r="AA2896" s="134"/>
      <c r="AB2896" s="134"/>
      <c r="AC2896" s="134"/>
      <c r="AD2896" s="134"/>
    </row>
    <row r="2897">
      <c r="A2897" s="143"/>
      <c r="B2897" s="134"/>
      <c r="C2897" s="134"/>
      <c r="D2897" s="134"/>
      <c r="E2897" s="134"/>
      <c r="F2897" s="134"/>
      <c r="G2897" s="134"/>
      <c r="H2897" s="134"/>
      <c r="J2897" s="134"/>
      <c r="K2897" s="135"/>
      <c r="L2897" s="136"/>
      <c r="M2897" s="144"/>
      <c r="T2897" s="52"/>
      <c r="V2897" s="134"/>
      <c r="W2897" s="134"/>
      <c r="X2897" s="134"/>
      <c r="Y2897" s="134"/>
      <c r="Z2897" s="134"/>
      <c r="AA2897" s="134"/>
      <c r="AB2897" s="134"/>
      <c r="AC2897" s="134"/>
      <c r="AD2897" s="134"/>
    </row>
    <row r="2898">
      <c r="A2898" s="143"/>
      <c r="B2898" s="134"/>
      <c r="C2898" s="134"/>
      <c r="D2898" s="134"/>
      <c r="E2898" s="134"/>
      <c r="F2898" s="134"/>
      <c r="G2898" s="134"/>
      <c r="H2898" s="134"/>
      <c r="J2898" s="134"/>
      <c r="K2898" s="135"/>
      <c r="L2898" s="136"/>
      <c r="M2898" s="144"/>
      <c r="T2898" s="52"/>
      <c r="V2898" s="134"/>
      <c r="W2898" s="134"/>
      <c r="X2898" s="134"/>
      <c r="Y2898" s="134"/>
      <c r="Z2898" s="134"/>
      <c r="AA2898" s="134"/>
      <c r="AB2898" s="134"/>
      <c r="AC2898" s="134"/>
      <c r="AD2898" s="134"/>
    </row>
    <row r="2899">
      <c r="A2899" s="143"/>
      <c r="B2899" s="134"/>
      <c r="C2899" s="134"/>
      <c r="D2899" s="134"/>
      <c r="E2899" s="134"/>
      <c r="F2899" s="134"/>
      <c r="G2899" s="134"/>
      <c r="H2899" s="134"/>
      <c r="J2899" s="134"/>
      <c r="K2899" s="135"/>
      <c r="L2899" s="136"/>
      <c r="M2899" s="144"/>
      <c r="T2899" s="52"/>
      <c r="V2899" s="134"/>
      <c r="W2899" s="134"/>
      <c r="X2899" s="134"/>
      <c r="Y2899" s="134"/>
      <c r="Z2899" s="134"/>
      <c r="AA2899" s="134"/>
      <c r="AB2899" s="134"/>
      <c r="AC2899" s="134"/>
      <c r="AD2899" s="134"/>
    </row>
    <row r="2900">
      <c r="A2900" s="143"/>
      <c r="B2900" s="134"/>
      <c r="C2900" s="134"/>
      <c r="D2900" s="134"/>
      <c r="E2900" s="134"/>
      <c r="F2900" s="134"/>
      <c r="G2900" s="134"/>
      <c r="H2900" s="134"/>
      <c r="J2900" s="134"/>
      <c r="K2900" s="135"/>
      <c r="L2900" s="136"/>
      <c r="M2900" s="144"/>
      <c r="T2900" s="52"/>
      <c r="V2900" s="134"/>
      <c r="W2900" s="134"/>
      <c r="X2900" s="134"/>
      <c r="Y2900" s="134"/>
      <c r="Z2900" s="134"/>
      <c r="AA2900" s="134"/>
      <c r="AB2900" s="134"/>
      <c r="AC2900" s="134"/>
      <c r="AD2900" s="134"/>
    </row>
    <row r="2901">
      <c r="A2901" s="143"/>
      <c r="B2901" s="134"/>
      <c r="C2901" s="134"/>
      <c r="D2901" s="134"/>
      <c r="E2901" s="134"/>
      <c r="F2901" s="134"/>
      <c r="G2901" s="134"/>
      <c r="H2901" s="134"/>
      <c r="J2901" s="134"/>
      <c r="K2901" s="135"/>
      <c r="L2901" s="136"/>
      <c r="M2901" s="144"/>
      <c r="T2901" s="52"/>
      <c r="V2901" s="134"/>
      <c r="W2901" s="134"/>
      <c r="X2901" s="134"/>
      <c r="Y2901" s="134"/>
      <c r="Z2901" s="134"/>
      <c r="AA2901" s="134"/>
      <c r="AB2901" s="134"/>
      <c r="AC2901" s="134"/>
      <c r="AD2901" s="134"/>
    </row>
    <row r="2902">
      <c r="A2902" s="143"/>
      <c r="B2902" s="134"/>
      <c r="C2902" s="134"/>
      <c r="D2902" s="134"/>
      <c r="E2902" s="134"/>
      <c r="F2902" s="134"/>
      <c r="G2902" s="134"/>
      <c r="H2902" s="134"/>
      <c r="J2902" s="134"/>
      <c r="K2902" s="135"/>
      <c r="L2902" s="136"/>
      <c r="M2902" s="144"/>
      <c r="T2902" s="52"/>
      <c r="V2902" s="134"/>
      <c r="W2902" s="134"/>
      <c r="X2902" s="134"/>
      <c r="Y2902" s="134"/>
      <c r="Z2902" s="134"/>
      <c r="AA2902" s="134"/>
      <c r="AB2902" s="134"/>
      <c r="AC2902" s="134"/>
      <c r="AD2902" s="134"/>
    </row>
    <row r="2903">
      <c r="A2903" s="143"/>
      <c r="B2903" s="134"/>
      <c r="C2903" s="134"/>
      <c r="D2903" s="134"/>
      <c r="E2903" s="134"/>
      <c r="F2903" s="134"/>
      <c r="G2903" s="134"/>
      <c r="H2903" s="134"/>
      <c r="J2903" s="134"/>
      <c r="K2903" s="135"/>
      <c r="L2903" s="136"/>
      <c r="M2903" s="144"/>
      <c r="T2903" s="52"/>
      <c r="V2903" s="134"/>
      <c r="W2903" s="134"/>
      <c r="X2903" s="134"/>
      <c r="Y2903" s="134"/>
      <c r="Z2903" s="134"/>
      <c r="AA2903" s="134"/>
      <c r="AB2903" s="134"/>
      <c r="AC2903" s="134"/>
      <c r="AD2903" s="134"/>
    </row>
    <row r="2904">
      <c r="A2904" s="143"/>
      <c r="B2904" s="134"/>
      <c r="C2904" s="134"/>
      <c r="D2904" s="134"/>
      <c r="E2904" s="134"/>
      <c r="F2904" s="134"/>
      <c r="G2904" s="134"/>
      <c r="H2904" s="134"/>
      <c r="J2904" s="134"/>
      <c r="K2904" s="135"/>
      <c r="L2904" s="136"/>
      <c r="M2904" s="144"/>
      <c r="T2904" s="52"/>
      <c r="V2904" s="134"/>
      <c r="W2904" s="134"/>
      <c r="X2904" s="134"/>
      <c r="Y2904" s="134"/>
      <c r="Z2904" s="134"/>
      <c r="AA2904" s="134"/>
      <c r="AB2904" s="134"/>
      <c r="AC2904" s="134"/>
      <c r="AD2904" s="134"/>
    </row>
    <row r="2905">
      <c r="A2905" s="143"/>
      <c r="B2905" s="134"/>
      <c r="C2905" s="134"/>
      <c r="D2905" s="134"/>
      <c r="E2905" s="134"/>
      <c r="F2905" s="134"/>
      <c r="G2905" s="134"/>
      <c r="H2905" s="134"/>
      <c r="J2905" s="134"/>
      <c r="K2905" s="135"/>
      <c r="L2905" s="136"/>
      <c r="M2905" s="144"/>
      <c r="T2905" s="52"/>
      <c r="V2905" s="134"/>
      <c r="W2905" s="134"/>
      <c r="X2905" s="134"/>
      <c r="Y2905" s="134"/>
      <c r="Z2905" s="134"/>
      <c r="AA2905" s="134"/>
      <c r="AB2905" s="134"/>
      <c r="AC2905" s="134"/>
      <c r="AD2905" s="134"/>
    </row>
    <row r="2906">
      <c r="A2906" s="143"/>
      <c r="B2906" s="134"/>
      <c r="C2906" s="134"/>
      <c r="D2906" s="134"/>
      <c r="E2906" s="134"/>
      <c r="F2906" s="134"/>
      <c r="G2906" s="134"/>
      <c r="H2906" s="134"/>
      <c r="J2906" s="134"/>
      <c r="K2906" s="135"/>
      <c r="L2906" s="136"/>
      <c r="M2906" s="144"/>
      <c r="T2906" s="52"/>
      <c r="V2906" s="134"/>
      <c r="W2906" s="134"/>
      <c r="X2906" s="134"/>
      <c r="Y2906" s="134"/>
      <c r="Z2906" s="134"/>
      <c r="AA2906" s="134"/>
      <c r="AB2906" s="134"/>
      <c r="AC2906" s="134"/>
      <c r="AD2906" s="134"/>
    </row>
    <row r="2907">
      <c r="A2907" s="143"/>
      <c r="B2907" s="134"/>
      <c r="C2907" s="134"/>
      <c r="D2907" s="134"/>
      <c r="E2907" s="134"/>
      <c r="F2907" s="134"/>
      <c r="G2907" s="134"/>
      <c r="H2907" s="134"/>
      <c r="J2907" s="134"/>
      <c r="K2907" s="135"/>
      <c r="L2907" s="136"/>
      <c r="M2907" s="144"/>
      <c r="T2907" s="52"/>
      <c r="V2907" s="134"/>
      <c r="W2907" s="134"/>
      <c r="X2907" s="134"/>
      <c r="Y2907" s="134"/>
      <c r="Z2907" s="134"/>
      <c r="AA2907" s="134"/>
      <c r="AB2907" s="134"/>
      <c r="AC2907" s="134"/>
      <c r="AD2907" s="134"/>
    </row>
    <row r="2908">
      <c r="A2908" s="143"/>
      <c r="B2908" s="134"/>
      <c r="C2908" s="134"/>
      <c r="D2908" s="134"/>
      <c r="E2908" s="134"/>
      <c r="F2908" s="134"/>
      <c r="G2908" s="134"/>
      <c r="H2908" s="134"/>
      <c r="J2908" s="134"/>
      <c r="K2908" s="135"/>
      <c r="L2908" s="136"/>
      <c r="M2908" s="144"/>
      <c r="T2908" s="52"/>
      <c r="V2908" s="134"/>
      <c r="W2908" s="134"/>
      <c r="X2908" s="134"/>
      <c r="Y2908" s="134"/>
      <c r="Z2908" s="134"/>
      <c r="AA2908" s="134"/>
      <c r="AB2908" s="134"/>
      <c r="AC2908" s="134"/>
      <c r="AD2908" s="134"/>
    </row>
    <row r="2909">
      <c r="A2909" s="143"/>
      <c r="B2909" s="134"/>
      <c r="C2909" s="134"/>
      <c r="D2909" s="134"/>
      <c r="E2909" s="134"/>
      <c r="F2909" s="134"/>
      <c r="G2909" s="134"/>
      <c r="H2909" s="134"/>
      <c r="J2909" s="134"/>
      <c r="K2909" s="135"/>
      <c r="L2909" s="136"/>
      <c r="M2909" s="144"/>
      <c r="T2909" s="52"/>
      <c r="V2909" s="134"/>
      <c r="W2909" s="134"/>
      <c r="X2909" s="134"/>
      <c r="Y2909" s="134"/>
      <c r="Z2909" s="134"/>
      <c r="AA2909" s="134"/>
      <c r="AB2909" s="134"/>
      <c r="AC2909" s="134"/>
      <c r="AD2909" s="134"/>
    </row>
    <row r="2910">
      <c r="A2910" s="143"/>
      <c r="B2910" s="134"/>
      <c r="C2910" s="134"/>
      <c r="D2910" s="134"/>
      <c r="E2910" s="134"/>
      <c r="F2910" s="134"/>
      <c r="G2910" s="134"/>
      <c r="H2910" s="134"/>
      <c r="J2910" s="134"/>
      <c r="K2910" s="135"/>
      <c r="L2910" s="136"/>
      <c r="M2910" s="144"/>
      <c r="T2910" s="52"/>
      <c r="V2910" s="134"/>
      <c r="W2910" s="134"/>
      <c r="X2910" s="134"/>
      <c r="Y2910" s="134"/>
      <c r="Z2910" s="134"/>
      <c r="AA2910" s="134"/>
      <c r="AB2910" s="134"/>
      <c r="AC2910" s="134"/>
      <c r="AD2910" s="134"/>
    </row>
    <row r="2911">
      <c r="A2911" s="143"/>
      <c r="B2911" s="134"/>
      <c r="C2911" s="134"/>
      <c r="D2911" s="134"/>
      <c r="E2911" s="134"/>
      <c r="F2911" s="134"/>
      <c r="G2911" s="134"/>
      <c r="H2911" s="134"/>
      <c r="J2911" s="134"/>
      <c r="K2911" s="135"/>
      <c r="L2911" s="136"/>
      <c r="M2911" s="144"/>
      <c r="T2911" s="52"/>
      <c r="V2911" s="134"/>
      <c r="W2911" s="134"/>
      <c r="X2911" s="134"/>
      <c r="Y2911" s="134"/>
      <c r="Z2911" s="134"/>
      <c r="AA2911" s="134"/>
      <c r="AB2911" s="134"/>
      <c r="AC2911" s="134"/>
      <c r="AD2911" s="134"/>
    </row>
    <row r="2912">
      <c r="A2912" s="143"/>
      <c r="B2912" s="134"/>
      <c r="C2912" s="134"/>
      <c r="D2912" s="134"/>
      <c r="E2912" s="134"/>
      <c r="F2912" s="134"/>
      <c r="G2912" s="134"/>
      <c r="H2912" s="134"/>
      <c r="J2912" s="134"/>
      <c r="K2912" s="135"/>
      <c r="L2912" s="136"/>
      <c r="M2912" s="144"/>
      <c r="T2912" s="52"/>
      <c r="V2912" s="134"/>
      <c r="W2912" s="134"/>
      <c r="X2912" s="134"/>
      <c r="Y2912" s="134"/>
      <c r="Z2912" s="134"/>
      <c r="AA2912" s="134"/>
      <c r="AB2912" s="134"/>
      <c r="AC2912" s="134"/>
      <c r="AD2912" s="134"/>
    </row>
    <row r="2913">
      <c r="A2913" s="143"/>
      <c r="B2913" s="134"/>
      <c r="C2913" s="134"/>
      <c r="D2913" s="134"/>
      <c r="E2913" s="134"/>
      <c r="F2913" s="134"/>
      <c r="G2913" s="134"/>
      <c r="H2913" s="134"/>
      <c r="J2913" s="134"/>
      <c r="K2913" s="135"/>
      <c r="L2913" s="136"/>
      <c r="M2913" s="144"/>
      <c r="T2913" s="52"/>
      <c r="V2913" s="134"/>
      <c r="W2913" s="134"/>
      <c r="X2913" s="134"/>
      <c r="Y2913" s="134"/>
      <c r="Z2913" s="134"/>
      <c r="AA2913" s="134"/>
      <c r="AB2913" s="134"/>
      <c r="AC2913" s="134"/>
      <c r="AD2913" s="134"/>
    </row>
    <row r="2914">
      <c r="A2914" s="143"/>
      <c r="B2914" s="134"/>
      <c r="C2914" s="134"/>
      <c r="D2914" s="134"/>
      <c r="E2914" s="134"/>
      <c r="F2914" s="134"/>
      <c r="G2914" s="134"/>
      <c r="H2914" s="134"/>
      <c r="J2914" s="134"/>
      <c r="K2914" s="135"/>
      <c r="L2914" s="136"/>
      <c r="M2914" s="144"/>
      <c r="T2914" s="52"/>
      <c r="V2914" s="134"/>
      <c r="W2914" s="134"/>
      <c r="X2914" s="134"/>
      <c r="Y2914" s="134"/>
      <c r="Z2914" s="134"/>
      <c r="AA2914" s="134"/>
      <c r="AB2914" s="134"/>
      <c r="AC2914" s="134"/>
      <c r="AD2914" s="134"/>
    </row>
    <row r="2915">
      <c r="A2915" s="143"/>
      <c r="B2915" s="134"/>
      <c r="C2915" s="134"/>
      <c r="D2915" s="134"/>
      <c r="E2915" s="134"/>
      <c r="F2915" s="134"/>
      <c r="G2915" s="134"/>
      <c r="H2915" s="134"/>
      <c r="J2915" s="134"/>
      <c r="K2915" s="135"/>
      <c r="L2915" s="136"/>
      <c r="M2915" s="144"/>
      <c r="T2915" s="52"/>
      <c r="V2915" s="134"/>
      <c r="W2915" s="134"/>
      <c r="X2915" s="134"/>
      <c r="Y2915" s="134"/>
      <c r="Z2915" s="134"/>
      <c r="AA2915" s="134"/>
      <c r="AB2915" s="134"/>
      <c r="AC2915" s="134"/>
      <c r="AD2915" s="134"/>
    </row>
    <row r="2916">
      <c r="A2916" s="143"/>
      <c r="B2916" s="134"/>
      <c r="C2916" s="134"/>
      <c r="D2916" s="134"/>
      <c r="E2916" s="134"/>
      <c r="F2916" s="134"/>
      <c r="G2916" s="134"/>
      <c r="H2916" s="134"/>
      <c r="J2916" s="134"/>
      <c r="K2916" s="135"/>
      <c r="L2916" s="136"/>
      <c r="M2916" s="144"/>
      <c r="T2916" s="52"/>
      <c r="V2916" s="134"/>
      <c r="W2916" s="134"/>
      <c r="X2916" s="134"/>
      <c r="Y2916" s="134"/>
      <c r="Z2916" s="134"/>
      <c r="AA2916" s="134"/>
      <c r="AB2916" s="134"/>
      <c r="AC2916" s="134"/>
      <c r="AD2916" s="134"/>
    </row>
    <row r="2917">
      <c r="A2917" s="143"/>
      <c r="B2917" s="134"/>
      <c r="C2917" s="134"/>
      <c r="D2917" s="134"/>
      <c r="E2917" s="134"/>
      <c r="F2917" s="134"/>
      <c r="G2917" s="134"/>
      <c r="H2917" s="134"/>
      <c r="J2917" s="134"/>
      <c r="K2917" s="135"/>
      <c r="L2917" s="136"/>
      <c r="M2917" s="144"/>
      <c r="T2917" s="52"/>
      <c r="V2917" s="134"/>
      <c r="W2917" s="134"/>
      <c r="X2917" s="134"/>
      <c r="Y2917" s="134"/>
      <c r="Z2917" s="134"/>
      <c r="AA2917" s="134"/>
      <c r="AB2917" s="134"/>
      <c r="AC2917" s="134"/>
      <c r="AD2917" s="134"/>
    </row>
    <row r="2918">
      <c r="A2918" s="143"/>
      <c r="B2918" s="134"/>
      <c r="C2918" s="134"/>
      <c r="D2918" s="134"/>
      <c r="E2918" s="134"/>
      <c r="F2918" s="134"/>
      <c r="G2918" s="134"/>
      <c r="H2918" s="134"/>
      <c r="J2918" s="134"/>
      <c r="K2918" s="135"/>
      <c r="L2918" s="136"/>
      <c r="M2918" s="144"/>
      <c r="T2918" s="52"/>
      <c r="V2918" s="134"/>
      <c r="W2918" s="134"/>
      <c r="X2918" s="134"/>
      <c r="Y2918" s="134"/>
      <c r="Z2918" s="134"/>
      <c r="AA2918" s="134"/>
      <c r="AB2918" s="134"/>
      <c r="AC2918" s="134"/>
      <c r="AD2918" s="134"/>
    </row>
    <row r="2919">
      <c r="A2919" s="143"/>
      <c r="B2919" s="134"/>
      <c r="C2919" s="134"/>
      <c r="D2919" s="134"/>
      <c r="E2919" s="134"/>
      <c r="F2919" s="134"/>
      <c r="G2919" s="134"/>
      <c r="H2919" s="134"/>
      <c r="J2919" s="134"/>
      <c r="K2919" s="135"/>
      <c r="L2919" s="136"/>
      <c r="M2919" s="144"/>
      <c r="T2919" s="52"/>
      <c r="V2919" s="134"/>
      <c r="W2919" s="134"/>
      <c r="X2919" s="134"/>
      <c r="Y2919" s="134"/>
      <c r="Z2919" s="134"/>
      <c r="AA2919" s="134"/>
      <c r="AB2919" s="134"/>
      <c r="AC2919" s="134"/>
      <c r="AD2919" s="134"/>
    </row>
    <row r="2920">
      <c r="A2920" s="143"/>
      <c r="B2920" s="134"/>
      <c r="C2920" s="134"/>
      <c r="D2920" s="134"/>
      <c r="E2920" s="134"/>
      <c r="F2920" s="134"/>
      <c r="G2920" s="134"/>
      <c r="H2920" s="134"/>
      <c r="J2920" s="134"/>
      <c r="K2920" s="135"/>
      <c r="L2920" s="136"/>
      <c r="M2920" s="144"/>
      <c r="T2920" s="52"/>
      <c r="V2920" s="134"/>
      <c r="W2920" s="134"/>
      <c r="X2920" s="134"/>
      <c r="Y2920" s="134"/>
      <c r="Z2920" s="134"/>
      <c r="AA2920" s="134"/>
      <c r="AB2920" s="134"/>
      <c r="AC2920" s="134"/>
      <c r="AD2920" s="134"/>
    </row>
    <row r="2921">
      <c r="A2921" s="143"/>
      <c r="B2921" s="134"/>
      <c r="C2921" s="134"/>
      <c r="D2921" s="134"/>
      <c r="E2921" s="134"/>
      <c r="F2921" s="134"/>
      <c r="G2921" s="134"/>
      <c r="H2921" s="134"/>
      <c r="J2921" s="134"/>
      <c r="K2921" s="135"/>
      <c r="L2921" s="136"/>
      <c r="M2921" s="144"/>
      <c r="T2921" s="52"/>
      <c r="V2921" s="134"/>
      <c r="W2921" s="134"/>
      <c r="X2921" s="134"/>
      <c r="Y2921" s="134"/>
      <c r="Z2921" s="134"/>
      <c r="AA2921" s="134"/>
      <c r="AB2921" s="134"/>
      <c r="AC2921" s="134"/>
      <c r="AD2921" s="134"/>
    </row>
    <row r="2922">
      <c r="A2922" s="143"/>
      <c r="B2922" s="134"/>
      <c r="C2922" s="134"/>
      <c r="D2922" s="134"/>
      <c r="E2922" s="134"/>
      <c r="F2922" s="134"/>
      <c r="G2922" s="134"/>
      <c r="H2922" s="134"/>
      <c r="J2922" s="134"/>
      <c r="K2922" s="135"/>
      <c r="L2922" s="136"/>
      <c r="M2922" s="144"/>
      <c r="T2922" s="52"/>
      <c r="V2922" s="134"/>
      <c r="W2922" s="134"/>
      <c r="X2922" s="134"/>
      <c r="Y2922" s="134"/>
      <c r="Z2922" s="134"/>
      <c r="AA2922" s="134"/>
      <c r="AB2922" s="134"/>
      <c r="AC2922" s="134"/>
      <c r="AD2922" s="134"/>
    </row>
    <row r="2923">
      <c r="A2923" s="143"/>
      <c r="B2923" s="134"/>
      <c r="C2923" s="134"/>
      <c r="D2923" s="134"/>
      <c r="E2923" s="134"/>
      <c r="F2923" s="134"/>
      <c r="G2923" s="134"/>
      <c r="H2923" s="134"/>
      <c r="J2923" s="134"/>
      <c r="K2923" s="135"/>
      <c r="L2923" s="136"/>
      <c r="M2923" s="144"/>
      <c r="T2923" s="52"/>
      <c r="V2923" s="134"/>
      <c r="W2923" s="134"/>
      <c r="X2923" s="134"/>
      <c r="Y2923" s="134"/>
      <c r="Z2923" s="134"/>
      <c r="AA2923" s="134"/>
      <c r="AB2923" s="134"/>
      <c r="AC2923" s="134"/>
      <c r="AD2923" s="134"/>
    </row>
    <row r="2924">
      <c r="A2924" s="143"/>
      <c r="B2924" s="134"/>
      <c r="C2924" s="134"/>
      <c r="D2924" s="134"/>
      <c r="E2924" s="134"/>
      <c r="F2924" s="134"/>
      <c r="G2924" s="134"/>
      <c r="H2924" s="134"/>
      <c r="J2924" s="134"/>
      <c r="K2924" s="135"/>
      <c r="L2924" s="136"/>
      <c r="M2924" s="144"/>
      <c r="T2924" s="52"/>
      <c r="V2924" s="134"/>
      <c r="W2924" s="134"/>
      <c r="X2924" s="134"/>
      <c r="Y2924" s="134"/>
      <c r="Z2924" s="134"/>
      <c r="AA2924" s="134"/>
      <c r="AB2924" s="134"/>
      <c r="AC2924" s="134"/>
      <c r="AD2924" s="134"/>
    </row>
    <row r="2925">
      <c r="A2925" s="143"/>
      <c r="B2925" s="134"/>
      <c r="C2925" s="134"/>
      <c r="D2925" s="134"/>
      <c r="E2925" s="134"/>
      <c r="F2925" s="134"/>
      <c r="G2925" s="134"/>
      <c r="H2925" s="134"/>
      <c r="J2925" s="134"/>
      <c r="K2925" s="135"/>
      <c r="L2925" s="136"/>
      <c r="M2925" s="144"/>
      <c r="T2925" s="52"/>
      <c r="V2925" s="134"/>
      <c r="W2925" s="134"/>
      <c r="X2925" s="134"/>
      <c r="Y2925" s="134"/>
      <c r="Z2925" s="134"/>
      <c r="AA2925" s="134"/>
      <c r="AB2925" s="134"/>
      <c r="AC2925" s="134"/>
      <c r="AD2925" s="134"/>
    </row>
    <row r="2926">
      <c r="A2926" s="143"/>
      <c r="B2926" s="134"/>
      <c r="C2926" s="134"/>
      <c r="D2926" s="134"/>
      <c r="E2926" s="134"/>
      <c r="F2926" s="134"/>
      <c r="G2926" s="134"/>
      <c r="H2926" s="134"/>
      <c r="J2926" s="134"/>
      <c r="K2926" s="135"/>
      <c r="L2926" s="136"/>
      <c r="M2926" s="144"/>
      <c r="T2926" s="52"/>
      <c r="V2926" s="134"/>
      <c r="W2926" s="134"/>
      <c r="X2926" s="134"/>
      <c r="Y2926" s="134"/>
      <c r="Z2926" s="134"/>
      <c r="AA2926" s="134"/>
      <c r="AB2926" s="134"/>
      <c r="AC2926" s="134"/>
      <c r="AD2926" s="134"/>
    </row>
    <row r="2927">
      <c r="A2927" s="143"/>
      <c r="B2927" s="134"/>
      <c r="C2927" s="134"/>
      <c r="D2927" s="134"/>
      <c r="E2927" s="134"/>
      <c r="F2927" s="134"/>
      <c r="G2927" s="134"/>
      <c r="H2927" s="134"/>
      <c r="J2927" s="134"/>
      <c r="K2927" s="135"/>
      <c r="L2927" s="136"/>
      <c r="M2927" s="144"/>
      <c r="T2927" s="52"/>
      <c r="V2927" s="134"/>
      <c r="W2927" s="134"/>
      <c r="X2927" s="134"/>
      <c r="Y2927" s="134"/>
      <c r="Z2927" s="134"/>
      <c r="AA2927" s="134"/>
      <c r="AB2927" s="134"/>
      <c r="AC2927" s="134"/>
      <c r="AD2927" s="134"/>
    </row>
    <row r="2928">
      <c r="A2928" s="143"/>
      <c r="B2928" s="134"/>
      <c r="C2928" s="134"/>
      <c r="D2928" s="134"/>
      <c r="E2928" s="134"/>
      <c r="F2928" s="134"/>
      <c r="G2928" s="134"/>
      <c r="H2928" s="134"/>
      <c r="J2928" s="134"/>
      <c r="K2928" s="135"/>
      <c r="L2928" s="136"/>
      <c r="M2928" s="144"/>
      <c r="T2928" s="52"/>
      <c r="V2928" s="134"/>
      <c r="W2928" s="134"/>
      <c r="X2928" s="134"/>
      <c r="Y2928" s="134"/>
      <c r="Z2928" s="134"/>
      <c r="AA2928" s="134"/>
      <c r="AB2928" s="134"/>
      <c r="AC2928" s="134"/>
      <c r="AD2928" s="134"/>
    </row>
    <row r="2929">
      <c r="A2929" s="143"/>
      <c r="B2929" s="134"/>
      <c r="C2929" s="134"/>
      <c r="D2929" s="134"/>
      <c r="E2929" s="134"/>
      <c r="F2929" s="134"/>
      <c r="G2929" s="134"/>
      <c r="H2929" s="134"/>
      <c r="J2929" s="134"/>
      <c r="K2929" s="135"/>
      <c r="L2929" s="136"/>
      <c r="M2929" s="144"/>
      <c r="T2929" s="52"/>
      <c r="V2929" s="134"/>
      <c r="W2929" s="134"/>
      <c r="X2929" s="134"/>
      <c r="Y2929" s="134"/>
      <c r="Z2929" s="134"/>
      <c r="AA2929" s="134"/>
      <c r="AB2929" s="134"/>
      <c r="AC2929" s="134"/>
      <c r="AD2929" s="134"/>
    </row>
    <row r="2930">
      <c r="A2930" s="143"/>
      <c r="B2930" s="134"/>
      <c r="C2930" s="134"/>
      <c r="D2930" s="134"/>
      <c r="E2930" s="134"/>
      <c r="F2930" s="134"/>
      <c r="G2930" s="134"/>
      <c r="H2930" s="134"/>
      <c r="J2930" s="134"/>
      <c r="K2930" s="135"/>
      <c r="L2930" s="136"/>
      <c r="M2930" s="144"/>
      <c r="T2930" s="52"/>
      <c r="V2930" s="134"/>
      <c r="W2930" s="134"/>
      <c r="X2930" s="134"/>
      <c r="Y2930" s="134"/>
      <c r="Z2930" s="134"/>
      <c r="AA2930" s="134"/>
      <c r="AB2930" s="134"/>
      <c r="AC2930" s="134"/>
      <c r="AD2930" s="134"/>
    </row>
    <row r="2931">
      <c r="A2931" s="143"/>
      <c r="B2931" s="134"/>
      <c r="C2931" s="134"/>
      <c r="D2931" s="134"/>
      <c r="E2931" s="134"/>
      <c r="F2931" s="134"/>
      <c r="G2931" s="134"/>
      <c r="H2931" s="134"/>
      <c r="J2931" s="134"/>
      <c r="K2931" s="135"/>
      <c r="L2931" s="136"/>
      <c r="M2931" s="144"/>
      <c r="T2931" s="52"/>
      <c r="V2931" s="134"/>
      <c r="W2931" s="134"/>
      <c r="X2931" s="134"/>
      <c r="Y2931" s="134"/>
      <c r="Z2931" s="134"/>
      <c r="AA2931" s="134"/>
      <c r="AB2931" s="134"/>
      <c r="AC2931" s="134"/>
      <c r="AD2931" s="134"/>
    </row>
    <row r="2932">
      <c r="A2932" s="143"/>
      <c r="B2932" s="134"/>
      <c r="C2932" s="134"/>
      <c r="D2932" s="134"/>
      <c r="E2932" s="134"/>
      <c r="F2932" s="134"/>
      <c r="G2932" s="134"/>
      <c r="H2932" s="134"/>
      <c r="J2932" s="134"/>
      <c r="K2932" s="135"/>
      <c r="L2932" s="136"/>
      <c r="M2932" s="144"/>
      <c r="T2932" s="52"/>
      <c r="V2932" s="134"/>
      <c r="W2932" s="134"/>
      <c r="X2932" s="134"/>
      <c r="Y2932" s="134"/>
      <c r="Z2932" s="134"/>
      <c r="AA2932" s="134"/>
      <c r="AB2932" s="134"/>
      <c r="AC2932" s="134"/>
      <c r="AD2932" s="134"/>
    </row>
    <row r="2933">
      <c r="A2933" s="143"/>
      <c r="B2933" s="134"/>
      <c r="C2933" s="134"/>
      <c r="D2933" s="134"/>
      <c r="E2933" s="134"/>
      <c r="F2933" s="134"/>
      <c r="G2933" s="134"/>
      <c r="H2933" s="134"/>
      <c r="J2933" s="134"/>
      <c r="K2933" s="135"/>
      <c r="L2933" s="136"/>
      <c r="M2933" s="144"/>
      <c r="T2933" s="52"/>
      <c r="V2933" s="134"/>
      <c r="W2933" s="134"/>
      <c r="X2933" s="134"/>
      <c r="Y2933" s="134"/>
      <c r="Z2933" s="134"/>
      <c r="AA2933" s="134"/>
      <c r="AB2933" s="134"/>
      <c r="AC2933" s="134"/>
      <c r="AD2933" s="134"/>
    </row>
    <row r="2934">
      <c r="A2934" s="143"/>
      <c r="B2934" s="134"/>
      <c r="C2934" s="134"/>
      <c r="D2934" s="134"/>
      <c r="E2934" s="134"/>
      <c r="F2934" s="134"/>
      <c r="G2934" s="134"/>
      <c r="H2934" s="134"/>
      <c r="J2934" s="134"/>
      <c r="K2934" s="135"/>
      <c r="L2934" s="136"/>
      <c r="M2934" s="144"/>
      <c r="T2934" s="52"/>
      <c r="V2934" s="134"/>
      <c r="W2934" s="134"/>
      <c r="X2934" s="134"/>
      <c r="Y2934" s="134"/>
      <c r="Z2934" s="134"/>
      <c r="AA2934" s="134"/>
      <c r="AB2934" s="134"/>
      <c r="AC2934" s="134"/>
      <c r="AD2934" s="134"/>
    </row>
    <row r="2935">
      <c r="A2935" s="143"/>
      <c r="B2935" s="134"/>
      <c r="C2935" s="134"/>
      <c r="D2935" s="134"/>
      <c r="E2935" s="134"/>
      <c r="F2935" s="134"/>
      <c r="G2935" s="134"/>
      <c r="H2935" s="134"/>
      <c r="J2935" s="134"/>
      <c r="K2935" s="135"/>
      <c r="L2935" s="136"/>
      <c r="M2935" s="144"/>
      <c r="T2935" s="52"/>
      <c r="V2935" s="134"/>
      <c r="W2935" s="134"/>
      <c r="X2935" s="134"/>
      <c r="Y2935" s="134"/>
      <c r="Z2935" s="134"/>
      <c r="AA2935" s="134"/>
      <c r="AB2935" s="134"/>
      <c r="AC2935" s="134"/>
      <c r="AD2935" s="134"/>
    </row>
    <row r="2936">
      <c r="A2936" s="143"/>
      <c r="B2936" s="134"/>
      <c r="C2936" s="134"/>
      <c r="D2936" s="134"/>
      <c r="E2936" s="134"/>
      <c r="F2936" s="134"/>
      <c r="G2936" s="134"/>
      <c r="H2936" s="134"/>
      <c r="J2936" s="134"/>
      <c r="K2936" s="135"/>
      <c r="L2936" s="136"/>
      <c r="M2936" s="144"/>
      <c r="T2936" s="52"/>
      <c r="V2936" s="134"/>
      <c r="W2936" s="134"/>
      <c r="X2936" s="134"/>
      <c r="Y2936" s="134"/>
      <c r="Z2936" s="134"/>
      <c r="AA2936" s="134"/>
      <c r="AB2936" s="134"/>
      <c r="AC2936" s="134"/>
      <c r="AD2936" s="134"/>
    </row>
    <row r="2937">
      <c r="A2937" s="143"/>
      <c r="B2937" s="134"/>
      <c r="C2937" s="134"/>
      <c r="D2937" s="134"/>
      <c r="E2937" s="134"/>
      <c r="F2937" s="134"/>
      <c r="G2937" s="134"/>
      <c r="H2937" s="134"/>
      <c r="J2937" s="134"/>
      <c r="K2937" s="135"/>
      <c r="L2937" s="136"/>
      <c r="M2937" s="144"/>
      <c r="T2937" s="52"/>
      <c r="V2937" s="134"/>
      <c r="W2937" s="134"/>
      <c r="X2937" s="134"/>
      <c r="Y2937" s="134"/>
      <c r="Z2937" s="134"/>
      <c r="AA2937" s="134"/>
      <c r="AB2937" s="134"/>
      <c r="AC2937" s="134"/>
      <c r="AD2937" s="134"/>
    </row>
    <row r="2938">
      <c r="A2938" s="143"/>
      <c r="B2938" s="134"/>
      <c r="C2938" s="134"/>
      <c r="D2938" s="134"/>
      <c r="E2938" s="134"/>
      <c r="F2938" s="134"/>
      <c r="G2938" s="134"/>
      <c r="H2938" s="134"/>
      <c r="J2938" s="134"/>
      <c r="K2938" s="135"/>
      <c r="L2938" s="136"/>
      <c r="M2938" s="144"/>
      <c r="T2938" s="52"/>
      <c r="V2938" s="134"/>
      <c r="W2938" s="134"/>
      <c r="X2938" s="134"/>
      <c r="Y2938" s="134"/>
      <c r="Z2938" s="134"/>
      <c r="AA2938" s="134"/>
      <c r="AB2938" s="134"/>
      <c r="AC2938" s="134"/>
      <c r="AD2938" s="134"/>
    </row>
    <row r="2939">
      <c r="A2939" s="143"/>
      <c r="B2939" s="134"/>
      <c r="C2939" s="134"/>
      <c r="D2939" s="134"/>
      <c r="E2939" s="134"/>
      <c r="F2939" s="134"/>
      <c r="G2939" s="134"/>
      <c r="H2939" s="134"/>
      <c r="J2939" s="134"/>
      <c r="K2939" s="135"/>
      <c r="L2939" s="136"/>
      <c r="M2939" s="144"/>
      <c r="T2939" s="52"/>
      <c r="V2939" s="134"/>
      <c r="W2939" s="134"/>
      <c r="X2939" s="134"/>
      <c r="Y2939" s="134"/>
      <c r="Z2939" s="134"/>
      <c r="AA2939" s="134"/>
      <c r="AB2939" s="134"/>
      <c r="AC2939" s="134"/>
      <c r="AD2939" s="134"/>
    </row>
    <row r="2940">
      <c r="A2940" s="143"/>
      <c r="B2940" s="134"/>
      <c r="C2940" s="134"/>
      <c r="D2940" s="134"/>
      <c r="E2940" s="134"/>
      <c r="F2940" s="134"/>
      <c r="G2940" s="134"/>
      <c r="H2940" s="134"/>
      <c r="J2940" s="134"/>
      <c r="K2940" s="135"/>
      <c r="L2940" s="136"/>
      <c r="M2940" s="144"/>
      <c r="T2940" s="52"/>
      <c r="V2940" s="134"/>
      <c r="W2940" s="134"/>
      <c r="X2940" s="134"/>
      <c r="Y2940" s="134"/>
      <c r="Z2940" s="134"/>
      <c r="AA2940" s="134"/>
      <c r="AB2940" s="134"/>
      <c r="AC2940" s="134"/>
      <c r="AD2940" s="134"/>
    </row>
    <row r="2941">
      <c r="A2941" s="143"/>
      <c r="B2941" s="134"/>
      <c r="C2941" s="134"/>
      <c r="D2941" s="134"/>
      <c r="E2941" s="134"/>
      <c r="F2941" s="134"/>
      <c r="G2941" s="134"/>
      <c r="H2941" s="134"/>
      <c r="J2941" s="134"/>
      <c r="K2941" s="135"/>
      <c r="L2941" s="136"/>
      <c r="M2941" s="144"/>
      <c r="T2941" s="52"/>
      <c r="V2941" s="134"/>
      <c r="W2941" s="134"/>
      <c r="X2941" s="134"/>
      <c r="Y2941" s="134"/>
      <c r="Z2941" s="134"/>
      <c r="AA2941" s="134"/>
      <c r="AB2941" s="134"/>
      <c r="AC2941" s="134"/>
      <c r="AD2941" s="134"/>
    </row>
    <row r="2942">
      <c r="A2942" s="143"/>
      <c r="B2942" s="134"/>
      <c r="C2942" s="134"/>
      <c r="D2942" s="134"/>
      <c r="E2942" s="134"/>
      <c r="F2942" s="134"/>
      <c r="G2942" s="134"/>
      <c r="H2942" s="134"/>
      <c r="J2942" s="134"/>
      <c r="K2942" s="135"/>
      <c r="L2942" s="136"/>
      <c r="M2942" s="144"/>
      <c r="T2942" s="52"/>
      <c r="V2942" s="134"/>
      <c r="W2942" s="134"/>
      <c r="X2942" s="134"/>
      <c r="Y2942" s="134"/>
      <c r="Z2942" s="134"/>
      <c r="AA2942" s="134"/>
      <c r="AB2942" s="134"/>
      <c r="AC2942" s="134"/>
      <c r="AD2942" s="134"/>
    </row>
    <row r="2943">
      <c r="A2943" s="143"/>
      <c r="B2943" s="134"/>
      <c r="C2943" s="134"/>
      <c r="D2943" s="134"/>
      <c r="E2943" s="134"/>
      <c r="F2943" s="134"/>
      <c r="G2943" s="134"/>
      <c r="H2943" s="134"/>
      <c r="J2943" s="134"/>
      <c r="K2943" s="135"/>
      <c r="L2943" s="136"/>
      <c r="M2943" s="144"/>
      <c r="T2943" s="52"/>
      <c r="V2943" s="134"/>
      <c r="W2943" s="134"/>
      <c r="X2943" s="134"/>
      <c r="Y2943" s="134"/>
      <c r="Z2943" s="134"/>
      <c r="AA2943" s="134"/>
      <c r="AB2943" s="134"/>
      <c r="AC2943" s="134"/>
      <c r="AD2943" s="134"/>
    </row>
    <row r="2944">
      <c r="A2944" s="143"/>
      <c r="B2944" s="134"/>
      <c r="C2944" s="134"/>
      <c r="D2944" s="134"/>
      <c r="E2944" s="134"/>
      <c r="F2944" s="134"/>
      <c r="G2944" s="134"/>
      <c r="H2944" s="134"/>
      <c r="J2944" s="134"/>
      <c r="K2944" s="135"/>
      <c r="L2944" s="136"/>
      <c r="M2944" s="144"/>
      <c r="T2944" s="52"/>
      <c r="V2944" s="134"/>
      <c r="W2944" s="134"/>
      <c r="X2944" s="134"/>
      <c r="Y2944" s="134"/>
      <c r="Z2944" s="134"/>
      <c r="AA2944" s="134"/>
      <c r="AB2944" s="134"/>
      <c r="AC2944" s="134"/>
      <c r="AD2944" s="134"/>
    </row>
    <row r="2945">
      <c r="A2945" s="143"/>
      <c r="B2945" s="134"/>
      <c r="C2945" s="134"/>
      <c r="D2945" s="134"/>
      <c r="E2945" s="134"/>
      <c r="F2945" s="134"/>
      <c r="G2945" s="134"/>
      <c r="H2945" s="134"/>
      <c r="J2945" s="134"/>
      <c r="K2945" s="135"/>
      <c r="L2945" s="136"/>
      <c r="M2945" s="144"/>
      <c r="T2945" s="52"/>
      <c r="V2945" s="134"/>
      <c r="W2945" s="134"/>
      <c r="X2945" s="134"/>
      <c r="Y2945" s="134"/>
      <c r="Z2945" s="134"/>
      <c r="AA2945" s="134"/>
      <c r="AB2945" s="134"/>
      <c r="AC2945" s="134"/>
      <c r="AD2945" s="134"/>
    </row>
    <row r="2946">
      <c r="A2946" s="143"/>
      <c r="B2946" s="134"/>
      <c r="C2946" s="134"/>
      <c r="D2946" s="134"/>
      <c r="E2946" s="134"/>
      <c r="F2946" s="134"/>
      <c r="G2946" s="134"/>
      <c r="H2946" s="134"/>
      <c r="J2946" s="134"/>
      <c r="K2946" s="135"/>
      <c r="L2946" s="136"/>
      <c r="M2946" s="144"/>
      <c r="T2946" s="52"/>
      <c r="V2946" s="134"/>
      <c r="W2946" s="134"/>
      <c r="X2946" s="134"/>
      <c r="Y2946" s="134"/>
      <c r="Z2946" s="134"/>
      <c r="AA2946" s="134"/>
      <c r="AB2946" s="134"/>
      <c r="AC2946" s="134"/>
      <c r="AD2946" s="134"/>
    </row>
    <row r="2947">
      <c r="A2947" s="143"/>
      <c r="B2947" s="134"/>
      <c r="C2947" s="134"/>
      <c r="D2947" s="134"/>
      <c r="E2947" s="134"/>
      <c r="F2947" s="134"/>
      <c r="G2947" s="134"/>
      <c r="H2947" s="134"/>
      <c r="J2947" s="134"/>
      <c r="K2947" s="135"/>
      <c r="L2947" s="136"/>
      <c r="M2947" s="144"/>
      <c r="T2947" s="52"/>
      <c r="V2947" s="134"/>
      <c r="W2947" s="134"/>
      <c r="X2947" s="134"/>
      <c r="Y2947" s="134"/>
      <c r="Z2947" s="134"/>
      <c r="AA2947" s="134"/>
      <c r="AB2947" s="134"/>
      <c r="AC2947" s="134"/>
      <c r="AD2947" s="134"/>
    </row>
    <row r="2948">
      <c r="A2948" s="143"/>
      <c r="B2948" s="134"/>
      <c r="C2948" s="134"/>
      <c r="D2948" s="134"/>
      <c r="E2948" s="134"/>
      <c r="F2948" s="134"/>
      <c r="G2948" s="134"/>
      <c r="H2948" s="134"/>
      <c r="J2948" s="134"/>
      <c r="K2948" s="135"/>
      <c r="L2948" s="136"/>
      <c r="M2948" s="144"/>
      <c r="T2948" s="52"/>
      <c r="V2948" s="134"/>
      <c r="W2948" s="134"/>
      <c r="X2948" s="134"/>
      <c r="Y2948" s="134"/>
      <c r="Z2948" s="134"/>
      <c r="AA2948" s="134"/>
      <c r="AB2948" s="134"/>
      <c r="AC2948" s="134"/>
      <c r="AD2948" s="134"/>
    </row>
    <row r="2949">
      <c r="A2949" s="143"/>
      <c r="B2949" s="134"/>
      <c r="C2949" s="134"/>
      <c r="D2949" s="134"/>
      <c r="E2949" s="134"/>
      <c r="F2949" s="134"/>
      <c r="G2949" s="134"/>
      <c r="H2949" s="134"/>
      <c r="J2949" s="134"/>
      <c r="K2949" s="135"/>
      <c r="L2949" s="136"/>
      <c r="M2949" s="144"/>
      <c r="T2949" s="52"/>
      <c r="V2949" s="134"/>
      <c r="W2949" s="134"/>
      <c r="X2949" s="134"/>
      <c r="Y2949" s="134"/>
      <c r="Z2949" s="134"/>
      <c r="AA2949" s="134"/>
      <c r="AB2949" s="134"/>
      <c r="AC2949" s="134"/>
      <c r="AD2949" s="134"/>
    </row>
    <row r="2950">
      <c r="A2950" s="143"/>
      <c r="B2950" s="134"/>
      <c r="C2950" s="134"/>
      <c r="D2950" s="134"/>
      <c r="E2950" s="134"/>
      <c r="F2950" s="134"/>
      <c r="G2950" s="134"/>
      <c r="H2950" s="134"/>
      <c r="J2950" s="134"/>
      <c r="K2950" s="135"/>
      <c r="L2950" s="136"/>
      <c r="M2950" s="144"/>
      <c r="T2950" s="52"/>
      <c r="V2950" s="134"/>
      <c r="W2950" s="134"/>
      <c r="X2950" s="134"/>
      <c r="Y2950" s="134"/>
      <c r="Z2950" s="134"/>
      <c r="AA2950" s="134"/>
      <c r="AB2950" s="134"/>
      <c r="AC2950" s="134"/>
      <c r="AD2950" s="134"/>
    </row>
    <row r="2951">
      <c r="A2951" s="143"/>
      <c r="B2951" s="134"/>
      <c r="C2951" s="134"/>
      <c r="D2951" s="134"/>
      <c r="E2951" s="134"/>
      <c r="F2951" s="134"/>
      <c r="G2951" s="134"/>
      <c r="H2951" s="134"/>
      <c r="J2951" s="134"/>
      <c r="K2951" s="135"/>
      <c r="L2951" s="136"/>
      <c r="M2951" s="144"/>
      <c r="T2951" s="52"/>
      <c r="V2951" s="134"/>
      <c r="W2951" s="134"/>
      <c r="X2951" s="134"/>
      <c r="Y2951" s="134"/>
      <c r="Z2951" s="134"/>
      <c r="AA2951" s="134"/>
      <c r="AB2951" s="134"/>
      <c r="AC2951" s="134"/>
      <c r="AD2951" s="134"/>
    </row>
    <row r="2952">
      <c r="A2952" s="143"/>
      <c r="B2952" s="134"/>
      <c r="C2952" s="134"/>
      <c r="D2952" s="134"/>
      <c r="E2952" s="134"/>
      <c r="F2952" s="134"/>
      <c r="G2952" s="134"/>
      <c r="H2952" s="134"/>
      <c r="J2952" s="134"/>
      <c r="K2952" s="135"/>
      <c r="L2952" s="136"/>
      <c r="M2952" s="144"/>
      <c r="T2952" s="52"/>
      <c r="V2952" s="134"/>
      <c r="W2952" s="134"/>
      <c r="X2952" s="134"/>
      <c r="Y2952" s="134"/>
      <c r="Z2952" s="134"/>
      <c r="AA2952" s="134"/>
      <c r="AB2952" s="134"/>
      <c r="AC2952" s="134"/>
      <c r="AD2952" s="134"/>
    </row>
    <row r="2953">
      <c r="A2953" s="143"/>
      <c r="B2953" s="134"/>
      <c r="C2953" s="134"/>
      <c r="D2953" s="134"/>
      <c r="E2953" s="134"/>
      <c r="F2953" s="134"/>
      <c r="G2953" s="134"/>
      <c r="H2953" s="134"/>
      <c r="J2953" s="134"/>
      <c r="K2953" s="135"/>
      <c r="L2953" s="136"/>
      <c r="M2953" s="144"/>
      <c r="T2953" s="52"/>
      <c r="V2953" s="134"/>
      <c r="W2953" s="134"/>
      <c r="X2953" s="134"/>
      <c r="Y2953" s="134"/>
      <c r="Z2953" s="134"/>
      <c r="AA2953" s="134"/>
      <c r="AB2953" s="134"/>
      <c r="AC2953" s="134"/>
      <c r="AD2953" s="134"/>
    </row>
    <row r="2954">
      <c r="A2954" s="143"/>
      <c r="B2954" s="134"/>
      <c r="C2954" s="134"/>
      <c r="D2954" s="134"/>
      <c r="E2954" s="134"/>
      <c r="F2954" s="134"/>
      <c r="G2954" s="134"/>
      <c r="H2954" s="134"/>
      <c r="J2954" s="134"/>
      <c r="K2954" s="135"/>
      <c r="L2954" s="136"/>
      <c r="M2954" s="144"/>
      <c r="T2954" s="52"/>
      <c r="V2954" s="134"/>
      <c r="W2954" s="134"/>
      <c r="X2954" s="134"/>
      <c r="Y2954" s="134"/>
      <c r="Z2954" s="134"/>
      <c r="AA2954" s="134"/>
      <c r="AB2954" s="134"/>
      <c r="AC2954" s="134"/>
      <c r="AD2954" s="134"/>
    </row>
    <row r="2955">
      <c r="A2955" s="143"/>
      <c r="B2955" s="134"/>
      <c r="C2955" s="134"/>
      <c r="D2955" s="134"/>
      <c r="E2955" s="134"/>
      <c r="F2955" s="134"/>
      <c r="G2955" s="134"/>
      <c r="H2955" s="134"/>
      <c r="J2955" s="134"/>
      <c r="K2955" s="135"/>
      <c r="L2955" s="136"/>
      <c r="M2955" s="144"/>
      <c r="T2955" s="52"/>
      <c r="V2955" s="134"/>
      <c r="W2955" s="134"/>
      <c r="X2955" s="134"/>
      <c r="Y2955" s="134"/>
      <c r="Z2955" s="134"/>
      <c r="AA2955" s="134"/>
      <c r="AB2955" s="134"/>
      <c r="AC2955" s="134"/>
      <c r="AD2955" s="134"/>
    </row>
    <row r="2956">
      <c r="A2956" s="143"/>
      <c r="B2956" s="134"/>
      <c r="C2956" s="134"/>
      <c r="D2956" s="134"/>
      <c r="E2956" s="134"/>
      <c r="F2956" s="134"/>
      <c r="G2956" s="134"/>
      <c r="H2956" s="134"/>
      <c r="J2956" s="134"/>
      <c r="K2956" s="135"/>
      <c r="L2956" s="136"/>
      <c r="M2956" s="144"/>
      <c r="T2956" s="52"/>
      <c r="V2956" s="134"/>
      <c r="W2956" s="134"/>
      <c r="X2956" s="134"/>
      <c r="Y2956" s="134"/>
      <c r="Z2956" s="134"/>
      <c r="AA2956" s="134"/>
      <c r="AB2956" s="134"/>
      <c r="AC2956" s="134"/>
      <c r="AD2956" s="134"/>
    </row>
    <row r="2957">
      <c r="A2957" s="143"/>
      <c r="B2957" s="134"/>
      <c r="C2957" s="134"/>
      <c r="D2957" s="134"/>
      <c r="E2957" s="134"/>
      <c r="F2957" s="134"/>
      <c r="G2957" s="134"/>
      <c r="H2957" s="134"/>
      <c r="J2957" s="134"/>
      <c r="K2957" s="135"/>
      <c r="L2957" s="136"/>
      <c r="M2957" s="144"/>
      <c r="T2957" s="52"/>
      <c r="V2957" s="134"/>
      <c r="W2957" s="134"/>
      <c r="X2957" s="134"/>
      <c r="Y2957" s="134"/>
      <c r="Z2957" s="134"/>
      <c r="AA2957" s="134"/>
      <c r="AB2957" s="134"/>
      <c r="AC2957" s="134"/>
      <c r="AD2957" s="134"/>
    </row>
    <row r="2958">
      <c r="A2958" s="143"/>
      <c r="B2958" s="134"/>
      <c r="C2958" s="134"/>
      <c r="D2958" s="134"/>
      <c r="E2958" s="134"/>
      <c r="F2958" s="134"/>
      <c r="G2958" s="134"/>
      <c r="H2958" s="134"/>
      <c r="J2958" s="134"/>
      <c r="K2958" s="135"/>
      <c r="L2958" s="136"/>
      <c r="M2958" s="144"/>
      <c r="T2958" s="52"/>
      <c r="V2958" s="134"/>
      <c r="W2958" s="134"/>
      <c r="X2958" s="134"/>
      <c r="Y2958" s="134"/>
      <c r="Z2958" s="134"/>
      <c r="AA2958" s="134"/>
      <c r="AB2958" s="134"/>
      <c r="AC2958" s="134"/>
      <c r="AD2958" s="134"/>
    </row>
    <row r="2959">
      <c r="A2959" s="143"/>
      <c r="B2959" s="134"/>
      <c r="C2959" s="134"/>
      <c r="D2959" s="134"/>
      <c r="E2959" s="134"/>
      <c r="F2959" s="134"/>
      <c r="G2959" s="134"/>
      <c r="H2959" s="134"/>
      <c r="J2959" s="134"/>
      <c r="K2959" s="135"/>
      <c r="L2959" s="136"/>
      <c r="M2959" s="144"/>
      <c r="T2959" s="52"/>
      <c r="V2959" s="134"/>
      <c r="W2959" s="134"/>
      <c r="X2959" s="134"/>
      <c r="Y2959" s="134"/>
      <c r="Z2959" s="134"/>
      <c r="AA2959" s="134"/>
      <c r="AB2959" s="134"/>
      <c r="AC2959" s="134"/>
      <c r="AD2959" s="134"/>
    </row>
    <row r="2960">
      <c r="A2960" s="143"/>
      <c r="B2960" s="134"/>
      <c r="C2960" s="134"/>
      <c r="D2960" s="134"/>
      <c r="E2960" s="134"/>
      <c r="F2960" s="134"/>
      <c r="G2960" s="134"/>
      <c r="H2960" s="134"/>
      <c r="J2960" s="134"/>
      <c r="K2960" s="135"/>
      <c r="L2960" s="136"/>
      <c r="M2960" s="144"/>
      <c r="T2960" s="52"/>
      <c r="V2960" s="134"/>
      <c r="W2960" s="134"/>
      <c r="X2960" s="134"/>
      <c r="Y2960" s="134"/>
      <c r="Z2960" s="134"/>
      <c r="AA2960" s="134"/>
      <c r="AB2960" s="134"/>
      <c r="AC2960" s="134"/>
      <c r="AD2960" s="134"/>
    </row>
    <row r="2961">
      <c r="A2961" s="143"/>
      <c r="B2961" s="134"/>
      <c r="C2961" s="134"/>
      <c r="D2961" s="134"/>
      <c r="E2961" s="134"/>
      <c r="F2961" s="134"/>
      <c r="G2961" s="134"/>
      <c r="H2961" s="134"/>
      <c r="J2961" s="134"/>
      <c r="K2961" s="135"/>
      <c r="L2961" s="136"/>
      <c r="M2961" s="144"/>
      <c r="T2961" s="52"/>
      <c r="V2961" s="134"/>
      <c r="W2961" s="134"/>
      <c r="X2961" s="134"/>
      <c r="Y2961" s="134"/>
      <c r="Z2961" s="134"/>
      <c r="AA2961" s="134"/>
      <c r="AB2961" s="134"/>
      <c r="AC2961" s="134"/>
      <c r="AD2961" s="134"/>
    </row>
    <row r="2962">
      <c r="A2962" s="143"/>
      <c r="B2962" s="134"/>
      <c r="C2962" s="134"/>
      <c r="D2962" s="134"/>
      <c r="E2962" s="134"/>
      <c r="F2962" s="134"/>
      <c r="G2962" s="134"/>
      <c r="H2962" s="134"/>
      <c r="J2962" s="134"/>
      <c r="K2962" s="135"/>
      <c r="L2962" s="136"/>
      <c r="M2962" s="144"/>
      <c r="T2962" s="52"/>
      <c r="V2962" s="134"/>
      <c r="W2962" s="134"/>
      <c r="X2962" s="134"/>
      <c r="Y2962" s="134"/>
      <c r="Z2962" s="134"/>
      <c r="AA2962" s="134"/>
      <c r="AB2962" s="134"/>
      <c r="AC2962" s="134"/>
      <c r="AD2962" s="134"/>
    </row>
    <row r="2963">
      <c r="A2963" s="143"/>
      <c r="B2963" s="134"/>
      <c r="C2963" s="134"/>
      <c r="D2963" s="134"/>
      <c r="E2963" s="134"/>
      <c r="F2963" s="134"/>
      <c r="G2963" s="134"/>
      <c r="H2963" s="134"/>
      <c r="J2963" s="134"/>
      <c r="K2963" s="135"/>
      <c r="L2963" s="136"/>
      <c r="M2963" s="144"/>
      <c r="T2963" s="52"/>
      <c r="V2963" s="134"/>
      <c r="W2963" s="134"/>
      <c r="X2963" s="134"/>
      <c r="Y2963" s="134"/>
      <c r="Z2963" s="134"/>
      <c r="AA2963" s="134"/>
      <c r="AB2963" s="134"/>
      <c r="AC2963" s="134"/>
      <c r="AD2963" s="134"/>
    </row>
    <row r="2964">
      <c r="A2964" s="143"/>
      <c r="B2964" s="134"/>
      <c r="C2964" s="134"/>
      <c r="D2964" s="134"/>
      <c r="E2964" s="134"/>
      <c r="F2964" s="134"/>
      <c r="G2964" s="134"/>
      <c r="H2964" s="134"/>
      <c r="J2964" s="134"/>
      <c r="K2964" s="135"/>
      <c r="L2964" s="136"/>
      <c r="M2964" s="144"/>
      <c r="T2964" s="52"/>
      <c r="V2964" s="134"/>
      <c r="W2964" s="134"/>
      <c r="X2964" s="134"/>
      <c r="Y2964" s="134"/>
      <c r="Z2964" s="134"/>
      <c r="AA2964" s="134"/>
      <c r="AB2964" s="134"/>
      <c r="AC2964" s="134"/>
      <c r="AD2964" s="134"/>
    </row>
    <row r="2965">
      <c r="A2965" s="143"/>
      <c r="B2965" s="134"/>
      <c r="C2965" s="134"/>
      <c r="D2965" s="134"/>
      <c r="E2965" s="134"/>
      <c r="F2965" s="134"/>
      <c r="G2965" s="134"/>
      <c r="H2965" s="134"/>
      <c r="J2965" s="134"/>
      <c r="K2965" s="135"/>
      <c r="L2965" s="136"/>
      <c r="M2965" s="144"/>
      <c r="T2965" s="52"/>
      <c r="V2965" s="134"/>
      <c r="W2965" s="134"/>
      <c r="X2965" s="134"/>
      <c r="Y2965" s="134"/>
      <c r="Z2965" s="134"/>
      <c r="AA2965" s="134"/>
      <c r="AB2965" s="134"/>
      <c r="AC2965" s="134"/>
      <c r="AD2965" s="134"/>
    </row>
    <row r="2966">
      <c r="A2966" s="143"/>
      <c r="B2966" s="134"/>
      <c r="C2966" s="134"/>
      <c r="D2966" s="134"/>
      <c r="E2966" s="134"/>
      <c r="F2966" s="134"/>
      <c r="G2966" s="134"/>
      <c r="H2966" s="134"/>
      <c r="J2966" s="134"/>
      <c r="K2966" s="135"/>
      <c r="L2966" s="136"/>
      <c r="M2966" s="144"/>
      <c r="T2966" s="52"/>
      <c r="V2966" s="134"/>
      <c r="W2966" s="134"/>
      <c r="X2966" s="134"/>
      <c r="Y2966" s="134"/>
      <c r="Z2966" s="134"/>
      <c r="AA2966" s="134"/>
      <c r="AB2966" s="134"/>
      <c r="AC2966" s="134"/>
      <c r="AD2966" s="134"/>
    </row>
    <row r="2967">
      <c r="A2967" s="143"/>
      <c r="B2967" s="134"/>
      <c r="C2967" s="134"/>
      <c r="D2967" s="134"/>
      <c r="E2967" s="134"/>
      <c r="F2967" s="134"/>
      <c r="G2967" s="134"/>
      <c r="H2967" s="134"/>
      <c r="J2967" s="134"/>
      <c r="K2967" s="135"/>
      <c r="L2967" s="136"/>
      <c r="M2967" s="144"/>
      <c r="T2967" s="52"/>
      <c r="V2967" s="134"/>
      <c r="W2967" s="134"/>
      <c r="X2967" s="134"/>
      <c r="Y2967" s="134"/>
      <c r="Z2967" s="134"/>
      <c r="AA2967" s="134"/>
      <c r="AB2967" s="134"/>
      <c r="AC2967" s="134"/>
      <c r="AD2967" s="134"/>
    </row>
    <row r="2968">
      <c r="A2968" s="143"/>
      <c r="B2968" s="134"/>
      <c r="C2968" s="134"/>
      <c r="D2968" s="134"/>
      <c r="E2968" s="134"/>
      <c r="F2968" s="134"/>
      <c r="G2968" s="134"/>
      <c r="H2968" s="134"/>
      <c r="J2968" s="134"/>
      <c r="K2968" s="135"/>
      <c r="L2968" s="136"/>
      <c r="M2968" s="144"/>
      <c r="T2968" s="52"/>
      <c r="V2968" s="134"/>
      <c r="W2968" s="134"/>
      <c r="X2968" s="134"/>
      <c r="Y2968" s="134"/>
      <c r="Z2968" s="134"/>
      <c r="AA2968" s="134"/>
      <c r="AB2968" s="134"/>
      <c r="AC2968" s="134"/>
      <c r="AD2968" s="134"/>
    </row>
    <row r="2969">
      <c r="A2969" s="143"/>
      <c r="B2969" s="134"/>
      <c r="C2969" s="134"/>
      <c r="D2969" s="134"/>
      <c r="E2969" s="134"/>
      <c r="F2969" s="134"/>
      <c r="G2969" s="134"/>
      <c r="H2969" s="134"/>
      <c r="J2969" s="134"/>
      <c r="K2969" s="135"/>
      <c r="L2969" s="136"/>
      <c r="M2969" s="144"/>
      <c r="T2969" s="52"/>
      <c r="V2969" s="134"/>
      <c r="W2969" s="134"/>
      <c r="X2969" s="134"/>
      <c r="Y2969" s="134"/>
      <c r="Z2969" s="134"/>
      <c r="AA2969" s="134"/>
      <c r="AB2969" s="134"/>
      <c r="AC2969" s="134"/>
      <c r="AD2969" s="134"/>
    </row>
    <row r="2970">
      <c r="A2970" s="143"/>
      <c r="B2970" s="134"/>
      <c r="C2970" s="134"/>
      <c r="D2970" s="134"/>
      <c r="E2970" s="134"/>
      <c r="F2970" s="134"/>
      <c r="G2970" s="134"/>
      <c r="H2970" s="134"/>
      <c r="J2970" s="134"/>
      <c r="K2970" s="135"/>
      <c r="L2970" s="136"/>
      <c r="M2970" s="144"/>
      <c r="T2970" s="52"/>
      <c r="V2970" s="134"/>
      <c r="W2970" s="134"/>
      <c r="X2970" s="134"/>
      <c r="Y2970" s="134"/>
      <c r="Z2970" s="134"/>
      <c r="AA2970" s="134"/>
      <c r="AB2970" s="134"/>
      <c r="AC2970" s="134"/>
      <c r="AD2970" s="134"/>
    </row>
    <row r="2971">
      <c r="A2971" s="143"/>
      <c r="B2971" s="134"/>
      <c r="C2971" s="134"/>
      <c r="D2971" s="134"/>
      <c r="E2971" s="134"/>
      <c r="F2971" s="134"/>
      <c r="G2971" s="134"/>
      <c r="H2971" s="134"/>
      <c r="J2971" s="134"/>
      <c r="K2971" s="135"/>
      <c r="L2971" s="136"/>
      <c r="M2971" s="144"/>
      <c r="T2971" s="52"/>
      <c r="V2971" s="134"/>
      <c r="W2971" s="134"/>
      <c r="X2971" s="134"/>
      <c r="Y2971" s="134"/>
      <c r="Z2971" s="134"/>
      <c r="AA2971" s="134"/>
      <c r="AB2971" s="134"/>
      <c r="AC2971" s="134"/>
      <c r="AD2971" s="134"/>
    </row>
    <row r="2972">
      <c r="A2972" s="143"/>
      <c r="B2972" s="134"/>
      <c r="C2972" s="134"/>
      <c r="D2972" s="134"/>
      <c r="E2972" s="134"/>
      <c r="F2972" s="134"/>
      <c r="G2972" s="134"/>
      <c r="H2972" s="134"/>
      <c r="J2972" s="134"/>
      <c r="K2972" s="135"/>
      <c r="L2972" s="136"/>
      <c r="M2972" s="144"/>
      <c r="T2972" s="52"/>
      <c r="V2972" s="134"/>
      <c r="W2972" s="134"/>
      <c r="X2972" s="134"/>
      <c r="Y2972" s="134"/>
      <c r="Z2972" s="134"/>
      <c r="AA2972" s="134"/>
      <c r="AB2972" s="134"/>
      <c r="AC2972" s="134"/>
      <c r="AD2972" s="134"/>
    </row>
    <row r="2973">
      <c r="A2973" s="143"/>
      <c r="B2973" s="134"/>
      <c r="C2973" s="134"/>
      <c r="D2973" s="134"/>
      <c r="E2973" s="134"/>
      <c r="F2973" s="134"/>
      <c r="G2973" s="134"/>
      <c r="H2973" s="134"/>
      <c r="J2973" s="134"/>
      <c r="K2973" s="135"/>
      <c r="L2973" s="136"/>
      <c r="M2973" s="144"/>
      <c r="T2973" s="52"/>
      <c r="V2973" s="134"/>
      <c r="W2973" s="134"/>
      <c r="X2973" s="134"/>
      <c r="Y2973" s="134"/>
      <c r="Z2973" s="134"/>
      <c r="AA2973" s="134"/>
      <c r="AB2973" s="134"/>
      <c r="AC2973" s="134"/>
      <c r="AD2973" s="134"/>
    </row>
    <row r="2974">
      <c r="A2974" s="143"/>
      <c r="B2974" s="134"/>
      <c r="C2974" s="134"/>
      <c r="D2974" s="134"/>
      <c r="E2974" s="134"/>
      <c r="F2974" s="134"/>
      <c r="G2974" s="134"/>
      <c r="H2974" s="134"/>
      <c r="J2974" s="134"/>
      <c r="K2974" s="135"/>
      <c r="L2974" s="136"/>
      <c r="M2974" s="144"/>
      <c r="T2974" s="52"/>
      <c r="V2974" s="134"/>
      <c r="W2974" s="134"/>
      <c r="X2974" s="134"/>
      <c r="Y2974" s="134"/>
      <c r="Z2974" s="134"/>
      <c r="AA2974" s="134"/>
      <c r="AB2974" s="134"/>
      <c r="AC2974" s="134"/>
      <c r="AD2974" s="134"/>
    </row>
    <row r="2975">
      <c r="A2975" s="143"/>
      <c r="B2975" s="134"/>
      <c r="C2975" s="134"/>
      <c r="D2975" s="134"/>
      <c r="E2975" s="134"/>
      <c r="F2975" s="134"/>
      <c r="G2975" s="134"/>
      <c r="H2975" s="134"/>
      <c r="J2975" s="134"/>
      <c r="K2975" s="135"/>
      <c r="L2975" s="136"/>
      <c r="M2975" s="144"/>
      <c r="T2975" s="52"/>
      <c r="V2975" s="134"/>
      <c r="W2975" s="134"/>
      <c r="X2975" s="134"/>
      <c r="Y2975" s="134"/>
      <c r="Z2975" s="134"/>
      <c r="AA2975" s="134"/>
      <c r="AB2975" s="134"/>
      <c r="AC2975" s="134"/>
      <c r="AD2975" s="134"/>
    </row>
    <row r="2976">
      <c r="A2976" s="143"/>
      <c r="B2976" s="134"/>
      <c r="C2976" s="134"/>
      <c r="D2976" s="134"/>
      <c r="E2976" s="134"/>
      <c r="F2976" s="134"/>
      <c r="G2976" s="134"/>
      <c r="H2976" s="134"/>
      <c r="J2976" s="134"/>
      <c r="K2976" s="135"/>
      <c r="L2976" s="136"/>
      <c r="M2976" s="144"/>
      <c r="T2976" s="52"/>
      <c r="V2976" s="134"/>
      <c r="W2976" s="134"/>
      <c r="X2976" s="134"/>
      <c r="Y2976" s="134"/>
      <c r="Z2976" s="134"/>
      <c r="AA2976" s="134"/>
      <c r="AB2976" s="134"/>
      <c r="AC2976" s="134"/>
      <c r="AD2976" s="134"/>
    </row>
    <row r="2977">
      <c r="A2977" s="143"/>
      <c r="B2977" s="134"/>
      <c r="C2977" s="134"/>
      <c r="D2977" s="134"/>
      <c r="E2977" s="134"/>
      <c r="F2977" s="134"/>
      <c r="G2977" s="134"/>
      <c r="H2977" s="134"/>
      <c r="J2977" s="134"/>
      <c r="K2977" s="135"/>
      <c r="L2977" s="136"/>
      <c r="M2977" s="144"/>
      <c r="T2977" s="52"/>
      <c r="V2977" s="134"/>
      <c r="W2977" s="134"/>
      <c r="X2977" s="134"/>
      <c r="Y2977" s="134"/>
      <c r="Z2977" s="134"/>
      <c r="AA2977" s="134"/>
      <c r="AB2977" s="134"/>
      <c r="AC2977" s="134"/>
      <c r="AD2977" s="134"/>
    </row>
    <row r="2978">
      <c r="A2978" s="143"/>
      <c r="B2978" s="134"/>
      <c r="C2978" s="134"/>
      <c r="D2978" s="134"/>
      <c r="E2978" s="134"/>
      <c r="F2978" s="134"/>
      <c r="G2978" s="134"/>
      <c r="H2978" s="134"/>
      <c r="J2978" s="134"/>
      <c r="K2978" s="135"/>
      <c r="L2978" s="136"/>
      <c r="M2978" s="144"/>
      <c r="T2978" s="52"/>
      <c r="V2978" s="134"/>
      <c r="W2978" s="134"/>
      <c r="X2978" s="134"/>
      <c r="Y2978" s="134"/>
      <c r="Z2978" s="134"/>
      <c r="AA2978" s="134"/>
      <c r="AB2978" s="134"/>
      <c r="AC2978" s="134"/>
      <c r="AD2978" s="134"/>
    </row>
    <row r="2979">
      <c r="A2979" s="143"/>
      <c r="B2979" s="134"/>
      <c r="C2979" s="134"/>
      <c r="D2979" s="134"/>
      <c r="E2979" s="134"/>
      <c r="F2979" s="134"/>
      <c r="G2979" s="134"/>
      <c r="H2979" s="134"/>
      <c r="J2979" s="134"/>
      <c r="K2979" s="135"/>
      <c r="L2979" s="136"/>
      <c r="M2979" s="144"/>
      <c r="T2979" s="52"/>
      <c r="V2979" s="134"/>
      <c r="W2979" s="134"/>
      <c r="X2979" s="134"/>
      <c r="Y2979" s="134"/>
      <c r="Z2979" s="134"/>
      <c r="AA2979" s="134"/>
      <c r="AB2979" s="134"/>
      <c r="AC2979" s="134"/>
      <c r="AD2979" s="134"/>
    </row>
    <row r="2980">
      <c r="A2980" s="143"/>
      <c r="B2980" s="134"/>
      <c r="C2980" s="134"/>
      <c r="D2980" s="134"/>
      <c r="E2980" s="134"/>
      <c r="F2980" s="134"/>
      <c r="G2980" s="134"/>
      <c r="H2980" s="134"/>
      <c r="J2980" s="134"/>
      <c r="K2980" s="135"/>
      <c r="L2980" s="136"/>
      <c r="M2980" s="144"/>
      <c r="T2980" s="52"/>
      <c r="V2980" s="134"/>
      <c r="W2980" s="134"/>
      <c r="X2980" s="134"/>
      <c r="Y2980" s="134"/>
      <c r="Z2980" s="134"/>
      <c r="AA2980" s="134"/>
      <c r="AB2980" s="134"/>
      <c r="AC2980" s="134"/>
      <c r="AD2980" s="134"/>
    </row>
    <row r="2981">
      <c r="A2981" s="143"/>
      <c r="B2981" s="134"/>
      <c r="C2981" s="134"/>
      <c r="D2981" s="134"/>
      <c r="E2981" s="134"/>
      <c r="F2981" s="134"/>
      <c r="G2981" s="134"/>
      <c r="H2981" s="134"/>
      <c r="J2981" s="134"/>
      <c r="K2981" s="135"/>
      <c r="L2981" s="136"/>
      <c r="M2981" s="144"/>
      <c r="T2981" s="52"/>
      <c r="V2981" s="134"/>
      <c r="W2981" s="134"/>
      <c r="X2981" s="134"/>
      <c r="Y2981" s="134"/>
      <c r="Z2981" s="134"/>
      <c r="AA2981" s="134"/>
      <c r="AB2981" s="134"/>
      <c r="AC2981" s="134"/>
      <c r="AD2981" s="134"/>
    </row>
    <row r="2982">
      <c r="A2982" s="143"/>
      <c r="B2982" s="134"/>
      <c r="C2982" s="134"/>
      <c r="D2982" s="134"/>
      <c r="E2982" s="134"/>
      <c r="F2982" s="134"/>
      <c r="G2982" s="134"/>
      <c r="H2982" s="134"/>
      <c r="J2982" s="134"/>
      <c r="K2982" s="135"/>
      <c r="L2982" s="136"/>
      <c r="M2982" s="144"/>
      <c r="T2982" s="52"/>
      <c r="V2982" s="134"/>
      <c r="W2982" s="134"/>
      <c r="X2982" s="134"/>
      <c r="Y2982" s="134"/>
      <c r="Z2982" s="134"/>
      <c r="AA2982" s="134"/>
      <c r="AB2982" s="134"/>
      <c r="AC2982" s="134"/>
      <c r="AD2982" s="134"/>
    </row>
    <row r="2983">
      <c r="A2983" s="143"/>
      <c r="B2983" s="134"/>
      <c r="C2983" s="134"/>
      <c r="D2983" s="134"/>
      <c r="E2983" s="134"/>
      <c r="F2983" s="134"/>
      <c r="G2983" s="134"/>
      <c r="H2983" s="134"/>
      <c r="J2983" s="134"/>
      <c r="K2983" s="135"/>
      <c r="L2983" s="136"/>
      <c r="M2983" s="144"/>
      <c r="T2983" s="52"/>
      <c r="V2983" s="134"/>
      <c r="W2983" s="134"/>
      <c r="X2983" s="134"/>
      <c r="Y2983" s="134"/>
      <c r="Z2983" s="134"/>
      <c r="AA2983" s="134"/>
      <c r="AB2983" s="134"/>
      <c r="AC2983" s="134"/>
      <c r="AD2983" s="134"/>
    </row>
    <row r="2984">
      <c r="A2984" s="143"/>
      <c r="B2984" s="134"/>
      <c r="C2984" s="134"/>
      <c r="D2984" s="134"/>
      <c r="E2984" s="134"/>
      <c r="F2984" s="134"/>
      <c r="G2984" s="134"/>
      <c r="H2984" s="134"/>
      <c r="J2984" s="134"/>
      <c r="K2984" s="135"/>
      <c r="L2984" s="136"/>
      <c r="M2984" s="144"/>
      <c r="T2984" s="52"/>
      <c r="V2984" s="134"/>
      <c r="W2984" s="134"/>
      <c r="X2984" s="134"/>
      <c r="Y2984" s="134"/>
      <c r="Z2984" s="134"/>
      <c r="AA2984" s="134"/>
      <c r="AB2984" s="134"/>
      <c r="AC2984" s="134"/>
      <c r="AD2984" s="134"/>
    </row>
    <row r="2985">
      <c r="A2985" s="143"/>
      <c r="B2985" s="134"/>
      <c r="C2985" s="134"/>
      <c r="D2985" s="134"/>
      <c r="E2985" s="134"/>
      <c r="F2985" s="134"/>
      <c r="G2985" s="134"/>
      <c r="H2985" s="134"/>
      <c r="J2985" s="134"/>
      <c r="K2985" s="135"/>
      <c r="L2985" s="136"/>
      <c r="M2985" s="144"/>
      <c r="T2985" s="52"/>
      <c r="V2985" s="134"/>
      <c r="W2985" s="134"/>
      <c r="X2985" s="134"/>
      <c r="Y2985" s="134"/>
      <c r="Z2985" s="134"/>
      <c r="AA2985" s="134"/>
      <c r="AB2985" s="134"/>
      <c r="AC2985" s="134"/>
      <c r="AD2985" s="134"/>
    </row>
    <row r="2986">
      <c r="A2986" s="143"/>
      <c r="B2986" s="134"/>
      <c r="C2986" s="134"/>
      <c r="D2986" s="134"/>
      <c r="E2986" s="134"/>
      <c r="F2986" s="134"/>
      <c r="G2986" s="134"/>
      <c r="H2986" s="134"/>
      <c r="J2986" s="134"/>
      <c r="K2986" s="135"/>
      <c r="L2986" s="136"/>
      <c r="M2986" s="144"/>
      <c r="T2986" s="52"/>
      <c r="V2986" s="134"/>
      <c r="W2986" s="134"/>
      <c r="X2986" s="134"/>
      <c r="Y2986" s="134"/>
      <c r="Z2986" s="134"/>
      <c r="AA2986" s="134"/>
      <c r="AB2986" s="134"/>
      <c r="AC2986" s="134"/>
      <c r="AD2986" s="134"/>
    </row>
    <row r="2987">
      <c r="A2987" s="143"/>
      <c r="B2987" s="134"/>
      <c r="C2987" s="134"/>
      <c r="D2987" s="134"/>
      <c r="E2987" s="134"/>
      <c r="F2987" s="134"/>
      <c r="G2987" s="134"/>
      <c r="H2987" s="134"/>
      <c r="J2987" s="134"/>
      <c r="K2987" s="135"/>
      <c r="L2987" s="136"/>
      <c r="M2987" s="144"/>
      <c r="T2987" s="52"/>
      <c r="V2987" s="134"/>
      <c r="W2987" s="134"/>
      <c r="X2987" s="134"/>
      <c r="Y2987" s="134"/>
      <c r="Z2987" s="134"/>
      <c r="AA2987" s="134"/>
      <c r="AB2987" s="134"/>
      <c r="AC2987" s="134"/>
      <c r="AD2987" s="134"/>
    </row>
    <row r="2988">
      <c r="A2988" s="143"/>
      <c r="B2988" s="134"/>
      <c r="C2988" s="134"/>
      <c r="D2988" s="134"/>
      <c r="E2988" s="134"/>
      <c r="F2988" s="134"/>
      <c r="G2988" s="134"/>
      <c r="H2988" s="134"/>
      <c r="J2988" s="134"/>
      <c r="K2988" s="135"/>
      <c r="L2988" s="136"/>
      <c r="M2988" s="144"/>
      <c r="T2988" s="52"/>
      <c r="V2988" s="134"/>
      <c r="W2988" s="134"/>
      <c r="X2988" s="134"/>
      <c r="Y2988" s="134"/>
      <c r="Z2988" s="134"/>
      <c r="AA2988" s="134"/>
      <c r="AB2988" s="134"/>
      <c r="AC2988" s="134"/>
      <c r="AD2988" s="134"/>
    </row>
    <row r="2989">
      <c r="A2989" s="143"/>
      <c r="B2989" s="134"/>
      <c r="C2989" s="134"/>
      <c r="D2989" s="134"/>
      <c r="E2989" s="134"/>
      <c r="F2989" s="134"/>
      <c r="G2989" s="134"/>
      <c r="H2989" s="134"/>
      <c r="J2989" s="134"/>
      <c r="K2989" s="135"/>
      <c r="L2989" s="136"/>
      <c r="M2989" s="144"/>
      <c r="T2989" s="52"/>
      <c r="V2989" s="134"/>
      <c r="W2989" s="134"/>
      <c r="X2989" s="134"/>
      <c r="Y2989" s="134"/>
      <c r="Z2989" s="134"/>
      <c r="AA2989" s="134"/>
      <c r="AB2989" s="134"/>
      <c r="AC2989" s="134"/>
      <c r="AD2989" s="134"/>
    </row>
    <row r="2990">
      <c r="A2990" s="143"/>
      <c r="B2990" s="134"/>
      <c r="C2990" s="134"/>
      <c r="D2990" s="134"/>
      <c r="E2990" s="134"/>
      <c r="F2990" s="134"/>
      <c r="G2990" s="134"/>
      <c r="H2990" s="134"/>
      <c r="J2990" s="134"/>
      <c r="K2990" s="135"/>
      <c r="L2990" s="136"/>
      <c r="M2990" s="144"/>
      <c r="T2990" s="52"/>
      <c r="V2990" s="134"/>
      <c r="W2990" s="134"/>
      <c r="X2990" s="134"/>
      <c r="Y2990" s="134"/>
      <c r="Z2990" s="134"/>
      <c r="AA2990" s="134"/>
      <c r="AB2990" s="134"/>
      <c r="AC2990" s="134"/>
      <c r="AD2990" s="134"/>
    </row>
    <row r="2991">
      <c r="A2991" s="143"/>
      <c r="B2991" s="134"/>
      <c r="C2991" s="134"/>
      <c r="D2991" s="134"/>
      <c r="E2991" s="134"/>
      <c r="F2991" s="134"/>
      <c r="G2991" s="134"/>
      <c r="H2991" s="134"/>
      <c r="J2991" s="134"/>
      <c r="K2991" s="135"/>
      <c r="L2991" s="136"/>
      <c r="M2991" s="144"/>
      <c r="T2991" s="52"/>
      <c r="V2991" s="134"/>
      <c r="W2991" s="134"/>
      <c r="X2991" s="134"/>
      <c r="Y2991" s="134"/>
      <c r="Z2991" s="134"/>
      <c r="AA2991" s="134"/>
      <c r="AB2991" s="134"/>
      <c r="AC2991" s="134"/>
      <c r="AD2991" s="134"/>
    </row>
    <row r="2992">
      <c r="A2992" s="143"/>
      <c r="B2992" s="134"/>
      <c r="C2992" s="134"/>
      <c r="D2992" s="134"/>
      <c r="E2992" s="134"/>
      <c r="F2992" s="134"/>
      <c r="G2992" s="134"/>
      <c r="H2992" s="134"/>
      <c r="J2992" s="134"/>
      <c r="K2992" s="135"/>
      <c r="L2992" s="136"/>
      <c r="M2992" s="144"/>
      <c r="T2992" s="52"/>
      <c r="V2992" s="134"/>
      <c r="W2992" s="134"/>
      <c r="X2992" s="134"/>
      <c r="Y2992" s="134"/>
      <c r="Z2992" s="134"/>
      <c r="AA2992" s="134"/>
      <c r="AB2992" s="134"/>
      <c r="AC2992" s="134"/>
      <c r="AD2992" s="134"/>
    </row>
    <row r="2993">
      <c r="A2993" s="143"/>
      <c r="B2993" s="134"/>
      <c r="C2993" s="134"/>
      <c r="D2993" s="134"/>
      <c r="E2993" s="134"/>
      <c r="F2993" s="134"/>
      <c r="G2993" s="134"/>
      <c r="H2993" s="134"/>
      <c r="J2993" s="134"/>
      <c r="K2993" s="135"/>
      <c r="L2993" s="136"/>
      <c r="M2993" s="144"/>
      <c r="T2993" s="52"/>
      <c r="V2993" s="134"/>
      <c r="W2993" s="134"/>
      <c r="X2993" s="134"/>
      <c r="Y2993" s="134"/>
      <c r="Z2993" s="134"/>
      <c r="AA2993" s="134"/>
      <c r="AB2993" s="134"/>
      <c r="AC2993" s="134"/>
      <c r="AD2993" s="134"/>
    </row>
    <row r="2994">
      <c r="A2994" s="143"/>
      <c r="B2994" s="134"/>
      <c r="C2994" s="134"/>
      <c r="D2994" s="134"/>
      <c r="E2994" s="134"/>
      <c r="F2994" s="134"/>
      <c r="G2994" s="134"/>
      <c r="H2994" s="134"/>
      <c r="J2994" s="134"/>
      <c r="K2994" s="135"/>
      <c r="L2994" s="136"/>
      <c r="M2994" s="144"/>
      <c r="T2994" s="52"/>
      <c r="V2994" s="134"/>
      <c r="W2994" s="134"/>
      <c r="X2994" s="134"/>
      <c r="Y2994" s="134"/>
      <c r="Z2994" s="134"/>
      <c r="AA2994" s="134"/>
      <c r="AB2994" s="134"/>
      <c r="AC2994" s="134"/>
      <c r="AD2994" s="134"/>
    </row>
    <row r="2995">
      <c r="A2995" s="143"/>
      <c r="B2995" s="134"/>
      <c r="C2995" s="134"/>
      <c r="D2995" s="134"/>
      <c r="E2995" s="134"/>
      <c r="F2995" s="134"/>
      <c r="G2995" s="134"/>
      <c r="H2995" s="134"/>
      <c r="J2995" s="134"/>
      <c r="K2995" s="135"/>
      <c r="L2995" s="136"/>
      <c r="M2995" s="144"/>
      <c r="T2995" s="52"/>
      <c r="V2995" s="134"/>
      <c r="W2995" s="134"/>
      <c r="X2995" s="134"/>
      <c r="Y2995" s="134"/>
      <c r="Z2995" s="134"/>
      <c r="AA2995" s="134"/>
      <c r="AB2995" s="134"/>
      <c r="AC2995" s="134"/>
      <c r="AD2995" s="134"/>
    </row>
    <row r="2996">
      <c r="A2996" s="143"/>
      <c r="B2996" s="134"/>
      <c r="C2996" s="134"/>
      <c r="D2996" s="134"/>
      <c r="E2996" s="134"/>
      <c r="F2996" s="134"/>
      <c r="G2996" s="134"/>
      <c r="H2996" s="134"/>
      <c r="J2996" s="134"/>
      <c r="K2996" s="135"/>
      <c r="L2996" s="136"/>
      <c r="M2996" s="144"/>
      <c r="T2996" s="52"/>
      <c r="V2996" s="134"/>
      <c r="W2996" s="134"/>
      <c r="X2996" s="134"/>
      <c r="Y2996" s="134"/>
      <c r="Z2996" s="134"/>
      <c r="AA2996" s="134"/>
      <c r="AB2996" s="134"/>
      <c r="AC2996" s="134"/>
      <c r="AD2996" s="134"/>
    </row>
    <row r="2997">
      <c r="A2997" s="143"/>
      <c r="B2997" s="134"/>
      <c r="C2997" s="134"/>
      <c r="D2997" s="134"/>
      <c r="E2997" s="134"/>
      <c r="F2997" s="134"/>
      <c r="G2997" s="134"/>
      <c r="H2997" s="134"/>
      <c r="J2997" s="134"/>
      <c r="K2997" s="135"/>
      <c r="L2997" s="136"/>
      <c r="M2997" s="144"/>
      <c r="T2997" s="52"/>
      <c r="V2997" s="134"/>
      <c r="W2997" s="134"/>
      <c r="X2997" s="134"/>
      <c r="Y2997" s="134"/>
      <c r="Z2997" s="134"/>
      <c r="AA2997" s="134"/>
      <c r="AB2997" s="134"/>
      <c r="AC2997" s="134"/>
      <c r="AD2997" s="134"/>
    </row>
    <row r="2998">
      <c r="A2998" s="143"/>
      <c r="B2998" s="134"/>
      <c r="C2998" s="134"/>
      <c r="D2998" s="134"/>
      <c r="E2998" s="134"/>
      <c r="F2998" s="134"/>
      <c r="G2998" s="134"/>
      <c r="H2998" s="134"/>
      <c r="J2998" s="134"/>
      <c r="K2998" s="135"/>
      <c r="L2998" s="136"/>
      <c r="M2998" s="144"/>
      <c r="T2998" s="52"/>
      <c r="V2998" s="134"/>
      <c r="W2998" s="134"/>
      <c r="X2998" s="134"/>
      <c r="Y2998" s="134"/>
      <c r="Z2998" s="134"/>
      <c r="AA2998" s="134"/>
      <c r="AB2998" s="134"/>
      <c r="AC2998" s="134"/>
      <c r="AD2998" s="134"/>
    </row>
    <row r="2999">
      <c r="A2999" s="143"/>
      <c r="B2999" s="134"/>
      <c r="C2999" s="134"/>
      <c r="D2999" s="134"/>
      <c r="E2999" s="134"/>
      <c r="F2999" s="134"/>
      <c r="G2999" s="134"/>
      <c r="H2999" s="134"/>
      <c r="J2999" s="134"/>
      <c r="K2999" s="135"/>
      <c r="L2999" s="136"/>
      <c r="M2999" s="144"/>
      <c r="T2999" s="52"/>
      <c r="V2999" s="134"/>
      <c r="W2999" s="134"/>
      <c r="X2999" s="134"/>
      <c r="Y2999" s="134"/>
      <c r="Z2999" s="134"/>
      <c r="AA2999" s="134"/>
      <c r="AB2999" s="134"/>
      <c r="AC2999" s="134"/>
      <c r="AD2999" s="134"/>
    </row>
    <row r="3000">
      <c r="A3000" s="143"/>
      <c r="B3000" s="134"/>
      <c r="C3000" s="134"/>
      <c r="D3000" s="134"/>
      <c r="E3000" s="134"/>
      <c r="F3000" s="134"/>
      <c r="G3000" s="134"/>
      <c r="H3000" s="134"/>
      <c r="J3000" s="134"/>
      <c r="K3000" s="135"/>
      <c r="L3000" s="136"/>
      <c r="M3000" s="145"/>
      <c r="T3000" s="52"/>
      <c r="V3000" s="134"/>
      <c r="W3000" s="134"/>
      <c r="X3000" s="134"/>
      <c r="Y3000" s="134"/>
      <c r="Z3000" s="134"/>
      <c r="AA3000" s="134"/>
      <c r="AB3000" s="134"/>
      <c r="AC3000" s="134"/>
      <c r="AD3000" s="134"/>
    </row>
  </sheetData>
  <conditionalFormatting sqref="B6:K6">
    <cfRule type="expression" dxfId="0" priority="1">
      <formula>Value(LEFT(B6, LEN(B6)-2)) &lt;= 8</formula>
    </cfRule>
  </conditionalFormatting>
  <conditionalFormatting sqref="B6:K6">
    <cfRule type="expression" dxfId="1" priority="2">
      <formula>Value(LEFT(B6, LEN(B6)-2)) &gt; 24</formula>
    </cfRule>
  </conditionalFormatting>
  <conditionalFormatting sqref="B6:K6">
    <cfRule type="expression" dxfId="2" priority="3">
      <formula>Value(LEFT(B6, LEN(B6)-2)) &gt; 18</formula>
    </cfRule>
  </conditionalFormatting>
  <conditionalFormatting sqref="B6:K6">
    <cfRule type="expression" dxfId="3" priority="4">
      <formula>Value(LEFT(B6, LEN(B6)-2)) &gt; 8</formula>
    </cfRule>
  </conditionalFormatting>
  <dataValidations>
    <dataValidation type="list" allowBlank="1" sqref="B1">
      <formula1>RawTotals!$A:$A</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38"/>
    <col customWidth="1" min="2" max="2" width="12.5"/>
    <col customWidth="1" min="3" max="3" width="17.5"/>
    <col customWidth="1" min="4" max="4" width="5.13"/>
    <col customWidth="1" min="5" max="5" width="12.13"/>
    <col customWidth="1" min="6" max="6" width="12.63"/>
    <col customWidth="1" min="7" max="7" width="9.13"/>
    <col customWidth="1" min="8" max="9" width="10.13"/>
    <col customWidth="1" min="10" max="10" width="11.5"/>
    <col customWidth="1" min="11" max="11" width="10.25"/>
    <col customWidth="1" min="12" max="12" width="15.13"/>
    <col customWidth="1" min="13" max="13" width="16.0"/>
    <col customWidth="1" min="14" max="14" width="1.25"/>
    <col customWidth="1" min="15" max="15" width="30.25"/>
    <col customWidth="1" min="26" max="26" width="13.63"/>
    <col customWidth="1" min="27" max="27" width="17.63"/>
    <col customWidth="1" min="31" max="31" width="15.13"/>
  </cols>
  <sheetData>
    <row r="1">
      <c r="A1" s="146" t="s">
        <v>585</v>
      </c>
      <c r="B1" s="147" t="s">
        <v>586</v>
      </c>
      <c r="C1" s="146" t="s">
        <v>587</v>
      </c>
      <c r="D1" s="147" t="s">
        <v>579</v>
      </c>
      <c r="E1" s="147" t="s">
        <v>538</v>
      </c>
      <c r="F1" s="147" t="s">
        <v>539</v>
      </c>
      <c r="G1" s="146" t="s">
        <v>588</v>
      </c>
      <c r="H1" s="146" t="s">
        <v>589</v>
      </c>
      <c r="I1" s="146" t="s">
        <v>590</v>
      </c>
      <c r="J1" s="146" t="s">
        <v>591</v>
      </c>
      <c r="K1" s="146" t="s">
        <v>592</v>
      </c>
      <c r="L1" s="146" t="s">
        <v>593</v>
      </c>
      <c r="M1" s="148" t="s">
        <v>559</v>
      </c>
      <c r="N1" s="76"/>
      <c r="O1" s="76"/>
      <c r="P1" s="76"/>
      <c r="Q1" s="76"/>
      <c r="R1" s="76"/>
      <c r="S1" s="76"/>
      <c r="T1" s="76"/>
      <c r="U1" s="76"/>
      <c r="V1" s="76"/>
      <c r="W1" s="76"/>
      <c r="X1" s="76"/>
      <c r="Y1" s="76"/>
      <c r="Z1" s="148"/>
      <c r="AA1" s="148"/>
      <c r="AB1" s="148"/>
      <c r="AC1" s="148"/>
      <c r="AD1" s="148"/>
      <c r="AE1" s="148"/>
      <c r="AF1" s="149"/>
    </row>
    <row r="2">
      <c r="A2" s="150">
        <f>RawTotals!A2</f>
        <v>1023</v>
      </c>
      <c r="B2" s="151"/>
      <c r="C2" s="15">
        <f>PicklistComputer!K2</f>
        <v>180</v>
      </c>
      <c r="D2" s="152">
        <v>1.0</v>
      </c>
      <c r="E2" s="153">
        <f>IF(A2="","", SUMIF(RawTotals!A$2:A999, C2, RawTotals!AG$2:AG999))</f>
        <v>6.412088424</v>
      </c>
      <c r="F2" s="153">
        <f>IF(A2="","", SUMIF(RawTotals!A$2:A999, C2, RawTotals!AH$2:AH999))</f>
        <v>5.964163329</v>
      </c>
      <c r="G2" s="154">
        <f>IF(A2="","", SUMIF(RawTotals!A$2:A999, C2, RawTotals!J$2:J999))</f>
        <v>0.8541666667</v>
      </c>
      <c r="H2" s="155">
        <f>IF(A2="","",SUMIF(RawTotals!A$2:A999, C2, RawTotals!D$2:D999))</f>
        <v>2.875</v>
      </c>
      <c r="I2" s="156">
        <f>IF(A2="","",SUMIF(RawTotals!A$2:A999, C2, RawTotals!M$2:M999))</f>
        <v>18.625</v>
      </c>
      <c r="J2" s="157">
        <f>IF(A2="","", SUMIF(RawTotals!A$2:A999, C2, RawTotals!AC$2:AC999))</f>
        <v>26</v>
      </c>
      <c r="K2" s="154">
        <f>IF(A2="","",SUMIF(RawTotals!A$2:A999, C2, RawTotals!W$2:W999))</f>
        <v>0</v>
      </c>
      <c r="L2" s="157">
        <f>IF(A2="","",SUMIF(RawTotals!A$2:A999, C2, RawTotals!Q$2:Q999))</f>
        <v>8.4</v>
      </c>
      <c r="M2" s="158" t="str">
        <f>IFERROR(__xludf.DUMMYFUNCTION("IFERROR(IF(A2="""","""",FILTER('Pit Scouting Responses'!F$1:F999,'Pit Scouting Responses'!B$1:B999=C2)),""NOT COLLECTED"")"),"swerve")</f>
        <v>swerve</v>
      </c>
      <c r="N2" s="76"/>
      <c r="O2" s="159" t="s">
        <v>594</v>
      </c>
      <c r="P2" s="159" t="s">
        <v>595</v>
      </c>
      <c r="Q2" s="159" t="s">
        <v>596</v>
      </c>
      <c r="R2" s="76"/>
      <c r="S2" s="76"/>
      <c r="T2" s="160"/>
      <c r="U2" s="76"/>
      <c r="V2" s="76"/>
      <c r="W2" s="76"/>
      <c r="X2" s="76"/>
      <c r="Y2" s="76"/>
      <c r="Z2" s="160"/>
      <c r="AA2" s="160"/>
      <c r="AB2" s="76"/>
      <c r="AC2" s="76"/>
      <c r="AD2" s="161"/>
      <c r="AE2" s="160"/>
      <c r="AF2" s="76"/>
    </row>
    <row r="3">
      <c r="A3" s="150">
        <f>RawTotals!A3</f>
        <v>2056</v>
      </c>
      <c r="B3" s="151"/>
      <c r="C3" s="15">
        <f>PicklistComputer!K3</f>
        <v>3538</v>
      </c>
      <c r="D3" s="152">
        <v>2.0</v>
      </c>
      <c r="E3" s="153">
        <f>IF(A3="","", SUMIF(RawTotals!A$2:A999, C3, RawTotals!AG$2:AG999))</f>
        <v>7.396380987</v>
      </c>
      <c r="F3" s="153">
        <f>IF(A3="","", SUMIF(RawTotals!A$2:A999, C3, RawTotals!AH$2:AH999))</f>
        <v>8.342391748</v>
      </c>
      <c r="G3" s="154">
        <f>IF(A3="","", SUMIF(RawTotals!A$2:A999, C3, RawTotals!J$2:J999))</f>
        <v>0.9166666667</v>
      </c>
      <c r="H3" s="155">
        <f>IF(A3="","",SUMIF(RawTotals!A$2:A999, C3, RawTotals!D$2:D999))</f>
        <v>2.333333333</v>
      </c>
      <c r="I3" s="156">
        <f>IF(A3="","",SUMIF(RawTotals!A$2:A999, C3, RawTotals!M$2:M999))</f>
        <v>13.16666667</v>
      </c>
      <c r="J3" s="157">
        <f>IF(A3="","", SUMIF(RawTotals!A$2:A999, C3, RawTotals!AC$2:AC999))</f>
        <v>18</v>
      </c>
      <c r="K3" s="154">
        <f>IF(A3="","",SUMIF(RawTotals!A$2:A999, C3, RawTotals!W$2:W999))</f>
        <v>0.8333333333</v>
      </c>
      <c r="L3" s="157">
        <f>IF(A3="","",SUMIF(RawTotals!A$2:A999, C3, RawTotals!Q$2:Q999))</f>
        <v>15</v>
      </c>
      <c r="M3" s="158" t="str">
        <f>IFERROR(__xludf.DUMMYFUNCTION("IFERROR(IF(A3="""","""",FILTER('Pit Scouting Responses'!F$1:F999,'Pit Scouting Responses'!B$1:B999=C3)),""NOT COLLECTED"")"),"NOT COLLECTED")</f>
        <v>NOT COLLECTED</v>
      </c>
      <c r="N3" s="76"/>
      <c r="O3" s="162" t="s">
        <v>534</v>
      </c>
      <c r="P3" s="162">
        <v>1.0</v>
      </c>
      <c r="Q3" s="163">
        <f t="shared" ref="Q3:Q8" si="1">P3/SUM(P$3:P$8)</f>
        <v>0.1111111111</v>
      </c>
      <c r="R3" s="76"/>
      <c r="S3" s="76"/>
      <c r="T3" s="76"/>
      <c r="U3" s="76"/>
      <c r="V3" s="76"/>
      <c r="W3" s="76"/>
      <c r="X3" s="76"/>
      <c r="Y3" s="76"/>
      <c r="Z3" s="160"/>
      <c r="AA3" s="160"/>
      <c r="AB3" s="76"/>
      <c r="AC3" s="76"/>
      <c r="AD3" s="161"/>
      <c r="AE3" s="160"/>
      <c r="AF3" s="76"/>
    </row>
    <row r="4">
      <c r="A4" s="150">
        <f>RawTotals!A4</f>
        <v>1339</v>
      </c>
      <c r="B4" s="151">
        <v>1.1</v>
      </c>
      <c r="C4" s="15">
        <f>PicklistComputer!K4</f>
        <v>4028</v>
      </c>
      <c r="D4" s="164">
        <v>3.0</v>
      </c>
      <c r="E4" s="153">
        <f>IF(A4="","", SUMIF(RawTotals!A$2:A999, C4, RawTotals!AG$2:AG999))</f>
        <v>6.278678187</v>
      </c>
      <c r="F4" s="153">
        <f>IF(A4="","", SUMIF(RawTotals!A$2:A999, C4, RawTotals!AH$2:AH999))</f>
        <v>6.253157897</v>
      </c>
      <c r="G4" s="154">
        <f>IF(A4="","", SUMIF(RawTotals!A$2:A999, C4, RawTotals!J$2:J999))</f>
        <v>1</v>
      </c>
      <c r="H4" s="155">
        <f>IF(A4="","",SUMIF(RawTotals!A$2:A999, C4, RawTotals!D$2:D999))</f>
        <v>3.428571429</v>
      </c>
      <c r="I4" s="156">
        <f>IF(A4="","",SUMIF(RawTotals!A$2:A999, C4, RawTotals!M$2:M999))</f>
        <v>15.85714286</v>
      </c>
      <c r="J4" s="157">
        <f>IF(A4="","", SUMIF(RawTotals!A$2:A999, C4, RawTotals!AC$2:AC999))</f>
        <v>20</v>
      </c>
      <c r="K4" s="154">
        <f>IF(A4="","",SUMIF(RawTotals!A$2:A999, C4, RawTotals!W$2:W999))</f>
        <v>0.2857142857</v>
      </c>
      <c r="L4" s="157">
        <f>IF(A4="","",SUMIF(RawTotals!A$2:A999, C4, RawTotals!Q$2:Q999))</f>
        <v>10.4</v>
      </c>
      <c r="M4" s="158" t="str">
        <f>IFERROR(__xludf.DUMMYFUNCTION("IFERROR(IF(A4="""","""",FILTER('Pit Scouting Responses'!F$1:F999,'Pit Scouting Responses'!B$1:B999=C4)),""NOT COLLECTED"")"),"swerve")</f>
        <v>swerve</v>
      </c>
      <c r="N4" s="76"/>
      <c r="O4" s="162" t="s">
        <v>588</v>
      </c>
      <c r="P4" s="162">
        <v>1.0</v>
      </c>
      <c r="Q4" s="163">
        <f t="shared" si="1"/>
        <v>0.1111111111</v>
      </c>
      <c r="R4" s="76"/>
      <c r="S4" s="76"/>
      <c r="T4" s="76"/>
      <c r="U4" s="76"/>
      <c r="V4" s="76"/>
      <c r="W4" s="76"/>
      <c r="X4" s="76"/>
      <c r="Y4" s="76"/>
      <c r="Z4" s="160"/>
      <c r="AA4" s="160"/>
      <c r="AB4" s="76"/>
      <c r="AC4" s="76"/>
      <c r="AD4" s="161"/>
      <c r="AE4" s="160"/>
      <c r="AF4" s="76"/>
    </row>
    <row r="5">
      <c r="A5" s="150">
        <f>RawTotals!A5</f>
        <v>3538</v>
      </c>
      <c r="B5" s="151">
        <v>0.5</v>
      </c>
      <c r="C5" s="15">
        <f>PicklistComputer!K5</f>
        <v>340</v>
      </c>
      <c r="D5" s="152">
        <v>4.0</v>
      </c>
      <c r="E5" s="153">
        <f>IF(A5="","", SUMIF(RawTotals!A$2:A999, C5, RawTotals!AG$2:AG999))</f>
        <v>6.762318226</v>
      </c>
      <c r="F5" s="153">
        <f>IF(A5="","", SUMIF(RawTotals!A$2:A999, C5, RawTotals!AH$2:AH999))</f>
        <v>7.497126584</v>
      </c>
      <c r="G5" s="154">
        <f>IF(A5="","", SUMIF(RawTotals!A$2:A999, C5, RawTotals!J$2:J999))</f>
        <v>0.9375</v>
      </c>
      <c r="H5" s="155">
        <f>IF(A5="","",SUMIF(RawTotals!A$2:A999, C5, RawTotals!D$2:D999))</f>
        <v>2</v>
      </c>
      <c r="I5" s="156">
        <f>IF(A5="","",SUMIF(RawTotals!A$2:A999, C5, RawTotals!M$2:M999))</f>
        <v>11.75</v>
      </c>
      <c r="J5" s="157">
        <f>IF(A5="","", SUMIF(RawTotals!A$2:A999, C5, RawTotals!AC$2:AC999))</f>
        <v>24</v>
      </c>
      <c r="K5" s="154">
        <f>IF(A5="","",SUMIF(RawTotals!A$2:A999, C5, RawTotals!W$2:W999))</f>
        <v>0.5</v>
      </c>
      <c r="L5" s="157">
        <f>IF(A5="","",SUMIF(RawTotals!A$2:A999, C5, RawTotals!Q$2:Q999))</f>
        <v>14</v>
      </c>
      <c r="M5" s="158" t="str">
        <f>IFERROR(__xludf.DUMMYFUNCTION("IFERROR(IF(A5="""","""",FILTER('Pit Scouting Responses'!F$1:F999,'Pit Scouting Responses'!B$1:B999=C5)),""NOT COLLECTED"")"),"swerve")</f>
        <v>swerve</v>
      </c>
      <c r="N5" s="76"/>
      <c r="O5" s="162" t="s">
        <v>589</v>
      </c>
      <c r="P5" s="162">
        <v>0.0</v>
      </c>
      <c r="Q5" s="163">
        <f t="shared" si="1"/>
        <v>0</v>
      </c>
      <c r="R5" s="76"/>
      <c r="S5" s="76"/>
      <c r="T5" s="76"/>
      <c r="U5" s="76"/>
      <c r="V5" s="76"/>
      <c r="W5" s="76"/>
      <c r="X5" s="76"/>
      <c r="Y5" s="76"/>
      <c r="Z5" s="160"/>
      <c r="AA5" s="160"/>
      <c r="AB5" s="76"/>
      <c r="AC5" s="76"/>
      <c r="AD5" s="161"/>
      <c r="AE5" s="160"/>
      <c r="AF5" s="76"/>
    </row>
    <row r="6">
      <c r="A6" s="150">
        <f>RawTotals!A6</f>
        <v>340</v>
      </c>
      <c r="B6" s="151">
        <v>0.7</v>
      </c>
      <c r="C6" s="15">
        <f>PicklistComputer!K6</f>
        <v>1023</v>
      </c>
      <c r="D6" s="164">
        <v>5.0</v>
      </c>
      <c r="E6" s="153">
        <f>IF(A6="","", SUMIF(RawTotals!A$2:A999, C6, RawTotals!AG$2:AG999))</f>
        <v>0.981584924</v>
      </c>
      <c r="F6" s="153">
        <f>IF(A6="","", SUMIF(RawTotals!A$2:A999, C6, RawTotals!AH$2:AH999))</f>
        <v>0.4069383873</v>
      </c>
      <c r="G6" s="154">
        <f>IF(A6="","", SUMIF(RawTotals!A$2:A999, C6, RawTotals!J$2:J999))</f>
        <v>0.875</v>
      </c>
      <c r="H6" s="155">
        <f>IF(A6="","",SUMIF(RawTotals!A$2:A999, C6, RawTotals!D$2:D999))</f>
        <v>1.375</v>
      </c>
      <c r="I6" s="156">
        <f>IF(A6="","",SUMIF(RawTotals!A$2:A999, C6, RawTotals!M$2:M999))</f>
        <v>12.625</v>
      </c>
      <c r="J6" s="157">
        <f>IF(A6="","", SUMIF(RawTotals!A$2:A999, C6, RawTotals!AC$2:AC999))</f>
        <v>20</v>
      </c>
      <c r="K6" s="154">
        <f>IF(A6="","",SUMIF(RawTotals!A$2:A999, C6, RawTotals!W$2:W999))</f>
        <v>0.125</v>
      </c>
      <c r="L6" s="157">
        <f>IF(A6="","",SUMIF(RawTotals!A$2:A999, C6, RawTotals!Q$2:Q999))</f>
        <v>7.8</v>
      </c>
      <c r="M6" s="158" t="str">
        <f>IFERROR(__xludf.DUMMYFUNCTION("IFERROR(IF(A6="""","""",FILTER('Pit Scouting Responses'!F$1:F999,'Pit Scouting Responses'!B$1:B999=C6)),""NOT COLLECTED"")"),"swerve")</f>
        <v>swerve</v>
      </c>
      <c r="N6" s="76"/>
      <c r="O6" s="162" t="s">
        <v>597</v>
      </c>
      <c r="P6" s="162">
        <v>3.0</v>
      </c>
      <c r="Q6" s="163">
        <f t="shared" si="1"/>
        <v>0.3333333333</v>
      </c>
      <c r="R6" s="76"/>
      <c r="S6" s="76"/>
      <c r="T6" s="76"/>
      <c r="U6" s="76"/>
      <c r="V6" s="76"/>
      <c r="W6" s="76"/>
      <c r="X6" s="76"/>
      <c r="Y6" s="76"/>
      <c r="Z6" s="160"/>
      <c r="AA6" s="160"/>
      <c r="AB6" s="76"/>
      <c r="AC6" s="76"/>
      <c r="AD6" s="161"/>
      <c r="AE6" s="160"/>
      <c r="AF6" s="76"/>
    </row>
    <row r="7">
      <c r="A7" s="150">
        <f>RawTotals!A7</f>
        <v>180</v>
      </c>
      <c r="B7" s="151">
        <v>0.5</v>
      </c>
      <c r="C7" s="15">
        <f>PicklistComputer!K7</f>
        <v>1339</v>
      </c>
      <c r="D7" s="164">
        <v>6.0</v>
      </c>
      <c r="E7" s="153">
        <f>IF(A7="","", SUMIF(RawTotals!A$2:A999, C7, RawTotals!AG$2:AG999))</f>
        <v>8.120018218</v>
      </c>
      <c r="F7" s="153">
        <f>IF(A7="","", SUMIF(RawTotals!A$2:A999, C7, RawTotals!AH$2:AH999))</f>
        <v>9.066028979</v>
      </c>
      <c r="G7" s="154">
        <f>IF(A7="","", SUMIF(RawTotals!A$2:A999, C7, RawTotals!J$2:J999))</f>
        <v>0.9285714286</v>
      </c>
      <c r="H7" s="155">
        <f>IF(A7="","",SUMIF(RawTotals!A$2:A999, C7, RawTotals!D$2:D999))</f>
        <v>2</v>
      </c>
      <c r="I7" s="156">
        <f>IF(A7="","",SUMIF(RawTotals!A$2:A999, C7, RawTotals!M$2:M999))</f>
        <v>13.85714286</v>
      </c>
      <c r="J7" s="157">
        <f>IF(A7="","", SUMIF(RawTotals!A$2:A999, C7, RawTotals!AC$2:AC999))</f>
        <v>19</v>
      </c>
      <c r="K7" s="154">
        <f>IF(A7="","",SUMIF(RawTotals!A$2:A999, C7, RawTotals!W$2:W999))</f>
        <v>1</v>
      </c>
      <c r="L7" s="157">
        <f>IF(A7="","",SUMIF(RawTotals!A$2:A999, C7, RawTotals!Q$2:Q999))</f>
        <v>15</v>
      </c>
      <c r="M7" s="158" t="str">
        <f>IFERROR(__xludf.DUMMYFUNCTION("IFERROR(IF(A7="""","""",FILTER('Pit Scouting Responses'!F$1:F999,'Pit Scouting Responses'!B$1:B999=C7)),""NOT COLLECTED"")"),"NOT COLLECTED")</f>
        <v>NOT COLLECTED</v>
      </c>
      <c r="N7" s="76"/>
      <c r="O7" s="162" t="s">
        <v>592</v>
      </c>
      <c r="P7" s="162">
        <v>0.0</v>
      </c>
      <c r="Q7" s="163">
        <f t="shared" si="1"/>
        <v>0</v>
      </c>
      <c r="R7" s="76"/>
      <c r="S7" s="76"/>
      <c r="T7" s="76"/>
      <c r="U7" s="76"/>
      <c r="V7" s="76"/>
      <c r="W7" s="76"/>
      <c r="X7" s="76"/>
      <c r="Y7" s="76"/>
      <c r="Z7" s="160"/>
      <c r="AA7" s="160"/>
      <c r="AB7" s="76"/>
      <c r="AC7" s="76"/>
      <c r="AD7" s="161"/>
      <c r="AE7" s="160"/>
      <c r="AF7" s="76"/>
    </row>
    <row r="8">
      <c r="A8" s="150">
        <f>RawTotals!A8</f>
        <v>4028</v>
      </c>
      <c r="B8" s="151">
        <v>0.6</v>
      </c>
      <c r="C8" s="15">
        <f>PicklistComputer!K8</f>
        <v>2056</v>
      </c>
      <c r="D8" s="164">
        <v>7.0</v>
      </c>
      <c r="E8" s="153">
        <f>IF(A8="","", SUMIF(RawTotals!A$2:A999, C8, RawTotals!AG$2:AG999))</f>
        <v>8.405412695</v>
      </c>
      <c r="F8" s="153">
        <f>IF(A8="","", SUMIF(RawTotals!A$2:A999, C8, RawTotals!AH$2:AH999))</f>
        <v>8.760056729</v>
      </c>
      <c r="G8" s="154">
        <f>IF(A8="","", SUMIF(RawTotals!A$2:A999, C8, RawTotals!J$2:J999))</f>
        <v>1</v>
      </c>
      <c r="H8" s="155">
        <f>IF(A8="","",SUMIF(RawTotals!A$2:A999, C8, RawTotals!D$2:D999))</f>
        <v>4</v>
      </c>
      <c r="I8" s="156">
        <f>IF(A8="","",SUMIF(RawTotals!A$2:A999, C8, RawTotals!M$2:M999))</f>
        <v>15.25</v>
      </c>
      <c r="J8" s="157">
        <f>IF(A8="","", SUMIF(RawTotals!A$2:A999, C8, RawTotals!AC$2:AC999))</f>
        <v>26</v>
      </c>
      <c r="K8" s="154">
        <f>IF(A8="","",SUMIF(RawTotals!A$2:A999, C8, RawTotals!W$2:W999))</f>
        <v>0.375</v>
      </c>
      <c r="L8" s="157">
        <f>IF(A8="","",SUMIF(RawTotals!A$2:A999, C8, RawTotals!Q$2:Q999))</f>
        <v>12.2</v>
      </c>
      <c r="M8" s="158" t="str">
        <f>IFERROR(__xludf.DUMMYFUNCTION("IFERROR(IF(A8="""","""",FILTER('Pit Scouting Responses'!F$1:F999,'Pit Scouting Responses'!B$1:B999=C8)),""NOT COLLECTED"")"),"NOT COLLECTED")</f>
        <v>NOT COLLECTED</v>
      </c>
      <c r="N8" s="76"/>
      <c r="O8" s="165" t="s">
        <v>598</v>
      </c>
      <c r="P8" s="162">
        <v>4.0</v>
      </c>
      <c r="Q8" s="163">
        <f t="shared" si="1"/>
        <v>0.4444444444</v>
      </c>
      <c r="R8" s="76"/>
      <c r="S8" s="76"/>
      <c r="T8" s="76"/>
      <c r="U8" s="76"/>
      <c r="V8" s="76"/>
      <c r="W8" s="76"/>
      <c r="X8" s="76"/>
      <c r="Y8" s="76"/>
      <c r="Z8" s="160"/>
      <c r="AA8" s="160"/>
      <c r="AB8" s="76"/>
      <c r="AC8" s="76"/>
      <c r="AD8" s="161"/>
      <c r="AE8" s="160"/>
      <c r="AF8" s="76"/>
    </row>
    <row r="9">
      <c r="A9" s="150">
        <f>RawTotals!A9</f>
        <v>2767</v>
      </c>
      <c r="B9" s="151"/>
      <c r="C9" s="15">
        <f>PicklistComputer!K9</f>
        <v>1533</v>
      </c>
      <c r="D9" s="164">
        <v>8.0</v>
      </c>
      <c r="E9" s="153">
        <f>IF(A9="","", SUMIF(RawTotals!A$2:A999, C9, RawTotals!AG$2:AG999))</f>
        <v>0.3717078239</v>
      </c>
      <c r="F9" s="153">
        <f>IF(A9="","", SUMIF(RawTotals!A$2:A999, C9, RawTotals!AH$2:AH999))</f>
        <v>0.3039470531</v>
      </c>
      <c r="G9" s="154">
        <f>IF(A9="","", SUMIF(RawTotals!A$2:A999, C9, RawTotals!J$2:J999))</f>
        <v>0.8035714286</v>
      </c>
      <c r="H9" s="155">
        <f>IF(A9="","",SUMIF(RawTotals!A$2:A999, C9, RawTotals!D$2:D999))</f>
        <v>0.75</v>
      </c>
      <c r="I9" s="156">
        <f>IF(A9="","",SUMIF(RawTotals!A$2:A999, C9, RawTotals!M$2:M999))</f>
        <v>10.25</v>
      </c>
      <c r="J9" s="157">
        <f>IF(A9="","", SUMIF(RawTotals!A$2:A999, C9, RawTotals!AC$2:AC999))</f>
        <v>17</v>
      </c>
      <c r="K9" s="154">
        <f>IF(A9="","",SUMIF(RawTotals!A$2:A999, C9, RawTotals!W$2:W999))</f>
        <v>0.375</v>
      </c>
      <c r="L9" s="157">
        <f>IF(A9="","",SUMIF(RawTotals!A$2:A999, C9, RawTotals!Q$2:Q999))</f>
        <v>10.2</v>
      </c>
      <c r="M9" s="158" t="str">
        <f>IFERROR(__xludf.DUMMYFUNCTION("IFERROR(IF(A9="""","""",FILTER('Pit Scouting Responses'!F$1:F999,'Pit Scouting Responses'!B$1:B999=C9)),""NOT COLLECTED"")"),"NOT COLLECTED")</f>
        <v>NOT COLLECTED</v>
      </c>
      <c r="N9" s="76"/>
      <c r="O9" s="166"/>
      <c r="P9" s="167"/>
      <c r="Q9" s="76"/>
      <c r="R9" s="76"/>
      <c r="S9" s="76"/>
      <c r="T9" s="76"/>
      <c r="U9" s="76"/>
      <c r="V9" s="76"/>
      <c r="W9" s="76"/>
      <c r="X9" s="76"/>
      <c r="Y9" s="76"/>
      <c r="Z9" s="160"/>
      <c r="AA9" s="160"/>
      <c r="AB9" s="76"/>
      <c r="AC9" s="76"/>
      <c r="AD9" s="161"/>
      <c r="AE9" s="160"/>
      <c r="AF9" s="76"/>
    </row>
    <row r="10">
      <c r="A10" s="150">
        <f>RawTotals!A10</f>
        <v>5712</v>
      </c>
      <c r="B10" s="151">
        <v>28.0</v>
      </c>
      <c r="C10" s="15">
        <f>PicklistComputer!K10</f>
        <v>4499</v>
      </c>
      <c r="D10" s="164">
        <v>9.0</v>
      </c>
      <c r="E10" s="153">
        <f>IF(A10="","", SUMIF(RawTotals!A$2:A999, C10, RawTotals!AG$2:AG999))</f>
        <v>5.490619321</v>
      </c>
      <c r="F10" s="153">
        <f>IF(A10="","", SUMIF(RawTotals!A$2:A999, C10, RawTotals!AH$2:AH999))</f>
        <v>6.436630082</v>
      </c>
      <c r="G10" s="154">
        <f>IF(A10="","", SUMIF(RawTotals!A$2:A999, C10, RawTotals!J$2:J999))</f>
        <v>0.9375</v>
      </c>
      <c r="H10" s="155">
        <f>IF(A10="","",SUMIF(RawTotals!A$2:A999, C10, RawTotals!D$2:D999))</f>
        <v>2.25</v>
      </c>
      <c r="I10" s="156">
        <f>IF(A10="","",SUMIF(RawTotals!A$2:A999, C10, RawTotals!M$2:M999))</f>
        <v>10.375</v>
      </c>
      <c r="J10" s="157">
        <f>IF(A10="","", SUMIF(RawTotals!A$2:A999, C10, RawTotals!AC$2:AC999))</f>
        <v>17</v>
      </c>
      <c r="K10" s="154">
        <f>IF(A10="","",SUMIF(RawTotals!A$2:A999, C10, RawTotals!W$2:W999))</f>
        <v>1</v>
      </c>
      <c r="L10" s="157">
        <f>IF(A10="","",SUMIF(RawTotals!A$2:A999, C10, RawTotals!Q$2:Q999))</f>
        <v>15</v>
      </c>
      <c r="M10" s="158" t="str">
        <f>IFERROR(__xludf.DUMMYFUNCTION("IFERROR(IF(A10="""","""",FILTER('Pit Scouting Responses'!F$1:F999,'Pit Scouting Responses'!B$1:B999=C10)),""NOT COLLECTED"")"),"swerve")</f>
        <v>swerve</v>
      </c>
      <c r="N10" s="76"/>
      <c r="O10" s="76"/>
      <c r="P10" s="76"/>
      <c r="Q10" s="76"/>
      <c r="R10" s="76"/>
      <c r="S10" s="76"/>
      <c r="T10" s="76"/>
      <c r="U10" s="76"/>
      <c r="V10" s="76"/>
      <c r="W10" s="76"/>
      <c r="X10" s="76"/>
      <c r="Y10" s="76"/>
      <c r="Z10" s="160"/>
      <c r="AA10" s="160"/>
      <c r="AB10" s="76"/>
      <c r="AC10" s="76"/>
      <c r="AD10" s="161"/>
      <c r="AE10" s="160"/>
      <c r="AF10" s="76"/>
    </row>
    <row r="11">
      <c r="A11" s="150">
        <f>RawTotals!A11</f>
        <v>4499</v>
      </c>
      <c r="B11" s="151">
        <v>7.5</v>
      </c>
      <c r="C11" s="15">
        <f>PicklistComputer!K11</f>
        <v>2767</v>
      </c>
      <c r="D11" s="164">
        <v>10.0</v>
      </c>
      <c r="E11" s="153">
        <f>IF(A11="","", SUMIF(RawTotals!A$2:A999, C11, RawTotals!AG$2:AG999))</f>
        <v>6.104316804</v>
      </c>
      <c r="F11" s="153">
        <f>IF(A11="","", SUMIF(RawTotals!A$2:A999, C11, RawTotals!AH$2:AH999))</f>
        <v>7.050327565</v>
      </c>
      <c r="G11" s="154">
        <f>IF(A11="","", SUMIF(RawTotals!A$2:A999, C11, RawTotals!J$2:J999))</f>
        <v>1</v>
      </c>
      <c r="H11" s="155">
        <f>IF(A11="","",SUMIF(RawTotals!A$2:A999, C11, RawTotals!D$2:D999))</f>
        <v>2.714285714</v>
      </c>
      <c r="I11" s="156">
        <f>IF(A11="","",SUMIF(RawTotals!A$2:A999, C11, RawTotals!M$2:M999))</f>
        <v>10.85714286</v>
      </c>
      <c r="J11" s="157">
        <f>IF(A11="","", SUMIF(RawTotals!A$2:A999, C11, RawTotals!AC$2:AC999))</f>
        <v>16</v>
      </c>
      <c r="K11" s="154">
        <f>IF(A11="","",SUMIF(RawTotals!A$2:A999, C11, RawTotals!W$2:W999))</f>
        <v>0.8571428571</v>
      </c>
      <c r="L11" s="157">
        <f>IF(A11="","",SUMIF(RawTotals!A$2:A999, C11, RawTotals!Q$2:Q999))</f>
        <v>15</v>
      </c>
      <c r="M11" s="158" t="str">
        <f>IFERROR(__xludf.DUMMYFUNCTION("IFERROR(IF(A11="""","""",FILTER('Pit Scouting Responses'!F$1:F999,'Pit Scouting Responses'!B$1:B999=C11)),""NOT COLLECTED"")"),"NOT COLLECTED")</f>
        <v>NOT COLLECTED</v>
      </c>
      <c r="N11" s="76"/>
      <c r="O11" s="76"/>
      <c r="P11" s="76"/>
      <c r="Q11" s="76"/>
      <c r="R11" s="76"/>
      <c r="S11" s="76"/>
      <c r="T11" s="76"/>
      <c r="U11" s="76"/>
      <c r="V11" s="76"/>
      <c r="W11" s="76"/>
      <c r="X11" s="76"/>
      <c r="Y11" s="76"/>
      <c r="Z11" s="160"/>
      <c r="AA11" s="160"/>
      <c r="AB11" s="76"/>
      <c r="AC11" s="76"/>
      <c r="AD11" s="161"/>
      <c r="AE11" s="160"/>
      <c r="AF11" s="76"/>
    </row>
    <row r="12">
      <c r="A12" s="150">
        <f>RawTotals!A12</f>
        <v>2338</v>
      </c>
      <c r="B12" s="168"/>
      <c r="C12" s="15">
        <f>PicklistComputer!K12</f>
        <v>2338</v>
      </c>
      <c r="D12" s="164">
        <v>11.0</v>
      </c>
      <c r="E12" s="153">
        <f>IF(A12="","", SUMIF(RawTotals!A$2:A999, C12, RawTotals!AG$2:AG999))</f>
        <v>5.45161729</v>
      </c>
      <c r="F12" s="153">
        <f>IF(A12="","", SUMIF(RawTotals!A$2:A999, C12, RawTotals!AH$2:AH999))</f>
        <v>6.397628051</v>
      </c>
      <c r="G12" s="154">
        <f>IF(A12="","", SUMIF(RawTotals!A$2:A999, C12, RawTotals!J$2:J999))</f>
        <v>1</v>
      </c>
      <c r="H12" s="155">
        <f>IF(A12="","",SUMIF(RawTotals!A$2:A999, C12, RawTotals!D$2:D999))</f>
        <v>2.285714286</v>
      </c>
      <c r="I12" s="156">
        <f>IF(A12="","",SUMIF(RawTotals!A$2:A999, C12, RawTotals!M$2:M999))</f>
        <v>10.14285714</v>
      </c>
      <c r="J12" s="157">
        <f>IF(A12="","", SUMIF(RawTotals!A$2:A999, C12, RawTotals!AC$2:AC999))</f>
        <v>15</v>
      </c>
      <c r="K12" s="154">
        <f>IF(A12="","",SUMIF(RawTotals!A$2:A999, C12, RawTotals!W$2:W999))</f>
        <v>0.8571428571</v>
      </c>
      <c r="L12" s="157">
        <f>IF(A12="","",SUMIF(RawTotals!A$2:A999, C12, RawTotals!Q$2:Q999))</f>
        <v>15</v>
      </c>
      <c r="M12" s="158" t="str">
        <f>IFERROR(__xludf.DUMMYFUNCTION("IFERROR(IF(A12="""","""",FILTER('Pit Scouting Responses'!F$1:F999,'Pit Scouting Responses'!B$1:B999=C12)),""NOT COLLECTED"")"),"Tank")</f>
        <v>Tank</v>
      </c>
      <c r="N12" s="76"/>
      <c r="O12" s="76"/>
      <c r="P12" s="76"/>
      <c r="Q12" s="76"/>
      <c r="R12" s="76"/>
      <c r="S12" s="76"/>
      <c r="T12" s="76"/>
      <c r="U12" s="76"/>
      <c r="V12" s="76"/>
      <c r="W12" s="76"/>
      <c r="X12" s="76"/>
      <c r="Y12" s="76"/>
      <c r="Z12" s="160"/>
      <c r="AA12" s="160"/>
      <c r="AB12" s="76"/>
      <c r="AC12" s="76"/>
      <c r="AD12" s="161"/>
      <c r="AE12" s="160"/>
      <c r="AF12" s="76"/>
    </row>
    <row r="13">
      <c r="A13" s="150">
        <f>RawTotals!A13</f>
        <v>694</v>
      </c>
      <c r="B13" s="151"/>
      <c r="C13" s="15">
        <f>PicklistComputer!K13</f>
        <v>67</v>
      </c>
      <c r="D13" s="164">
        <v>12.0</v>
      </c>
      <c r="E13" s="153">
        <f>IF(A13="","", SUMIF(RawTotals!A$2:A999, C13, RawTotals!AG$2:AG999))</f>
        <v>4.289869238</v>
      </c>
      <c r="F13" s="153">
        <f>IF(A13="","", SUMIF(RawTotals!A$2:A999, C13, RawTotals!AH$2:AH999))</f>
        <v>4.602272792</v>
      </c>
      <c r="G13" s="154">
        <f>IF(A13="","", SUMIF(RawTotals!A$2:A999, C13, RawTotals!J$2:J999))</f>
        <v>0.6785714286</v>
      </c>
      <c r="H13" s="155">
        <f>IF(A13="","",SUMIF(RawTotals!A$2:A999, C13, RawTotals!D$2:D999))</f>
        <v>2.714285714</v>
      </c>
      <c r="I13" s="156">
        <f>IF(A13="","",SUMIF(RawTotals!A$2:A999, C13, RawTotals!M$2:M999))</f>
        <v>14.14285714</v>
      </c>
      <c r="J13" s="157">
        <f>IF(A13="","", SUMIF(RawTotals!A$2:A999, C13, RawTotals!AC$2:AC999))</f>
        <v>21</v>
      </c>
      <c r="K13" s="154">
        <f>IF(A13="","",SUMIF(RawTotals!A$2:A999, C13, RawTotals!W$2:W999))</f>
        <v>0.5714285714</v>
      </c>
      <c r="L13" s="157">
        <f>IF(A13="","",SUMIF(RawTotals!A$2:A999, C13, RawTotals!Q$2:Q999))</f>
        <v>12</v>
      </c>
      <c r="M13" s="158" t="str">
        <f>IFERROR(__xludf.DUMMYFUNCTION("IFERROR(IF(A13="""","""",FILTER('Pit Scouting Responses'!F$1:F999,'Pit Scouting Responses'!B$1:B999=C13)),""NOT COLLECTED"")"),"swerve")</f>
        <v>swerve</v>
      </c>
      <c r="N13" s="76"/>
      <c r="O13" s="159" t="s">
        <v>599</v>
      </c>
      <c r="P13" s="159" t="s">
        <v>595</v>
      </c>
      <c r="Q13" s="159" t="s">
        <v>596</v>
      </c>
      <c r="R13" s="76"/>
      <c r="S13" s="76"/>
      <c r="T13" s="76"/>
      <c r="U13" s="76"/>
      <c r="V13" s="76"/>
      <c r="W13" s="76"/>
      <c r="X13" s="76"/>
      <c r="Y13" s="76"/>
      <c r="Z13" s="160"/>
      <c r="AA13" s="160"/>
      <c r="AB13" s="76"/>
      <c r="AC13" s="76"/>
      <c r="AD13" s="161"/>
      <c r="AE13" s="160"/>
      <c r="AF13" s="76"/>
    </row>
    <row r="14">
      <c r="A14" s="150">
        <f>RawTotals!A14</f>
        <v>4143</v>
      </c>
      <c r="B14" s="168"/>
      <c r="C14" s="15">
        <f>PicklistComputer!K14</f>
        <v>27</v>
      </c>
      <c r="D14" s="164">
        <v>13.0</v>
      </c>
      <c r="E14" s="153">
        <f>IF(A14="","", SUMIF(RawTotals!A$2:A999, C14, RawTotals!AG$2:AG999))</f>
        <v>4.186993588</v>
      </c>
      <c r="F14" s="153">
        <f>IF(A14="","", SUMIF(RawTotals!A$2:A999, C14, RawTotals!AH$2:AH999))</f>
        <v>5.133004349</v>
      </c>
      <c r="G14" s="154">
        <f>IF(A14="","", SUMIF(RawTotals!A$2:A999, C14, RawTotals!J$2:J999))</f>
        <v>0.9444444444</v>
      </c>
      <c r="H14" s="155">
        <f>IF(A14="","",SUMIF(RawTotals!A$2:A999, C14, RawTotals!D$2:D999))</f>
        <v>2.5</v>
      </c>
      <c r="I14" s="156">
        <f>IF(A14="","",SUMIF(RawTotals!A$2:A999, C14, RawTotals!M$2:M999))</f>
        <v>9.375</v>
      </c>
      <c r="J14" s="157">
        <f>IF(A14="","", SUMIF(RawTotals!A$2:A999, C14, RawTotals!AC$2:AC999))</f>
        <v>13</v>
      </c>
      <c r="K14" s="154">
        <f>IF(A14="","",SUMIF(RawTotals!A$2:A999, C14, RawTotals!W$2:W999))</f>
        <v>0.875</v>
      </c>
      <c r="L14" s="157">
        <f>IF(A14="","",SUMIF(RawTotals!A$2:A999, C14, RawTotals!Q$2:Q999))</f>
        <v>15</v>
      </c>
      <c r="M14" s="158" t="str">
        <f>IFERROR(__xludf.DUMMYFUNCTION("IFERROR(IF(A14="""","""",FILTER('Pit Scouting Responses'!F$1:F999,'Pit Scouting Responses'!B$1:B999=C14)),""NOT COLLECTED"")"),"swerve")</f>
        <v>swerve</v>
      </c>
      <c r="N14" s="76"/>
      <c r="O14" s="162" t="s">
        <v>534</v>
      </c>
      <c r="P14" s="162">
        <v>1.0</v>
      </c>
      <c r="Q14" s="163">
        <f t="shared" ref="Q14:Q19" si="2">P14/SUM(P$14:P$19)</f>
        <v>0.1</v>
      </c>
      <c r="R14" s="76"/>
      <c r="S14" s="76"/>
      <c r="T14" s="76"/>
      <c r="U14" s="76"/>
      <c r="V14" s="76"/>
      <c r="W14" s="76"/>
      <c r="X14" s="76"/>
      <c r="Y14" s="76"/>
      <c r="Z14" s="160"/>
      <c r="AA14" s="160"/>
      <c r="AB14" s="76"/>
      <c r="AC14" s="76"/>
      <c r="AD14" s="161"/>
      <c r="AE14" s="160"/>
      <c r="AF14" s="76"/>
    </row>
    <row r="15">
      <c r="A15" s="150">
        <f>RawTotals!A15</f>
        <v>67</v>
      </c>
      <c r="B15" s="151">
        <v>11.5</v>
      </c>
      <c r="C15" s="15">
        <f>PicklistComputer!K15</f>
        <v>4265</v>
      </c>
      <c r="D15" s="164">
        <v>14.0</v>
      </c>
      <c r="E15" s="153">
        <f>IF(A15="","", SUMIF(RawTotals!A$2:A999, C15, RawTotals!AG$2:AG999))</f>
        <v>-5.304851256</v>
      </c>
      <c r="F15" s="153">
        <f>IF(A15="","", SUMIF(RawTotals!A$2:A999, C15, RawTotals!AH$2:AH999))</f>
        <v>-7.019990766</v>
      </c>
      <c r="G15" s="154">
        <f>IF(A15="","", SUMIF(RawTotals!A$2:A999, C15, RawTotals!J$2:J999))</f>
        <v>0.9285714286</v>
      </c>
      <c r="H15" s="155">
        <f>IF(A15="","",SUMIF(RawTotals!A$2:A999, C15, RawTotals!D$2:D999))</f>
        <v>2</v>
      </c>
      <c r="I15" s="156">
        <f>IF(A15="","",SUMIF(RawTotals!A$2:A999, C15, RawTotals!M$2:M999))</f>
        <v>11</v>
      </c>
      <c r="J15" s="157">
        <f>IF(A15="","", SUMIF(RawTotals!A$2:A999, C15, RawTotals!AC$2:AC999))</f>
        <v>14</v>
      </c>
      <c r="K15" s="154">
        <f>IF(A15="","",SUMIF(RawTotals!A$2:A999, C15, RawTotals!W$2:W999))</f>
        <v>0</v>
      </c>
      <c r="L15" s="157">
        <f>IF(A15="","",SUMIF(RawTotals!A$2:A999, C15, RawTotals!Q$2:Q999))</f>
        <v>2.4</v>
      </c>
      <c r="M15" s="158" t="str">
        <f>IFERROR(__xludf.DUMMYFUNCTION("IFERROR(IF(A15="""","""",FILTER('Pit Scouting Responses'!F$1:F999,'Pit Scouting Responses'!B$1:B999=C15)),""NOT COLLECTED"")"),"swerve")</f>
        <v>swerve</v>
      </c>
      <c r="N15" s="76"/>
      <c r="O15" s="162" t="s">
        <v>588</v>
      </c>
      <c r="P15" s="162">
        <v>1.0</v>
      </c>
      <c r="Q15" s="163">
        <f t="shared" si="2"/>
        <v>0.1</v>
      </c>
      <c r="R15" s="76"/>
      <c r="S15" s="76"/>
      <c r="T15" s="76"/>
      <c r="U15" s="76"/>
      <c r="V15" s="76"/>
      <c r="W15" s="76"/>
      <c r="X15" s="76"/>
      <c r="Y15" s="76"/>
      <c r="Z15" s="160"/>
      <c r="AA15" s="160"/>
      <c r="AB15" s="76"/>
      <c r="AC15" s="76"/>
      <c r="AD15" s="161"/>
      <c r="AE15" s="160"/>
      <c r="AF15" s="76"/>
    </row>
    <row r="16">
      <c r="A16" s="150">
        <f>RawTotals!A16</f>
        <v>27</v>
      </c>
      <c r="B16" s="151">
        <v>11.9</v>
      </c>
      <c r="C16" s="15">
        <f>PicklistComputer!K16</f>
        <v>694</v>
      </c>
      <c r="D16" s="164">
        <v>15.0</v>
      </c>
      <c r="E16" s="153">
        <f>IF(A16="","", SUMIF(RawTotals!A$2:A999, C16, RawTotals!AG$2:AG999))</f>
        <v>4.931465678</v>
      </c>
      <c r="F16" s="153">
        <f>IF(A16="","", SUMIF(RawTotals!A$2:A999, C16, RawTotals!AH$2:AH999))</f>
        <v>5.877476439</v>
      </c>
      <c r="G16" s="154">
        <f>IF(A16="","", SUMIF(RawTotals!A$2:A999, C16, RawTotals!J$2:J999))</f>
        <v>1</v>
      </c>
      <c r="H16" s="155">
        <f>IF(A16="","",SUMIF(RawTotals!A$2:A999, C16, RawTotals!D$2:D999))</f>
        <v>3.375</v>
      </c>
      <c r="I16" s="156">
        <f>IF(A16="","",SUMIF(RawTotals!A$2:A999, C16, RawTotals!M$2:M999))</f>
        <v>9.875</v>
      </c>
      <c r="J16" s="157">
        <f>IF(A16="","", SUMIF(RawTotals!A$2:A999, C16, RawTotals!AC$2:AC999))</f>
        <v>13</v>
      </c>
      <c r="K16" s="154">
        <f>IF(A16="","",SUMIF(RawTotals!A$2:A999, C16, RawTotals!W$2:W999))</f>
        <v>0.625</v>
      </c>
      <c r="L16" s="157">
        <f>IF(A16="","",SUMIF(RawTotals!A$2:A999, C16, RawTotals!Q$2:Q999))</f>
        <v>15</v>
      </c>
      <c r="M16" s="158" t="str">
        <f>IFERROR(__xludf.DUMMYFUNCTION("IFERROR(IF(A16="""","""",FILTER('Pit Scouting Responses'!F$1:F999,'Pit Scouting Responses'!B$1:B999=C16)),""NOT COLLECTED"")"),"Tank")</f>
        <v>Tank</v>
      </c>
      <c r="N16" s="76"/>
      <c r="O16" s="162" t="s">
        <v>589</v>
      </c>
      <c r="P16" s="162">
        <v>0.0</v>
      </c>
      <c r="Q16" s="163">
        <f t="shared" si="2"/>
        <v>0</v>
      </c>
      <c r="R16" s="76"/>
      <c r="S16" s="76"/>
      <c r="T16" s="76"/>
      <c r="U16" s="76"/>
      <c r="V16" s="76"/>
      <c r="W16" s="76"/>
      <c r="X16" s="76"/>
      <c r="Y16" s="76"/>
      <c r="Z16" s="160"/>
      <c r="AA16" s="160"/>
      <c r="AB16" s="76"/>
      <c r="AC16" s="76"/>
      <c r="AD16" s="161"/>
      <c r="AE16" s="160"/>
      <c r="AF16" s="76"/>
    </row>
    <row r="17">
      <c r="A17" s="150">
        <f>RawTotals!A17</f>
        <v>118</v>
      </c>
      <c r="B17" s="168"/>
      <c r="C17" s="15">
        <f>PicklistComputer!K17</f>
        <v>4143</v>
      </c>
      <c r="D17" s="164">
        <v>16.0</v>
      </c>
      <c r="E17" s="153">
        <f>IF(A17="","", SUMIF(RawTotals!A$2:A999, C17, RawTotals!AG$2:AG999))</f>
        <v>4.700268905</v>
      </c>
      <c r="F17" s="153">
        <f>IF(A17="","", SUMIF(RawTotals!A$2:A999, C17, RawTotals!AH$2:AH999))</f>
        <v>4.843710537</v>
      </c>
      <c r="G17" s="154">
        <f>IF(A17="","", SUMIF(RawTotals!A$2:A999, C17, RawTotals!J$2:J999))</f>
        <v>0.875</v>
      </c>
      <c r="H17" s="155">
        <f>IF(A17="","",SUMIF(RawTotals!A$2:A999, C17, RawTotals!D$2:D999))</f>
        <v>1.5</v>
      </c>
      <c r="I17" s="156">
        <f>IF(A17="","",SUMIF(RawTotals!A$2:A999, C17, RawTotals!M$2:M999))</f>
        <v>13.375</v>
      </c>
      <c r="J17" s="157">
        <f>IF(A17="","", SUMIF(RawTotals!A$2:A999, C17, RawTotals!AC$2:AC999))</f>
        <v>22</v>
      </c>
      <c r="K17" s="154">
        <f>IF(A17="","",SUMIF(RawTotals!A$2:A999, C17, RawTotals!W$2:W999))</f>
        <v>0.25</v>
      </c>
      <c r="L17" s="157">
        <f>IF(A17="","",SUMIF(RawTotals!A$2:A999, C17, RawTotals!Q$2:Q999))</f>
        <v>11.2</v>
      </c>
      <c r="M17" s="158" t="str">
        <f>IFERROR(__xludf.DUMMYFUNCTION("IFERROR(IF(A17="""","""",FILTER('Pit Scouting Responses'!F$1:F999,'Pit Scouting Responses'!B$1:B999=C17)),""NOT COLLECTED"")"),"NOT COLLECTED")</f>
        <v>NOT COLLECTED</v>
      </c>
      <c r="N17" s="76"/>
      <c r="O17" s="162" t="s">
        <v>597</v>
      </c>
      <c r="P17" s="162">
        <v>3.0</v>
      </c>
      <c r="Q17" s="163">
        <f t="shared" si="2"/>
        <v>0.3</v>
      </c>
      <c r="R17" s="76"/>
      <c r="S17" s="76"/>
      <c r="T17" s="76"/>
      <c r="U17" s="76"/>
      <c r="V17" s="76"/>
      <c r="W17" s="76"/>
      <c r="X17" s="76"/>
      <c r="Y17" s="76"/>
      <c r="Z17" s="160"/>
      <c r="AA17" s="160"/>
      <c r="AB17" s="76"/>
      <c r="AC17" s="76"/>
      <c r="AD17" s="161"/>
      <c r="AE17" s="160"/>
      <c r="AF17" s="76"/>
    </row>
    <row r="18">
      <c r="A18" s="150">
        <f>RawTotals!A18</f>
        <v>587</v>
      </c>
      <c r="B18" s="168"/>
      <c r="C18" s="15">
        <f>PicklistComputer!K18</f>
        <v>2539</v>
      </c>
      <c r="D18" s="164">
        <v>17.0</v>
      </c>
      <c r="E18" s="153">
        <f>IF(A18="","", SUMIF(RawTotals!A$2:A999, C18, RawTotals!AG$2:AG999))</f>
        <v>1.179572199</v>
      </c>
      <c r="F18" s="153">
        <f>IF(A18="","", SUMIF(RawTotals!A$2:A999, C18, RawTotals!AH$2:AH999))</f>
        <v>2.12558296</v>
      </c>
      <c r="G18" s="154">
        <f>IF(A18="","", SUMIF(RawTotals!A$2:A999, C18, RawTotals!J$2:J999))</f>
        <v>0.9444444444</v>
      </c>
      <c r="H18" s="155">
        <f>IF(A18="","",SUMIF(RawTotals!A$2:A999, C18, RawTotals!D$2:D999))</f>
        <v>1.857142857</v>
      </c>
      <c r="I18" s="156">
        <f>IF(A18="","",SUMIF(RawTotals!A$2:A999, C18, RawTotals!M$2:M999))</f>
        <v>4.428571429</v>
      </c>
      <c r="J18" s="157">
        <f>IF(A18="","", SUMIF(RawTotals!A$2:A999, C18, RawTotals!AC$2:AC999))</f>
        <v>15</v>
      </c>
      <c r="K18" s="154">
        <f>IF(A18="","",SUMIF(RawTotals!A$2:A999, C18, RawTotals!W$2:W999))</f>
        <v>0.7142857143</v>
      </c>
      <c r="L18" s="157">
        <f>IF(A18="","",SUMIF(RawTotals!A$2:A999, C18, RawTotals!Q$2:Q999))</f>
        <v>15</v>
      </c>
      <c r="M18" s="158" t="str">
        <f>IFERROR(__xludf.DUMMYFUNCTION("IFERROR(IF(A18="""","""",FILTER('Pit Scouting Responses'!F$1:F999,'Pit Scouting Responses'!B$1:B999=C18)),""NOT COLLECTED"")"),"Swerve")</f>
        <v>Swerve</v>
      </c>
      <c r="N18" s="76"/>
      <c r="O18" s="162" t="s">
        <v>592</v>
      </c>
      <c r="P18" s="162">
        <v>0.0</v>
      </c>
      <c r="Q18" s="163">
        <f t="shared" si="2"/>
        <v>0</v>
      </c>
      <c r="R18" s="76"/>
      <c r="S18" s="76"/>
      <c r="T18" s="76"/>
      <c r="U18" s="76"/>
      <c r="V18" s="76"/>
      <c r="W18" s="76"/>
      <c r="X18" s="76"/>
      <c r="Y18" s="76"/>
      <c r="Z18" s="160"/>
      <c r="AA18" s="160"/>
      <c r="AB18" s="76"/>
      <c r="AC18" s="76"/>
      <c r="AD18" s="161"/>
      <c r="AE18" s="160"/>
      <c r="AF18" s="76"/>
    </row>
    <row r="19">
      <c r="A19" s="150">
        <f>RawTotals!A19</f>
        <v>195</v>
      </c>
      <c r="B19" s="151">
        <v>16.1</v>
      </c>
      <c r="C19" s="15">
        <f>PicklistComputer!K19</f>
        <v>118</v>
      </c>
      <c r="D19" s="164">
        <v>18.0</v>
      </c>
      <c r="E19" s="153">
        <f>IF(A19="","", SUMIF(RawTotals!A$2:A999, C19, RawTotals!AG$2:AG999))</f>
        <v>4.103092774</v>
      </c>
      <c r="F19" s="153">
        <f>IF(A19="","", SUMIF(RawTotals!A$2:A999, C19, RawTotals!AH$2:AH999))</f>
        <v>5.049103535</v>
      </c>
      <c r="G19" s="154">
        <f>IF(A19="","", SUMIF(RawTotals!A$2:A999, C19, RawTotals!J$2:J999))</f>
        <v>0.5625</v>
      </c>
      <c r="H19" s="155">
        <f>IF(A19="","",SUMIF(RawTotals!A$2:A999, C19, RawTotals!D$2:D999))</f>
        <v>1.75</v>
      </c>
      <c r="I19" s="156">
        <f>IF(A19="","",SUMIF(RawTotals!A$2:A999, C19, RawTotals!M$2:M999))</f>
        <v>11.375</v>
      </c>
      <c r="J19" s="157">
        <f>IF(A19="","", SUMIF(RawTotals!A$2:A999, C19, RawTotals!AC$2:AC999))</f>
        <v>21</v>
      </c>
      <c r="K19" s="154">
        <f>IF(A19="","",SUMIF(RawTotals!A$2:A999, C19, RawTotals!W$2:W999))</f>
        <v>0.75</v>
      </c>
      <c r="L19" s="157">
        <f>IF(A19="","",SUMIF(RawTotals!A$2:A999, C19, RawTotals!Q$2:Q999))</f>
        <v>15</v>
      </c>
      <c r="M19" s="158" t="str">
        <f>IFERROR(__xludf.DUMMYFUNCTION("IFERROR(IF(A19="""","""",FILTER('Pit Scouting Responses'!F$1:F999,'Pit Scouting Responses'!B$1:B999=C19)),""NOT COLLECTED"")"),"swerve")</f>
        <v>swerve</v>
      </c>
      <c r="N19" s="76"/>
      <c r="O19" s="169" t="s">
        <v>598</v>
      </c>
      <c r="P19" s="162">
        <v>5.0</v>
      </c>
      <c r="Q19" s="163">
        <f t="shared" si="2"/>
        <v>0.5</v>
      </c>
      <c r="R19" s="76"/>
      <c r="S19" s="76"/>
      <c r="T19" s="76"/>
      <c r="U19" s="76"/>
      <c r="V19" s="76"/>
      <c r="W19" s="76"/>
      <c r="X19" s="76"/>
      <c r="Y19" s="76"/>
      <c r="Z19" s="160"/>
      <c r="AA19" s="160"/>
      <c r="AB19" s="76"/>
      <c r="AC19" s="76"/>
      <c r="AD19" s="161"/>
      <c r="AE19" s="160"/>
      <c r="AF19" s="76"/>
    </row>
    <row r="20">
      <c r="A20" s="150">
        <f>RawTotals!A20</f>
        <v>2468</v>
      </c>
      <c r="B20" s="151"/>
      <c r="C20" s="15">
        <f>PicklistComputer!K20</f>
        <v>195</v>
      </c>
      <c r="D20" s="164">
        <v>19.0</v>
      </c>
      <c r="E20" s="153">
        <f>IF(A20="","", SUMIF(RawTotals!A$2:A999, C20, RawTotals!AG$2:AG999))</f>
        <v>2.201022651</v>
      </c>
      <c r="F20" s="153">
        <f>IF(A20="","", SUMIF(RawTotals!A$2:A999, C20, RawTotals!AH$2:AH999))</f>
        <v>3.147033412</v>
      </c>
      <c r="G20" s="154">
        <f>IF(A20="","", SUMIF(RawTotals!A$2:A999, C20, RawTotals!J$2:J999))</f>
        <v>0.7571428571</v>
      </c>
      <c r="H20" s="155">
        <f>IF(A20="","",SUMIF(RawTotals!A$2:A999, C20, RawTotals!D$2:D999))</f>
        <v>1.571428571</v>
      </c>
      <c r="I20" s="156">
        <f>IF(A20="","",SUMIF(RawTotals!A$2:A999, C20, RawTotals!M$2:M999))</f>
        <v>8.714285714</v>
      </c>
      <c r="J20" s="157">
        <f>IF(A20="","", SUMIF(RawTotals!A$2:A999, C20, RawTotals!AC$2:AC999))</f>
        <v>12</v>
      </c>
      <c r="K20" s="154">
        <f>IF(A20="","",SUMIF(RawTotals!A$2:A999, C20, RawTotals!W$2:W999))</f>
        <v>0.7142857143</v>
      </c>
      <c r="L20" s="157">
        <f>IF(A20="","",SUMIF(RawTotals!A$2:A999, C20, RawTotals!Q$2:Q999))</f>
        <v>15</v>
      </c>
      <c r="M20" s="158" t="str">
        <f>IFERROR(__xludf.DUMMYFUNCTION("IFERROR(IF(A20="""","""",FILTER('Pit Scouting Responses'!F$1:F999,'Pit Scouting Responses'!B$1:B999=C20)),""NOT COLLECTED"")"),"Tank")</f>
        <v>Tank</v>
      </c>
      <c r="N20" s="76"/>
      <c r="O20" s="166"/>
      <c r="P20" s="167"/>
      <c r="Q20" s="76"/>
      <c r="R20" s="76"/>
      <c r="S20" s="76"/>
      <c r="T20" s="76"/>
      <c r="U20" s="76"/>
      <c r="V20" s="76"/>
      <c r="W20" s="76"/>
      <c r="X20" s="76"/>
      <c r="Y20" s="76"/>
      <c r="Z20" s="160"/>
      <c r="AA20" s="160"/>
      <c r="AB20" s="76"/>
      <c r="AC20" s="76"/>
      <c r="AD20" s="161"/>
      <c r="AE20" s="160"/>
      <c r="AF20" s="76"/>
    </row>
    <row r="21">
      <c r="A21" s="150">
        <f>RawTotals!A21</f>
        <v>1706</v>
      </c>
      <c r="B21" s="168"/>
      <c r="C21" s="15">
        <f>PicklistComputer!K21</f>
        <v>2363</v>
      </c>
      <c r="D21" s="164">
        <v>20.0</v>
      </c>
      <c r="E21" s="153">
        <f>IF(A21="","", SUMIF(RawTotals!A$2:A999, C21, RawTotals!AG$2:AG999))</f>
        <v>-0.6413283107</v>
      </c>
      <c r="F21" s="153">
        <f>IF(A21="","", SUMIF(RawTotals!A$2:A999, C21, RawTotals!AH$2:AH999))</f>
        <v>-1.849582055</v>
      </c>
      <c r="G21" s="154">
        <f>IF(A21="","", SUMIF(RawTotals!A$2:A999, C21, RawTotals!J$2:J999))</f>
        <v>0.9285714286</v>
      </c>
      <c r="H21" s="155">
        <f>IF(A21="","",SUMIF(RawTotals!A$2:A999, C21, RawTotals!D$2:D999))</f>
        <v>1.857142857</v>
      </c>
      <c r="I21" s="156">
        <f>IF(A21="","",SUMIF(RawTotals!A$2:A999, C21, RawTotals!M$2:M999))</f>
        <v>13.14285714</v>
      </c>
      <c r="J21" s="157">
        <f>IF(A21="","", SUMIF(RawTotals!A$2:A999, C21, RawTotals!AC$2:AC999))</f>
        <v>21</v>
      </c>
      <c r="K21" s="154">
        <f>IF(A21="","",SUMIF(RawTotals!A$2:A999, C21, RawTotals!W$2:W999))</f>
        <v>0</v>
      </c>
      <c r="L21" s="157">
        <f>IF(A21="","",SUMIF(RawTotals!A$2:A999, C21, RawTotals!Q$2:Q999))</f>
        <v>4.8</v>
      </c>
      <c r="M21" s="158" t="str">
        <f>IFERROR(__xludf.DUMMYFUNCTION("IFERROR(IF(A21="""","""",FILTER('Pit Scouting Responses'!F$1:F999,'Pit Scouting Responses'!B$1:B999=C21)),""NOT COLLECTED"")"),"NOT COLLECTED")</f>
        <v>NOT COLLECTED</v>
      </c>
      <c r="N21" s="76"/>
      <c r="O21" s="76"/>
      <c r="P21" s="76"/>
      <c r="Q21" s="76"/>
      <c r="R21" s="76"/>
      <c r="S21" s="76"/>
      <c r="T21" s="76"/>
      <c r="U21" s="76"/>
      <c r="V21" s="76"/>
      <c r="W21" s="76"/>
      <c r="X21" s="76"/>
      <c r="Y21" s="76"/>
      <c r="Z21" s="160"/>
      <c r="AA21" s="160"/>
      <c r="AB21" s="76"/>
      <c r="AC21" s="76"/>
      <c r="AD21" s="161"/>
      <c r="AE21" s="160"/>
      <c r="AF21" s="76"/>
    </row>
    <row r="22">
      <c r="A22" s="150">
        <f>RawTotals!A22</f>
        <v>3357</v>
      </c>
      <c r="B22" s="151">
        <v>19.1</v>
      </c>
      <c r="C22" s="15">
        <f>PicklistComputer!K22</f>
        <v>587</v>
      </c>
      <c r="D22" s="164">
        <v>21.0</v>
      </c>
      <c r="E22" s="153">
        <f>IF(A22="","", SUMIF(RawTotals!A$2:A999, C22, RawTotals!AG$2:AG999))</f>
        <v>2.326272817</v>
      </c>
      <c r="F22" s="153">
        <f>IF(A22="","", SUMIF(RawTotals!A$2:A999, C22, RawTotals!AH$2:AH999))</f>
        <v>3.272283578</v>
      </c>
      <c r="G22" s="154">
        <f>IF(A22="","", SUMIF(RawTotals!A$2:A999, C22, RawTotals!J$2:J999))</f>
        <v>0.7013888889</v>
      </c>
      <c r="H22" s="155">
        <f>IF(A22="","",SUMIF(RawTotals!A$2:A999, C22, RawTotals!D$2:D999))</f>
        <v>0.75</v>
      </c>
      <c r="I22" s="156">
        <f>IF(A22="","",SUMIF(RawTotals!A$2:A999, C22, RawTotals!M$2:M999))</f>
        <v>8.5</v>
      </c>
      <c r="J22" s="157">
        <f>IF(A22="","", SUMIF(RawTotals!A$2:A999, C22, RawTotals!AC$2:AC999))</f>
        <v>16</v>
      </c>
      <c r="K22" s="154">
        <f>IF(A22="","",SUMIF(RawTotals!A$2:A999, C22, RawTotals!W$2:W999))</f>
        <v>0.625</v>
      </c>
      <c r="L22" s="157">
        <f>IF(A22="","",SUMIF(RawTotals!A$2:A999, C22, RawTotals!Q$2:Q999))</f>
        <v>15</v>
      </c>
      <c r="M22" s="158" t="str">
        <f>IFERROR(__xludf.DUMMYFUNCTION("IFERROR(IF(A22="""","""",FILTER('Pit Scouting Responses'!F$1:F999,'Pit Scouting Responses'!B$1:B999=C22)),""NOT COLLECTED"")"),"Swerve")</f>
        <v>Swerve</v>
      </c>
      <c r="N22" s="76"/>
      <c r="O22" s="76"/>
      <c r="P22" s="76"/>
      <c r="Q22" s="76"/>
      <c r="R22" s="76"/>
      <c r="S22" s="76"/>
      <c r="T22" s="76"/>
      <c r="U22" s="76"/>
      <c r="V22" s="76"/>
      <c r="W22" s="76"/>
      <c r="X22" s="76"/>
      <c r="Y22" s="76"/>
      <c r="Z22" s="160"/>
      <c r="AA22" s="160"/>
      <c r="AB22" s="76"/>
      <c r="AC22" s="76"/>
      <c r="AD22" s="161"/>
      <c r="AE22" s="160"/>
      <c r="AF22" s="76"/>
    </row>
    <row r="23">
      <c r="A23" s="150">
        <f>RawTotals!A23</f>
        <v>2539</v>
      </c>
      <c r="B23" s="151">
        <v>15.5</v>
      </c>
      <c r="C23" s="15">
        <f>PicklistComputer!K23</f>
        <v>2468</v>
      </c>
      <c r="D23" s="164">
        <v>22.0</v>
      </c>
      <c r="E23" s="153">
        <f>IF(A23="","", SUMIF(RawTotals!A$2:A999, C23, RawTotals!AG$2:AG999))</f>
        <v>2.169819016</v>
      </c>
      <c r="F23" s="153">
        <f>IF(A23="","", SUMIF(RawTotals!A$2:A999, C23, RawTotals!AH$2:AH999))</f>
        <v>2.904627374</v>
      </c>
      <c r="G23" s="154">
        <f>IF(A23="","", SUMIF(RawTotals!A$2:A999, C23, RawTotals!J$2:J999))</f>
        <v>0.8452380952</v>
      </c>
      <c r="H23" s="155">
        <f>IF(A23="","",SUMIF(RawTotals!A$2:A999, C23, RawTotals!D$2:D999))</f>
        <v>1.428571429</v>
      </c>
      <c r="I23" s="156">
        <f>IF(A23="","",SUMIF(RawTotals!A$2:A999, C23, RawTotals!M$2:M999))</f>
        <v>8.714285714</v>
      </c>
      <c r="J23" s="157">
        <f>IF(A23="","", SUMIF(RawTotals!A$2:A999, C23, RawTotals!AC$2:AC999))</f>
        <v>13</v>
      </c>
      <c r="K23" s="154">
        <f>IF(A23="","",SUMIF(RawTotals!A$2:A999, C23, RawTotals!W$2:W999))</f>
        <v>0.5714285714</v>
      </c>
      <c r="L23" s="157">
        <f>IF(A23="","",SUMIF(RawTotals!A$2:A999, C23, RawTotals!Q$2:Q999))</f>
        <v>14</v>
      </c>
      <c r="M23" s="158" t="str">
        <f>IFERROR(__xludf.DUMMYFUNCTION("IFERROR(IF(A23="""","""",FILTER('Pit Scouting Responses'!F$1:F999,'Pit Scouting Responses'!B$1:B999=C23)),""NOT COLLECTED"")"),"NOT COLLECTED")</f>
        <v>NOT COLLECTED</v>
      </c>
      <c r="N23" s="76"/>
      <c r="O23" s="76"/>
      <c r="P23" s="76"/>
      <c r="Q23" s="76"/>
      <c r="R23" s="76"/>
      <c r="S23" s="76"/>
      <c r="T23" s="76"/>
      <c r="U23" s="76"/>
      <c r="V23" s="76"/>
      <c r="W23" s="76"/>
      <c r="X23" s="76"/>
      <c r="Y23" s="76"/>
      <c r="Z23" s="160"/>
      <c r="AA23" s="160"/>
      <c r="AB23" s="76"/>
      <c r="AC23" s="76"/>
      <c r="AD23" s="161"/>
      <c r="AE23" s="160"/>
      <c r="AF23" s="76"/>
    </row>
    <row r="24">
      <c r="A24" s="150">
        <f>RawTotals!A24</f>
        <v>3940</v>
      </c>
      <c r="B24" s="168"/>
      <c r="C24" s="15">
        <f>PicklistComputer!K24</f>
        <v>3357</v>
      </c>
      <c r="D24" s="164">
        <v>23.0</v>
      </c>
      <c r="E24" s="153">
        <f>IF(A24="","", SUMIF(RawTotals!A$2:A999, C24, RawTotals!AG$2:AG999))</f>
        <v>1.227035955</v>
      </c>
      <c r="F24" s="153">
        <f>IF(A24="","", SUMIF(RawTotals!A$2:A999, C24, RawTotals!AH$2:AH999))</f>
        <v>1.961844314</v>
      </c>
      <c r="G24" s="154">
        <f>IF(A24="","", SUMIF(RawTotals!A$2:A999, C24, RawTotals!J$2:J999))</f>
        <v>0.9444444444</v>
      </c>
      <c r="H24" s="155">
        <f>IF(A24="","",SUMIF(RawTotals!A$2:A999, C24, RawTotals!D$2:D999))</f>
        <v>1.714285714</v>
      </c>
      <c r="I24" s="156">
        <f>IF(A24="","",SUMIF(RawTotals!A$2:A999, C24, RawTotals!M$2:M999))</f>
        <v>7</v>
      </c>
      <c r="J24" s="157">
        <f>IF(A24="","", SUMIF(RawTotals!A$2:A999, C24, RawTotals!AC$2:AC999))</f>
        <v>10</v>
      </c>
      <c r="K24" s="154">
        <f>IF(A24="","",SUMIF(RawTotals!A$2:A999, C24, RawTotals!W$2:W999))</f>
        <v>0.5714285714</v>
      </c>
      <c r="L24" s="157">
        <f>IF(A24="","",SUMIF(RawTotals!A$2:A999, C24, RawTotals!Q$2:Q999))</f>
        <v>14</v>
      </c>
      <c r="M24" s="158" t="str">
        <f>IFERROR(__xludf.DUMMYFUNCTION("IFERROR(IF(A24="""","""",FILTER('Pit Scouting Responses'!F$1:F999,'Pit Scouting Responses'!B$1:B999=C24)),""NOT COLLECTED"")"),"NOT COLLECTED")</f>
        <v>NOT COLLECTED</v>
      </c>
      <c r="N24" s="76"/>
      <c r="O24" s="76"/>
      <c r="P24" s="76"/>
      <c r="Q24" s="76"/>
      <c r="R24" s="76"/>
      <c r="S24" s="76"/>
      <c r="T24" s="76"/>
      <c r="U24" s="76"/>
      <c r="V24" s="76"/>
      <c r="W24" s="76"/>
      <c r="X24" s="76"/>
      <c r="Y24" s="76"/>
      <c r="Z24" s="160"/>
      <c r="AA24" s="160"/>
      <c r="AB24" s="76"/>
      <c r="AC24" s="76"/>
      <c r="AD24" s="161"/>
      <c r="AE24" s="160"/>
      <c r="AF24" s="76"/>
    </row>
    <row r="25">
      <c r="A25" s="150">
        <f>RawTotals!A25</f>
        <v>4635</v>
      </c>
      <c r="B25" s="151">
        <v>19.5</v>
      </c>
      <c r="C25" s="15">
        <f>PicklistComputer!K25</f>
        <v>4635</v>
      </c>
      <c r="D25" s="164">
        <v>24.0</v>
      </c>
      <c r="E25" s="153">
        <f>IF(A25="","", SUMIF(RawTotals!A$2:A999, C25, RawTotals!AG$2:AG999))</f>
        <v>0.6774234377</v>
      </c>
      <c r="F25" s="153">
        <f>IF(A25="","", SUMIF(RawTotals!A$2:A999, C25, RawTotals!AH$2:AH999))</f>
        <v>-0.4885898259</v>
      </c>
      <c r="G25" s="154">
        <f>IF(A25="","", SUMIF(RawTotals!A$2:A999, C25, RawTotals!J$2:J999))</f>
        <v>1</v>
      </c>
      <c r="H25" s="155">
        <f>IF(A25="","",SUMIF(RawTotals!A$2:A999, C25, RawTotals!D$2:D999))</f>
        <v>2</v>
      </c>
      <c r="I25" s="156">
        <f>IF(A25="","",SUMIF(RawTotals!A$2:A999, C25, RawTotals!M$2:M999))</f>
        <v>14.57142857</v>
      </c>
      <c r="J25" s="157">
        <f>IF(A25="","", SUMIF(RawTotals!A$2:A999, C25, RawTotals!AC$2:AC999))</f>
        <v>19</v>
      </c>
      <c r="K25" s="154">
        <f>IF(A25="","",SUMIF(RawTotals!A$2:A999, C25, RawTotals!W$2:W999))</f>
        <v>0.1428571429</v>
      </c>
      <c r="L25" s="157">
        <f>IF(A25="","",SUMIF(RawTotals!A$2:A999, C25, RawTotals!Q$2:Q999))</f>
        <v>5</v>
      </c>
      <c r="M25" s="158" t="str">
        <f>IFERROR(__xludf.DUMMYFUNCTION("IFERROR(IF(A25="""","""",FILTER('Pit Scouting Responses'!F$1:F999,'Pit Scouting Responses'!B$1:B999=C25)),""NOT COLLECTED"")"),"NOT COLLECTED")</f>
        <v>NOT COLLECTED</v>
      </c>
      <c r="N25" s="76"/>
      <c r="O25" s="76"/>
      <c r="P25" s="76"/>
      <c r="Q25" s="76"/>
      <c r="R25" s="76"/>
      <c r="S25" s="76"/>
      <c r="T25" s="76"/>
      <c r="U25" s="76"/>
      <c r="V25" s="76"/>
      <c r="W25" s="76"/>
      <c r="X25" s="76"/>
      <c r="Y25" s="76"/>
      <c r="Z25" s="160"/>
      <c r="AA25" s="160"/>
      <c r="AB25" s="76"/>
      <c r="AC25" s="76"/>
      <c r="AD25" s="161"/>
      <c r="AE25" s="160"/>
      <c r="AF25" s="76"/>
    </row>
    <row r="26">
      <c r="A26" s="150">
        <f>RawTotals!A26</f>
        <v>1533</v>
      </c>
      <c r="B26" s="151">
        <v>7.5</v>
      </c>
      <c r="C26" s="15">
        <f>PicklistComputer!K26</f>
        <v>1987</v>
      </c>
      <c r="D26" s="164">
        <v>25.0</v>
      </c>
      <c r="E26" s="153">
        <f>IF(A26="","", SUMIF(RawTotals!A$2:A999, C26, RawTotals!AG$2:AG999))</f>
        <v>-2.395920739</v>
      </c>
      <c r="F26" s="153">
        <f>IF(A26="","", SUMIF(RawTotals!A$2:A999, C26, RawTotals!AH$2:AH999))</f>
        <v>-3.097288717</v>
      </c>
      <c r="G26" s="154">
        <f>IF(A26="","", SUMIF(RawTotals!A$2:A999, C26, RawTotals!J$2:J999))</f>
        <v>0.8990384615</v>
      </c>
      <c r="H26" s="155">
        <f>IF(A26="","",SUMIF(RawTotals!A$2:A999, C26, RawTotals!D$2:D999))</f>
        <v>1.875</v>
      </c>
      <c r="I26" s="156">
        <f>IF(A26="","",SUMIF(RawTotals!A$2:A999, C26, RawTotals!M$2:M999))</f>
        <v>9.625</v>
      </c>
      <c r="J26" s="157">
        <f>IF(A26="","", SUMIF(RawTotals!A$2:A999, C26, RawTotals!AC$2:AC999))</f>
        <v>14</v>
      </c>
      <c r="K26" s="154">
        <f>IF(A26="","",SUMIF(RawTotals!A$2:A999, C26, RawTotals!W$2:W999))</f>
        <v>0.25</v>
      </c>
      <c r="L26" s="157">
        <f>IF(A26="","",SUMIF(RawTotals!A$2:A999, C26, RawTotals!Q$2:Q999))</f>
        <v>7.2</v>
      </c>
      <c r="M26" s="158" t="str">
        <f>IFERROR(__xludf.DUMMYFUNCTION("IFERROR(IF(A26="""","""",FILTER('Pit Scouting Responses'!F$1:F999,'Pit Scouting Responses'!B$1:B999=C26)),""NOT COLLECTED"")"),"swerve")</f>
        <v>swerve</v>
      </c>
      <c r="N26" s="76"/>
      <c r="O26" s="76"/>
      <c r="P26" s="76"/>
      <c r="Q26" s="76"/>
      <c r="R26" s="76"/>
      <c r="S26" s="76"/>
      <c r="T26" s="76"/>
      <c r="U26" s="76"/>
      <c r="V26" s="76"/>
      <c r="W26" s="76"/>
      <c r="X26" s="76"/>
      <c r="Y26" s="76"/>
      <c r="Z26" s="160"/>
      <c r="AA26" s="160"/>
      <c r="AB26" s="76"/>
      <c r="AC26" s="76"/>
      <c r="AD26" s="161"/>
      <c r="AE26" s="160"/>
      <c r="AF26" s="76"/>
    </row>
    <row r="27">
      <c r="A27" s="150">
        <f>RawTotals!A27</f>
        <v>33</v>
      </c>
      <c r="B27" s="168"/>
      <c r="C27" s="15">
        <f>PicklistComputer!K27</f>
        <v>7457</v>
      </c>
      <c r="D27" s="164">
        <v>26.0</v>
      </c>
      <c r="E27" s="153">
        <f>IF(A27="","", SUMIF(RawTotals!A$2:A999, C27, RawTotals!AG$2:AG999))</f>
        <v>0.05175967688</v>
      </c>
      <c r="F27" s="153">
        <f>IF(A27="","", SUMIF(RawTotals!A$2:A999, C27, RawTotals!AH$2:AH999))</f>
        <v>0.237441789</v>
      </c>
      <c r="G27" s="154">
        <f>IF(A27="","", SUMIF(RawTotals!A$2:A999, C27, RawTotals!J$2:J999))</f>
        <v>0.9285714286</v>
      </c>
      <c r="H27" s="155">
        <f>IF(A27="","",SUMIF(RawTotals!A$2:A999, C27, RawTotals!D$2:D999))</f>
        <v>3.142857143</v>
      </c>
      <c r="I27" s="156">
        <f>IF(A27="","",SUMIF(RawTotals!A$2:A999, C27, RawTotals!M$2:M999))</f>
        <v>7.428571429</v>
      </c>
      <c r="J27" s="157">
        <f>IF(A27="","", SUMIF(RawTotals!A$2:A999, C27, RawTotals!AC$2:AC999))</f>
        <v>15</v>
      </c>
      <c r="K27" s="154">
        <f>IF(A27="","",SUMIF(RawTotals!A$2:A999, C27, RawTotals!W$2:W999))</f>
        <v>0.4285714286</v>
      </c>
      <c r="L27" s="157">
        <f>IF(A27="","",SUMIF(RawTotals!A$2:A999, C27, RawTotals!Q$2:Q999))</f>
        <v>11.4</v>
      </c>
      <c r="M27" s="158" t="str">
        <f>IFERROR(__xludf.DUMMYFUNCTION("IFERROR(IF(A27="""","""",FILTER('Pit Scouting Responses'!F$1:F999,'Pit Scouting Responses'!B$1:B999=C27)),""NOT COLLECTED"")"),"NOT COLLECTED")</f>
        <v>NOT COLLECTED</v>
      </c>
      <c r="N27" s="76"/>
      <c r="O27" s="76"/>
      <c r="P27" s="76"/>
      <c r="Q27" s="76"/>
      <c r="R27" s="76"/>
      <c r="S27" s="76"/>
      <c r="T27" s="76"/>
      <c r="U27" s="76"/>
      <c r="V27" s="76"/>
      <c r="W27" s="76"/>
      <c r="X27" s="76"/>
      <c r="Y27" s="76"/>
      <c r="Z27" s="160"/>
      <c r="AA27" s="160"/>
      <c r="AB27" s="76"/>
      <c r="AC27" s="76"/>
      <c r="AD27" s="161"/>
      <c r="AE27" s="160"/>
      <c r="AF27" s="76"/>
    </row>
    <row r="28">
      <c r="A28" s="150">
        <f>RawTotals!A28</f>
        <v>624</v>
      </c>
      <c r="B28" s="168"/>
      <c r="C28" s="15">
        <f>PicklistComputer!K28</f>
        <v>503</v>
      </c>
      <c r="D28" s="164">
        <v>27.0</v>
      </c>
      <c r="E28" s="153">
        <f>IF(A28="","", SUMIF(RawTotals!A$2:A999, C28, RawTotals!AG$2:AG999))</f>
        <v>-1.374379023</v>
      </c>
      <c r="F28" s="153">
        <f>IF(A28="","", SUMIF(RawTotals!A$2:A999, C28, RawTotals!AH$2:AH999))</f>
        <v>-0.8085325868</v>
      </c>
      <c r="G28" s="154">
        <f>IF(A28="","", SUMIF(RawTotals!A$2:A999, C28, RawTotals!J$2:J999))</f>
        <v>0.7571428571</v>
      </c>
      <c r="H28" s="155">
        <f>IF(A28="","",SUMIF(RawTotals!A$2:A999, C28, RawTotals!D$2:D999))</f>
        <v>1.857142857</v>
      </c>
      <c r="I28" s="156">
        <f>IF(A28="","",SUMIF(RawTotals!A$2:A999, C28, RawTotals!M$2:M999))</f>
        <v>6.428571429</v>
      </c>
      <c r="J28" s="157">
        <f>IF(A28="","", SUMIF(RawTotals!A$2:A999, C28, RawTotals!AC$2:AC999))</f>
        <v>9</v>
      </c>
      <c r="K28" s="154">
        <f>IF(A28="","",SUMIF(RawTotals!A$2:A999, C28, RawTotals!W$2:W999))</f>
        <v>0.5714285714</v>
      </c>
      <c r="L28" s="157">
        <f>IF(A28="","",SUMIF(RawTotals!A$2:A999, C28, RawTotals!Q$2:Q999))</f>
        <v>13.2</v>
      </c>
      <c r="M28" s="158" t="str">
        <f>IFERROR(__xludf.DUMMYFUNCTION("IFERROR(IF(A28="""","""",FILTER('Pit Scouting Responses'!F$1:F999,'Pit Scouting Responses'!B$1:B999=C28)),""NOT COLLECTED"")"),"swerve")</f>
        <v>swerve</v>
      </c>
      <c r="N28" s="76"/>
      <c r="O28" s="76"/>
      <c r="P28" s="76"/>
      <c r="Q28" s="76"/>
      <c r="R28" s="76"/>
      <c r="S28" s="76"/>
      <c r="T28" s="76"/>
      <c r="U28" s="76"/>
      <c r="V28" s="76"/>
      <c r="W28" s="76"/>
      <c r="X28" s="76"/>
      <c r="Y28" s="76"/>
      <c r="Z28" s="160"/>
      <c r="AA28" s="160"/>
      <c r="AB28" s="76"/>
      <c r="AC28" s="76"/>
      <c r="AD28" s="161"/>
      <c r="AE28" s="160"/>
      <c r="AF28" s="76"/>
    </row>
    <row r="29">
      <c r="A29" s="150">
        <f>RawTotals!A29</f>
        <v>829</v>
      </c>
      <c r="B29" s="168"/>
      <c r="C29" s="15">
        <f>PicklistComputer!K29</f>
        <v>1024</v>
      </c>
      <c r="D29" s="164">
        <v>28.0</v>
      </c>
      <c r="E29" s="153">
        <f>IF(A29="","", SUMIF(RawTotals!A$2:A999, C29, RawTotals!AG$2:AG999))</f>
        <v>-0.8473976254</v>
      </c>
      <c r="F29" s="153">
        <f>IF(A29="","", SUMIF(RawTotals!A$2:A999, C29, RawTotals!AH$2:AH999))</f>
        <v>-0.1125892668</v>
      </c>
      <c r="G29" s="154">
        <f>IF(A29="","", SUMIF(RawTotals!A$2:A999, C29, RawTotals!J$2:J999))</f>
        <v>0.8920454545</v>
      </c>
      <c r="H29" s="155">
        <f>IF(A29="","",SUMIF(RawTotals!A$2:A999, C29, RawTotals!D$2:D999))</f>
        <v>1.625</v>
      </c>
      <c r="I29" s="156">
        <f>IF(A29="","",SUMIF(RawTotals!A$2:A999, C29, RawTotals!M$2:M999))</f>
        <v>4.5</v>
      </c>
      <c r="J29" s="157">
        <f>IF(A29="","", SUMIF(RawTotals!A$2:A999, C29, RawTotals!AC$2:AC999))</f>
        <v>10</v>
      </c>
      <c r="K29" s="154">
        <f>IF(A29="","",SUMIF(RawTotals!A$2:A999, C29, RawTotals!W$2:W999))</f>
        <v>0.5</v>
      </c>
      <c r="L29" s="157">
        <f>IF(A29="","",SUMIF(RawTotals!A$2:A999, C29, RawTotals!Q$2:Q999))</f>
        <v>14</v>
      </c>
      <c r="M29" s="158" t="str">
        <f>IFERROR(__xludf.DUMMYFUNCTION("IFERROR(IF(A29="""","""",FILTER('Pit Scouting Responses'!F$1:F999,'Pit Scouting Responses'!B$1:B999=C29)),""NOT COLLECTED"")"),"Tank")</f>
        <v>Tank</v>
      </c>
      <c r="N29" s="76"/>
      <c r="O29" s="76"/>
      <c r="P29" s="76"/>
      <c r="Q29" s="76"/>
      <c r="R29" s="76"/>
      <c r="S29" s="76"/>
      <c r="T29" s="76"/>
      <c r="U29" s="76"/>
      <c r="V29" s="76"/>
      <c r="W29" s="76"/>
      <c r="X29" s="76"/>
      <c r="Y29" s="76"/>
      <c r="Z29" s="160"/>
      <c r="AA29" s="160"/>
      <c r="AB29" s="76"/>
      <c r="AC29" s="76"/>
      <c r="AD29" s="161"/>
      <c r="AE29" s="160"/>
      <c r="AF29" s="76"/>
    </row>
    <row r="30">
      <c r="A30" s="150">
        <f>RawTotals!A30</f>
        <v>7457</v>
      </c>
      <c r="B30" s="151">
        <v>19.7</v>
      </c>
      <c r="C30" s="15">
        <f>PicklistComputer!K30</f>
        <v>1706</v>
      </c>
      <c r="D30" s="164">
        <v>29.0</v>
      </c>
      <c r="E30" s="153">
        <f>IF(A30="","", SUMIF(RawTotals!A$2:A999, C30, RawTotals!AG$2:AG999))</f>
        <v>1.454478513</v>
      </c>
      <c r="F30" s="153">
        <f>IF(A30="","", SUMIF(RawTotals!A$2:A999, C30, RawTotals!AH$2:AH999))</f>
        <v>-0.2606609974</v>
      </c>
      <c r="G30" s="154">
        <f>IF(A30="","", SUMIF(RawTotals!A$2:A999, C30, RawTotals!J$2:J999))</f>
        <v>1</v>
      </c>
      <c r="H30" s="155">
        <f>IF(A30="","",SUMIF(RawTotals!A$2:A999, C30, RawTotals!D$2:D999))</f>
        <v>3.285714286</v>
      </c>
      <c r="I30" s="156">
        <f>IF(A30="","",SUMIF(RawTotals!A$2:A999, C30, RawTotals!M$2:M999))</f>
        <v>17.71428571</v>
      </c>
      <c r="J30" s="157">
        <f>IF(A30="","", SUMIF(RawTotals!A$2:A999, C30, RawTotals!AC$2:AC999))</f>
        <v>24</v>
      </c>
      <c r="K30" s="154">
        <f>IF(A30="","",SUMIF(RawTotals!A$2:A999, C30, RawTotals!W$2:W999))</f>
        <v>0</v>
      </c>
      <c r="L30" s="157">
        <f>IF(A30="","",SUMIF(RawTotals!A$2:A999, C30, RawTotals!Q$2:Q999))</f>
        <v>2.4</v>
      </c>
      <c r="M30" s="158" t="str">
        <f>IFERROR(__xludf.DUMMYFUNCTION("IFERROR(IF(A30="""","""",FILTER('Pit Scouting Responses'!F$1:F999,'Pit Scouting Responses'!B$1:B999=C30)),""NOT COLLECTED"")"),"NOT COLLECTED")</f>
        <v>NOT COLLECTED</v>
      </c>
      <c r="N30" s="76"/>
      <c r="O30" s="76"/>
      <c r="P30" s="76"/>
      <c r="Q30" s="76"/>
      <c r="R30" s="76"/>
      <c r="S30" s="76"/>
      <c r="T30" s="76"/>
      <c r="U30" s="76"/>
      <c r="V30" s="76"/>
      <c r="W30" s="76"/>
      <c r="X30" s="76"/>
      <c r="Y30" s="76"/>
      <c r="Z30" s="160"/>
      <c r="AA30" s="160"/>
      <c r="AB30" s="76"/>
      <c r="AC30" s="76"/>
      <c r="AD30" s="161"/>
      <c r="AE30" s="160"/>
      <c r="AF30" s="76"/>
    </row>
    <row r="31">
      <c r="A31" s="150">
        <f>RawTotals!A31</f>
        <v>1730</v>
      </c>
      <c r="B31" s="168"/>
      <c r="C31" s="15">
        <f>PicklistComputer!K31</f>
        <v>3940</v>
      </c>
      <c r="D31" s="164">
        <v>30.0</v>
      </c>
      <c r="E31" s="153">
        <f>IF(A31="","", SUMIF(RawTotals!A$2:A999, C31, RawTotals!AG$2:AG999))</f>
        <v>1.049362539</v>
      </c>
      <c r="F31" s="153">
        <f>IF(A31="","", SUMIF(RawTotals!A$2:A999, C31, RawTotals!AH$2:AH999))</f>
        <v>1.9953733</v>
      </c>
      <c r="G31" s="154">
        <f>IF(A31="","", SUMIF(RawTotals!A$2:A999, C31, RawTotals!J$2:J999))</f>
        <v>0.95</v>
      </c>
      <c r="H31" s="155">
        <f>IF(A31="","",SUMIF(RawTotals!A$2:A999, C31, RawTotals!D$2:D999))</f>
        <v>1.285714286</v>
      </c>
      <c r="I31" s="156">
        <f>IF(A31="","",SUMIF(RawTotals!A$2:A999, C31, RawTotals!M$2:M999))</f>
        <v>5.428571429</v>
      </c>
      <c r="J31" s="157">
        <f>IF(A31="","", SUMIF(RawTotals!A$2:A999, C31, RawTotals!AC$2:AC999))</f>
        <v>10</v>
      </c>
      <c r="K31" s="154">
        <f>IF(A31="","",SUMIF(RawTotals!A$2:A999, C31, RawTotals!W$2:W999))</f>
        <v>0.7142857143</v>
      </c>
      <c r="L31" s="157">
        <f>IF(A31="","",SUMIF(RawTotals!A$2:A999, C31, RawTotals!Q$2:Q999))</f>
        <v>15</v>
      </c>
      <c r="M31" s="158" t="str">
        <f>IFERROR(__xludf.DUMMYFUNCTION("IFERROR(IF(A31="""","""",FILTER('Pit Scouting Responses'!F$1:F999,'Pit Scouting Responses'!B$1:B999=C31)),""NOT COLLECTED"")"),"Tank")</f>
        <v>Tank</v>
      </c>
      <c r="N31" s="76"/>
      <c r="O31" s="76"/>
      <c r="P31" s="76"/>
      <c r="Q31" s="76"/>
      <c r="R31" s="76"/>
      <c r="S31" s="76"/>
      <c r="T31" s="76"/>
      <c r="U31" s="76"/>
      <c r="V31" s="76"/>
      <c r="W31" s="76"/>
      <c r="X31" s="76"/>
      <c r="Y31" s="76"/>
      <c r="Z31" s="160"/>
      <c r="AA31" s="160"/>
      <c r="AB31" s="76"/>
      <c r="AC31" s="76"/>
      <c r="AD31" s="161"/>
      <c r="AE31" s="160"/>
      <c r="AF31" s="76"/>
    </row>
    <row r="32">
      <c r="A32" s="150">
        <f>RawTotals!A32</f>
        <v>2363</v>
      </c>
      <c r="B32" s="151">
        <v>16.9</v>
      </c>
      <c r="C32" s="15">
        <f>PicklistComputer!K32</f>
        <v>33</v>
      </c>
      <c r="D32" s="164">
        <v>31.0</v>
      </c>
      <c r="E32" s="153">
        <f>IF(A32="","", SUMIF(RawTotals!A$2:A999, C32, RawTotals!AG$2:AG999))</f>
        <v>0.3582349847</v>
      </c>
      <c r="F32" s="153">
        <f>IF(A32="","", SUMIF(RawTotals!A$2:A999, C32, RawTotals!AH$2:AH999))</f>
        <v>0.03703133092</v>
      </c>
      <c r="G32" s="154">
        <f>IF(A32="","", SUMIF(RawTotals!A$2:A999, C32, RawTotals!J$2:J999))</f>
        <v>0.5535714286</v>
      </c>
      <c r="H32" s="155">
        <f>IF(A32="","",SUMIF(RawTotals!A$2:A999, C32, RawTotals!D$2:D999))</f>
        <v>3.142857143</v>
      </c>
      <c r="I32" s="156">
        <f>IF(A32="","",SUMIF(RawTotals!A$2:A999, C32, RawTotals!M$2:M999))</f>
        <v>13.42857143</v>
      </c>
      <c r="J32" s="157">
        <f>IF(A32="","", SUMIF(RawTotals!A$2:A999, C32, RawTotals!AC$2:AC999))</f>
        <v>21</v>
      </c>
      <c r="K32" s="154">
        <f>IF(A32="","",SUMIF(RawTotals!A$2:A999, C32, RawTotals!W$2:W999))</f>
        <v>0.4285714286</v>
      </c>
      <c r="L32" s="157">
        <f>IF(A32="","",SUMIF(RawTotals!A$2:A999, C32, RawTotals!Q$2:Q999))</f>
        <v>9</v>
      </c>
      <c r="M32" s="158" t="str">
        <f>IFERROR(__xludf.DUMMYFUNCTION("IFERROR(IF(A32="""","""",FILTER('Pit Scouting Responses'!F$1:F999,'Pit Scouting Responses'!B$1:B999=C32)),""NOT COLLECTED"")"),"swerve")</f>
        <v>swerve</v>
      </c>
      <c r="N32" s="76"/>
      <c r="O32" s="76"/>
      <c r="P32" s="76"/>
      <c r="Q32" s="76"/>
      <c r="R32" s="76"/>
      <c r="S32" s="76"/>
      <c r="T32" s="76"/>
      <c r="U32" s="76"/>
      <c r="V32" s="76"/>
      <c r="W32" s="76"/>
      <c r="X32" s="76"/>
      <c r="Y32" s="76"/>
      <c r="Z32" s="160"/>
      <c r="AA32" s="160"/>
      <c r="AB32" s="76"/>
      <c r="AC32" s="76"/>
      <c r="AD32" s="161"/>
      <c r="AE32" s="160"/>
      <c r="AF32" s="76"/>
    </row>
    <row r="33">
      <c r="A33" s="150">
        <f>RawTotals!A33</f>
        <v>1024</v>
      </c>
      <c r="B33" s="151">
        <v>19.9</v>
      </c>
      <c r="C33" s="15">
        <f>PicklistComputer!K33</f>
        <v>624</v>
      </c>
      <c r="D33" s="164">
        <v>32.0</v>
      </c>
      <c r="E33" s="153">
        <f>IF(A33="","", SUMIF(RawTotals!A$2:A999, C33, RawTotals!AG$2:AG999))</f>
        <v>0.1196833137</v>
      </c>
      <c r="F33" s="153">
        <f>IF(A33="","", SUMIF(RawTotals!A$2:A999, C33, RawTotals!AH$2:AH999))</f>
        <v>-0.708406106</v>
      </c>
      <c r="G33" s="154">
        <f>IF(A33="","", SUMIF(RawTotals!A$2:A999, C33, RawTotals!J$2:J999))</f>
        <v>1</v>
      </c>
      <c r="H33" s="155">
        <f>IF(A33="","",SUMIF(RawTotals!A$2:A999, C33, RawTotals!D$2:D999))</f>
        <v>4.375</v>
      </c>
      <c r="I33" s="156">
        <f>IF(A33="","",SUMIF(RawTotals!A$2:A999, C33, RawTotals!M$2:M999))</f>
        <v>12.25</v>
      </c>
      <c r="J33" s="157">
        <f>IF(A33="","", SUMIF(RawTotals!A$2:A999, C33, RawTotals!AC$2:AC999))</f>
        <v>17</v>
      </c>
      <c r="K33" s="154">
        <f>IF(A33="","",SUMIF(RawTotals!A$2:A999, C33, RawTotals!W$2:W999))</f>
        <v>0.125</v>
      </c>
      <c r="L33" s="157">
        <f>IF(A33="","",SUMIF(RawTotals!A$2:A999, C33, RawTotals!Q$2:Q999))</f>
        <v>6.6</v>
      </c>
      <c r="M33" s="158" t="str">
        <f>IFERROR(__xludf.DUMMYFUNCTION("IFERROR(IF(A33="""","""",FILTER('Pit Scouting Responses'!F$1:F999,'Pit Scouting Responses'!B$1:B999=C33)),""NOT COLLECTED"")"),"NOT COLLECTED")</f>
        <v>NOT COLLECTED</v>
      </c>
      <c r="N33" s="76"/>
      <c r="O33" s="76"/>
      <c r="P33" s="76"/>
      <c r="Q33" s="76"/>
      <c r="R33" s="76"/>
      <c r="S33" s="76"/>
      <c r="T33" s="76"/>
      <c r="U33" s="76"/>
      <c r="V33" s="76"/>
      <c r="W33" s="76"/>
      <c r="X33" s="76"/>
      <c r="Y33" s="76"/>
      <c r="Z33" s="160"/>
      <c r="AA33" s="160"/>
      <c r="AB33" s="76"/>
      <c r="AC33" s="76"/>
      <c r="AD33" s="161"/>
      <c r="AE33" s="160"/>
      <c r="AF33" s="76"/>
    </row>
    <row r="34">
      <c r="A34" s="150">
        <f>RawTotals!A34</f>
        <v>4926</v>
      </c>
      <c r="B34" s="168"/>
      <c r="C34" s="15">
        <f>PicklistComputer!K34</f>
        <v>829</v>
      </c>
      <c r="D34" s="164">
        <v>33.0</v>
      </c>
      <c r="E34" s="153">
        <f>IF(A34="","", SUMIF(RawTotals!A$2:A999, C34, RawTotals!AG$2:AG999))</f>
        <v>0.07173569466</v>
      </c>
      <c r="F34" s="153">
        <f>IF(A34="","", SUMIF(RawTotals!A$2:A999, C34, RawTotals!AH$2:AH999))</f>
        <v>0.3418987678</v>
      </c>
      <c r="G34" s="154">
        <f>IF(A34="","", SUMIF(RawTotals!A$2:A999, C34, RawTotals!J$2:J999))</f>
        <v>0.8785714286</v>
      </c>
      <c r="H34" s="155">
        <f>IF(A34="","",SUMIF(RawTotals!A$2:A999, C34, RawTotals!D$2:D999))</f>
        <v>1.571428571</v>
      </c>
      <c r="I34" s="156">
        <f>IF(A34="","",SUMIF(RawTotals!A$2:A999, C34, RawTotals!M$2:M999))</f>
        <v>8</v>
      </c>
      <c r="J34" s="157">
        <f>IF(A34="","", SUMIF(RawTotals!A$2:A999, C34, RawTotals!AC$2:AC999))</f>
        <v>13</v>
      </c>
      <c r="K34" s="154">
        <f>IF(A34="","",SUMIF(RawTotals!A$2:A999, C34, RawTotals!W$2:W999))</f>
        <v>0.4285714286</v>
      </c>
      <c r="L34" s="157">
        <f>IF(A34="","",SUMIF(RawTotals!A$2:A999, C34, RawTotals!Q$2:Q999))</f>
        <v>11.8</v>
      </c>
      <c r="M34" s="158" t="str">
        <f>IFERROR(__xludf.DUMMYFUNCTION("IFERROR(IF(A34="""","""",FILTER('Pit Scouting Responses'!F$1:F999,'Pit Scouting Responses'!B$1:B999=C34)),""NOT COLLECTED"")"),"NOT COLLECTED")</f>
        <v>NOT COLLECTED</v>
      </c>
      <c r="N34" s="76"/>
      <c r="O34" s="76"/>
      <c r="P34" s="76"/>
      <c r="Q34" s="76"/>
      <c r="R34" s="76"/>
      <c r="S34" s="76"/>
      <c r="T34" s="76"/>
      <c r="U34" s="76"/>
      <c r="V34" s="76"/>
      <c r="W34" s="76"/>
      <c r="X34" s="76"/>
      <c r="Y34" s="76"/>
      <c r="Z34" s="160"/>
      <c r="AA34" s="160"/>
      <c r="AB34" s="76"/>
      <c r="AC34" s="76"/>
      <c r="AD34" s="161"/>
      <c r="AE34" s="160"/>
      <c r="AF34" s="76"/>
    </row>
    <row r="35">
      <c r="A35" s="150">
        <f>RawTotals!A35</f>
        <v>5484</v>
      </c>
      <c r="B35" s="168"/>
      <c r="C35" s="15">
        <f>PicklistComputer!K35</f>
        <v>5712</v>
      </c>
      <c r="D35" s="164">
        <v>34.0</v>
      </c>
      <c r="E35" s="153">
        <f>IF(A35="","", SUMIF(RawTotals!A$2:A999, C35, RawTotals!AG$2:AG999))</f>
        <v>5.982587478</v>
      </c>
      <c r="F35" s="153">
        <f>IF(A35="","", SUMIF(RawTotals!A$2:A999, C35, RawTotals!AH$2:AH999))</f>
        <v>6.928598239</v>
      </c>
      <c r="G35" s="154">
        <f>IF(A35="","", SUMIF(RawTotals!A$2:A999, C35, RawTotals!J$2:J999))</f>
        <v>0.6458333333</v>
      </c>
      <c r="H35" s="155">
        <f>IF(A35="","",SUMIF(RawTotals!A$2:A999, C35, RawTotals!D$2:D999))</f>
        <v>1</v>
      </c>
      <c r="I35" s="156">
        <f>IF(A35="","",SUMIF(RawTotals!A$2:A999, C35, RawTotals!M$2:M999))</f>
        <v>12</v>
      </c>
      <c r="J35" s="157">
        <f>IF(A35="","", SUMIF(RawTotals!A$2:A999, C35, RawTotals!AC$2:AC999))</f>
        <v>26</v>
      </c>
      <c r="K35" s="154">
        <f>IF(A35="","",SUMIF(RawTotals!A$2:A999, C35, RawTotals!W$2:W999))</f>
        <v>0.75</v>
      </c>
      <c r="L35" s="157">
        <f>IF(A35="","",SUMIF(RawTotals!A$2:A999, C35, RawTotals!Q$2:Q999))</f>
        <v>15</v>
      </c>
      <c r="M35" s="158" t="str">
        <f>IFERROR(__xludf.DUMMYFUNCTION("IFERROR(IF(A35="""","""",FILTER('Pit Scouting Responses'!F$1:F999,'Pit Scouting Responses'!B$1:B999=C35)),""NOT COLLECTED"")"),"Swerve")</f>
        <v>Swerve</v>
      </c>
      <c r="N35" s="76"/>
      <c r="O35" s="76"/>
      <c r="P35" s="76"/>
      <c r="Q35" s="76"/>
      <c r="R35" s="76"/>
      <c r="S35" s="76"/>
      <c r="T35" s="76"/>
      <c r="U35" s="76"/>
      <c r="V35" s="76"/>
      <c r="W35" s="76"/>
      <c r="X35" s="76"/>
      <c r="Y35" s="76"/>
      <c r="Z35" s="160"/>
      <c r="AA35" s="160"/>
      <c r="AB35" s="76"/>
      <c r="AC35" s="76"/>
      <c r="AD35" s="161"/>
      <c r="AE35" s="160"/>
      <c r="AF35" s="76"/>
    </row>
    <row r="36">
      <c r="A36" s="150">
        <f>RawTotals!A36</f>
        <v>503</v>
      </c>
      <c r="B36" s="151">
        <v>19.8</v>
      </c>
      <c r="C36" s="15">
        <f>PicklistComputer!K36</f>
        <v>1730</v>
      </c>
      <c r="D36" s="164">
        <v>35.0</v>
      </c>
      <c r="E36" s="153">
        <f>IF(A36="","", SUMIF(RawTotals!A$2:A999, C36, RawTotals!AG$2:AG999))</f>
        <v>-0.4655947036</v>
      </c>
      <c r="F36" s="153">
        <f>IF(A36="","", SUMIF(RawTotals!A$2:A999, C36, RawTotals!AH$2:AH999))</f>
        <v>-0.3643935524</v>
      </c>
      <c r="G36" s="154">
        <f>IF(A36="","", SUMIF(RawTotals!A$2:A999, C36, RawTotals!J$2:J999))</f>
        <v>1</v>
      </c>
      <c r="H36" s="155">
        <f>IF(A36="","",SUMIF(RawTotals!A$2:A999, C36, RawTotals!D$2:D999))</f>
        <v>1.714285714</v>
      </c>
      <c r="I36" s="156">
        <f>IF(A36="","",SUMIF(RawTotals!A$2:A999, C36, RawTotals!M$2:M999))</f>
        <v>7.142857143</v>
      </c>
      <c r="J36" s="157">
        <f>IF(A36="","", SUMIF(RawTotals!A$2:A999, C36, RawTotals!AC$2:AC999))</f>
        <v>12</v>
      </c>
      <c r="K36" s="154">
        <f>IF(A36="","",SUMIF(RawTotals!A$2:A999, C36, RawTotals!W$2:W999))</f>
        <v>0.4285714286</v>
      </c>
      <c r="L36" s="157">
        <f>IF(A36="","",SUMIF(RawTotals!A$2:A999, C36, RawTotals!Q$2:Q999))</f>
        <v>11</v>
      </c>
      <c r="M36" s="158" t="str">
        <f>IFERROR(__xludf.DUMMYFUNCTION("IFERROR(IF(A36="""","""",FILTER('Pit Scouting Responses'!F$1:F999,'Pit Scouting Responses'!B$1:B999=C36)),""NOT COLLECTED"")"),"swerve")</f>
        <v>swerve</v>
      </c>
      <c r="N36" s="76"/>
      <c r="O36" s="76"/>
      <c r="P36" s="76"/>
      <c r="Q36" s="76"/>
      <c r="R36" s="76"/>
      <c r="S36" s="76"/>
      <c r="T36" s="76"/>
      <c r="U36" s="76"/>
      <c r="V36" s="76"/>
      <c r="W36" s="76"/>
      <c r="X36" s="76"/>
      <c r="Y36" s="76"/>
      <c r="Z36" s="160"/>
      <c r="AA36" s="160"/>
      <c r="AB36" s="76"/>
      <c r="AC36" s="76"/>
      <c r="AD36" s="161"/>
      <c r="AE36" s="160"/>
      <c r="AF36" s="76"/>
    </row>
    <row r="37">
      <c r="A37" s="150">
        <f>RawTotals!A37</f>
        <v>2075</v>
      </c>
      <c r="B37" s="168"/>
      <c r="C37" s="15">
        <f>PicklistComputer!K37</f>
        <v>4926</v>
      </c>
      <c r="D37" s="164">
        <v>36.0</v>
      </c>
      <c r="E37" s="153">
        <f>IF(A37="","", SUMIF(RawTotals!A$2:A999, C37, RawTotals!AG$2:AG999))</f>
        <v>-0.9326478348</v>
      </c>
      <c r="F37" s="153">
        <f>IF(A37="","", SUMIF(RawTotals!A$2:A999, C37, RawTotals!AH$2:AH999))</f>
        <v>-0.1978394762</v>
      </c>
      <c r="G37" s="154">
        <f>IF(A37="","", SUMIF(RawTotals!A$2:A999, C37, RawTotals!J$2:J999))</f>
        <v>0.6753246753</v>
      </c>
      <c r="H37" s="155">
        <f>IF(A37="","",SUMIF(RawTotals!A$2:A999, C37, RawTotals!D$2:D999))</f>
        <v>1</v>
      </c>
      <c r="I37" s="156">
        <f>IF(A37="","",SUMIF(RawTotals!A$2:A999, C37, RawTotals!M$2:M999))</f>
        <v>5.714285714</v>
      </c>
      <c r="J37" s="157">
        <f>IF(A37="","", SUMIF(RawTotals!A$2:A999, C37, RawTotals!AC$2:AC999))</f>
        <v>14</v>
      </c>
      <c r="K37" s="154">
        <f>IF(A37="","",SUMIF(RawTotals!A$2:A999, C37, RawTotals!W$2:W999))</f>
        <v>0.5714285714</v>
      </c>
      <c r="L37" s="157">
        <f>IF(A37="","",SUMIF(RawTotals!A$2:A999, C37, RawTotals!Q$2:Q999))</f>
        <v>14</v>
      </c>
      <c r="M37" s="158" t="str">
        <f>IFERROR(__xludf.DUMMYFUNCTION("IFERROR(IF(A37="""","""",FILTER('Pit Scouting Responses'!F$1:F999,'Pit Scouting Responses'!B$1:B999=C37)),""NOT COLLECTED"")"),"Tank")</f>
        <v>Tank</v>
      </c>
      <c r="N37" s="76"/>
      <c r="O37" s="76"/>
      <c r="P37" s="76"/>
      <c r="Q37" s="76"/>
      <c r="R37" s="76"/>
      <c r="S37" s="76"/>
      <c r="T37" s="76"/>
      <c r="U37" s="76"/>
      <c r="V37" s="76"/>
      <c r="W37" s="76"/>
      <c r="X37" s="76"/>
      <c r="Y37" s="76"/>
      <c r="Z37" s="160"/>
      <c r="AA37" s="160"/>
      <c r="AB37" s="76"/>
      <c r="AC37" s="76"/>
      <c r="AD37" s="161"/>
      <c r="AE37" s="160"/>
      <c r="AF37" s="76"/>
    </row>
    <row r="38">
      <c r="A38" s="150">
        <f>RawTotals!A38</f>
        <v>1987</v>
      </c>
      <c r="B38" s="151">
        <v>19.6</v>
      </c>
      <c r="C38" s="15">
        <f>PicklistComputer!K38</f>
        <v>5484</v>
      </c>
      <c r="D38" s="164">
        <v>37.0</v>
      </c>
      <c r="E38" s="153">
        <f>IF(A38="","", SUMIF(RawTotals!A$2:A999, C38, RawTotals!AG$2:AG999))</f>
        <v>-1.074697599</v>
      </c>
      <c r="F38" s="153">
        <f>IF(A38="","", SUMIF(RawTotals!A$2:A999, C38, RawTotals!AH$2:AH999))</f>
        <v>-0.128686838</v>
      </c>
      <c r="G38" s="154">
        <f>IF(A38="","", SUMIF(RawTotals!A$2:A999, C38, RawTotals!J$2:J999))</f>
        <v>1</v>
      </c>
      <c r="H38" s="155">
        <f>IF(A38="","",SUMIF(RawTotals!A$2:A999, C38, RawTotals!D$2:D999))</f>
        <v>1.875</v>
      </c>
      <c r="I38" s="156">
        <f>IF(A38="","",SUMIF(RawTotals!A$2:A999, C38, RawTotals!M$2:M999))</f>
        <v>2.5</v>
      </c>
      <c r="J38" s="157">
        <f>IF(A38="","", SUMIF(RawTotals!A$2:A999, C38, RawTotals!AC$2:AC999))</f>
        <v>7</v>
      </c>
      <c r="K38" s="154">
        <f>IF(A38="","",SUMIF(RawTotals!A$2:A999, C38, RawTotals!W$2:W999))</f>
        <v>0.75</v>
      </c>
      <c r="L38" s="157">
        <f>IF(A38="","",SUMIF(RawTotals!A$2:A999, C38, RawTotals!Q$2:Q999))</f>
        <v>15</v>
      </c>
      <c r="M38" s="158" t="str">
        <f>IFERROR(__xludf.DUMMYFUNCTION("IFERROR(IF(A38="""","""",FILTER('Pit Scouting Responses'!F$1:F999,'Pit Scouting Responses'!B$1:B999=C38)),""NOT COLLECTED"")"),"NOT COLLECTED")</f>
        <v>NOT COLLECTED</v>
      </c>
      <c r="N38" s="76"/>
      <c r="O38" s="76"/>
      <c r="P38" s="76"/>
      <c r="Q38" s="76"/>
      <c r="R38" s="76"/>
      <c r="S38" s="76"/>
      <c r="T38" s="76"/>
      <c r="U38" s="76"/>
      <c r="V38" s="76"/>
      <c r="W38" s="76"/>
      <c r="X38" s="76"/>
      <c r="Y38" s="76"/>
      <c r="Z38" s="160"/>
      <c r="AA38" s="160"/>
      <c r="AB38" s="76"/>
      <c r="AC38" s="76"/>
      <c r="AD38" s="161"/>
      <c r="AE38" s="160"/>
      <c r="AF38" s="76"/>
    </row>
    <row r="39">
      <c r="A39" s="150">
        <f>RawTotals!A39</f>
        <v>5406</v>
      </c>
      <c r="B39" s="168"/>
      <c r="C39" s="15">
        <f>PicklistComputer!K39</f>
        <v>2075</v>
      </c>
      <c r="D39" s="164">
        <v>38.0</v>
      </c>
      <c r="E39" s="153">
        <f>IF(A39="","", SUMIF(RawTotals!A$2:A999, C39, RawTotals!AG$2:AG999))</f>
        <v>-2.110300476</v>
      </c>
      <c r="F39" s="153">
        <f>IF(A39="","", SUMIF(RawTotals!A$2:A999, C39, RawTotals!AH$2:AH999))</f>
        <v>-3.403035181</v>
      </c>
      <c r="G39" s="154">
        <f>IF(A39="","", SUMIF(RawTotals!A$2:A999, C39, RawTotals!J$2:J999))</f>
        <v>0.9375</v>
      </c>
      <c r="H39" s="155">
        <f>IF(A39="","",SUMIF(RawTotals!A$2:A999, C39, RawTotals!D$2:D999))</f>
        <v>2.5</v>
      </c>
      <c r="I39" s="156">
        <f>IF(A39="","",SUMIF(RawTotals!A$2:A999, C39, RawTotals!M$2:M999))</f>
        <v>11.625</v>
      </c>
      <c r="J39" s="157">
        <f>IF(A39="","", SUMIF(RawTotals!A$2:A999, C39, RawTotals!AC$2:AC999))</f>
        <v>20</v>
      </c>
      <c r="K39" s="154">
        <f>IF(A39="","",SUMIF(RawTotals!A$2:A999, C39, RawTotals!W$2:W999))</f>
        <v>0</v>
      </c>
      <c r="L39" s="157">
        <f>IF(A39="","",SUMIF(RawTotals!A$2:A999, C39, RawTotals!Q$2:Q999))</f>
        <v>4.4</v>
      </c>
      <c r="M39" s="158" t="str">
        <f>IFERROR(__xludf.DUMMYFUNCTION("IFERROR(IF(A39="""","""",FILTER('Pit Scouting Responses'!F$1:F999,'Pit Scouting Responses'!B$1:B999=C39)),""NOT COLLECTED"")"),"Tank")</f>
        <v>Tank</v>
      </c>
      <c r="N39" s="76"/>
      <c r="O39" s="76"/>
      <c r="P39" s="76"/>
      <c r="Q39" s="76"/>
      <c r="R39" s="76"/>
      <c r="S39" s="76"/>
      <c r="T39" s="76"/>
      <c r="U39" s="76"/>
      <c r="V39" s="76"/>
      <c r="W39" s="76"/>
      <c r="X39" s="76"/>
      <c r="Y39" s="76"/>
      <c r="Z39" s="160"/>
      <c r="AA39" s="160"/>
      <c r="AB39" s="76"/>
      <c r="AC39" s="76"/>
      <c r="AD39" s="161"/>
      <c r="AE39" s="160"/>
      <c r="AF39" s="76"/>
    </row>
    <row r="40">
      <c r="A40" s="150">
        <f>RawTotals!A40</f>
        <v>1732</v>
      </c>
      <c r="B40" s="168"/>
      <c r="C40" s="15">
        <f>PicklistComputer!K40</f>
        <v>5406</v>
      </c>
      <c r="D40" s="164">
        <v>39.0</v>
      </c>
      <c r="E40" s="153">
        <f>IF(A40="","", SUMIF(RawTotals!A$2:A999, C40, RawTotals!AG$2:AG999))</f>
        <v>-2.942241743</v>
      </c>
      <c r="F40" s="153">
        <f>IF(A40="","", SUMIF(RawTotals!A$2:A999, C40, RawTotals!AH$2:AH999))</f>
        <v>-3.263445397</v>
      </c>
      <c r="G40" s="154">
        <f>IF(A40="","", SUMIF(RawTotals!A$2:A999, C40, RawTotals!J$2:J999))</f>
        <v>0.9285714286</v>
      </c>
      <c r="H40" s="155">
        <f>IF(A40="","",SUMIF(RawTotals!A$2:A999, C40, RawTotals!D$2:D999))</f>
        <v>2.571428571</v>
      </c>
      <c r="I40" s="156">
        <f>IF(A40="","",SUMIF(RawTotals!A$2:A999, C40, RawTotals!M$2:M999))</f>
        <v>6</v>
      </c>
      <c r="J40" s="157">
        <f>IF(A40="","", SUMIF(RawTotals!A$2:A999, C40, RawTotals!AC$2:AC999))</f>
        <v>15</v>
      </c>
      <c r="K40" s="154">
        <f>IF(A40="","",SUMIF(RawTotals!A$2:A999, C40, RawTotals!W$2:W999))</f>
        <v>0.4285714286</v>
      </c>
      <c r="L40" s="157">
        <f>IF(A40="","",SUMIF(RawTotals!A$2:A999, C40, RawTotals!Q$2:Q999))</f>
        <v>9</v>
      </c>
      <c r="M40" s="158" t="str">
        <f>IFERROR(__xludf.DUMMYFUNCTION("IFERROR(IF(A40="""","""",FILTER('Pit Scouting Responses'!F$1:F999,'Pit Scouting Responses'!B$1:B999=C40)),""NOT COLLECTED"")"),"NOT COLLECTED")</f>
        <v>NOT COLLECTED</v>
      </c>
      <c r="N40" s="76"/>
      <c r="O40" s="76"/>
      <c r="P40" s="76"/>
      <c r="Q40" s="76"/>
      <c r="R40" s="76"/>
      <c r="S40" s="76"/>
      <c r="T40" s="76"/>
      <c r="U40" s="76"/>
      <c r="V40" s="76"/>
      <c r="W40" s="76"/>
      <c r="X40" s="76"/>
      <c r="Y40" s="76"/>
      <c r="Z40" s="160"/>
      <c r="AA40" s="160"/>
      <c r="AB40" s="76"/>
      <c r="AC40" s="76"/>
      <c r="AD40" s="161"/>
      <c r="AE40" s="160"/>
      <c r="AF40" s="76"/>
    </row>
    <row r="41">
      <c r="A41" s="150">
        <f>RawTotals!A41</f>
        <v>4265</v>
      </c>
      <c r="B41" s="151">
        <v>11.9</v>
      </c>
      <c r="C41" s="15">
        <f>PicklistComputer!K41</f>
        <v>1732</v>
      </c>
      <c r="D41" s="164">
        <v>40.0</v>
      </c>
      <c r="E41" s="153">
        <f>IF(A41="","", SUMIF(RawTotals!A$2:A999, C41, RawTotals!AG$2:AG999))</f>
        <v>-3.161614576</v>
      </c>
      <c r="F41" s="153">
        <f>IF(A41="","", SUMIF(RawTotals!A$2:A999, C41, RawTotals!AH$2:AH999))</f>
        <v>-4.200906398</v>
      </c>
      <c r="G41" s="154">
        <f>IF(A41="","", SUMIF(RawTotals!A$2:A999, C41, RawTotals!J$2:J999))</f>
        <v>0.875</v>
      </c>
      <c r="H41" s="155">
        <f>IF(A41="","",SUMIF(RawTotals!A$2:A999, C41, RawTotals!D$2:D999))</f>
        <v>2.625</v>
      </c>
      <c r="I41" s="156">
        <f>IF(A41="","",SUMIF(RawTotals!A$2:A999, C41, RawTotals!M$2:M999))</f>
        <v>10.25</v>
      </c>
      <c r="J41" s="157">
        <f>IF(A41="","", SUMIF(RawTotals!A$2:A999, C41, RawTotals!AC$2:AC999))</f>
        <v>16</v>
      </c>
      <c r="K41" s="154">
        <f>IF(A41="","",SUMIF(RawTotals!A$2:A999, C41, RawTotals!W$2:W999))</f>
        <v>0</v>
      </c>
      <c r="L41" s="157">
        <f>IF(A41="","",SUMIF(RawTotals!A$2:A999, C41, RawTotals!Q$2:Q999))</f>
        <v>5.6</v>
      </c>
      <c r="M41" s="158" t="str">
        <f>IFERROR(__xludf.DUMMYFUNCTION("IFERROR(IF(A41="""","""",FILTER('Pit Scouting Responses'!F$1:F999,'Pit Scouting Responses'!B$1:B999=C41)),""NOT COLLECTED"")"),"swerve")</f>
        <v>swerve</v>
      </c>
      <c r="N41" s="76"/>
      <c r="O41" s="76"/>
      <c r="P41" s="76"/>
      <c r="Q41" s="76"/>
      <c r="R41" s="76"/>
      <c r="S41" s="76"/>
      <c r="T41" s="76"/>
      <c r="U41" s="76"/>
      <c r="V41" s="76"/>
      <c r="W41" s="76"/>
      <c r="X41" s="76"/>
      <c r="Y41" s="76"/>
      <c r="Z41" s="160"/>
      <c r="AA41" s="160"/>
      <c r="AB41" s="76"/>
      <c r="AC41" s="76"/>
      <c r="AD41" s="161"/>
      <c r="AE41" s="160"/>
      <c r="AF41" s="76"/>
    </row>
    <row r="42">
      <c r="A42" s="150">
        <f>RawTotals!A42</f>
        <v>4099</v>
      </c>
      <c r="B42" s="168"/>
      <c r="C42" s="15">
        <f>PicklistComputer!K42</f>
        <v>4099</v>
      </c>
      <c r="D42" s="164">
        <v>41.0</v>
      </c>
      <c r="E42" s="153">
        <f>IF(A42="","", SUMIF(RawTotals!A$2:A999, C42, RawTotals!AG$2:AG999))</f>
        <v>-5.77526446</v>
      </c>
      <c r="F42" s="153">
        <f>IF(A42="","", SUMIF(RawTotals!A$2:A999, C42, RawTotals!AH$2:AH999))</f>
        <v>-4.829253699</v>
      </c>
      <c r="G42" s="154">
        <f>IF(A42="","", SUMIF(RawTotals!A$2:A999, C42, RawTotals!J$2:J999))</f>
        <v>0.7142857143</v>
      </c>
      <c r="H42" s="155">
        <f>IF(A42="","",SUMIF(RawTotals!A$2:A999, C42, RawTotals!D$2:D999))</f>
        <v>1.142857143</v>
      </c>
      <c r="I42" s="156">
        <f>IF(A42="","",SUMIF(RawTotals!A$2:A999, C42, RawTotals!M$2:M999))</f>
        <v>0.1428571429</v>
      </c>
      <c r="J42" s="157">
        <f>IF(A42="","", SUMIF(RawTotals!A$2:A999, C42, RawTotals!AC$2:AC999))</f>
        <v>1</v>
      </c>
      <c r="K42" s="154">
        <f>IF(A42="","",SUMIF(RawTotals!A$2:A999, C42, RawTotals!W$2:W999))</f>
        <v>0.8571428571</v>
      </c>
      <c r="L42" s="157">
        <f>IF(A42="","",SUMIF(RawTotals!A$2:A999, C42, RawTotals!Q$2:Q999))</f>
        <v>15</v>
      </c>
      <c r="M42" s="158" t="str">
        <f>IFERROR(__xludf.DUMMYFUNCTION("IFERROR(IF(A42="""","""",FILTER('Pit Scouting Responses'!F$1:F999,'Pit Scouting Responses'!B$1:B999=C42)),""NOT COLLECTED"")"),"swerve")</f>
        <v>swerve</v>
      </c>
      <c r="N42" s="76"/>
      <c r="O42" s="76"/>
      <c r="P42" s="76"/>
      <c r="Q42" s="76"/>
      <c r="R42" s="76"/>
      <c r="S42" s="76"/>
      <c r="T42" s="76"/>
      <c r="U42" s="76"/>
      <c r="V42" s="76"/>
      <c r="W42" s="76"/>
      <c r="X42" s="76"/>
      <c r="Y42" s="76"/>
      <c r="Z42" s="160"/>
      <c r="AA42" s="160"/>
      <c r="AB42" s="76"/>
      <c r="AC42" s="76"/>
      <c r="AD42" s="161"/>
      <c r="AE42" s="160"/>
      <c r="AF42" s="76"/>
    </row>
    <row r="43">
      <c r="A43" s="150">
        <f>RawTotals!A43</f>
        <v>5010</v>
      </c>
      <c r="B43" s="168"/>
      <c r="C43" s="15">
        <f>PicklistComputer!K43</f>
        <v>5010</v>
      </c>
      <c r="D43" s="164">
        <v>42.0</v>
      </c>
      <c r="E43" s="153">
        <f>IF(A43="","", SUMIF(RawTotals!A$2:A999, C43, RawTotals!AG$2:AG999))</f>
        <v>-5.964159329</v>
      </c>
      <c r="F43" s="153">
        <f>IF(A43="","", SUMIF(RawTotals!A$2:A999, C43, RawTotals!AH$2:AH999))</f>
        <v>-5.609515295</v>
      </c>
      <c r="G43" s="154">
        <f>IF(A43="","", SUMIF(RawTotals!A$2:A999, C43, RawTotals!J$2:J999))</f>
        <v>0.7142857143</v>
      </c>
      <c r="H43" s="155">
        <f>IF(A43="","",SUMIF(RawTotals!A$2:A999, C43, RawTotals!D$2:D999))</f>
        <v>0.8571428571</v>
      </c>
      <c r="I43" s="156">
        <f>IF(A43="","",SUMIF(RawTotals!A$2:A999, C43, RawTotals!M$2:M999))</f>
        <v>1.857142857</v>
      </c>
      <c r="J43" s="157">
        <f>IF(A43="","", SUMIF(RawTotals!A$2:A999, C43, RawTotals!AC$2:AC999))</f>
        <v>7</v>
      </c>
      <c r="K43" s="154">
        <f>IF(A43="","",SUMIF(RawTotals!A$2:A999, C43, RawTotals!W$2:W999))</f>
        <v>0.4285714286</v>
      </c>
      <c r="L43" s="157">
        <f>IF(A43="","",SUMIF(RawTotals!A$2:A999, C43, RawTotals!Q$2:Q999))</f>
        <v>12.2</v>
      </c>
      <c r="M43" s="158" t="str">
        <f>IFERROR(__xludf.DUMMYFUNCTION("IFERROR(IF(A43="""","""",FILTER('Pit Scouting Responses'!F$1:F999,'Pit Scouting Responses'!B$1:B999=C43)),""NOT COLLECTED"")"),"Tank")</f>
        <v>Tank</v>
      </c>
      <c r="N43" s="76"/>
      <c r="O43" s="76"/>
      <c r="P43" s="76"/>
      <c r="Q43" s="76"/>
      <c r="R43" s="76"/>
      <c r="S43" s="76"/>
      <c r="T43" s="76"/>
      <c r="U43" s="76"/>
      <c r="V43" s="76"/>
      <c r="W43" s="76"/>
      <c r="X43" s="76"/>
      <c r="Y43" s="76"/>
      <c r="Z43" s="160"/>
      <c r="AA43" s="160"/>
      <c r="AB43" s="76"/>
      <c r="AC43" s="76"/>
      <c r="AD43" s="161"/>
      <c r="AE43" s="160"/>
      <c r="AF43" s="76"/>
    </row>
    <row r="44">
      <c r="A44" s="150">
        <f>RawTotals!A44</f>
        <v>234</v>
      </c>
      <c r="B44" s="168"/>
      <c r="C44" s="15">
        <f>PicklistComputer!K44</f>
        <v>234</v>
      </c>
      <c r="D44" s="164">
        <v>43.0</v>
      </c>
      <c r="E44" s="153">
        <f>IF(A44="","", SUMIF(RawTotals!A$2:A999, C44, RawTotals!AG$2:AG999))</f>
        <v>-8.301925719</v>
      </c>
      <c r="F44" s="153">
        <f>IF(A44="","", SUMIF(RawTotals!A$2:A999, C44, RawTotals!AH$2:AH999))</f>
        <v>-8.031762646</v>
      </c>
      <c r="G44" s="154">
        <f>IF(A44="","", SUMIF(RawTotals!A$2:A999, C44, RawTotals!J$2:J999))</f>
        <v>0.5267857143</v>
      </c>
      <c r="H44" s="155">
        <f>IF(A44="","",SUMIF(RawTotals!A$2:A999, C44, RawTotals!D$2:D999))</f>
        <v>0.7142857143</v>
      </c>
      <c r="I44" s="156">
        <f>IF(A44="","",SUMIF(RawTotals!A$2:A999, C44, RawTotals!M$2:M999))</f>
        <v>1.428571429</v>
      </c>
      <c r="J44" s="157">
        <f>IF(A44="","", SUMIF(RawTotals!A$2:A999, C44, RawTotals!AC$2:AC999))</f>
        <v>5</v>
      </c>
      <c r="K44" s="154">
        <f>IF(A44="","",SUMIF(RawTotals!A$2:A999, C44, RawTotals!W$2:W999))</f>
        <v>0.4285714286</v>
      </c>
      <c r="L44" s="157">
        <f>IF(A44="","",SUMIF(RawTotals!A$2:A999, C44, RawTotals!Q$2:Q999))</f>
        <v>11.8</v>
      </c>
      <c r="M44" s="158" t="str">
        <f>IFERROR(__xludf.DUMMYFUNCTION("IFERROR(IF(A44="""","""",FILTER('Pit Scouting Responses'!F$1:F999,'Pit Scouting Responses'!B$1:B999=C44)),""NOT COLLECTED"")"),"Tank")</f>
        <v>Tank</v>
      </c>
      <c r="N44" s="76"/>
      <c r="O44" s="76"/>
      <c r="P44" s="76"/>
      <c r="Q44" s="76"/>
      <c r="R44" s="76"/>
      <c r="S44" s="76"/>
      <c r="T44" s="76"/>
      <c r="U44" s="76"/>
      <c r="V44" s="76"/>
      <c r="W44" s="76"/>
      <c r="X44" s="76"/>
      <c r="Y44" s="76"/>
      <c r="Z44" s="160"/>
      <c r="AA44" s="160"/>
      <c r="AB44" s="76"/>
      <c r="AC44" s="76"/>
      <c r="AD44" s="161"/>
      <c r="AE44" s="160"/>
      <c r="AF44" s="76"/>
    </row>
    <row r="45">
      <c r="A45" s="150">
        <f>RawTotals!A45</f>
        <v>3176</v>
      </c>
      <c r="B45" s="168"/>
      <c r="C45" s="15">
        <f>PicklistComputer!K45</f>
        <v>3176</v>
      </c>
      <c r="D45" s="164">
        <v>44.0</v>
      </c>
      <c r="E45" s="153">
        <f>IF(A45="","", SUMIF(RawTotals!A$2:A999, C45, RawTotals!AG$2:AG999))</f>
        <v>-10.30302325</v>
      </c>
      <c r="F45" s="153">
        <f>IF(A45="","", SUMIF(RawTotals!A$2:A999, C45, RawTotals!AH$2:AH999))</f>
        <v>-12.01816276</v>
      </c>
      <c r="G45" s="154">
        <f>IF(A45="","", SUMIF(RawTotals!A$2:A999, C45, RawTotals!J$2:J999))</f>
        <v>0.8465909091</v>
      </c>
      <c r="H45" s="155">
        <f>IF(A45="","",SUMIF(RawTotals!A$2:A999, C45, RawTotals!D$2:D999))</f>
        <v>1.5</v>
      </c>
      <c r="I45" s="156">
        <f>IF(A45="","",SUMIF(RawTotals!A$2:A999, C45, RawTotals!M$2:M999))</f>
        <v>5.5</v>
      </c>
      <c r="J45" s="157">
        <f>IF(A45="","", SUMIF(RawTotals!A$2:A999, C45, RawTotals!AC$2:AC999))</f>
        <v>10</v>
      </c>
      <c r="K45" s="154">
        <f>IF(A45="","",SUMIF(RawTotals!A$2:A999, C45, RawTotals!W$2:W999))</f>
        <v>0</v>
      </c>
      <c r="L45" s="157">
        <f>IF(A45="","",SUMIF(RawTotals!A$2:A999, C45, RawTotals!Q$2:Q999))</f>
        <v>2.4</v>
      </c>
      <c r="M45" s="158" t="str">
        <f>IFERROR(__xludf.DUMMYFUNCTION("IFERROR(IF(A45="""","""",FILTER('Pit Scouting Responses'!F$1:F999,'Pit Scouting Responses'!B$1:B999=C45)),""NOT COLLECTED"")"),"swerve")</f>
        <v>swerve</v>
      </c>
      <c r="N45" s="76"/>
      <c r="O45" s="76"/>
      <c r="P45" s="76"/>
      <c r="Q45" s="76"/>
      <c r="R45" s="76"/>
      <c r="S45" s="76"/>
      <c r="T45" s="76"/>
      <c r="U45" s="76"/>
      <c r="V45" s="76"/>
      <c r="W45" s="76"/>
      <c r="X45" s="76"/>
      <c r="Y45" s="76"/>
      <c r="Z45" s="160"/>
      <c r="AA45" s="160"/>
      <c r="AB45" s="76"/>
      <c r="AC45" s="76"/>
      <c r="AD45" s="161"/>
      <c r="AE45" s="160"/>
      <c r="AF45" s="76"/>
    </row>
    <row r="46">
      <c r="A46" s="150">
        <f>RawTotals!A46</f>
        <v>1720</v>
      </c>
      <c r="B46" s="168"/>
      <c r="C46" s="15">
        <f>PicklistComputer!K46</f>
        <v>1720</v>
      </c>
      <c r="D46" s="164">
        <v>45.0</v>
      </c>
      <c r="E46" s="153">
        <f>IF(A46="","", SUMIF(RawTotals!A$2:A999, C46, RawTotals!AG$2:AG999))</f>
        <v>-10.6485459</v>
      </c>
      <c r="F46" s="153">
        <f>IF(A46="","", SUMIF(RawTotals!A$2:A999, C46, RawTotals!AH$2:AH999))</f>
        <v>-12.19472349</v>
      </c>
      <c r="G46" s="154">
        <f>IF(A46="","", SUMIF(RawTotals!A$2:A999, C46, RawTotals!J$2:J999))</f>
        <v>0.6142857143</v>
      </c>
      <c r="H46" s="155">
        <f>IF(A46="","",SUMIF(RawTotals!A$2:A999, C46, RawTotals!D$2:D999))</f>
        <v>0.5714285714</v>
      </c>
      <c r="I46" s="156">
        <f>IF(A46="","",SUMIF(RawTotals!A$2:A999, C46, RawTotals!M$2:M999))</f>
        <v>6</v>
      </c>
      <c r="J46" s="157">
        <f>IF(A46="","", SUMIF(RawTotals!A$2:A999, C46, RawTotals!AC$2:AC999))</f>
        <v>12</v>
      </c>
      <c r="K46" s="154">
        <f>IF(A46="","",SUMIF(RawTotals!A$2:A999, C46, RawTotals!W$2:W999))</f>
        <v>0</v>
      </c>
      <c r="L46" s="157">
        <f>IF(A46="","",SUMIF(RawTotals!A$2:A999, C46, RawTotals!Q$2:Q999))</f>
        <v>3.2</v>
      </c>
      <c r="M46" s="158" t="str">
        <f>IFERROR(__xludf.DUMMYFUNCTION("IFERROR(IF(A46="""","""",FILTER('Pit Scouting Responses'!F$1:F999,'Pit Scouting Responses'!B$1:B999=C46)),""NOT COLLECTED"")"),"swerve")</f>
        <v>swerve</v>
      </c>
      <c r="N46" s="76"/>
      <c r="O46" s="76"/>
      <c r="P46" s="76"/>
      <c r="Q46" s="76"/>
      <c r="R46" s="76"/>
      <c r="S46" s="76"/>
      <c r="T46" s="76"/>
      <c r="U46" s="76"/>
      <c r="V46" s="76"/>
      <c r="W46" s="76"/>
      <c r="X46" s="76"/>
      <c r="Y46" s="76"/>
      <c r="Z46" s="160"/>
      <c r="AA46" s="160"/>
      <c r="AB46" s="76"/>
      <c r="AC46" s="76"/>
      <c r="AD46" s="161"/>
      <c r="AE46" s="160"/>
      <c r="AF46" s="76"/>
    </row>
    <row r="47">
      <c r="A47" s="150">
        <f>RawTotals!A47</f>
        <v>2614</v>
      </c>
      <c r="B47" s="168"/>
      <c r="C47" s="15">
        <f>PicklistComputer!K47</f>
        <v>2614</v>
      </c>
      <c r="D47" s="164">
        <v>46.0</v>
      </c>
      <c r="E47" s="153">
        <f>IF(A47="","", SUMIF(RawTotals!A$2:A999, C47, RawTotals!AG$2:AG999))</f>
        <v>-11.09079301</v>
      </c>
      <c r="F47" s="153">
        <f>IF(A47="","", SUMIF(RawTotals!A$2:A999, C47, RawTotals!AH$2:AH999))</f>
        <v>-12.55248963</v>
      </c>
      <c r="G47" s="154">
        <f>IF(A47="","", SUMIF(RawTotals!A$2:A999, C47, RawTotals!J$2:J999))</f>
        <v>0.6696428571</v>
      </c>
      <c r="H47" s="155">
        <f>IF(A47="","",SUMIF(RawTotals!A$2:A999, C47, RawTotals!D$2:D999))</f>
        <v>1.25</v>
      </c>
      <c r="I47" s="156">
        <f>IF(A47="","",SUMIF(RawTotals!A$2:A999, C47, RawTotals!M$2:M999))</f>
        <v>5</v>
      </c>
      <c r="J47" s="157">
        <f>IF(A47="","", SUMIF(RawTotals!A$2:A999, C47, RawTotals!AC$2:AC999))</f>
        <v>9</v>
      </c>
      <c r="K47" s="154">
        <f>IF(A47="","",SUMIF(RawTotals!A$2:A999, C47, RawTotals!W$2:W999))</f>
        <v>0</v>
      </c>
      <c r="L47" s="157">
        <f>IF(A47="","",SUMIF(RawTotals!A$2:A999, C47, RawTotals!Q$2:Q999))</f>
        <v>3.6</v>
      </c>
      <c r="M47" s="158" t="str">
        <f>IFERROR(__xludf.DUMMYFUNCTION("IFERROR(IF(A47="""","""",FILTER('Pit Scouting Responses'!F$1:F999,'Pit Scouting Responses'!B$1:B999=C47)),""NOT COLLECTED"")"),"Swerve")</f>
        <v>Swerve</v>
      </c>
      <c r="N47" s="76"/>
      <c r="O47" s="76"/>
      <c r="P47" s="76"/>
      <c r="Q47" s="76"/>
      <c r="R47" s="76"/>
      <c r="S47" s="76"/>
      <c r="T47" s="76"/>
      <c r="U47" s="76"/>
      <c r="V47" s="76"/>
      <c r="W47" s="76"/>
      <c r="X47" s="76"/>
      <c r="Y47" s="76"/>
      <c r="Z47" s="160"/>
      <c r="AA47" s="160"/>
      <c r="AB47" s="76"/>
      <c r="AC47" s="76"/>
      <c r="AD47" s="161"/>
      <c r="AE47" s="160"/>
      <c r="AF47" s="76"/>
    </row>
    <row r="48">
      <c r="A48" s="150">
        <f>RawTotals!A48</f>
        <v>3175</v>
      </c>
      <c r="B48" s="168"/>
      <c r="C48" s="15">
        <f>PicklistComputer!K48</f>
        <v>3175</v>
      </c>
      <c r="D48" s="164">
        <v>47.0</v>
      </c>
      <c r="E48" s="153">
        <f>IF(A48="","", SUMIF(RawTotals!A$2:A999, C48, RawTotals!AG$2:AG999))</f>
        <v>-12.9342474</v>
      </c>
      <c r="F48" s="153">
        <f>IF(A48="","", SUMIF(RawTotals!A$2:A999, C48, RawTotals!AH$2:AH999))</f>
        <v>-15.15627268</v>
      </c>
      <c r="G48" s="154">
        <f>IF(A48="","", SUMIF(RawTotals!A$2:A999, C48, RawTotals!J$2:J999))</f>
        <v>0.7638888889</v>
      </c>
      <c r="H48" s="155">
        <f>IF(A48="","",SUMIF(RawTotals!A$2:A999, C48, RawTotals!D$2:D999))</f>
        <v>1.25</v>
      </c>
      <c r="I48" s="156">
        <f>IF(A48="","",SUMIF(RawTotals!A$2:A999, C48, RawTotals!M$2:M999))</f>
        <v>4.75</v>
      </c>
      <c r="J48" s="157">
        <f>IF(A48="","", SUMIF(RawTotals!A$2:A999, C48, RawTotals!AC$2:AC999))</f>
        <v>13</v>
      </c>
      <c r="K48" s="154">
        <f>IF(A48="","",SUMIF(RawTotals!A$2:A999, C48, RawTotals!W$2:W999))</f>
        <v>0</v>
      </c>
      <c r="L48" s="157">
        <f>IF(A48="","",SUMIF(RawTotals!A$2:A999, C48, RawTotals!Q$2:Q999))</f>
        <v>0</v>
      </c>
      <c r="M48" s="158" t="str">
        <f>IFERROR(__xludf.DUMMYFUNCTION("IFERROR(IF(A48="""","""",FILTER('Pit Scouting Responses'!F$1:F999,'Pit Scouting Responses'!B$1:B999=C48)),""NOT COLLECTED"")"),"Swerve")</f>
        <v>Swerve</v>
      </c>
      <c r="N48" s="76"/>
      <c r="O48" s="76"/>
      <c r="P48" s="76"/>
      <c r="Q48" s="76"/>
      <c r="R48" s="76"/>
      <c r="S48" s="76"/>
      <c r="T48" s="76"/>
      <c r="U48" s="76"/>
      <c r="V48" s="76"/>
      <c r="W48" s="76"/>
      <c r="X48" s="76"/>
      <c r="Y48" s="76"/>
      <c r="Z48" s="160"/>
      <c r="AA48" s="160"/>
      <c r="AB48" s="76"/>
      <c r="AC48" s="76"/>
      <c r="AD48" s="161"/>
      <c r="AE48" s="160"/>
      <c r="AF48" s="76"/>
    </row>
    <row r="49">
      <c r="A49" s="150">
        <f>RawTotals!A49</f>
        <v>325</v>
      </c>
      <c r="B49" s="168"/>
      <c r="C49" s="15">
        <f>PicklistComputer!K49</f>
        <v>325</v>
      </c>
      <c r="D49" s="164">
        <v>48.0</v>
      </c>
      <c r="E49" s="153">
        <f>IF(A49="","", SUMIF(RawTotals!A$2:A999, C49, RawTotals!AG$2:AG999))</f>
        <v>-16.5864884</v>
      </c>
      <c r="F49" s="153">
        <f>IF(A49="","", SUMIF(RawTotals!A$2:A999, C49, RawTotals!AH$2:AH999))</f>
        <v>-18.63955176</v>
      </c>
      <c r="G49" s="154">
        <f>IF(A49="","", SUMIF(RawTotals!A$2:A999, C49, RawTotals!J$2:J999))</f>
        <v>0.8035714286</v>
      </c>
      <c r="H49" s="155">
        <f>IF(A49="","",SUMIF(RawTotals!A$2:A999, C49, RawTotals!D$2:D999))</f>
        <v>1.285714286</v>
      </c>
      <c r="I49" s="156">
        <f>IF(A49="","",SUMIF(RawTotals!A$2:A999, C49, RawTotals!M$2:M999))</f>
        <v>0.4285714286</v>
      </c>
      <c r="J49" s="157">
        <f>IF(A49="","", SUMIF(RawTotals!A$2:A999, C49, RawTotals!AC$2:AC999))</f>
        <v>3</v>
      </c>
      <c r="K49" s="154">
        <f>IF(A49="","",SUMIF(RawTotals!A$2:A999, C49, RawTotals!W$2:W999))</f>
        <v>0</v>
      </c>
      <c r="L49" s="157">
        <f>IF(A49="","",SUMIF(RawTotals!A$2:A999, C49, RawTotals!Q$2:Q999))</f>
        <v>0.8</v>
      </c>
      <c r="M49" s="158" t="str">
        <f>IFERROR(__xludf.DUMMYFUNCTION("IFERROR(IF(A49="""","""",FILTER('Pit Scouting Responses'!F$1:F999,'Pit Scouting Responses'!B$1:B999=C49)),""NOT COLLECTED"")"),"swerve")</f>
        <v>swerve</v>
      </c>
      <c r="N49" s="76"/>
      <c r="O49" s="76"/>
      <c r="P49" s="76"/>
      <c r="Q49" s="76"/>
      <c r="R49" s="76"/>
      <c r="S49" s="76"/>
      <c r="T49" s="76"/>
      <c r="U49" s="76"/>
      <c r="V49" s="76"/>
      <c r="W49" s="76"/>
      <c r="X49" s="76"/>
      <c r="Y49" s="76"/>
      <c r="Z49" s="160"/>
      <c r="AA49" s="160"/>
      <c r="AB49" s="76"/>
      <c r="AC49" s="76"/>
      <c r="AD49" s="161"/>
      <c r="AE49" s="160"/>
      <c r="AF49" s="76"/>
    </row>
    <row r="50">
      <c r="A50" s="150" t="str">
        <f>RawTotals!A50</f>
        <v/>
      </c>
      <c r="B50" s="168"/>
      <c r="C50" s="76"/>
      <c r="D50" s="164">
        <v>49.0</v>
      </c>
      <c r="E50" s="153" t="str">
        <f>IF(A50="","", SUMIF(RawTotals!A$2:A999, C50, RawTotals!AG$2:AG999))</f>
        <v/>
      </c>
      <c r="F50" s="153" t="str">
        <f>IF(A50="","", SUMIF(RawTotals!A$2:A999, C50, RawTotals!AH$2:AH999))</f>
        <v/>
      </c>
      <c r="G50" s="154" t="str">
        <f>IF(A50="","", SUMIF(RawTotals!A$2:A999, C50, RawTotals!J$2:J999))</f>
        <v/>
      </c>
      <c r="H50" s="155" t="str">
        <f>IF(A50="","",SUMIF(RawTotals!A$2:A999, C50, RawTotals!D$2:D999))</f>
        <v/>
      </c>
      <c r="I50" s="156" t="str">
        <f>IF(A50="","",SUMIF(RawTotals!A$2:A999, C50, RawTotals!M$2:M999))</f>
        <v/>
      </c>
      <c r="J50" s="157" t="str">
        <f>IF(A50="","", SUMIF(RawTotals!A$2:A999, C50, RawTotals!AC$2:AC999))</f>
        <v/>
      </c>
      <c r="K50" s="154" t="str">
        <f>IF(A50="","",SUMIF(RawTotals!A$2:A999, C50, RawTotals!W$2:W999))</f>
        <v/>
      </c>
      <c r="L50" s="157" t="str">
        <f>IF(A50="","",SUMIF(RawTotals!A$2:A999, C50, RawTotals!Q$2:Q999))</f>
        <v/>
      </c>
      <c r="M50" s="158" t="str">
        <f>IFERROR(__xludf.DUMMYFUNCTION("IFERROR(IF(A50="""","""",FILTER('Pit Scouting Responses'!J$1:J999,'Pit Scouting Responses'!C$1:C999=A50)),""NOT COLLECTED"")"),"")</f>
        <v/>
      </c>
      <c r="N50" s="76"/>
      <c r="O50" s="76"/>
      <c r="P50" s="76"/>
      <c r="Q50" s="76"/>
      <c r="R50" s="76"/>
      <c r="S50" s="76"/>
      <c r="T50" s="76"/>
      <c r="U50" s="76"/>
      <c r="V50" s="76"/>
      <c r="W50" s="76"/>
      <c r="X50" s="76"/>
      <c r="Y50" s="76"/>
      <c r="Z50" s="160"/>
      <c r="AA50" s="160"/>
      <c r="AB50" s="76"/>
      <c r="AC50" s="76"/>
      <c r="AD50" s="161"/>
      <c r="AE50" s="160"/>
      <c r="AF50" s="76"/>
    </row>
    <row r="51">
      <c r="A51" s="150" t="str">
        <f>RawTotals!A51</f>
        <v/>
      </c>
      <c r="B51" s="168"/>
      <c r="C51" s="76"/>
      <c r="D51" s="164">
        <v>50.0</v>
      </c>
      <c r="E51" s="153" t="str">
        <f>IF(A51="","", SUMIF(RawTotals!A$2:A999, C51, RawTotals!AG$2:AG999))</f>
        <v/>
      </c>
      <c r="F51" s="153" t="str">
        <f>IF(A51="","", SUMIF(RawTotals!A$2:A999, C51, RawTotals!AH$2:AH999))</f>
        <v/>
      </c>
      <c r="G51" s="154" t="str">
        <f>IF(A51="","", SUMIF(RawTotals!A$2:A999, C51, RawTotals!J$2:J999))</f>
        <v/>
      </c>
      <c r="H51" s="155" t="str">
        <f>IF(A51="","",SUMIF(RawTotals!A$2:A999, C51, RawTotals!D$2:D999))</f>
        <v/>
      </c>
      <c r="I51" s="156" t="str">
        <f>IF(A51="","",SUMIF(RawTotals!A$2:A999, C51, RawTotals!M$2:M999))</f>
        <v/>
      </c>
      <c r="J51" s="157" t="str">
        <f>IF(A51="","", SUMIF(RawTotals!A$2:A999, C51, RawTotals!AC$2:AC999))</f>
        <v/>
      </c>
      <c r="K51" s="154" t="str">
        <f>IF(A51="","",SUMIF(RawTotals!A$2:A999, C51, RawTotals!W$2:W999))</f>
        <v/>
      </c>
      <c r="L51" s="157" t="str">
        <f>IF(A51="","",SUMIF(RawTotals!A$2:A999, C51, RawTotals!Q$2:Q999))</f>
        <v/>
      </c>
      <c r="M51" s="158" t="str">
        <f>IFERROR(__xludf.DUMMYFUNCTION("IFERROR(IF(A51="""","""",FILTER('Pit Scouting Responses'!J$1:J999,'Pit Scouting Responses'!C$1:C999=A51)),""NOT COLLECTED"")"),"")</f>
        <v/>
      </c>
      <c r="N51" s="76"/>
      <c r="O51" s="76"/>
      <c r="P51" s="76"/>
      <c r="Q51" s="76"/>
      <c r="R51" s="76"/>
      <c r="S51" s="76"/>
      <c r="T51" s="76"/>
      <c r="U51" s="76"/>
      <c r="V51" s="76"/>
      <c r="W51" s="76"/>
      <c r="X51" s="76"/>
      <c r="Y51" s="76"/>
      <c r="Z51" s="160"/>
      <c r="AA51" s="160"/>
      <c r="AB51" s="76"/>
      <c r="AC51" s="76"/>
      <c r="AD51" s="161"/>
      <c r="AE51" s="160"/>
      <c r="AF51" s="76"/>
    </row>
    <row r="52">
      <c r="A52" s="150" t="str">
        <f>RawTotals!A52</f>
        <v/>
      </c>
      <c r="B52" s="168"/>
      <c r="C52" s="76"/>
      <c r="D52" s="164">
        <v>51.0</v>
      </c>
      <c r="E52" s="153" t="str">
        <f>IF(A52="","", SUMIF(RawTotals!A$2:A999, C52, RawTotals!AG$2:AG999))</f>
        <v/>
      </c>
      <c r="F52" s="153" t="str">
        <f>IF(A52="","", SUMIF(RawTotals!A$2:A999, C52, RawTotals!AH$2:AH999))</f>
        <v/>
      </c>
      <c r="G52" s="154" t="str">
        <f>IF(A52="","", SUMIF(RawTotals!A$2:A999, C52, RawTotals!J$2:J999))</f>
        <v/>
      </c>
      <c r="H52" s="155" t="str">
        <f>IF(A52="","",SUMIF(RawTotals!A$2:A999, C52, RawTotals!D$2:D999))</f>
        <v/>
      </c>
      <c r="I52" s="156" t="str">
        <f>IF(A52="","",SUMIF(RawTotals!A$2:A999, C52, RawTotals!M$2:M999))</f>
        <v/>
      </c>
      <c r="J52" s="157" t="str">
        <f>IF(A52="","", SUMIF(RawTotals!A$2:A999, C52, RawTotals!AC$2:AC999))</f>
        <v/>
      </c>
      <c r="K52" s="154" t="str">
        <f>IF(A52="","",SUMIF(RawTotals!A$2:A999, C52, RawTotals!W$2:W999))</f>
        <v/>
      </c>
      <c r="L52" s="157" t="str">
        <f>IF(A52="","",SUMIF(RawTotals!A$2:A999, C52, RawTotals!Q$2:Q999))</f>
        <v/>
      </c>
      <c r="M52" s="158" t="str">
        <f>IFERROR(__xludf.DUMMYFUNCTION("IFERROR(IF(A52="""","""",FILTER('Pit Scouting Responses'!J$1:J999,'Pit Scouting Responses'!C$1:C999=A52)),""NOT COLLECTED"")"),"")</f>
        <v/>
      </c>
      <c r="N52" s="76"/>
      <c r="O52" s="76"/>
      <c r="P52" s="76"/>
      <c r="Q52" s="76"/>
      <c r="R52" s="76"/>
      <c r="S52" s="76"/>
      <c r="T52" s="76"/>
      <c r="U52" s="76"/>
      <c r="V52" s="76"/>
      <c r="W52" s="76"/>
      <c r="X52" s="76"/>
      <c r="Y52" s="76"/>
      <c r="Z52" s="160"/>
      <c r="AA52" s="160"/>
      <c r="AB52" s="76"/>
      <c r="AC52" s="76"/>
      <c r="AD52" s="161"/>
      <c r="AE52" s="160"/>
      <c r="AF52" s="76"/>
    </row>
    <row r="53">
      <c r="A53" s="150" t="str">
        <f>RawTotals!A53</f>
        <v/>
      </c>
      <c r="B53" s="168"/>
      <c r="C53" s="76"/>
      <c r="D53" s="164">
        <v>52.0</v>
      </c>
      <c r="E53" s="153" t="str">
        <f>IF(A53="","", SUMIF(RawTotals!A$2:A999, C53, RawTotals!AG$2:AG999))</f>
        <v/>
      </c>
      <c r="F53" s="153" t="str">
        <f>IF(A53="","", SUMIF(RawTotals!A$2:A999, C53, RawTotals!AH$2:AH999))</f>
        <v/>
      </c>
      <c r="G53" s="154" t="str">
        <f>IF(A53="","", SUMIF(RawTotals!A$2:A999, C53, RawTotals!J$2:J999))</f>
        <v/>
      </c>
      <c r="H53" s="155" t="str">
        <f>IF(A53="","",SUMIF(RawTotals!A$2:A999, C53, RawTotals!D$2:D999))</f>
        <v/>
      </c>
      <c r="I53" s="156" t="str">
        <f>IF(A53="","",SUMIF(RawTotals!A$2:A999, C53, RawTotals!M$2:M999))</f>
        <v/>
      </c>
      <c r="J53" s="157" t="str">
        <f>IF(A53="","", SUMIF(RawTotals!A$2:A999, C53, RawTotals!AC$2:AC999))</f>
        <v/>
      </c>
      <c r="K53" s="154" t="str">
        <f>IF(A53="","",SUMIF(RawTotals!A$2:A999, C53, RawTotals!W$2:W999))</f>
        <v/>
      </c>
      <c r="L53" s="157" t="str">
        <f>IF(A53="","",SUMIF(RawTotals!A$2:A999, C53, RawTotals!Q$2:Q999))</f>
        <v/>
      </c>
      <c r="M53" s="158" t="str">
        <f>IFERROR(__xludf.DUMMYFUNCTION("IFERROR(IF(A53="""","""",FILTER('Pit Scouting Responses'!J$1:J999,'Pit Scouting Responses'!C$1:C999=A53)),""NOT COLLECTED"")"),"")</f>
        <v/>
      </c>
      <c r="N53" s="76"/>
      <c r="O53" s="76"/>
      <c r="P53" s="76"/>
      <c r="Q53" s="76"/>
      <c r="R53" s="76"/>
      <c r="S53" s="76"/>
      <c r="T53" s="76"/>
      <c r="U53" s="76"/>
      <c r="V53" s="76"/>
      <c r="W53" s="76"/>
      <c r="X53" s="76"/>
      <c r="Y53" s="76"/>
      <c r="Z53" s="160"/>
      <c r="AA53" s="160"/>
      <c r="AB53" s="76"/>
      <c r="AC53" s="76"/>
      <c r="AD53" s="161"/>
      <c r="AE53" s="160"/>
      <c r="AF53" s="76"/>
    </row>
    <row r="54">
      <c r="A54" s="150" t="str">
        <f>RawTotals!A54</f>
        <v/>
      </c>
      <c r="B54" s="168"/>
      <c r="C54" s="76"/>
      <c r="D54" s="164">
        <v>53.0</v>
      </c>
      <c r="E54" s="153" t="str">
        <f>IF(A54="","", SUMIF(RawTotals!A$2:A999, C54, RawTotals!AG$2:AG999))</f>
        <v/>
      </c>
      <c r="F54" s="153" t="str">
        <f>IF(A54="","", SUMIF(RawTotals!A$2:A999, C54, RawTotals!AH$2:AH999))</f>
        <v/>
      </c>
      <c r="G54" s="154" t="str">
        <f>IF(A54="","", SUMIF(RawTotals!A$2:A999, C54, RawTotals!J$2:J999))</f>
        <v/>
      </c>
      <c r="H54" s="155" t="str">
        <f>IF(A54="","",SUMIF(RawTotals!A$2:A999, C54, RawTotals!D$2:D999))</f>
        <v/>
      </c>
      <c r="I54" s="156" t="str">
        <f>IF(A54="","",SUMIF(RawTotals!A$2:A999, C54, RawTotals!M$2:M999))</f>
        <v/>
      </c>
      <c r="J54" s="157" t="str">
        <f>IF(A54="","", SUMIF(RawTotals!A$2:A999, C54, RawTotals!AC$2:AC999))</f>
        <v/>
      </c>
      <c r="K54" s="154" t="str">
        <f>IF(A54="","",SUMIF(RawTotals!A$2:A999, C54, RawTotals!W$2:W999))</f>
        <v/>
      </c>
      <c r="L54" s="157" t="str">
        <f>IF(A54="","",SUMIF(RawTotals!A$2:A999, C54, RawTotals!Q$2:Q999))</f>
        <v/>
      </c>
      <c r="M54" s="158" t="str">
        <f>IFERROR(__xludf.DUMMYFUNCTION("IFERROR(IF(A54="""","""",FILTER('Pit Scouting Responses'!J$1:J999,'Pit Scouting Responses'!C$1:C999=A54)),""NOT COLLECTED"")"),"")</f>
        <v/>
      </c>
      <c r="N54" s="76"/>
      <c r="O54" s="76"/>
      <c r="P54" s="76"/>
      <c r="Q54" s="76"/>
      <c r="R54" s="76"/>
      <c r="S54" s="76"/>
      <c r="T54" s="76"/>
      <c r="U54" s="76"/>
      <c r="V54" s="76"/>
      <c r="W54" s="76"/>
      <c r="X54" s="76"/>
      <c r="Y54" s="76"/>
      <c r="Z54" s="160"/>
      <c r="AA54" s="160"/>
      <c r="AB54" s="76"/>
      <c r="AC54" s="76"/>
      <c r="AD54" s="161"/>
      <c r="AE54" s="160"/>
      <c r="AF54" s="76"/>
    </row>
    <row r="55">
      <c r="A55" s="150" t="str">
        <f>RawTotals!A55</f>
        <v/>
      </c>
      <c r="B55" s="168"/>
      <c r="C55" s="76"/>
      <c r="D55" s="164">
        <v>54.0</v>
      </c>
      <c r="E55" s="153" t="str">
        <f>IF(A55="","", SUMIF(RawTotals!A$2:A999, C55, RawTotals!AG$2:AG999))</f>
        <v/>
      </c>
      <c r="F55" s="153" t="str">
        <f>IF(A55="","", SUMIF(RawTotals!A$2:A999, C55, RawTotals!AH$2:AH999))</f>
        <v/>
      </c>
      <c r="G55" s="154" t="str">
        <f>IF(A55="","", SUMIF(RawTotals!A$2:A999, C55, RawTotals!J$2:J999))</f>
        <v/>
      </c>
      <c r="H55" s="155" t="str">
        <f>IF(A55="","",SUMIF(RawTotals!A$2:A999, C55, RawTotals!D$2:D999))</f>
        <v/>
      </c>
      <c r="I55" s="156" t="str">
        <f>IF(A55="","",SUMIF(RawTotals!A$2:A999, C55, RawTotals!M$2:M999))</f>
        <v/>
      </c>
      <c r="J55" s="157" t="str">
        <f>IF(A55="","", SUMIF(RawTotals!A$2:A999, C55, RawTotals!AC$2:AC999))</f>
        <v/>
      </c>
      <c r="K55" s="154" t="str">
        <f>IF(A55="","",SUMIF(RawTotals!A$2:A999, C55, RawTotals!W$2:W999))</f>
        <v/>
      </c>
      <c r="L55" s="157" t="str">
        <f>IF(A55="","",SUMIF(RawTotals!A$2:A999, C55, RawTotals!Q$2:Q999))</f>
        <v/>
      </c>
      <c r="M55" s="158" t="str">
        <f>IFERROR(__xludf.DUMMYFUNCTION("IFERROR(IF(A55="""","""",FILTER('Pit Scouting Responses'!J$1:J999,'Pit Scouting Responses'!C$1:C999=A55)),""NOT COLLECTED"")"),"")</f>
        <v/>
      </c>
      <c r="N55" s="76"/>
      <c r="O55" s="76"/>
      <c r="P55" s="76"/>
      <c r="Q55" s="76"/>
      <c r="R55" s="76"/>
      <c r="S55" s="76"/>
      <c r="T55" s="76"/>
      <c r="U55" s="76"/>
      <c r="V55" s="76"/>
      <c r="W55" s="76"/>
      <c r="X55" s="76"/>
      <c r="Y55" s="76"/>
      <c r="Z55" s="160"/>
      <c r="AA55" s="160"/>
      <c r="AB55" s="76"/>
      <c r="AC55" s="76"/>
      <c r="AD55" s="161"/>
      <c r="AE55" s="160"/>
      <c r="AF55" s="76"/>
    </row>
    <row r="56">
      <c r="A56" s="150" t="str">
        <f>RawTotals!A56</f>
        <v/>
      </c>
      <c r="B56" s="168"/>
      <c r="C56" s="76"/>
      <c r="D56" s="164">
        <v>55.0</v>
      </c>
      <c r="E56" s="153" t="str">
        <f>IF(A56="","", SUMIF(RawTotals!A$2:A999, C56, RawTotals!AG$2:AG999))</f>
        <v/>
      </c>
      <c r="F56" s="153" t="str">
        <f>IF(A56="","", SUMIF(RawTotals!A$2:A999, C56, RawTotals!AH$2:AH999))</f>
        <v/>
      </c>
      <c r="G56" s="154" t="str">
        <f>IF(A56="","", SUMIF(RawTotals!A$2:A999, C56, RawTotals!J$2:J999))</f>
        <v/>
      </c>
      <c r="H56" s="155" t="str">
        <f>IF(A56="","",SUMIF(RawTotals!A$2:A999, C56, RawTotals!D$2:D999))</f>
        <v/>
      </c>
      <c r="I56" s="156" t="str">
        <f>IF(A56="","",SUMIF(RawTotals!A$2:A999, C56, RawTotals!M$2:M999))</f>
        <v/>
      </c>
      <c r="J56" s="157" t="str">
        <f>IF(A56="","", SUMIF(RawTotals!A$2:A999, C56, RawTotals!AC$2:AC999))</f>
        <v/>
      </c>
      <c r="K56" s="154" t="str">
        <f>IF(A56="","",SUMIF(RawTotals!A$2:A999, C56, RawTotals!W$2:W999))</f>
        <v/>
      </c>
      <c r="L56" s="157" t="str">
        <f>IF(A56="","",SUMIF(RawTotals!A$2:A999, C56, RawTotals!Q$2:Q999))</f>
        <v/>
      </c>
      <c r="M56" s="158" t="str">
        <f>IFERROR(__xludf.DUMMYFUNCTION("IFERROR(IF(A56="""","""",FILTER('Pit Scouting Responses'!J$1:J999,'Pit Scouting Responses'!C$1:C999=A56)),""NOT COLLECTED"")"),"")</f>
        <v/>
      </c>
      <c r="N56" s="76"/>
      <c r="O56" s="76"/>
      <c r="P56" s="76"/>
      <c r="Q56" s="76"/>
      <c r="R56" s="76"/>
      <c r="S56" s="76"/>
      <c r="T56" s="76"/>
      <c r="U56" s="76"/>
      <c r="V56" s="76"/>
      <c r="W56" s="76"/>
      <c r="X56" s="76"/>
      <c r="Y56" s="76"/>
      <c r="Z56" s="160"/>
      <c r="AA56" s="160"/>
      <c r="AB56" s="76"/>
      <c r="AC56" s="76"/>
      <c r="AD56" s="161"/>
      <c r="AE56" s="160"/>
      <c r="AF56" s="76"/>
    </row>
    <row r="57">
      <c r="A57" s="150" t="str">
        <f>RawTotals!A57</f>
        <v/>
      </c>
      <c r="B57" s="168"/>
      <c r="C57" s="76"/>
      <c r="D57" s="164">
        <v>56.0</v>
      </c>
      <c r="E57" s="153" t="str">
        <f>IF(A57="","", SUMIF(RawTotals!A$2:A999, C57, RawTotals!AG$2:AG999))</f>
        <v/>
      </c>
      <c r="F57" s="153" t="str">
        <f>IF(A57="","", SUMIF(RawTotals!A$2:A999, C57, RawTotals!AH$2:AH999))</f>
        <v/>
      </c>
      <c r="G57" s="154" t="str">
        <f>IF(A57="","", SUMIF(RawTotals!A$2:A999, C57, RawTotals!J$2:J999))</f>
        <v/>
      </c>
      <c r="H57" s="155" t="str">
        <f>IF(A57="","",SUMIF(RawTotals!A$2:A999, C57, RawTotals!D$2:D999))</f>
        <v/>
      </c>
      <c r="I57" s="156" t="str">
        <f>IF(A57="","",SUMIF(RawTotals!A$2:A999, C57, RawTotals!M$2:M999))</f>
        <v/>
      </c>
      <c r="J57" s="157" t="str">
        <f>IF(A57="","", SUMIF(RawTotals!A$2:A999, C57, RawTotals!AC$2:AC999))</f>
        <v/>
      </c>
      <c r="K57" s="154" t="str">
        <f>IF(A57="","",SUMIF(RawTotals!A$2:A999, C57, RawTotals!W$2:W999))</f>
        <v/>
      </c>
      <c r="L57" s="157" t="str">
        <f>IF(A57="","",SUMIF(RawTotals!A$2:A999, C57, RawTotals!Q$2:Q999))</f>
        <v/>
      </c>
      <c r="M57" s="158" t="str">
        <f>IFERROR(__xludf.DUMMYFUNCTION("IFERROR(IF(A57="""","""",FILTER('Pit Scouting Responses'!J$1:J999,'Pit Scouting Responses'!C$1:C999=A57)),""NOT COLLECTED"")"),"")</f>
        <v/>
      </c>
      <c r="N57" s="76"/>
      <c r="O57" s="76"/>
      <c r="P57" s="76"/>
      <c r="Q57" s="76"/>
      <c r="R57" s="76"/>
      <c r="S57" s="76"/>
      <c r="T57" s="76"/>
      <c r="U57" s="76"/>
      <c r="V57" s="76"/>
      <c r="W57" s="76"/>
      <c r="X57" s="76"/>
      <c r="Y57" s="76"/>
      <c r="Z57" s="160"/>
      <c r="AA57" s="160"/>
      <c r="AB57" s="76"/>
      <c r="AC57" s="76"/>
      <c r="AD57" s="161"/>
      <c r="AE57" s="160"/>
      <c r="AF57" s="76"/>
    </row>
    <row r="58">
      <c r="A58" s="150" t="str">
        <f>RawTotals!A58</f>
        <v/>
      </c>
      <c r="B58" s="168"/>
      <c r="C58" s="76"/>
      <c r="D58" s="164">
        <v>57.0</v>
      </c>
      <c r="E58" s="153" t="str">
        <f>IF(A58="","", SUMIF(RawTotals!A$2:A999, C58, RawTotals!AG$2:AG999))</f>
        <v/>
      </c>
      <c r="F58" s="153" t="str">
        <f>IF(A58="","", SUMIF(RawTotals!A$2:A999, C58, RawTotals!AH$2:AH999))</f>
        <v/>
      </c>
      <c r="G58" s="154" t="str">
        <f>IF(A58="","", SUMIF(RawTotals!A$2:A999, C58, RawTotals!J$2:J999))</f>
        <v/>
      </c>
      <c r="H58" s="155" t="str">
        <f>IF(A58="","",SUMIF(RawTotals!A$2:A999, C58, RawTotals!D$2:D999))</f>
        <v/>
      </c>
      <c r="I58" s="156" t="str">
        <f>IF(A58="","",SUMIF(RawTotals!A$2:A999, C58, RawTotals!M$2:M999))</f>
        <v/>
      </c>
      <c r="J58" s="157" t="str">
        <f>IF(A58="","", SUMIF(RawTotals!A$2:A999, C58, RawTotals!AC$2:AC999))</f>
        <v/>
      </c>
      <c r="K58" s="154" t="str">
        <f>IF(A58="","",SUMIF(RawTotals!A$2:A999, C58, RawTotals!W$2:W999))</f>
        <v/>
      </c>
      <c r="L58" s="157" t="str">
        <f>IF(A58="","",SUMIF(RawTotals!A$2:A999, C58, RawTotals!Q$2:Q999))</f>
        <v/>
      </c>
      <c r="M58" s="158" t="str">
        <f>IFERROR(__xludf.DUMMYFUNCTION("IFERROR(IF(A58="""","""",FILTER('Pit Scouting Responses'!J$1:J999,'Pit Scouting Responses'!C$1:C999=A58)),""NOT COLLECTED"")"),"")</f>
        <v/>
      </c>
      <c r="N58" s="76"/>
      <c r="O58" s="76"/>
      <c r="P58" s="76"/>
      <c r="Q58" s="76"/>
      <c r="R58" s="76"/>
      <c r="S58" s="76"/>
      <c r="T58" s="76"/>
      <c r="U58" s="76"/>
      <c r="V58" s="76"/>
      <c r="W58" s="76"/>
      <c r="X58" s="76"/>
      <c r="Y58" s="76"/>
      <c r="Z58" s="160"/>
      <c r="AA58" s="160"/>
      <c r="AB58" s="76"/>
      <c r="AC58" s="76"/>
      <c r="AD58" s="161"/>
      <c r="AE58" s="160"/>
      <c r="AF58" s="76"/>
    </row>
    <row r="59">
      <c r="A59" s="150" t="str">
        <f>RawTotals!A59</f>
        <v/>
      </c>
      <c r="B59" s="168"/>
      <c r="C59" s="76"/>
      <c r="D59" s="164">
        <v>58.0</v>
      </c>
      <c r="E59" s="153" t="str">
        <f>IF(A59="","", SUMIF(RawTotals!A$2:A999, C59, RawTotals!AG$2:AG999))</f>
        <v/>
      </c>
      <c r="F59" s="153" t="str">
        <f>IF(A59="","", SUMIF(RawTotals!A$2:A999, C59, RawTotals!AH$2:AH999))</f>
        <v/>
      </c>
      <c r="G59" s="154" t="str">
        <f>IF(A59="","", SUMIF(RawTotals!A$2:A999, C59, RawTotals!J$2:J999))</f>
        <v/>
      </c>
      <c r="H59" s="155" t="str">
        <f>IF(A59="","",SUMIF(RawTotals!A$2:A999, C59, RawTotals!D$2:D999))</f>
        <v/>
      </c>
      <c r="I59" s="156" t="str">
        <f>IF(A59="","",SUMIF(RawTotals!A$2:A999, C59, RawTotals!M$2:M999))</f>
        <v/>
      </c>
      <c r="J59" s="157" t="str">
        <f>IF(A59="","", SUMIF(RawTotals!A$2:A999, C59, RawTotals!AC$2:AC999))</f>
        <v/>
      </c>
      <c r="K59" s="154" t="str">
        <f>IF(A59="","",SUMIF(RawTotals!A$2:A999, C59, RawTotals!W$2:W999))</f>
        <v/>
      </c>
      <c r="L59" s="157" t="str">
        <f>IF(A59="","",SUMIF(RawTotals!A$2:A999, C59, RawTotals!Q$2:Q999))</f>
        <v/>
      </c>
      <c r="M59" s="158" t="str">
        <f>IFERROR(__xludf.DUMMYFUNCTION("IFERROR(IF(A59="""","""",FILTER('Pit Scouting Responses'!J$1:J999,'Pit Scouting Responses'!C$1:C999=A59)),""NOT COLLECTED"")"),"")</f>
        <v/>
      </c>
      <c r="N59" s="76"/>
      <c r="O59" s="76"/>
      <c r="P59" s="76"/>
      <c r="Q59" s="76"/>
      <c r="R59" s="76"/>
      <c r="S59" s="76"/>
      <c r="T59" s="76"/>
      <c r="U59" s="76"/>
      <c r="V59" s="76"/>
      <c r="W59" s="76"/>
      <c r="X59" s="76"/>
      <c r="Y59" s="76"/>
      <c r="Z59" s="160"/>
      <c r="AA59" s="160"/>
      <c r="AB59" s="76"/>
      <c r="AC59" s="76"/>
      <c r="AD59" s="161"/>
      <c r="AE59" s="160"/>
      <c r="AF59" s="76"/>
    </row>
    <row r="60">
      <c r="A60" s="150" t="str">
        <f>RawTotals!A60</f>
        <v/>
      </c>
      <c r="B60" s="168"/>
      <c r="C60" s="76"/>
      <c r="D60" s="164">
        <v>59.0</v>
      </c>
      <c r="E60" s="153" t="str">
        <f>IF(A60="","", SUMIF(RawTotals!A$2:A999, C60, RawTotals!AG$2:AG999))</f>
        <v/>
      </c>
      <c r="F60" s="153" t="str">
        <f>IF(A60="","", SUMIF(RawTotals!A$2:A999, C60, RawTotals!AH$2:AH999))</f>
        <v/>
      </c>
      <c r="G60" s="154" t="str">
        <f>IF(A60="","", SUMIF(RawTotals!A$2:A999, C60, RawTotals!J$2:J999))</f>
        <v/>
      </c>
      <c r="H60" s="155" t="str">
        <f>IF(A60="","",SUMIF(RawTotals!A$2:A999, C60, RawTotals!D$2:D999))</f>
        <v/>
      </c>
      <c r="I60" s="156" t="str">
        <f>IF(A60="","",SUMIF(RawTotals!A$2:A999, C60, RawTotals!M$2:M999))</f>
        <v/>
      </c>
      <c r="J60" s="157" t="str">
        <f>IF(A60="","", SUMIF(RawTotals!A$2:A999, C60, RawTotals!AC$2:AC999))</f>
        <v/>
      </c>
      <c r="K60" s="154" t="str">
        <f>IF(A60="","",SUMIF(RawTotals!A$2:A999, C60, RawTotals!W$2:W999))</f>
        <v/>
      </c>
      <c r="L60" s="157" t="str">
        <f>IF(A60="","",SUMIF(RawTotals!A$2:A999, C60, RawTotals!Q$2:Q999))</f>
        <v/>
      </c>
      <c r="M60" s="158" t="str">
        <f>IFERROR(__xludf.DUMMYFUNCTION("IFERROR(IF(A60="""","""",FILTER('Pit Scouting Responses'!J$1:J999,'Pit Scouting Responses'!C$1:C999=A60)),""NOT COLLECTED"")"),"")</f>
        <v/>
      </c>
      <c r="N60" s="76"/>
      <c r="O60" s="76"/>
      <c r="P60" s="76"/>
      <c r="Q60" s="76"/>
      <c r="R60" s="76"/>
      <c r="S60" s="76"/>
      <c r="T60" s="76"/>
      <c r="U60" s="76"/>
      <c r="V60" s="76"/>
      <c r="W60" s="76"/>
      <c r="X60" s="76"/>
      <c r="Y60" s="76"/>
      <c r="Z60" s="160"/>
      <c r="AA60" s="160"/>
      <c r="AB60" s="76"/>
      <c r="AC60" s="76"/>
      <c r="AD60" s="161"/>
      <c r="AE60" s="160"/>
      <c r="AF60" s="76"/>
    </row>
    <row r="61">
      <c r="A61" s="150" t="str">
        <f>RawTotals!A61</f>
        <v/>
      </c>
      <c r="B61" s="168"/>
      <c r="C61" s="76"/>
      <c r="D61" s="164">
        <v>60.0</v>
      </c>
      <c r="E61" s="153" t="str">
        <f>IF(A61="","", SUMIF(RawTotals!A$2:A999, C61, RawTotals!AG$2:AG999))</f>
        <v/>
      </c>
      <c r="F61" s="153" t="str">
        <f>IF(A61="","", SUMIF(RawTotals!A$2:A999, C61, RawTotals!AH$2:AH999))</f>
        <v/>
      </c>
      <c r="G61" s="154" t="str">
        <f>IF(A61="","", SUMIF(RawTotals!A$2:A999, C61, RawTotals!J$2:J999))</f>
        <v/>
      </c>
      <c r="H61" s="155" t="str">
        <f>IF(A61="","",SUMIF(RawTotals!A$2:A999, C61, RawTotals!D$2:D999))</f>
        <v/>
      </c>
      <c r="I61" s="156" t="str">
        <f>IF(A61="","",SUMIF(RawTotals!A$2:A999, C61, RawTotals!M$2:M999))</f>
        <v/>
      </c>
      <c r="J61" s="157" t="str">
        <f>IF(A61="","", SUMIF(RawTotals!A$2:A999, C61, RawTotals!AC$2:AC999))</f>
        <v/>
      </c>
      <c r="K61" s="154" t="str">
        <f>IF(A61="","",SUMIF(RawTotals!A$2:A999, C61, RawTotals!W$2:W999))</f>
        <v/>
      </c>
      <c r="L61" s="157" t="str">
        <f>IF(A61="","",SUMIF(RawTotals!A$2:A999, C61, RawTotals!Q$2:Q999))</f>
        <v/>
      </c>
      <c r="M61" s="158" t="str">
        <f>IFERROR(__xludf.DUMMYFUNCTION("IFERROR(IF(A61="""","""",FILTER('Pit Scouting Responses'!J$1:J999,'Pit Scouting Responses'!C$1:C999=A61)),""NOT COLLECTED"")"),"")</f>
        <v/>
      </c>
      <c r="N61" s="76"/>
      <c r="O61" s="76"/>
      <c r="P61" s="76"/>
      <c r="Q61" s="76"/>
      <c r="R61" s="76"/>
      <c r="S61" s="76"/>
      <c r="T61" s="76"/>
      <c r="U61" s="76"/>
      <c r="V61" s="76"/>
      <c r="W61" s="76"/>
      <c r="X61" s="76"/>
      <c r="Y61" s="76"/>
      <c r="Z61" s="160"/>
      <c r="AA61" s="160"/>
      <c r="AB61" s="76"/>
      <c r="AC61" s="76"/>
      <c r="AD61" s="161"/>
      <c r="AE61" s="160"/>
      <c r="AF61" s="76"/>
    </row>
    <row r="62">
      <c r="A62" s="150" t="str">
        <f>RawTotals!A62</f>
        <v/>
      </c>
      <c r="B62" s="168"/>
      <c r="C62" s="76"/>
      <c r="D62" s="164">
        <v>61.0</v>
      </c>
      <c r="E62" s="153" t="str">
        <f>IF(A62="","", SUMIF(RawTotals!A$2:A999, C62, RawTotals!AG$2:AG999))</f>
        <v/>
      </c>
      <c r="F62" s="153" t="str">
        <f>IF(A62="","", SUMIF(RawTotals!A$2:A999, C62, RawTotals!AH$2:AH999))</f>
        <v/>
      </c>
      <c r="G62" s="154" t="str">
        <f>IF(A62="","", SUMIF(RawTotals!A$2:A999, C62, RawTotals!J$2:J999))</f>
        <v/>
      </c>
      <c r="H62" s="155" t="str">
        <f>IF(A62="","",SUMIF(RawTotals!A$2:A999, C62, RawTotals!D$2:D999))</f>
        <v/>
      </c>
      <c r="I62" s="156" t="str">
        <f>IF(A62="","",SUMIF(RawTotals!A$2:A999, C62, RawTotals!M$2:M999))</f>
        <v/>
      </c>
      <c r="J62" s="157" t="str">
        <f>IF(A62="","", SUMIF(RawTotals!A$2:A999, C62, RawTotals!AC$2:AC999))</f>
        <v/>
      </c>
      <c r="K62" s="154" t="str">
        <f>IF(A62="","",SUMIF(RawTotals!A$2:A999, C62, RawTotals!W$2:W999))</f>
        <v/>
      </c>
      <c r="L62" s="157" t="str">
        <f>IF(A62="","",SUMIF(RawTotals!A$2:A999, C62, RawTotals!Q$2:Q999))</f>
        <v/>
      </c>
      <c r="M62" s="158" t="str">
        <f>IFERROR(__xludf.DUMMYFUNCTION("IFERROR(IF(A62="""","""",FILTER('Pit Scouting Responses'!J$1:J999,'Pit Scouting Responses'!C$1:C999=A62)),""NOT COLLECTED"")"),"")</f>
        <v/>
      </c>
      <c r="N62" s="76"/>
      <c r="O62" s="76"/>
      <c r="P62" s="76"/>
      <c r="Q62" s="76"/>
      <c r="R62" s="76"/>
      <c r="S62" s="76"/>
      <c r="T62" s="76"/>
      <c r="U62" s="76"/>
      <c r="V62" s="76"/>
      <c r="W62" s="76"/>
      <c r="X62" s="76"/>
      <c r="Y62" s="76"/>
      <c r="Z62" s="160"/>
      <c r="AA62" s="160"/>
      <c r="AB62" s="76"/>
      <c r="AC62" s="76"/>
      <c r="AD62" s="161"/>
      <c r="AE62" s="160"/>
      <c r="AF62" s="76"/>
    </row>
    <row r="63">
      <c r="A63" s="150" t="str">
        <f>RawTotals!A63</f>
        <v/>
      </c>
      <c r="B63" s="168"/>
      <c r="C63" s="76"/>
      <c r="D63" s="164">
        <v>62.0</v>
      </c>
      <c r="E63" s="153" t="str">
        <f>IF(A63="","", SUMIF(RawTotals!A$2:A999, C63, RawTotals!AG$2:AG999))</f>
        <v/>
      </c>
      <c r="F63" s="153" t="str">
        <f>IF(A63="","", SUMIF(RawTotals!A$2:A999, C63, RawTotals!AH$2:AH999))</f>
        <v/>
      </c>
      <c r="G63" s="154" t="str">
        <f>IF(A63="","", SUMIF(RawTotals!A$2:A999, C63, RawTotals!J$2:J999))</f>
        <v/>
      </c>
      <c r="H63" s="155" t="str">
        <f>IF(A63="","",SUMIF(RawTotals!A$2:A999, C63, RawTotals!D$2:D999))</f>
        <v/>
      </c>
      <c r="I63" s="156" t="str">
        <f>IF(A63="","",SUMIF(RawTotals!A$2:A999, C63, RawTotals!M$2:M999))</f>
        <v/>
      </c>
      <c r="J63" s="157" t="str">
        <f>IF(A63="","", SUMIF(RawTotals!A$2:A999, C63, RawTotals!AC$2:AC999))</f>
        <v/>
      </c>
      <c r="K63" s="154" t="str">
        <f>IF(A63="","",SUMIF(RawTotals!A$2:A999, C63, RawTotals!W$2:W999))</f>
        <v/>
      </c>
      <c r="L63" s="157" t="str">
        <f>IF(A63="","",SUMIF(RawTotals!A$2:A999, C63, RawTotals!Q$2:Q999))</f>
        <v/>
      </c>
      <c r="M63" s="158" t="str">
        <f>IFERROR(__xludf.DUMMYFUNCTION("IFERROR(IF(A63="""","""",FILTER('Pit Scouting Responses'!J$1:J999,'Pit Scouting Responses'!C$1:C999=A63)),""NOT COLLECTED"")"),"")</f>
        <v/>
      </c>
      <c r="N63" s="76"/>
      <c r="O63" s="76"/>
      <c r="P63" s="76"/>
      <c r="Q63" s="76"/>
      <c r="R63" s="76"/>
      <c r="S63" s="76"/>
      <c r="T63" s="76"/>
      <c r="U63" s="76"/>
      <c r="V63" s="76"/>
      <c r="W63" s="76"/>
      <c r="X63" s="76"/>
      <c r="Y63" s="76"/>
      <c r="Z63" s="160"/>
      <c r="AA63" s="160"/>
      <c r="AB63" s="76"/>
      <c r="AC63" s="76"/>
      <c r="AD63" s="161"/>
      <c r="AE63" s="160"/>
      <c r="AF63" s="76"/>
    </row>
    <row r="64">
      <c r="A64" s="150" t="str">
        <f>RawTotals!A64</f>
        <v/>
      </c>
      <c r="B64" s="168"/>
      <c r="C64" s="76"/>
      <c r="D64" s="164">
        <v>63.0</v>
      </c>
      <c r="E64" s="153" t="str">
        <f>IF(A64="","", SUMIF(RawTotals!A$2:A999, C64, RawTotals!AG$2:AG999))</f>
        <v/>
      </c>
      <c r="F64" s="153" t="str">
        <f>IF(A64="","", SUMIF(RawTotals!A$2:A999, C64, RawTotals!AH$2:AH999))</f>
        <v/>
      </c>
      <c r="G64" s="154" t="str">
        <f>IF(A64="","", SUMIF(RawTotals!A$2:A999, C64, RawTotals!J$2:J999))</f>
        <v/>
      </c>
      <c r="H64" s="155" t="str">
        <f>IF(A64="","",SUMIF(RawTotals!A$2:A999, C64, RawTotals!D$2:D999))</f>
        <v/>
      </c>
      <c r="I64" s="156" t="str">
        <f>IF(A64="","",SUMIF(RawTotals!A$2:A999, C64, RawTotals!M$2:M999))</f>
        <v/>
      </c>
      <c r="J64" s="157" t="str">
        <f>IF(A64="","", SUMIF(RawTotals!A$2:A999, C64, RawTotals!AC$2:AC999))</f>
        <v/>
      </c>
      <c r="K64" s="154" t="str">
        <f>IF(A64="","",SUMIF(RawTotals!A$2:A999, C64, RawTotals!W$2:W999))</f>
        <v/>
      </c>
      <c r="L64" s="157" t="str">
        <f>IF(A64="","",SUMIF(RawTotals!A$2:A999, C64, RawTotals!Q$2:Q999))</f>
        <v/>
      </c>
      <c r="M64" s="158" t="str">
        <f>IFERROR(__xludf.DUMMYFUNCTION("IFERROR(IF(A64="""","""",FILTER('Pit Scouting Responses'!J$1:J999,'Pit Scouting Responses'!C$1:C999=A64)),""NOT COLLECTED"")"),"")</f>
        <v/>
      </c>
      <c r="N64" s="76"/>
      <c r="O64" s="76"/>
      <c r="P64" s="76"/>
      <c r="Q64" s="76"/>
      <c r="R64" s="76"/>
      <c r="S64" s="76"/>
      <c r="T64" s="76"/>
      <c r="U64" s="76"/>
      <c r="V64" s="76"/>
      <c r="W64" s="76"/>
      <c r="X64" s="76"/>
      <c r="Y64" s="76"/>
      <c r="Z64" s="160"/>
      <c r="AA64" s="160"/>
      <c r="AB64" s="76"/>
      <c r="AC64" s="76"/>
      <c r="AD64" s="161"/>
      <c r="AE64" s="160"/>
      <c r="AF64" s="76"/>
    </row>
    <row r="65">
      <c r="A65" s="150" t="str">
        <f>RawTotals!A65</f>
        <v/>
      </c>
      <c r="B65" s="168"/>
      <c r="C65" s="76"/>
      <c r="D65" s="164">
        <v>64.0</v>
      </c>
      <c r="E65" s="153" t="str">
        <f>IF(A65="","", SUMIF(RawTotals!A$2:A999, C65, RawTotals!AG$2:AG999))</f>
        <v/>
      </c>
      <c r="F65" s="153" t="str">
        <f>IF(A65="","", SUMIF(RawTotals!A$2:A999, C65, RawTotals!AH$2:AH999))</f>
        <v/>
      </c>
      <c r="G65" s="154" t="str">
        <f>IF(A65="","", SUMIF(RawTotals!A$2:A999, C65, RawTotals!J$2:J999))</f>
        <v/>
      </c>
      <c r="H65" s="155" t="str">
        <f>IF(A65="","",SUMIF(RawTotals!A$2:A999, C65, RawTotals!D$2:D999))</f>
        <v/>
      </c>
      <c r="I65" s="156" t="str">
        <f>IF(A65="","",SUMIF(RawTotals!A$2:A999, C65, RawTotals!M$2:M999))</f>
        <v/>
      </c>
      <c r="J65" s="157" t="str">
        <f>IF(A65="","", SUMIF(RawTotals!A$2:A999, C65, RawTotals!AC$2:AC999))</f>
        <v/>
      </c>
      <c r="K65" s="154" t="str">
        <f>IF(A65="","",SUMIF(RawTotals!A$2:A999, C65, RawTotals!W$2:W999))</f>
        <v/>
      </c>
      <c r="L65" s="157" t="str">
        <f>IF(A65="","",SUMIF(RawTotals!A$2:A999, C65, RawTotals!Q$2:Q999))</f>
        <v/>
      </c>
      <c r="M65" s="158" t="str">
        <f>IFERROR(__xludf.DUMMYFUNCTION("IFERROR(IF(A65="""","""",FILTER('Pit Scouting Responses'!J$1:J999,'Pit Scouting Responses'!C$1:C999=A65)),""NOT COLLECTED"")"),"")</f>
        <v/>
      </c>
      <c r="N65" s="76"/>
      <c r="O65" s="76"/>
      <c r="P65" s="76"/>
      <c r="Q65" s="76"/>
      <c r="R65" s="76"/>
      <c r="S65" s="76"/>
      <c r="T65" s="76"/>
      <c r="U65" s="76"/>
      <c r="V65" s="76"/>
      <c r="W65" s="76"/>
      <c r="X65" s="76"/>
      <c r="Y65" s="76"/>
      <c r="Z65" s="160"/>
      <c r="AA65" s="160"/>
      <c r="AB65" s="76"/>
      <c r="AC65" s="76"/>
      <c r="AD65" s="161"/>
      <c r="AE65" s="160"/>
      <c r="AF65" s="76"/>
    </row>
    <row r="66">
      <c r="A66" s="150" t="str">
        <f>RawTotals!A66</f>
        <v/>
      </c>
      <c r="B66" s="168"/>
      <c r="C66" s="76"/>
      <c r="D66" s="164">
        <v>65.0</v>
      </c>
      <c r="E66" s="153" t="str">
        <f>IF(A66="","", SUMIF(RawTotals!A$2:A999, C66, RawTotals!AG$2:AG999))</f>
        <v/>
      </c>
      <c r="F66" s="153" t="str">
        <f>IF(A66="","", SUMIF(RawTotals!A$2:A999, C66, RawTotals!AH$2:AH999))</f>
        <v/>
      </c>
      <c r="G66" s="154" t="str">
        <f>IF(A66="","", SUMIF(RawTotals!A$2:A999, C66, RawTotals!J$2:J999))</f>
        <v/>
      </c>
      <c r="H66" s="155" t="str">
        <f>IF(A66="","",SUMIF(RawTotals!A$2:A999, C66, RawTotals!D$2:D999))</f>
        <v/>
      </c>
      <c r="I66" s="156" t="str">
        <f>IF(A66="","",SUMIF(RawTotals!A$2:A999, C66, RawTotals!M$2:M999))</f>
        <v/>
      </c>
      <c r="J66" s="157" t="str">
        <f>IF(A66="","", SUMIF(RawTotals!A$2:A999, C66, RawTotals!AC$2:AC999))</f>
        <v/>
      </c>
      <c r="K66" s="154" t="str">
        <f>IF(A66="","",SUMIF(RawTotals!A$2:A999, C66, RawTotals!W$2:W999))</f>
        <v/>
      </c>
      <c r="L66" s="157" t="str">
        <f>IF(A66="","",SUMIF(RawTotals!A$2:A999, C66, RawTotals!Q$2:Q999))</f>
        <v/>
      </c>
      <c r="M66" s="158" t="str">
        <f>IFERROR(__xludf.DUMMYFUNCTION("IFERROR(IF(A66="""","""",FILTER('Pit Scouting Responses'!J$1:J999,'Pit Scouting Responses'!C$1:C999=A66)),""NOT COLLECTED"")"),"")</f>
        <v/>
      </c>
      <c r="N66" s="76"/>
      <c r="O66" s="76"/>
      <c r="P66" s="76"/>
      <c r="Q66" s="76"/>
      <c r="R66" s="76"/>
      <c r="S66" s="76"/>
      <c r="T66" s="76"/>
      <c r="U66" s="76"/>
      <c r="V66" s="76"/>
      <c r="W66" s="76"/>
      <c r="X66" s="76"/>
      <c r="Y66" s="76"/>
      <c r="Z66" s="160"/>
      <c r="AA66" s="160"/>
      <c r="AB66" s="76"/>
      <c r="AC66" s="76"/>
      <c r="AD66" s="161"/>
      <c r="AE66" s="160"/>
      <c r="AF66" s="76"/>
    </row>
    <row r="67">
      <c r="A67" s="150" t="str">
        <f>RawTotals!A67</f>
        <v/>
      </c>
      <c r="B67" s="168"/>
      <c r="C67" s="76"/>
      <c r="D67" s="164">
        <v>66.0</v>
      </c>
      <c r="E67" s="153" t="str">
        <f>IF(A67="","", SUMIF(RawTotals!A$2:A999, C67, RawTotals!AG$2:AG999))</f>
        <v/>
      </c>
      <c r="F67" s="153" t="str">
        <f>IF(A67="","", SUMIF(RawTotals!A$2:A999, C67, RawTotals!AH$2:AH999))</f>
        <v/>
      </c>
      <c r="G67" s="154" t="str">
        <f>IF(A67="","", SUMIF(RawTotals!A$2:A999, C67, RawTotals!J$2:J999))</f>
        <v/>
      </c>
      <c r="H67" s="155" t="str">
        <f>IF(A67="","",SUMIF(RawTotals!A$2:A999, C67, RawTotals!D$2:D999))</f>
        <v/>
      </c>
      <c r="I67" s="156" t="str">
        <f>IF(A67="","",SUMIF(RawTotals!A$2:A999, C67, RawTotals!M$2:M999))</f>
        <v/>
      </c>
      <c r="J67" s="157" t="str">
        <f>IF(A67="","", SUMIF(RawTotals!A$2:A999, C67, RawTotals!AC$2:AC999))</f>
        <v/>
      </c>
      <c r="K67" s="154" t="str">
        <f>IF(A67="","",SUMIF(RawTotals!A$2:A999, C67, RawTotals!W$2:W999))</f>
        <v/>
      </c>
      <c r="L67" s="157" t="str">
        <f>IF(A67="","",SUMIF(RawTotals!A$2:A999, C67, RawTotals!Q$2:Q999))</f>
        <v/>
      </c>
      <c r="M67" s="158" t="str">
        <f>IFERROR(__xludf.DUMMYFUNCTION("IFERROR(IF(A67="""","""",FILTER('Pit Scouting Responses'!J$1:J999,'Pit Scouting Responses'!C$1:C999=A67)),""NOT COLLECTED"")"),"")</f>
        <v/>
      </c>
      <c r="N67" s="76"/>
      <c r="O67" s="76"/>
      <c r="P67" s="76"/>
      <c r="Q67" s="76"/>
      <c r="R67" s="76"/>
      <c r="S67" s="76"/>
      <c r="T67" s="76"/>
      <c r="U67" s="76"/>
      <c r="V67" s="76"/>
      <c r="W67" s="76"/>
      <c r="X67" s="76"/>
      <c r="Y67" s="76"/>
      <c r="Z67" s="160"/>
      <c r="AA67" s="160"/>
      <c r="AB67" s="76"/>
      <c r="AC67" s="76"/>
      <c r="AD67" s="161"/>
      <c r="AE67" s="160"/>
      <c r="AF67" s="76"/>
    </row>
    <row r="68">
      <c r="A68" s="150" t="str">
        <f>RawTotals!A68</f>
        <v/>
      </c>
      <c r="B68" s="168"/>
      <c r="C68" s="76"/>
      <c r="D68" s="164">
        <v>67.0</v>
      </c>
      <c r="E68" s="153" t="str">
        <f>IF(A68="","", SUMIF(RawTotals!A$2:A999, C68, RawTotals!AG$2:AG999))</f>
        <v/>
      </c>
      <c r="F68" s="153" t="str">
        <f>IF(A68="","", SUMIF(RawTotals!A$2:A999, C68, RawTotals!AH$2:AH999))</f>
        <v/>
      </c>
      <c r="G68" s="154" t="str">
        <f>IF(A68="","", SUMIF(RawTotals!A$2:A999, C68, RawTotals!J$2:J999))</f>
        <v/>
      </c>
      <c r="H68" s="155" t="str">
        <f>IF(A68="","",SUMIF(RawTotals!A$2:A999, C68, RawTotals!D$2:D999))</f>
        <v/>
      </c>
      <c r="I68" s="156" t="str">
        <f>IF(A68="","",SUMIF(RawTotals!A$2:A999, C68, RawTotals!M$2:M999))</f>
        <v/>
      </c>
      <c r="J68" s="157" t="str">
        <f>IF(A68="","", SUMIF(RawTotals!A$2:A999, C68, RawTotals!AC$2:AC999))</f>
        <v/>
      </c>
      <c r="K68" s="154" t="str">
        <f>IF(A68="","",SUMIF(RawTotals!A$2:A999, C68, RawTotals!W$2:W999))</f>
        <v/>
      </c>
      <c r="L68" s="157" t="str">
        <f>IF(A68="","",SUMIF(RawTotals!A$2:A999, C68, RawTotals!Q$2:Q999))</f>
        <v/>
      </c>
      <c r="M68" s="158" t="str">
        <f>IFERROR(__xludf.DUMMYFUNCTION("IFERROR(IF(A68="""","""",FILTER('Pit Scouting Responses'!J$1:J999,'Pit Scouting Responses'!C$1:C999=A68)),""NOT COLLECTED"")"),"")</f>
        <v/>
      </c>
      <c r="N68" s="76"/>
      <c r="O68" s="76"/>
      <c r="P68" s="76"/>
      <c r="Q68" s="76"/>
      <c r="R68" s="76"/>
      <c r="S68" s="76"/>
      <c r="T68" s="76"/>
      <c r="U68" s="76"/>
      <c r="V68" s="76"/>
      <c r="W68" s="76"/>
      <c r="X68" s="76"/>
      <c r="Y68" s="76"/>
      <c r="Z68" s="160"/>
      <c r="AA68" s="160"/>
      <c r="AB68" s="76"/>
      <c r="AC68" s="76"/>
      <c r="AD68" s="161"/>
      <c r="AE68" s="160"/>
      <c r="AF68" s="76"/>
    </row>
    <row r="69">
      <c r="A69" s="150" t="str">
        <f>RawTotals!A69</f>
        <v/>
      </c>
      <c r="B69" s="168"/>
      <c r="C69" s="76"/>
      <c r="D69" s="164">
        <v>68.0</v>
      </c>
      <c r="E69" s="153" t="str">
        <f>IF(A69="","", SUMIF(RawTotals!A$2:A999, C69, RawTotals!AG$2:AG999))</f>
        <v/>
      </c>
      <c r="F69" s="153" t="str">
        <f>IF(A69="","", SUMIF(RawTotals!A$2:A999, C69, RawTotals!AH$2:AH999))</f>
        <v/>
      </c>
      <c r="G69" s="154" t="str">
        <f>IF(A69="","", SUMIF(RawTotals!A$2:A999, C69, RawTotals!J$2:J999))</f>
        <v/>
      </c>
      <c r="H69" s="155" t="str">
        <f>IF(A69="","",SUMIF(RawTotals!A$2:A999, C69, RawTotals!D$2:D999))</f>
        <v/>
      </c>
      <c r="I69" s="156" t="str">
        <f>IF(A69="","",SUMIF(RawTotals!A$2:A999, C69, RawTotals!M$2:M999))</f>
        <v/>
      </c>
      <c r="J69" s="157" t="str">
        <f>IF(A69="","", SUMIF(RawTotals!A$2:A999, C69, RawTotals!AC$2:AC999))</f>
        <v/>
      </c>
      <c r="K69" s="154" t="str">
        <f>IF(A69="","",SUMIF(RawTotals!A$2:A999, C69, RawTotals!W$2:W999))</f>
        <v/>
      </c>
      <c r="L69" s="157" t="str">
        <f>IF(A69="","",SUMIF(RawTotals!A$2:A999, C69, RawTotals!Q$2:Q999))</f>
        <v/>
      </c>
      <c r="M69" s="158" t="str">
        <f>IFERROR(__xludf.DUMMYFUNCTION("IFERROR(IF(A69="""","""",FILTER('Pit Scouting Responses'!J$1:J999,'Pit Scouting Responses'!C$1:C999=A69)),""NOT COLLECTED"")"),"")</f>
        <v/>
      </c>
      <c r="N69" s="76"/>
      <c r="O69" s="76"/>
      <c r="P69" s="76"/>
      <c r="Q69" s="76"/>
      <c r="R69" s="76"/>
      <c r="S69" s="76"/>
      <c r="T69" s="76"/>
      <c r="U69" s="76"/>
      <c r="V69" s="76"/>
      <c r="W69" s="76"/>
      <c r="X69" s="76"/>
      <c r="Y69" s="76"/>
      <c r="Z69" s="160"/>
      <c r="AA69" s="160"/>
      <c r="AB69" s="76"/>
      <c r="AC69" s="76"/>
      <c r="AD69" s="161"/>
      <c r="AE69" s="160"/>
      <c r="AF69" s="76"/>
    </row>
    <row r="70">
      <c r="A70" s="150" t="str">
        <f>RawTotals!A70</f>
        <v/>
      </c>
      <c r="B70" s="168"/>
      <c r="C70" s="76"/>
      <c r="D70" s="164">
        <v>69.0</v>
      </c>
      <c r="E70" s="153" t="str">
        <f>IF(A70="","", SUMIF(RawTotals!A$2:A999, C70, RawTotals!AG$2:AG999))</f>
        <v/>
      </c>
      <c r="F70" s="153" t="str">
        <f>IF(A70="","", SUMIF(RawTotals!A$2:A999, C70, RawTotals!AH$2:AH999))</f>
        <v/>
      </c>
      <c r="G70" s="154" t="str">
        <f>IF(A70="","", SUMIF(RawTotals!A$2:A999, C70, RawTotals!J$2:J999))</f>
        <v/>
      </c>
      <c r="H70" s="155" t="str">
        <f>IF(A70="","",SUMIF(RawTotals!A$2:A999, C70, RawTotals!D$2:D999))</f>
        <v/>
      </c>
      <c r="I70" s="156" t="str">
        <f>IF(A70="","",SUMIF(RawTotals!A$2:A999, C70, RawTotals!M$2:M999))</f>
        <v/>
      </c>
      <c r="J70" s="157" t="str">
        <f>IF(A70="","", SUMIF(RawTotals!A$2:A999, C70, RawTotals!AC$2:AC999))</f>
        <v/>
      </c>
      <c r="K70" s="154" t="str">
        <f>IF(A70="","",SUMIF(RawTotals!A$2:A999, C70, RawTotals!W$2:W999))</f>
        <v/>
      </c>
      <c r="L70" s="157" t="str">
        <f>IF(A70="","",SUMIF(RawTotals!A$2:A999, C70, RawTotals!Q$2:Q999))</f>
        <v/>
      </c>
      <c r="M70" s="158" t="str">
        <f>IFERROR(__xludf.DUMMYFUNCTION("IFERROR(IF(A70="""","""",FILTER('Pit Scouting Responses'!J$1:J999,'Pit Scouting Responses'!C$1:C999=A70)),""NOT COLLECTED"")"),"")</f>
        <v/>
      </c>
      <c r="N70" s="76"/>
      <c r="O70" s="76"/>
      <c r="P70" s="76"/>
      <c r="Q70" s="76"/>
      <c r="R70" s="76"/>
      <c r="S70" s="76"/>
      <c r="T70" s="76"/>
      <c r="U70" s="76"/>
      <c r="V70" s="76"/>
      <c r="W70" s="76"/>
      <c r="X70" s="76"/>
      <c r="Y70" s="76"/>
      <c r="Z70" s="160"/>
      <c r="AA70" s="160"/>
      <c r="AB70" s="76"/>
      <c r="AC70" s="76"/>
      <c r="AD70" s="161"/>
      <c r="AE70" s="160"/>
      <c r="AF70" s="76"/>
    </row>
    <row r="71">
      <c r="A71" s="150" t="str">
        <f>RawTotals!A71</f>
        <v/>
      </c>
      <c r="B71" s="168"/>
      <c r="C71" s="76"/>
      <c r="D71" s="164">
        <v>70.0</v>
      </c>
      <c r="E71" s="153" t="str">
        <f>IF(A71="","", SUMIF(RawTotals!A$2:A999, C71, RawTotals!AG$2:AG999))</f>
        <v/>
      </c>
      <c r="F71" s="153" t="str">
        <f>IF(A71="","", SUMIF(RawTotals!A$2:A999, C71, RawTotals!AH$2:AH999))</f>
        <v/>
      </c>
      <c r="G71" s="154" t="str">
        <f>IF(A71="","", SUMIF(RawTotals!A$2:A999, C71, RawTotals!J$2:J999))</f>
        <v/>
      </c>
      <c r="H71" s="155" t="str">
        <f>IF(A71="","",SUMIF(RawTotals!A$2:A999, C71, RawTotals!D$2:D999))</f>
        <v/>
      </c>
      <c r="I71" s="156" t="str">
        <f>IF(A71="","",SUMIF(RawTotals!A$2:A999, C71, RawTotals!M$2:M999))</f>
        <v/>
      </c>
      <c r="J71" s="157" t="str">
        <f>IF(A71="","", SUMIF(RawTotals!A$2:A999, C71, RawTotals!AC$2:AC999))</f>
        <v/>
      </c>
      <c r="K71" s="154" t="str">
        <f>IF(A71="","",SUMIF(RawTotals!A$2:A999, C71, RawTotals!W$2:W999))</f>
        <v/>
      </c>
      <c r="L71" s="157" t="str">
        <f>IF(A71="","",SUMIF(RawTotals!A$2:A999, C71, RawTotals!Q$2:Q999))</f>
        <v/>
      </c>
      <c r="M71" s="158" t="str">
        <f>IFERROR(__xludf.DUMMYFUNCTION("IFERROR(IF(A71="""","""",FILTER('Pit Scouting Responses'!J$1:J999,'Pit Scouting Responses'!C$1:C999=A71)),""NOT COLLECTED"")"),"")</f>
        <v/>
      </c>
      <c r="N71" s="76"/>
      <c r="O71" s="76"/>
      <c r="P71" s="76"/>
      <c r="Q71" s="76"/>
      <c r="R71" s="76"/>
      <c r="S71" s="76"/>
      <c r="T71" s="76"/>
      <c r="U71" s="76"/>
      <c r="V71" s="76"/>
      <c r="W71" s="76"/>
      <c r="X71" s="76"/>
      <c r="Y71" s="76"/>
      <c r="Z71" s="160"/>
      <c r="AA71" s="160"/>
      <c r="AB71" s="76"/>
      <c r="AC71" s="76"/>
      <c r="AD71" s="161"/>
      <c r="AE71" s="160"/>
      <c r="AF71" s="76"/>
    </row>
    <row r="72">
      <c r="A72" s="150" t="str">
        <f>RawTotals!A72</f>
        <v/>
      </c>
      <c r="B72" s="168"/>
      <c r="C72" s="76"/>
      <c r="D72" s="164">
        <v>71.0</v>
      </c>
      <c r="E72" s="153" t="str">
        <f>IF(A72="","", SUMIF(RawTotals!A$2:A999, C72, RawTotals!AG$2:AG999))</f>
        <v/>
      </c>
      <c r="F72" s="153" t="str">
        <f>IF(A72="","", SUMIF(RawTotals!A$2:A999, C72, RawTotals!AH$2:AH999))</f>
        <v/>
      </c>
      <c r="G72" s="154" t="str">
        <f>IF(A72="","", SUMIF(RawTotals!A$2:A999, C72, RawTotals!J$2:J999))</f>
        <v/>
      </c>
      <c r="H72" s="155" t="str">
        <f>IF(A72="","",SUMIF(RawTotals!A$2:A999, C72, RawTotals!D$2:D999))</f>
        <v/>
      </c>
      <c r="I72" s="156" t="str">
        <f>IF(A72="","",SUMIF(RawTotals!A$2:A999, C72, RawTotals!M$2:M999))</f>
        <v/>
      </c>
      <c r="J72" s="157" t="str">
        <f>IF(A72="","", SUMIF(RawTotals!A$2:A999, C72, RawTotals!AC$2:AC999))</f>
        <v/>
      </c>
      <c r="K72" s="154" t="str">
        <f>IF(A72="","",SUMIF(RawTotals!A$2:A999, C72, RawTotals!W$2:W999))</f>
        <v/>
      </c>
      <c r="L72" s="157" t="str">
        <f>IF(A72="","",SUMIF(RawTotals!A$2:A999, C72, RawTotals!Q$2:Q999))</f>
        <v/>
      </c>
      <c r="M72" s="158" t="str">
        <f>IFERROR(__xludf.DUMMYFUNCTION("IFERROR(IF(A72="""","""",FILTER('Pit Scouting Responses'!J$1:J999,'Pit Scouting Responses'!C$1:C999=A72)),""NOT COLLECTED"")"),"")</f>
        <v/>
      </c>
      <c r="N72" s="76"/>
      <c r="O72" s="76"/>
      <c r="P72" s="76"/>
      <c r="Q72" s="76"/>
      <c r="R72" s="76"/>
      <c r="S72" s="76"/>
      <c r="T72" s="76"/>
      <c r="U72" s="76"/>
      <c r="V72" s="76"/>
      <c r="W72" s="76"/>
      <c r="X72" s="76"/>
      <c r="Y72" s="76"/>
      <c r="Z72" s="160"/>
      <c r="AA72" s="160"/>
      <c r="AB72" s="76"/>
      <c r="AC72" s="76"/>
      <c r="AD72" s="161"/>
      <c r="AE72" s="160"/>
      <c r="AF72" s="76"/>
    </row>
    <row r="73">
      <c r="A73" s="150" t="str">
        <f>RawTotals!A73</f>
        <v/>
      </c>
      <c r="B73" s="168"/>
      <c r="C73" s="76"/>
      <c r="D73" s="164">
        <v>72.0</v>
      </c>
      <c r="E73" s="153" t="str">
        <f>IF(A73="","", SUMIF(RawTotals!A$2:A999, C73, RawTotals!AG$2:AG999))</f>
        <v/>
      </c>
      <c r="F73" s="153" t="str">
        <f>IF(A73="","", SUMIF(RawTotals!A$2:A999, C73, RawTotals!AH$2:AH999))</f>
        <v/>
      </c>
      <c r="G73" s="154" t="str">
        <f>IF(A73="","", SUMIF(RawTotals!A$2:A999, C73, RawTotals!J$2:J999))</f>
        <v/>
      </c>
      <c r="H73" s="155" t="str">
        <f>IF(A73="","",SUMIF(RawTotals!A$2:A999, C73, RawTotals!D$2:D999))</f>
        <v/>
      </c>
      <c r="I73" s="156" t="str">
        <f>IF(A73="","",SUMIF(RawTotals!A$2:A999, C73, RawTotals!M$2:M999))</f>
        <v/>
      </c>
      <c r="J73" s="157" t="str">
        <f>IF(A73="","", SUMIF(RawTotals!A$2:A999, C73, RawTotals!AC$2:AC999))</f>
        <v/>
      </c>
      <c r="K73" s="154" t="str">
        <f>IF(A73="","",SUMIF(RawTotals!A$2:A999, C73, RawTotals!W$2:W999))</f>
        <v/>
      </c>
      <c r="L73" s="157" t="str">
        <f>IF(A73="","",SUMIF(RawTotals!A$2:A999, C73, RawTotals!Q$2:Q999))</f>
        <v/>
      </c>
      <c r="M73" s="158" t="str">
        <f>IFERROR(__xludf.DUMMYFUNCTION("IFERROR(IF(A73="""","""",FILTER('Pit Scouting Responses'!J$1:J999,'Pit Scouting Responses'!C$1:C999=A73)),""NOT COLLECTED"")"),"")</f>
        <v/>
      </c>
      <c r="N73" s="76"/>
      <c r="O73" s="76"/>
      <c r="P73" s="76"/>
      <c r="Q73" s="76"/>
      <c r="R73" s="76"/>
      <c r="S73" s="76"/>
      <c r="T73" s="76"/>
      <c r="U73" s="76"/>
      <c r="V73" s="76"/>
      <c r="W73" s="76"/>
      <c r="X73" s="76"/>
      <c r="Y73" s="76"/>
      <c r="Z73" s="160"/>
      <c r="AA73" s="160"/>
      <c r="AB73" s="76"/>
      <c r="AC73" s="76"/>
      <c r="AD73" s="161"/>
      <c r="AE73" s="160"/>
      <c r="AF73" s="76"/>
    </row>
    <row r="74">
      <c r="A74" s="150" t="str">
        <f>RawTotals!A74</f>
        <v/>
      </c>
      <c r="B74" s="168"/>
      <c r="C74" s="76"/>
      <c r="D74" s="164">
        <v>73.0</v>
      </c>
      <c r="E74" s="153" t="str">
        <f>IF(A74="","", SUMIF(RawTotals!A$2:A999, C74, RawTotals!AG$2:AG999))</f>
        <v/>
      </c>
      <c r="F74" s="153" t="str">
        <f>IF(A74="","", SUMIF(RawTotals!A$2:A999, C74, RawTotals!AH$2:AH999))</f>
        <v/>
      </c>
      <c r="G74" s="154" t="str">
        <f>IF(A74="","", SUMIF(RawTotals!A$2:A999, C74, RawTotals!J$2:J999))</f>
        <v/>
      </c>
      <c r="H74" s="155" t="str">
        <f>IF(A74="","",SUMIF(RawTotals!A$2:A999, C74, RawTotals!D$2:D999))</f>
        <v/>
      </c>
      <c r="I74" s="156" t="str">
        <f>IF(A74="","",SUMIF(RawTotals!A$2:A999, C74, RawTotals!M$2:M999))</f>
        <v/>
      </c>
      <c r="J74" s="157" t="str">
        <f>IF(A74="","", SUMIF(RawTotals!A$2:A999, C74, RawTotals!AC$2:AC999))</f>
        <v/>
      </c>
      <c r="K74" s="154" t="str">
        <f>IF(A74="","",SUMIF(RawTotals!A$2:A999, C74, RawTotals!W$2:W999))</f>
        <v/>
      </c>
      <c r="L74" s="157" t="str">
        <f>IF(A74="","",SUMIF(RawTotals!A$2:A999, C74, RawTotals!Q$2:Q999))</f>
        <v/>
      </c>
      <c r="M74" s="158" t="str">
        <f>IFERROR(__xludf.DUMMYFUNCTION("IFERROR(IF(A74="""","""",FILTER('Pit Scouting Responses'!J$1:J999,'Pit Scouting Responses'!C$1:C999=A74)),""NOT COLLECTED"")"),"")</f>
        <v/>
      </c>
      <c r="N74" s="76"/>
      <c r="O74" s="76"/>
      <c r="P74" s="76"/>
      <c r="Q74" s="76"/>
      <c r="R74" s="76"/>
      <c r="S74" s="76"/>
      <c r="T74" s="76"/>
      <c r="U74" s="76"/>
      <c r="V74" s="76"/>
      <c r="W74" s="76"/>
      <c r="X74" s="76"/>
      <c r="Y74" s="76"/>
      <c r="Z74" s="160"/>
      <c r="AA74" s="160"/>
      <c r="AB74" s="76"/>
      <c r="AC74" s="76"/>
      <c r="AD74" s="161"/>
      <c r="AE74" s="160"/>
      <c r="AF74" s="76"/>
    </row>
    <row r="75">
      <c r="A75" s="150" t="str">
        <f>RawTotals!A75</f>
        <v/>
      </c>
      <c r="B75" s="168"/>
      <c r="C75" s="76"/>
      <c r="D75" s="164">
        <v>74.0</v>
      </c>
      <c r="E75" s="153" t="str">
        <f>IF(A75="","", SUMIF(RawTotals!A$2:A999, C75, RawTotals!AG$2:AG999))</f>
        <v/>
      </c>
      <c r="F75" s="153" t="str">
        <f>IF(A75="","", SUMIF(RawTotals!A$2:A999, C75, RawTotals!AH$2:AH999))</f>
        <v/>
      </c>
      <c r="G75" s="154" t="str">
        <f>IF(A75="","", SUMIF(RawTotals!A$2:A999, C75, RawTotals!J$2:J999))</f>
        <v/>
      </c>
      <c r="H75" s="155" t="str">
        <f>IF(A75="","",SUMIF(RawTotals!A$2:A999, C75, RawTotals!D$2:D999))</f>
        <v/>
      </c>
      <c r="I75" s="156" t="str">
        <f>IF(A75="","",SUMIF(RawTotals!A$2:A999, C75, RawTotals!M$2:M999))</f>
        <v/>
      </c>
      <c r="J75" s="157" t="str">
        <f>IF(A75="","", SUMIF(RawTotals!A$2:A999, C75, RawTotals!AC$2:AC999))</f>
        <v/>
      </c>
      <c r="K75" s="154" t="str">
        <f>IF(A75="","",SUMIF(RawTotals!A$2:A999, C75, RawTotals!W$2:W999))</f>
        <v/>
      </c>
      <c r="L75" s="157" t="str">
        <f>IF(A75="","",SUMIF(RawTotals!A$2:A999, C75, RawTotals!Q$2:Q999))</f>
        <v/>
      </c>
      <c r="M75" s="158" t="str">
        <f>IFERROR(__xludf.DUMMYFUNCTION("IFERROR(IF(A75="""","""",FILTER('Pit Scouting Responses'!J$1:J999,'Pit Scouting Responses'!C$1:C999=A75)),""NOT COLLECTED"")"),"")</f>
        <v/>
      </c>
      <c r="N75" s="76"/>
      <c r="O75" s="76"/>
      <c r="P75" s="76"/>
      <c r="Q75" s="76"/>
      <c r="R75" s="76"/>
      <c r="S75" s="76"/>
      <c r="T75" s="76"/>
      <c r="U75" s="76"/>
      <c r="V75" s="76"/>
      <c r="W75" s="76"/>
      <c r="X75" s="76"/>
      <c r="Y75" s="76"/>
      <c r="Z75" s="160"/>
      <c r="AA75" s="160"/>
      <c r="AB75" s="76"/>
      <c r="AC75" s="76"/>
      <c r="AD75" s="161"/>
      <c r="AE75" s="160"/>
      <c r="AF75" s="76"/>
    </row>
    <row r="76">
      <c r="A76" s="111" t="str">
        <f>RawTotals!A76</f>
        <v/>
      </c>
      <c r="B76" s="170"/>
      <c r="C76" s="76"/>
      <c r="D76" s="171"/>
      <c r="E76" s="42" t="str">
        <f>IF(A76="","", SUMIF(RawTotals!A$2:A999, C76, RawTotals!AG$2:AG999))</f>
        <v/>
      </c>
      <c r="F76" s="42" t="str">
        <f>IF(A76="","", SUMIF(RawTotals!A$2:A999, C76, RawTotals!AH$2:AH999))</f>
        <v/>
      </c>
      <c r="G76" s="154" t="str">
        <f>IF(A76="","", SUMIF(RawTotals!A$2:A999, C76, RawTotals!J$2:J999))</f>
        <v/>
      </c>
      <c r="H76" s="155" t="str">
        <f>IF(A76="","",SUMIF(RawTotals!A$2:A999, C76, RawTotals!D$2:D999))</f>
        <v/>
      </c>
      <c r="I76" s="156" t="str">
        <f>IF(A76="","",SUMIF(RawTotals!A$2:A999, C76, RawTotals!M$2:M999))</f>
        <v/>
      </c>
      <c r="J76" s="157" t="str">
        <f>IF(A76="","", SUMIF(RawTotals!A$2:A999, C76, RawTotals!AC$2:AC999))</f>
        <v/>
      </c>
      <c r="K76" s="86" t="str">
        <f>IF(A76="","",SUMIF(RawTotals!A$2:A999, C76, RawTotals!W$2:W999))</f>
        <v/>
      </c>
      <c r="L76" s="158" t="str">
        <f>IF(A76="","",SUMIF(RawTotals!A$2:A999, C76, RawTotals!Q$2:Q999))</f>
        <v/>
      </c>
      <c r="M76" s="158" t="str">
        <f>IFERROR(__xludf.DUMMYFUNCTION("IFERROR(IF(A76="""","""",FILTER('Pit Scouting Responses'!J$1:J999,'Pit Scouting Responses'!C$1:C999=A76)),""NOT COLLECTED"")"),"")</f>
        <v/>
      </c>
      <c r="N76" s="76"/>
      <c r="O76" s="76"/>
      <c r="P76" s="76"/>
      <c r="Q76" s="76"/>
      <c r="R76" s="76"/>
      <c r="S76" s="76"/>
      <c r="T76" s="76"/>
      <c r="U76" s="76"/>
      <c r="V76" s="76"/>
      <c r="W76" s="76"/>
      <c r="X76" s="76"/>
      <c r="Y76" s="76"/>
      <c r="Z76" s="160"/>
      <c r="AA76" s="160"/>
      <c r="AB76" s="76"/>
      <c r="AC76" s="76"/>
      <c r="AD76" s="161"/>
      <c r="AE76" s="160"/>
      <c r="AF76" s="76"/>
    </row>
    <row r="77">
      <c r="A77" s="111" t="str">
        <f>RawTotals!A77</f>
        <v/>
      </c>
      <c r="B77" s="170"/>
      <c r="C77" s="111" t="str">
        <f>(PicklistComputer!K77)</f>
        <v/>
      </c>
      <c r="D77" s="171"/>
      <c r="E77" s="42" t="str">
        <f>IF(A77="","", SUMIF(RawTotals!A$2:A999, C77, RawTotals!AG$2:AG999))</f>
        <v/>
      </c>
      <c r="F77" s="42" t="str">
        <f>IF(A77="","", SUMIF(RawTotals!A$2:A999, C77, RawTotals!AH$2:AH999))</f>
        <v/>
      </c>
      <c r="G77" s="154" t="str">
        <f>IF(A77="","", SUMIF(RawTotals!A$2:A999, C77, RawTotals!J$2:J999))</f>
        <v/>
      </c>
      <c r="H77" s="155" t="str">
        <f>IF(A77="","",SUMIF(RawTotals!A$2:A999, C77, RawTotals!D$2:D999))</f>
        <v/>
      </c>
      <c r="I77" s="156" t="str">
        <f>IF(A77="","",SUMIF(RawTotals!A$2:A999, C77, RawTotals!M$2:M999))</f>
        <v/>
      </c>
      <c r="J77" s="157" t="str">
        <f>IF(A77="","", SUMIF(RawTotals!A$2:A999, C77, RawTotals!AC$2:AC999))</f>
        <v/>
      </c>
      <c r="K77" s="86" t="str">
        <f>IF(A77="","",SUMIF(RawTotals!A$2:A999, C77, RawTotals!W$2:W999))</f>
        <v/>
      </c>
      <c r="L77" s="158" t="str">
        <f>IF(A77="","",SUMIF(RawTotals!A$2:A999, C77, RawTotals!Q$2:Q999))</f>
        <v/>
      </c>
      <c r="M77" s="158" t="str">
        <f>IFERROR(__xludf.DUMMYFUNCTION("IFERROR(IF(A77="""","""",FILTER('Pit Scouting Responses'!J$1:J999,'Pit Scouting Responses'!C$1:C999=A77)),""NOT COLLECTED"")"),"")</f>
        <v/>
      </c>
      <c r="N77" s="76"/>
      <c r="O77" s="76"/>
      <c r="P77" s="76"/>
      <c r="Q77" s="76"/>
      <c r="R77" s="76"/>
      <c r="S77" s="76"/>
      <c r="T77" s="76"/>
      <c r="U77" s="76"/>
      <c r="V77" s="76"/>
      <c r="W77" s="76"/>
      <c r="X77" s="76"/>
      <c r="Y77" s="76"/>
      <c r="Z77" s="160"/>
      <c r="AA77" s="160"/>
      <c r="AB77" s="76"/>
      <c r="AC77" s="76"/>
      <c r="AD77" s="161"/>
      <c r="AE77" s="160"/>
      <c r="AF77" s="76"/>
    </row>
    <row r="78">
      <c r="A78" s="111" t="str">
        <f>RawTotals!A78</f>
        <v/>
      </c>
      <c r="B78" s="170"/>
      <c r="C78" s="111" t="str">
        <f>(PicklistComputer!K78)</f>
        <v/>
      </c>
      <c r="D78" s="171"/>
      <c r="E78" s="42" t="str">
        <f>IF(A78="","", SUMIF(RawTotals!A$2:A999, C78, RawTotals!AG$2:AG999))</f>
        <v/>
      </c>
      <c r="F78" s="42" t="str">
        <f>IF(A78="","", SUMIF(RawTotals!A$2:A999, C78, RawTotals!AH$2:AH999))</f>
        <v/>
      </c>
      <c r="G78" s="154" t="str">
        <f>IF(A78="","", SUMIF(RawTotals!A$2:A999, C78, RawTotals!J$2:J999))</f>
        <v/>
      </c>
      <c r="H78" s="155" t="str">
        <f>IF(A78="","",SUMIF(RawTotals!A$2:A999, C78, RawTotals!D$2:D999))</f>
        <v/>
      </c>
      <c r="I78" s="156" t="str">
        <f>IF(A78="","",SUMIF(RawTotals!A$2:A999, C78, RawTotals!M$2:M999))</f>
        <v/>
      </c>
      <c r="J78" s="157" t="str">
        <f>IF(A78="","", SUMIF(RawTotals!A$2:A999, C78, RawTotals!AC$2:AC999))</f>
        <v/>
      </c>
      <c r="K78" s="86" t="str">
        <f>IF(A78="","",SUMIF(RawTotals!A$2:A999, C78, RawTotals!W$2:W999))</f>
        <v/>
      </c>
      <c r="L78" s="158" t="str">
        <f>IF(A78="","",SUMIF(RawTotals!A$2:A999, C78, RawTotals!Q$2:Q999))</f>
        <v/>
      </c>
      <c r="M78" s="158" t="str">
        <f>IFERROR(__xludf.DUMMYFUNCTION("IFERROR(IF(A78="""","""",FILTER('Pit Scouting Responses'!J$1:J999,'Pit Scouting Responses'!C$1:C999=A78)),""NOT COLLECTED"")"),"")</f>
        <v/>
      </c>
      <c r="N78" s="76"/>
      <c r="O78" s="76"/>
      <c r="P78" s="76"/>
      <c r="Q78" s="76"/>
      <c r="R78" s="76"/>
      <c r="S78" s="76"/>
      <c r="T78" s="76"/>
      <c r="U78" s="76"/>
      <c r="V78" s="76"/>
      <c r="W78" s="76"/>
      <c r="X78" s="76"/>
      <c r="Y78" s="76"/>
      <c r="Z78" s="160"/>
      <c r="AA78" s="160"/>
      <c r="AB78" s="76"/>
      <c r="AC78" s="76"/>
      <c r="AD78" s="161"/>
      <c r="AE78" s="160"/>
      <c r="AF78" s="76"/>
    </row>
    <row r="79">
      <c r="A79" s="111" t="str">
        <f>RawTotals!A79</f>
        <v/>
      </c>
      <c r="B79" s="170"/>
      <c r="C79" s="111" t="str">
        <f>(PicklistComputer!K79)</f>
        <v/>
      </c>
      <c r="D79" s="171"/>
      <c r="E79" s="42" t="str">
        <f>IF(A79="","", SUMIF(RawTotals!A$2:A999, C79, RawTotals!AG$2:AG999))</f>
        <v/>
      </c>
      <c r="F79" s="42" t="str">
        <f>IF(A79="","", SUMIF(RawTotals!A$2:A999, C79, RawTotals!AH$2:AH999))</f>
        <v/>
      </c>
      <c r="G79" s="154" t="str">
        <f>IF(A79="","", SUMIF(RawTotals!A$2:A999, C79, RawTotals!J$2:J999))</f>
        <v/>
      </c>
      <c r="H79" s="155" t="str">
        <f>IF(A79="","",SUMIF(RawTotals!A$2:A999, C79, RawTotals!D$2:D999))</f>
        <v/>
      </c>
      <c r="I79" s="156" t="str">
        <f>IF(A79="","",SUMIF(RawTotals!A$2:A999, C79, RawTotals!M$2:M999))</f>
        <v/>
      </c>
      <c r="J79" s="157" t="str">
        <f>IF(A79="","", SUMIF(RawTotals!A$2:A999, C79, RawTotals!AC$2:AC999))</f>
        <v/>
      </c>
      <c r="K79" s="86" t="str">
        <f>IF(A79="","",SUMIF(RawTotals!A$2:A999, C79, RawTotals!W$2:W999))</f>
        <v/>
      </c>
      <c r="L79" s="158" t="str">
        <f>IF(A79="","",SUMIF(RawTotals!A$2:A999, C79, RawTotals!Q$2:Q999))</f>
        <v/>
      </c>
      <c r="M79" s="158" t="str">
        <f>IFERROR(__xludf.DUMMYFUNCTION("IFERROR(IF(A79="""","""",FILTER('Pit Scouting Responses'!J$1:J999,'Pit Scouting Responses'!C$1:C999=A79)),""NOT COLLECTED"")"),"")</f>
        <v/>
      </c>
      <c r="N79" s="76"/>
      <c r="O79" s="76"/>
      <c r="P79" s="76"/>
      <c r="Q79" s="76"/>
      <c r="R79" s="76"/>
      <c r="S79" s="76"/>
      <c r="T79" s="76"/>
      <c r="U79" s="76"/>
      <c r="V79" s="76"/>
      <c r="W79" s="76"/>
      <c r="X79" s="76"/>
      <c r="Y79" s="76"/>
      <c r="Z79" s="160"/>
      <c r="AA79" s="160"/>
      <c r="AB79" s="76"/>
      <c r="AC79" s="76"/>
      <c r="AD79" s="161"/>
      <c r="AE79" s="160"/>
      <c r="AF79" s="76"/>
    </row>
    <row r="80">
      <c r="A80" s="111" t="str">
        <f>RawTotals!A80</f>
        <v/>
      </c>
      <c r="B80" s="170"/>
      <c r="C80" s="111" t="str">
        <f>(PicklistComputer!K80)</f>
        <v/>
      </c>
      <c r="D80" s="171"/>
      <c r="E80" s="42" t="str">
        <f>IF(A80="","", SUMIF(RawTotals!A$2:A999, C80, RawTotals!AG$2:AG999))</f>
        <v/>
      </c>
      <c r="F80" s="42" t="str">
        <f>IF(A80="","", SUMIF(RawTotals!A$2:A999, C80, RawTotals!AH$2:AH999))</f>
        <v/>
      </c>
      <c r="G80" s="154" t="str">
        <f>IF(A80="","", SUMIF(RawTotals!A$2:A999, C80, RawTotals!J$2:J999))</f>
        <v/>
      </c>
      <c r="H80" s="155" t="str">
        <f>IF(A80="","",SUMIF(RawTotals!A$2:A999, C80, RawTotals!D$2:D999))</f>
        <v/>
      </c>
      <c r="I80" s="156" t="str">
        <f>IF(A80="","",SUMIF(RawTotals!A$2:A999, C80, RawTotals!M$2:M999))</f>
        <v/>
      </c>
      <c r="J80" s="157" t="str">
        <f>IF(A80="","", SUMIF(RawTotals!A$2:A999, C80, RawTotals!AC$2:AC999))</f>
        <v/>
      </c>
      <c r="K80" s="86" t="str">
        <f>IF(A80="","",SUMIF(RawTotals!A$2:A999, C80, RawTotals!W$2:W999))</f>
        <v/>
      </c>
      <c r="L80" s="158" t="str">
        <f>IF(A80="","",SUMIF(RawTotals!A$2:A999, C80, RawTotals!Q$2:Q999))</f>
        <v/>
      </c>
      <c r="M80" s="158" t="str">
        <f>IFERROR(__xludf.DUMMYFUNCTION("IFERROR(IF(A80="""","""",FILTER('Pit Scouting Responses'!J$1:J999,'Pit Scouting Responses'!C$1:C999=A80)),""NOT COLLECTED"")"),"")</f>
        <v/>
      </c>
      <c r="N80" s="76"/>
      <c r="O80" s="76"/>
      <c r="P80" s="76"/>
      <c r="Q80" s="76"/>
      <c r="R80" s="76"/>
      <c r="S80" s="76"/>
      <c r="T80" s="76"/>
      <c r="U80" s="76"/>
      <c r="V80" s="76"/>
      <c r="W80" s="76"/>
      <c r="X80" s="76"/>
      <c r="Y80" s="76"/>
      <c r="Z80" s="160"/>
      <c r="AA80" s="160"/>
      <c r="AB80" s="76"/>
      <c r="AC80" s="76"/>
      <c r="AD80" s="161"/>
      <c r="AE80" s="160"/>
      <c r="AF80" s="76"/>
    </row>
    <row r="81">
      <c r="A81" s="111" t="str">
        <f>RawTotals!A81</f>
        <v/>
      </c>
      <c r="B81" s="170"/>
      <c r="C81" s="111" t="str">
        <f>(PicklistComputer!K81)</f>
        <v/>
      </c>
      <c r="D81" s="171"/>
      <c r="E81" s="42" t="str">
        <f>IF(A81="","", SUMIF(RawTotals!A$2:A999, C81, RawTotals!AG$2:AG999))</f>
        <v/>
      </c>
      <c r="F81" s="42" t="str">
        <f>IF(A81="","", SUMIF(RawTotals!A$2:A999, C81, RawTotals!AH$2:AH999))</f>
        <v/>
      </c>
      <c r="G81" s="154" t="str">
        <f>IF(A81="","", SUMIF(RawTotals!A$2:A999, C81, RawTotals!J$2:J999))</f>
        <v/>
      </c>
      <c r="H81" s="155" t="str">
        <f>IF(A81="","",SUMIF(RawTotals!A$2:A999, C81, RawTotals!D$2:D999))</f>
        <v/>
      </c>
      <c r="I81" s="156" t="str">
        <f>IF(A81="","",SUMIF(RawTotals!A$2:A999, C81, RawTotals!M$2:M999))</f>
        <v/>
      </c>
      <c r="J81" s="157" t="str">
        <f>IF(A81="","", SUMIF(RawTotals!A$2:A999, C81, RawTotals!AC$2:AC999))</f>
        <v/>
      </c>
      <c r="K81" s="86" t="str">
        <f>IF(A81="","",SUMIF(RawTotals!A$2:A999, C81, RawTotals!W$2:W999))</f>
        <v/>
      </c>
      <c r="L81" s="158" t="str">
        <f>IF(A81="","",SUMIF(RawTotals!A$2:A999, C81, RawTotals!Q$2:Q999))</f>
        <v/>
      </c>
      <c r="M81" s="158" t="str">
        <f>IFERROR(__xludf.DUMMYFUNCTION("IFERROR(IF(A81="""","""",FILTER('Pit Scouting Responses'!J$1:J999,'Pit Scouting Responses'!C$1:C999=A81)),""NOT COLLECTED"")"),"")</f>
        <v/>
      </c>
      <c r="N81" s="76"/>
      <c r="O81" s="76"/>
      <c r="P81" s="76"/>
      <c r="Q81" s="76"/>
      <c r="R81" s="76"/>
      <c r="S81" s="76"/>
      <c r="T81" s="76"/>
      <c r="U81" s="76"/>
      <c r="V81" s="76"/>
      <c r="W81" s="76"/>
      <c r="X81" s="76"/>
      <c r="Y81" s="76"/>
      <c r="Z81" s="160"/>
      <c r="AA81" s="160"/>
      <c r="AB81" s="76"/>
      <c r="AC81" s="76"/>
      <c r="AD81" s="161"/>
      <c r="AE81" s="160"/>
      <c r="AF81" s="76"/>
    </row>
    <row r="82">
      <c r="A82" s="111" t="str">
        <f>RawTotals!A82</f>
        <v/>
      </c>
      <c r="B82" s="170"/>
      <c r="C82" s="111" t="str">
        <f>(PicklistComputer!K82)</f>
        <v/>
      </c>
      <c r="D82" s="171"/>
      <c r="E82" s="42" t="str">
        <f>IF(A82="","", SUMIF(RawTotals!A$2:A999, C82, RawTotals!AG$2:AG999))</f>
        <v/>
      </c>
      <c r="F82" s="42" t="str">
        <f>IF(A82="","", SUMIF(RawTotals!A$2:A999, C82, RawTotals!AH$2:AH999))</f>
        <v/>
      </c>
      <c r="G82" s="154" t="str">
        <f>IF(A82="","", SUMIF(RawTotals!A$2:A999, C82, RawTotals!J$2:J999))</f>
        <v/>
      </c>
      <c r="H82" s="155" t="str">
        <f>IF(A82="","",SUMIF(RawTotals!A$2:A999, C82, RawTotals!D$2:D999))</f>
        <v/>
      </c>
      <c r="I82" s="156" t="str">
        <f>IF(A82="","",SUMIF(RawTotals!A$2:A999, C82, RawTotals!M$2:M999))</f>
        <v/>
      </c>
      <c r="J82" s="157" t="str">
        <f>IF(A82="","", SUMIF(RawTotals!A$2:A999, C82, RawTotals!AC$2:AC999))</f>
        <v/>
      </c>
      <c r="K82" s="86" t="str">
        <f>IF(A82="","",SUMIF(RawTotals!A$2:A999, C82, RawTotals!W$2:W999))</f>
        <v/>
      </c>
      <c r="L82" s="158" t="str">
        <f>IF(A82="","",SUMIF(RawTotals!A$2:A999, C82, RawTotals!Q$2:Q999))</f>
        <v/>
      </c>
      <c r="M82" s="158" t="str">
        <f>IFERROR(__xludf.DUMMYFUNCTION("IFERROR(IF(A82="""","""",FILTER('Pit Scouting Responses'!J$1:J999,'Pit Scouting Responses'!C$1:C999=A82)),""NOT COLLECTED"")"),"")</f>
        <v/>
      </c>
      <c r="N82" s="76"/>
      <c r="O82" s="76"/>
      <c r="P82" s="76"/>
      <c r="Q82" s="76"/>
      <c r="R82" s="76"/>
      <c r="S82" s="76"/>
      <c r="T82" s="76"/>
      <c r="U82" s="76"/>
      <c r="V82" s="76"/>
      <c r="W82" s="76"/>
      <c r="X82" s="76"/>
      <c r="Y82" s="76"/>
      <c r="Z82" s="160"/>
      <c r="AA82" s="160"/>
      <c r="AB82" s="76"/>
      <c r="AC82" s="76"/>
      <c r="AD82" s="161"/>
      <c r="AE82" s="160"/>
      <c r="AF82" s="76"/>
    </row>
    <row r="83">
      <c r="A83" s="111" t="str">
        <f>RawTotals!A83</f>
        <v/>
      </c>
      <c r="B83" s="170"/>
      <c r="C83" s="111" t="str">
        <f>(PicklistComputer!K83)</f>
        <v/>
      </c>
      <c r="D83" s="171"/>
      <c r="E83" s="42" t="str">
        <f>IF(A83="","", SUMIF(RawTotals!A$2:A999, C83, RawTotals!AG$2:AG999))</f>
        <v/>
      </c>
      <c r="F83" s="42" t="str">
        <f>IF(A83="","", SUMIF(RawTotals!A$2:A999, C83, RawTotals!AH$2:AH999))</f>
        <v/>
      </c>
      <c r="G83" s="154" t="str">
        <f>IF(A83="","", SUMIF(RawTotals!A$2:A999, C83, RawTotals!J$2:J999))</f>
        <v/>
      </c>
      <c r="H83" s="155" t="str">
        <f>IF(A83="","",SUMIF(RawTotals!A$2:A999, C83, RawTotals!D$2:D999))</f>
        <v/>
      </c>
      <c r="I83" s="156" t="str">
        <f>IF(A83="","",SUMIF(RawTotals!A$2:A999, C83, RawTotals!M$2:M999))</f>
        <v/>
      </c>
      <c r="J83" s="157" t="str">
        <f>IF(A83="","", SUMIF(RawTotals!A$2:A999, C83, RawTotals!AC$2:AC999))</f>
        <v/>
      </c>
      <c r="K83" s="86" t="str">
        <f>IF(A83="","",SUMIF(RawTotals!A$2:A999, C83, RawTotals!W$2:W999))</f>
        <v/>
      </c>
      <c r="L83" s="158" t="str">
        <f>IF(A83="","",SUMIF(RawTotals!A$2:A999, C83, RawTotals!Q$2:Q999))</f>
        <v/>
      </c>
      <c r="M83" s="158" t="str">
        <f>IFERROR(__xludf.DUMMYFUNCTION("IFERROR(IF(A83="""","""",FILTER('Pit Scouting Responses'!J$1:J999,'Pit Scouting Responses'!C$1:C999=A83)),""NOT COLLECTED"")"),"")</f>
        <v/>
      </c>
      <c r="N83" s="76"/>
      <c r="O83" s="76"/>
      <c r="P83" s="76"/>
      <c r="Q83" s="76"/>
      <c r="R83" s="76"/>
      <c r="S83" s="76"/>
      <c r="T83" s="76"/>
      <c r="U83" s="76"/>
      <c r="V83" s="76"/>
      <c r="W83" s="76"/>
      <c r="X83" s="76"/>
      <c r="Y83" s="76"/>
      <c r="Z83" s="160"/>
      <c r="AA83" s="160"/>
      <c r="AB83" s="76"/>
      <c r="AC83" s="76"/>
      <c r="AD83" s="161"/>
      <c r="AE83" s="160"/>
      <c r="AF83" s="76"/>
    </row>
    <row r="84">
      <c r="A84" s="111" t="str">
        <f>RawTotals!A84</f>
        <v/>
      </c>
      <c r="B84" s="170"/>
      <c r="C84" s="111" t="str">
        <f>(PicklistComputer!K84)</f>
        <v/>
      </c>
      <c r="D84" s="171"/>
      <c r="E84" s="42" t="str">
        <f>IF(A84="","", SUMIF(RawTotals!A$2:A999, C84, RawTotals!AG$2:AG999))</f>
        <v/>
      </c>
      <c r="F84" s="42" t="str">
        <f>IF(A84="","", SUMIF(RawTotals!A$2:A999, C84, RawTotals!AH$2:AH999))</f>
        <v/>
      </c>
      <c r="G84" s="154" t="str">
        <f>IF(A84="","", SUMIF(RawTotals!A$2:A999, C84, RawTotals!J$2:J999))</f>
        <v/>
      </c>
      <c r="H84" s="155" t="str">
        <f>IF(A84="","",SUMIF(RawTotals!A$2:A999, C84, RawTotals!D$2:D999))</f>
        <v/>
      </c>
      <c r="I84" s="156" t="str">
        <f>IF(A84="","",SUMIF(RawTotals!A$2:A999, C84, RawTotals!M$2:M999))</f>
        <v/>
      </c>
      <c r="J84" s="157" t="str">
        <f>IF(A84="","", SUMIF(RawTotals!A$2:A999, C84, RawTotals!AC$2:AC999))</f>
        <v/>
      </c>
      <c r="K84" s="86" t="str">
        <f>IF(A84="","",SUMIF(RawTotals!A$2:A999, C84, RawTotals!W$2:W999))</f>
        <v/>
      </c>
      <c r="L84" s="158" t="str">
        <f>IF(A84="","",SUMIF(RawTotals!A$2:A999, C84, RawTotals!Q$2:Q999))</f>
        <v/>
      </c>
      <c r="M84" s="158" t="str">
        <f>IFERROR(__xludf.DUMMYFUNCTION("IFERROR(IF(A84="""","""",FILTER('Pit Scouting Responses'!J$1:J999,'Pit Scouting Responses'!C$1:C999=A84)),""NOT COLLECTED"")"),"")</f>
        <v/>
      </c>
      <c r="N84" s="76"/>
      <c r="O84" s="76"/>
      <c r="P84" s="76"/>
      <c r="Q84" s="76"/>
      <c r="R84" s="76"/>
      <c r="S84" s="76"/>
      <c r="T84" s="76"/>
      <c r="U84" s="76"/>
      <c r="V84" s="76"/>
      <c r="W84" s="76"/>
      <c r="X84" s="76"/>
      <c r="Y84" s="76"/>
      <c r="Z84" s="160"/>
      <c r="AA84" s="160"/>
      <c r="AB84" s="76"/>
      <c r="AC84" s="76"/>
      <c r="AD84" s="161"/>
      <c r="AE84" s="160"/>
      <c r="AF84" s="76"/>
    </row>
    <row r="85">
      <c r="A85" s="111" t="str">
        <f>RawTotals!A85</f>
        <v/>
      </c>
      <c r="B85" s="170"/>
      <c r="C85" s="111" t="str">
        <f>(PicklistComputer!K85)</f>
        <v/>
      </c>
      <c r="D85" s="171"/>
      <c r="E85" s="42" t="str">
        <f>IF(A85="","", SUMIF(RawTotals!A$2:A999, C85, RawTotals!AG$2:AG999))</f>
        <v/>
      </c>
      <c r="F85" s="42" t="str">
        <f>IF(A85="","", SUMIF(RawTotals!A$2:A999, C85, RawTotals!AH$2:AH999))</f>
        <v/>
      </c>
      <c r="G85" s="154" t="str">
        <f>IF(A85="","", SUMIF(RawTotals!A$2:A999, C85, RawTotals!J$2:J999))</f>
        <v/>
      </c>
      <c r="H85" s="155" t="str">
        <f>IF(A85="","",SUMIF(RawTotals!A$2:A999, C85, RawTotals!D$2:D999))</f>
        <v/>
      </c>
      <c r="I85" s="156" t="str">
        <f>IF(A85="","",SUMIF(RawTotals!A$2:A999, C85, RawTotals!M$2:M999))</f>
        <v/>
      </c>
      <c r="J85" s="157" t="str">
        <f>IF(A85="","", SUMIF(RawTotals!A$2:A999, C85, RawTotals!AC$2:AC999))</f>
        <v/>
      </c>
      <c r="K85" s="86" t="str">
        <f>IF(A85="","",SUMIF(RawTotals!A$2:A999, C85, RawTotals!W$2:W999))</f>
        <v/>
      </c>
      <c r="L85" s="158" t="str">
        <f>IF(A85="","",SUMIF(RawTotals!A$2:A999, C85, RawTotals!Q$2:Q999))</f>
        <v/>
      </c>
      <c r="M85" s="158" t="str">
        <f>IFERROR(__xludf.DUMMYFUNCTION("IFERROR(IF(A85="""","""",FILTER('Pit Scouting Responses'!J$1:J999,'Pit Scouting Responses'!C$1:C999=A85)),""NOT COLLECTED"")"),"")</f>
        <v/>
      </c>
      <c r="N85" s="76"/>
      <c r="O85" s="76"/>
      <c r="P85" s="76"/>
      <c r="Q85" s="76"/>
      <c r="R85" s="76"/>
      <c r="S85" s="76"/>
      <c r="T85" s="76"/>
      <c r="U85" s="76"/>
      <c r="V85" s="76"/>
      <c r="W85" s="76"/>
      <c r="X85" s="76"/>
      <c r="Y85" s="76"/>
      <c r="Z85" s="160"/>
      <c r="AA85" s="160"/>
      <c r="AB85" s="76"/>
      <c r="AC85" s="76"/>
      <c r="AD85" s="161"/>
      <c r="AE85" s="160"/>
      <c r="AF85" s="76"/>
    </row>
    <row r="86">
      <c r="A86" s="111" t="str">
        <f>RawTotals!A86</f>
        <v/>
      </c>
      <c r="B86" s="170"/>
      <c r="C86" s="111" t="str">
        <f>(PicklistComputer!K86)</f>
        <v/>
      </c>
      <c r="D86" s="171"/>
      <c r="E86" s="42" t="str">
        <f>IF(A86="","", SUMIF(RawTotals!A$2:A999, C86, RawTotals!AG$2:AG999))</f>
        <v/>
      </c>
      <c r="F86" s="42" t="str">
        <f>IF(A86="","", SUMIF(RawTotals!A$2:A999, C86, RawTotals!AH$2:AH999))</f>
        <v/>
      </c>
      <c r="G86" s="154" t="str">
        <f>IF(A86="","", SUMIF(RawTotals!A$2:A999, C86, RawTotals!J$2:J999))</f>
        <v/>
      </c>
      <c r="H86" s="155" t="str">
        <f>IF(A86="","",SUMIF(RawTotals!A$2:A999, C86, RawTotals!D$2:D999))</f>
        <v/>
      </c>
      <c r="I86" s="156" t="str">
        <f>IF(A86="","",SUMIF(RawTotals!A$2:A999, C86, RawTotals!M$2:M999))</f>
        <v/>
      </c>
      <c r="J86" s="157" t="str">
        <f>IF(A86="","", SUMIF(RawTotals!A$2:A999, C86, RawTotals!AC$2:AC999))</f>
        <v/>
      </c>
      <c r="K86" s="86" t="str">
        <f>IF(A86="","",SUMIF(RawTotals!A$2:A999, C86, RawTotals!W$2:W999))</f>
        <v/>
      </c>
      <c r="L86" s="158" t="str">
        <f>IF(A86="","",SUMIF(RawTotals!A$2:A999, C86, RawTotals!Q$2:Q999))</f>
        <v/>
      </c>
      <c r="M86" s="158" t="str">
        <f>IFERROR(__xludf.DUMMYFUNCTION("IFERROR(IF(A86="""","""",FILTER('Pit Scouting Responses'!J$1:J999,'Pit Scouting Responses'!C$1:C999=A86)),""NOT COLLECTED"")"),"")</f>
        <v/>
      </c>
      <c r="N86" s="76"/>
      <c r="O86" s="76"/>
      <c r="P86" s="76"/>
      <c r="Q86" s="76"/>
      <c r="R86" s="76"/>
      <c r="S86" s="76"/>
      <c r="T86" s="76"/>
      <c r="U86" s="76"/>
      <c r="V86" s="76"/>
      <c r="W86" s="76"/>
      <c r="X86" s="76"/>
      <c r="Y86" s="76"/>
      <c r="Z86" s="160"/>
      <c r="AA86" s="160"/>
      <c r="AB86" s="76"/>
      <c r="AC86" s="76"/>
      <c r="AD86" s="161"/>
      <c r="AE86" s="160"/>
      <c r="AF86" s="76"/>
    </row>
    <row r="87">
      <c r="A87" s="111" t="str">
        <f>RawTotals!A87</f>
        <v/>
      </c>
      <c r="B87" s="170"/>
      <c r="C87" s="111" t="str">
        <f>(PicklistComputer!K87)</f>
        <v/>
      </c>
      <c r="D87" s="171"/>
      <c r="E87" s="42" t="str">
        <f>IF(A87="","", SUMIF(RawTotals!A$2:A999, C87, RawTotals!AG$2:AG999))</f>
        <v/>
      </c>
      <c r="F87" s="42" t="str">
        <f>IF(A87="","", SUMIF(RawTotals!A$2:A999, C87, RawTotals!AH$2:AH999))</f>
        <v/>
      </c>
      <c r="G87" s="154" t="str">
        <f>IF(A87="","", SUMIF(RawTotals!A$2:A999, C87, RawTotals!J$2:J999))</f>
        <v/>
      </c>
      <c r="H87" s="155" t="str">
        <f>IF(A87="","",SUMIF(RawTotals!A$2:A999, C87, RawTotals!D$2:D999))</f>
        <v/>
      </c>
      <c r="I87" s="156" t="str">
        <f>IF(A87="","",SUMIF(RawTotals!A$2:A999, C87, RawTotals!M$2:M999))</f>
        <v/>
      </c>
      <c r="J87" s="157" t="str">
        <f>IF(A87="","", SUMIF(RawTotals!A$2:A999, C87, RawTotals!AC$2:AC999))</f>
        <v/>
      </c>
      <c r="K87" s="86" t="str">
        <f>IF(A87="","",SUMIF(RawTotals!A$2:A999, C87, RawTotals!W$2:W999))</f>
        <v/>
      </c>
      <c r="L87" s="158" t="str">
        <f>IF(A87="","",SUMIF(RawTotals!A$2:A999, C87, RawTotals!Q$2:Q999))</f>
        <v/>
      </c>
      <c r="M87" s="158" t="str">
        <f>IFERROR(__xludf.DUMMYFUNCTION("IFERROR(IF(A87="""","""",FILTER('Pit Scouting Responses'!J$1:J999,'Pit Scouting Responses'!C$1:C999=A87)),""NOT COLLECTED"")"),"")</f>
        <v/>
      </c>
      <c r="N87" s="76"/>
      <c r="O87" s="76"/>
      <c r="P87" s="76"/>
      <c r="Q87" s="76"/>
      <c r="R87" s="76"/>
      <c r="S87" s="76"/>
      <c r="T87" s="76"/>
      <c r="U87" s="76"/>
      <c r="V87" s="76"/>
      <c r="W87" s="76"/>
      <c r="X87" s="76"/>
      <c r="Y87" s="76"/>
      <c r="Z87" s="160"/>
      <c r="AA87" s="160"/>
      <c r="AB87" s="76"/>
      <c r="AC87" s="76"/>
      <c r="AD87" s="161"/>
      <c r="AE87" s="160"/>
      <c r="AF87" s="76"/>
    </row>
    <row r="88">
      <c r="A88" s="111" t="str">
        <f>RawTotals!A88</f>
        <v/>
      </c>
      <c r="B88" s="170"/>
      <c r="C88" s="111" t="str">
        <f>(PicklistComputer!K88)</f>
        <v/>
      </c>
      <c r="D88" s="171"/>
      <c r="E88" s="42" t="str">
        <f>IF(A88="","", SUMIF(RawTotals!A$2:A999, C88, RawTotals!AG$2:AG999))</f>
        <v/>
      </c>
      <c r="F88" s="42" t="str">
        <f>IF(A88="","", SUMIF(RawTotals!A$2:A999, C88, RawTotals!AH$2:AH999))</f>
        <v/>
      </c>
      <c r="G88" s="154" t="str">
        <f>IF(A88="","", SUMIF(RawTotals!A$2:A999, C88, RawTotals!J$2:J999))</f>
        <v/>
      </c>
      <c r="H88" s="155" t="str">
        <f>IF(A88="","",SUMIF(RawTotals!A$2:A999, C88, RawTotals!D$2:D999))</f>
        <v/>
      </c>
      <c r="I88" s="156" t="str">
        <f>IF(A88="","",SUMIF(RawTotals!A$2:A999, C88, RawTotals!M$2:M999))</f>
        <v/>
      </c>
      <c r="J88" s="157" t="str">
        <f>IF(A88="","", SUMIF(RawTotals!A$2:A999, C88, RawTotals!AC$2:AC999))</f>
        <v/>
      </c>
      <c r="K88" s="86" t="str">
        <f>IF(A88="","",SUMIF(RawTotals!A$2:A999, C88, RawTotals!W$2:W999))</f>
        <v/>
      </c>
      <c r="L88" s="158" t="str">
        <f>IF(A88="","",SUMIF(RawTotals!A$2:A999, C88, RawTotals!Q$2:Q999))</f>
        <v/>
      </c>
      <c r="M88" s="158" t="str">
        <f>IFERROR(__xludf.DUMMYFUNCTION("IFERROR(IF(A88="""","""",FILTER('Pit Scouting Responses'!J$1:J999,'Pit Scouting Responses'!C$1:C999=A88)),""NOT COLLECTED"")"),"")</f>
        <v/>
      </c>
      <c r="N88" s="76"/>
      <c r="O88" s="76"/>
      <c r="P88" s="76"/>
      <c r="Q88" s="76"/>
      <c r="R88" s="76"/>
      <c r="S88" s="76"/>
      <c r="T88" s="76"/>
      <c r="U88" s="76"/>
      <c r="V88" s="76"/>
      <c r="W88" s="76"/>
      <c r="X88" s="76"/>
      <c r="Y88" s="76"/>
      <c r="Z88" s="160"/>
      <c r="AA88" s="160"/>
      <c r="AB88" s="76"/>
      <c r="AC88" s="76"/>
      <c r="AD88" s="161"/>
      <c r="AE88" s="160"/>
      <c r="AF88" s="76"/>
    </row>
    <row r="89">
      <c r="A89" s="111" t="str">
        <f>RawTotals!A89</f>
        <v/>
      </c>
      <c r="B89" s="170"/>
      <c r="C89" s="111" t="str">
        <f>(PicklistComputer!K89)</f>
        <v/>
      </c>
      <c r="D89" s="171"/>
      <c r="E89" s="42" t="str">
        <f>IF(A89="","", SUMIF(RawTotals!A$2:A999, C89, RawTotals!AG$2:AG999))</f>
        <v/>
      </c>
      <c r="F89" s="42" t="str">
        <f>IF(A89="","", SUMIF(RawTotals!A$2:A999, C89, RawTotals!AH$2:AH999))</f>
        <v/>
      </c>
      <c r="G89" s="154" t="str">
        <f>IF(A89="","", SUMIF(RawTotals!A$2:A999, C89, RawTotals!J$2:J999))</f>
        <v/>
      </c>
      <c r="H89" s="155" t="str">
        <f>IF(A89="","",SUMIF(RawTotals!A$2:A999, C89, RawTotals!D$2:D999))</f>
        <v/>
      </c>
      <c r="I89" s="156" t="str">
        <f>IF(A89="","",SUMIF(RawTotals!A$2:A999, C89, RawTotals!M$2:M999))</f>
        <v/>
      </c>
      <c r="J89" s="157" t="str">
        <f>IF(A89="","", SUMIF(RawTotals!A$2:A999, C89, RawTotals!AC$2:AC999))</f>
        <v/>
      </c>
      <c r="K89" s="86" t="str">
        <f>IF(A89="","",SUMIF(RawTotals!A$2:A999, C89, RawTotals!W$2:W999))</f>
        <v/>
      </c>
      <c r="L89" s="158" t="str">
        <f>IF(A89="","",SUMIF(RawTotals!A$2:A999, C89, RawTotals!Q$2:Q999))</f>
        <v/>
      </c>
      <c r="M89" s="158" t="str">
        <f>IFERROR(__xludf.DUMMYFUNCTION("IFERROR(IF(A89="""","""",FILTER('Pit Scouting Responses'!J$1:J999,'Pit Scouting Responses'!C$1:C999=A89)),""NOT COLLECTED"")"),"")</f>
        <v/>
      </c>
      <c r="N89" s="76"/>
      <c r="O89" s="76"/>
      <c r="P89" s="76"/>
      <c r="Q89" s="76"/>
      <c r="R89" s="76"/>
      <c r="S89" s="76"/>
      <c r="T89" s="76"/>
      <c r="U89" s="76"/>
      <c r="V89" s="76"/>
      <c r="W89" s="76"/>
      <c r="X89" s="76"/>
      <c r="Y89" s="76"/>
      <c r="Z89" s="160"/>
      <c r="AA89" s="160"/>
      <c r="AB89" s="76"/>
      <c r="AC89" s="76"/>
      <c r="AD89" s="161"/>
      <c r="AE89" s="160"/>
      <c r="AF89" s="76"/>
    </row>
    <row r="90">
      <c r="A90" s="111" t="str">
        <f>RawTotals!A90</f>
        <v/>
      </c>
      <c r="B90" s="170"/>
      <c r="C90" s="111" t="str">
        <f>(PicklistComputer!K90)</f>
        <v/>
      </c>
      <c r="D90" s="171"/>
      <c r="E90" s="42" t="str">
        <f>IF(A90="","", SUMIF(RawTotals!A$2:A999, C90, RawTotals!AG$2:AG999))</f>
        <v/>
      </c>
      <c r="F90" s="42" t="str">
        <f>IF(A90="","", SUMIF(RawTotals!A$2:A999, C90, RawTotals!AH$2:AH999))</f>
        <v/>
      </c>
      <c r="G90" s="154" t="str">
        <f>IF(A90="","", SUMIF(RawTotals!A$2:A999, C90, RawTotals!J$2:J999))</f>
        <v/>
      </c>
      <c r="H90" s="155" t="str">
        <f>IF(A90="","",SUMIF(RawTotals!A$2:A999, C90, RawTotals!D$2:D999))</f>
        <v/>
      </c>
      <c r="I90" s="156" t="str">
        <f>IF(A90="","",SUMIF(RawTotals!A$2:A999, C90, RawTotals!M$2:M999))</f>
        <v/>
      </c>
      <c r="J90" s="157" t="str">
        <f>IF(A90="","", SUMIF(RawTotals!A$2:A999, C90, RawTotals!AC$2:AC999))</f>
        <v/>
      </c>
      <c r="K90" s="86" t="str">
        <f>IF(A90="","",SUMIF(RawTotals!A$2:A999, C90, RawTotals!W$2:W999))</f>
        <v/>
      </c>
      <c r="L90" s="158" t="str">
        <f>IF(A90="","",SUMIF(RawTotals!A$2:A999, C90, RawTotals!Q$2:Q999))</f>
        <v/>
      </c>
      <c r="M90" s="158" t="str">
        <f>IFERROR(__xludf.DUMMYFUNCTION("IFERROR(IF(A90="""","""",FILTER('Pit Scouting Responses'!J$1:J999,'Pit Scouting Responses'!C$1:C999=A90)),""NOT COLLECTED"")"),"")</f>
        <v/>
      </c>
      <c r="N90" s="76"/>
      <c r="O90" s="76"/>
      <c r="P90" s="76"/>
      <c r="Q90" s="76"/>
      <c r="R90" s="76"/>
      <c r="S90" s="76"/>
      <c r="T90" s="76"/>
      <c r="U90" s="76"/>
      <c r="V90" s="76"/>
      <c r="W90" s="76"/>
      <c r="X90" s="76"/>
      <c r="Y90" s="76"/>
      <c r="Z90" s="160"/>
      <c r="AA90" s="160"/>
      <c r="AB90" s="76"/>
      <c r="AC90" s="76"/>
      <c r="AD90" s="161"/>
      <c r="AE90" s="160"/>
      <c r="AF90" s="76"/>
    </row>
    <row r="91">
      <c r="A91" s="111" t="str">
        <f>RawTotals!A91</f>
        <v/>
      </c>
      <c r="B91" s="170"/>
      <c r="C91" s="111" t="str">
        <f>(PicklistComputer!K91)</f>
        <v/>
      </c>
      <c r="D91" s="171"/>
      <c r="E91" s="42" t="str">
        <f>IF(A91="","", SUMIF(RawTotals!A$2:A999, C91, RawTotals!AG$2:AG999))</f>
        <v/>
      </c>
      <c r="F91" s="42" t="str">
        <f>IF(A91="","", SUMIF(RawTotals!A$2:A999, C91, RawTotals!AH$2:AH999))</f>
        <v/>
      </c>
      <c r="G91" s="154" t="str">
        <f>IF(A91="","", SUMIF(RawTotals!A$2:A999, C91, RawTotals!J$2:J999))</f>
        <v/>
      </c>
      <c r="H91" s="155" t="str">
        <f>IF(A91="","",SUMIF(RawTotals!A$2:A999, C91, RawTotals!D$2:D999))</f>
        <v/>
      </c>
      <c r="I91" s="156" t="str">
        <f>IF(A91="","",SUMIF(RawTotals!A$2:A999, C91, RawTotals!M$2:M999))</f>
        <v/>
      </c>
      <c r="J91" s="157" t="str">
        <f>IF(A91="","", SUMIF(RawTotals!A$2:A999, C91, RawTotals!AC$2:AC999))</f>
        <v/>
      </c>
      <c r="K91" s="86" t="str">
        <f>IF(A91="","",SUMIF(RawTotals!A$2:A999, C91, RawTotals!W$2:W999))</f>
        <v/>
      </c>
      <c r="L91" s="158" t="str">
        <f>IF(A91="","",SUMIF(RawTotals!A$2:A999, C91, RawTotals!Q$2:Q999))</f>
        <v/>
      </c>
      <c r="M91" s="158" t="str">
        <f>IFERROR(__xludf.DUMMYFUNCTION("IFERROR(IF(A91="""","""",FILTER('Pit Scouting Responses'!J$1:J999,'Pit Scouting Responses'!C$1:C999=A91)),""NOT COLLECTED"")"),"")</f>
        <v/>
      </c>
      <c r="N91" s="76"/>
      <c r="O91" s="76"/>
      <c r="P91" s="76"/>
      <c r="Q91" s="76"/>
      <c r="R91" s="76"/>
      <c r="S91" s="76"/>
      <c r="T91" s="76"/>
      <c r="U91" s="76"/>
      <c r="V91" s="76"/>
      <c r="W91" s="76"/>
      <c r="X91" s="76"/>
      <c r="Y91" s="76"/>
      <c r="Z91" s="160"/>
      <c r="AA91" s="160"/>
      <c r="AB91" s="76"/>
      <c r="AC91" s="76"/>
      <c r="AD91" s="161"/>
      <c r="AE91" s="160"/>
      <c r="AF91" s="76"/>
    </row>
    <row r="92">
      <c r="A92" s="111" t="str">
        <f>RawTotals!A92</f>
        <v/>
      </c>
      <c r="B92" s="170"/>
      <c r="C92" s="111" t="str">
        <f>(PicklistComputer!K92)</f>
        <v/>
      </c>
      <c r="D92" s="171"/>
      <c r="E92" s="42" t="str">
        <f>IF(A92="","", SUMIF(RawTotals!A$2:A999, C92, RawTotals!AG$2:AG999))</f>
        <v/>
      </c>
      <c r="F92" s="42" t="str">
        <f>IF(A92="","", SUMIF(RawTotals!A$2:A999, C92, RawTotals!AH$2:AH999))</f>
        <v/>
      </c>
      <c r="G92" s="154" t="str">
        <f>IF(A92="","", SUMIF(RawTotals!A$2:A999, C92, RawTotals!J$2:J999))</f>
        <v/>
      </c>
      <c r="H92" s="155" t="str">
        <f>IF(A92="","",SUMIF(RawTotals!A$2:A999, C92, RawTotals!D$2:D999))</f>
        <v/>
      </c>
      <c r="I92" s="156" t="str">
        <f>IF(A92="","",SUMIF(RawTotals!A$2:A999, C92, RawTotals!M$2:M999))</f>
        <v/>
      </c>
      <c r="J92" s="157" t="str">
        <f>IF(A92="","", SUMIF(RawTotals!A$2:A999, C92, RawTotals!AC$2:AC999))</f>
        <v/>
      </c>
      <c r="K92" s="86" t="str">
        <f>IF(A92="","",SUMIF(RawTotals!A$2:A999, C92, RawTotals!W$2:W999))</f>
        <v/>
      </c>
      <c r="L92" s="158" t="str">
        <f>IF(A92="","",SUMIF(RawTotals!A$2:A999, C92, RawTotals!Q$2:Q999))</f>
        <v/>
      </c>
      <c r="M92" s="158" t="str">
        <f>IFERROR(__xludf.DUMMYFUNCTION("IFERROR(IF(A92="""","""",FILTER('Pit Scouting Responses'!J$1:J999,'Pit Scouting Responses'!C$1:C999=A92)),""NOT COLLECTED"")"),"")</f>
        <v/>
      </c>
      <c r="N92" s="76"/>
      <c r="O92" s="76"/>
      <c r="P92" s="76"/>
      <c r="Q92" s="76"/>
      <c r="R92" s="76"/>
      <c r="S92" s="76"/>
      <c r="T92" s="76"/>
      <c r="U92" s="76"/>
      <c r="V92" s="76"/>
      <c r="W92" s="76"/>
      <c r="X92" s="76"/>
      <c r="Y92" s="76"/>
      <c r="Z92" s="160" t="str">
        <f>IF(A92="","",SUMIF(RawTotals!A$2:A999, C92, RawTotals!AD$2:AD999))</f>
        <v/>
      </c>
      <c r="AA92" s="160" t="str">
        <f>IFERROR(__xludf.DUMMYFUNCTION("IF(A92="""","""",IF(FILTER(RawTotals!K$2:K999,RawTotals!A$2:A999=A92)="""","""",SUMIF(RawTotals!A$2:A999, C92, RawTotals!K$2:K999)))"),"")</f>
        <v/>
      </c>
      <c r="AB92" s="76" t="str">
        <f>IF(A92="","",SUMIF(RawTotals!A$2:A999, C92, RawTotals!E$2:E999))</f>
        <v/>
      </c>
      <c r="AC92" s="76" t="str">
        <f>IF(A92="","",SUMIF(RawTotals!A$2:A999, C92, RawTotals!N$2:N999))</f>
        <v/>
      </c>
      <c r="AD92" s="161" t="str">
        <f>IF(A92="","",SUMIF(RawTotals!A$2:A999, C92, RawTotals!X$2:X999))</f>
        <v/>
      </c>
      <c r="AE92" s="160" t="str">
        <f>IF(A92="","",SUMIF(RawTotals!A$2:A999, C92, RawTotals!R$2:R999))</f>
        <v/>
      </c>
      <c r="AF92" s="76"/>
    </row>
    <row r="93">
      <c r="A93" s="111" t="str">
        <f>RawTotals!A93</f>
        <v/>
      </c>
      <c r="B93" s="170"/>
      <c r="C93" s="111" t="str">
        <f>(PicklistComputer!K93)</f>
        <v/>
      </c>
      <c r="D93" s="171"/>
      <c r="E93" s="42" t="str">
        <f>IF(A93="","", SUMIF(RawTotals!A$2:A999, C93, RawTotals!AG$2:AG999))</f>
        <v/>
      </c>
      <c r="F93" s="42" t="str">
        <f>IF(A93="","", SUMIF(RawTotals!A$2:A999, C93, RawTotals!AH$2:AH999))</f>
        <v/>
      </c>
      <c r="G93" s="154" t="str">
        <f>IF(A93="","", SUMIF(RawTotals!A$2:A999, C93, RawTotals!J$2:J999))</f>
        <v/>
      </c>
      <c r="H93" s="155" t="str">
        <f>IF(A93="","",SUMIF(RawTotals!A$2:A999, C93, RawTotals!D$2:D999))</f>
        <v/>
      </c>
      <c r="I93" s="156" t="str">
        <f>IF(A93="","",SUMIF(RawTotals!A$2:A999, C93, RawTotals!M$2:M999))</f>
        <v/>
      </c>
      <c r="J93" s="157" t="str">
        <f>IF(A93="","", SUMIF(RawTotals!A$2:A999, C93, RawTotals!AC$2:AC999))</f>
        <v/>
      </c>
      <c r="K93" s="86" t="str">
        <f>IF(A93="","",SUMIF(RawTotals!A$2:A999, C93, RawTotals!W$2:W999))</f>
        <v/>
      </c>
      <c r="L93" s="158" t="str">
        <f>IF(A93="","",SUMIF(RawTotals!A$2:A999, C93, RawTotals!Q$2:Q999))</f>
        <v/>
      </c>
      <c r="M93" s="158" t="str">
        <f>IFERROR(__xludf.DUMMYFUNCTION("IFERROR(IF(A93="""","""",FILTER('Pit Scouting Responses'!J$1:J999,'Pit Scouting Responses'!C$1:C999=A93)),""NOT COLLECTED"")"),"")</f>
        <v/>
      </c>
      <c r="N93" s="76"/>
      <c r="O93" s="76"/>
      <c r="P93" s="76"/>
      <c r="Q93" s="76"/>
      <c r="R93" s="76"/>
      <c r="S93" s="76"/>
      <c r="T93" s="76"/>
      <c r="U93" s="76"/>
      <c r="V93" s="76"/>
      <c r="W93" s="76"/>
      <c r="X93" s="76"/>
      <c r="Y93" s="76"/>
      <c r="Z93" s="160" t="str">
        <f>IF(A93="","",SUMIF(RawTotals!A$2:A999, C93, RawTotals!AD$2:AD999))</f>
        <v/>
      </c>
      <c r="AA93" s="160" t="str">
        <f>IFERROR(__xludf.DUMMYFUNCTION("IF(A93="""","""",IF(FILTER(RawTotals!K$2:K999,RawTotals!A$2:A999=A93)="""","""",SUMIF(RawTotals!A$2:A999, C93, RawTotals!K$2:K999)))"),"")</f>
        <v/>
      </c>
      <c r="AB93" s="76" t="str">
        <f>IF(A93="","",SUMIF(RawTotals!A$2:A999, C93, RawTotals!E$2:E999))</f>
        <v/>
      </c>
      <c r="AC93" s="76" t="str">
        <f>IF(A93="","",SUMIF(RawTotals!A$2:A999, C93, RawTotals!N$2:N999))</f>
        <v/>
      </c>
      <c r="AD93" s="161" t="str">
        <f>IF(A93="","",SUMIF(RawTotals!A$2:A999, C93, RawTotals!X$2:X999))</f>
        <v/>
      </c>
      <c r="AE93" s="160" t="str">
        <f>IF(A93="","",SUMIF(RawTotals!A$2:A999, C93, RawTotals!R$2:R999))</f>
        <v/>
      </c>
      <c r="AF93" s="76"/>
    </row>
    <row r="94">
      <c r="A94" s="111" t="str">
        <f>RawTotals!A94</f>
        <v/>
      </c>
      <c r="B94" s="170"/>
      <c r="C94" s="111" t="str">
        <f>(PicklistComputer!K94)</f>
        <v/>
      </c>
      <c r="D94" s="171"/>
      <c r="E94" s="42" t="str">
        <f>IF(A94="","", SUMIF(RawTotals!A$2:A999, C94, RawTotals!AG$2:AG999))</f>
        <v/>
      </c>
      <c r="F94" s="42" t="str">
        <f>IF(A94="","", SUMIF(RawTotals!A$2:A999, C94, RawTotals!AH$2:AH999))</f>
        <v/>
      </c>
      <c r="G94" s="154" t="str">
        <f>IF(A94="","", SUMIF(RawTotals!A$2:A999, C94, RawTotals!J$2:J999))</f>
        <v/>
      </c>
      <c r="H94" s="155" t="str">
        <f>IF(A94="","",SUMIF(RawTotals!A$2:A999, C94, RawTotals!D$2:D999))</f>
        <v/>
      </c>
      <c r="I94" s="156" t="str">
        <f>IF(A94="","",SUMIF(RawTotals!A$2:A999, C94, RawTotals!M$2:M999))</f>
        <v/>
      </c>
      <c r="J94" s="157" t="str">
        <f>IF(A94="","", SUMIF(RawTotals!A$2:A999, C94, RawTotals!AC$2:AC999))</f>
        <v/>
      </c>
      <c r="K94" s="86" t="str">
        <f>IF(A94="","",SUMIF(RawTotals!A$2:A999, C94, RawTotals!W$2:W999))</f>
        <v/>
      </c>
      <c r="L94" s="158" t="str">
        <f>IF(A94="","",SUMIF(RawTotals!A$2:A999, C94, RawTotals!Q$2:Q999))</f>
        <v/>
      </c>
      <c r="M94" s="158" t="str">
        <f>IFERROR(__xludf.DUMMYFUNCTION("IFERROR(IF(A94="""","""",FILTER('Pit Scouting Responses'!J$1:J999,'Pit Scouting Responses'!C$1:C999=A94)),""NOT COLLECTED"")"),"")</f>
        <v/>
      </c>
      <c r="N94" s="76"/>
      <c r="O94" s="76"/>
      <c r="P94" s="76"/>
      <c r="Q94" s="76"/>
      <c r="R94" s="76"/>
      <c r="S94" s="76"/>
      <c r="T94" s="76"/>
      <c r="U94" s="76"/>
      <c r="V94" s="76"/>
      <c r="W94" s="76"/>
      <c r="X94" s="76"/>
      <c r="Y94" s="76"/>
      <c r="Z94" s="160" t="str">
        <f>IF(A94="","",SUMIF(RawTotals!A$2:A999, C94, RawTotals!AD$2:AD999))</f>
        <v/>
      </c>
      <c r="AA94" s="160" t="str">
        <f>IFERROR(__xludf.DUMMYFUNCTION("IF(A94="""","""",IF(FILTER(RawTotals!K$2:K999,RawTotals!A$2:A999=A94)="""","""",SUMIF(RawTotals!A$2:A999, C94, RawTotals!K$2:K999)))"),"")</f>
        <v/>
      </c>
      <c r="AB94" s="76" t="str">
        <f>IF(A94="","",SUMIF(RawTotals!A$2:A999, C94, RawTotals!E$2:E999))</f>
        <v/>
      </c>
      <c r="AC94" s="76" t="str">
        <f>IF(A94="","",SUMIF(RawTotals!A$2:A999, C94, RawTotals!N$2:N999))</f>
        <v/>
      </c>
      <c r="AD94" s="161" t="str">
        <f>IF(A94="","",SUMIF(RawTotals!A$2:A999, C94, RawTotals!X$2:X999))</f>
        <v/>
      </c>
      <c r="AE94" s="160" t="str">
        <f>IF(A94="","",SUMIF(RawTotals!A$2:A999, C94, RawTotals!R$2:R999))</f>
        <v/>
      </c>
      <c r="AF94" s="76"/>
    </row>
    <row r="95">
      <c r="A95" s="111" t="str">
        <f>RawTotals!A95</f>
        <v/>
      </c>
      <c r="B95" s="170"/>
      <c r="C95" s="111" t="str">
        <f>(PicklistComputer!K95)</f>
        <v/>
      </c>
      <c r="D95" s="171"/>
      <c r="E95" s="42" t="str">
        <f>IF(A95="","", SUMIF(RawTotals!A$2:A999, C95, RawTotals!AG$2:AG999))</f>
        <v/>
      </c>
      <c r="F95" s="42" t="str">
        <f>IF(A95="","", SUMIF(RawTotals!A$2:A999, C95, RawTotals!AH$2:AH999))</f>
        <v/>
      </c>
      <c r="G95" s="154" t="str">
        <f>IF(A95="","", SUMIF(RawTotals!A$2:A999, C95, RawTotals!J$2:J999))</f>
        <v/>
      </c>
      <c r="H95" s="155" t="str">
        <f>IF(A95="","",SUMIF(RawTotals!A$2:A999, C95, RawTotals!D$2:D999))</f>
        <v/>
      </c>
      <c r="I95" s="156" t="str">
        <f>IF(A95="","",SUMIF(RawTotals!A$2:A999, C95, RawTotals!M$2:M999))</f>
        <v/>
      </c>
      <c r="J95" s="157" t="str">
        <f>IF(A95="","", SUMIF(RawTotals!A$2:A999, C95, RawTotals!AC$2:AC999))</f>
        <v/>
      </c>
      <c r="K95" s="86" t="str">
        <f>IF(A95="","",SUMIF(RawTotals!A$2:A999, C95, RawTotals!W$2:W999))</f>
        <v/>
      </c>
      <c r="L95" s="158" t="str">
        <f>IF(A95="","",SUMIF(RawTotals!A$2:A999, C95, RawTotals!Q$2:Q999))</f>
        <v/>
      </c>
      <c r="M95" s="158" t="str">
        <f>IFERROR(__xludf.DUMMYFUNCTION("IFERROR(IF(A95="""","""",FILTER('Pit Scouting Responses'!J$1:J999,'Pit Scouting Responses'!C$1:C999=A95)),""NOT COLLECTED"")"),"")</f>
        <v/>
      </c>
      <c r="N95" s="76"/>
      <c r="O95" s="76"/>
      <c r="P95" s="76"/>
      <c r="Q95" s="76"/>
      <c r="R95" s="76"/>
      <c r="S95" s="76"/>
      <c r="T95" s="76"/>
      <c r="U95" s="76"/>
      <c r="V95" s="76"/>
      <c r="W95" s="76"/>
      <c r="X95" s="76"/>
      <c r="Y95" s="76"/>
      <c r="Z95" s="160" t="str">
        <f>IF(A95="","",SUMIF(RawTotals!A$2:A999, C95, RawTotals!AD$2:AD999))</f>
        <v/>
      </c>
      <c r="AA95" s="160" t="str">
        <f>IFERROR(__xludf.DUMMYFUNCTION("IF(A95="""","""",IF(FILTER(RawTotals!K$2:K999,RawTotals!A$2:A999=A95)="""","""",SUMIF(RawTotals!A$2:A999, C95, RawTotals!K$2:K999)))"),"")</f>
        <v/>
      </c>
      <c r="AB95" s="76" t="str">
        <f>IF(A95="","",SUMIF(RawTotals!A$2:A999, C95, RawTotals!E$2:E999))</f>
        <v/>
      </c>
      <c r="AC95" s="76" t="str">
        <f>IF(A95="","",SUMIF(RawTotals!A$2:A999, C95, RawTotals!N$2:N999))</f>
        <v/>
      </c>
      <c r="AD95" s="161" t="str">
        <f>IF(A95="","",SUMIF(RawTotals!A$2:A999, C95, RawTotals!X$2:X999))</f>
        <v/>
      </c>
      <c r="AE95" s="160" t="str">
        <f>IF(A95="","",SUMIF(RawTotals!A$2:A999, C95, RawTotals!R$2:R999))</f>
        <v/>
      </c>
      <c r="AF95" s="76"/>
    </row>
    <row r="96">
      <c r="A96" s="111" t="str">
        <f>RawTotals!A96</f>
        <v/>
      </c>
      <c r="B96" s="170"/>
      <c r="C96" s="111" t="str">
        <f>(PicklistComputer!K96)</f>
        <v/>
      </c>
      <c r="D96" s="171"/>
      <c r="E96" s="42" t="str">
        <f>IF(A96="","", SUMIF(RawTotals!A$2:A999, C96, RawTotals!AG$2:AG999))</f>
        <v/>
      </c>
      <c r="F96" s="42" t="str">
        <f>IF(A96="","", SUMIF(RawTotals!A$2:A999, C96, RawTotals!AH$2:AH999))</f>
        <v/>
      </c>
      <c r="G96" s="154" t="str">
        <f>IF(A96="","", SUMIF(RawTotals!A$2:A999, C96, RawTotals!J$2:J999))</f>
        <v/>
      </c>
      <c r="H96" s="155" t="str">
        <f>IF(A96="","",SUMIF(RawTotals!A$2:A999, C96, RawTotals!D$2:D999))</f>
        <v/>
      </c>
      <c r="I96" s="156" t="str">
        <f>IF(A96="","",SUMIF(RawTotals!A$2:A999, C96, RawTotals!M$2:M999))</f>
        <v/>
      </c>
      <c r="J96" s="157" t="str">
        <f>IF(A96="","", SUMIF(RawTotals!A$2:A999, C96, RawTotals!AC$2:AC999))</f>
        <v/>
      </c>
      <c r="K96" s="86" t="str">
        <f>IF(A96="","",SUMIF(RawTotals!A$2:A999, C96, RawTotals!W$2:W999))</f>
        <v/>
      </c>
      <c r="L96" s="158" t="str">
        <f>IF(A96="","",SUMIF(RawTotals!A$2:A999, C96, RawTotals!Q$2:Q999))</f>
        <v/>
      </c>
      <c r="M96" s="158" t="str">
        <f>IFERROR(__xludf.DUMMYFUNCTION("IFERROR(IF(A96="""","""",FILTER('Pit Scouting Responses'!J$1:J999,'Pit Scouting Responses'!C$1:C999=A96)),""NOT COLLECTED"")"),"")</f>
        <v/>
      </c>
      <c r="N96" s="76"/>
      <c r="O96" s="76"/>
      <c r="P96" s="76"/>
      <c r="Q96" s="76"/>
      <c r="R96" s="76"/>
      <c r="S96" s="76"/>
      <c r="T96" s="76"/>
      <c r="U96" s="76"/>
      <c r="V96" s="76"/>
      <c r="W96" s="76"/>
      <c r="X96" s="76"/>
      <c r="Y96" s="76"/>
      <c r="Z96" s="160" t="str">
        <f>IF(A96="","",SUMIF(RawTotals!A$2:A999, C96, RawTotals!AD$2:AD999))</f>
        <v/>
      </c>
      <c r="AA96" s="160" t="str">
        <f>IFERROR(__xludf.DUMMYFUNCTION("IF(A96="""","""",IF(FILTER(RawTotals!K$2:K999,RawTotals!A$2:A999=A96)="""","""",SUMIF(RawTotals!A$2:A999, C96, RawTotals!K$2:K999)))"),"")</f>
        <v/>
      </c>
      <c r="AB96" s="76" t="str">
        <f>IF(A96="","",SUMIF(RawTotals!A$2:A999, C96, RawTotals!E$2:E999))</f>
        <v/>
      </c>
      <c r="AC96" s="76" t="str">
        <f>IF(A96="","",SUMIF(RawTotals!A$2:A999, C96, RawTotals!N$2:N999))</f>
        <v/>
      </c>
      <c r="AD96" s="161" t="str">
        <f>IF(A96="","",SUMIF(RawTotals!A$2:A999, C96, RawTotals!X$2:X999))</f>
        <v/>
      </c>
      <c r="AE96" s="160" t="str">
        <f>IF(A96="","",SUMIF(RawTotals!A$2:A999, C96, RawTotals!R$2:R999))</f>
        <v/>
      </c>
      <c r="AF96" s="76"/>
    </row>
    <row r="97">
      <c r="A97" s="111" t="str">
        <f>RawTotals!A97</f>
        <v/>
      </c>
      <c r="B97" s="170"/>
      <c r="C97" s="111" t="str">
        <f>(PicklistComputer!K97)</f>
        <v/>
      </c>
      <c r="D97" s="171"/>
      <c r="E97" s="42" t="str">
        <f>IF(A97="","", SUMIF(RawTotals!A$2:A999, C97, RawTotals!AG$2:AG999))</f>
        <v/>
      </c>
      <c r="F97" s="42" t="str">
        <f>IF(A97="","", SUMIF(RawTotals!A$2:A999, C97, RawTotals!AH$2:AH999))</f>
        <v/>
      </c>
      <c r="G97" s="154" t="str">
        <f>IF(A97="","", SUMIF(RawTotals!A$2:A999, C97, RawTotals!J$2:J999))</f>
        <v/>
      </c>
      <c r="H97" s="155" t="str">
        <f>IF(A97="","",SUMIF(RawTotals!A$2:A999, C97, RawTotals!D$2:D999))</f>
        <v/>
      </c>
      <c r="I97" s="156" t="str">
        <f>IF(A97="","",SUMIF(RawTotals!A$2:A999, C97, RawTotals!M$2:M999))</f>
        <v/>
      </c>
      <c r="J97" s="157" t="str">
        <f>IF(A97="","", SUMIF(RawTotals!A$2:A999, C97, RawTotals!AC$2:AC999))</f>
        <v/>
      </c>
      <c r="K97" s="86" t="str">
        <f>IF(A97="","",SUMIF(RawTotals!A$2:A999, C97, RawTotals!W$2:W999))</f>
        <v/>
      </c>
      <c r="L97" s="158" t="str">
        <f>IF(A97="","",SUMIF(RawTotals!A$2:A999, C97, RawTotals!Q$2:Q999))</f>
        <v/>
      </c>
      <c r="M97" s="158" t="str">
        <f>IFERROR(__xludf.DUMMYFUNCTION("IFERROR(IF(A97="""","""",FILTER('Pit Scouting Responses'!J$1:J999,'Pit Scouting Responses'!C$1:C999=A97)),""NOT COLLECTED"")"),"")</f>
        <v/>
      </c>
      <c r="N97" s="76"/>
      <c r="O97" s="76"/>
      <c r="P97" s="76"/>
      <c r="Q97" s="76"/>
      <c r="R97" s="76"/>
      <c r="S97" s="76"/>
      <c r="T97" s="76"/>
      <c r="U97" s="76"/>
      <c r="V97" s="76"/>
      <c r="W97" s="76"/>
      <c r="X97" s="76"/>
      <c r="Y97" s="76"/>
      <c r="Z97" s="160" t="str">
        <f>IF(A97="","",SUMIF(RawTotals!A$2:A999, C97, RawTotals!AD$2:AD999))</f>
        <v/>
      </c>
      <c r="AA97" s="160" t="str">
        <f>IFERROR(__xludf.DUMMYFUNCTION("IF(A97="""","""",IF(FILTER(RawTotals!K$2:K999,RawTotals!A$2:A999=A97)="""","""",SUMIF(RawTotals!A$2:A999, C97, RawTotals!K$2:K999)))"),"")</f>
        <v/>
      </c>
      <c r="AB97" s="76" t="str">
        <f>IF(A97="","",SUMIF(RawTotals!A$2:A999, C97, RawTotals!E$2:E999))</f>
        <v/>
      </c>
      <c r="AC97" s="76" t="str">
        <f>IF(A97="","",SUMIF(RawTotals!A$2:A999, C97, RawTotals!N$2:N999))</f>
        <v/>
      </c>
      <c r="AD97" s="161" t="str">
        <f>IF(A97="","",SUMIF(RawTotals!A$2:A999, C97, RawTotals!X$2:X999))</f>
        <v/>
      </c>
      <c r="AE97" s="160" t="str">
        <f>IF(A97="","",SUMIF(RawTotals!A$2:A999, C97, RawTotals!R$2:R999))</f>
        <v/>
      </c>
      <c r="AF97" s="76"/>
    </row>
    <row r="98">
      <c r="A98" s="111" t="str">
        <f>RawTotals!A98</f>
        <v/>
      </c>
      <c r="B98" s="170"/>
      <c r="C98" s="111" t="str">
        <f>(PicklistComputer!K98)</f>
        <v/>
      </c>
      <c r="D98" s="171"/>
      <c r="E98" s="42" t="str">
        <f>IF(A98="","", SUMIF(RawTotals!A$2:A999, C98, RawTotals!AG$2:AG999))</f>
        <v/>
      </c>
      <c r="F98" s="42" t="str">
        <f>IF(A98="","", SUMIF(RawTotals!A$2:A999, C98, RawTotals!AH$2:AH999))</f>
        <v/>
      </c>
      <c r="G98" s="154" t="str">
        <f>IF(A98="","", SUMIF(RawTotals!A$2:A999, C98, RawTotals!J$2:J999))</f>
        <v/>
      </c>
      <c r="H98" s="155" t="str">
        <f>IF(A98="","",SUMIF(RawTotals!A$2:A999, C98, RawTotals!D$2:D999))</f>
        <v/>
      </c>
      <c r="I98" s="156" t="str">
        <f>IF(A98="","",SUMIF(RawTotals!A$2:A999, C98, RawTotals!M$2:M999))</f>
        <v/>
      </c>
      <c r="J98" s="157" t="str">
        <f>IF(A98="","", SUMIF(RawTotals!A$2:A999, C98, RawTotals!AC$2:AC999))</f>
        <v/>
      </c>
      <c r="K98" s="86" t="str">
        <f>IF(A98="","",SUMIF(RawTotals!A$2:A999, C98, RawTotals!W$2:W999))</f>
        <v/>
      </c>
      <c r="L98" s="158" t="str">
        <f>IF(A98="","",SUMIF(RawTotals!A$2:A999, C98, RawTotals!Q$2:Q999))</f>
        <v/>
      </c>
      <c r="M98" s="158" t="str">
        <f>IFERROR(__xludf.DUMMYFUNCTION("IFERROR(IF(A98="""","""",FILTER('Pit Scouting Responses'!J$1:J999,'Pit Scouting Responses'!C$1:C999=A98)),""NOT COLLECTED"")"),"")</f>
        <v/>
      </c>
      <c r="N98" s="76"/>
      <c r="O98" s="76"/>
      <c r="P98" s="76"/>
      <c r="Q98" s="76"/>
      <c r="R98" s="76"/>
      <c r="S98" s="76"/>
      <c r="T98" s="76"/>
      <c r="U98" s="76"/>
      <c r="V98" s="76"/>
      <c r="W98" s="76"/>
      <c r="X98" s="76"/>
      <c r="Y98" s="76"/>
      <c r="Z98" s="160" t="str">
        <f>IF(A98="","",SUMIF(RawTotals!A$2:A999, C98, RawTotals!AD$2:AD999))</f>
        <v/>
      </c>
      <c r="AA98" s="160" t="str">
        <f>IFERROR(__xludf.DUMMYFUNCTION("IF(A98="""","""",IF(FILTER(RawTotals!K$2:K999,RawTotals!A$2:A999=A98)="""","""",SUMIF(RawTotals!A$2:A999, C98, RawTotals!K$2:K999)))"),"")</f>
        <v/>
      </c>
      <c r="AB98" s="76" t="str">
        <f>IF(A98="","",SUMIF(RawTotals!A$2:A999, C98, RawTotals!E$2:E999))</f>
        <v/>
      </c>
      <c r="AC98" s="76" t="str">
        <f>IF(A98="","",SUMIF(RawTotals!A$2:A999, C98, RawTotals!N$2:N999))</f>
        <v/>
      </c>
      <c r="AD98" s="161" t="str">
        <f>IF(A98="","",SUMIF(RawTotals!A$2:A999, C98, RawTotals!X$2:X999))</f>
        <v/>
      </c>
      <c r="AE98" s="160" t="str">
        <f>IF(A98="","",SUMIF(RawTotals!A$2:A999, C98, RawTotals!R$2:R999))</f>
        <v/>
      </c>
      <c r="AF98" s="76"/>
    </row>
    <row r="99">
      <c r="A99" s="172"/>
      <c r="B99" s="170"/>
      <c r="C99" s="172"/>
      <c r="D99" s="42"/>
      <c r="E99" s="42" t="str">
        <f>IF(A99="","", SUMIF(RawTotals!A$2:A999, C99, RawTotals!AG$2:AG999))</f>
        <v/>
      </c>
      <c r="F99" s="42" t="str">
        <f>IF(A99="","", SUMIF(RawTotals!A$2:A999, C99, RawTotals!AH$2:AH999))</f>
        <v/>
      </c>
      <c r="G99" s="154" t="str">
        <f>IF(A99="","", SUMIF(RawTotals!A$2:A999, C99, RawTotals!J$2:J999))</f>
        <v/>
      </c>
      <c r="H99" s="155" t="str">
        <f>IF(A99="","",SUMIF(RawTotals!A$2:A999, C99, RawTotals!D$2:D999))</f>
        <v/>
      </c>
      <c r="I99" s="156" t="str">
        <f>IF(A99="","",SUMIF(RawTotals!A$2:A999, C99, RawTotals!M$2:M999))</f>
        <v/>
      </c>
      <c r="J99" s="157" t="str">
        <f>IF(A99="","", SUMIF(RawTotals!A$2:A999, C99, RawTotals!AC$2:AC999))</f>
        <v/>
      </c>
      <c r="K99" s="86" t="str">
        <f>IF(A99="","",SUMIF(RawTotals!A$2:A999, C99, RawTotals!W$2:W999))</f>
        <v/>
      </c>
      <c r="L99" s="158" t="str">
        <f>IF(A99="","",SUMIF(RawTotals!A$2:A999, C99, RawTotals!Q$2:Q999))</f>
        <v/>
      </c>
      <c r="M99" s="158" t="str">
        <f>IFERROR(__xludf.DUMMYFUNCTION("IFERROR(IF(A99="""","""",FILTER('Pit Scouting Responses'!J$1:J999,'Pit Scouting Responses'!C$1:C999=A99)),""NOT COLLECTED"")"),"")</f>
        <v/>
      </c>
      <c r="N99" s="76"/>
      <c r="O99" s="76"/>
      <c r="P99" s="76"/>
      <c r="Q99" s="76"/>
      <c r="R99" s="76"/>
      <c r="S99" s="76"/>
      <c r="T99" s="76"/>
      <c r="U99" s="76"/>
      <c r="V99" s="76"/>
      <c r="W99" s="76"/>
      <c r="X99" s="76"/>
      <c r="Y99" s="76"/>
      <c r="Z99" s="160" t="str">
        <f>IF(A99="","",SUMIF(RawTotals!A$2:A999, C99, RawTotals!AD$2:AD999))</f>
        <v/>
      </c>
      <c r="AA99" s="160" t="str">
        <f>IFERROR(__xludf.DUMMYFUNCTION("IF(A99="""","""",IF(FILTER(RawTotals!K$2:K999,RawTotals!A$2:A999=A99)="""","""",SUMIF(RawTotals!A$2:A999, C99, RawTotals!K$2:K999)))"),"")</f>
        <v/>
      </c>
      <c r="AB99" s="76" t="str">
        <f>IF(A99="","",SUMIF(RawTotals!A$2:A999, C99, RawTotals!E$2:E999))</f>
        <v/>
      </c>
      <c r="AC99" s="76" t="str">
        <f>IF(A99="","",SUMIF(RawTotals!A$2:A999, C99, RawTotals!N$2:N999))</f>
        <v/>
      </c>
      <c r="AD99" s="161" t="str">
        <f>IF(A99="","",SUMIF(RawTotals!A$2:A999, C99, RawTotals!X$2:X999))</f>
        <v/>
      </c>
      <c r="AE99" s="160" t="str">
        <f>IF(A99="","",SUMIF(RawTotals!A$2:A999, C99, RawTotals!R$2:R999))</f>
        <v/>
      </c>
      <c r="AF99" s="76"/>
    </row>
    <row r="100">
      <c r="A100" s="172"/>
      <c r="B100" s="170"/>
      <c r="C100" s="172"/>
      <c r="D100" s="42"/>
      <c r="E100" s="42" t="str">
        <f>IF(A100="","", SUMIF(RawTotals!A$2:A999, C100, RawTotals!AG$2:AG999))</f>
        <v/>
      </c>
      <c r="F100" s="42" t="str">
        <f>IF(A100="","", SUMIF(RawTotals!A$2:A999, C100, RawTotals!AH$2:AH999))</f>
        <v/>
      </c>
      <c r="G100" s="154" t="str">
        <f>IF(A100="","", SUMIF(RawTotals!A$2:A999, C100, RawTotals!J$2:J999))</f>
        <v/>
      </c>
      <c r="H100" s="155" t="str">
        <f>IF(A100="","",SUMIF(RawTotals!A$2:A999, C100, RawTotals!D$2:D999))</f>
        <v/>
      </c>
      <c r="I100" s="156" t="str">
        <f>IF(A100="","",SUMIF(RawTotals!A$2:A999, C100, RawTotals!M$2:M999))</f>
        <v/>
      </c>
      <c r="J100" s="157" t="str">
        <f>IF(A100="","", SUMIF(RawTotals!A$2:A999, C100, RawTotals!AC$2:AC999))</f>
        <v/>
      </c>
      <c r="K100" s="86" t="str">
        <f>IF(A100="","",SUMIF(RawTotals!A$2:A999, C100, RawTotals!W$2:W999))</f>
        <v/>
      </c>
      <c r="L100" s="158" t="str">
        <f>IF(A100="","",SUMIF(RawTotals!A$2:A999, C100, RawTotals!Q$2:Q999))</f>
        <v/>
      </c>
      <c r="M100" s="158" t="str">
        <f>IFERROR(__xludf.DUMMYFUNCTION("IFERROR(IF(A100="""","""",FILTER('Pit Scouting Responses'!J$1:J999,'Pit Scouting Responses'!C$1:C999=A100)),""NOT COLLECTED"")"),"")</f>
        <v/>
      </c>
      <c r="N100" s="76"/>
      <c r="O100" s="76"/>
      <c r="P100" s="76"/>
      <c r="Q100" s="76"/>
      <c r="R100" s="76"/>
      <c r="S100" s="76"/>
      <c r="T100" s="76"/>
      <c r="U100" s="76"/>
      <c r="V100" s="76"/>
      <c r="W100" s="76"/>
      <c r="X100" s="76"/>
      <c r="Y100" s="76"/>
      <c r="Z100" s="160" t="str">
        <f>IF(A100="","",SUMIF(RawTotals!A$2:A999, C100, RawTotals!AD$2:AD999))</f>
        <v/>
      </c>
      <c r="AA100" s="160" t="str">
        <f>IFERROR(__xludf.DUMMYFUNCTION("IF(A100="""","""",IF(FILTER(RawTotals!K$2:K999,RawTotals!A$2:A999=A100)="""","""",SUMIF(RawTotals!A$2:A999, C100, RawTotals!K$2:K999)))"),"")</f>
        <v/>
      </c>
      <c r="AB100" s="76" t="str">
        <f>IF(A100="","",SUMIF(RawTotals!A$2:A999, C100, RawTotals!E$2:E999))</f>
        <v/>
      </c>
      <c r="AC100" s="76" t="str">
        <f>IF(A100="","",SUMIF(RawTotals!A$2:A999, C100, RawTotals!N$2:N999))</f>
        <v/>
      </c>
      <c r="AD100" s="161" t="str">
        <f>IF(A100="","",SUMIF(RawTotals!A$2:A999, C100, RawTotals!X$2:X999))</f>
        <v/>
      </c>
      <c r="AE100" s="160" t="str">
        <f>IF(A100="","",SUMIF(RawTotals!A$2:A999, C100, RawTotals!R$2:R999))</f>
        <v/>
      </c>
      <c r="AF100" s="76"/>
    </row>
    <row r="101">
      <c r="A101" s="87"/>
      <c r="B101" s="170"/>
      <c r="C101" s="87"/>
      <c r="D101" s="42"/>
      <c r="E101" s="42" t="str">
        <f>IF(A101="","", SUMIF(RawTotals!A$2:A999, C101, RawTotals!AG$2:AG999))</f>
        <v/>
      </c>
      <c r="F101" s="42" t="str">
        <f>IF(A101="","", SUMIF(RawTotals!A$2:A999, C101, RawTotals!AH$2:AH999))</f>
        <v/>
      </c>
      <c r="G101" s="154" t="str">
        <f>IF(A101="","", SUMIF(RawTotals!A$2:A999, C101, RawTotals!J$2:J999))</f>
        <v/>
      </c>
      <c r="H101" s="155" t="str">
        <f>IF(A101="","",SUMIF(RawTotals!A$2:A999, C101, RawTotals!D$2:D999))</f>
        <v/>
      </c>
      <c r="I101" s="156" t="str">
        <f>IF(A101="","",SUMIF(RawTotals!A$2:A999, C101, RawTotals!M$2:M999))</f>
        <v/>
      </c>
      <c r="J101" s="157" t="str">
        <f>IF(A101="","", SUMIF(RawTotals!A$2:A999, C101, RawTotals!AC$2:AC999))</f>
        <v/>
      </c>
      <c r="K101" s="86" t="str">
        <f>IF(A101="","",SUMIF(RawTotals!A$2:A999, C101, RawTotals!W$2:W999))</f>
        <v/>
      </c>
      <c r="L101" s="158" t="str">
        <f>IF(A101="","",SUMIF(RawTotals!A$2:A999, C101, RawTotals!Q$2:Q999))</f>
        <v/>
      </c>
      <c r="M101" s="158" t="str">
        <f>IFERROR(__xludf.DUMMYFUNCTION("IFERROR(IF(A101="""","""",FILTER('Pit Scouting Responses'!J$1:J999,'Pit Scouting Responses'!C$1:C999=A101)),""NOT COLLECTED"")"),"")</f>
        <v/>
      </c>
      <c r="N101" s="76"/>
      <c r="O101" s="76"/>
      <c r="P101" s="76"/>
      <c r="Q101" s="76"/>
      <c r="R101" s="76"/>
      <c r="S101" s="76"/>
      <c r="T101" s="76"/>
      <c r="U101" s="76"/>
      <c r="V101" s="76"/>
      <c r="W101" s="76"/>
      <c r="X101" s="76"/>
      <c r="Y101" s="76"/>
      <c r="Z101" s="160" t="str">
        <f>IF(A101="","",SUMIF(RawTotals!A$2:A999, C101, RawTotals!AD$2:AD999))</f>
        <v/>
      </c>
      <c r="AA101" s="160" t="str">
        <f>IFERROR(__xludf.DUMMYFUNCTION("IF(A101="""","""",IF(FILTER(RawTotals!K$2:K999,RawTotals!A$2:A999=A101)="""","""",SUMIF(RawTotals!A$2:A999, C101, RawTotals!K$2:K999)))"),"")</f>
        <v/>
      </c>
      <c r="AB101" s="76" t="str">
        <f>IF(A101="","",SUMIF(RawTotals!A$2:A999, C101, RawTotals!E$2:E999))</f>
        <v/>
      </c>
      <c r="AC101" s="76" t="str">
        <f>IF(A101="","",SUMIF(RawTotals!A$2:A999, C101, RawTotals!N$2:N999))</f>
        <v/>
      </c>
      <c r="AD101" s="161" t="str">
        <f>IF(A101="","",SUMIF(RawTotals!A$2:A999, C101, RawTotals!X$2:X999))</f>
        <v/>
      </c>
      <c r="AE101" s="160" t="str">
        <f>IF(A101="","",SUMIF(RawTotals!A$2:A999, C101, RawTotals!R$2:R999))</f>
        <v/>
      </c>
      <c r="AF101" s="76"/>
    </row>
    <row r="102">
      <c r="A102" s="76"/>
      <c r="B102" s="170"/>
      <c r="C102" s="76"/>
      <c r="D102" s="173"/>
      <c r="E102" s="42" t="str">
        <f>IF(A102="","", SUMIF(RawTotals!A$2:A999, C102, RawTotals!AG$2:AG999))</f>
        <v/>
      </c>
      <c r="F102" s="42" t="str">
        <f>IF(A102="","", SUMIF(RawTotals!A$2:A999, C102, RawTotals!AH$2:AH999))</f>
        <v/>
      </c>
      <c r="G102" s="154" t="str">
        <f>IF(A102="","", SUMIF(RawTotals!A$2:A999, C102, RawTotals!J$2:J999))</f>
        <v/>
      </c>
      <c r="H102" s="155" t="str">
        <f>IF(A102="","",SUMIF(RawTotals!A$2:A999, C102, RawTotals!D$2:D999))</f>
        <v/>
      </c>
      <c r="I102" s="156" t="str">
        <f>IF(A102="","",SUMIF(RawTotals!A$2:A999, C102, RawTotals!M$2:M999))</f>
        <v/>
      </c>
      <c r="J102" s="157" t="str">
        <f>IF(A102="","", SUMIF(RawTotals!A$2:A999, C102, RawTotals!AC$2:AC999))</f>
        <v/>
      </c>
      <c r="K102" s="86" t="str">
        <f>IF(A102="","",SUMIF(RawTotals!A$2:A999, C102, RawTotals!W$2:W999))</f>
        <v/>
      </c>
      <c r="L102" s="158" t="str">
        <f>IF(A102="","",SUMIF(RawTotals!A$2:A999, C102, RawTotals!Q$2:Q999))</f>
        <v/>
      </c>
      <c r="M102" s="158" t="str">
        <f>IFERROR(__xludf.DUMMYFUNCTION("IFERROR(IF(A102="""","""",FILTER('Pit Scouting Responses'!J$1:J999,'Pit Scouting Responses'!C$1:C999=A102)),""NOT COLLECTED"")"),"")</f>
        <v/>
      </c>
      <c r="N102" s="76"/>
      <c r="O102" s="76"/>
      <c r="P102" s="76"/>
      <c r="Q102" s="76"/>
      <c r="R102" s="76"/>
      <c r="S102" s="76"/>
      <c r="T102" s="76"/>
      <c r="U102" s="76"/>
      <c r="V102" s="76"/>
      <c r="W102" s="76"/>
      <c r="X102" s="76"/>
      <c r="Y102" s="76"/>
      <c r="Z102" s="160" t="str">
        <f>IF(A102="","",SUMIF(RawTotals!A$2:A999, C102, RawTotals!AD$2:AD999))</f>
        <v/>
      </c>
      <c r="AA102" s="160" t="str">
        <f>IFERROR(__xludf.DUMMYFUNCTION("IF(A102="""","""",IF(FILTER(RawTotals!K$2:K999,RawTotals!A$2:A999=A102)="""","""",SUMIF(RawTotals!A$2:A999, C102, RawTotals!K$2:K999)))"),"")</f>
        <v/>
      </c>
      <c r="AB102" s="76" t="str">
        <f>IF(A102="","",SUMIF(RawTotals!A$2:A999, C102, RawTotals!E$2:E999))</f>
        <v/>
      </c>
      <c r="AC102" s="76" t="str">
        <f>IF(A102="","",SUMIF(RawTotals!A$2:A999, C102, RawTotals!N$2:N999))</f>
        <v/>
      </c>
      <c r="AD102" s="161" t="str">
        <f>IF(A102="","",SUMIF(RawTotals!A$2:A999, C102, RawTotals!X$2:X999))</f>
        <v/>
      </c>
      <c r="AE102" s="160" t="str">
        <f>IF(A102="","",SUMIF(RawTotals!A$2:A999, C102, RawTotals!R$2:R999))</f>
        <v/>
      </c>
      <c r="AF102" s="76"/>
    </row>
    <row r="103">
      <c r="A103" s="76"/>
      <c r="B103" s="170"/>
      <c r="C103" s="76"/>
      <c r="D103" s="173"/>
      <c r="E103" s="42" t="str">
        <f>IF(A103="","", SUMIF(RawTotals!A$2:A999, C103, RawTotals!AG$2:AG999))</f>
        <v/>
      </c>
      <c r="F103" s="42" t="str">
        <f>IF(A103="","", SUMIF(RawTotals!A$2:A999, C103, RawTotals!AH$2:AH999))</f>
        <v/>
      </c>
      <c r="G103" s="154" t="str">
        <f>IF(A103="","", SUMIF(RawTotals!A$2:A999, C103, RawTotals!J$2:J999))</f>
        <v/>
      </c>
      <c r="H103" s="155" t="str">
        <f>IF(A103="","",SUMIF(RawTotals!A$2:A999, C103, RawTotals!D$2:D999))</f>
        <v/>
      </c>
      <c r="I103" s="156" t="str">
        <f>IF(A103="","",SUMIF(RawTotals!A$2:A999, C103, RawTotals!M$2:M999))</f>
        <v/>
      </c>
      <c r="J103" s="157" t="str">
        <f>IF(A103="","", SUMIF(RawTotals!A$2:A999, C103, RawTotals!AC$2:AC999))</f>
        <v/>
      </c>
      <c r="K103" s="86" t="str">
        <f>IF(A103="","",SUMIF(RawTotals!A$2:A999, C103, RawTotals!W$2:W999))</f>
        <v/>
      </c>
      <c r="L103" s="158" t="str">
        <f>IF(A103="","",SUMIF(RawTotals!A$2:A999, C103, RawTotals!Q$2:Q999))</f>
        <v/>
      </c>
      <c r="M103" s="158" t="str">
        <f>IFERROR(__xludf.DUMMYFUNCTION("IFERROR(IF(A103="""","""",FILTER('Pit Scouting Responses'!J$1:J999,'Pit Scouting Responses'!C$1:C999=A103)),""NOT COLLECTED"")"),"")</f>
        <v/>
      </c>
      <c r="N103" s="76"/>
      <c r="O103" s="76"/>
      <c r="P103" s="76"/>
      <c r="Q103" s="76"/>
      <c r="R103" s="76"/>
      <c r="S103" s="76"/>
      <c r="T103" s="76"/>
      <c r="U103" s="76"/>
      <c r="V103" s="76"/>
      <c r="W103" s="76"/>
      <c r="X103" s="76"/>
      <c r="Y103" s="76"/>
      <c r="Z103" s="160" t="str">
        <f>IF(A103="","",SUMIF(RawTotals!A$2:A999, C103, RawTotals!AD$2:AD999))</f>
        <v/>
      </c>
      <c r="AA103" s="160" t="str">
        <f>IFERROR(__xludf.DUMMYFUNCTION("IF(A103="""","""",IF(FILTER(RawTotals!K$2:K999,RawTotals!A$2:A999=A103)="""","""",SUMIF(RawTotals!A$2:A999, C103, RawTotals!K$2:K999)))"),"")</f>
        <v/>
      </c>
      <c r="AB103" s="76" t="str">
        <f>IF(A103="","",SUMIF(RawTotals!A$2:A999, C103, RawTotals!E$2:E999))</f>
        <v/>
      </c>
      <c r="AC103" s="76" t="str">
        <f>IF(A103="","",SUMIF(RawTotals!A$2:A999, C103, RawTotals!N$2:N999))</f>
        <v/>
      </c>
      <c r="AD103" s="161" t="str">
        <f>IF(A103="","",SUMIF(RawTotals!A$2:A999, C103, RawTotals!X$2:X999))</f>
        <v/>
      </c>
      <c r="AE103" s="160" t="str">
        <f>IF(A103="","",SUMIF(RawTotals!A$2:A999, C103, RawTotals!R$2:R999))</f>
        <v/>
      </c>
      <c r="AF103" s="76"/>
    </row>
    <row r="104">
      <c r="A104" s="76"/>
      <c r="B104" s="170"/>
      <c r="C104" s="76"/>
      <c r="D104" s="173"/>
      <c r="E104" s="42" t="str">
        <f>IF(A104="","", SUMIF(RawTotals!A$2:A999, C104, RawTotals!AG$2:AG999))</f>
        <v/>
      </c>
      <c r="F104" s="42" t="str">
        <f>IF(A104="","", SUMIF(RawTotals!A$2:A999, C104, RawTotals!AH$2:AH999))</f>
        <v/>
      </c>
      <c r="G104" s="154" t="str">
        <f>IF(A104="","", SUMIF(RawTotals!A$2:A999, C104, RawTotals!J$2:J999))</f>
        <v/>
      </c>
      <c r="H104" s="155" t="str">
        <f>IF(A104="","",SUMIF(RawTotals!A$2:A999, C104, RawTotals!D$2:D999))</f>
        <v/>
      </c>
      <c r="I104" s="156" t="str">
        <f>IF(A104="","",SUMIF(RawTotals!A$2:A999, C104, RawTotals!M$2:M999))</f>
        <v/>
      </c>
      <c r="J104" s="157" t="str">
        <f>IF(A104="","", SUMIF(RawTotals!A$2:A999, C104, RawTotals!AC$2:AC999))</f>
        <v/>
      </c>
      <c r="K104" s="86" t="str">
        <f>IF(A104="","",SUMIF(RawTotals!A$2:A999, C104, RawTotals!W$2:W999))</f>
        <v/>
      </c>
      <c r="L104" s="158" t="str">
        <f>IF(A104="","",SUMIF(RawTotals!A$2:A999, C104, RawTotals!Q$2:Q999))</f>
        <v/>
      </c>
      <c r="M104" s="158" t="str">
        <f>IFERROR(__xludf.DUMMYFUNCTION("IFERROR(IF(A104="""","""",FILTER('Pit Scouting Responses'!J$1:J999,'Pit Scouting Responses'!C$1:C999=A104)),""NOT COLLECTED"")"),"")</f>
        <v/>
      </c>
      <c r="N104" s="76"/>
      <c r="O104" s="76"/>
      <c r="P104" s="76"/>
      <c r="Q104" s="76"/>
      <c r="R104" s="76"/>
      <c r="S104" s="76"/>
      <c r="T104" s="76"/>
      <c r="U104" s="76"/>
      <c r="V104" s="76"/>
      <c r="W104" s="76"/>
      <c r="X104" s="76"/>
      <c r="Y104" s="76"/>
      <c r="Z104" s="160" t="str">
        <f>IF(A104="","",SUMIF(RawTotals!A$2:A999, C104, RawTotals!AD$2:AD999))</f>
        <v/>
      </c>
      <c r="AA104" s="160" t="str">
        <f>IFERROR(__xludf.DUMMYFUNCTION("IF(A104="""","""",IF(FILTER(RawTotals!K$2:K999,RawTotals!A$2:A999=A104)="""","""",SUMIF(RawTotals!A$2:A999, C104, RawTotals!K$2:K999)))"),"")</f>
        <v/>
      </c>
      <c r="AB104" s="76" t="str">
        <f>IF(A104="","",SUMIF(RawTotals!A$2:A999, C104, RawTotals!E$2:E999))</f>
        <v/>
      </c>
      <c r="AC104" s="76" t="str">
        <f>IF(A104="","",SUMIF(RawTotals!A$2:A999, C104, RawTotals!N$2:N999))</f>
        <v/>
      </c>
      <c r="AD104" s="161" t="str">
        <f>IF(A104="","",SUMIF(RawTotals!A$2:A999, C104, RawTotals!X$2:X999))</f>
        <v/>
      </c>
      <c r="AE104" s="160" t="str">
        <f>IF(A104="","",SUMIF(RawTotals!A$2:A999, C104, RawTotals!R$2:R999))</f>
        <v/>
      </c>
      <c r="AF104" s="76"/>
    </row>
    <row r="105">
      <c r="A105" s="76"/>
      <c r="B105" s="170"/>
      <c r="C105" s="76"/>
      <c r="D105" s="173"/>
      <c r="E105" s="42" t="str">
        <f>IF(A105="","", SUMIF(RawTotals!A$2:A999, C105, RawTotals!AG$2:AG999))</f>
        <v/>
      </c>
      <c r="F105" s="42" t="str">
        <f>IF(A105="","", SUMIF(RawTotals!A$2:A999, C105, RawTotals!AH$2:AH999))</f>
        <v/>
      </c>
      <c r="G105" s="154" t="str">
        <f>IF(A105="","", SUMIF(RawTotals!A$2:A999, C105, RawTotals!J$2:J999))</f>
        <v/>
      </c>
      <c r="H105" s="155" t="str">
        <f>IF(A105="","",SUMIF(RawTotals!A$2:A999, C105, RawTotals!D$2:D999))</f>
        <v/>
      </c>
      <c r="I105" s="156" t="str">
        <f>IF(A105="","",SUMIF(RawTotals!A$2:A999, C105, RawTotals!M$2:M999))</f>
        <v/>
      </c>
      <c r="J105" s="157" t="str">
        <f>IF(A105="","", SUMIF(RawTotals!A$2:A999, C105, RawTotals!AC$2:AC999))</f>
        <v/>
      </c>
      <c r="K105" s="86" t="str">
        <f>IF(A105="","",SUMIF(RawTotals!A$2:A999, C105, RawTotals!W$2:W999))</f>
        <v/>
      </c>
      <c r="L105" s="158" t="str">
        <f>IF(A105="","",SUMIF(RawTotals!A$2:A999, C105, RawTotals!Q$2:Q999))</f>
        <v/>
      </c>
      <c r="M105" s="158" t="str">
        <f>IFERROR(__xludf.DUMMYFUNCTION("IFERROR(IF(A105="""","""",FILTER('Pit Scouting Responses'!J$1:J999,'Pit Scouting Responses'!C$1:C999=A105)),""NOT COLLECTED"")"),"")</f>
        <v/>
      </c>
      <c r="N105" s="76"/>
      <c r="O105" s="76"/>
      <c r="P105" s="76"/>
      <c r="Q105" s="76"/>
      <c r="R105" s="76"/>
      <c r="S105" s="76"/>
      <c r="T105" s="76"/>
      <c r="U105" s="76"/>
      <c r="V105" s="76"/>
      <c r="W105" s="76"/>
      <c r="X105" s="76"/>
      <c r="Y105" s="76"/>
      <c r="Z105" s="160" t="str">
        <f>IF(A105="","",SUMIF(RawTotals!A$2:A999, C105, RawTotals!AD$2:AD999))</f>
        <v/>
      </c>
      <c r="AA105" s="160" t="str">
        <f>IFERROR(__xludf.DUMMYFUNCTION("IF(A105="""","""",IF(FILTER(RawTotals!K$2:K999,RawTotals!A$2:A999=A105)="""","""",SUMIF(RawTotals!A$2:A999, C105, RawTotals!K$2:K999)))"),"")</f>
        <v/>
      </c>
      <c r="AB105" s="76" t="str">
        <f>IF(A105="","",SUMIF(RawTotals!A$2:A999, C105, RawTotals!E$2:E999))</f>
        <v/>
      </c>
      <c r="AC105" s="76" t="str">
        <f>IF(A105="","",SUMIF(RawTotals!A$2:A999, C105, RawTotals!N$2:N999))</f>
        <v/>
      </c>
      <c r="AD105" s="161" t="str">
        <f>IF(A105="","",SUMIF(RawTotals!A$2:A999, C105, RawTotals!X$2:X999))</f>
        <v/>
      </c>
      <c r="AE105" s="160" t="str">
        <f>IF(A105="","",SUMIF(RawTotals!A$2:A999, C105, RawTotals!R$2:R999))</f>
        <v/>
      </c>
      <c r="AF105" s="76"/>
    </row>
    <row r="106">
      <c r="A106" s="76"/>
      <c r="B106" s="170"/>
      <c r="C106" s="76"/>
      <c r="D106" s="173"/>
      <c r="E106" s="42" t="str">
        <f>IF(A106="","", SUMIF(RawTotals!A$2:A999, C106, RawTotals!AG$2:AG999))</f>
        <v/>
      </c>
      <c r="F106" s="42" t="str">
        <f>IF(A106="","", SUMIF(RawTotals!A$2:A999, C106, RawTotals!AH$2:AH999))</f>
        <v/>
      </c>
      <c r="G106" s="154" t="str">
        <f>IF(A106="","", SUMIF(RawTotals!A$2:A999, C106, RawTotals!J$2:J999))</f>
        <v/>
      </c>
      <c r="H106" s="155" t="str">
        <f>IF(A106="","",SUMIF(RawTotals!A$2:A999, C106, RawTotals!D$2:D999))</f>
        <v/>
      </c>
      <c r="I106" s="156" t="str">
        <f>IF(A106="","",SUMIF(RawTotals!A$2:A999, C106, RawTotals!M$2:M999))</f>
        <v/>
      </c>
      <c r="J106" s="157" t="str">
        <f>IF(A106="","", SUMIF(RawTotals!A$2:A999, C106, RawTotals!AC$2:AC999))</f>
        <v/>
      </c>
      <c r="K106" s="86" t="str">
        <f>IF(A106="","",SUMIF(RawTotals!A$2:A999, C106, RawTotals!W$2:W999))</f>
        <v/>
      </c>
      <c r="L106" s="158" t="str">
        <f>IF(A106="","",SUMIF(RawTotals!A$2:A999, C106, RawTotals!Q$2:Q999))</f>
        <v/>
      </c>
      <c r="M106" s="158" t="str">
        <f>IFERROR(__xludf.DUMMYFUNCTION("IFERROR(IF(A106="""","""",FILTER('Pit Scouting Responses'!J$1:J999,'Pit Scouting Responses'!C$1:C999=A106)),""NOT COLLECTED"")"),"")</f>
        <v/>
      </c>
      <c r="N106" s="76"/>
      <c r="O106" s="76"/>
      <c r="P106" s="76"/>
      <c r="Q106" s="76"/>
      <c r="R106" s="76"/>
      <c r="S106" s="76"/>
      <c r="T106" s="76"/>
      <c r="U106" s="76"/>
      <c r="V106" s="76"/>
      <c r="W106" s="76"/>
      <c r="X106" s="76"/>
      <c r="Y106" s="76"/>
      <c r="Z106" s="160" t="str">
        <f>IF(A106="","",SUMIF(RawTotals!A$2:A999, C106, RawTotals!AD$2:AD999))</f>
        <v/>
      </c>
      <c r="AA106" s="160" t="str">
        <f>IFERROR(__xludf.DUMMYFUNCTION("IF(A106="""","""",IF(FILTER(RawTotals!K$2:K999,RawTotals!A$2:A999=A106)="""","""",SUMIF(RawTotals!A$2:A999, C106, RawTotals!K$2:K999)))"),"")</f>
        <v/>
      </c>
      <c r="AB106" s="76" t="str">
        <f>IF(A106="","",SUMIF(RawTotals!A$2:A999, C106, RawTotals!E$2:E999))</f>
        <v/>
      </c>
      <c r="AC106" s="76" t="str">
        <f>IF(A106="","",SUMIF(RawTotals!A$2:A999, C106, RawTotals!N$2:N999))</f>
        <v/>
      </c>
      <c r="AD106" s="161" t="str">
        <f>IF(A106="","",SUMIF(RawTotals!A$2:A999, C106, RawTotals!X$2:X999))</f>
        <v/>
      </c>
      <c r="AE106" s="160" t="str">
        <f>IF(A106="","",SUMIF(RawTotals!A$2:A999, C106, RawTotals!R$2:R999))</f>
        <v/>
      </c>
      <c r="AF106" s="76"/>
    </row>
    <row r="107">
      <c r="A107" s="76"/>
      <c r="B107" s="170"/>
      <c r="C107" s="76"/>
      <c r="D107" s="173"/>
      <c r="E107" s="42" t="str">
        <f>IF(A107="","", SUMIF(RawTotals!A$2:A999, C107, RawTotals!AG$2:AG999))</f>
        <v/>
      </c>
      <c r="F107" s="42" t="str">
        <f>IF(A107="","", SUMIF(RawTotals!A$2:A999, C107, RawTotals!AH$2:AH999))</f>
        <v/>
      </c>
      <c r="G107" s="154" t="str">
        <f>IF(A107="","", SUMIF(RawTotals!A$2:A999, C107, RawTotals!J$2:J999))</f>
        <v/>
      </c>
      <c r="H107" s="155" t="str">
        <f>IF(A107="","",SUMIF(RawTotals!A$2:A999, C107, RawTotals!D$2:D999))</f>
        <v/>
      </c>
      <c r="I107" s="156" t="str">
        <f>IF(A107="","",SUMIF(RawTotals!A$2:A999, C107, RawTotals!M$2:M999))</f>
        <v/>
      </c>
      <c r="J107" s="157" t="str">
        <f>IF(A107="","", SUMIF(RawTotals!A$2:A999, C107, RawTotals!AC$2:AC999))</f>
        <v/>
      </c>
      <c r="K107" s="86" t="str">
        <f>IF(A107="","",SUMIF(RawTotals!A$2:A999, C107, RawTotals!W$2:W999))</f>
        <v/>
      </c>
      <c r="L107" s="158" t="str">
        <f>IF(A107="","",SUMIF(RawTotals!A$2:A999, C107, RawTotals!Q$2:Q999))</f>
        <v/>
      </c>
      <c r="M107" s="158" t="str">
        <f>IFERROR(__xludf.DUMMYFUNCTION("IFERROR(IF(A107="""","""",FILTER('Pit Scouting Responses'!J$1:J999,'Pit Scouting Responses'!C$1:C999=A107)),""NOT COLLECTED"")"),"")</f>
        <v/>
      </c>
      <c r="N107" s="76"/>
      <c r="O107" s="76"/>
      <c r="P107" s="76"/>
      <c r="Q107" s="76"/>
      <c r="R107" s="76"/>
      <c r="S107" s="76"/>
      <c r="T107" s="76"/>
      <c r="U107" s="76"/>
      <c r="V107" s="76"/>
      <c r="W107" s="76"/>
      <c r="X107" s="76"/>
      <c r="Y107" s="76"/>
      <c r="Z107" s="160" t="str">
        <f>IF(A107="","",SUMIF(RawTotals!A$2:A999, C107, RawTotals!AD$2:AD999))</f>
        <v/>
      </c>
      <c r="AA107" s="160" t="str">
        <f>IFERROR(__xludf.DUMMYFUNCTION("IF(A107="""","""",IF(FILTER(RawTotals!K$2:K999,RawTotals!A$2:A999=A107)="""","""",SUMIF(RawTotals!A$2:A999, C107, RawTotals!K$2:K999)))"),"")</f>
        <v/>
      </c>
      <c r="AB107" s="76" t="str">
        <f>IF(A107="","",SUMIF(RawTotals!A$2:A999, C107, RawTotals!E$2:E999))</f>
        <v/>
      </c>
      <c r="AC107" s="76" t="str">
        <f>IF(A107="","",SUMIF(RawTotals!A$2:A999, C107, RawTotals!N$2:N999))</f>
        <v/>
      </c>
      <c r="AD107" s="161" t="str">
        <f>IF(A107="","",SUMIF(RawTotals!A$2:A999, C107, RawTotals!X$2:X999))</f>
        <v/>
      </c>
      <c r="AE107" s="160" t="str">
        <f>IF(A107="","",SUMIF(RawTotals!A$2:A999, C107, RawTotals!R$2:R999))</f>
        <v/>
      </c>
      <c r="AF107" s="76"/>
    </row>
    <row r="108">
      <c r="A108" s="76"/>
      <c r="B108" s="170"/>
      <c r="C108" s="76"/>
      <c r="D108" s="173"/>
      <c r="E108" s="42" t="str">
        <f>IF(A108="","", SUMIF(RawTotals!A$2:A999, C108, RawTotals!AG$2:AG999))</f>
        <v/>
      </c>
      <c r="F108" s="42" t="str">
        <f>IF(A108="","", SUMIF(RawTotals!A$2:A999, C108, RawTotals!AH$2:AH999))</f>
        <v/>
      </c>
      <c r="G108" s="154" t="str">
        <f>IF(A108="","", SUMIF(RawTotals!A$2:A999, C108, RawTotals!J$2:J999))</f>
        <v/>
      </c>
      <c r="H108" s="155" t="str">
        <f>IF(A108="","",SUMIF(RawTotals!A$2:A999, C108, RawTotals!D$2:D999))</f>
        <v/>
      </c>
      <c r="I108" s="156" t="str">
        <f>IF(A108="","",SUMIF(RawTotals!A$2:A999, C108, RawTotals!M$2:M999))</f>
        <v/>
      </c>
      <c r="J108" s="157" t="str">
        <f>IF(A108="","", SUMIF(RawTotals!A$2:A999, C108, RawTotals!AC$2:AC999))</f>
        <v/>
      </c>
      <c r="K108" s="86" t="str">
        <f>IF(A108="","",SUMIF(RawTotals!A$2:A999, C108, RawTotals!W$2:W999))</f>
        <v/>
      </c>
      <c r="L108" s="158" t="str">
        <f>IF(A108="","",SUMIF(RawTotals!A$2:A999, C108, RawTotals!Q$2:Q999))</f>
        <v/>
      </c>
      <c r="M108" s="158" t="str">
        <f>IFERROR(__xludf.DUMMYFUNCTION("IFERROR(IF(A108="""","""",FILTER('Pit Scouting Responses'!J$1:J999,'Pit Scouting Responses'!C$1:C999=A108)),""NOT COLLECTED"")"),"")</f>
        <v/>
      </c>
      <c r="N108" s="76"/>
      <c r="O108" s="76"/>
      <c r="P108" s="76"/>
      <c r="Q108" s="76"/>
      <c r="R108" s="76"/>
      <c r="S108" s="76"/>
      <c r="T108" s="76"/>
      <c r="U108" s="76"/>
      <c r="V108" s="76"/>
      <c r="W108" s="76"/>
      <c r="X108" s="76"/>
      <c r="Y108" s="76"/>
      <c r="Z108" s="160" t="str">
        <f>IF(A108="","",SUMIF(RawTotals!A$2:A999, C108, RawTotals!AD$2:AD999))</f>
        <v/>
      </c>
      <c r="AA108" s="160" t="str">
        <f>IFERROR(__xludf.DUMMYFUNCTION("IF(A108="""","""",IF(FILTER(RawTotals!K$2:K999,RawTotals!A$2:A999=A108)="""","""",SUMIF(RawTotals!A$2:A999, C108, RawTotals!K$2:K999)))"),"")</f>
        <v/>
      </c>
      <c r="AB108" s="76" t="str">
        <f>IF(A108="","",SUMIF(RawTotals!A$2:A999, C108, RawTotals!E$2:E999))</f>
        <v/>
      </c>
      <c r="AC108" s="76" t="str">
        <f>IF(A108="","",SUMIF(RawTotals!A$2:A999, C108, RawTotals!N$2:N999))</f>
        <v/>
      </c>
      <c r="AD108" s="161" t="str">
        <f>IF(A108="","",SUMIF(RawTotals!A$2:A999, C108, RawTotals!X$2:X999))</f>
        <v/>
      </c>
      <c r="AE108" s="160" t="str">
        <f>IF(A108="","",SUMIF(RawTotals!A$2:A999, C108, RawTotals!R$2:R999))</f>
        <v/>
      </c>
      <c r="AF108" s="76"/>
    </row>
    <row r="109">
      <c r="A109" s="76"/>
      <c r="B109" s="170"/>
      <c r="C109" s="76"/>
      <c r="D109" s="173"/>
      <c r="E109" s="42" t="str">
        <f>IF(A109="","", SUMIF(RawTotals!A$2:A999, C109, RawTotals!AG$2:AG999))</f>
        <v/>
      </c>
      <c r="F109" s="42" t="str">
        <f>IF(A109="","", SUMIF(RawTotals!A$2:A999, C109, RawTotals!AH$2:AH999))</f>
        <v/>
      </c>
      <c r="G109" s="154" t="str">
        <f>IF(A109="","", SUMIF(RawTotals!A$2:A999, C109, RawTotals!J$2:J999))</f>
        <v/>
      </c>
      <c r="H109" s="155" t="str">
        <f>IF(A109="","",SUMIF(RawTotals!A$2:A999, C109, RawTotals!D$2:D999))</f>
        <v/>
      </c>
      <c r="I109" s="156" t="str">
        <f>IF(A109="","",SUMIF(RawTotals!A$2:A999, C109, RawTotals!M$2:M999))</f>
        <v/>
      </c>
      <c r="J109" s="157" t="str">
        <f>IF(A109="","", SUMIF(RawTotals!A$2:A999, C109, RawTotals!AC$2:AC999))</f>
        <v/>
      </c>
      <c r="K109" s="86" t="str">
        <f>IF(A109="","",SUMIF(RawTotals!A$2:A999, C109, RawTotals!W$2:W999))</f>
        <v/>
      </c>
      <c r="L109" s="158" t="str">
        <f>IF(A109="","",SUMIF(RawTotals!A$2:A999, C109, RawTotals!Q$2:Q999))</f>
        <v/>
      </c>
      <c r="M109" s="76"/>
      <c r="N109" s="76"/>
      <c r="O109" s="76"/>
      <c r="P109" s="76"/>
      <c r="Q109" s="76"/>
      <c r="R109" s="76"/>
      <c r="S109" s="76"/>
      <c r="T109" s="76"/>
      <c r="U109" s="76"/>
      <c r="V109" s="76"/>
      <c r="W109" s="76"/>
      <c r="X109" s="76"/>
      <c r="Y109" s="76"/>
      <c r="Z109" s="160" t="str">
        <f>IF(A109="","",SUMIF(RawTotals!A$2:A999, C109, RawTotals!AD$2:AD999))</f>
        <v/>
      </c>
      <c r="AA109" s="160" t="str">
        <f>IFERROR(__xludf.DUMMYFUNCTION("IF(A109="""","""",IF(FILTER(RawTotals!K$2:K999,RawTotals!A$2:A999=A109)="""","""",SUMIF(RawTotals!A$2:A999, C109, RawTotals!K$2:K999)))"),"")</f>
        <v/>
      </c>
      <c r="AB109" s="76" t="str">
        <f>IF(A109="","",SUMIF(RawTotals!A$2:A999, C109, RawTotals!E$2:E999))</f>
        <v/>
      </c>
      <c r="AC109" s="76" t="str">
        <f>IF(A109="","",SUMIF(RawTotals!A$2:A999, C109, RawTotals!N$2:N999))</f>
        <v/>
      </c>
      <c r="AD109" s="161" t="str">
        <f>IF(A109="","",SUMIF(RawTotals!A$2:A999, C109, RawTotals!X$2:X999))</f>
        <v/>
      </c>
      <c r="AE109" s="160" t="str">
        <f>IF(A109="","",SUMIF(RawTotals!A$2:A999, C109, RawTotals!R$2:R999))</f>
        <v/>
      </c>
      <c r="AF109" s="76"/>
    </row>
    <row r="110">
      <c r="A110" s="76"/>
      <c r="B110" s="170"/>
      <c r="C110" s="76"/>
      <c r="D110" s="173"/>
      <c r="E110" s="42" t="str">
        <f>IF(A110="","", SUMIF(RawTotals!A$2:A999, C110, RawTotals!AG$2:AG999))</f>
        <v/>
      </c>
      <c r="F110" s="42" t="str">
        <f>IF(A110="","", SUMIF(RawTotals!A$2:A999, C110, RawTotals!AH$2:AH999))</f>
        <v/>
      </c>
      <c r="G110" s="154" t="str">
        <f>IF(A110="","", SUMIF(RawTotals!A$2:A999, C110, RawTotals!J$2:J999))</f>
        <v/>
      </c>
      <c r="H110" s="155" t="str">
        <f>IF(A110="","",SUMIF(RawTotals!A$2:A999, C110, RawTotals!D$2:D999))</f>
        <v/>
      </c>
      <c r="I110" s="156" t="str">
        <f>IF(A110="","",SUMIF(RawTotals!A$2:A999, C110, RawTotals!M$2:M999))</f>
        <v/>
      </c>
      <c r="J110" s="157" t="str">
        <f>IF(A110="","", SUMIF(RawTotals!A$2:A999, C110, RawTotals!AC$2:AC999))</f>
        <v/>
      </c>
      <c r="K110" s="86" t="str">
        <f>IF(A110="","",SUMIF(RawTotals!A$2:A999, C110, RawTotals!W$2:W999))</f>
        <v/>
      </c>
      <c r="L110" s="158" t="str">
        <f>IF(A110="","",SUMIF(RawTotals!A$2:A999, C110, RawTotals!Q$2:Q999))</f>
        <v/>
      </c>
      <c r="M110" s="76"/>
      <c r="N110" s="76"/>
      <c r="O110" s="76"/>
      <c r="P110" s="76"/>
      <c r="Q110" s="76"/>
      <c r="R110" s="76"/>
      <c r="S110" s="76"/>
      <c r="T110" s="76"/>
      <c r="U110" s="76"/>
      <c r="V110" s="76"/>
      <c r="W110" s="76"/>
      <c r="X110" s="76"/>
      <c r="Y110" s="76"/>
      <c r="Z110" s="160" t="str">
        <f>IF(A110="","",SUMIF(RawTotals!A$2:A999, C110, RawTotals!AD$2:AD999))</f>
        <v/>
      </c>
      <c r="AA110" s="160" t="str">
        <f>IFERROR(__xludf.DUMMYFUNCTION("IF(A110="""","""",IF(FILTER(RawTotals!K$2:K999,RawTotals!A$2:A999=A110)="""","""",SUMIF(RawTotals!A$2:A999, C110, RawTotals!K$2:K999)))"),"")</f>
        <v/>
      </c>
      <c r="AB110" s="76" t="str">
        <f>IF(A110="","",SUMIF(RawTotals!A$2:A999, C110, RawTotals!E$2:E999))</f>
        <v/>
      </c>
      <c r="AC110" s="76" t="str">
        <f>IF(A110="","",SUMIF(RawTotals!A$2:A999, C110, RawTotals!N$2:N999))</f>
        <v/>
      </c>
      <c r="AD110" s="161" t="str">
        <f>IF(A110="","",SUMIF(RawTotals!A$2:A999, C110, RawTotals!X$2:X999))</f>
        <v/>
      </c>
      <c r="AE110" s="160" t="str">
        <f>IF(A110="","",SUMIF(RawTotals!A$2:A999, C110, RawTotals!R$2:R999))</f>
        <v/>
      </c>
      <c r="AF110" s="76"/>
    </row>
    <row r="111">
      <c r="A111" s="76"/>
      <c r="B111" s="170"/>
      <c r="C111" s="76"/>
      <c r="D111" s="173"/>
      <c r="E111" s="42" t="str">
        <f>IF(A111="","", SUMIF(RawTotals!A$2:A999, C111, RawTotals!AG$2:AG999))</f>
        <v/>
      </c>
      <c r="F111" s="42" t="str">
        <f>IF(A111="","", SUMIF(RawTotals!A$2:A999, C111, RawTotals!AH$2:AH999))</f>
        <v/>
      </c>
      <c r="G111" s="154" t="str">
        <f>IF(A111="","", SUMIF(RawTotals!A$2:A999, C111, RawTotals!J$2:J999))</f>
        <v/>
      </c>
      <c r="H111" s="155" t="str">
        <f>IF(A111="","",SUMIF(RawTotals!A$2:A999, C111, RawTotals!D$2:D999))</f>
        <v/>
      </c>
      <c r="I111" s="156" t="str">
        <f>IF(A111="","",SUMIF(RawTotals!A$2:A999, C111, RawTotals!M$2:M999))</f>
        <v/>
      </c>
      <c r="J111" s="157" t="str">
        <f>IF(A111="","", SUMIF(RawTotals!A$2:A999, C111, RawTotals!AC$2:AC999))</f>
        <v/>
      </c>
      <c r="K111" s="86" t="str">
        <f>IF(A111="","",SUMIF(RawTotals!A$2:A999, C111, RawTotals!W$2:W999))</f>
        <v/>
      </c>
      <c r="L111" s="158" t="str">
        <f>IF(A111="","",SUMIF(RawTotals!A$2:A999, C111, RawTotals!Q$2:Q999))</f>
        <v/>
      </c>
      <c r="M111" s="76"/>
      <c r="N111" s="76"/>
      <c r="O111" s="76"/>
      <c r="P111" s="76"/>
      <c r="Q111" s="76"/>
      <c r="R111" s="76"/>
      <c r="S111" s="76"/>
      <c r="T111" s="76"/>
      <c r="U111" s="76"/>
      <c r="V111" s="76"/>
      <c r="W111" s="76"/>
      <c r="X111" s="76"/>
      <c r="Y111" s="76"/>
      <c r="Z111" s="160" t="str">
        <f>IF(A111="","",SUMIF(RawTotals!A$2:A999, C111, RawTotals!AD$2:AD999))</f>
        <v/>
      </c>
      <c r="AA111" s="160" t="str">
        <f>IFERROR(__xludf.DUMMYFUNCTION("IF(A111="""","""",IF(FILTER(RawTotals!K$2:K999,RawTotals!A$2:A999=A111)="""","""",SUMIF(RawTotals!A$2:A999, C111, RawTotals!K$2:K999)))"),"")</f>
        <v/>
      </c>
      <c r="AB111" s="76" t="str">
        <f>IF(A111="","",SUMIF(RawTotals!A$2:A999, C111, RawTotals!E$2:E999))</f>
        <v/>
      </c>
      <c r="AC111" s="76" t="str">
        <f>IF(A111="","",SUMIF(RawTotals!A$2:A999, C111, RawTotals!N$2:N999))</f>
        <v/>
      </c>
      <c r="AD111" s="161" t="str">
        <f>IF(A111="","",SUMIF(RawTotals!A$2:A999, C111, RawTotals!X$2:X999))</f>
        <v/>
      </c>
      <c r="AE111" s="160" t="str">
        <f>IF(A111="","",SUMIF(RawTotals!A$2:A999, C111, RawTotals!R$2:R999))</f>
        <v/>
      </c>
      <c r="AF111" s="76"/>
    </row>
    <row r="112">
      <c r="A112" s="76"/>
      <c r="B112" s="170"/>
      <c r="C112" s="76"/>
      <c r="D112" s="173"/>
      <c r="E112" s="42" t="str">
        <f>IF(A112="","", SUMIF(RawTotals!A$2:A999, C112, RawTotals!AG$2:AG999))</f>
        <v/>
      </c>
      <c r="F112" s="42" t="str">
        <f>IF(A112="","", SUMIF(RawTotals!A$2:A999, C112, RawTotals!AH$2:AH999))</f>
        <v/>
      </c>
      <c r="G112" s="154" t="str">
        <f>IF(A112="","", SUMIF(RawTotals!A$2:A999, C112, RawTotals!J$2:J999))</f>
        <v/>
      </c>
      <c r="H112" s="174" t="str">
        <f>IFERROR(__xludf.DUMMYFUNCTION("IF(A112="""","""",IF(FILTER(RawTotals!H$2:H999,RawTotals!A$2:A999=A112)="""","""",SUMIF(RawTotals!A$2:A999, C112, RawTotals!H$2:H999)))"),"")</f>
        <v/>
      </c>
      <c r="I112" s="156" t="str">
        <f>IF(A112="","",SUMIF(RawTotals!A$2:A999, C112, RawTotals!M$2:M999))</f>
        <v/>
      </c>
      <c r="J112" s="157" t="str">
        <f>IF(A112="","", SUMIF(RawTotals!A$2:A999, C112, RawTotals!AC$2:AC999))</f>
        <v/>
      </c>
      <c r="K112" s="86" t="str">
        <f>IF(A112="","",SUMIF(RawTotals!A$2:A999, C112, RawTotals!W$2:W999))</f>
        <v/>
      </c>
      <c r="L112" s="158" t="str">
        <f>IF(A112="","",SUMIF(RawTotals!A$2:A999, C112, RawTotals!Q$2:Q999))</f>
        <v/>
      </c>
      <c r="M112" s="76"/>
      <c r="N112" s="76"/>
      <c r="O112" s="76"/>
      <c r="P112" s="76"/>
      <c r="Q112" s="76"/>
      <c r="R112" s="76"/>
      <c r="S112" s="76"/>
      <c r="T112" s="76"/>
      <c r="U112" s="76"/>
      <c r="V112" s="76"/>
      <c r="W112" s="76"/>
      <c r="X112" s="76"/>
      <c r="Y112" s="76"/>
      <c r="Z112" s="160" t="str">
        <f>IF(A112="","",SUMIF(RawTotals!A$2:A999, C112, RawTotals!AD$2:AD999))</f>
        <v/>
      </c>
      <c r="AA112" s="160" t="str">
        <f>IFERROR(__xludf.DUMMYFUNCTION("IF(A112="""","""",IF(FILTER(RawTotals!K$2:K999,RawTotals!A$2:A999=A112)="""","""",SUMIF(RawTotals!A$2:A999, C112, RawTotals!K$2:K999)))"),"")</f>
        <v/>
      </c>
      <c r="AB112" s="76" t="str">
        <f>IF(A112="","",SUMIF(RawTotals!A$2:A999, C112, RawTotals!E$2:E999))</f>
        <v/>
      </c>
      <c r="AC112" s="76" t="str">
        <f>IF(A112="","",SUMIF(RawTotals!A$2:A999, C112, RawTotals!N$2:N999))</f>
        <v/>
      </c>
      <c r="AD112" s="161" t="str">
        <f>IF(A112="","",SUMIF(RawTotals!A$2:A999, C112, RawTotals!X$2:X999))</f>
        <v/>
      </c>
      <c r="AE112" s="160" t="str">
        <f>IF(A112="","",SUMIF(RawTotals!A$2:A999, C112, RawTotals!R$2:R999))</f>
        <v/>
      </c>
      <c r="AF112" s="76"/>
    </row>
    <row r="113">
      <c r="A113" s="76"/>
      <c r="B113" s="170"/>
      <c r="C113" s="76"/>
      <c r="D113" s="173"/>
      <c r="E113" s="42" t="str">
        <f>IF(A113="","", SUMIF(RawTotals!A$2:A999, C113, RawTotals!AG$2:AG999))</f>
        <v/>
      </c>
      <c r="F113" s="42" t="str">
        <f>IF(A113="","", SUMIF(RawTotals!A$2:A999, C113, RawTotals!AH$2:AH999))</f>
        <v/>
      </c>
      <c r="G113" s="154" t="str">
        <f>IF(A113="","", SUMIF(RawTotals!A$2:A999, C113, RawTotals!J$2:J999))</f>
        <v/>
      </c>
      <c r="H113" s="174" t="str">
        <f>IFERROR(__xludf.DUMMYFUNCTION("IF(A113="""","""",IF(FILTER(RawTotals!H$2:H999,RawTotals!A$2:A999=A113)="""","""",SUMIF(RawTotals!A$2:A999, C113, RawTotals!H$2:H999)))"),"")</f>
        <v/>
      </c>
      <c r="I113" s="156" t="str">
        <f>IF(A113="","",SUMIF(RawTotals!A$2:A999, C113, RawTotals!M$2:M999))</f>
        <v/>
      </c>
      <c r="J113" s="157" t="str">
        <f>IF(A113="","", SUMIF(RawTotals!A$2:A999, C113, RawTotals!AC$2:AC999))</f>
        <v/>
      </c>
      <c r="K113" s="86" t="str">
        <f>IF(A113="","",SUMIF(RawTotals!A$2:A999, C113, RawTotals!W$2:W999))</f>
        <v/>
      </c>
      <c r="L113" s="158" t="str">
        <f>IF(A113="","",SUMIF(RawTotals!A$2:A999, C113, RawTotals!Q$2:Q999))</f>
        <v/>
      </c>
      <c r="M113" s="76"/>
      <c r="N113" s="76"/>
      <c r="O113" s="76"/>
      <c r="P113" s="76"/>
      <c r="Q113" s="76"/>
      <c r="R113" s="76"/>
      <c r="S113" s="76"/>
      <c r="T113" s="76"/>
      <c r="U113" s="76"/>
      <c r="V113" s="76"/>
      <c r="W113" s="76"/>
      <c r="X113" s="76"/>
      <c r="Y113" s="76"/>
      <c r="Z113" s="160" t="str">
        <f>IF(A113="","",SUMIF(RawTotals!A$2:A999, C113, RawTotals!AD$2:AD999))</f>
        <v/>
      </c>
      <c r="AA113" s="160" t="str">
        <f>IFERROR(__xludf.DUMMYFUNCTION("IF(A113="""","""",IF(FILTER(RawTotals!K$2:K999,RawTotals!A$2:A999=A113)="""","""",SUMIF(RawTotals!A$2:A999, C113, RawTotals!K$2:K999)))"),"")</f>
        <v/>
      </c>
      <c r="AB113" s="76" t="str">
        <f>IF(A113="","",SUMIF(RawTotals!A$2:A999, C113, RawTotals!E$2:E999))</f>
        <v/>
      </c>
      <c r="AC113" s="76" t="str">
        <f>IF(A113="","",SUMIF(RawTotals!A$2:A999, C113, RawTotals!N$2:N999))</f>
        <v/>
      </c>
      <c r="AD113" s="161" t="str">
        <f>IF(A113="","",SUMIF(RawTotals!A$2:A999, C113, RawTotals!X$2:X999))</f>
        <v/>
      </c>
      <c r="AE113" s="160" t="str">
        <f>IF(A113="","",SUMIF(RawTotals!A$2:A999, C113, RawTotals!R$2:R999))</f>
        <v/>
      </c>
      <c r="AF113" s="76"/>
    </row>
    <row r="114">
      <c r="A114" s="76"/>
      <c r="B114" s="170"/>
      <c r="C114" s="76"/>
      <c r="D114" s="173"/>
      <c r="E114" s="42" t="str">
        <f>IF(A114="","", SUMIF(RawTotals!A$2:A999, C114, RawTotals!AG$2:AG999))</f>
        <v/>
      </c>
      <c r="F114" s="42" t="str">
        <f>IF(A114="","", SUMIF(RawTotals!A$2:A999, C114, RawTotals!AH$2:AH999))</f>
        <v/>
      </c>
      <c r="G114" s="154" t="str">
        <f>IF(A114="","", SUMIF(RawTotals!A$2:A999, C114, RawTotals!J$2:J999))</f>
        <v/>
      </c>
      <c r="H114" s="174" t="str">
        <f>IFERROR(__xludf.DUMMYFUNCTION("IF(A114="""","""",IF(FILTER(RawTotals!H$2:H999,RawTotals!A$2:A999=A114)="""","""",SUMIF(RawTotals!A$2:A999, C114, RawTotals!H$2:H999)))"),"")</f>
        <v/>
      </c>
      <c r="I114" s="156" t="str">
        <f>IF(A114="","",SUMIF(RawTotals!A$2:A999, C114, RawTotals!M$2:M999))</f>
        <v/>
      </c>
      <c r="J114" s="157" t="str">
        <f>IF(A114="","", SUMIF(RawTotals!A$2:A999, C114, RawTotals!AC$2:AC999))</f>
        <v/>
      </c>
      <c r="K114" s="86" t="str">
        <f>IF(A114="","",SUMIF(RawTotals!A$2:A999, C114, RawTotals!W$2:W999))</f>
        <v/>
      </c>
      <c r="L114" s="158" t="str">
        <f>IF(A114="","",SUMIF(RawTotals!A$2:A999, C114, RawTotals!Q$2:Q999))</f>
        <v/>
      </c>
      <c r="M114" s="76"/>
      <c r="N114" s="76"/>
      <c r="O114" s="76"/>
      <c r="P114" s="76"/>
      <c r="Q114" s="76"/>
      <c r="R114" s="76"/>
      <c r="S114" s="76"/>
      <c r="T114" s="76"/>
      <c r="U114" s="76"/>
      <c r="V114" s="76"/>
      <c r="W114" s="76"/>
      <c r="X114" s="76"/>
      <c r="Y114" s="76"/>
      <c r="Z114" s="160" t="str">
        <f>IF(A114="","",SUMIF(RawTotals!A$2:A999, C114, RawTotals!AD$2:AD999))</f>
        <v/>
      </c>
      <c r="AA114" s="160" t="str">
        <f>IFERROR(__xludf.DUMMYFUNCTION("IF(A114="""","""",IF(FILTER(RawTotals!K$2:K999,RawTotals!A$2:A999=A114)="""","""",SUMIF(RawTotals!A$2:A999, C114, RawTotals!K$2:K999)))"),"")</f>
        <v/>
      </c>
      <c r="AB114" s="76" t="str">
        <f>IF(A114="","",SUMIF(RawTotals!A$2:A999, C114, RawTotals!E$2:E999))</f>
        <v/>
      </c>
      <c r="AC114" s="76" t="str">
        <f>IF(A114="","",SUMIF(RawTotals!A$2:A999, C114, RawTotals!N$2:N999))</f>
        <v/>
      </c>
      <c r="AD114" s="161" t="str">
        <f>IF(A114="","",SUMIF(RawTotals!A$2:A999, C114, RawTotals!X$2:X999))</f>
        <v/>
      </c>
      <c r="AE114" s="160" t="str">
        <f>IF(A114="","",SUMIF(RawTotals!A$2:A999, C114, RawTotals!R$2:R999))</f>
        <v/>
      </c>
      <c r="AF114" s="76"/>
    </row>
    <row r="115">
      <c r="A115" s="76"/>
      <c r="B115" s="170"/>
      <c r="C115" s="76"/>
      <c r="D115" s="173"/>
      <c r="E115" s="42" t="str">
        <f>IF(A115="","", SUMIF(RawTotals!A$2:A999, C115, RawTotals!AG$2:AG999))</f>
        <v/>
      </c>
      <c r="F115" s="42" t="str">
        <f>IF(A115="","", SUMIF(RawTotals!A$2:A999, C115, RawTotals!AH$2:AH999))</f>
        <v/>
      </c>
      <c r="G115" s="154" t="str">
        <f>IF(A115="","", SUMIF(RawTotals!A$2:A999, C115, RawTotals!J$2:J999))</f>
        <v/>
      </c>
      <c r="H115" s="174" t="str">
        <f>IFERROR(__xludf.DUMMYFUNCTION("IF(A115="""","""",IF(FILTER(RawTotals!H$2:H999,RawTotals!A$2:A999=A115)="""","""",SUMIF(RawTotals!A$2:A999, C115, RawTotals!H$2:H999)))"),"")</f>
        <v/>
      </c>
      <c r="I115" s="156" t="str">
        <f>IF(A115="","",SUMIF(RawTotals!A$2:A999, C115, RawTotals!M$2:M999))</f>
        <v/>
      </c>
      <c r="J115" s="157" t="str">
        <f>IF(A115="","", SUMIF(RawTotals!A$2:A999, C115, RawTotals!AC$2:AC999))</f>
        <v/>
      </c>
      <c r="K115" s="86" t="str">
        <f>IF(A115="","",SUMIF(RawTotals!A$2:A999, C115, RawTotals!W$2:W999))</f>
        <v/>
      </c>
      <c r="L115" s="158" t="str">
        <f>IF(A115="","",SUMIF(RawTotals!A$2:A999, C115, RawTotals!Q$2:Q999))</f>
        <v/>
      </c>
      <c r="M115" s="76"/>
      <c r="N115" s="76"/>
      <c r="O115" s="76"/>
      <c r="P115" s="76"/>
      <c r="Q115" s="76"/>
      <c r="R115" s="76"/>
      <c r="S115" s="76"/>
      <c r="T115" s="76"/>
      <c r="U115" s="76"/>
      <c r="V115" s="76"/>
      <c r="W115" s="76"/>
      <c r="X115" s="76"/>
      <c r="Y115" s="76"/>
      <c r="Z115" s="160" t="str">
        <f>IF(A115="","",SUMIF(RawTotals!A$2:A999, C115, RawTotals!AD$2:AD999))</f>
        <v/>
      </c>
      <c r="AA115" s="160" t="str">
        <f>IFERROR(__xludf.DUMMYFUNCTION("IF(A115="""","""",IF(FILTER(RawTotals!K$2:K999,RawTotals!A$2:A999=A115)="""","""",SUMIF(RawTotals!A$2:A999, C115, RawTotals!K$2:K999)))"),"")</f>
        <v/>
      </c>
      <c r="AB115" s="76" t="str">
        <f>IF(A115="","",SUMIF(RawTotals!A$2:A999, C115, RawTotals!E$2:E999))</f>
        <v/>
      </c>
      <c r="AC115" s="76" t="str">
        <f>IF(A115="","",SUMIF(RawTotals!A$2:A999, C115, RawTotals!N$2:N999))</f>
        <v/>
      </c>
      <c r="AD115" s="161" t="str">
        <f>IF(A115="","",SUMIF(RawTotals!A$2:A999, C115, RawTotals!X$2:X999))</f>
        <v/>
      </c>
      <c r="AE115" s="160" t="str">
        <f>IF(A115="","",SUMIF(RawTotals!A$2:A999, C115, RawTotals!R$2:R999))</f>
        <v/>
      </c>
      <c r="AF115" s="76"/>
    </row>
    <row r="116">
      <c r="A116" s="76"/>
      <c r="B116" s="170"/>
      <c r="C116" s="76"/>
      <c r="D116" s="173"/>
      <c r="E116" s="42" t="str">
        <f>IF(A116="","", SUMIF(RawTotals!A$2:A999, C116, RawTotals!AG$2:AG999))</f>
        <v/>
      </c>
      <c r="F116" s="42" t="str">
        <f>IF(A116="","", SUMIF(RawTotals!A$2:A999, C116, RawTotals!AH$2:AH999))</f>
        <v/>
      </c>
      <c r="G116" s="154" t="str">
        <f>IF(A116="","", SUMIF(RawTotals!A$2:A999, C116, RawTotals!J$2:J999))</f>
        <v/>
      </c>
      <c r="H116" s="174" t="str">
        <f>IFERROR(__xludf.DUMMYFUNCTION("IF(A116="""","""",IF(FILTER(RawTotals!H$2:H999,RawTotals!A$2:A999=A116)="""","""",SUMIF(RawTotals!A$2:A999, C116, RawTotals!H$2:H999)))"),"")</f>
        <v/>
      </c>
      <c r="I116" s="156" t="str">
        <f>IF(A116="","",SUMIF(RawTotals!A$2:A999, C116, RawTotals!M$2:M999))</f>
        <v/>
      </c>
      <c r="J116" s="157" t="str">
        <f>IF(A116="","", SUMIF(RawTotals!A$2:A999, C116, RawTotals!AC$2:AC999))</f>
        <v/>
      </c>
      <c r="K116" s="86" t="str">
        <f>IF(A116="","",SUMIF(RawTotals!A$2:A999, C116, RawTotals!W$2:W999))</f>
        <v/>
      </c>
      <c r="L116" s="158" t="str">
        <f>IF(A116="","",SUMIF(RawTotals!A$2:A999, C116, RawTotals!Q$2:Q999))</f>
        <v/>
      </c>
      <c r="M116" s="76"/>
      <c r="N116" s="76"/>
      <c r="O116" s="76"/>
      <c r="P116" s="76"/>
      <c r="Q116" s="76"/>
      <c r="R116" s="76"/>
      <c r="S116" s="76"/>
      <c r="T116" s="76"/>
      <c r="U116" s="76"/>
      <c r="V116" s="76"/>
      <c r="W116" s="76"/>
      <c r="X116" s="76"/>
      <c r="Y116" s="76"/>
      <c r="Z116" s="160" t="str">
        <f>IF(A116="","",SUMIF(RawTotals!A$2:A999, C116, RawTotals!AD$2:AD999))</f>
        <v/>
      </c>
      <c r="AA116" s="160" t="str">
        <f>IFERROR(__xludf.DUMMYFUNCTION("IF(A116="""","""",IF(FILTER(RawTotals!K$2:K999,RawTotals!A$2:A999=A116)="""","""",SUMIF(RawTotals!A$2:A999, C116, RawTotals!K$2:K999)))"),"")</f>
        <v/>
      </c>
      <c r="AB116" s="76" t="str">
        <f>IF(A116="","",SUMIF(RawTotals!A$2:A999, C116, RawTotals!E$2:E999))</f>
        <v/>
      </c>
      <c r="AC116" s="76" t="str">
        <f>IF(A116="","",SUMIF(RawTotals!A$2:A999, C116, RawTotals!N$2:N999))</f>
        <v/>
      </c>
      <c r="AD116" s="161" t="str">
        <f>IF(A116="","",SUMIF(RawTotals!A$2:A999, C116, RawTotals!X$2:X999))</f>
        <v/>
      </c>
      <c r="AE116" s="160" t="str">
        <f>IF(A116="","",SUMIF(RawTotals!A$2:A999, C116, RawTotals!R$2:R999))</f>
        <v/>
      </c>
      <c r="AF116" s="76"/>
    </row>
    <row r="117">
      <c r="A117" s="76"/>
      <c r="B117" s="170"/>
      <c r="C117" s="76"/>
      <c r="D117" s="173"/>
      <c r="E117" s="42" t="str">
        <f>IF(A117="","", SUMIF(RawTotals!A$2:A999, C117, RawTotals!AG$2:AG999))</f>
        <v/>
      </c>
      <c r="F117" s="42" t="str">
        <f>IF(A117="","", SUMIF(RawTotals!A$2:A999, C117, RawTotals!AH$2:AH999))</f>
        <v/>
      </c>
      <c r="G117" s="154" t="str">
        <f>IF(A117="","", SUMIF(RawTotals!A$2:A999, C117, RawTotals!J$2:J999))</f>
        <v/>
      </c>
      <c r="H117" s="174" t="str">
        <f>IFERROR(__xludf.DUMMYFUNCTION("IF(A117="""","""",IF(FILTER(RawTotals!H$2:H999,RawTotals!A$2:A999=A117)="""","""",SUMIF(RawTotals!A$2:A999, C117, RawTotals!H$2:H999)))"),"")</f>
        <v/>
      </c>
      <c r="I117" s="156" t="str">
        <f>IF(A117="","",SUMIF(RawTotals!A$2:A999, C117, RawTotals!M$2:M999))</f>
        <v/>
      </c>
      <c r="J117" s="157" t="str">
        <f>IF(A117="","", SUMIF(RawTotals!A$2:A999, C117, RawTotals!AC$2:AC999))</f>
        <v/>
      </c>
      <c r="K117" s="86" t="str">
        <f>IF(A117="","",SUMIF(RawTotals!A$2:A999, C117, RawTotals!W$2:W999))</f>
        <v/>
      </c>
      <c r="L117" s="158" t="str">
        <f>IF(A117="","",SUMIF(RawTotals!A$2:A999, C117, RawTotals!Q$2:Q999))</f>
        <v/>
      </c>
      <c r="M117" s="76"/>
      <c r="N117" s="76"/>
      <c r="O117" s="76"/>
      <c r="P117" s="76"/>
      <c r="Q117" s="76"/>
      <c r="R117" s="76"/>
      <c r="S117" s="76"/>
      <c r="T117" s="76"/>
      <c r="U117" s="76"/>
      <c r="V117" s="76"/>
      <c r="W117" s="76"/>
      <c r="X117" s="76"/>
      <c r="Y117" s="76"/>
      <c r="Z117" s="160" t="str">
        <f>IF(A117="","",SUMIF(RawTotals!A$2:A999, C117, RawTotals!AD$2:AD999))</f>
        <v/>
      </c>
      <c r="AA117" s="160" t="str">
        <f>IFERROR(__xludf.DUMMYFUNCTION("IF(A117="""","""",IF(FILTER(RawTotals!K$2:K999,RawTotals!A$2:A999=A117)="""","""",SUMIF(RawTotals!A$2:A999, C117, RawTotals!K$2:K999)))"),"")</f>
        <v/>
      </c>
      <c r="AB117" s="76" t="str">
        <f>IF(A117="","",SUMIF(RawTotals!A$2:A999, C117, RawTotals!E$2:E999))</f>
        <v/>
      </c>
      <c r="AC117" s="76" t="str">
        <f>IF(A117="","",SUMIF(RawTotals!A$2:A999, C117, RawTotals!N$2:N999))</f>
        <v/>
      </c>
      <c r="AD117" s="161" t="str">
        <f>IF(A117="","",SUMIF(RawTotals!A$2:A999, C117, RawTotals!X$2:X999))</f>
        <v/>
      </c>
      <c r="AE117" s="160" t="str">
        <f>IF(A117="","",SUMIF(RawTotals!A$2:A999, C117, RawTotals!R$2:R999))</f>
        <v/>
      </c>
      <c r="AF117" s="76"/>
    </row>
    <row r="118">
      <c r="A118" s="76"/>
      <c r="B118" s="170"/>
      <c r="C118" s="76"/>
      <c r="D118" s="173"/>
      <c r="E118" s="42" t="str">
        <f>IF(A118="","", SUMIF(RawTotals!A$2:A999, C118, RawTotals!AG$2:AG999))</f>
        <v/>
      </c>
      <c r="F118" s="42" t="str">
        <f>IF(A118="","", SUMIF(RawTotals!A$2:A999, C118, RawTotals!AH$2:AH999))</f>
        <v/>
      </c>
      <c r="G118" s="154" t="str">
        <f>IF(A118="","", SUMIF(RawTotals!A$2:A999, C118, RawTotals!J$2:J999))</f>
        <v/>
      </c>
      <c r="H118" s="174" t="str">
        <f>IFERROR(__xludf.DUMMYFUNCTION("IF(A118="""","""",IF(FILTER(RawTotals!H$2:H999,RawTotals!A$2:A999=A118)="""","""",SUMIF(RawTotals!A$2:A999, C118, RawTotals!H$2:H999)))"),"")</f>
        <v/>
      </c>
      <c r="I118" s="156" t="str">
        <f>IF(A118="","",SUMIF(RawTotals!A$2:A999, C118, RawTotals!M$2:M999))</f>
        <v/>
      </c>
      <c r="J118" s="157" t="str">
        <f>IF(A118="","", SUMIF(RawTotals!A$2:A999, C118, RawTotals!AC$2:AC999))</f>
        <v/>
      </c>
      <c r="K118" s="86" t="str">
        <f>IF(A118="","",SUMIF(RawTotals!A$2:A999, C118, RawTotals!W$2:W999))</f>
        <v/>
      </c>
      <c r="L118" s="158" t="str">
        <f>IF(A118="","",SUMIF(RawTotals!A$2:A999, C118, RawTotals!Q$2:Q999))</f>
        <v/>
      </c>
      <c r="M118" s="76"/>
      <c r="N118" s="76"/>
      <c r="O118" s="76"/>
      <c r="P118" s="76"/>
      <c r="Q118" s="76"/>
      <c r="R118" s="76"/>
      <c r="S118" s="76"/>
      <c r="T118" s="76"/>
      <c r="U118" s="76"/>
      <c r="V118" s="76"/>
      <c r="W118" s="76"/>
      <c r="X118" s="76"/>
      <c r="Y118" s="76"/>
      <c r="Z118" s="160" t="str">
        <f>IF(A118="","",SUMIF(RawTotals!A$2:A999, C118, RawTotals!AD$2:AD999))</f>
        <v/>
      </c>
      <c r="AA118" s="160" t="str">
        <f>IFERROR(__xludf.DUMMYFUNCTION("IF(A118="""","""",IF(FILTER(RawTotals!K$2:K999,RawTotals!A$2:A999=A118)="""","""",SUMIF(RawTotals!A$2:A999, C118, RawTotals!K$2:K999)))"),"")</f>
        <v/>
      </c>
      <c r="AB118" s="76" t="str">
        <f>IF(A118="","",SUMIF(RawTotals!A$2:A999, C118, RawTotals!E$2:E999))</f>
        <v/>
      </c>
      <c r="AC118" s="76" t="str">
        <f>IF(A118="","",SUMIF(RawTotals!A$2:A999, C118, RawTotals!N$2:N999))</f>
        <v/>
      </c>
      <c r="AD118" s="161" t="str">
        <f>IF(A118="","",SUMIF(RawTotals!A$2:A999, C118, RawTotals!X$2:X999))</f>
        <v/>
      </c>
      <c r="AE118" s="160" t="str">
        <f>IF(A118="","",SUMIF(RawTotals!A$2:A999, C118, RawTotals!R$2:R999))</f>
        <v/>
      </c>
      <c r="AF118" s="76"/>
    </row>
    <row r="119">
      <c r="A119" s="76"/>
      <c r="B119" s="170"/>
      <c r="C119" s="76"/>
      <c r="D119" s="173"/>
      <c r="E119" s="42" t="str">
        <f>IF(A119="","", SUMIF(RawTotals!A$2:A999, C119, RawTotals!AG$2:AG999))</f>
        <v/>
      </c>
      <c r="F119" s="42" t="str">
        <f>IF(A119="","", SUMIF(RawTotals!A$2:A999, C119, RawTotals!AH$2:AH999))</f>
        <v/>
      </c>
      <c r="G119" s="154" t="str">
        <f>IF(A119="","", SUMIF(RawTotals!A$2:A999, C119, RawTotals!J$2:J999))</f>
        <v/>
      </c>
      <c r="H119" s="174" t="str">
        <f>IFERROR(__xludf.DUMMYFUNCTION("IF(A119="""","""",IF(FILTER(RawTotals!H$2:H999,RawTotals!A$2:A999=A119)="""","""",SUMIF(RawTotals!A$2:A999, C119, RawTotals!H$2:H999)))"),"")</f>
        <v/>
      </c>
      <c r="I119" s="156" t="str">
        <f>IF(A119="","",SUMIF(RawTotals!A$2:A999, C119, RawTotals!M$2:M999))</f>
        <v/>
      </c>
      <c r="J119" s="157" t="str">
        <f>IF(A119="","", SUMIF(RawTotals!A$2:A999, C119, RawTotals!AC$2:AC999))</f>
        <v/>
      </c>
      <c r="K119" s="86" t="str">
        <f>IF(A119="","",SUMIF(RawTotals!A$2:A999, C119, RawTotals!W$2:W999))</f>
        <v/>
      </c>
      <c r="L119" s="158" t="str">
        <f>IF(A119="","",SUMIF(RawTotals!A$2:A999, C119, RawTotals!Q$2:Q999))</f>
        <v/>
      </c>
      <c r="M119" s="76"/>
      <c r="N119" s="76"/>
      <c r="O119" s="76"/>
      <c r="P119" s="76"/>
      <c r="Q119" s="76"/>
      <c r="R119" s="76"/>
      <c r="S119" s="76"/>
      <c r="T119" s="76"/>
      <c r="U119" s="76"/>
      <c r="V119" s="76"/>
      <c r="W119" s="76"/>
      <c r="X119" s="76"/>
      <c r="Y119" s="76"/>
      <c r="Z119" s="160" t="str">
        <f>IF(A119="","",SUMIF(RawTotals!A$2:A999, C119, RawTotals!AD$2:AD999))</f>
        <v/>
      </c>
      <c r="AA119" s="160" t="str">
        <f>IFERROR(__xludf.DUMMYFUNCTION("IF(A119="""","""",IF(FILTER(RawTotals!K$2:K999,RawTotals!A$2:A999=A119)="""","""",SUMIF(RawTotals!A$2:A999, C119, RawTotals!K$2:K999)))"),"")</f>
        <v/>
      </c>
      <c r="AB119" s="76" t="str">
        <f>IF(A119="","",SUMIF(RawTotals!A$2:A999, C119, RawTotals!E$2:E999))</f>
        <v/>
      </c>
      <c r="AC119" s="76" t="str">
        <f>IF(A119="","",SUMIF(RawTotals!A$2:A999, C119, RawTotals!N$2:N999))</f>
        <v/>
      </c>
      <c r="AD119" s="161" t="str">
        <f>IF(A119="","",SUMIF(RawTotals!A$2:A999, C119, RawTotals!X$2:X999))</f>
        <v/>
      </c>
      <c r="AE119" s="160" t="str">
        <f>IF(A119="","",SUMIF(RawTotals!A$2:A999, C119, RawTotals!R$2:R999))</f>
        <v/>
      </c>
      <c r="AF119" s="76"/>
    </row>
    <row r="120">
      <c r="A120" s="76"/>
      <c r="B120" s="170"/>
      <c r="C120" s="76"/>
      <c r="D120" s="173"/>
      <c r="E120" s="42" t="str">
        <f>IF(A120="","", SUMIF(RawTotals!A$2:A999, C120, RawTotals!AG$2:AG999))</f>
        <v/>
      </c>
      <c r="F120" s="42" t="str">
        <f>IF(A120="","", SUMIF(RawTotals!A$2:A999, C120, RawTotals!AH$2:AH999))</f>
        <v/>
      </c>
      <c r="G120" s="154" t="str">
        <f>IF(A120="","", SUMIF(RawTotals!A$2:A999, C120, RawTotals!J$2:J999))</f>
        <v/>
      </c>
      <c r="H120" s="174" t="str">
        <f>IFERROR(__xludf.DUMMYFUNCTION("IF(A120="""","""",IF(FILTER(RawTotals!H$2:H999,RawTotals!A$2:A999=A120)="""","""",SUMIF(RawTotals!A$2:A999, C120, RawTotals!H$2:H999)))"),"")</f>
        <v/>
      </c>
      <c r="I120" s="156" t="str">
        <f>IF(A120="","",SUMIF(RawTotals!A$2:A999, C120, RawTotals!M$2:M999))</f>
        <v/>
      </c>
      <c r="J120" s="157" t="str">
        <f>IF(A120="","", SUMIF(RawTotals!A$2:A999, C120, RawTotals!AC$2:AC999))</f>
        <v/>
      </c>
      <c r="K120" s="86" t="str">
        <f>IF(A120="","",SUMIF(RawTotals!A$2:A999, C120, RawTotals!W$2:W999))</f>
        <v/>
      </c>
      <c r="L120" s="158" t="str">
        <f>IF(A120="","",SUMIF(RawTotals!A$2:A999, C120, RawTotals!Q$2:Q999))</f>
        <v/>
      </c>
      <c r="M120" s="76"/>
      <c r="N120" s="76"/>
      <c r="O120" s="76"/>
      <c r="P120" s="76"/>
      <c r="Q120" s="76"/>
      <c r="R120" s="76"/>
      <c r="S120" s="76"/>
      <c r="T120" s="76"/>
      <c r="U120" s="76"/>
      <c r="V120" s="76"/>
      <c r="W120" s="76"/>
      <c r="X120" s="76"/>
      <c r="Y120" s="76"/>
      <c r="Z120" s="160" t="str">
        <f>IF(A120="","",SUMIF(RawTotals!A$2:A999, C120, RawTotals!AD$2:AD999))</f>
        <v/>
      </c>
      <c r="AA120" s="160" t="str">
        <f>IFERROR(__xludf.DUMMYFUNCTION("IF(A120="""","""",IF(FILTER(RawTotals!K$2:K999,RawTotals!A$2:A999=A120)="""","""",SUMIF(RawTotals!A$2:A999, C120, RawTotals!K$2:K999)))"),"")</f>
        <v/>
      </c>
      <c r="AB120" s="76" t="str">
        <f>IF(A120="","",SUMIF(RawTotals!A$2:A999, C120, RawTotals!E$2:E999))</f>
        <v/>
      </c>
      <c r="AC120" s="76" t="str">
        <f>IF(A120="","",SUMIF(RawTotals!A$2:A999, C120, RawTotals!N$2:N999))</f>
        <v/>
      </c>
      <c r="AD120" s="161" t="str">
        <f>IF(A120="","",SUMIF(RawTotals!A$2:A999, C120, RawTotals!X$2:X999))</f>
        <v/>
      </c>
      <c r="AE120" s="160" t="str">
        <f>IF(A120="","",SUMIF(RawTotals!A$2:A999, C120, RawTotals!R$2:R999))</f>
        <v/>
      </c>
      <c r="AF120" s="76"/>
    </row>
    <row r="121">
      <c r="A121" s="76"/>
      <c r="B121" s="170"/>
      <c r="C121" s="76"/>
      <c r="D121" s="173"/>
      <c r="E121" s="42" t="str">
        <f>IF(A121="","", SUMIF(RawTotals!A$2:A999, C121, RawTotals!AG$2:AG999))</f>
        <v/>
      </c>
      <c r="F121" s="42" t="str">
        <f>IF(A121="","", SUMIF(RawTotals!A$2:A999, C121, RawTotals!AH$2:AH999))</f>
        <v/>
      </c>
      <c r="G121" s="154" t="str">
        <f>IF(A121="","", SUMIF(RawTotals!A$2:A999, C121, RawTotals!J$2:J999))</f>
        <v/>
      </c>
      <c r="H121" s="174" t="str">
        <f>IFERROR(__xludf.DUMMYFUNCTION("IF(A121="""","""",IF(FILTER(RawTotals!H$2:H999,RawTotals!A$2:A999=A121)="""","""",SUMIF(RawTotals!A$2:A999, C121, RawTotals!H$2:H999)))"),"")</f>
        <v/>
      </c>
      <c r="I121" s="156" t="str">
        <f>IF(A121="","",SUMIF(RawTotals!A$2:A999, C121, RawTotals!M$2:M999))</f>
        <v/>
      </c>
      <c r="J121" s="157" t="str">
        <f>IF(A121="","", SUMIF(RawTotals!A$2:A999, C121, RawTotals!AC$2:AC999))</f>
        <v/>
      </c>
      <c r="K121" s="86" t="str">
        <f>IF(A121="","",SUMIF(RawTotals!A$2:A999, C121, RawTotals!W$2:W999))</f>
        <v/>
      </c>
      <c r="L121" s="158" t="str">
        <f>IF(A121="","",SUMIF(RawTotals!A$2:A999, C121, RawTotals!Q$2:Q999))</f>
        <v/>
      </c>
      <c r="M121" s="76"/>
      <c r="N121" s="76"/>
      <c r="O121" s="76"/>
      <c r="P121" s="76"/>
      <c r="Q121" s="76"/>
      <c r="R121" s="76"/>
      <c r="S121" s="76"/>
      <c r="T121" s="76"/>
      <c r="U121" s="76"/>
      <c r="V121" s="76"/>
      <c r="W121" s="76"/>
      <c r="X121" s="76"/>
      <c r="Y121" s="76"/>
      <c r="Z121" s="160" t="str">
        <f>IF(A121="","",SUMIF(RawTotals!A$2:A999, C121, RawTotals!AD$2:AD999))</f>
        <v/>
      </c>
      <c r="AA121" s="160" t="str">
        <f>IFERROR(__xludf.DUMMYFUNCTION("IF(A121="""","""",IF(FILTER(RawTotals!K$2:K999,RawTotals!A$2:A999=A121)="""","""",SUMIF(RawTotals!A$2:A999, C121, RawTotals!K$2:K999)))"),"")</f>
        <v/>
      </c>
      <c r="AB121" s="76" t="str">
        <f>IF(A121="","",SUMIF(RawTotals!A$2:A999, C121, RawTotals!E$2:E999))</f>
        <v/>
      </c>
      <c r="AC121" s="76" t="str">
        <f>IF(A121="","",SUMIF(RawTotals!A$2:A999, C121, RawTotals!N$2:N999))</f>
        <v/>
      </c>
      <c r="AD121" s="161" t="str">
        <f>IF(A121="","",SUMIF(RawTotals!A$2:A999, C121, RawTotals!X$2:X999))</f>
        <v/>
      </c>
      <c r="AE121" s="160" t="str">
        <f>IF(A121="","",SUMIF(RawTotals!A$2:A999, C121, RawTotals!R$2:R999))</f>
        <v/>
      </c>
      <c r="AF121" s="76"/>
    </row>
    <row r="122">
      <c r="A122" s="76"/>
      <c r="B122" s="170"/>
      <c r="C122" s="76"/>
      <c r="D122" s="173"/>
      <c r="E122" s="42" t="str">
        <f>IF(A122="","", SUMIF(RawTotals!A$2:A999, C122, RawTotals!AG$2:AG999))</f>
        <v/>
      </c>
      <c r="F122" s="42" t="str">
        <f>IF(A122="","", SUMIF(RawTotals!A$2:A999, C122, RawTotals!AH$2:AH999))</f>
        <v/>
      </c>
      <c r="G122" s="154" t="str">
        <f>IF(A122="","", SUMIF(RawTotals!A$2:A999, C122, RawTotals!J$2:J999))</f>
        <v/>
      </c>
      <c r="H122" s="174" t="str">
        <f>IFERROR(__xludf.DUMMYFUNCTION("IF(A122="""","""",IF(FILTER(RawTotals!H$2:H999,RawTotals!A$2:A999=A122)="""","""",SUMIF(RawTotals!A$2:A999, C122, RawTotals!H$2:H999)))"),"")</f>
        <v/>
      </c>
      <c r="I122" s="156" t="str">
        <f>IF(A122="","",SUMIF(RawTotals!A$2:A999, C122, RawTotals!M$2:M999))</f>
        <v/>
      </c>
      <c r="J122" s="157" t="str">
        <f>IF(A122="","", SUMIF(RawTotals!A$2:A999, C122, RawTotals!AC$2:AC999))</f>
        <v/>
      </c>
      <c r="K122" s="86" t="str">
        <f>IF(A122="","",SUMIF(RawTotals!A$2:A999, C122, RawTotals!W$2:W999))</f>
        <v/>
      </c>
      <c r="L122" s="158" t="str">
        <f>IF(A122="","",SUMIF(RawTotals!A$2:A999, C122, RawTotals!Q$2:Q999))</f>
        <v/>
      </c>
      <c r="M122" s="76"/>
      <c r="N122" s="76"/>
      <c r="O122" s="76"/>
      <c r="P122" s="76"/>
      <c r="Q122" s="76"/>
      <c r="R122" s="76"/>
      <c r="S122" s="76"/>
      <c r="T122" s="76"/>
      <c r="U122" s="76"/>
      <c r="V122" s="76"/>
      <c r="W122" s="76"/>
      <c r="X122" s="76"/>
      <c r="Y122" s="76"/>
      <c r="Z122" s="160" t="str">
        <f>IF(A122="","",SUMIF(RawTotals!A$2:A999, C122, RawTotals!AD$2:AD999))</f>
        <v/>
      </c>
      <c r="AA122" s="160" t="str">
        <f>IFERROR(__xludf.DUMMYFUNCTION("IF(A122="""","""",IF(FILTER(RawTotals!K$2:K999,RawTotals!A$2:A999=A122)="""","""",SUMIF(RawTotals!A$2:A999, C122, RawTotals!K$2:K999)))"),"")</f>
        <v/>
      </c>
      <c r="AB122" s="76" t="str">
        <f>IF(A122="","",SUMIF(RawTotals!A$2:A999, C122, RawTotals!E$2:E999))</f>
        <v/>
      </c>
      <c r="AC122" s="76" t="str">
        <f>IF(A122="","",SUMIF(RawTotals!A$2:A999, C122, RawTotals!N$2:N999))</f>
        <v/>
      </c>
      <c r="AD122" s="161" t="str">
        <f>IF(A122="","",SUMIF(RawTotals!A$2:A999, C122, RawTotals!X$2:X999))</f>
        <v/>
      </c>
      <c r="AE122" s="160" t="str">
        <f>IF(A122="","",SUMIF(RawTotals!A$2:A999, C122, RawTotals!R$2:R999))</f>
        <v/>
      </c>
      <c r="AF122" s="76"/>
    </row>
    <row r="123">
      <c r="A123" s="76"/>
      <c r="B123" s="170"/>
      <c r="C123" s="76"/>
      <c r="D123" s="173"/>
      <c r="E123" s="42" t="str">
        <f>IF(A123="","", SUMIF(RawTotals!A$2:A999, C123, RawTotals!AG$2:AG999))</f>
        <v/>
      </c>
      <c r="F123" s="42" t="str">
        <f>IF(A123="","", SUMIF(RawTotals!A$2:A999, C123, RawTotals!AH$2:AH999))</f>
        <v/>
      </c>
      <c r="G123" s="154" t="str">
        <f>IF(A123="","", SUMIF(RawTotals!A$2:A999, C123, RawTotals!J$2:J999))</f>
        <v/>
      </c>
      <c r="H123" s="174" t="str">
        <f>IFERROR(__xludf.DUMMYFUNCTION("IF(A123="""","""",IF(FILTER(RawTotals!H$2:H999,RawTotals!A$2:A999=A123)="""","""",SUMIF(RawTotals!A$2:A999, C123, RawTotals!H$2:H999)))"),"")</f>
        <v/>
      </c>
      <c r="I123" s="156" t="str">
        <f>IF(A123="","",SUMIF(RawTotals!A$2:A999, C123, RawTotals!M$2:M999))</f>
        <v/>
      </c>
      <c r="J123" s="157" t="str">
        <f>IF(A123="","", SUMIF(RawTotals!A$2:A999, C123, RawTotals!AC$2:AC999))</f>
        <v/>
      </c>
      <c r="K123" s="86" t="str">
        <f>IF(A123="","",SUMIF(RawTotals!A$2:A999, C123, RawTotals!W$2:W999))</f>
        <v/>
      </c>
      <c r="L123" s="158" t="str">
        <f>IF(A123="","",SUMIF(RawTotals!A$2:A999, C123, RawTotals!Q$2:Q999))</f>
        <v/>
      </c>
      <c r="M123" s="76"/>
      <c r="N123" s="76"/>
      <c r="O123" s="76"/>
      <c r="P123" s="76"/>
      <c r="Q123" s="76"/>
      <c r="R123" s="76"/>
      <c r="S123" s="76"/>
      <c r="T123" s="76"/>
      <c r="U123" s="76"/>
      <c r="V123" s="76"/>
      <c r="W123" s="76"/>
      <c r="X123" s="76"/>
      <c r="Y123" s="76"/>
      <c r="Z123" s="160" t="str">
        <f>IF(A123="","",SUMIF(RawTotals!A$2:A999, C123, RawTotals!AD$2:AD999))</f>
        <v/>
      </c>
      <c r="AA123" s="160" t="str">
        <f>IFERROR(__xludf.DUMMYFUNCTION("IF(A123="""","""",IF(FILTER(RawTotals!K$2:K999,RawTotals!A$2:A999=A123)="""","""",SUMIF(RawTotals!A$2:A999, C123, RawTotals!K$2:K999)))"),"")</f>
        <v/>
      </c>
      <c r="AB123" s="76" t="str">
        <f>IF(A123="","",SUMIF(RawTotals!A$2:A999, C123, RawTotals!E$2:E999))</f>
        <v/>
      </c>
      <c r="AC123" s="76" t="str">
        <f>IF(A123="","",SUMIF(RawTotals!A$2:A999, C123, RawTotals!N$2:N999))</f>
        <v/>
      </c>
      <c r="AD123" s="161" t="str">
        <f>IF(A123="","",SUMIF(RawTotals!A$2:A999, C123, RawTotals!X$2:X999))</f>
        <v/>
      </c>
      <c r="AE123" s="160" t="str">
        <f>IF(A123="","",SUMIF(RawTotals!A$2:A999, C123, RawTotals!R$2:R999))</f>
        <v/>
      </c>
      <c r="AF123" s="76"/>
    </row>
    <row r="124">
      <c r="A124" s="76"/>
      <c r="B124" s="170"/>
      <c r="C124" s="76"/>
      <c r="D124" s="173"/>
      <c r="E124" s="42" t="str">
        <f>IF(A124="","", SUMIF(RawTotals!A$2:A999, C124, RawTotals!AG$2:AG999))</f>
        <v/>
      </c>
      <c r="F124" s="42" t="str">
        <f>IF(A124="","", SUMIF(RawTotals!A$2:A999, C124, RawTotals!AH$2:AH999))</f>
        <v/>
      </c>
      <c r="G124" s="154" t="str">
        <f>IF(A124="","", SUMIF(RawTotals!A$2:A999, C124, RawTotals!J$2:J999))</f>
        <v/>
      </c>
      <c r="H124" s="174" t="str">
        <f>IFERROR(__xludf.DUMMYFUNCTION("IF(A124="""","""",IF(FILTER(RawTotals!H$2:H999,RawTotals!A$2:A999=A124)="""","""",SUMIF(RawTotals!A$2:A999, C124, RawTotals!H$2:H999)))"),"")</f>
        <v/>
      </c>
      <c r="I124" s="156" t="str">
        <f>IF(A124="","",SUMIF(RawTotals!A$2:A999, C124, RawTotals!M$2:M999))</f>
        <v/>
      </c>
      <c r="J124" s="157" t="str">
        <f>IF(A124="","", SUMIF(RawTotals!A$2:A999, C124, RawTotals!AC$2:AC999))</f>
        <v/>
      </c>
      <c r="K124" s="86" t="str">
        <f>IF(A124="","",SUMIF(RawTotals!A$2:A999, C124, RawTotals!W$2:W999))</f>
        <v/>
      </c>
      <c r="L124" s="158" t="str">
        <f>IF(A124="","",SUMIF(RawTotals!A$2:A999, C124, RawTotals!Q$2:Q999))</f>
        <v/>
      </c>
      <c r="M124" s="76"/>
      <c r="N124" s="76"/>
      <c r="O124" s="76"/>
      <c r="P124" s="76"/>
      <c r="Q124" s="76"/>
      <c r="R124" s="76"/>
      <c r="S124" s="76"/>
      <c r="T124" s="76"/>
      <c r="U124" s="76"/>
      <c r="V124" s="76"/>
      <c r="W124" s="76"/>
      <c r="X124" s="76"/>
      <c r="Y124" s="76"/>
      <c r="Z124" s="160" t="str">
        <f>IF(A124="","",SUMIF(RawTotals!A$2:A999, C124, RawTotals!AD$2:AD999))</f>
        <v/>
      </c>
      <c r="AA124" s="160" t="str">
        <f>IFERROR(__xludf.DUMMYFUNCTION("IF(A124="""","""",IF(FILTER(RawTotals!K$2:K999,RawTotals!A$2:A999=A124)="""","""",SUMIF(RawTotals!A$2:A999, C124, RawTotals!K$2:K999)))"),"")</f>
        <v/>
      </c>
      <c r="AB124" s="76" t="str">
        <f>IF(A124="","",SUMIF(RawTotals!A$2:A999, C124, RawTotals!E$2:E999))</f>
        <v/>
      </c>
      <c r="AC124" s="76" t="str">
        <f>IF(A124="","",SUMIF(RawTotals!A$2:A999, C124, RawTotals!N$2:N999))</f>
        <v/>
      </c>
      <c r="AD124" s="161" t="str">
        <f>IF(A124="","",SUMIF(RawTotals!A$2:A999, C124, RawTotals!X$2:X999))</f>
        <v/>
      </c>
      <c r="AE124" s="160" t="str">
        <f>IF(A124="","",SUMIF(RawTotals!A$2:A999, C124, RawTotals!R$2:R999))</f>
        <v/>
      </c>
      <c r="AF124" s="76"/>
    </row>
    <row r="125">
      <c r="A125" s="76"/>
      <c r="B125" s="170"/>
      <c r="C125" s="76"/>
      <c r="D125" s="173"/>
      <c r="E125" s="42" t="str">
        <f>IF(A125="","", SUMIF(RawTotals!A$2:A999, C125, RawTotals!AG$2:AG999))</f>
        <v/>
      </c>
      <c r="F125" s="42" t="str">
        <f>IF(A125="","", SUMIF(RawTotals!A$2:A999, C125, RawTotals!AH$2:AH999))</f>
        <v/>
      </c>
      <c r="G125" s="154" t="str">
        <f>IF(A125="","", SUMIF(RawTotals!A$2:A999, C125, RawTotals!J$2:J999))</f>
        <v/>
      </c>
      <c r="H125" s="174" t="str">
        <f>IFERROR(__xludf.DUMMYFUNCTION("IF(A125="""","""",IF(FILTER(RawTotals!H$2:H999,RawTotals!A$2:A999=A125)="""","""",SUMIF(RawTotals!A$2:A999, C125, RawTotals!H$2:H999)))"),"")</f>
        <v/>
      </c>
      <c r="I125" s="156" t="str">
        <f>IF(A125="","",SUMIF(RawTotals!A$2:A999, C125, RawTotals!M$2:M999))</f>
        <v/>
      </c>
      <c r="J125" s="157" t="str">
        <f>IF(A125="","", SUMIF(RawTotals!A$2:A999, C125, RawTotals!AC$2:AC999))</f>
        <v/>
      </c>
      <c r="K125" s="86" t="str">
        <f>IF(A125="","",SUMIF(RawTotals!A$2:A999, C125, RawTotals!W$2:W999))</f>
        <v/>
      </c>
      <c r="L125" s="158" t="str">
        <f>IF(A125="","",SUMIF(RawTotals!A$2:A999, C125, RawTotals!Q$2:Q999))</f>
        <v/>
      </c>
      <c r="M125" s="76"/>
      <c r="N125" s="76"/>
      <c r="O125" s="76"/>
      <c r="P125" s="76"/>
      <c r="Q125" s="76"/>
      <c r="R125" s="76"/>
      <c r="S125" s="76"/>
      <c r="T125" s="76"/>
      <c r="U125" s="76"/>
      <c r="V125" s="76"/>
      <c r="W125" s="76"/>
      <c r="X125" s="76"/>
      <c r="Y125" s="76"/>
      <c r="Z125" s="160" t="str">
        <f>IF(A125="","",SUMIF(RawTotals!A$2:A999, C125, RawTotals!AD$2:AD999))</f>
        <v/>
      </c>
      <c r="AA125" s="160" t="str">
        <f>IFERROR(__xludf.DUMMYFUNCTION("IF(A125="""","""",IF(FILTER(RawTotals!K$2:K999,RawTotals!A$2:A999=A125)="""","""",SUMIF(RawTotals!A$2:A999, C125, RawTotals!K$2:K999)))"),"")</f>
        <v/>
      </c>
      <c r="AB125" s="76" t="str">
        <f>IF(A125="","",SUMIF(RawTotals!A$2:A999, C125, RawTotals!E$2:E999))</f>
        <v/>
      </c>
      <c r="AC125" s="76" t="str">
        <f>IF(A125="","",SUMIF(RawTotals!A$2:A999, C125, RawTotals!N$2:N999))</f>
        <v/>
      </c>
      <c r="AD125" s="161" t="str">
        <f>IF(A125="","",SUMIF(RawTotals!A$2:A999, C125, RawTotals!X$2:X999))</f>
        <v/>
      </c>
      <c r="AE125" s="160" t="str">
        <f>IF(A125="","",SUMIF(RawTotals!A$2:A999, C125, RawTotals!R$2:R999))</f>
        <v/>
      </c>
      <c r="AF125" s="76"/>
    </row>
    <row r="126">
      <c r="A126" s="76"/>
      <c r="B126" s="170"/>
      <c r="C126" s="76"/>
      <c r="D126" s="173"/>
      <c r="E126" s="42" t="str">
        <f>IF(A126="","", SUMIF(RawTotals!A$2:A999, C126, RawTotals!AG$2:AG999))</f>
        <v/>
      </c>
      <c r="F126" s="42" t="str">
        <f>IF(A126="","", SUMIF(RawTotals!A$2:A999, C126, RawTotals!AH$2:AH999))</f>
        <v/>
      </c>
      <c r="G126" s="154" t="str">
        <f>IF(A126="","", SUMIF(RawTotals!A$2:A999, C126, RawTotals!J$2:J999))</f>
        <v/>
      </c>
      <c r="H126" s="174" t="str">
        <f>IFERROR(__xludf.DUMMYFUNCTION("IF(A126="""","""",IF(FILTER(RawTotals!H$2:H999,RawTotals!A$2:A999=A126)="""","""",SUMIF(RawTotals!A$2:A999, C126, RawTotals!H$2:H999)))"),"")</f>
        <v/>
      </c>
      <c r="I126" s="156" t="str">
        <f>IF(A126="","",SUMIF(RawTotals!A$2:A999, C126, RawTotals!M$2:M999))</f>
        <v/>
      </c>
      <c r="J126" s="157" t="str">
        <f>IF(A126="","", SUMIF(RawTotals!A$2:A999, C126, RawTotals!AC$2:AC999))</f>
        <v/>
      </c>
      <c r="K126" s="86" t="str">
        <f>IF(A126="","",SUMIF(RawTotals!A$2:A999, C126, RawTotals!W$2:W999))</f>
        <v/>
      </c>
      <c r="L126" s="158" t="str">
        <f>IF(A126="","",SUMIF(RawTotals!A$2:A999, C126, RawTotals!Q$2:Q999))</f>
        <v/>
      </c>
      <c r="M126" s="76"/>
      <c r="N126" s="76"/>
      <c r="O126" s="76"/>
      <c r="P126" s="76"/>
      <c r="Q126" s="76"/>
      <c r="R126" s="76"/>
      <c r="S126" s="76"/>
      <c r="T126" s="76"/>
      <c r="U126" s="76"/>
      <c r="V126" s="76"/>
      <c r="W126" s="76"/>
      <c r="X126" s="76"/>
      <c r="Y126" s="76"/>
      <c r="Z126" s="160" t="str">
        <f>IF(A126="","",SUMIF(RawTotals!A$2:A999, C126, RawTotals!AD$2:AD999))</f>
        <v/>
      </c>
      <c r="AA126" s="160" t="str">
        <f>IFERROR(__xludf.DUMMYFUNCTION("IF(A126="""","""",IF(FILTER(RawTotals!K$2:K999,RawTotals!A$2:A999=A126)="""","""",SUMIF(RawTotals!A$2:A999, C126, RawTotals!K$2:K999)))"),"")</f>
        <v/>
      </c>
      <c r="AB126" s="76" t="str">
        <f>IF(A126="","",SUMIF(RawTotals!A$2:A999, C126, RawTotals!E$2:E999))</f>
        <v/>
      </c>
      <c r="AC126" s="76" t="str">
        <f>IF(A126="","",SUMIF(RawTotals!A$2:A999, C126, RawTotals!N$2:N999))</f>
        <v/>
      </c>
      <c r="AD126" s="161" t="str">
        <f>IF(A126="","",SUMIF(RawTotals!A$2:A999, C126, RawTotals!X$2:X999))</f>
        <v/>
      </c>
      <c r="AE126" s="160" t="str">
        <f>IF(A126="","",SUMIF(RawTotals!A$2:A999, C126, RawTotals!R$2:R999))</f>
        <v/>
      </c>
      <c r="AF126" s="76"/>
    </row>
    <row r="127">
      <c r="A127" s="76"/>
      <c r="B127" s="170"/>
      <c r="C127" s="76"/>
      <c r="D127" s="173"/>
      <c r="E127" s="42" t="str">
        <f>IF(A127="","", SUMIF(RawTotals!A$2:A999, C127, RawTotals!AG$2:AG999))</f>
        <v/>
      </c>
      <c r="F127" s="42" t="str">
        <f>IF(A127="","", SUMIF(RawTotals!A$2:A999, C127, RawTotals!AH$2:AH999))</f>
        <v/>
      </c>
      <c r="G127" s="154" t="str">
        <f>IF(A127="","", SUMIF(RawTotals!A$2:A999, C127, RawTotals!J$2:J999))</f>
        <v/>
      </c>
      <c r="H127" s="174" t="str">
        <f>IFERROR(__xludf.DUMMYFUNCTION("IF(A127="""","""",IF(FILTER(RawTotals!H$2:H999,RawTotals!A$2:A999=A127)="""","""",SUMIF(RawTotals!A$2:A999, C127, RawTotals!H$2:H999)))"),"")</f>
        <v/>
      </c>
      <c r="I127" s="156" t="str">
        <f>IF(A127="","",SUMIF(RawTotals!A$2:A999, C127, RawTotals!M$2:M999))</f>
        <v/>
      </c>
      <c r="J127" s="157" t="str">
        <f>IF(A127="","", SUMIF(RawTotals!A$2:A999, C127, RawTotals!AC$2:AC999))</f>
        <v/>
      </c>
      <c r="K127" s="86" t="str">
        <f>IF(A127="","",SUMIF(RawTotals!A$2:A999, C127, RawTotals!W$2:W999))</f>
        <v/>
      </c>
      <c r="L127" s="158" t="str">
        <f>IF(A127="","",SUMIF(RawTotals!A$2:A999, C127, RawTotals!Q$2:Q999))</f>
        <v/>
      </c>
      <c r="M127" s="76"/>
      <c r="N127" s="76"/>
      <c r="O127" s="76"/>
      <c r="P127" s="76"/>
      <c r="Q127" s="76"/>
      <c r="R127" s="76"/>
      <c r="S127" s="76"/>
      <c r="T127" s="76"/>
      <c r="U127" s="76"/>
      <c r="V127" s="76"/>
      <c r="W127" s="76"/>
      <c r="X127" s="76"/>
      <c r="Y127" s="76"/>
      <c r="Z127" s="160" t="str">
        <f>IF(A127="","",SUMIF(RawTotals!A$2:A999, C127, RawTotals!AD$2:AD999))</f>
        <v/>
      </c>
      <c r="AA127" s="160" t="str">
        <f>IFERROR(__xludf.DUMMYFUNCTION("IF(A127="""","""",IF(FILTER(RawTotals!K$2:K999,RawTotals!A$2:A999=A127)="""","""",SUMIF(RawTotals!A$2:A999, C127, RawTotals!K$2:K999)))"),"")</f>
        <v/>
      </c>
      <c r="AB127" s="76" t="str">
        <f>IF(A127="","",SUMIF(RawTotals!A$2:A999, C127, RawTotals!E$2:E999))</f>
        <v/>
      </c>
      <c r="AC127" s="76" t="str">
        <f>IF(A127="","",SUMIF(RawTotals!A$2:A999, C127, RawTotals!N$2:N999))</f>
        <v/>
      </c>
      <c r="AD127" s="161" t="str">
        <f>IF(A127="","",SUMIF(RawTotals!A$2:A999, C127, RawTotals!X$2:X999))</f>
        <v/>
      </c>
      <c r="AE127" s="160" t="str">
        <f>IF(A127="","",SUMIF(RawTotals!A$2:A999, C127, RawTotals!R$2:R999))</f>
        <v/>
      </c>
      <c r="AF127" s="76"/>
    </row>
    <row r="128">
      <c r="A128" s="76"/>
      <c r="B128" s="170"/>
      <c r="C128" s="76"/>
      <c r="D128" s="173"/>
      <c r="E128" s="42" t="str">
        <f>IF(A128="","", SUMIF(RawTotals!A$2:A999, C128, RawTotals!AG$2:AG999))</f>
        <v/>
      </c>
      <c r="F128" s="42" t="str">
        <f>IF(A128="","", SUMIF(RawTotals!A$2:A999, C128, RawTotals!AH$2:AH999))</f>
        <v/>
      </c>
      <c r="G128" s="154" t="str">
        <f>IF(A128="","", SUMIF(RawTotals!A$2:A999, C128, RawTotals!J$2:J999))</f>
        <v/>
      </c>
      <c r="H128" s="174" t="str">
        <f>IFERROR(__xludf.DUMMYFUNCTION("IF(A128="""","""",IF(FILTER(RawTotals!H$2:H999,RawTotals!A$2:A999=A128)="""","""",SUMIF(RawTotals!A$2:A999, C128, RawTotals!H$2:H999)))"),"")</f>
        <v/>
      </c>
      <c r="I128" s="156" t="str">
        <f>IF(A128="","",SUMIF(RawTotals!A$2:A999, C128, RawTotals!M$2:M999))</f>
        <v/>
      </c>
      <c r="J128" s="157" t="str">
        <f>IF(A128="","", SUMIF(RawTotals!A$2:A999, C128, RawTotals!AC$2:AC999))</f>
        <v/>
      </c>
      <c r="K128" s="86" t="str">
        <f>IF(A128="","",SUMIF(RawTotals!A$2:A999, C128, RawTotals!W$2:W999))</f>
        <v/>
      </c>
      <c r="L128" s="158" t="str">
        <f>IF(A128="","",SUMIF(RawTotals!A$2:A999, C128, RawTotals!Q$2:Q999))</f>
        <v/>
      </c>
      <c r="M128" s="76"/>
      <c r="N128" s="76"/>
      <c r="O128" s="76"/>
      <c r="P128" s="76"/>
      <c r="Q128" s="76"/>
      <c r="R128" s="76"/>
      <c r="S128" s="76"/>
      <c r="T128" s="76"/>
      <c r="U128" s="76"/>
      <c r="V128" s="76"/>
      <c r="W128" s="76"/>
      <c r="X128" s="76"/>
      <c r="Y128" s="76"/>
      <c r="Z128" s="160" t="str">
        <f>IF(A128="","",SUMIF(RawTotals!A$2:A999, C128, RawTotals!AD$2:AD999))</f>
        <v/>
      </c>
      <c r="AA128" s="160" t="str">
        <f>IFERROR(__xludf.DUMMYFUNCTION("IF(A128="""","""",IF(FILTER(RawTotals!K$2:K999,RawTotals!A$2:A999=A128)="""","""",SUMIF(RawTotals!A$2:A999, C128, RawTotals!K$2:K999)))"),"")</f>
        <v/>
      </c>
      <c r="AB128" s="76" t="str">
        <f>IF(A128="","",SUMIF(RawTotals!A$2:A999, C128, RawTotals!E$2:E999))</f>
        <v/>
      </c>
      <c r="AC128" s="76" t="str">
        <f>IF(A128="","",SUMIF(RawTotals!A$2:A999, C128, RawTotals!N$2:N999))</f>
        <v/>
      </c>
      <c r="AD128" s="161" t="str">
        <f>IF(A128="","",SUMIF(RawTotals!A$2:A999, C128, RawTotals!X$2:X999))</f>
        <v/>
      </c>
      <c r="AE128" s="160" t="str">
        <f>IF(A128="","",SUMIF(RawTotals!A$2:A999, C128, RawTotals!R$2:R999))</f>
        <v/>
      </c>
      <c r="AF128" s="76"/>
    </row>
    <row r="129">
      <c r="A129" s="76"/>
      <c r="B129" s="170"/>
      <c r="C129" s="76"/>
      <c r="D129" s="173"/>
      <c r="E129" s="42" t="str">
        <f>IF(A129="","", SUMIF(RawTotals!A$2:A999, C129, RawTotals!AG$2:AG999))</f>
        <v/>
      </c>
      <c r="F129" s="42" t="str">
        <f>IF(A129="","", SUMIF(RawTotals!A$2:A999, C129, RawTotals!AH$2:AH999))</f>
        <v/>
      </c>
      <c r="G129" s="154" t="str">
        <f>IF(A129="","", SUMIF(RawTotals!A$2:A999, C129, RawTotals!J$2:J999))</f>
        <v/>
      </c>
      <c r="H129" s="174" t="str">
        <f>IFERROR(__xludf.DUMMYFUNCTION("IF(A129="""","""",IF(FILTER(RawTotals!H$2:H999,RawTotals!A$2:A999=A129)="""","""",SUMIF(RawTotals!A$2:A999, C129, RawTotals!H$2:H999)))"),"")</f>
        <v/>
      </c>
      <c r="I129" s="156" t="str">
        <f>IF(A129="","",SUMIF(RawTotals!A$2:A999, C129, RawTotals!M$2:M999))</f>
        <v/>
      </c>
      <c r="J129" s="157" t="str">
        <f>IF(A129="","", SUMIF(RawTotals!A$2:A999, C129, RawTotals!AC$2:AC999))</f>
        <v/>
      </c>
      <c r="K129" s="86" t="str">
        <f>IF(A129="","",SUMIF(RawTotals!A$2:A999, C129, RawTotals!W$2:W999))</f>
        <v/>
      </c>
      <c r="L129" s="158" t="str">
        <f>IF(A129="","",SUMIF(RawTotals!A$2:A999, C129, RawTotals!Q$2:Q999))</f>
        <v/>
      </c>
      <c r="M129" s="76"/>
      <c r="N129" s="76"/>
      <c r="O129" s="76"/>
      <c r="P129" s="76"/>
      <c r="Q129" s="76"/>
      <c r="R129" s="76"/>
      <c r="S129" s="76"/>
      <c r="T129" s="76"/>
      <c r="U129" s="76"/>
      <c r="V129" s="76"/>
      <c r="W129" s="76"/>
      <c r="X129" s="76"/>
      <c r="Y129" s="76"/>
      <c r="Z129" s="160" t="str">
        <f>IF(A129="","",SUMIF(RawTotals!A$2:A999, C129, RawTotals!AD$2:AD999))</f>
        <v/>
      </c>
      <c r="AA129" s="160" t="str">
        <f>IFERROR(__xludf.DUMMYFUNCTION("IF(A129="""","""",IF(FILTER(RawTotals!K$2:K999,RawTotals!A$2:A999=A129)="""","""",SUMIF(RawTotals!A$2:A999, C129, RawTotals!K$2:K999)))"),"")</f>
        <v/>
      </c>
      <c r="AB129" s="76" t="str">
        <f>IF(A129="","",SUMIF(RawTotals!A$2:A999, C129, RawTotals!E$2:E999))</f>
        <v/>
      </c>
      <c r="AC129" s="76" t="str">
        <f>IF(A129="","",SUMIF(RawTotals!A$2:A999, C129, RawTotals!N$2:N999))</f>
        <v/>
      </c>
      <c r="AD129" s="161" t="str">
        <f>IF(A129="","",SUMIF(RawTotals!A$2:A999, C129, RawTotals!X$2:X999))</f>
        <v/>
      </c>
      <c r="AE129" s="160" t="str">
        <f>IF(A129="","",SUMIF(RawTotals!A$2:A999, C129, RawTotals!R$2:R999))</f>
        <v/>
      </c>
      <c r="AF129" s="76"/>
    </row>
    <row r="130">
      <c r="A130" s="76"/>
      <c r="B130" s="170"/>
      <c r="C130" s="76"/>
      <c r="D130" s="173"/>
      <c r="E130" s="42" t="str">
        <f>IF(A130="","", SUMIF(RawTotals!A$2:A999, C130, RawTotals!AG$2:AG999))</f>
        <v/>
      </c>
      <c r="F130" s="42" t="str">
        <f>IF(A130="","", SUMIF(RawTotals!A$2:A999, C130, RawTotals!AH$2:AH999))</f>
        <v/>
      </c>
      <c r="G130" s="154" t="str">
        <f>IF(A130="","", SUMIF(RawTotals!A$2:A999, C130, RawTotals!J$2:J999))</f>
        <v/>
      </c>
      <c r="H130" s="174" t="str">
        <f>IFERROR(__xludf.DUMMYFUNCTION("IF(A130="""","""",IF(FILTER(RawTotals!H$2:H999,RawTotals!A$2:A999=A130)="""","""",SUMIF(RawTotals!A$2:A999, C130, RawTotals!H$2:H999)))"),"")</f>
        <v/>
      </c>
      <c r="I130" s="156" t="str">
        <f>IF(A130="","",SUMIF(RawTotals!A$2:A999, C130, RawTotals!M$2:M999))</f>
        <v/>
      </c>
      <c r="J130" s="157" t="str">
        <f>IF(A130="","", SUMIF(RawTotals!A$2:A999, C130, RawTotals!AC$2:AC999))</f>
        <v/>
      </c>
      <c r="K130" s="86" t="str">
        <f>IF(A130="","",SUMIF(RawTotals!A$2:A999, C130, RawTotals!W$2:W999))</f>
        <v/>
      </c>
      <c r="L130" s="158" t="str">
        <f>IF(A130="","",SUMIF(RawTotals!A$2:A999, C130, RawTotals!Q$2:Q999))</f>
        <v/>
      </c>
      <c r="M130" s="76"/>
      <c r="N130" s="76"/>
      <c r="O130" s="76"/>
      <c r="P130" s="76"/>
      <c r="Q130" s="76"/>
      <c r="R130" s="76"/>
      <c r="S130" s="76"/>
      <c r="T130" s="76"/>
      <c r="U130" s="76"/>
      <c r="V130" s="76"/>
      <c r="W130" s="76"/>
      <c r="X130" s="76"/>
      <c r="Y130" s="76"/>
      <c r="Z130" s="160" t="str">
        <f>IF(A130="","",SUMIF(RawTotals!A$2:A999, C130, RawTotals!AD$2:AD999))</f>
        <v/>
      </c>
      <c r="AA130" s="160" t="str">
        <f>IFERROR(__xludf.DUMMYFUNCTION("IF(A130="""","""",IF(FILTER(RawTotals!K$2:K999,RawTotals!A$2:A999=A130)="""","""",SUMIF(RawTotals!A$2:A999, C130, RawTotals!K$2:K999)))"),"")</f>
        <v/>
      </c>
      <c r="AB130" s="76" t="str">
        <f>IF(A130="","",SUMIF(RawTotals!A$2:A999, C130, RawTotals!E$2:E999))</f>
        <v/>
      </c>
      <c r="AC130" s="76" t="str">
        <f>IF(A130="","",SUMIF(RawTotals!A$2:A999, C130, RawTotals!N$2:N999))</f>
        <v/>
      </c>
      <c r="AD130" s="161" t="str">
        <f>IF(A130="","",SUMIF(RawTotals!A$2:A999, C130, RawTotals!X$2:X999))</f>
        <v/>
      </c>
      <c r="AE130" s="160" t="str">
        <f>IF(A130="","",SUMIF(RawTotals!A$2:A999, C130, RawTotals!R$2:R999))</f>
        <v/>
      </c>
      <c r="AF130" s="76"/>
    </row>
    <row r="131">
      <c r="A131" s="76"/>
      <c r="B131" s="170"/>
      <c r="C131" s="76"/>
      <c r="D131" s="173"/>
      <c r="E131" s="42" t="str">
        <f>IF(A131="","", SUMIF(RawTotals!A$2:A999, C131, RawTotals!AG$2:AG999))</f>
        <v/>
      </c>
      <c r="F131" s="42" t="str">
        <f>IF(A131="","", SUMIF(RawTotals!A$2:A999, C131, RawTotals!AH$2:AH999))</f>
        <v/>
      </c>
      <c r="G131" s="86" t="str">
        <f>IF(A131="","", SUMIF(RawTotals!A$2:A999, C131, RawTotals!AC$2:AC999))</f>
        <v/>
      </c>
      <c r="H131" s="174" t="str">
        <f>IFERROR(__xludf.DUMMYFUNCTION("IF(A131="""","""",IF(FILTER(RawTotals!H$2:H999,RawTotals!A$2:A999=A131)="""","""",SUMIF(RawTotals!A$2:A999, C131, RawTotals!H$2:H999)))"),"")</f>
        <v/>
      </c>
      <c r="I131" s="156" t="str">
        <f>IF(A131="","",SUMIF(RawTotals!A$2:A999, C131, RawTotals!M$2:M999))</f>
        <v/>
      </c>
      <c r="J131" s="157" t="str">
        <f>IF(A131="","", SUMIF(RawTotals!A$2:A999, C131, RawTotals!AC$2:AC999))</f>
        <v/>
      </c>
      <c r="K131" s="86" t="str">
        <f>IF(A131="","",SUMIF(RawTotals!A$2:A999, C131, RawTotals!W$2:W999))</f>
        <v/>
      </c>
      <c r="L131" s="158" t="str">
        <f>IF(A131="","",SUMIF(RawTotals!A$2:A999, C131, RawTotals!Q$2:Q999))</f>
        <v/>
      </c>
      <c r="M131" s="76"/>
      <c r="N131" s="76"/>
      <c r="O131" s="76"/>
      <c r="P131" s="76"/>
      <c r="Q131" s="76"/>
      <c r="R131" s="76"/>
      <c r="S131" s="76"/>
      <c r="T131" s="76"/>
      <c r="U131" s="76"/>
      <c r="V131" s="76"/>
      <c r="W131" s="76"/>
      <c r="X131" s="76"/>
      <c r="Y131" s="76"/>
      <c r="Z131" s="160" t="str">
        <f>IF(A131="","",SUMIF(RawTotals!A$2:A999, C131, RawTotals!AD$2:AD999))</f>
        <v/>
      </c>
      <c r="AA131" s="160" t="str">
        <f>IFERROR(__xludf.DUMMYFUNCTION("IF(A131="""","""",IF(FILTER(RawTotals!K$2:K999,RawTotals!A$2:A999=A131)="""","""",SUMIF(RawTotals!A$2:A999, C131, RawTotals!K$2:K999)))"),"")</f>
        <v/>
      </c>
      <c r="AB131" s="76" t="str">
        <f>IF(A131="","",SUMIF(RawTotals!A$2:A999, C131, RawTotals!E$2:E999))</f>
        <v/>
      </c>
      <c r="AC131" s="76" t="str">
        <f>IF(A131="","",SUMIF(RawTotals!A$2:A999, C131, RawTotals!N$2:N999))</f>
        <v/>
      </c>
      <c r="AD131" s="161" t="str">
        <f>IF(A131="","",SUMIF(RawTotals!A$2:A999, C131, RawTotals!X$2:X999))</f>
        <v/>
      </c>
      <c r="AE131" s="160" t="str">
        <f>IF(A131="","",SUMIF(RawTotals!A$2:A999, C131, RawTotals!R$2:R999))</f>
        <v/>
      </c>
      <c r="AF131" s="76"/>
    </row>
    <row r="132">
      <c r="A132" s="76"/>
      <c r="B132" s="170"/>
      <c r="C132" s="76"/>
      <c r="D132" s="173"/>
      <c r="E132" s="42" t="str">
        <f>IF(A132="","", SUMIF(RawTotals!A$2:A999, C132, RawTotals!AG$2:AG999))</f>
        <v/>
      </c>
      <c r="F132" s="42" t="str">
        <f>IF(A132="","", SUMIF(RawTotals!A$2:A999, C132, RawTotals!AH$2:AH999))</f>
        <v/>
      </c>
      <c r="G132" s="86" t="str">
        <f>IF(A132="","", SUMIF(RawTotals!A$2:A999, C132, RawTotals!AC$2:AC999))</f>
        <v/>
      </c>
      <c r="H132" s="174" t="str">
        <f>IFERROR(__xludf.DUMMYFUNCTION("IF(A132="""","""",IF(FILTER(RawTotals!H$2:H999,RawTotals!A$2:A999=A132)="""","""",SUMIF(RawTotals!A$2:A999, C132, RawTotals!H$2:H999)))"),"")</f>
        <v/>
      </c>
      <c r="I132" s="156" t="str">
        <f>IF(A132="","",SUMIF(RawTotals!A$2:A999, C132, RawTotals!M$2:M999))</f>
        <v/>
      </c>
      <c r="J132" s="157" t="str">
        <f>IF(A132="","", SUMIF(RawTotals!A$2:A999, C132, RawTotals!AC$2:AC999))</f>
        <v/>
      </c>
      <c r="K132" s="86" t="str">
        <f>IF(A132="","",SUMIF(RawTotals!A$2:A999, C132, RawTotals!W$2:W999))</f>
        <v/>
      </c>
      <c r="L132" s="158" t="str">
        <f>IF(A132="","",SUMIF(RawTotals!A$2:A999, C132, RawTotals!Q$2:Q999))</f>
        <v/>
      </c>
      <c r="M132" s="76"/>
      <c r="N132" s="76"/>
      <c r="O132" s="76"/>
      <c r="P132" s="76"/>
      <c r="Q132" s="76"/>
      <c r="R132" s="76"/>
      <c r="S132" s="76"/>
      <c r="T132" s="76"/>
      <c r="U132" s="76"/>
      <c r="V132" s="76"/>
      <c r="W132" s="76"/>
      <c r="X132" s="76"/>
      <c r="Y132" s="76"/>
      <c r="Z132" s="160" t="str">
        <f>IF(A132="","",SUMIF(RawTotals!A$2:A999, C132, RawTotals!AD$2:AD999))</f>
        <v/>
      </c>
      <c r="AA132" s="160" t="str">
        <f>IFERROR(__xludf.DUMMYFUNCTION("IF(A132="""","""",IF(FILTER(RawTotals!K$2:K999,RawTotals!A$2:A999=A132)="""","""",SUMIF(RawTotals!A$2:A999, C132, RawTotals!K$2:K999)))"),"")</f>
        <v/>
      </c>
      <c r="AB132" s="76" t="str">
        <f>IF(A132="","",SUMIF(RawTotals!A$2:A999, C132, RawTotals!E$2:E999))</f>
        <v/>
      </c>
      <c r="AC132" s="76" t="str">
        <f>IF(A132="","",SUMIF(RawTotals!A$2:A999, C132, RawTotals!N$2:N999))</f>
        <v/>
      </c>
      <c r="AD132" s="161" t="str">
        <f>IF(A132="","",SUMIF(RawTotals!A$2:A999, C132, RawTotals!X$2:X999))</f>
        <v/>
      </c>
      <c r="AE132" s="160" t="str">
        <f>IF(A132="","",SUMIF(RawTotals!A$2:A999, C132, RawTotals!R$2:R999))</f>
        <v/>
      </c>
      <c r="AF132" s="76"/>
    </row>
    <row r="133">
      <c r="A133" s="76"/>
      <c r="B133" s="170"/>
      <c r="C133" s="76"/>
      <c r="D133" s="173"/>
      <c r="E133" s="42" t="str">
        <f>IF(A133="","", SUMIF(RawTotals!A$2:A999, C133, RawTotals!AG$2:AG999))</f>
        <v/>
      </c>
      <c r="F133" s="42" t="str">
        <f>IF(A133="","", SUMIF(RawTotals!A$2:A999, C133, RawTotals!AH$2:AH999))</f>
        <v/>
      </c>
      <c r="G133" s="175"/>
      <c r="H133" s="173"/>
      <c r="I133" s="156" t="str">
        <f>IF(A133="","",SUMIF(RawTotals!A$2:A999, C133, RawTotals!M$2:M999))</f>
        <v/>
      </c>
      <c r="J133" s="157" t="str">
        <f>IF(A133="","", SUMIF(RawTotals!A$2:A999, C133, RawTotals!AC$2:AC999))</f>
        <v/>
      </c>
      <c r="K133" s="173"/>
      <c r="L133" s="76"/>
      <c r="M133" s="76"/>
      <c r="N133" s="76"/>
      <c r="O133" s="76"/>
      <c r="P133" s="76"/>
      <c r="Q133" s="76"/>
      <c r="R133" s="76"/>
      <c r="S133" s="76"/>
      <c r="T133" s="76"/>
      <c r="U133" s="76"/>
      <c r="V133" s="76"/>
      <c r="W133" s="76"/>
      <c r="X133" s="76"/>
      <c r="Y133" s="76"/>
      <c r="Z133" s="160" t="str">
        <f>IF(A133="","",SUMIF(RawTotals!A$2:A999, C133, RawTotals!AD$2:AD999))</f>
        <v/>
      </c>
      <c r="AA133" s="160" t="str">
        <f>IFERROR(__xludf.DUMMYFUNCTION("IF(A133="""","""",IF(FILTER(RawTotals!K$2:K999,RawTotals!A$2:A999=A133)="""","""",SUMIF(RawTotals!A$2:A999, C133, RawTotals!K$2:K999)))"),"")</f>
        <v/>
      </c>
      <c r="AB133" s="76" t="str">
        <f>IF(A133="","",SUMIF(RawTotals!A$2:A999, C133, RawTotals!E$2:E999))</f>
        <v/>
      </c>
      <c r="AC133" s="76" t="str">
        <f>IF(A133="","",SUMIF(RawTotals!A$2:A999, C133, RawTotals!N$2:N999))</f>
        <v/>
      </c>
      <c r="AD133" s="161" t="str">
        <f>IF(A133="","",SUMIF(RawTotals!A$2:A999, C133, RawTotals!X$2:X999))</f>
        <v/>
      </c>
      <c r="AE133" s="160" t="str">
        <f>IF(A133="","",SUMIF(RawTotals!A$2:A999, C133, RawTotals!R$2:R999))</f>
        <v/>
      </c>
      <c r="AF133" s="76"/>
    </row>
    <row r="134">
      <c r="A134" s="76"/>
      <c r="B134" s="170"/>
      <c r="C134" s="76"/>
      <c r="D134" s="173"/>
      <c r="E134" s="42" t="str">
        <f>IF(A134="","", SUMIF(RawTotals!A$2:A999, C134, RawTotals!AG$2:AG999))</f>
        <v/>
      </c>
      <c r="F134" s="42" t="str">
        <f>IF(A134="","", SUMIF(RawTotals!A$2:A999, C134, RawTotals!AH$2:AH999))</f>
        <v/>
      </c>
      <c r="G134" s="175"/>
      <c r="H134" s="173"/>
      <c r="I134" s="156" t="str">
        <f>IF(A134="","",SUMIF(RawTotals!A$2:A999, C134, RawTotals!M$2:M999))</f>
        <v/>
      </c>
      <c r="J134" s="157" t="str">
        <f>IF(A134="","", SUMIF(RawTotals!A$2:A999, C134, RawTotals!AC$2:AC999))</f>
        <v/>
      </c>
      <c r="K134" s="173"/>
      <c r="L134" s="76"/>
      <c r="M134" s="76"/>
      <c r="N134" s="76"/>
      <c r="O134" s="76"/>
      <c r="P134" s="76"/>
      <c r="Q134" s="76"/>
      <c r="R134" s="76"/>
      <c r="S134" s="76"/>
      <c r="T134" s="76"/>
      <c r="U134" s="76"/>
      <c r="V134" s="76"/>
      <c r="W134" s="76"/>
      <c r="X134" s="76"/>
      <c r="Y134" s="76"/>
      <c r="Z134" s="160" t="str">
        <f>IF(A134="","",SUMIF(RawTotals!A$2:A999, C134, RawTotals!AD$2:AD999))</f>
        <v/>
      </c>
      <c r="AA134" s="160" t="str">
        <f>IFERROR(__xludf.DUMMYFUNCTION("IF(A134="""","""",IF(FILTER(RawTotals!K$2:K999,RawTotals!A$2:A999=A134)="""","""",SUMIF(RawTotals!A$2:A999, C134, RawTotals!K$2:K999)))"),"")</f>
        <v/>
      </c>
      <c r="AB134" s="76" t="str">
        <f>IF(A134="","",SUMIF(RawTotals!A$2:A999, C134, RawTotals!E$2:E999))</f>
        <v/>
      </c>
      <c r="AC134" s="76" t="str">
        <f>IF(A134="","",SUMIF(RawTotals!A$2:A999, C134, RawTotals!N$2:N999))</f>
        <v/>
      </c>
      <c r="AD134" s="161" t="str">
        <f>IF(A134="","",SUMIF(RawTotals!A$2:A999, C134, RawTotals!X$2:X999))</f>
        <v/>
      </c>
      <c r="AE134" s="160" t="str">
        <f>IF(A134="","",SUMIF(RawTotals!A$2:A999, C134, RawTotals!R$2:R999))</f>
        <v/>
      </c>
      <c r="AF134" s="76"/>
    </row>
    <row r="135">
      <c r="A135" s="76"/>
      <c r="B135" s="170"/>
      <c r="C135" s="76"/>
      <c r="D135" s="173"/>
      <c r="E135" s="42" t="str">
        <f>IF(A135="","", SUMIF(RawTotals!A$2:A999, C135, RawTotals!AG$2:AG999))</f>
        <v/>
      </c>
      <c r="F135" s="42" t="str">
        <f>IF(A135="","", SUMIF(RawTotals!A$2:A999, C135, RawTotals!AH$2:AH999))</f>
        <v/>
      </c>
      <c r="G135" s="175"/>
      <c r="H135" s="173"/>
      <c r="I135" s="156" t="str">
        <f>IF(A135="","",SUMIF(RawTotals!A$2:A999, C135, RawTotals!M$2:M999))</f>
        <v/>
      </c>
      <c r="J135" s="157" t="str">
        <f>IF(A135="","", SUMIF(RawTotals!A$2:A999, C135, RawTotals!AC$2:AC999))</f>
        <v/>
      </c>
      <c r="K135" s="173"/>
      <c r="L135" s="76"/>
      <c r="M135" s="76"/>
      <c r="N135" s="76"/>
      <c r="O135" s="76"/>
      <c r="P135" s="76"/>
      <c r="Q135" s="76"/>
      <c r="R135" s="76"/>
      <c r="S135" s="76"/>
      <c r="T135" s="76"/>
      <c r="U135" s="76"/>
      <c r="V135" s="76"/>
      <c r="W135" s="76"/>
      <c r="X135" s="76"/>
      <c r="Y135" s="76"/>
      <c r="Z135" s="160" t="str">
        <f>IF(A135="","",SUMIF(RawTotals!A$2:A999, C135, RawTotals!AD$2:AD999))</f>
        <v/>
      </c>
      <c r="AA135" s="160" t="str">
        <f>IFERROR(__xludf.DUMMYFUNCTION("IF(A135="""","""",IF(FILTER(RawTotals!K$2:K999,RawTotals!A$2:A999=A135)="""","""",SUMIF(RawTotals!A$2:A999, C135, RawTotals!K$2:K999)))"),"")</f>
        <v/>
      </c>
      <c r="AB135" s="76" t="str">
        <f>IF(A135="","",SUMIF(RawTotals!A$2:A999, C135, RawTotals!E$2:E999))</f>
        <v/>
      </c>
      <c r="AC135" s="76" t="str">
        <f>IF(A135="","",SUMIF(RawTotals!A$2:A999, C135, RawTotals!N$2:N999))</f>
        <v/>
      </c>
      <c r="AD135" s="161" t="str">
        <f>IF(A135="","",SUMIF(RawTotals!A$2:A999, C135, RawTotals!X$2:X999))</f>
        <v/>
      </c>
      <c r="AE135" s="160" t="str">
        <f>IF(A135="","",SUMIF(RawTotals!A$2:A999, C135, RawTotals!R$2:R999))</f>
        <v/>
      </c>
      <c r="AF135" s="76"/>
    </row>
    <row r="136">
      <c r="A136" s="76"/>
      <c r="B136" s="170"/>
      <c r="C136" s="76"/>
      <c r="D136" s="173"/>
      <c r="E136" s="42" t="str">
        <f>IF(A136="","", SUMIF(RawTotals!A$2:A999, C136, RawTotals!AG$2:AG999))</f>
        <v/>
      </c>
      <c r="F136" s="42" t="str">
        <f>IF(A136="","", SUMIF(RawTotals!A$2:A999, C136, RawTotals!AH$2:AH999))</f>
        <v/>
      </c>
      <c r="G136" s="175"/>
      <c r="H136" s="173"/>
      <c r="I136" s="156" t="str">
        <f>IF(A136="","",SUMIF(RawTotals!A$2:A999, C136, RawTotals!M$2:M999))</f>
        <v/>
      </c>
      <c r="J136" s="157" t="str">
        <f>IF(A136="","", SUMIF(RawTotals!A$2:A999, C136, RawTotals!AC$2:AC999))</f>
        <v/>
      </c>
      <c r="K136" s="173"/>
      <c r="L136" s="76"/>
      <c r="M136" s="76"/>
      <c r="N136" s="76"/>
      <c r="O136" s="76"/>
      <c r="P136" s="76"/>
      <c r="Q136" s="76"/>
      <c r="R136" s="76"/>
      <c r="S136" s="76"/>
      <c r="T136" s="76"/>
      <c r="U136" s="76"/>
      <c r="V136" s="76"/>
      <c r="W136" s="76"/>
      <c r="X136" s="76"/>
      <c r="Y136" s="76"/>
      <c r="Z136" s="160" t="str">
        <f>IF(A136="","",SUMIF(RawTotals!A$2:A999, C136, RawTotals!AD$2:AD999))</f>
        <v/>
      </c>
      <c r="AA136" s="160" t="str">
        <f>IFERROR(__xludf.DUMMYFUNCTION("IF(A136="""","""",IF(FILTER(RawTotals!K$2:K999,RawTotals!A$2:A999=A136)="""","""",SUMIF(RawTotals!A$2:A999, C136, RawTotals!K$2:K999)))"),"")</f>
        <v/>
      </c>
      <c r="AB136" s="76" t="str">
        <f>IF(A136="","",SUMIF(RawTotals!A$2:A999, C136, RawTotals!E$2:E999))</f>
        <v/>
      </c>
      <c r="AC136" s="76" t="str">
        <f>IF(A136="","",SUMIF(RawTotals!A$2:A999, C136, RawTotals!N$2:N999))</f>
        <v/>
      </c>
      <c r="AD136" s="161" t="str">
        <f>IF(A136="","",SUMIF(RawTotals!A$2:A999, C136, RawTotals!X$2:X999))</f>
        <v/>
      </c>
      <c r="AE136" s="160" t="str">
        <f>IF(A136="","",SUMIF(RawTotals!A$2:A999, C136, RawTotals!R$2:R999))</f>
        <v/>
      </c>
      <c r="AF136" s="76"/>
    </row>
    <row r="137">
      <c r="A137" s="76"/>
      <c r="B137" s="170"/>
      <c r="C137" s="76"/>
      <c r="D137" s="173"/>
      <c r="E137" s="42" t="str">
        <f>IF(A137="","", SUMIF(RawTotals!A$2:A999, C137, RawTotals!AG$2:AG999))</f>
        <v/>
      </c>
      <c r="F137" s="42" t="str">
        <f>IF(A137="","", SUMIF(RawTotals!A$2:A999, C137, RawTotals!AH$2:AH999))</f>
        <v/>
      </c>
      <c r="G137" s="175"/>
      <c r="H137" s="173"/>
      <c r="I137" s="156" t="str">
        <f>IF(A137="","",SUMIF(RawTotals!A$2:A999, C137, RawTotals!M$2:M999))</f>
        <v/>
      </c>
      <c r="J137" s="157" t="str">
        <f>IF(A137="","", SUMIF(RawTotals!A$2:A999, C137, RawTotals!AC$2:AC999))</f>
        <v/>
      </c>
      <c r="K137" s="173"/>
      <c r="L137" s="76"/>
      <c r="M137" s="76"/>
      <c r="N137" s="76"/>
      <c r="O137" s="76"/>
      <c r="P137" s="76"/>
      <c r="Q137" s="76"/>
      <c r="R137" s="76"/>
      <c r="S137" s="76"/>
      <c r="T137" s="76"/>
      <c r="U137" s="76"/>
      <c r="V137" s="76"/>
      <c r="W137" s="76"/>
      <c r="X137" s="76"/>
      <c r="Y137" s="76"/>
      <c r="Z137" s="160" t="str">
        <f>IF(A137="","",SUMIF(RawTotals!A$2:A999, C137, RawTotals!AD$2:AD999))</f>
        <v/>
      </c>
      <c r="AA137" s="160" t="str">
        <f>IFERROR(__xludf.DUMMYFUNCTION("IF(A137="""","""",IF(FILTER(RawTotals!K$2:K999,RawTotals!A$2:A999=A137)="""","""",SUMIF(RawTotals!A$2:A999, C137, RawTotals!K$2:K999)))"),"")</f>
        <v/>
      </c>
      <c r="AB137" s="76" t="str">
        <f>IF(A137="","",SUMIF(RawTotals!A$2:A999, C137, RawTotals!E$2:E999))</f>
        <v/>
      </c>
      <c r="AC137" s="76" t="str">
        <f>IF(A137="","",SUMIF(RawTotals!A$2:A999, C137, RawTotals!N$2:N999))</f>
        <v/>
      </c>
      <c r="AD137" s="161" t="str">
        <f>IF(A137="","",SUMIF(RawTotals!A$2:A999, C137, RawTotals!X$2:X999))</f>
        <v/>
      </c>
      <c r="AE137" s="160" t="str">
        <f>IF(A137="","",SUMIF(RawTotals!A$2:A999, C137, RawTotals!R$2:R999))</f>
        <v/>
      </c>
      <c r="AF137" s="76"/>
    </row>
    <row r="138">
      <c r="A138" s="76"/>
      <c r="B138" s="170"/>
      <c r="C138" s="76"/>
      <c r="D138" s="173"/>
      <c r="E138" s="42" t="str">
        <f>IF(A138="","", SUMIF(RawTotals!A$2:A999, C138, RawTotals!AG$2:AG999))</f>
        <v/>
      </c>
      <c r="F138" s="42" t="str">
        <f>IF(A138="","", SUMIF(RawTotals!A$2:A999, C138, RawTotals!AH$2:AH999))</f>
        <v/>
      </c>
      <c r="G138" s="175"/>
      <c r="H138" s="173"/>
      <c r="I138" s="156" t="str">
        <f>IF(A138="","",SUMIF(RawTotals!A$2:A999, C138, RawTotals!M$2:M999))</f>
        <v/>
      </c>
      <c r="J138" s="157" t="str">
        <f>IF(A138="","", SUMIF(RawTotals!A$2:A999, C138, RawTotals!AC$2:AC999))</f>
        <v/>
      </c>
      <c r="K138" s="173"/>
      <c r="L138" s="76"/>
      <c r="M138" s="76"/>
      <c r="N138" s="76"/>
      <c r="O138" s="76"/>
      <c r="P138" s="76"/>
      <c r="Q138" s="76"/>
      <c r="R138" s="76"/>
      <c r="S138" s="76"/>
      <c r="T138" s="76"/>
      <c r="U138" s="76"/>
      <c r="V138" s="76"/>
      <c r="W138" s="76"/>
      <c r="X138" s="76"/>
      <c r="Y138" s="76"/>
      <c r="Z138" s="160" t="str">
        <f>IF(A138="","",SUMIF(RawTotals!A$2:A999, C138, RawTotals!AD$2:AD999))</f>
        <v/>
      </c>
      <c r="AA138" s="160" t="str">
        <f>IFERROR(__xludf.DUMMYFUNCTION("IF(A138="""","""",IF(FILTER(RawTotals!K$2:K999,RawTotals!A$2:A999=A138)="""","""",SUMIF(RawTotals!A$2:A999, C138, RawTotals!K$2:K999)))"),"")</f>
        <v/>
      </c>
      <c r="AB138" s="76" t="str">
        <f>IF(A138="","",SUMIF(RawTotals!A$2:A999, C138, RawTotals!E$2:E999))</f>
        <v/>
      </c>
      <c r="AC138" s="76" t="str">
        <f>IF(A138="","",SUMIF(RawTotals!A$2:A999, C138, RawTotals!N$2:N999))</f>
        <v/>
      </c>
      <c r="AD138" s="161" t="str">
        <f>IF(A138="","",SUMIF(RawTotals!A$2:A999, C138, RawTotals!X$2:X999))</f>
        <v/>
      </c>
      <c r="AE138" s="160" t="str">
        <f>IF(A138="","",SUMIF(RawTotals!A$2:A999, C138, RawTotals!R$2:R999))</f>
        <v/>
      </c>
      <c r="AF138" s="76"/>
    </row>
    <row r="139">
      <c r="A139" s="76"/>
      <c r="B139" s="170"/>
      <c r="C139" s="76"/>
      <c r="D139" s="173"/>
      <c r="E139" s="42" t="str">
        <f>IF(A139="","", SUMIF(RawTotals!A$2:A999, C139, RawTotals!AG$2:AG999))</f>
        <v/>
      </c>
      <c r="F139" s="42" t="str">
        <f>IF(A139="","", SUMIF(RawTotals!A$2:A999, C139, RawTotals!AH$2:AH999))</f>
        <v/>
      </c>
      <c r="G139" s="175"/>
      <c r="H139" s="173"/>
      <c r="I139" s="156" t="str">
        <f>IF(A139="","",SUMIF(RawTotals!A$2:A999, C139, RawTotals!M$2:M999))</f>
        <v/>
      </c>
      <c r="J139" s="157" t="str">
        <f>IF(A139="","", SUMIF(RawTotals!A$2:A999, C139, RawTotals!AC$2:AC999))</f>
        <v/>
      </c>
      <c r="K139" s="173"/>
      <c r="L139" s="76"/>
      <c r="M139" s="76"/>
      <c r="N139" s="76"/>
      <c r="O139" s="76"/>
      <c r="P139" s="76"/>
      <c r="Q139" s="76"/>
      <c r="R139" s="76"/>
      <c r="S139" s="76"/>
      <c r="T139" s="76"/>
      <c r="U139" s="76"/>
      <c r="V139" s="76"/>
      <c r="W139" s="76"/>
      <c r="X139" s="76"/>
      <c r="Y139" s="76"/>
      <c r="Z139" s="160" t="str">
        <f>IF(A139="","",SUMIF(RawTotals!A$2:A999, C139, RawTotals!AD$2:AD999))</f>
        <v/>
      </c>
      <c r="AA139" s="160" t="str">
        <f>IFERROR(__xludf.DUMMYFUNCTION("IF(A139="""","""",IF(FILTER(RawTotals!K$2:K999,RawTotals!A$2:A999=A139)="""","""",SUMIF(RawTotals!A$2:A999, C139, RawTotals!K$2:K999)))"),"")</f>
        <v/>
      </c>
      <c r="AB139" s="76" t="str">
        <f>IF(A139="","",SUMIF(RawTotals!A$2:A999, C139, RawTotals!E$2:E999))</f>
        <v/>
      </c>
      <c r="AC139" s="76" t="str">
        <f>IF(A139="","",SUMIF(RawTotals!A$2:A999, C139, RawTotals!N$2:N999))</f>
        <v/>
      </c>
      <c r="AD139" s="161" t="str">
        <f>IF(A139="","",SUMIF(RawTotals!A$2:A999, C139, RawTotals!X$2:X999))</f>
        <v/>
      </c>
      <c r="AE139" s="160" t="str">
        <f>IF(A139="","",SUMIF(RawTotals!A$2:A999, C139, RawTotals!R$2:R999))</f>
        <v/>
      </c>
      <c r="AF139" s="76"/>
    </row>
    <row r="140">
      <c r="A140" s="76"/>
      <c r="B140" s="170"/>
      <c r="C140" s="76"/>
      <c r="D140" s="173"/>
      <c r="E140" s="42" t="str">
        <f>IF(A140="","", SUMIF(RawTotals!A$2:A999, C140, RawTotals!AG$2:AG999))</f>
        <v/>
      </c>
      <c r="F140" s="42" t="str">
        <f>IF(A140="","", SUMIF(RawTotals!A$2:A999, C140, RawTotals!AH$2:AH999))</f>
        <v/>
      </c>
      <c r="G140" s="175"/>
      <c r="H140" s="173"/>
      <c r="I140" s="156" t="str">
        <f>IF(A140="","",SUMIF(RawTotals!A$2:A999, C140, RawTotals!M$2:M999))</f>
        <v/>
      </c>
      <c r="J140" s="157" t="str">
        <f>IF(A140="","", SUMIF(RawTotals!A$2:A999, C140, RawTotals!AC$2:AC999))</f>
        <v/>
      </c>
      <c r="K140" s="173"/>
      <c r="L140" s="76"/>
      <c r="M140" s="76"/>
      <c r="N140" s="76"/>
      <c r="O140" s="76"/>
      <c r="P140" s="76"/>
      <c r="Q140" s="76"/>
      <c r="R140" s="76"/>
      <c r="S140" s="76"/>
      <c r="T140" s="76"/>
      <c r="U140" s="76"/>
      <c r="V140" s="76"/>
      <c r="W140" s="76"/>
      <c r="X140" s="76"/>
      <c r="Y140" s="76"/>
      <c r="Z140" s="160" t="str">
        <f>IF(A140="","",SUMIF(RawTotals!A$2:A999, C140, RawTotals!AD$2:AD999))</f>
        <v/>
      </c>
      <c r="AA140" s="160" t="str">
        <f>IFERROR(__xludf.DUMMYFUNCTION("IF(A140="""","""",IF(FILTER(RawTotals!K$2:K999,RawTotals!A$2:A999=A140)="""","""",SUMIF(RawTotals!A$2:A999, C140, RawTotals!K$2:K999)))"),"")</f>
        <v/>
      </c>
      <c r="AB140" s="76" t="str">
        <f>IF(A140="","",SUMIF(RawTotals!A$2:A999, C140, RawTotals!E$2:E999))</f>
        <v/>
      </c>
      <c r="AC140" s="76" t="str">
        <f>IF(A140="","",SUMIF(RawTotals!A$2:A999, C140, RawTotals!N$2:N999))</f>
        <v/>
      </c>
      <c r="AD140" s="161" t="str">
        <f>IF(A140="","",SUMIF(RawTotals!A$2:A999, C140, RawTotals!X$2:X999))</f>
        <v/>
      </c>
      <c r="AE140" s="160" t="str">
        <f>IF(A140="","",SUMIF(RawTotals!A$2:A999, C140, RawTotals!R$2:R999))</f>
        <v/>
      </c>
      <c r="AF140" s="76"/>
    </row>
    <row r="141">
      <c r="A141" s="76"/>
      <c r="B141" s="170"/>
      <c r="C141" s="76"/>
      <c r="D141" s="173"/>
      <c r="E141" s="42" t="str">
        <f>IF(A141="","", SUMIF(RawTotals!A$2:A999, C141, RawTotals!AG$2:AG999))</f>
        <v/>
      </c>
      <c r="F141" s="42" t="str">
        <f>IF(A141="","", SUMIF(RawTotals!A$2:A999, C141, RawTotals!AH$2:AH999))</f>
        <v/>
      </c>
      <c r="G141" s="175"/>
      <c r="H141" s="173"/>
      <c r="I141" s="156" t="str">
        <f>IF(A141="","",SUMIF(RawTotals!A$2:A999, C141, RawTotals!M$2:M999))</f>
        <v/>
      </c>
      <c r="J141" s="157" t="str">
        <f>IF(A141="","", SUMIF(RawTotals!A$2:A999, C141, RawTotals!AC$2:AC999))</f>
        <v/>
      </c>
      <c r="K141" s="173"/>
      <c r="L141" s="76"/>
      <c r="M141" s="76"/>
      <c r="N141" s="76"/>
      <c r="O141" s="76"/>
      <c r="P141" s="76"/>
      <c r="Q141" s="76"/>
      <c r="R141" s="76"/>
      <c r="S141" s="76"/>
      <c r="T141" s="76"/>
      <c r="U141" s="76"/>
      <c r="V141" s="76"/>
      <c r="W141" s="76"/>
      <c r="X141" s="76"/>
      <c r="Y141" s="76"/>
      <c r="Z141" s="160" t="str">
        <f>IF(A141="","",SUMIF(RawTotals!A$2:A999, C141, RawTotals!AD$2:AD999))</f>
        <v/>
      </c>
      <c r="AA141" s="160" t="str">
        <f>IFERROR(__xludf.DUMMYFUNCTION("IF(A141="""","""",IF(FILTER(RawTotals!K$2:K999,RawTotals!A$2:A999=A141)="""","""",SUMIF(RawTotals!A$2:A999, C141, RawTotals!K$2:K999)))"),"")</f>
        <v/>
      </c>
      <c r="AB141" s="76" t="str">
        <f>IF(A141="","",SUMIF(RawTotals!A$2:A999, C141, RawTotals!E$2:E999))</f>
        <v/>
      </c>
      <c r="AC141" s="76" t="str">
        <f>IF(A141="","",SUMIF(RawTotals!A$2:A999, C141, RawTotals!N$2:N999))</f>
        <v/>
      </c>
      <c r="AD141" s="161" t="str">
        <f>IF(A141="","",SUMIF(RawTotals!A$2:A999, C141, RawTotals!X$2:X999))</f>
        <v/>
      </c>
      <c r="AE141" s="160" t="str">
        <f>IF(A141="","",SUMIF(RawTotals!A$2:A999, C141, RawTotals!R$2:R999))</f>
        <v/>
      </c>
      <c r="AF141" s="76"/>
    </row>
    <row r="142">
      <c r="A142" s="76"/>
      <c r="B142" s="170"/>
      <c r="C142" s="76"/>
      <c r="D142" s="173"/>
      <c r="E142" s="42" t="str">
        <f>IF(A142="","", SUMIF(RawTotals!A$2:A999, C142, RawTotals!AG$2:AG999))</f>
        <v/>
      </c>
      <c r="F142" s="42" t="str">
        <f>IF(A142="","", SUMIF(RawTotals!A$2:A999, C142, RawTotals!AH$2:AH999))</f>
        <v/>
      </c>
      <c r="G142" s="175"/>
      <c r="H142" s="173"/>
      <c r="I142" s="156" t="str">
        <f>IF(A142="","",SUMIF(RawTotals!A$2:A999, C142, RawTotals!M$2:M999))</f>
        <v/>
      </c>
      <c r="J142" s="157" t="str">
        <f>IF(A142="","", SUMIF(RawTotals!A$2:A999, C142, RawTotals!AC$2:AC999))</f>
        <v/>
      </c>
      <c r="K142" s="173"/>
      <c r="L142" s="76"/>
      <c r="M142" s="76"/>
      <c r="N142" s="76"/>
      <c r="O142" s="76"/>
      <c r="P142" s="76"/>
      <c r="Q142" s="76"/>
      <c r="R142" s="76"/>
      <c r="S142" s="76"/>
      <c r="T142" s="76"/>
      <c r="U142" s="76"/>
      <c r="V142" s="76"/>
      <c r="W142" s="76"/>
      <c r="X142" s="76"/>
      <c r="Y142" s="76"/>
      <c r="Z142" s="160" t="str">
        <f>IF(A142="","",SUMIF(RawTotals!A$2:A999, C142, RawTotals!AD$2:AD999))</f>
        <v/>
      </c>
      <c r="AA142" s="160" t="str">
        <f>IFERROR(__xludf.DUMMYFUNCTION("IF(A142="""","""",IF(FILTER(RawTotals!K$2:K999,RawTotals!A$2:A999=A142)="""","""",SUMIF(RawTotals!A$2:A999, C142, RawTotals!K$2:K999)))"),"")</f>
        <v/>
      </c>
      <c r="AB142" s="76" t="str">
        <f>IF(A142="","",SUMIF(RawTotals!A$2:A999, C142, RawTotals!E$2:E999))</f>
        <v/>
      </c>
      <c r="AC142" s="76" t="str">
        <f>IF(A142="","",SUMIF(RawTotals!A$2:A999, C142, RawTotals!N$2:N999))</f>
        <v/>
      </c>
      <c r="AD142" s="161" t="str">
        <f>IF(A142="","",SUMIF(RawTotals!A$2:A999, C142, RawTotals!X$2:X999))</f>
        <v/>
      </c>
      <c r="AE142" s="160" t="str">
        <f>IF(A142="","",SUMIF(RawTotals!A$2:A999, C142, RawTotals!R$2:R999))</f>
        <v/>
      </c>
      <c r="AF142" s="76"/>
    </row>
    <row r="143">
      <c r="A143" s="76"/>
      <c r="B143" s="170"/>
      <c r="C143" s="76"/>
      <c r="D143" s="173"/>
      <c r="E143" s="42" t="str">
        <f>IF(A143="","", SUMIF(RawTotals!A$2:A999, C143, RawTotals!AG$2:AG999))</f>
        <v/>
      </c>
      <c r="F143" s="42" t="str">
        <f>IF(A143="","", SUMIF(RawTotals!A$2:A999, C143, RawTotals!AH$2:AH999))</f>
        <v/>
      </c>
      <c r="G143" s="175"/>
      <c r="H143" s="173"/>
      <c r="I143" s="156" t="str">
        <f>IF(A143="","",SUMIF(RawTotals!A$2:A999, C143, RawTotals!M$2:M999))</f>
        <v/>
      </c>
      <c r="J143" s="157" t="str">
        <f>IF(A143="","", SUMIF(RawTotals!A$2:A999, C143, RawTotals!AC$2:AC999))</f>
        <v/>
      </c>
      <c r="K143" s="173"/>
      <c r="L143" s="76"/>
      <c r="M143" s="76"/>
      <c r="N143" s="76"/>
      <c r="O143" s="76"/>
      <c r="P143" s="76"/>
      <c r="Q143" s="76"/>
      <c r="R143" s="76"/>
      <c r="S143" s="76"/>
      <c r="T143" s="76"/>
      <c r="U143" s="76"/>
      <c r="V143" s="76"/>
      <c r="W143" s="76"/>
      <c r="X143" s="76"/>
      <c r="Y143" s="76"/>
      <c r="Z143" s="160" t="str">
        <f>IF(A143="","",SUMIF(RawTotals!A$2:A999, C143, RawTotals!AD$2:AD999))</f>
        <v/>
      </c>
      <c r="AA143" s="160" t="str">
        <f>IFERROR(__xludf.DUMMYFUNCTION("IF(A143="""","""",IF(FILTER(RawTotals!K$2:K999,RawTotals!A$2:A999=A143)="""","""",SUMIF(RawTotals!A$2:A999, C143, RawTotals!K$2:K999)))"),"")</f>
        <v/>
      </c>
      <c r="AB143" s="76" t="str">
        <f>IF(A143="","",SUMIF(RawTotals!A$2:A999, C143, RawTotals!E$2:E999))</f>
        <v/>
      </c>
      <c r="AC143" s="76" t="str">
        <f>IF(A143="","",SUMIF(RawTotals!A$2:A999, C143, RawTotals!N$2:N999))</f>
        <v/>
      </c>
      <c r="AD143" s="161" t="str">
        <f>IF(A143="","",SUMIF(RawTotals!A$2:A999, C143, RawTotals!X$2:X999))</f>
        <v/>
      </c>
      <c r="AE143" s="160" t="str">
        <f>IF(A143="","",SUMIF(RawTotals!A$2:A999, C143, RawTotals!R$2:R999))</f>
        <v/>
      </c>
      <c r="AF143" s="76"/>
    </row>
    <row r="144">
      <c r="A144" s="76"/>
      <c r="B144" s="170"/>
      <c r="C144" s="76"/>
      <c r="D144" s="173"/>
      <c r="E144" s="42" t="str">
        <f>IF(A144="","", SUMIF(RawTotals!A$2:A999, C144, RawTotals!AG$2:AG999))</f>
        <v/>
      </c>
      <c r="F144" s="42" t="str">
        <f>IF(A144="","", SUMIF(RawTotals!A$2:A999, C144, RawTotals!AH$2:AH999))</f>
        <v/>
      </c>
      <c r="G144" s="175"/>
      <c r="H144" s="173"/>
      <c r="I144" s="156" t="str">
        <f>IF(A144="","",SUMIF(RawTotals!A$2:A999, C144, RawTotals!M$2:M999))</f>
        <v/>
      </c>
      <c r="J144" s="157" t="str">
        <f>IF(A144="","", SUMIF(RawTotals!A$2:A999, C144, RawTotals!AC$2:AC999))</f>
        <v/>
      </c>
      <c r="K144" s="173"/>
      <c r="L144" s="76"/>
      <c r="M144" s="76"/>
      <c r="N144" s="76"/>
      <c r="O144" s="76"/>
      <c r="P144" s="76"/>
      <c r="Q144" s="76"/>
      <c r="R144" s="76"/>
      <c r="S144" s="76"/>
      <c r="T144" s="76"/>
      <c r="U144" s="76"/>
      <c r="V144" s="76"/>
      <c r="W144" s="76"/>
      <c r="X144" s="76"/>
      <c r="Y144" s="76"/>
      <c r="Z144" s="160" t="str">
        <f>IF(A144="","",SUMIF(RawTotals!A$2:A999, C144, RawTotals!AD$2:AD999))</f>
        <v/>
      </c>
      <c r="AA144" s="160" t="str">
        <f>IFERROR(__xludf.DUMMYFUNCTION("IF(A144="""","""",IF(FILTER(RawTotals!K$2:K999,RawTotals!A$2:A999=A144)="""","""",SUMIF(RawTotals!A$2:A999, C144, RawTotals!K$2:K999)))"),"")</f>
        <v/>
      </c>
      <c r="AB144" s="76" t="str">
        <f>IF(A144="","",SUMIF(RawTotals!A$2:A999, C144, RawTotals!E$2:E999))</f>
        <v/>
      </c>
      <c r="AC144" s="76" t="str">
        <f>IF(A144="","",SUMIF(RawTotals!A$2:A999, C144, RawTotals!N$2:N999))</f>
        <v/>
      </c>
      <c r="AD144" s="161" t="str">
        <f>IF(A144="","",SUMIF(RawTotals!A$2:A999, C144, RawTotals!X$2:X999))</f>
        <v/>
      </c>
      <c r="AE144" s="160" t="str">
        <f>IF(A144="","",SUMIF(RawTotals!A$2:A999, C144, RawTotals!R$2:R999))</f>
        <v/>
      </c>
      <c r="AF144" s="76"/>
    </row>
    <row r="145">
      <c r="A145" s="76"/>
      <c r="B145" s="170"/>
      <c r="C145" s="76"/>
      <c r="D145" s="173"/>
      <c r="E145" s="42" t="str">
        <f>IF(A145="","", SUMIF(RawTotals!A$2:A999, C145, RawTotals!AG$2:AG999))</f>
        <v/>
      </c>
      <c r="F145" s="42" t="str">
        <f>IF(A145="","", SUMIF(RawTotals!A$2:A999, C145, RawTotals!AH$2:AH999))</f>
        <v/>
      </c>
      <c r="G145" s="175"/>
      <c r="H145" s="173"/>
      <c r="I145" s="156" t="str">
        <f>IF(A145="","",SUMIF(RawTotals!A$2:A999, C145, RawTotals!M$2:M999))</f>
        <v/>
      </c>
      <c r="J145" s="157" t="str">
        <f>IF(A145="","", SUMIF(RawTotals!A$2:A999, C145, RawTotals!AC$2:AC999))</f>
        <v/>
      </c>
      <c r="K145" s="173"/>
      <c r="L145" s="76"/>
      <c r="M145" s="76"/>
      <c r="N145" s="76"/>
      <c r="O145" s="76"/>
      <c r="P145" s="76"/>
      <c r="Q145" s="76"/>
      <c r="R145" s="76"/>
      <c r="S145" s="76"/>
      <c r="T145" s="76"/>
      <c r="U145" s="76"/>
      <c r="V145" s="76"/>
      <c r="W145" s="76"/>
      <c r="X145" s="76"/>
      <c r="Y145" s="76"/>
      <c r="Z145" s="160" t="str">
        <f>IF(A145="","",SUMIF(RawTotals!A$2:A999, C145, RawTotals!AD$2:AD999))</f>
        <v/>
      </c>
      <c r="AA145" s="160" t="str">
        <f>IFERROR(__xludf.DUMMYFUNCTION("IF(A145="""","""",IF(FILTER(RawTotals!K$2:K999,RawTotals!A$2:A999=A145)="""","""",SUMIF(RawTotals!A$2:A999, C145, RawTotals!K$2:K999)))"),"")</f>
        <v/>
      </c>
      <c r="AB145" s="76" t="str">
        <f>IF(A145="","",SUMIF(RawTotals!A$2:A999, C145, RawTotals!E$2:E999))</f>
        <v/>
      </c>
      <c r="AC145" s="76" t="str">
        <f>IF(A145="","",SUMIF(RawTotals!A$2:A999, C145, RawTotals!N$2:N999))</f>
        <v/>
      </c>
      <c r="AD145" s="161" t="str">
        <f>IF(A145="","",SUMIF(RawTotals!A$2:A999, C145, RawTotals!X$2:X999))</f>
        <v/>
      </c>
      <c r="AE145" s="160" t="str">
        <f>IF(A145="","",SUMIF(RawTotals!A$2:A999, C145, RawTotals!R$2:R999))</f>
        <v/>
      </c>
      <c r="AF145" s="76"/>
    </row>
    <row r="146">
      <c r="A146" s="76"/>
      <c r="B146" s="170"/>
      <c r="C146" s="76"/>
      <c r="D146" s="173"/>
      <c r="E146" s="42" t="str">
        <f>IF(A146="","", SUMIF(RawTotals!A$2:A999, C146, RawTotals!AG$2:AG999))</f>
        <v/>
      </c>
      <c r="F146" s="42" t="str">
        <f>IF(A146="","", SUMIF(RawTotals!A$2:A999, C146, RawTotals!AH$2:AH999))</f>
        <v/>
      </c>
      <c r="G146" s="175"/>
      <c r="H146" s="173"/>
      <c r="I146" s="156" t="str">
        <f>IF(A146="","",SUMIF(RawTotals!A$2:A999, C146, RawTotals!M$2:M999))</f>
        <v/>
      </c>
      <c r="J146" s="157" t="str">
        <f>IF(A146="","", SUMIF(RawTotals!A$2:A999, C146, RawTotals!AC$2:AC999))</f>
        <v/>
      </c>
      <c r="K146" s="173"/>
      <c r="L146" s="76"/>
      <c r="M146" s="76"/>
      <c r="N146" s="76"/>
      <c r="O146" s="76"/>
      <c r="P146" s="76"/>
      <c r="Q146" s="76"/>
      <c r="R146" s="76"/>
      <c r="S146" s="76"/>
      <c r="T146" s="76"/>
      <c r="U146" s="76"/>
      <c r="V146" s="76"/>
      <c r="W146" s="76"/>
      <c r="X146" s="76"/>
      <c r="Y146" s="76"/>
      <c r="Z146" s="160" t="str">
        <f>IF(A146="","",SUMIF(RawTotals!A$2:A999, C146, RawTotals!AD$2:AD999))</f>
        <v/>
      </c>
      <c r="AA146" s="160" t="str">
        <f>IFERROR(__xludf.DUMMYFUNCTION("IF(A146="""","""",IF(FILTER(RawTotals!K$2:K999,RawTotals!A$2:A999=A146)="""","""",SUMIF(RawTotals!A$2:A999, C146, RawTotals!K$2:K999)))"),"")</f>
        <v/>
      </c>
      <c r="AB146" s="76" t="str">
        <f>IF(A146="","",SUMIF(RawTotals!A$2:A999, C146, RawTotals!E$2:E999))</f>
        <v/>
      </c>
      <c r="AC146" s="76" t="str">
        <f>IF(A146="","",SUMIF(RawTotals!A$2:A999, C146, RawTotals!N$2:N999))</f>
        <v/>
      </c>
      <c r="AD146" s="161" t="str">
        <f>IF(A146="","",SUMIF(RawTotals!A$2:A999, C146, RawTotals!X$2:X999))</f>
        <v/>
      </c>
      <c r="AE146" s="160" t="str">
        <f>IF(A146="","",SUMIF(RawTotals!A$2:A999, C146, RawTotals!R$2:R999))</f>
        <v/>
      </c>
      <c r="AF146" s="76"/>
    </row>
    <row r="147">
      <c r="A147" s="76"/>
      <c r="B147" s="170"/>
      <c r="C147" s="76"/>
      <c r="D147" s="173"/>
      <c r="E147" s="42" t="str">
        <f>IF(A147="","", SUMIF(RawTotals!A$2:A999, C147, RawTotals!AG$2:AG999))</f>
        <v/>
      </c>
      <c r="F147" s="42" t="str">
        <f>IF(A147="","", SUMIF(RawTotals!A$2:A999, C147, RawTotals!AH$2:AH999))</f>
        <v/>
      </c>
      <c r="G147" s="175"/>
      <c r="H147" s="173"/>
      <c r="I147" s="156" t="str">
        <f>IF(A147="","",SUMIF(RawTotals!A$2:A999, C147, RawTotals!M$2:M999))</f>
        <v/>
      </c>
      <c r="J147" s="157" t="str">
        <f>IF(A147="","", SUMIF(RawTotals!A$2:A999, C147, RawTotals!AC$2:AC999))</f>
        <v/>
      </c>
      <c r="K147" s="173"/>
      <c r="L147" s="76"/>
      <c r="M147" s="76"/>
      <c r="N147" s="76"/>
      <c r="O147" s="76"/>
      <c r="P147" s="76"/>
      <c r="Q147" s="76"/>
      <c r="R147" s="76"/>
      <c r="S147" s="76"/>
      <c r="T147" s="76"/>
      <c r="U147" s="76"/>
      <c r="V147" s="76"/>
      <c r="W147" s="76"/>
      <c r="X147" s="76"/>
      <c r="Y147" s="76"/>
      <c r="Z147" s="160" t="str">
        <f>IF(A147="","",SUMIF(RawTotals!A$2:A999, C147, RawTotals!AD$2:AD999))</f>
        <v/>
      </c>
      <c r="AA147" s="160" t="str">
        <f>IFERROR(__xludf.DUMMYFUNCTION("IF(A147="""","""",IF(FILTER(RawTotals!K$2:K999,RawTotals!A$2:A999=A147)="""","""",SUMIF(RawTotals!A$2:A999, C147, RawTotals!K$2:K999)))"),"")</f>
        <v/>
      </c>
      <c r="AB147" s="76" t="str">
        <f>IF(A147="","",SUMIF(RawTotals!A$2:A999, C147, RawTotals!E$2:E999))</f>
        <v/>
      </c>
      <c r="AC147" s="76" t="str">
        <f>IF(A147="","",SUMIF(RawTotals!A$2:A999, C147, RawTotals!N$2:N999))</f>
        <v/>
      </c>
      <c r="AD147" s="161" t="str">
        <f>IF(A147="","",SUMIF(RawTotals!A$2:A999, C147, RawTotals!X$2:X999))</f>
        <v/>
      </c>
      <c r="AE147" s="160" t="str">
        <f>IF(A147="","",SUMIF(RawTotals!A$2:A999, C147, RawTotals!R$2:R999))</f>
        <v/>
      </c>
      <c r="AF147" s="76"/>
    </row>
    <row r="148">
      <c r="A148" s="76"/>
      <c r="B148" s="170"/>
      <c r="C148" s="76"/>
      <c r="D148" s="173"/>
      <c r="E148" s="173"/>
      <c r="F148" s="43" t="str">
        <f t="shared" ref="F148:F156" si="3">IF(A148="","",(((Z148)*$P$14)+((AA148)*$P$15)+(AB148*$P$16)+(AC148*$P$17)+(AD148*$P$18)+(AE148*$P$19)))</f>
        <v/>
      </c>
      <c r="G148" s="175"/>
      <c r="H148" s="173"/>
      <c r="I148" s="156" t="str">
        <f>IF(A148="","",SUMIF(RawTotals!A$2:A999, C148, RawTotals!M$2:M999))</f>
        <v/>
      </c>
      <c r="J148" s="157" t="str">
        <f>IF(A148="","", SUMIF(RawTotals!A$2:A999, C148, RawTotals!AC$2:AC999))</f>
        <v/>
      </c>
      <c r="K148" s="173"/>
      <c r="L148" s="76"/>
      <c r="M148" s="76"/>
      <c r="N148" s="76"/>
      <c r="O148" s="76"/>
      <c r="P148" s="76"/>
      <c r="Q148" s="76"/>
      <c r="R148" s="76"/>
      <c r="S148" s="76"/>
      <c r="T148" s="76"/>
      <c r="U148" s="76"/>
      <c r="V148" s="76"/>
      <c r="W148" s="76"/>
      <c r="X148" s="76"/>
      <c r="Y148" s="76"/>
      <c r="Z148" s="160" t="str">
        <f>IF(A148="","",SUMIF(RawTotals!A$2:A999, C148, RawTotals!AD$2:AD999))</f>
        <v/>
      </c>
      <c r="AA148" s="160" t="str">
        <f>IFERROR(__xludf.DUMMYFUNCTION("IF(A148="""","""",IF(FILTER(RawTotals!K$2:K999,RawTotals!A$2:A999=A148)="""","""",SUMIF(RawTotals!A$2:A999, C148, RawTotals!K$2:K999)))"),"")</f>
        <v/>
      </c>
      <c r="AB148" s="76" t="str">
        <f>IF(A148="","",SUMIF(RawTotals!A$2:A999, C148, RawTotals!E$2:E999))</f>
        <v/>
      </c>
      <c r="AC148" s="76" t="str">
        <f>IF(A148="","",SUMIF(RawTotals!A$2:A999, C148, RawTotals!N$2:N999))</f>
        <v/>
      </c>
      <c r="AD148" s="161" t="str">
        <f>IF(A148="","",SUMIF(RawTotals!A$2:A999, C148, RawTotals!X$2:X999))</f>
        <v/>
      </c>
      <c r="AE148" s="160" t="str">
        <f>IF(A148="","",SUMIF(RawTotals!A$2:A999, C148, RawTotals!R$2:R999))</f>
        <v/>
      </c>
      <c r="AF148" s="76"/>
    </row>
    <row r="149">
      <c r="A149" s="76"/>
      <c r="B149" s="170"/>
      <c r="C149" s="76"/>
      <c r="D149" s="173"/>
      <c r="E149" s="173"/>
      <c r="F149" s="43" t="str">
        <f t="shared" si="3"/>
        <v/>
      </c>
      <c r="G149" s="175"/>
      <c r="H149" s="173"/>
      <c r="I149" s="156" t="str">
        <f>IF(A149="","",SUMIF(RawTotals!A$2:A999, C149, RawTotals!M$2:M999))</f>
        <v/>
      </c>
      <c r="J149" s="157" t="str">
        <f>IF(A149="","", SUMIF(RawTotals!A$2:A999, C149, RawTotals!AC$2:AC999))</f>
        <v/>
      </c>
      <c r="K149" s="173"/>
      <c r="L149" s="76"/>
      <c r="M149" s="76"/>
      <c r="N149" s="76"/>
      <c r="O149" s="76"/>
      <c r="P149" s="76"/>
      <c r="Q149" s="76"/>
      <c r="R149" s="76"/>
      <c r="S149" s="76"/>
      <c r="T149" s="76"/>
      <c r="U149" s="76"/>
      <c r="V149" s="76"/>
      <c r="W149" s="76"/>
      <c r="X149" s="76"/>
      <c r="Y149" s="76"/>
      <c r="Z149" s="160" t="str">
        <f>IF(A149="","",SUMIF(RawTotals!A$2:A999, C149, RawTotals!AD$2:AD999))</f>
        <v/>
      </c>
      <c r="AA149" s="160" t="str">
        <f>IFERROR(__xludf.DUMMYFUNCTION("IF(A149="""","""",IF(FILTER(RawTotals!K$2:K999,RawTotals!A$2:A999=A149)="""","""",SUMIF(RawTotals!A$2:A999, C149, RawTotals!K$2:K999)))"),"")</f>
        <v/>
      </c>
      <c r="AB149" s="76" t="str">
        <f>IF(A149="","",SUMIF(RawTotals!A$2:A999, C149, RawTotals!E$2:E999))</f>
        <v/>
      </c>
      <c r="AC149" s="76" t="str">
        <f>IF(A149="","",SUMIF(RawTotals!A$2:A999, C149, RawTotals!N$2:N999))</f>
        <v/>
      </c>
      <c r="AD149" s="161" t="str">
        <f>IF(A149="","",SUMIF(RawTotals!A$2:A999, C149, RawTotals!X$2:X999))</f>
        <v/>
      </c>
      <c r="AE149" s="160" t="str">
        <f>IF(A149="","",SUMIF(RawTotals!A$2:A999, C149, RawTotals!R$2:R999))</f>
        <v/>
      </c>
      <c r="AF149" s="76"/>
    </row>
    <row r="150">
      <c r="A150" s="76"/>
      <c r="B150" s="170"/>
      <c r="C150" s="76"/>
      <c r="D150" s="173"/>
      <c r="E150" s="173"/>
      <c r="F150" s="43" t="str">
        <f t="shared" si="3"/>
        <v/>
      </c>
      <c r="G150" s="175"/>
      <c r="H150" s="173"/>
      <c r="I150" s="156" t="str">
        <f>IF(A150="","",SUMIF(RawTotals!A$2:A999, C150, RawTotals!M$2:M999))</f>
        <v/>
      </c>
      <c r="J150" s="157" t="str">
        <f>IF(A150="","", SUMIF(RawTotals!A$2:A999, C150, RawTotals!AC$2:AC999))</f>
        <v/>
      </c>
      <c r="K150" s="173"/>
      <c r="L150" s="76"/>
      <c r="M150" s="76"/>
      <c r="N150" s="76"/>
      <c r="O150" s="76"/>
      <c r="P150" s="76"/>
      <c r="Q150" s="76"/>
      <c r="R150" s="76"/>
      <c r="S150" s="76"/>
      <c r="T150" s="76"/>
      <c r="U150" s="76"/>
      <c r="V150" s="76"/>
      <c r="W150" s="76"/>
      <c r="X150" s="76"/>
      <c r="Y150" s="76"/>
      <c r="Z150" s="160" t="str">
        <f>IF(A150="","",SUMIF(RawTotals!A$2:A999, C150, RawTotals!AD$2:AD999))</f>
        <v/>
      </c>
      <c r="AA150" s="160" t="str">
        <f>IFERROR(__xludf.DUMMYFUNCTION("IF(A150="""","""",IF(FILTER(RawTotals!K$2:K999,RawTotals!A$2:A999=A150)="""","""",SUMIF(RawTotals!A$2:A999, C150, RawTotals!K$2:K999)))"),"")</f>
        <v/>
      </c>
      <c r="AB150" s="76" t="str">
        <f>IF(A150="","",SUMIF(RawTotals!A$2:A999, C150, RawTotals!E$2:E999))</f>
        <v/>
      </c>
      <c r="AC150" s="76" t="str">
        <f>IF(A150="","",SUMIF(RawTotals!A$2:A999, C150, RawTotals!N$2:N999))</f>
        <v/>
      </c>
      <c r="AD150" s="161" t="str">
        <f>IF(A150="","",SUMIF(RawTotals!A$2:A999, C150, RawTotals!X$2:X999))</f>
        <v/>
      </c>
      <c r="AE150" s="160" t="str">
        <f>IF(A150="","",SUMIF(RawTotals!A$2:A999, C150, RawTotals!R$2:R999))</f>
        <v/>
      </c>
      <c r="AF150" s="76"/>
    </row>
    <row r="151">
      <c r="A151" s="76"/>
      <c r="B151" s="170"/>
      <c r="C151" s="76"/>
      <c r="D151" s="173"/>
      <c r="E151" s="173"/>
      <c r="F151" s="43" t="str">
        <f t="shared" si="3"/>
        <v/>
      </c>
      <c r="G151" s="175"/>
      <c r="H151" s="173"/>
      <c r="I151" s="156" t="str">
        <f>IF(A151="","",SUMIF(RawTotals!A$2:A999, C151, RawTotals!M$2:M999))</f>
        <v/>
      </c>
      <c r="J151" s="157" t="str">
        <f>IF(A151="","", SUMIF(RawTotals!A$2:A999, C151, RawTotals!AC$2:AC999))</f>
        <v/>
      </c>
      <c r="K151" s="173"/>
      <c r="L151" s="76"/>
      <c r="M151" s="76"/>
      <c r="N151" s="76"/>
      <c r="O151" s="76"/>
      <c r="P151" s="76"/>
      <c r="Q151" s="76"/>
      <c r="R151" s="76"/>
      <c r="S151" s="76"/>
      <c r="T151" s="76"/>
      <c r="U151" s="76"/>
      <c r="V151" s="76"/>
      <c r="W151" s="76"/>
      <c r="X151" s="76"/>
      <c r="Y151" s="76"/>
      <c r="Z151" s="160" t="str">
        <f>IF(A151="","",SUMIF(RawTotals!A$2:A999, C151, RawTotals!AD$2:AD999))</f>
        <v/>
      </c>
      <c r="AA151" s="160" t="str">
        <f>IFERROR(__xludf.DUMMYFUNCTION("IF(A151="""","""",IF(FILTER(RawTotals!K$2:K999,RawTotals!A$2:A999=A151)="""","""",SUMIF(RawTotals!A$2:A999, C151, RawTotals!K$2:K999)))"),"")</f>
        <v/>
      </c>
      <c r="AB151" s="76" t="str">
        <f>IF(A151="","",SUMIF(RawTotals!A$2:A999, C151, RawTotals!E$2:E999))</f>
        <v/>
      </c>
      <c r="AC151" s="76" t="str">
        <f>IF(A151="","",SUMIF(RawTotals!A$2:A999, C151, RawTotals!N$2:N999))</f>
        <v/>
      </c>
      <c r="AD151" s="161" t="str">
        <f>IF(A151="","",SUMIF(RawTotals!A$2:A999, C151, RawTotals!X$2:X999))</f>
        <v/>
      </c>
      <c r="AE151" s="160" t="str">
        <f>IF(A151="","",SUMIF(RawTotals!A$2:A999, C151, RawTotals!R$2:R999))</f>
        <v/>
      </c>
      <c r="AF151" s="76"/>
    </row>
    <row r="152">
      <c r="A152" s="76"/>
      <c r="B152" s="170"/>
      <c r="C152" s="76"/>
      <c r="D152" s="173"/>
      <c r="E152" s="173"/>
      <c r="F152" s="43" t="str">
        <f t="shared" si="3"/>
        <v/>
      </c>
      <c r="G152" s="175"/>
      <c r="H152" s="173"/>
      <c r="I152" s="156" t="str">
        <f>IF(A152="","",SUMIF(RawTotals!A$2:A999, C152, RawTotals!M$2:M999))</f>
        <v/>
      </c>
      <c r="J152" s="157" t="str">
        <f>IF(A152="","", SUMIF(RawTotals!A$2:A999, C152, RawTotals!AC$2:AC999))</f>
        <v/>
      </c>
      <c r="K152" s="173"/>
      <c r="L152" s="76"/>
      <c r="M152" s="76"/>
      <c r="N152" s="76"/>
      <c r="O152" s="76"/>
      <c r="P152" s="76"/>
      <c r="Q152" s="76"/>
      <c r="R152" s="76"/>
      <c r="S152" s="76"/>
      <c r="T152" s="76"/>
      <c r="U152" s="76"/>
      <c r="V152" s="76"/>
      <c r="W152" s="76"/>
      <c r="X152" s="76"/>
      <c r="Y152" s="76"/>
      <c r="Z152" s="160" t="str">
        <f>IF(A152="","",SUMIF(RawTotals!A$2:A999, C152, RawTotals!AD$2:AD999))</f>
        <v/>
      </c>
      <c r="AA152" s="160" t="str">
        <f>IFERROR(__xludf.DUMMYFUNCTION("IF(A152="""","""",IF(FILTER(RawTotals!K$2:K999,RawTotals!A$2:A999=A152)="""","""",SUMIF(RawTotals!A$2:A999, C152, RawTotals!K$2:K999)))"),"")</f>
        <v/>
      </c>
      <c r="AB152" s="76" t="str">
        <f>IF(A152="","",SUMIF(RawTotals!A$2:A999, C152, RawTotals!E$2:E999))</f>
        <v/>
      </c>
      <c r="AC152" s="76" t="str">
        <f>IF(A152="","",SUMIF(RawTotals!A$2:A999, C152, RawTotals!N$2:N999))</f>
        <v/>
      </c>
      <c r="AD152" s="161" t="str">
        <f>IF(A152="","",SUMIF(RawTotals!A$2:A999, C152, RawTotals!X$2:X999))</f>
        <v/>
      </c>
      <c r="AE152" s="160" t="str">
        <f>IF(A152="","",SUMIF(RawTotals!A$2:A999, C152, RawTotals!R$2:R999))</f>
        <v/>
      </c>
      <c r="AF152" s="76"/>
    </row>
    <row r="153">
      <c r="A153" s="76"/>
      <c r="B153" s="170"/>
      <c r="C153" s="76"/>
      <c r="D153" s="173"/>
      <c r="E153" s="173"/>
      <c r="F153" s="43" t="str">
        <f t="shared" si="3"/>
        <v/>
      </c>
      <c r="G153" s="175"/>
      <c r="H153" s="173"/>
      <c r="I153" s="156" t="str">
        <f>IF(A153="","",SUMIF(RawTotals!A$2:A999, C153, RawTotals!M$2:M999))</f>
        <v/>
      </c>
      <c r="J153" s="157" t="str">
        <f>IF(A153="","", SUMIF(RawTotals!A$2:A999, C153, RawTotals!AC$2:AC999))</f>
        <v/>
      </c>
      <c r="K153" s="173"/>
      <c r="L153" s="76"/>
      <c r="M153" s="76"/>
      <c r="N153" s="76"/>
      <c r="O153" s="76"/>
      <c r="P153" s="76"/>
      <c r="Q153" s="76"/>
      <c r="R153" s="76"/>
      <c r="S153" s="76"/>
      <c r="T153" s="76"/>
      <c r="U153" s="76"/>
      <c r="V153" s="76"/>
      <c r="W153" s="76"/>
      <c r="X153" s="76"/>
      <c r="Y153" s="76"/>
      <c r="Z153" s="160" t="str">
        <f>IF(A153="","",SUMIF(RawTotals!A$2:A999, C153, RawTotals!AD$2:AD999))</f>
        <v/>
      </c>
      <c r="AA153" s="160" t="str">
        <f>IFERROR(__xludf.DUMMYFUNCTION("IF(A153="""","""",IF(FILTER(RawTotals!K$2:K999,RawTotals!A$2:A999=A153)="""","""",SUMIF(RawTotals!A$2:A999, C153, RawTotals!K$2:K999)))"),"")</f>
        <v/>
      </c>
      <c r="AB153" s="76" t="str">
        <f>IF(A153="","",SUMIF(RawTotals!A$2:A999, C153, RawTotals!E$2:E999))</f>
        <v/>
      </c>
      <c r="AC153" s="76" t="str">
        <f>IF(A153="","",SUMIF(RawTotals!A$2:A999, C153, RawTotals!N$2:N999))</f>
        <v/>
      </c>
      <c r="AD153" s="161" t="str">
        <f>IF(A153="","",SUMIF(RawTotals!A$2:A999, C153, RawTotals!X$2:X999))</f>
        <v/>
      </c>
      <c r="AE153" s="160" t="str">
        <f>IF(A153="","",SUMIF(RawTotals!A$2:A999, C153, RawTotals!R$2:R999))</f>
        <v/>
      </c>
      <c r="AF153" s="76"/>
    </row>
    <row r="154">
      <c r="A154" s="76"/>
      <c r="B154" s="170"/>
      <c r="C154" s="76"/>
      <c r="D154" s="173"/>
      <c r="E154" s="173"/>
      <c r="F154" s="43" t="str">
        <f t="shared" si="3"/>
        <v/>
      </c>
      <c r="G154" s="175"/>
      <c r="H154" s="173"/>
      <c r="I154" s="156" t="str">
        <f>IF(A154="","",SUMIF(RawTotals!A$2:A999, C154, RawTotals!M$2:M999))</f>
        <v/>
      </c>
      <c r="J154" s="157" t="str">
        <f>IF(A154="","", SUMIF(RawTotals!A$2:A999, C154, RawTotals!AC$2:AC999))</f>
        <v/>
      </c>
      <c r="K154" s="173"/>
      <c r="L154" s="76"/>
      <c r="M154" s="76"/>
      <c r="N154" s="76"/>
      <c r="O154" s="76"/>
      <c r="P154" s="76"/>
      <c r="Q154" s="76"/>
      <c r="R154" s="76"/>
      <c r="S154" s="76"/>
      <c r="T154" s="76"/>
      <c r="U154" s="76"/>
      <c r="V154" s="76"/>
      <c r="W154" s="76"/>
      <c r="X154" s="76"/>
      <c r="Y154" s="76"/>
      <c r="Z154" s="160" t="str">
        <f>IF(A154="","",SUMIF(RawTotals!A$2:A999, C154, RawTotals!AD$2:AD999))</f>
        <v/>
      </c>
      <c r="AA154" s="160" t="str">
        <f>IFERROR(__xludf.DUMMYFUNCTION("IF(A154="""","""",IF(FILTER(RawTotals!K$2:K999,RawTotals!A$2:A999=A154)="""","""",SUMIF(RawTotals!A$2:A999, C154, RawTotals!K$2:K999)))"),"")</f>
        <v/>
      </c>
      <c r="AB154" s="76" t="str">
        <f>IF(A154="","",SUMIF(RawTotals!A$2:A999, C154, RawTotals!E$2:E999))</f>
        <v/>
      </c>
      <c r="AC154" s="76" t="str">
        <f>IF(A154="","",SUMIF(RawTotals!A$2:A999, C154, RawTotals!N$2:N999))</f>
        <v/>
      </c>
      <c r="AD154" s="161" t="str">
        <f>IF(A154="","",SUMIF(RawTotals!A$2:A999, C154, RawTotals!X$2:X999))</f>
        <v/>
      </c>
      <c r="AE154" s="160" t="str">
        <f>IF(A154="","",SUMIF(RawTotals!A$2:A999, C154, RawTotals!R$2:R999))</f>
        <v/>
      </c>
      <c r="AF154" s="76"/>
    </row>
    <row r="155">
      <c r="A155" s="76"/>
      <c r="B155" s="170"/>
      <c r="C155" s="76"/>
      <c r="D155" s="173"/>
      <c r="E155" s="173"/>
      <c r="F155" s="43" t="str">
        <f t="shared" si="3"/>
        <v/>
      </c>
      <c r="G155" s="175"/>
      <c r="H155" s="173"/>
      <c r="I155" s="156" t="str">
        <f>IF(A155="","",SUMIF(RawTotals!A$2:A999, C155, RawTotals!M$2:M999))</f>
        <v/>
      </c>
      <c r="J155" s="157" t="str">
        <f>IF(A155="","", SUMIF(RawTotals!A$2:A999, C155, RawTotals!AC$2:AC999))</f>
        <v/>
      </c>
      <c r="K155" s="173"/>
      <c r="L155" s="76"/>
      <c r="M155" s="76"/>
      <c r="N155" s="76"/>
      <c r="O155" s="76"/>
      <c r="P155" s="76"/>
      <c r="Q155" s="76"/>
      <c r="R155" s="76"/>
      <c r="S155" s="76"/>
      <c r="T155" s="76"/>
      <c r="U155" s="76"/>
      <c r="V155" s="76"/>
      <c r="W155" s="76"/>
      <c r="X155" s="76"/>
      <c r="Y155" s="76"/>
      <c r="Z155" s="160" t="str">
        <f>IF(A155="","",SUMIF(RawTotals!A$2:A999, C155, RawTotals!AD$2:AD999))</f>
        <v/>
      </c>
      <c r="AA155" s="160" t="str">
        <f>IFERROR(__xludf.DUMMYFUNCTION("IF(A155="""","""",IF(FILTER(RawTotals!K$2:K999,RawTotals!A$2:A999=A155)="""","""",SUMIF(RawTotals!A$2:A999, C155, RawTotals!K$2:K999)))"),"")</f>
        <v/>
      </c>
      <c r="AB155" s="76" t="str">
        <f>IF(A155="","",SUMIF(RawTotals!A$2:A999, C155, RawTotals!E$2:E999))</f>
        <v/>
      </c>
      <c r="AC155" s="76" t="str">
        <f>IF(A155="","",SUMIF(RawTotals!A$2:A999, C155, RawTotals!N$2:N999))</f>
        <v/>
      </c>
      <c r="AD155" s="161" t="str">
        <f>IF(A155="","",SUMIF(RawTotals!A$2:A999, C155, RawTotals!X$2:X999))</f>
        <v/>
      </c>
      <c r="AE155" s="160" t="str">
        <f>IF(A155="","",SUMIF(RawTotals!A$2:A999, C155, RawTotals!R$2:R999))</f>
        <v/>
      </c>
      <c r="AF155" s="76"/>
    </row>
    <row r="156">
      <c r="A156" s="76"/>
      <c r="B156" s="170"/>
      <c r="C156" s="76"/>
      <c r="D156" s="173"/>
      <c r="E156" s="173"/>
      <c r="F156" s="43" t="str">
        <f t="shared" si="3"/>
        <v/>
      </c>
      <c r="G156" s="175"/>
      <c r="H156" s="173"/>
      <c r="I156" s="156" t="str">
        <f>IF(A156="","",SUMIF(RawTotals!A$2:A999, C156, RawTotals!M$2:M999))</f>
        <v/>
      </c>
      <c r="J156" s="157" t="str">
        <f>IF(A156="","", SUMIF(RawTotals!A$2:A999, C156, RawTotals!AC$2:AC999))</f>
        <v/>
      </c>
      <c r="K156" s="173"/>
      <c r="L156" s="76"/>
      <c r="M156" s="76"/>
      <c r="N156" s="76"/>
      <c r="O156" s="76"/>
      <c r="P156" s="76"/>
      <c r="Q156" s="76"/>
      <c r="R156" s="76"/>
      <c r="S156" s="76"/>
      <c r="T156" s="76"/>
      <c r="U156" s="76"/>
      <c r="V156" s="76"/>
      <c r="W156" s="76"/>
      <c r="X156" s="76"/>
      <c r="Y156" s="76"/>
      <c r="Z156" s="160" t="str">
        <f>IF(A156="","",SUMIF(RawTotals!A$2:A999, C156, RawTotals!AD$2:AD999))</f>
        <v/>
      </c>
      <c r="AA156" s="160" t="str">
        <f>IFERROR(__xludf.DUMMYFUNCTION("IF(A156="""","""",IF(FILTER(RawTotals!K$2:K999,RawTotals!A$2:A999=A156)="""","""",SUMIF(RawTotals!A$2:A999, C156, RawTotals!K$2:K999)))"),"")</f>
        <v/>
      </c>
      <c r="AB156" s="76" t="str">
        <f>IF(A156="","",SUMIF(RawTotals!A$2:A999, C156, RawTotals!E$2:E999))</f>
        <v/>
      </c>
      <c r="AC156" s="76" t="str">
        <f>IF(A156="","",SUMIF(RawTotals!A$2:A999, C156, RawTotals!N$2:N999))</f>
        <v/>
      </c>
      <c r="AD156" s="161" t="str">
        <f>IF(A156="","",SUMIF(RawTotals!A$2:A999, C156, RawTotals!X$2:X999))</f>
        <v/>
      </c>
      <c r="AE156" s="160" t="str">
        <f>IF(A156="","",SUMIF(RawTotals!A$2:A999, C156, RawTotals!R$2:R999))</f>
        <v/>
      </c>
      <c r="AF156" s="76"/>
    </row>
    <row r="157">
      <c r="A157" s="76"/>
      <c r="B157" s="170"/>
      <c r="C157" s="76"/>
      <c r="D157" s="173"/>
      <c r="E157" s="173"/>
      <c r="F157" s="173"/>
      <c r="G157" s="175"/>
      <c r="H157" s="173"/>
      <c r="I157" s="156" t="str">
        <f>IF(A157="","",SUMIF(RawTotals!A$2:A999, C157, RawTotals!M$2:M999))</f>
        <v/>
      </c>
      <c r="J157" s="157" t="str">
        <f>IF(A157="","", SUMIF(RawTotals!A$2:A999, C157, RawTotals!AC$2:AC999))</f>
        <v/>
      </c>
      <c r="K157" s="173"/>
      <c r="L157" s="76"/>
      <c r="M157" s="76"/>
      <c r="N157" s="76"/>
      <c r="O157" s="76"/>
      <c r="P157" s="76"/>
      <c r="Q157" s="76"/>
      <c r="R157" s="76"/>
      <c r="S157" s="76"/>
      <c r="T157" s="76"/>
      <c r="U157" s="76"/>
      <c r="V157" s="76"/>
      <c r="W157" s="76"/>
      <c r="X157" s="76"/>
      <c r="Y157" s="76"/>
      <c r="Z157" s="160" t="str">
        <f>IF(A157="","",SUMIF(RawTotals!A$2:A999, C157, RawTotals!AD$2:AD999))</f>
        <v/>
      </c>
      <c r="AA157" s="160" t="str">
        <f>IFERROR(__xludf.DUMMYFUNCTION("IF(A157="""","""",IF(FILTER(RawTotals!K$2:K999,RawTotals!A$2:A999=A157)="""","""",SUMIF(RawTotals!A$2:A999, C157, RawTotals!K$2:K999)))"),"")</f>
        <v/>
      </c>
      <c r="AB157" s="76" t="str">
        <f>IF(A157="","",SUMIF(RawTotals!A$2:A999, C157, RawTotals!E$2:E999))</f>
        <v/>
      </c>
      <c r="AC157" s="76" t="str">
        <f>IF(A157="","",SUMIF(RawTotals!A$2:A999, C157, RawTotals!N$2:N999))</f>
        <v/>
      </c>
      <c r="AD157" s="161" t="str">
        <f>IF(A157="","",SUMIF(RawTotals!A$2:A999, C157, RawTotals!X$2:X999))</f>
        <v/>
      </c>
      <c r="AE157" s="160" t="str">
        <f>IF(A157="","",SUMIF(RawTotals!A$2:A999, C157, RawTotals!R$2:R999))</f>
        <v/>
      </c>
      <c r="AF157" s="76"/>
    </row>
    <row r="158">
      <c r="A158" s="76"/>
      <c r="B158" s="170"/>
      <c r="C158" s="76"/>
      <c r="D158" s="173"/>
      <c r="E158" s="173"/>
      <c r="F158" s="173"/>
      <c r="G158" s="175"/>
      <c r="H158" s="173"/>
      <c r="I158" s="156" t="str">
        <f>IF(A158="","",SUMIF(RawTotals!A$2:A999, C158, RawTotals!M$2:M999))</f>
        <v/>
      </c>
      <c r="J158" s="157" t="str">
        <f>IF(A158="","", SUMIF(RawTotals!A$2:A999, C158, RawTotals!AC$2:AC999))</f>
        <v/>
      </c>
      <c r="K158" s="173"/>
      <c r="L158" s="76"/>
      <c r="M158" s="76"/>
      <c r="N158" s="76"/>
      <c r="O158" s="76"/>
      <c r="P158" s="76"/>
      <c r="Q158" s="76"/>
      <c r="R158" s="76"/>
      <c r="S158" s="76"/>
      <c r="T158" s="76"/>
      <c r="U158" s="76"/>
      <c r="V158" s="76"/>
      <c r="W158" s="76"/>
      <c r="X158" s="76"/>
      <c r="Y158" s="76"/>
      <c r="Z158" s="160" t="str">
        <f>IF(A158="","",SUMIF(RawTotals!A$2:A999, C158, RawTotals!AD$2:AD999))</f>
        <v/>
      </c>
      <c r="AA158" s="160" t="str">
        <f>IFERROR(__xludf.DUMMYFUNCTION("IF(A158="""","""",IF(FILTER(RawTotals!K$2:K999,RawTotals!A$2:A999=A158)="""","""",SUMIF(RawTotals!A$2:A999, C158, RawTotals!K$2:K999)))"),"")</f>
        <v/>
      </c>
      <c r="AB158" s="76" t="str">
        <f>IF(A158="","",SUMIF(RawTotals!A$2:A999, C158, RawTotals!E$2:E999))</f>
        <v/>
      </c>
      <c r="AC158" s="76" t="str">
        <f>IF(A158="","",SUMIF(RawTotals!A$2:A999, C158, RawTotals!N$2:N999))</f>
        <v/>
      </c>
      <c r="AD158" s="161" t="str">
        <f>IF(A158="","",SUMIF(RawTotals!A$2:A999, C158, RawTotals!X$2:X999))</f>
        <v/>
      </c>
      <c r="AE158" s="160" t="str">
        <f>IF(A158="","",SUMIF(RawTotals!A$2:A999, C158, RawTotals!R$2:R999))</f>
        <v/>
      </c>
      <c r="AF158" s="76"/>
    </row>
    <row r="159">
      <c r="A159" s="76"/>
      <c r="B159" s="170"/>
      <c r="C159" s="76"/>
      <c r="D159" s="173"/>
      <c r="E159" s="173"/>
      <c r="F159" s="173"/>
      <c r="G159" s="175"/>
      <c r="H159" s="173"/>
      <c r="I159" s="156" t="str">
        <f>IF(A159="","",SUMIF(RawTotals!A$2:A999, C159, RawTotals!M$2:M999))</f>
        <v/>
      </c>
      <c r="J159" s="157" t="str">
        <f>IF(A159="","", SUMIF(RawTotals!A$2:A999, C159, RawTotals!AC$2:AC999))</f>
        <v/>
      </c>
      <c r="K159" s="173"/>
      <c r="L159" s="76"/>
      <c r="M159" s="76"/>
      <c r="N159" s="76"/>
      <c r="O159" s="76"/>
      <c r="P159" s="76"/>
      <c r="Q159" s="76"/>
      <c r="R159" s="76"/>
      <c r="S159" s="76"/>
      <c r="T159" s="76"/>
      <c r="U159" s="76"/>
      <c r="V159" s="76"/>
      <c r="W159" s="76"/>
      <c r="X159" s="76"/>
      <c r="Y159" s="76"/>
      <c r="Z159" s="160" t="str">
        <f>IF(A159="","",SUMIF(RawTotals!A$2:A999, C159, RawTotals!AD$2:AD999))</f>
        <v/>
      </c>
      <c r="AA159" s="160" t="str">
        <f>IFERROR(__xludf.DUMMYFUNCTION("IF(A159="""","""",IF(FILTER(RawTotals!K$2:K999,RawTotals!A$2:A999=A159)="""","""",SUMIF(RawTotals!A$2:A999, C159, RawTotals!K$2:K999)))"),"")</f>
        <v/>
      </c>
      <c r="AB159" s="76" t="str">
        <f>IF(A159="","",SUMIF(RawTotals!A$2:A999, C159, RawTotals!E$2:E999))</f>
        <v/>
      </c>
      <c r="AC159" s="76" t="str">
        <f>IF(A159="","",SUMIF(RawTotals!A$2:A999, C159, RawTotals!N$2:N999))</f>
        <v/>
      </c>
      <c r="AD159" s="161" t="str">
        <f>IF(A159="","",SUMIF(RawTotals!A$2:A999, C159, RawTotals!X$2:X999))</f>
        <v/>
      </c>
      <c r="AE159" s="160" t="str">
        <f>IF(A159="","",SUMIF(RawTotals!A$2:A999, C159, RawTotals!R$2:R999))</f>
        <v/>
      </c>
      <c r="AF159" s="76"/>
    </row>
    <row r="160">
      <c r="A160" s="76"/>
      <c r="B160" s="170"/>
      <c r="C160" s="76"/>
      <c r="D160" s="173"/>
      <c r="E160" s="173"/>
      <c r="F160" s="173"/>
      <c r="G160" s="175"/>
      <c r="H160" s="173"/>
      <c r="I160" s="156" t="str">
        <f>IF(A160="","",SUMIF(RawTotals!A$2:A999, C160, RawTotals!M$2:M999))</f>
        <v/>
      </c>
      <c r="J160" s="157" t="str">
        <f>IF(A160="","", SUMIF(RawTotals!A$2:A999, C160, RawTotals!AC$2:AC999))</f>
        <v/>
      </c>
      <c r="K160" s="173"/>
      <c r="L160" s="76"/>
      <c r="M160" s="76"/>
      <c r="N160" s="76"/>
      <c r="O160" s="76"/>
      <c r="P160" s="76"/>
      <c r="Q160" s="76"/>
      <c r="R160" s="76"/>
      <c r="S160" s="76"/>
      <c r="T160" s="76"/>
      <c r="U160" s="76"/>
      <c r="V160" s="76"/>
      <c r="W160" s="76"/>
      <c r="X160" s="76"/>
      <c r="Y160" s="76"/>
      <c r="Z160" s="160" t="str">
        <f>IF(A160="","",SUMIF(RawTotals!A$2:A999, C160, RawTotals!AD$2:AD999))</f>
        <v/>
      </c>
      <c r="AA160" s="160" t="str">
        <f>IFERROR(__xludf.DUMMYFUNCTION("IF(A160="""","""",IF(FILTER(RawTotals!K$2:K999,RawTotals!A$2:A999=A160)="""","""",SUMIF(RawTotals!A$2:A999, C160, RawTotals!K$2:K999)))"),"")</f>
        <v/>
      </c>
      <c r="AB160" s="76" t="str">
        <f>IF(A160="","",SUMIF(RawTotals!A$2:A999, C160, RawTotals!E$2:E999))</f>
        <v/>
      </c>
      <c r="AC160" s="76" t="str">
        <f>IF(A160="","",SUMIF(RawTotals!A$2:A999, C160, RawTotals!N$2:N999))</f>
        <v/>
      </c>
      <c r="AD160" s="161" t="str">
        <f>IF(A160="","",SUMIF(RawTotals!A$2:A999, C160, RawTotals!X$2:X999))</f>
        <v/>
      </c>
      <c r="AE160" s="160" t="str">
        <f>IF(A160="","",SUMIF(RawTotals!A$2:A999, C160, RawTotals!R$2:R999))</f>
        <v/>
      </c>
      <c r="AF160" s="76"/>
    </row>
    <row r="161">
      <c r="A161" s="76"/>
      <c r="B161" s="170"/>
      <c r="C161" s="76"/>
      <c r="D161" s="173"/>
      <c r="E161" s="173"/>
      <c r="F161" s="173"/>
      <c r="G161" s="175"/>
      <c r="H161" s="173"/>
      <c r="I161" s="156" t="str">
        <f>IF(A161="","",SUMIF(RawTotals!A$2:A999, C161, RawTotals!M$2:M999))</f>
        <v/>
      </c>
      <c r="J161" s="157" t="str">
        <f>IF(A161="","", SUMIF(RawTotals!A$2:A999, C161, RawTotals!AC$2:AC999))</f>
        <v/>
      </c>
      <c r="K161" s="173"/>
      <c r="L161" s="76"/>
      <c r="M161" s="76"/>
      <c r="N161" s="76"/>
      <c r="O161" s="76"/>
      <c r="P161" s="76"/>
      <c r="Q161" s="76"/>
      <c r="R161" s="76"/>
      <c r="S161" s="76"/>
      <c r="T161" s="76"/>
      <c r="U161" s="76"/>
      <c r="V161" s="76"/>
      <c r="W161" s="76"/>
      <c r="X161" s="76"/>
      <c r="Y161" s="76"/>
      <c r="Z161" s="160" t="str">
        <f>IF(A161="","",SUMIF(RawTotals!A$2:A999, C161, RawTotals!AD$2:AD999))</f>
        <v/>
      </c>
      <c r="AA161" s="160" t="str">
        <f>IFERROR(__xludf.DUMMYFUNCTION("IF(A161="""","""",IF(FILTER(RawTotals!K$2:K999,RawTotals!A$2:A999=A161)="""","""",SUMIF(RawTotals!A$2:A999, C161, RawTotals!K$2:K999)))"),"")</f>
        <v/>
      </c>
      <c r="AB161" s="76" t="str">
        <f>IF(A161="","",SUMIF(RawTotals!A$2:A999, C161, RawTotals!E$2:E999))</f>
        <v/>
      </c>
      <c r="AC161" s="76" t="str">
        <f>IF(A161="","",SUMIF(RawTotals!A$2:A999, C161, RawTotals!N$2:N999))</f>
        <v/>
      </c>
      <c r="AD161" s="161" t="str">
        <f>IF(A161="","",SUMIF(RawTotals!A$2:A999, C161, RawTotals!X$2:X999))</f>
        <v/>
      </c>
      <c r="AE161" s="160" t="str">
        <f>IF(A161="","",SUMIF(RawTotals!A$2:A999, C161, RawTotals!R$2:R999))</f>
        <v/>
      </c>
      <c r="AF161" s="76"/>
    </row>
    <row r="162">
      <c r="A162" s="76"/>
      <c r="B162" s="170"/>
      <c r="C162" s="76"/>
      <c r="D162" s="173"/>
      <c r="E162" s="173"/>
      <c r="F162" s="173"/>
      <c r="G162" s="175"/>
      <c r="H162" s="173"/>
      <c r="I162" s="156" t="str">
        <f>IF(A162="","",SUMIF(RawTotals!A$2:A999, C162, RawTotals!M$2:M999))</f>
        <v/>
      </c>
      <c r="J162" s="157" t="str">
        <f>IF(A162="","", SUMIF(RawTotals!A$2:A999, C162, RawTotals!AC$2:AC999))</f>
        <v/>
      </c>
      <c r="K162" s="173"/>
      <c r="L162" s="76"/>
      <c r="M162" s="76"/>
      <c r="N162" s="76"/>
      <c r="O162" s="76"/>
      <c r="P162" s="76"/>
      <c r="Q162" s="76"/>
      <c r="R162" s="76"/>
      <c r="S162" s="76"/>
      <c r="T162" s="76"/>
      <c r="U162" s="76"/>
      <c r="V162" s="76"/>
      <c r="W162" s="76"/>
      <c r="X162" s="76"/>
      <c r="Y162" s="76"/>
      <c r="Z162" s="160" t="str">
        <f>IF(A162="","",SUMIF(RawTotals!A$2:A999, C162, RawTotals!AD$2:AD999))</f>
        <v/>
      </c>
      <c r="AA162" s="160" t="str">
        <f>IFERROR(__xludf.DUMMYFUNCTION("IF(A162="""","""",IF(FILTER(RawTotals!K$2:K999,RawTotals!A$2:A999=A162)="""","""",SUMIF(RawTotals!A$2:A999, C162, RawTotals!K$2:K999)))"),"")</f>
        <v/>
      </c>
      <c r="AB162" s="76" t="str">
        <f>IF(A162="","",SUMIF(RawTotals!A$2:A999, C162, RawTotals!E$2:E999))</f>
        <v/>
      </c>
      <c r="AC162" s="76" t="str">
        <f>IF(A162="","",SUMIF(RawTotals!A$2:A999, C162, RawTotals!N$2:N999))</f>
        <v/>
      </c>
      <c r="AD162" s="161" t="str">
        <f>IF(A162="","",SUMIF(RawTotals!A$2:A999, C162, RawTotals!X$2:X999))</f>
        <v/>
      </c>
      <c r="AE162" s="160" t="str">
        <f>IF(A162="","",SUMIF(RawTotals!A$2:A999, C162, RawTotals!R$2:R999))</f>
        <v/>
      </c>
      <c r="AF162" s="76"/>
    </row>
    <row r="163">
      <c r="A163" s="76"/>
      <c r="B163" s="170"/>
      <c r="C163" s="76"/>
      <c r="D163" s="173"/>
      <c r="E163" s="173"/>
      <c r="F163" s="173"/>
      <c r="G163" s="175"/>
      <c r="H163" s="173"/>
      <c r="I163" s="156" t="str">
        <f>IF(A163="","",SUMIF(RawTotals!A$2:A999, C163, RawTotals!M$2:M999))</f>
        <v/>
      </c>
      <c r="J163" s="157" t="str">
        <f>IF(A163="","", SUMIF(RawTotals!A$2:A999, C163, RawTotals!AC$2:AC999))</f>
        <v/>
      </c>
      <c r="K163" s="173"/>
      <c r="L163" s="76"/>
      <c r="M163" s="76"/>
      <c r="N163" s="76"/>
      <c r="O163" s="76"/>
      <c r="P163" s="76"/>
      <c r="Q163" s="76"/>
      <c r="R163" s="76"/>
      <c r="S163" s="76"/>
      <c r="T163" s="76"/>
      <c r="U163" s="76"/>
      <c r="V163" s="76"/>
      <c r="W163" s="76"/>
      <c r="X163" s="76"/>
      <c r="Y163" s="76"/>
      <c r="Z163" s="160" t="str">
        <f>IF(A163="","",SUMIF(RawTotals!A$2:A999, C163, RawTotals!AD$2:AD999))</f>
        <v/>
      </c>
      <c r="AA163" s="160" t="str">
        <f>IFERROR(__xludf.DUMMYFUNCTION("IF(A163="""","""",IF(FILTER(RawTotals!K$2:K999,RawTotals!A$2:A999=A163)="""","""",SUMIF(RawTotals!A$2:A999, C163, RawTotals!K$2:K999)))"),"")</f>
        <v/>
      </c>
      <c r="AB163" s="76" t="str">
        <f>IF(A163="","",SUMIF(RawTotals!A$2:A999, C163, RawTotals!E$2:E999))</f>
        <v/>
      </c>
      <c r="AC163" s="76" t="str">
        <f>IF(A163="","",SUMIF(RawTotals!A$2:A999, C163, RawTotals!N$2:N999))</f>
        <v/>
      </c>
      <c r="AD163" s="161" t="str">
        <f>IF(A163="","",SUMIF(RawTotals!A$2:A999, C163, RawTotals!X$2:X999))</f>
        <v/>
      </c>
      <c r="AE163" s="160" t="str">
        <f>IF(A163="","",SUMIF(RawTotals!A$2:A999, C163, RawTotals!R$2:R999))</f>
        <v/>
      </c>
      <c r="AF163" s="76"/>
    </row>
    <row r="164">
      <c r="A164" s="76"/>
      <c r="B164" s="170"/>
      <c r="C164" s="76"/>
      <c r="D164" s="173"/>
      <c r="E164" s="173"/>
      <c r="F164" s="173"/>
      <c r="G164" s="175"/>
      <c r="H164" s="173"/>
      <c r="I164" s="156" t="str">
        <f>IF(A164="","",SUMIF(RawTotals!A$2:A999, C164, RawTotals!M$2:M999))</f>
        <v/>
      </c>
      <c r="J164" s="157" t="str">
        <f>IF(A164="","", SUMIF(RawTotals!A$2:A999, C164, RawTotals!AC$2:AC999))</f>
        <v/>
      </c>
      <c r="K164" s="173"/>
      <c r="L164" s="76"/>
      <c r="M164" s="76"/>
      <c r="N164" s="76"/>
      <c r="O164" s="76"/>
      <c r="P164" s="76"/>
      <c r="Q164" s="76"/>
      <c r="R164" s="76"/>
      <c r="S164" s="76"/>
      <c r="T164" s="76"/>
      <c r="U164" s="76"/>
      <c r="V164" s="76"/>
      <c r="W164" s="76"/>
      <c r="X164" s="76"/>
      <c r="Y164" s="76"/>
      <c r="Z164" s="160" t="str">
        <f>IF(A164="","",SUMIF(RawTotals!A$2:A999, C164, RawTotals!AD$2:AD999))</f>
        <v/>
      </c>
      <c r="AA164" s="160" t="str">
        <f>IFERROR(__xludf.DUMMYFUNCTION("IF(A164="""","""",IF(FILTER(RawTotals!K$2:K999,RawTotals!A$2:A999=A164)="""","""",SUMIF(RawTotals!A$2:A999, C164, RawTotals!K$2:K999)))"),"")</f>
        <v/>
      </c>
      <c r="AB164" s="76" t="str">
        <f>IF(A164="","",SUMIF(RawTotals!A$2:A999, C164, RawTotals!E$2:E999))</f>
        <v/>
      </c>
      <c r="AC164" s="76" t="str">
        <f>IF(A164="","",SUMIF(RawTotals!A$2:A999, C164, RawTotals!N$2:N999))</f>
        <v/>
      </c>
      <c r="AD164" s="161" t="str">
        <f>IF(A164="","",SUMIF(RawTotals!A$2:A999, C164, RawTotals!X$2:X999))</f>
        <v/>
      </c>
      <c r="AE164" s="160" t="str">
        <f>IF(A164="","",SUMIF(RawTotals!A$2:A999, C164, RawTotals!R$2:R999))</f>
        <v/>
      </c>
      <c r="AF164" s="76"/>
    </row>
    <row r="165">
      <c r="A165" s="76"/>
      <c r="B165" s="170"/>
      <c r="C165" s="76"/>
      <c r="D165" s="173"/>
      <c r="E165" s="173"/>
      <c r="F165" s="173"/>
      <c r="G165" s="175"/>
      <c r="H165" s="173"/>
      <c r="I165" s="156" t="str">
        <f>IF(A165="","",SUMIF(RawTotals!A$2:A999, C165, RawTotals!M$2:M999))</f>
        <v/>
      </c>
      <c r="J165" s="157" t="str">
        <f>IF(A165="","", SUMIF(RawTotals!A$2:A999, C165, RawTotals!AC$2:AC999))</f>
        <v/>
      </c>
      <c r="K165" s="173"/>
      <c r="L165" s="76"/>
      <c r="M165" s="76"/>
      <c r="N165" s="76"/>
      <c r="O165" s="76"/>
      <c r="P165" s="76"/>
      <c r="Q165" s="76"/>
      <c r="R165" s="76"/>
      <c r="S165" s="76"/>
      <c r="T165" s="76"/>
      <c r="U165" s="76"/>
      <c r="V165" s="76"/>
      <c r="W165" s="76"/>
      <c r="X165" s="76"/>
      <c r="Y165" s="76"/>
      <c r="Z165" s="160" t="str">
        <f>IF(A165="","",SUMIF(RawTotals!A$2:A999, C165, RawTotals!AD$2:AD999))</f>
        <v/>
      </c>
      <c r="AA165" s="160" t="str">
        <f>IFERROR(__xludf.DUMMYFUNCTION("IF(A165="""","""",IF(FILTER(RawTotals!K$2:K999,RawTotals!A$2:A999=A165)="""","""",SUMIF(RawTotals!A$2:A999, C165, RawTotals!K$2:K999)))"),"")</f>
        <v/>
      </c>
      <c r="AB165" s="76" t="str">
        <f>IF(A165="","",SUMIF(RawTotals!A$2:A999, C165, RawTotals!E$2:E999))</f>
        <v/>
      </c>
      <c r="AC165" s="76" t="str">
        <f>IF(A165="","",SUMIF(RawTotals!A$2:A999, C165, RawTotals!N$2:N999))</f>
        <v/>
      </c>
      <c r="AD165" s="161" t="str">
        <f>IF(A165="","",SUMIF(RawTotals!A$2:A999, C165, RawTotals!X$2:X999))</f>
        <v/>
      </c>
      <c r="AE165" s="160" t="str">
        <f>IF(A165="","",SUMIF(RawTotals!A$2:A999, C165, RawTotals!R$2:R999))</f>
        <v/>
      </c>
      <c r="AF165" s="76"/>
    </row>
    <row r="166">
      <c r="A166" s="76"/>
      <c r="B166" s="170"/>
      <c r="C166" s="76"/>
      <c r="D166" s="173"/>
      <c r="E166" s="173"/>
      <c r="F166" s="173"/>
      <c r="G166" s="175"/>
      <c r="H166" s="173"/>
      <c r="I166" s="156" t="str">
        <f>IF(A166="","",SUMIF(RawTotals!A$2:A999, C166, RawTotals!M$2:M999))</f>
        <v/>
      </c>
      <c r="J166" s="157" t="str">
        <f>IF(A166="","", SUMIF(RawTotals!A$2:A999, C166, RawTotals!AC$2:AC999))</f>
        <v/>
      </c>
      <c r="K166" s="173"/>
      <c r="L166" s="76"/>
      <c r="M166" s="76"/>
      <c r="N166" s="76"/>
      <c r="O166" s="76"/>
      <c r="P166" s="76"/>
      <c r="Q166" s="76"/>
      <c r="R166" s="76"/>
      <c r="S166" s="76"/>
      <c r="T166" s="76"/>
      <c r="U166" s="76"/>
      <c r="V166" s="76"/>
      <c r="W166" s="76"/>
      <c r="X166" s="76"/>
      <c r="Y166" s="76"/>
      <c r="Z166" s="160" t="str">
        <f>IF(A166="","",SUMIF(RawTotals!A$2:A999, C166, RawTotals!AD$2:AD999))</f>
        <v/>
      </c>
      <c r="AA166" s="160" t="str">
        <f>IFERROR(__xludf.DUMMYFUNCTION("IF(A166="""","""",IF(FILTER(RawTotals!K$2:K999,RawTotals!A$2:A999=A166)="""","""",SUMIF(RawTotals!A$2:A999, C166, RawTotals!K$2:K999)))"),"")</f>
        <v/>
      </c>
      <c r="AB166" s="76" t="str">
        <f>IF(A166="","",SUMIF(RawTotals!A$2:A999, C166, RawTotals!E$2:E999))</f>
        <v/>
      </c>
      <c r="AC166" s="76" t="str">
        <f>IF(A166="","",SUMIF(RawTotals!A$2:A999, C166, RawTotals!N$2:N999))</f>
        <v/>
      </c>
      <c r="AD166" s="161" t="str">
        <f>IF(A166="","",SUMIF(RawTotals!A$2:A999, C166, RawTotals!X$2:X999))</f>
        <v/>
      </c>
      <c r="AE166" s="160" t="str">
        <f>IF(A166="","",SUMIF(RawTotals!A$2:A999, C166, RawTotals!R$2:R999))</f>
        <v/>
      </c>
      <c r="AF166" s="76"/>
    </row>
    <row r="167">
      <c r="A167" s="76"/>
      <c r="B167" s="170"/>
      <c r="C167" s="76"/>
      <c r="D167" s="173"/>
      <c r="E167" s="173"/>
      <c r="F167" s="173"/>
      <c r="G167" s="175"/>
      <c r="H167" s="173"/>
      <c r="I167" s="156" t="str">
        <f>IF(A167="","",SUMIF(RawTotals!A$2:A999, C167, RawTotals!M$2:M999))</f>
        <v/>
      </c>
      <c r="J167" s="157" t="str">
        <f>IF(A167="","", SUMIF(RawTotals!A$2:A999, C167, RawTotals!AC$2:AC999))</f>
        <v/>
      </c>
      <c r="K167" s="173"/>
      <c r="L167" s="76"/>
      <c r="M167" s="76"/>
      <c r="N167" s="76"/>
      <c r="O167" s="76"/>
      <c r="P167" s="76"/>
      <c r="Q167" s="76"/>
      <c r="R167" s="76"/>
      <c r="S167" s="76"/>
      <c r="T167" s="76"/>
      <c r="U167" s="76"/>
      <c r="V167" s="76"/>
      <c r="W167" s="76"/>
      <c r="X167" s="76"/>
      <c r="Y167" s="76"/>
      <c r="Z167" s="160" t="str">
        <f>IF(A167="","",SUMIF(RawTotals!A$2:A999, C167, RawTotals!AD$2:AD999))</f>
        <v/>
      </c>
      <c r="AA167" s="160" t="str">
        <f>IFERROR(__xludf.DUMMYFUNCTION("IF(A167="""","""",IF(FILTER(RawTotals!K$2:K999,RawTotals!A$2:A999=A167)="""","""",SUMIF(RawTotals!A$2:A999, C167, RawTotals!K$2:K999)))"),"")</f>
        <v/>
      </c>
      <c r="AB167" s="76" t="str">
        <f>IF(A167="","",SUMIF(RawTotals!A$2:A999, C167, RawTotals!E$2:E999))</f>
        <v/>
      </c>
      <c r="AC167" s="76" t="str">
        <f>IF(A167="","",SUMIF(RawTotals!A$2:A999, C167, RawTotals!N$2:N999))</f>
        <v/>
      </c>
      <c r="AD167" s="161" t="str">
        <f>IF(A167="","",SUMIF(RawTotals!A$2:A999, C167, RawTotals!X$2:X999))</f>
        <v/>
      </c>
      <c r="AE167" s="160" t="str">
        <f>IF(A167="","",SUMIF(RawTotals!A$2:A999, C167, RawTotals!R$2:R999))</f>
        <v/>
      </c>
      <c r="AF167" s="76"/>
    </row>
    <row r="168">
      <c r="A168" s="76"/>
      <c r="B168" s="170"/>
      <c r="C168" s="76"/>
      <c r="D168" s="173"/>
      <c r="E168" s="173"/>
      <c r="F168" s="173"/>
      <c r="G168" s="175"/>
      <c r="H168" s="173"/>
      <c r="I168" s="156" t="str">
        <f>IF(A168="","",SUMIF(RawTotals!A$2:A999, C168, RawTotals!M$2:M999))</f>
        <v/>
      </c>
      <c r="J168" s="157" t="str">
        <f>IF(A168="","", SUMIF(RawTotals!A$2:A999, C168, RawTotals!AC$2:AC999))</f>
        <v/>
      </c>
      <c r="K168" s="173"/>
      <c r="L168" s="76"/>
      <c r="M168" s="76"/>
      <c r="N168" s="76"/>
      <c r="O168" s="76"/>
      <c r="P168" s="76"/>
      <c r="Q168" s="76"/>
      <c r="R168" s="76"/>
      <c r="S168" s="76"/>
      <c r="T168" s="76"/>
      <c r="U168" s="76"/>
      <c r="V168" s="76"/>
      <c r="W168" s="76"/>
      <c r="X168" s="76"/>
      <c r="Y168" s="76"/>
      <c r="Z168" s="160" t="str">
        <f>IF(A168="","",SUMIF(RawTotals!A$2:A999, C168, RawTotals!AD$2:AD999))</f>
        <v/>
      </c>
      <c r="AA168" s="160" t="str">
        <f>IFERROR(__xludf.DUMMYFUNCTION("IF(A168="""","""",IF(FILTER(RawTotals!K$2:K999,RawTotals!A$2:A999=A168)="""","""",SUMIF(RawTotals!A$2:A999, C168, RawTotals!K$2:K999)))"),"")</f>
        <v/>
      </c>
      <c r="AB168" s="76" t="str">
        <f>IF(A168="","",SUMIF(RawTotals!A$2:A999, C168, RawTotals!E$2:E999))</f>
        <v/>
      </c>
      <c r="AC168" s="76" t="str">
        <f>IF(A168="","",SUMIF(RawTotals!A$2:A999, C168, RawTotals!N$2:N999))</f>
        <v/>
      </c>
      <c r="AD168" s="161" t="str">
        <f>IF(A168="","",SUMIF(RawTotals!A$2:A999, C168, RawTotals!X$2:X999))</f>
        <v/>
      </c>
      <c r="AE168" s="160" t="str">
        <f>IF(A168="","",SUMIF(RawTotals!A$2:A999, C168, RawTotals!R$2:R999))</f>
        <v/>
      </c>
      <c r="AF168" s="76"/>
    </row>
    <row r="169">
      <c r="A169" s="76"/>
      <c r="B169" s="170"/>
      <c r="C169" s="76"/>
      <c r="D169" s="173"/>
      <c r="E169" s="173"/>
      <c r="F169" s="173"/>
      <c r="G169" s="175"/>
      <c r="H169" s="173"/>
      <c r="I169" s="156" t="str">
        <f>IF(A169="","",SUMIF(RawTotals!A$2:A999, C169, RawTotals!M$2:M999))</f>
        <v/>
      </c>
      <c r="J169" s="157" t="str">
        <f>IF(A169="","", SUMIF(RawTotals!A$2:A999, C169, RawTotals!AC$2:AC999))</f>
        <v/>
      </c>
      <c r="K169" s="173"/>
      <c r="L169" s="76"/>
      <c r="M169" s="76"/>
      <c r="N169" s="76"/>
      <c r="O169" s="76"/>
      <c r="P169" s="76"/>
      <c r="Q169" s="76"/>
      <c r="R169" s="76"/>
      <c r="S169" s="76"/>
      <c r="T169" s="76"/>
      <c r="U169" s="76"/>
      <c r="V169" s="76"/>
      <c r="W169" s="76"/>
      <c r="X169" s="76"/>
      <c r="Y169" s="76"/>
      <c r="Z169" s="160" t="str">
        <f>IF(A169="","",SUMIF(RawTotals!A$2:A999, C169, RawTotals!AD$2:AD999))</f>
        <v/>
      </c>
      <c r="AA169" s="160" t="str">
        <f>IFERROR(__xludf.DUMMYFUNCTION("IF(A169="""","""",IF(FILTER(RawTotals!K$2:K999,RawTotals!A$2:A999=A169)="""","""",SUMIF(RawTotals!A$2:A999, C169, RawTotals!K$2:K999)))"),"")</f>
        <v/>
      </c>
      <c r="AB169" s="76" t="str">
        <f>IF(A169="","",SUMIF(RawTotals!A$2:A999, C169, RawTotals!E$2:E999))</f>
        <v/>
      </c>
      <c r="AC169" s="76" t="str">
        <f>IF(A169="","",SUMIF(RawTotals!A$2:A999, C169, RawTotals!N$2:N999))</f>
        <v/>
      </c>
      <c r="AD169" s="161" t="str">
        <f>IF(A169="","",SUMIF(RawTotals!A$2:A999, C169, RawTotals!X$2:X999))</f>
        <v/>
      </c>
      <c r="AE169" s="160" t="str">
        <f>IF(A169="","",SUMIF(RawTotals!A$2:A999, C169, RawTotals!R$2:R999))</f>
        <v/>
      </c>
      <c r="AF169" s="76"/>
    </row>
    <row r="170">
      <c r="A170" s="76"/>
      <c r="B170" s="170"/>
      <c r="C170" s="76"/>
      <c r="D170" s="173"/>
      <c r="E170" s="173"/>
      <c r="F170" s="173"/>
      <c r="G170" s="175"/>
      <c r="H170" s="173"/>
      <c r="I170" s="156" t="str">
        <f>IF(A170="","",SUMIF(RawTotals!A$2:A999, C170, RawTotals!M$2:M999))</f>
        <v/>
      </c>
      <c r="J170" s="157" t="str">
        <f>IF(A170="","", SUMIF(RawTotals!A$2:A999, C170, RawTotals!AC$2:AC999))</f>
        <v/>
      </c>
      <c r="K170" s="173"/>
      <c r="L170" s="76"/>
      <c r="M170" s="76"/>
      <c r="N170" s="76"/>
      <c r="O170" s="76"/>
      <c r="P170" s="76"/>
      <c r="Q170" s="76"/>
      <c r="R170" s="76"/>
      <c r="S170" s="76"/>
      <c r="T170" s="76"/>
      <c r="U170" s="76"/>
      <c r="V170" s="76"/>
      <c r="W170" s="76"/>
      <c r="X170" s="76"/>
      <c r="Y170" s="76"/>
      <c r="Z170" s="160" t="str">
        <f>IF(A170="","",SUMIF(RawTotals!A$2:A999, C170, RawTotals!AD$2:AD999))</f>
        <v/>
      </c>
      <c r="AA170" s="160" t="str">
        <f>IFERROR(__xludf.DUMMYFUNCTION("IF(A170="""","""",IF(FILTER(RawTotals!K$2:K999,RawTotals!A$2:A999=A170)="""","""",SUMIF(RawTotals!A$2:A999, C170, RawTotals!K$2:K999)))"),"")</f>
        <v/>
      </c>
      <c r="AB170" s="76" t="str">
        <f>IF(A170="","",SUMIF(RawTotals!A$2:A999, C170, RawTotals!E$2:E999))</f>
        <v/>
      </c>
      <c r="AC170" s="76" t="str">
        <f>IF(A170="","",SUMIF(RawTotals!A$2:A999, C170, RawTotals!N$2:N999))</f>
        <v/>
      </c>
      <c r="AD170" s="161" t="str">
        <f>IF(A170="","",SUMIF(RawTotals!A$2:A999, C170, RawTotals!X$2:X999))</f>
        <v/>
      </c>
      <c r="AE170" s="160" t="str">
        <f>IF(A170="","",SUMIF(RawTotals!A$2:A999, C170, RawTotals!R$2:R999))</f>
        <v/>
      </c>
      <c r="AF170" s="76"/>
    </row>
    <row r="171">
      <c r="A171" s="76"/>
      <c r="B171" s="170"/>
      <c r="C171" s="76"/>
      <c r="D171" s="173"/>
      <c r="E171" s="173"/>
      <c r="F171" s="173"/>
      <c r="G171" s="175"/>
      <c r="H171" s="173"/>
      <c r="I171" s="156" t="str">
        <f>IF(A171="","",SUMIF(RawTotals!A$2:A999, C171, RawTotals!M$2:M999))</f>
        <v/>
      </c>
      <c r="J171" s="157" t="str">
        <f>IF(A171="","", SUMIF(RawTotals!A$2:A999, C171, RawTotals!AC$2:AC999))</f>
        <v/>
      </c>
      <c r="K171" s="173"/>
      <c r="L171" s="76"/>
      <c r="M171" s="76"/>
      <c r="N171" s="76"/>
      <c r="O171" s="76"/>
      <c r="P171" s="76"/>
      <c r="Q171" s="76"/>
      <c r="R171" s="76"/>
      <c r="S171" s="76"/>
      <c r="T171" s="76"/>
      <c r="U171" s="76"/>
      <c r="V171" s="76"/>
      <c r="W171" s="76"/>
      <c r="X171" s="76"/>
      <c r="Y171" s="76"/>
      <c r="Z171" s="160" t="str">
        <f>IF(A171="","",SUMIF(RawTotals!A$2:A999, C171, RawTotals!AD$2:AD999))</f>
        <v/>
      </c>
      <c r="AA171" s="160" t="str">
        <f>IFERROR(__xludf.DUMMYFUNCTION("IF(A171="""","""",IF(FILTER(RawTotals!K$2:K999,RawTotals!A$2:A999=A171)="""","""",SUMIF(RawTotals!A$2:A999, C171, RawTotals!K$2:K999)))"),"")</f>
        <v/>
      </c>
      <c r="AB171" s="76" t="str">
        <f>IF(A171="","",SUMIF(RawTotals!A$2:A999, C171, RawTotals!E$2:E999))</f>
        <v/>
      </c>
      <c r="AC171" s="76" t="str">
        <f>IF(A171="","",SUMIF(RawTotals!A$2:A999, C171, RawTotals!N$2:N999))</f>
        <v/>
      </c>
      <c r="AD171" s="161" t="str">
        <f>IF(A171="","",SUMIF(RawTotals!A$2:A999, C171, RawTotals!X$2:X999))</f>
        <v/>
      </c>
      <c r="AE171" s="160" t="str">
        <f>IF(A171="","",SUMIF(RawTotals!A$2:A999, C171, RawTotals!R$2:R999))</f>
        <v/>
      </c>
      <c r="AF171" s="76"/>
    </row>
    <row r="172">
      <c r="A172" s="76"/>
      <c r="B172" s="170"/>
      <c r="C172" s="76"/>
      <c r="D172" s="173"/>
      <c r="E172" s="173"/>
      <c r="F172" s="173"/>
      <c r="G172" s="175"/>
      <c r="H172" s="173"/>
      <c r="I172" s="156" t="str">
        <f>IF(A172="","",SUMIF(RawTotals!A$2:A999, C172, RawTotals!M$2:M999))</f>
        <v/>
      </c>
      <c r="J172" s="157" t="str">
        <f>IF(A172="","", SUMIF(RawTotals!A$2:A999, C172, RawTotals!AC$2:AC999))</f>
        <v/>
      </c>
      <c r="K172" s="173"/>
      <c r="L172" s="76"/>
      <c r="M172" s="76"/>
      <c r="N172" s="76"/>
      <c r="O172" s="76"/>
      <c r="P172" s="76"/>
      <c r="Q172" s="76"/>
      <c r="R172" s="76"/>
      <c r="S172" s="76"/>
      <c r="T172" s="76"/>
      <c r="U172" s="76"/>
      <c r="V172" s="76"/>
      <c r="W172" s="76"/>
      <c r="X172" s="76"/>
      <c r="Y172" s="76"/>
      <c r="Z172" s="160" t="str">
        <f>IF(A172="","",SUMIF(RawTotals!A$2:A999, C172, RawTotals!AD$2:AD999))</f>
        <v/>
      </c>
      <c r="AA172" s="160" t="str">
        <f>IFERROR(__xludf.DUMMYFUNCTION("IF(A172="""","""",IF(FILTER(RawTotals!K$2:K999,RawTotals!A$2:A999=A172)="""","""",SUMIF(RawTotals!A$2:A999, C172, RawTotals!K$2:K999)))"),"")</f>
        <v/>
      </c>
      <c r="AB172" s="76" t="str">
        <f>IF(A172="","",SUMIF(RawTotals!A$2:A999, C172, RawTotals!E$2:E999))</f>
        <v/>
      </c>
      <c r="AC172" s="76" t="str">
        <f>IF(A172="","",SUMIF(RawTotals!A$2:A999, C172, RawTotals!N$2:N999))</f>
        <v/>
      </c>
      <c r="AD172" s="161" t="str">
        <f>IF(A172="","",SUMIF(RawTotals!A$2:A999, C172, RawTotals!X$2:X999))</f>
        <v/>
      </c>
      <c r="AE172" s="160" t="str">
        <f>IF(A172="","",SUMIF(RawTotals!A$2:A999, C172, RawTotals!R$2:R999))</f>
        <v/>
      </c>
      <c r="AF172" s="76"/>
    </row>
    <row r="173">
      <c r="A173" s="76"/>
      <c r="B173" s="170"/>
      <c r="C173" s="76"/>
      <c r="D173" s="173"/>
      <c r="E173" s="173"/>
      <c r="F173" s="173"/>
      <c r="G173" s="175"/>
      <c r="H173" s="173"/>
      <c r="I173" s="156" t="str">
        <f>IF(A173="","",SUMIF(RawTotals!A$2:A999, C173, RawTotals!M$2:M999))</f>
        <v/>
      </c>
      <c r="J173" s="157" t="str">
        <f>IF(A173="","", SUMIF(RawTotals!A$2:A999, C173, RawTotals!AC$2:AC999))</f>
        <v/>
      </c>
      <c r="K173" s="173"/>
      <c r="L173" s="76"/>
      <c r="M173" s="76"/>
      <c r="N173" s="76"/>
      <c r="O173" s="76"/>
      <c r="P173" s="76"/>
      <c r="Q173" s="76"/>
      <c r="R173" s="76"/>
      <c r="S173" s="76"/>
      <c r="T173" s="76"/>
      <c r="U173" s="76"/>
      <c r="V173" s="76"/>
      <c r="W173" s="76"/>
      <c r="X173" s="76"/>
      <c r="Y173" s="76"/>
      <c r="Z173" s="160" t="str">
        <f>IF(A173="","",SUMIF(RawTotals!A$2:A999, C173, RawTotals!AD$2:AD999))</f>
        <v/>
      </c>
      <c r="AA173" s="160" t="str">
        <f>IFERROR(__xludf.DUMMYFUNCTION("IF(A173="""","""",IF(FILTER(RawTotals!K$2:K999,RawTotals!A$2:A999=A173)="""","""",SUMIF(RawTotals!A$2:A999, C173, RawTotals!K$2:K999)))"),"")</f>
        <v/>
      </c>
      <c r="AB173" s="76" t="str">
        <f>IF(A173="","",SUMIF(RawTotals!A$2:A999, C173, RawTotals!E$2:E999))</f>
        <v/>
      </c>
      <c r="AC173" s="76" t="str">
        <f>IF(A173="","",SUMIF(RawTotals!A$2:A999, C173, RawTotals!N$2:N999))</f>
        <v/>
      </c>
      <c r="AD173" s="161" t="str">
        <f>IF(A173="","",SUMIF(RawTotals!A$2:A999, C173, RawTotals!X$2:X999))</f>
        <v/>
      </c>
      <c r="AE173" s="160" t="str">
        <f>IF(A173="","",SUMIF(RawTotals!A$2:A999, C173, RawTotals!R$2:R999))</f>
        <v/>
      </c>
      <c r="AF173" s="76"/>
    </row>
    <row r="174">
      <c r="A174" s="76"/>
      <c r="B174" s="170"/>
      <c r="C174" s="76"/>
      <c r="D174" s="173"/>
      <c r="E174" s="173"/>
      <c r="F174" s="173"/>
      <c r="G174" s="175"/>
      <c r="H174" s="173"/>
      <c r="I174" s="156" t="str">
        <f>IF(A174="","",SUMIF(RawTotals!A$2:A999, C174, RawTotals!M$2:M999))</f>
        <v/>
      </c>
      <c r="J174" s="157" t="str">
        <f>IF(A174="","", SUMIF(RawTotals!A$2:A999, C174, RawTotals!AC$2:AC999))</f>
        <v/>
      </c>
      <c r="K174" s="173"/>
      <c r="L174" s="76"/>
      <c r="M174" s="76"/>
      <c r="N174" s="76"/>
      <c r="O174" s="76"/>
      <c r="P174" s="76"/>
      <c r="Q174" s="76"/>
      <c r="R174" s="76"/>
      <c r="S174" s="76"/>
      <c r="T174" s="76"/>
      <c r="U174" s="76"/>
      <c r="V174" s="76"/>
      <c r="W174" s="76"/>
      <c r="X174" s="76"/>
      <c r="Y174" s="76"/>
      <c r="Z174" s="160" t="str">
        <f>IF(A174="","",SUMIF(RawTotals!A$2:A999, C174, RawTotals!AD$2:AD999))</f>
        <v/>
      </c>
      <c r="AA174" s="160" t="str">
        <f>IFERROR(__xludf.DUMMYFUNCTION("IF(A174="""","""",IF(FILTER(RawTotals!K$2:K999,RawTotals!A$2:A999=A174)="""","""",SUMIF(RawTotals!A$2:A999, C174, RawTotals!K$2:K999)))"),"")</f>
        <v/>
      </c>
      <c r="AB174" s="76" t="str">
        <f>IF(A174="","",SUMIF(RawTotals!A$2:A999, C174, RawTotals!E$2:E999))</f>
        <v/>
      </c>
      <c r="AC174" s="76" t="str">
        <f>IF(A174="","",SUMIF(RawTotals!A$2:A999, C174, RawTotals!N$2:N999))</f>
        <v/>
      </c>
      <c r="AD174" s="161" t="str">
        <f>IF(A174="","",SUMIF(RawTotals!A$2:A999, C174, RawTotals!X$2:X999))</f>
        <v/>
      </c>
      <c r="AE174" s="160" t="str">
        <f>IF(A174="","",SUMIF(RawTotals!A$2:A999, C174, RawTotals!R$2:R999))</f>
        <v/>
      </c>
      <c r="AF174" s="76"/>
    </row>
    <row r="175">
      <c r="A175" s="76"/>
      <c r="B175" s="170"/>
      <c r="C175" s="76"/>
      <c r="D175" s="173"/>
      <c r="E175" s="173"/>
      <c r="F175" s="173"/>
      <c r="G175" s="175"/>
      <c r="H175" s="173"/>
      <c r="I175" s="156" t="str">
        <f>IF(A175="","",SUMIF(RawTotals!A$2:A999, C175, RawTotals!M$2:M999))</f>
        <v/>
      </c>
      <c r="J175" s="157" t="str">
        <f>IF(A175="","", SUMIF(RawTotals!A$2:A999, C175, RawTotals!AC$2:AC999))</f>
        <v/>
      </c>
      <c r="K175" s="173"/>
      <c r="L175" s="76"/>
      <c r="M175" s="76"/>
      <c r="N175" s="76"/>
      <c r="O175" s="76"/>
      <c r="P175" s="76"/>
      <c r="Q175" s="76"/>
      <c r="R175" s="76"/>
      <c r="S175" s="76"/>
      <c r="T175" s="76"/>
      <c r="U175" s="76"/>
      <c r="V175" s="76"/>
      <c r="W175" s="76"/>
      <c r="X175" s="76"/>
      <c r="Y175" s="76"/>
      <c r="Z175" s="160" t="str">
        <f>IF(A175="","",SUMIF(RawTotals!A$2:A999, C175, RawTotals!AD$2:AD999))</f>
        <v/>
      </c>
      <c r="AA175" s="160" t="str">
        <f>IFERROR(__xludf.DUMMYFUNCTION("IF(A175="""","""",IF(FILTER(RawTotals!K$2:K999,RawTotals!A$2:A999=A175)="""","""",SUMIF(RawTotals!A$2:A999, C175, RawTotals!K$2:K999)))"),"")</f>
        <v/>
      </c>
      <c r="AB175" s="76" t="str">
        <f>IF(A175="","",SUMIF(RawTotals!A$2:A999, C175, RawTotals!E$2:E999))</f>
        <v/>
      </c>
      <c r="AC175" s="76" t="str">
        <f>IF(A175="","",SUMIF(RawTotals!A$2:A999, C175, RawTotals!N$2:N999))</f>
        <v/>
      </c>
      <c r="AD175" s="161" t="str">
        <f>IF(A175="","",SUMIF(RawTotals!A$2:A999, C175, RawTotals!X$2:X999))</f>
        <v/>
      </c>
      <c r="AE175" s="160" t="str">
        <f>IF(A175="","",SUMIF(RawTotals!A$2:A999, C175, RawTotals!R$2:R999))</f>
        <v/>
      </c>
      <c r="AF175" s="76"/>
    </row>
    <row r="176">
      <c r="A176" s="76"/>
      <c r="B176" s="170"/>
      <c r="C176" s="76"/>
      <c r="D176" s="173"/>
      <c r="E176" s="173"/>
      <c r="F176" s="173"/>
      <c r="G176" s="175"/>
      <c r="H176" s="173"/>
      <c r="I176" s="156" t="str">
        <f>IF(A176="","",SUMIF(RawTotals!A$2:A999, C176, RawTotals!M$2:M999))</f>
        <v/>
      </c>
      <c r="J176" s="157" t="str">
        <f>IF(A176="","", SUMIF(RawTotals!A$2:A999, C176, RawTotals!AC$2:AC999))</f>
        <v/>
      </c>
      <c r="K176" s="173"/>
      <c r="L176" s="76"/>
      <c r="M176" s="76"/>
      <c r="N176" s="76"/>
      <c r="O176" s="76"/>
      <c r="P176" s="76"/>
      <c r="Q176" s="76"/>
      <c r="R176" s="76"/>
      <c r="S176" s="76"/>
      <c r="T176" s="76"/>
      <c r="U176" s="76"/>
      <c r="V176" s="76"/>
      <c r="W176" s="76"/>
      <c r="X176" s="76"/>
      <c r="Y176" s="76"/>
      <c r="Z176" s="160" t="str">
        <f>IF(A176="","",SUMIF(RawTotals!A$2:A999, C176, RawTotals!AD$2:AD999))</f>
        <v/>
      </c>
      <c r="AA176" s="160" t="str">
        <f>IFERROR(__xludf.DUMMYFUNCTION("IF(A176="""","""",IF(FILTER(RawTotals!K$2:K999,RawTotals!A$2:A999=A176)="""","""",SUMIF(RawTotals!A$2:A999, C176, RawTotals!K$2:K999)))"),"")</f>
        <v/>
      </c>
      <c r="AB176" s="76" t="str">
        <f>IF(A176="","",SUMIF(RawTotals!A$2:A999, C176, RawTotals!E$2:E999))</f>
        <v/>
      </c>
      <c r="AC176" s="76" t="str">
        <f>IF(A176="","",SUMIF(RawTotals!A$2:A999, C176, RawTotals!N$2:N999))</f>
        <v/>
      </c>
      <c r="AD176" s="161" t="str">
        <f>IF(A176="","",SUMIF(RawTotals!A$2:A999, C176, RawTotals!X$2:X999))</f>
        <v/>
      </c>
      <c r="AE176" s="160" t="str">
        <f>IF(A176="","",SUMIF(RawTotals!A$2:A999, C176, RawTotals!R$2:R999))</f>
        <v/>
      </c>
      <c r="AF176" s="76"/>
    </row>
    <row r="177">
      <c r="A177" s="76"/>
      <c r="B177" s="170"/>
      <c r="C177" s="76"/>
      <c r="D177" s="173"/>
      <c r="E177" s="173"/>
      <c r="F177" s="173"/>
      <c r="G177" s="175"/>
      <c r="H177" s="173"/>
      <c r="I177" s="156" t="str">
        <f>IF(A177="","",SUMIF(RawTotals!A$2:A999, C177, RawTotals!M$2:M999))</f>
        <v/>
      </c>
      <c r="J177" s="157" t="str">
        <f>IF(A177="","", SUMIF(RawTotals!A$2:A999, C177, RawTotals!AC$2:AC999))</f>
        <v/>
      </c>
      <c r="K177" s="173"/>
      <c r="L177" s="76"/>
      <c r="M177" s="76"/>
      <c r="N177" s="76"/>
      <c r="O177" s="76"/>
      <c r="P177" s="76"/>
      <c r="Q177" s="76"/>
      <c r="R177" s="76"/>
      <c r="S177" s="76"/>
      <c r="T177" s="76"/>
      <c r="U177" s="76"/>
      <c r="V177" s="76"/>
      <c r="W177" s="76"/>
      <c r="X177" s="76"/>
      <c r="Y177" s="76"/>
      <c r="Z177" s="160" t="str">
        <f>IF(A177="","",SUMIF(RawTotals!A$2:A999, C177, RawTotals!AD$2:AD999))</f>
        <v/>
      </c>
      <c r="AA177" s="160" t="str">
        <f>IFERROR(__xludf.DUMMYFUNCTION("IF(A177="""","""",IF(FILTER(RawTotals!K$2:K999,RawTotals!A$2:A999=A177)="""","""",SUMIF(RawTotals!A$2:A999, C177, RawTotals!K$2:K999)))"),"")</f>
        <v/>
      </c>
      <c r="AB177" s="76" t="str">
        <f>IF(A177="","",SUMIF(RawTotals!A$2:A999, C177, RawTotals!E$2:E999))</f>
        <v/>
      </c>
      <c r="AC177" s="76" t="str">
        <f>IF(A177="","",SUMIF(RawTotals!A$2:A999, C177, RawTotals!N$2:N999))</f>
        <v/>
      </c>
      <c r="AD177" s="161" t="str">
        <f>IF(A177="","",SUMIF(RawTotals!A$2:A999, C177, RawTotals!X$2:X999))</f>
        <v/>
      </c>
      <c r="AE177" s="160" t="str">
        <f>IF(A177="","",SUMIF(RawTotals!A$2:A999, C177, RawTotals!R$2:R999))</f>
        <v/>
      </c>
      <c r="AF177" s="76"/>
    </row>
    <row r="178">
      <c r="A178" s="76"/>
      <c r="B178" s="170"/>
      <c r="C178" s="76"/>
      <c r="D178" s="173"/>
      <c r="E178" s="173"/>
      <c r="F178" s="173"/>
      <c r="G178" s="175"/>
      <c r="H178" s="173"/>
      <c r="I178" s="156" t="str">
        <f>IF(A178="","",SUMIF(RawTotals!A$2:A999, C178, RawTotals!M$2:M999))</f>
        <v/>
      </c>
      <c r="J178" s="157" t="str">
        <f>IF(A178="","", SUMIF(RawTotals!A$2:A999, C178, RawTotals!AC$2:AC999))</f>
        <v/>
      </c>
      <c r="K178" s="173"/>
      <c r="L178" s="76"/>
      <c r="M178" s="76"/>
      <c r="N178" s="76"/>
      <c r="O178" s="76"/>
      <c r="P178" s="76"/>
      <c r="Q178" s="76"/>
      <c r="R178" s="76"/>
      <c r="S178" s="76"/>
      <c r="T178" s="76"/>
      <c r="U178" s="76"/>
      <c r="V178" s="76"/>
      <c r="W178" s="76"/>
      <c r="X178" s="76"/>
      <c r="Y178" s="76"/>
      <c r="Z178" s="160" t="str">
        <f>IF(A178="","",SUMIF(RawTotals!A$2:A999, C178, RawTotals!AD$2:AD999))</f>
        <v/>
      </c>
      <c r="AA178" s="160" t="str">
        <f>IFERROR(__xludf.DUMMYFUNCTION("IF(A178="""","""",IF(FILTER(RawTotals!K$2:K999,RawTotals!A$2:A999=A178)="""","""",SUMIF(RawTotals!A$2:A999, C178, RawTotals!K$2:K999)))"),"")</f>
        <v/>
      </c>
      <c r="AB178" s="76" t="str">
        <f>IF(A178="","",SUMIF(RawTotals!A$2:A999, C178, RawTotals!E$2:E999))</f>
        <v/>
      </c>
      <c r="AC178" s="76" t="str">
        <f>IF(A178="","",SUMIF(RawTotals!A$2:A999, C178, RawTotals!N$2:N999))</f>
        <v/>
      </c>
      <c r="AD178" s="161" t="str">
        <f>IF(A178="","",SUMIF(RawTotals!A$2:A999, C178, RawTotals!X$2:X999))</f>
        <v/>
      </c>
      <c r="AE178" s="160" t="str">
        <f>IF(A178="","",SUMIF(RawTotals!A$2:A999, C178, RawTotals!R$2:R999))</f>
        <v/>
      </c>
      <c r="AF178" s="76"/>
    </row>
    <row r="179">
      <c r="A179" s="76"/>
      <c r="B179" s="170"/>
      <c r="C179" s="76"/>
      <c r="D179" s="173"/>
      <c r="E179" s="173"/>
      <c r="F179" s="173"/>
      <c r="G179" s="175"/>
      <c r="H179" s="173"/>
      <c r="I179" s="173"/>
      <c r="J179" s="157" t="str">
        <f>IF(A179="","", SUMIF(RawTotals!A$2:A999, C179, RawTotals!AC$2:AC999))</f>
        <v/>
      </c>
      <c r="K179" s="173"/>
      <c r="L179" s="76"/>
      <c r="M179" s="76"/>
      <c r="N179" s="76"/>
      <c r="O179" s="76"/>
      <c r="P179" s="76"/>
      <c r="Q179" s="76"/>
      <c r="R179" s="76"/>
      <c r="S179" s="76"/>
      <c r="T179" s="76"/>
      <c r="U179" s="76"/>
      <c r="V179" s="76"/>
      <c r="W179" s="76"/>
      <c r="X179" s="76"/>
      <c r="Y179" s="76"/>
      <c r="Z179" s="160" t="str">
        <f>IF(A179="","",SUMIF(RawTotals!A$2:A999, C179, RawTotals!AD$2:AD999))</f>
        <v/>
      </c>
      <c r="AA179" s="160" t="str">
        <f>IFERROR(__xludf.DUMMYFUNCTION("IF(A179="""","""",IF(FILTER(RawTotals!K$2:K999,RawTotals!A$2:A999=A179)="""","""",SUMIF(RawTotals!A$2:A999, C179, RawTotals!K$2:K999)))"),"")</f>
        <v/>
      </c>
      <c r="AB179" s="76" t="str">
        <f>IF(A179="","",SUMIF(RawTotals!A$2:A999, C179, RawTotals!E$2:E999))</f>
        <v/>
      </c>
      <c r="AC179" s="76" t="str">
        <f>IF(A179="","",SUMIF(RawTotals!A$2:A999, C179, RawTotals!N$2:N999))</f>
        <v/>
      </c>
      <c r="AD179" s="161" t="str">
        <f>IF(A179="","",SUMIF(RawTotals!A$2:A999, C179, RawTotals!X$2:X999))</f>
        <v/>
      </c>
      <c r="AE179" s="160" t="str">
        <f>IF(A179="","",SUMIF(RawTotals!A$2:A999, C179, RawTotals!R$2:R999))</f>
        <v/>
      </c>
      <c r="AF179" s="76"/>
    </row>
    <row r="180">
      <c r="A180" s="76"/>
      <c r="B180" s="170"/>
      <c r="C180" s="76"/>
      <c r="D180" s="173"/>
      <c r="E180" s="173"/>
      <c r="F180" s="173"/>
      <c r="G180" s="175"/>
      <c r="H180" s="173"/>
      <c r="I180" s="173"/>
      <c r="J180" s="157" t="str">
        <f>IF(A180="","", SUMIF(RawTotals!A$2:A999, C180, RawTotals!AC$2:AC999))</f>
        <v/>
      </c>
      <c r="K180" s="173"/>
      <c r="L180" s="76"/>
      <c r="M180" s="76"/>
      <c r="N180" s="76"/>
      <c r="O180" s="76"/>
      <c r="P180" s="76"/>
      <c r="Q180" s="76"/>
      <c r="R180" s="76"/>
      <c r="S180" s="76"/>
      <c r="T180" s="76"/>
      <c r="U180" s="76"/>
      <c r="V180" s="76"/>
      <c r="W180" s="76"/>
      <c r="X180" s="76"/>
      <c r="Y180" s="76"/>
      <c r="Z180" s="160" t="str">
        <f>IF(A180="","",SUMIF(RawTotals!A$2:A999, C180, RawTotals!AD$2:AD999))</f>
        <v/>
      </c>
      <c r="AA180" s="160" t="str">
        <f>IFERROR(__xludf.DUMMYFUNCTION("IF(A180="""","""",IF(FILTER(RawTotals!K$2:K999,RawTotals!A$2:A999=A180)="""","""",SUMIF(RawTotals!A$2:A999, C180, RawTotals!K$2:K999)))"),"")</f>
        <v/>
      </c>
      <c r="AB180" s="76" t="str">
        <f>IF(A180="","",SUMIF(RawTotals!A$2:A999, C180, RawTotals!E$2:E999))</f>
        <v/>
      </c>
      <c r="AC180" s="76" t="str">
        <f>IF(A180="","",SUMIF(RawTotals!A$2:A999, C180, RawTotals!N$2:N999))</f>
        <v/>
      </c>
      <c r="AD180" s="161" t="str">
        <f>IF(A180="","",SUMIF(RawTotals!A$2:A999, C180, RawTotals!X$2:X999))</f>
        <v/>
      </c>
      <c r="AE180" s="160" t="str">
        <f>IF(A180="","",SUMIF(RawTotals!A$2:A999, C180, RawTotals!R$2:R999))</f>
        <v/>
      </c>
      <c r="AF180" s="76"/>
    </row>
    <row r="181">
      <c r="A181" s="76"/>
      <c r="B181" s="170"/>
      <c r="C181" s="76"/>
      <c r="D181" s="173"/>
      <c r="E181" s="173"/>
      <c r="F181" s="173"/>
      <c r="G181" s="175"/>
      <c r="H181" s="173"/>
      <c r="I181" s="173"/>
      <c r="J181" s="157" t="str">
        <f>IF(A181="","", SUMIF(RawTotals!A$2:A999, C181, RawTotals!AC$2:AC999))</f>
        <v/>
      </c>
      <c r="K181" s="173"/>
      <c r="L181" s="76"/>
      <c r="M181" s="76"/>
      <c r="N181" s="76"/>
      <c r="O181" s="76"/>
      <c r="P181" s="76"/>
      <c r="Q181" s="76"/>
      <c r="R181" s="76"/>
      <c r="S181" s="76"/>
      <c r="T181" s="76"/>
      <c r="U181" s="76"/>
      <c r="V181" s="76"/>
      <c r="W181" s="76"/>
      <c r="X181" s="76"/>
      <c r="Y181" s="76"/>
      <c r="Z181" s="160" t="str">
        <f>IF(A181="","",SUMIF(RawTotals!A$2:A999, C181, RawTotals!AD$2:AD999))</f>
        <v/>
      </c>
      <c r="AA181" s="160" t="str">
        <f>IFERROR(__xludf.DUMMYFUNCTION("IF(A181="""","""",IF(FILTER(RawTotals!K$2:K999,RawTotals!A$2:A999=A181)="""","""",SUMIF(RawTotals!A$2:A999, C181, RawTotals!K$2:K999)))"),"")</f>
        <v/>
      </c>
      <c r="AB181" s="76" t="str">
        <f>IF(A181="","",SUMIF(RawTotals!A$2:A999, C181, RawTotals!E$2:E999))</f>
        <v/>
      </c>
      <c r="AC181" s="76" t="str">
        <f>IF(A181="","",SUMIF(RawTotals!A$2:A999, C181, RawTotals!N$2:N999))</f>
        <v/>
      </c>
      <c r="AD181" s="161" t="str">
        <f>IF(A181="","",SUMIF(RawTotals!A$2:A999, C181, RawTotals!X$2:X999))</f>
        <v/>
      </c>
      <c r="AE181" s="160" t="str">
        <f>IF(A181="","",SUMIF(RawTotals!A$2:A999, C181, RawTotals!R$2:R999))</f>
        <v/>
      </c>
      <c r="AF181" s="76"/>
    </row>
    <row r="182">
      <c r="A182" s="76"/>
      <c r="B182" s="170"/>
      <c r="C182" s="76"/>
      <c r="D182" s="173"/>
      <c r="E182" s="173"/>
      <c r="F182" s="173"/>
      <c r="G182" s="175"/>
      <c r="H182" s="173"/>
      <c r="I182" s="173"/>
      <c r="J182" s="157" t="str">
        <f>IF(A182="","", SUMIF(RawTotals!A$2:A999, C182, RawTotals!AC$2:AC999))</f>
        <v/>
      </c>
      <c r="K182" s="173"/>
      <c r="L182" s="76"/>
      <c r="M182" s="76"/>
      <c r="N182" s="76"/>
      <c r="O182" s="76"/>
      <c r="P182" s="76"/>
      <c r="Q182" s="76"/>
      <c r="R182" s="76"/>
      <c r="S182" s="76"/>
      <c r="T182" s="76"/>
      <c r="U182" s="76"/>
      <c r="V182" s="76"/>
      <c r="W182" s="76"/>
      <c r="X182" s="76"/>
      <c r="Y182" s="76"/>
      <c r="Z182" s="160" t="str">
        <f>IF(A182="","",SUMIF(RawTotals!A$2:A999, C182, RawTotals!AD$2:AD999))</f>
        <v/>
      </c>
      <c r="AA182" s="160" t="str">
        <f>IFERROR(__xludf.DUMMYFUNCTION("IF(A182="""","""",IF(FILTER(RawTotals!K$2:K999,RawTotals!A$2:A999=A182)="""","""",SUMIF(RawTotals!A$2:A999, C182, RawTotals!K$2:K999)))"),"")</f>
        <v/>
      </c>
      <c r="AB182" s="76" t="str">
        <f>IF(A182="","",SUMIF(RawTotals!A$2:A999, C182, RawTotals!E$2:E999))</f>
        <v/>
      </c>
      <c r="AC182" s="76" t="str">
        <f>IF(A182="","",SUMIF(RawTotals!A$2:A999, C182, RawTotals!N$2:N999))</f>
        <v/>
      </c>
      <c r="AD182" s="161" t="str">
        <f>IF(A182="","",SUMIF(RawTotals!A$2:A999, C182, RawTotals!X$2:X999))</f>
        <v/>
      </c>
      <c r="AE182" s="160" t="str">
        <f>IF(A182="","",SUMIF(RawTotals!A$2:A999, C182, RawTotals!R$2:R999))</f>
        <v/>
      </c>
      <c r="AF182" s="76"/>
    </row>
    <row r="183">
      <c r="A183" s="76"/>
      <c r="B183" s="170"/>
      <c r="C183" s="76"/>
      <c r="D183" s="173"/>
      <c r="E183" s="173"/>
      <c r="F183" s="173"/>
      <c r="G183" s="175"/>
      <c r="H183" s="173"/>
      <c r="I183" s="173"/>
      <c r="J183" s="157" t="str">
        <f>IF(A183="","", SUMIF(RawTotals!A$2:A999, C183, RawTotals!AC$2:AC999))</f>
        <v/>
      </c>
      <c r="K183" s="173"/>
      <c r="L183" s="76"/>
      <c r="M183" s="76"/>
      <c r="N183" s="76"/>
      <c r="O183" s="76"/>
      <c r="P183" s="76"/>
      <c r="Q183" s="76"/>
      <c r="R183" s="76"/>
      <c r="S183" s="76"/>
      <c r="T183" s="76"/>
      <c r="U183" s="76"/>
      <c r="V183" s="76"/>
      <c r="W183" s="76"/>
      <c r="X183" s="76"/>
      <c r="Y183" s="76"/>
      <c r="Z183" s="160" t="str">
        <f>IF(A183="","",SUMIF(RawTotals!A$2:A999, C183, RawTotals!AD$2:AD999))</f>
        <v/>
      </c>
      <c r="AA183" s="160" t="str">
        <f>IFERROR(__xludf.DUMMYFUNCTION("IF(A183="""","""",IF(FILTER(RawTotals!K$2:K999,RawTotals!A$2:A999=A183)="""","""",SUMIF(RawTotals!A$2:A999, C183, RawTotals!K$2:K999)))"),"")</f>
        <v/>
      </c>
      <c r="AB183" s="76" t="str">
        <f>IF(A183="","",SUMIF(RawTotals!A$2:A999, C183, RawTotals!E$2:E999))</f>
        <v/>
      </c>
      <c r="AC183" s="76" t="str">
        <f>IF(A183="","",SUMIF(RawTotals!A$2:A999, C183, RawTotals!N$2:N999))</f>
        <v/>
      </c>
      <c r="AD183" s="161" t="str">
        <f>IF(A183="","",SUMIF(RawTotals!A$2:A999, C183, RawTotals!X$2:X999))</f>
        <v/>
      </c>
      <c r="AE183" s="160" t="str">
        <f>IF(A183="","",SUMIF(RawTotals!A$2:A999, C183, RawTotals!R$2:R999))</f>
        <v/>
      </c>
      <c r="AF183" s="76"/>
    </row>
    <row r="184">
      <c r="A184" s="76"/>
      <c r="B184" s="170"/>
      <c r="C184" s="76"/>
      <c r="D184" s="173"/>
      <c r="E184" s="173"/>
      <c r="F184" s="173"/>
      <c r="G184" s="175"/>
      <c r="H184" s="173"/>
      <c r="I184" s="173"/>
      <c r="J184" s="157" t="str">
        <f>IF(A184="","", SUMIF(RawTotals!A$2:A999, C184, RawTotals!AC$2:AC999))</f>
        <v/>
      </c>
      <c r="K184" s="173"/>
      <c r="L184" s="76"/>
      <c r="M184" s="76"/>
      <c r="N184" s="76"/>
      <c r="O184" s="76"/>
      <c r="P184" s="76"/>
      <c r="Q184" s="76"/>
      <c r="R184" s="76"/>
      <c r="S184" s="76"/>
      <c r="T184" s="76"/>
      <c r="U184" s="76"/>
      <c r="V184" s="76"/>
      <c r="W184" s="76"/>
      <c r="X184" s="76"/>
      <c r="Y184" s="76"/>
      <c r="Z184" s="160" t="str">
        <f>IF(A184="","",SUMIF(RawTotals!A$2:A999, C184, RawTotals!AD$2:AD999))</f>
        <v/>
      </c>
      <c r="AA184" s="160" t="str">
        <f>IFERROR(__xludf.DUMMYFUNCTION("IF(A184="""","""",IF(FILTER(RawTotals!K$2:K999,RawTotals!A$2:A999=A184)="""","""",SUMIF(RawTotals!A$2:A999, C184, RawTotals!K$2:K999)))"),"")</f>
        <v/>
      </c>
      <c r="AB184" s="76" t="str">
        <f>IF(A184="","",SUMIF(RawTotals!A$2:A999, C184, RawTotals!E$2:E999))</f>
        <v/>
      </c>
      <c r="AC184" s="76" t="str">
        <f>IF(A184="","",SUMIF(RawTotals!A$2:A999, C184, RawTotals!N$2:N999))</f>
        <v/>
      </c>
      <c r="AD184" s="161" t="str">
        <f>IF(A184="","",SUMIF(RawTotals!A$2:A999, C184, RawTotals!X$2:X999))</f>
        <v/>
      </c>
      <c r="AE184" s="160" t="str">
        <f>IF(A184="","",SUMIF(RawTotals!A$2:A999, C184, RawTotals!R$2:R999))</f>
        <v/>
      </c>
      <c r="AF184" s="76"/>
    </row>
    <row r="185">
      <c r="A185" s="76"/>
      <c r="B185" s="170"/>
      <c r="C185" s="76"/>
      <c r="D185" s="173"/>
      <c r="E185" s="173"/>
      <c r="F185" s="173"/>
      <c r="G185" s="175"/>
      <c r="H185" s="173"/>
      <c r="I185" s="173"/>
      <c r="J185" s="157" t="str">
        <f>IF(A185="","", SUMIF(RawTotals!A$2:A999, C185, RawTotals!AC$2:AC999))</f>
        <v/>
      </c>
      <c r="K185" s="173"/>
      <c r="L185" s="76"/>
      <c r="M185" s="76"/>
      <c r="N185" s="76"/>
      <c r="O185" s="76"/>
      <c r="P185" s="76"/>
      <c r="Q185" s="76"/>
      <c r="R185" s="76"/>
      <c r="S185" s="76"/>
      <c r="T185" s="76"/>
      <c r="U185" s="76"/>
      <c r="V185" s="76"/>
      <c r="W185" s="76"/>
      <c r="X185" s="76"/>
      <c r="Y185" s="76"/>
      <c r="Z185" s="160" t="str">
        <f>IF(A185="","",SUMIF(RawTotals!A$2:A999, C185, RawTotals!AD$2:AD999))</f>
        <v/>
      </c>
      <c r="AA185" s="160" t="str">
        <f>IFERROR(__xludf.DUMMYFUNCTION("IF(A185="""","""",IF(FILTER(RawTotals!K$2:K999,RawTotals!A$2:A999=A185)="""","""",SUMIF(RawTotals!A$2:A999, C185, RawTotals!K$2:K999)))"),"")</f>
        <v/>
      </c>
      <c r="AB185" s="76" t="str">
        <f>IF(A185="","",SUMIF(RawTotals!A$2:A999, C185, RawTotals!E$2:E999))</f>
        <v/>
      </c>
      <c r="AC185" s="76" t="str">
        <f>IF(A185="","",SUMIF(RawTotals!A$2:A999, C185, RawTotals!N$2:N999))</f>
        <v/>
      </c>
      <c r="AD185" s="161" t="str">
        <f>IF(A185="","",SUMIF(RawTotals!A$2:A999, C185, RawTotals!X$2:X999))</f>
        <v/>
      </c>
      <c r="AE185" s="160" t="str">
        <f>IF(A185="","",SUMIF(RawTotals!A$2:A999, C185, RawTotals!R$2:R999))</f>
        <v/>
      </c>
      <c r="AF185" s="76"/>
    </row>
    <row r="186">
      <c r="A186" s="76"/>
      <c r="B186" s="170"/>
      <c r="C186" s="76"/>
      <c r="D186" s="173"/>
      <c r="E186" s="173"/>
      <c r="F186" s="173"/>
      <c r="G186" s="175"/>
      <c r="H186" s="173"/>
      <c r="I186" s="173"/>
      <c r="J186" s="157" t="str">
        <f>IF(A186="","", SUMIF(RawTotals!A$2:A999, C186, RawTotals!AC$2:AC999))</f>
        <v/>
      </c>
      <c r="K186" s="173"/>
      <c r="L186" s="76"/>
      <c r="M186" s="76"/>
      <c r="N186" s="76"/>
      <c r="O186" s="76"/>
      <c r="P186" s="76"/>
      <c r="Q186" s="76"/>
      <c r="R186" s="76"/>
      <c r="S186" s="76"/>
      <c r="T186" s="76"/>
      <c r="U186" s="76"/>
      <c r="V186" s="76"/>
      <c r="W186" s="76"/>
      <c r="X186" s="76"/>
      <c r="Y186" s="76"/>
      <c r="Z186" s="160" t="str">
        <f>IF(A186="","",SUMIF(RawTotals!A$2:A999, C186, RawTotals!AD$2:AD999))</f>
        <v/>
      </c>
      <c r="AA186" s="160" t="str">
        <f>IFERROR(__xludf.DUMMYFUNCTION("IF(A186="""","""",IF(FILTER(RawTotals!K$2:K999,RawTotals!A$2:A999=A186)="""","""",SUMIF(RawTotals!A$2:A999, C186, RawTotals!K$2:K999)))"),"")</f>
        <v/>
      </c>
      <c r="AB186" s="76" t="str">
        <f>IF(A186="","",SUMIF(RawTotals!A$2:A999, C186, RawTotals!E$2:E999))</f>
        <v/>
      </c>
      <c r="AC186" s="76" t="str">
        <f>IF(A186="","",SUMIF(RawTotals!A$2:A999, C186, RawTotals!N$2:N999))</f>
        <v/>
      </c>
      <c r="AD186" s="161" t="str">
        <f>IF(A186="","",SUMIF(RawTotals!A$2:A999, C186, RawTotals!X$2:X999))</f>
        <v/>
      </c>
      <c r="AE186" s="160" t="str">
        <f>IF(A186="","",SUMIF(RawTotals!A$2:A999, C186, RawTotals!R$2:R999))</f>
        <v/>
      </c>
      <c r="AF186" s="76"/>
    </row>
    <row r="187">
      <c r="A187" s="76"/>
      <c r="B187" s="170"/>
      <c r="C187" s="76"/>
      <c r="D187" s="173"/>
      <c r="E187" s="173"/>
      <c r="F187" s="173"/>
      <c r="G187" s="175"/>
      <c r="H187" s="173"/>
      <c r="I187" s="173"/>
      <c r="J187" s="157" t="str">
        <f>IF(A187="","", SUMIF(RawTotals!A$2:A999, C187, RawTotals!AC$2:AC999))</f>
        <v/>
      </c>
      <c r="K187" s="173"/>
      <c r="L187" s="76"/>
      <c r="M187" s="76"/>
      <c r="N187" s="76"/>
      <c r="O187" s="76"/>
      <c r="P187" s="76"/>
      <c r="Q187" s="76"/>
      <c r="R187" s="76"/>
      <c r="S187" s="76"/>
      <c r="T187" s="76"/>
      <c r="U187" s="76"/>
      <c r="V187" s="76"/>
      <c r="W187" s="76"/>
      <c r="X187" s="76"/>
      <c r="Y187" s="76"/>
      <c r="Z187" s="160" t="str">
        <f>IF(A187="","",SUMIF(RawTotals!A$2:A999, C187, RawTotals!AD$2:AD999))</f>
        <v/>
      </c>
      <c r="AA187" s="160" t="str">
        <f>IFERROR(__xludf.DUMMYFUNCTION("IF(A187="""","""",IF(FILTER(RawTotals!K$2:K999,RawTotals!A$2:A999=A187)="""","""",SUMIF(RawTotals!A$2:A999, C187, RawTotals!K$2:K999)))"),"")</f>
        <v/>
      </c>
      <c r="AB187" s="76" t="str">
        <f>IF(A187="","",SUMIF(RawTotals!A$2:A999, C187, RawTotals!E$2:E999))</f>
        <v/>
      </c>
      <c r="AC187" s="76" t="str">
        <f>IF(A187="","",SUMIF(RawTotals!A$2:A999, C187, RawTotals!N$2:N999))</f>
        <v/>
      </c>
      <c r="AD187" s="161" t="str">
        <f>IF(A187="","",SUMIF(RawTotals!A$2:A999, C187, RawTotals!X$2:X999))</f>
        <v/>
      </c>
      <c r="AE187" s="160" t="str">
        <f>IF(A187="","",SUMIF(RawTotals!A$2:A999, C187, RawTotals!R$2:R999))</f>
        <v/>
      </c>
      <c r="AF187" s="76"/>
    </row>
    <row r="188">
      <c r="A188" s="76"/>
      <c r="B188" s="170"/>
      <c r="C188" s="76"/>
      <c r="D188" s="173"/>
      <c r="E188" s="173"/>
      <c r="F188" s="173"/>
      <c r="G188" s="175"/>
      <c r="H188" s="173"/>
      <c r="I188" s="173"/>
      <c r="J188" s="157" t="str">
        <f>IF(A188="","", SUMIF(RawTotals!A$2:A999, C188, RawTotals!AC$2:AC999))</f>
        <v/>
      </c>
      <c r="K188" s="173"/>
      <c r="L188" s="76"/>
      <c r="M188" s="76"/>
      <c r="N188" s="76"/>
      <c r="O188" s="76"/>
      <c r="P188" s="76"/>
      <c r="Q188" s="76"/>
      <c r="R188" s="76"/>
      <c r="S188" s="76"/>
      <c r="T188" s="76"/>
      <c r="U188" s="76"/>
      <c r="V188" s="76"/>
      <c r="W188" s="76"/>
      <c r="X188" s="76"/>
      <c r="Y188" s="76"/>
      <c r="Z188" s="160" t="str">
        <f>IF(A188="","",SUMIF(RawTotals!A$2:A999, C188, RawTotals!AD$2:AD999))</f>
        <v/>
      </c>
      <c r="AA188" s="160" t="str">
        <f>IFERROR(__xludf.DUMMYFUNCTION("IF(A188="""","""",IF(FILTER(RawTotals!K$2:K999,RawTotals!A$2:A999=A188)="""","""",SUMIF(RawTotals!A$2:A999, C188, RawTotals!K$2:K999)))"),"")</f>
        <v/>
      </c>
      <c r="AB188" s="76" t="str">
        <f>IF(A188="","",SUMIF(RawTotals!A$2:A999, C188, RawTotals!E$2:E999))</f>
        <v/>
      </c>
      <c r="AC188" s="76" t="str">
        <f>IF(A188="","",SUMIF(RawTotals!A$2:A999, C188, RawTotals!N$2:N999))</f>
        <v/>
      </c>
      <c r="AD188" s="161" t="str">
        <f>IF(A188="","",SUMIF(RawTotals!A$2:A999, C188, RawTotals!X$2:X999))</f>
        <v/>
      </c>
      <c r="AE188" s="160" t="str">
        <f>IF(A188="","",SUMIF(RawTotals!A$2:A999, C188, RawTotals!R$2:R999))</f>
        <v/>
      </c>
      <c r="AF188" s="76"/>
    </row>
    <row r="189">
      <c r="A189" s="76"/>
      <c r="B189" s="170"/>
      <c r="C189" s="76"/>
      <c r="D189" s="173"/>
      <c r="E189" s="173"/>
      <c r="F189" s="173"/>
      <c r="G189" s="175"/>
      <c r="H189" s="173"/>
      <c r="I189" s="173"/>
      <c r="J189" s="157" t="str">
        <f>IF(A189="","", SUMIF(RawTotals!A$2:A999, C189, RawTotals!AC$2:AC999))</f>
        <v/>
      </c>
      <c r="K189" s="173"/>
      <c r="L189" s="76"/>
      <c r="M189" s="76"/>
      <c r="N189" s="76"/>
      <c r="O189" s="76"/>
      <c r="P189" s="76"/>
      <c r="Q189" s="76"/>
      <c r="R189" s="76"/>
      <c r="S189" s="76"/>
      <c r="T189" s="76"/>
      <c r="U189" s="76"/>
      <c r="V189" s="76"/>
      <c r="W189" s="76"/>
      <c r="X189" s="76"/>
      <c r="Y189" s="76"/>
      <c r="Z189" s="160" t="str">
        <f>IF(A189="","",SUMIF(RawTotals!A$2:A999, C189, RawTotals!AD$2:AD999))</f>
        <v/>
      </c>
      <c r="AA189" s="160" t="str">
        <f>IFERROR(__xludf.DUMMYFUNCTION("IF(A189="""","""",IF(FILTER(RawTotals!K$2:K999,RawTotals!A$2:A999=A189)="""","""",SUMIF(RawTotals!A$2:A999, C189, RawTotals!K$2:K999)))"),"")</f>
        <v/>
      </c>
      <c r="AB189" s="76" t="str">
        <f>IF(A189="","",SUMIF(RawTotals!A$2:A999, C189, RawTotals!E$2:E999))</f>
        <v/>
      </c>
      <c r="AC189" s="76" t="str">
        <f>IF(A189="","",SUMIF(RawTotals!A$2:A999, C189, RawTotals!N$2:N999))</f>
        <v/>
      </c>
      <c r="AD189" s="161" t="str">
        <f>IF(A189="","",SUMIF(RawTotals!A$2:A999, C189, RawTotals!X$2:X999))</f>
        <v/>
      </c>
      <c r="AE189" s="160" t="str">
        <f>IF(A189="","",SUMIF(RawTotals!A$2:A999, C189, RawTotals!R$2:R999))</f>
        <v/>
      </c>
      <c r="AF189" s="76"/>
    </row>
    <row r="190">
      <c r="A190" s="76"/>
      <c r="B190" s="170"/>
      <c r="C190" s="76"/>
      <c r="D190" s="173"/>
      <c r="E190" s="173"/>
      <c r="F190" s="173"/>
      <c r="G190" s="175"/>
      <c r="H190" s="173"/>
      <c r="I190" s="173"/>
      <c r="J190" s="157" t="str">
        <f>IF(A190="","", SUMIF(RawTotals!A$2:A999, C190, RawTotals!AC$2:AC999))</f>
        <v/>
      </c>
      <c r="K190" s="173"/>
      <c r="L190" s="76"/>
      <c r="M190" s="76"/>
      <c r="N190" s="76"/>
      <c r="O190" s="76"/>
      <c r="P190" s="76"/>
      <c r="Q190" s="76"/>
      <c r="R190" s="76"/>
      <c r="S190" s="76"/>
      <c r="T190" s="76"/>
      <c r="U190" s="76"/>
      <c r="V190" s="76"/>
      <c r="W190" s="76"/>
      <c r="X190" s="76"/>
      <c r="Y190" s="76"/>
      <c r="Z190" s="160" t="str">
        <f>IF(A190="","",SUMIF(RawTotals!A$2:A999, C190, RawTotals!AD$2:AD999))</f>
        <v/>
      </c>
      <c r="AA190" s="160" t="str">
        <f>IFERROR(__xludf.DUMMYFUNCTION("IF(A190="""","""",IF(FILTER(RawTotals!K$2:K999,RawTotals!A$2:A999=A190)="""","""",SUMIF(RawTotals!A$2:A999, C190, RawTotals!K$2:K999)))"),"")</f>
        <v/>
      </c>
      <c r="AB190" s="76" t="str">
        <f>IF(A190="","",SUMIF(RawTotals!A$2:A999, C190, RawTotals!E$2:E999))</f>
        <v/>
      </c>
      <c r="AC190" s="76" t="str">
        <f>IF(A190="","",SUMIF(RawTotals!A$2:A999, C190, RawTotals!N$2:N999))</f>
        <v/>
      </c>
      <c r="AD190" s="161" t="str">
        <f>IF(A190="","",SUMIF(RawTotals!A$2:A999, C190, RawTotals!X$2:X999))</f>
        <v/>
      </c>
      <c r="AE190" s="160" t="str">
        <f>IF(A190="","",SUMIF(RawTotals!A$2:A999, C190, RawTotals!R$2:R999))</f>
        <v/>
      </c>
      <c r="AF190" s="76"/>
    </row>
    <row r="191">
      <c r="A191" s="76"/>
      <c r="B191" s="170"/>
      <c r="C191" s="76"/>
      <c r="D191" s="173"/>
      <c r="E191" s="173"/>
      <c r="F191" s="173"/>
      <c r="G191" s="175"/>
      <c r="H191" s="173"/>
      <c r="I191" s="173"/>
      <c r="J191" s="157" t="str">
        <f>IF(A191="","", SUMIF(RawTotals!A$2:A999, C191, RawTotals!AC$2:AC999))</f>
        <v/>
      </c>
      <c r="K191" s="173"/>
      <c r="L191" s="76"/>
      <c r="M191" s="76"/>
      <c r="N191" s="76"/>
      <c r="O191" s="76"/>
      <c r="P191" s="76"/>
      <c r="Q191" s="76"/>
      <c r="R191" s="76"/>
      <c r="S191" s="76"/>
      <c r="T191" s="76"/>
      <c r="U191" s="76"/>
      <c r="V191" s="76"/>
      <c r="W191" s="76"/>
      <c r="X191" s="76"/>
      <c r="Y191" s="76"/>
      <c r="Z191" s="160" t="str">
        <f>IF(A191="","",SUMIF(RawTotals!A$2:A999, C191, RawTotals!AD$2:AD999))</f>
        <v/>
      </c>
      <c r="AA191" s="160" t="str">
        <f>IFERROR(__xludf.DUMMYFUNCTION("IF(A191="""","""",IF(FILTER(RawTotals!K$2:K999,RawTotals!A$2:A999=A191)="""","""",SUMIF(RawTotals!A$2:A999, C191, RawTotals!K$2:K999)))"),"")</f>
        <v/>
      </c>
      <c r="AB191" s="76" t="str">
        <f>IF(A191="","",SUMIF(RawTotals!A$2:A999, C191, RawTotals!E$2:E999))</f>
        <v/>
      </c>
      <c r="AC191" s="76" t="str">
        <f>IF(A191="","",SUMIF(RawTotals!A$2:A999, C191, RawTotals!N$2:N999))</f>
        <v/>
      </c>
      <c r="AD191" s="161" t="str">
        <f>IF(A191="","",SUMIF(RawTotals!A$2:A999, C191, RawTotals!X$2:X999))</f>
        <v/>
      </c>
      <c r="AE191" s="160" t="str">
        <f>IF(A191="","",SUMIF(RawTotals!A$2:A999, C191, RawTotals!R$2:R999))</f>
        <v/>
      </c>
      <c r="AF191" s="76"/>
    </row>
    <row r="192">
      <c r="A192" s="76"/>
      <c r="B192" s="170"/>
      <c r="C192" s="76"/>
      <c r="D192" s="173"/>
      <c r="E192" s="173"/>
      <c r="F192" s="173"/>
      <c r="G192" s="175"/>
      <c r="H192" s="173"/>
      <c r="I192" s="173"/>
      <c r="J192" s="157" t="str">
        <f>IF(A192="","", SUMIF(RawTotals!A$2:A999, C192, RawTotals!AC$2:AC999))</f>
        <v/>
      </c>
      <c r="K192" s="173"/>
      <c r="L192" s="76"/>
      <c r="M192" s="76"/>
      <c r="N192" s="76"/>
      <c r="O192" s="76"/>
      <c r="P192" s="76"/>
      <c r="Q192" s="76"/>
      <c r="R192" s="76"/>
      <c r="S192" s="76"/>
      <c r="T192" s="76"/>
      <c r="U192" s="76"/>
      <c r="V192" s="76"/>
      <c r="W192" s="76"/>
      <c r="X192" s="76"/>
      <c r="Y192" s="76"/>
      <c r="Z192" s="160" t="str">
        <f>IF(A192="","",SUMIF(RawTotals!A$2:A999, C192, RawTotals!AD$2:AD999))</f>
        <v/>
      </c>
      <c r="AA192" s="160" t="str">
        <f>IFERROR(__xludf.DUMMYFUNCTION("IF(A192="""","""",IF(FILTER(RawTotals!K$2:K999,RawTotals!A$2:A999=A192)="""","""",SUMIF(RawTotals!A$2:A999, C192, RawTotals!K$2:K999)))"),"")</f>
        <v/>
      </c>
      <c r="AB192" s="76" t="str">
        <f>IF(A192="","",SUMIF(RawTotals!A$2:A999, C192, RawTotals!E$2:E999))</f>
        <v/>
      </c>
      <c r="AC192" s="76" t="str">
        <f>IF(A192="","",SUMIF(RawTotals!A$2:A999, C192, RawTotals!N$2:N999))</f>
        <v/>
      </c>
      <c r="AD192" s="161" t="str">
        <f>IF(A192="","",SUMIF(RawTotals!A$2:A999, C192, RawTotals!X$2:X999))</f>
        <v/>
      </c>
      <c r="AE192" s="160" t="str">
        <f>IF(A192="","",SUMIF(RawTotals!A$2:A999, C192, RawTotals!R$2:R999))</f>
        <v/>
      </c>
      <c r="AF192" s="76"/>
    </row>
    <row r="193">
      <c r="A193" s="76"/>
      <c r="B193" s="170"/>
      <c r="C193" s="76"/>
      <c r="D193" s="173"/>
      <c r="E193" s="173"/>
      <c r="F193" s="173"/>
      <c r="G193" s="175"/>
      <c r="H193" s="173"/>
      <c r="I193" s="173"/>
      <c r="J193" s="157" t="str">
        <f>IF(A193="","", SUMIF(RawTotals!A$2:A999, C193, RawTotals!AC$2:AC999))</f>
        <v/>
      </c>
      <c r="K193" s="173"/>
      <c r="L193" s="76"/>
      <c r="M193" s="76"/>
      <c r="N193" s="76"/>
      <c r="O193" s="76"/>
      <c r="P193" s="76"/>
      <c r="Q193" s="76"/>
      <c r="R193" s="76"/>
      <c r="S193" s="76"/>
      <c r="T193" s="76"/>
      <c r="U193" s="76"/>
      <c r="V193" s="76"/>
      <c r="W193" s="76"/>
      <c r="X193" s="76"/>
      <c r="Y193" s="76"/>
      <c r="Z193" s="160" t="str">
        <f>IF(A193="","",SUMIF(RawTotals!A$2:A999, C193, RawTotals!AD$2:AD999))</f>
        <v/>
      </c>
      <c r="AA193" s="160" t="str">
        <f>IFERROR(__xludf.DUMMYFUNCTION("IF(A193="""","""",IF(FILTER(RawTotals!K$2:K999,RawTotals!A$2:A999=A193)="""","""",SUMIF(RawTotals!A$2:A999, C193, RawTotals!K$2:K999)))"),"")</f>
        <v/>
      </c>
      <c r="AB193" s="76" t="str">
        <f>IF(A193="","",SUMIF(RawTotals!A$2:A999, C193, RawTotals!E$2:E999))</f>
        <v/>
      </c>
      <c r="AC193" s="76" t="str">
        <f>IF(A193="","",SUMIF(RawTotals!A$2:A999, C193, RawTotals!N$2:N999))</f>
        <v/>
      </c>
      <c r="AD193" s="161" t="str">
        <f>IF(A193="","",SUMIF(RawTotals!A$2:A999, C193, RawTotals!X$2:X999))</f>
        <v/>
      </c>
      <c r="AE193" s="160" t="str">
        <f>IF(A193="","",SUMIF(RawTotals!A$2:A999, C193, RawTotals!R$2:R999))</f>
        <v/>
      </c>
      <c r="AF193" s="76"/>
    </row>
    <row r="194">
      <c r="A194" s="76"/>
      <c r="B194" s="170"/>
      <c r="C194" s="76"/>
      <c r="D194" s="173"/>
      <c r="E194" s="173"/>
      <c r="F194" s="173"/>
      <c r="G194" s="175"/>
      <c r="H194" s="173"/>
      <c r="I194" s="173"/>
      <c r="J194" s="157" t="str">
        <f>IF(A194="","", SUMIF(RawTotals!A$2:A999, C194, RawTotals!AC$2:AC999))</f>
        <v/>
      </c>
      <c r="K194" s="173"/>
      <c r="L194" s="76"/>
      <c r="M194" s="76"/>
      <c r="N194" s="76"/>
      <c r="O194" s="76"/>
      <c r="P194" s="76"/>
      <c r="Q194" s="76"/>
      <c r="R194" s="76"/>
      <c r="S194" s="76"/>
      <c r="T194" s="76"/>
      <c r="U194" s="76"/>
      <c r="V194" s="76"/>
      <c r="W194" s="76"/>
      <c r="X194" s="76"/>
      <c r="Y194" s="76"/>
      <c r="Z194" s="160" t="str">
        <f>IF(A194="","",SUMIF(RawTotals!A$2:A999, C194, RawTotals!AD$2:AD999))</f>
        <v/>
      </c>
      <c r="AA194" s="160" t="str">
        <f>IFERROR(__xludf.DUMMYFUNCTION("IF(A194="""","""",IF(FILTER(RawTotals!K$2:K999,RawTotals!A$2:A999=A194)="""","""",SUMIF(RawTotals!A$2:A999, C194, RawTotals!K$2:K999)))"),"")</f>
        <v/>
      </c>
      <c r="AB194" s="76" t="str">
        <f>IF(A194="","",SUMIF(RawTotals!A$2:A999, C194, RawTotals!E$2:E999))</f>
        <v/>
      </c>
      <c r="AC194" s="76" t="str">
        <f>IF(A194="","",SUMIF(RawTotals!A$2:A999, C194, RawTotals!N$2:N999))</f>
        <v/>
      </c>
      <c r="AD194" s="161" t="str">
        <f>IF(A194="","",SUMIF(RawTotals!A$2:A999, C194, RawTotals!X$2:X999))</f>
        <v/>
      </c>
      <c r="AE194" s="160" t="str">
        <f>IF(A194="","",SUMIF(RawTotals!A$2:A999, C194, RawTotals!R$2:R999))</f>
        <v/>
      </c>
      <c r="AF194" s="76"/>
    </row>
    <row r="195">
      <c r="A195" s="76"/>
      <c r="B195" s="170"/>
      <c r="C195" s="76"/>
      <c r="D195" s="173"/>
      <c r="E195" s="173"/>
      <c r="F195" s="173"/>
      <c r="G195" s="175"/>
      <c r="H195" s="173"/>
      <c r="I195" s="173"/>
      <c r="J195" s="157" t="str">
        <f>IF(A195="","", SUMIF(RawTotals!A$2:A999, C195, RawTotals!AC$2:AC999))</f>
        <v/>
      </c>
      <c r="K195" s="173"/>
      <c r="L195" s="76"/>
      <c r="M195" s="76"/>
      <c r="N195" s="76"/>
      <c r="O195" s="76"/>
      <c r="P195" s="76"/>
      <c r="Q195" s="76"/>
      <c r="R195" s="76"/>
      <c r="S195" s="76"/>
      <c r="T195" s="76"/>
      <c r="U195" s="76"/>
      <c r="V195" s="76"/>
      <c r="W195" s="76"/>
      <c r="X195" s="76"/>
      <c r="Y195" s="76"/>
      <c r="Z195" s="160" t="str">
        <f>IF(A195="","",SUMIF(RawTotals!A$2:A999, C195, RawTotals!AD$2:AD999))</f>
        <v/>
      </c>
      <c r="AA195" s="160" t="str">
        <f>IFERROR(__xludf.DUMMYFUNCTION("IF(A195="""","""",IF(FILTER(RawTotals!K$2:K999,RawTotals!A$2:A999=A195)="""","""",SUMIF(RawTotals!A$2:A999, C195, RawTotals!K$2:K999)))"),"")</f>
        <v/>
      </c>
      <c r="AB195" s="76" t="str">
        <f>IF(A195="","",SUMIF(RawTotals!A$2:A999, C195, RawTotals!E$2:E999))</f>
        <v/>
      </c>
      <c r="AC195" s="76" t="str">
        <f>IF(A195="","",SUMIF(RawTotals!A$2:A999, C195, RawTotals!N$2:N999))</f>
        <v/>
      </c>
      <c r="AD195" s="161" t="str">
        <f>IF(A195="","",SUMIF(RawTotals!A$2:A999, C195, RawTotals!X$2:X999))</f>
        <v/>
      </c>
      <c r="AE195" s="160" t="str">
        <f>IF(A195="","",SUMIF(RawTotals!A$2:A999, C195, RawTotals!R$2:R999))</f>
        <v/>
      </c>
      <c r="AF195" s="76"/>
    </row>
    <row r="196">
      <c r="A196" s="76"/>
      <c r="B196" s="170"/>
      <c r="C196" s="76"/>
      <c r="D196" s="173"/>
      <c r="E196" s="173"/>
      <c r="F196" s="173"/>
      <c r="G196" s="175"/>
      <c r="H196" s="173"/>
      <c r="I196" s="173"/>
      <c r="J196" s="157" t="str">
        <f>IF(A196="","", SUMIF(RawTotals!A$2:A999, C196, RawTotals!AC$2:AC999))</f>
        <v/>
      </c>
      <c r="K196" s="173"/>
      <c r="L196" s="76"/>
      <c r="M196" s="76"/>
      <c r="N196" s="76"/>
      <c r="O196" s="76"/>
      <c r="P196" s="76"/>
      <c r="Q196" s="76"/>
      <c r="R196" s="76"/>
      <c r="S196" s="76"/>
      <c r="T196" s="76"/>
      <c r="U196" s="76"/>
      <c r="V196" s="76"/>
      <c r="W196" s="76"/>
      <c r="X196" s="76"/>
      <c r="Y196" s="76"/>
      <c r="Z196" s="160" t="str">
        <f>IF(A196="","",SUMIF(RawTotals!A$2:A999, C196, RawTotals!AD$2:AD999))</f>
        <v/>
      </c>
      <c r="AA196" s="160" t="str">
        <f>IFERROR(__xludf.DUMMYFUNCTION("IF(A196="""","""",IF(FILTER(RawTotals!K$2:K999,RawTotals!A$2:A999=A196)="""","""",SUMIF(RawTotals!A$2:A999, C196, RawTotals!K$2:K999)))"),"")</f>
        <v/>
      </c>
      <c r="AB196" s="76" t="str">
        <f>IF(A196="","",SUMIF(RawTotals!A$2:A999, C196, RawTotals!E$2:E999))</f>
        <v/>
      </c>
      <c r="AC196" s="76" t="str">
        <f>IF(A196="","",SUMIF(RawTotals!A$2:A999, C196, RawTotals!N$2:N999))</f>
        <v/>
      </c>
      <c r="AD196" s="161" t="str">
        <f>IF(A196="","",SUMIF(RawTotals!A$2:A999, C196, RawTotals!X$2:X999))</f>
        <v/>
      </c>
      <c r="AE196" s="160" t="str">
        <f>IF(A196="","",SUMIF(RawTotals!A$2:A999, C196, RawTotals!R$2:R999))</f>
        <v/>
      </c>
      <c r="AF196" s="76"/>
    </row>
    <row r="197">
      <c r="A197" s="76"/>
      <c r="B197" s="170"/>
      <c r="C197" s="76"/>
      <c r="D197" s="173"/>
      <c r="E197" s="173"/>
      <c r="F197" s="173"/>
      <c r="G197" s="175"/>
      <c r="H197" s="173"/>
      <c r="I197" s="173"/>
      <c r="J197" s="173"/>
      <c r="K197" s="173"/>
      <c r="L197" s="76"/>
      <c r="M197" s="76"/>
      <c r="N197" s="76"/>
      <c r="O197" s="76"/>
      <c r="P197" s="76"/>
      <c r="Q197" s="76"/>
      <c r="R197" s="76"/>
      <c r="S197" s="76"/>
      <c r="T197" s="76"/>
      <c r="U197" s="76"/>
      <c r="V197" s="76"/>
      <c r="W197" s="76"/>
      <c r="X197" s="76"/>
      <c r="Y197" s="76"/>
      <c r="Z197" s="160" t="str">
        <f>IF(A197="","",SUMIF(RawTotals!A$2:A999, C197, RawTotals!AD$2:AD999))</f>
        <v/>
      </c>
      <c r="AA197" s="160" t="str">
        <f>IFERROR(__xludf.DUMMYFUNCTION("IF(A197="""","""",IF(FILTER(RawTotals!K$2:K999,RawTotals!A$2:A999=A197)="""","""",SUMIF(RawTotals!A$2:A999, C197, RawTotals!K$2:K999)))"),"")</f>
        <v/>
      </c>
      <c r="AB197" s="76" t="str">
        <f>IF(A197="","",SUMIF(RawTotals!A$2:A999, C197, RawTotals!E$2:E999))</f>
        <v/>
      </c>
      <c r="AC197" s="76" t="str">
        <f>IF(A197="","",SUMIF(RawTotals!A$2:A999, C197, RawTotals!N$2:N999))</f>
        <v/>
      </c>
      <c r="AD197" s="161" t="str">
        <f>IF(A197="","",SUMIF(RawTotals!A$2:A999, C197, RawTotals!X$2:X999))</f>
        <v/>
      </c>
      <c r="AE197" s="160" t="str">
        <f>IF(A197="","",SUMIF(RawTotals!A$2:A999, C197, RawTotals!R$2:R999))</f>
        <v/>
      </c>
      <c r="AF197" s="76"/>
    </row>
    <row r="198">
      <c r="A198" s="76"/>
      <c r="B198" s="170"/>
      <c r="C198" s="76"/>
      <c r="D198" s="173"/>
      <c r="E198" s="173"/>
      <c r="F198" s="173"/>
      <c r="G198" s="175"/>
      <c r="H198" s="173"/>
      <c r="I198" s="173"/>
      <c r="J198" s="173"/>
      <c r="K198" s="173"/>
      <c r="L198" s="76"/>
      <c r="M198" s="76"/>
      <c r="N198" s="76"/>
      <c r="O198" s="76"/>
      <c r="P198" s="76"/>
      <c r="Q198" s="76"/>
      <c r="R198" s="76"/>
      <c r="S198" s="76"/>
      <c r="T198" s="76"/>
      <c r="U198" s="76"/>
      <c r="V198" s="76"/>
      <c r="W198" s="76"/>
      <c r="X198" s="76"/>
      <c r="Y198" s="76"/>
      <c r="Z198" s="160" t="str">
        <f>IF(A198="","",SUMIF(RawTotals!A$2:A999, C198, RawTotals!AD$2:AD999))</f>
        <v/>
      </c>
      <c r="AA198" s="160" t="str">
        <f>IFERROR(__xludf.DUMMYFUNCTION("IF(A198="""","""",IF(FILTER(RawTotals!K$2:K999,RawTotals!A$2:A999=A198)="""","""",SUMIF(RawTotals!A$2:A999, C198, RawTotals!K$2:K999)))"),"")</f>
        <v/>
      </c>
      <c r="AB198" s="76" t="str">
        <f>IF(A198="","",SUMIF(RawTotals!A$2:A999, C198, RawTotals!E$2:E999))</f>
        <v/>
      </c>
      <c r="AC198" s="76" t="str">
        <f>IF(A198="","",SUMIF(RawTotals!A$2:A999, C198, RawTotals!N$2:N999))</f>
        <v/>
      </c>
      <c r="AD198" s="161" t="str">
        <f>IF(A198="","",SUMIF(RawTotals!A$2:A999, C198, RawTotals!X$2:X999))</f>
        <v/>
      </c>
      <c r="AE198" s="160" t="str">
        <f>IF(A198="","",SUMIF(RawTotals!A$2:A999, C198, RawTotals!R$2:R999))</f>
        <v/>
      </c>
      <c r="AF198" s="76"/>
    </row>
    <row r="199">
      <c r="A199" s="76"/>
      <c r="B199" s="170"/>
      <c r="C199" s="76"/>
      <c r="D199" s="173"/>
      <c r="E199" s="173"/>
      <c r="F199" s="173"/>
      <c r="G199" s="175"/>
      <c r="H199" s="173"/>
      <c r="I199" s="173"/>
      <c r="J199" s="173"/>
      <c r="K199" s="173"/>
      <c r="L199" s="76"/>
      <c r="M199" s="76"/>
      <c r="N199" s="76"/>
      <c r="O199" s="76"/>
      <c r="P199" s="76"/>
      <c r="Q199" s="76"/>
      <c r="R199" s="76"/>
      <c r="S199" s="76"/>
      <c r="T199" s="76"/>
      <c r="U199" s="76"/>
      <c r="V199" s="76"/>
      <c r="W199" s="76"/>
      <c r="X199" s="76"/>
      <c r="Y199" s="76"/>
      <c r="Z199" s="160" t="str">
        <f>IF(A199="","",SUMIF(RawTotals!A$2:A999, C199, RawTotals!AD$2:AD999))</f>
        <v/>
      </c>
      <c r="AA199" s="160" t="str">
        <f>IFERROR(__xludf.DUMMYFUNCTION("IF(A199="""","""",IF(FILTER(RawTotals!K$2:K999,RawTotals!A$2:A999=A199)="""","""",SUMIF(RawTotals!A$2:A999, C199, RawTotals!K$2:K999)))"),"")</f>
        <v/>
      </c>
      <c r="AB199" s="76" t="str">
        <f>IF(A199="","",SUMIF(RawTotals!A$2:A999, C199, RawTotals!E$2:E999))</f>
        <v/>
      </c>
      <c r="AC199" s="76" t="str">
        <f>IF(A199="","",SUMIF(RawTotals!A$2:A999, C199, RawTotals!N$2:N999))</f>
        <v/>
      </c>
      <c r="AD199" s="161" t="str">
        <f>IF(A199="","",SUMIF(RawTotals!A$2:A999, C199, RawTotals!X$2:X999))</f>
        <v/>
      </c>
      <c r="AE199" s="160" t="str">
        <f>IF(A199="","",SUMIF(RawTotals!A$2:A999, C199, RawTotals!R$2:R999))</f>
        <v/>
      </c>
      <c r="AF199" s="76"/>
    </row>
    <row r="200">
      <c r="A200" s="76"/>
      <c r="B200" s="170"/>
      <c r="C200" s="76"/>
      <c r="D200" s="173"/>
      <c r="E200" s="173"/>
      <c r="F200" s="173"/>
      <c r="G200" s="175"/>
      <c r="H200" s="173"/>
      <c r="I200" s="173"/>
      <c r="J200" s="173"/>
      <c r="K200" s="173"/>
      <c r="L200" s="76"/>
      <c r="M200" s="76"/>
      <c r="N200" s="76"/>
      <c r="O200" s="76"/>
      <c r="P200" s="76"/>
      <c r="Q200" s="76"/>
      <c r="R200" s="76"/>
      <c r="S200" s="76"/>
      <c r="T200" s="76"/>
      <c r="U200" s="76"/>
      <c r="V200" s="76"/>
      <c r="W200" s="76"/>
      <c r="X200" s="76"/>
      <c r="Y200" s="76"/>
      <c r="Z200" s="160" t="str">
        <f>IF(A200="","",SUMIF(RawTotals!A$2:A999, C200, RawTotals!AD$2:AD999))</f>
        <v/>
      </c>
      <c r="AA200" s="160" t="str">
        <f>IFERROR(__xludf.DUMMYFUNCTION("IF(A200="""","""",IF(FILTER(RawTotals!K$2:K999,RawTotals!A$2:A999=A200)="""","""",SUMIF(RawTotals!A$2:A999, C200, RawTotals!K$2:K999)))"),"")</f>
        <v/>
      </c>
      <c r="AB200" s="76" t="str">
        <f>IF(A200="","",SUMIF(RawTotals!A$2:A999, C200, RawTotals!E$2:E999))</f>
        <v/>
      </c>
      <c r="AC200" s="76" t="str">
        <f>IF(A200="","",SUMIF(RawTotals!A$2:A999, C200, RawTotals!N$2:N999))</f>
        <v/>
      </c>
      <c r="AD200" s="161" t="str">
        <f>IF(A200="","",SUMIF(RawTotals!A$2:A999, C200, RawTotals!X$2:X999))</f>
        <v/>
      </c>
      <c r="AE200" s="160" t="str">
        <f>IF(A200="","",SUMIF(RawTotals!A$2:A999, C200, RawTotals!R$2:R999))</f>
        <v/>
      </c>
      <c r="AF200" s="76"/>
    </row>
    <row r="201">
      <c r="A201" s="76"/>
      <c r="B201" s="170"/>
      <c r="C201" s="76"/>
      <c r="D201" s="173"/>
      <c r="E201" s="173"/>
      <c r="F201" s="173"/>
      <c r="G201" s="175"/>
      <c r="H201" s="173"/>
      <c r="I201" s="173"/>
      <c r="J201" s="173"/>
      <c r="K201" s="173"/>
      <c r="L201" s="76"/>
      <c r="M201" s="76"/>
      <c r="N201" s="76"/>
      <c r="O201" s="76"/>
      <c r="P201" s="76"/>
      <c r="Q201" s="76"/>
      <c r="R201" s="76"/>
      <c r="S201" s="76"/>
      <c r="T201" s="76"/>
      <c r="U201" s="76"/>
      <c r="V201" s="76"/>
      <c r="W201" s="76"/>
      <c r="X201" s="76"/>
      <c r="Y201" s="76"/>
      <c r="Z201" s="160" t="str">
        <f>IF(A201="","",SUMIF(RawTotals!A$2:A999, C201, RawTotals!AD$2:AD999))</f>
        <v/>
      </c>
      <c r="AA201" s="160" t="str">
        <f>IFERROR(__xludf.DUMMYFUNCTION("IF(A201="""","""",IF(FILTER(RawTotals!K$2:K999,RawTotals!A$2:A999=A201)="""","""",SUMIF(RawTotals!A$2:A999, C201, RawTotals!K$2:K999)))"),"")</f>
        <v/>
      </c>
      <c r="AB201" s="76" t="str">
        <f>IF(A201="","",SUMIF(RawTotals!A$2:A999, C201, RawTotals!E$2:E999))</f>
        <v/>
      </c>
      <c r="AC201" s="76" t="str">
        <f>IF(A201="","",SUMIF(RawTotals!A$2:A999, C201, RawTotals!N$2:N999))</f>
        <v/>
      </c>
      <c r="AD201" s="161" t="str">
        <f>IF(A201="","",SUMIF(RawTotals!A$2:A999, C201, RawTotals!X$2:X999))</f>
        <v/>
      </c>
      <c r="AE201" s="160" t="str">
        <f>IF(A201="","",SUMIF(RawTotals!A$2:A999, C201, RawTotals!R$2:R999))</f>
        <v/>
      </c>
      <c r="AF201" s="76"/>
    </row>
    <row r="202">
      <c r="A202" s="76"/>
      <c r="B202" s="170"/>
      <c r="C202" s="76"/>
      <c r="D202" s="173"/>
      <c r="E202" s="173"/>
      <c r="F202" s="173"/>
      <c r="G202" s="175"/>
      <c r="H202" s="173"/>
      <c r="I202" s="173"/>
      <c r="J202" s="173"/>
      <c r="K202" s="173"/>
      <c r="L202" s="76"/>
      <c r="M202" s="76"/>
      <c r="N202" s="76"/>
      <c r="O202" s="76"/>
      <c r="P202" s="76"/>
      <c r="Q202" s="76"/>
      <c r="R202" s="76"/>
      <c r="S202" s="76"/>
      <c r="T202" s="76"/>
      <c r="U202" s="76"/>
      <c r="V202" s="76"/>
      <c r="W202" s="76"/>
      <c r="X202" s="76"/>
      <c r="Y202" s="76"/>
      <c r="Z202" s="160" t="str">
        <f>IF(A202="","",SUMIF(RawTotals!A$2:A999, C202, RawTotals!AD$2:AD999))</f>
        <v/>
      </c>
      <c r="AA202" s="160" t="str">
        <f>IFERROR(__xludf.DUMMYFUNCTION("IF(A202="""","""",IF(FILTER(RawTotals!K$2:K999,RawTotals!A$2:A999=A202)="""","""",SUMIF(RawTotals!A$2:A999, C202, RawTotals!K$2:K999)))"),"")</f>
        <v/>
      </c>
      <c r="AB202" s="76" t="str">
        <f>IF(A202="","",SUMIF(RawTotals!A$2:A999, C202, RawTotals!E$2:E999))</f>
        <v/>
      </c>
      <c r="AC202" s="76" t="str">
        <f>IF(A202="","",SUMIF(RawTotals!A$2:A999, C202, RawTotals!N$2:N999))</f>
        <v/>
      </c>
      <c r="AD202" s="161" t="str">
        <f>IF(A202="","",SUMIF(RawTotals!A$2:A999, C202, RawTotals!X$2:X999))</f>
        <v/>
      </c>
      <c r="AE202" s="160" t="str">
        <f>IF(A202="","",SUMIF(RawTotals!A$2:A999, C202, RawTotals!R$2:R999))</f>
        <v/>
      </c>
      <c r="AF202" s="76"/>
    </row>
    <row r="203">
      <c r="A203" s="76"/>
      <c r="B203" s="170"/>
      <c r="C203" s="76"/>
      <c r="D203" s="173"/>
      <c r="E203" s="173"/>
      <c r="F203" s="173"/>
      <c r="G203" s="175"/>
      <c r="H203" s="173"/>
      <c r="I203" s="173"/>
      <c r="J203" s="173"/>
      <c r="K203" s="173"/>
      <c r="L203" s="76"/>
      <c r="M203" s="76"/>
      <c r="N203" s="76"/>
      <c r="O203" s="76"/>
      <c r="P203" s="76"/>
      <c r="Q203" s="76"/>
      <c r="R203" s="76"/>
      <c r="S203" s="76"/>
      <c r="T203" s="76"/>
      <c r="U203" s="76"/>
      <c r="V203" s="76"/>
      <c r="W203" s="76"/>
      <c r="X203" s="76"/>
      <c r="Y203" s="76"/>
      <c r="Z203" s="160" t="str">
        <f>IF(A203="","",SUMIF(RawTotals!A$2:A999, C203, RawTotals!AD$2:AD999))</f>
        <v/>
      </c>
      <c r="AA203" s="160" t="str">
        <f>IFERROR(__xludf.DUMMYFUNCTION("IF(A203="""","""",IF(FILTER(RawTotals!K$2:K999,RawTotals!A$2:A999=A203)="""","""",SUMIF(RawTotals!A$2:A999, C203, RawTotals!K$2:K999)))"),"")</f>
        <v/>
      </c>
      <c r="AB203" s="76" t="str">
        <f>IF(A203="","",SUMIF(RawTotals!A$2:A999, C203, RawTotals!E$2:E999))</f>
        <v/>
      </c>
      <c r="AC203" s="76" t="str">
        <f>IF(A203="","",SUMIF(RawTotals!A$2:A999, C203, RawTotals!N$2:N999))</f>
        <v/>
      </c>
      <c r="AD203" s="161" t="str">
        <f>IF(A203="","",SUMIF(RawTotals!A$2:A999, C203, RawTotals!X$2:X999))</f>
        <v/>
      </c>
      <c r="AE203" s="160" t="str">
        <f>IF(A203="","",SUMIF(RawTotals!A$2:A999, C203, RawTotals!R$2:R999))</f>
        <v/>
      </c>
      <c r="AF203" s="76"/>
    </row>
    <row r="204">
      <c r="A204" s="76"/>
      <c r="B204" s="170"/>
      <c r="C204" s="76"/>
      <c r="D204" s="173"/>
      <c r="E204" s="173"/>
      <c r="F204" s="173"/>
      <c r="G204" s="175"/>
      <c r="H204" s="173"/>
      <c r="I204" s="173"/>
      <c r="J204" s="173"/>
      <c r="K204" s="173"/>
      <c r="L204" s="76"/>
      <c r="M204" s="76"/>
      <c r="N204" s="76"/>
      <c r="O204" s="76"/>
      <c r="P204" s="76"/>
      <c r="Q204" s="76"/>
      <c r="R204" s="76"/>
      <c r="S204" s="76"/>
      <c r="T204" s="76"/>
      <c r="U204" s="76"/>
      <c r="V204" s="76"/>
      <c r="W204" s="76"/>
      <c r="X204" s="76"/>
      <c r="Y204" s="76"/>
      <c r="Z204" s="160" t="str">
        <f>IF(A204="","",SUMIF(RawTotals!A$2:A999, C204, RawTotals!AD$2:AD999))</f>
        <v/>
      </c>
      <c r="AA204" s="160" t="str">
        <f>IFERROR(__xludf.DUMMYFUNCTION("IF(A204="""","""",IF(FILTER(RawTotals!K$2:K999,RawTotals!A$2:A999=A204)="""","""",SUMIF(RawTotals!A$2:A999, C204, RawTotals!K$2:K999)))"),"")</f>
        <v/>
      </c>
      <c r="AB204" s="76" t="str">
        <f>IF(A204="","",SUMIF(RawTotals!A$2:A999, C204, RawTotals!E$2:E999))</f>
        <v/>
      </c>
      <c r="AC204" s="76" t="str">
        <f>IF(A204="","",SUMIF(RawTotals!A$2:A999, C204, RawTotals!N$2:N999))</f>
        <v/>
      </c>
      <c r="AD204" s="161" t="str">
        <f>IF(A204="","",SUMIF(RawTotals!A$2:A999, C204, RawTotals!X$2:X999))</f>
        <v/>
      </c>
      <c r="AE204" s="160" t="str">
        <f>IF(A204="","",SUMIF(RawTotals!A$2:A999, C204, RawTotals!R$2:R999))</f>
        <v/>
      </c>
      <c r="AF204" s="76"/>
    </row>
    <row r="205">
      <c r="A205" s="76"/>
      <c r="B205" s="170"/>
      <c r="C205" s="76"/>
      <c r="D205" s="173"/>
      <c r="E205" s="173"/>
      <c r="F205" s="173"/>
      <c r="G205" s="175"/>
      <c r="H205" s="173"/>
      <c r="I205" s="173"/>
      <c r="J205" s="173"/>
      <c r="K205" s="173"/>
      <c r="L205" s="76"/>
      <c r="M205" s="76"/>
      <c r="N205" s="76"/>
      <c r="O205" s="76"/>
      <c r="P205" s="76"/>
      <c r="Q205" s="76"/>
      <c r="R205" s="76"/>
      <c r="S205" s="76"/>
      <c r="T205" s="76"/>
      <c r="U205" s="76"/>
      <c r="V205" s="76"/>
      <c r="W205" s="76"/>
      <c r="X205" s="76"/>
      <c r="Y205" s="76"/>
      <c r="Z205" s="160" t="str">
        <f>IF(A205="","",SUMIF(RawTotals!A$2:A999, C205, RawTotals!AD$2:AD999))</f>
        <v/>
      </c>
      <c r="AA205" s="160" t="str">
        <f>IFERROR(__xludf.DUMMYFUNCTION("IF(A205="""","""",IF(FILTER(RawTotals!K$2:K999,RawTotals!A$2:A999=A205)="""","""",SUMIF(RawTotals!A$2:A999, C205, RawTotals!K$2:K999)))"),"")</f>
        <v/>
      </c>
      <c r="AB205" s="76" t="str">
        <f>IF(A205="","",SUMIF(RawTotals!A$2:A999, C205, RawTotals!E$2:E999))</f>
        <v/>
      </c>
      <c r="AC205" s="76" t="str">
        <f>IF(A205="","",SUMIF(RawTotals!A$2:A999, C205, RawTotals!N$2:N999))</f>
        <v/>
      </c>
      <c r="AD205" s="161" t="str">
        <f>IF(A205="","",SUMIF(RawTotals!A$2:A999, C205, RawTotals!X$2:X999))</f>
        <v/>
      </c>
      <c r="AE205" s="160" t="str">
        <f>IF(A205="","",SUMIF(RawTotals!A$2:A999, C205, RawTotals!R$2:R999))</f>
        <v/>
      </c>
      <c r="AF205" s="76"/>
    </row>
    <row r="206">
      <c r="A206" s="76"/>
      <c r="B206" s="170"/>
      <c r="C206" s="76"/>
      <c r="D206" s="173"/>
      <c r="E206" s="173"/>
      <c r="F206" s="173"/>
      <c r="G206" s="175"/>
      <c r="H206" s="173"/>
      <c r="I206" s="173"/>
      <c r="J206" s="173"/>
      <c r="K206" s="173"/>
      <c r="L206" s="76"/>
      <c r="M206" s="76"/>
      <c r="N206" s="76"/>
      <c r="O206" s="76"/>
      <c r="P206" s="76"/>
      <c r="Q206" s="76"/>
      <c r="R206" s="76"/>
      <c r="S206" s="76"/>
      <c r="T206" s="76"/>
      <c r="U206" s="76"/>
      <c r="V206" s="76"/>
      <c r="W206" s="76"/>
      <c r="X206" s="76"/>
      <c r="Y206" s="76"/>
      <c r="Z206" s="160" t="str">
        <f>IF(A206="","",SUMIF(RawTotals!A$2:A999, C206, RawTotals!AD$2:AD999))</f>
        <v/>
      </c>
      <c r="AA206" s="160" t="str">
        <f>IFERROR(__xludf.DUMMYFUNCTION("IF(A206="""","""",IF(FILTER(RawTotals!K$2:K999,RawTotals!A$2:A999=A206)="""","""",SUMIF(RawTotals!A$2:A999, C206, RawTotals!K$2:K999)))"),"")</f>
        <v/>
      </c>
      <c r="AB206" s="76" t="str">
        <f>IF(A206="","",SUMIF(RawTotals!A$2:A999, C206, RawTotals!E$2:E999))</f>
        <v/>
      </c>
      <c r="AC206" s="76" t="str">
        <f>IF(A206="","",SUMIF(RawTotals!A$2:A999, C206, RawTotals!N$2:N999))</f>
        <v/>
      </c>
      <c r="AD206" s="161" t="str">
        <f>IF(A206="","",SUMIF(RawTotals!A$2:A999, C206, RawTotals!X$2:X999))</f>
        <v/>
      </c>
      <c r="AE206" s="160" t="str">
        <f>IF(A206="","",SUMIF(RawTotals!A$2:A999, C206, RawTotals!R$2:R999))</f>
        <v/>
      </c>
      <c r="AF206" s="76"/>
    </row>
    <row r="207">
      <c r="A207" s="76"/>
      <c r="B207" s="170"/>
      <c r="C207" s="76"/>
      <c r="D207" s="173"/>
      <c r="E207" s="173"/>
      <c r="F207" s="173"/>
      <c r="G207" s="175"/>
      <c r="H207" s="173"/>
      <c r="I207" s="173"/>
      <c r="J207" s="173"/>
      <c r="K207" s="173"/>
      <c r="L207" s="76"/>
      <c r="M207" s="76"/>
      <c r="N207" s="76"/>
      <c r="O207" s="76"/>
      <c r="P207" s="76"/>
      <c r="Q207" s="76"/>
      <c r="R207" s="76"/>
      <c r="S207" s="76"/>
      <c r="T207" s="76"/>
      <c r="U207" s="76"/>
      <c r="V207" s="76"/>
      <c r="W207" s="76"/>
      <c r="X207" s="76"/>
      <c r="Y207" s="76"/>
      <c r="Z207" s="160" t="str">
        <f>IF(A207="","",SUMIF(RawTotals!A$2:A999, C207, RawTotals!AD$2:AD999))</f>
        <v/>
      </c>
      <c r="AA207" s="160" t="str">
        <f>IFERROR(__xludf.DUMMYFUNCTION("IF(A207="""","""",IF(FILTER(RawTotals!K$2:K999,RawTotals!A$2:A999=A207)="""","""",SUMIF(RawTotals!A$2:A999, C207, RawTotals!K$2:K999)))"),"")</f>
        <v/>
      </c>
      <c r="AB207" s="76" t="str">
        <f>IF(A207="","",SUMIF(RawTotals!A$2:A999, C207, RawTotals!E$2:E999))</f>
        <v/>
      </c>
      <c r="AC207" s="76" t="str">
        <f>IF(A207="","",SUMIF(RawTotals!A$2:A999, C207, RawTotals!N$2:N999))</f>
        <v/>
      </c>
      <c r="AD207" s="161" t="str">
        <f>IF(A207="","",SUMIF(RawTotals!A$2:A999, C207, RawTotals!X$2:X999))</f>
        <v/>
      </c>
      <c r="AE207" s="160" t="str">
        <f>IF(A207="","",SUMIF(RawTotals!A$2:A999, C207, RawTotals!R$2:R999))</f>
        <v/>
      </c>
      <c r="AF207" s="76"/>
    </row>
    <row r="208">
      <c r="A208" s="76"/>
      <c r="B208" s="170"/>
      <c r="C208" s="76"/>
      <c r="D208" s="173"/>
      <c r="E208" s="173"/>
      <c r="F208" s="173"/>
      <c r="G208" s="175"/>
      <c r="H208" s="173"/>
      <c r="I208" s="173"/>
      <c r="J208" s="173"/>
      <c r="K208" s="173"/>
      <c r="L208" s="76"/>
      <c r="M208" s="76"/>
      <c r="N208" s="76"/>
      <c r="O208" s="76"/>
      <c r="P208" s="76"/>
      <c r="Q208" s="76"/>
      <c r="R208" s="76"/>
      <c r="S208" s="76"/>
      <c r="T208" s="76"/>
      <c r="U208" s="76"/>
      <c r="V208" s="76"/>
      <c r="W208" s="76"/>
      <c r="X208" s="76"/>
      <c r="Y208" s="76"/>
      <c r="Z208" s="160" t="str">
        <f>IF(A208="","",SUMIF(RawTotals!A$2:A999, C208, RawTotals!AD$2:AD999))</f>
        <v/>
      </c>
      <c r="AA208" s="160" t="str">
        <f>IFERROR(__xludf.DUMMYFUNCTION("IF(A208="""","""",IF(FILTER(RawTotals!K$2:K999,RawTotals!A$2:A999=A208)="""","""",SUMIF(RawTotals!A$2:A999, C208, RawTotals!K$2:K999)))"),"")</f>
        <v/>
      </c>
      <c r="AB208" s="76" t="str">
        <f>IF(A208="","",SUMIF(RawTotals!A$2:A999, C208, RawTotals!E$2:E999))</f>
        <v/>
      </c>
      <c r="AC208" s="76" t="str">
        <f>IF(A208="","",SUMIF(RawTotals!A$2:A999, C208, RawTotals!N$2:N999))</f>
        <v/>
      </c>
      <c r="AD208" s="161" t="str">
        <f>IF(A208="","",SUMIF(RawTotals!A$2:A999, C208, RawTotals!X$2:X999))</f>
        <v/>
      </c>
      <c r="AE208" s="160" t="str">
        <f>IF(A208="","",SUMIF(RawTotals!A$2:A999, C208, RawTotals!R$2:R999))</f>
        <v/>
      </c>
      <c r="AF208" s="76"/>
    </row>
    <row r="209">
      <c r="A209" s="76"/>
      <c r="B209" s="170"/>
      <c r="C209" s="76"/>
      <c r="D209" s="173"/>
      <c r="E209" s="173"/>
      <c r="F209" s="173"/>
      <c r="G209" s="175"/>
      <c r="H209" s="173"/>
      <c r="I209" s="173"/>
      <c r="J209" s="173"/>
      <c r="K209" s="173"/>
      <c r="L209" s="76"/>
      <c r="M209" s="76"/>
      <c r="N209" s="76"/>
      <c r="O209" s="76"/>
      <c r="P209" s="76"/>
      <c r="Q209" s="76"/>
      <c r="R209" s="76"/>
      <c r="S209" s="76"/>
      <c r="T209" s="76"/>
      <c r="U209" s="76"/>
      <c r="V209" s="76"/>
      <c r="W209" s="76"/>
      <c r="X209" s="76"/>
      <c r="Y209" s="76"/>
      <c r="Z209" s="160" t="str">
        <f>IF(A209="","",SUMIF(RawTotals!A$2:A999, C209, RawTotals!AD$2:AD999))</f>
        <v/>
      </c>
      <c r="AA209" s="160" t="str">
        <f>IFERROR(__xludf.DUMMYFUNCTION("IF(A209="""","""",IF(FILTER(RawTotals!K$2:K999,RawTotals!A$2:A999=A209)="""","""",SUMIF(RawTotals!A$2:A999, C209, RawTotals!K$2:K999)))"),"")</f>
        <v/>
      </c>
      <c r="AB209" s="76" t="str">
        <f>IF(A209="","",SUMIF(RawTotals!A$2:A999, C209, RawTotals!E$2:E999))</f>
        <v/>
      </c>
      <c r="AC209" s="76" t="str">
        <f>IF(A209="","",SUMIF(RawTotals!A$2:A999, C209, RawTotals!N$2:N999))</f>
        <v/>
      </c>
      <c r="AD209" s="161" t="str">
        <f>IF(A209="","",SUMIF(RawTotals!A$2:A999, C209, RawTotals!X$2:X999))</f>
        <v/>
      </c>
      <c r="AE209" s="160" t="str">
        <f>IF(A209="","",SUMIF(RawTotals!A$2:A999, C209, RawTotals!R$2:R999))</f>
        <v/>
      </c>
      <c r="AF209" s="76"/>
    </row>
    <row r="210">
      <c r="A210" s="76"/>
      <c r="B210" s="170"/>
      <c r="C210" s="76"/>
      <c r="D210" s="173"/>
      <c r="E210" s="173"/>
      <c r="F210" s="173"/>
      <c r="G210" s="175"/>
      <c r="H210" s="173"/>
      <c r="I210" s="173"/>
      <c r="J210" s="173"/>
      <c r="K210" s="173"/>
      <c r="L210" s="76"/>
      <c r="M210" s="76"/>
      <c r="N210" s="76"/>
      <c r="O210" s="76"/>
      <c r="P210" s="76"/>
      <c r="Q210" s="76"/>
      <c r="R210" s="76"/>
      <c r="S210" s="76"/>
      <c r="T210" s="76"/>
      <c r="U210" s="76"/>
      <c r="V210" s="76"/>
      <c r="W210" s="76"/>
      <c r="X210" s="76"/>
      <c r="Y210" s="76"/>
      <c r="Z210" s="160" t="str">
        <f>IF(A210="","",SUMIF(RawTotals!A$2:A999, C210, RawTotals!AD$2:AD999))</f>
        <v/>
      </c>
      <c r="AA210" s="160" t="str">
        <f>IFERROR(__xludf.DUMMYFUNCTION("IF(A210="""","""",IF(FILTER(RawTotals!K$2:K999,RawTotals!A$2:A999=A210)="""","""",SUMIF(RawTotals!A$2:A999, C210, RawTotals!K$2:K999)))"),"")</f>
        <v/>
      </c>
      <c r="AB210" s="76" t="str">
        <f>IF(A210="","",SUMIF(RawTotals!A$2:A999, C210, RawTotals!E$2:E999))</f>
        <v/>
      </c>
      <c r="AC210" s="76" t="str">
        <f>IF(A210="","",SUMIF(RawTotals!A$2:A999, C210, RawTotals!N$2:N999))</f>
        <v/>
      </c>
      <c r="AD210" s="161" t="str">
        <f>IF(A210="","",SUMIF(RawTotals!A$2:A999, C210, RawTotals!X$2:X999))</f>
        <v/>
      </c>
      <c r="AE210" s="160" t="str">
        <f>IF(A210="","",SUMIF(RawTotals!A$2:A999, C210, RawTotals!R$2:R999))</f>
        <v/>
      </c>
      <c r="AF210" s="76"/>
    </row>
    <row r="211">
      <c r="A211" s="76"/>
      <c r="B211" s="170"/>
      <c r="C211" s="76"/>
      <c r="D211" s="173"/>
      <c r="E211" s="173"/>
      <c r="F211" s="173"/>
      <c r="G211" s="175"/>
      <c r="H211" s="173"/>
      <c r="I211" s="173"/>
      <c r="J211" s="173"/>
      <c r="K211" s="173"/>
      <c r="L211" s="76"/>
      <c r="M211" s="76"/>
      <c r="N211" s="76"/>
      <c r="O211" s="76"/>
      <c r="P211" s="76"/>
      <c r="Q211" s="76"/>
      <c r="R211" s="76"/>
      <c r="S211" s="76"/>
      <c r="T211" s="76"/>
      <c r="U211" s="76"/>
      <c r="V211" s="76"/>
      <c r="W211" s="76"/>
      <c r="X211" s="76"/>
      <c r="Y211" s="76"/>
      <c r="Z211" s="160" t="str">
        <f>IF(A211="","",SUMIF(RawTotals!A$2:A999, C211, RawTotals!AD$2:AD999))</f>
        <v/>
      </c>
      <c r="AA211" s="160" t="str">
        <f>IFERROR(__xludf.DUMMYFUNCTION("IF(A211="""","""",IF(FILTER(RawTotals!K$2:K999,RawTotals!A$2:A999=A211)="""","""",SUMIF(RawTotals!A$2:A999, C211, RawTotals!K$2:K999)))"),"")</f>
        <v/>
      </c>
      <c r="AB211" s="76" t="str">
        <f>IF(A211="","",SUMIF(RawTotals!A$2:A999, C211, RawTotals!E$2:E999))</f>
        <v/>
      </c>
      <c r="AC211" s="76" t="str">
        <f>IF(A211="","",SUMIF(RawTotals!A$2:A999, C211, RawTotals!N$2:N999))</f>
        <v/>
      </c>
      <c r="AD211" s="161" t="str">
        <f>IF(A211="","",SUMIF(RawTotals!A$2:A999, C211, RawTotals!X$2:X999))</f>
        <v/>
      </c>
      <c r="AE211" s="160" t="str">
        <f>IF(A211="","",SUMIF(RawTotals!A$2:A999, C211, RawTotals!R$2:R999))</f>
        <v/>
      </c>
      <c r="AF211" s="76"/>
    </row>
    <row r="212">
      <c r="A212" s="76"/>
      <c r="B212" s="170"/>
      <c r="C212" s="76"/>
      <c r="D212" s="173"/>
      <c r="E212" s="173"/>
      <c r="F212" s="173"/>
      <c r="G212" s="175"/>
      <c r="H212" s="173"/>
      <c r="I212" s="173"/>
      <c r="J212" s="173"/>
      <c r="K212" s="173"/>
      <c r="L212" s="76"/>
      <c r="M212" s="76"/>
      <c r="N212" s="76"/>
      <c r="O212" s="76"/>
      <c r="P212" s="76"/>
      <c r="Q212" s="76"/>
      <c r="R212" s="76"/>
      <c r="S212" s="76"/>
      <c r="T212" s="76"/>
      <c r="U212" s="76"/>
      <c r="V212" s="76"/>
      <c r="W212" s="76"/>
      <c r="X212" s="76"/>
      <c r="Y212" s="76"/>
      <c r="Z212" s="160" t="str">
        <f>IF(A212="","",SUMIF(RawTotals!A$2:A999, C212, RawTotals!AD$2:AD999))</f>
        <v/>
      </c>
      <c r="AA212" s="160" t="str">
        <f>IFERROR(__xludf.DUMMYFUNCTION("IF(A212="""","""",IF(FILTER(RawTotals!K$2:K999,RawTotals!A$2:A999=A212)="""","""",SUMIF(RawTotals!A$2:A999, C212, RawTotals!K$2:K999)))"),"")</f>
        <v/>
      </c>
      <c r="AB212" s="76" t="str">
        <f>IF(A212="","",SUMIF(RawTotals!A$2:A999, C212, RawTotals!E$2:E999))</f>
        <v/>
      </c>
      <c r="AC212" s="76" t="str">
        <f>IF(A212="","",SUMIF(RawTotals!A$2:A999, C212, RawTotals!N$2:N999))</f>
        <v/>
      </c>
      <c r="AD212" s="161" t="str">
        <f>IF(A212="","",SUMIF(RawTotals!A$2:A999, C212, RawTotals!X$2:X999))</f>
        <v/>
      </c>
      <c r="AE212" s="160" t="str">
        <f>IF(A212="","",SUMIF(RawTotals!A$2:A999, C212, RawTotals!R$2:R999))</f>
        <v/>
      </c>
      <c r="AF212" s="76"/>
    </row>
    <row r="213">
      <c r="A213" s="76"/>
      <c r="B213" s="170"/>
      <c r="C213" s="76"/>
      <c r="D213" s="173"/>
      <c r="E213" s="173"/>
      <c r="F213" s="173"/>
      <c r="G213" s="175"/>
      <c r="H213" s="173"/>
      <c r="I213" s="173"/>
      <c r="J213" s="173"/>
      <c r="K213" s="173"/>
      <c r="L213" s="76"/>
      <c r="M213" s="76"/>
      <c r="N213" s="76"/>
      <c r="O213" s="76"/>
      <c r="P213" s="76"/>
      <c r="Q213" s="76"/>
      <c r="R213" s="76"/>
      <c r="S213" s="76"/>
      <c r="T213" s="76"/>
      <c r="U213" s="76"/>
      <c r="V213" s="76"/>
      <c r="W213" s="76"/>
      <c r="X213" s="76"/>
      <c r="Y213" s="76"/>
      <c r="Z213" s="160" t="str">
        <f>IF(A213="","",SUMIF(RawTotals!A$2:A999, C213, RawTotals!AD$2:AD999))</f>
        <v/>
      </c>
      <c r="AA213" s="160" t="str">
        <f>IFERROR(__xludf.DUMMYFUNCTION("IF(A213="""","""",IF(FILTER(RawTotals!K$2:K999,RawTotals!A$2:A999=A213)="""","""",SUMIF(RawTotals!A$2:A999, C213, RawTotals!K$2:K999)))"),"")</f>
        <v/>
      </c>
      <c r="AB213" s="76" t="str">
        <f>IF(A213="","",SUMIF(RawTotals!A$2:A999, C213, RawTotals!E$2:E999))</f>
        <v/>
      </c>
      <c r="AC213" s="76" t="str">
        <f>IF(A213="","",SUMIF(RawTotals!A$2:A999, C213, RawTotals!N$2:N999))</f>
        <v/>
      </c>
      <c r="AD213" s="161" t="str">
        <f>IF(A213="","",SUMIF(RawTotals!A$2:A999, C213, RawTotals!X$2:X999))</f>
        <v/>
      </c>
      <c r="AE213" s="160" t="str">
        <f>IF(A213="","",SUMIF(RawTotals!A$2:A999, C213, RawTotals!R$2:R999))</f>
        <v/>
      </c>
      <c r="AF213" s="76"/>
    </row>
    <row r="214">
      <c r="A214" s="76"/>
      <c r="B214" s="170"/>
      <c r="C214" s="76"/>
      <c r="D214" s="173"/>
      <c r="E214" s="173"/>
      <c r="F214" s="173"/>
      <c r="G214" s="175"/>
      <c r="H214" s="173"/>
      <c r="I214" s="173"/>
      <c r="J214" s="173"/>
      <c r="K214" s="173"/>
      <c r="L214" s="76"/>
      <c r="M214" s="76"/>
      <c r="N214" s="76"/>
      <c r="O214" s="76"/>
      <c r="P214" s="76"/>
      <c r="Q214" s="76"/>
      <c r="R214" s="76"/>
      <c r="S214" s="76"/>
      <c r="T214" s="76"/>
      <c r="U214" s="76"/>
      <c r="V214" s="76"/>
      <c r="W214" s="76"/>
      <c r="X214" s="76"/>
      <c r="Y214" s="76"/>
      <c r="Z214" s="160" t="str">
        <f>IF(A214="","",SUMIF(RawTotals!A$2:A999, C214, RawTotals!AD$2:AD999))</f>
        <v/>
      </c>
      <c r="AA214" s="160" t="str">
        <f>IFERROR(__xludf.DUMMYFUNCTION("IF(A214="""","""",IF(FILTER(RawTotals!K$2:K999,RawTotals!A$2:A999=A214)="""","""",SUMIF(RawTotals!A$2:A999, C214, RawTotals!K$2:K999)))"),"")</f>
        <v/>
      </c>
      <c r="AB214" s="76" t="str">
        <f>IF(A214="","",SUMIF(RawTotals!A$2:A999, C214, RawTotals!E$2:E999))</f>
        <v/>
      </c>
      <c r="AC214" s="76" t="str">
        <f>IF(A214="","",SUMIF(RawTotals!A$2:A999, C214, RawTotals!N$2:N999))</f>
        <v/>
      </c>
      <c r="AD214" s="161" t="str">
        <f>IF(A214="","",SUMIF(RawTotals!A$2:A999, C214, RawTotals!X$2:X999))</f>
        <v/>
      </c>
      <c r="AE214" s="160" t="str">
        <f>IF(A214="","",SUMIF(RawTotals!A$2:A999, C214, RawTotals!R$2:R999))</f>
        <v/>
      </c>
      <c r="AF214" s="76"/>
    </row>
    <row r="215">
      <c r="A215" s="76"/>
      <c r="B215" s="170"/>
      <c r="C215" s="76"/>
      <c r="D215" s="173"/>
      <c r="E215" s="173"/>
      <c r="F215" s="173"/>
      <c r="G215" s="175"/>
      <c r="H215" s="173"/>
      <c r="I215" s="173"/>
      <c r="J215" s="173"/>
      <c r="K215" s="173"/>
      <c r="L215" s="76"/>
      <c r="M215" s="76"/>
      <c r="N215" s="76"/>
      <c r="O215" s="76"/>
      <c r="P215" s="76"/>
      <c r="Q215" s="76"/>
      <c r="R215" s="76"/>
      <c r="S215" s="76"/>
      <c r="T215" s="76"/>
      <c r="U215" s="76"/>
      <c r="V215" s="76"/>
      <c r="W215" s="76"/>
      <c r="X215" s="76"/>
      <c r="Y215" s="76"/>
      <c r="Z215" s="160" t="str">
        <f>IF(A215="","",SUMIF(RawTotals!A$2:A999, C215, RawTotals!AD$2:AD999))</f>
        <v/>
      </c>
      <c r="AA215" s="160" t="str">
        <f>IFERROR(__xludf.DUMMYFUNCTION("IF(A215="""","""",IF(FILTER(RawTotals!K$2:K999,RawTotals!A$2:A999=A215)="""","""",SUMIF(RawTotals!A$2:A999, C215, RawTotals!K$2:K999)))"),"")</f>
        <v/>
      </c>
      <c r="AB215" s="76" t="str">
        <f>IF(A215="","",SUMIF(RawTotals!A$2:A999, C215, RawTotals!E$2:E999))</f>
        <v/>
      </c>
      <c r="AC215" s="76" t="str">
        <f>IF(A215="","",SUMIF(RawTotals!A$2:A999, C215, RawTotals!N$2:N999))</f>
        <v/>
      </c>
      <c r="AD215" s="161" t="str">
        <f>IF(A215="","",SUMIF(RawTotals!A$2:A999, C215, RawTotals!X$2:X999))</f>
        <v/>
      </c>
      <c r="AE215" s="160" t="str">
        <f>IF(A215="","",SUMIF(RawTotals!A$2:A999, C215, RawTotals!R$2:R999))</f>
        <v/>
      </c>
      <c r="AF215" s="76"/>
    </row>
    <row r="216">
      <c r="A216" s="76"/>
      <c r="B216" s="170"/>
      <c r="C216" s="76"/>
      <c r="D216" s="173"/>
      <c r="E216" s="173"/>
      <c r="F216" s="173"/>
      <c r="G216" s="175"/>
      <c r="H216" s="173"/>
      <c r="I216" s="173"/>
      <c r="J216" s="173"/>
      <c r="K216" s="173"/>
      <c r="L216" s="76"/>
      <c r="M216" s="76"/>
      <c r="N216" s="76"/>
      <c r="O216" s="76"/>
      <c r="P216" s="76"/>
      <c r="Q216" s="76"/>
      <c r="R216" s="76"/>
      <c r="S216" s="76"/>
      <c r="T216" s="76"/>
      <c r="U216" s="76"/>
      <c r="V216" s="76"/>
      <c r="W216" s="76"/>
      <c r="X216" s="76"/>
      <c r="Y216" s="76"/>
      <c r="Z216" s="160" t="str">
        <f>IF(A216="","",SUMIF(RawTotals!A$2:A999, C216, RawTotals!AD$2:AD999))</f>
        <v/>
      </c>
      <c r="AA216" s="160" t="str">
        <f>IFERROR(__xludf.DUMMYFUNCTION("IF(A216="""","""",IF(FILTER(RawTotals!K$2:K999,RawTotals!A$2:A999=A216)="""","""",SUMIF(RawTotals!A$2:A999, C216, RawTotals!K$2:K999)))"),"")</f>
        <v/>
      </c>
      <c r="AB216" s="76" t="str">
        <f>IF(A216="","",SUMIF(RawTotals!A$2:A999, C216, RawTotals!E$2:E999))</f>
        <v/>
      </c>
      <c r="AC216" s="76" t="str">
        <f>IF(A216="","",SUMIF(RawTotals!A$2:A999, C216, RawTotals!N$2:N999))</f>
        <v/>
      </c>
      <c r="AD216" s="161" t="str">
        <f>IF(A216="","",SUMIF(RawTotals!A$2:A999, C216, RawTotals!X$2:X999))</f>
        <v/>
      </c>
      <c r="AE216" s="160" t="str">
        <f>IF(A216="","",SUMIF(RawTotals!A$2:A999, C216, RawTotals!R$2:R999))</f>
        <v/>
      </c>
      <c r="AF216" s="76"/>
    </row>
    <row r="217">
      <c r="A217" s="76"/>
      <c r="B217" s="170"/>
      <c r="C217" s="76"/>
      <c r="D217" s="173"/>
      <c r="E217" s="173"/>
      <c r="F217" s="173"/>
      <c r="G217" s="175"/>
      <c r="H217" s="173"/>
      <c r="I217" s="173"/>
      <c r="J217" s="173"/>
      <c r="K217" s="173"/>
      <c r="L217" s="76"/>
      <c r="M217" s="76"/>
      <c r="N217" s="76"/>
      <c r="O217" s="76"/>
      <c r="P217" s="76"/>
      <c r="Q217" s="76"/>
      <c r="R217" s="76"/>
      <c r="S217" s="76"/>
      <c r="T217" s="76"/>
      <c r="U217" s="76"/>
      <c r="V217" s="76"/>
      <c r="W217" s="76"/>
      <c r="X217" s="76"/>
      <c r="Y217" s="76"/>
      <c r="Z217" s="76"/>
      <c r="AA217" s="76"/>
      <c r="AB217" s="76"/>
      <c r="AC217" s="76"/>
      <c r="AD217" s="76"/>
      <c r="AE217" s="76"/>
      <c r="AF217" s="76"/>
    </row>
    <row r="218">
      <c r="A218" s="76"/>
      <c r="B218" s="170"/>
      <c r="C218" s="76"/>
      <c r="D218" s="173"/>
      <c r="E218" s="173"/>
      <c r="F218" s="173"/>
      <c r="G218" s="175"/>
      <c r="H218" s="173"/>
      <c r="I218" s="173"/>
      <c r="J218" s="173"/>
      <c r="K218" s="173"/>
      <c r="L218" s="76"/>
      <c r="M218" s="76"/>
      <c r="N218" s="76"/>
      <c r="O218" s="76"/>
      <c r="P218" s="76"/>
      <c r="Q218" s="76"/>
      <c r="R218" s="76"/>
      <c r="S218" s="76"/>
      <c r="T218" s="76"/>
      <c r="U218" s="76"/>
      <c r="V218" s="76"/>
      <c r="W218" s="76"/>
      <c r="X218" s="76"/>
      <c r="Y218" s="76"/>
      <c r="Z218" s="76"/>
      <c r="AA218" s="76"/>
      <c r="AB218" s="76"/>
      <c r="AC218" s="76"/>
      <c r="AD218" s="76"/>
      <c r="AE218" s="76"/>
      <c r="AF218" s="76"/>
    </row>
    <row r="219">
      <c r="A219" s="76"/>
      <c r="B219" s="170"/>
      <c r="C219" s="76"/>
      <c r="D219" s="173"/>
      <c r="E219" s="173"/>
      <c r="F219" s="173"/>
      <c r="G219" s="175"/>
      <c r="H219" s="173"/>
      <c r="I219" s="173"/>
      <c r="J219" s="173"/>
      <c r="K219" s="173"/>
      <c r="L219" s="76"/>
      <c r="M219" s="76"/>
      <c r="N219" s="76"/>
      <c r="O219" s="76"/>
      <c r="P219" s="76"/>
      <c r="Q219" s="76"/>
      <c r="R219" s="76"/>
      <c r="S219" s="76"/>
      <c r="T219" s="76"/>
      <c r="U219" s="76"/>
      <c r="V219" s="76"/>
      <c r="W219" s="76"/>
      <c r="X219" s="76"/>
      <c r="Y219" s="76"/>
      <c r="Z219" s="76"/>
      <c r="AA219" s="76"/>
      <c r="AB219" s="76"/>
      <c r="AC219" s="76"/>
      <c r="AD219" s="76"/>
      <c r="AE219" s="76"/>
      <c r="AF219" s="76"/>
    </row>
    <row r="220">
      <c r="A220" s="76"/>
      <c r="B220" s="170"/>
      <c r="C220" s="76"/>
      <c r="D220" s="173"/>
      <c r="E220" s="173"/>
      <c r="F220" s="173"/>
      <c r="G220" s="175"/>
      <c r="H220" s="173"/>
      <c r="I220" s="173"/>
      <c r="J220" s="173"/>
      <c r="K220" s="173"/>
      <c r="L220" s="76"/>
      <c r="M220" s="76"/>
      <c r="N220" s="76"/>
      <c r="O220" s="76"/>
      <c r="P220" s="76"/>
      <c r="Q220" s="76"/>
      <c r="R220" s="76"/>
      <c r="S220" s="76"/>
      <c r="T220" s="76"/>
      <c r="U220" s="76"/>
      <c r="V220" s="76"/>
      <c r="W220" s="76"/>
      <c r="X220" s="76"/>
      <c r="Y220" s="76"/>
      <c r="Z220" s="76"/>
      <c r="AA220" s="76"/>
      <c r="AB220" s="76"/>
      <c r="AC220" s="76"/>
      <c r="AD220" s="76"/>
      <c r="AE220" s="76"/>
      <c r="AF220" s="76"/>
    </row>
    <row r="221">
      <c r="A221" s="76"/>
      <c r="B221" s="170"/>
      <c r="C221" s="76"/>
      <c r="D221" s="173"/>
      <c r="E221" s="173"/>
      <c r="F221" s="173"/>
      <c r="G221" s="175"/>
      <c r="H221" s="173"/>
      <c r="I221" s="173"/>
      <c r="J221" s="173"/>
      <c r="K221" s="173"/>
      <c r="L221" s="76"/>
      <c r="M221" s="76"/>
      <c r="N221" s="76"/>
      <c r="O221" s="76"/>
      <c r="P221" s="76"/>
      <c r="Q221" s="76"/>
      <c r="R221" s="76"/>
      <c r="S221" s="76"/>
      <c r="T221" s="76"/>
      <c r="U221" s="76"/>
      <c r="V221" s="76"/>
      <c r="W221" s="76"/>
      <c r="X221" s="76"/>
      <c r="Y221" s="76"/>
      <c r="Z221" s="76"/>
      <c r="AA221" s="76"/>
      <c r="AB221" s="76"/>
      <c r="AC221" s="76"/>
      <c r="AD221" s="76"/>
      <c r="AE221" s="76"/>
      <c r="AF221" s="76"/>
    </row>
    <row r="222">
      <c r="A222" s="76"/>
      <c r="B222" s="170"/>
      <c r="C222" s="76"/>
      <c r="D222" s="173"/>
      <c r="E222" s="173"/>
      <c r="F222" s="173"/>
      <c r="G222" s="175"/>
      <c r="H222" s="173"/>
      <c r="I222" s="173"/>
      <c r="J222" s="173"/>
      <c r="K222" s="173"/>
      <c r="L222" s="76"/>
      <c r="M222" s="76"/>
      <c r="N222" s="76"/>
      <c r="O222" s="76"/>
      <c r="P222" s="76"/>
      <c r="Q222" s="76"/>
      <c r="R222" s="76"/>
      <c r="S222" s="76"/>
      <c r="T222" s="76"/>
      <c r="U222" s="76"/>
      <c r="V222" s="76"/>
      <c r="W222" s="76"/>
      <c r="X222" s="76"/>
      <c r="Y222" s="76"/>
      <c r="Z222" s="76"/>
      <c r="AA222" s="76"/>
      <c r="AB222" s="76"/>
      <c r="AC222" s="76"/>
      <c r="AD222" s="76"/>
      <c r="AE222" s="76"/>
      <c r="AF222" s="76"/>
    </row>
    <row r="223">
      <c r="A223" s="76"/>
      <c r="B223" s="170"/>
      <c r="C223" s="76"/>
      <c r="D223" s="173"/>
      <c r="E223" s="173"/>
      <c r="F223" s="173"/>
      <c r="G223" s="175"/>
      <c r="H223" s="173"/>
      <c r="I223" s="173"/>
      <c r="J223" s="173"/>
      <c r="K223" s="173"/>
      <c r="L223" s="76"/>
      <c r="M223" s="76"/>
      <c r="N223" s="76"/>
      <c r="O223" s="76"/>
      <c r="P223" s="76"/>
      <c r="Q223" s="76"/>
      <c r="R223" s="76"/>
      <c r="S223" s="76"/>
      <c r="T223" s="76"/>
      <c r="U223" s="76"/>
      <c r="V223" s="76"/>
      <c r="W223" s="76"/>
      <c r="X223" s="76"/>
      <c r="Y223" s="76"/>
      <c r="Z223" s="76"/>
      <c r="AA223" s="76"/>
      <c r="AB223" s="76"/>
      <c r="AC223" s="76"/>
      <c r="AD223" s="76"/>
      <c r="AE223" s="76"/>
      <c r="AF223" s="76"/>
    </row>
    <row r="224">
      <c r="A224" s="76"/>
      <c r="B224" s="170"/>
      <c r="C224" s="76"/>
      <c r="D224" s="173"/>
      <c r="E224" s="173"/>
      <c r="F224" s="173"/>
      <c r="G224" s="175"/>
      <c r="H224" s="173"/>
      <c r="I224" s="173"/>
      <c r="J224" s="173"/>
      <c r="K224" s="173"/>
      <c r="L224" s="76"/>
      <c r="M224" s="76"/>
      <c r="N224" s="76"/>
      <c r="O224" s="76"/>
      <c r="P224" s="76"/>
      <c r="Q224" s="76"/>
      <c r="R224" s="76"/>
      <c r="S224" s="76"/>
      <c r="T224" s="76"/>
      <c r="U224" s="76"/>
      <c r="V224" s="76"/>
      <c r="W224" s="76"/>
      <c r="X224" s="76"/>
      <c r="Y224" s="76"/>
      <c r="Z224" s="76"/>
      <c r="AA224" s="76"/>
      <c r="AB224" s="76"/>
      <c r="AC224" s="76"/>
      <c r="AD224" s="76"/>
      <c r="AE224" s="76"/>
      <c r="AF224" s="76"/>
    </row>
    <row r="225">
      <c r="A225" s="76"/>
      <c r="B225" s="170"/>
      <c r="C225" s="76"/>
      <c r="D225" s="173"/>
      <c r="E225" s="173"/>
      <c r="F225" s="173"/>
      <c r="G225" s="175"/>
      <c r="H225" s="173"/>
      <c r="I225" s="173"/>
      <c r="J225" s="173"/>
      <c r="K225" s="173"/>
      <c r="L225" s="76"/>
      <c r="M225" s="76"/>
      <c r="N225" s="76"/>
      <c r="O225" s="76"/>
      <c r="P225" s="76"/>
      <c r="Q225" s="76"/>
      <c r="R225" s="76"/>
      <c r="S225" s="76"/>
      <c r="T225" s="76"/>
      <c r="U225" s="76"/>
      <c r="V225" s="76"/>
      <c r="W225" s="76"/>
      <c r="X225" s="76"/>
      <c r="Y225" s="76"/>
      <c r="Z225" s="76"/>
      <c r="AA225" s="76"/>
      <c r="AB225" s="76"/>
      <c r="AC225" s="76"/>
      <c r="AD225" s="76"/>
      <c r="AE225" s="76"/>
      <c r="AF225" s="76"/>
    </row>
    <row r="226">
      <c r="A226" s="76"/>
      <c r="B226" s="170"/>
      <c r="C226" s="76"/>
      <c r="D226" s="173"/>
      <c r="E226" s="173"/>
      <c r="F226" s="173"/>
      <c r="G226" s="175"/>
      <c r="H226" s="173"/>
      <c r="I226" s="173"/>
      <c r="J226" s="173"/>
      <c r="K226" s="173"/>
      <c r="L226" s="76"/>
      <c r="M226" s="76"/>
      <c r="N226" s="76"/>
      <c r="O226" s="76"/>
      <c r="P226" s="76"/>
      <c r="Q226" s="76"/>
      <c r="R226" s="76"/>
      <c r="S226" s="76"/>
      <c r="T226" s="76"/>
      <c r="U226" s="76"/>
      <c r="V226" s="76"/>
      <c r="W226" s="76"/>
      <c r="X226" s="76"/>
      <c r="Y226" s="76"/>
      <c r="Z226" s="76"/>
      <c r="AA226" s="76"/>
      <c r="AB226" s="76"/>
      <c r="AC226" s="76"/>
      <c r="AD226" s="76"/>
      <c r="AE226" s="76"/>
      <c r="AF226" s="76"/>
    </row>
    <row r="227">
      <c r="A227" s="76"/>
      <c r="B227" s="170"/>
      <c r="C227" s="76"/>
      <c r="D227" s="173"/>
      <c r="E227" s="173"/>
      <c r="F227" s="173"/>
      <c r="G227" s="175"/>
      <c r="H227" s="173"/>
      <c r="I227" s="173"/>
      <c r="J227" s="173"/>
      <c r="K227" s="173"/>
      <c r="L227" s="76"/>
      <c r="M227" s="76"/>
      <c r="N227" s="76"/>
      <c r="O227" s="76"/>
      <c r="P227" s="76"/>
      <c r="Q227" s="76"/>
      <c r="R227" s="76"/>
      <c r="S227" s="76"/>
      <c r="T227" s="76"/>
      <c r="U227" s="76"/>
      <c r="V227" s="76"/>
      <c r="W227" s="76"/>
      <c r="X227" s="76"/>
      <c r="Y227" s="76"/>
      <c r="Z227" s="76"/>
      <c r="AA227" s="76"/>
      <c r="AB227" s="76"/>
      <c r="AC227" s="76"/>
      <c r="AD227" s="76"/>
      <c r="AE227" s="76"/>
      <c r="AF227" s="76"/>
    </row>
    <row r="228">
      <c r="A228" s="76"/>
      <c r="B228" s="170"/>
      <c r="C228" s="76"/>
      <c r="D228" s="173"/>
      <c r="E228" s="173"/>
      <c r="F228" s="173"/>
      <c r="G228" s="175"/>
      <c r="H228" s="173"/>
      <c r="I228" s="173"/>
      <c r="J228" s="173"/>
      <c r="K228" s="173"/>
      <c r="L228" s="76"/>
      <c r="M228" s="76"/>
      <c r="N228" s="76"/>
      <c r="O228" s="76"/>
      <c r="P228" s="76"/>
      <c r="Q228" s="76"/>
      <c r="R228" s="76"/>
      <c r="S228" s="76"/>
      <c r="T228" s="76"/>
      <c r="U228" s="76"/>
      <c r="V228" s="76"/>
      <c r="W228" s="76"/>
      <c r="X228" s="76"/>
      <c r="Y228" s="76"/>
      <c r="Z228" s="76"/>
      <c r="AA228" s="76"/>
      <c r="AB228" s="76"/>
      <c r="AC228" s="76"/>
      <c r="AD228" s="76"/>
      <c r="AE228" s="76"/>
      <c r="AF228" s="76"/>
    </row>
    <row r="229">
      <c r="A229" s="76"/>
      <c r="B229" s="170"/>
      <c r="C229" s="76"/>
      <c r="D229" s="173"/>
      <c r="E229" s="173"/>
      <c r="F229" s="173"/>
      <c r="G229" s="175"/>
      <c r="H229" s="173"/>
      <c r="I229" s="173"/>
      <c r="J229" s="173"/>
      <c r="K229" s="173"/>
      <c r="L229" s="76"/>
      <c r="M229" s="76"/>
      <c r="N229" s="76"/>
      <c r="O229" s="76"/>
      <c r="P229" s="76"/>
      <c r="Q229" s="76"/>
      <c r="R229" s="76"/>
      <c r="S229" s="76"/>
      <c r="T229" s="76"/>
      <c r="U229" s="76"/>
      <c r="V229" s="76"/>
      <c r="W229" s="76"/>
      <c r="X229" s="76"/>
      <c r="Y229" s="76"/>
      <c r="Z229" s="76"/>
      <c r="AA229" s="76"/>
      <c r="AB229" s="76"/>
      <c r="AC229" s="76"/>
      <c r="AD229" s="76"/>
      <c r="AE229" s="76"/>
      <c r="AF229" s="76"/>
    </row>
    <row r="230">
      <c r="A230" s="76"/>
      <c r="B230" s="170"/>
      <c r="C230" s="76"/>
      <c r="D230" s="173"/>
      <c r="E230" s="173"/>
      <c r="F230" s="173"/>
      <c r="G230" s="175"/>
      <c r="H230" s="173"/>
      <c r="I230" s="173"/>
      <c r="J230" s="173"/>
      <c r="K230" s="173"/>
      <c r="L230" s="76"/>
      <c r="M230" s="76"/>
      <c r="N230" s="76"/>
      <c r="O230" s="76"/>
      <c r="P230" s="76"/>
      <c r="Q230" s="76"/>
      <c r="R230" s="76"/>
      <c r="S230" s="76"/>
      <c r="T230" s="76"/>
      <c r="U230" s="76"/>
      <c r="V230" s="76"/>
      <c r="W230" s="76"/>
      <c r="X230" s="76"/>
      <c r="Y230" s="76"/>
      <c r="Z230" s="76"/>
      <c r="AA230" s="76"/>
      <c r="AB230" s="76"/>
      <c r="AC230" s="76"/>
      <c r="AD230" s="76"/>
      <c r="AE230" s="76"/>
      <c r="AF230" s="76"/>
    </row>
    <row r="231">
      <c r="A231" s="76"/>
      <c r="B231" s="170"/>
      <c r="C231" s="76"/>
      <c r="D231" s="173"/>
      <c r="E231" s="173"/>
      <c r="F231" s="173"/>
      <c r="G231" s="175"/>
      <c r="H231" s="173"/>
      <c r="I231" s="173"/>
      <c r="J231" s="173"/>
      <c r="K231" s="173"/>
      <c r="L231" s="76"/>
      <c r="M231" s="76"/>
      <c r="N231" s="76"/>
      <c r="O231" s="76"/>
      <c r="P231" s="76"/>
      <c r="Q231" s="76"/>
      <c r="R231" s="76"/>
      <c r="S231" s="76"/>
      <c r="T231" s="76"/>
      <c r="U231" s="76"/>
      <c r="V231" s="76"/>
      <c r="W231" s="76"/>
      <c r="X231" s="76"/>
      <c r="Y231" s="76"/>
      <c r="Z231" s="76"/>
      <c r="AA231" s="76"/>
      <c r="AB231" s="76"/>
      <c r="AC231" s="76"/>
      <c r="AD231" s="76"/>
      <c r="AE231" s="76"/>
      <c r="AF231" s="76"/>
    </row>
    <row r="232">
      <c r="A232" s="76"/>
      <c r="B232" s="170"/>
      <c r="C232" s="76"/>
      <c r="D232" s="173"/>
      <c r="E232" s="173"/>
      <c r="F232" s="173"/>
      <c r="G232" s="175"/>
      <c r="H232" s="173"/>
      <c r="I232" s="173"/>
      <c r="J232" s="173"/>
      <c r="K232" s="173"/>
      <c r="L232" s="76"/>
      <c r="M232" s="76"/>
      <c r="N232" s="76"/>
      <c r="O232" s="76"/>
      <c r="P232" s="76"/>
      <c r="Q232" s="76"/>
      <c r="R232" s="76"/>
      <c r="S232" s="76"/>
      <c r="T232" s="76"/>
      <c r="U232" s="76"/>
      <c r="V232" s="76"/>
      <c r="W232" s="76"/>
      <c r="X232" s="76"/>
      <c r="Y232" s="76"/>
      <c r="Z232" s="76"/>
      <c r="AA232" s="76"/>
      <c r="AB232" s="76"/>
      <c r="AC232" s="76"/>
      <c r="AD232" s="76"/>
      <c r="AE232" s="76"/>
      <c r="AF232" s="76"/>
    </row>
    <row r="233">
      <c r="A233" s="76"/>
      <c r="B233" s="170"/>
      <c r="C233" s="76"/>
      <c r="D233" s="173"/>
      <c r="E233" s="173"/>
      <c r="F233" s="173"/>
      <c r="G233" s="175"/>
      <c r="H233" s="173"/>
      <c r="I233" s="173"/>
      <c r="J233" s="173"/>
      <c r="K233" s="173"/>
      <c r="L233" s="76"/>
      <c r="M233" s="76"/>
      <c r="N233" s="76"/>
      <c r="O233" s="76"/>
      <c r="P233" s="76"/>
      <c r="Q233" s="76"/>
      <c r="R233" s="76"/>
      <c r="S233" s="76"/>
      <c r="T233" s="76"/>
      <c r="U233" s="76"/>
      <c r="V233" s="76"/>
      <c r="W233" s="76"/>
      <c r="X233" s="76"/>
      <c r="Y233" s="76"/>
      <c r="Z233" s="76"/>
      <c r="AA233" s="76"/>
      <c r="AB233" s="76"/>
      <c r="AC233" s="76"/>
      <c r="AD233" s="76"/>
      <c r="AE233" s="76"/>
      <c r="AF233" s="76"/>
    </row>
    <row r="234">
      <c r="A234" s="76"/>
      <c r="B234" s="170"/>
      <c r="C234" s="76"/>
      <c r="D234" s="173"/>
      <c r="E234" s="173"/>
      <c r="F234" s="173"/>
      <c r="G234" s="175"/>
      <c r="H234" s="173"/>
      <c r="I234" s="173"/>
      <c r="J234" s="173"/>
      <c r="K234" s="173"/>
      <c r="L234" s="76"/>
      <c r="M234" s="76"/>
      <c r="N234" s="76"/>
      <c r="O234" s="76"/>
      <c r="P234" s="76"/>
      <c r="Q234" s="76"/>
      <c r="R234" s="76"/>
      <c r="S234" s="76"/>
      <c r="T234" s="76"/>
      <c r="U234" s="76"/>
      <c r="V234" s="76"/>
      <c r="W234" s="76"/>
      <c r="X234" s="76"/>
      <c r="Y234" s="76"/>
      <c r="Z234" s="76"/>
      <c r="AA234" s="76"/>
      <c r="AB234" s="76"/>
      <c r="AC234" s="76"/>
      <c r="AD234" s="76"/>
      <c r="AE234" s="76"/>
      <c r="AF234" s="76"/>
    </row>
    <row r="235">
      <c r="A235" s="76"/>
      <c r="B235" s="170"/>
      <c r="C235" s="76"/>
      <c r="D235" s="173"/>
      <c r="E235" s="173"/>
      <c r="F235" s="173"/>
      <c r="G235" s="175"/>
      <c r="H235" s="173"/>
      <c r="I235" s="173"/>
      <c r="J235" s="173"/>
      <c r="K235" s="173"/>
      <c r="L235" s="76"/>
      <c r="M235" s="76"/>
      <c r="N235" s="76"/>
      <c r="O235" s="76"/>
      <c r="P235" s="76"/>
      <c r="Q235" s="76"/>
      <c r="R235" s="76"/>
      <c r="S235" s="76"/>
      <c r="T235" s="76"/>
      <c r="U235" s="76"/>
      <c r="V235" s="76"/>
      <c r="W235" s="76"/>
      <c r="X235" s="76"/>
      <c r="Y235" s="76"/>
      <c r="Z235" s="76"/>
      <c r="AA235" s="76"/>
      <c r="AB235" s="76"/>
      <c r="AC235" s="76"/>
      <c r="AD235" s="76"/>
      <c r="AE235" s="76"/>
      <c r="AF235" s="76"/>
    </row>
    <row r="236">
      <c r="A236" s="76"/>
      <c r="B236" s="170"/>
      <c r="C236" s="76"/>
      <c r="D236" s="173"/>
      <c r="E236" s="173"/>
      <c r="F236" s="173"/>
      <c r="G236" s="175"/>
      <c r="H236" s="173"/>
      <c r="I236" s="173"/>
      <c r="J236" s="173"/>
      <c r="K236" s="173"/>
      <c r="L236" s="76"/>
      <c r="M236" s="76"/>
      <c r="N236" s="76"/>
      <c r="O236" s="76"/>
      <c r="P236" s="76"/>
      <c r="Q236" s="76"/>
      <c r="R236" s="76"/>
      <c r="S236" s="76"/>
      <c r="T236" s="76"/>
      <c r="U236" s="76"/>
      <c r="V236" s="76"/>
      <c r="W236" s="76"/>
      <c r="X236" s="76"/>
      <c r="Y236" s="76"/>
      <c r="Z236" s="76"/>
      <c r="AA236" s="76"/>
      <c r="AB236" s="76"/>
      <c r="AC236" s="76"/>
      <c r="AD236" s="76"/>
      <c r="AE236" s="76"/>
      <c r="AF236" s="76"/>
    </row>
    <row r="237">
      <c r="A237" s="76"/>
      <c r="B237" s="170"/>
      <c r="C237" s="76"/>
      <c r="D237" s="173"/>
      <c r="E237" s="173"/>
      <c r="F237" s="173"/>
      <c r="G237" s="175"/>
      <c r="H237" s="173"/>
      <c r="I237" s="173"/>
      <c r="J237" s="173"/>
      <c r="K237" s="173"/>
      <c r="L237" s="76"/>
      <c r="M237" s="76"/>
      <c r="N237" s="76"/>
      <c r="O237" s="76"/>
      <c r="P237" s="76"/>
      <c r="Q237" s="76"/>
      <c r="R237" s="76"/>
      <c r="S237" s="76"/>
      <c r="T237" s="76"/>
      <c r="U237" s="76"/>
      <c r="V237" s="76"/>
      <c r="W237" s="76"/>
      <c r="X237" s="76"/>
      <c r="Y237" s="76"/>
      <c r="Z237" s="76"/>
      <c r="AA237" s="76"/>
      <c r="AB237" s="76"/>
      <c r="AC237" s="76"/>
      <c r="AD237" s="76"/>
      <c r="AE237" s="76"/>
      <c r="AF237" s="76"/>
    </row>
    <row r="238">
      <c r="A238" s="76"/>
      <c r="B238" s="170"/>
      <c r="C238" s="76"/>
      <c r="D238" s="173"/>
      <c r="E238" s="173"/>
      <c r="F238" s="173"/>
      <c r="G238" s="175"/>
      <c r="H238" s="173"/>
      <c r="I238" s="173"/>
      <c r="J238" s="173"/>
      <c r="K238" s="173"/>
      <c r="L238" s="76"/>
      <c r="M238" s="76"/>
      <c r="N238" s="76"/>
      <c r="O238" s="76"/>
      <c r="P238" s="76"/>
      <c r="Q238" s="76"/>
      <c r="R238" s="76"/>
      <c r="S238" s="76"/>
      <c r="T238" s="76"/>
      <c r="U238" s="76"/>
      <c r="V238" s="76"/>
      <c r="W238" s="76"/>
      <c r="X238" s="76"/>
      <c r="Y238" s="76"/>
      <c r="Z238" s="76"/>
      <c r="AA238" s="76"/>
      <c r="AB238" s="76"/>
      <c r="AC238" s="76"/>
      <c r="AD238" s="76"/>
      <c r="AE238" s="76"/>
      <c r="AF238" s="76"/>
    </row>
    <row r="239">
      <c r="A239" s="76"/>
      <c r="B239" s="170"/>
      <c r="C239" s="76"/>
      <c r="D239" s="173"/>
      <c r="E239" s="173"/>
      <c r="F239" s="173"/>
      <c r="G239" s="175"/>
      <c r="H239" s="173"/>
      <c r="I239" s="173"/>
      <c r="J239" s="173"/>
      <c r="K239" s="173"/>
      <c r="L239" s="76"/>
      <c r="M239" s="76"/>
      <c r="N239" s="76"/>
      <c r="O239" s="76"/>
      <c r="P239" s="76"/>
      <c r="Q239" s="76"/>
      <c r="R239" s="76"/>
      <c r="S239" s="76"/>
      <c r="T239" s="76"/>
      <c r="U239" s="76"/>
      <c r="V239" s="76"/>
      <c r="W239" s="76"/>
      <c r="X239" s="76"/>
      <c r="Y239" s="76"/>
      <c r="Z239" s="76"/>
      <c r="AA239" s="76"/>
      <c r="AB239" s="76"/>
      <c r="AC239" s="76"/>
      <c r="AD239" s="76"/>
      <c r="AE239" s="76"/>
      <c r="AF239" s="76"/>
    </row>
    <row r="240">
      <c r="A240" s="76"/>
      <c r="B240" s="170"/>
      <c r="C240" s="76"/>
      <c r="D240" s="173"/>
      <c r="E240" s="173"/>
      <c r="F240" s="173"/>
      <c r="G240" s="175"/>
      <c r="H240" s="173"/>
      <c r="I240" s="173"/>
      <c r="J240" s="173"/>
      <c r="K240" s="173"/>
      <c r="L240" s="76"/>
      <c r="M240" s="76"/>
      <c r="N240" s="76"/>
      <c r="O240" s="76"/>
      <c r="P240" s="76"/>
      <c r="Q240" s="76"/>
      <c r="R240" s="76"/>
      <c r="S240" s="76"/>
      <c r="T240" s="76"/>
      <c r="U240" s="76"/>
      <c r="V240" s="76"/>
      <c r="W240" s="76"/>
      <c r="X240" s="76"/>
      <c r="Y240" s="76"/>
      <c r="Z240" s="76"/>
      <c r="AA240" s="76"/>
      <c r="AB240" s="76"/>
      <c r="AC240" s="76"/>
      <c r="AD240" s="76"/>
      <c r="AE240" s="76"/>
      <c r="AF240" s="76"/>
    </row>
    <row r="241">
      <c r="A241" s="76"/>
      <c r="B241" s="170"/>
      <c r="C241" s="76"/>
      <c r="D241" s="173"/>
      <c r="E241" s="173"/>
      <c r="F241" s="173"/>
      <c r="G241" s="175"/>
      <c r="H241" s="173"/>
      <c r="I241" s="173"/>
      <c r="J241" s="173"/>
      <c r="K241" s="173"/>
      <c r="L241" s="76"/>
      <c r="M241" s="76"/>
      <c r="N241" s="76"/>
      <c r="O241" s="76"/>
      <c r="P241" s="76"/>
      <c r="Q241" s="76"/>
      <c r="R241" s="76"/>
      <c r="S241" s="76"/>
      <c r="T241" s="76"/>
      <c r="U241" s="76"/>
      <c r="V241" s="76"/>
      <c r="W241" s="76"/>
      <c r="X241" s="76"/>
      <c r="Y241" s="76"/>
      <c r="Z241" s="76"/>
      <c r="AA241" s="76"/>
      <c r="AB241" s="76"/>
      <c r="AC241" s="76"/>
      <c r="AD241" s="76"/>
      <c r="AE241" s="76"/>
      <c r="AF241" s="76"/>
    </row>
    <row r="242">
      <c r="A242" s="76"/>
      <c r="B242" s="170"/>
      <c r="C242" s="76"/>
      <c r="D242" s="173"/>
      <c r="E242" s="173"/>
      <c r="F242" s="173"/>
      <c r="G242" s="175"/>
      <c r="H242" s="173"/>
      <c r="I242" s="173"/>
      <c r="J242" s="173"/>
      <c r="K242" s="173"/>
      <c r="L242" s="76"/>
      <c r="M242" s="76"/>
      <c r="N242" s="76"/>
      <c r="O242" s="76"/>
      <c r="P242" s="76"/>
      <c r="Q242" s="76"/>
      <c r="R242" s="76"/>
      <c r="S242" s="76"/>
      <c r="T242" s="76"/>
      <c r="U242" s="76"/>
      <c r="V242" s="76"/>
      <c r="W242" s="76"/>
      <c r="X242" s="76"/>
      <c r="Y242" s="76"/>
      <c r="Z242" s="76"/>
      <c r="AA242" s="76"/>
      <c r="AB242" s="76"/>
      <c r="AC242" s="76"/>
      <c r="AD242" s="76"/>
      <c r="AE242" s="76"/>
      <c r="AF242" s="76"/>
    </row>
    <row r="243">
      <c r="A243" s="76"/>
      <c r="B243" s="170"/>
      <c r="C243" s="76"/>
      <c r="D243" s="173"/>
      <c r="E243" s="173"/>
      <c r="F243" s="173"/>
      <c r="G243" s="175"/>
      <c r="H243" s="173"/>
      <c r="I243" s="173"/>
      <c r="J243" s="173"/>
      <c r="K243" s="173"/>
      <c r="L243" s="76"/>
      <c r="M243" s="76"/>
      <c r="N243" s="76"/>
      <c r="O243" s="76"/>
      <c r="P243" s="76"/>
      <c r="Q243" s="76"/>
      <c r="R243" s="76"/>
      <c r="S243" s="76"/>
      <c r="T243" s="76"/>
      <c r="U243" s="76"/>
      <c r="V243" s="76"/>
      <c r="W243" s="76"/>
      <c r="X243" s="76"/>
      <c r="Y243" s="76"/>
      <c r="Z243" s="76"/>
      <c r="AA243" s="76"/>
      <c r="AB243" s="76"/>
      <c r="AC243" s="76"/>
      <c r="AD243" s="76"/>
      <c r="AE243" s="76"/>
      <c r="AF243" s="76"/>
    </row>
    <row r="244">
      <c r="A244" s="76"/>
      <c r="B244" s="170"/>
      <c r="C244" s="76"/>
      <c r="D244" s="173"/>
      <c r="E244" s="173"/>
      <c r="F244" s="173"/>
      <c r="G244" s="175"/>
      <c r="H244" s="173"/>
      <c r="I244" s="173"/>
      <c r="J244" s="173"/>
      <c r="K244" s="173"/>
      <c r="L244" s="76"/>
      <c r="M244" s="76"/>
      <c r="N244" s="76"/>
      <c r="O244" s="76"/>
      <c r="P244" s="76"/>
      <c r="Q244" s="76"/>
      <c r="R244" s="76"/>
      <c r="S244" s="76"/>
      <c r="T244" s="76"/>
      <c r="U244" s="76"/>
      <c r="V244" s="76"/>
      <c r="W244" s="76"/>
      <c r="X244" s="76"/>
      <c r="Y244" s="76"/>
      <c r="Z244" s="76"/>
      <c r="AA244" s="76"/>
      <c r="AB244" s="76"/>
      <c r="AC244" s="76"/>
      <c r="AD244" s="76"/>
      <c r="AE244" s="76"/>
      <c r="AF244" s="76"/>
    </row>
    <row r="245">
      <c r="A245" s="76"/>
      <c r="B245" s="170"/>
      <c r="C245" s="76"/>
      <c r="D245" s="173"/>
      <c r="E245" s="173"/>
      <c r="F245" s="173"/>
      <c r="G245" s="175"/>
      <c r="H245" s="173"/>
      <c r="I245" s="173"/>
      <c r="J245" s="173"/>
      <c r="K245" s="173"/>
      <c r="L245" s="76"/>
      <c r="M245" s="76"/>
      <c r="N245" s="76"/>
      <c r="O245" s="76"/>
      <c r="P245" s="76"/>
      <c r="Q245" s="76"/>
      <c r="R245" s="76"/>
      <c r="S245" s="76"/>
      <c r="T245" s="76"/>
      <c r="U245" s="76"/>
      <c r="V245" s="76"/>
      <c r="W245" s="76"/>
      <c r="X245" s="76"/>
      <c r="Y245" s="76"/>
      <c r="Z245" s="76"/>
      <c r="AA245" s="76"/>
      <c r="AB245" s="76"/>
      <c r="AC245" s="76"/>
      <c r="AD245" s="76"/>
      <c r="AE245" s="76"/>
      <c r="AF245" s="76"/>
    </row>
    <row r="246">
      <c r="A246" s="76"/>
      <c r="B246" s="170"/>
      <c r="C246" s="76"/>
      <c r="D246" s="173"/>
      <c r="E246" s="173"/>
      <c r="F246" s="173"/>
      <c r="G246" s="175"/>
      <c r="H246" s="173"/>
      <c r="I246" s="173"/>
      <c r="J246" s="173"/>
      <c r="K246" s="173"/>
      <c r="L246" s="76"/>
      <c r="M246" s="76"/>
      <c r="N246" s="76"/>
      <c r="O246" s="76"/>
      <c r="P246" s="76"/>
      <c r="Q246" s="76"/>
      <c r="R246" s="76"/>
      <c r="S246" s="76"/>
      <c r="T246" s="76"/>
      <c r="U246" s="76"/>
      <c r="V246" s="76"/>
      <c r="W246" s="76"/>
      <c r="X246" s="76"/>
      <c r="Y246" s="76"/>
      <c r="Z246" s="76"/>
      <c r="AA246" s="76"/>
      <c r="AB246" s="76"/>
      <c r="AC246" s="76"/>
      <c r="AD246" s="76"/>
      <c r="AE246" s="76"/>
      <c r="AF246" s="76"/>
    </row>
    <row r="247">
      <c r="A247" s="76"/>
      <c r="B247" s="170"/>
      <c r="C247" s="76"/>
      <c r="D247" s="173"/>
      <c r="E247" s="173"/>
      <c r="F247" s="173"/>
      <c r="G247" s="175"/>
      <c r="H247" s="173"/>
      <c r="I247" s="173"/>
      <c r="J247" s="173"/>
      <c r="K247" s="173"/>
      <c r="L247" s="76"/>
      <c r="M247" s="76"/>
      <c r="N247" s="76"/>
      <c r="O247" s="76"/>
      <c r="P247" s="76"/>
      <c r="Q247" s="76"/>
      <c r="R247" s="76"/>
      <c r="S247" s="76"/>
      <c r="T247" s="76"/>
      <c r="U247" s="76"/>
      <c r="V247" s="76"/>
      <c r="W247" s="76"/>
      <c r="X247" s="76"/>
      <c r="Y247" s="76"/>
      <c r="Z247" s="76"/>
      <c r="AA247" s="76"/>
      <c r="AB247" s="76"/>
      <c r="AC247" s="76"/>
      <c r="AD247" s="76"/>
      <c r="AE247" s="76"/>
      <c r="AF247" s="76"/>
    </row>
    <row r="248">
      <c r="A248" s="76"/>
      <c r="B248" s="170"/>
      <c r="C248" s="76"/>
      <c r="D248" s="173"/>
      <c r="E248" s="173"/>
      <c r="F248" s="173"/>
      <c r="G248" s="175"/>
      <c r="H248" s="173"/>
      <c r="I248" s="173"/>
      <c r="J248" s="173"/>
      <c r="K248" s="173"/>
      <c r="L248" s="76"/>
      <c r="M248" s="76"/>
      <c r="N248" s="76"/>
      <c r="O248" s="76"/>
      <c r="P248" s="76"/>
      <c r="Q248" s="76"/>
      <c r="R248" s="76"/>
      <c r="S248" s="76"/>
      <c r="T248" s="76"/>
      <c r="U248" s="76"/>
      <c r="V248" s="76"/>
      <c r="W248" s="76"/>
      <c r="X248" s="76"/>
      <c r="Y248" s="76"/>
      <c r="Z248" s="76"/>
      <c r="AA248" s="76"/>
      <c r="AB248" s="76"/>
      <c r="AC248" s="76"/>
      <c r="AD248" s="76"/>
      <c r="AE248" s="76"/>
      <c r="AF248" s="76"/>
    </row>
    <row r="249">
      <c r="A249" s="76"/>
      <c r="B249" s="170"/>
      <c r="C249" s="76"/>
      <c r="D249" s="173"/>
      <c r="E249" s="173"/>
      <c r="F249" s="173"/>
      <c r="G249" s="175"/>
      <c r="H249" s="173"/>
      <c r="I249" s="173"/>
      <c r="J249" s="173"/>
      <c r="K249" s="173"/>
      <c r="L249" s="76"/>
      <c r="M249" s="76"/>
      <c r="N249" s="76"/>
      <c r="O249" s="76"/>
      <c r="P249" s="76"/>
      <c r="Q249" s="76"/>
      <c r="R249" s="76"/>
      <c r="S249" s="76"/>
      <c r="T249" s="76"/>
      <c r="U249" s="76"/>
      <c r="V249" s="76"/>
      <c r="W249" s="76"/>
      <c r="X249" s="76"/>
      <c r="Y249" s="76"/>
      <c r="Z249" s="76"/>
      <c r="AA249" s="76"/>
      <c r="AB249" s="76"/>
      <c r="AC249" s="76"/>
      <c r="AD249" s="76"/>
      <c r="AE249" s="76"/>
      <c r="AF249" s="76"/>
    </row>
    <row r="250">
      <c r="A250" s="76"/>
      <c r="B250" s="170"/>
      <c r="C250" s="76"/>
      <c r="D250" s="173"/>
      <c r="E250" s="173"/>
      <c r="F250" s="173"/>
      <c r="G250" s="175"/>
      <c r="H250" s="173"/>
      <c r="I250" s="173"/>
      <c r="J250" s="173"/>
      <c r="K250" s="173"/>
      <c r="L250" s="76"/>
      <c r="M250" s="76"/>
      <c r="N250" s="76"/>
      <c r="O250" s="76"/>
      <c r="P250" s="76"/>
      <c r="Q250" s="76"/>
      <c r="R250" s="76"/>
      <c r="S250" s="76"/>
      <c r="T250" s="76"/>
      <c r="U250" s="76"/>
      <c r="V250" s="76"/>
      <c r="W250" s="76"/>
      <c r="X250" s="76"/>
      <c r="Y250" s="76"/>
      <c r="Z250" s="76"/>
      <c r="AA250" s="76"/>
      <c r="AB250" s="76"/>
      <c r="AC250" s="76"/>
      <c r="AD250" s="76"/>
      <c r="AE250" s="76"/>
      <c r="AF250" s="76"/>
    </row>
    <row r="251">
      <c r="A251" s="76"/>
      <c r="B251" s="170"/>
      <c r="C251" s="76"/>
      <c r="D251" s="173"/>
      <c r="E251" s="173"/>
      <c r="F251" s="173"/>
      <c r="G251" s="175"/>
      <c r="H251" s="173"/>
      <c r="I251" s="173"/>
      <c r="J251" s="173"/>
      <c r="K251" s="173"/>
      <c r="L251" s="76"/>
      <c r="M251" s="76"/>
      <c r="N251" s="76"/>
      <c r="O251" s="76"/>
      <c r="P251" s="76"/>
      <c r="Q251" s="76"/>
      <c r="R251" s="76"/>
      <c r="S251" s="76"/>
      <c r="T251" s="76"/>
      <c r="U251" s="76"/>
      <c r="V251" s="76"/>
      <c r="W251" s="76"/>
      <c r="X251" s="76"/>
      <c r="Y251" s="76"/>
      <c r="Z251" s="76"/>
      <c r="AA251" s="76"/>
      <c r="AB251" s="76"/>
      <c r="AC251" s="76"/>
      <c r="AD251" s="76"/>
      <c r="AE251" s="76"/>
      <c r="AF251" s="76"/>
    </row>
    <row r="252">
      <c r="A252" s="76"/>
      <c r="B252" s="170"/>
      <c r="C252" s="76"/>
      <c r="D252" s="173"/>
      <c r="E252" s="173"/>
      <c r="F252" s="173"/>
      <c r="G252" s="175"/>
      <c r="H252" s="173"/>
      <c r="I252" s="173"/>
      <c r="J252" s="173"/>
      <c r="K252" s="173"/>
      <c r="L252" s="76"/>
      <c r="M252" s="76"/>
      <c r="N252" s="76"/>
      <c r="O252" s="76"/>
      <c r="P252" s="76"/>
      <c r="Q252" s="76"/>
      <c r="R252" s="76"/>
      <c r="S252" s="76"/>
      <c r="T252" s="76"/>
      <c r="U252" s="76"/>
      <c r="V252" s="76"/>
      <c r="W252" s="76"/>
      <c r="X252" s="76"/>
      <c r="Y252" s="76"/>
      <c r="Z252" s="76"/>
      <c r="AA252" s="76"/>
      <c r="AB252" s="76"/>
      <c r="AC252" s="76"/>
      <c r="AD252" s="76"/>
      <c r="AE252" s="76"/>
      <c r="AF252" s="76"/>
    </row>
    <row r="253">
      <c r="A253" s="76"/>
      <c r="B253" s="170"/>
      <c r="C253" s="76"/>
      <c r="D253" s="173"/>
      <c r="E253" s="173"/>
      <c r="F253" s="173"/>
      <c r="G253" s="175"/>
      <c r="H253" s="173"/>
      <c r="I253" s="173"/>
      <c r="J253" s="173"/>
      <c r="K253" s="173"/>
      <c r="L253" s="76"/>
      <c r="M253" s="76"/>
      <c r="N253" s="76"/>
      <c r="O253" s="76"/>
      <c r="P253" s="76"/>
      <c r="Q253" s="76"/>
      <c r="R253" s="76"/>
      <c r="S253" s="76"/>
      <c r="T253" s="76"/>
      <c r="U253" s="76"/>
      <c r="V253" s="76"/>
      <c r="W253" s="76"/>
      <c r="X253" s="76"/>
      <c r="Y253" s="76"/>
      <c r="Z253" s="76"/>
      <c r="AA253" s="76"/>
      <c r="AB253" s="76"/>
      <c r="AC253" s="76"/>
      <c r="AD253" s="76"/>
      <c r="AE253" s="76"/>
      <c r="AF253" s="76"/>
    </row>
    <row r="254">
      <c r="A254" s="76"/>
      <c r="B254" s="170"/>
      <c r="C254" s="76"/>
      <c r="D254" s="173"/>
      <c r="E254" s="173"/>
      <c r="F254" s="173"/>
      <c r="G254" s="175"/>
      <c r="H254" s="173"/>
      <c r="I254" s="173"/>
      <c r="J254" s="173"/>
      <c r="K254" s="173"/>
      <c r="L254" s="76"/>
      <c r="M254" s="76"/>
      <c r="N254" s="76"/>
      <c r="O254" s="76"/>
      <c r="P254" s="76"/>
      <c r="Q254" s="76"/>
      <c r="R254" s="76"/>
      <c r="S254" s="76"/>
      <c r="T254" s="76"/>
      <c r="U254" s="76"/>
      <c r="V254" s="76"/>
      <c r="W254" s="76"/>
      <c r="X254" s="76"/>
      <c r="Y254" s="76"/>
      <c r="Z254" s="76"/>
      <c r="AA254" s="76"/>
      <c r="AB254" s="76"/>
      <c r="AC254" s="76"/>
      <c r="AD254" s="76"/>
      <c r="AE254" s="76"/>
      <c r="AF254" s="76"/>
    </row>
    <row r="255">
      <c r="A255" s="76"/>
      <c r="B255" s="170"/>
      <c r="C255" s="76"/>
      <c r="D255" s="173"/>
      <c r="E255" s="173"/>
      <c r="F255" s="173"/>
      <c r="G255" s="175"/>
      <c r="H255" s="173"/>
      <c r="I255" s="173"/>
      <c r="J255" s="173"/>
      <c r="K255" s="173"/>
      <c r="L255" s="76"/>
      <c r="M255" s="76"/>
      <c r="N255" s="76"/>
      <c r="O255" s="76"/>
      <c r="P255" s="76"/>
      <c r="Q255" s="76"/>
      <c r="R255" s="76"/>
      <c r="S255" s="76"/>
      <c r="T255" s="76"/>
      <c r="U255" s="76"/>
      <c r="V255" s="76"/>
      <c r="W255" s="76"/>
      <c r="X255" s="76"/>
      <c r="Y255" s="76"/>
      <c r="Z255" s="76"/>
      <c r="AA255" s="76"/>
      <c r="AB255" s="76"/>
      <c r="AC255" s="76"/>
      <c r="AD255" s="76"/>
      <c r="AE255" s="76"/>
      <c r="AF255" s="76"/>
    </row>
    <row r="256">
      <c r="A256" s="76"/>
      <c r="B256" s="170"/>
      <c r="C256" s="76"/>
      <c r="D256" s="173"/>
      <c r="E256" s="173"/>
      <c r="F256" s="173"/>
      <c r="G256" s="175"/>
      <c r="H256" s="173"/>
      <c r="I256" s="173"/>
      <c r="J256" s="173"/>
      <c r="K256" s="173"/>
      <c r="L256" s="76"/>
      <c r="M256" s="76"/>
      <c r="N256" s="76"/>
      <c r="O256" s="76"/>
      <c r="P256" s="76"/>
      <c r="Q256" s="76"/>
      <c r="R256" s="76"/>
      <c r="S256" s="76"/>
      <c r="T256" s="76"/>
      <c r="U256" s="76"/>
      <c r="V256" s="76"/>
      <c r="W256" s="76"/>
      <c r="X256" s="76"/>
      <c r="Y256" s="76"/>
      <c r="Z256" s="76"/>
      <c r="AA256" s="76"/>
      <c r="AB256" s="76"/>
      <c r="AC256" s="76"/>
      <c r="AD256" s="76"/>
      <c r="AE256" s="76"/>
      <c r="AF256" s="76"/>
    </row>
    <row r="257">
      <c r="A257" s="76"/>
      <c r="B257" s="170"/>
      <c r="C257" s="76"/>
      <c r="D257" s="173"/>
      <c r="E257" s="173"/>
      <c r="F257" s="173"/>
      <c r="G257" s="175"/>
      <c r="H257" s="173"/>
      <c r="I257" s="173"/>
      <c r="J257" s="173"/>
      <c r="K257" s="173"/>
      <c r="L257" s="76"/>
      <c r="M257" s="76"/>
      <c r="N257" s="76"/>
      <c r="O257" s="76"/>
      <c r="P257" s="76"/>
      <c r="Q257" s="76"/>
      <c r="R257" s="76"/>
      <c r="S257" s="76"/>
      <c r="T257" s="76"/>
      <c r="U257" s="76"/>
      <c r="V257" s="76"/>
      <c r="W257" s="76"/>
      <c r="X257" s="76"/>
      <c r="Y257" s="76"/>
      <c r="Z257" s="76"/>
      <c r="AA257" s="76"/>
      <c r="AB257" s="76"/>
      <c r="AC257" s="76"/>
      <c r="AD257" s="76"/>
      <c r="AE257" s="76"/>
      <c r="AF257" s="76"/>
    </row>
    <row r="258">
      <c r="A258" s="76"/>
      <c r="B258" s="170"/>
      <c r="C258" s="76"/>
      <c r="D258" s="173"/>
      <c r="E258" s="173"/>
      <c r="F258" s="173"/>
      <c r="G258" s="175"/>
      <c r="H258" s="173"/>
      <c r="I258" s="173"/>
      <c r="J258" s="173"/>
      <c r="K258" s="173"/>
      <c r="L258" s="76"/>
      <c r="M258" s="76"/>
      <c r="N258" s="76"/>
      <c r="O258" s="76"/>
      <c r="P258" s="76"/>
      <c r="Q258" s="76"/>
      <c r="R258" s="76"/>
      <c r="S258" s="76"/>
      <c r="T258" s="76"/>
      <c r="U258" s="76"/>
      <c r="V258" s="76"/>
      <c r="W258" s="76"/>
      <c r="X258" s="76"/>
      <c r="Y258" s="76"/>
      <c r="Z258" s="76"/>
      <c r="AA258" s="76"/>
      <c r="AB258" s="76"/>
      <c r="AC258" s="76"/>
      <c r="AD258" s="76"/>
      <c r="AE258" s="76"/>
      <c r="AF258" s="76"/>
    </row>
    <row r="259">
      <c r="A259" s="76"/>
      <c r="B259" s="170"/>
      <c r="C259" s="76"/>
      <c r="D259" s="173"/>
      <c r="E259" s="173"/>
      <c r="F259" s="173"/>
      <c r="G259" s="175"/>
      <c r="H259" s="173"/>
      <c r="I259" s="173"/>
      <c r="J259" s="173"/>
      <c r="K259" s="173"/>
      <c r="L259" s="76"/>
      <c r="M259" s="76"/>
      <c r="N259" s="76"/>
      <c r="O259" s="76"/>
      <c r="P259" s="76"/>
      <c r="Q259" s="76"/>
      <c r="R259" s="76"/>
      <c r="S259" s="76"/>
      <c r="T259" s="76"/>
      <c r="U259" s="76"/>
      <c r="V259" s="76"/>
      <c r="W259" s="76"/>
      <c r="X259" s="76"/>
      <c r="Y259" s="76"/>
      <c r="Z259" s="76"/>
      <c r="AA259" s="76"/>
      <c r="AB259" s="76"/>
      <c r="AC259" s="76"/>
      <c r="AD259" s="76"/>
      <c r="AE259" s="76"/>
      <c r="AF259" s="76"/>
    </row>
    <row r="260">
      <c r="A260" s="76"/>
      <c r="B260" s="170"/>
      <c r="C260" s="76"/>
      <c r="D260" s="173"/>
      <c r="E260" s="173"/>
      <c r="F260" s="173"/>
      <c r="G260" s="175"/>
      <c r="H260" s="173"/>
      <c r="I260" s="173"/>
      <c r="J260" s="173"/>
      <c r="K260" s="173"/>
      <c r="L260" s="76"/>
      <c r="M260" s="76"/>
      <c r="N260" s="76"/>
      <c r="O260" s="76"/>
      <c r="P260" s="76"/>
      <c r="Q260" s="76"/>
      <c r="R260" s="76"/>
      <c r="S260" s="76"/>
      <c r="T260" s="76"/>
      <c r="U260" s="76"/>
      <c r="V260" s="76"/>
      <c r="W260" s="76"/>
      <c r="X260" s="76"/>
      <c r="Y260" s="76"/>
      <c r="Z260" s="76"/>
      <c r="AA260" s="76"/>
      <c r="AB260" s="76"/>
      <c r="AC260" s="76"/>
      <c r="AD260" s="76"/>
      <c r="AE260" s="76"/>
      <c r="AF260" s="76"/>
    </row>
    <row r="261">
      <c r="A261" s="76"/>
      <c r="B261" s="170"/>
      <c r="C261" s="76"/>
      <c r="D261" s="173"/>
      <c r="E261" s="173"/>
      <c r="F261" s="173"/>
      <c r="G261" s="175"/>
      <c r="H261" s="173"/>
      <c r="I261" s="173"/>
      <c r="J261" s="173"/>
      <c r="K261" s="173"/>
      <c r="L261" s="76"/>
      <c r="M261" s="76"/>
      <c r="N261" s="76"/>
      <c r="O261" s="76"/>
      <c r="P261" s="76"/>
      <c r="Q261" s="76"/>
      <c r="R261" s="76"/>
      <c r="S261" s="76"/>
      <c r="T261" s="76"/>
      <c r="U261" s="76"/>
      <c r="V261" s="76"/>
      <c r="W261" s="76"/>
      <c r="X261" s="76"/>
      <c r="Y261" s="76"/>
      <c r="Z261" s="76"/>
      <c r="AA261" s="76"/>
      <c r="AB261" s="76"/>
      <c r="AC261" s="76"/>
      <c r="AD261" s="76"/>
      <c r="AE261" s="76"/>
      <c r="AF261" s="76"/>
    </row>
    <row r="262">
      <c r="A262" s="76"/>
      <c r="B262" s="170"/>
      <c r="C262" s="76"/>
      <c r="D262" s="173"/>
      <c r="E262" s="173"/>
      <c r="F262" s="173"/>
      <c r="G262" s="175"/>
      <c r="H262" s="173"/>
      <c r="I262" s="173"/>
      <c r="J262" s="173"/>
      <c r="K262" s="173"/>
      <c r="L262" s="76"/>
      <c r="M262" s="76"/>
      <c r="N262" s="76"/>
      <c r="O262" s="76"/>
      <c r="P262" s="76"/>
      <c r="Q262" s="76"/>
      <c r="R262" s="76"/>
      <c r="S262" s="76"/>
      <c r="T262" s="76"/>
      <c r="U262" s="76"/>
      <c r="V262" s="76"/>
      <c r="W262" s="76"/>
      <c r="X262" s="76"/>
      <c r="Y262" s="76"/>
      <c r="Z262" s="76"/>
      <c r="AA262" s="76"/>
      <c r="AB262" s="76"/>
      <c r="AC262" s="76"/>
      <c r="AD262" s="76"/>
      <c r="AE262" s="76"/>
      <c r="AF262" s="76"/>
    </row>
    <row r="263">
      <c r="A263" s="76"/>
      <c r="B263" s="170"/>
      <c r="C263" s="76"/>
      <c r="D263" s="173"/>
      <c r="E263" s="173"/>
      <c r="F263" s="173"/>
      <c r="G263" s="175"/>
      <c r="H263" s="173"/>
      <c r="I263" s="173"/>
      <c r="J263" s="173"/>
      <c r="K263" s="173"/>
      <c r="L263" s="76"/>
      <c r="M263" s="76"/>
      <c r="N263" s="76"/>
      <c r="O263" s="76"/>
      <c r="P263" s="76"/>
      <c r="Q263" s="76"/>
      <c r="R263" s="76"/>
      <c r="S263" s="76"/>
      <c r="T263" s="76"/>
      <c r="U263" s="76"/>
      <c r="V263" s="76"/>
      <c r="W263" s="76"/>
      <c r="X263" s="76"/>
      <c r="Y263" s="76"/>
      <c r="Z263" s="76"/>
      <c r="AA263" s="76"/>
      <c r="AB263" s="76"/>
      <c r="AC263" s="76"/>
      <c r="AD263" s="76"/>
      <c r="AE263" s="76"/>
      <c r="AF263" s="76"/>
    </row>
    <row r="264">
      <c r="A264" s="76"/>
      <c r="B264" s="170"/>
      <c r="C264" s="76"/>
      <c r="D264" s="173"/>
      <c r="E264" s="173"/>
      <c r="F264" s="173"/>
      <c r="G264" s="175"/>
      <c r="H264" s="173"/>
      <c r="I264" s="173"/>
      <c r="J264" s="173"/>
      <c r="K264" s="173"/>
      <c r="L264" s="76"/>
      <c r="M264" s="76"/>
      <c r="N264" s="76"/>
      <c r="O264" s="76"/>
      <c r="P264" s="76"/>
      <c r="Q264" s="76"/>
      <c r="R264" s="76"/>
      <c r="S264" s="76"/>
      <c r="T264" s="76"/>
      <c r="U264" s="76"/>
      <c r="V264" s="76"/>
      <c r="W264" s="76"/>
      <c r="X264" s="76"/>
      <c r="Y264" s="76"/>
      <c r="Z264" s="76"/>
      <c r="AA264" s="76"/>
      <c r="AB264" s="76"/>
      <c r="AC264" s="76"/>
      <c r="AD264" s="76"/>
      <c r="AE264" s="76"/>
      <c r="AF264" s="76"/>
    </row>
    <row r="265">
      <c r="A265" s="76"/>
      <c r="B265" s="170"/>
      <c r="C265" s="76"/>
      <c r="D265" s="173"/>
      <c r="E265" s="173"/>
      <c r="F265" s="173"/>
      <c r="G265" s="175"/>
      <c r="H265" s="173"/>
      <c r="I265" s="173"/>
      <c r="J265" s="173"/>
      <c r="K265" s="173"/>
      <c r="L265" s="76"/>
      <c r="M265" s="76"/>
      <c r="N265" s="76"/>
      <c r="O265" s="76"/>
      <c r="P265" s="76"/>
      <c r="Q265" s="76"/>
      <c r="R265" s="76"/>
      <c r="S265" s="76"/>
      <c r="T265" s="76"/>
      <c r="U265" s="76"/>
      <c r="V265" s="76"/>
      <c r="W265" s="76"/>
      <c r="X265" s="76"/>
      <c r="Y265" s="76"/>
      <c r="Z265" s="76"/>
      <c r="AA265" s="76"/>
      <c r="AB265" s="76"/>
      <c r="AC265" s="76"/>
      <c r="AD265" s="76"/>
      <c r="AE265" s="76"/>
      <c r="AF265" s="76"/>
    </row>
    <row r="266">
      <c r="A266" s="76"/>
      <c r="B266" s="170"/>
      <c r="C266" s="76"/>
      <c r="D266" s="173"/>
      <c r="E266" s="173"/>
      <c r="F266" s="173"/>
      <c r="G266" s="175"/>
      <c r="H266" s="173"/>
      <c r="I266" s="173"/>
      <c r="J266" s="173"/>
      <c r="K266" s="173"/>
      <c r="L266" s="76"/>
      <c r="M266" s="76"/>
      <c r="N266" s="76"/>
      <c r="O266" s="76"/>
      <c r="P266" s="76"/>
      <c r="Q266" s="76"/>
      <c r="R266" s="76"/>
      <c r="S266" s="76"/>
      <c r="T266" s="76"/>
      <c r="U266" s="76"/>
      <c r="V266" s="76"/>
      <c r="W266" s="76"/>
      <c r="X266" s="76"/>
      <c r="Y266" s="76"/>
      <c r="Z266" s="76"/>
      <c r="AA266" s="76"/>
      <c r="AB266" s="76"/>
      <c r="AC266" s="76"/>
      <c r="AD266" s="76"/>
      <c r="AE266" s="76"/>
      <c r="AF266" s="76"/>
    </row>
    <row r="267">
      <c r="A267" s="76"/>
      <c r="B267" s="170"/>
      <c r="C267" s="76"/>
      <c r="D267" s="173"/>
      <c r="E267" s="173"/>
      <c r="F267" s="173"/>
      <c r="G267" s="175"/>
      <c r="H267" s="173"/>
      <c r="I267" s="173"/>
      <c r="J267" s="173"/>
      <c r="K267" s="173"/>
      <c r="L267" s="76"/>
      <c r="M267" s="76"/>
      <c r="N267" s="76"/>
      <c r="O267" s="76"/>
      <c r="P267" s="76"/>
      <c r="Q267" s="76"/>
      <c r="R267" s="76"/>
      <c r="S267" s="76"/>
      <c r="T267" s="76"/>
      <c r="U267" s="76"/>
      <c r="V267" s="76"/>
      <c r="W267" s="76"/>
      <c r="X267" s="76"/>
      <c r="Y267" s="76"/>
      <c r="Z267" s="76"/>
      <c r="AA267" s="76"/>
      <c r="AB267" s="76"/>
      <c r="AC267" s="76"/>
      <c r="AD267" s="76"/>
      <c r="AE267" s="76"/>
      <c r="AF267" s="76"/>
    </row>
    <row r="268">
      <c r="A268" s="76"/>
      <c r="B268" s="170"/>
      <c r="C268" s="76"/>
      <c r="D268" s="173"/>
      <c r="E268" s="173"/>
      <c r="F268" s="173"/>
      <c r="G268" s="175"/>
      <c r="H268" s="173"/>
      <c r="I268" s="173"/>
      <c r="J268" s="173"/>
      <c r="K268" s="173"/>
      <c r="L268" s="76"/>
      <c r="M268" s="76"/>
      <c r="N268" s="76"/>
      <c r="O268" s="76"/>
      <c r="P268" s="76"/>
      <c r="Q268" s="76"/>
      <c r="R268" s="76"/>
      <c r="S268" s="76"/>
      <c r="T268" s="76"/>
      <c r="U268" s="76"/>
      <c r="V268" s="76"/>
      <c r="W268" s="76"/>
      <c r="X268" s="76"/>
      <c r="Y268" s="76"/>
      <c r="Z268" s="76"/>
      <c r="AA268" s="76"/>
      <c r="AB268" s="76"/>
      <c r="AC268" s="76"/>
      <c r="AD268" s="76"/>
      <c r="AE268" s="76"/>
      <c r="AF268" s="76"/>
    </row>
    <row r="269">
      <c r="A269" s="76"/>
      <c r="B269" s="170"/>
      <c r="C269" s="76"/>
      <c r="D269" s="173"/>
      <c r="E269" s="173"/>
      <c r="F269" s="173"/>
      <c r="G269" s="175"/>
      <c r="H269" s="173"/>
      <c r="I269" s="173"/>
      <c r="J269" s="173"/>
      <c r="K269" s="173"/>
      <c r="L269" s="76"/>
      <c r="M269" s="76"/>
      <c r="N269" s="76"/>
      <c r="O269" s="76"/>
      <c r="P269" s="76"/>
      <c r="Q269" s="76"/>
      <c r="R269" s="76"/>
      <c r="S269" s="76"/>
      <c r="T269" s="76"/>
      <c r="U269" s="76"/>
      <c r="V269" s="76"/>
      <c r="W269" s="76"/>
      <c r="X269" s="76"/>
      <c r="Y269" s="76"/>
      <c r="Z269" s="76"/>
      <c r="AA269" s="76"/>
      <c r="AB269" s="76"/>
      <c r="AC269" s="76"/>
      <c r="AD269" s="76"/>
      <c r="AE269" s="76"/>
      <c r="AF269" s="76"/>
    </row>
    <row r="270">
      <c r="A270" s="76"/>
      <c r="B270" s="170"/>
      <c r="C270" s="76"/>
      <c r="D270" s="173"/>
      <c r="E270" s="173"/>
      <c r="F270" s="173"/>
      <c r="G270" s="175"/>
      <c r="H270" s="173"/>
      <c r="I270" s="173"/>
      <c r="J270" s="173"/>
      <c r="K270" s="173"/>
      <c r="L270" s="76"/>
      <c r="M270" s="76"/>
      <c r="N270" s="76"/>
      <c r="O270" s="76"/>
      <c r="P270" s="76"/>
      <c r="Q270" s="76"/>
      <c r="R270" s="76"/>
      <c r="S270" s="76"/>
      <c r="T270" s="76"/>
      <c r="U270" s="76"/>
      <c r="V270" s="76"/>
      <c r="W270" s="76"/>
      <c r="X270" s="76"/>
      <c r="Y270" s="76"/>
      <c r="Z270" s="76"/>
      <c r="AA270" s="76"/>
      <c r="AB270" s="76"/>
      <c r="AC270" s="76"/>
      <c r="AD270" s="76"/>
      <c r="AE270" s="76"/>
      <c r="AF270" s="76"/>
    </row>
    <row r="271">
      <c r="A271" s="76"/>
      <c r="B271" s="170"/>
      <c r="C271" s="76"/>
      <c r="D271" s="173"/>
      <c r="E271" s="173"/>
      <c r="F271" s="173"/>
      <c r="G271" s="175"/>
      <c r="H271" s="173"/>
      <c r="I271" s="173"/>
      <c r="J271" s="173"/>
      <c r="K271" s="173"/>
      <c r="L271" s="76"/>
      <c r="M271" s="76"/>
      <c r="N271" s="76"/>
      <c r="O271" s="76"/>
      <c r="P271" s="76"/>
      <c r="Q271" s="76"/>
      <c r="R271" s="76"/>
      <c r="S271" s="76"/>
      <c r="T271" s="76"/>
      <c r="U271" s="76"/>
      <c r="V271" s="76"/>
      <c r="W271" s="76"/>
      <c r="X271" s="76"/>
      <c r="Y271" s="76"/>
      <c r="Z271" s="76"/>
      <c r="AA271" s="76"/>
      <c r="AB271" s="76"/>
      <c r="AC271" s="76"/>
      <c r="AD271" s="76"/>
      <c r="AE271" s="76"/>
      <c r="AF271" s="76"/>
    </row>
    <row r="272">
      <c r="A272" s="76"/>
      <c r="B272" s="170"/>
      <c r="C272" s="76"/>
      <c r="D272" s="173"/>
      <c r="E272" s="173"/>
      <c r="F272" s="173"/>
      <c r="G272" s="175"/>
      <c r="H272" s="173"/>
      <c r="I272" s="173"/>
      <c r="J272" s="173"/>
      <c r="K272" s="173"/>
      <c r="L272" s="76"/>
      <c r="M272" s="76"/>
      <c r="N272" s="76"/>
      <c r="O272" s="76"/>
      <c r="P272" s="76"/>
      <c r="Q272" s="76"/>
      <c r="R272" s="76"/>
      <c r="S272" s="76"/>
      <c r="T272" s="76"/>
      <c r="U272" s="76"/>
      <c r="V272" s="76"/>
      <c r="W272" s="76"/>
      <c r="X272" s="76"/>
      <c r="Y272" s="76"/>
      <c r="Z272" s="76"/>
      <c r="AA272" s="76"/>
      <c r="AB272" s="76"/>
      <c r="AC272" s="76"/>
      <c r="AD272" s="76"/>
      <c r="AE272" s="76"/>
      <c r="AF272" s="76"/>
    </row>
    <row r="273">
      <c r="A273" s="76"/>
      <c r="B273" s="170"/>
      <c r="C273" s="76"/>
      <c r="D273" s="173"/>
      <c r="E273" s="173"/>
      <c r="F273" s="173"/>
      <c r="G273" s="175"/>
      <c r="H273" s="173"/>
      <c r="I273" s="173"/>
      <c r="J273" s="173"/>
      <c r="K273" s="173"/>
      <c r="L273" s="76"/>
      <c r="M273" s="76"/>
      <c r="N273" s="76"/>
      <c r="O273" s="76"/>
      <c r="P273" s="76"/>
      <c r="Q273" s="76"/>
      <c r="R273" s="76"/>
      <c r="S273" s="76"/>
      <c r="T273" s="76"/>
      <c r="U273" s="76"/>
      <c r="V273" s="76"/>
      <c r="W273" s="76"/>
      <c r="X273" s="76"/>
      <c r="Y273" s="76"/>
      <c r="Z273" s="76"/>
      <c r="AA273" s="76"/>
      <c r="AB273" s="76"/>
      <c r="AC273" s="76"/>
      <c r="AD273" s="76"/>
      <c r="AE273" s="76"/>
      <c r="AF273" s="76"/>
    </row>
    <row r="274">
      <c r="A274" s="76"/>
      <c r="B274" s="170"/>
      <c r="C274" s="76"/>
      <c r="D274" s="173"/>
      <c r="E274" s="173"/>
      <c r="F274" s="173"/>
      <c r="G274" s="175"/>
      <c r="H274" s="173"/>
      <c r="I274" s="173"/>
      <c r="J274" s="173"/>
      <c r="K274" s="173"/>
      <c r="L274" s="76"/>
      <c r="M274" s="76"/>
      <c r="N274" s="76"/>
      <c r="O274" s="76"/>
      <c r="P274" s="76"/>
      <c r="Q274" s="76"/>
      <c r="R274" s="76"/>
      <c r="S274" s="76"/>
      <c r="T274" s="76"/>
      <c r="U274" s="76"/>
      <c r="V274" s="76"/>
      <c r="W274" s="76"/>
      <c r="X274" s="76"/>
      <c r="Y274" s="76"/>
      <c r="Z274" s="76"/>
      <c r="AA274" s="76"/>
      <c r="AB274" s="76"/>
      <c r="AC274" s="76"/>
      <c r="AD274" s="76"/>
      <c r="AE274" s="76"/>
      <c r="AF274" s="76"/>
    </row>
    <row r="275">
      <c r="A275" s="76"/>
      <c r="B275" s="170"/>
      <c r="C275" s="76"/>
      <c r="D275" s="173"/>
      <c r="E275" s="173"/>
      <c r="F275" s="173"/>
      <c r="G275" s="175"/>
      <c r="H275" s="173"/>
      <c r="I275" s="173"/>
      <c r="J275" s="173"/>
      <c r="K275" s="173"/>
      <c r="L275" s="76"/>
      <c r="M275" s="76"/>
      <c r="N275" s="76"/>
      <c r="O275" s="76"/>
      <c r="P275" s="76"/>
      <c r="Q275" s="76"/>
      <c r="R275" s="76"/>
      <c r="S275" s="76"/>
      <c r="T275" s="76"/>
      <c r="U275" s="76"/>
      <c r="V275" s="76"/>
      <c r="W275" s="76"/>
      <c r="X275" s="76"/>
      <c r="Y275" s="76"/>
      <c r="Z275" s="76"/>
      <c r="AA275" s="76"/>
      <c r="AB275" s="76"/>
      <c r="AC275" s="76"/>
      <c r="AD275" s="76"/>
      <c r="AE275" s="76"/>
      <c r="AF275" s="76"/>
    </row>
    <row r="276">
      <c r="A276" s="76"/>
      <c r="B276" s="170"/>
      <c r="C276" s="76"/>
      <c r="D276" s="173"/>
      <c r="E276" s="173"/>
      <c r="F276" s="173"/>
      <c r="G276" s="175"/>
      <c r="H276" s="173"/>
      <c r="I276" s="173"/>
      <c r="J276" s="173"/>
      <c r="K276" s="173"/>
      <c r="L276" s="76"/>
      <c r="M276" s="76"/>
      <c r="N276" s="76"/>
      <c r="O276" s="76"/>
      <c r="P276" s="76"/>
      <c r="Q276" s="76"/>
      <c r="R276" s="76"/>
      <c r="S276" s="76"/>
      <c r="T276" s="76"/>
      <c r="U276" s="76"/>
      <c r="V276" s="76"/>
      <c r="W276" s="76"/>
      <c r="X276" s="76"/>
      <c r="Y276" s="76"/>
      <c r="Z276" s="76"/>
      <c r="AA276" s="76"/>
      <c r="AB276" s="76"/>
      <c r="AC276" s="76"/>
      <c r="AD276" s="76"/>
      <c r="AE276" s="76"/>
      <c r="AF276" s="76"/>
    </row>
    <row r="277">
      <c r="A277" s="76"/>
      <c r="B277" s="170"/>
      <c r="C277" s="76"/>
      <c r="D277" s="173"/>
      <c r="E277" s="173"/>
      <c r="F277" s="173"/>
      <c r="G277" s="175"/>
      <c r="H277" s="173"/>
      <c r="I277" s="173"/>
      <c r="J277" s="173"/>
      <c r="K277" s="173"/>
      <c r="L277" s="76"/>
      <c r="M277" s="76"/>
      <c r="N277" s="76"/>
      <c r="O277" s="76"/>
      <c r="P277" s="76"/>
      <c r="Q277" s="76"/>
      <c r="R277" s="76"/>
      <c r="S277" s="76"/>
      <c r="T277" s="76"/>
      <c r="U277" s="76"/>
      <c r="V277" s="76"/>
      <c r="W277" s="76"/>
      <c r="X277" s="76"/>
      <c r="Y277" s="76"/>
      <c r="Z277" s="76"/>
      <c r="AA277" s="76"/>
      <c r="AB277" s="76"/>
      <c r="AC277" s="76"/>
      <c r="AD277" s="76"/>
      <c r="AE277" s="76"/>
      <c r="AF277" s="76"/>
    </row>
    <row r="278">
      <c r="A278" s="76"/>
      <c r="B278" s="170"/>
      <c r="C278" s="76"/>
      <c r="D278" s="173"/>
      <c r="E278" s="173"/>
      <c r="F278" s="173"/>
      <c r="G278" s="175"/>
      <c r="H278" s="173"/>
      <c r="I278" s="173"/>
      <c r="J278" s="173"/>
      <c r="K278" s="173"/>
      <c r="L278" s="76"/>
      <c r="M278" s="76"/>
      <c r="N278" s="76"/>
      <c r="O278" s="76"/>
      <c r="P278" s="76"/>
      <c r="Q278" s="76"/>
      <c r="R278" s="76"/>
      <c r="S278" s="76"/>
      <c r="T278" s="76"/>
      <c r="U278" s="76"/>
      <c r="V278" s="76"/>
      <c r="W278" s="76"/>
      <c r="X278" s="76"/>
      <c r="Y278" s="76"/>
      <c r="Z278" s="76"/>
      <c r="AA278" s="76"/>
      <c r="AB278" s="76"/>
      <c r="AC278" s="76"/>
      <c r="AD278" s="76"/>
      <c r="AE278" s="76"/>
      <c r="AF278" s="76"/>
    </row>
    <row r="279">
      <c r="A279" s="76"/>
      <c r="B279" s="170"/>
      <c r="C279" s="76"/>
      <c r="D279" s="173"/>
      <c r="E279" s="173"/>
      <c r="F279" s="173"/>
      <c r="G279" s="175"/>
      <c r="H279" s="173"/>
      <c r="I279" s="173"/>
      <c r="J279" s="173"/>
      <c r="K279" s="173"/>
      <c r="L279" s="76"/>
      <c r="M279" s="76"/>
      <c r="N279" s="76"/>
      <c r="O279" s="76"/>
      <c r="P279" s="76"/>
      <c r="Q279" s="76"/>
      <c r="R279" s="76"/>
      <c r="S279" s="76"/>
      <c r="T279" s="76"/>
      <c r="U279" s="76"/>
      <c r="V279" s="76"/>
      <c r="W279" s="76"/>
      <c r="X279" s="76"/>
      <c r="Y279" s="76"/>
      <c r="Z279" s="76"/>
      <c r="AA279" s="76"/>
      <c r="AB279" s="76"/>
      <c r="AC279" s="76"/>
      <c r="AD279" s="76"/>
      <c r="AE279" s="76"/>
      <c r="AF279" s="76"/>
    </row>
    <row r="280">
      <c r="A280" s="76"/>
      <c r="B280" s="170"/>
      <c r="C280" s="76"/>
      <c r="D280" s="173"/>
      <c r="E280" s="173"/>
      <c r="F280" s="173"/>
      <c r="G280" s="175"/>
      <c r="H280" s="173"/>
      <c r="I280" s="173"/>
      <c r="J280" s="173"/>
      <c r="K280" s="173"/>
      <c r="L280" s="76"/>
      <c r="M280" s="76"/>
      <c r="N280" s="76"/>
      <c r="O280" s="76"/>
      <c r="P280" s="76"/>
      <c r="Q280" s="76"/>
      <c r="R280" s="76"/>
      <c r="S280" s="76"/>
      <c r="T280" s="76"/>
      <c r="U280" s="76"/>
      <c r="V280" s="76"/>
      <c r="W280" s="76"/>
      <c r="X280" s="76"/>
      <c r="Y280" s="76"/>
      <c r="Z280" s="76"/>
      <c r="AA280" s="76"/>
      <c r="AB280" s="76"/>
      <c r="AC280" s="76"/>
      <c r="AD280" s="76"/>
      <c r="AE280" s="76"/>
      <c r="AF280" s="76"/>
    </row>
    <row r="281">
      <c r="A281" s="76"/>
      <c r="B281" s="170"/>
      <c r="C281" s="76"/>
      <c r="D281" s="173"/>
      <c r="E281" s="173"/>
      <c r="F281" s="173"/>
      <c r="G281" s="175"/>
      <c r="H281" s="173"/>
      <c r="I281" s="173"/>
      <c r="J281" s="173"/>
      <c r="K281" s="173"/>
      <c r="L281" s="76"/>
      <c r="M281" s="76"/>
      <c r="N281" s="76"/>
      <c r="O281" s="76"/>
      <c r="P281" s="76"/>
      <c r="Q281" s="76"/>
      <c r="R281" s="76"/>
      <c r="S281" s="76"/>
      <c r="T281" s="76"/>
      <c r="U281" s="76"/>
      <c r="V281" s="76"/>
      <c r="W281" s="76"/>
      <c r="X281" s="76"/>
      <c r="Y281" s="76"/>
      <c r="Z281" s="76"/>
      <c r="AA281" s="76"/>
      <c r="AB281" s="76"/>
      <c r="AC281" s="76"/>
      <c r="AD281" s="76"/>
      <c r="AE281" s="76"/>
      <c r="AF281" s="76"/>
    </row>
    <row r="282">
      <c r="A282" s="76"/>
      <c r="B282" s="170"/>
      <c r="C282" s="76"/>
      <c r="D282" s="173"/>
      <c r="E282" s="173"/>
      <c r="F282" s="173"/>
      <c r="G282" s="175"/>
      <c r="H282" s="173"/>
      <c r="I282" s="173"/>
      <c r="J282" s="173"/>
      <c r="K282" s="173"/>
      <c r="L282" s="76"/>
      <c r="M282" s="76"/>
      <c r="N282" s="76"/>
      <c r="O282" s="76"/>
      <c r="P282" s="76"/>
      <c r="Q282" s="76"/>
      <c r="R282" s="76"/>
      <c r="S282" s="76"/>
      <c r="T282" s="76"/>
      <c r="U282" s="76"/>
      <c r="V282" s="76"/>
      <c r="W282" s="76"/>
      <c r="X282" s="76"/>
      <c r="Y282" s="76"/>
      <c r="Z282" s="76"/>
      <c r="AA282" s="76"/>
      <c r="AB282" s="76"/>
      <c r="AC282" s="76"/>
      <c r="AD282" s="76"/>
      <c r="AE282" s="76"/>
      <c r="AF282" s="76"/>
    </row>
    <row r="283">
      <c r="A283" s="76"/>
      <c r="B283" s="170"/>
      <c r="C283" s="76"/>
      <c r="D283" s="173"/>
      <c r="E283" s="173"/>
      <c r="F283" s="173"/>
      <c r="G283" s="175"/>
      <c r="H283" s="173"/>
      <c r="I283" s="173"/>
      <c r="J283" s="173"/>
      <c r="K283" s="173"/>
      <c r="L283" s="76"/>
      <c r="M283" s="76"/>
      <c r="N283" s="76"/>
      <c r="O283" s="76"/>
      <c r="P283" s="76"/>
      <c r="Q283" s="76"/>
      <c r="R283" s="76"/>
      <c r="S283" s="76"/>
      <c r="T283" s="76"/>
      <c r="U283" s="76"/>
      <c r="V283" s="76"/>
      <c r="W283" s="76"/>
      <c r="X283" s="76"/>
      <c r="Y283" s="76"/>
      <c r="Z283" s="76"/>
      <c r="AA283" s="76"/>
      <c r="AB283" s="76"/>
      <c r="AC283" s="76"/>
      <c r="AD283" s="76"/>
      <c r="AE283" s="76"/>
      <c r="AF283" s="76"/>
    </row>
    <row r="284">
      <c r="A284" s="76"/>
      <c r="B284" s="170"/>
      <c r="C284" s="76"/>
      <c r="D284" s="173"/>
      <c r="E284" s="173"/>
      <c r="F284" s="173"/>
      <c r="G284" s="175"/>
      <c r="H284" s="173"/>
      <c r="I284" s="173"/>
      <c r="J284" s="173"/>
      <c r="K284" s="173"/>
      <c r="L284" s="76"/>
      <c r="M284" s="76"/>
      <c r="N284" s="76"/>
      <c r="O284" s="76"/>
      <c r="P284" s="76"/>
      <c r="Q284" s="76"/>
      <c r="R284" s="76"/>
      <c r="S284" s="76"/>
      <c r="T284" s="76"/>
      <c r="U284" s="76"/>
      <c r="V284" s="76"/>
      <c r="W284" s="76"/>
      <c r="X284" s="76"/>
      <c r="Y284" s="76"/>
      <c r="Z284" s="76"/>
      <c r="AA284" s="76"/>
      <c r="AB284" s="76"/>
      <c r="AC284" s="76"/>
      <c r="AD284" s="76"/>
      <c r="AE284" s="76"/>
      <c r="AF284" s="76"/>
    </row>
    <row r="285">
      <c r="A285" s="76"/>
      <c r="B285" s="170"/>
      <c r="C285" s="76"/>
      <c r="D285" s="173"/>
      <c r="E285" s="173"/>
      <c r="F285" s="173"/>
      <c r="G285" s="175"/>
      <c r="H285" s="173"/>
      <c r="I285" s="173"/>
      <c r="J285" s="173"/>
      <c r="K285" s="173"/>
      <c r="L285" s="76"/>
      <c r="M285" s="76"/>
      <c r="N285" s="76"/>
      <c r="O285" s="76"/>
      <c r="P285" s="76"/>
      <c r="Q285" s="76"/>
      <c r="R285" s="76"/>
      <c r="S285" s="76"/>
      <c r="T285" s="76"/>
      <c r="U285" s="76"/>
      <c r="V285" s="76"/>
      <c r="W285" s="76"/>
      <c r="X285" s="76"/>
      <c r="Y285" s="76"/>
      <c r="Z285" s="76"/>
      <c r="AA285" s="76"/>
      <c r="AB285" s="76"/>
      <c r="AC285" s="76"/>
      <c r="AD285" s="76"/>
      <c r="AE285" s="76"/>
      <c r="AF285" s="76"/>
    </row>
    <row r="286">
      <c r="A286" s="76"/>
      <c r="B286" s="170"/>
      <c r="C286" s="76"/>
      <c r="D286" s="173"/>
      <c r="E286" s="173"/>
      <c r="F286" s="173"/>
      <c r="G286" s="175"/>
      <c r="H286" s="173"/>
      <c r="I286" s="173"/>
      <c r="J286" s="173"/>
      <c r="K286" s="173"/>
      <c r="L286" s="76"/>
      <c r="M286" s="76"/>
      <c r="N286" s="76"/>
      <c r="O286" s="76"/>
      <c r="P286" s="76"/>
      <c r="Q286" s="76"/>
      <c r="R286" s="76"/>
      <c r="S286" s="76"/>
      <c r="T286" s="76"/>
      <c r="U286" s="76"/>
      <c r="V286" s="76"/>
      <c r="W286" s="76"/>
      <c r="X286" s="76"/>
      <c r="Y286" s="76"/>
      <c r="Z286" s="76"/>
      <c r="AA286" s="76"/>
      <c r="AB286" s="76"/>
      <c r="AC286" s="76"/>
      <c r="AD286" s="76"/>
      <c r="AE286" s="76"/>
      <c r="AF286" s="76"/>
    </row>
    <row r="287">
      <c r="A287" s="76"/>
      <c r="B287" s="170"/>
      <c r="C287" s="76"/>
      <c r="D287" s="173"/>
      <c r="E287" s="173"/>
      <c r="F287" s="173"/>
      <c r="G287" s="175"/>
      <c r="H287" s="173"/>
      <c r="I287" s="173"/>
      <c r="J287" s="173"/>
      <c r="K287" s="173"/>
      <c r="L287" s="76"/>
      <c r="M287" s="76"/>
      <c r="N287" s="76"/>
      <c r="O287" s="76"/>
      <c r="P287" s="76"/>
      <c r="Q287" s="76"/>
      <c r="R287" s="76"/>
      <c r="S287" s="76"/>
      <c r="T287" s="76"/>
      <c r="U287" s="76"/>
      <c r="V287" s="76"/>
      <c r="W287" s="76"/>
      <c r="X287" s="76"/>
      <c r="Y287" s="76"/>
      <c r="Z287" s="76"/>
      <c r="AA287" s="76"/>
      <c r="AB287" s="76"/>
      <c r="AC287" s="76"/>
      <c r="AD287" s="76"/>
      <c r="AE287" s="76"/>
      <c r="AF287" s="76"/>
    </row>
    <row r="288">
      <c r="A288" s="76"/>
      <c r="B288" s="170"/>
      <c r="C288" s="76"/>
      <c r="D288" s="173"/>
      <c r="E288" s="173"/>
      <c r="F288" s="173"/>
      <c r="G288" s="175"/>
      <c r="H288" s="173"/>
      <c r="I288" s="173"/>
      <c r="J288" s="173"/>
      <c r="K288" s="173"/>
      <c r="L288" s="76"/>
      <c r="M288" s="76"/>
      <c r="N288" s="76"/>
      <c r="O288" s="76"/>
      <c r="P288" s="76"/>
      <c r="Q288" s="76"/>
      <c r="R288" s="76"/>
      <c r="S288" s="76"/>
      <c r="T288" s="76"/>
      <c r="U288" s="76"/>
      <c r="V288" s="76"/>
      <c r="W288" s="76"/>
      <c r="X288" s="76"/>
      <c r="Y288" s="76"/>
      <c r="Z288" s="76"/>
      <c r="AA288" s="76"/>
      <c r="AB288" s="76"/>
      <c r="AC288" s="76"/>
      <c r="AD288" s="76"/>
      <c r="AE288" s="76"/>
      <c r="AF288" s="76"/>
    </row>
    <row r="289">
      <c r="A289" s="76"/>
      <c r="B289" s="170"/>
      <c r="C289" s="76"/>
      <c r="D289" s="173"/>
      <c r="E289" s="173"/>
      <c r="F289" s="173"/>
      <c r="G289" s="175"/>
      <c r="H289" s="173"/>
      <c r="I289" s="173"/>
      <c r="J289" s="173"/>
      <c r="K289" s="173"/>
      <c r="L289" s="76"/>
      <c r="M289" s="76"/>
      <c r="N289" s="76"/>
      <c r="O289" s="76"/>
      <c r="P289" s="76"/>
      <c r="Q289" s="76"/>
      <c r="R289" s="76"/>
      <c r="S289" s="76"/>
      <c r="T289" s="76"/>
      <c r="U289" s="76"/>
      <c r="V289" s="76"/>
      <c r="W289" s="76"/>
      <c r="X289" s="76"/>
      <c r="Y289" s="76"/>
      <c r="Z289" s="76"/>
      <c r="AA289" s="76"/>
      <c r="AB289" s="76"/>
      <c r="AC289" s="76"/>
      <c r="AD289" s="76"/>
      <c r="AE289" s="76"/>
      <c r="AF289" s="76"/>
    </row>
    <row r="290">
      <c r="A290" s="76"/>
      <c r="B290" s="170"/>
      <c r="C290" s="76"/>
      <c r="D290" s="173"/>
      <c r="E290" s="173"/>
      <c r="F290" s="173"/>
      <c r="G290" s="175"/>
      <c r="H290" s="173"/>
      <c r="I290" s="173"/>
      <c r="J290" s="173"/>
      <c r="K290" s="173"/>
      <c r="L290" s="76"/>
      <c r="M290" s="76"/>
      <c r="N290" s="76"/>
      <c r="O290" s="76"/>
      <c r="P290" s="76"/>
      <c r="Q290" s="76"/>
      <c r="R290" s="76"/>
      <c r="S290" s="76"/>
      <c r="T290" s="76"/>
      <c r="U290" s="76"/>
      <c r="V290" s="76"/>
      <c r="W290" s="76"/>
      <c r="X290" s="76"/>
      <c r="Y290" s="76"/>
      <c r="Z290" s="76"/>
      <c r="AA290" s="76"/>
      <c r="AB290" s="76"/>
      <c r="AC290" s="76"/>
      <c r="AD290" s="76"/>
      <c r="AE290" s="76"/>
      <c r="AF290" s="76"/>
    </row>
    <row r="291">
      <c r="A291" s="76"/>
      <c r="B291" s="170"/>
      <c r="C291" s="76"/>
      <c r="D291" s="173"/>
      <c r="E291" s="173"/>
      <c r="F291" s="173"/>
      <c r="G291" s="175"/>
      <c r="H291" s="173"/>
      <c r="I291" s="173"/>
      <c r="J291" s="173"/>
      <c r="K291" s="173"/>
      <c r="L291" s="76"/>
      <c r="M291" s="76"/>
      <c r="N291" s="76"/>
      <c r="O291" s="76"/>
      <c r="P291" s="76"/>
      <c r="Q291" s="76"/>
      <c r="R291" s="76"/>
      <c r="S291" s="76"/>
      <c r="T291" s="76"/>
      <c r="U291" s="76"/>
      <c r="V291" s="76"/>
      <c r="W291" s="76"/>
      <c r="X291" s="76"/>
      <c r="Y291" s="76"/>
      <c r="Z291" s="76"/>
      <c r="AA291" s="76"/>
      <c r="AB291" s="76"/>
      <c r="AC291" s="76"/>
      <c r="AD291" s="76"/>
      <c r="AE291" s="76"/>
      <c r="AF291" s="76"/>
    </row>
    <row r="292">
      <c r="A292" s="76"/>
      <c r="B292" s="170"/>
      <c r="C292" s="76"/>
      <c r="D292" s="173"/>
      <c r="E292" s="173"/>
      <c r="F292" s="173"/>
      <c r="G292" s="175"/>
      <c r="H292" s="173"/>
      <c r="I292" s="173"/>
      <c r="J292" s="173"/>
      <c r="K292" s="173"/>
      <c r="L292" s="76"/>
      <c r="M292" s="76"/>
      <c r="N292" s="76"/>
      <c r="O292" s="76"/>
      <c r="P292" s="76"/>
      <c r="Q292" s="76"/>
      <c r="R292" s="76"/>
      <c r="S292" s="76"/>
      <c r="T292" s="76"/>
      <c r="U292" s="76"/>
      <c r="V292" s="76"/>
      <c r="W292" s="76"/>
      <c r="X292" s="76"/>
      <c r="Y292" s="76"/>
      <c r="Z292" s="76"/>
      <c r="AA292" s="76"/>
      <c r="AB292" s="76"/>
      <c r="AC292" s="76"/>
      <c r="AD292" s="76"/>
      <c r="AE292" s="76"/>
      <c r="AF292" s="76"/>
    </row>
    <row r="293">
      <c r="A293" s="76"/>
      <c r="B293" s="170"/>
      <c r="C293" s="76"/>
      <c r="D293" s="173"/>
      <c r="E293" s="173"/>
      <c r="F293" s="173"/>
      <c r="G293" s="175"/>
      <c r="H293" s="173"/>
      <c r="I293" s="173"/>
      <c r="J293" s="173"/>
      <c r="K293" s="173"/>
      <c r="L293" s="76"/>
      <c r="M293" s="76"/>
      <c r="N293" s="76"/>
      <c r="O293" s="76"/>
      <c r="P293" s="76"/>
      <c r="Q293" s="76"/>
      <c r="R293" s="76"/>
      <c r="S293" s="76"/>
      <c r="T293" s="76"/>
      <c r="U293" s="76"/>
      <c r="V293" s="76"/>
      <c r="W293" s="76"/>
      <c r="X293" s="76"/>
      <c r="Y293" s="76"/>
      <c r="Z293" s="76"/>
      <c r="AA293" s="76"/>
      <c r="AB293" s="76"/>
      <c r="AC293" s="76"/>
      <c r="AD293" s="76"/>
      <c r="AE293" s="76"/>
      <c r="AF293" s="76"/>
    </row>
    <row r="294">
      <c r="A294" s="76"/>
      <c r="B294" s="170"/>
      <c r="C294" s="76"/>
      <c r="D294" s="173"/>
      <c r="E294" s="173"/>
      <c r="F294" s="173"/>
      <c r="G294" s="175"/>
      <c r="H294" s="173"/>
      <c r="I294" s="173"/>
      <c r="J294" s="173"/>
      <c r="K294" s="173"/>
      <c r="L294" s="76"/>
      <c r="M294" s="76"/>
      <c r="N294" s="76"/>
      <c r="O294" s="76"/>
      <c r="P294" s="76"/>
      <c r="Q294" s="76"/>
      <c r="R294" s="76"/>
      <c r="S294" s="76"/>
      <c r="T294" s="76"/>
      <c r="U294" s="76"/>
      <c r="V294" s="76"/>
      <c r="W294" s="76"/>
      <c r="X294" s="76"/>
      <c r="Y294" s="76"/>
      <c r="Z294" s="76"/>
      <c r="AA294" s="76"/>
      <c r="AB294" s="76"/>
      <c r="AC294" s="76"/>
      <c r="AD294" s="76"/>
      <c r="AE294" s="76"/>
      <c r="AF294" s="76"/>
    </row>
    <row r="295">
      <c r="A295" s="76"/>
      <c r="B295" s="170"/>
      <c r="C295" s="76"/>
      <c r="D295" s="173"/>
      <c r="E295" s="173"/>
      <c r="F295" s="173"/>
      <c r="G295" s="175"/>
      <c r="H295" s="173"/>
      <c r="I295" s="173"/>
      <c r="J295" s="173"/>
      <c r="K295" s="173"/>
      <c r="L295" s="76"/>
      <c r="M295" s="76"/>
      <c r="N295" s="76"/>
      <c r="O295" s="76"/>
      <c r="P295" s="76"/>
      <c r="Q295" s="76"/>
      <c r="R295" s="76"/>
      <c r="S295" s="76"/>
      <c r="T295" s="76"/>
      <c r="U295" s="76"/>
      <c r="V295" s="76"/>
      <c r="W295" s="76"/>
      <c r="X295" s="76"/>
      <c r="Y295" s="76"/>
      <c r="Z295" s="76"/>
      <c r="AA295" s="76"/>
      <c r="AB295" s="76"/>
      <c r="AC295" s="76"/>
      <c r="AD295" s="76"/>
      <c r="AE295" s="76"/>
      <c r="AF295" s="76"/>
    </row>
    <row r="296">
      <c r="A296" s="76"/>
      <c r="B296" s="170"/>
      <c r="C296" s="76"/>
      <c r="D296" s="173"/>
      <c r="E296" s="173"/>
      <c r="F296" s="173"/>
      <c r="G296" s="175"/>
      <c r="H296" s="173"/>
      <c r="I296" s="173"/>
      <c r="J296" s="173"/>
      <c r="K296" s="173"/>
      <c r="L296" s="76"/>
      <c r="M296" s="76"/>
      <c r="N296" s="76"/>
      <c r="O296" s="76"/>
      <c r="P296" s="76"/>
      <c r="Q296" s="76"/>
      <c r="R296" s="76"/>
      <c r="S296" s="76"/>
      <c r="T296" s="76"/>
      <c r="U296" s="76"/>
      <c r="V296" s="76"/>
      <c r="W296" s="76"/>
      <c r="X296" s="76"/>
      <c r="Y296" s="76"/>
      <c r="Z296" s="76"/>
      <c r="AA296" s="76"/>
      <c r="AB296" s="76"/>
      <c r="AC296" s="76"/>
      <c r="AD296" s="76"/>
      <c r="AE296" s="76"/>
      <c r="AF296" s="76"/>
    </row>
    <row r="297">
      <c r="A297" s="76"/>
      <c r="B297" s="170"/>
      <c r="C297" s="76"/>
      <c r="D297" s="173"/>
      <c r="E297" s="173"/>
      <c r="F297" s="173"/>
      <c r="G297" s="175"/>
      <c r="H297" s="173"/>
      <c r="I297" s="173"/>
      <c r="J297" s="173"/>
      <c r="K297" s="173"/>
      <c r="L297" s="76"/>
      <c r="M297" s="76"/>
      <c r="N297" s="76"/>
      <c r="O297" s="76"/>
      <c r="P297" s="76"/>
      <c r="Q297" s="76"/>
      <c r="R297" s="76"/>
      <c r="S297" s="76"/>
      <c r="T297" s="76"/>
      <c r="U297" s="76"/>
      <c r="V297" s="76"/>
      <c r="W297" s="76"/>
      <c r="X297" s="76"/>
      <c r="Y297" s="76"/>
      <c r="Z297" s="76"/>
      <c r="AA297" s="76"/>
      <c r="AB297" s="76"/>
      <c r="AC297" s="76"/>
      <c r="AD297" s="76"/>
      <c r="AE297" s="76"/>
      <c r="AF297" s="76"/>
    </row>
    <row r="298">
      <c r="A298" s="76"/>
      <c r="B298" s="170"/>
      <c r="C298" s="76"/>
      <c r="D298" s="173"/>
      <c r="E298" s="173"/>
      <c r="F298" s="173"/>
      <c r="G298" s="175"/>
      <c r="H298" s="173"/>
      <c r="I298" s="173"/>
      <c r="J298" s="173"/>
      <c r="K298" s="173"/>
      <c r="L298" s="76"/>
      <c r="M298" s="76"/>
      <c r="N298" s="76"/>
      <c r="O298" s="76"/>
      <c r="P298" s="76"/>
      <c r="Q298" s="76"/>
      <c r="R298" s="76"/>
      <c r="S298" s="76"/>
      <c r="T298" s="76"/>
      <c r="U298" s="76"/>
      <c r="V298" s="76"/>
      <c r="W298" s="76"/>
      <c r="X298" s="76"/>
      <c r="Y298" s="76"/>
      <c r="Z298" s="76"/>
      <c r="AA298" s="76"/>
      <c r="AB298" s="76"/>
      <c r="AC298" s="76"/>
      <c r="AD298" s="76"/>
      <c r="AE298" s="76"/>
      <c r="AF298" s="76"/>
    </row>
    <row r="299">
      <c r="A299" s="76"/>
      <c r="B299" s="170"/>
      <c r="C299" s="76"/>
      <c r="D299" s="173"/>
      <c r="E299" s="173"/>
      <c r="F299" s="173"/>
      <c r="G299" s="175"/>
      <c r="H299" s="173"/>
      <c r="I299" s="173"/>
      <c r="J299" s="173"/>
      <c r="K299" s="173"/>
      <c r="L299" s="76"/>
      <c r="M299" s="76"/>
      <c r="N299" s="76"/>
      <c r="O299" s="76"/>
      <c r="P299" s="76"/>
      <c r="Q299" s="76"/>
      <c r="R299" s="76"/>
      <c r="S299" s="76"/>
      <c r="T299" s="76"/>
      <c r="U299" s="76"/>
      <c r="V299" s="76"/>
      <c r="W299" s="76"/>
      <c r="X299" s="76"/>
      <c r="Y299" s="76"/>
      <c r="Z299" s="76"/>
      <c r="AA299" s="76"/>
      <c r="AB299" s="76"/>
      <c r="AC299" s="76"/>
      <c r="AD299" s="76"/>
      <c r="AE299" s="76"/>
      <c r="AF299" s="76"/>
    </row>
    <row r="300">
      <c r="A300" s="76"/>
      <c r="B300" s="170"/>
      <c r="C300" s="76"/>
      <c r="D300" s="173"/>
      <c r="E300" s="173"/>
      <c r="F300" s="173"/>
      <c r="G300" s="175"/>
      <c r="H300" s="173"/>
      <c r="I300" s="173"/>
      <c r="J300" s="173"/>
      <c r="K300" s="173"/>
      <c r="L300" s="76"/>
      <c r="M300" s="76"/>
      <c r="N300" s="76"/>
      <c r="O300" s="76"/>
      <c r="P300" s="76"/>
      <c r="Q300" s="76"/>
      <c r="R300" s="76"/>
      <c r="S300" s="76"/>
      <c r="T300" s="76"/>
      <c r="U300" s="76"/>
      <c r="V300" s="76"/>
      <c r="W300" s="76"/>
      <c r="X300" s="76"/>
      <c r="Y300" s="76"/>
      <c r="Z300" s="76"/>
      <c r="AA300" s="76"/>
      <c r="AB300" s="76"/>
      <c r="AC300" s="76"/>
      <c r="AD300" s="76"/>
      <c r="AE300" s="76"/>
      <c r="AF300" s="76"/>
    </row>
    <row r="301">
      <c r="A301" s="76"/>
      <c r="B301" s="170"/>
      <c r="C301" s="76"/>
      <c r="D301" s="173"/>
      <c r="E301" s="173"/>
      <c r="F301" s="173"/>
      <c r="G301" s="175"/>
      <c r="H301" s="173"/>
      <c r="I301" s="173"/>
      <c r="J301" s="173"/>
      <c r="K301" s="173"/>
      <c r="L301" s="76"/>
      <c r="M301" s="76"/>
      <c r="N301" s="76"/>
      <c r="O301" s="76"/>
      <c r="P301" s="76"/>
      <c r="Q301" s="76"/>
      <c r="R301" s="76"/>
      <c r="S301" s="76"/>
      <c r="T301" s="76"/>
      <c r="U301" s="76"/>
      <c r="V301" s="76"/>
      <c r="W301" s="76"/>
      <c r="X301" s="76"/>
      <c r="Y301" s="76"/>
      <c r="Z301" s="76"/>
      <c r="AA301" s="76"/>
      <c r="AB301" s="76"/>
      <c r="AC301" s="76"/>
      <c r="AD301" s="76"/>
      <c r="AE301" s="76"/>
      <c r="AF301" s="76"/>
    </row>
    <row r="302">
      <c r="A302" s="76"/>
      <c r="B302" s="170"/>
      <c r="C302" s="76"/>
      <c r="D302" s="173"/>
      <c r="E302" s="173"/>
      <c r="F302" s="173"/>
      <c r="G302" s="175"/>
      <c r="H302" s="173"/>
      <c r="I302" s="173"/>
      <c r="J302" s="173"/>
      <c r="K302" s="173"/>
      <c r="L302" s="76"/>
      <c r="M302" s="76"/>
      <c r="N302" s="76"/>
      <c r="O302" s="76"/>
      <c r="P302" s="76"/>
      <c r="Q302" s="76"/>
      <c r="R302" s="76"/>
      <c r="S302" s="76"/>
      <c r="T302" s="76"/>
      <c r="U302" s="76"/>
      <c r="V302" s="76"/>
      <c r="W302" s="76"/>
      <c r="X302" s="76"/>
      <c r="Y302" s="76"/>
      <c r="Z302" s="76"/>
      <c r="AA302" s="76"/>
      <c r="AB302" s="76"/>
      <c r="AC302" s="76"/>
      <c r="AD302" s="76"/>
      <c r="AE302" s="76"/>
      <c r="AF302" s="76"/>
    </row>
    <row r="303">
      <c r="A303" s="76"/>
      <c r="B303" s="170"/>
      <c r="C303" s="76"/>
      <c r="D303" s="173"/>
      <c r="E303" s="173"/>
      <c r="F303" s="173"/>
      <c r="G303" s="175"/>
      <c r="H303" s="173"/>
      <c r="I303" s="173"/>
      <c r="J303" s="173"/>
      <c r="K303" s="173"/>
      <c r="L303" s="76"/>
      <c r="M303" s="76"/>
      <c r="N303" s="76"/>
      <c r="O303" s="76"/>
      <c r="P303" s="76"/>
      <c r="Q303" s="76"/>
      <c r="R303" s="76"/>
      <c r="S303" s="76"/>
      <c r="T303" s="76"/>
      <c r="U303" s="76"/>
      <c r="V303" s="76"/>
      <c r="W303" s="76"/>
      <c r="X303" s="76"/>
      <c r="Y303" s="76"/>
      <c r="Z303" s="76"/>
      <c r="AA303" s="76"/>
      <c r="AB303" s="76"/>
      <c r="AC303" s="76"/>
      <c r="AD303" s="76"/>
      <c r="AE303" s="76"/>
      <c r="AF303" s="76"/>
    </row>
    <row r="304">
      <c r="A304" s="76"/>
      <c r="B304" s="170"/>
      <c r="C304" s="76"/>
      <c r="D304" s="173"/>
      <c r="E304" s="173"/>
      <c r="F304" s="173"/>
      <c r="G304" s="175"/>
      <c r="H304" s="173"/>
      <c r="I304" s="173"/>
      <c r="J304" s="173"/>
      <c r="K304" s="173"/>
      <c r="L304" s="76"/>
      <c r="M304" s="76"/>
      <c r="N304" s="76"/>
      <c r="O304" s="76"/>
      <c r="P304" s="76"/>
      <c r="Q304" s="76"/>
      <c r="R304" s="76"/>
      <c r="S304" s="76"/>
      <c r="T304" s="76"/>
      <c r="U304" s="76"/>
      <c r="V304" s="76"/>
      <c r="W304" s="76"/>
      <c r="X304" s="76"/>
      <c r="Y304" s="76"/>
      <c r="Z304" s="76"/>
      <c r="AA304" s="76"/>
      <c r="AB304" s="76"/>
      <c r="AC304" s="76"/>
      <c r="AD304" s="76"/>
      <c r="AE304" s="76"/>
      <c r="AF304" s="76"/>
    </row>
    <row r="305">
      <c r="A305" s="76"/>
      <c r="B305" s="170"/>
      <c r="C305" s="76"/>
      <c r="D305" s="173"/>
      <c r="E305" s="173"/>
      <c r="F305" s="173"/>
      <c r="G305" s="175"/>
      <c r="H305" s="173"/>
      <c r="I305" s="173"/>
      <c r="J305" s="173"/>
      <c r="K305" s="173"/>
      <c r="L305" s="76"/>
      <c r="M305" s="76"/>
      <c r="N305" s="76"/>
      <c r="O305" s="76"/>
      <c r="P305" s="76"/>
      <c r="Q305" s="76"/>
      <c r="R305" s="76"/>
      <c r="S305" s="76"/>
      <c r="T305" s="76"/>
      <c r="U305" s="76"/>
      <c r="V305" s="76"/>
      <c r="W305" s="76"/>
      <c r="X305" s="76"/>
      <c r="Y305" s="76"/>
      <c r="Z305" s="76"/>
      <c r="AA305" s="76"/>
      <c r="AB305" s="76"/>
      <c r="AC305" s="76"/>
      <c r="AD305" s="76"/>
      <c r="AE305" s="76"/>
      <c r="AF305" s="76"/>
    </row>
    <row r="306">
      <c r="A306" s="76"/>
      <c r="B306" s="170"/>
      <c r="C306" s="76"/>
      <c r="D306" s="173"/>
      <c r="E306" s="173"/>
      <c r="F306" s="173"/>
      <c r="G306" s="175"/>
      <c r="H306" s="173"/>
      <c r="I306" s="173"/>
      <c r="J306" s="173"/>
      <c r="K306" s="173"/>
      <c r="L306" s="76"/>
      <c r="M306" s="76"/>
      <c r="N306" s="76"/>
      <c r="O306" s="76"/>
      <c r="P306" s="76"/>
      <c r="Q306" s="76"/>
      <c r="R306" s="76"/>
      <c r="S306" s="76"/>
      <c r="T306" s="76"/>
      <c r="U306" s="76"/>
      <c r="V306" s="76"/>
      <c r="W306" s="76"/>
      <c r="X306" s="76"/>
      <c r="Y306" s="76"/>
      <c r="Z306" s="76"/>
      <c r="AA306" s="76"/>
      <c r="AB306" s="76"/>
      <c r="AC306" s="76"/>
      <c r="AD306" s="76"/>
      <c r="AE306" s="76"/>
      <c r="AF306" s="76"/>
    </row>
    <row r="307">
      <c r="A307" s="76"/>
      <c r="B307" s="170"/>
      <c r="C307" s="76"/>
      <c r="D307" s="173"/>
      <c r="E307" s="173"/>
      <c r="F307" s="173"/>
      <c r="G307" s="175"/>
      <c r="H307" s="173"/>
      <c r="I307" s="173"/>
      <c r="J307" s="173"/>
      <c r="K307" s="173"/>
      <c r="L307" s="76"/>
      <c r="M307" s="76"/>
      <c r="N307" s="76"/>
      <c r="O307" s="76"/>
      <c r="P307" s="76"/>
      <c r="Q307" s="76"/>
      <c r="R307" s="76"/>
      <c r="S307" s="76"/>
      <c r="T307" s="76"/>
      <c r="U307" s="76"/>
      <c r="V307" s="76"/>
      <c r="W307" s="76"/>
      <c r="X307" s="76"/>
      <c r="Y307" s="76"/>
      <c r="Z307" s="76"/>
      <c r="AA307" s="76"/>
      <c r="AB307" s="76"/>
      <c r="AC307" s="76"/>
      <c r="AD307" s="76"/>
      <c r="AE307" s="76"/>
      <c r="AF307" s="76"/>
    </row>
    <row r="308">
      <c r="A308" s="76"/>
      <c r="B308" s="170"/>
      <c r="C308" s="76"/>
      <c r="D308" s="173"/>
      <c r="E308" s="173"/>
      <c r="F308" s="173"/>
      <c r="G308" s="175"/>
      <c r="H308" s="173"/>
      <c r="I308" s="173"/>
      <c r="J308" s="173"/>
      <c r="K308" s="173"/>
      <c r="L308" s="76"/>
      <c r="M308" s="76"/>
      <c r="N308" s="76"/>
      <c r="O308" s="76"/>
      <c r="P308" s="76"/>
      <c r="Q308" s="76"/>
      <c r="R308" s="76"/>
      <c r="S308" s="76"/>
      <c r="T308" s="76"/>
      <c r="U308" s="76"/>
      <c r="V308" s="76"/>
      <c r="W308" s="76"/>
      <c r="X308" s="76"/>
      <c r="Y308" s="76"/>
      <c r="Z308" s="76"/>
      <c r="AA308" s="76"/>
      <c r="AB308" s="76"/>
      <c r="AC308" s="76"/>
      <c r="AD308" s="76"/>
      <c r="AE308" s="76"/>
      <c r="AF308" s="76"/>
    </row>
    <row r="309">
      <c r="A309" s="76"/>
      <c r="B309" s="170"/>
      <c r="C309" s="76"/>
      <c r="D309" s="173"/>
      <c r="E309" s="173"/>
      <c r="F309" s="173"/>
      <c r="G309" s="175"/>
      <c r="H309" s="173"/>
      <c r="I309" s="173"/>
      <c r="J309" s="173"/>
      <c r="K309" s="173"/>
      <c r="L309" s="76"/>
      <c r="M309" s="76"/>
      <c r="N309" s="76"/>
      <c r="O309" s="76"/>
      <c r="P309" s="76"/>
      <c r="Q309" s="76"/>
      <c r="R309" s="76"/>
      <c r="S309" s="76"/>
      <c r="T309" s="76"/>
      <c r="U309" s="76"/>
      <c r="V309" s="76"/>
      <c r="W309" s="76"/>
      <c r="X309" s="76"/>
      <c r="Y309" s="76"/>
      <c r="Z309" s="76"/>
      <c r="AA309" s="76"/>
      <c r="AB309" s="76"/>
      <c r="AC309" s="76"/>
      <c r="AD309" s="76"/>
      <c r="AE309" s="76"/>
      <c r="AF309" s="76"/>
    </row>
    <row r="310">
      <c r="A310" s="76"/>
      <c r="B310" s="170"/>
      <c r="C310" s="76"/>
      <c r="D310" s="173"/>
      <c r="E310" s="173"/>
      <c r="F310" s="173"/>
      <c r="G310" s="175"/>
      <c r="H310" s="173"/>
      <c r="I310" s="173"/>
      <c r="J310" s="173"/>
      <c r="K310" s="173"/>
      <c r="L310" s="76"/>
      <c r="M310" s="76"/>
      <c r="N310" s="76"/>
      <c r="O310" s="76"/>
      <c r="P310" s="76"/>
      <c r="Q310" s="76"/>
      <c r="R310" s="76"/>
      <c r="S310" s="76"/>
      <c r="T310" s="76"/>
      <c r="U310" s="76"/>
      <c r="V310" s="76"/>
      <c r="W310" s="76"/>
      <c r="X310" s="76"/>
      <c r="Y310" s="76"/>
      <c r="Z310" s="76"/>
      <c r="AA310" s="76"/>
      <c r="AB310" s="76"/>
      <c r="AC310" s="76"/>
      <c r="AD310" s="76"/>
      <c r="AE310" s="76"/>
      <c r="AF310" s="76"/>
    </row>
    <row r="311">
      <c r="A311" s="76"/>
      <c r="B311" s="170"/>
      <c r="C311" s="76"/>
      <c r="D311" s="173"/>
      <c r="E311" s="173"/>
      <c r="F311" s="173"/>
      <c r="G311" s="175"/>
      <c r="H311" s="173"/>
      <c r="I311" s="173"/>
      <c r="J311" s="173"/>
      <c r="K311" s="173"/>
      <c r="L311" s="76"/>
      <c r="M311" s="76"/>
      <c r="N311" s="76"/>
      <c r="O311" s="76"/>
      <c r="P311" s="76"/>
      <c r="Q311" s="76"/>
      <c r="R311" s="76"/>
      <c r="S311" s="76"/>
      <c r="T311" s="76"/>
      <c r="U311" s="76"/>
      <c r="V311" s="76"/>
      <c r="W311" s="76"/>
      <c r="X311" s="76"/>
      <c r="Y311" s="76"/>
      <c r="Z311" s="76"/>
      <c r="AA311" s="76"/>
      <c r="AB311" s="76"/>
      <c r="AC311" s="76"/>
      <c r="AD311" s="76"/>
      <c r="AE311" s="76"/>
      <c r="AF311" s="76"/>
    </row>
    <row r="312">
      <c r="A312" s="76"/>
      <c r="B312" s="170"/>
      <c r="C312" s="76"/>
      <c r="D312" s="173"/>
      <c r="E312" s="173"/>
      <c r="F312" s="173"/>
      <c r="G312" s="175"/>
      <c r="H312" s="173"/>
      <c r="I312" s="173"/>
      <c r="J312" s="173"/>
      <c r="K312" s="173"/>
      <c r="L312" s="76"/>
      <c r="M312" s="76"/>
      <c r="N312" s="76"/>
      <c r="O312" s="76"/>
      <c r="P312" s="76"/>
      <c r="Q312" s="76"/>
      <c r="R312" s="76"/>
      <c r="S312" s="76"/>
      <c r="T312" s="76"/>
      <c r="U312" s="76"/>
      <c r="V312" s="76"/>
      <c r="W312" s="76"/>
      <c r="X312" s="76"/>
      <c r="Y312" s="76"/>
      <c r="Z312" s="76"/>
      <c r="AA312" s="76"/>
      <c r="AB312" s="76"/>
      <c r="AC312" s="76"/>
      <c r="AD312" s="76"/>
      <c r="AE312" s="76"/>
      <c r="AF312" s="76"/>
    </row>
    <row r="313">
      <c r="A313" s="76"/>
      <c r="B313" s="170"/>
      <c r="C313" s="76"/>
      <c r="D313" s="173"/>
      <c r="E313" s="173"/>
      <c r="F313" s="173"/>
      <c r="G313" s="175"/>
      <c r="H313" s="173"/>
      <c r="I313" s="173"/>
      <c r="J313" s="173"/>
      <c r="K313" s="173"/>
      <c r="L313" s="76"/>
      <c r="M313" s="76"/>
      <c r="N313" s="76"/>
      <c r="O313" s="76"/>
      <c r="P313" s="76"/>
      <c r="Q313" s="76"/>
      <c r="R313" s="76"/>
      <c r="S313" s="76"/>
      <c r="T313" s="76"/>
      <c r="U313" s="76"/>
      <c r="V313" s="76"/>
      <c r="W313" s="76"/>
      <c r="X313" s="76"/>
      <c r="Y313" s="76"/>
      <c r="Z313" s="76"/>
      <c r="AA313" s="76"/>
      <c r="AB313" s="76"/>
      <c r="AC313" s="76"/>
      <c r="AD313" s="76"/>
      <c r="AE313" s="76"/>
      <c r="AF313" s="76"/>
    </row>
    <row r="314">
      <c r="A314" s="76"/>
      <c r="B314" s="170"/>
      <c r="C314" s="76"/>
      <c r="D314" s="173"/>
      <c r="E314" s="173"/>
      <c r="F314" s="173"/>
      <c r="G314" s="175"/>
      <c r="H314" s="173"/>
      <c r="I314" s="173"/>
      <c r="J314" s="173"/>
      <c r="K314" s="173"/>
      <c r="L314" s="76"/>
      <c r="M314" s="76"/>
      <c r="N314" s="76"/>
      <c r="O314" s="76"/>
      <c r="P314" s="76"/>
      <c r="Q314" s="76"/>
      <c r="R314" s="76"/>
      <c r="S314" s="76"/>
      <c r="T314" s="76"/>
      <c r="U314" s="76"/>
      <c r="V314" s="76"/>
      <c r="W314" s="76"/>
      <c r="X314" s="76"/>
      <c r="Y314" s="76"/>
      <c r="Z314" s="76"/>
      <c r="AA314" s="76"/>
      <c r="AB314" s="76"/>
      <c r="AC314" s="76"/>
      <c r="AD314" s="76"/>
      <c r="AE314" s="76"/>
      <c r="AF314" s="76"/>
    </row>
    <row r="315">
      <c r="A315" s="76"/>
      <c r="B315" s="170"/>
      <c r="C315" s="76"/>
      <c r="D315" s="173"/>
      <c r="E315" s="173"/>
      <c r="F315" s="173"/>
      <c r="G315" s="175"/>
      <c r="H315" s="173"/>
      <c r="I315" s="173"/>
      <c r="J315" s="173"/>
      <c r="K315" s="173"/>
      <c r="L315" s="76"/>
      <c r="M315" s="76"/>
      <c r="N315" s="76"/>
      <c r="O315" s="76"/>
      <c r="P315" s="76"/>
      <c r="Q315" s="76"/>
      <c r="R315" s="76"/>
      <c r="S315" s="76"/>
      <c r="T315" s="76"/>
      <c r="U315" s="76"/>
      <c r="V315" s="76"/>
      <c r="W315" s="76"/>
      <c r="X315" s="76"/>
      <c r="Y315" s="76"/>
      <c r="Z315" s="76"/>
      <c r="AA315" s="76"/>
      <c r="AB315" s="76"/>
      <c r="AC315" s="76"/>
      <c r="AD315" s="76"/>
      <c r="AE315" s="76"/>
      <c r="AF315" s="76"/>
    </row>
    <row r="316">
      <c r="A316" s="76"/>
      <c r="B316" s="170"/>
      <c r="C316" s="76"/>
      <c r="D316" s="173"/>
      <c r="E316" s="173"/>
      <c r="F316" s="173"/>
      <c r="G316" s="175"/>
      <c r="H316" s="173"/>
      <c r="I316" s="173"/>
      <c r="J316" s="173"/>
      <c r="K316" s="173"/>
      <c r="L316" s="76"/>
      <c r="M316" s="76"/>
      <c r="N316" s="76"/>
      <c r="O316" s="76"/>
      <c r="P316" s="76"/>
      <c r="Q316" s="76"/>
      <c r="R316" s="76"/>
      <c r="S316" s="76"/>
      <c r="T316" s="76"/>
      <c r="U316" s="76"/>
      <c r="V316" s="76"/>
      <c r="W316" s="76"/>
      <c r="X316" s="76"/>
      <c r="Y316" s="76"/>
      <c r="Z316" s="76"/>
      <c r="AA316" s="76"/>
      <c r="AB316" s="76"/>
      <c r="AC316" s="76"/>
      <c r="AD316" s="76"/>
      <c r="AE316" s="76"/>
      <c r="AF316" s="76"/>
    </row>
    <row r="317">
      <c r="A317" s="76"/>
      <c r="B317" s="170"/>
      <c r="C317" s="76"/>
      <c r="D317" s="173"/>
      <c r="E317" s="173"/>
      <c r="F317" s="173"/>
      <c r="G317" s="175"/>
      <c r="H317" s="173"/>
      <c r="I317" s="173"/>
      <c r="J317" s="173"/>
      <c r="K317" s="173"/>
      <c r="L317" s="76"/>
      <c r="M317" s="76"/>
      <c r="N317" s="76"/>
      <c r="O317" s="76"/>
      <c r="P317" s="76"/>
      <c r="Q317" s="76"/>
      <c r="R317" s="76"/>
      <c r="S317" s="76"/>
      <c r="T317" s="76"/>
      <c r="U317" s="76"/>
      <c r="V317" s="76"/>
      <c r="W317" s="76"/>
      <c r="X317" s="76"/>
      <c r="Y317" s="76"/>
      <c r="Z317" s="76"/>
      <c r="AA317" s="76"/>
      <c r="AB317" s="76"/>
      <c r="AC317" s="76"/>
      <c r="AD317" s="76"/>
      <c r="AE317" s="76"/>
      <c r="AF317" s="76"/>
    </row>
    <row r="318">
      <c r="A318" s="76"/>
      <c r="B318" s="170"/>
      <c r="C318" s="76"/>
      <c r="D318" s="173"/>
      <c r="E318" s="173"/>
      <c r="F318" s="173"/>
      <c r="G318" s="175"/>
      <c r="H318" s="173"/>
      <c r="I318" s="173"/>
      <c r="J318" s="173"/>
      <c r="K318" s="173"/>
      <c r="L318" s="76"/>
      <c r="M318" s="76"/>
      <c r="N318" s="76"/>
      <c r="O318" s="76"/>
      <c r="P318" s="76"/>
      <c r="Q318" s="76"/>
      <c r="R318" s="76"/>
      <c r="S318" s="76"/>
      <c r="T318" s="76"/>
      <c r="U318" s="76"/>
      <c r="V318" s="76"/>
      <c r="W318" s="76"/>
      <c r="X318" s="76"/>
      <c r="Y318" s="76"/>
      <c r="Z318" s="76"/>
      <c r="AA318" s="76"/>
      <c r="AB318" s="76"/>
      <c r="AC318" s="76"/>
      <c r="AD318" s="76"/>
      <c r="AE318" s="76"/>
      <c r="AF318" s="76"/>
    </row>
    <row r="319">
      <c r="A319" s="76"/>
      <c r="B319" s="170"/>
      <c r="C319" s="76"/>
      <c r="D319" s="173"/>
      <c r="E319" s="173"/>
      <c r="F319" s="173"/>
      <c r="G319" s="175"/>
      <c r="H319" s="173"/>
      <c r="I319" s="173"/>
      <c r="J319" s="173"/>
      <c r="K319" s="173"/>
      <c r="L319" s="76"/>
      <c r="M319" s="76"/>
      <c r="N319" s="76"/>
      <c r="O319" s="76"/>
      <c r="P319" s="76"/>
      <c r="Q319" s="76"/>
      <c r="R319" s="76"/>
      <c r="S319" s="76"/>
      <c r="T319" s="76"/>
      <c r="U319" s="76"/>
      <c r="V319" s="76"/>
      <c r="W319" s="76"/>
      <c r="X319" s="76"/>
      <c r="Y319" s="76"/>
      <c r="Z319" s="76"/>
      <c r="AA319" s="76"/>
      <c r="AB319" s="76"/>
      <c r="AC319" s="76"/>
      <c r="AD319" s="76"/>
      <c r="AE319" s="76"/>
      <c r="AF319" s="76"/>
    </row>
    <row r="320">
      <c r="A320" s="76"/>
      <c r="B320" s="170"/>
      <c r="C320" s="76"/>
      <c r="D320" s="173"/>
      <c r="E320" s="173"/>
      <c r="F320" s="173"/>
      <c r="G320" s="175"/>
      <c r="H320" s="173"/>
      <c r="I320" s="173"/>
      <c r="J320" s="173"/>
      <c r="K320" s="173"/>
      <c r="L320" s="76"/>
      <c r="M320" s="76"/>
      <c r="N320" s="76"/>
      <c r="O320" s="76"/>
      <c r="P320" s="76"/>
      <c r="Q320" s="76"/>
      <c r="R320" s="76"/>
      <c r="S320" s="76"/>
      <c r="T320" s="76"/>
      <c r="U320" s="76"/>
      <c r="V320" s="76"/>
      <c r="W320" s="76"/>
      <c r="X320" s="76"/>
      <c r="Y320" s="76"/>
      <c r="Z320" s="76"/>
      <c r="AA320" s="76"/>
      <c r="AB320" s="76"/>
      <c r="AC320" s="76"/>
      <c r="AD320" s="76"/>
      <c r="AE320" s="76"/>
      <c r="AF320" s="76"/>
    </row>
    <row r="321">
      <c r="A321" s="76"/>
      <c r="B321" s="170"/>
      <c r="C321" s="76"/>
      <c r="D321" s="173"/>
      <c r="E321" s="173"/>
      <c r="F321" s="173"/>
      <c r="G321" s="175"/>
      <c r="H321" s="173"/>
      <c r="I321" s="173"/>
      <c r="J321" s="173"/>
      <c r="K321" s="173"/>
      <c r="L321" s="76"/>
      <c r="M321" s="76"/>
      <c r="N321" s="76"/>
      <c r="O321" s="76"/>
      <c r="P321" s="76"/>
      <c r="Q321" s="76"/>
      <c r="R321" s="76"/>
      <c r="S321" s="76"/>
      <c r="T321" s="76"/>
      <c r="U321" s="76"/>
      <c r="V321" s="76"/>
      <c r="W321" s="76"/>
      <c r="X321" s="76"/>
      <c r="Y321" s="76"/>
      <c r="Z321" s="76"/>
      <c r="AA321" s="76"/>
      <c r="AB321" s="76"/>
      <c r="AC321" s="76"/>
      <c r="AD321" s="76"/>
      <c r="AE321" s="76"/>
      <c r="AF321" s="76"/>
    </row>
    <row r="322">
      <c r="A322" s="76"/>
      <c r="B322" s="170"/>
      <c r="C322" s="76"/>
      <c r="D322" s="173"/>
      <c r="E322" s="173"/>
      <c r="F322" s="173"/>
      <c r="G322" s="175"/>
      <c r="H322" s="173"/>
      <c r="I322" s="173"/>
      <c r="J322" s="173"/>
      <c r="K322" s="173"/>
      <c r="L322" s="76"/>
      <c r="M322" s="76"/>
      <c r="N322" s="76"/>
      <c r="O322" s="76"/>
      <c r="P322" s="76"/>
      <c r="Q322" s="76"/>
      <c r="R322" s="76"/>
      <c r="S322" s="76"/>
      <c r="T322" s="76"/>
      <c r="U322" s="76"/>
      <c r="V322" s="76"/>
      <c r="W322" s="76"/>
      <c r="X322" s="76"/>
      <c r="Y322" s="76"/>
      <c r="Z322" s="76"/>
      <c r="AA322" s="76"/>
      <c r="AB322" s="76"/>
      <c r="AC322" s="76"/>
      <c r="AD322" s="76"/>
      <c r="AE322" s="76"/>
      <c r="AF322" s="76"/>
    </row>
    <row r="323">
      <c r="A323" s="76"/>
      <c r="B323" s="170"/>
      <c r="C323" s="76"/>
      <c r="D323" s="173"/>
      <c r="E323" s="173"/>
      <c r="F323" s="173"/>
      <c r="G323" s="175"/>
      <c r="H323" s="173"/>
      <c r="I323" s="173"/>
      <c r="J323" s="173"/>
      <c r="K323" s="173"/>
      <c r="L323" s="76"/>
      <c r="M323" s="76"/>
      <c r="N323" s="76"/>
      <c r="O323" s="76"/>
      <c r="P323" s="76"/>
      <c r="Q323" s="76"/>
      <c r="R323" s="76"/>
      <c r="S323" s="76"/>
      <c r="T323" s="76"/>
      <c r="U323" s="76"/>
      <c r="V323" s="76"/>
      <c r="W323" s="76"/>
      <c r="X323" s="76"/>
      <c r="Y323" s="76"/>
      <c r="Z323" s="76"/>
      <c r="AA323" s="76"/>
      <c r="AB323" s="76"/>
      <c r="AC323" s="76"/>
      <c r="AD323" s="76"/>
      <c r="AE323" s="76"/>
      <c r="AF323" s="76"/>
    </row>
    <row r="324">
      <c r="A324" s="76"/>
      <c r="B324" s="170"/>
      <c r="C324" s="76"/>
      <c r="D324" s="173"/>
      <c r="E324" s="173"/>
      <c r="F324" s="173"/>
      <c r="G324" s="175"/>
      <c r="H324" s="173"/>
      <c r="I324" s="173"/>
      <c r="J324" s="173"/>
      <c r="K324" s="173"/>
      <c r="L324" s="76"/>
      <c r="M324" s="76"/>
      <c r="N324" s="76"/>
      <c r="O324" s="76"/>
      <c r="P324" s="76"/>
      <c r="Q324" s="76"/>
      <c r="R324" s="76"/>
      <c r="S324" s="76"/>
      <c r="T324" s="76"/>
      <c r="U324" s="76"/>
      <c r="V324" s="76"/>
      <c r="W324" s="76"/>
      <c r="X324" s="76"/>
      <c r="Y324" s="76"/>
      <c r="Z324" s="76"/>
      <c r="AA324" s="76"/>
      <c r="AB324" s="76"/>
      <c r="AC324" s="76"/>
      <c r="AD324" s="76"/>
      <c r="AE324" s="76"/>
      <c r="AF324" s="76"/>
    </row>
    <row r="325">
      <c r="A325" s="76"/>
      <c r="B325" s="170"/>
      <c r="C325" s="76"/>
      <c r="D325" s="173"/>
      <c r="E325" s="173"/>
      <c r="F325" s="173"/>
      <c r="G325" s="175"/>
      <c r="H325" s="173"/>
      <c r="I325" s="173"/>
      <c r="J325" s="173"/>
      <c r="K325" s="173"/>
      <c r="L325" s="76"/>
      <c r="M325" s="76"/>
      <c r="N325" s="76"/>
      <c r="O325" s="76"/>
      <c r="P325" s="76"/>
      <c r="Q325" s="76"/>
      <c r="R325" s="76"/>
      <c r="S325" s="76"/>
      <c r="T325" s="76"/>
      <c r="U325" s="76"/>
      <c r="V325" s="76"/>
      <c r="W325" s="76"/>
      <c r="X325" s="76"/>
      <c r="Y325" s="76"/>
      <c r="Z325" s="76"/>
      <c r="AA325" s="76"/>
      <c r="AB325" s="76"/>
      <c r="AC325" s="76"/>
      <c r="AD325" s="76"/>
      <c r="AE325" s="76"/>
      <c r="AF325" s="76"/>
    </row>
    <row r="326">
      <c r="A326" s="76"/>
      <c r="B326" s="170"/>
      <c r="C326" s="76"/>
      <c r="D326" s="173"/>
      <c r="E326" s="173"/>
      <c r="F326" s="173"/>
      <c r="G326" s="175"/>
      <c r="H326" s="173"/>
      <c r="I326" s="173"/>
      <c r="J326" s="173"/>
      <c r="K326" s="173"/>
      <c r="L326" s="76"/>
      <c r="M326" s="76"/>
      <c r="N326" s="76"/>
      <c r="O326" s="76"/>
      <c r="P326" s="76"/>
      <c r="Q326" s="76"/>
      <c r="R326" s="76"/>
      <c r="S326" s="76"/>
      <c r="T326" s="76"/>
      <c r="U326" s="76"/>
      <c r="V326" s="76"/>
      <c r="W326" s="76"/>
      <c r="X326" s="76"/>
      <c r="Y326" s="76"/>
      <c r="Z326" s="76"/>
      <c r="AA326" s="76"/>
      <c r="AB326" s="76"/>
      <c r="AC326" s="76"/>
      <c r="AD326" s="76"/>
      <c r="AE326" s="76"/>
      <c r="AF326" s="76"/>
    </row>
    <row r="327">
      <c r="A327" s="76"/>
      <c r="B327" s="170"/>
      <c r="C327" s="76"/>
      <c r="D327" s="173"/>
      <c r="E327" s="173"/>
      <c r="F327" s="173"/>
      <c r="G327" s="175"/>
      <c r="H327" s="173"/>
      <c r="I327" s="173"/>
      <c r="J327" s="173"/>
      <c r="K327" s="173"/>
      <c r="L327" s="76"/>
      <c r="M327" s="76"/>
      <c r="N327" s="76"/>
      <c r="O327" s="76"/>
      <c r="P327" s="76"/>
      <c r="Q327" s="76"/>
      <c r="R327" s="76"/>
      <c r="S327" s="76"/>
      <c r="T327" s="76"/>
      <c r="U327" s="76"/>
      <c r="V327" s="76"/>
      <c r="W327" s="76"/>
      <c r="X327" s="76"/>
      <c r="Y327" s="76"/>
      <c r="Z327" s="76"/>
      <c r="AA327" s="76"/>
      <c r="AB327" s="76"/>
      <c r="AC327" s="76"/>
      <c r="AD327" s="76"/>
      <c r="AE327" s="76"/>
      <c r="AF327" s="76"/>
    </row>
    <row r="328">
      <c r="A328" s="76"/>
      <c r="B328" s="170"/>
      <c r="C328" s="76"/>
      <c r="D328" s="173"/>
      <c r="E328" s="173"/>
      <c r="F328" s="173"/>
      <c r="G328" s="175"/>
      <c r="H328" s="173"/>
      <c r="I328" s="173"/>
      <c r="J328" s="173"/>
      <c r="K328" s="173"/>
      <c r="L328" s="76"/>
      <c r="M328" s="76"/>
      <c r="N328" s="76"/>
      <c r="O328" s="76"/>
      <c r="P328" s="76"/>
      <c r="Q328" s="76"/>
      <c r="R328" s="76"/>
      <c r="S328" s="76"/>
      <c r="T328" s="76"/>
      <c r="U328" s="76"/>
      <c r="V328" s="76"/>
      <c r="W328" s="76"/>
      <c r="X328" s="76"/>
      <c r="Y328" s="76"/>
      <c r="Z328" s="76"/>
      <c r="AA328" s="76"/>
      <c r="AB328" s="76"/>
      <c r="AC328" s="76"/>
      <c r="AD328" s="76"/>
      <c r="AE328" s="76"/>
      <c r="AF328" s="76"/>
    </row>
    <row r="329">
      <c r="A329" s="76"/>
      <c r="B329" s="170"/>
      <c r="C329" s="76"/>
      <c r="D329" s="173"/>
      <c r="E329" s="173"/>
      <c r="F329" s="173"/>
      <c r="G329" s="175"/>
      <c r="H329" s="173"/>
      <c r="I329" s="173"/>
      <c r="J329" s="173"/>
      <c r="K329" s="173"/>
      <c r="L329" s="76"/>
      <c r="M329" s="76"/>
      <c r="N329" s="76"/>
      <c r="O329" s="76"/>
      <c r="P329" s="76"/>
      <c r="Q329" s="76"/>
      <c r="R329" s="76"/>
      <c r="S329" s="76"/>
      <c r="T329" s="76"/>
      <c r="U329" s="76"/>
      <c r="V329" s="76"/>
      <c r="W329" s="76"/>
      <c r="X329" s="76"/>
      <c r="Y329" s="76"/>
      <c r="Z329" s="76"/>
      <c r="AA329" s="76"/>
      <c r="AB329" s="76"/>
      <c r="AC329" s="76"/>
      <c r="AD329" s="76"/>
      <c r="AE329" s="76"/>
      <c r="AF329" s="76"/>
    </row>
    <row r="330">
      <c r="A330" s="76"/>
      <c r="B330" s="170"/>
      <c r="C330" s="76"/>
      <c r="D330" s="173"/>
      <c r="E330" s="173"/>
      <c r="F330" s="173"/>
      <c r="G330" s="175"/>
      <c r="H330" s="173"/>
      <c r="I330" s="173"/>
      <c r="J330" s="173"/>
      <c r="K330" s="173"/>
      <c r="L330" s="76"/>
      <c r="M330" s="76"/>
      <c r="N330" s="76"/>
      <c r="O330" s="76"/>
      <c r="P330" s="76"/>
      <c r="Q330" s="76"/>
      <c r="R330" s="76"/>
      <c r="S330" s="76"/>
      <c r="T330" s="76"/>
      <c r="U330" s="76"/>
      <c r="V330" s="76"/>
      <c r="W330" s="76"/>
      <c r="X330" s="76"/>
      <c r="Y330" s="76"/>
      <c r="Z330" s="76"/>
      <c r="AA330" s="76"/>
      <c r="AB330" s="76"/>
      <c r="AC330" s="76"/>
      <c r="AD330" s="76"/>
      <c r="AE330" s="76"/>
      <c r="AF330" s="76"/>
    </row>
    <row r="331">
      <c r="A331" s="76"/>
      <c r="B331" s="170"/>
      <c r="C331" s="76"/>
      <c r="D331" s="173"/>
      <c r="E331" s="173"/>
      <c r="F331" s="173"/>
      <c r="G331" s="175"/>
      <c r="H331" s="173"/>
      <c r="I331" s="173"/>
      <c r="J331" s="173"/>
      <c r="K331" s="173"/>
      <c r="L331" s="76"/>
      <c r="M331" s="76"/>
      <c r="N331" s="76"/>
      <c r="O331" s="76"/>
      <c r="P331" s="76"/>
      <c r="Q331" s="76"/>
      <c r="R331" s="76"/>
      <c r="S331" s="76"/>
      <c r="T331" s="76"/>
      <c r="U331" s="76"/>
      <c r="V331" s="76"/>
      <c r="W331" s="76"/>
      <c r="X331" s="76"/>
      <c r="Y331" s="76"/>
      <c r="Z331" s="76"/>
      <c r="AA331" s="76"/>
      <c r="AB331" s="76"/>
      <c r="AC331" s="76"/>
      <c r="AD331" s="76"/>
      <c r="AE331" s="76"/>
      <c r="AF331" s="76"/>
    </row>
    <row r="332">
      <c r="A332" s="76"/>
      <c r="B332" s="170"/>
      <c r="C332" s="76"/>
      <c r="D332" s="173"/>
      <c r="E332" s="173"/>
      <c r="F332" s="173"/>
      <c r="G332" s="175"/>
      <c r="H332" s="173"/>
      <c r="I332" s="173"/>
      <c r="J332" s="173"/>
      <c r="K332" s="173"/>
      <c r="L332" s="76"/>
      <c r="M332" s="76"/>
      <c r="N332" s="76"/>
      <c r="O332" s="76"/>
      <c r="P332" s="76"/>
      <c r="Q332" s="76"/>
      <c r="R332" s="76"/>
      <c r="S332" s="76"/>
      <c r="T332" s="76"/>
      <c r="U332" s="76"/>
      <c r="V332" s="76"/>
      <c r="W332" s="76"/>
      <c r="X332" s="76"/>
      <c r="Y332" s="76"/>
      <c r="Z332" s="76"/>
      <c r="AA332" s="76"/>
      <c r="AB332" s="76"/>
      <c r="AC332" s="76"/>
      <c r="AD332" s="76"/>
      <c r="AE332" s="76"/>
      <c r="AF332" s="76"/>
    </row>
    <row r="333">
      <c r="A333" s="76"/>
      <c r="B333" s="170"/>
      <c r="C333" s="76"/>
      <c r="D333" s="173"/>
      <c r="E333" s="173"/>
      <c r="F333" s="173"/>
      <c r="G333" s="175"/>
      <c r="H333" s="173"/>
      <c r="I333" s="173"/>
      <c r="J333" s="173"/>
      <c r="K333" s="173"/>
      <c r="L333" s="76"/>
      <c r="M333" s="76"/>
      <c r="N333" s="76"/>
      <c r="O333" s="76"/>
      <c r="P333" s="76"/>
      <c r="Q333" s="76"/>
      <c r="R333" s="76"/>
      <c r="S333" s="76"/>
      <c r="T333" s="76"/>
      <c r="U333" s="76"/>
      <c r="V333" s="76"/>
      <c r="W333" s="76"/>
      <c r="X333" s="76"/>
      <c r="Y333" s="76"/>
      <c r="Z333" s="76"/>
      <c r="AA333" s="76"/>
      <c r="AB333" s="76"/>
      <c r="AC333" s="76"/>
      <c r="AD333" s="76"/>
      <c r="AE333" s="76"/>
      <c r="AF333" s="76"/>
    </row>
    <row r="334">
      <c r="A334" s="76"/>
      <c r="B334" s="170"/>
      <c r="C334" s="76"/>
      <c r="D334" s="173"/>
      <c r="E334" s="173"/>
      <c r="F334" s="173"/>
      <c r="G334" s="175"/>
      <c r="H334" s="173"/>
      <c r="I334" s="173"/>
      <c r="J334" s="173"/>
      <c r="K334" s="173"/>
      <c r="L334" s="76"/>
      <c r="M334" s="76"/>
      <c r="N334" s="76"/>
      <c r="O334" s="76"/>
      <c r="P334" s="76"/>
      <c r="Q334" s="76"/>
      <c r="R334" s="76"/>
      <c r="S334" s="76"/>
      <c r="T334" s="76"/>
      <c r="U334" s="76"/>
      <c r="V334" s="76"/>
      <c r="W334" s="76"/>
      <c r="X334" s="76"/>
      <c r="Y334" s="76"/>
      <c r="Z334" s="76"/>
      <c r="AA334" s="76"/>
      <c r="AB334" s="76"/>
      <c r="AC334" s="76"/>
      <c r="AD334" s="76"/>
      <c r="AE334" s="76"/>
      <c r="AF334" s="76"/>
    </row>
    <row r="335">
      <c r="A335" s="76"/>
      <c r="B335" s="170"/>
      <c r="C335" s="76"/>
      <c r="D335" s="173"/>
      <c r="E335" s="173"/>
      <c r="F335" s="173"/>
      <c r="G335" s="175"/>
      <c r="H335" s="173"/>
      <c r="I335" s="173"/>
      <c r="J335" s="173"/>
      <c r="K335" s="173"/>
      <c r="L335" s="76"/>
      <c r="M335" s="76"/>
      <c r="N335" s="76"/>
      <c r="O335" s="76"/>
      <c r="P335" s="76"/>
      <c r="Q335" s="76"/>
      <c r="R335" s="76"/>
      <c r="S335" s="76"/>
      <c r="T335" s="76"/>
      <c r="U335" s="76"/>
      <c r="V335" s="76"/>
      <c r="W335" s="76"/>
      <c r="X335" s="76"/>
      <c r="Y335" s="76"/>
      <c r="Z335" s="76"/>
      <c r="AA335" s="76"/>
      <c r="AB335" s="76"/>
      <c r="AC335" s="76"/>
      <c r="AD335" s="76"/>
      <c r="AE335" s="76"/>
      <c r="AF335" s="76"/>
    </row>
    <row r="336">
      <c r="A336" s="76"/>
      <c r="B336" s="170"/>
      <c r="C336" s="76"/>
      <c r="D336" s="173"/>
      <c r="E336" s="173"/>
      <c r="F336" s="173"/>
      <c r="G336" s="175"/>
      <c r="H336" s="173"/>
      <c r="I336" s="173"/>
      <c r="J336" s="173"/>
      <c r="K336" s="173"/>
      <c r="L336" s="76"/>
      <c r="M336" s="76"/>
      <c r="N336" s="76"/>
      <c r="O336" s="76"/>
      <c r="P336" s="76"/>
      <c r="Q336" s="76"/>
      <c r="R336" s="76"/>
      <c r="S336" s="76"/>
      <c r="T336" s="76"/>
      <c r="U336" s="76"/>
      <c r="V336" s="76"/>
      <c r="W336" s="76"/>
      <c r="X336" s="76"/>
      <c r="Y336" s="76"/>
      <c r="Z336" s="76"/>
      <c r="AA336" s="76"/>
      <c r="AB336" s="76"/>
      <c r="AC336" s="76"/>
      <c r="AD336" s="76"/>
      <c r="AE336" s="76"/>
      <c r="AF336" s="76"/>
    </row>
    <row r="337">
      <c r="A337" s="76"/>
      <c r="B337" s="170"/>
      <c r="C337" s="76"/>
      <c r="D337" s="173"/>
      <c r="E337" s="173"/>
      <c r="F337" s="173"/>
      <c r="G337" s="175"/>
      <c r="H337" s="173"/>
      <c r="I337" s="173"/>
      <c r="J337" s="173"/>
      <c r="K337" s="173"/>
      <c r="L337" s="76"/>
      <c r="M337" s="76"/>
      <c r="N337" s="76"/>
      <c r="O337" s="76"/>
      <c r="P337" s="76"/>
      <c r="Q337" s="76"/>
      <c r="R337" s="76"/>
      <c r="S337" s="76"/>
      <c r="T337" s="76"/>
      <c r="U337" s="76"/>
      <c r="V337" s="76"/>
      <c r="W337" s="76"/>
      <c r="X337" s="76"/>
      <c r="Y337" s="76"/>
      <c r="Z337" s="76"/>
      <c r="AA337" s="76"/>
      <c r="AB337" s="76"/>
      <c r="AC337" s="76"/>
      <c r="AD337" s="76"/>
      <c r="AE337" s="76"/>
      <c r="AF337" s="76"/>
    </row>
    <row r="338">
      <c r="A338" s="76"/>
      <c r="B338" s="170"/>
      <c r="C338" s="76"/>
      <c r="D338" s="173"/>
      <c r="E338" s="173"/>
      <c r="F338" s="173"/>
      <c r="G338" s="175"/>
      <c r="H338" s="173"/>
      <c r="I338" s="173"/>
      <c r="J338" s="173"/>
      <c r="K338" s="173"/>
      <c r="L338" s="76"/>
      <c r="M338" s="76"/>
      <c r="N338" s="76"/>
      <c r="O338" s="76"/>
      <c r="P338" s="76"/>
      <c r="Q338" s="76"/>
      <c r="R338" s="76"/>
      <c r="S338" s="76"/>
      <c r="T338" s="76"/>
      <c r="U338" s="76"/>
      <c r="V338" s="76"/>
      <c r="W338" s="76"/>
      <c r="X338" s="76"/>
      <c r="Y338" s="76"/>
      <c r="Z338" s="76"/>
      <c r="AA338" s="76"/>
      <c r="AB338" s="76"/>
      <c r="AC338" s="76"/>
      <c r="AD338" s="76"/>
      <c r="AE338" s="76"/>
      <c r="AF338" s="76"/>
    </row>
    <row r="339">
      <c r="A339" s="76"/>
      <c r="B339" s="170"/>
      <c r="C339" s="76"/>
      <c r="D339" s="173"/>
      <c r="E339" s="173"/>
      <c r="F339" s="173"/>
      <c r="G339" s="175"/>
      <c r="H339" s="173"/>
      <c r="I339" s="173"/>
      <c r="J339" s="173"/>
      <c r="K339" s="173"/>
      <c r="L339" s="76"/>
      <c r="M339" s="76"/>
      <c r="N339" s="76"/>
      <c r="O339" s="76"/>
      <c r="P339" s="76"/>
      <c r="Q339" s="76"/>
      <c r="R339" s="76"/>
      <c r="S339" s="76"/>
      <c r="T339" s="76"/>
      <c r="U339" s="76"/>
      <c r="V339" s="76"/>
      <c r="W339" s="76"/>
      <c r="X339" s="76"/>
      <c r="Y339" s="76"/>
      <c r="Z339" s="76"/>
      <c r="AA339" s="76"/>
      <c r="AB339" s="76"/>
      <c r="AC339" s="76"/>
      <c r="AD339" s="76"/>
      <c r="AE339" s="76"/>
      <c r="AF339" s="76"/>
    </row>
    <row r="340">
      <c r="A340" s="76"/>
      <c r="B340" s="170"/>
      <c r="C340" s="76"/>
      <c r="D340" s="173"/>
      <c r="E340" s="173"/>
      <c r="F340" s="173"/>
      <c r="G340" s="175"/>
      <c r="H340" s="173"/>
      <c r="I340" s="173"/>
      <c r="J340" s="173"/>
      <c r="K340" s="173"/>
      <c r="L340" s="76"/>
      <c r="M340" s="76"/>
      <c r="N340" s="76"/>
      <c r="O340" s="76"/>
      <c r="P340" s="76"/>
      <c r="Q340" s="76"/>
      <c r="R340" s="76"/>
      <c r="S340" s="76"/>
      <c r="T340" s="76"/>
      <c r="U340" s="76"/>
      <c r="V340" s="76"/>
      <c r="W340" s="76"/>
      <c r="X340" s="76"/>
      <c r="Y340" s="76"/>
      <c r="Z340" s="76"/>
      <c r="AA340" s="76"/>
      <c r="AB340" s="76"/>
      <c r="AC340" s="76"/>
      <c r="AD340" s="76"/>
      <c r="AE340" s="76"/>
      <c r="AF340" s="76"/>
    </row>
    <row r="341">
      <c r="A341" s="76"/>
      <c r="B341" s="170"/>
      <c r="C341" s="76"/>
      <c r="D341" s="173"/>
      <c r="E341" s="173"/>
      <c r="F341" s="173"/>
      <c r="G341" s="175"/>
      <c r="H341" s="173"/>
      <c r="I341" s="173"/>
      <c r="J341" s="173"/>
      <c r="K341" s="173"/>
      <c r="L341" s="76"/>
      <c r="M341" s="76"/>
      <c r="N341" s="76"/>
      <c r="O341" s="76"/>
      <c r="P341" s="76"/>
      <c r="Q341" s="76"/>
      <c r="R341" s="76"/>
      <c r="S341" s="76"/>
      <c r="T341" s="76"/>
      <c r="U341" s="76"/>
      <c r="V341" s="76"/>
      <c r="W341" s="76"/>
      <c r="X341" s="76"/>
      <c r="Y341" s="76"/>
      <c r="Z341" s="76"/>
      <c r="AA341" s="76"/>
      <c r="AB341" s="76"/>
      <c r="AC341" s="76"/>
      <c r="AD341" s="76"/>
      <c r="AE341" s="76"/>
      <c r="AF341" s="76"/>
    </row>
    <row r="342">
      <c r="A342" s="76"/>
      <c r="B342" s="170"/>
      <c r="C342" s="76"/>
      <c r="D342" s="173"/>
      <c r="E342" s="173"/>
      <c r="F342" s="173"/>
      <c r="G342" s="175"/>
      <c r="H342" s="173"/>
      <c r="I342" s="173"/>
      <c r="J342" s="173"/>
      <c r="K342" s="173"/>
      <c r="L342" s="76"/>
      <c r="M342" s="76"/>
      <c r="N342" s="76"/>
      <c r="O342" s="76"/>
      <c r="P342" s="76"/>
      <c r="Q342" s="76"/>
      <c r="R342" s="76"/>
      <c r="S342" s="76"/>
      <c r="T342" s="76"/>
      <c r="U342" s="76"/>
      <c r="V342" s="76"/>
      <c r="W342" s="76"/>
      <c r="X342" s="76"/>
      <c r="Y342" s="76"/>
      <c r="Z342" s="76"/>
      <c r="AA342" s="76"/>
      <c r="AB342" s="76"/>
      <c r="AC342" s="76"/>
      <c r="AD342" s="76"/>
      <c r="AE342" s="76"/>
      <c r="AF342" s="76"/>
    </row>
    <row r="343">
      <c r="A343" s="76"/>
      <c r="B343" s="170"/>
      <c r="C343" s="76"/>
      <c r="D343" s="173"/>
      <c r="E343" s="173"/>
      <c r="F343" s="173"/>
      <c r="G343" s="175"/>
      <c r="H343" s="173"/>
      <c r="I343" s="173"/>
      <c r="J343" s="173"/>
      <c r="K343" s="173"/>
      <c r="L343" s="76"/>
      <c r="M343" s="76"/>
      <c r="N343" s="76"/>
      <c r="O343" s="76"/>
      <c r="P343" s="76"/>
      <c r="Q343" s="76"/>
      <c r="R343" s="76"/>
      <c r="S343" s="76"/>
      <c r="T343" s="76"/>
      <c r="U343" s="76"/>
      <c r="V343" s="76"/>
      <c r="W343" s="76"/>
      <c r="X343" s="76"/>
      <c r="Y343" s="76"/>
      <c r="Z343" s="76"/>
      <c r="AA343" s="76"/>
      <c r="AB343" s="76"/>
      <c r="AC343" s="76"/>
      <c r="AD343" s="76"/>
      <c r="AE343" s="76"/>
      <c r="AF343" s="76"/>
    </row>
    <row r="344">
      <c r="A344" s="76"/>
      <c r="B344" s="170"/>
      <c r="C344" s="76"/>
      <c r="D344" s="173"/>
      <c r="E344" s="173"/>
      <c r="F344" s="173"/>
      <c r="G344" s="175"/>
      <c r="H344" s="173"/>
      <c r="I344" s="173"/>
      <c r="J344" s="173"/>
      <c r="K344" s="173"/>
      <c r="L344" s="76"/>
      <c r="M344" s="76"/>
      <c r="N344" s="76"/>
      <c r="O344" s="76"/>
      <c r="P344" s="76"/>
      <c r="Q344" s="76"/>
      <c r="R344" s="76"/>
      <c r="S344" s="76"/>
      <c r="T344" s="76"/>
      <c r="U344" s="76"/>
      <c r="V344" s="76"/>
      <c r="W344" s="76"/>
      <c r="X344" s="76"/>
      <c r="Y344" s="76"/>
      <c r="Z344" s="76"/>
      <c r="AA344" s="76"/>
      <c r="AB344" s="76"/>
      <c r="AC344" s="76"/>
      <c r="AD344" s="76"/>
      <c r="AE344" s="76"/>
      <c r="AF344" s="76"/>
    </row>
    <row r="345">
      <c r="A345" s="76"/>
      <c r="B345" s="170"/>
      <c r="C345" s="76"/>
      <c r="D345" s="173"/>
      <c r="E345" s="173"/>
      <c r="F345" s="173"/>
      <c r="G345" s="175"/>
      <c r="H345" s="173"/>
      <c r="I345" s="173"/>
      <c r="J345" s="173"/>
      <c r="K345" s="173"/>
      <c r="L345" s="76"/>
      <c r="M345" s="76"/>
      <c r="N345" s="76"/>
      <c r="O345" s="76"/>
      <c r="P345" s="76"/>
      <c r="Q345" s="76"/>
      <c r="R345" s="76"/>
      <c r="S345" s="76"/>
      <c r="T345" s="76"/>
      <c r="U345" s="76"/>
      <c r="V345" s="76"/>
      <c r="W345" s="76"/>
      <c r="X345" s="76"/>
      <c r="Y345" s="76"/>
      <c r="Z345" s="76"/>
      <c r="AA345" s="76"/>
      <c r="AB345" s="76"/>
      <c r="AC345" s="76"/>
      <c r="AD345" s="76"/>
      <c r="AE345" s="76"/>
      <c r="AF345" s="76"/>
    </row>
    <row r="346">
      <c r="A346" s="76"/>
      <c r="B346" s="170"/>
      <c r="C346" s="76"/>
      <c r="D346" s="173"/>
      <c r="E346" s="173"/>
      <c r="F346" s="173"/>
      <c r="G346" s="175"/>
      <c r="H346" s="173"/>
      <c r="I346" s="173"/>
      <c r="J346" s="173"/>
      <c r="K346" s="173"/>
      <c r="L346" s="76"/>
      <c r="M346" s="76"/>
      <c r="N346" s="76"/>
      <c r="O346" s="76"/>
      <c r="P346" s="76"/>
      <c r="Q346" s="76"/>
      <c r="R346" s="76"/>
      <c r="S346" s="76"/>
      <c r="T346" s="76"/>
      <c r="U346" s="76"/>
      <c r="V346" s="76"/>
      <c r="W346" s="76"/>
      <c r="X346" s="76"/>
      <c r="Y346" s="76"/>
      <c r="Z346" s="76"/>
      <c r="AA346" s="76"/>
      <c r="AB346" s="76"/>
      <c r="AC346" s="76"/>
      <c r="AD346" s="76"/>
      <c r="AE346" s="76"/>
      <c r="AF346" s="76"/>
    </row>
    <row r="347">
      <c r="A347" s="76"/>
      <c r="B347" s="170"/>
      <c r="C347" s="76"/>
      <c r="D347" s="173"/>
      <c r="E347" s="173"/>
      <c r="F347" s="173"/>
      <c r="G347" s="175"/>
      <c r="H347" s="173"/>
      <c r="I347" s="173"/>
      <c r="J347" s="173"/>
      <c r="K347" s="173"/>
      <c r="L347" s="76"/>
      <c r="M347" s="76"/>
      <c r="N347" s="76"/>
      <c r="O347" s="76"/>
      <c r="P347" s="76"/>
      <c r="Q347" s="76"/>
      <c r="R347" s="76"/>
      <c r="S347" s="76"/>
      <c r="T347" s="76"/>
      <c r="U347" s="76"/>
      <c r="V347" s="76"/>
      <c r="W347" s="76"/>
      <c r="X347" s="76"/>
      <c r="Y347" s="76"/>
      <c r="Z347" s="76"/>
      <c r="AA347" s="76"/>
      <c r="AB347" s="76"/>
      <c r="AC347" s="76"/>
      <c r="AD347" s="76"/>
      <c r="AE347" s="76"/>
      <c r="AF347" s="76"/>
    </row>
    <row r="348">
      <c r="A348" s="76"/>
      <c r="B348" s="170"/>
      <c r="C348" s="76"/>
      <c r="D348" s="173"/>
      <c r="E348" s="173"/>
      <c r="F348" s="173"/>
      <c r="G348" s="175"/>
      <c r="H348" s="173"/>
      <c r="I348" s="173"/>
      <c r="J348" s="173"/>
      <c r="K348" s="173"/>
      <c r="L348" s="76"/>
      <c r="M348" s="76"/>
      <c r="N348" s="76"/>
      <c r="O348" s="76"/>
      <c r="P348" s="76"/>
      <c r="Q348" s="76"/>
      <c r="R348" s="76"/>
      <c r="S348" s="76"/>
      <c r="T348" s="76"/>
      <c r="U348" s="76"/>
      <c r="V348" s="76"/>
      <c r="W348" s="76"/>
      <c r="X348" s="76"/>
      <c r="Y348" s="76"/>
      <c r="Z348" s="76"/>
      <c r="AA348" s="76"/>
      <c r="AB348" s="76"/>
      <c r="AC348" s="76"/>
      <c r="AD348" s="76"/>
      <c r="AE348" s="76"/>
      <c r="AF348" s="76"/>
    </row>
    <row r="349">
      <c r="A349" s="76"/>
      <c r="B349" s="170"/>
      <c r="C349" s="76"/>
      <c r="D349" s="173"/>
      <c r="E349" s="173"/>
      <c r="F349" s="173"/>
      <c r="G349" s="175"/>
      <c r="H349" s="173"/>
      <c r="I349" s="173"/>
      <c r="J349" s="173"/>
      <c r="K349" s="173"/>
      <c r="L349" s="76"/>
      <c r="M349" s="76"/>
      <c r="N349" s="76"/>
      <c r="O349" s="76"/>
      <c r="P349" s="76"/>
      <c r="Q349" s="76"/>
      <c r="R349" s="76"/>
      <c r="S349" s="76"/>
      <c r="T349" s="76"/>
      <c r="U349" s="76"/>
      <c r="V349" s="76"/>
      <c r="W349" s="76"/>
      <c r="X349" s="76"/>
      <c r="Y349" s="76"/>
      <c r="Z349" s="76"/>
      <c r="AA349" s="76"/>
      <c r="AB349" s="76"/>
      <c r="AC349" s="76"/>
      <c r="AD349" s="76"/>
      <c r="AE349" s="76"/>
      <c r="AF349" s="76"/>
    </row>
    <row r="350">
      <c r="A350" s="76"/>
      <c r="B350" s="170"/>
      <c r="C350" s="76"/>
      <c r="D350" s="173"/>
      <c r="E350" s="173"/>
      <c r="F350" s="173"/>
      <c r="G350" s="175"/>
      <c r="H350" s="173"/>
      <c r="I350" s="173"/>
      <c r="J350" s="173"/>
      <c r="K350" s="173"/>
      <c r="L350" s="76"/>
      <c r="M350" s="76"/>
      <c r="N350" s="76"/>
      <c r="O350" s="76"/>
      <c r="P350" s="76"/>
      <c r="Q350" s="76"/>
      <c r="R350" s="76"/>
      <c r="S350" s="76"/>
      <c r="T350" s="76"/>
      <c r="U350" s="76"/>
      <c r="V350" s="76"/>
      <c r="W350" s="76"/>
      <c r="X350" s="76"/>
      <c r="Y350" s="76"/>
      <c r="Z350" s="76"/>
      <c r="AA350" s="76"/>
      <c r="AB350" s="76"/>
      <c r="AC350" s="76"/>
      <c r="AD350" s="76"/>
      <c r="AE350" s="76"/>
      <c r="AF350" s="76"/>
    </row>
    <row r="351">
      <c r="A351" s="76"/>
      <c r="B351" s="170"/>
      <c r="C351" s="76"/>
      <c r="D351" s="173"/>
      <c r="E351" s="173"/>
      <c r="F351" s="173"/>
      <c r="G351" s="175"/>
      <c r="H351" s="173"/>
      <c r="I351" s="173"/>
      <c r="J351" s="173"/>
      <c r="K351" s="173"/>
      <c r="L351" s="76"/>
      <c r="M351" s="76"/>
      <c r="N351" s="76"/>
      <c r="O351" s="76"/>
      <c r="P351" s="76"/>
      <c r="Q351" s="76"/>
      <c r="R351" s="76"/>
      <c r="S351" s="76"/>
      <c r="T351" s="76"/>
      <c r="U351" s="76"/>
      <c r="V351" s="76"/>
      <c r="W351" s="76"/>
      <c r="X351" s="76"/>
      <c r="Y351" s="76"/>
      <c r="Z351" s="76"/>
      <c r="AA351" s="76"/>
      <c r="AB351" s="76"/>
      <c r="AC351" s="76"/>
      <c r="AD351" s="76"/>
      <c r="AE351" s="76"/>
      <c r="AF351" s="76"/>
    </row>
    <row r="352">
      <c r="A352" s="76"/>
      <c r="B352" s="170"/>
      <c r="C352" s="76"/>
      <c r="D352" s="173"/>
      <c r="E352" s="173"/>
      <c r="F352" s="173"/>
      <c r="G352" s="175"/>
      <c r="H352" s="173"/>
      <c r="I352" s="173"/>
      <c r="J352" s="173"/>
      <c r="K352" s="173"/>
      <c r="L352" s="76"/>
      <c r="M352" s="76"/>
      <c r="N352" s="76"/>
      <c r="O352" s="76"/>
      <c r="P352" s="76"/>
      <c r="Q352" s="76"/>
      <c r="R352" s="76"/>
      <c r="S352" s="76"/>
      <c r="T352" s="76"/>
      <c r="U352" s="76"/>
      <c r="V352" s="76"/>
      <c r="W352" s="76"/>
      <c r="X352" s="76"/>
      <c r="Y352" s="76"/>
      <c r="Z352" s="76"/>
      <c r="AA352" s="76"/>
      <c r="AB352" s="76"/>
      <c r="AC352" s="76"/>
      <c r="AD352" s="76"/>
      <c r="AE352" s="76"/>
      <c r="AF352" s="76"/>
    </row>
    <row r="353">
      <c r="A353" s="76"/>
      <c r="B353" s="170"/>
      <c r="C353" s="76"/>
      <c r="D353" s="173"/>
      <c r="E353" s="173"/>
      <c r="F353" s="173"/>
      <c r="G353" s="175"/>
      <c r="H353" s="173"/>
      <c r="I353" s="173"/>
      <c r="J353" s="173"/>
      <c r="K353" s="173"/>
      <c r="L353" s="76"/>
      <c r="M353" s="76"/>
      <c r="N353" s="76"/>
      <c r="O353" s="76"/>
      <c r="P353" s="76"/>
      <c r="Q353" s="76"/>
      <c r="R353" s="76"/>
      <c r="S353" s="76"/>
      <c r="T353" s="76"/>
      <c r="U353" s="76"/>
      <c r="V353" s="76"/>
      <c r="W353" s="76"/>
      <c r="X353" s="76"/>
      <c r="Y353" s="76"/>
      <c r="Z353" s="76"/>
      <c r="AA353" s="76"/>
      <c r="AB353" s="76"/>
      <c r="AC353" s="76"/>
      <c r="AD353" s="76"/>
      <c r="AE353" s="76"/>
      <c r="AF353" s="76"/>
    </row>
    <row r="354">
      <c r="A354" s="76"/>
      <c r="B354" s="170"/>
      <c r="C354" s="76"/>
      <c r="D354" s="173"/>
      <c r="E354" s="173"/>
      <c r="F354" s="173"/>
      <c r="G354" s="175"/>
      <c r="H354" s="173"/>
      <c r="I354" s="173"/>
      <c r="J354" s="173"/>
      <c r="K354" s="173"/>
      <c r="L354" s="76"/>
      <c r="M354" s="76"/>
      <c r="N354" s="76"/>
      <c r="O354" s="76"/>
      <c r="P354" s="76"/>
      <c r="Q354" s="76"/>
      <c r="R354" s="76"/>
      <c r="S354" s="76"/>
      <c r="T354" s="76"/>
      <c r="U354" s="76"/>
      <c r="V354" s="76"/>
      <c r="W354" s="76"/>
      <c r="X354" s="76"/>
      <c r="Y354" s="76"/>
      <c r="Z354" s="76"/>
      <c r="AA354" s="76"/>
      <c r="AB354" s="76"/>
      <c r="AC354" s="76"/>
      <c r="AD354" s="76"/>
      <c r="AE354" s="76"/>
      <c r="AF354" s="76"/>
    </row>
    <row r="355">
      <c r="A355" s="76"/>
      <c r="B355" s="170"/>
      <c r="C355" s="76"/>
      <c r="D355" s="173"/>
      <c r="E355" s="173"/>
      <c r="F355" s="173"/>
      <c r="G355" s="175"/>
      <c r="H355" s="173"/>
      <c r="I355" s="173"/>
      <c r="J355" s="173"/>
      <c r="K355" s="173"/>
      <c r="L355" s="76"/>
      <c r="M355" s="76"/>
      <c r="N355" s="76"/>
      <c r="O355" s="76"/>
      <c r="P355" s="76"/>
      <c r="Q355" s="76"/>
      <c r="R355" s="76"/>
      <c r="S355" s="76"/>
      <c r="T355" s="76"/>
      <c r="U355" s="76"/>
      <c r="V355" s="76"/>
      <c r="W355" s="76"/>
      <c r="X355" s="76"/>
      <c r="Y355" s="76"/>
      <c r="Z355" s="76"/>
      <c r="AA355" s="76"/>
      <c r="AB355" s="76"/>
      <c r="AC355" s="76"/>
      <c r="AD355" s="76"/>
      <c r="AE355" s="76"/>
      <c r="AF355" s="76"/>
    </row>
    <row r="356">
      <c r="A356" s="76"/>
      <c r="B356" s="170"/>
      <c r="C356" s="76"/>
      <c r="D356" s="173"/>
      <c r="E356" s="173"/>
      <c r="F356" s="173"/>
      <c r="G356" s="175"/>
      <c r="H356" s="173"/>
      <c r="I356" s="173"/>
      <c r="J356" s="173"/>
      <c r="K356" s="173"/>
      <c r="L356" s="76"/>
      <c r="M356" s="76"/>
      <c r="N356" s="76"/>
      <c r="O356" s="76"/>
      <c r="P356" s="76"/>
      <c r="Q356" s="76"/>
      <c r="R356" s="76"/>
      <c r="S356" s="76"/>
      <c r="T356" s="76"/>
      <c r="U356" s="76"/>
      <c r="V356" s="76"/>
      <c r="W356" s="76"/>
      <c r="X356" s="76"/>
      <c r="Y356" s="76"/>
      <c r="Z356" s="76"/>
      <c r="AA356" s="76"/>
      <c r="AB356" s="76"/>
      <c r="AC356" s="76"/>
      <c r="AD356" s="76"/>
      <c r="AE356" s="76"/>
      <c r="AF356" s="76"/>
    </row>
    <row r="357">
      <c r="A357" s="76"/>
      <c r="B357" s="170"/>
      <c r="C357" s="76"/>
      <c r="D357" s="173"/>
      <c r="E357" s="173"/>
      <c r="F357" s="173"/>
      <c r="G357" s="175"/>
      <c r="H357" s="173"/>
      <c r="I357" s="173"/>
      <c r="J357" s="173"/>
      <c r="K357" s="173"/>
      <c r="L357" s="76"/>
      <c r="M357" s="76"/>
      <c r="N357" s="76"/>
      <c r="O357" s="76"/>
      <c r="P357" s="76"/>
      <c r="Q357" s="76"/>
      <c r="R357" s="76"/>
      <c r="S357" s="76"/>
      <c r="T357" s="76"/>
      <c r="U357" s="76"/>
      <c r="V357" s="76"/>
      <c r="W357" s="76"/>
      <c r="X357" s="76"/>
      <c r="Y357" s="76"/>
      <c r="Z357" s="76"/>
      <c r="AA357" s="76"/>
      <c r="AB357" s="76"/>
      <c r="AC357" s="76"/>
      <c r="AD357" s="76"/>
      <c r="AE357" s="76"/>
      <c r="AF357" s="76"/>
    </row>
    <row r="358">
      <c r="A358" s="76"/>
      <c r="B358" s="170"/>
      <c r="C358" s="76"/>
      <c r="D358" s="173"/>
      <c r="E358" s="173"/>
      <c r="F358" s="173"/>
      <c r="G358" s="175"/>
      <c r="H358" s="173"/>
      <c r="I358" s="173"/>
      <c r="J358" s="173"/>
      <c r="K358" s="173"/>
      <c r="L358" s="76"/>
      <c r="M358" s="76"/>
      <c r="N358" s="76"/>
      <c r="O358" s="76"/>
      <c r="P358" s="76"/>
      <c r="Q358" s="76"/>
      <c r="R358" s="76"/>
      <c r="S358" s="76"/>
      <c r="T358" s="76"/>
      <c r="U358" s="76"/>
      <c r="V358" s="76"/>
      <c r="W358" s="76"/>
      <c r="X358" s="76"/>
      <c r="Y358" s="76"/>
      <c r="Z358" s="76"/>
      <c r="AA358" s="76"/>
      <c r="AB358" s="76"/>
      <c r="AC358" s="76"/>
      <c r="AD358" s="76"/>
      <c r="AE358" s="76"/>
      <c r="AF358" s="76"/>
    </row>
    <row r="359">
      <c r="A359" s="76"/>
      <c r="B359" s="170"/>
      <c r="C359" s="76"/>
      <c r="D359" s="173"/>
      <c r="E359" s="173"/>
      <c r="F359" s="173"/>
      <c r="G359" s="175"/>
      <c r="H359" s="173"/>
      <c r="I359" s="173"/>
      <c r="J359" s="173"/>
      <c r="K359" s="173"/>
      <c r="L359" s="76"/>
      <c r="M359" s="76"/>
      <c r="N359" s="76"/>
      <c r="O359" s="76"/>
      <c r="P359" s="76"/>
      <c r="Q359" s="76"/>
      <c r="R359" s="76"/>
      <c r="S359" s="76"/>
      <c r="T359" s="76"/>
      <c r="U359" s="76"/>
      <c r="V359" s="76"/>
      <c r="W359" s="76"/>
      <c r="X359" s="76"/>
      <c r="Y359" s="76"/>
      <c r="Z359" s="76"/>
      <c r="AA359" s="76"/>
      <c r="AB359" s="76"/>
      <c r="AC359" s="76"/>
      <c r="AD359" s="76"/>
      <c r="AE359" s="76"/>
      <c r="AF359" s="76"/>
    </row>
    <row r="360">
      <c r="A360" s="76"/>
      <c r="B360" s="170"/>
      <c r="C360" s="76"/>
      <c r="D360" s="173"/>
      <c r="E360" s="173"/>
      <c r="F360" s="173"/>
      <c r="G360" s="175"/>
      <c r="H360" s="173"/>
      <c r="I360" s="173"/>
      <c r="J360" s="173"/>
      <c r="K360" s="173"/>
      <c r="L360" s="76"/>
      <c r="M360" s="76"/>
      <c r="N360" s="76"/>
      <c r="O360" s="76"/>
      <c r="P360" s="76"/>
      <c r="Q360" s="76"/>
      <c r="R360" s="76"/>
      <c r="S360" s="76"/>
      <c r="T360" s="76"/>
      <c r="U360" s="76"/>
      <c r="V360" s="76"/>
      <c r="W360" s="76"/>
      <c r="X360" s="76"/>
      <c r="Y360" s="76"/>
      <c r="Z360" s="76"/>
      <c r="AA360" s="76"/>
      <c r="AB360" s="76"/>
      <c r="AC360" s="76"/>
      <c r="AD360" s="76"/>
      <c r="AE360" s="76"/>
      <c r="AF360" s="76"/>
    </row>
    <row r="361">
      <c r="A361" s="76"/>
      <c r="B361" s="170"/>
      <c r="C361" s="76"/>
      <c r="D361" s="173"/>
      <c r="E361" s="173"/>
      <c r="F361" s="173"/>
      <c r="G361" s="175"/>
      <c r="H361" s="173"/>
      <c r="I361" s="173"/>
      <c r="J361" s="173"/>
      <c r="K361" s="173"/>
      <c r="L361" s="76"/>
      <c r="M361" s="76"/>
      <c r="N361" s="76"/>
      <c r="O361" s="76"/>
      <c r="P361" s="76"/>
      <c r="Q361" s="76"/>
      <c r="R361" s="76"/>
      <c r="S361" s="76"/>
      <c r="T361" s="76"/>
      <c r="U361" s="76"/>
      <c r="V361" s="76"/>
      <c r="W361" s="76"/>
      <c r="X361" s="76"/>
      <c r="Y361" s="76"/>
      <c r="Z361" s="76"/>
      <c r="AA361" s="76"/>
      <c r="AB361" s="76"/>
      <c r="AC361" s="76"/>
      <c r="AD361" s="76"/>
      <c r="AE361" s="76"/>
      <c r="AF361" s="76"/>
    </row>
    <row r="362">
      <c r="A362" s="76"/>
      <c r="B362" s="170"/>
      <c r="C362" s="76"/>
      <c r="D362" s="173"/>
      <c r="E362" s="173"/>
      <c r="F362" s="173"/>
      <c r="G362" s="175"/>
      <c r="H362" s="173"/>
      <c r="I362" s="173"/>
      <c r="J362" s="173"/>
      <c r="K362" s="173"/>
      <c r="L362" s="76"/>
      <c r="M362" s="76"/>
      <c r="N362" s="76"/>
      <c r="O362" s="76"/>
      <c r="P362" s="76"/>
      <c r="Q362" s="76"/>
      <c r="R362" s="76"/>
      <c r="S362" s="76"/>
      <c r="T362" s="76"/>
      <c r="U362" s="76"/>
      <c r="V362" s="76"/>
      <c r="W362" s="76"/>
      <c r="X362" s="76"/>
      <c r="Y362" s="76"/>
      <c r="Z362" s="76"/>
      <c r="AA362" s="76"/>
      <c r="AB362" s="76"/>
      <c r="AC362" s="76"/>
      <c r="AD362" s="76"/>
      <c r="AE362" s="76"/>
      <c r="AF362" s="76"/>
    </row>
    <row r="363">
      <c r="A363" s="76"/>
      <c r="B363" s="170"/>
      <c r="C363" s="76"/>
      <c r="D363" s="173"/>
      <c r="E363" s="173"/>
      <c r="F363" s="173"/>
      <c r="G363" s="175"/>
      <c r="H363" s="173"/>
      <c r="I363" s="173"/>
      <c r="J363" s="173"/>
      <c r="K363" s="173"/>
      <c r="L363" s="76"/>
      <c r="M363" s="76"/>
      <c r="N363" s="76"/>
      <c r="O363" s="76"/>
      <c r="P363" s="76"/>
      <c r="Q363" s="76"/>
      <c r="R363" s="76"/>
      <c r="S363" s="76"/>
      <c r="T363" s="76"/>
      <c r="U363" s="76"/>
      <c r="V363" s="76"/>
      <c r="W363" s="76"/>
      <c r="X363" s="76"/>
      <c r="Y363" s="76"/>
      <c r="Z363" s="76"/>
      <c r="AA363" s="76"/>
      <c r="AB363" s="76"/>
      <c r="AC363" s="76"/>
      <c r="AD363" s="76"/>
      <c r="AE363" s="76"/>
      <c r="AF363" s="76"/>
    </row>
    <row r="364">
      <c r="A364" s="76"/>
      <c r="B364" s="170"/>
      <c r="C364" s="76"/>
      <c r="D364" s="173"/>
      <c r="E364" s="173"/>
      <c r="F364" s="173"/>
      <c r="G364" s="175"/>
      <c r="H364" s="173"/>
      <c r="I364" s="173"/>
      <c r="J364" s="173"/>
      <c r="K364" s="173"/>
      <c r="L364" s="76"/>
      <c r="M364" s="76"/>
      <c r="N364" s="76"/>
      <c r="O364" s="76"/>
      <c r="P364" s="76"/>
      <c r="Q364" s="76"/>
      <c r="R364" s="76"/>
      <c r="S364" s="76"/>
      <c r="T364" s="76"/>
      <c r="U364" s="76"/>
      <c r="V364" s="76"/>
      <c r="W364" s="76"/>
      <c r="X364" s="76"/>
      <c r="Y364" s="76"/>
      <c r="Z364" s="76"/>
      <c r="AA364" s="76"/>
      <c r="AB364" s="76"/>
      <c r="AC364" s="76"/>
      <c r="AD364" s="76"/>
      <c r="AE364" s="76"/>
      <c r="AF364" s="76"/>
    </row>
    <row r="365">
      <c r="A365" s="76"/>
      <c r="B365" s="170"/>
      <c r="C365" s="76"/>
      <c r="D365" s="173"/>
      <c r="E365" s="173"/>
      <c r="F365" s="173"/>
      <c r="G365" s="175"/>
      <c r="H365" s="173"/>
      <c r="I365" s="173"/>
      <c r="J365" s="173"/>
      <c r="K365" s="173"/>
      <c r="L365" s="76"/>
      <c r="M365" s="76"/>
      <c r="N365" s="76"/>
      <c r="O365" s="76"/>
      <c r="P365" s="76"/>
      <c r="Q365" s="76"/>
      <c r="R365" s="76"/>
      <c r="S365" s="76"/>
      <c r="T365" s="76"/>
      <c r="U365" s="76"/>
      <c r="V365" s="76"/>
      <c r="W365" s="76"/>
      <c r="X365" s="76"/>
      <c r="Y365" s="76"/>
      <c r="Z365" s="76"/>
      <c r="AA365" s="76"/>
      <c r="AB365" s="76"/>
      <c r="AC365" s="76"/>
      <c r="AD365" s="76"/>
      <c r="AE365" s="76"/>
      <c r="AF365" s="76"/>
    </row>
    <row r="366">
      <c r="A366" s="76"/>
      <c r="B366" s="170"/>
      <c r="C366" s="76"/>
      <c r="D366" s="173"/>
      <c r="E366" s="173"/>
      <c r="F366" s="173"/>
      <c r="G366" s="175"/>
      <c r="H366" s="173"/>
      <c r="I366" s="173"/>
      <c r="J366" s="173"/>
      <c r="K366" s="173"/>
      <c r="L366" s="76"/>
      <c r="M366" s="76"/>
      <c r="N366" s="76"/>
      <c r="O366" s="76"/>
      <c r="P366" s="76"/>
      <c r="Q366" s="76"/>
      <c r="R366" s="76"/>
      <c r="S366" s="76"/>
      <c r="T366" s="76"/>
      <c r="U366" s="76"/>
      <c r="V366" s="76"/>
      <c r="W366" s="76"/>
      <c r="X366" s="76"/>
      <c r="Y366" s="76"/>
      <c r="Z366" s="76"/>
      <c r="AA366" s="76"/>
      <c r="AB366" s="76"/>
      <c r="AC366" s="76"/>
      <c r="AD366" s="76"/>
      <c r="AE366" s="76"/>
      <c r="AF366" s="76"/>
    </row>
    <row r="367">
      <c r="A367" s="76"/>
      <c r="B367" s="170"/>
      <c r="C367" s="76"/>
      <c r="D367" s="173"/>
      <c r="E367" s="173"/>
      <c r="F367" s="173"/>
      <c r="G367" s="175"/>
      <c r="H367" s="173"/>
      <c r="I367" s="173"/>
      <c r="J367" s="173"/>
      <c r="K367" s="173"/>
      <c r="L367" s="76"/>
      <c r="M367" s="76"/>
      <c r="N367" s="76"/>
      <c r="O367" s="76"/>
      <c r="P367" s="76"/>
      <c r="Q367" s="76"/>
      <c r="R367" s="76"/>
      <c r="S367" s="76"/>
      <c r="T367" s="76"/>
      <c r="U367" s="76"/>
      <c r="V367" s="76"/>
      <c r="W367" s="76"/>
      <c r="X367" s="76"/>
      <c r="Y367" s="76"/>
      <c r="Z367" s="76"/>
      <c r="AA367" s="76"/>
      <c r="AB367" s="76"/>
      <c r="AC367" s="76"/>
      <c r="AD367" s="76"/>
      <c r="AE367" s="76"/>
      <c r="AF367" s="76"/>
    </row>
    <row r="368">
      <c r="A368" s="76"/>
      <c r="B368" s="170"/>
      <c r="C368" s="76"/>
      <c r="D368" s="173"/>
      <c r="E368" s="173"/>
      <c r="F368" s="173"/>
      <c r="G368" s="175"/>
      <c r="H368" s="173"/>
      <c r="I368" s="173"/>
      <c r="J368" s="173"/>
      <c r="K368" s="173"/>
      <c r="L368" s="76"/>
      <c r="M368" s="76"/>
      <c r="N368" s="76"/>
      <c r="O368" s="76"/>
      <c r="P368" s="76"/>
      <c r="Q368" s="76"/>
      <c r="R368" s="76"/>
      <c r="S368" s="76"/>
      <c r="T368" s="76"/>
      <c r="U368" s="76"/>
      <c r="V368" s="76"/>
      <c r="W368" s="76"/>
      <c r="X368" s="76"/>
      <c r="Y368" s="76"/>
      <c r="Z368" s="76"/>
      <c r="AA368" s="76"/>
      <c r="AB368" s="76"/>
      <c r="AC368" s="76"/>
      <c r="AD368" s="76"/>
      <c r="AE368" s="76"/>
      <c r="AF368" s="76"/>
    </row>
    <row r="369">
      <c r="A369" s="76"/>
      <c r="B369" s="170"/>
      <c r="C369" s="76"/>
      <c r="D369" s="173"/>
      <c r="E369" s="173"/>
      <c r="F369" s="173"/>
      <c r="G369" s="175"/>
      <c r="H369" s="173"/>
      <c r="I369" s="173"/>
      <c r="J369" s="173"/>
      <c r="K369" s="173"/>
      <c r="L369" s="76"/>
      <c r="M369" s="76"/>
      <c r="N369" s="76"/>
      <c r="O369" s="76"/>
      <c r="P369" s="76"/>
      <c r="Q369" s="76"/>
      <c r="R369" s="76"/>
      <c r="S369" s="76"/>
      <c r="T369" s="76"/>
      <c r="U369" s="76"/>
      <c r="V369" s="76"/>
      <c r="W369" s="76"/>
      <c r="X369" s="76"/>
      <c r="Y369" s="76"/>
      <c r="Z369" s="76"/>
      <c r="AA369" s="76"/>
      <c r="AB369" s="76"/>
      <c r="AC369" s="76"/>
      <c r="AD369" s="76"/>
      <c r="AE369" s="76"/>
      <c r="AF369" s="76"/>
    </row>
    <row r="370">
      <c r="A370" s="76"/>
      <c r="B370" s="170"/>
      <c r="C370" s="76"/>
      <c r="D370" s="173"/>
      <c r="E370" s="173"/>
      <c r="F370" s="173"/>
      <c r="G370" s="175"/>
      <c r="H370" s="173"/>
      <c r="I370" s="173"/>
      <c r="J370" s="173"/>
      <c r="K370" s="173"/>
      <c r="L370" s="76"/>
      <c r="M370" s="76"/>
      <c r="N370" s="76"/>
      <c r="O370" s="76"/>
      <c r="P370" s="76"/>
      <c r="Q370" s="76"/>
      <c r="R370" s="76"/>
      <c r="S370" s="76"/>
      <c r="T370" s="76"/>
      <c r="U370" s="76"/>
      <c r="V370" s="76"/>
      <c r="W370" s="76"/>
      <c r="X370" s="76"/>
      <c r="Y370" s="76"/>
      <c r="Z370" s="76"/>
      <c r="AA370" s="76"/>
      <c r="AB370" s="76"/>
      <c r="AC370" s="76"/>
      <c r="AD370" s="76"/>
      <c r="AE370" s="76"/>
      <c r="AF370" s="76"/>
    </row>
    <row r="371">
      <c r="A371" s="76"/>
      <c r="B371" s="170"/>
      <c r="C371" s="76"/>
      <c r="D371" s="173"/>
      <c r="E371" s="173"/>
      <c r="F371" s="173"/>
      <c r="G371" s="175"/>
      <c r="H371" s="173"/>
      <c r="I371" s="173"/>
      <c r="J371" s="173"/>
      <c r="K371" s="173"/>
      <c r="L371" s="76"/>
      <c r="M371" s="76"/>
      <c r="N371" s="76"/>
      <c r="O371" s="76"/>
      <c r="P371" s="76"/>
      <c r="Q371" s="76"/>
      <c r="R371" s="76"/>
      <c r="S371" s="76"/>
      <c r="T371" s="76"/>
      <c r="U371" s="76"/>
      <c r="V371" s="76"/>
      <c r="W371" s="76"/>
      <c r="X371" s="76"/>
      <c r="Y371" s="76"/>
      <c r="Z371" s="76"/>
      <c r="AA371" s="76"/>
      <c r="AB371" s="76"/>
      <c r="AC371" s="76"/>
      <c r="AD371" s="76"/>
      <c r="AE371" s="76"/>
      <c r="AF371" s="76"/>
    </row>
    <row r="372">
      <c r="A372" s="76"/>
      <c r="B372" s="170"/>
      <c r="C372" s="76"/>
      <c r="D372" s="173"/>
      <c r="E372" s="173"/>
      <c r="F372" s="173"/>
      <c r="G372" s="175"/>
      <c r="H372" s="173"/>
      <c r="I372" s="173"/>
      <c r="J372" s="173"/>
      <c r="K372" s="173"/>
      <c r="L372" s="76"/>
      <c r="M372" s="76"/>
      <c r="N372" s="76"/>
      <c r="O372" s="76"/>
      <c r="P372" s="76"/>
      <c r="Q372" s="76"/>
      <c r="R372" s="76"/>
      <c r="S372" s="76"/>
      <c r="T372" s="76"/>
      <c r="U372" s="76"/>
      <c r="V372" s="76"/>
      <c r="W372" s="76"/>
      <c r="X372" s="76"/>
      <c r="Y372" s="76"/>
      <c r="Z372" s="76"/>
      <c r="AA372" s="76"/>
      <c r="AB372" s="76"/>
      <c r="AC372" s="76"/>
      <c r="AD372" s="76"/>
      <c r="AE372" s="76"/>
      <c r="AF372" s="76"/>
    </row>
    <row r="373">
      <c r="A373" s="76"/>
      <c r="B373" s="170"/>
      <c r="C373" s="76"/>
      <c r="D373" s="173"/>
      <c r="E373" s="173"/>
      <c r="F373" s="173"/>
      <c r="G373" s="175"/>
      <c r="H373" s="173"/>
      <c r="I373" s="173"/>
      <c r="J373" s="173"/>
      <c r="K373" s="173"/>
      <c r="L373" s="76"/>
      <c r="M373" s="76"/>
      <c r="N373" s="76"/>
      <c r="O373" s="76"/>
      <c r="P373" s="76"/>
      <c r="Q373" s="76"/>
      <c r="R373" s="76"/>
      <c r="S373" s="76"/>
      <c r="T373" s="76"/>
      <c r="U373" s="76"/>
      <c r="V373" s="76"/>
      <c r="W373" s="76"/>
      <c r="X373" s="76"/>
      <c r="Y373" s="76"/>
      <c r="Z373" s="76"/>
      <c r="AA373" s="76"/>
      <c r="AB373" s="76"/>
      <c r="AC373" s="76"/>
      <c r="AD373" s="76"/>
      <c r="AE373" s="76"/>
      <c r="AF373" s="76"/>
    </row>
    <row r="374">
      <c r="A374" s="76"/>
      <c r="B374" s="170"/>
      <c r="C374" s="76"/>
      <c r="D374" s="173"/>
      <c r="E374" s="173"/>
      <c r="F374" s="173"/>
      <c r="G374" s="175"/>
      <c r="H374" s="173"/>
      <c r="I374" s="173"/>
      <c r="J374" s="173"/>
      <c r="K374" s="173"/>
      <c r="L374" s="76"/>
      <c r="M374" s="76"/>
      <c r="N374" s="76"/>
      <c r="O374" s="76"/>
      <c r="P374" s="76"/>
      <c r="Q374" s="76"/>
      <c r="R374" s="76"/>
      <c r="S374" s="76"/>
      <c r="T374" s="76"/>
      <c r="U374" s="76"/>
      <c r="V374" s="76"/>
      <c r="W374" s="76"/>
      <c r="X374" s="76"/>
      <c r="Y374" s="76"/>
      <c r="Z374" s="76"/>
      <c r="AA374" s="76"/>
      <c r="AB374" s="76"/>
      <c r="AC374" s="76"/>
      <c r="AD374" s="76"/>
      <c r="AE374" s="76"/>
      <c r="AF374" s="76"/>
    </row>
    <row r="375">
      <c r="A375" s="76"/>
      <c r="B375" s="170"/>
      <c r="C375" s="76"/>
      <c r="D375" s="173"/>
      <c r="E375" s="173"/>
      <c r="F375" s="173"/>
      <c r="G375" s="175"/>
      <c r="H375" s="173"/>
      <c r="I375" s="173"/>
      <c r="J375" s="173"/>
      <c r="K375" s="173"/>
      <c r="L375" s="76"/>
      <c r="M375" s="76"/>
      <c r="N375" s="76"/>
      <c r="O375" s="76"/>
      <c r="P375" s="76"/>
      <c r="Q375" s="76"/>
      <c r="R375" s="76"/>
      <c r="S375" s="76"/>
      <c r="T375" s="76"/>
      <c r="U375" s="76"/>
      <c r="V375" s="76"/>
      <c r="W375" s="76"/>
      <c r="X375" s="76"/>
      <c r="Y375" s="76"/>
      <c r="Z375" s="76"/>
      <c r="AA375" s="76"/>
      <c r="AB375" s="76"/>
      <c r="AC375" s="76"/>
      <c r="AD375" s="76"/>
      <c r="AE375" s="76"/>
      <c r="AF375" s="76"/>
    </row>
    <row r="376">
      <c r="A376" s="76"/>
      <c r="B376" s="170"/>
      <c r="C376" s="76"/>
      <c r="D376" s="173"/>
      <c r="E376" s="173"/>
      <c r="F376" s="173"/>
      <c r="G376" s="175"/>
      <c r="H376" s="173"/>
      <c r="I376" s="173"/>
      <c r="J376" s="173"/>
      <c r="K376" s="173"/>
      <c r="L376" s="76"/>
      <c r="M376" s="76"/>
      <c r="N376" s="76"/>
      <c r="O376" s="76"/>
      <c r="P376" s="76"/>
      <c r="Q376" s="76"/>
      <c r="R376" s="76"/>
      <c r="S376" s="76"/>
      <c r="T376" s="76"/>
      <c r="U376" s="76"/>
      <c r="V376" s="76"/>
      <c r="W376" s="76"/>
      <c r="X376" s="76"/>
      <c r="Y376" s="76"/>
      <c r="Z376" s="76"/>
      <c r="AA376" s="76"/>
      <c r="AB376" s="76"/>
      <c r="AC376" s="76"/>
      <c r="AD376" s="76"/>
      <c r="AE376" s="76"/>
      <c r="AF376" s="76"/>
    </row>
    <row r="377">
      <c r="A377" s="76"/>
      <c r="B377" s="170"/>
      <c r="C377" s="76"/>
      <c r="D377" s="173"/>
      <c r="E377" s="173"/>
      <c r="F377" s="173"/>
      <c r="G377" s="175"/>
      <c r="H377" s="173"/>
      <c r="I377" s="173"/>
      <c r="J377" s="173"/>
      <c r="K377" s="173"/>
      <c r="L377" s="76"/>
      <c r="M377" s="76"/>
      <c r="N377" s="76"/>
      <c r="O377" s="76"/>
      <c r="P377" s="76"/>
      <c r="Q377" s="76"/>
      <c r="R377" s="76"/>
      <c r="S377" s="76"/>
      <c r="T377" s="76"/>
      <c r="U377" s="76"/>
      <c r="V377" s="76"/>
      <c r="W377" s="76"/>
      <c r="X377" s="76"/>
      <c r="Y377" s="76"/>
      <c r="Z377" s="76"/>
      <c r="AA377" s="76"/>
      <c r="AB377" s="76"/>
      <c r="AC377" s="76"/>
      <c r="AD377" s="76"/>
      <c r="AE377" s="76"/>
      <c r="AF377" s="76"/>
    </row>
    <row r="378">
      <c r="A378" s="76"/>
      <c r="B378" s="170"/>
      <c r="C378" s="76"/>
      <c r="D378" s="173"/>
      <c r="E378" s="173"/>
      <c r="F378" s="173"/>
      <c r="G378" s="175"/>
      <c r="H378" s="173"/>
      <c r="I378" s="173"/>
      <c r="J378" s="173"/>
      <c r="K378" s="173"/>
      <c r="L378" s="76"/>
      <c r="M378" s="76"/>
      <c r="N378" s="76"/>
      <c r="O378" s="76"/>
      <c r="P378" s="76"/>
      <c r="Q378" s="76"/>
      <c r="R378" s="76"/>
      <c r="S378" s="76"/>
      <c r="T378" s="76"/>
      <c r="U378" s="76"/>
      <c r="V378" s="76"/>
      <c r="W378" s="76"/>
      <c r="X378" s="76"/>
      <c r="Y378" s="76"/>
      <c r="Z378" s="76"/>
      <c r="AA378" s="76"/>
      <c r="AB378" s="76"/>
      <c r="AC378" s="76"/>
      <c r="AD378" s="76"/>
      <c r="AE378" s="76"/>
      <c r="AF378" s="76"/>
    </row>
    <row r="379">
      <c r="A379" s="76"/>
      <c r="B379" s="170"/>
      <c r="C379" s="76"/>
      <c r="D379" s="173"/>
      <c r="E379" s="173"/>
      <c r="F379" s="173"/>
      <c r="G379" s="175"/>
      <c r="H379" s="173"/>
      <c r="I379" s="173"/>
      <c r="J379" s="173"/>
      <c r="K379" s="173"/>
      <c r="L379" s="76"/>
      <c r="M379" s="76"/>
      <c r="N379" s="76"/>
      <c r="O379" s="76"/>
      <c r="P379" s="76"/>
      <c r="Q379" s="76"/>
      <c r="R379" s="76"/>
      <c r="S379" s="76"/>
      <c r="T379" s="76"/>
      <c r="U379" s="76"/>
      <c r="V379" s="76"/>
      <c r="W379" s="76"/>
      <c r="X379" s="76"/>
      <c r="Y379" s="76"/>
      <c r="Z379" s="76"/>
      <c r="AA379" s="76"/>
      <c r="AB379" s="76"/>
      <c r="AC379" s="76"/>
      <c r="AD379" s="76"/>
      <c r="AE379" s="76"/>
      <c r="AF379" s="76"/>
    </row>
    <row r="380">
      <c r="A380" s="76"/>
      <c r="B380" s="170"/>
      <c r="C380" s="76"/>
      <c r="D380" s="173"/>
      <c r="E380" s="173"/>
      <c r="F380" s="173"/>
      <c r="G380" s="175"/>
      <c r="H380" s="173"/>
      <c r="I380" s="173"/>
      <c r="J380" s="173"/>
      <c r="K380" s="173"/>
      <c r="L380" s="76"/>
      <c r="M380" s="76"/>
      <c r="N380" s="76"/>
      <c r="O380" s="76"/>
      <c r="P380" s="76"/>
      <c r="Q380" s="76"/>
      <c r="R380" s="76"/>
      <c r="S380" s="76"/>
      <c r="T380" s="76"/>
      <c r="U380" s="76"/>
      <c r="V380" s="76"/>
      <c r="W380" s="76"/>
      <c r="X380" s="76"/>
      <c r="Y380" s="76"/>
      <c r="Z380" s="76"/>
      <c r="AA380" s="76"/>
      <c r="AB380" s="76"/>
      <c r="AC380" s="76"/>
      <c r="AD380" s="76"/>
      <c r="AE380" s="76"/>
      <c r="AF380" s="76"/>
    </row>
    <row r="381">
      <c r="A381" s="76"/>
      <c r="B381" s="170"/>
      <c r="C381" s="76"/>
      <c r="D381" s="173"/>
      <c r="E381" s="173"/>
      <c r="F381" s="173"/>
      <c r="G381" s="175"/>
      <c r="H381" s="173"/>
      <c r="I381" s="173"/>
      <c r="J381" s="173"/>
      <c r="K381" s="173"/>
      <c r="L381" s="76"/>
      <c r="M381" s="76"/>
      <c r="N381" s="76"/>
      <c r="O381" s="76"/>
      <c r="P381" s="76"/>
      <c r="Q381" s="76"/>
      <c r="R381" s="76"/>
      <c r="S381" s="76"/>
      <c r="T381" s="76"/>
      <c r="U381" s="76"/>
      <c r="V381" s="76"/>
      <c r="W381" s="76"/>
      <c r="X381" s="76"/>
      <c r="Y381" s="76"/>
      <c r="Z381" s="76"/>
      <c r="AA381" s="76"/>
      <c r="AB381" s="76"/>
      <c r="AC381" s="76"/>
      <c r="AD381" s="76"/>
      <c r="AE381" s="76"/>
      <c r="AF381" s="76"/>
    </row>
    <row r="382">
      <c r="A382" s="76"/>
      <c r="B382" s="170"/>
      <c r="C382" s="76"/>
      <c r="D382" s="173"/>
      <c r="E382" s="173"/>
      <c r="F382" s="173"/>
      <c r="G382" s="175"/>
      <c r="H382" s="173"/>
      <c r="I382" s="173"/>
      <c r="J382" s="173"/>
      <c r="K382" s="173"/>
      <c r="L382" s="76"/>
      <c r="M382" s="76"/>
      <c r="N382" s="76"/>
      <c r="O382" s="76"/>
      <c r="P382" s="76"/>
      <c r="Q382" s="76"/>
      <c r="R382" s="76"/>
      <c r="S382" s="76"/>
      <c r="T382" s="76"/>
      <c r="U382" s="76"/>
      <c r="V382" s="76"/>
      <c r="W382" s="76"/>
      <c r="X382" s="76"/>
      <c r="Y382" s="76"/>
      <c r="Z382" s="76"/>
      <c r="AA382" s="76"/>
      <c r="AB382" s="76"/>
      <c r="AC382" s="76"/>
      <c r="AD382" s="76"/>
      <c r="AE382" s="76"/>
      <c r="AF382" s="76"/>
    </row>
    <row r="383">
      <c r="A383" s="76"/>
      <c r="B383" s="170"/>
      <c r="C383" s="76"/>
      <c r="D383" s="173"/>
      <c r="E383" s="173"/>
      <c r="F383" s="173"/>
      <c r="G383" s="175"/>
      <c r="H383" s="173"/>
      <c r="I383" s="173"/>
      <c r="J383" s="173"/>
      <c r="K383" s="173"/>
      <c r="L383" s="76"/>
      <c r="M383" s="76"/>
      <c r="N383" s="76"/>
      <c r="O383" s="76"/>
      <c r="P383" s="76"/>
      <c r="Q383" s="76"/>
      <c r="R383" s="76"/>
      <c r="S383" s="76"/>
      <c r="T383" s="76"/>
      <c r="U383" s="76"/>
      <c r="V383" s="76"/>
      <c r="W383" s="76"/>
      <c r="X383" s="76"/>
      <c r="Y383" s="76"/>
      <c r="Z383" s="76"/>
      <c r="AA383" s="76"/>
      <c r="AB383" s="76"/>
      <c r="AC383" s="76"/>
      <c r="AD383" s="76"/>
      <c r="AE383" s="76"/>
      <c r="AF383" s="76"/>
    </row>
    <row r="384">
      <c r="A384" s="76"/>
      <c r="B384" s="170"/>
      <c r="C384" s="76"/>
      <c r="D384" s="173"/>
      <c r="E384" s="173"/>
      <c r="F384" s="173"/>
      <c r="G384" s="175"/>
      <c r="H384" s="173"/>
      <c r="I384" s="173"/>
      <c r="J384" s="173"/>
      <c r="K384" s="173"/>
      <c r="L384" s="76"/>
      <c r="M384" s="76"/>
      <c r="N384" s="76"/>
      <c r="O384" s="76"/>
      <c r="P384" s="76"/>
      <c r="Q384" s="76"/>
      <c r="R384" s="76"/>
      <c r="S384" s="76"/>
      <c r="T384" s="76"/>
      <c r="U384" s="76"/>
      <c r="V384" s="76"/>
      <c r="W384" s="76"/>
      <c r="X384" s="76"/>
      <c r="Y384" s="76"/>
      <c r="Z384" s="76"/>
      <c r="AA384" s="76"/>
      <c r="AB384" s="76"/>
      <c r="AC384" s="76"/>
      <c r="AD384" s="76"/>
      <c r="AE384" s="76"/>
      <c r="AF384" s="76"/>
    </row>
    <row r="385">
      <c r="A385" s="76"/>
      <c r="B385" s="170"/>
      <c r="C385" s="76"/>
      <c r="D385" s="173"/>
      <c r="E385" s="173"/>
      <c r="F385" s="173"/>
      <c r="G385" s="175"/>
      <c r="H385" s="173"/>
      <c r="I385" s="173"/>
      <c r="J385" s="173"/>
      <c r="K385" s="173"/>
      <c r="L385" s="76"/>
      <c r="M385" s="76"/>
      <c r="N385" s="76"/>
      <c r="O385" s="76"/>
      <c r="P385" s="76"/>
      <c r="Q385" s="76"/>
      <c r="R385" s="76"/>
      <c r="S385" s="76"/>
      <c r="T385" s="76"/>
      <c r="U385" s="76"/>
      <c r="V385" s="76"/>
      <c r="W385" s="76"/>
      <c r="X385" s="76"/>
      <c r="Y385" s="76"/>
      <c r="Z385" s="76"/>
      <c r="AA385" s="76"/>
      <c r="AB385" s="76"/>
      <c r="AC385" s="76"/>
      <c r="AD385" s="76"/>
      <c r="AE385" s="76"/>
      <c r="AF385" s="76"/>
    </row>
    <row r="386">
      <c r="A386" s="76"/>
      <c r="B386" s="170"/>
      <c r="C386" s="76"/>
      <c r="D386" s="173"/>
      <c r="E386" s="173"/>
      <c r="F386" s="173"/>
      <c r="G386" s="175"/>
      <c r="H386" s="173"/>
      <c r="I386" s="173"/>
      <c r="J386" s="173"/>
      <c r="K386" s="173"/>
      <c r="L386" s="76"/>
      <c r="M386" s="76"/>
      <c r="N386" s="76"/>
      <c r="O386" s="76"/>
      <c r="P386" s="76"/>
      <c r="Q386" s="76"/>
      <c r="R386" s="76"/>
      <c r="S386" s="76"/>
      <c r="T386" s="76"/>
      <c r="U386" s="76"/>
      <c r="V386" s="76"/>
      <c r="W386" s="76"/>
      <c r="X386" s="76"/>
      <c r="Y386" s="76"/>
      <c r="Z386" s="76"/>
      <c r="AA386" s="76"/>
      <c r="AB386" s="76"/>
      <c r="AC386" s="76"/>
      <c r="AD386" s="76"/>
      <c r="AE386" s="76"/>
      <c r="AF386" s="76"/>
    </row>
    <row r="387">
      <c r="A387" s="76"/>
      <c r="B387" s="170"/>
      <c r="C387" s="76"/>
      <c r="D387" s="173"/>
      <c r="E387" s="173"/>
      <c r="F387" s="173"/>
      <c r="G387" s="175"/>
      <c r="H387" s="173"/>
      <c r="I387" s="173"/>
      <c r="J387" s="173"/>
      <c r="K387" s="173"/>
      <c r="L387" s="76"/>
      <c r="M387" s="76"/>
      <c r="N387" s="76"/>
      <c r="O387" s="76"/>
      <c r="P387" s="76"/>
      <c r="Q387" s="76"/>
      <c r="R387" s="76"/>
      <c r="S387" s="76"/>
      <c r="T387" s="76"/>
      <c r="U387" s="76"/>
      <c r="V387" s="76"/>
      <c r="W387" s="76"/>
      <c r="X387" s="76"/>
      <c r="Y387" s="76"/>
      <c r="Z387" s="76"/>
      <c r="AA387" s="76"/>
      <c r="AB387" s="76"/>
      <c r="AC387" s="76"/>
      <c r="AD387" s="76"/>
      <c r="AE387" s="76"/>
      <c r="AF387" s="76"/>
    </row>
    <row r="388">
      <c r="A388" s="76"/>
      <c r="B388" s="170"/>
      <c r="C388" s="76"/>
      <c r="D388" s="173"/>
      <c r="E388" s="173"/>
      <c r="F388" s="173"/>
      <c r="G388" s="175"/>
      <c r="H388" s="173"/>
      <c r="I388" s="173"/>
      <c r="J388" s="173"/>
      <c r="K388" s="173"/>
      <c r="L388" s="76"/>
      <c r="M388" s="76"/>
      <c r="N388" s="76"/>
      <c r="O388" s="76"/>
      <c r="P388" s="76"/>
      <c r="Q388" s="76"/>
      <c r="R388" s="76"/>
      <c r="S388" s="76"/>
      <c r="T388" s="76"/>
      <c r="U388" s="76"/>
      <c r="V388" s="76"/>
      <c r="W388" s="76"/>
      <c r="X388" s="76"/>
      <c r="Y388" s="76"/>
      <c r="Z388" s="76"/>
      <c r="AA388" s="76"/>
      <c r="AB388" s="76"/>
      <c r="AC388" s="76"/>
      <c r="AD388" s="76"/>
      <c r="AE388" s="76"/>
      <c r="AF388" s="76"/>
    </row>
    <row r="389">
      <c r="A389" s="76"/>
      <c r="B389" s="170"/>
      <c r="C389" s="76"/>
      <c r="D389" s="173"/>
      <c r="E389" s="173"/>
      <c r="F389" s="173"/>
      <c r="G389" s="175"/>
      <c r="H389" s="173"/>
      <c r="I389" s="173"/>
      <c r="J389" s="173"/>
      <c r="K389" s="173"/>
      <c r="L389" s="76"/>
      <c r="M389" s="76"/>
      <c r="N389" s="76"/>
      <c r="O389" s="76"/>
      <c r="P389" s="76"/>
      <c r="Q389" s="76"/>
      <c r="R389" s="76"/>
      <c r="S389" s="76"/>
      <c r="T389" s="76"/>
      <c r="U389" s="76"/>
      <c r="V389" s="76"/>
      <c r="W389" s="76"/>
      <c r="X389" s="76"/>
      <c r="Y389" s="76"/>
      <c r="Z389" s="76"/>
      <c r="AA389" s="76"/>
      <c r="AB389" s="76"/>
      <c r="AC389" s="76"/>
      <c r="AD389" s="76"/>
      <c r="AE389" s="76"/>
      <c r="AF389" s="76"/>
    </row>
    <row r="390">
      <c r="A390" s="76"/>
      <c r="B390" s="170"/>
      <c r="C390" s="76"/>
      <c r="D390" s="173"/>
      <c r="E390" s="173"/>
      <c r="F390" s="173"/>
      <c r="G390" s="175"/>
      <c r="H390" s="173"/>
      <c r="I390" s="173"/>
      <c r="J390" s="173"/>
      <c r="K390" s="173"/>
      <c r="L390" s="76"/>
      <c r="M390" s="76"/>
      <c r="N390" s="76"/>
      <c r="O390" s="76"/>
      <c r="P390" s="76"/>
      <c r="Q390" s="76"/>
      <c r="R390" s="76"/>
      <c r="S390" s="76"/>
      <c r="T390" s="76"/>
      <c r="U390" s="76"/>
      <c r="V390" s="76"/>
      <c r="W390" s="76"/>
      <c r="X390" s="76"/>
      <c r="Y390" s="76"/>
      <c r="Z390" s="76"/>
      <c r="AA390" s="76"/>
      <c r="AB390" s="76"/>
      <c r="AC390" s="76"/>
      <c r="AD390" s="76"/>
      <c r="AE390" s="76"/>
      <c r="AF390" s="76"/>
    </row>
    <row r="391">
      <c r="A391" s="76"/>
      <c r="B391" s="170"/>
      <c r="C391" s="76"/>
      <c r="D391" s="173"/>
      <c r="E391" s="173"/>
      <c r="F391" s="173"/>
      <c r="G391" s="175"/>
      <c r="H391" s="173"/>
      <c r="I391" s="173"/>
      <c r="J391" s="173"/>
      <c r="K391" s="173"/>
      <c r="L391" s="76"/>
      <c r="M391" s="76"/>
      <c r="N391" s="76"/>
      <c r="O391" s="76"/>
      <c r="P391" s="76"/>
      <c r="Q391" s="76"/>
      <c r="R391" s="76"/>
      <c r="S391" s="76"/>
      <c r="T391" s="76"/>
      <c r="U391" s="76"/>
      <c r="V391" s="76"/>
      <c r="W391" s="76"/>
      <c r="X391" s="76"/>
      <c r="Y391" s="76"/>
      <c r="Z391" s="76"/>
      <c r="AA391" s="76"/>
      <c r="AB391" s="76"/>
      <c r="AC391" s="76"/>
      <c r="AD391" s="76"/>
      <c r="AE391" s="76"/>
      <c r="AF391" s="76"/>
    </row>
    <row r="392">
      <c r="A392" s="76"/>
      <c r="B392" s="170"/>
      <c r="C392" s="76"/>
      <c r="D392" s="173"/>
      <c r="E392" s="173"/>
      <c r="F392" s="173"/>
      <c r="G392" s="175"/>
      <c r="H392" s="173"/>
      <c r="I392" s="173"/>
      <c r="J392" s="173"/>
      <c r="K392" s="173"/>
      <c r="L392" s="76"/>
      <c r="M392" s="76"/>
      <c r="N392" s="76"/>
      <c r="O392" s="76"/>
      <c r="P392" s="76"/>
      <c r="Q392" s="76"/>
      <c r="R392" s="76"/>
      <c r="S392" s="76"/>
      <c r="T392" s="76"/>
      <c r="U392" s="76"/>
      <c r="V392" s="76"/>
      <c r="W392" s="76"/>
      <c r="X392" s="76"/>
      <c r="Y392" s="76"/>
      <c r="Z392" s="76"/>
      <c r="AA392" s="76"/>
      <c r="AB392" s="76"/>
      <c r="AC392" s="76"/>
      <c r="AD392" s="76"/>
      <c r="AE392" s="76"/>
      <c r="AF392" s="76"/>
    </row>
    <row r="393">
      <c r="A393" s="76"/>
      <c r="B393" s="170"/>
      <c r="C393" s="76"/>
      <c r="D393" s="173"/>
      <c r="E393" s="173"/>
      <c r="F393" s="173"/>
      <c r="G393" s="175"/>
      <c r="H393" s="173"/>
      <c r="I393" s="173"/>
      <c r="J393" s="173"/>
      <c r="K393" s="173"/>
      <c r="L393" s="76"/>
      <c r="M393" s="76"/>
      <c r="N393" s="76"/>
      <c r="O393" s="76"/>
      <c r="P393" s="76"/>
      <c r="Q393" s="76"/>
      <c r="R393" s="76"/>
      <c r="S393" s="76"/>
      <c r="T393" s="76"/>
      <c r="U393" s="76"/>
      <c r="V393" s="76"/>
      <c r="W393" s="76"/>
      <c r="X393" s="76"/>
      <c r="Y393" s="76"/>
      <c r="Z393" s="76"/>
      <c r="AA393" s="76"/>
      <c r="AB393" s="76"/>
      <c r="AC393" s="76"/>
      <c r="AD393" s="76"/>
      <c r="AE393" s="76"/>
      <c r="AF393" s="76"/>
    </row>
    <row r="394">
      <c r="A394" s="76"/>
      <c r="B394" s="170"/>
      <c r="C394" s="76"/>
      <c r="D394" s="173"/>
      <c r="E394" s="173"/>
      <c r="F394" s="173"/>
      <c r="G394" s="175"/>
      <c r="H394" s="173"/>
      <c r="I394" s="173"/>
      <c r="J394" s="173"/>
      <c r="K394" s="173"/>
      <c r="L394" s="76"/>
      <c r="M394" s="76"/>
      <c r="N394" s="76"/>
      <c r="O394" s="76"/>
      <c r="P394" s="76"/>
      <c r="Q394" s="76"/>
      <c r="R394" s="76"/>
      <c r="S394" s="76"/>
      <c r="T394" s="76"/>
      <c r="U394" s="76"/>
      <c r="V394" s="76"/>
      <c r="W394" s="76"/>
      <c r="X394" s="76"/>
      <c r="Y394" s="76"/>
      <c r="Z394" s="76"/>
      <c r="AA394" s="76"/>
      <c r="AB394" s="76"/>
      <c r="AC394" s="76"/>
      <c r="AD394" s="76"/>
      <c r="AE394" s="76"/>
      <c r="AF394" s="76"/>
    </row>
    <row r="395">
      <c r="A395" s="76"/>
      <c r="B395" s="170"/>
      <c r="C395" s="76"/>
      <c r="D395" s="173"/>
      <c r="E395" s="173"/>
      <c r="F395" s="173"/>
      <c r="G395" s="175"/>
      <c r="H395" s="173"/>
      <c r="I395" s="173"/>
      <c r="J395" s="173"/>
      <c r="K395" s="173"/>
      <c r="L395" s="76"/>
      <c r="M395" s="76"/>
      <c r="N395" s="76"/>
      <c r="O395" s="76"/>
      <c r="P395" s="76"/>
      <c r="Q395" s="76"/>
      <c r="R395" s="76"/>
      <c r="S395" s="76"/>
      <c r="T395" s="76"/>
      <c r="U395" s="76"/>
      <c r="V395" s="76"/>
      <c r="W395" s="76"/>
      <c r="X395" s="76"/>
      <c r="Y395" s="76"/>
      <c r="Z395" s="76"/>
      <c r="AA395" s="76"/>
      <c r="AB395" s="76"/>
      <c r="AC395" s="76"/>
      <c r="AD395" s="76"/>
      <c r="AE395" s="76"/>
      <c r="AF395" s="76"/>
    </row>
    <row r="396">
      <c r="A396" s="76"/>
      <c r="B396" s="170"/>
      <c r="C396" s="76"/>
      <c r="D396" s="173"/>
      <c r="E396" s="173"/>
      <c r="F396" s="173"/>
      <c r="G396" s="175"/>
      <c r="H396" s="173"/>
      <c r="I396" s="173"/>
      <c r="J396" s="173"/>
      <c r="K396" s="173"/>
      <c r="L396" s="76"/>
      <c r="M396" s="76"/>
      <c r="N396" s="76"/>
      <c r="O396" s="76"/>
      <c r="P396" s="76"/>
      <c r="Q396" s="76"/>
      <c r="R396" s="76"/>
      <c r="S396" s="76"/>
      <c r="T396" s="76"/>
      <c r="U396" s="76"/>
      <c r="V396" s="76"/>
      <c r="W396" s="76"/>
      <c r="X396" s="76"/>
      <c r="Y396" s="76"/>
      <c r="Z396" s="76"/>
      <c r="AA396" s="76"/>
      <c r="AB396" s="76"/>
      <c r="AC396" s="76"/>
      <c r="AD396" s="76"/>
      <c r="AE396" s="76"/>
      <c r="AF396" s="76"/>
    </row>
    <row r="397">
      <c r="A397" s="76"/>
      <c r="B397" s="170"/>
      <c r="C397" s="76"/>
      <c r="D397" s="173"/>
      <c r="E397" s="173"/>
      <c r="F397" s="173"/>
      <c r="G397" s="175"/>
      <c r="H397" s="173"/>
      <c r="I397" s="173"/>
      <c r="J397" s="173"/>
      <c r="K397" s="173"/>
      <c r="L397" s="76"/>
      <c r="M397" s="76"/>
      <c r="N397" s="76"/>
      <c r="O397" s="76"/>
      <c r="P397" s="76"/>
      <c r="Q397" s="76"/>
      <c r="R397" s="76"/>
      <c r="S397" s="76"/>
      <c r="T397" s="76"/>
      <c r="U397" s="76"/>
      <c r="V397" s="76"/>
      <c r="W397" s="76"/>
      <c r="X397" s="76"/>
      <c r="Y397" s="76"/>
      <c r="Z397" s="76"/>
      <c r="AA397" s="76"/>
      <c r="AB397" s="76"/>
      <c r="AC397" s="76"/>
      <c r="AD397" s="76"/>
      <c r="AE397" s="76"/>
      <c r="AF397" s="76"/>
    </row>
    <row r="398">
      <c r="A398" s="76"/>
      <c r="B398" s="170"/>
      <c r="C398" s="76"/>
      <c r="D398" s="173"/>
      <c r="E398" s="173"/>
      <c r="F398" s="173"/>
      <c r="G398" s="175"/>
      <c r="H398" s="173"/>
      <c r="I398" s="173"/>
      <c r="J398" s="173"/>
      <c r="K398" s="173"/>
      <c r="L398" s="76"/>
      <c r="M398" s="76"/>
      <c r="N398" s="76"/>
      <c r="O398" s="76"/>
      <c r="P398" s="76"/>
      <c r="Q398" s="76"/>
      <c r="R398" s="76"/>
      <c r="S398" s="76"/>
      <c r="T398" s="76"/>
      <c r="U398" s="76"/>
      <c r="V398" s="76"/>
      <c r="W398" s="76"/>
      <c r="X398" s="76"/>
      <c r="Y398" s="76"/>
      <c r="Z398" s="76"/>
      <c r="AA398" s="76"/>
      <c r="AB398" s="76"/>
      <c r="AC398" s="76"/>
      <c r="AD398" s="76"/>
      <c r="AE398" s="76"/>
      <c r="AF398" s="76"/>
    </row>
    <row r="399">
      <c r="A399" s="76"/>
      <c r="B399" s="170"/>
      <c r="C399" s="76"/>
      <c r="D399" s="173"/>
      <c r="E399" s="173"/>
      <c r="F399" s="173"/>
      <c r="G399" s="175"/>
      <c r="H399" s="173"/>
      <c r="I399" s="173"/>
      <c r="J399" s="173"/>
      <c r="K399" s="173"/>
      <c r="L399" s="76"/>
      <c r="M399" s="76"/>
      <c r="N399" s="76"/>
      <c r="O399" s="76"/>
      <c r="P399" s="76"/>
      <c r="Q399" s="76"/>
      <c r="R399" s="76"/>
      <c r="S399" s="76"/>
      <c r="T399" s="76"/>
      <c r="U399" s="76"/>
      <c r="V399" s="76"/>
      <c r="W399" s="76"/>
      <c r="X399" s="76"/>
      <c r="Y399" s="76"/>
      <c r="Z399" s="76"/>
      <c r="AA399" s="76"/>
      <c r="AB399" s="76"/>
      <c r="AC399" s="76"/>
      <c r="AD399" s="76"/>
      <c r="AE399" s="76"/>
      <c r="AF399" s="76"/>
    </row>
    <row r="400">
      <c r="A400" s="76"/>
      <c r="B400" s="170"/>
      <c r="C400" s="76"/>
      <c r="D400" s="173"/>
      <c r="E400" s="173"/>
      <c r="F400" s="173"/>
      <c r="G400" s="175"/>
      <c r="H400" s="173"/>
      <c r="I400" s="173"/>
      <c r="J400" s="173"/>
      <c r="K400" s="173"/>
      <c r="L400" s="76"/>
      <c r="M400" s="76"/>
      <c r="N400" s="76"/>
      <c r="O400" s="76"/>
      <c r="P400" s="76"/>
      <c r="Q400" s="76"/>
      <c r="R400" s="76"/>
      <c r="S400" s="76"/>
      <c r="T400" s="76"/>
      <c r="U400" s="76"/>
      <c r="V400" s="76"/>
      <c r="W400" s="76"/>
      <c r="X400" s="76"/>
      <c r="Y400" s="76"/>
      <c r="Z400" s="76"/>
      <c r="AA400" s="76"/>
      <c r="AB400" s="76"/>
      <c r="AC400" s="76"/>
      <c r="AD400" s="76"/>
      <c r="AE400" s="76"/>
      <c r="AF400" s="76"/>
    </row>
    <row r="401">
      <c r="A401" s="76"/>
      <c r="B401" s="170"/>
      <c r="C401" s="76"/>
      <c r="D401" s="173"/>
      <c r="E401" s="173"/>
      <c r="F401" s="173"/>
      <c r="G401" s="175"/>
      <c r="H401" s="173"/>
      <c r="I401" s="173"/>
      <c r="J401" s="173"/>
      <c r="K401" s="173"/>
      <c r="L401" s="76"/>
      <c r="M401" s="76"/>
      <c r="N401" s="76"/>
      <c r="O401" s="76"/>
      <c r="P401" s="76"/>
      <c r="Q401" s="76"/>
      <c r="R401" s="76"/>
      <c r="S401" s="76"/>
      <c r="T401" s="76"/>
      <c r="U401" s="76"/>
      <c r="V401" s="76"/>
      <c r="W401" s="76"/>
      <c r="X401" s="76"/>
      <c r="Y401" s="76"/>
      <c r="Z401" s="76"/>
      <c r="AA401" s="76"/>
      <c r="AB401" s="76"/>
      <c r="AC401" s="76"/>
      <c r="AD401" s="76"/>
      <c r="AE401" s="76"/>
      <c r="AF401" s="76"/>
    </row>
    <row r="402">
      <c r="A402" s="76"/>
      <c r="B402" s="170"/>
      <c r="C402" s="76"/>
      <c r="D402" s="173"/>
      <c r="E402" s="173"/>
      <c r="F402" s="173"/>
      <c r="G402" s="175"/>
      <c r="H402" s="173"/>
      <c r="I402" s="173"/>
      <c r="J402" s="173"/>
      <c r="K402" s="173"/>
      <c r="L402" s="76"/>
      <c r="M402" s="76"/>
      <c r="N402" s="76"/>
      <c r="O402" s="76"/>
      <c r="P402" s="76"/>
      <c r="Q402" s="76"/>
      <c r="R402" s="76"/>
      <c r="S402" s="76"/>
      <c r="T402" s="76"/>
      <c r="U402" s="76"/>
      <c r="V402" s="76"/>
      <c r="W402" s="76"/>
      <c r="X402" s="76"/>
      <c r="Y402" s="76"/>
      <c r="Z402" s="76"/>
      <c r="AA402" s="76"/>
      <c r="AB402" s="76"/>
      <c r="AC402" s="76"/>
      <c r="AD402" s="76"/>
      <c r="AE402" s="76"/>
      <c r="AF402" s="76"/>
    </row>
    <row r="403">
      <c r="A403" s="76"/>
      <c r="B403" s="170"/>
      <c r="C403" s="76"/>
      <c r="D403" s="173"/>
      <c r="E403" s="173"/>
      <c r="F403" s="173"/>
      <c r="G403" s="175"/>
      <c r="H403" s="173"/>
      <c r="I403" s="173"/>
      <c r="J403" s="173"/>
      <c r="K403" s="173"/>
      <c r="L403" s="76"/>
      <c r="M403" s="76"/>
      <c r="N403" s="76"/>
      <c r="O403" s="76"/>
      <c r="P403" s="76"/>
      <c r="Q403" s="76"/>
      <c r="R403" s="76"/>
      <c r="S403" s="76"/>
      <c r="T403" s="76"/>
      <c r="U403" s="76"/>
      <c r="V403" s="76"/>
      <c r="W403" s="76"/>
      <c r="X403" s="76"/>
      <c r="Y403" s="76"/>
      <c r="Z403" s="76"/>
      <c r="AA403" s="76"/>
      <c r="AB403" s="76"/>
      <c r="AC403" s="76"/>
      <c r="AD403" s="76"/>
      <c r="AE403" s="76"/>
      <c r="AF403" s="76"/>
    </row>
    <row r="404">
      <c r="A404" s="76"/>
      <c r="B404" s="170"/>
      <c r="C404" s="76"/>
      <c r="D404" s="173"/>
      <c r="E404" s="173"/>
      <c r="F404" s="173"/>
      <c r="G404" s="175"/>
      <c r="H404" s="173"/>
      <c r="I404" s="173"/>
      <c r="J404" s="173"/>
      <c r="K404" s="173"/>
      <c r="L404" s="76"/>
      <c r="M404" s="76"/>
      <c r="N404" s="76"/>
      <c r="O404" s="76"/>
      <c r="P404" s="76"/>
      <c r="Q404" s="76"/>
      <c r="R404" s="76"/>
      <c r="S404" s="76"/>
      <c r="T404" s="76"/>
      <c r="U404" s="76"/>
      <c r="V404" s="76"/>
      <c r="W404" s="76"/>
      <c r="X404" s="76"/>
      <c r="Y404" s="76"/>
      <c r="Z404" s="76"/>
      <c r="AA404" s="76"/>
      <c r="AB404" s="76"/>
      <c r="AC404" s="76"/>
      <c r="AD404" s="76"/>
      <c r="AE404" s="76"/>
      <c r="AF404" s="76"/>
    </row>
    <row r="405">
      <c r="A405" s="76"/>
      <c r="B405" s="170"/>
      <c r="C405" s="76"/>
      <c r="D405" s="173"/>
      <c r="E405" s="173"/>
      <c r="F405" s="173"/>
      <c r="G405" s="175"/>
      <c r="H405" s="173"/>
      <c r="I405" s="173"/>
      <c r="J405" s="173"/>
      <c r="K405" s="173"/>
      <c r="L405" s="76"/>
      <c r="M405" s="76"/>
      <c r="N405" s="76"/>
      <c r="O405" s="76"/>
      <c r="P405" s="76"/>
      <c r="Q405" s="76"/>
      <c r="R405" s="76"/>
      <c r="S405" s="76"/>
      <c r="T405" s="76"/>
      <c r="U405" s="76"/>
      <c r="V405" s="76"/>
      <c r="W405" s="76"/>
      <c r="X405" s="76"/>
      <c r="Y405" s="76"/>
      <c r="Z405" s="76"/>
      <c r="AA405" s="76"/>
      <c r="AB405" s="76"/>
      <c r="AC405" s="76"/>
      <c r="AD405" s="76"/>
      <c r="AE405" s="76"/>
      <c r="AF405" s="76"/>
    </row>
    <row r="406">
      <c r="A406" s="76"/>
      <c r="B406" s="170"/>
      <c r="C406" s="76"/>
      <c r="D406" s="173"/>
      <c r="E406" s="173"/>
      <c r="F406" s="173"/>
      <c r="G406" s="175"/>
      <c r="H406" s="173"/>
      <c r="I406" s="173"/>
      <c r="J406" s="173"/>
      <c r="K406" s="173"/>
      <c r="L406" s="76"/>
      <c r="M406" s="76"/>
      <c r="N406" s="76"/>
      <c r="O406" s="76"/>
      <c r="P406" s="76"/>
      <c r="Q406" s="76"/>
      <c r="R406" s="76"/>
      <c r="S406" s="76"/>
      <c r="T406" s="76"/>
      <c r="U406" s="76"/>
      <c r="V406" s="76"/>
      <c r="W406" s="76"/>
      <c r="X406" s="76"/>
      <c r="Y406" s="76"/>
      <c r="Z406" s="76"/>
      <c r="AA406" s="76"/>
      <c r="AB406" s="76"/>
      <c r="AC406" s="76"/>
      <c r="AD406" s="76"/>
      <c r="AE406" s="76"/>
      <c r="AF406" s="76"/>
    </row>
    <row r="407">
      <c r="A407" s="76"/>
      <c r="B407" s="170"/>
      <c r="C407" s="76"/>
      <c r="D407" s="173"/>
      <c r="E407" s="173"/>
      <c r="F407" s="173"/>
      <c r="G407" s="175"/>
      <c r="H407" s="173"/>
      <c r="I407" s="173"/>
      <c r="J407" s="173"/>
      <c r="K407" s="173"/>
      <c r="L407" s="76"/>
      <c r="M407" s="76"/>
      <c r="N407" s="76"/>
      <c r="O407" s="76"/>
      <c r="P407" s="76"/>
      <c r="Q407" s="76"/>
      <c r="R407" s="76"/>
      <c r="S407" s="76"/>
      <c r="T407" s="76"/>
      <c r="U407" s="76"/>
      <c r="V407" s="76"/>
      <c r="W407" s="76"/>
      <c r="X407" s="76"/>
      <c r="Y407" s="76"/>
      <c r="Z407" s="76"/>
      <c r="AA407" s="76"/>
      <c r="AB407" s="76"/>
      <c r="AC407" s="76"/>
      <c r="AD407" s="76"/>
      <c r="AE407" s="76"/>
      <c r="AF407" s="76"/>
    </row>
    <row r="408">
      <c r="A408" s="76"/>
      <c r="B408" s="170"/>
      <c r="C408" s="76"/>
      <c r="D408" s="173"/>
      <c r="E408" s="173"/>
      <c r="F408" s="173"/>
      <c r="G408" s="175"/>
      <c r="H408" s="173"/>
      <c r="I408" s="173"/>
      <c r="J408" s="173"/>
      <c r="K408" s="173"/>
      <c r="L408" s="76"/>
      <c r="M408" s="76"/>
      <c r="N408" s="76"/>
      <c r="O408" s="76"/>
      <c r="P408" s="76"/>
      <c r="Q408" s="76"/>
      <c r="R408" s="76"/>
      <c r="S408" s="76"/>
      <c r="T408" s="76"/>
      <c r="U408" s="76"/>
      <c r="V408" s="76"/>
      <c r="W408" s="76"/>
      <c r="X408" s="76"/>
      <c r="Y408" s="76"/>
      <c r="Z408" s="76"/>
      <c r="AA408" s="76"/>
      <c r="AB408" s="76"/>
      <c r="AC408" s="76"/>
      <c r="AD408" s="76"/>
      <c r="AE408" s="76"/>
      <c r="AF408" s="76"/>
    </row>
    <row r="409">
      <c r="A409" s="76"/>
      <c r="B409" s="170"/>
      <c r="C409" s="76"/>
      <c r="D409" s="173"/>
      <c r="E409" s="173"/>
      <c r="F409" s="173"/>
      <c r="G409" s="175"/>
      <c r="H409" s="173"/>
      <c r="I409" s="173"/>
      <c r="J409" s="173"/>
      <c r="K409" s="173"/>
      <c r="L409" s="76"/>
      <c r="M409" s="76"/>
      <c r="N409" s="76"/>
      <c r="O409" s="76"/>
      <c r="P409" s="76"/>
      <c r="Q409" s="76"/>
      <c r="R409" s="76"/>
      <c r="S409" s="76"/>
      <c r="T409" s="76"/>
      <c r="U409" s="76"/>
      <c r="V409" s="76"/>
      <c r="W409" s="76"/>
      <c r="X409" s="76"/>
      <c r="Y409" s="76"/>
      <c r="Z409" s="76"/>
      <c r="AA409" s="76"/>
      <c r="AB409" s="76"/>
      <c r="AC409" s="76"/>
      <c r="AD409" s="76"/>
      <c r="AE409" s="76"/>
      <c r="AF409" s="76"/>
    </row>
    <row r="410">
      <c r="A410" s="76"/>
      <c r="B410" s="170"/>
      <c r="C410" s="76"/>
      <c r="D410" s="173"/>
      <c r="E410" s="173"/>
      <c r="F410" s="173"/>
      <c r="G410" s="175"/>
      <c r="H410" s="173"/>
      <c r="I410" s="173"/>
      <c r="J410" s="173"/>
      <c r="K410" s="173"/>
      <c r="L410" s="76"/>
      <c r="M410" s="76"/>
      <c r="N410" s="76"/>
      <c r="O410" s="76"/>
      <c r="P410" s="76"/>
      <c r="Q410" s="76"/>
      <c r="R410" s="76"/>
      <c r="S410" s="76"/>
      <c r="T410" s="76"/>
      <c r="U410" s="76"/>
      <c r="V410" s="76"/>
      <c r="W410" s="76"/>
      <c r="X410" s="76"/>
      <c r="Y410" s="76"/>
      <c r="Z410" s="76"/>
      <c r="AA410" s="76"/>
      <c r="AB410" s="76"/>
      <c r="AC410" s="76"/>
      <c r="AD410" s="76"/>
      <c r="AE410" s="76"/>
      <c r="AF410" s="76"/>
    </row>
    <row r="411">
      <c r="A411" s="76"/>
      <c r="B411" s="170"/>
      <c r="C411" s="76"/>
      <c r="D411" s="173"/>
      <c r="E411" s="173"/>
      <c r="F411" s="173"/>
      <c r="G411" s="175"/>
      <c r="H411" s="173"/>
      <c r="I411" s="173"/>
      <c r="J411" s="173"/>
      <c r="K411" s="173"/>
      <c r="L411" s="76"/>
      <c r="M411" s="76"/>
      <c r="N411" s="76"/>
      <c r="O411" s="76"/>
      <c r="P411" s="76"/>
      <c r="Q411" s="76"/>
      <c r="R411" s="76"/>
      <c r="S411" s="76"/>
      <c r="T411" s="76"/>
      <c r="U411" s="76"/>
      <c r="V411" s="76"/>
      <c r="W411" s="76"/>
      <c r="X411" s="76"/>
      <c r="Y411" s="76"/>
      <c r="Z411" s="76"/>
      <c r="AA411" s="76"/>
      <c r="AB411" s="76"/>
      <c r="AC411" s="76"/>
      <c r="AD411" s="76"/>
      <c r="AE411" s="76"/>
      <c r="AF411" s="76"/>
    </row>
    <row r="412">
      <c r="A412" s="76"/>
      <c r="B412" s="170"/>
      <c r="C412" s="76"/>
      <c r="D412" s="173"/>
      <c r="E412" s="173"/>
      <c r="F412" s="173"/>
      <c r="G412" s="175"/>
      <c r="H412" s="173"/>
      <c r="I412" s="173"/>
      <c r="J412" s="173"/>
      <c r="K412" s="173"/>
      <c r="L412" s="76"/>
      <c r="M412" s="76"/>
      <c r="N412" s="76"/>
      <c r="O412" s="76"/>
      <c r="P412" s="76"/>
      <c r="Q412" s="76"/>
      <c r="R412" s="76"/>
      <c r="S412" s="76"/>
      <c r="T412" s="76"/>
      <c r="U412" s="76"/>
      <c r="V412" s="76"/>
      <c r="W412" s="76"/>
      <c r="X412" s="76"/>
      <c r="Y412" s="76"/>
      <c r="Z412" s="76"/>
      <c r="AA412" s="76"/>
      <c r="AB412" s="76"/>
      <c r="AC412" s="76"/>
      <c r="AD412" s="76"/>
      <c r="AE412" s="76"/>
      <c r="AF412" s="76"/>
    </row>
    <row r="413">
      <c r="A413" s="76"/>
      <c r="B413" s="170"/>
      <c r="C413" s="76"/>
      <c r="D413" s="173"/>
      <c r="E413" s="173"/>
      <c r="F413" s="173"/>
      <c r="G413" s="175"/>
      <c r="H413" s="173"/>
      <c r="I413" s="173"/>
      <c r="J413" s="173"/>
      <c r="K413" s="173"/>
      <c r="L413" s="76"/>
      <c r="M413" s="76"/>
      <c r="N413" s="76"/>
      <c r="O413" s="76"/>
      <c r="P413" s="76"/>
      <c r="Q413" s="76"/>
      <c r="R413" s="76"/>
      <c r="S413" s="76"/>
      <c r="T413" s="76"/>
      <c r="U413" s="76"/>
      <c r="V413" s="76"/>
      <c r="W413" s="76"/>
      <c r="X413" s="76"/>
      <c r="Y413" s="76"/>
      <c r="Z413" s="76"/>
      <c r="AA413" s="76"/>
      <c r="AB413" s="76"/>
      <c r="AC413" s="76"/>
      <c r="AD413" s="76"/>
      <c r="AE413" s="76"/>
      <c r="AF413" s="76"/>
    </row>
    <row r="414">
      <c r="A414" s="76"/>
      <c r="B414" s="170"/>
      <c r="C414" s="76"/>
      <c r="D414" s="173"/>
      <c r="E414" s="173"/>
      <c r="F414" s="173"/>
      <c r="G414" s="175"/>
      <c r="H414" s="173"/>
      <c r="I414" s="173"/>
      <c r="J414" s="173"/>
      <c r="K414" s="173"/>
      <c r="L414" s="76"/>
      <c r="M414" s="76"/>
      <c r="N414" s="76"/>
      <c r="O414" s="76"/>
      <c r="P414" s="76"/>
      <c r="Q414" s="76"/>
      <c r="R414" s="76"/>
      <c r="S414" s="76"/>
      <c r="T414" s="76"/>
      <c r="U414" s="76"/>
      <c r="V414" s="76"/>
      <c r="W414" s="76"/>
      <c r="X414" s="76"/>
      <c r="Y414" s="76"/>
      <c r="Z414" s="76"/>
      <c r="AA414" s="76"/>
      <c r="AB414" s="76"/>
      <c r="AC414" s="76"/>
      <c r="AD414" s="76"/>
      <c r="AE414" s="76"/>
      <c r="AF414" s="76"/>
    </row>
    <row r="415">
      <c r="A415" s="76"/>
      <c r="B415" s="170"/>
      <c r="C415" s="76"/>
      <c r="D415" s="173"/>
      <c r="E415" s="173"/>
      <c r="F415" s="173"/>
      <c r="G415" s="175"/>
      <c r="H415" s="173"/>
      <c r="I415" s="173"/>
      <c r="J415" s="173"/>
      <c r="K415" s="173"/>
      <c r="L415" s="76"/>
      <c r="M415" s="76"/>
      <c r="N415" s="76"/>
      <c r="O415" s="76"/>
      <c r="P415" s="76"/>
      <c r="Q415" s="76"/>
      <c r="R415" s="76"/>
      <c r="S415" s="76"/>
      <c r="T415" s="76"/>
      <c r="U415" s="76"/>
      <c r="V415" s="76"/>
      <c r="W415" s="76"/>
      <c r="X415" s="76"/>
      <c r="Y415" s="76"/>
      <c r="Z415" s="76"/>
      <c r="AA415" s="76"/>
      <c r="AB415" s="76"/>
      <c r="AC415" s="76"/>
      <c r="AD415" s="76"/>
      <c r="AE415" s="76"/>
      <c r="AF415" s="76"/>
    </row>
    <row r="416">
      <c r="A416" s="76"/>
      <c r="B416" s="170"/>
      <c r="C416" s="76"/>
      <c r="D416" s="173"/>
      <c r="E416" s="173"/>
      <c r="F416" s="173"/>
      <c r="G416" s="175"/>
      <c r="H416" s="173"/>
      <c r="I416" s="173"/>
      <c r="J416" s="173"/>
      <c r="K416" s="173"/>
      <c r="L416" s="76"/>
      <c r="M416" s="76"/>
      <c r="N416" s="76"/>
      <c r="O416" s="76"/>
      <c r="P416" s="76"/>
      <c r="Q416" s="76"/>
      <c r="R416" s="76"/>
      <c r="S416" s="76"/>
      <c r="T416" s="76"/>
      <c r="U416" s="76"/>
      <c r="V416" s="76"/>
      <c r="W416" s="76"/>
      <c r="X416" s="76"/>
      <c r="Y416" s="76"/>
      <c r="Z416" s="76"/>
      <c r="AA416" s="76"/>
      <c r="AB416" s="76"/>
      <c r="AC416" s="76"/>
      <c r="AD416" s="76"/>
      <c r="AE416" s="76"/>
      <c r="AF416" s="76"/>
    </row>
    <row r="417">
      <c r="A417" s="76"/>
      <c r="B417" s="170"/>
      <c r="C417" s="76"/>
      <c r="D417" s="173"/>
      <c r="E417" s="173"/>
      <c r="F417" s="173"/>
      <c r="G417" s="175"/>
      <c r="H417" s="173"/>
      <c r="I417" s="173"/>
      <c r="J417" s="173"/>
      <c r="K417" s="173"/>
      <c r="L417" s="76"/>
      <c r="M417" s="76"/>
      <c r="N417" s="76"/>
      <c r="O417" s="76"/>
      <c r="P417" s="76"/>
      <c r="Q417" s="76"/>
      <c r="R417" s="76"/>
      <c r="S417" s="76"/>
      <c r="T417" s="76"/>
      <c r="U417" s="76"/>
      <c r="V417" s="76"/>
      <c r="W417" s="76"/>
      <c r="X417" s="76"/>
      <c r="Y417" s="76"/>
      <c r="Z417" s="76"/>
      <c r="AA417" s="76"/>
      <c r="AB417" s="76"/>
      <c r="AC417" s="76"/>
      <c r="AD417" s="76"/>
      <c r="AE417" s="76"/>
      <c r="AF417" s="76"/>
    </row>
    <row r="418">
      <c r="A418" s="76"/>
      <c r="B418" s="170"/>
      <c r="C418" s="76"/>
      <c r="D418" s="173"/>
      <c r="E418" s="173"/>
      <c r="F418" s="173"/>
      <c r="G418" s="175"/>
      <c r="H418" s="173"/>
      <c r="I418" s="173"/>
      <c r="J418" s="173"/>
      <c r="K418" s="173"/>
      <c r="L418" s="76"/>
      <c r="M418" s="76"/>
      <c r="N418" s="76"/>
      <c r="O418" s="76"/>
      <c r="P418" s="76"/>
      <c r="Q418" s="76"/>
      <c r="R418" s="76"/>
      <c r="S418" s="76"/>
      <c r="T418" s="76"/>
      <c r="U418" s="76"/>
      <c r="V418" s="76"/>
      <c r="W418" s="76"/>
      <c r="X418" s="76"/>
      <c r="Y418" s="76"/>
      <c r="Z418" s="76"/>
      <c r="AA418" s="76"/>
      <c r="AB418" s="76"/>
      <c r="AC418" s="76"/>
      <c r="AD418" s="76"/>
      <c r="AE418" s="76"/>
      <c r="AF418" s="76"/>
    </row>
    <row r="419">
      <c r="A419" s="76"/>
      <c r="B419" s="170"/>
      <c r="C419" s="76"/>
      <c r="D419" s="173"/>
      <c r="E419" s="173"/>
      <c r="F419" s="173"/>
      <c r="G419" s="175"/>
      <c r="H419" s="173"/>
      <c r="I419" s="173"/>
      <c r="J419" s="173"/>
      <c r="K419" s="173"/>
      <c r="L419" s="76"/>
      <c r="M419" s="76"/>
      <c r="N419" s="76"/>
      <c r="O419" s="76"/>
      <c r="P419" s="76"/>
      <c r="Q419" s="76"/>
      <c r="R419" s="76"/>
      <c r="S419" s="76"/>
      <c r="T419" s="76"/>
      <c r="U419" s="76"/>
      <c r="V419" s="76"/>
      <c r="W419" s="76"/>
      <c r="X419" s="76"/>
      <c r="Y419" s="76"/>
      <c r="Z419" s="76"/>
      <c r="AA419" s="76"/>
      <c r="AB419" s="76"/>
      <c r="AC419" s="76"/>
      <c r="AD419" s="76"/>
      <c r="AE419" s="76"/>
      <c r="AF419" s="76"/>
    </row>
    <row r="420">
      <c r="A420" s="76"/>
      <c r="B420" s="170"/>
      <c r="C420" s="76"/>
      <c r="D420" s="173"/>
      <c r="E420" s="173"/>
      <c r="F420" s="173"/>
      <c r="G420" s="175"/>
      <c r="H420" s="173"/>
      <c r="I420" s="173"/>
      <c r="J420" s="173"/>
      <c r="K420" s="173"/>
      <c r="L420" s="76"/>
      <c r="M420" s="76"/>
      <c r="N420" s="76"/>
      <c r="O420" s="76"/>
      <c r="P420" s="76"/>
      <c r="Q420" s="76"/>
      <c r="R420" s="76"/>
      <c r="S420" s="76"/>
      <c r="T420" s="76"/>
      <c r="U420" s="76"/>
      <c r="V420" s="76"/>
      <c r="W420" s="76"/>
      <c r="X420" s="76"/>
      <c r="Y420" s="76"/>
      <c r="Z420" s="76"/>
      <c r="AA420" s="76"/>
      <c r="AB420" s="76"/>
      <c r="AC420" s="76"/>
      <c r="AD420" s="76"/>
      <c r="AE420" s="76"/>
      <c r="AF420" s="76"/>
    </row>
    <row r="421">
      <c r="A421" s="76"/>
      <c r="B421" s="170"/>
      <c r="C421" s="76"/>
      <c r="D421" s="173"/>
      <c r="E421" s="173"/>
      <c r="F421" s="173"/>
      <c r="G421" s="175"/>
      <c r="H421" s="173"/>
      <c r="I421" s="173"/>
      <c r="J421" s="173"/>
      <c r="K421" s="173"/>
      <c r="L421" s="76"/>
      <c r="M421" s="76"/>
      <c r="N421" s="76"/>
      <c r="O421" s="76"/>
      <c r="P421" s="76"/>
      <c r="Q421" s="76"/>
      <c r="R421" s="76"/>
      <c r="S421" s="76"/>
      <c r="T421" s="76"/>
      <c r="U421" s="76"/>
      <c r="V421" s="76"/>
      <c r="W421" s="76"/>
      <c r="X421" s="76"/>
      <c r="Y421" s="76"/>
      <c r="Z421" s="76"/>
      <c r="AA421" s="76"/>
      <c r="AB421" s="76"/>
      <c r="AC421" s="76"/>
      <c r="AD421" s="76"/>
      <c r="AE421" s="76"/>
      <c r="AF421" s="76"/>
    </row>
    <row r="422">
      <c r="A422" s="76"/>
      <c r="B422" s="170"/>
      <c r="C422" s="76"/>
      <c r="D422" s="173"/>
      <c r="E422" s="173"/>
      <c r="F422" s="173"/>
      <c r="G422" s="175"/>
      <c r="H422" s="173"/>
      <c r="I422" s="173"/>
      <c r="J422" s="173"/>
      <c r="K422" s="173"/>
      <c r="L422" s="76"/>
      <c r="M422" s="76"/>
      <c r="N422" s="76"/>
      <c r="O422" s="76"/>
      <c r="P422" s="76"/>
      <c r="Q422" s="76"/>
      <c r="R422" s="76"/>
      <c r="S422" s="76"/>
      <c r="T422" s="76"/>
      <c r="U422" s="76"/>
      <c r="V422" s="76"/>
      <c r="W422" s="76"/>
      <c r="X422" s="76"/>
      <c r="Y422" s="76"/>
      <c r="Z422" s="76"/>
      <c r="AA422" s="76"/>
      <c r="AB422" s="76"/>
      <c r="AC422" s="76"/>
      <c r="AD422" s="76"/>
      <c r="AE422" s="76"/>
      <c r="AF422" s="76"/>
    </row>
    <row r="423">
      <c r="A423" s="76"/>
      <c r="B423" s="170"/>
      <c r="C423" s="76"/>
      <c r="D423" s="173"/>
      <c r="E423" s="173"/>
      <c r="F423" s="173"/>
      <c r="G423" s="175"/>
      <c r="H423" s="173"/>
      <c r="I423" s="173"/>
      <c r="J423" s="173"/>
      <c r="K423" s="173"/>
      <c r="L423" s="76"/>
      <c r="M423" s="76"/>
      <c r="N423" s="76"/>
      <c r="O423" s="76"/>
      <c r="P423" s="76"/>
      <c r="Q423" s="76"/>
      <c r="R423" s="76"/>
      <c r="S423" s="76"/>
      <c r="T423" s="76"/>
      <c r="U423" s="76"/>
      <c r="V423" s="76"/>
      <c r="W423" s="76"/>
      <c r="X423" s="76"/>
      <c r="Y423" s="76"/>
      <c r="Z423" s="76"/>
      <c r="AA423" s="76"/>
      <c r="AB423" s="76"/>
      <c r="AC423" s="76"/>
      <c r="AD423" s="76"/>
      <c r="AE423" s="76"/>
      <c r="AF423" s="76"/>
    </row>
    <row r="424">
      <c r="A424" s="76"/>
      <c r="B424" s="170"/>
      <c r="C424" s="76"/>
      <c r="D424" s="173"/>
      <c r="E424" s="173"/>
      <c r="F424" s="173"/>
      <c r="G424" s="175"/>
      <c r="H424" s="173"/>
      <c r="I424" s="173"/>
      <c r="J424" s="173"/>
      <c r="K424" s="173"/>
      <c r="L424" s="76"/>
      <c r="M424" s="76"/>
      <c r="N424" s="76"/>
      <c r="O424" s="76"/>
      <c r="P424" s="76"/>
      <c r="Q424" s="76"/>
      <c r="R424" s="76"/>
      <c r="S424" s="76"/>
      <c r="T424" s="76"/>
      <c r="U424" s="76"/>
      <c r="V424" s="76"/>
      <c r="W424" s="76"/>
      <c r="X424" s="76"/>
      <c r="Y424" s="76"/>
      <c r="Z424" s="76"/>
      <c r="AA424" s="76"/>
      <c r="AB424" s="76"/>
      <c r="AC424" s="76"/>
      <c r="AD424" s="76"/>
      <c r="AE424" s="76"/>
      <c r="AF424" s="76"/>
    </row>
    <row r="425">
      <c r="A425" s="76"/>
      <c r="B425" s="170"/>
      <c r="C425" s="76"/>
      <c r="D425" s="173"/>
      <c r="E425" s="173"/>
      <c r="F425" s="173"/>
      <c r="G425" s="175"/>
      <c r="H425" s="173"/>
      <c r="I425" s="173"/>
      <c r="J425" s="173"/>
      <c r="K425" s="173"/>
      <c r="L425" s="76"/>
      <c r="M425" s="76"/>
      <c r="N425" s="76"/>
      <c r="O425" s="76"/>
      <c r="P425" s="76"/>
      <c r="Q425" s="76"/>
      <c r="R425" s="76"/>
      <c r="S425" s="76"/>
      <c r="T425" s="76"/>
      <c r="U425" s="76"/>
      <c r="V425" s="76"/>
      <c r="W425" s="76"/>
      <c r="X425" s="76"/>
      <c r="Y425" s="76"/>
      <c r="Z425" s="76"/>
      <c r="AA425" s="76"/>
      <c r="AB425" s="76"/>
      <c r="AC425" s="76"/>
      <c r="AD425" s="76"/>
      <c r="AE425" s="76"/>
      <c r="AF425" s="76"/>
    </row>
    <row r="426">
      <c r="A426" s="76"/>
      <c r="B426" s="170"/>
      <c r="C426" s="76"/>
      <c r="D426" s="173"/>
      <c r="E426" s="173"/>
      <c r="F426" s="173"/>
      <c r="G426" s="175"/>
      <c r="H426" s="173"/>
      <c r="I426" s="173"/>
      <c r="J426" s="173"/>
      <c r="K426" s="173"/>
      <c r="L426" s="76"/>
      <c r="M426" s="76"/>
      <c r="N426" s="76"/>
      <c r="O426" s="76"/>
      <c r="P426" s="76"/>
      <c r="Q426" s="76"/>
      <c r="R426" s="76"/>
      <c r="S426" s="76"/>
      <c r="T426" s="76"/>
      <c r="U426" s="76"/>
      <c r="V426" s="76"/>
      <c r="W426" s="76"/>
      <c r="X426" s="76"/>
      <c r="Y426" s="76"/>
      <c r="Z426" s="76"/>
      <c r="AA426" s="76"/>
      <c r="AB426" s="76"/>
      <c r="AC426" s="76"/>
      <c r="AD426" s="76"/>
      <c r="AE426" s="76"/>
      <c r="AF426" s="76"/>
    </row>
    <row r="427">
      <c r="A427" s="76"/>
      <c r="B427" s="170"/>
      <c r="C427" s="76"/>
      <c r="D427" s="173"/>
      <c r="E427" s="173"/>
      <c r="F427" s="173"/>
      <c r="G427" s="175"/>
      <c r="H427" s="173"/>
      <c r="I427" s="173"/>
      <c r="J427" s="173"/>
      <c r="K427" s="173"/>
      <c r="L427" s="76"/>
      <c r="M427" s="76"/>
      <c r="N427" s="76"/>
      <c r="O427" s="76"/>
      <c r="P427" s="76"/>
      <c r="Q427" s="76"/>
      <c r="R427" s="76"/>
      <c r="S427" s="76"/>
      <c r="T427" s="76"/>
      <c r="U427" s="76"/>
      <c r="V427" s="76"/>
      <c r="W427" s="76"/>
      <c r="X427" s="76"/>
      <c r="Y427" s="76"/>
      <c r="Z427" s="76"/>
      <c r="AA427" s="76"/>
      <c r="AB427" s="76"/>
      <c r="AC427" s="76"/>
      <c r="AD427" s="76"/>
      <c r="AE427" s="76"/>
      <c r="AF427" s="76"/>
    </row>
    <row r="428">
      <c r="A428" s="76"/>
      <c r="B428" s="170"/>
      <c r="C428" s="76"/>
      <c r="D428" s="173"/>
      <c r="E428" s="173"/>
      <c r="F428" s="173"/>
      <c r="G428" s="175"/>
      <c r="H428" s="173"/>
      <c r="I428" s="173"/>
      <c r="J428" s="173"/>
      <c r="K428" s="173"/>
      <c r="L428" s="76"/>
      <c r="M428" s="76"/>
      <c r="N428" s="76"/>
      <c r="O428" s="76"/>
      <c r="P428" s="76"/>
      <c r="Q428" s="76"/>
      <c r="R428" s="76"/>
      <c r="S428" s="76"/>
      <c r="T428" s="76"/>
      <c r="U428" s="76"/>
      <c r="V428" s="76"/>
      <c r="W428" s="76"/>
      <c r="X428" s="76"/>
      <c r="Y428" s="76"/>
      <c r="Z428" s="76"/>
      <c r="AA428" s="76"/>
      <c r="AB428" s="76"/>
      <c r="AC428" s="76"/>
      <c r="AD428" s="76"/>
      <c r="AE428" s="76"/>
      <c r="AF428" s="76"/>
    </row>
    <row r="429">
      <c r="A429" s="76"/>
      <c r="B429" s="170"/>
      <c r="C429" s="76"/>
      <c r="D429" s="173"/>
      <c r="E429" s="173"/>
      <c r="F429" s="173"/>
      <c r="G429" s="175"/>
      <c r="H429" s="173"/>
      <c r="I429" s="173"/>
      <c r="J429" s="173"/>
      <c r="K429" s="173"/>
      <c r="L429" s="76"/>
      <c r="M429" s="76"/>
      <c r="N429" s="76"/>
      <c r="O429" s="76"/>
      <c r="P429" s="76"/>
      <c r="Q429" s="76"/>
      <c r="R429" s="76"/>
      <c r="S429" s="76"/>
      <c r="T429" s="76"/>
      <c r="U429" s="76"/>
      <c r="V429" s="76"/>
      <c r="W429" s="76"/>
      <c r="X429" s="76"/>
      <c r="Y429" s="76"/>
      <c r="Z429" s="76"/>
      <c r="AA429" s="76"/>
      <c r="AB429" s="76"/>
      <c r="AC429" s="76"/>
      <c r="AD429" s="76"/>
      <c r="AE429" s="76"/>
      <c r="AF429" s="76"/>
    </row>
    <row r="430">
      <c r="A430" s="76"/>
      <c r="B430" s="170"/>
      <c r="C430" s="76"/>
      <c r="D430" s="173"/>
      <c r="E430" s="173"/>
      <c r="F430" s="173"/>
      <c r="G430" s="175"/>
      <c r="H430" s="173"/>
      <c r="I430" s="173"/>
      <c r="J430" s="173"/>
      <c r="K430" s="173"/>
      <c r="L430" s="76"/>
      <c r="M430" s="76"/>
      <c r="N430" s="76"/>
      <c r="O430" s="76"/>
      <c r="P430" s="76"/>
      <c r="Q430" s="76"/>
      <c r="R430" s="76"/>
      <c r="S430" s="76"/>
      <c r="T430" s="76"/>
      <c r="U430" s="76"/>
      <c r="V430" s="76"/>
      <c r="W430" s="76"/>
      <c r="X430" s="76"/>
      <c r="Y430" s="76"/>
      <c r="Z430" s="76"/>
      <c r="AA430" s="76"/>
      <c r="AB430" s="76"/>
      <c r="AC430" s="76"/>
      <c r="AD430" s="76"/>
      <c r="AE430" s="76"/>
      <c r="AF430" s="76"/>
    </row>
    <row r="431">
      <c r="A431" s="76"/>
      <c r="B431" s="170"/>
      <c r="C431" s="76"/>
      <c r="D431" s="173"/>
      <c r="E431" s="173"/>
      <c r="F431" s="173"/>
      <c r="G431" s="175"/>
      <c r="H431" s="173"/>
      <c r="I431" s="173"/>
      <c r="J431" s="173"/>
      <c r="K431" s="173"/>
      <c r="L431" s="76"/>
      <c r="M431" s="76"/>
      <c r="N431" s="76"/>
      <c r="O431" s="76"/>
      <c r="P431" s="76"/>
      <c r="Q431" s="76"/>
      <c r="R431" s="76"/>
      <c r="S431" s="76"/>
      <c r="T431" s="76"/>
      <c r="U431" s="76"/>
      <c r="V431" s="76"/>
      <c r="W431" s="76"/>
      <c r="X431" s="76"/>
      <c r="Y431" s="76"/>
      <c r="Z431" s="76"/>
      <c r="AA431" s="76"/>
      <c r="AB431" s="76"/>
      <c r="AC431" s="76"/>
      <c r="AD431" s="76"/>
      <c r="AE431" s="76"/>
      <c r="AF431" s="76"/>
    </row>
    <row r="432">
      <c r="A432" s="76"/>
      <c r="B432" s="170"/>
      <c r="C432" s="76"/>
      <c r="D432" s="173"/>
      <c r="E432" s="173"/>
      <c r="F432" s="173"/>
      <c r="G432" s="175"/>
      <c r="H432" s="173"/>
      <c r="I432" s="173"/>
      <c r="J432" s="173"/>
      <c r="K432" s="173"/>
      <c r="L432" s="76"/>
      <c r="M432" s="76"/>
      <c r="N432" s="76"/>
      <c r="O432" s="76"/>
      <c r="P432" s="76"/>
      <c r="Q432" s="76"/>
      <c r="R432" s="76"/>
      <c r="S432" s="76"/>
      <c r="T432" s="76"/>
      <c r="U432" s="76"/>
      <c r="V432" s="76"/>
      <c r="W432" s="76"/>
      <c r="X432" s="76"/>
      <c r="Y432" s="76"/>
      <c r="Z432" s="76"/>
      <c r="AA432" s="76"/>
      <c r="AB432" s="76"/>
      <c r="AC432" s="76"/>
      <c r="AD432" s="76"/>
      <c r="AE432" s="76"/>
      <c r="AF432" s="76"/>
    </row>
    <row r="433">
      <c r="A433" s="76"/>
      <c r="B433" s="170"/>
      <c r="C433" s="76"/>
      <c r="D433" s="173"/>
      <c r="E433" s="173"/>
      <c r="F433" s="173"/>
      <c r="G433" s="175"/>
      <c r="H433" s="173"/>
      <c r="I433" s="173"/>
      <c r="J433" s="173"/>
      <c r="K433" s="173"/>
      <c r="L433" s="76"/>
      <c r="M433" s="76"/>
      <c r="N433" s="76"/>
      <c r="O433" s="76"/>
      <c r="P433" s="76"/>
      <c r="Q433" s="76"/>
      <c r="R433" s="76"/>
      <c r="S433" s="76"/>
      <c r="T433" s="76"/>
      <c r="U433" s="76"/>
      <c r="V433" s="76"/>
      <c r="W433" s="76"/>
      <c r="X433" s="76"/>
      <c r="Y433" s="76"/>
      <c r="Z433" s="76"/>
      <c r="AA433" s="76"/>
      <c r="AB433" s="76"/>
      <c r="AC433" s="76"/>
      <c r="AD433" s="76"/>
      <c r="AE433" s="76"/>
      <c r="AF433" s="76"/>
    </row>
    <row r="434">
      <c r="A434" s="76"/>
      <c r="B434" s="170"/>
      <c r="C434" s="76"/>
      <c r="D434" s="173"/>
      <c r="E434" s="173"/>
      <c r="F434" s="173"/>
      <c r="G434" s="175"/>
      <c r="H434" s="173"/>
      <c r="I434" s="173"/>
      <c r="J434" s="173"/>
      <c r="K434" s="173"/>
      <c r="L434" s="76"/>
      <c r="M434" s="76"/>
      <c r="N434" s="76"/>
      <c r="O434" s="76"/>
      <c r="P434" s="76"/>
      <c r="Q434" s="76"/>
      <c r="R434" s="76"/>
      <c r="S434" s="76"/>
      <c r="T434" s="76"/>
      <c r="U434" s="76"/>
      <c r="V434" s="76"/>
      <c r="W434" s="76"/>
      <c r="X434" s="76"/>
      <c r="Y434" s="76"/>
      <c r="Z434" s="76"/>
      <c r="AA434" s="76"/>
      <c r="AB434" s="76"/>
      <c r="AC434" s="76"/>
      <c r="AD434" s="76"/>
      <c r="AE434" s="76"/>
      <c r="AF434" s="76"/>
    </row>
    <row r="435">
      <c r="A435" s="76"/>
      <c r="B435" s="170"/>
      <c r="C435" s="76"/>
      <c r="D435" s="173"/>
      <c r="E435" s="173"/>
      <c r="F435" s="173"/>
      <c r="G435" s="175"/>
      <c r="H435" s="173"/>
      <c r="I435" s="173"/>
      <c r="J435" s="173"/>
      <c r="K435" s="173"/>
      <c r="L435" s="76"/>
      <c r="M435" s="76"/>
      <c r="N435" s="76"/>
      <c r="O435" s="76"/>
      <c r="P435" s="76"/>
      <c r="Q435" s="76"/>
      <c r="R435" s="76"/>
      <c r="S435" s="76"/>
      <c r="T435" s="76"/>
      <c r="U435" s="76"/>
      <c r="V435" s="76"/>
      <c r="W435" s="76"/>
      <c r="X435" s="76"/>
      <c r="Y435" s="76"/>
      <c r="Z435" s="76"/>
      <c r="AA435" s="76"/>
      <c r="AB435" s="76"/>
      <c r="AC435" s="76"/>
      <c r="AD435" s="76"/>
      <c r="AE435" s="76"/>
      <c r="AF435" s="76"/>
    </row>
    <row r="436">
      <c r="A436" s="76"/>
      <c r="B436" s="170"/>
      <c r="C436" s="76"/>
      <c r="D436" s="173"/>
      <c r="E436" s="173"/>
      <c r="F436" s="173"/>
      <c r="G436" s="175"/>
      <c r="H436" s="173"/>
      <c r="I436" s="173"/>
      <c r="J436" s="173"/>
      <c r="K436" s="173"/>
      <c r="L436" s="76"/>
      <c r="M436" s="76"/>
      <c r="N436" s="76"/>
      <c r="O436" s="76"/>
      <c r="P436" s="76"/>
      <c r="Q436" s="76"/>
      <c r="R436" s="76"/>
      <c r="S436" s="76"/>
      <c r="T436" s="76"/>
      <c r="U436" s="76"/>
      <c r="V436" s="76"/>
      <c r="W436" s="76"/>
      <c r="X436" s="76"/>
      <c r="Y436" s="76"/>
      <c r="Z436" s="76"/>
      <c r="AA436" s="76"/>
      <c r="AB436" s="76"/>
      <c r="AC436" s="76"/>
      <c r="AD436" s="76"/>
      <c r="AE436" s="76"/>
      <c r="AF436" s="76"/>
    </row>
    <row r="437">
      <c r="A437" s="76"/>
      <c r="B437" s="170"/>
      <c r="C437" s="76"/>
      <c r="D437" s="173"/>
      <c r="E437" s="173"/>
      <c r="F437" s="173"/>
      <c r="G437" s="175"/>
      <c r="H437" s="173"/>
      <c r="I437" s="173"/>
      <c r="J437" s="173"/>
      <c r="K437" s="173"/>
      <c r="L437" s="76"/>
      <c r="M437" s="76"/>
      <c r="N437" s="76"/>
      <c r="O437" s="76"/>
      <c r="P437" s="76"/>
      <c r="Q437" s="76"/>
      <c r="R437" s="76"/>
      <c r="S437" s="76"/>
      <c r="T437" s="76"/>
      <c r="U437" s="76"/>
      <c r="V437" s="76"/>
      <c r="W437" s="76"/>
      <c r="X437" s="76"/>
      <c r="Y437" s="76"/>
      <c r="Z437" s="76"/>
      <c r="AA437" s="76"/>
      <c r="AB437" s="76"/>
      <c r="AC437" s="76"/>
      <c r="AD437" s="76"/>
      <c r="AE437" s="76"/>
      <c r="AF437" s="76"/>
    </row>
    <row r="438">
      <c r="A438" s="76"/>
      <c r="B438" s="170"/>
      <c r="C438" s="76"/>
      <c r="D438" s="173"/>
      <c r="E438" s="173"/>
      <c r="F438" s="173"/>
      <c r="G438" s="175"/>
      <c r="H438" s="173"/>
      <c r="I438" s="173"/>
      <c r="J438" s="173"/>
      <c r="K438" s="173"/>
      <c r="L438" s="76"/>
      <c r="M438" s="76"/>
      <c r="N438" s="76"/>
      <c r="O438" s="76"/>
      <c r="P438" s="76"/>
      <c r="Q438" s="76"/>
      <c r="R438" s="76"/>
      <c r="S438" s="76"/>
      <c r="T438" s="76"/>
      <c r="U438" s="76"/>
      <c r="V438" s="76"/>
      <c r="W438" s="76"/>
      <c r="X438" s="76"/>
      <c r="Y438" s="76"/>
      <c r="Z438" s="76"/>
      <c r="AA438" s="76"/>
      <c r="AB438" s="76"/>
      <c r="AC438" s="76"/>
      <c r="AD438" s="76"/>
      <c r="AE438" s="76"/>
      <c r="AF438" s="76"/>
    </row>
    <row r="439">
      <c r="A439" s="76"/>
      <c r="B439" s="170"/>
      <c r="C439" s="76"/>
      <c r="D439" s="173"/>
      <c r="E439" s="173"/>
      <c r="F439" s="173"/>
      <c r="G439" s="175"/>
      <c r="H439" s="173"/>
      <c r="I439" s="173"/>
      <c r="J439" s="173"/>
      <c r="K439" s="173"/>
      <c r="L439" s="76"/>
      <c r="M439" s="76"/>
      <c r="N439" s="76"/>
      <c r="O439" s="76"/>
      <c r="P439" s="76"/>
      <c r="Q439" s="76"/>
      <c r="R439" s="76"/>
      <c r="S439" s="76"/>
      <c r="T439" s="76"/>
      <c r="U439" s="76"/>
      <c r="V439" s="76"/>
      <c r="W439" s="76"/>
      <c r="X439" s="76"/>
      <c r="Y439" s="76"/>
      <c r="Z439" s="76"/>
      <c r="AA439" s="76"/>
      <c r="AB439" s="76"/>
      <c r="AC439" s="76"/>
      <c r="AD439" s="76"/>
      <c r="AE439" s="76"/>
      <c r="AF439" s="76"/>
    </row>
    <row r="440">
      <c r="A440" s="76"/>
      <c r="B440" s="170"/>
      <c r="C440" s="76"/>
      <c r="D440" s="173"/>
      <c r="E440" s="173"/>
      <c r="F440" s="173"/>
      <c r="G440" s="175"/>
      <c r="H440" s="173"/>
      <c r="I440" s="173"/>
      <c r="J440" s="173"/>
      <c r="K440" s="173"/>
      <c r="L440" s="76"/>
      <c r="M440" s="76"/>
      <c r="N440" s="76"/>
      <c r="O440" s="76"/>
      <c r="P440" s="76"/>
      <c r="Q440" s="76"/>
      <c r="R440" s="76"/>
      <c r="S440" s="76"/>
      <c r="T440" s="76"/>
      <c r="U440" s="76"/>
      <c r="V440" s="76"/>
      <c r="W440" s="76"/>
      <c r="X440" s="76"/>
      <c r="Y440" s="76"/>
      <c r="Z440" s="76"/>
      <c r="AA440" s="76"/>
      <c r="AB440" s="76"/>
      <c r="AC440" s="76"/>
      <c r="AD440" s="76"/>
      <c r="AE440" s="76"/>
      <c r="AF440" s="76"/>
    </row>
    <row r="441">
      <c r="A441" s="76"/>
      <c r="B441" s="170"/>
      <c r="C441" s="76"/>
      <c r="D441" s="173"/>
      <c r="E441" s="173"/>
      <c r="F441" s="173"/>
      <c r="G441" s="175"/>
      <c r="H441" s="173"/>
      <c r="I441" s="173"/>
      <c r="J441" s="173"/>
      <c r="K441" s="173"/>
      <c r="L441" s="76"/>
      <c r="M441" s="76"/>
      <c r="N441" s="76"/>
      <c r="O441" s="76"/>
      <c r="P441" s="76"/>
      <c r="Q441" s="76"/>
      <c r="R441" s="76"/>
      <c r="S441" s="76"/>
      <c r="T441" s="76"/>
      <c r="U441" s="76"/>
      <c r="V441" s="76"/>
      <c r="W441" s="76"/>
      <c r="X441" s="76"/>
      <c r="Y441" s="76"/>
      <c r="Z441" s="76"/>
      <c r="AA441" s="76"/>
      <c r="AB441" s="76"/>
      <c r="AC441" s="76"/>
      <c r="AD441" s="76"/>
      <c r="AE441" s="76"/>
      <c r="AF441" s="76"/>
    </row>
    <row r="442">
      <c r="A442" s="76"/>
      <c r="B442" s="170"/>
      <c r="C442" s="76"/>
      <c r="D442" s="173"/>
      <c r="E442" s="173"/>
      <c r="F442" s="173"/>
      <c r="G442" s="175"/>
      <c r="H442" s="173"/>
      <c r="I442" s="173"/>
      <c r="J442" s="173"/>
      <c r="K442" s="173"/>
      <c r="L442" s="76"/>
      <c r="M442" s="76"/>
      <c r="N442" s="76"/>
      <c r="O442" s="76"/>
      <c r="P442" s="76"/>
      <c r="Q442" s="76"/>
      <c r="R442" s="76"/>
      <c r="S442" s="76"/>
      <c r="T442" s="76"/>
      <c r="U442" s="76"/>
      <c r="V442" s="76"/>
      <c r="W442" s="76"/>
      <c r="X442" s="76"/>
      <c r="Y442" s="76"/>
      <c r="Z442" s="76"/>
      <c r="AA442" s="76"/>
      <c r="AB442" s="76"/>
      <c r="AC442" s="76"/>
      <c r="AD442" s="76"/>
      <c r="AE442" s="76"/>
      <c r="AF442" s="76"/>
    </row>
    <row r="443">
      <c r="A443" s="76"/>
      <c r="B443" s="170"/>
      <c r="C443" s="76"/>
      <c r="D443" s="173"/>
      <c r="E443" s="173"/>
      <c r="F443" s="173"/>
      <c r="G443" s="175"/>
      <c r="H443" s="173"/>
      <c r="I443" s="173"/>
      <c r="J443" s="173"/>
      <c r="K443" s="173"/>
      <c r="L443" s="76"/>
      <c r="M443" s="76"/>
      <c r="N443" s="76"/>
      <c r="O443" s="76"/>
      <c r="P443" s="76"/>
      <c r="Q443" s="76"/>
      <c r="R443" s="76"/>
      <c r="S443" s="76"/>
      <c r="T443" s="76"/>
      <c r="U443" s="76"/>
      <c r="V443" s="76"/>
      <c r="W443" s="76"/>
      <c r="X443" s="76"/>
      <c r="Y443" s="76"/>
      <c r="Z443" s="76"/>
      <c r="AA443" s="76"/>
      <c r="AB443" s="76"/>
      <c r="AC443" s="76"/>
      <c r="AD443" s="76"/>
      <c r="AE443" s="76"/>
      <c r="AF443" s="76"/>
    </row>
    <row r="444">
      <c r="A444" s="76"/>
      <c r="B444" s="170"/>
      <c r="C444" s="76"/>
      <c r="D444" s="173"/>
      <c r="E444" s="173"/>
      <c r="F444" s="173"/>
      <c r="G444" s="175"/>
      <c r="H444" s="173"/>
      <c r="I444" s="173"/>
      <c r="J444" s="173"/>
      <c r="K444" s="173"/>
      <c r="L444" s="76"/>
      <c r="M444" s="76"/>
      <c r="N444" s="76"/>
      <c r="O444" s="76"/>
      <c r="P444" s="76"/>
      <c r="Q444" s="76"/>
      <c r="R444" s="76"/>
      <c r="S444" s="76"/>
      <c r="T444" s="76"/>
      <c r="U444" s="76"/>
      <c r="V444" s="76"/>
      <c r="W444" s="76"/>
      <c r="X444" s="76"/>
      <c r="Y444" s="76"/>
      <c r="Z444" s="76"/>
      <c r="AA444" s="76"/>
      <c r="AB444" s="76"/>
      <c r="AC444" s="76"/>
      <c r="AD444" s="76"/>
      <c r="AE444" s="76"/>
      <c r="AF444" s="76"/>
    </row>
    <row r="445">
      <c r="A445" s="76"/>
      <c r="B445" s="170"/>
      <c r="C445" s="76"/>
      <c r="D445" s="173"/>
      <c r="E445" s="173"/>
      <c r="F445" s="173"/>
      <c r="G445" s="175"/>
      <c r="H445" s="173"/>
      <c r="I445" s="173"/>
      <c r="J445" s="173"/>
      <c r="K445" s="173"/>
      <c r="L445" s="76"/>
      <c r="M445" s="76"/>
      <c r="N445" s="76"/>
      <c r="O445" s="76"/>
      <c r="P445" s="76"/>
      <c r="Q445" s="76"/>
      <c r="R445" s="76"/>
      <c r="S445" s="76"/>
      <c r="T445" s="76"/>
      <c r="U445" s="76"/>
      <c r="V445" s="76"/>
      <c r="W445" s="76"/>
      <c r="X445" s="76"/>
      <c r="Y445" s="76"/>
      <c r="Z445" s="76"/>
      <c r="AA445" s="76"/>
      <c r="AB445" s="76"/>
      <c r="AC445" s="76"/>
      <c r="AD445" s="76"/>
      <c r="AE445" s="76"/>
      <c r="AF445" s="76"/>
    </row>
    <row r="446">
      <c r="A446" s="76"/>
      <c r="B446" s="170"/>
      <c r="C446" s="76"/>
      <c r="D446" s="173"/>
      <c r="E446" s="173"/>
      <c r="F446" s="173"/>
      <c r="G446" s="175"/>
      <c r="H446" s="173"/>
      <c r="I446" s="173"/>
      <c r="J446" s="173"/>
      <c r="K446" s="173"/>
      <c r="L446" s="76"/>
      <c r="M446" s="76"/>
      <c r="N446" s="76"/>
      <c r="O446" s="76"/>
      <c r="P446" s="76"/>
      <c r="Q446" s="76"/>
      <c r="R446" s="76"/>
      <c r="S446" s="76"/>
      <c r="T446" s="76"/>
      <c r="U446" s="76"/>
      <c r="V446" s="76"/>
      <c r="W446" s="76"/>
      <c r="X446" s="76"/>
      <c r="Y446" s="76"/>
      <c r="Z446" s="76"/>
      <c r="AA446" s="76"/>
      <c r="AB446" s="76"/>
      <c r="AC446" s="76"/>
      <c r="AD446" s="76"/>
      <c r="AE446" s="76"/>
      <c r="AF446" s="76"/>
    </row>
    <row r="447">
      <c r="A447" s="76"/>
      <c r="B447" s="170"/>
      <c r="C447" s="76"/>
      <c r="D447" s="173"/>
      <c r="E447" s="173"/>
      <c r="F447" s="173"/>
      <c r="G447" s="175"/>
      <c r="H447" s="173"/>
      <c r="I447" s="173"/>
      <c r="J447" s="173"/>
      <c r="K447" s="173"/>
      <c r="L447" s="76"/>
      <c r="M447" s="76"/>
      <c r="N447" s="76"/>
      <c r="O447" s="76"/>
      <c r="P447" s="76"/>
      <c r="Q447" s="76"/>
      <c r="R447" s="76"/>
      <c r="S447" s="76"/>
      <c r="T447" s="76"/>
      <c r="U447" s="76"/>
      <c r="V447" s="76"/>
      <c r="W447" s="76"/>
      <c r="X447" s="76"/>
      <c r="Y447" s="76"/>
      <c r="Z447" s="76"/>
      <c r="AA447" s="76"/>
      <c r="AB447" s="76"/>
      <c r="AC447" s="76"/>
      <c r="AD447" s="76"/>
      <c r="AE447" s="76"/>
      <c r="AF447" s="76"/>
    </row>
    <row r="448">
      <c r="A448" s="76"/>
      <c r="B448" s="170"/>
      <c r="C448" s="76"/>
      <c r="D448" s="173"/>
      <c r="E448" s="173"/>
      <c r="F448" s="173"/>
      <c r="G448" s="175"/>
      <c r="H448" s="173"/>
      <c r="I448" s="173"/>
      <c r="J448" s="173"/>
      <c r="K448" s="173"/>
      <c r="L448" s="76"/>
      <c r="M448" s="76"/>
      <c r="N448" s="76"/>
      <c r="O448" s="76"/>
      <c r="P448" s="76"/>
      <c r="Q448" s="76"/>
      <c r="R448" s="76"/>
      <c r="S448" s="76"/>
      <c r="T448" s="76"/>
      <c r="U448" s="76"/>
      <c r="V448" s="76"/>
      <c r="W448" s="76"/>
      <c r="X448" s="76"/>
      <c r="Y448" s="76"/>
      <c r="Z448" s="76"/>
      <c r="AA448" s="76"/>
      <c r="AB448" s="76"/>
      <c r="AC448" s="76"/>
      <c r="AD448" s="76"/>
      <c r="AE448" s="76"/>
      <c r="AF448" s="76"/>
    </row>
    <row r="449">
      <c r="A449" s="76"/>
      <c r="B449" s="170"/>
      <c r="C449" s="76"/>
      <c r="D449" s="173"/>
      <c r="E449" s="173"/>
      <c r="F449" s="173"/>
      <c r="G449" s="175"/>
      <c r="H449" s="173"/>
      <c r="I449" s="173"/>
      <c r="J449" s="173"/>
      <c r="K449" s="173"/>
      <c r="L449" s="76"/>
      <c r="M449" s="76"/>
      <c r="N449" s="76"/>
      <c r="O449" s="76"/>
      <c r="P449" s="76"/>
      <c r="Q449" s="76"/>
      <c r="R449" s="76"/>
      <c r="S449" s="76"/>
      <c r="T449" s="76"/>
      <c r="U449" s="76"/>
      <c r="V449" s="76"/>
      <c r="W449" s="76"/>
      <c r="X449" s="76"/>
      <c r="Y449" s="76"/>
      <c r="Z449" s="76"/>
      <c r="AA449" s="76"/>
      <c r="AB449" s="76"/>
      <c r="AC449" s="76"/>
      <c r="AD449" s="76"/>
      <c r="AE449" s="76"/>
      <c r="AF449" s="76"/>
    </row>
    <row r="450">
      <c r="A450" s="76"/>
      <c r="B450" s="170"/>
      <c r="C450" s="76"/>
      <c r="D450" s="173"/>
      <c r="E450" s="173"/>
      <c r="F450" s="173"/>
      <c r="G450" s="175"/>
      <c r="H450" s="173"/>
      <c r="I450" s="173"/>
      <c r="J450" s="173"/>
      <c r="K450" s="173"/>
      <c r="L450" s="76"/>
      <c r="M450" s="76"/>
      <c r="N450" s="76"/>
      <c r="O450" s="76"/>
      <c r="P450" s="76"/>
      <c r="Q450" s="76"/>
      <c r="R450" s="76"/>
      <c r="S450" s="76"/>
      <c r="T450" s="76"/>
      <c r="U450" s="76"/>
      <c r="V450" s="76"/>
      <c r="W450" s="76"/>
      <c r="X450" s="76"/>
      <c r="Y450" s="76"/>
      <c r="Z450" s="76"/>
      <c r="AA450" s="76"/>
      <c r="AB450" s="76"/>
      <c r="AC450" s="76"/>
      <c r="AD450" s="76"/>
      <c r="AE450" s="76"/>
      <c r="AF450" s="76"/>
    </row>
    <row r="451">
      <c r="A451" s="76"/>
      <c r="B451" s="170"/>
      <c r="C451" s="76"/>
      <c r="D451" s="173"/>
      <c r="E451" s="173"/>
      <c r="F451" s="173"/>
      <c r="G451" s="175"/>
      <c r="H451" s="173"/>
      <c r="I451" s="173"/>
      <c r="J451" s="173"/>
      <c r="K451" s="173"/>
      <c r="L451" s="76"/>
      <c r="M451" s="76"/>
      <c r="N451" s="76"/>
      <c r="O451" s="76"/>
      <c r="P451" s="76"/>
      <c r="Q451" s="76"/>
      <c r="R451" s="76"/>
      <c r="S451" s="76"/>
      <c r="T451" s="76"/>
      <c r="U451" s="76"/>
      <c r="V451" s="76"/>
      <c r="W451" s="76"/>
      <c r="X451" s="76"/>
      <c r="Y451" s="76"/>
      <c r="Z451" s="76"/>
      <c r="AA451" s="76"/>
      <c r="AB451" s="76"/>
      <c r="AC451" s="76"/>
      <c r="AD451" s="76"/>
      <c r="AE451" s="76"/>
      <c r="AF451" s="76"/>
    </row>
    <row r="452">
      <c r="A452" s="76"/>
      <c r="B452" s="170"/>
      <c r="C452" s="76"/>
      <c r="D452" s="173"/>
      <c r="E452" s="173"/>
      <c r="F452" s="173"/>
      <c r="G452" s="175"/>
      <c r="H452" s="173"/>
      <c r="I452" s="173"/>
      <c r="J452" s="173"/>
      <c r="K452" s="173"/>
      <c r="L452" s="76"/>
      <c r="M452" s="76"/>
      <c r="N452" s="76"/>
      <c r="O452" s="76"/>
      <c r="P452" s="76"/>
      <c r="Q452" s="76"/>
      <c r="R452" s="76"/>
      <c r="S452" s="76"/>
      <c r="T452" s="76"/>
      <c r="U452" s="76"/>
      <c r="V452" s="76"/>
      <c r="W452" s="76"/>
      <c r="X452" s="76"/>
      <c r="Y452" s="76"/>
      <c r="Z452" s="76"/>
      <c r="AA452" s="76"/>
      <c r="AB452" s="76"/>
      <c r="AC452" s="76"/>
      <c r="AD452" s="76"/>
      <c r="AE452" s="76"/>
      <c r="AF452" s="76"/>
    </row>
    <row r="453">
      <c r="A453" s="76"/>
      <c r="B453" s="170"/>
      <c r="C453" s="76"/>
      <c r="D453" s="173"/>
      <c r="E453" s="173"/>
      <c r="F453" s="173"/>
      <c r="G453" s="175"/>
      <c r="H453" s="173"/>
      <c r="I453" s="173"/>
      <c r="J453" s="173"/>
      <c r="K453" s="173"/>
      <c r="L453" s="76"/>
      <c r="M453" s="76"/>
      <c r="N453" s="76"/>
      <c r="O453" s="76"/>
      <c r="P453" s="76"/>
      <c r="Q453" s="76"/>
      <c r="R453" s="76"/>
      <c r="S453" s="76"/>
      <c r="T453" s="76"/>
      <c r="U453" s="76"/>
      <c r="V453" s="76"/>
      <c r="W453" s="76"/>
      <c r="X453" s="76"/>
      <c r="Y453" s="76"/>
      <c r="Z453" s="76"/>
      <c r="AA453" s="76"/>
      <c r="AB453" s="76"/>
      <c r="AC453" s="76"/>
      <c r="AD453" s="76"/>
      <c r="AE453" s="76"/>
      <c r="AF453" s="76"/>
    </row>
    <row r="454">
      <c r="A454" s="76"/>
      <c r="B454" s="170"/>
      <c r="C454" s="76"/>
      <c r="D454" s="173"/>
      <c r="E454" s="173"/>
      <c r="F454" s="173"/>
      <c r="G454" s="175"/>
      <c r="H454" s="173"/>
      <c r="I454" s="173"/>
      <c r="J454" s="173"/>
      <c r="K454" s="173"/>
      <c r="L454" s="76"/>
      <c r="M454" s="76"/>
      <c r="N454" s="76"/>
      <c r="O454" s="76"/>
      <c r="P454" s="76"/>
      <c r="Q454" s="76"/>
      <c r="R454" s="76"/>
      <c r="S454" s="76"/>
      <c r="T454" s="76"/>
      <c r="U454" s="76"/>
      <c r="V454" s="76"/>
      <c r="W454" s="76"/>
      <c r="X454" s="76"/>
      <c r="Y454" s="76"/>
      <c r="Z454" s="76"/>
      <c r="AA454" s="76"/>
      <c r="AB454" s="76"/>
      <c r="AC454" s="76"/>
      <c r="AD454" s="76"/>
      <c r="AE454" s="76"/>
      <c r="AF454" s="76"/>
    </row>
    <row r="455">
      <c r="A455" s="76"/>
      <c r="B455" s="170"/>
      <c r="C455" s="76"/>
      <c r="D455" s="173"/>
      <c r="E455" s="173"/>
      <c r="F455" s="173"/>
      <c r="G455" s="175"/>
      <c r="H455" s="173"/>
      <c r="I455" s="173"/>
      <c r="J455" s="173"/>
      <c r="K455" s="173"/>
      <c r="L455" s="76"/>
      <c r="M455" s="76"/>
      <c r="N455" s="76"/>
      <c r="O455" s="76"/>
      <c r="P455" s="76"/>
      <c r="Q455" s="76"/>
      <c r="R455" s="76"/>
      <c r="S455" s="76"/>
      <c r="T455" s="76"/>
      <c r="U455" s="76"/>
      <c r="V455" s="76"/>
      <c r="W455" s="76"/>
      <c r="X455" s="76"/>
      <c r="Y455" s="76"/>
      <c r="Z455" s="76"/>
      <c r="AA455" s="76"/>
      <c r="AB455" s="76"/>
      <c r="AC455" s="76"/>
      <c r="AD455" s="76"/>
      <c r="AE455" s="76"/>
      <c r="AF455" s="76"/>
    </row>
    <row r="456">
      <c r="A456" s="76"/>
      <c r="B456" s="170"/>
      <c r="C456" s="76"/>
      <c r="D456" s="173"/>
      <c r="E456" s="173"/>
      <c r="F456" s="173"/>
      <c r="G456" s="175"/>
      <c r="H456" s="173"/>
      <c r="I456" s="173"/>
      <c r="J456" s="173"/>
      <c r="K456" s="173"/>
      <c r="L456" s="76"/>
      <c r="M456" s="76"/>
      <c r="N456" s="76"/>
      <c r="O456" s="76"/>
      <c r="P456" s="76"/>
      <c r="Q456" s="76"/>
      <c r="R456" s="76"/>
      <c r="S456" s="76"/>
      <c r="T456" s="76"/>
      <c r="U456" s="76"/>
      <c r="V456" s="76"/>
      <c r="W456" s="76"/>
      <c r="X456" s="76"/>
      <c r="Y456" s="76"/>
      <c r="Z456" s="76"/>
      <c r="AA456" s="76"/>
      <c r="AB456" s="76"/>
      <c r="AC456" s="76"/>
      <c r="AD456" s="76"/>
      <c r="AE456" s="76"/>
      <c r="AF456" s="76"/>
    </row>
    <row r="457">
      <c r="A457" s="76"/>
      <c r="B457" s="170"/>
      <c r="C457" s="76"/>
      <c r="D457" s="173"/>
      <c r="E457" s="173"/>
      <c r="F457" s="173"/>
      <c r="G457" s="175"/>
      <c r="H457" s="173"/>
      <c r="I457" s="173"/>
      <c r="J457" s="173"/>
      <c r="K457" s="173"/>
      <c r="L457" s="76"/>
      <c r="M457" s="76"/>
      <c r="N457" s="76"/>
      <c r="O457" s="76"/>
      <c r="P457" s="76"/>
      <c r="Q457" s="76"/>
      <c r="R457" s="76"/>
      <c r="S457" s="76"/>
      <c r="T457" s="76"/>
      <c r="U457" s="76"/>
      <c r="V457" s="76"/>
      <c r="W457" s="76"/>
      <c r="X457" s="76"/>
      <c r="Y457" s="76"/>
      <c r="Z457" s="76"/>
      <c r="AA457" s="76"/>
      <c r="AB457" s="76"/>
      <c r="AC457" s="76"/>
      <c r="AD457" s="76"/>
      <c r="AE457" s="76"/>
      <c r="AF457" s="76"/>
    </row>
    <row r="458">
      <c r="A458" s="76"/>
      <c r="B458" s="170"/>
      <c r="C458" s="76"/>
      <c r="D458" s="173"/>
      <c r="E458" s="173"/>
      <c r="F458" s="173"/>
      <c r="G458" s="175"/>
      <c r="H458" s="173"/>
      <c r="I458" s="173"/>
      <c r="J458" s="173"/>
      <c r="K458" s="173"/>
      <c r="L458" s="76"/>
      <c r="M458" s="76"/>
      <c r="N458" s="76"/>
      <c r="O458" s="76"/>
      <c r="P458" s="76"/>
      <c r="Q458" s="76"/>
      <c r="R458" s="76"/>
      <c r="S458" s="76"/>
      <c r="T458" s="76"/>
      <c r="U458" s="76"/>
      <c r="V458" s="76"/>
      <c r="W458" s="76"/>
      <c r="X458" s="76"/>
      <c r="Y458" s="76"/>
      <c r="Z458" s="76"/>
      <c r="AA458" s="76"/>
      <c r="AB458" s="76"/>
      <c r="AC458" s="76"/>
      <c r="AD458" s="76"/>
      <c r="AE458" s="76"/>
      <c r="AF458" s="76"/>
    </row>
    <row r="459">
      <c r="A459" s="76"/>
      <c r="B459" s="170"/>
      <c r="C459" s="76"/>
      <c r="D459" s="173"/>
      <c r="E459" s="173"/>
      <c r="F459" s="173"/>
      <c r="G459" s="175"/>
      <c r="H459" s="173"/>
      <c r="I459" s="173"/>
      <c r="J459" s="173"/>
      <c r="K459" s="173"/>
      <c r="L459" s="76"/>
      <c r="M459" s="76"/>
      <c r="N459" s="76"/>
      <c r="O459" s="76"/>
      <c r="P459" s="76"/>
      <c r="Q459" s="76"/>
      <c r="R459" s="76"/>
      <c r="S459" s="76"/>
      <c r="T459" s="76"/>
      <c r="U459" s="76"/>
      <c r="V459" s="76"/>
      <c r="W459" s="76"/>
      <c r="X459" s="76"/>
      <c r="Y459" s="76"/>
      <c r="Z459" s="76"/>
      <c r="AA459" s="76"/>
      <c r="AB459" s="76"/>
      <c r="AC459" s="76"/>
      <c r="AD459" s="76"/>
      <c r="AE459" s="76"/>
      <c r="AF459" s="76"/>
    </row>
    <row r="460">
      <c r="A460" s="76"/>
      <c r="B460" s="170"/>
      <c r="C460" s="76"/>
      <c r="D460" s="173"/>
      <c r="E460" s="173"/>
      <c r="F460" s="173"/>
      <c r="G460" s="175"/>
      <c r="H460" s="173"/>
      <c r="I460" s="173"/>
      <c r="J460" s="173"/>
      <c r="K460" s="173"/>
      <c r="L460" s="76"/>
      <c r="M460" s="76"/>
      <c r="N460" s="76"/>
      <c r="O460" s="76"/>
      <c r="P460" s="76"/>
      <c r="Q460" s="76"/>
      <c r="R460" s="76"/>
      <c r="S460" s="76"/>
      <c r="T460" s="76"/>
      <c r="U460" s="76"/>
      <c r="V460" s="76"/>
      <c r="W460" s="76"/>
      <c r="X460" s="76"/>
      <c r="Y460" s="76"/>
      <c r="Z460" s="76"/>
      <c r="AA460" s="76"/>
      <c r="AB460" s="76"/>
      <c r="AC460" s="76"/>
      <c r="AD460" s="76"/>
      <c r="AE460" s="76"/>
      <c r="AF460" s="76"/>
    </row>
    <row r="461">
      <c r="A461" s="76"/>
      <c r="B461" s="170"/>
      <c r="C461" s="76"/>
      <c r="D461" s="173"/>
      <c r="E461" s="173"/>
      <c r="F461" s="173"/>
      <c r="G461" s="175"/>
      <c r="H461" s="173"/>
      <c r="I461" s="173"/>
      <c r="J461" s="173"/>
      <c r="K461" s="173"/>
      <c r="L461" s="76"/>
      <c r="M461" s="76"/>
      <c r="N461" s="76"/>
      <c r="O461" s="76"/>
      <c r="P461" s="76"/>
      <c r="Q461" s="76"/>
      <c r="R461" s="76"/>
      <c r="S461" s="76"/>
      <c r="T461" s="76"/>
      <c r="U461" s="76"/>
      <c r="V461" s="76"/>
      <c r="W461" s="76"/>
      <c r="X461" s="76"/>
      <c r="Y461" s="76"/>
      <c r="Z461" s="76"/>
      <c r="AA461" s="76"/>
      <c r="AB461" s="76"/>
      <c r="AC461" s="76"/>
      <c r="AD461" s="76"/>
      <c r="AE461" s="76"/>
      <c r="AF461" s="76"/>
    </row>
    <row r="462">
      <c r="A462" s="76"/>
      <c r="B462" s="170"/>
      <c r="C462" s="76"/>
      <c r="D462" s="173"/>
      <c r="E462" s="173"/>
      <c r="F462" s="173"/>
      <c r="G462" s="175"/>
      <c r="H462" s="173"/>
      <c r="I462" s="173"/>
      <c r="J462" s="173"/>
      <c r="K462" s="173"/>
      <c r="L462" s="76"/>
      <c r="M462" s="76"/>
      <c r="N462" s="76"/>
      <c r="O462" s="76"/>
      <c r="P462" s="76"/>
      <c r="Q462" s="76"/>
      <c r="R462" s="76"/>
      <c r="S462" s="76"/>
      <c r="T462" s="76"/>
      <c r="U462" s="76"/>
      <c r="V462" s="76"/>
      <c r="W462" s="76"/>
      <c r="X462" s="76"/>
      <c r="Y462" s="76"/>
      <c r="Z462" s="76"/>
      <c r="AA462" s="76"/>
      <c r="AB462" s="76"/>
      <c r="AC462" s="76"/>
      <c r="AD462" s="76"/>
      <c r="AE462" s="76"/>
      <c r="AF462" s="76"/>
    </row>
    <row r="463">
      <c r="A463" s="76"/>
      <c r="B463" s="170"/>
      <c r="C463" s="76"/>
      <c r="D463" s="173"/>
      <c r="E463" s="173"/>
      <c r="F463" s="173"/>
      <c r="G463" s="175"/>
      <c r="H463" s="173"/>
      <c r="I463" s="173"/>
      <c r="J463" s="173"/>
      <c r="K463" s="173"/>
      <c r="L463" s="76"/>
      <c r="M463" s="76"/>
      <c r="N463" s="76"/>
      <c r="O463" s="76"/>
      <c r="P463" s="76"/>
      <c r="Q463" s="76"/>
      <c r="R463" s="76"/>
      <c r="S463" s="76"/>
      <c r="T463" s="76"/>
      <c r="U463" s="76"/>
      <c r="V463" s="76"/>
      <c r="W463" s="76"/>
      <c r="X463" s="76"/>
      <c r="Y463" s="76"/>
      <c r="Z463" s="76"/>
      <c r="AA463" s="76"/>
      <c r="AB463" s="76"/>
      <c r="AC463" s="76"/>
      <c r="AD463" s="76"/>
      <c r="AE463" s="76"/>
      <c r="AF463" s="76"/>
    </row>
    <row r="464">
      <c r="A464" s="76"/>
      <c r="B464" s="170"/>
      <c r="C464" s="76"/>
      <c r="D464" s="173"/>
      <c r="E464" s="173"/>
      <c r="F464" s="173"/>
      <c r="G464" s="175"/>
      <c r="H464" s="173"/>
      <c r="I464" s="173"/>
      <c r="J464" s="173"/>
      <c r="K464" s="173"/>
      <c r="L464" s="76"/>
      <c r="M464" s="76"/>
      <c r="N464" s="76"/>
      <c r="O464" s="76"/>
      <c r="P464" s="76"/>
      <c r="Q464" s="76"/>
      <c r="R464" s="76"/>
      <c r="S464" s="76"/>
      <c r="T464" s="76"/>
      <c r="U464" s="76"/>
      <c r="V464" s="76"/>
      <c r="W464" s="76"/>
      <c r="X464" s="76"/>
      <c r="Y464" s="76"/>
      <c r="Z464" s="76"/>
      <c r="AA464" s="76"/>
      <c r="AB464" s="76"/>
      <c r="AC464" s="76"/>
      <c r="AD464" s="76"/>
      <c r="AE464" s="76"/>
      <c r="AF464" s="76"/>
    </row>
    <row r="465">
      <c r="A465" s="76"/>
      <c r="B465" s="170"/>
      <c r="C465" s="76"/>
      <c r="D465" s="173"/>
      <c r="E465" s="173"/>
      <c r="F465" s="173"/>
      <c r="G465" s="175"/>
      <c r="H465" s="173"/>
      <c r="I465" s="173"/>
      <c r="J465" s="173"/>
      <c r="K465" s="173"/>
      <c r="L465" s="76"/>
      <c r="M465" s="76"/>
      <c r="N465" s="76"/>
      <c r="O465" s="76"/>
      <c r="P465" s="76"/>
      <c r="Q465" s="76"/>
      <c r="R465" s="76"/>
      <c r="S465" s="76"/>
      <c r="T465" s="76"/>
      <c r="U465" s="76"/>
      <c r="V465" s="76"/>
      <c r="W465" s="76"/>
      <c r="X465" s="76"/>
      <c r="Y465" s="76"/>
      <c r="Z465" s="76"/>
      <c r="AA465" s="76"/>
      <c r="AB465" s="76"/>
      <c r="AC465" s="76"/>
      <c r="AD465" s="76"/>
      <c r="AE465" s="76"/>
      <c r="AF465" s="76"/>
    </row>
    <row r="466">
      <c r="A466" s="76"/>
      <c r="B466" s="170"/>
      <c r="C466" s="76"/>
      <c r="D466" s="173"/>
      <c r="E466" s="173"/>
      <c r="F466" s="173"/>
      <c r="G466" s="175"/>
      <c r="H466" s="173"/>
      <c r="I466" s="173"/>
      <c r="J466" s="173"/>
      <c r="K466" s="173"/>
      <c r="L466" s="76"/>
      <c r="M466" s="76"/>
      <c r="N466" s="76"/>
      <c r="O466" s="76"/>
      <c r="P466" s="76"/>
      <c r="Q466" s="76"/>
      <c r="R466" s="76"/>
      <c r="S466" s="76"/>
      <c r="T466" s="76"/>
      <c r="U466" s="76"/>
      <c r="V466" s="76"/>
      <c r="W466" s="76"/>
      <c r="X466" s="76"/>
      <c r="Y466" s="76"/>
      <c r="Z466" s="76"/>
      <c r="AA466" s="76"/>
      <c r="AB466" s="76"/>
      <c r="AC466" s="76"/>
      <c r="AD466" s="76"/>
      <c r="AE466" s="76"/>
      <c r="AF466" s="76"/>
    </row>
    <row r="467">
      <c r="A467" s="76"/>
      <c r="B467" s="170"/>
      <c r="C467" s="76"/>
      <c r="D467" s="173"/>
      <c r="E467" s="173"/>
      <c r="F467" s="173"/>
      <c r="G467" s="175"/>
      <c r="H467" s="173"/>
      <c r="I467" s="173"/>
      <c r="J467" s="173"/>
      <c r="K467" s="173"/>
      <c r="L467" s="76"/>
      <c r="M467" s="76"/>
      <c r="N467" s="76"/>
      <c r="O467" s="76"/>
      <c r="P467" s="76"/>
      <c r="Q467" s="76"/>
      <c r="R467" s="76"/>
      <c r="S467" s="76"/>
      <c r="T467" s="76"/>
      <c r="U467" s="76"/>
      <c r="V467" s="76"/>
      <c r="W467" s="76"/>
      <c r="X467" s="76"/>
      <c r="Y467" s="76"/>
      <c r="Z467" s="76"/>
      <c r="AA467" s="76"/>
      <c r="AB467" s="76"/>
      <c r="AC467" s="76"/>
      <c r="AD467" s="76"/>
      <c r="AE467" s="76"/>
      <c r="AF467" s="76"/>
    </row>
    <row r="468">
      <c r="A468" s="76"/>
      <c r="B468" s="170"/>
      <c r="C468" s="76"/>
      <c r="D468" s="173"/>
      <c r="E468" s="173"/>
      <c r="F468" s="173"/>
      <c r="G468" s="175"/>
      <c r="H468" s="173"/>
      <c r="I468" s="173"/>
      <c r="J468" s="173"/>
      <c r="K468" s="173"/>
      <c r="L468" s="76"/>
      <c r="M468" s="76"/>
      <c r="N468" s="76"/>
      <c r="O468" s="76"/>
      <c r="P468" s="76"/>
      <c r="Q468" s="76"/>
      <c r="R468" s="76"/>
      <c r="S468" s="76"/>
      <c r="T468" s="76"/>
      <c r="U468" s="76"/>
      <c r="V468" s="76"/>
      <c r="W468" s="76"/>
      <c r="X468" s="76"/>
      <c r="Y468" s="76"/>
      <c r="Z468" s="76"/>
      <c r="AA468" s="76"/>
      <c r="AB468" s="76"/>
      <c r="AC468" s="76"/>
      <c r="AD468" s="76"/>
      <c r="AE468" s="76"/>
      <c r="AF468" s="76"/>
    </row>
    <row r="469">
      <c r="A469" s="76"/>
      <c r="B469" s="170"/>
      <c r="C469" s="76"/>
      <c r="D469" s="173"/>
      <c r="E469" s="173"/>
      <c r="F469" s="173"/>
      <c r="G469" s="175"/>
      <c r="H469" s="173"/>
      <c r="I469" s="173"/>
      <c r="J469" s="173"/>
      <c r="K469" s="173"/>
      <c r="L469" s="76"/>
      <c r="M469" s="76"/>
      <c r="N469" s="76"/>
      <c r="O469" s="76"/>
      <c r="P469" s="76"/>
      <c r="Q469" s="76"/>
      <c r="R469" s="76"/>
      <c r="S469" s="76"/>
      <c r="T469" s="76"/>
      <c r="U469" s="76"/>
      <c r="V469" s="76"/>
      <c r="W469" s="76"/>
      <c r="X469" s="76"/>
      <c r="Y469" s="76"/>
      <c r="Z469" s="76"/>
      <c r="AA469" s="76"/>
      <c r="AB469" s="76"/>
      <c r="AC469" s="76"/>
      <c r="AD469" s="76"/>
      <c r="AE469" s="76"/>
      <c r="AF469" s="76"/>
    </row>
    <row r="470">
      <c r="A470" s="76"/>
      <c r="B470" s="170"/>
      <c r="C470" s="76"/>
      <c r="D470" s="173"/>
      <c r="E470" s="173"/>
      <c r="F470" s="173"/>
      <c r="G470" s="175"/>
      <c r="H470" s="173"/>
      <c r="I470" s="173"/>
      <c r="J470" s="173"/>
      <c r="K470" s="173"/>
      <c r="L470" s="76"/>
      <c r="M470" s="76"/>
      <c r="N470" s="76"/>
      <c r="O470" s="76"/>
      <c r="P470" s="76"/>
      <c r="Q470" s="76"/>
      <c r="R470" s="76"/>
      <c r="S470" s="76"/>
      <c r="T470" s="76"/>
      <c r="U470" s="76"/>
      <c r="V470" s="76"/>
      <c r="W470" s="76"/>
      <c r="X470" s="76"/>
      <c r="Y470" s="76"/>
      <c r="Z470" s="76"/>
      <c r="AA470" s="76"/>
      <c r="AB470" s="76"/>
      <c r="AC470" s="76"/>
      <c r="AD470" s="76"/>
      <c r="AE470" s="76"/>
      <c r="AF470" s="76"/>
    </row>
    <row r="471">
      <c r="A471" s="76"/>
      <c r="B471" s="170"/>
      <c r="C471" s="76"/>
      <c r="D471" s="173"/>
      <c r="E471" s="173"/>
      <c r="F471" s="173"/>
      <c r="G471" s="175"/>
      <c r="H471" s="173"/>
      <c r="I471" s="173"/>
      <c r="J471" s="173"/>
      <c r="K471" s="173"/>
      <c r="L471" s="76"/>
      <c r="M471" s="76"/>
      <c r="N471" s="76"/>
      <c r="O471" s="76"/>
      <c r="P471" s="76"/>
      <c r="Q471" s="76"/>
      <c r="R471" s="76"/>
      <c r="S471" s="76"/>
      <c r="T471" s="76"/>
      <c r="U471" s="76"/>
      <c r="V471" s="76"/>
      <c r="W471" s="76"/>
      <c r="X471" s="76"/>
      <c r="Y471" s="76"/>
      <c r="Z471" s="76"/>
      <c r="AA471" s="76"/>
      <c r="AB471" s="76"/>
      <c r="AC471" s="76"/>
      <c r="AD471" s="76"/>
      <c r="AE471" s="76"/>
      <c r="AF471" s="76"/>
    </row>
    <row r="472">
      <c r="A472" s="76"/>
      <c r="B472" s="170"/>
      <c r="C472" s="76"/>
      <c r="D472" s="173"/>
      <c r="E472" s="173"/>
      <c r="F472" s="173"/>
      <c r="G472" s="175"/>
      <c r="H472" s="173"/>
      <c r="I472" s="173"/>
      <c r="J472" s="173"/>
      <c r="K472" s="173"/>
      <c r="L472" s="76"/>
      <c r="M472" s="76"/>
      <c r="N472" s="76"/>
      <c r="O472" s="76"/>
      <c r="P472" s="76"/>
      <c r="Q472" s="76"/>
      <c r="R472" s="76"/>
      <c r="S472" s="76"/>
      <c r="T472" s="76"/>
      <c r="U472" s="76"/>
      <c r="V472" s="76"/>
      <c r="W472" s="76"/>
      <c r="X472" s="76"/>
      <c r="Y472" s="76"/>
      <c r="Z472" s="76"/>
      <c r="AA472" s="76"/>
      <c r="AB472" s="76"/>
      <c r="AC472" s="76"/>
      <c r="AD472" s="76"/>
      <c r="AE472" s="76"/>
      <c r="AF472" s="76"/>
    </row>
    <row r="473">
      <c r="A473" s="76"/>
      <c r="B473" s="170"/>
      <c r="C473" s="76"/>
      <c r="D473" s="173"/>
      <c r="E473" s="173"/>
      <c r="F473" s="173"/>
      <c r="G473" s="175"/>
      <c r="H473" s="173"/>
      <c r="I473" s="173"/>
      <c r="J473" s="173"/>
      <c r="K473" s="173"/>
      <c r="L473" s="76"/>
      <c r="M473" s="76"/>
      <c r="N473" s="76"/>
      <c r="O473" s="76"/>
      <c r="P473" s="76"/>
      <c r="Q473" s="76"/>
      <c r="R473" s="76"/>
      <c r="S473" s="76"/>
      <c r="T473" s="76"/>
      <c r="U473" s="76"/>
      <c r="V473" s="76"/>
      <c r="W473" s="76"/>
      <c r="X473" s="76"/>
      <c r="Y473" s="76"/>
      <c r="Z473" s="76"/>
      <c r="AA473" s="76"/>
      <c r="AB473" s="76"/>
      <c r="AC473" s="76"/>
      <c r="AD473" s="76"/>
      <c r="AE473" s="76"/>
      <c r="AF473" s="76"/>
    </row>
    <row r="474">
      <c r="A474" s="76"/>
      <c r="B474" s="170"/>
      <c r="C474" s="76"/>
      <c r="D474" s="173"/>
      <c r="E474" s="173"/>
      <c r="F474" s="173"/>
      <c r="G474" s="175"/>
      <c r="H474" s="173"/>
      <c r="I474" s="173"/>
      <c r="J474" s="173"/>
      <c r="K474" s="173"/>
      <c r="L474" s="76"/>
      <c r="M474" s="76"/>
      <c r="N474" s="76"/>
      <c r="O474" s="76"/>
      <c r="P474" s="76"/>
      <c r="Q474" s="76"/>
      <c r="R474" s="76"/>
      <c r="S474" s="76"/>
      <c r="T474" s="76"/>
      <c r="U474" s="76"/>
      <c r="V474" s="76"/>
      <c r="W474" s="76"/>
      <c r="X474" s="76"/>
      <c r="Y474" s="76"/>
      <c r="Z474" s="76"/>
      <c r="AA474" s="76"/>
      <c r="AB474" s="76"/>
      <c r="AC474" s="76"/>
      <c r="AD474" s="76"/>
      <c r="AE474" s="76"/>
      <c r="AF474" s="76"/>
    </row>
    <row r="475">
      <c r="A475" s="76"/>
      <c r="B475" s="170"/>
      <c r="C475" s="76"/>
      <c r="D475" s="173"/>
      <c r="E475" s="173"/>
      <c r="F475" s="173"/>
      <c r="G475" s="175"/>
      <c r="H475" s="173"/>
      <c r="I475" s="173"/>
      <c r="J475" s="173"/>
      <c r="K475" s="173"/>
      <c r="L475" s="76"/>
      <c r="M475" s="76"/>
      <c r="N475" s="76"/>
      <c r="O475" s="76"/>
      <c r="P475" s="76"/>
      <c r="Q475" s="76"/>
      <c r="R475" s="76"/>
      <c r="S475" s="76"/>
      <c r="T475" s="76"/>
      <c r="U475" s="76"/>
      <c r="V475" s="76"/>
      <c r="W475" s="76"/>
      <c r="X475" s="76"/>
      <c r="Y475" s="76"/>
      <c r="Z475" s="76"/>
      <c r="AA475" s="76"/>
      <c r="AB475" s="76"/>
      <c r="AC475" s="76"/>
      <c r="AD475" s="76"/>
      <c r="AE475" s="76"/>
      <c r="AF475" s="76"/>
    </row>
    <row r="476">
      <c r="A476" s="76"/>
      <c r="B476" s="170"/>
      <c r="C476" s="76"/>
      <c r="D476" s="173"/>
      <c r="E476" s="173"/>
      <c r="F476" s="173"/>
      <c r="G476" s="175"/>
      <c r="H476" s="173"/>
      <c r="I476" s="173"/>
      <c r="J476" s="173"/>
      <c r="K476" s="173"/>
      <c r="L476" s="76"/>
      <c r="M476" s="76"/>
      <c r="N476" s="76"/>
      <c r="O476" s="76"/>
      <c r="P476" s="76"/>
      <c r="Q476" s="76"/>
      <c r="R476" s="76"/>
      <c r="S476" s="76"/>
      <c r="T476" s="76"/>
      <c r="U476" s="76"/>
      <c r="V476" s="76"/>
      <c r="W476" s="76"/>
      <c r="X476" s="76"/>
      <c r="Y476" s="76"/>
      <c r="Z476" s="76"/>
      <c r="AA476" s="76"/>
      <c r="AB476" s="76"/>
      <c r="AC476" s="76"/>
      <c r="AD476" s="76"/>
      <c r="AE476" s="76"/>
      <c r="AF476" s="76"/>
    </row>
    <row r="477">
      <c r="A477" s="76"/>
      <c r="B477" s="170"/>
      <c r="C477" s="76"/>
      <c r="D477" s="173"/>
      <c r="E477" s="173"/>
      <c r="F477" s="173"/>
      <c r="G477" s="175"/>
      <c r="H477" s="173"/>
      <c r="I477" s="173"/>
      <c r="J477" s="173"/>
      <c r="K477" s="173"/>
      <c r="L477" s="76"/>
      <c r="M477" s="76"/>
      <c r="N477" s="76"/>
      <c r="O477" s="76"/>
      <c r="P477" s="76"/>
      <c r="Q477" s="76"/>
      <c r="R477" s="76"/>
      <c r="S477" s="76"/>
      <c r="T477" s="76"/>
      <c r="U477" s="76"/>
      <c r="V477" s="76"/>
      <c r="W477" s="76"/>
      <c r="X477" s="76"/>
      <c r="Y477" s="76"/>
      <c r="Z477" s="76"/>
      <c r="AA477" s="76"/>
      <c r="AB477" s="76"/>
      <c r="AC477" s="76"/>
      <c r="AD477" s="76"/>
      <c r="AE477" s="76"/>
      <c r="AF477" s="76"/>
    </row>
    <row r="478">
      <c r="A478" s="76"/>
      <c r="B478" s="170"/>
      <c r="C478" s="76"/>
      <c r="D478" s="173"/>
      <c r="E478" s="173"/>
      <c r="F478" s="173"/>
      <c r="G478" s="175"/>
      <c r="H478" s="173"/>
      <c r="I478" s="173"/>
      <c r="J478" s="173"/>
      <c r="K478" s="173"/>
      <c r="L478" s="76"/>
      <c r="M478" s="76"/>
      <c r="N478" s="76"/>
      <c r="O478" s="76"/>
      <c r="P478" s="76"/>
      <c r="Q478" s="76"/>
      <c r="R478" s="76"/>
      <c r="S478" s="76"/>
      <c r="T478" s="76"/>
      <c r="U478" s="76"/>
      <c r="V478" s="76"/>
      <c r="W478" s="76"/>
      <c r="X478" s="76"/>
      <c r="Y478" s="76"/>
      <c r="Z478" s="76"/>
      <c r="AA478" s="76"/>
      <c r="AB478" s="76"/>
      <c r="AC478" s="76"/>
      <c r="AD478" s="76"/>
      <c r="AE478" s="76"/>
      <c r="AF478" s="76"/>
    </row>
    <row r="479">
      <c r="A479" s="76"/>
      <c r="B479" s="170"/>
      <c r="C479" s="76"/>
      <c r="D479" s="173"/>
      <c r="E479" s="173"/>
      <c r="F479" s="173"/>
      <c r="G479" s="175"/>
      <c r="H479" s="173"/>
      <c r="I479" s="173"/>
      <c r="J479" s="173"/>
      <c r="K479" s="173"/>
      <c r="L479" s="76"/>
      <c r="M479" s="76"/>
      <c r="N479" s="76"/>
      <c r="O479" s="76"/>
      <c r="P479" s="76"/>
      <c r="Q479" s="76"/>
      <c r="R479" s="76"/>
      <c r="S479" s="76"/>
      <c r="T479" s="76"/>
      <c r="U479" s="76"/>
      <c r="V479" s="76"/>
      <c r="W479" s="76"/>
      <c r="X479" s="76"/>
      <c r="Y479" s="76"/>
      <c r="Z479" s="76"/>
      <c r="AA479" s="76"/>
      <c r="AB479" s="76"/>
      <c r="AC479" s="76"/>
      <c r="AD479" s="76"/>
      <c r="AE479" s="76"/>
      <c r="AF479" s="76"/>
    </row>
    <row r="480">
      <c r="A480" s="76"/>
      <c r="B480" s="170"/>
      <c r="C480" s="76"/>
      <c r="D480" s="173"/>
      <c r="E480" s="173"/>
      <c r="F480" s="173"/>
      <c r="G480" s="175"/>
      <c r="H480" s="173"/>
      <c r="I480" s="173"/>
      <c r="J480" s="173"/>
      <c r="K480" s="173"/>
      <c r="L480" s="76"/>
      <c r="M480" s="76"/>
      <c r="N480" s="76"/>
      <c r="O480" s="76"/>
      <c r="P480" s="76"/>
      <c r="Q480" s="76"/>
      <c r="R480" s="76"/>
      <c r="S480" s="76"/>
      <c r="T480" s="76"/>
      <c r="U480" s="76"/>
      <c r="V480" s="76"/>
      <c r="W480" s="76"/>
      <c r="X480" s="76"/>
      <c r="Y480" s="76"/>
      <c r="Z480" s="76"/>
      <c r="AA480" s="76"/>
      <c r="AB480" s="76"/>
      <c r="AC480" s="76"/>
      <c r="AD480" s="76"/>
      <c r="AE480" s="76"/>
      <c r="AF480" s="76"/>
    </row>
    <row r="481">
      <c r="A481" s="76"/>
      <c r="B481" s="170"/>
      <c r="C481" s="76"/>
      <c r="D481" s="173"/>
      <c r="E481" s="173"/>
      <c r="F481" s="173"/>
      <c r="G481" s="175"/>
      <c r="H481" s="173"/>
      <c r="I481" s="173"/>
      <c r="J481" s="173"/>
      <c r="K481" s="173"/>
      <c r="L481" s="76"/>
      <c r="M481" s="76"/>
      <c r="N481" s="76"/>
      <c r="O481" s="76"/>
      <c r="P481" s="76"/>
      <c r="Q481" s="76"/>
      <c r="R481" s="76"/>
      <c r="S481" s="76"/>
      <c r="T481" s="76"/>
      <c r="U481" s="76"/>
      <c r="V481" s="76"/>
      <c r="W481" s="76"/>
      <c r="X481" s="76"/>
      <c r="Y481" s="76"/>
      <c r="Z481" s="76"/>
      <c r="AA481" s="76"/>
      <c r="AB481" s="76"/>
      <c r="AC481" s="76"/>
      <c r="AD481" s="76"/>
      <c r="AE481" s="76"/>
      <c r="AF481" s="76"/>
    </row>
    <row r="482">
      <c r="A482" s="76"/>
      <c r="B482" s="170"/>
      <c r="C482" s="76"/>
      <c r="D482" s="173"/>
      <c r="E482" s="173"/>
      <c r="F482" s="173"/>
      <c r="G482" s="175"/>
      <c r="H482" s="173"/>
      <c r="I482" s="173"/>
      <c r="J482" s="173"/>
      <c r="K482" s="173"/>
      <c r="L482" s="76"/>
      <c r="M482" s="76"/>
      <c r="N482" s="76"/>
      <c r="O482" s="76"/>
      <c r="P482" s="76"/>
      <c r="Q482" s="76"/>
      <c r="R482" s="76"/>
      <c r="S482" s="76"/>
      <c r="T482" s="76"/>
      <c r="U482" s="76"/>
      <c r="V482" s="76"/>
      <c r="W482" s="76"/>
      <c r="X482" s="76"/>
      <c r="Y482" s="76"/>
      <c r="Z482" s="76"/>
      <c r="AA482" s="76"/>
      <c r="AB482" s="76"/>
      <c r="AC482" s="76"/>
      <c r="AD482" s="76"/>
      <c r="AE482" s="76"/>
      <c r="AF482" s="76"/>
    </row>
    <row r="483">
      <c r="A483" s="76"/>
      <c r="B483" s="170"/>
      <c r="C483" s="76"/>
      <c r="D483" s="173"/>
      <c r="E483" s="173"/>
      <c r="F483" s="173"/>
      <c r="G483" s="175"/>
      <c r="H483" s="173"/>
      <c r="I483" s="173"/>
      <c r="J483" s="173"/>
      <c r="K483" s="173"/>
      <c r="L483" s="76"/>
      <c r="M483" s="76"/>
      <c r="N483" s="76"/>
      <c r="O483" s="76"/>
      <c r="P483" s="76"/>
      <c r="Q483" s="76"/>
      <c r="R483" s="76"/>
      <c r="S483" s="76"/>
      <c r="T483" s="76"/>
      <c r="U483" s="76"/>
      <c r="V483" s="76"/>
      <c r="W483" s="76"/>
      <c r="X483" s="76"/>
      <c r="Y483" s="76"/>
      <c r="Z483" s="76"/>
      <c r="AA483" s="76"/>
      <c r="AB483" s="76"/>
      <c r="AC483" s="76"/>
      <c r="AD483" s="76"/>
      <c r="AE483" s="76"/>
      <c r="AF483" s="76"/>
    </row>
    <row r="484">
      <c r="A484" s="76"/>
      <c r="B484" s="170"/>
      <c r="C484" s="76"/>
      <c r="D484" s="173"/>
      <c r="E484" s="173"/>
      <c r="F484" s="173"/>
      <c r="G484" s="175"/>
      <c r="H484" s="173"/>
      <c r="I484" s="173"/>
      <c r="J484" s="173"/>
      <c r="K484" s="173"/>
      <c r="L484" s="76"/>
      <c r="M484" s="76"/>
      <c r="N484" s="76"/>
      <c r="O484" s="76"/>
      <c r="P484" s="76"/>
      <c r="Q484" s="76"/>
      <c r="R484" s="76"/>
      <c r="S484" s="76"/>
      <c r="T484" s="76"/>
      <c r="U484" s="76"/>
      <c r="V484" s="76"/>
      <c r="W484" s="76"/>
      <c r="X484" s="76"/>
      <c r="Y484" s="76"/>
      <c r="Z484" s="76"/>
      <c r="AA484" s="76"/>
      <c r="AB484" s="76"/>
      <c r="AC484" s="76"/>
      <c r="AD484" s="76"/>
      <c r="AE484" s="76"/>
      <c r="AF484" s="76"/>
    </row>
    <row r="485">
      <c r="A485" s="76"/>
      <c r="B485" s="170"/>
      <c r="C485" s="76"/>
      <c r="D485" s="173"/>
      <c r="E485" s="173"/>
      <c r="F485" s="173"/>
      <c r="G485" s="175"/>
      <c r="H485" s="173"/>
      <c r="I485" s="173"/>
      <c r="J485" s="173"/>
      <c r="K485" s="173"/>
      <c r="L485" s="76"/>
      <c r="M485" s="76"/>
      <c r="N485" s="76"/>
      <c r="O485" s="76"/>
      <c r="P485" s="76"/>
      <c r="Q485" s="76"/>
      <c r="R485" s="76"/>
      <c r="S485" s="76"/>
      <c r="T485" s="76"/>
      <c r="U485" s="76"/>
      <c r="V485" s="76"/>
      <c r="W485" s="76"/>
      <c r="X485" s="76"/>
      <c r="Y485" s="76"/>
      <c r="Z485" s="76"/>
      <c r="AA485" s="76"/>
      <c r="AB485" s="76"/>
      <c r="AC485" s="76"/>
      <c r="AD485" s="76"/>
      <c r="AE485" s="76"/>
      <c r="AF485" s="76"/>
    </row>
    <row r="486">
      <c r="A486" s="76"/>
      <c r="B486" s="170"/>
      <c r="C486" s="76"/>
      <c r="D486" s="173"/>
      <c r="E486" s="173"/>
      <c r="F486" s="173"/>
      <c r="G486" s="175"/>
      <c r="H486" s="173"/>
      <c r="I486" s="173"/>
      <c r="J486" s="173"/>
      <c r="K486" s="173"/>
      <c r="L486" s="76"/>
      <c r="M486" s="76"/>
      <c r="N486" s="76"/>
      <c r="O486" s="76"/>
      <c r="P486" s="76"/>
      <c r="Q486" s="76"/>
      <c r="R486" s="76"/>
      <c r="S486" s="76"/>
      <c r="T486" s="76"/>
      <c r="U486" s="76"/>
      <c r="V486" s="76"/>
      <c r="W486" s="76"/>
      <c r="X486" s="76"/>
      <c r="Y486" s="76"/>
      <c r="Z486" s="76"/>
      <c r="AA486" s="76"/>
      <c r="AB486" s="76"/>
      <c r="AC486" s="76"/>
      <c r="AD486" s="76"/>
      <c r="AE486" s="76"/>
      <c r="AF486" s="76"/>
    </row>
    <row r="487">
      <c r="A487" s="76"/>
      <c r="B487" s="170"/>
      <c r="C487" s="76"/>
      <c r="D487" s="173"/>
      <c r="E487" s="173"/>
      <c r="F487" s="173"/>
      <c r="G487" s="175"/>
      <c r="H487" s="173"/>
      <c r="I487" s="173"/>
      <c r="J487" s="173"/>
      <c r="K487" s="173"/>
      <c r="L487" s="76"/>
      <c r="M487" s="76"/>
      <c r="N487" s="76"/>
      <c r="O487" s="76"/>
      <c r="P487" s="76"/>
      <c r="Q487" s="76"/>
      <c r="R487" s="76"/>
      <c r="S487" s="76"/>
      <c r="T487" s="76"/>
      <c r="U487" s="76"/>
      <c r="V487" s="76"/>
      <c r="W487" s="76"/>
      <c r="X487" s="76"/>
      <c r="Y487" s="76"/>
      <c r="Z487" s="76"/>
      <c r="AA487" s="76"/>
      <c r="AB487" s="76"/>
      <c r="AC487" s="76"/>
      <c r="AD487" s="76"/>
      <c r="AE487" s="76"/>
      <c r="AF487" s="76"/>
    </row>
    <row r="488">
      <c r="A488" s="76"/>
      <c r="B488" s="170"/>
      <c r="C488" s="76"/>
      <c r="D488" s="173"/>
      <c r="E488" s="173"/>
      <c r="F488" s="173"/>
      <c r="G488" s="175"/>
      <c r="H488" s="173"/>
      <c r="I488" s="173"/>
      <c r="J488" s="173"/>
      <c r="K488" s="173"/>
      <c r="L488" s="76"/>
      <c r="M488" s="76"/>
      <c r="N488" s="76"/>
      <c r="O488" s="76"/>
      <c r="P488" s="76"/>
      <c r="Q488" s="76"/>
      <c r="R488" s="76"/>
      <c r="S488" s="76"/>
      <c r="T488" s="76"/>
      <c r="U488" s="76"/>
      <c r="V488" s="76"/>
      <c r="W488" s="76"/>
      <c r="X488" s="76"/>
      <c r="Y488" s="76"/>
      <c r="Z488" s="76"/>
      <c r="AA488" s="76"/>
      <c r="AB488" s="76"/>
      <c r="AC488" s="76"/>
      <c r="AD488" s="76"/>
      <c r="AE488" s="76"/>
      <c r="AF488" s="76"/>
    </row>
    <row r="489">
      <c r="A489" s="76"/>
      <c r="B489" s="170"/>
      <c r="C489" s="76"/>
      <c r="D489" s="173"/>
      <c r="E489" s="173"/>
      <c r="F489" s="173"/>
      <c r="G489" s="175"/>
      <c r="H489" s="173"/>
      <c r="I489" s="173"/>
      <c r="J489" s="173"/>
      <c r="K489" s="173"/>
      <c r="L489" s="76"/>
      <c r="M489" s="76"/>
      <c r="N489" s="76"/>
      <c r="O489" s="76"/>
      <c r="P489" s="76"/>
      <c r="Q489" s="76"/>
      <c r="R489" s="76"/>
      <c r="S489" s="76"/>
      <c r="T489" s="76"/>
      <c r="U489" s="76"/>
      <c r="V489" s="76"/>
      <c r="W489" s="76"/>
      <c r="X489" s="76"/>
      <c r="Y489" s="76"/>
      <c r="Z489" s="76"/>
      <c r="AA489" s="76"/>
      <c r="AB489" s="76"/>
      <c r="AC489" s="76"/>
      <c r="AD489" s="76"/>
      <c r="AE489" s="76"/>
      <c r="AF489" s="76"/>
    </row>
    <row r="490">
      <c r="A490" s="76"/>
      <c r="B490" s="170"/>
      <c r="C490" s="76"/>
      <c r="D490" s="173"/>
      <c r="E490" s="173"/>
      <c r="F490" s="173"/>
      <c r="G490" s="175"/>
      <c r="H490" s="173"/>
      <c r="I490" s="173"/>
      <c r="J490" s="173"/>
      <c r="K490" s="173"/>
      <c r="L490" s="76"/>
      <c r="M490" s="76"/>
      <c r="N490" s="76"/>
      <c r="O490" s="76"/>
      <c r="P490" s="76"/>
      <c r="Q490" s="76"/>
      <c r="R490" s="76"/>
      <c r="S490" s="76"/>
      <c r="T490" s="76"/>
      <c r="U490" s="76"/>
      <c r="V490" s="76"/>
      <c r="W490" s="76"/>
      <c r="X490" s="76"/>
      <c r="Y490" s="76"/>
      <c r="Z490" s="76"/>
      <c r="AA490" s="76"/>
      <c r="AB490" s="76"/>
      <c r="AC490" s="76"/>
      <c r="AD490" s="76"/>
      <c r="AE490" s="76"/>
      <c r="AF490" s="76"/>
    </row>
    <row r="491">
      <c r="A491" s="76"/>
      <c r="B491" s="170"/>
      <c r="C491" s="76"/>
      <c r="D491" s="173"/>
      <c r="E491" s="173"/>
      <c r="F491" s="173"/>
      <c r="G491" s="175"/>
      <c r="H491" s="173"/>
      <c r="I491" s="173"/>
      <c r="J491" s="173"/>
      <c r="K491" s="173"/>
      <c r="L491" s="76"/>
      <c r="M491" s="76"/>
      <c r="N491" s="76"/>
      <c r="O491" s="76"/>
      <c r="P491" s="76"/>
      <c r="Q491" s="76"/>
      <c r="R491" s="76"/>
      <c r="S491" s="76"/>
      <c r="T491" s="76"/>
      <c r="U491" s="76"/>
      <c r="V491" s="76"/>
      <c r="W491" s="76"/>
      <c r="X491" s="76"/>
      <c r="Y491" s="76"/>
      <c r="Z491" s="76"/>
      <c r="AA491" s="76"/>
      <c r="AB491" s="76"/>
      <c r="AC491" s="76"/>
      <c r="AD491" s="76"/>
      <c r="AE491" s="76"/>
      <c r="AF491" s="76"/>
    </row>
    <row r="492">
      <c r="A492" s="76"/>
      <c r="B492" s="170"/>
      <c r="C492" s="76"/>
      <c r="D492" s="173"/>
      <c r="E492" s="173"/>
      <c r="F492" s="173"/>
      <c r="G492" s="175"/>
      <c r="H492" s="173"/>
      <c r="I492" s="173"/>
      <c r="J492" s="173"/>
      <c r="K492" s="173"/>
      <c r="L492" s="76"/>
      <c r="M492" s="76"/>
      <c r="N492" s="76"/>
      <c r="O492" s="76"/>
      <c r="P492" s="76"/>
      <c r="Q492" s="76"/>
      <c r="R492" s="76"/>
      <c r="S492" s="76"/>
      <c r="T492" s="76"/>
      <c r="U492" s="76"/>
      <c r="V492" s="76"/>
      <c r="W492" s="76"/>
      <c r="X492" s="76"/>
      <c r="Y492" s="76"/>
      <c r="Z492" s="76"/>
      <c r="AA492" s="76"/>
      <c r="AB492" s="76"/>
      <c r="AC492" s="76"/>
      <c r="AD492" s="76"/>
      <c r="AE492" s="76"/>
      <c r="AF492" s="76"/>
    </row>
    <row r="493">
      <c r="A493" s="76"/>
      <c r="B493" s="170"/>
      <c r="C493" s="76"/>
      <c r="D493" s="173"/>
      <c r="E493" s="173"/>
      <c r="F493" s="173"/>
      <c r="G493" s="175"/>
      <c r="H493" s="173"/>
      <c r="I493" s="173"/>
      <c r="J493" s="173"/>
      <c r="K493" s="173"/>
      <c r="L493" s="76"/>
      <c r="M493" s="76"/>
      <c r="N493" s="76"/>
      <c r="O493" s="76"/>
      <c r="P493" s="76"/>
      <c r="Q493" s="76"/>
      <c r="R493" s="76"/>
      <c r="S493" s="76"/>
      <c r="T493" s="76"/>
      <c r="U493" s="76"/>
      <c r="V493" s="76"/>
      <c r="W493" s="76"/>
      <c r="X493" s="76"/>
      <c r="Y493" s="76"/>
      <c r="Z493" s="76"/>
      <c r="AA493" s="76"/>
      <c r="AB493" s="76"/>
      <c r="AC493" s="76"/>
      <c r="AD493" s="76"/>
      <c r="AE493" s="76"/>
      <c r="AF493" s="76"/>
    </row>
    <row r="494">
      <c r="A494" s="76"/>
      <c r="B494" s="170"/>
      <c r="C494" s="76"/>
      <c r="D494" s="173"/>
      <c r="E494" s="173"/>
      <c r="F494" s="173"/>
      <c r="G494" s="175"/>
      <c r="H494" s="173"/>
      <c r="I494" s="173"/>
      <c r="J494" s="173"/>
      <c r="K494" s="173"/>
      <c r="L494" s="76"/>
      <c r="M494" s="76"/>
      <c r="N494" s="76"/>
      <c r="O494" s="76"/>
      <c r="P494" s="76"/>
      <c r="Q494" s="76"/>
      <c r="R494" s="76"/>
      <c r="S494" s="76"/>
      <c r="T494" s="76"/>
      <c r="U494" s="76"/>
      <c r="V494" s="76"/>
      <c r="W494" s="76"/>
      <c r="X494" s="76"/>
      <c r="Y494" s="76"/>
      <c r="Z494" s="76"/>
      <c r="AA494" s="76"/>
      <c r="AB494" s="76"/>
      <c r="AC494" s="76"/>
      <c r="AD494" s="76"/>
      <c r="AE494" s="76"/>
      <c r="AF494" s="76"/>
    </row>
    <row r="495">
      <c r="A495" s="76"/>
      <c r="B495" s="170"/>
      <c r="C495" s="76"/>
      <c r="D495" s="173"/>
      <c r="E495" s="173"/>
      <c r="F495" s="173"/>
      <c r="G495" s="175"/>
      <c r="H495" s="173"/>
      <c r="I495" s="173"/>
      <c r="J495" s="173"/>
      <c r="K495" s="173"/>
      <c r="L495" s="76"/>
      <c r="M495" s="76"/>
      <c r="N495" s="76"/>
      <c r="O495" s="76"/>
      <c r="P495" s="76"/>
      <c r="Q495" s="76"/>
      <c r="R495" s="76"/>
      <c r="S495" s="76"/>
      <c r="T495" s="76"/>
      <c r="U495" s="76"/>
      <c r="V495" s="76"/>
      <c r="W495" s="76"/>
      <c r="X495" s="76"/>
      <c r="Y495" s="76"/>
      <c r="Z495" s="76"/>
      <c r="AA495" s="76"/>
      <c r="AB495" s="76"/>
      <c r="AC495" s="76"/>
      <c r="AD495" s="76"/>
      <c r="AE495" s="76"/>
      <c r="AF495" s="76"/>
    </row>
    <row r="496">
      <c r="A496" s="76"/>
      <c r="B496" s="170"/>
      <c r="C496" s="76"/>
      <c r="D496" s="173"/>
      <c r="E496" s="173"/>
      <c r="F496" s="173"/>
      <c r="G496" s="175"/>
      <c r="H496" s="173"/>
      <c r="I496" s="173"/>
      <c r="J496" s="173"/>
      <c r="K496" s="173"/>
      <c r="L496" s="76"/>
      <c r="M496" s="76"/>
      <c r="N496" s="76"/>
      <c r="O496" s="76"/>
      <c r="P496" s="76"/>
      <c r="Q496" s="76"/>
      <c r="R496" s="76"/>
      <c r="S496" s="76"/>
      <c r="T496" s="76"/>
      <c r="U496" s="76"/>
      <c r="V496" s="76"/>
      <c r="W496" s="76"/>
      <c r="X496" s="76"/>
      <c r="Y496" s="76"/>
      <c r="Z496" s="76"/>
      <c r="AA496" s="76"/>
      <c r="AB496" s="76"/>
      <c r="AC496" s="76"/>
      <c r="AD496" s="76"/>
      <c r="AE496" s="76"/>
      <c r="AF496" s="76"/>
    </row>
    <row r="497">
      <c r="A497" s="76"/>
      <c r="B497" s="170"/>
      <c r="C497" s="76"/>
      <c r="D497" s="173"/>
      <c r="E497" s="173"/>
      <c r="F497" s="173"/>
      <c r="G497" s="175"/>
      <c r="H497" s="173"/>
      <c r="I497" s="173"/>
      <c r="J497" s="173"/>
      <c r="K497" s="173"/>
      <c r="L497" s="76"/>
      <c r="M497" s="76"/>
      <c r="N497" s="76"/>
      <c r="O497" s="76"/>
      <c r="P497" s="76"/>
      <c r="Q497" s="76"/>
      <c r="R497" s="76"/>
      <c r="S497" s="76"/>
      <c r="T497" s="76"/>
      <c r="U497" s="76"/>
      <c r="V497" s="76"/>
      <c r="W497" s="76"/>
      <c r="X497" s="76"/>
      <c r="Y497" s="76"/>
      <c r="Z497" s="76"/>
      <c r="AA497" s="76"/>
      <c r="AB497" s="76"/>
      <c r="AC497" s="76"/>
      <c r="AD497" s="76"/>
      <c r="AE497" s="76"/>
      <c r="AF497" s="76"/>
    </row>
    <row r="498">
      <c r="A498" s="76"/>
      <c r="B498" s="170"/>
      <c r="C498" s="76"/>
      <c r="D498" s="173"/>
      <c r="E498" s="173"/>
      <c r="F498" s="173"/>
      <c r="G498" s="175"/>
      <c r="H498" s="173"/>
      <c r="I498" s="173"/>
      <c r="J498" s="173"/>
      <c r="K498" s="173"/>
      <c r="L498" s="76"/>
      <c r="M498" s="76"/>
      <c r="N498" s="76"/>
      <c r="O498" s="76"/>
      <c r="P498" s="76"/>
      <c r="Q498" s="76"/>
      <c r="R498" s="76"/>
      <c r="S498" s="76"/>
      <c r="T498" s="76"/>
      <c r="U498" s="76"/>
      <c r="V498" s="76"/>
      <c r="W498" s="76"/>
      <c r="X498" s="76"/>
      <c r="Y498" s="76"/>
      <c r="Z498" s="76"/>
      <c r="AA498" s="76"/>
      <c r="AB498" s="76"/>
      <c r="AC498" s="76"/>
      <c r="AD498" s="76"/>
      <c r="AE498" s="76"/>
      <c r="AF498" s="76"/>
    </row>
    <row r="499">
      <c r="A499" s="76"/>
      <c r="B499" s="170"/>
      <c r="C499" s="76"/>
      <c r="D499" s="173"/>
      <c r="E499" s="173"/>
      <c r="F499" s="173"/>
      <c r="G499" s="175"/>
      <c r="H499" s="173"/>
      <c r="I499" s="173"/>
      <c r="J499" s="173"/>
      <c r="K499" s="173"/>
      <c r="L499" s="76"/>
      <c r="M499" s="76"/>
      <c r="N499" s="76"/>
      <c r="O499" s="76"/>
      <c r="P499" s="76"/>
      <c r="Q499" s="76"/>
      <c r="R499" s="76"/>
      <c r="S499" s="76"/>
      <c r="T499" s="76"/>
      <c r="U499" s="76"/>
      <c r="V499" s="76"/>
      <c r="W499" s="76"/>
      <c r="X499" s="76"/>
      <c r="Y499" s="76"/>
      <c r="Z499" s="76"/>
      <c r="AA499" s="76"/>
      <c r="AB499" s="76"/>
      <c r="AC499" s="76"/>
      <c r="AD499" s="76"/>
      <c r="AE499" s="76"/>
      <c r="AF499" s="76"/>
    </row>
    <row r="500">
      <c r="A500" s="76"/>
      <c r="B500" s="170"/>
      <c r="C500" s="76"/>
      <c r="D500" s="173"/>
      <c r="E500" s="173"/>
      <c r="F500" s="173"/>
      <c r="G500" s="175"/>
      <c r="H500" s="173"/>
      <c r="I500" s="173"/>
      <c r="J500" s="173"/>
      <c r="K500" s="173"/>
      <c r="L500" s="76"/>
      <c r="M500" s="76"/>
      <c r="N500" s="76"/>
      <c r="O500" s="76"/>
      <c r="P500" s="76"/>
      <c r="Q500" s="76"/>
      <c r="R500" s="76"/>
      <c r="S500" s="76"/>
      <c r="T500" s="76"/>
      <c r="U500" s="76"/>
      <c r="V500" s="76"/>
      <c r="W500" s="76"/>
      <c r="X500" s="76"/>
      <c r="Y500" s="76"/>
      <c r="Z500" s="76"/>
      <c r="AA500" s="76"/>
      <c r="AB500" s="76"/>
      <c r="AC500" s="76"/>
      <c r="AD500" s="76"/>
      <c r="AE500" s="76"/>
      <c r="AF500" s="76"/>
    </row>
    <row r="501">
      <c r="A501" s="76"/>
      <c r="B501" s="170"/>
      <c r="C501" s="76"/>
      <c r="D501" s="173"/>
      <c r="E501" s="173"/>
      <c r="F501" s="173"/>
      <c r="G501" s="175"/>
      <c r="H501" s="173"/>
      <c r="I501" s="173"/>
      <c r="J501" s="173"/>
      <c r="K501" s="173"/>
      <c r="L501" s="76"/>
      <c r="M501" s="76"/>
      <c r="N501" s="76"/>
      <c r="O501" s="76"/>
      <c r="P501" s="76"/>
      <c r="Q501" s="76"/>
      <c r="R501" s="76"/>
      <c r="S501" s="76"/>
      <c r="T501" s="76"/>
      <c r="U501" s="76"/>
      <c r="V501" s="76"/>
      <c r="W501" s="76"/>
      <c r="X501" s="76"/>
      <c r="Y501" s="76"/>
      <c r="Z501" s="76"/>
      <c r="AA501" s="76"/>
      <c r="AB501" s="76"/>
      <c r="AC501" s="76"/>
      <c r="AD501" s="76"/>
      <c r="AE501" s="76"/>
      <c r="AF501" s="76"/>
    </row>
    <row r="502">
      <c r="A502" s="76"/>
      <c r="B502" s="170"/>
      <c r="C502" s="76"/>
      <c r="D502" s="173"/>
      <c r="E502" s="173"/>
      <c r="F502" s="173"/>
      <c r="G502" s="175"/>
      <c r="H502" s="173"/>
      <c r="I502" s="173"/>
      <c r="J502" s="173"/>
      <c r="K502" s="173"/>
      <c r="L502" s="76"/>
      <c r="M502" s="76"/>
      <c r="N502" s="76"/>
      <c r="O502" s="76"/>
      <c r="P502" s="76"/>
      <c r="Q502" s="76"/>
      <c r="R502" s="76"/>
      <c r="S502" s="76"/>
      <c r="T502" s="76"/>
      <c r="U502" s="76"/>
      <c r="V502" s="76"/>
      <c r="W502" s="76"/>
      <c r="X502" s="76"/>
      <c r="Y502" s="76"/>
      <c r="Z502" s="76"/>
      <c r="AA502" s="76"/>
      <c r="AB502" s="76"/>
      <c r="AC502" s="76"/>
      <c r="AD502" s="76"/>
      <c r="AE502" s="76"/>
      <c r="AF502" s="76"/>
    </row>
    <row r="503">
      <c r="A503" s="76"/>
      <c r="B503" s="170"/>
      <c r="C503" s="76"/>
      <c r="D503" s="173"/>
      <c r="E503" s="173"/>
      <c r="F503" s="173"/>
      <c r="G503" s="175"/>
      <c r="H503" s="173"/>
      <c r="I503" s="173"/>
      <c r="J503" s="173"/>
      <c r="K503" s="173"/>
      <c r="L503" s="76"/>
      <c r="M503" s="76"/>
      <c r="N503" s="76"/>
      <c r="O503" s="76"/>
      <c r="P503" s="76"/>
      <c r="Q503" s="76"/>
      <c r="R503" s="76"/>
      <c r="S503" s="76"/>
      <c r="T503" s="76"/>
      <c r="U503" s="76"/>
      <c r="V503" s="76"/>
      <c r="W503" s="76"/>
      <c r="X503" s="76"/>
      <c r="Y503" s="76"/>
      <c r="Z503" s="76"/>
      <c r="AA503" s="76"/>
      <c r="AB503" s="76"/>
      <c r="AC503" s="76"/>
      <c r="AD503" s="76"/>
      <c r="AE503" s="76"/>
      <c r="AF503" s="76"/>
    </row>
    <row r="504">
      <c r="A504" s="76"/>
      <c r="B504" s="170"/>
      <c r="C504" s="76"/>
      <c r="D504" s="173"/>
      <c r="E504" s="173"/>
      <c r="F504" s="173"/>
      <c r="G504" s="175"/>
      <c r="H504" s="173"/>
      <c r="I504" s="173"/>
      <c r="J504" s="173"/>
      <c r="K504" s="173"/>
      <c r="L504" s="76"/>
      <c r="M504" s="76"/>
      <c r="N504" s="76"/>
      <c r="O504" s="76"/>
      <c r="P504" s="76"/>
      <c r="Q504" s="76"/>
      <c r="R504" s="76"/>
      <c r="S504" s="76"/>
      <c r="T504" s="76"/>
      <c r="U504" s="76"/>
      <c r="V504" s="76"/>
      <c r="W504" s="76"/>
      <c r="X504" s="76"/>
      <c r="Y504" s="76"/>
      <c r="Z504" s="76"/>
      <c r="AA504" s="76"/>
      <c r="AB504" s="76"/>
      <c r="AC504" s="76"/>
      <c r="AD504" s="76"/>
      <c r="AE504" s="76"/>
      <c r="AF504" s="76"/>
    </row>
    <row r="505">
      <c r="A505" s="76"/>
      <c r="B505" s="170"/>
      <c r="C505" s="76"/>
      <c r="D505" s="173"/>
      <c r="E505" s="173"/>
      <c r="F505" s="173"/>
      <c r="G505" s="175"/>
      <c r="H505" s="173"/>
      <c r="I505" s="173"/>
      <c r="J505" s="173"/>
      <c r="K505" s="173"/>
      <c r="L505" s="76"/>
      <c r="M505" s="76"/>
      <c r="N505" s="76"/>
      <c r="O505" s="76"/>
      <c r="P505" s="76"/>
      <c r="Q505" s="76"/>
      <c r="R505" s="76"/>
      <c r="S505" s="76"/>
      <c r="T505" s="76"/>
      <c r="U505" s="76"/>
      <c r="V505" s="76"/>
      <c r="W505" s="76"/>
      <c r="X505" s="76"/>
      <c r="Y505" s="76"/>
      <c r="Z505" s="76"/>
      <c r="AA505" s="76"/>
      <c r="AB505" s="76"/>
      <c r="AC505" s="76"/>
      <c r="AD505" s="76"/>
      <c r="AE505" s="76"/>
      <c r="AF505" s="76"/>
    </row>
    <row r="506">
      <c r="A506" s="76"/>
      <c r="B506" s="170"/>
      <c r="C506" s="76"/>
      <c r="D506" s="173"/>
      <c r="E506" s="173"/>
      <c r="F506" s="173"/>
      <c r="G506" s="175"/>
      <c r="H506" s="173"/>
      <c r="I506" s="173"/>
      <c r="J506" s="173"/>
      <c r="K506" s="173"/>
      <c r="L506" s="76"/>
      <c r="M506" s="76"/>
      <c r="N506" s="76"/>
      <c r="O506" s="76"/>
      <c r="P506" s="76"/>
      <c r="Q506" s="76"/>
      <c r="R506" s="76"/>
      <c r="S506" s="76"/>
      <c r="T506" s="76"/>
      <c r="U506" s="76"/>
      <c r="V506" s="76"/>
      <c r="W506" s="76"/>
      <c r="X506" s="76"/>
      <c r="Y506" s="76"/>
      <c r="Z506" s="76"/>
      <c r="AA506" s="76"/>
      <c r="AB506" s="76"/>
      <c r="AC506" s="76"/>
      <c r="AD506" s="76"/>
      <c r="AE506" s="76"/>
      <c r="AF506" s="76"/>
    </row>
    <row r="507">
      <c r="A507" s="76"/>
      <c r="B507" s="170"/>
      <c r="C507" s="76"/>
      <c r="D507" s="173"/>
      <c r="E507" s="173"/>
      <c r="F507" s="173"/>
      <c r="G507" s="175"/>
      <c r="H507" s="173"/>
      <c r="I507" s="173"/>
      <c r="J507" s="173"/>
      <c r="K507" s="173"/>
      <c r="L507" s="76"/>
      <c r="M507" s="76"/>
      <c r="N507" s="76"/>
      <c r="O507" s="76"/>
      <c r="P507" s="76"/>
      <c r="Q507" s="76"/>
      <c r="R507" s="76"/>
      <c r="S507" s="76"/>
      <c r="T507" s="76"/>
      <c r="U507" s="76"/>
      <c r="V507" s="76"/>
      <c r="W507" s="76"/>
      <c r="X507" s="76"/>
      <c r="Y507" s="76"/>
      <c r="Z507" s="76"/>
      <c r="AA507" s="76"/>
      <c r="AB507" s="76"/>
      <c r="AC507" s="76"/>
      <c r="AD507" s="76"/>
      <c r="AE507" s="76"/>
      <c r="AF507" s="76"/>
    </row>
    <row r="508">
      <c r="A508" s="76"/>
      <c r="B508" s="170"/>
      <c r="C508" s="76"/>
      <c r="D508" s="173"/>
      <c r="E508" s="173"/>
      <c r="F508" s="173"/>
      <c r="G508" s="175"/>
      <c r="H508" s="173"/>
      <c r="I508" s="173"/>
      <c r="J508" s="173"/>
      <c r="K508" s="173"/>
      <c r="L508" s="76"/>
      <c r="M508" s="76"/>
      <c r="N508" s="76"/>
      <c r="O508" s="76"/>
      <c r="P508" s="76"/>
      <c r="Q508" s="76"/>
      <c r="R508" s="76"/>
      <c r="S508" s="76"/>
      <c r="T508" s="76"/>
      <c r="U508" s="76"/>
      <c r="V508" s="76"/>
      <c r="W508" s="76"/>
      <c r="X508" s="76"/>
      <c r="Y508" s="76"/>
      <c r="Z508" s="76"/>
      <c r="AA508" s="76"/>
      <c r="AB508" s="76"/>
      <c r="AC508" s="76"/>
      <c r="AD508" s="76"/>
      <c r="AE508" s="76"/>
      <c r="AF508" s="76"/>
    </row>
    <row r="509">
      <c r="A509" s="76"/>
      <c r="B509" s="170"/>
      <c r="C509" s="76"/>
      <c r="D509" s="173"/>
      <c r="E509" s="173"/>
      <c r="F509" s="173"/>
      <c r="G509" s="175"/>
      <c r="H509" s="173"/>
      <c r="I509" s="173"/>
      <c r="J509" s="173"/>
      <c r="K509" s="173"/>
      <c r="L509" s="76"/>
      <c r="M509" s="76"/>
      <c r="N509" s="76"/>
      <c r="O509" s="76"/>
      <c r="P509" s="76"/>
      <c r="Q509" s="76"/>
      <c r="R509" s="76"/>
      <c r="S509" s="76"/>
      <c r="T509" s="76"/>
      <c r="U509" s="76"/>
      <c r="V509" s="76"/>
      <c r="W509" s="76"/>
      <c r="X509" s="76"/>
      <c r="Y509" s="76"/>
      <c r="Z509" s="76"/>
      <c r="AA509" s="76"/>
      <c r="AB509" s="76"/>
      <c r="AC509" s="76"/>
      <c r="AD509" s="76"/>
      <c r="AE509" s="76"/>
      <c r="AF509" s="76"/>
    </row>
    <row r="510">
      <c r="A510" s="76"/>
      <c r="B510" s="170"/>
      <c r="C510" s="76"/>
      <c r="D510" s="173"/>
      <c r="E510" s="173"/>
      <c r="F510" s="173"/>
      <c r="G510" s="175"/>
      <c r="H510" s="173"/>
      <c r="I510" s="173"/>
      <c r="J510" s="173"/>
      <c r="K510" s="173"/>
      <c r="L510" s="76"/>
      <c r="M510" s="76"/>
      <c r="N510" s="76"/>
      <c r="O510" s="76"/>
      <c r="P510" s="76"/>
      <c r="Q510" s="76"/>
      <c r="R510" s="76"/>
      <c r="S510" s="76"/>
      <c r="T510" s="76"/>
      <c r="U510" s="76"/>
      <c r="V510" s="76"/>
      <c r="W510" s="76"/>
      <c r="X510" s="76"/>
      <c r="Y510" s="76"/>
      <c r="Z510" s="76"/>
      <c r="AA510" s="76"/>
      <c r="AB510" s="76"/>
      <c r="AC510" s="76"/>
      <c r="AD510" s="76"/>
      <c r="AE510" s="76"/>
      <c r="AF510" s="76"/>
    </row>
    <row r="511">
      <c r="A511" s="76"/>
      <c r="B511" s="170"/>
      <c r="C511" s="76"/>
      <c r="D511" s="173"/>
      <c r="E511" s="173"/>
      <c r="F511" s="173"/>
      <c r="G511" s="175"/>
      <c r="H511" s="173"/>
      <c r="I511" s="173"/>
      <c r="J511" s="173"/>
      <c r="K511" s="173"/>
      <c r="L511" s="76"/>
      <c r="M511" s="76"/>
      <c r="N511" s="76"/>
      <c r="O511" s="76"/>
      <c r="P511" s="76"/>
      <c r="Q511" s="76"/>
      <c r="R511" s="76"/>
      <c r="S511" s="76"/>
      <c r="T511" s="76"/>
      <c r="U511" s="76"/>
      <c r="V511" s="76"/>
      <c r="W511" s="76"/>
      <c r="X511" s="76"/>
      <c r="Y511" s="76"/>
      <c r="Z511" s="76"/>
      <c r="AA511" s="76"/>
      <c r="AB511" s="76"/>
      <c r="AC511" s="76"/>
      <c r="AD511" s="76"/>
      <c r="AE511" s="76"/>
      <c r="AF511" s="76"/>
    </row>
    <row r="512">
      <c r="A512" s="76"/>
      <c r="B512" s="170"/>
      <c r="C512" s="76"/>
      <c r="D512" s="173"/>
      <c r="E512" s="173"/>
      <c r="F512" s="173"/>
      <c r="G512" s="175"/>
      <c r="H512" s="173"/>
      <c r="I512" s="173"/>
      <c r="J512" s="173"/>
      <c r="K512" s="173"/>
      <c r="L512" s="76"/>
      <c r="M512" s="76"/>
      <c r="N512" s="76"/>
      <c r="O512" s="76"/>
      <c r="P512" s="76"/>
      <c r="Q512" s="76"/>
      <c r="R512" s="76"/>
      <c r="S512" s="76"/>
      <c r="T512" s="76"/>
      <c r="U512" s="76"/>
      <c r="V512" s="76"/>
      <c r="W512" s="76"/>
      <c r="X512" s="76"/>
      <c r="Y512" s="76"/>
      <c r="Z512" s="76"/>
      <c r="AA512" s="76"/>
      <c r="AB512" s="76"/>
      <c r="AC512" s="76"/>
      <c r="AD512" s="76"/>
      <c r="AE512" s="76"/>
      <c r="AF512" s="76"/>
    </row>
    <row r="513">
      <c r="A513" s="76"/>
      <c r="B513" s="170"/>
      <c r="C513" s="76"/>
      <c r="D513" s="173"/>
      <c r="E513" s="173"/>
      <c r="F513" s="173"/>
      <c r="G513" s="175"/>
      <c r="H513" s="173"/>
      <c r="I513" s="173"/>
      <c r="J513" s="173"/>
      <c r="K513" s="173"/>
      <c r="L513" s="76"/>
      <c r="M513" s="76"/>
      <c r="N513" s="76"/>
      <c r="O513" s="76"/>
      <c r="P513" s="76"/>
      <c r="Q513" s="76"/>
      <c r="R513" s="76"/>
      <c r="S513" s="76"/>
      <c r="T513" s="76"/>
      <c r="U513" s="76"/>
      <c r="V513" s="76"/>
      <c r="W513" s="76"/>
      <c r="X513" s="76"/>
      <c r="Y513" s="76"/>
      <c r="Z513" s="76"/>
      <c r="AA513" s="76"/>
      <c r="AB513" s="76"/>
      <c r="AC513" s="76"/>
      <c r="AD513" s="76"/>
      <c r="AE513" s="76"/>
      <c r="AF513" s="76"/>
    </row>
    <row r="514">
      <c r="A514" s="76"/>
      <c r="B514" s="170"/>
      <c r="C514" s="76"/>
      <c r="D514" s="173"/>
      <c r="E514" s="173"/>
      <c r="F514" s="173"/>
      <c r="G514" s="175"/>
      <c r="H514" s="173"/>
      <c r="I514" s="173"/>
      <c r="J514" s="173"/>
      <c r="K514" s="173"/>
      <c r="L514" s="76"/>
      <c r="M514" s="76"/>
      <c r="N514" s="76"/>
      <c r="O514" s="76"/>
      <c r="P514" s="76"/>
      <c r="Q514" s="76"/>
      <c r="R514" s="76"/>
      <c r="S514" s="76"/>
      <c r="T514" s="76"/>
      <c r="U514" s="76"/>
      <c r="V514" s="76"/>
      <c r="W514" s="76"/>
      <c r="X514" s="76"/>
      <c r="Y514" s="76"/>
      <c r="Z514" s="76"/>
      <c r="AA514" s="76"/>
      <c r="AB514" s="76"/>
      <c r="AC514" s="76"/>
      <c r="AD514" s="76"/>
      <c r="AE514" s="76"/>
      <c r="AF514" s="76"/>
    </row>
    <row r="515">
      <c r="A515" s="76"/>
      <c r="B515" s="170"/>
      <c r="C515" s="76"/>
      <c r="D515" s="173"/>
      <c r="E515" s="173"/>
      <c r="F515" s="173"/>
      <c r="G515" s="175"/>
      <c r="H515" s="173"/>
      <c r="I515" s="173"/>
      <c r="J515" s="173"/>
      <c r="K515" s="173"/>
      <c r="L515" s="76"/>
      <c r="M515" s="76"/>
      <c r="N515" s="76"/>
      <c r="O515" s="76"/>
      <c r="P515" s="76"/>
      <c r="Q515" s="76"/>
      <c r="R515" s="76"/>
      <c r="S515" s="76"/>
      <c r="T515" s="76"/>
      <c r="U515" s="76"/>
      <c r="V515" s="76"/>
      <c r="W515" s="76"/>
      <c r="X515" s="76"/>
      <c r="Y515" s="76"/>
      <c r="Z515" s="76"/>
      <c r="AA515" s="76"/>
      <c r="AB515" s="76"/>
      <c r="AC515" s="76"/>
      <c r="AD515" s="76"/>
      <c r="AE515" s="76"/>
      <c r="AF515" s="76"/>
    </row>
    <row r="516">
      <c r="A516" s="76"/>
      <c r="B516" s="170"/>
      <c r="C516" s="76"/>
      <c r="D516" s="173"/>
      <c r="E516" s="173"/>
      <c r="F516" s="173"/>
      <c r="G516" s="175"/>
      <c r="H516" s="173"/>
      <c r="I516" s="173"/>
      <c r="J516" s="173"/>
      <c r="K516" s="173"/>
      <c r="L516" s="76"/>
      <c r="M516" s="76"/>
      <c r="N516" s="76"/>
      <c r="O516" s="76"/>
      <c r="P516" s="76"/>
      <c r="Q516" s="76"/>
      <c r="R516" s="76"/>
      <c r="S516" s="76"/>
      <c r="T516" s="76"/>
      <c r="U516" s="76"/>
      <c r="V516" s="76"/>
      <c r="W516" s="76"/>
      <c r="X516" s="76"/>
      <c r="Y516" s="76"/>
      <c r="Z516" s="76"/>
      <c r="AA516" s="76"/>
      <c r="AB516" s="76"/>
      <c r="AC516" s="76"/>
      <c r="AD516" s="76"/>
      <c r="AE516" s="76"/>
      <c r="AF516" s="76"/>
    </row>
    <row r="517">
      <c r="A517" s="76"/>
      <c r="B517" s="170"/>
      <c r="C517" s="76"/>
      <c r="D517" s="173"/>
      <c r="E517" s="173"/>
      <c r="F517" s="173"/>
      <c r="G517" s="175"/>
      <c r="H517" s="173"/>
      <c r="I517" s="173"/>
      <c r="J517" s="173"/>
      <c r="K517" s="173"/>
      <c r="L517" s="76"/>
      <c r="M517" s="76"/>
      <c r="N517" s="76"/>
      <c r="O517" s="76"/>
      <c r="P517" s="76"/>
      <c r="Q517" s="76"/>
      <c r="R517" s="76"/>
      <c r="S517" s="76"/>
      <c r="T517" s="76"/>
      <c r="U517" s="76"/>
      <c r="V517" s="76"/>
      <c r="W517" s="76"/>
      <c r="X517" s="76"/>
      <c r="Y517" s="76"/>
      <c r="Z517" s="76"/>
      <c r="AA517" s="76"/>
      <c r="AB517" s="76"/>
      <c r="AC517" s="76"/>
      <c r="AD517" s="76"/>
      <c r="AE517" s="76"/>
      <c r="AF517" s="76"/>
    </row>
    <row r="518">
      <c r="A518" s="76"/>
      <c r="B518" s="170"/>
      <c r="C518" s="76"/>
      <c r="D518" s="173"/>
      <c r="E518" s="173"/>
      <c r="F518" s="173"/>
      <c r="G518" s="175"/>
      <c r="H518" s="173"/>
      <c r="I518" s="173"/>
      <c r="J518" s="173"/>
      <c r="K518" s="173"/>
      <c r="L518" s="76"/>
      <c r="M518" s="76"/>
      <c r="N518" s="76"/>
      <c r="O518" s="76"/>
      <c r="P518" s="76"/>
      <c r="Q518" s="76"/>
      <c r="R518" s="76"/>
      <c r="S518" s="76"/>
      <c r="T518" s="76"/>
      <c r="U518" s="76"/>
      <c r="V518" s="76"/>
      <c r="W518" s="76"/>
      <c r="X518" s="76"/>
      <c r="Y518" s="76"/>
      <c r="Z518" s="76"/>
      <c r="AA518" s="76"/>
      <c r="AB518" s="76"/>
      <c r="AC518" s="76"/>
      <c r="AD518" s="76"/>
      <c r="AE518" s="76"/>
      <c r="AF518" s="76"/>
    </row>
    <row r="519">
      <c r="A519" s="76"/>
      <c r="B519" s="170"/>
      <c r="C519" s="76"/>
      <c r="D519" s="173"/>
      <c r="E519" s="173"/>
      <c r="F519" s="173"/>
      <c r="G519" s="175"/>
      <c r="H519" s="173"/>
      <c r="I519" s="173"/>
      <c r="J519" s="173"/>
      <c r="K519" s="173"/>
      <c r="L519" s="76"/>
      <c r="M519" s="76"/>
      <c r="N519" s="76"/>
      <c r="O519" s="76"/>
      <c r="P519" s="76"/>
      <c r="Q519" s="76"/>
      <c r="R519" s="76"/>
      <c r="S519" s="76"/>
      <c r="T519" s="76"/>
      <c r="U519" s="76"/>
      <c r="V519" s="76"/>
      <c r="W519" s="76"/>
      <c r="X519" s="76"/>
      <c r="Y519" s="76"/>
      <c r="Z519" s="76"/>
      <c r="AA519" s="76"/>
      <c r="AB519" s="76"/>
      <c r="AC519" s="76"/>
      <c r="AD519" s="76"/>
      <c r="AE519" s="76"/>
      <c r="AF519" s="76"/>
    </row>
    <row r="520">
      <c r="A520" s="76"/>
      <c r="B520" s="170"/>
      <c r="C520" s="76"/>
      <c r="D520" s="173"/>
      <c r="E520" s="173"/>
      <c r="F520" s="173"/>
      <c r="G520" s="175"/>
      <c r="H520" s="173"/>
      <c r="I520" s="173"/>
      <c r="J520" s="173"/>
      <c r="K520" s="173"/>
      <c r="L520" s="76"/>
      <c r="M520" s="76"/>
      <c r="N520" s="76"/>
      <c r="O520" s="76"/>
      <c r="P520" s="76"/>
      <c r="Q520" s="76"/>
      <c r="R520" s="76"/>
      <c r="S520" s="76"/>
      <c r="T520" s="76"/>
      <c r="U520" s="76"/>
      <c r="V520" s="76"/>
      <c r="W520" s="76"/>
      <c r="X520" s="76"/>
      <c r="Y520" s="76"/>
      <c r="Z520" s="76"/>
      <c r="AA520" s="76"/>
      <c r="AB520" s="76"/>
      <c r="AC520" s="76"/>
      <c r="AD520" s="76"/>
      <c r="AE520" s="76"/>
      <c r="AF520" s="76"/>
    </row>
    <row r="521">
      <c r="A521" s="76"/>
      <c r="B521" s="170"/>
      <c r="C521" s="76"/>
      <c r="D521" s="173"/>
      <c r="E521" s="173"/>
      <c r="F521" s="173"/>
      <c r="G521" s="175"/>
      <c r="H521" s="173"/>
      <c r="I521" s="173"/>
      <c r="J521" s="173"/>
      <c r="K521" s="173"/>
      <c r="L521" s="76"/>
      <c r="M521" s="76"/>
      <c r="N521" s="76"/>
      <c r="O521" s="76"/>
      <c r="P521" s="76"/>
      <c r="Q521" s="76"/>
      <c r="R521" s="76"/>
      <c r="S521" s="76"/>
      <c r="T521" s="76"/>
      <c r="U521" s="76"/>
      <c r="V521" s="76"/>
      <c r="W521" s="76"/>
      <c r="X521" s="76"/>
      <c r="Y521" s="76"/>
      <c r="Z521" s="76"/>
      <c r="AA521" s="76"/>
      <c r="AB521" s="76"/>
      <c r="AC521" s="76"/>
      <c r="AD521" s="76"/>
      <c r="AE521" s="76"/>
      <c r="AF521" s="76"/>
    </row>
    <row r="522">
      <c r="A522" s="76"/>
      <c r="B522" s="170"/>
      <c r="C522" s="76"/>
      <c r="D522" s="173"/>
      <c r="E522" s="173"/>
      <c r="F522" s="173"/>
      <c r="G522" s="175"/>
      <c r="H522" s="173"/>
      <c r="I522" s="173"/>
      <c r="J522" s="173"/>
      <c r="K522" s="173"/>
      <c r="L522" s="76"/>
      <c r="M522" s="76"/>
      <c r="N522" s="76"/>
      <c r="O522" s="76"/>
      <c r="P522" s="76"/>
      <c r="Q522" s="76"/>
      <c r="R522" s="76"/>
      <c r="S522" s="76"/>
      <c r="T522" s="76"/>
      <c r="U522" s="76"/>
      <c r="V522" s="76"/>
      <c r="W522" s="76"/>
      <c r="X522" s="76"/>
      <c r="Y522" s="76"/>
      <c r="Z522" s="76"/>
      <c r="AA522" s="76"/>
      <c r="AB522" s="76"/>
      <c r="AC522" s="76"/>
      <c r="AD522" s="76"/>
      <c r="AE522" s="76"/>
      <c r="AF522" s="76"/>
    </row>
    <row r="523">
      <c r="A523" s="76"/>
      <c r="B523" s="170"/>
      <c r="C523" s="76"/>
      <c r="D523" s="173"/>
      <c r="E523" s="173"/>
      <c r="F523" s="173"/>
      <c r="G523" s="175"/>
      <c r="H523" s="173"/>
      <c r="I523" s="173"/>
      <c r="J523" s="173"/>
      <c r="K523" s="173"/>
      <c r="L523" s="76"/>
      <c r="M523" s="76"/>
      <c r="N523" s="76"/>
      <c r="O523" s="76"/>
      <c r="P523" s="76"/>
      <c r="Q523" s="76"/>
      <c r="R523" s="76"/>
      <c r="S523" s="76"/>
      <c r="T523" s="76"/>
      <c r="U523" s="76"/>
      <c r="V523" s="76"/>
      <c r="W523" s="76"/>
      <c r="X523" s="76"/>
      <c r="Y523" s="76"/>
      <c r="Z523" s="76"/>
      <c r="AA523" s="76"/>
      <c r="AB523" s="76"/>
      <c r="AC523" s="76"/>
      <c r="AD523" s="76"/>
      <c r="AE523" s="76"/>
      <c r="AF523" s="76"/>
    </row>
    <row r="524">
      <c r="A524" s="76"/>
      <c r="B524" s="170"/>
      <c r="C524" s="76"/>
      <c r="D524" s="173"/>
      <c r="E524" s="173"/>
      <c r="F524" s="173"/>
      <c r="G524" s="175"/>
      <c r="H524" s="173"/>
      <c r="I524" s="173"/>
      <c r="J524" s="173"/>
      <c r="K524" s="173"/>
      <c r="L524" s="76"/>
      <c r="M524" s="76"/>
      <c r="N524" s="76"/>
      <c r="O524" s="76"/>
      <c r="P524" s="76"/>
      <c r="Q524" s="76"/>
      <c r="R524" s="76"/>
      <c r="S524" s="76"/>
      <c r="T524" s="76"/>
      <c r="U524" s="76"/>
      <c r="V524" s="76"/>
      <c r="W524" s="76"/>
      <c r="X524" s="76"/>
      <c r="Y524" s="76"/>
      <c r="Z524" s="76"/>
      <c r="AA524" s="76"/>
      <c r="AB524" s="76"/>
      <c r="AC524" s="76"/>
      <c r="AD524" s="76"/>
      <c r="AE524" s="76"/>
      <c r="AF524" s="76"/>
    </row>
    <row r="525">
      <c r="A525" s="76"/>
      <c r="B525" s="170"/>
      <c r="C525" s="76"/>
      <c r="D525" s="173"/>
      <c r="E525" s="173"/>
      <c r="F525" s="173"/>
      <c r="G525" s="175"/>
      <c r="H525" s="173"/>
      <c r="I525" s="173"/>
      <c r="J525" s="173"/>
      <c r="K525" s="173"/>
      <c r="L525" s="76"/>
      <c r="M525" s="76"/>
      <c r="N525" s="76"/>
      <c r="O525" s="76"/>
      <c r="P525" s="76"/>
      <c r="Q525" s="76"/>
      <c r="R525" s="76"/>
      <c r="S525" s="76"/>
      <c r="T525" s="76"/>
      <c r="U525" s="76"/>
      <c r="V525" s="76"/>
      <c r="W525" s="76"/>
      <c r="X525" s="76"/>
      <c r="Y525" s="76"/>
      <c r="Z525" s="76"/>
      <c r="AA525" s="76"/>
      <c r="AB525" s="76"/>
      <c r="AC525" s="76"/>
      <c r="AD525" s="76"/>
      <c r="AE525" s="76"/>
      <c r="AF525" s="76"/>
    </row>
    <row r="526">
      <c r="A526" s="76"/>
      <c r="B526" s="170"/>
      <c r="C526" s="76"/>
      <c r="D526" s="173"/>
      <c r="E526" s="173"/>
      <c r="F526" s="173"/>
      <c r="G526" s="175"/>
      <c r="H526" s="173"/>
      <c r="I526" s="173"/>
      <c r="J526" s="173"/>
      <c r="K526" s="173"/>
      <c r="L526" s="76"/>
      <c r="M526" s="76"/>
      <c r="N526" s="76"/>
      <c r="O526" s="76"/>
      <c r="P526" s="76"/>
      <c r="Q526" s="76"/>
      <c r="R526" s="76"/>
      <c r="S526" s="76"/>
      <c r="T526" s="76"/>
      <c r="U526" s="76"/>
      <c r="V526" s="76"/>
      <c r="W526" s="76"/>
      <c r="X526" s="76"/>
      <c r="Y526" s="76"/>
      <c r="Z526" s="76"/>
      <c r="AA526" s="76"/>
      <c r="AB526" s="76"/>
      <c r="AC526" s="76"/>
      <c r="AD526" s="76"/>
      <c r="AE526" s="76"/>
      <c r="AF526" s="76"/>
    </row>
    <row r="527">
      <c r="A527" s="76"/>
      <c r="B527" s="170"/>
      <c r="C527" s="76"/>
      <c r="D527" s="173"/>
      <c r="E527" s="173"/>
      <c r="F527" s="173"/>
      <c r="G527" s="175"/>
      <c r="H527" s="173"/>
      <c r="I527" s="173"/>
      <c r="J527" s="173"/>
      <c r="K527" s="173"/>
      <c r="L527" s="76"/>
      <c r="M527" s="76"/>
      <c r="N527" s="76"/>
      <c r="O527" s="76"/>
      <c r="P527" s="76"/>
      <c r="Q527" s="76"/>
      <c r="R527" s="76"/>
      <c r="S527" s="76"/>
      <c r="T527" s="76"/>
      <c r="U527" s="76"/>
      <c r="V527" s="76"/>
      <c r="W527" s="76"/>
      <c r="X527" s="76"/>
      <c r="Y527" s="76"/>
      <c r="Z527" s="76"/>
      <c r="AA527" s="76"/>
      <c r="AB527" s="76"/>
      <c r="AC527" s="76"/>
      <c r="AD527" s="76"/>
      <c r="AE527" s="76"/>
      <c r="AF527" s="76"/>
    </row>
    <row r="528">
      <c r="A528" s="76"/>
      <c r="B528" s="170"/>
      <c r="C528" s="76"/>
      <c r="D528" s="173"/>
      <c r="E528" s="173"/>
      <c r="F528" s="173"/>
      <c r="G528" s="175"/>
      <c r="H528" s="173"/>
      <c r="I528" s="173"/>
      <c r="J528" s="173"/>
      <c r="K528" s="173"/>
      <c r="L528" s="76"/>
      <c r="M528" s="76"/>
      <c r="N528" s="76"/>
      <c r="O528" s="76"/>
      <c r="P528" s="76"/>
      <c r="Q528" s="76"/>
      <c r="R528" s="76"/>
      <c r="S528" s="76"/>
      <c r="T528" s="76"/>
      <c r="U528" s="76"/>
      <c r="V528" s="76"/>
      <c r="W528" s="76"/>
      <c r="X528" s="76"/>
      <c r="Y528" s="76"/>
      <c r="Z528" s="76"/>
      <c r="AA528" s="76"/>
      <c r="AB528" s="76"/>
      <c r="AC528" s="76"/>
      <c r="AD528" s="76"/>
      <c r="AE528" s="76"/>
      <c r="AF528" s="76"/>
    </row>
    <row r="529">
      <c r="A529" s="76"/>
      <c r="B529" s="170"/>
      <c r="C529" s="76"/>
      <c r="D529" s="173"/>
      <c r="E529" s="173"/>
      <c r="F529" s="173"/>
      <c r="G529" s="175"/>
      <c r="H529" s="173"/>
      <c r="I529" s="173"/>
      <c r="J529" s="173"/>
      <c r="K529" s="173"/>
      <c r="L529" s="76"/>
      <c r="M529" s="76"/>
      <c r="N529" s="76"/>
      <c r="O529" s="76"/>
      <c r="P529" s="76"/>
      <c r="Q529" s="76"/>
      <c r="R529" s="76"/>
      <c r="S529" s="76"/>
      <c r="T529" s="76"/>
      <c r="U529" s="76"/>
      <c r="V529" s="76"/>
      <c r="W529" s="76"/>
      <c r="X529" s="76"/>
      <c r="Y529" s="76"/>
      <c r="Z529" s="76"/>
      <c r="AA529" s="76"/>
      <c r="AB529" s="76"/>
      <c r="AC529" s="76"/>
      <c r="AD529" s="76"/>
      <c r="AE529" s="76"/>
      <c r="AF529" s="76"/>
    </row>
    <row r="530">
      <c r="A530" s="76"/>
      <c r="B530" s="170"/>
      <c r="C530" s="76"/>
      <c r="D530" s="173"/>
      <c r="E530" s="173"/>
      <c r="F530" s="173"/>
      <c r="G530" s="175"/>
      <c r="H530" s="173"/>
      <c r="I530" s="173"/>
      <c r="J530" s="173"/>
      <c r="K530" s="173"/>
      <c r="L530" s="76"/>
      <c r="M530" s="76"/>
      <c r="N530" s="76"/>
      <c r="O530" s="76"/>
      <c r="P530" s="76"/>
      <c r="Q530" s="76"/>
      <c r="R530" s="76"/>
      <c r="S530" s="76"/>
      <c r="T530" s="76"/>
      <c r="U530" s="76"/>
      <c r="V530" s="76"/>
      <c r="W530" s="76"/>
      <c r="X530" s="76"/>
      <c r="Y530" s="76"/>
      <c r="Z530" s="76"/>
      <c r="AA530" s="76"/>
      <c r="AB530" s="76"/>
      <c r="AC530" s="76"/>
      <c r="AD530" s="76"/>
      <c r="AE530" s="76"/>
      <c r="AF530" s="76"/>
    </row>
    <row r="531">
      <c r="A531" s="76"/>
      <c r="B531" s="170"/>
      <c r="C531" s="76"/>
      <c r="D531" s="173"/>
      <c r="E531" s="173"/>
      <c r="F531" s="173"/>
      <c r="G531" s="175"/>
      <c r="H531" s="173"/>
      <c r="I531" s="173"/>
      <c r="J531" s="173"/>
      <c r="K531" s="173"/>
      <c r="L531" s="76"/>
      <c r="M531" s="76"/>
      <c r="N531" s="76"/>
      <c r="O531" s="76"/>
      <c r="P531" s="76"/>
      <c r="Q531" s="76"/>
      <c r="R531" s="76"/>
      <c r="S531" s="76"/>
      <c r="T531" s="76"/>
      <c r="U531" s="76"/>
      <c r="V531" s="76"/>
      <c r="W531" s="76"/>
      <c r="X531" s="76"/>
      <c r="Y531" s="76"/>
      <c r="Z531" s="76"/>
      <c r="AA531" s="76"/>
      <c r="AB531" s="76"/>
      <c r="AC531" s="76"/>
      <c r="AD531" s="76"/>
      <c r="AE531" s="76"/>
      <c r="AF531" s="76"/>
    </row>
    <row r="532">
      <c r="A532" s="76"/>
      <c r="B532" s="170"/>
      <c r="C532" s="76"/>
      <c r="D532" s="173"/>
      <c r="E532" s="173"/>
      <c r="F532" s="173"/>
      <c r="G532" s="175"/>
      <c r="H532" s="173"/>
      <c r="I532" s="173"/>
      <c r="J532" s="173"/>
      <c r="K532" s="173"/>
      <c r="L532" s="76"/>
      <c r="M532" s="76"/>
      <c r="N532" s="76"/>
      <c r="O532" s="76"/>
      <c r="P532" s="76"/>
      <c r="Q532" s="76"/>
      <c r="R532" s="76"/>
      <c r="S532" s="76"/>
      <c r="T532" s="76"/>
      <c r="U532" s="76"/>
      <c r="V532" s="76"/>
      <c r="W532" s="76"/>
      <c r="X532" s="76"/>
      <c r="Y532" s="76"/>
      <c r="Z532" s="76"/>
      <c r="AA532" s="76"/>
      <c r="AB532" s="76"/>
      <c r="AC532" s="76"/>
      <c r="AD532" s="76"/>
      <c r="AE532" s="76"/>
      <c r="AF532" s="76"/>
    </row>
    <row r="533">
      <c r="A533" s="76"/>
      <c r="B533" s="170"/>
      <c r="C533" s="76"/>
      <c r="D533" s="173"/>
      <c r="E533" s="173"/>
      <c r="F533" s="173"/>
      <c r="G533" s="175"/>
      <c r="H533" s="173"/>
      <c r="I533" s="173"/>
      <c r="J533" s="173"/>
      <c r="K533" s="173"/>
      <c r="L533" s="76"/>
      <c r="M533" s="76"/>
      <c r="N533" s="76"/>
      <c r="O533" s="76"/>
      <c r="P533" s="76"/>
      <c r="Q533" s="76"/>
      <c r="R533" s="76"/>
      <c r="S533" s="76"/>
      <c r="T533" s="76"/>
      <c r="U533" s="76"/>
      <c r="V533" s="76"/>
      <c r="W533" s="76"/>
      <c r="X533" s="76"/>
      <c r="Y533" s="76"/>
      <c r="Z533" s="76"/>
      <c r="AA533" s="76"/>
      <c r="AB533" s="76"/>
      <c r="AC533" s="76"/>
      <c r="AD533" s="76"/>
      <c r="AE533" s="76"/>
      <c r="AF533" s="76"/>
    </row>
    <row r="534">
      <c r="A534" s="76"/>
      <c r="B534" s="170"/>
      <c r="C534" s="76"/>
      <c r="D534" s="173"/>
      <c r="E534" s="173"/>
      <c r="F534" s="173"/>
      <c r="G534" s="175"/>
      <c r="H534" s="173"/>
      <c r="I534" s="173"/>
      <c r="J534" s="173"/>
      <c r="K534" s="173"/>
      <c r="L534" s="76"/>
      <c r="M534" s="76"/>
      <c r="N534" s="76"/>
      <c r="O534" s="76"/>
      <c r="P534" s="76"/>
      <c r="Q534" s="76"/>
      <c r="R534" s="76"/>
      <c r="S534" s="76"/>
      <c r="T534" s="76"/>
      <c r="U534" s="76"/>
      <c r="V534" s="76"/>
      <c r="W534" s="76"/>
      <c r="X534" s="76"/>
      <c r="Y534" s="76"/>
      <c r="Z534" s="76"/>
      <c r="AA534" s="76"/>
      <c r="AB534" s="76"/>
      <c r="AC534" s="76"/>
      <c r="AD534" s="76"/>
      <c r="AE534" s="76"/>
      <c r="AF534" s="76"/>
    </row>
    <row r="535">
      <c r="A535" s="76"/>
      <c r="B535" s="170"/>
      <c r="C535" s="76"/>
      <c r="D535" s="173"/>
      <c r="E535" s="173"/>
      <c r="F535" s="173"/>
      <c r="G535" s="175"/>
      <c r="H535" s="173"/>
      <c r="I535" s="173"/>
      <c r="J535" s="173"/>
      <c r="K535" s="173"/>
      <c r="L535" s="76"/>
      <c r="M535" s="76"/>
      <c r="N535" s="76"/>
      <c r="O535" s="76"/>
      <c r="P535" s="76"/>
      <c r="Q535" s="76"/>
      <c r="R535" s="76"/>
      <c r="S535" s="76"/>
      <c r="T535" s="76"/>
      <c r="U535" s="76"/>
      <c r="V535" s="76"/>
      <c r="W535" s="76"/>
      <c r="X535" s="76"/>
      <c r="Y535" s="76"/>
      <c r="Z535" s="76"/>
      <c r="AA535" s="76"/>
      <c r="AB535" s="76"/>
      <c r="AC535" s="76"/>
      <c r="AD535" s="76"/>
      <c r="AE535" s="76"/>
      <c r="AF535" s="76"/>
    </row>
    <row r="536">
      <c r="A536" s="76"/>
      <c r="B536" s="170"/>
      <c r="C536" s="76"/>
      <c r="D536" s="173"/>
      <c r="E536" s="173"/>
      <c r="F536" s="173"/>
      <c r="G536" s="175"/>
      <c r="H536" s="173"/>
      <c r="I536" s="173"/>
      <c r="J536" s="173"/>
      <c r="K536" s="173"/>
      <c r="L536" s="76"/>
      <c r="M536" s="76"/>
      <c r="N536" s="76"/>
      <c r="O536" s="76"/>
      <c r="P536" s="76"/>
      <c r="Q536" s="76"/>
      <c r="R536" s="76"/>
      <c r="S536" s="76"/>
      <c r="T536" s="76"/>
      <c r="U536" s="76"/>
      <c r="V536" s="76"/>
      <c r="W536" s="76"/>
      <c r="X536" s="76"/>
      <c r="Y536" s="76"/>
      <c r="Z536" s="76"/>
      <c r="AA536" s="76"/>
      <c r="AB536" s="76"/>
      <c r="AC536" s="76"/>
      <c r="AD536" s="76"/>
      <c r="AE536" s="76"/>
      <c r="AF536" s="76"/>
    </row>
    <row r="537">
      <c r="A537" s="76"/>
      <c r="B537" s="170"/>
      <c r="C537" s="76"/>
      <c r="D537" s="173"/>
      <c r="E537" s="173"/>
      <c r="F537" s="173"/>
      <c r="G537" s="175"/>
      <c r="H537" s="173"/>
      <c r="I537" s="173"/>
      <c r="J537" s="173"/>
      <c r="K537" s="173"/>
      <c r="L537" s="76"/>
      <c r="M537" s="76"/>
      <c r="N537" s="76"/>
      <c r="O537" s="76"/>
      <c r="P537" s="76"/>
      <c r="Q537" s="76"/>
      <c r="R537" s="76"/>
      <c r="S537" s="76"/>
      <c r="T537" s="76"/>
      <c r="U537" s="76"/>
      <c r="V537" s="76"/>
      <c r="W537" s="76"/>
      <c r="X537" s="76"/>
      <c r="Y537" s="76"/>
      <c r="Z537" s="76"/>
      <c r="AA537" s="76"/>
      <c r="AB537" s="76"/>
      <c r="AC537" s="76"/>
      <c r="AD537" s="76"/>
      <c r="AE537" s="76"/>
      <c r="AF537" s="76"/>
    </row>
    <row r="538">
      <c r="A538" s="76"/>
      <c r="B538" s="170"/>
      <c r="C538" s="76"/>
      <c r="D538" s="173"/>
      <c r="E538" s="173"/>
      <c r="F538" s="173"/>
      <c r="G538" s="175"/>
      <c r="H538" s="173"/>
      <c r="I538" s="173"/>
      <c r="J538" s="173"/>
      <c r="K538" s="173"/>
      <c r="L538" s="76"/>
      <c r="M538" s="76"/>
      <c r="N538" s="76"/>
      <c r="O538" s="76"/>
      <c r="P538" s="76"/>
      <c r="Q538" s="76"/>
      <c r="R538" s="76"/>
      <c r="S538" s="76"/>
      <c r="T538" s="76"/>
      <c r="U538" s="76"/>
      <c r="V538" s="76"/>
      <c r="W538" s="76"/>
      <c r="X538" s="76"/>
      <c r="Y538" s="76"/>
      <c r="Z538" s="76"/>
      <c r="AA538" s="76"/>
      <c r="AB538" s="76"/>
      <c r="AC538" s="76"/>
      <c r="AD538" s="76"/>
      <c r="AE538" s="76"/>
      <c r="AF538" s="76"/>
    </row>
    <row r="539">
      <c r="A539" s="76"/>
      <c r="B539" s="170"/>
      <c r="C539" s="76"/>
      <c r="D539" s="173"/>
      <c r="E539" s="173"/>
      <c r="F539" s="173"/>
      <c r="G539" s="175"/>
      <c r="H539" s="173"/>
      <c r="I539" s="173"/>
      <c r="J539" s="173"/>
      <c r="K539" s="173"/>
      <c r="L539" s="76"/>
      <c r="M539" s="76"/>
      <c r="N539" s="76"/>
      <c r="O539" s="76"/>
      <c r="P539" s="76"/>
      <c r="Q539" s="76"/>
      <c r="R539" s="76"/>
      <c r="S539" s="76"/>
      <c r="T539" s="76"/>
      <c r="U539" s="76"/>
      <c r="V539" s="76"/>
      <c r="W539" s="76"/>
      <c r="X539" s="76"/>
      <c r="Y539" s="76"/>
      <c r="Z539" s="76"/>
      <c r="AA539" s="76"/>
      <c r="AB539" s="76"/>
      <c r="AC539" s="76"/>
      <c r="AD539" s="76"/>
      <c r="AE539" s="76"/>
      <c r="AF539" s="76"/>
    </row>
    <row r="540">
      <c r="A540" s="76"/>
      <c r="B540" s="170"/>
      <c r="C540" s="76"/>
      <c r="D540" s="173"/>
      <c r="E540" s="173"/>
      <c r="F540" s="173"/>
      <c r="G540" s="175"/>
      <c r="H540" s="173"/>
      <c r="I540" s="173"/>
      <c r="J540" s="173"/>
      <c r="K540" s="173"/>
      <c r="L540" s="76"/>
      <c r="M540" s="76"/>
      <c r="N540" s="76"/>
      <c r="O540" s="76"/>
      <c r="P540" s="76"/>
      <c r="Q540" s="76"/>
      <c r="R540" s="76"/>
      <c r="S540" s="76"/>
      <c r="T540" s="76"/>
      <c r="U540" s="76"/>
      <c r="V540" s="76"/>
      <c r="W540" s="76"/>
      <c r="X540" s="76"/>
      <c r="Y540" s="76"/>
      <c r="Z540" s="76"/>
      <c r="AA540" s="76"/>
      <c r="AB540" s="76"/>
      <c r="AC540" s="76"/>
      <c r="AD540" s="76"/>
      <c r="AE540" s="76"/>
      <c r="AF540" s="76"/>
    </row>
    <row r="541">
      <c r="A541" s="76"/>
      <c r="B541" s="170"/>
      <c r="C541" s="76"/>
      <c r="D541" s="173"/>
      <c r="E541" s="173"/>
      <c r="F541" s="173"/>
      <c r="G541" s="175"/>
      <c r="H541" s="173"/>
      <c r="I541" s="173"/>
      <c r="J541" s="173"/>
      <c r="K541" s="173"/>
      <c r="L541" s="76"/>
      <c r="M541" s="76"/>
      <c r="N541" s="76"/>
      <c r="O541" s="76"/>
      <c r="P541" s="76"/>
      <c r="Q541" s="76"/>
      <c r="R541" s="76"/>
      <c r="S541" s="76"/>
      <c r="T541" s="76"/>
      <c r="U541" s="76"/>
      <c r="V541" s="76"/>
      <c r="W541" s="76"/>
      <c r="X541" s="76"/>
      <c r="Y541" s="76"/>
      <c r="Z541" s="76"/>
      <c r="AA541" s="76"/>
      <c r="AB541" s="76"/>
      <c r="AC541" s="76"/>
      <c r="AD541" s="76"/>
      <c r="AE541" s="76"/>
      <c r="AF541" s="76"/>
    </row>
    <row r="542">
      <c r="A542" s="76"/>
      <c r="B542" s="170"/>
      <c r="C542" s="76"/>
      <c r="D542" s="173"/>
      <c r="E542" s="173"/>
      <c r="F542" s="173"/>
      <c r="G542" s="175"/>
      <c r="H542" s="173"/>
      <c r="I542" s="173"/>
      <c r="J542" s="173"/>
      <c r="K542" s="173"/>
      <c r="L542" s="76"/>
      <c r="M542" s="76"/>
      <c r="N542" s="76"/>
      <c r="O542" s="76"/>
      <c r="P542" s="76"/>
      <c r="Q542" s="76"/>
      <c r="R542" s="76"/>
      <c r="S542" s="76"/>
      <c r="T542" s="76"/>
      <c r="U542" s="76"/>
      <c r="V542" s="76"/>
      <c r="W542" s="76"/>
      <c r="X542" s="76"/>
      <c r="Y542" s="76"/>
      <c r="Z542" s="76"/>
      <c r="AA542" s="76"/>
      <c r="AB542" s="76"/>
      <c r="AC542" s="76"/>
      <c r="AD542" s="76"/>
      <c r="AE542" s="76"/>
      <c r="AF542" s="76"/>
    </row>
    <row r="543">
      <c r="A543" s="76"/>
      <c r="B543" s="170"/>
      <c r="C543" s="76"/>
      <c r="D543" s="173"/>
      <c r="E543" s="173"/>
      <c r="F543" s="173"/>
      <c r="G543" s="175"/>
      <c r="H543" s="173"/>
      <c r="I543" s="173"/>
      <c r="J543" s="173"/>
      <c r="K543" s="173"/>
      <c r="L543" s="76"/>
      <c r="M543" s="76"/>
      <c r="N543" s="76"/>
      <c r="O543" s="76"/>
      <c r="P543" s="76"/>
      <c r="Q543" s="76"/>
      <c r="R543" s="76"/>
      <c r="S543" s="76"/>
      <c r="T543" s="76"/>
      <c r="U543" s="76"/>
      <c r="V543" s="76"/>
      <c r="W543" s="76"/>
      <c r="X543" s="76"/>
      <c r="Y543" s="76"/>
      <c r="Z543" s="76"/>
      <c r="AA543" s="76"/>
      <c r="AB543" s="76"/>
      <c r="AC543" s="76"/>
      <c r="AD543" s="76"/>
      <c r="AE543" s="76"/>
      <c r="AF543" s="76"/>
    </row>
    <row r="544">
      <c r="A544" s="76"/>
      <c r="B544" s="170"/>
      <c r="C544" s="76"/>
      <c r="D544" s="173"/>
      <c r="E544" s="173"/>
      <c r="F544" s="173"/>
      <c r="G544" s="175"/>
      <c r="H544" s="173"/>
      <c r="I544" s="173"/>
      <c r="J544" s="173"/>
      <c r="K544" s="173"/>
      <c r="L544" s="76"/>
      <c r="M544" s="76"/>
      <c r="N544" s="76"/>
      <c r="O544" s="76"/>
      <c r="P544" s="76"/>
      <c r="Q544" s="76"/>
      <c r="R544" s="76"/>
      <c r="S544" s="76"/>
      <c r="T544" s="76"/>
      <c r="U544" s="76"/>
      <c r="V544" s="76"/>
      <c r="W544" s="76"/>
      <c r="X544" s="76"/>
      <c r="Y544" s="76"/>
      <c r="Z544" s="76"/>
      <c r="AA544" s="76"/>
      <c r="AB544" s="76"/>
      <c r="AC544" s="76"/>
      <c r="AD544" s="76"/>
      <c r="AE544" s="76"/>
      <c r="AF544" s="76"/>
    </row>
    <row r="545">
      <c r="A545" s="76"/>
      <c r="B545" s="170"/>
      <c r="C545" s="76"/>
      <c r="D545" s="173"/>
      <c r="E545" s="173"/>
      <c r="F545" s="173"/>
      <c r="G545" s="175"/>
      <c r="H545" s="173"/>
      <c r="I545" s="173"/>
      <c r="J545" s="173"/>
      <c r="K545" s="173"/>
      <c r="L545" s="76"/>
      <c r="M545" s="76"/>
      <c r="N545" s="76"/>
      <c r="O545" s="76"/>
      <c r="P545" s="76"/>
      <c r="Q545" s="76"/>
      <c r="R545" s="76"/>
      <c r="S545" s="76"/>
      <c r="T545" s="76"/>
      <c r="U545" s="76"/>
      <c r="V545" s="76"/>
      <c r="W545" s="76"/>
      <c r="X545" s="76"/>
      <c r="Y545" s="76"/>
      <c r="Z545" s="76"/>
      <c r="AA545" s="76"/>
      <c r="AB545" s="76"/>
      <c r="AC545" s="76"/>
      <c r="AD545" s="76"/>
      <c r="AE545" s="76"/>
      <c r="AF545" s="76"/>
    </row>
    <row r="546">
      <c r="A546" s="76"/>
      <c r="B546" s="170"/>
      <c r="C546" s="76"/>
      <c r="D546" s="173"/>
      <c r="E546" s="173"/>
      <c r="F546" s="173"/>
      <c r="G546" s="175"/>
      <c r="H546" s="173"/>
      <c r="I546" s="173"/>
      <c r="J546" s="173"/>
      <c r="K546" s="173"/>
      <c r="L546" s="76"/>
      <c r="M546" s="76"/>
      <c r="N546" s="76"/>
      <c r="O546" s="76"/>
      <c r="P546" s="76"/>
      <c r="Q546" s="76"/>
      <c r="R546" s="76"/>
      <c r="S546" s="76"/>
      <c r="T546" s="76"/>
      <c r="U546" s="76"/>
      <c r="V546" s="76"/>
      <c r="W546" s="76"/>
      <c r="X546" s="76"/>
      <c r="Y546" s="76"/>
      <c r="Z546" s="76"/>
      <c r="AA546" s="76"/>
      <c r="AB546" s="76"/>
      <c r="AC546" s="76"/>
      <c r="AD546" s="76"/>
      <c r="AE546" s="76"/>
      <c r="AF546" s="76"/>
    </row>
    <row r="547">
      <c r="A547" s="76"/>
      <c r="B547" s="170"/>
      <c r="C547" s="76"/>
      <c r="D547" s="173"/>
      <c r="E547" s="173"/>
      <c r="F547" s="173"/>
      <c r="G547" s="175"/>
      <c r="H547" s="173"/>
      <c r="I547" s="173"/>
      <c r="J547" s="173"/>
      <c r="K547" s="173"/>
      <c r="L547" s="76"/>
      <c r="M547" s="76"/>
      <c r="N547" s="76"/>
      <c r="O547" s="76"/>
      <c r="P547" s="76"/>
      <c r="Q547" s="76"/>
      <c r="R547" s="76"/>
      <c r="S547" s="76"/>
      <c r="T547" s="76"/>
      <c r="U547" s="76"/>
      <c r="V547" s="76"/>
      <c r="W547" s="76"/>
      <c r="X547" s="76"/>
      <c r="Y547" s="76"/>
      <c r="Z547" s="76"/>
      <c r="AA547" s="76"/>
      <c r="AB547" s="76"/>
      <c r="AC547" s="76"/>
      <c r="AD547" s="76"/>
      <c r="AE547" s="76"/>
      <c r="AF547" s="76"/>
    </row>
    <row r="548">
      <c r="A548" s="76"/>
      <c r="B548" s="170"/>
      <c r="C548" s="76"/>
      <c r="D548" s="173"/>
      <c r="E548" s="173"/>
      <c r="F548" s="173"/>
      <c r="G548" s="175"/>
      <c r="H548" s="173"/>
      <c r="I548" s="173"/>
      <c r="J548" s="173"/>
      <c r="K548" s="173"/>
      <c r="L548" s="76"/>
      <c r="M548" s="76"/>
      <c r="N548" s="76"/>
      <c r="O548" s="76"/>
      <c r="P548" s="76"/>
      <c r="Q548" s="76"/>
      <c r="R548" s="76"/>
      <c r="S548" s="76"/>
      <c r="T548" s="76"/>
      <c r="U548" s="76"/>
      <c r="V548" s="76"/>
      <c r="W548" s="76"/>
      <c r="X548" s="76"/>
      <c r="Y548" s="76"/>
      <c r="Z548" s="76"/>
      <c r="AA548" s="76"/>
      <c r="AB548" s="76"/>
      <c r="AC548" s="76"/>
      <c r="AD548" s="76"/>
      <c r="AE548" s="76"/>
      <c r="AF548" s="76"/>
    </row>
    <row r="549">
      <c r="A549" s="76"/>
      <c r="B549" s="170"/>
      <c r="C549" s="76"/>
      <c r="D549" s="173"/>
      <c r="E549" s="173"/>
      <c r="F549" s="173"/>
      <c r="G549" s="175"/>
      <c r="H549" s="173"/>
      <c r="I549" s="173"/>
      <c r="J549" s="173"/>
      <c r="K549" s="173"/>
      <c r="L549" s="76"/>
      <c r="M549" s="76"/>
      <c r="N549" s="76"/>
      <c r="O549" s="76"/>
      <c r="P549" s="76"/>
      <c r="Q549" s="76"/>
      <c r="R549" s="76"/>
      <c r="S549" s="76"/>
      <c r="T549" s="76"/>
      <c r="U549" s="76"/>
      <c r="V549" s="76"/>
      <c r="W549" s="76"/>
      <c r="X549" s="76"/>
      <c r="Y549" s="76"/>
      <c r="Z549" s="76"/>
      <c r="AA549" s="76"/>
      <c r="AB549" s="76"/>
      <c r="AC549" s="76"/>
      <c r="AD549" s="76"/>
      <c r="AE549" s="76"/>
      <c r="AF549" s="76"/>
    </row>
    <row r="550">
      <c r="A550" s="76"/>
      <c r="B550" s="170"/>
      <c r="C550" s="76"/>
      <c r="D550" s="173"/>
      <c r="E550" s="173"/>
      <c r="F550" s="173"/>
      <c r="G550" s="175"/>
      <c r="H550" s="173"/>
      <c r="I550" s="173"/>
      <c r="J550" s="173"/>
      <c r="K550" s="173"/>
      <c r="L550" s="76"/>
      <c r="M550" s="76"/>
      <c r="N550" s="76"/>
      <c r="O550" s="76"/>
      <c r="P550" s="76"/>
      <c r="Q550" s="76"/>
      <c r="R550" s="76"/>
      <c r="S550" s="76"/>
      <c r="T550" s="76"/>
      <c r="U550" s="76"/>
      <c r="V550" s="76"/>
      <c r="W550" s="76"/>
      <c r="X550" s="76"/>
      <c r="Y550" s="76"/>
      <c r="Z550" s="76"/>
      <c r="AA550" s="76"/>
      <c r="AB550" s="76"/>
      <c r="AC550" s="76"/>
      <c r="AD550" s="76"/>
      <c r="AE550" s="76"/>
      <c r="AF550" s="76"/>
    </row>
    <row r="551">
      <c r="A551" s="76"/>
      <c r="B551" s="170"/>
      <c r="C551" s="76"/>
      <c r="D551" s="173"/>
      <c r="E551" s="173"/>
      <c r="F551" s="173"/>
      <c r="G551" s="175"/>
      <c r="H551" s="173"/>
      <c r="I551" s="173"/>
      <c r="J551" s="173"/>
      <c r="K551" s="173"/>
      <c r="L551" s="76"/>
      <c r="M551" s="76"/>
      <c r="N551" s="76"/>
      <c r="O551" s="76"/>
      <c r="P551" s="76"/>
      <c r="Q551" s="76"/>
      <c r="R551" s="76"/>
      <c r="S551" s="76"/>
      <c r="T551" s="76"/>
      <c r="U551" s="76"/>
      <c r="V551" s="76"/>
      <c r="W551" s="76"/>
      <c r="X551" s="76"/>
      <c r="Y551" s="76"/>
      <c r="Z551" s="76"/>
      <c r="AA551" s="76"/>
      <c r="AB551" s="76"/>
      <c r="AC551" s="76"/>
      <c r="AD551" s="76"/>
      <c r="AE551" s="76"/>
      <c r="AF551" s="76"/>
    </row>
    <row r="552">
      <c r="A552" s="76"/>
      <c r="B552" s="170"/>
      <c r="C552" s="76"/>
      <c r="D552" s="173"/>
      <c r="E552" s="173"/>
      <c r="F552" s="173"/>
      <c r="G552" s="175"/>
      <c r="H552" s="173"/>
      <c r="I552" s="173"/>
      <c r="J552" s="173"/>
      <c r="K552" s="173"/>
      <c r="L552" s="76"/>
      <c r="M552" s="76"/>
      <c r="N552" s="76"/>
      <c r="O552" s="76"/>
      <c r="P552" s="76"/>
      <c r="Q552" s="76"/>
      <c r="R552" s="76"/>
      <c r="S552" s="76"/>
      <c r="T552" s="76"/>
      <c r="U552" s="76"/>
      <c r="V552" s="76"/>
      <c r="W552" s="76"/>
      <c r="X552" s="76"/>
      <c r="Y552" s="76"/>
      <c r="Z552" s="76"/>
      <c r="AA552" s="76"/>
      <c r="AB552" s="76"/>
      <c r="AC552" s="76"/>
      <c r="AD552" s="76"/>
      <c r="AE552" s="76"/>
      <c r="AF552" s="76"/>
    </row>
    <row r="553">
      <c r="A553" s="76"/>
      <c r="B553" s="170"/>
      <c r="C553" s="76"/>
      <c r="D553" s="173"/>
      <c r="E553" s="173"/>
      <c r="F553" s="173"/>
      <c r="G553" s="175"/>
      <c r="H553" s="173"/>
      <c r="I553" s="173"/>
      <c r="J553" s="173"/>
      <c r="K553" s="173"/>
      <c r="L553" s="76"/>
      <c r="M553" s="76"/>
      <c r="N553" s="76"/>
      <c r="O553" s="76"/>
      <c r="P553" s="76"/>
      <c r="Q553" s="76"/>
      <c r="R553" s="76"/>
      <c r="S553" s="76"/>
      <c r="T553" s="76"/>
      <c r="U553" s="76"/>
      <c r="V553" s="76"/>
      <c r="W553" s="76"/>
      <c r="X553" s="76"/>
      <c r="Y553" s="76"/>
      <c r="Z553" s="76"/>
      <c r="AA553" s="76"/>
      <c r="AB553" s="76"/>
      <c r="AC553" s="76"/>
      <c r="AD553" s="76"/>
      <c r="AE553" s="76"/>
      <c r="AF553" s="76"/>
    </row>
    <row r="554">
      <c r="A554" s="76"/>
      <c r="B554" s="170"/>
      <c r="C554" s="76"/>
      <c r="D554" s="173"/>
      <c r="E554" s="173"/>
      <c r="F554" s="173"/>
      <c r="G554" s="175"/>
      <c r="H554" s="173"/>
      <c r="I554" s="173"/>
      <c r="J554" s="173"/>
      <c r="K554" s="173"/>
      <c r="L554" s="76"/>
      <c r="M554" s="76"/>
      <c r="N554" s="76"/>
      <c r="O554" s="76"/>
      <c r="P554" s="76"/>
      <c r="Q554" s="76"/>
      <c r="R554" s="76"/>
      <c r="S554" s="76"/>
      <c r="T554" s="76"/>
      <c r="U554" s="76"/>
      <c r="V554" s="76"/>
      <c r="W554" s="76"/>
      <c r="X554" s="76"/>
      <c r="Y554" s="76"/>
      <c r="Z554" s="76"/>
      <c r="AA554" s="76"/>
      <c r="AB554" s="76"/>
      <c r="AC554" s="76"/>
      <c r="AD554" s="76"/>
      <c r="AE554" s="76"/>
      <c r="AF554" s="76"/>
    </row>
    <row r="555">
      <c r="A555" s="76"/>
      <c r="B555" s="170"/>
      <c r="C555" s="76"/>
      <c r="D555" s="173"/>
      <c r="E555" s="173"/>
      <c r="F555" s="173"/>
      <c r="G555" s="175"/>
      <c r="H555" s="173"/>
      <c r="I555" s="173"/>
      <c r="J555" s="173"/>
      <c r="K555" s="173"/>
      <c r="L555" s="76"/>
      <c r="M555" s="76"/>
      <c r="N555" s="76"/>
      <c r="O555" s="76"/>
      <c r="P555" s="76"/>
      <c r="Q555" s="76"/>
      <c r="R555" s="76"/>
      <c r="S555" s="76"/>
      <c r="T555" s="76"/>
      <c r="U555" s="76"/>
      <c r="V555" s="76"/>
      <c r="W555" s="76"/>
      <c r="X555" s="76"/>
      <c r="Y555" s="76"/>
      <c r="Z555" s="76"/>
      <c r="AA555" s="76"/>
      <c r="AB555" s="76"/>
      <c r="AC555" s="76"/>
      <c r="AD555" s="76"/>
      <c r="AE555" s="76"/>
      <c r="AF555" s="76"/>
    </row>
    <row r="556">
      <c r="A556" s="76"/>
      <c r="B556" s="170"/>
      <c r="C556" s="76"/>
      <c r="D556" s="173"/>
      <c r="E556" s="173"/>
      <c r="F556" s="173"/>
      <c r="G556" s="175"/>
      <c r="H556" s="173"/>
      <c r="I556" s="173"/>
      <c r="J556" s="173"/>
      <c r="K556" s="173"/>
      <c r="L556" s="76"/>
      <c r="M556" s="76"/>
      <c r="N556" s="76"/>
      <c r="O556" s="76"/>
      <c r="P556" s="76"/>
      <c r="Q556" s="76"/>
      <c r="R556" s="76"/>
      <c r="S556" s="76"/>
      <c r="T556" s="76"/>
      <c r="U556" s="76"/>
      <c r="V556" s="76"/>
      <c r="W556" s="76"/>
      <c r="X556" s="76"/>
      <c r="Y556" s="76"/>
      <c r="Z556" s="76"/>
      <c r="AA556" s="76"/>
      <c r="AB556" s="76"/>
      <c r="AC556" s="76"/>
      <c r="AD556" s="76"/>
      <c r="AE556" s="76"/>
      <c r="AF556" s="76"/>
    </row>
    <row r="557">
      <c r="A557" s="76"/>
      <c r="B557" s="170"/>
      <c r="C557" s="76"/>
      <c r="D557" s="173"/>
      <c r="E557" s="173"/>
      <c r="F557" s="173"/>
      <c r="G557" s="175"/>
      <c r="H557" s="173"/>
      <c r="I557" s="173"/>
      <c r="J557" s="173"/>
      <c r="K557" s="173"/>
      <c r="L557" s="76"/>
      <c r="M557" s="76"/>
      <c r="N557" s="76"/>
      <c r="O557" s="76"/>
      <c r="P557" s="76"/>
      <c r="Q557" s="76"/>
      <c r="R557" s="76"/>
      <c r="S557" s="76"/>
      <c r="T557" s="76"/>
      <c r="U557" s="76"/>
      <c r="V557" s="76"/>
      <c r="W557" s="76"/>
      <c r="X557" s="76"/>
      <c r="Y557" s="76"/>
      <c r="Z557" s="76"/>
      <c r="AA557" s="76"/>
      <c r="AB557" s="76"/>
      <c r="AC557" s="76"/>
      <c r="AD557" s="76"/>
      <c r="AE557" s="76"/>
      <c r="AF557" s="76"/>
    </row>
    <row r="558">
      <c r="A558" s="76"/>
      <c r="B558" s="170"/>
      <c r="C558" s="76"/>
      <c r="D558" s="173"/>
      <c r="E558" s="173"/>
      <c r="F558" s="173"/>
      <c r="G558" s="175"/>
      <c r="H558" s="173"/>
      <c r="I558" s="173"/>
      <c r="J558" s="173"/>
      <c r="K558" s="173"/>
      <c r="L558" s="76"/>
      <c r="M558" s="76"/>
      <c r="N558" s="76"/>
      <c r="O558" s="76"/>
      <c r="P558" s="76"/>
      <c r="Q558" s="76"/>
      <c r="R558" s="76"/>
      <c r="S558" s="76"/>
      <c r="T558" s="76"/>
      <c r="U558" s="76"/>
      <c r="V558" s="76"/>
      <c r="W558" s="76"/>
      <c r="X558" s="76"/>
      <c r="Y558" s="76"/>
      <c r="Z558" s="76"/>
      <c r="AA558" s="76"/>
      <c r="AB558" s="76"/>
      <c r="AC558" s="76"/>
      <c r="AD558" s="76"/>
      <c r="AE558" s="76"/>
      <c r="AF558" s="76"/>
    </row>
    <row r="559">
      <c r="A559" s="76"/>
      <c r="B559" s="170"/>
      <c r="C559" s="76"/>
      <c r="D559" s="173"/>
      <c r="E559" s="173"/>
      <c r="F559" s="173"/>
      <c r="G559" s="175"/>
      <c r="H559" s="173"/>
      <c r="I559" s="173"/>
      <c r="J559" s="173"/>
      <c r="K559" s="173"/>
      <c r="L559" s="76"/>
      <c r="M559" s="76"/>
      <c r="N559" s="76"/>
      <c r="O559" s="76"/>
      <c r="P559" s="76"/>
      <c r="Q559" s="76"/>
      <c r="R559" s="76"/>
      <c r="S559" s="76"/>
      <c r="T559" s="76"/>
      <c r="U559" s="76"/>
      <c r="V559" s="76"/>
      <c r="W559" s="76"/>
      <c r="X559" s="76"/>
      <c r="Y559" s="76"/>
      <c r="Z559" s="76"/>
      <c r="AA559" s="76"/>
      <c r="AB559" s="76"/>
      <c r="AC559" s="76"/>
      <c r="AD559" s="76"/>
      <c r="AE559" s="76"/>
      <c r="AF559" s="76"/>
    </row>
    <row r="560">
      <c r="A560" s="76"/>
      <c r="B560" s="170"/>
      <c r="C560" s="76"/>
      <c r="D560" s="173"/>
      <c r="E560" s="173"/>
      <c r="F560" s="173"/>
      <c r="G560" s="175"/>
      <c r="H560" s="173"/>
      <c r="I560" s="173"/>
      <c r="J560" s="173"/>
      <c r="K560" s="173"/>
      <c r="L560" s="76"/>
      <c r="M560" s="76"/>
      <c r="N560" s="76"/>
      <c r="O560" s="76"/>
      <c r="P560" s="76"/>
      <c r="Q560" s="76"/>
      <c r="R560" s="76"/>
      <c r="S560" s="76"/>
      <c r="T560" s="76"/>
      <c r="U560" s="76"/>
      <c r="V560" s="76"/>
      <c r="W560" s="76"/>
      <c r="X560" s="76"/>
      <c r="Y560" s="76"/>
      <c r="Z560" s="76"/>
      <c r="AA560" s="76"/>
      <c r="AB560" s="76"/>
      <c r="AC560" s="76"/>
      <c r="AD560" s="76"/>
      <c r="AE560" s="76"/>
      <c r="AF560" s="76"/>
    </row>
    <row r="561">
      <c r="A561" s="76"/>
      <c r="B561" s="170"/>
      <c r="C561" s="76"/>
      <c r="D561" s="173"/>
      <c r="E561" s="173"/>
      <c r="F561" s="173"/>
      <c r="G561" s="175"/>
      <c r="H561" s="173"/>
      <c r="I561" s="173"/>
      <c r="J561" s="173"/>
      <c r="K561" s="173"/>
      <c r="L561" s="76"/>
      <c r="M561" s="76"/>
      <c r="N561" s="76"/>
      <c r="O561" s="76"/>
      <c r="P561" s="76"/>
      <c r="Q561" s="76"/>
      <c r="R561" s="76"/>
      <c r="S561" s="76"/>
      <c r="T561" s="76"/>
      <c r="U561" s="76"/>
      <c r="V561" s="76"/>
      <c r="W561" s="76"/>
      <c r="X561" s="76"/>
      <c r="Y561" s="76"/>
      <c r="Z561" s="76"/>
      <c r="AA561" s="76"/>
      <c r="AB561" s="76"/>
      <c r="AC561" s="76"/>
      <c r="AD561" s="76"/>
      <c r="AE561" s="76"/>
      <c r="AF561" s="76"/>
    </row>
    <row r="562">
      <c r="A562" s="76"/>
      <c r="B562" s="170"/>
      <c r="C562" s="76"/>
      <c r="D562" s="173"/>
      <c r="E562" s="173"/>
      <c r="F562" s="173"/>
      <c r="G562" s="175"/>
      <c r="H562" s="173"/>
      <c r="I562" s="173"/>
      <c r="J562" s="173"/>
      <c r="K562" s="173"/>
      <c r="L562" s="76"/>
      <c r="M562" s="76"/>
      <c r="N562" s="76"/>
      <c r="O562" s="76"/>
      <c r="P562" s="76"/>
      <c r="Q562" s="76"/>
      <c r="R562" s="76"/>
      <c r="S562" s="76"/>
      <c r="T562" s="76"/>
      <c r="U562" s="76"/>
      <c r="V562" s="76"/>
      <c r="W562" s="76"/>
      <c r="X562" s="76"/>
      <c r="Y562" s="76"/>
      <c r="Z562" s="76"/>
      <c r="AA562" s="76"/>
      <c r="AB562" s="76"/>
      <c r="AC562" s="76"/>
      <c r="AD562" s="76"/>
      <c r="AE562" s="76"/>
      <c r="AF562" s="76"/>
    </row>
    <row r="563">
      <c r="A563" s="76"/>
      <c r="B563" s="170"/>
      <c r="C563" s="76"/>
      <c r="D563" s="173"/>
      <c r="E563" s="173"/>
      <c r="F563" s="173"/>
      <c r="G563" s="175"/>
      <c r="H563" s="173"/>
      <c r="I563" s="173"/>
      <c r="J563" s="173"/>
      <c r="K563" s="173"/>
      <c r="L563" s="76"/>
      <c r="M563" s="76"/>
      <c r="N563" s="76"/>
      <c r="O563" s="76"/>
      <c r="P563" s="76"/>
      <c r="Q563" s="76"/>
      <c r="R563" s="76"/>
      <c r="S563" s="76"/>
      <c r="T563" s="76"/>
      <c r="U563" s="76"/>
      <c r="V563" s="76"/>
      <c r="W563" s="76"/>
      <c r="X563" s="76"/>
      <c r="Y563" s="76"/>
      <c r="Z563" s="76"/>
      <c r="AA563" s="76"/>
      <c r="AB563" s="76"/>
      <c r="AC563" s="76"/>
      <c r="AD563" s="76"/>
      <c r="AE563" s="76"/>
      <c r="AF563" s="76"/>
    </row>
    <row r="564">
      <c r="A564" s="76"/>
      <c r="B564" s="170"/>
      <c r="C564" s="76"/>
      <c r="D564" s="173"/>
      <c r="E564" s="173"/>
      <c r="F564" s="173"/>
      <c r="G564" s="175"/>
      <c r="H564" s="173"/>
      <c r="I564" s="173"/>
      <c r="J564" s="173"/>
      <c r="K564" s="173"/>
      <c r="L564" s="76"/>
      <c r="M564" s="76"/>
      <c r="N564" s="76"/>
      <c r="O564" s="76"/>
      <c r="P564" s="76"/>
      <c r="Q564" s="76"/>
      <c r="R564" s="76"/>
      <c r="S564" s="76"/>
      <c r="T564" s="76"/>
      <c r="U564" s="76"/>
      <c r="V564" s="76"/>
      <c r="W564" s="76"/>
      <c r="X564" s="76"/>
      <c r="Y564" s="76"/>
      <c r="Z564" s="76"/>
      <c r="AA564" s="76"/>
      <c r="AB564" s="76"/>
      <c r="AC564" s="76"/>
      <c r="AD564" s="76"/>
      <c r="AE564" s="76"/>
      <c r="AF564" s="76"/>
    </row>
    <row r="565">
      <c r="A565" s="76"/>
      <c r="B565" s="170"/>
      <c r="C565" s="76"/>
      <c r="D565" s="173"/>
      <c r="E565" s="173"/>
      <c r="F565" s="173"/>
      <c r="G565" s="175"/>
      <c r="H565" s="173"/>
      <c r="I565" s="173"/>
      <c r="J565" s="173"/>
      <c r="K565" s="173"/>
      <c r="L565" s="76"/>
      <c r="M565" s="76"/>
      <c r="N565" s="76"/>
      <c r="O565" s="76"/>
      <c r="P565" s="76"/>
      <c r="Q565" s="76"/>
      <c r="R565" s="76"/>
      <c r="S565" s="76"/>
      <c r="T565" s="76"/>
      <c r="U565" s="76"/>
      <c r="V565" s="76"/>
      <c r="W565" s="76"/>
      <c r="X565" s="76"/>
      <c r="Y565" s="76"/>
      <c r="Z565" s="76"/>
      <c r="AA565" s="76"/>
      <c r="AB565" s="76"/>
      <c r="AC565" s="76"/>
      <c r="AD565" s="76"/>
      <c r="AE565" s="76"/>
      <c r="AF565" s="76"/>
    </row>
    <row r="566">
      <c r="A566" s="76"/>
      <c r="B566" s="170"/>
      <c r="C566" s="76"/>
      <c r="D566" s="173"/>
      <c r="E566" s="173"/>
      <c r="F566" s="173"/>
      <c r="G566" s="175"/>
      <c r="H566" s="173"/>
      <c r="I566" s="173"/>
      <c r="J566" s="173"/>
      <c r="K566" s="173"/>
      <c r="L566" s="76"/>
      <c r="M566" s="76"/>
      <c r="N566" s="76"/>
      <c r="O566" s="76"/>
      <c r="P566" s="76"/>
      <c r="Q566" s="76"/>
      <c r="R566" s="76"/>
      <c r="S566" s="76"/>
      <c r="T566" s="76"/>
      <c r="U566" s="76"/>
      <c r="V566" s="76"/>
      <c r="W566" s="76"/>
      <c r="X566" s="76"/>
      <c r="Y566" s="76"/>
      <c r="Z566" s="76"/>
      <c r="AA566" s="76"/>
      <c r="AB566" s="76"/>
      <c r="AC566" s="76"/>
      <c r="AD566" s="76"/>
      <c r="AE566" s="76"/>
      <c r="AF566" s="76"/>
    </row>
    <row r="567">
      <c r="A567" s="76"/>
      <c r="B567" s="170"/>
      <c r="C567" s="76"/>
      <c r="D567" s="173"/>
      <c r="E567" s="173"/>
      <c r="F567" s="173"/>
      <c r="G567" s="175"/>
      <c r="H567" s="173"/>
      <c r="I567" s="173"/>
      <c r="J567" s="173"/>
      <c r="K567" s="173"/>
      <c r="L567" s="76"/>
      <c r="M567" s="76"/>
      <c r="N567" s="76"/>
      <c r="O567" s="76"/>
      <c r="P567" s="76"/>
      <c r="Q567" s="76"/>
      <c r="R567" s="76"/>
      <c r="S567" s="76"/>
      <c r="T567" s="76"/>
      <c r="U567" s="76"/>
      <c r="V567" s="76"/>
      <c r="W567" s="76"/>
      <c r="X567" s="76"/>
      <c r="Y567" s="76"/>
      <c r="Z567" s="76"/>
      <c r="AA567" s="76"/>
      <c r="AB567" s="76"/>
      <c r="AC567" s="76"/>
      <c r="AD567" s="76"/>
      <c r="AE567" s="76"/>
      <c r="AF567" s="76"/>
    </row>
    <row r="568">
      <c r="A568" s="76"/>
      <c r="B568" s="170"/>
      <c r="C568" s="76"/>
      <c r="D568" s="173"/>
      <c r="E568" s="173"/>
      <c r="F568" s="173"/>
      <c r="G568" s="175"/>
      <c r="H568" s="173"/>
      <c r="I568" s="173"/>
      <c r="J568" s="173"/>
      <c r="K568" s="173"/>
      <c r="L568" s="76"/>
      <c r="M568" s="76"/>
      <c r="N568" s="76"/>
      <c r="O568" s="76"/>
      <c r="P568" s="76"/>
      <c r="Q568" s="76"/>
      <c r="R568" s="76"/>
      <c r="S568" s="76"/>
      <c r="T568" s="76"/>
      <c r="U568" s="76"/>
      <c r="V568" s="76"/>
      <c r="W568" s="76"/>
      <c r="X568" s="76"/>
      <c r="Y568" s="76"/>
      <c r="Z568" s="76"/>
      <c r="AA568" s="76"/>
      <c r="AB568" s="76"/>
      <c r="AC568" s="76"/>
      <c r="AD568" s="76"/>
      <c r="AE568" s="76"/>
      <c r="AF568" s="76"/>
    </row>
    <row r="569">
      <c r="A569" s="76"/>
      <c r="B569" s="170"/>
      <c r="C569" s="76"/>
      <c r="D569" s="173"/>
      <c r="E569" s="173"/>
      <c r="F569" s="173"/>
      <c r="G569" s="175"/>
      <c r="H569" s="173"/>
      <c r="I569" s="173"/>
      <c r="J569" s="173"/>
      <c r="K569" s="173"/>
      <c r="L569" s="76"/>
      <c r="M569" s="76"/>
      <c r="N569" s="76"/>
      <c r="O569" s="76"/>
      <c r="P569" s="76"/>
      <c r="Q569" s="76"/>
      <c r="R569" s="76"/>
      <c r="S569" s="76"/>
      <c r="T569" s="76"/>
      <c r="U569" s="76"/>
      <c r="V569" s="76"/>
      <c r="W569" s="76"/>
      <c r="X569" s="76"/>
      <c r="Y569" s="76"/>
      <c r="Z569" s="76"/>
      <c r="AA569" s="76"/>
      <c r="AB569" s="76"/>
      <c r="AC569" s="76"/>
      <c r="AD569" s="76"/>
      <c r="AE569" s="76"/>
      <c r="AF569" s="76"/>
    </row>
    <row r="570">
      <c r="A570" s="76"/>
      <c r="B570" s="170"/>
      <c r="C570" s="76"/>
      <c r="D570" s="173"/>
      <c r="E570" s="173"/>
      <c r="F570" s="173"/>
      <c r="G570" s="175"/>
      <c r="H570" s="173"/>
      <c r="I570" s="173"/>
      <c r="J570" s="173"/>
      <c r="K570" s="173"/>
      <c r="L570" s="76"/>
      <c r="M570" s="76"/>
      <c r="N570" s="76"/>
      <c r="O570" s="76"/>
      <c r="P570" s="76"/>
      <c r="Q570" s="76"/>
      <c r="R570" s="76"/>
      <c r="S570" s="76"/>
      <c r="T570" s="76"/>
      <c r="U570" s="76"/>
      <c r="V570" s="76"/>
      <c r="W570" s="76"/>
      <c r="X570" s="76"/>
      <c r="Y570" s="76"/>
      <c r="Z570" s="76"/>
      <c r="AA570" s="76"/>
      <c r="AB570" s="76"/>
      <c r="AC570" s="76"/>
      <c r="AD570" s="76"/>
      <c r="AE570" s="76"/>
      <c r="AF570" s="76"/>
    </row>
    <row r="571">
      <c r="A571" s="76"/>
      <c r="B571" s="170"/>
      <c r="C571" s="76"/>
      <c r="D571" s="173"/>
      <c r="E571" s="173"/>
      <c r="F571" s="173"/>
      <c r="G571" s="175"/>
      <c r="H571" s="173"/>
      <c r="I571" s="173"/>
      <c r="J571" s="173"/>
      <c r="K571" s="173"/>
      <c r="L571" s="76"/>
      <c r="M571" s="76"/>
      <c r="N571" s="76"/>
      <c r="O571" s="76"/>
      <c r="P571" s="76"/>
      <c r="Q571" s="76"/>
      <c r="R571" s="76"/>
      <c r="S571" s="76"/>
      <c r="T571" s="76"/>
      <c r="U571" s="76"/>
      <c r="V571" s="76"/>
      <c r="W571" s="76"/>
      <c r="X571" s="76"/>
      <c r="Y571" s="76"/>
      <c r="Z571" s="76"/>
      <c r="AA571" s="76"/>
      <c r="AB571" s="76"/>
      <c r="AC571" s="76"/>
      <c r="AD571" s="76"/>
      <c r="AE571" s="76"/>
      <c r="AF571" s="76"/>
    </row>
    <row r="572">
      <c r="A572" s="76"/>
      <c r="B572" s="170"/>
      <c r="C572" s="76"/>
      <c r="D572" s="173"/>
      <c r="E572" s="173"/>
      <c r="F572" s="173"/>
      <c r="G572" s="175"/>
      <c r="H572" s="173"/>
      <c r="I572" s="173"/>
      <c r="J572" s="173"/>
      <c r="K572" s="173"/>
      <c r="L572" s="76"/>
      <c r="M572" s="76"/>
      <c r="N572" s="76"/>
      <c r="O572" s="76"/>
      <c r="P572" s="76"/>
      <c r="Q572" s="76"/>
      <c r="R572" s="76"/>
      <c r="S572" s="76"/>
      <c r="T572" s="76"/>
      <c r="U572" s="76"/>
      <c r="V572" s="76"/>
      <c r="W572" s="76"/>
      <c r="X572" s="76"/>
      <c r="Y572" s="76"/>
      <c r="Z572" s="76"/>
      <c r="AA572" s="76"/>
      <c r="AB572" s="76"/>
      <c r="AC572" s="76"/>
      <c r="AD572" s="76"/>
      <c r="AE572" s="76"/>
      <c r="AF572" s="76"/>
    </row>
    <row r="573">
      <c r="A573" s="76"/>
      <c r="B573" s="170"/>
      <c r="C573" s="76"/>
      <c r="D573" s="173"/>
      <c r="E573" s="173"/>
      <c r="F573" s="173"/>
      <c r="G573" s="175"/>
      <c r="H573" s="173"/>
      <c r="I573" s="173"/>
      <c r="J573" s="173"/>
      <c r="K573" s="173"/>
      <c r="L573" s="76"/>
      <c r="M573" s="76"/>
      <c r="N573" s="76"/>
      <c r="O573" s="76"/>
      <c r="P573" s="76"/>
      <c r="Q573" s="76"/>
      <c r="R573" s="76"/>
      <c r="S573" s="76"/>
      <c r="T573" s="76"/>
      <c r="U573" s="76"/>
      <c r="V573" s="76"/>
      <c r="W573" s="76"/>
      <c r="X573" s="76"/>
      <c r="Y573" s="76"/>
      <c r="Z573" s="76"/>
      <c r="AA573" s="76"/>
      <c r="AB573" s="76"/>
      <c r="AC573" s="76"/>
      <c r="AD573" s="76"/>
      <c r="AE573" s="76"/>
      <c r="AF573" s="76"/>
    </row>
    <row r="574">
      <c r="A574" s="76"/>
      <c r="B574" s="170"/>
      <c r="C574" s="76"/>
      <c r="D574" s="173"/>
      <c r="E574" s="173"/>
      <c r="F574" s="173"/>
      <c r="G574" s="175"/>
      <c r="H574" s="173"/>
      <c r="I574" s="173"/>
      <c r="J574" s="173"/>
      <c r="K574" s="173"/>
      <c r="L574" s="76"/>
      <c r="M574" s="76"/>
      <c r="N574" s="76"/>
      <c r="O574" s="76"/>
      <c r="P574" s="76"/>
      <c r="Q574" s="76"/>
      <c r="R574" s="76"/>
      <c r="S574" s="76"/>
      <c r="T574" s="76"/>
      <c r="U574" s="76"/>
      <c r="V574" s="76"/>
      <c r="W574" s="76"/>
      <c r="X574" s="76"/>
      <c r="Y574" s="76"/>
      <c r="Z574" s="76"/>
      <c r="AA574" s="76"/>
      <c r="AB574" s="76"/>
      <c r="AC574" s="76"/>
      <c r="AD574" s="76"/>
      <c r="AE574" s="76"/>
      <c r="AF574" s="76"/>
    </row>
    <row r="575">
      <c r="A575" s="76"/>
      <c r="B575" s="170"/>
      <c r="C575" s="76"/>
      <c r="D575" s="173"/>
      <c r="E575" s="173"/>
      <c r="F575" s="173"/>
      <c r="G575" s="175"/>
      <c r="H575" s="173"/>
      <c r="I575" s="173"/>
      <c r="J575" s="173"/>
      <c r="K575" s="173"/>
      <c r="L575" s="76"/>
      <c r="M575" s="76"/>
      <c r="N575" s="76"/>
      <c r="O575" s="76"/>
      <c r="P575" s="76"/>
      <c r="Q575" s="76"/>
      <c r="R575" s="76"/>
      <c r="S575" s="76"/>
      <c r="T575" s="76"/>
      <c r="U575" s="76"/>
      <c r="V575" s="76"/>
      <c r="W575" s="76"/>
      <c r="X575" s="76"/>
      <c r="Y575" s="76"/>
      <c r="Z575" s="76"/>
      <c r="AA575" s="76"/>
      <c r="AB575" s="76"/>
      <c r="AC575" s="76"/>
      <c r="AD575" s="76"/>
      <c r="AE575" s="76"/>
      <c r="AF575" s="76"/>
    </row>
    <row r="576">
      <c r="A576" s="76"/>
      <c r="B576" s="170"/>
      <c r="C576" s="76"/>
      <c r="D576" s="173"/>
      <c r="E576" s="173"/>
      <c r="F576" s="173"/>
      <c r="G576" s="175"/>
      <c r="H576" s="173"/>
      <c r="I576" s="173"/>
      <c r="J576" s="173"/>
      <c r="K576" s="173"/>
      <c r="L576" s="76"/>
      <c r="M576" s="76"/>
      <c r="N576" s="76"/>
      <c r="O576" s="76"/>
      <c r="P576" s="76"/>
      <c r="Q576" s="76"/>
      <c r="R576" s="76"/>
      <c r="S576" s="76"/>
      <c r="T576" s="76"/>
      <c r="U576" s="76"/>
      <c r="V576" s="76"/>
      <c r="W576" s="76"/>
      <c r="X576" s="76"/>
      <c r="Y576" s="76"/>
      <c r="Z576" s="76"/>
      <c r="AA576" s="76"/>
      <c r="AB576" s="76"/>
      <c r="AC576" s="76"/>
      <c r="AD576" s="76"/>
      <c r="AE576" s="76"/>
      <c r="AF576" s="76"/>
    </row>
    <row r="577">
      <c r="A577" s="76"/>
      <c r="B577" s="170"/>
      <c r="C577" s="76"/>
      <c r="D577" s="173"/>
      <c r="E577" s="173"/>
      <c r="F577" s="173"/>
      <c r="G577" s="175"/>
      <c r="H577" s="173"/>
      <c r="I577" s="173"/>
      <c r="J577" s="173"/>
      <c r="K577" s="173"/>
      <c r="L577" s="76"/>
      <c r="M577" s="76"/>
      <c r="N577" s="76"/>
      <c r="O577" s="76"/>
      <c r="P577" s="76"/>
      <c r="Q577" s="76"/>
      <c r="R577" s="76"/>
      <c r="S577" s="76"/>
      <c r="T577" s="76"/>
      <c r="U577" s="76"/>
      <c r="V577" s="76"/>
      <c r="W577" s="76"/>
      <c r="X577" s="76"/>
      <c r="Y577" s="76"/>
      <c r="Z577" s="76"/>
      <c r="AA577" s="76"/>
      <c r="AB577" s="76"/>
      <c r="AC577" s="76"/>
      <c r="AD577" s="76"/>
      <c r="AE577" s="76"/>
      <c r="AF577" s="76"/>
    </row>
    <row r="578">
      <c r="A578" s="76"/>
      <c r="B578" s="170"/>
      <c r="C578" s="76"/>
      <c r="D578" s="173"/>
      <c r="E578" s="173"/>
      <c r="F578" s="173"/>
      <c r="G578" s="175"/>
      <c r="H578" s="173"/>
      <c r="I578" s="173"/>
      <c r="J578" s="173"/>
      <c r="K578" s="173"/>
      <c r="L578" s="76"/>
      <c r="M578" s="76"/>
      <c r="N578" s="76"/>
      <c r="O578" s="76"/>
      <c r="P578" s="76"/>
      <c r="Q578" s="76"/>
      <c r="R578" s="76"/>
      <c r="S578" s="76"/>
      <c r="T578" s="76"/>
      <c r="U578" s="76"/>
      <c r="V578" s="76"/>
      <c r="W578" s="76"/>
      <c r="X578" s="76"/>
      <c r="Y578" s="76"/>
      <c r="Z578" s="76"/>
      <c r="AA578" s="76"/>
      <c r="AB578" s="76"/>
      <c r="AC578" s="76"/>
      <c r="AD578" s="76"/>
      <c r="AE578" s="76"/>
      <c r="AF578" s="76"/>
    </row>
    <row r="579">
      <c r="A579" s="76"/>
      <c r="B579" s="170"/>
      <c r="C579" s="76"/>
      <c r="D579" s="173"/>
      <c r="E579" s="173"/>
      <c r="F579" s="173"/>
      <c r="G579" s="175"/>
      <c r="H579" s="173"/>
      <c r="I579" s="173"/>
      <c r="J579" s="173"/>
      <c r="K579" s="173"/>
      <c r="L579" s="76"/>
      <c r="M579" s="76"/>
      <c r="N579" s="76"/>
      <c r="O579" s="76"/>
      <c r="P579" s="76"/>
      <c r="Q579" s="76"/>
      <c r="R579" s="76"/>
      <c r="S579" s="76"/>
      <c r="T579" s="76"/>
      <c r="U579" s="76"/>
      <c r="V579" s="76"/>
      <c r="W579" s="76"/>
      <c r="X579" s="76"/>
      <c r="Y579" s="76"/>
      <c r="Z579" s="76"/>
      <c r="AA579" s="76"/>
      <c r="AB579" s="76"/>
      <c r="AC579" s="76"/>
      <c r="AD579" s="76"/>
      <c r="AE579" s="76"/>
      <c r="AF579" s="76"/>
    </row>
    <row r="580">
      <c r="A580" s="76"/>
      <c r="B580" s="170"/>
      <c r="C580" s="76"/>
      <c r="D580" s="173"/>
      <c r="E580" s="173"/>
      <c r="F580" s="173"/>
      <c r="G580" s="175"/>
      <c r="H580" s="173"/>
      <c r="I580" s="173"/>
      <c r="J580" s="173"/>
      <c r="K580" s="173"/>
      <c r="L580" s="76"/>
      <c r="M580" s="76"/>
      <c r="N580" s="76"/>
      <c r="O580" s="76"/>
      <c r="P580" s="76"/>
      <c r="Q580" s="76"/>
      <c r="R580" s="76"/>
      <c r="S580" s="76"/>
      <c r="T580" s="76"/>
      <c r="U580" s="76"/>
      <c r="V580" s="76"/>
      <c r="W580" s="76"/>
      <c r="X580" s="76"/>
      <c r="Y580" s="76"/>
      <c r="Z580" s="76"/>
      <c r="AA580" s="76"/>
      <c r="AB580" s="76"/>
      <c r="AC580" s="76"/>
      <c r="AD580" s="76"/>
      <c r="AE580" s="76"/>
      <c r="AF580" s="76"/>
    </row>
    <row r="581">
      <c r="A581" s="76"/>
      <c r="B581" s="170"/>
      <c r="C581" s="76"/>
      <c r="D581" s="173"/>
      <c r="E581" s="173"/>
      <c r="F581" s="173"/>
      <c r="G581" s="175"/>
      <c r="H581" s="173"/>
      <c r="I581" s="173"/>
      <c r="J581" s="173"/>
      <c r="K581" s="173"/>
      <c r="L581" s="76"/>
      <c r="M581" s="76"/>
      <c r="N581" s="76"/>
      <c r="O581" s="76"/>
      <c r="P581" s="76"/>
      <c r="Q581" s="76"/>
      <c r="R581" s="76"/>
      <c r="S581" s="76"/>
      <c r="T581" s="76"/>
      <c r="U581" s="76"/>
      <c r="V581" s="76"/>
      <c r="W581" s="76"/>
      <c r="X581" s="76"/>
      <c r="Y581" s="76"/>
      <c r="Z581" s="76"/>
      <c r="AA581" s="76"/>
      <c r="AB581" s="76"/>
      <c r="AC581" s="76"/>
      <c r="AD581" s="76"/>
      <c r="AE581" s="76"/>
      <c r="AF581" s="76"/>
    </row>
    <row r="582">
      <c r="A582" s="76"/>
      <c r="B582" s="170"/>
      <c r="C582" s="76"/>
      <c r="D582" s="173"/>
      <c r="E582" s="173"/>
      <c r="F582" s="173"/>
      <c r="G582" s="175"/>
      <c r="H582" s="173"/>
      <c r="I582" s="173"/>
      <c r="J582" s="173"/>
      <c r="K582" s="173"/>
      <c r="L582" s="76"/>
      <c r="M582" s="76"/>
      <c r="N582" s="76"/>
      <c r="O582" s="76"/>
      <c r="P582" s="76"/>
      <c r="Q582" s="76"/>
      <c r="R582" s="76"/>
      <c r="S582" s="76"/>
      <c r="T582" s="76"/>
      <c r="U582" s="76"/>
      <c r="V582" s="76"/>
      <c r="W582" s="76"/>
      <c r="X582" s="76"/>
      <c r="Y582" s="76"/>
      <c r="Z582" s="76"/>
      <c r="AA582" s="76"/>
      <c r="AB582" s="76"/>
      <c r="AC582" s="76"/>
      <c r="AD582" s="76"/>
      <c r="AE582" s="76"/>
      <c r="AF582" s="76"/>
    </row>
    <row r="583">
      <c r="A583" s="76"/>
      <c r="B583" s="170"/>
      <c r="C583" s="76"/>
      <c r="D583" s="173"/>
      <c r="E583" s="173"/>
      <c r="F583" s="173"/>
      <c r="G583" s="175"/>
      <c r="H583" s="173"/>
      <c r="I583" s="173"/>
      <c r="J583" s="173"/>
      <c r="K583" s="173"/>
      <c r="L583" s="76"/>
      <c r="M583" s="76"/>
      <c r="N583" s="76"/>
      <c r="O583" s="76"/>
      <c r="P583" s="76"/>
      <c r="Q583" s="76"/>
      <c r="R583" s="76"/>
      <c r="S583" s="76"/>
      <c r="T583" s="76"/>
      <c r="U583" s="76"/>
      <c r="V583" s="76"/>
      <c r="W583" s="76"/>
      <c r="X583" s="76"/>
      <c r="Y583" s="76"/>
      <c r="Z583" s="76"/>
      <c r="AA583" s="76"/>
      <c r="AB583" s="76"/>
      <c r="AC583" s="76"/>
      <c r="AD583" s="76"/>
      <c r="AE583" s="76"/>
      <c r="AF583" s="76"/>
    </row>
    <row r="584">
      <c r="A584" s="76"/>
      <c r="B584" s="170"/>
      <c r="C584" s="76"/>
      <c r="D584" s="173"/>
      <c r="E584" s="173"/>
      <c r="F584" s="173"/>
      <c r="G584" s="175"/>
      <c r="H584" s="173"/>
      <c r="I584" s="173"/>
      <c r="J584" s="173"/>
      <c r="K584" s="173"/>
      <c r="L584" s="76"/>
      <c r="M584" s="76"/>
      <c r="N584" s="76"/>
      <c r="O584" s="76"/>
      <c r="P584" s="76"/>
      <c r="Q584" s="76"/>
      <c r="R584" s="76"/>
      <c r="S584" s="76"/>
      <c r="T584" s="76"/>
      <c r="U584" s="76"/>
      <c r="V584" s="76"/>
      <c r="W584" s="76"/>
      <c r="X584" s="76"/>
      <c r="Y584" s="76"/>
      <c r="Z584" s="76"/>
      <c r="AA584" s="76"/>
      <c r="AB584" s="76"/>
      <c r="AC584" s="76"/>
      <c r="AD584" s="76"/>
      <c r="AE584" s="76"/>
      <c r="AF584" s="76"/>
    </row>
    <row r="585">
      <c r="A585" s="76"/>
      <c r="B585" s="170"/>
      <c r="C585" s="76"/>
      <c r="D585" s="173"/>
      <c r="E585" s="173"/>
      <c r="F585" s="173"/>
      <c r="G585" s="175"/>
      <c r="H585" s="173"/>
      <c r="I585" s="173"/>
      <c r="J585" s="173"/>
      <c r="K585" s="173"/>
      <c r="L585" s="76"/>
      <c r="M585" s="76"/>
      <c r="N585" s="76"/>
      <c r="O585" s="76"/>
      <c r="P585" s="76"/>
      <c r="Q585" s="76"/>
      <c r="R585" s="76"/>
      <c r="S585" s="76"/>
      <c r="T585" s="76"/>
      <c r="U585" s="76"/>
      <c r="V585" s="76"/>
      <c r="W585" s="76"/>
      <c r="X585" s="76"/>
      <c r="Y585" s="76"/>
      <c r="Z585" s="76"/>
      <c r="AA585" s="76"/>
      <c r="AB585" s="76"/>
      <c r="AC585" s="76"/>
      <c r="AD585" s="76"/>
      <c r="AE585" s="76"/>
      <c r="AF585" s="76"/>
    </row>
    <row r="586">
      <c r="A586" s="76"/>
      <c r="B586" s="170"/>
      <c r="C586" s="76"/>
      <c r="D586" s="173"/>
      <c r="E586" s="173"/>
      <c r="F586" s="173"/>
      <c r="G586" s="175"/>
      <c r="H586" s="173"/>
      <c r="I586" s="173"/>
      <c r="J586" s="173"/>
      <c r="K586" s="173"/>
      <c r="L586" s="76"/>
      <c r="M586" s="76"/>
      <c r="N586" s="76"/>
      <c r="O586" s="76"/>
      <c r="P586" s="76"/>
      <c r="Q586" s="76"/>
      <c r="R586" s="76"/>
      <c r="S586" s="76"/>
      <c r="T586" s="76"/>
      <c r="U586" s="76"/>
      <c r="V586" s="76"/>
      <c r="W586" s="76"/>
      <c r="X586" s="76"/>
      <c r="Y586" s="76"/>
      <c r="Z586" s="76"/>
      <c r="AA586" s="76"/>
      <c r="AB586" s="76"/>
      <c r="AC586" s="76"/>
      <c r="AD586" s="76"/>
      <c r="AE586" s="76"/>
      <c r="AF586" s="76"/>
    </row>
    <row r="587">
      <c r="A587" s="76"/>
      <c r="B587" s="170"/>
      <c r="C587" s="76"/>
      <c r="D587" s="173"/>
      <c r="E587" s="173"/>
      <c r="F587" s="173"/>
      <c r="G587" s="175"/>
      <c r="H587" s="173"/>
      <c r="I587" s="173"/>
      <c r="J587" s="173"/>
      <c r="K587" s="173"/>
      <c r="L587" s="76"/>
      <c r="M587" s="76"/>
      <c r="N587" s="76"/>
      <c r="O587" s="76"/>
      <c r="P587" s="76"/>
      <c r="Q587" s="76"/>
      <c r="R587" s="76"/>
      <c r="S587" s="76"/>
      <c r="T587" s="76"/>
      <c r="U587" s="76"/>
      <c r="V587" s="76"/>
      <c r="W587" s="76"/>
      <c r="X587" s="76"/>
      <c r="Y587" s="76"/>
      <c r="Z587" s="76"/>
      <c r="AA587" s="76"/>
      <c r="AB587" s="76"/>
      <c r="AC587" s="76"/>
      <c r="AD587" s="76"/>
      <c r="AE587" s="76"/>
      <c r="AF587" s="76"/>
    </row>
    <row r="588">
      <c r="A588" s="76"/>
      <c r="B588" s="170"/>
      <c r="C588" s="76"/>
      <c r="D588" s="173"/>
      <c r="E588" s="173"/>
      <c r="F588" s="173"/>
      <c r="G588" s="175"/>
      <c r="H588" s="173"/>
      <c r="I588" s="173"/>
      <c r="J588" s="173"/>
      <c r="K588" s="173"/>
      <c r="L588" s="76"/>
      <c r="M588" s="76"/>
      <c r="N588" s="76"/>
      <c r="O588" s="76"/>
      <c r="P588" s="76"/>
      <c r="Q588" s="76"/>
      <c r="R588" s="76"/>
      <c r="S588" s="76"/>
      <c r="T588" s="76"/>
      <c r="U588" s="76"/>
      <c r="V588" s="76"/>
      <c r="W588" s="76"/>
      <c r="X588" s="76"/>
      <c r="Y588" s="76"/>
      <c r="Z588" s="76"/>
      <c r="AA588" s="76"/>
      <c r="AB588" s="76"/>
      <c r="AC588" s="76"/>
      <c r="AD588" s="76"/>
      <c r="AE588" s="76"/>
      <c r="AF588" s="76"/>
    </row>
    <row r="589">
      <c r="A589" s="76"/>
      <c r="B589" s="170"/>
      <c r="C589" s="76"/>
      <c r="D589" s="173"/>
      <c r="E589" s="173"/>
      <c r="F589" s="173"/>
      <c r="G589" s="175"/>
      <c r="H589" s="173"/>
      <c r="I589" s="173"/>
      <c r="J589" s="173"/>
      <c r="K589" s="173"/>
      <c r="L589" s="76"/>
      <c r="M589" s="76"/>
      <c r="N589" s="76"/>
      <c r="O589" s="76"/>
      <c r="P589" s="76"/>
      <c r="Q589" s="76"/>
      <c r="R589" s="76"/>
      <c r="S589" s="76"/>
      <c r="T589" s="76"/>
      <c r="U589" s="76"/>
      <c r="V589" s="76"/>
      <c r="W589" s="76"/>
      <c r="X589" s="76"/>
      <c r="Y589" s="76"/>
      <c r="Z589" s="76"/>
      <c r="AA589" s="76"/>
      <c r="AB589" s="76"/>
      <c r="AC589" s="76"/>
      <c r="AD589" s="76"/>
      <c r="AE589" s="76"/>
      <c r="AF589" s="76"/>
    </row>
    <row r="590">
      <c r="A590" s="76"/>
      <c r="B590" s="170"/>
      <c r="C590" s="76"/>
      <c r="D590" s="173"/>
      <c r="E590" s="173"/>
      <c r="F590" s="173"/>
      <c r="G590" s="175"/>
      <c r="H590" s="173"/>
      <c r="I590" s="173"/>
      <c r="J590" s="173"/>
      <c r="K590" s="173"/>
      <c r="L590" s="76"/>
      <c r="M590" s="76"/>
      <c r="N590" s="76"/>
      <c r="O590" s="76"/>
      <c r="P590" s="76"/>
      <c r="Q590" s="76"/>
      <c r="R590" s="76"/>
      <c r="S590" s="76"/>
      <c r="T590" s="76"/>
      <c r="U590" s="76"/>
      <c r="V590" s="76"/>
      <c r="W590" s="76"/>
      <c r="X590" s="76"/>
      <c r="Y590" s="76"/>
      <c r="Z590" s="76"/>
      <c r="AA590" s="76"/>
      <c r="AB590" s="76"/>
      <c r="AC590" s="76"/>
      <c r="AD590" s="76"/>
      <c r="AE590" s="76"/>
      <c r="AF590" s="76"/>
    </row>
    <row r="591">
      <c r="A591" s="76"/>
      <c r="B591" s="170"/>
      <c r="C591" s="76"/>
      <c r="D591" s="173"/>
      <c r="E591" s="173"/>
      <c r="F591" s="173"/>
      <c r="G591" s="175"/>
      <c r="H591" s="173"/>
      <c r="I591" s="173"/>
      <c r="J591" s="173"/>
      <c r="K591" s="173"/>
      <c r="L591" s="76"/>
      <c r="M591" s="76"/>
      <c r="N591" s="76"/>
      <c r="O591" s="76"/>
      <c r="P591" s="76"/>
      <c r="Q591" s="76"/>
      <c r="R591" s="76"/>
      <c r="S591" s="76"/>
      <c r="T591" s="76"/>
      <c r="U591" s="76"/>
      <c r="V591" s="76"/>
      <c r="W591" s="76"/>
      <c r="X591" s="76"/>
      <c r="Y591" s="76"/>
      <c r="Z591" s="76"/>
      <c r="AA591" s="76"/>
      <c r="AB591" s="76"/>
      <c r="AC591" s="76"/>
      <c r="AD591" s="76"/>
      <c r="AE591" s="76"/>
      <c r="AF591" s="76"/>
    </row>
    <row r="592">
      <c r="A592" s="76"/>
      <c r="B592" s="170"/>
      <c r="C592" s="76"/>
      <c r="D592" s="173"/>
      <c r="E592" s="173"/>
      <c r="F592" s="173"/>
      <c r="G592" s="175"/>
      <c r="H592" s="173"/>
      <c r="I592" s="173"/>
      <c r="J592" s="173"/>
      <c r="K592" s="173"/>
      <c r="L592" s="76"/>
      <c r="M592" s="76"/>
      <c r="N592" s="76"/>
      <c r="O592" s="76"/>
      <c r="P592" s="76"/>
      <c r="Q592" s="76"/>
      <c r="R592" s="76"/>
      <c r="S592" s="76"/>
      <c r="T592" s="76"/>
      <c r="U592" s="76"/>
      <c r="V592" s="76"/>
      <c r="W592" s="76"/>
      <c r="X592" s="76"/>
      <c r="Y592" s="76"/>
      <c r="Z592" s="76"/>
      <c r="AA592" s="76"/>
      <c r="AB592" s="76"/>
      <c r="AC592" s="76"/>
      <c r="AD592" s="76"/>
      <c r="AE592" s="76"/>
      <c r="AF592" s="76"/>
    </row>
    <row r="593">
      <c r="A593" s="76"/>
      <c r="B593" s="170"/>
      <c r="C593" s="76"/>
      <c r="D593" s="173"/>
      <c r="E593" s="173"/>
      <c r="F593" s="173"/>
      <c r="G593" s="175"/>
      <c r="H593" s="173"/>
      <c r="I593" s="173"/>
      <c r="J593" s="173"/>
      <c r="K593" s="173"/>
      <c r="L593" s="76"/>
      <c r="M593" s="76"/>
      <c r="N593" s="76"/>
      <c r="O593" s="76"/>
      <c r="P593" s="76"/>
      <c r="Q593" s="76"/>
      <c r="R593" s="76"/>
      <c r="S593" s="76"/>
      <c r="T593" s="76"/>
      <c r="U593" s="76"/>
      <c r="V593" s="76"/>
      <c r="W593" s="76"/>
      <c r="X593" s="76"/>
      <c r="Y593" s="76"/>
      <c r="Z593" s="76"/>
      <c r="AA593" s="76"/>
      <c r="AB593" s="76"/>
      <c r="AC593" s="76"/>
      <c r="AD593" s="76"/>
      <c r="AE593" s="76"/>
      <c r="AF593" s="76"/>
    </row>
    <row r="594">
      <c r="A594" s="76"/>
      <c r="B594" s="170"/>
      <c r="C594" s="76"/>
      <c r="D594" s="173"/>
      <c r="E594" s="173"/>
      <c r="F594" s="173"/>
      <c r="G594" s="175"/>
      <c r="H594" s="173"/>
      <c r="I594" s="173"/>
      <c r="J594" s="173"/>
      <c r="K594" s="173"/>
      <c r="L594" s="76"/>
      <c r="M594" s="76"/>
      <c r="N594" s="76"/>
      <c r="O594" s="76"/>
      <c r="P594" s="76"/>
      <c r="Q594" s="76"/>
      <c r="R594" s="76"/>
      <c r="S594" s="76"/>
      <c r="T594" s="76"/>
      <c r="U594" s="76"/>
      <c r="V594" s="76"/>
      <c r="W594" s="76"/>
      <c r="X594" s="76"/>
      <c r="Y594" s="76"/>
      <c r="Z594" s="76"/>
      <c r="AA594" s="76"/>
      <c r="AB594" s="76"/>
      <c r="AC594" s="76"/>
      <c r="AD594" s="76"/>
      <c r="AE594" s="76"/>
      <c r="AF594" s="76"/>
    </row>
    <row r="595">
      <c r="A595" s="76"/>
      <c r="B595" s="170"/>
      <c r="C595" s="76"/>
      <c r="D595" s="173"/>
      <c r="E595" s="173"/>
      <c r="F595" s="173"/>
      <c r="G595" s="175"/>
      <c r="H595" s="173"/>
      <c r="I595" s="173"/>
      <c r="J595" s="173"/>
      <c r="K595" s="173"/>
      <c r="L595" s="76"/>
      <c r="M595" s="76"/>
      <c r="N595" s="76"/>
      <c r="O595" s="76"/>
      <c r="P595" s="76"/>
      <c r="Q595" s="76"/>
      <c r="R595" s="76"/>
      <c r="S595" s="76"/>
      <c r="T595" s="76"/>
      <c r="U595" s="76"/>
      <c r="V595" s="76"/>
      <c r="W595" s="76"/>
      <c r="X595" s="76"/>
      <c r="Y595" s="76"/>
      <c r="Z595" s="76"/>
      <c r="AA595" s="76"/>
      <c r="AB595" s="76"/>
      <c r="AC595" s="76"/>
      <c r="AD595" s="76"/>
      <c r="AE595" s="76"/>
      <c r="AF595" s="76"/>
    </row>
    <row r="596">
      <c r="A596" s="76"/>
      <c r="B596" s="170"/>
      <c r="C596" s="76"/>
      <c r="D596" s="173"/>
      <c r="E596" s="173"/>
      <c r="F596" s="173"/>
      <c r="G596" s="175"/>
      <c r="H596" s="173"/>
      <c r="I596" s="173"/>
      <c r="J596" s="173"/>
      <c r="K596" s="173"/>
      <c r="L596" s="76"/>
      <c r="M596" s="76"/>
      <c r="N596" s="76"/>
      <c r="O596" s="76"/>
      <c r="P596" s="76"/>
      <c r="Q596" s="76"/>
      <c r="R596" s="76"/>
      <c r="S596" s="76"/>
      <c r="T596" s="76"/>
      <c r="U596" s="76"/>
      <c r="V596" s="76"/>
      <c r="W596" s="76"/>
      <c r="X596" s="76"/>
      <c r="Y596" s="76"/>
      <c r="Z596" s="76"/>
      <c r="AA596" s="76"/>
      <c r="AB596" s="76"/>
      <c r="AC596" s="76"/>
      <c r="AD596" s="76"/>
      <c r="AE596" s="76"/>
      <c r="AF596" s="76"/>
    </row>
    <row r="597">
      <c r="A597" s="76"/>
      <c r="B597" s="170"/>
      <c r="C597" s="76"/>
      <c r="D597" s="173"/>
      <c r="E597" s="173"/>
      <c r="F597" s="173"/>
      <c r="G597" s="175"/>
      <c r="H597" s="173"/>
      <c r="I597" s="173"/>
      <c r="J597" s="173"/>
      <c r="K597" s="173"/>
      <c r="L597" s="76"/>
      <c r="M597" s="76"/>
      <c r="N597" s="76"/>
      <c r="O597" s="76"/>
      <c r="P597" s="76"/>
      <c r="Q597" s="76"/>
      <c r="R597" s="76"/>
      <c r="S597" s="76"/>
      <c r="T597" s="76"/>
      <c r="U597" s="76"/>
      <c r="V597" s="76"/>
      <c r="W597" s="76"/>
      <c r="X597" s="76"/>
      <c r="Y597" s="76"/>
      <c r="Z597" s="76"/>
      <c r="AA597" s="76"/>
      <c r="AB597" s="76"/>
      <c r="AC597" s="76"/>
      <c r="AD597" s="76"/>
      <c r="AE597" s="76"/>
      <c r="AF597" s="76"/>
    </row>
    <row r="598">
      <c r="A598" s="76"/>
      <c r="B598" s="170"/>
      <c r="C598" s="76"/>
      <c r="D598" s="173"/>
      <c r="E598" s="173"/>
      <c r="F598" s="173"/>
      <c r="G598" s="175"/>
      <c r="H598" s="173"/>
      <c r="I598" s="173"/>
      <c r="J598" s="173"/>
      <c r="K598" s="173"/>
      <c r="L598" s="76"/>
      <c r="M598" s="76"/>
      <c r="N598" s="76"/>
      <c r="O598" s="76"/>
      <c r="P598" s="76"/>
      <c r="Q598" s="76"/>
      <c r="R598" s="76"/>
      <c r="S598" s="76"/>
      <c r="T598" s="76"/>
      <c r="U598" s="76"/>
      <c r="V598" s="76"/>
      <c r="W598" s="76"/>
      <c r="X598" s="76"/>
      <c r="Y598" s="76"/>
      <c r="Z598" s="76"/>
      <c r="AA598" s="76"/>
      <c r="AB598" s="76"/>
      <c r="AC598" s="76"/>
      <c r="AD598" s="76"/>
      <c r="AE598" s="76"/>
      <c r="AF598" s="76"/>
    </row>
    <row r="599">
      <c r="A599" s="76"/>
      <c r="B599" s="170"/>
      <c r="C599" s="76"/>
      <c r="D599" s="173"/>
      <c r="E599" s="173"/>
      <c r="F599" s="173"/>
      <c r="G599" s="175"/>
      <c r="H599" s="173"/>
      <c r="I599" s="173"/>
      <c r="J599" s="173"/>
      <c r="K599" s="173"/>
      <c r="L599" s="76"/>
      <c r="M599" s="76"/>
      <c r="N599" s="76"/>
      <c r="O599" s="76"/>
      <c r="P599" s="76"/>
      <c r="Q599" s="76"/>
      <c r="R599" s="76"/>
      <c r="S599" s="76"/>
      <c r="T599" s="76"/>
      <c r="U599" s="76"/>
      <c r="V599" s="76"/>
      <c r="W599" s="76"/>
      <c r="X599" s="76"/>
      <c r="Y599" s="76"/>
      <c r="Z599" s="76"/>
      <c r="AA599" s="76"/>
      <c r="AB599" s="76"/>
      <c r="AC599" s="76"/>
      <c r="AD599" s="76"/>
      <c r="AE599" s="76"/>
      <c r="AF599" s="76"/>
    </row>
    <row r="600">
      <c r="A600" s="76"/>
      <c r="B600" s="170"/>
      <c r="C600" s="76"/>
      <c r="D600" s="173"/>
      <c r="E600" s="173"/>
      <c r="F600" s="173"/>
      <c r="G600" s="175"/>
      <c r="H600" s="173"/>
      <c r="I600" s="173"/>
      <c r="J600" s="173"/>
      <c r="K600" s="173"/>
      <c r="L600" s="76"/>
      <c r="M600" s="76"/>
      <c r="N600" s="76"/>
      <c r="O600" s="76"/>
      <c r="P600" s="76"/>
      <c r="Q600" s="76"/>
      <c r="R600" s="76"/>
      <c r="S600" s="76"/>
      <c r="T600" s="76"/>
      <c r="U600" s="76"/>
      <c r="V600" s="76"/>
      <c r="W600" s="76"/>
      <c r="X600" s="76"/>
      <c r="Y600" s="76"/>
      <c r="Z600" s="76"/>
      <c r="AA600" s="76"/>
      <c r="AB600" s="76"/>
      <c r="AC600" s="76"/>
      <c r="AD600" s="76"/>
      <c r="AE600" s="76"/>
      <c r="AF600" s="76"/>
    </row>
    <row r="601">
      <c r="A601" s="76"/>
      <c r="B601" s="170"/>
      <c r="C601" s="76"/>
      <c r="D601" s="173"/>
      <c r="E601" s="173"/>
      <c r="F601" s="173"/>
      <c r="G601" s="175"/>
      <c r="H601" s="173"/>
      <c r="I601" s="173"/>
      <c r="J601" s="173"/>
      <c r="K601" s="173"/>
      <c r="L601" s="76"/>
      <c r="M601" s="76"/>
      <c r="N601" s="76"/>
      <c r="O601" s="76"/>
      <c r="P601" s="76"/>
      <c r="Q601" s="76"/>
      <c r="R601" s="76"/>
      <c r="S601" s="76"/>
      <c r="T601" s="76"/>
      <c r="U601" s="76"/>
      <c r="V601" s="76"/>
      <c r="W601" s="76"/>
      <c r="X601" s="76"/>
      <c r="Y601" s="76"/>
      <c r="Z601" s="76"/>
      <c r="AA601" s="76"/>
      <c r="AB601" s="76"/>
      <c r="AC601" s="76"/>
      <c r="AD601" s="76"/>
      <c r="AE601" s="76"/>
      <c r="AF601" s="76"/>
    </row>
    <row r="602">
      <c r="A602" s="76"/>
      <c r="B602" s="170"/>
      <c r="C602" s="76"/>
      <c r="D602" s="173"/>
      <c r="E602" s="173"/>
      <c r="F602" s="173"/>
      <c r="G602" s="175"/>
      <c r="H602" s="173"/>
      <c r="I602" s="173"/>
      <c r="J602" s="173"/>
      <c r="K602" s="173"/>
      <c r="L602" s="76"/>
      <c r="M602" s="76"/>
      <c r="N602" s="76"/>
      <c r="O602" s="76"/>
      <c r="P602" s="76"/>
      <c r="Q602" s="76"/>
      <c r="R602" s="76"/>
      <c r="S602" s="76"/>
      <c r="T602" s="76"/>
      <c r="U602" s="76"/>
      <c r="V602" s="76"/>
      <c r="W602" s="76"/>
      <c r="X602" s="76"/>
      <c r="Y602" s="76"/>
      <c r="Z602" s="76"/>
      <c r="AA602" s="76"/>
      <c r="AB602" s="76"/>
      <c r="AC602" s="76"/>
      <c r="AD602" s="76"/>
      <c r="AE602" s="76"/>
      <c r="AF602" s="76"/>
    </row>
    <row r="603">
      <c r="A603" s="76"/>
      <c r="B603" s="170"/>
      <c r="C603" s="76"/>
      <c r="D603" s="173"/>
      <c r="E603" s="173"/>
      <c r="F603" s="173"/>
      <c r="G603" s="175"/>
      <c r="H603" s="173"/>
      <c r="I603" s="173"/>
      <c r="J603" s="173"/>
      <c r="K603" s="173"/>
      <c r="L603" s="76"/>
      <c r="M603" s="76"/>
      <c r="N603" s="76"/>
      <c r="O603" s="76"/>
      <c r="P603" s="76"/>
      <c r="Q603" s="76"/>
      <c r="R603" s="76"/>
      <c r="S603" s="76"/>
      <c r="T603" s="76"/>
      <c r="U603" s="76"/>
      <c r="V603" s="76"/>
      <c r="W603" s="76"/>
      <c r="X603" s="76"/>
      <c r="Y603" s="76"/>
      <c r="Z603" s="76"/>
      <c r="AA603" s="76"/>
      <c r="AB603" s="76"/>
      <c r="AC603" s="76"/>
      <c r="AD603" s="76"/>
      <c r="AE603" s="76"/>
      <c r="AF603" s="76"/>
    </row>
    <row r="604">
      <c r="A604" s="76"/>
      <c r="B604" s="170"/>
      <c r="C604" s="76"/>
      <c r="D604" s="173"/>
      <c r="E604" s="173"/>
      <c r="F604" s="173"/>
      <c r="G604" s="175"/>
      <c r="H604" s="173"/>
      <c r="I604" s="173"/>
      <c r="J604" s="173"/>
      <c r="K604" s="173"/>
      <c r="L604" s="76"/>
      <c r="M604" s="76"/>
      <c r="N604" s="76"/>
      <c r="O604" s="76"/>
      <c r="P604" s="76"/>
      <c r="Q604" s="76"/>
      <c r="R604" s="76"/>
      <c r="S604" s="76"/>
      <c r="T604" s="76"/>
      <c r="U604" s="76"/>
      <c r="V604" s="76"/>
      <c r="W604" s="76"/>
      <c r="X604" s="76"/>
      <c r="Y604" s="76"/>
      <c r="Z604" s="76"/>
      <c r="AA604" s="76"/>
      <c r="AB604" s="76"/>
      <c r="AC604" s="76"/>
      <c r="AD604" s="76"/>
      <c r="AE604" s="76"/>
      <c r="AF604" s="76"/>
    </row>
    <row r="605">
      <c r="A605" s="76"/>
      <c r="B605" s="170"/>
      <c r="C605" s="76"/>
      <c r="D605" s="173"/>
      <c r="E605" s="173"/>
      <c r="F605" s="173"/>
      <c r="G605" s="175"/>
      <c r="H605" s="173"/>
      <c r="I605" s="173"/>
      <c r="J605" s="173"/>
      <c r="K605" s="173"/>
      <c r="L605" s="76"/>
      <c r="M605" s="76"/>
      <c r="N605" s="76"/>
      <c r="O605" s="76"/>
      <c r="P605" s="76"/>
      <c r="Q605" s="76"/>
      <c r="R605" s="76"/>
      <c r="S605" s="76"/>
      <c r="T605" s="76"/>
      <c r="U605" s="76"/>
      <c r="V605" s="76"/>
      <c r="W605" s="76"/>
      <c r="X605" s="76"/>
      <c r="Y605" s="76"/>
      <c r="Z605" s="76"/>
      <c r="AA605" s="76"/>
      <c r="AB605" s="76"/>
      <c r="AC605" s="76"/>
      <c r="AD605" s="76"/>
      <c r="AE605" s="76"/>
      <c r="AF605" s="76"/>
    </row>
    <row r="606">
      <c r="A606" s="76"/>
      <c r="B606" s="170"/>
      <c r="C606" s="76"/>
      <c r="D606" s="173"/>
      <c r="E606" s="173"/>
      <c r="F606" s="173"/>
      <c r="G606" s="175"/>
      <c r="H606" s="173"/>
      <c r="I606" s="173"/>
      <c r="J606" s="173"/>
      <c r="K606" s="173"/>
      <c r="L606" s="76"/>
      <c r="M606" s="76"/>
      <c r="N606" s="76"/>
      <c r="O606" s="76"/>
      <c r="P606" s="76"/>
      <c r="Q606" s="76"/>
      <c r="R606" s="76"/>
      <c r="S606" s="76"/>
      <c r="T606" s="76"/>
      <c r="U606" s="76"/>
      <c r="V606" s="76"/>
      <c r="W606" s="76"/>
      <c r="X606" s="76"/>
      <c r="Y606" s="76"/>
      <c r="Z606" s="76"/>
      <c r="AA606" s="76"/>
      <c r="AB606" s="76"/>
      <c r="AC606" s="76"/>
      <c r="AD606" s="76"/>
      <c r="AE606" s="76"/>
      <c r="AF606" s="76"/>
    </row>
    <row r="607">
      <c r="A607" s="76"/>
      <c r="B607" s="170"/>
      <c r="C607" s="76"/>
      <c r="D607" s="173"/>
      <c r="E607" s="173"/>
      <c r="F607" s="173"/>
      <c r="G607" s="175"/>
      <c r="H607" s="173"/>
      <c r="I607" s="173"/>
      <c r="J607" s="173"/>
      <c r="K607" s="173"/>
      <c r="L607" s="76"/>
      <c r="M607" s="76"/>
      <c r="N607" s="76"/>
      <c r="O607" s="76"/>
      <c r="P607" s="76"/>
      <c r="Q607" s="76"/>
      <c r="R607" s="76"/>
      <c r="S607" s="76"/>
      <c r="T607" s="76"/>
      <c r="U607" s="76"/>
      <c r="V607" s="76"/>
      <c r="W607" s="76"/>
      <c r="X607" s="76"/>
      <c r="Y607" s="76"/>
      <c r="Z607" s="76"/>
      <c r="AA607" s="76"/>
      <c r="AB607" s="76"/>
      <c r="AC607" s="76"/>
      <c r="AD607" s="76"/>
      <c r="AE607" s="76"/>
      <c r="AF607" s="76"/>
    </row>
    <row r="608">
      <c r="A608" s="76"/>
      <c r="B608" s="170"/>
      <c r="C608" s="76"/>
      <c r="D608" s="173"/>
      <c r="E608" s="173"/>
      <c r="F608" s="173"/>
      <c r="G608" s="175"/>
      <c r="H608" s="173"/>
      <c r="I608" s="173"/>
      <c r="J608" s="173"/>
      <c r="K608" s="173"/>
      <c r="L608" s="76"/>
      <c r="M608" s="76"/>
      <c r="N608" s="76"/>
      <c r="O608" s="76"/>
      <c r="P608" s="76"/>
      <c r="Q608" s="76"/>
      <c r="R608" s="76"/>
      <c r="S608" s="76"/>
      <c r="T608" s="76"/>
      <c r="U608" s="76"/>
      <c r="V608" s="76"/>
      <c r="W608" s="76"/>
      <c r="X608" s="76"/>
      <c r="Y608" s="76"/>
      <c r="Z608" s="76"/>
      <c r="AA608" s="76"/>
      <c r="AB608" s="76"/>
      <c r="AC608" s="76"/>
      <c r="AD608" s="76"/>
      <c r="AE608" s="76"/>
      <c r="AF608" s="76"/>
    </row>
    <row r="609">
      <c r="A609" s="76"/>
      <c r="B609" s="170"/>
      <c r="C609" s="76"/>
      <c r="D609" s="173"/>
      <c r="E609" s="173"/>
      <c r="F609" s="173"/>
      <c r="G609" s="175"/>
      <c r="H609" s="173"/>
      <c r="I609" s="173"/>
      <c r="J609" s="173"/>
      <c r="K609" s="173"/>
      <c r="L609" s="76"/>
      <c r="M609" s="76"/>
      <c r="N609" s="76"/>
      <c r="O609" s="76"/>
      <c r="P609" s="76"/>
      <c r="Q609" s="76"/>
      <c r="R609" s="76"/>
      <c r="S609" s="76"/>
      <c r="T609" s="76"/>
      <c r="U609" s="76"/>
      <c r="V609" s="76"/>
      <c r="W609" s="76"/>
      <c r="X609" s="76"/>
      <c r="Y609" s="76"/>
      <c r="Z609" s="76"/>
      <c r="AA609" s="76"/>
      <c r="AB609" s="76"/>
      <c r="AC609" s="76"/>
      <c r="AD609" s="76"/>
      <c r="AE609" s="76"/>
      <c r="AF609" s="76"/>
    </row>
    <row r="610">
      <c r="A610" s="76"/>
      <c r="B610" s="170"/>
      <c r="C610" s="76"/>
      <c r="D610" s="173"/>
      <c r="E610" s="173"/>
      <c r="F610" s="173"/>
      <c r="G610" s="175"/>
      <c r="H610" s="173"/>
      <c r="I610" s="173"/>
      <c r="J610" s="173"/>
      <c r="K610" s="173"/>
      <c r="L610" s="76"/>
      <c r="M610" s="76"/>
      <c r="N610" s="76"/>
      <c r="O610" s="76"/>
      <c r="P610" s="76"/>
      <c r="Q610" s="76"/>
      <c r="R610" s="76"/>
      <c r="S610" s="76"/>
      <c r="T610" s="76"/>
      <c r="U610" s="76"/>
      <c r="V610" s="76"/>
      <c r="W610" s="76"/>
      <c r="X610" s="76"/>
      <c r="Y610" s="76"/>
      <c r="Z610" s="76"/>
      <c r="AA610" s="76"/>
      <c r="AB610" s="76"/>
      <c r="AC610" s="76"/>
      <c r="AD610" s="76"/>
      <c r="AE610" s="76"/>
      <c r="AF610" s="76"/>
    </row>
    <row r="611">
      <c r="A611" s="76"/>
      <c r="B611" s="170"/>
      <c r="C611" s="76"/>
      <c r="D611" s="173"/>
      <c r="E611" s="173"/>
      <c r="F611" s="173"/>
      <c r="G611" s="175"/>
      <c r="H611" s="173"/>
      <c r="I611" s="173"/>
      <c r="J611" s="173"/>
      <c r="K611" s="173"/>
      <c r="L611" s="76"/>
      <c r="M611" s="76"/>
      <c r="N611" s="76"/>
      <c r="O611" s="76"/>
      <c r="P611" s="76"/>
      <c r="Q611" s="76"/>
      <c r="R611" s="76"/>
      <c r="S611" s="76"/>
      <c r="T611" s="76"/>
      <c r="U611" s="76"/>
      <c r="V611" s="76"/>
      <c r="W611" s="76"/>
      <c r="X611" s="76"/>
      <c r="Y611" s="76"/>
      <c r="Z611" s="76"/>
      <c r="AA611" s="76"/>
      <c r="AB611" s="76"/>
      <c r="AC611" s="76"/>
      <c r="AD611" s="76"/>
      <c r="AE611" s="76"/>
      <c r="AF611" s="76"/>
    </row>
    <row r="612">
      <c r="A612" s="76"/>
      <c r="B612" s="170"/>
      <c r="C612" s="76"/>
      <c r="D612" s="173"/>
      <c r="E612" s="173"/>
      <c r="F612" s="173"/>
      <c r="G612" s="175"/>
      <c r="H612" s="173"/>
      <c r="I612" s="173"/>
      <c r="J612" s="173"/>
      <c r="K612" s="173"/>
      <c r="L612" s="76"/>
      <c r="M612" s="76"/>
      <c r="N612" s="76"/>
      <c r="O612" s="76"/>
      <c r="P612" s="76"/>
      <c r="Q612" s="76"/>
      <c r="R612" s="76"/>
      <c r="S612" s="76"/>
      <c r="T612" s="76"/>
      <c r="U612" s="76"/>
      <c r="V612" s="76"/>
      <c r="W612" s="76"/>
      <c r="X612" s="76"/>
      <c r="Y612" s="76"/>
      <c r="Z612" s="76"/>
      <c r="AA612" s="76"/>
      <c r="AB612" s="76"/>
      <c r="AC612" s="76"/>
      <c r="AD612" s="76"/>
      <c r="AE612" s="76"/>
      <c r="AF612" s="76"/>
    </row>
    <row r="613">
      <c r="A613" s="76"/>
      <c r="B613" s="170"/>
      <c r="C613" s="76"/>
      <c r="D613" s="173"/>
      <c r="E613" s="173"/>
      <c r="F613" s="173"/>
      <c r="G613" s="175"/>
      <c r="H613" s="173"/>
      <c r="I613" s="173"/>
      <c r="J613" s="173"/>
      <c r="K613" s="173"/>
      <c r="L613" s="76"/>
      <c r="M613" s="76"/>
      <c r="N613" s="76"/>
      <c r="O613" s="76"/>
      <c r="P613" s="76"/>
      <c r="Q613" s="76"/>
      <c r="R613" s="76"/>
      <c r="S613" s="76"/>
      <c r="T613" s="76"/>
      <c r="U613" s="76"/>
      <c r="V613" s="76"/>
      <c r="W613" s="76"/>
      <c r="X613" s="76"/>
      <c r="Y613" s="76"/>
      <c r="Z613" s="76"/>
      <c r="AA613" s="76"/>
      <c r="AB613" s="76"/>
      <c r="AC613" s="76"/>
      <c r="AD613" s="76"/>
      <c r="AE613" s="76"/>
      <c r="AF613" s="76"/>
    </row>
    <row r="614">
      <c r="A614" s="76"/>
      <c r="B614" s="170"/>
      <c r="C614" s="76"/>
      <c r="D614" s="173"/>
      <c r="E614" s="173"/>
      <c r="F614" s="173"/>
      <c r="G614" s="175"/>
      <c r="H614" s="173"/>
      <c r="I614" s="173"/>
      <c r="J614" s="173"/>
      <c r="K614" s="173"/>
      <c r="L614" s="76"/>
      <c r="M614" s="76"/>
      <c r="N614" s="76"/>
      <c r="O614" s="76"/>
      <c r="P614" s="76"/>
      <c r="Q614" s="76"/>
      <c r="R614" s="76"/>
      <c r="S614" s="76"/>
      <c r="T614" s="76"/>
      <c r="U614" s="76"/>
      <c r="V614" s="76"/>
      <c r="W614" s="76"/>
      <c r="X614" s="76"/>
      <c r="Y614" s="76"/>
      <c r="Z614" s="76"/>
      <c r="AA614" s="76"/>
      <c r="AB614" s="76"/>
      <c r="AC614" s="76"/>
      <c r="AD614" s="76"/>
      <c r="AE614" s="76"/>
      <c r="AF614" s="76"/>
    </row>
    <row r="615">
      <c r="A615" s="76"/>
      <c r="B615" s="170"/>
      <c r="C615" s="76"/>
      <c r="D615" s="173"/>
      <c r="E615" s="173"/>
      <c r="F615" s="173"/>
      <c r="G615" s="175"/>
      <c r="H615" s="173"/>
      <c r="I615" s="173"/>
      <c r="J615" s="173"/>
      <c r="K615" s="173"/>
      <c r="L615" s="76"/>
      <c r="M615" s="76"/>
      <c r="N615" s="76"/>
      <c r="O615" s="76"/>
      <c r="P615" s="76"/>
      <c r="Q615" s="76"/>
      <c r="R615" s="76"/>
      <c r="S615" s="76"/>
      <c r="T615" s="76"/>
      <c r="U615" s="76"/>
      <c r="V615" s="76"/>
      <c r="W615" s="76"/>
      <c r="X615" s="76"/>
      <c r="Y615" s="76"/>
      <c r="Z615" s="76"/>
      <c r="AA615" s="76"/>
      <c r="AB615" s="76"/>
      <c r="AC615" s="76"/>
      <c r="AD615" s="76"/>
      <c r="AE615" s="76"/>
      <c r="AF615" s="76"/>
    </row>
    <row r="616">
      <c r="A616" s="76"/>
      <c r="B616" s="170"/>
      <c r="C616" s="76"/>
      <c r="D616" s="173"/>
      <c r="E616" s="173"/>
      <c r="F616" s="173"/>
      <c r="G616" s="175"/>
      <c r="H616" s="173"/>
      <c r="I616" s="173"/>
      <c r="J616" s="173"/>
      <c r="K616" s="173"/>
      <c r="L616" s="76"/>
      <c r="M616" s="76"/>
      <c r="N616" s="76"/>
      <c r="O616" s="76"/>
      <c r="P616" s="76"/>
      <c r="Q616" s="76"/>
      <c r="R616" s="76"/>
      <c r="S616" s="76"/>
      <c r="T616" s="76"/>
      <c r="U616" s="76"/>
      <c r="V616" s="76"/>
      <c r="W616" s="76"/>
      <c r="X616" s="76"/>
      <c r="Y616" s="76"/>
      <c r="Z616" s="76"/>
      <c r="AA616" s="76"/>
      <c r="AB616" s="76"/>
      <c r="AC616" s="76"/>
      <c r="AD616" s="76"/>
      <c r="AE616" s="76"/>
      <c r="AF616" s="76"/>
    </row>
    <row r="617">
      <c r="A617" s="76"/>
      <c r="B617" s="170"/>
      <c r="C617" s="76"/>
      <c r="D617" s="173"/>
      <c r="E617" s="173"/>
      <c r="F617" s="173"/>
      <c r="G617" s="175"/>
      <c r="H617" s="173"/>
      <c r="I617" s="173"/>
      <c r="J617" s="173"/>
      <c r="K617" s="173"/>
      <c r="L617" s="76"/>
      <c r="M617" s="76"/>
      <c r="N617" s="76"/>
      <c r="O617" s="76"/>
      <c r="P617" s="76"/>
      <c r="Q617" s="76"/>
      <c r="R617" s="76"/>
      <c r="S617" s="76"/>
      <c r="T617" s="76"/>
      <c r="U617" s="76"/>
      <c r="V617" s="76"/>
      <c r="W617" s="76"/>
      <c r="X617" s="76"/>
      <c r="Y617" s="76"/>
      <c r="Z617" s="76"/>
      <c r="AA617" s="76"/>
      <c r="AB617" s="76"/>
      <c r="AC617" s="76"/>
      <c r="AD617" s="76"/>
      <c r="AE617" s="76"/>
      <c r="AF617" s="76"/>
    </row>
    <row r="618">
      <c r="A618" s="76"/>
      <c r="B618" s="170"/>
      <c r="C618" s="76"/>
      <c r="D618" s="173"/>
      <c r="E618" s="173"/>
      <c r="F618" s="173"/>
      <c r="G618" s="175"/>
      <c r="H618" s="173"/>
      <c r="I618" s="173"/>
      <c r="J618" s="173"/>
      <c r="K618" s="173"/>
      <c r="L618" s="76"/>
      <c r="M618" s="76"/>
      <c r="N618" s="76"/>
      <c r="O618" s="76"/>
      <c r="P618" s="76"/>
      <c r="Q618" s="76"/>
      <c r="R618" s="76"/>
      <c r="S618" s="76"/>
      <c r="T618" s="76"/>
      <c r="U618" s="76"/>
      <c r="V618" s="76"/>
      <c r="W618" s="76"/>
      <c r="X618" s="76"/>
      <c r="Y618" s="76"/>
      <c r="Z618" s="76"/>
      <c r="AA618" s="76"/>
      <c r="AB618" s="76"/>
      <c r="AC618" s="76"/>
      <c r="AD618" s="76"/>
      <c r="AE618" s="76"/>
      <c r="AF618" s="76"/>
    </row>
    <row r="619">
      <c r="A619" s="76"/>
      <c r="B619" s="170"/>
      <c r="C619" s="76"/>
      <c r="D619" s="173"/>
      <c r="E619" s="173"/>
      <c r="F619" s="173"/>
      <c r="G619" s="175"/>
      <c r="H619" s="173"/>
      <c r="I619" s="173"/>
      <c r="J619" s="173"/>
      <c r="K619" s="173"/>
      <c r="L619" s="76"/>
      <c r="M619" s="76"/>
      <c r="N619" s="76"/>
      <c r="O619" s="76"/>
      <c r="P619" s="76"/>
      <c r="Q619" s="76"/>
      <c r="R619" s="76"/>
      <c r="S619" s="76"/>
      <c r="T619" s="76"/>
      <c r="U619" s="76"/>
      <c r="V619" s="76"/>
      <c r="W619" s="76"/>
      <c r="X619" s="76"/>
      <c r="Y619" s="76"/>
      <c r="Z619" s="76"/>
      <c r="AA619" s="76"/>
      <c r="AB619" s="76"/>
      <c r="AC619" s="76"/>
      <c r="AD619" s="76"/>
      <c r="AE619" s="76"/>
      <c r="AF619" s="76"/>
    </row>
    <row r="620">
      <c r="A620" s="76"/>
      <c r="B620" s="170"/>
      <c r="C620" s="76"/>
      <c r="D620" s="173"/>
      <c r="E620" s="173"/>
      <c r="F620" s="173"/>
      <c r="G620" s="175"/>
      <c r="H620" s="173"/>
      <c r="I620" s="173"/>
      <c r="J620" s="173"/>
      <c r="K620" s="173"/>
      <c r="L620" s="76"/>
      <c r="M620" s="76"/>
      <c r="N620" s="76"/>
      <c r="O620" s="76"/>
      <c r="P620" s="76"/>
      <c r="Q620" s="76"/>
      <c r="R620" s="76"/>
      <c r="S620" s="76"/>
      <c r="T620" s="76"/>
      <c r="U620" s="76"/>
      <c r="V620" s="76"/>
      <c r="W620" s="76"/>
      <c r="X620" s="76"/>
      <c r="Y620" s="76"/>
      <c r="Z620" s="76"/>
      <c r="AA620" s="76"/>
      <c r="AB620" s="76"/>
      <c r="AC620" s="76"/>
      <c r="AD620" s="76"/>
      <c r="AE620" s="76"/>
      <c r="AF620" s="76"/>
    </row>
    <row r="621">
      <c r="A621" s="76"/>
      <c r="B621" s="170"/>
      <c r="C621" s="76"/>
      <c r="D621" s="173"/>
      <c r="E621" s="173"/>
      <c r="F621" s="173"/>
      <c r="G621" s="175"/>
      <c r="H621" s="173"/>
      <c r="I621" s="173"/>
      <c r="J621" s="173"/>
      <c r="K621" s="173"/>
      <c r="L621" s="76"/>
      <c r="M621" s="76"/>
      <c r="N621" s="76"/>
      <c r="O621" s="76"/>
      <c r="P621" s="76"/>
      <c r="Q621" s="76"/>
      <c r="R621" s="76"/>
      <c r="S621" s="76"/>
      <c r="T621" s="76"/>
      <c r="U621" s="76"/>
      <c r="V621" s="76"/>
      <c r="W621" s="76"/>
      <c r="X621" s="76"/>
      <c r="Y621" s="76"/>
      <c r="Z621" s="76"/>
      <c r="AA621" s="76"/>
      <c r="AB621" s="76"/>
      <c r="AC621" s="76"/>
      <c r="AD621" s="76"/>
      <c r="AE621" s="76"/>
      <c r="AF621" s="76"/>
    </row>
    <row r="622">
      <c r="A622" s="76"/>
      <c r="B622" s="170"/>
      <c r="C622" s="76"/>
      <c r="D622" s="173"/>
      <c r="E622" s="173"/>
      <c r="F622" s="173"/>
      <c r="G622" s="175"/>
      <c r="H622" s="173"/>
      <c r="I622" s="173"/>
      <c r="J622" s="173"/>
      <c r="K622" s="173"/>
      <c r="L622" s="76"/>
      <c r="M622" s="76"/>
      <c r="N622" s="76"/>
      <c r="O622" s="76"/>
      <c r="P622" s="76"/>
      <c r="Q622" s="76"/>
      <c r="R622" s="76"/>
      <c r="S622" s="76"/>
      <c r="T622" s="76"/>
      <c r="U622" s="76"/>
      <c r="V622" s="76"/>
      <c r="W622" s="76"/>
      <c r="X622" s="76"/>
      <c r="Y622" s="76"/>
      <c r="Z622" s="76"/>
      <c r="AA622" s="76"/>
      <c r="AB622" s="76"/>
      <c r="AC622" s="76"/>
      <c r="AD622" s="76"/>
      <c r="AE622" s="76"/>
      <c r="AF622" s="76"/>
    </row>
    <row r="623">
      <c r="A623" s="76"/>
      <c r="B623" s="170"/>
      <c r="C623" s="76"/>
      <c r="D623" s="173"/>
      <c r="E623" s="173"/>
      <c r="F623" s="173"/>
      <c r="G623" s="175"/>
      <c r="H623" s="173"/>
      <c r="I623" s="173"/>
      <c r="J623" s="173"/>
      <c r="K623" s="173"/>
      <c r="L623" s="76"/>
      <c r="M623" s="76"/>
      <c r="N623" s="76"/>
      <c r="O623" s="76"/>
      <c r="P623" s="76"/>
      <c r="Q623" s="76"/>
      <c r="R623" s="76"/>
      <c r="S623" s="76"/>
      <c r="T623" s="76"/>
      <c r="U623" s="76"/>
      <c r="V623" s="76"/>
      <c r="W623" s="76"/>
      <c r="X623" s="76"/>
      <c r="Y623" s="76"/>
      <c r="Z623" s="76"/>
      <c r="AA623" s="76"/>
      <c r="AB623" s="76"/>
      <c r="AC623" s="76"/>
      <c r="AD623" s="76"/>
      <c r="AE623" s="76"/>
      <c r="AF623" s="76"/>
    </row>
    <row r="624">
      <c r="A624" s="76"/>
      <c r="B624" s="170"/>
      <c r="C624" s="76"/>
      <c r="D624" s="173"/>
      <c r="E624" s="173"/>
      <c r="F624" s="173"/>
      <c r="G624" s="175"/>
      <c r="H624" s="173"/>
      <c r="I624" s="173"/>
      <c r="J624" s="173"/>
      <c r="K624" s="173"/>
      <c r="L624" s="76"/>
      <c r="M624" s="76"/>
      <c r="N624" s="76"/>
      <c r="O624" s="76"/>
      <c r="P624" s="76"/>
      <c r="Q624" s="76"/>
      <c r="R624" s="76"/>
      <c r="S624" s="76"/>
      <c r="T624" s="76"/>
      <c r="U624" s="76"/>
      <c r="V624" s="76"/>
      <c r="W624" s="76"/>
      <c r="X624" s="76"/>
      <c r="Y624" s="76"/>
      <c r="Z624" s="76"/>
      <c r="AA624" s="76"/>
      <c r="AB624" s="76"/>
      <c r="AC624" s="76"/>
      <c r="AD624" s="76"/>
      <c r="AE624" s="76"/>
      <c r="AF624" s="76"/>
    </row>
    <row r="625">
      <c r="A625" s="76"/>
      <c r="B625" s="170"/>
      <c r="C625" s="76"/>
      <c r="D625" s="173"/>
      <c r="E625" s="173"/>
      <c r="F625" s="173"/>
      <c r="G625" s="175"/>
      <c r="H625" s="173"/>
      <c r="I625" s="173"/>
      <c r="J625" s="173"/>
      <c r="K625" s="173"/>
      <c r="L625" s="76"/>
      <c r="M625" s="76"/>
      <c r="N625" s="76"/>
      <c r="O625" s="76"/>
      <c r="P625" s="76"/>
      <c r="Q625" s="76"/>
      <c r="R625" s="76"/>
      <c r="S625" s="76"/>
      <c r="T625" s="76"/>
      <c r="U625" s="76"/>
      <c r="V625" s="76"/>
      <c r="W625" s="76"/>
      <c r="X625" s="76"/>
      <c r="Y625" s="76"/>
      <c r="Z625" s="76"/>
      <c r="AA625" s="76"/>
      <c r="AB625" s="76"/>
      <c r="AC625" s="76"/>
      <c r="AD625" s="76"/>
      <c r="AE625" s="76"/>
      <c r="AF625" s="76"/>
    </row>
    <row r="626">
      <c r="A626" s="76"/>
      <c r="B626" s="170"/>
      <c r="C626" s="76"/>
      <c r="D626" s="173"/>
      <c r="E626" s="173"/>
      <c r="F626" s="173"/>
      <c r="G626" s="175"/>
      <c r="H626" s="173"/>
      <c r="I626" s="173"/>
      <c r="J626" s="173"/>
      <c r="K626" s="173"/>
      <c r="L626" s="76"/>
      <c r="M626" s="76"/>
      <c r="N626" s="76"/>
      <c r="O626" s="76"/>
      <c r="P626" s="76"/>
      <c r="Q626" s="76"/>
      <c r="R626" s="76"/>
      <c r="S626" s="76"/>
      <c r="T626" s="76"/>
      <c r="U626" s="76"/>
      <c r="V626" s="76"/>
      <c r="W626" s="76"/>
      <c r="X626" s="76"/>
      <c r="Y626" s="76"/>
      <c r="Z626" s="76"/>
      <c r="AA626" s="76"/>
      <c r="AB626" s="76"/>
      <c r="AC626" s="76"/>
      <c r="AD626" s="76"/>
      <c r="AE626" s="76"/>
      <c r="AF626" s="76"/>
    </row>
    <row r="627">
      <c r="A627" s="76"/>
      <c r="B627" s="170"/>
      <c r="C627" s="76"/>
      <c r="D627" s="173"/>
      <c r="E627" s="173"/>
      <c r="F627" s="173"/>
      <c r="G627" s="175"/>
      <c r="H627" s="173"/>
      <c r="I627" s="173"/>
      <c r="J627" s="173"/>
      <c r="K627" s="173"/>
      <c r="L627" s="76"/>
      <c r="M627" s="76"/>
      <c r="N627" s="76"/>
      <c r="O627" s="76"/>
      <c r="P627" s="76"/>
      <c r="Q627" s="76"/>
      <c r="R627" s="76"/>
      <c r="S627" s="76"/>
      <c r="T627" s="76"/>
      <c r="U627" s="76"/>
      <c r="V627" s="76"/>
      <c r="W627" s="76"/>
      <c r="X627" s="76"/>
      <c r="Y627" s="76"/>
      <c r="Z627" s="76"/>
      <c r="AA627" s="76"/>
      <c r="AB627" s="76"/>
      <c r="AC627" s="76"/>
      <c r="AD627" s="76"/>
      <c r="AE627" s="76"/>
      <c r="AF627" s="76"/>
    </row>
    <row r="628">
      <c r="A628" s="76"/>
      <c r="B628" s="170"/>
      <c r="C628" s="76"/>
      <c r="D628" s="173"/>
      <c r="E628" s="173"/>
      <c r="F628" s="173"/>
      <c r="G628" s="175"/>
      <c r="H628" s="173"/>
      <c r="I628" s="173"/>
      <c r="J628" s="173"/>
      <c r="K628" s="173"/>
      <c r="L628" s="76"/>
      <c r="M628" s="76"/>
      <c r="N628" s="76"/>
      <c r="O628" s="76"/>
      <c r="P628" s="76"/>
      <c r="Q628" s="76"/>
      <c r="R628" s="76"/>
      <c r="S628" s="76"/>
      <c r="T628" s="76"/>
      <c r="U628" s="76"/>
      <c r="V628" s="76"/>
      <c r="W628" s="76"/>
      <c r="X628" s="76"/>
      <c r="Y628" s="76"/>
      <c r="Z628" s="76"/>
      <c r="AA628" s="76"/>
      <c r="AB628" s="76"/>
      <c r="AC628" s="76"/>
      <c r="AD628" s="76"/>
      <c r="AE628" s="76"/>
      <c r="AF628" s="76"/>
    </row>
    <row r="629">
      <c r="A629" s="76"/>
      <c r="B629" s="170"/>
      <c r="C629" s="76"/>
      <c r="D629" s="173"/>
      <c r="E629" s="173"/>
      <c r="F629" s="173"/>
      <c r="G629" s="175"/>
      <c r="H629" s="173"/>
      <c r="I629" s="173"/>
      <c r="J629" s="173"/>
      <c r="K629" s="173"/>
      <c r="L629" s="76"/>
      <c r="M629" s="76"/>
      <c r="N629" s="76"/>
      <c r="O629" s="76"/>
      <c r="P629" s="76"/>
      <c r="Q629" s="76"/>
      <c r="R629" s="76"/>
      <c r="S629" s="76"/>
      <c r="T629" s="76"/>
      <c r="U629" s="76"/>
      <c r="V629" s="76"/>
      <c r="W629" s="76"/>
      <c r="X629" s="76"/>
      <c r="Y629" s="76"/>
      <c r="Z629" s="76"/>
      <c r="AA629" s="76"/>
      <c r="AB629" s="76"/>
      <c r="AC629" s="76"/>
      <c r="AD629" s="76"/>
      <c r="AE629" s="76"/>
      <c r="AF629" s="76"/>
    </row>
    <row r="630">
      <c r="A630" s="76"/>
      <c r="B630" s="170"/>
      <c r="C630" s="76"/>
      <c r="D630" s="173"/>
      <c r="E630" s="173"/>
      <c r="F630" s="173"/>
      <c r="G630" s="175"/>
      <c r="H630" s="173"/>
      <c r="I630" s="173"/>
      <c r="J630" s="173"/>
      <c r="K630" s="173"/>
      <c r="L630" s="76"/>
      <c r="M630" s="76"/>
      <c r="N630" s="76"/>
      <c r="O630" s="76"/>
      <c r="P630" s="76"/>
      <c r="Q630" s="76"/>
      <c r="R630" s="76"/>
      <c r="S630" s="76"/>
      <c r="T630" s="76"/>
      <c r="U630" s="76"/>
      <c r="V630" s="76"/>
      <c r="W630" s="76"/>
      <c r="X630" s="76"/>
      <c r="Y630" s="76"/>
      <c r="Z630" s="76"/>
      <c r="AA630" s="76"/>
      <c r="AB630" s="76"/>
      <c r="AC630" s="76"/>
      <c r="AD630" s="76"/>
      <c r="AE630" s="76"/>
      <c r="AF630" s="76"/>
    </row>
    <row r="631">
      <c r="A631" s="76"/>
      <c r="B631" s="170"/>
      <c r="C631" s="76"/>
      <c r="D631" s="173"/>
      <c r="E631" s="173"/>
      <c r="F631" s="173"/>
      <c r="G631" s="175"/>
      <c r="H631" s="173"/>
      <c r="I631" s="173"/>
      <c r="J631" s="173"/>
      <c r="K631" s="173"/>
      <c r="L631" s="76"/>
      <c r="M631" s="76"/>
      <c r="N631" s="76"/>
      <c r="O631" s="76"/>
      <c r="P631" s="76"/>
      <c r="Q631" s="76"/>
      <c r="R631" s="76"/>
      <c r="S631" s="76"/>
      <c r="T631" s="76"/>
      <c r="U631" s="76"/>
      <c r="V631" s="76"/>
      <c r="W631" s="76"/>
      <c r="X631" s="76"/>
      <c r="Y631" s="76"/>
      <c r="Z631" s="76"/>
      <c r="AA631" s="76"/>
      <c r="AB631" s="76"/>
      <c r="AC631" s="76"/>
      <c r="AD631" s="76"/>
      <c r="AE631" s="76"/>
      <c r="AF631" s="76"/>
    </row>
    <row r="632">
      <c r="A632" s="76"/>
      <c r="B632" s="170"/>
      <c r="C632" s="76"/>
      <c r="D632" s="173"/>
      <c r="E632" s="173"/>
      <c r="F632" s="173"/>
      <c r="G632" s="175"/>
      <c r="H632" s="173"/>
      <c r="I632" s="173"/>
      <c r="J632" s="173"/>
      <c r="K632" s="173"/>
      <c r="L632" s="76"/>
      <c r="M632" s="76"/>
      <c r="N632" s="76"/>
      <c r="O632" s="76"/>
      <c r="P632" s="76"/>
      <c r="Q632" s="76"/>
      <c r="R632" s="76"/>
      <c r="S632" s="76"/>
      <c r="T632" s="76"/>
      <c r="U632" s="76"/>
      <c r="V632" s="76"/>
      <c r="W632" s="76"/>
      <c r="X632" s="76"/>
      <c r="Y632" s="76"/>
      <c r="Z632" s="76"/>
      <c r="AA632" s="76"/>
      <c r="AB632" s="76"/>
      <c r="AC632" s="76"/>
      <c r="AD632" s="76"/>
      <c r="AE632" s="76"/>
      <c r="AF632" s="76"/>
    </row>
    <row r="633">
      <c r="A633" s="76"/>
      <c r="B633" s="170"/>
      <c r="C633" s="76"/>
      <c r="D633" s="173"/>
      <c r="E633" s="173"/>
      <c r="F633" s="173"/>
      <c r="G633" s="175"/>
      <c r="H633" s="173"/>
      <c r="I633" s="173"/>
      <c r="J633" s="173"/>
      <c r="K633" s="173"/>
      <c r="L633" s="76"/>
      <c r="M633" s="76"/>
      <c r="N633" s="76"/>
      <c r="O633" s="76"/>
      <c r="P633" s="76"/>
      <c r="Q633" s="76"/>
      <c r="R633" s="76"/>
      <c r="S633" s="76"/>
      <c r="T633" s="76"/>
      <c r="U633" s="76"/>
      <c r="V633" s="76"/>
      <c r="W633" s="76"/>
      <c r="X633" s="76"/>
      <c r="Y633" s="76"/>
      <c r="Z633" s="76"/>
      <c r="AA633" s="76"/>
      <c r="AB633" s="76"/>
      <c r="AC633" s="76"/>
      <c r="AD633" s="76"/>
      <c r="AE633" s="76"/>
      <c r="AF633" s="76"/>
    </row>
    <row r="634">
      <c r="A634" s="76"/>
      <c r="B634" s="170"/>
      <c r="C634" s="76"/>
      <c r="D634" s="173"/>
      <c r="E634" s="173"/>
      <c r="F634" s="173"/>
      <c r="G634" s="175"/>
      <c r="H634" s="173"/>
      <c r="I634" s="173"/>
      <c r="J634" s="173"/>
      <c r="K634" s="173"/>
      <c r="L634" s="76"/>
      <c r="M634" s="76"/>
      <c r="N634" s="76"/>
      <c r="O634" s="76"/>
      <c r="P634" s="76"/>
      <c r="Q634" s="76"/>
      <c r="R634" s="76"/>
      <c r="S634" s="76"/>
      <c r="T634" s="76"/>
      <c r="U634" s="76"/>
      <c r="V634" s="76"/>
      <c r="W634" s="76"/>
      <c r="X634" s="76"/>
      <c r="Y634" s="76"/>
      <c r="Z634" s="76"/>
      <c r="AA634" s="76"/>
      <c r="AB634" s="76"/>
      <c r="AC634" s="76"/>
      <c r="AD634" s="76"/>
      <c r="AE634" s="76"/>
      <c r="AF634" s="76"/>
    </row>
    <row r="635">
      <c r="A635" s="76"/>
      <c r="B635" s="170"/>
      <c r="C635" s="76"/>
      <c r="D635" s="173"/>
      <c r="E635" s="173"/>
      <c r="F635" s="173"/>
      <c r="G635" s="175"/>
      <c r="H635" s="173"/>
      <c r="I635" s="173"/>
      <c r="J635" s="173"/>
      <c r="K635" s="173"/>
      <c r="L635" s="76"/>
      <c r="M635" s="76"/>
      <c r="N635" s="76"/>
      <c r="O635" s="76"/>
      <c r="P635" s="76"/>
      <c r="Q635" s="76"/>
      <c r="R635" s="76"/>
      <c r="S635" s="76"/>
      <c r="T635" s="76"/>
      <c r="U635" s="76"/>
      <c r="V635" s="76"/>
      <c r="W635" s="76"/>
      <c r="X635" s="76"/>
      <c r="Y635" s="76"/>
      <c r="Z635" s="76"/>
      <c r="AA635" s="76"/>
      <c r="AB635" s="76"/>
      <c r="AC635" s="76"/>
      <c r="AD635" s="76"/>
      <c r="AE635" s="76"/>
      <c r="AF635" s="76"/>
    </row>
    <row r="636">
      <c r="A636" s="76"/>
      <c r="B636" s="170"/>
      <c r="C636" s="76"/>
      <c r="D636" s="173"/>
      <c r="E636" s="173"/>
      <c r="F636" s="173"/>
      <c r="G636" s="175"/>
      <c r="H636" s="173"/>
      <c r="I636" s="173"/>
      <c r="J636" s="173"/>
      <c r="K636" s="173"/>
      <c r="L636" s="76"/>
      <c r="M636" s="76"/>
      <c r="N636" s="76"/>
      <c r="O636" s="76"/>
      <c r="P636" s="76"/>
      <c r="Q636" s="76"/>
      <c r="R636" s="76"/>
      <c r="S636" s="76"/>
      <c r="T636" s="76"/>
      <c r="U636" s="76"/>
      <c r="V636" s="76"/>
      <c r="W636" s="76"/>
      <c r="X636" s="76"/>
      <c r="Y636" s="76"/>
      <c r="Z636" s="76"/>
      <c r="AA636" s="76"/>
      <c r="AB636" s="76"/>
      <c r="AC636" s="76"/>
      <c r="AD636" s="76"/>
      <c r="AE636" s="76"/>
      <c r="AF636" s="76"/>
    </row>
    <row r="637">
      <c r="A637" s="76"/>
      <c r="B637" s="170"/>
      <c r="C637" s="76"/>
      <c r="D637" s="173"/>
      <c r="E637" s="173"/>
      <c r="F637" s="173"/>
      <c r="G637" s="175"/>
      <c r="H637" s="173"/>
      <c r="I637" s="173"/>
      <c r="J637" s="173"/>
      <c r="K637" s="173"/>
      <c r="L637" s="76"/>
      <c r="M637" s="76"/>
      <c r="N637" s="76"/>
      <c r="O637" s="76"/>
      <c r="P637" s="76"/>
      <c r="Q637" s="76"/>
      <c r="R637" s="76"/>
      <c r="S637" s="76"/>
      <c r="T637" s="76"/>
      <c r="U637" s="76"/>
      <c r="V637" s="76"/>
      <c r="W637" s="76"/>
      <c r="X637" s="76"/>
      <c r="Y637" s="76"/>
      <c r="Z637" s="76"/>
      <c r="AA637" s="76"/>
      <c r="AB637" s="76"/>
      <c r="AC637" s="76"/>
      <c r="AD637" s="76"/>
      <c r="AE637" s="76"/>
      <c r="AF637" s="76"/>
    </row>
    <row r="638">
      <c r="A638" s="76"/>
      <c r="B638" s="170"/>
      <c r="C638" s="76"/>
      <c r="D638" s="173"/>
      <c r="E638" s="173"/>
      <c r="F638" s="173"/>
      <c r="G638" s="175"/>
      <c r="H638" s="173"/>
      <c r="I638" s="173"/>
      <c r="J638" s="173"/>
      <c r="K638" s="173"/>
      <c r="L638" s="76"/>
      <c r="M638" s="76"/>
      <c r="N638" s="76"/>
      <c r="O638" s="76"/>
      <c r="P638" s="76"/>
      <c r="Q638" s="76"/>
      <c r="R638" s="76"/>
      <c r="S638" s="76"/>
      <c r="T638" s="76"/>
      <c r="U638" s="76"/>
      <c r="V638" s="76"/>
      <c r="W638" s="76"/>
      <c r="X638" s="76"/>
      <c r="Y638" s="76"/>
      <c r="Z638" s="76"/>
      <c r="AA638" s="76"/>
      <c r="AB638" s="76"/>
      <c r="AC638" s="76"/>
      <c r="AD638" s="76"/>
      <c r="AE638" s="76"/>
      <c r="AF638" s="76"/>
    </row>
    <row r="639">
      <c r="A639" s="76"/>
      <c r="B639" s="170"/>
      <c r="C639" s="76"/>
      <c r="D639" s="173"/>
      <c r="E639" s="173"/>
      <c r="F639" s="173"/>
      <c r="G639" s="175"/>
      <c r="H639" s="173"/>
      <c r="I639" s="173"/>
      <c r="J639" s="173"/>
      <c r="K639" s="173"/>
      <c r="L639" s="76"/>
      <c r="M639" s="76"/>
      <c r="N639" s="76"/>
      <c r="O639" s="76"/>
      <c r="P639" s="76"/>
      <c r="Q639" s="76"/>
      <c r="R639" s="76"/>
      <c r="S639" s="76"/>
      <c r="T639" s="76"/>
      <c r="U639" s="76"/>
      <c r="V639" s="76"/>
      <c r="W639" s="76"/>
      <c r="X639" s="76"/>
      <c r="Y639" s="76"/>
      <c r="Z639" s="76"/>
      <c r="AA639" s="76"/>
      <c r="AB639" s="76"/>
      <c r="AC639" s="76"/>
      <c r="AD639" s="76"/>
      <c r="AE639" s="76"/>
      <c r="AF639" s="76"/>
    </row>
    <row r="640">
      <c r="A640" s="76"/>
      <c r="B640" s="170"/>
      <c r="C640" s="76"/>
      <c r="D640" s="173"/>
      <c r="E640" s="173"/>
      <c r="F640" s="173"/>
      <c r="G640" s="175"/>
      <c r="H640" s="173"/>
      <c r="I640" s="173"/>
      <c r="J640" s="173"/>
      <c r="K640" s="173"/>
      <c r="L640" s="76"/>
      <c r="M640" s="76"/>
      <c r="N640" s="76"/>
      <c r="O640" s="76"/>
      <c r="P640" s="76"/>
      <c r="Q640" s="76"/>
      <c r="R640" s="76"/>
      <c r="S640" s="76"/>
      <c r="T640" s="76"/>
      <c r="U640" s="76"/>
      <c r="V640" s="76"/>
      <c r="W640" s="76"/>
      <c r="X640" s="76"/>
      <c r="Y640" s="76"/>
      <c r="Z640" s="76"/>
      <c r="AA640" s="76"/>
      <c r="AB640" s="76"/>
      <c r="AC640" s="76"/>
      <c r="AD640" s="76"/>
      <c r="AE640" s="76"/>
      <c r="AF640" s="76"/>
    </row>
    <row r="641">
      <c r="A641" s="76"/>
      <c r="B641" s="170"/>
      <c r="C641" s="76"/>
      <c r="D641" s="173"/>
      <c r="E641" s="173"/>
      <c r="F641" s="173"/>
      <c r="G641" s="175"/>
      <c r="H641" s="173"/>
      <c r="I641" s="173"/>
      <c r="J641" s="173"/>
      <c r="K641" s="173"/>
      <c r="L641" s="76"/>
      <c r="M641" s="76"/>
      <c r="N641" s="76"/>
      <c r="O641" s="76"/>
      <c r="P641" s="76"/>
      <c r="Q641" s="76"/>
      <c r="R641" s="76"/>
      <c r="S641" s="76"/>
      <c r="T641" s="76"/>
      <c r="U641" s="76"/>
      <c r="V641" s="76"/>
      <c r="W641" s="76"/>
      <c r="X641" s="76"/>
      <c r="Y641" s="76"/>
      <c r="Z641" s="76"/>
      <c r="AA641" s="76"/>
      <c r="AB641" s="76"/>
      <c r="AC641" s="76"/>
      <c r="AD641" s="76"/>
      <c r="AE641" s="76"/>
      <c r="AF641" s="76"/>
    </row>
    <row r="642">
      <c r="A642" s="76"/>
      <c r="B642" s="170"/>
      <c r="C642" s="76"/>
      <c r="D642" s="173"/>
      <c r="E642" s="173"/>
      <c r="F642" s="173"/>
      <c r="G642" s="175"/>
      <c r="H642" s="173"/>
      <c r="I642" s="173"/>
      <c r="J642" s="173"/>
      <c r="K642" s="173"/>
      <c r="L642" s="76"/>
      <c r="M642" s="76"/>
      <c r="N642" s="76"/>
      <c r="O642" s="76"/>
      <c r="P642" s="76"/>
      <c r="Q642" s="76"/>
      <c r="R642" s="76"/>
      <c r="S642" s="76"/>
      <c r="T642" s="76"/>
      <c r="U642" s="76"/>
      <c r="V642" s="76"/>
      <c r="W642" s="76"/>
      <c r="X642" s="76"/>
      <c r="Y642" s="76"/>
      <c r="Z642" s="76"/>
      <c r="AA642" s="76"/>
      <c r="AB642" s="76"/>
      <c r="AC642" s="76"/>
      <c r="AD642" s="76"/>
      <c r="AE642" s="76"/>
      <c r="AF642" s="76"/>
    </row>
    <row r="643">
      <c r="A643" s="76"/>
      <c r="B643" s="170"/>
      <c r="C643" s="76"/>
      <c r="D643" s="173"/>
      <c r="E643" s="173"/>
      <c r="F643" s="173"/>
      <c r="G643" s="175"/>
      <c r="H643" s="173"/>
      <c r="I643" s="173"/>
      <c r="J643" s="173"/>
      <c r="K643" s="173"/>
      <c r="L643" s="76"/>
      <c r="M643" s="76"/>
      <c r="N643" s="76"/>
      <c r="O643" s="76"/>
      <c r="P643" s="76"/>
      <c r="Q643" s="76"/>
      <c r="R643" s="76"/>
      <c r="S643" s="76"/>
      <c r="T643" s="76"/>
      <c r="U643" s="76"/>
      <c r="V643" s="76"/>
      <c r="W643" s="76"/>
      <c r="X643" s="76"/>
      <c r="Y643" s="76"/>
      <c r="Z643" s="76"/>
      <c r="AA643" s="76"/>
      <c r="AB643" s="76"/>
      <c r="AC643" s="76"/>
      <c r="AD643" s="76"/>
      <c r="AE643" s="76"/>
      <c r="AF643" s="76"/>
    </row>
    <row r="644">
      <c r="A644" s="76"/>
      <c r="B644" s="170"/>
      <c r="C644" s="76"/>
      <c r="D644" s="173"/>
      <c r="E644" s="173"/>
      <c r="F644" s="173"/>
      <c r="G644" s="175"/>
      <c r="H644" s="173"/>
      <c r="I644" s="173"/>
      <c r="J644" s="173"/>
      <c r="K644" s="173"/>
      <c r="L644" s="76"/>
      <c r="M644" s="76"/>
      <c r="N644" s="76"/>
      <c r="O644" s="76"/>
      <c r="P644" s="76"/>
      <c r="Q644" s="76"/>
      <c r="R644" s="76"/>
      <c r="S644" s="76"/>
      <c r="T644" s="76"/>
      <c r="U644" s="76"/>
      <c r="V644" s="76"/>
      <c r="W644" s="76"/>
      <c r="X644" s="76"/>
      <c r="Y644" s="76"/>
      <c r="Z644" s="76"/>
      <c r="AA644" s="76"/>
      <c r="AB644" s="76"/>
      <c r="AC644" s="76"/>
      <c r="AD644" s="76"/>
      <c r="AE644" s="76"/>
      <c r="AF644" s="76"/>
    </row>
    <row r="645">
      <c r="A645" s="76"/>
      <c r="B645" s="170"/>
      <c r="C645" s="76"/>
      <c r="D645" s="173"/>
      <c r="E645" s="173"/>
      <c r="F645" s="173"/>
      <c r="G645" s="175"/>
      <c r="H645" s="173"/>
      <c r="I645" s="173"/>
      <c r="J645" s="173"/>
      <c r="K645" s="173"/>
      <c r="L645" s="76"/>
      <c r="M645" s="76"/>
      <c r="N645" s="76"/>
      <c r="O645" s="76"/>
      <c r="P645" s="76"/>
      <c r="Q645" s="76"/>
      <c r="R645" s="76"/>
      <c r="S645" s="76"/>
      <c r="T645" s="76"/>
      <c r="U645" s="76"/>
      <c r="V645" s="76"/>
      <c r="W645" s="76"/>
      <c r="X645" s="76"/>
      <c r="Y645" s="76"/>
      <c r="Z645" s="76"/>
      <c r="AA645" s="76"/>
      <c r="AB645" s="76"/>
      <c r="AC645" s="76"/>
      <c r="AD645" s="76"/>
      <c r="AE645" s="76"/>
      <c r="AF645" s="76"/>
    </row>
    <row r="646">
      <c r="A646" s="76"/>
      <c r="B646" s="170"/>
      <c r="C646" s="76"/>
      <c r="D646" s="173"/>
      <c r="E646" s="173"/>
      <c r="F646" s="173"/>
      <c r="G646" s="175"/>
      <c r="H646" s="173"/>
      <c r="I646" s="173"/>
      <c r="J646" s="173"/>
      <c r="K646" s="173"/>
      <c r="L646" s="76"/>
      <c r="M646" s="76"/>
      <c r="N646" s="76"/>
      <c r="O646" s="76"/>
      <c r="P646" s="76"/>
      <c r="Q646" s="76"/>
      <c r="R646" s="76"/>
      <c r="S646" s="76"/>
      <c r="T646" s="76"/>
      <c r="U646" s="76"/>
      <c r="V646" s="76"/>
      <c r="W646" s="76"/>
      <c r="X646" s="76"/>
      <c r="Y646" s="76"/>
      <c r="Z646" s="76"/>
      <c r="AA646" s="76"/>
      <c r="AB646" s="76"/>
      <c r="AC646" s="76"/>
      <c r="AD646" s="76"/>
      <c r="AE646" s="76"/>
      <c r="AF646" s="76"/>
    </row>
    <row r="647">
      <c r="A647" s="76"/>
      <c r="B647" s="170"/>
      <c r="C647" s="76"/>
      <c r="D647" s="173"/>
      <c r="E647" s="173"/>
      <c r="F647" s="173"/>
      <c r="G647" s="175"/>
      <c r="H647" s="173"/>
      <c r="I647" s="173"/>
      <c r="J647" s="173"/>
      <c r="K647" s="173"/>
      <c r="L647" s="76"/>
      <c r="M647" s="76"/>
      <c r="N647" s="76"/>
      <c r="O647" s="76"/>
      <c r="P647" s="76"/>
      <c r="Q647" s="76"/>
      <c r="R647" s="76"/>
      <c r="S647" s="76"/>
      <c r="T647" s="76"/>
      <c r="U647" s="76"/>
      <c r="V647" s="76"/>
      <c r="W647" s="76"/>
      <c r="X647" s="76"/>
      <c r="Y647" s="76"/>
      <c r="Z647" s="76"/>
      <c r="AA647" s="76"/>
      <c r="AB647" s="76"/>
      <c r="AC647" s="76"/>
      <c r="AD647" s="76"/>
      <c r="AE647" s="76"/>
      <c r="AF647" s="76"/>
    </row>
    <row r="648">
      <c r="A648" s="76"/>
      <c r="B648" s="170"/>
      <c r="C648" s="76"/>
      <c r="D648" s="173"/>
      <c r="E648" s="173"/>
      <c r="F648" s="173"/>
      <c r="G648" s="175"/>
      <c r="H648" s="173"/>
      <c r="I648" s="173"/>
      <c r="J648" s="173"/>
      <c r="K648" s="173"/>
      <c r="L648" s="76"/>
      <c r="M648" s="76"/>
      <c r="N648" s="76"/>
      <c r="O648" s="76"/>
      <c r="P648" s="76"/>
      <c r="Q648" s="76"/>
      <c r="R648" s="76"/>
      <c r="S648" s="76"/>
      <c r="T648" s="76"/>
      <c r="U648" s="76"/>
      <c r="V648" s="76"/>
      <c r="W648" s="76"/>
      <c r="X648" s="76"/>
      <c r="Y648" s="76"/>
      <c r="Z648" s="76"/>
      <c r="AA648" s="76"/>
      <c r="AB648" s="76"/>
      <c r="AC648" s="76"/>
      <c r="AD648" s="76"/>
      <c r="AE648" s="76"/>
      <c r="AF648" s="76"/>
    </row>
    <row r="649">
      <c r="A649" s="76"/>
      <c r="B649" s="170"/>
      <c r="C649" s="76"/>
      <c r="D649" s="173"/>
      <c r="E649" s="173"/>
      <c r="F649" s="173"/>
      <c r="G649" s="175"/>
      <c r="H649" s="173"/>
      <c r="I649" s="173"/>
      <c r="J649" s="173"/>
      <c r="K649" s="173"/>
      <c r="L649" s="76"/>
      <c r="M649" s="76"/>
      <c r="N649" s="76"/>
      <c r="O649" s="76"/>
      <c r="P649" s="76"/>
      <c r="Q649" s="76"/>
      <c r="R649" s="76"/>
      <c r="S649" s="76"/>
      <c r="T649" s="76"/>
      <c r="U649" s="76"/>
      <c r="V649" s="76"/>
      <c r="W649" s="76"/>
      <c r="X649" s="76"/>
      <c r="Y649" s="76"/>
      <c r="Z649" s="76"/>
      <c r="AA649" s="76"/>
      <c r="AB649" s="76"/>
      <c r="AC649" s="76"/>
      <c r="AD649" s="76"/>
      <c r="AE649" s="76"/>
      <c r="AF649" s="76"/>
    </row>
    <row r="650">
      <c r="A650" s="76"/>
      <c r="B650" s="170"/>
      <c r="C650" s="76"/>
      <c r="D650" s="173"/>
      <c r="E650" s="173"/>
      <c r="F650" s="173"/>
      <c r="G650" s="175"/>
      <c r="H650" s="173"/>
      <c r="I650" s="173"/>
      <c r="J650" s="173"/>
      <c r="K650" s="173"/>
      <c r="L650" s="76"/>
      <c r="M650" s="76"/>
      <c r="N650" s="76"/>
      <c r="O650" s="76"/>
      <c r="P650" s="76"/>
      <c r="Q650" s="76"/>
      <c r="R650" s="76"/>
      <c r="S650" s="76"/>
      <c r="T650" s="76"/>
      <c r="U650" s="76"/>
      <c r="V650" s="76"/>
      <c r="W650" s="76"/>
      <c r="X650" s="76"/>
      <c r="Y650" s="76"/>
      <c r="Z650" s="76"/>
      <c r="AA650" s="76"/>
      <c r="AB650" s="76"/>
      <c r="AC650" s="76"/>
      <c r="AD650" s="76"/>
      <c r="AE650" s="76"/>
      <c r="AF650" s="76"/>
    </row>
    <row r="651">
      <c r="A651" s="76"/>
      <c r="B651" s="170"/>
      <c r="C651" s="76"/>
      <c r="D651" s="173"/>
      <c r="E651" s="173"/>
      <c r="F651" s="173"/>
      <c r="G651" s="175"/>
      <c r="H651" s="173"/>
      <c r="I651" s="173"/>
      <c r="J651" s="173"/>
      <c r="K651" s="173"/>
      <c r="L651" s="76"/>
      <c r="M651" s="76"/>
      <c r="N651" s="76"/>
      <c r="O651" s="76"/>
      <c r="P651" s="76"/>
      <c r="Q651" s="76"/>
      <c r="R651" s="76"/>
      <c r="S651" s="76"/>
      <c r="T651" s="76"/>
      <c r="U651" s="76"/>
      <c r="V651" s="76"/>
      <c r="W651" s="76"/>
      <c r="X651" s="76"/>
      <c r="Y651" s="76"/>
      <c r="Z651" s="76"/>
      <c r="AA651" s="76"/>
      <c r="AB651" s="76"/>
      <c r="AC651" s="76"/>
      <c r="AD651" s="76"/>
      <c r="AE651" s="76"/>
      <c r="AF651" s="76"/>
    </row>
    <row r="652">
      <c r="A652" s="76"/>
      <c r="B652" s="170"/>
      <c r="C652" s="76"/>
      <c r="D652" s="173"/>
      <c r="E652" s="173"/>
      <c r="F652" s="173"/>
      <c r="G652" s="175"/>
      <c r="H652" s="173"/>
      <c r="I652" s="173"/>
      <c r="J652" s="173"/>
      <c r="K652" s="173"/>
      <c r="L652" s="76"/>
      <c r="M652" s="76"/>
      <c r="N652" s="76"/>
      <c r="O652" s="76"/>
      <c r="P652" s="76"/>
      <c r="Q652" s="76"/>
      <c r="R652" s="76"/>
      <c r="S652" s="76"/>
      <c r="T652" s="76"/>
      <c r="U652" s="76"/>
      <c r="V652" s="76"/>
      <c r="W652" s="76"/>
      <c r="X652" s="76"/>
      <c r="Y652" s="76"/>
      <c r="Z652" s="76"/>
      <c r="AA652" s="76"/>
      <c r="AB652" s="76"/>
      <c r="AC652" s="76"/>
      <c r="AD652" s="76"/>
      <c r="AE652" s="76"/>
      <c r="AF652" s="76"/>
    </row>
    <row r="653">
      <c r="A653" s="76"/>
      <c r="B653" s="170"/>
      <c r="C653" s="76"/>
      <c r="D653" s="173"/>
      <c r="E653" s="173"/>
      <c r="F653" s="173"/>
      <c r="G653" s="175"/>
      <c r="H653" s="173"/>
      <c r="I653" s="173"/>
      <c r="J653" s="173"/>
      <c r="K653" s="173"/>
      <c r="L653" s="76"/>
      <c r="M653" s="76"/>
      <c r="N653" s="76"/>
      <c r="O653" s="76"/>
      <c r="P653" s="76"/>
      <c r="Q653" s="76"/>
      <c r="R653" s="76"/>
      <c r="S653" s="76"/>
      <c r="T653" s="76"/>
      <c r="U653" s="76"/>
      <c r="V653" s="76"/>
      <c r="W653" s="76"/>
      <c r="X653" s="76"/>
      <c r="Y653" s="76"/>
      <c r="Z653" s="76"/>
      <c r="AA653" s="76"/>
      <c r="AB653" s="76"/>
      <c r="AC653" s="76"/>
      <c r="AD653" s="76"/>
      <c r="AE653" s="76"/>
      <c r="AF653" s="76"/>
    </row>
    <row r="654">
      <c r="A654" s="76"/>
      <c r="B654" s="170"/>
      <c r="C654" s="76"/>
      <c r="D654" s="173"/>
      <c r="E654" s="173"/>
      <c r="F654" s="173"/>
      <c r="G654" s="175"/>
      <c r="H654" s="173"/>
      <c r="I654" s="173"/>
      <c r="J654" s="173"/>
      <c r="K654" s="173"/>
      <c r="L654" s="76"/>
      <c r="M654" s="76"/>
      <c r="N654" s="76"/>
      <c r="O654" s="76"/>
      <c r="P654" s="76"/>
      <c r="Q654" s="76"/>
      <c r="R654" s="76"/>
      <c r="S654" s="76"/>
      <c r="T654" s="76"/>
      <c r="U654" s="76"/>
      <c r="V654" s="76"/>
      <c r="W654" s="76"/>
      <c r="X654" s="76"/>
      <c r="Y654" s="76"/>
      <c r="Z654" s="76"/>
      <c r="AA654" s="76"/>
      <c r="AB654" s="76"/>
      <c r="AC654" s="76"/>
      <c r="AD654" s="76"/>
      <c r="AE654" s="76"/>
      <c r="AF654" s="76"/>
    </row>
    <row r="655">
      <c r="A655" s="76"/>
      <c r="B655" s="170"/>
      <c r="C655" s="76"/>
      <c r="D655" s="173"/>
      <c r="E655" s="173"/>
      <c r="F655" s="173"/>
      <c r="G655" s="175"/>
      <c r="H655" s="173"/>
      <c r="I655" s="173"/>
      <c r="J655" s="173"/>
      <c r="K655" s="173"/>
      <c r="L655" s="76"/>
      <c r="M655" s="76"/>
      <c r="N655" s="76"/>
      <c r="O655" s="76"/>
      <c r="P655" s="76"/>
      <c r="Q655" s="76"/>
      <c r="R655" s="76"/>
      <c r="S655" s="76"/>
      <c r="T655" s="76"/>
      <c r="U655" s="76"/>
      <c r="V655" s="76"/>
      <c r="W655" s="76"/>
      <c r="X655" s="76"/>
      <c r="Y655" s="76"/>
      <c r="Z655" s="76"/>
      <c r="AA655" s="76"/>
      <c r="AB655" s="76"/>
      <c r="AC655" s="76"/>
      <c r="AD655" s="76"/>
      <c r="AE655" s="76"/>
      <c r="AF655" s="76"/>
    </row>
    <row r="656">
      <c r="A656" s="76"/>
      <c r="B656" s="170"/>
      <c r="C656" s="76"/>
      <c r="D656" s="173"/>
      <c r="E656" s="173"/>
      <c r="F656" s="173"/>
      <c r="G656" s="175"/>
      <c r="H656" s="173"/>
      <c r="I656" s="173"/>
      <c r="J656" s="173"/>
      <c r="K656" s="173"/>
      <c r="L656" s="76"/>
      <c r="M656" s="76"/>
      <c r="N656" s="76"/>
      <c r="O656" s="76"/>
      <c r="P656" s="76"/>
      <c r="Q656" s="76"/>
      <c r="R656" s="76"/>
      <c r="S656" s="76"/>
      <c r="T656" s="76"/>
      <c r="U656" s="76"/>
      <c r="V656" s="76"/>
      <c r="W656" s="76"/>
      <c r="X656" s="76"/>
      <c r="Y656" s="76"/>
      <c r="Z656" s="76"/>
      <c r="AA656" s="76"/>
      <c r="AB656" s="76"/>
      <c r="AC656" s="76"/>
      <c r="AD656" s="76"/>
      <c r="AE656" s="76"/>
      <c r="AF656" s="76"/>
    </row>
    <row r="657">
      <c r="A657" s="76"/>
      <c r="B657" s="170"/>
      <c r="C657" s="76"/>
      <c r="D657" s="173"/>
      <c r="E657" s="173"/>
      <c r="F657" s="173"/>
      <c r="G657" s="175"/>
      <c r="H657" s="173"/>
      <c r="I657" s="173"/>
      <c r="J657" s="173"/>
      <c r="K657" s="173"/>
      <c r="L657" s="76"/>
      <c r="M657" s="76"/>
      <c r="N657" s="76"/>
      <c r="O657" s="76"/>
      <c r="P657" s="76"/>
      <c r="Q657" s="76"/>
      <c r="R657" s="76"/>
      <c r="S657" s="76"/>
      <c r="T657" s="76"/>
      <c r="U657" s="76"/>
      <c r="V657" s="76"/>
      <c r="W657" s="76"/>
      <c r="X657" s="76"/>
      <c r="Y657" s="76"/>
      <c r="Z657" s="76"/>
      <c r="AA657" s="76"/>
      <c r="AB657" s="76"/>
      <c r="AC657" s="76"/>
      <c r="AD657" s="76"/>
      <c r="AE657" s="76"/>
      <c r="AF657" s="76"/>
    </row>
    <row r="658">
      <c r="A658" s="76"/>
      <c r="B658" s="170"/>
      <c r="C658" s="76"/>
      <c r="D658" s="173"/>
      <c r="E658" s="173"/>
      <c r="F658" s="173"/>
      <c r="G658" s="175"/>
      <c r="H658" s="173"/>
      <c r="I658" s="173"/>
      <c r="J658" s="173"/>
      <c r="K658" s="173"/>
      <c r="L658" s="76"/>
      <c r="M658" s="76"/>
      <c r="N658" s="76"/>
      <c r="O658" s="76"/>
      <c r="P658" s="76"/>
      <c r="Q658" s="76"/>
      <c r="R658" s="76"/>
      <c r="S658" s="76"/>
      <c r="T658" s="76"/>
      <c r="U658" s="76"/>
      <c r="V658" s="76"/>
      <c r="W658" s="76"/>
      <c r="X658" s="76"/>
      <c r="Y658" s="76"/>
      <c r="Z658" s="76"/>
      <c r="AA658" s="76"/>
      <c r="AB658" s="76"/>
      <c r="AC658" s="76"/>
      <c r="AD658" s="76"/>
      <c r="AE658" s="76"/>
      <c r="AF658" s="76"/>
    </row>
    <row r="659">
      <c r="A659" s="76"/>
      <c r="B659" s="170"/>
      <c r="C659" s="76"/>
      <c r="D659" s="173"/>
      <c r="E659" s="173"/>
      <c r="F659" s="173"/>
      <c r="G659" s="175"/>
      <c r="H659" s="173"/>
      <c r="I659" s="173"/>
      <c r="J659" s="173"/>
      <c r="K659" s="173"/>
      <c r="L659" s="76"/>
      <c r="M659" s="76"/>
      <c r="N659" s="76"/>
      <c r="O659" s="76"/>
      <c r="P659" s="76"/>
      <c r="Q659" s="76"/>
      <c r="R659" s="76"/>
      <c r="S659" s="76"/>
      <c r="T659" s="76"/>
      <c r="U659" s="76"/>
      <c r="V659" s="76"/>
      <c r="W659" s="76"/>
      <c r="X659" s="76"/>
      <c r="Y659" s="76"/>
      <c r="Z659" s="76"/>
      <c r="AA659" s="76"/>
      <c r="AB659" s="76"/>
      <c r="AC659" s="76"/>
      <c r="AD659" s="76"/>
      <c r="AE659" s="76"/>
      <c r="AF659" s="76"/>
    </row>
    <row r="660">
      <c r="A660" s="76"/>
      <c r="B660" s="170"/>
      <c r="C660" s="76"/>
      <c r="D660" s="173"/>
      <c r="E660" s="173"/>
      <c r="F660" s="173"/>
      <c r="G660" s="175"/>
      <c r="H660" s="173"/>
      <c r="I660" s="173"/>
      <c r="J660" s="173"/>
      <c r="K660" s="173"/>
      <c r="L660" s="76"/>
      <c r="M660" s="76"/>
      <c r="N660" s="76"/>
      <c r="O660" s="76"/>
      <c r="P660" s="76"/>
      <c r="Q660" s="76"/>
      <c r="R660" s="76"/>
      <c r="S660" s="76"/>
      <c r="T660" s="76"/>
      <c r="U660" s="76"/>
      <c r="V660" s="76"/>
      <c r="W660" s="76"/>
      <c r="X660" s="76"/>
      <c r="Y660" s="76"/>
      <c r="Z660" s="76"/>
      <c r="AA660" s="76"/>
      <c r="AB660" s="76"/>
      <c r="AC660" s="76"/>
      <c r="AD660" s="76"/>
      <c r="AE660" s="76"/>
      <c r="AF660" s="76"/>
    </row>
    <row r="661">
      <c r="A661" s="76"/>
      <c r="B661" s="170"/>
      <c r="C661" s="76"/>
      <c r="D661" s="173"/>
      <c r="E661" s="173"/>
      <c r="F661" s="173"/>
      <c r="G661" s="175"/>
      <c r="H661" s="173"/>
      <c r="I661" s="173"/>
      <c r="J661" s="173"/>
      <c r="K661" s="173"/>
      <c r="L661" s="76"/>
      <c r="M661" s="76"/>
      <c r="N661" s="76"/>
      <c r="O661" s="76"/>
      <c r="P661" s="76"/>
      <c r="Q661" s="76"/>
      <c r="R661" s="76"/>
      <c r="S661" s="76"/>
      <c r="T661" s="76"/>
      <c r="U661" s="76"/>
      <c r="V661" s="76"/>
      <c r="W661" s="76"/>
      <c r="X661" s="76"/>
      <c r="Y661" s="76"/>
      <c r="Z661" s="76"/>
      <c r="AA661" s="76"/>
      <c r="AB661" s="76"/>
      <c r="AC661" s="76"/>
      <c r="AD661" s="76"/>
      <c r="AE661" s="76"/>
      <c r="AF661" s="76"/>
    </row>
    <row r="662">
      <c r="A662" s="76"/>
      <c r="B662" s="170"/>
      <c r="C662" s="76"/>
      <c r="D662" s="173"/>
      <c r="E662" s="173"/>
      <c r="F662" s="173"/>
      <c r="G662" s="175"/>
      <c r="H662" s="173"/>
      <c r="I662" s="173"/>
      <c r="J662" s="173"/>
      <c r="K662" s="173"/>
      <c r="L662" s="76"/>
      <c r="M662" s="76"/>
      <c r="N662" s="76"/>
      <c r="O662" s="76"/>
      <c r="P662" s="76"/>
      <c r="Q662" s="76"/>
      <c r="R662" s="76"/>
      <c r="S662" s="76"/>
      <c r="T662" s="76"/>
      <c r="U662" s="76"/>
      <c r="V662" s="76"/>
      <c r="W662" s="76"/>
      <c r="X662" s="76"/>
      <c r="Y662" s="76"/>
      <c r="Z662" s="76"/>
      <c r="AA662" s="76"/>
      <c r="AB662" s="76"/>
      <c r="AC662" s="76"/>
      <c r="AD662" s="76"/>
      <c r="AE662" s="76"/>
      <c r="AF662" s="76"/>
    </row>
    <row r="663">
      <c r="A663" s="76"/>
      <c r="B663" s="170"/>
      <c r="C663" s="76"/>
      <c r="D663" s="173"/>
      <c r="E663" s="173"/>
      <c r="F663" s="173"/>
      <c r="G663" s="175"/>
      <c r="H663" s="173"/>
      <c r="I663" s="173"/>
      <c r="J663" s="173"/>
      <c r="K663" s="173"/>
      <c r="L663" s="76"/>
      <c r="M663" s="76"/>
      <c r="N663" s="76"/>
      <c r="O663" s="76"/>
      <c r="P663" s="76"/>
      <c r="Q663" s="76"/>
      <c r="R663" s="76"/>
      <c r="S663" s="76"/>
      <c r="T663" s="76"/>
      <c r="U663" s="76"/>
      <c r="V663" s="76"/>
      <c r="W663" s="76"/>
      <c r="X663" s="76"/>
      <c r="Y663" s="76"/>
      <c r="Z663" s="76"/>
      <c r="AA663" s="76"/>
      <c r="AB663" s="76"/>
      <c r="AC663" s="76"/>
      <c r="AD663" s="76"/>
      <c r="AE663" s="76"/>
      <c r="AF663" s="76"/>
    </row>
    <row r="664">
      <c r="A664" s="76"/>
      <c r="B664" s="170"/>
      <c r="C664" s="76"/>
      <c r="D664" s="173"/>
      <c r="E664" s="173"/>
      <c r="F664" s="173"/>
      <c r="G664" s="175"/>
      <c r="H664" s="173"/>
      <c r="I664" s="173"/>
      <c r="J664" s="173"/>
      <c r="K664" s="173"/>
      <c r="L664" s="76"/>
      <c r="M664" s="76"/>
      <c r="N664" s="76"/>
      <c r="O664" s="76"/>
      <c r="P664" s="76"/>
      <c r="Q664" s="76"/>
      <c r="R664" s="76"/>
      <c r="S664" s="76"/>
      <c r="T664" s="76"/>
      <c r="U664" s="76"/>
      <c r="V664" s="76"/>
      <c r="W664" s="76"/>
      <c r="X664" s="76"/>
      <c r="Y664" s="76"/>
      <c r="Z664" s="76"/>
      <c r="AA664" s="76"/>
      <c r="AB664" s="76"/>
      <c r="AC664" s="76"/>
      <c r="AD664" s="76"/>
      <c r="AE664" s="76"/>
      <c r="AF664" s="76"/>
    </row>
    <row r="665">
      <c r="A665" s="76"/>
      <c r="B665" s="170"/>
      <c r="C665" s="76"/>
      <c r="D665" s="173"/>
      <c r="E665" s="173"/>
      <c r="F665" s="173"/>
      <c r="G665" s="175"/>
      <c r="H665" s="173"/>
      <c r="I665" s="173"/>
      <c r="J665" s="173"/>
      <c r="K665" s="173"/>
      <c r="L665" s="76"/>
      <c r="M665" s="76"/>
      <c r="N665" s="76"/>
      <c r="O665" s="76"/>
      <c r="P665" s="76"/>
      <c r="Q665" s="76"/>
      <c r="R665" s="76"/>
      <c r="S665" s="76"/>
      <c r="T665" s="76"/>
      <c r="U665" s="76"/>
      <c r="V665" s="76"/>
      <c r="W665" s="76"/>
      <c r="X665" s="76"/>
      <c r="Y665" s="76"/>
      <c r="Z665" s="76"/>
      <c r="AA665" s="76"/>
      <c r="AB665" s="76"/>
      <c r="AC665" s="76"/>
      <c r="AD665" s="76"/>
      <c r="AE665" s="76"/>
      <c r="AF665" s="76"/>
    </row>
    <row r="666">
      <c r="A666" s="76"/>
      <c r="B666" s="170"/>
      <c r="C666" s="76"/>
      <c r="D666" s="173"/>
      <c r="E666" s="173"/>
      <c r="F666" s="173"/>
      <c r="G666" s="175"/>
      <c r="H666" s="173"/>
      <c r="I666" s="173"/>
      <c r="J666" s="173"/>
      <c r="K666" s="173"/>
      <c r="L666" s="76"/>
      <c r="M666" s="76"/>
      <c r="N666" s="76"/>
      <c r="O666" s="76"/>
      <c r="P666" s="76"/>
      <c r="Q666" s="76"/>
      <c r="R666" s="76"/>
      <c r="S666" s="76"/>
      <c r="T666" s="76"/>
      <c r="U666" s="76"/>
      <c r="V666" s="76"/>
      <c r="W666" s="76"/>
      <c r="X666" s="76"/>
      <c r="Y666" s="76"/>
      <c r="Z666" s="76"/>
      <c r="AA666" s="76"/>
      <c r="AB666" s="76"/>
      <c r="AC666" s="76"/>
      <c r="AD666" s="76"/>
      <c r="AE666" s="76"/>
      <c r="AF666" s="76"/>
    </row>
    <row r="667">
      <c r="A667" s="76"/>
      <c r="B667" s="170"/>
      <c r="C667" s="76"/>
      <c r="D667" s="173"/>
      <c r="E667" s="173"/>
      <c r="F667" s="173"/>
      <c r="G667" s="175"/>
      <c r="H667" s="173"/>
      <c r="I667" s="173"/>
      <c r="J667" s="173"/>
      <c r="K667" s="173"/>
      <c r="L667" s="76"/>
      <c r="M667" s="76"/>
      <c r="N667" s="76"/>
      <c r="O667" s="76"/>
      <c r="P667" s="76"/>
      <c r="Q667" s="76"/>
      <c r="R667" s="76"/>
      <c r="S667" s="76"/>
      <c r="T667" s="76"/>
      <c r="U667" s="76"/>
      <c r="V667" s="76"/>
      <c r="W667" s="76"/>
      <c r="X667" s="76"/>
      <c r="Y667" s="76"/>
      <c r="Z667" s="76"/>
      <c r="AA667" s="76"/>
      <c r="AB667" s="76"/>
      <c r="AC667" s="76"/>
      <c r="AD667" s="76"/>
      <c r="AE667" s="76"/>
      <c r="AF667" s="76"/>
    </row>
    <row r="668">
      <c r="A668" s="76"/>
      <c r="B668" s="170"/>
      <c r="C668" s="76"/>
      <c r="D668" s="173"/>
      <c r="E668" s="173"/>
      <c r="F668" s="173"/>
      <c r="G668" s="175"/>
      <c r="H668" s="173"/>
      <c r="I668" s="173"/>
      <c r="J668" s="173"/>
      <c r="K668" s="173"/>
      <c r="L668" s="76"/>
      <c r="M668" s="76"/>
      <c r="N668" s="76"/>
      <c r="O668" s="76"/>
      <c r="P668" s="76"/>
      <c r="Q668" s="76"/>
      <c r="R668" s="76"/>
      <c r="S668" s="76"/>
      <c r="T668" s="76"/>
      <c r="U668" s="76"/>
      <c r="V668" s="76"/>
      <c r="W668" s="76"/>
      <c r="X668" s="76"/>
      <c r="Y668" s="76"/>
      <c r="Z668" s="76"/>
      <c r="AA668" s="76"/>
      <c r="AB668" s="76"/>
      <c r="AC668" s="76"/>
      <c r="AD668" s="76"/>
      <c r="AE668" s="76"/>
      <c r="AF668" s="76"/>
    </row>
    <row r="669">
      <c r="A669" s="76"/>
      <c r="B669" s="170"/>
      <c r="C669" s="76"/>
      <c r="D669" s="173"/>
      <c r="E669" s="173"/>
      <c r="F669" s="173"/>
      <c r="G669" s="175"/>
      <c r="H669" s="173"/>
      <c r="I669" s="173"/>
      <c r="J669" s="173"/>
      <c r="K669" s="173"/>
      <c r="L669" s="76"/>
      <c r="M669" s="76"/>
      <c r="N669" s="76"/>
      <c r="O669" s="76"/>
      <c r="P669" s="76"/>
      <c r="Q669" s="76"/>
      <c r="R669" s="76"/>
      <c r="S669" s="76"/>
      <c r="T669" s="76"/>
      <c r="U669" s="76"/>
      <c r="V669" s="76"/>
      <c r="W669" s="76"/>
      <c r="X669" s="76"/>
      <c r="Y669" s="76"/>
      <c r="Z669" s="76"/>
      <c r="AA669" s="76"/>
      <c r="AB669" s="76"/>
      <c r="AC669" s="76"/>
      <c r="AD669" s="76"/>
      <c r="AE669" s="76"/>
      <c r="AF669" s="76"/>
    </row>
    <row r="670">
      <c r="A670" s="76"/>
      <c r="B670" s="170"/>
      <c r="C670" s="76"/>
      <c r="D670" s="173"/>
      <c r="E670" s="173"/>
      <c r="F670" s="173"/>
      <c r="G670" s="175"/>
      <c r="H670" s="173"/>
      <c r="I670" s="173"/>
      <c r="J670" s="173"/>
      <c r="K670" s="173"/>
      <c r="L670" s="76"/>
      <c r="M670" s="76"/>
      <c r="N670" s="76"/>
      <c r="O670" s="76"/>
      <c r="P670" s="76"/>
      <c r="Q670" s="76"/>
      <c r="R670" s="76"/>
      <c r="S670" s="76"/>
      <c r="T670" s="76"/>
      <c r="U670" s="76"/>
      <c r="V670" s="76"/>
      <c r="W670" s="76"/>
      <c r="X670" s="76"/>
      <c r="Y670" s="76"/>
      <c r="Z670" s="76"/>
      <c r="AA670" s="76"/>
      <c r="AB670" s="76"/>
      <c r="AC670" s="76"/>
      <c r="AD670" s="76"/>
      <c r="AE670" s="76"/>
      <c r="AF670" s="76"/>
    </row>
    <row r="671">
      <c r="A671" s="76"/>
      <c r="B671" s="170"/>
      <c r="C671" s="76"/>
      <c r="D671" s="173"/>
      <c r="E671" s="173"/>
      <c r="F671" s="173"/>
      <c r="G671" s="175"/>
      <c r="H671" s="173"/>
      <c r="I671" s="173"/>
      <c r="J671" s="173"/>
      <c r="K671" s="173"/>
      <c r="L671" s="76"/>
      <c r="M671" s="76"/>
      <c r="N671" s="76"/>
      <c r="O671" s="76"/>
      <c r="P671" s="76"/>
      <c r="Q671" s="76"/>
      <c r="R671" s="76"/>
      <c r="S671" s="76"/>
      <c r="T671" s="76"/>
      <c r="U671" s="76"/>
      <c r="V671" s="76"/>
      <c r="W671" s="76"/>
      <c r="X671" s="76"/>
      <c r="Y671" s="76"/>
      <c r="Z671" s="76"/>
      <c r="AA671" s="76"/>
      <c r="AB671" s="76"/>
      <c r="AC671" s="76"/>
      <c r="AD671" s="76"/>
      <c r="AE671" s="76"/>
      <c r="AF671" s="76"/>
    </row>
    <row r="672">
      <c r="A672" s="76"/>
      <c r="B672" s="170"/>
      <c r="C672" s="76"/>
      <c r="D672" s="173"/>
      <c r="E672" s="173"/>
      <c r="F672" s="173"/>
      <c r="G672" s="175"/>
      <c r="H672" s="173"/>
      <c r="I672" s="173"/>
      <c r="J672" s="173"/>
      <c r="K672" s="173"/>
      <c r="L672" s="76"/>
      <c r="M672" s="76"/>
      <c r="N672" s="76"/>
      <c r="O672" s="76"/>
      <c r="P672" s="76"/>
      <c r="Q672" s="76"/>
      <c r="R672" s="76"/>
      <c r="S672" s="76"/>
      <c r="T672" s="76"/>
      <c r="U672" s="76"/>
      <c r="V672" s="76"/>
      <c r="W672" s="76"/>
      <c r="X672" s="76"/>
      <c r="Y672" s="76"/>
      <c r="Z672" s="76"/>
      <c r="AA672" s="76"/>
      <c r="AB672" s="76"/>
      <c r="AC672" s="76"/>
      <c r="AD672" s="76"/>
      <c r="AE672" s="76"/>
      <c r="AF672" s="76"/>
    </row>
    <row r="673">
      <c r="A673" s="76"/>
      <c r="B673" s="170"/>
      <c r="C673" s="76"/>
      <c r="D673" s="173"/>
      <c r="E673" s="173"/>
      <c r="F673" s="173"/>
      <c r="G673" s="175"/>
      <c r="H673" s="173"/>
      <c r="I673" s="173"/>
      <c r="J673" s="173"/>
      <c r="K673" s="173"/>
      <c r="L673" s="76"/>
      <c r="M673" s="76"/>
      <c r="N673" s="76"/>
      <c r="O673" s="76"/>
      <c r="P673" s="76"/>
      <c r="Q673" s="76"/>
      <c r="R673" s="76"/>
      <c r="S673" s="76"/>
      <c r="T673" s="76"/>
      <c r="U673" s="76"/>
      <c r="V673" s="76"/>
      <c r="W673" s="76"/>
      <c r="X673" s="76"/>
      <c r="Y673" s="76"/>
      <c r="Z673" s="76"/>
      <c r="AA673" s="76"/>
      <c r="AB673" s="76"/>
      <c r="AC673" s="76"/>
      <c r="AD673" s="76"/>
      <c r="AE673" s="76"/>
      <c r="AF673" s="76"/>
    </row>
    <row r="674">
      <c r="A674" s="76"/>
      <c r="B674" s="170"/>
      <c r="C674" s="76"/>
      <c r="D674" s="173"/>
      <c r="E674" s="173"/>
      <c r="F674" s="173"/>
      <c r="G674" s="175"/>
      <c r="H674" s="173"/>
      <c r="I674" s="173"/>
      <c r="J674" s="173"/>
      <c r="K674" s="173"/>
      <c r="L674" s="76"/>
      <c r="M674" s="76"/>
      <c r="N674" s="76"/>
      <c r="O674" s="76"/>
      <c r="P674" s="76"/>
      <c r="Q674" s="76"/>
      <c r="R674" s="76"/>
      <c r="S674" s="76"/>
      <c r="T674" s="76"/>
      <c r="U674" s="76"/>
      <c r="V674" s="76"/>
      <c r="W674" s="76"/>
      <c r="X674" s="76"/>
      <c r="Y674" s="76"/>
      <c r="Z674" s="76"/>
      <c r="AA674" s="76"/>
      <c r="AB674" s="76"/>
      <c r="AC674" s="76"/>
      <c r="AD674" s="76"/>
      <c r="AE674" s="76"/>
      <c r="AF674" s="76"/>
    </row>
    <row r="675">
      <c r="A675" s="76"/>
      <c r="B675" s="170"/>
      <c r="C675" s="76"/>
      <c r="D675" s="173"/>
      <c r="E675" s="173"/>
      <c r="F675" s="173"/>
      <c r="G675" s="175"/>
      <c r="H675" s="173"/>
      <c r="I675" s="173"/>
      <c r="J675" s="173"/>
      <c r="K675" s="173"/>
      <c r="L675" s="76"/>
      <c r="M675" s="76"/>
      <c r="N675" s="76"/>
      <c r="O675" s="76"/>
      <c r="P675" s="76"/>
      <c r="Q675" s="76"/>
      <c r="R675" s="76"/>
      <c r="S675" s="76"/>
      <c r="T675" s="76"/>
      <c r="U675" s="76"/>
      <c r="V675" s="76"/>
      <c r="W675" s="76"/>
      <c r="X675" s="76"/>
      <c r="Y675" s="76"/>
      <c r="Z675" s="76"/>
      <c r="AA675" s="76"/>
      <c r="AB675" s="76"/>
      <c r="AC675" s="76"/>
      <c r="AD675" s="76"/>
      <c r="AE675" s="76"/>
      <c r="AF675" s="76"/>
    </row>
    <row r="676">
      <c r="A676" s="76"/>
      <c r="B676" s="170"/>
      <c r="C676" s="76"/>
      <c r="D676" s="173"/>
      <c r="E676" s="173"/>
      <c r="F676" s="173"/>
      <c r="G676" s="175"/>
      <c r="H676" s="173"/>
      <c r="I676" s="173"/>
      <c r="J676" s="173"/>
      <c r="K676" s="173"/>
      <c r="L676" s="76"/>
      <c r="M676" s="76"/>
      <c r="N676" s="76"/>
      <c r="O676" s="76"/>
      <c r="P676" s="76"/>
      <c r="Q676" s="76"/>
      <c r="R676" s="76"/>
      <c r="S676" s="76"/>
      <c r="T676" s="76"/>
      <c r="U676" s="76"/>
      <c r="V676" s="76"/>
      <c r="W676" s="76"/>
      <c r="X676" s="76"/>
      <c r="Y676" s="76"/>
      <c r="Z676" s="76"/>
      <c r="AA676" s="76"/>
      <c r="AB676" s="76"/>
      <c r="AC676" s="76"/>
      <c r="AD676" s="76"/>
      <c r="AE676" s="76"/>
      <c r="AF676" s="76"/>
    </row>
    <row r="677">
      <c r="A677" s="76"/>
      <c r="B677" s="170"/>
      <c r="C677" s="76"/>
      <c r="D677" s="173"/>
      <c r="E677" s="173"/>
      <c r="F677" s="173"/>
      <c r="G677" s="175"/>
      <c r="H677" s="173"/>
      <c r="I677" s="173"/>
      <c r="J677" s="173"/>
      <c r="K677" s="173"/>
      <c r="L677" s="76"/>
      <c r="M677" s="76"/>
      <c r="N677" s="76"/>
      <c r="O677" s="76"/>
      <c r="P677" s="76"/>
      <c r="Q677" s="76"/>
      <c r="R677" s="76"/>
      <c r="S677" s="76"/>
      <c r="T677" s="76"/>
      <c r="U677" s="76"/>
      <c r="V677" s="76"/>
      <c r="W677" s="76"/>
      <c r="X677" s="76"/>
      <c r="Y677" s="76"/>
      <c r="Z677" s="76"/>
      <c r="AA677" s="76"/>
      <c r="AB677" s="76"/>
      <c r="AC677" s="76"/>
      <c r="AD677" s="76"/>
      <c r="AE677" s="76"/>
      <c r="AF677" s="76"/>
    </row>
    <row r="678">
      <c r="A678" s="76"/>
      <c r="B678" s="170"/>
      <c r="C678" s="76"/>
      <c r="D678" s="173"/>
      <c r="E678" s="173"/>
      <c r="F678" s="173"/>
      <c r="G678" s="175"/>
      <c r="H678" s="173"/>
      <c r="I678" s="173"/>
      <c r="J678" s="173"/>
      <c r="K678" s="173"/>
      <c r="L678" s="76"/>
      <c r="M678" s="76"/>
      <c r="N678" s="76"/>
      <c r="O678" s="76"/>
      <c r="P678" s="76"/>
      <c r="Q678" s="76"/>
      <c r="R678" s="76"/>
      <c r="S678" s="76"/>
      <c r="T678" s="76"/>
      <c r="U678" s="76"/>
      <c r="V678" s="76"/>
      <c r="W678" s="76"/>
      <c r="X678" s="76"/>
      <c r="Y678" s="76"/>
      <c r="Z678" s="76"/>
      <c r="AA678" s="76"/>
      <c r="AB678" s="76"/>
      <c r="AC678" s="76"/>
      <c r="AD678" s="76"/>
      <c r="AE678" s="76"/>
      <c r="AF678" s="76"/>
    </row>
    <row r="679">
      <c r="A679" s="76"/>
      <c r="B679" s="170"/>
      <c r="C679" s="76"/>
      <c r="D679" s="173"/>
      <c r="E679" s="173"/>
      <c r="F679" s="173"/>
      <c r="G679" s="175"/>
      <c r="H679" s="173"/>
      <c r="I679" s="173"/>
      <c r="J679" s="173"/>
      <c r="K679" s="173"/>
      <c r="L679" s="76"/>
      <c r="M679" s="76"/>
      <c r="N679" s="76"/>
      <c r="O679" s="76"/>
      <c r="P679" s="76"/>
      <c r="Q679" s="76"/>
      <c r="R679" s="76"/>
      <c r="S679" s="76"/>
      <c r="T679" s="76"/>
      <c r="U679" s="76"/>
      <c r="V679" s="76"/>
      <c r="W679" s="76"/>
      <c r="X679" s="76"/>
      <c r="Y679" s="76"/>
      <c r="Z679" s="76"/>
      <c r="AA679" s="76"/>
      <c r="AB679" s="76"/>
      <c r="AC679" s="76"/>
      <c r="AD679" s="76"/>
      <c r="AE679" s="76"/>
      <c r="AF679" s="76"/>
    </row>
    <row r="680">
      <c r="A680" s="76"/>
      <c r="B680" s="170"/>
      <c r="C680" s="76"/>
      <c r="D680" s="173"/>
      <c r="E680" s="173"/>
      <c r="F680" s="173"/>
      <c r="G680" s="175"/>
      <c r="H680" s="173"/>
      <c r="I680" s="173"/>
      <c r="J680" s="173"/>
      <c r="K680" s="173"/>
      <c r="L680" s="76"/>
      <c r="M680" s="76"/>
      <c r="N680" s="76"/>
      <c r="O680" s="76"/>
      <c r="P680" s="76"/>
      <c r="Q680" s="76"/>
      <c r="R680" s="76"/>
      <c r="S680" s="76"/>
      <c r="T680" s="76"/>
      <c r="U680" s="76"/>
      <c r="V680" s="76"/>
      <c r="W680" s="76"/>
      <c r="X680" s="76"/>
      <c r="Y680" s="76"/>
      <c r="Z680" s="76"/>
      <c r="AA680" s="76"/>
      <c r="AB680" s="76"/>
      <c r="AC680" s="76"/>
      <c r="AD680" s="76"/>
      <c r="AE680" s="76"/>
      <c r="AF680" s="76"/>
    </row>
    <row r="681">
      <c r="A681" s="76"/>
      <c r="B681" s="170"/>
      <c r="C681" s="76"/>
      <c r="D681" s="173"/>
      <c r="E681" s="173"/>
      <c r="F681" s="173"/>
      <c r="G681" s="175"/>
      <c r="H681" s="173"/>
      <c r="I681" s="173"/>
      <c r="J681" s="173"/>
      <c r="K681" s="173"/>
      <c r="L681" s="76"/>
      <c r="M681" s="76"/>
      <c r="N681" s="76"/>
      <c r="O681" s="76"/>
      <c r="P681" s="76"/>
      <c r="Q681" s="76"/>
      <c r="R681" s="76"/>
      <c r="S681" s="76"/>
      <c r="T681" s="76"/>
      <c r="U681" s="76"/>
      <c r="V681" s="76"/>
      <c r="W681" s="76"/>
      <c r="X681" s="76"/>
      <c r="Y681" s="76"/>
      <c r="Z681" s="76"/>
      <c r="AA681" s="76"/>
      <c r="AB681" s="76"/>
      <c r="AC681" s="76"/>
      <c r="AD681" s="76"/>
      <c r="AE681" s="76"/>
      <c r="AF681" s="76"/>
    </row>
    <row r="682">
      <c r="A682" s="76"/>
      <c r="B682" s="170"/>
      <c r="C682" s="76"/>
      <c r="D682" s="173"/>
      <c r="E682" s="173"/>
      <c r="F682" s="173"/>
      <c r="G682" s="175"/>
      <c r="H682" s="173"/>
      <c r="I682" s="173"/>
      <c r="J682" s="173"/>
      <c r="K682" s="173"/>
      <c r="L682" s="76"/>
      <c r="M682" s="76"/>
      <c r="N682" s="76"/>
      <c r="O682" s="76"/>
      <c r="P682" s="76"/>
      <c r="Q682" s="76"/>
      <c r="R682" s="76"/>
      <c r="S682" s="76"/>
      <c r="T682" s="76"/>
      <c r="U682" s="76"/>
      <c r="V682" s="76"/>
      <c r="W682" s="76"/>
      <c r="X682" s="76"/>
      <c r="Y682" s="76"/>
      <c r="Z682" s="76"/>
      <c r="AA682" s="76"/>
      <c r="AB682" s="76"/>
      <c r="AC682" s="76"/>
      <c r="AD682" s="76"/>
      <c r="AE682" s="76"/>
      <c r="AF682" s="76"/>
    </row>
    <row r="683">
      <c r="A683" s="76"/>
      <c r="B683" s="170"/>
      <c r="C683" s="76"/>
      <c r="D683" s="173"/>
      <c r="E683" s="173"/>
      <c r="F683" s="173"/>
      <c r="G683" s="175"/>
      <c r="H683" s="173"/>
      <c r="I683" s="173"/>
      <c r="J683" s="173"/>
      <c r="K683" s="173"/>
      <c r="L683" s="76"/>
      <c r="M683" s="76"/>
      <c r="N683" s="76"/>
      <c r="O683" s="76"/>
      <c r="P683" s="76"/>
      <c r="Q683" s="76"/>
      <c r="R683" s="76"/>
      <c r="S683" s="76"/>
      <c r="T683" s="76"/>
      <c r="U683" s="76"/>
      <c r="V683" s="76"/>
      <c r="W683" s="76"/>
      <c r="X683" s="76"/>
      <c r="Y683" s="76"/>
      <c r="Z683" s="76"/>
      <c r="AA683" s="76"/>
      <c r="AB683" s="76"/>
      <c r="AC683" s="76"/>
      <c r="AD683" s="76"/>
      <c r="AE683" s="76"/>
      <c r="AF683" s="76"/>
    </row>
    <row r="684">
      <c r="A684" s="76"/>
      <c r="B684" s="170"/>
      <c r="C684" s="76"/>
      <c r="D684" s="173"/>
      <c r="E684" s="173"/>
      <c r="F684" s="173"/>
      <c r="G684" s="175"/>
      <c r="H684" s="173"/>
      <c r="I684" s="173"/>
      <c r="J684" s="173"/>
      <c r="K684" s="173"/>
      <c r="L684" s="76"/>
      <c r="M684" s="76"/>
      <c r="N684" s="76"/>
      <c r="O684" s="76"/>
      <c r="P684" s="76"/>
      <c r="Q684" s="76"/>
      <c r="R684" s="76"/>
      <c r="S684" s="76"/>
      <c r="T684" s="76"/>
      <c r="U684" s="76"/>
      <c r="V684" s="76"/>
      <c r="W684" s="76"/>
      <c r="X684" s="76"/>
      <c r="Y684" s="76"/>
      <c r="Z684" s="76"/>
      <c r="AA684" s="76"/>
      <c r="AB684" s="76"/>
      <c r="AC684" s="76"/>
      <c r="AD684" s="76"/>
      <c r="AE684" s="76"/>
      <c r="AF684" s="76"/>
    </row>
    <row r="685">
      <c r="A685" s="76"/>
      <c r="B685" s="170"/>
      <c r="C685" s="76"/>
      <c r="D685" s="173"/>
      <c r="E685" s="173"/>
      <c r="F685" s="173"/>
      <c r="G685" s="175"/>
      <c r="H685" s="173"/>
      <c r="I685" s="173"/>
      <c r="J685" s="173"/>
      <c r="K685" s="173"/>
      <c r="L685" s="76"/>
      <c r="M685" s="76"/>
      <c r="N685" s="76"/>
      <c r="O685" s="76"/>
      <c r="P685" s="76"/>
      <c r="Q685" s="76"/>
      <c r="R685" s="76"/>
      <c r="S685" s="76"/>
      <c r="T685" s="76"/>
      <c r="U685" s="76"/>
      <c r="V685" s="76"/>
      <c r="W685" s="76"/>
      <c r="X685" s="76"/>
      <c r="Y685" s="76"/>
      <c r="Z685" s="76"/>
      <c r="AA685" s="76"/>
      <c r="AB685" s="76"/>
      <c r="AC685" s="76"/>
      <c r="AD685" s="76"/>
      <c r="AE685" s="76"/>
      <c r="AF685" s="76"/>
    </row>
    <row r="686">
      <c r="A686" s="76"/>
      <c r="B686" s="170"/>
      <c r="C686" s="76"/>
      <c r="D686" s="173"/>
      <c r="E686" s="173"/>
      <c r="F686" s="173"/>
      <c r="G686" s="175"/>
      <c r="H686" s="173"/>
      <c r="I686" s="173"/>
      <c r="J686" s="173"/>
      <c r="K686" s="173"/>
      <c r="L686" s="76"/>
      <c r="M686" s="76"/>
      <c r="N686" s="76"/>
      <c r="O686" s="76"/>
      <c r="P686" s="76"/>
      <c r="Q686" s="76"/>
      <c r="R686" s="76"/>
      <c r="S686" s="76"/>
      <c r="T686" s="76"/>
      <c r="U686" s="76"/>
      <c r="V686" s="76"/>
      <c r="W686" s="76"/>
      <c r="X686" s="76"/>
      <c r="Y686" s="76"/>
      <c r="Z686" s="76"/>
      <c r="AA686" s="76"/>
      <c r="AB686" s="76"/>
      <c r="AC686" s="76"/>
      <c r="AD686" s="76"/>
      <c r="AE686" s="76"/>
      <c r="AF686" s="76"/>
    </row>
    <row r="687">
      <c r="A687" s="76"/>
      <c r="B687" s="170"/>
      <c r="C687" s="76"/>
      <c r="D687" s="173"/>
      <c r="E687" s="173"/>
      <c r="F687" s="173"/>
      <c r="G687" s="175"/>
      <c r="H687" s="173"/>
      <c r="I687" s="173"/>
      <c r="J687" s="173"/>
      <c r="K687" s="173"/>
      <c r="L687" s="76"/>
      <c r="M687" s="76"/>
      <c r="N687" s="76"/>
      <c r="O687" s="76"/>
      <c r="P687" s="76"/>
      <c r="Q687" s="76"/>
      <c r="R687" s="76"/>
      <c r="S687" s="76"/>
      <c r="T687" s="76"/>
      <c r="U687" s="76"/>
      <c r="V687" s="76"/>
      <c r="W687" s="76"/>
      <c r="X687" s="76"/>
      <c r="Y687" s="76"/>
      <c r="Z687" s="76"/>
      <c r="AA687" s="76"/>
      <c r="AB687" s="76"/>
      <c r="AC687" s="76"/>
      <c r="AD687" s="76"/>
      <c r="AE687" s="76"/>
      <c r="AF687" s="76"/>
    </row>
    <row r="688">
      <c r="A688" s="76"/>
      <c r="B688" s="170"/>
      <c r="C688" s="76"/>
      <c r="D688" s="173"/>
      <c r="E688" s="173"/>
      <c r="F688" s="173"/>
      <c r="G688" s="175"/>
      <c r="H688" s="173"/>
      <c r="I688" s="173"/>
      <c r="J688" s="173"/>
      <c r="K688" s="173"/>
      <c r="L688" s="76"/>
      <c r="M688" s="76"/>
      <c r="N688" s="76"/>
      <c r="O688" s="76"/>
      <c r="P688" s="76"/>
      <c r="Q688" s="76"/>
      <c r="R688" s="76"/>
      <c r="S688" s="76"/>
      <c r="T688" s="76"/>
      <c r="U688" s="76"/>
      <c r="V688" s="76"/>
      <c r="W688" s="76"/>
      <c r="X688" s="76"/>
      <c r="Y688" s="76"/>
      <c r="Z688" s="76"/>
      <c r="AA688" s="76"/>
      <c r="AB688" s="76"/>
      <c r="AC688" s="76"/>
      <c r="AD688" s="76"/>
      <c r="AE688" s="76"/>
      <c r="AF688" s="76"/>
    </row>
    <row r="689">
      <c r="A689" s="76"/>
      <c r="B689" s="170"/>
      <c r="C689" s="76"/>
      <c r="D689" s="173"/>
      <c r="E689" s="173"/>
      <c r="F689" s="173"/>
      <c r="G689" s="175"/>
      <c r="H689" s="173"/>
      <c r="I689" s="173"/>
      <c r="J689" s="173"/>
      <c r="K689" s="173"/>
      <c r="L689" s="76"/>
      <c r="M689" s="76"/>
      <c r="N689" s="76"/>
      <c r="O689" s="76"/>
      <c r="P689" s="76"/>
      <c r="Q689" s="76"/>
      <c r="R689" s="76"/>
      <c r="S689" s="76"/>
      <c r="T689" s="76"/>
      <c r="U689" s="76"/>
      <c r="V689" s="76"/>
      <c r="W689" s="76"/>
      <c r="X689" s="76"/>
      <c r="Y689" s="76"/>
      <c r="Z689" s="76"/>
      <c r="AA689" s="76"/>
      <c r="AB689" s="76"/>
      <c r="AC689" s="76"/>
      <c r="AD689" s="76"/>
      <c r="AE689" s="76"/>
      <c r="AF689" s="76"/>
    </row>
    <row r="690">
      <c r="A690" s="76"/>
      <c r="B690" s="170"/>
      <c r="C690" s="76"/>
      <c r="D690" s="173"/>
      <c r="E690" s="173"/>
      <c r="F690" s="173"/>
      <c r="G690" s="175"/>
      <c r="H690" s="173"/>
      <c r="I690" s="173"/>
      <c r="J690" s="173"/>
      <c r="K690" s="173"/>
      <c r="L690" s="76"/>
      <c r="M690" s="76"/>
      <c r="N690" s="76"/>
      <c r="O690" s="76"/>
      <c r="P690" s="76"/>
      <c r="Q690" s="76"/>
      <c r="R690" s="76"/>
      <c r="S690" s="76"/>
      <c r="T690" s="76"/>
      <c r="U690" s="76"/>
      <c r="V690" s="76"/>
      <c r="W690" s="76"/>
      <c r="X690" s="76"/>
      <c r="Y690" s="76"/>
      <c r="Z690" s="76"/>
      <c r="AA690" s="76"/>
      <c r="AB690" s="76"/>
      <c r="AC690" s="76"/>
      <c r="AD690" s="76"/>
      <c r="AE690" s="76"/>
      <c r="AF690" s="76"/>
    </row>
    <row r="691">
      <c r="A691" s="76"/>
      <c r="B691" s="170"/>
      <c r="C691" s="76"/>
      <c r="D691" s="173"/>
      <c r="E691" s="173"/>
      <c r="F691" s="173"/>
      <c r="G691" s="175"/>
      <c r="H691" s="173"/>
      <c r="I691" s="173"/>
      <c r="J691" s="173"/>
      <c r="K691" s="173"/>
      <c r="L691" s="76"/>
      <c r="M691" s="76"/>
      <c r="N691" s="76"/>
      <c r="O691" s="76"/>
      <c r="P691" s="76"/>
      <c r="Q691" s="76"/>
      <c r="R691" s="76"/>
      <c r="S691" s="76"/>
      <c r="T691" s="76"/>
      <c r="U691" s="76"/>
      <c r="V691" s="76"/>
      <c r="W691" s="76"/>
      <c r="X691" s="76"/>
      <c r="Y691" s="76"/>
      <c r="Z691" s="76"/>
      <c r="AA691" s="76"/>
      <c r="AB691" s="76"/>
      <c r="AC691" s="76"/>
      <c r="AD691" s="76"/>
      <c r="AE691" s="76"/>
      <c r="AF691" s="76"/>
    </row>
    <row r="692">
      <c r="A692" s="76"/>
      <c r="B692" s="170"/>
      <c r="C692" s="76"/>
      <c r="D692" s="173"/>
      <c r="E692" s="173"/>
      <c r="F692" s="173"/>
      <c r="G692" s="175"/>
      <c r="H692" s="173"/>
      <c r="I692" s="173"/>
      <c r="J692" s="173"/>
      <c r="K692" s="173"/>
      <c r="L692" s="76"/>
      <c r="M692" s="76"/>
      <c r="N692" s="76"/>
      <c r="O692" s="76"/>
      <c r="P692" s="76"/>
      <c r="Q692" s="76"/>
      <c r="R692" s="76"/>
      <c r="S692" s="76"/>
      <c r="T692" s="76"/>
      <c r="U692" s="76"/>
      <c r="V692" s="76"/>
      <c r="W692" s="76"/>
      <c r="X692" s="76"/>
      <c r="Y692" s="76"/>
      <c r="Z692" s="76"/>
      <c r="AA692" s="76"/>
      <c r="AB692" s="76"/>
      <c r="AC692" s="76"/>
      <c r="AD692" s="76"/>
      <c r="AE692" s="76"/>
      <c r="AF692" s="76"/>
    </row>
    <row r="693">
      <c r="A693" s="76"/>
      <c r="B693" s="170"/>
      <c r="C693" s="76"/>
      <c r="D693" s="173"/>
      <c r="E693" s="173"/>
      <c r="F693" s="173"/>
      <c r="G693" s="175"/>
      <c r="H693" s="173"/>
      <c r="I693" s="173"/>
      <c r="J693" s="173"/>
      <c r="K693" s="173"/>
      <c r="L693" s="76"/>
      <c r="M693" s="76"/>
      <c r="N693" s="76"/>
      <c r="O693" s="76"/>
      <c r="P693" s="76"/>
      <c r="Q693" s="76"/>
      <c r="R693" s="76"/>
      <c r="S693" s="76"/>
      <c r="T693" s="76"/>
      <c r="U693" s="76"/>
      <c r="V693" s="76"/>
      <c r="W693" s="76"/>
      <c r="X693" s="76"/>
      <c r="Y693" s="76"/>
      <c r="Z693" s="76"/>
      <c r="AA693" s="76"/>
      <c r="AB693" s="76"/>
      <c r="AC693" s="76"/>
      <c r="AD693" s="76"/>
      <c r="AE693" s="76"/>
      <c r="AF693" s="76"/>
    </row>
    <row r="694">
      <c r="A694" s="76"/>
      <c r="B694" s="170"/>
      <c r="C694" s="76"/>
      <c r="D694" s="173"/>
      <c r="E694" s="173"/>
      <c r="F694" s="173"/>
      <c r="G694" s="175"/>
      <c r="H694" s="173"/>
      <c r="I694" s="173"/>
      <c r="J694" s="173"/>
      <c r="K694" s="173"/>
      <c r="L694" s="76"/>
      <c r="M694" s="76"/>
      <c r="N694" s="76"/>
      <c r="O694" s="76"/>
      <c r="P694" s="76"/>
      <c r="Q694" s="76"/>
      <c r="R694" s="76"/>
      <c r="S694" s="76"/>
      <c r="T694" s="76"/>
      <c r="U694" s="76"/>
      <c r="V694" s="76"/>
      <c r="W694" s="76"/>
      <c r="X694" s="76"/>
      <c r="Y694" s="76"/>
      <c r="Z694" s="76"/>
      <c r="AA694" s="76"/>
      <c r="AB694" s="76"/>
      <c r="AC694" s="76"/>
      <c r="AD694" s="76"/>
      <c r="AE694" s="76"/>
      <c r="AF694" s="76"/>
    </row>
    <row r="695">
      <c r="A695" s="76"/>
      <c r="B695" s="170"/>
      <c r="C695" s="76"/>
      <c r="D695" s="173"/>
      <c r="E695" s="173"/>
      <c r="F695" s="173"/>
      <c r="G695" s="175"/>
      <c r="H695" s="173"/>
      <c r="I695" s="173"/>
      <c r="J695" s="173"/>
      <c r="K695" s="173"/>
      <c r="L695" s="76"/>
      <c r="M695" s="76"/>
      <c r="N695" s="76"/>
      <c r="O695" s="76"/>
      <c r="P695" s="76"/>
      <c r="Q695" s="76"/>
      <c r="R695" s="76"/>
      <c r="S695" s="76"/>
      <c r="T695" s="76"/>
      <c r="U695" s="76"/>
      <c r="V695" s="76"/>
      <c r="W695" s="76"/>
      <c r="X695" s="76"/>
      <c r="Y695" s="76"/>
      <c r="Z695" s="76"/>
      <c r="AA695" s="76"/>
      <c r="AB695" s="76"/>
      <c r="AC695" s="76"/>
      <c r="AD695" s="76"/>
      <c r="AE695" s="76"/>
      <c r="AF695" s="76"/>
    </row>
    <row r="696">
      <c r="A696" s="76"/>
      <c r="B696" s="170"/>
      <c r="C696" s="76"/>
      <c r="D696" s="173"/>
      <c r="E696" s="173"/>
      <c r="F696" s="173"/>
      <c r="G696" s="175"/>
      <c r="H696" s="173"/>
      <c r="I696" s="173"/>
      <c r="J696" s="173"/>
      <c r="K696" s="173"/>
      <c r="L696" s="76"/>
      <c r="M696" s="76"/>
      <c r="N696" s="76"/>
      <c r="O696" s="76"/>
      <c r="P696" s="76"/>
      <c r="Q696" s="76"/>
      <c r="R696" s="76"/>
      <c r="S696" s="76"/>
      <c r="T696" s="76"/>
      <c r="U696" s="76"/>
      <c r="V696" s="76"/>
      <c r="W696" s="76"/>
      <c r="X696" s="76"/>
      <c r="Y696" s="76"/>
      <c r="Z696" s="76"/>
      <c r="AA696" s="76"/>
      <c r="AB696" s="76"/>
      <c r="AC696" s="76"/>
      <c r="AD696" s="76"/>
      <c r="AE696" s="76"/>
      <c r="AF696" s="76"/>
    </row>
    <row r="697">
      <c r="A697" s="76"/>
      <c r="B697" s="170"/>
      <c r="C697" s="76"/>
      <c r="D697" s="173"/>
      <c r="E697" s="173"/>
      <c r="F697" s="173"/>
      <c r="G697" s="175"/>
      <c r="H697" s="173"/>
      <c r="I697" s="173"/>
      <c r="J697" s="173"/>
      <c r="K697" s="173"/>
      <c r="L697" s="76"/>
      <c r="M697" s="76"/>
      <c r="N697" s="76"/>
      <c r="O697" s="76"/>
      <c r="P697" s="76"/>
      <c r="Q697" s="76"/>
      <c r="R697" s="76"/>
      <c r="S697" s="76"/>
      <c r="T697" s="76"/>
      <c r="U697" s="76"/>
      <c r="V697" s="76"/>
      <c r="W697" s="76"/>
      <c r="X697" s="76"/>
      <c r="Y697" s="76"/>
      <c r="Z697" s="76"/>
      <c r="AA697" s="76"/>
      <c r="AB697" s="76"/>
      <c r="AC697" s="76"/>
      <c r="AD697" s="76"/>
      <c r="AE697" s="76"/>
      <c r="AF697" s="76"/>
    </row>
    <row r="698">
      <c r="A698" s="76"/>
      <c r="B698" s="170"/>
      <c r="C698" s="76"/>
      <c r="D698" s="173"/>
      <c r="E698" s="173"/>
      <c r="F698" s="173"/>
      <c r="G698" s="175"/>
      <c r="H698" s="173"/>
      <c r="I698" s="173"/>
      <c r="J698" s="173"/>
      <c r="K698" s="173"/>
      <c r="L698" s="76"/>
      <c r="M698" s="76"/>
      <c r="N698" s="76"/>
      <c r="O698" s="76"/>
      <c r="P698" s="76"/>
      <c r="Q698" s="76"/>
      <c r="R698" s="76"/>
      <c r="S698" s="76"/>
      <c r="T698" s="76"/>
      <c r="U698" s="76"/>
      <c r="V698" s="76"/>
      <c r="W698" s="76"/>
      <c r="X698" s="76"/>
      <c r="Y698" s="76"/>
      <c r="Z698" s="76"/>
      <c r="AA698" s="76"/>
      <c r="AB698" s="76"/>
      <c r="AC698" s="76"/>
      <c r="AD698" s="76"/>
      <c r="AE698" s="76"/>
      <c r="AF698" s="76"/>
    </row>
    <row r="699">
      <c r="A699" s="76"/>
      <c r="B699" s="170"/>
      <c r="C699" s="76"/>
      <c r="D699" s="173"/>
      <c r="E699" s="173"/>
      <c r="F699" s="173"/>
      <c r="G699" s="175"/>
      <c r="H699" s="173"/>
      <c r="I699" s="173"/>
      <c r="J699" s="173"/>
      <c r="K699" s="173"/>
      <c r="L699" s="76"/>
      <c r="M699" s="76"/>
      <c r="N699" s="76"/>
      <c r="O699" s="76"/>
      <c r="P699" s="76"/>
      <c r="Q699" s="76"/>
      <c r="R699" s="76"/>
      <c r="S699" s="76"/>
      <c r="T699" s="76"/>
      <c r="U699" s="76"/>
      <c r="V699" s="76"/>
      <c r="W699" s="76"/>
      <c r="X699" s="76"/>
      <c r="Y699" s="76"/>
      <c r="Z699" s="76"/>
      <c r="AA699" s="76"/>
      <c r="AB699" s="76"/>
      <c r="AC699" s="76"/>
      <c r="AD699" s="76"/>
      <c r="AE699" s="76"/>
      <c r="AF699" s="76"/>
    </row>
    <row r="700">
      <c r="A700" s="76"/>
      <c r="B700" s="170"/>
      <c r="C700" s="76"/>
      <c r="D700" s="173"/>
      <c r="E700" s="173"/>
      <c r="F700" s="173"/>
      <c r="G700" s="175"/>
      <c r="H700" s="173"/>
      <c r="I700" s="173"/>
      <c r="J700" s="173"/>
      <c r="K700" s="173"/>
      <c r="L700" s="76"/>
      <c r="M700" s="76"/>
      <c r="N700" s="76"/>
      <c r="O700" s="76"/>
      <c r="P700" s="76"/>
      <c r="Q700" s="76"/>
      <c r="R700" s="76"/>
      <c r="S700" s="76"/>
      <c r="T700" s="76"/>
      <c r="U700" s="76"/>
      <c r="V700" s="76"/>
      <c r="W700" s="76"/>
      <c r="X700" s="76"/>
      <c r="Y700" s="76"/>
      <c r="Z700" s="76"/>
      <c r="AA700" s="76"/>
      <c r="AB700" s="76"/>
      <c r="AC700" s="76"/>
      <c r="AD700" s="76"/>
      <c r="AE700" s="76"/>
      <c r="AF700" s="76"/>
    </row>
    <row r="701">
      <c r="A701" s="76"/>
      <c r="B701" s="170"/>
      <c r="C701" s="76"/>
      <c r="D701" s="173"/>
      <c r="E701" s="173"/>
      <c r="F701" s="173"/>
      <c r="G701" s="175"/>
      <c r="H701" s="173"/>
      <c r="I701" s="173"/>
      <c r="J701" s="173"/>
      <c r="K701" s="173"/>
      <c r="L701" s="76"/>
      <c r="M701" s="76"/>
      <c r="N701" s="76"/>
      <c r="O701" s="76"/>
      <c r="P701" s="76"/>
      <c r="Q701" s="76"/>
      <c r="R701" s="76"/>
      <c r="S701" s="76"/>
      <c r="T701" s="76"/>
      <c r="U701" s="76"/>
      <c r="V701" s="76"/>
      <c r="W701" s="76"/>
      <c r="X701" s="76"/>
      <c r="Y701" s="76"/>
      <c r="Z701" s="76"/>
      <c r="AA701" s="76"/>
      <c r="AB701" s="76"/>
      <c r="AC701" s="76"/>
      <c r="AD701" s="76"/>
      <c r="AE701" s="76"/>
      <c r="AF701" s="76"/>
    </row>
    <row r="702">
      <c r="A702" s="76"/>
      <c r="B702" s="170"/>
      <c r="C702" s="76"/>
      <c r="D702" s="173"/>
      <c r="E702" s="173"/>
      <c r="F702" s="173"/>
      <c r="G702" s="175"/>
      <c r="H702" s="173"/>
      <c r="I702" s="173"/>
      <c r="J702" s="173"/>
      <c r="K702" s="173"/>
      <c r="L702" s="76"/>
      <c r="M702" s="76"/>
      <c r="N702" s="76"/>
      <c r="O702" s="76"/>
      <c r="P702" s="76"/>
      <c r="Q702" s="76"/>
      <c r="R702" s="76"/>
      <c r="S702" s="76"/>
      <c r="T702" s="76"/>
      <c r="U702" s="76"/>
      <c r="V702" s="76"/>
      <c r="W702" s="76"/>
      <c r="X702" s="76"/>
      <c r="Y702" s="76"/>
      <c r="Z702" s="76"/>
      <c r="AA702" s="76"/>
      <c r="AB702" s="76"/>
      <c r="AC702" s="76"/>
      <c r="AD702" s="76"/>
      <c r="AE702" s="76"/>
      <c r="AF702" s="76"/>
    </row>
    <row r="703">
      <c r="A703" s="76"/>
      <c r="B703" s="170"/>
      <c r="C703" s="76"/>
      <c r="D703" s="173"/>
      <c r="E703" s="173"/>
      <c r="F703" s="173"/>
      <c r="G703" s="175"/>
      <c r="H703" s="173"/>
      <c r="I703" s="173"/>
      <c r="J703" s="173"/>
      <c r="K703" s="173"/>
      <c r="L703" s="76"/>
      <c r="M703" s="76"/>
      <c r="N703" s="76"/>
      <c r="O703" s="76"/>
      <c r="P703" s="76"/>
      <c r="Q703" s="76"/>
      <c r="R703" s="76"/>
      <c r="S703" s="76"/>
      <c r="T703" s="76"/>
      <c r="U703" s="76"/>
      <c r="V703" s="76"/>
      <c r="W703" s="76"/>
      <c r="X703" s="76"/>
      <c r="Y703" s="76"/>
      <c r="Z703" s="76"/>
      <c r="AA703" s="76"/>
      <c r="AB703" s="76"/>
      <c r="AC703" s="76"/>
      <c r="AD703" s="76"/>
      <c r="AE703" s="76"/>
      <c r="AF703" s="76"/>
    </row>
    <row r="704">
      <c r="A704" s="76"/>
      <c r="B704" s="170"/>
      <c r="C704" s="76"/>
      <c r="D704" s="173"/>
      <c r="E704" s="173"/>
      <c r="F704" s="173"/>
      <c r="G704" s="175"/>
      <c r="H704" s="173"/>
      <c r="I704" s="173"/>
      <c r="J704" s="173"/>
      <c r="K704" s="173"/>
      <c r="L704" s="76"/>
      <c r="M704" s="76"/>
      <c r="N704" s="76"/>
      <c r="O704" s="76"/>
      <c r="P704" s="76"/>
      <c r="Q704" s="76"/>
      <c r="R704" s="76"/>
      <c r="S704" s="76"/>
      <c r="T704" s="76"/>
      <c r="U704" s="76"/>
      <c r="V704" s="76"/>
      <c r="W704" s="76"/>
      <c r="X704" s="76"/>
      <c r="Y704" s="76"/>
      <c r="Z704" s="76"/>
      <c r="AA704" s="76"/>
      <c r="AB704" s="76"/>
      <c r="AC704" s="76"/>
      <c r="AD704" s="76"/>
      <c r="AE704" s="76"/>
      <c r="AF704" s="76"/>
    </row>
    <row r="705">
      <c r="A705" s="76"/>
      <c r="B705" s="170"/>
      <c r="C705" s="76"/>
      <c r="D705" s="173"/>
      <c r="E705" s="173"/>
      <c r="F705" s="173"/>
      <c r="G705" s="175"/>
      <c r="H705" s="173"/>
      <c r="I705" s="173"/>
      <c r="J705" s="173"/>
      <c r="K705" s="173"/>
      <c r="L705" s="76"/>
      <c r="M705" s="76"/>
      <c r="N705" s="76"/>
      <c r="O705" s="76"/>
      <c r="P705" s="76"/>
      <c r="Q705" s="76"/>
      <c r="R705" s="76"/>
      <c r="S705" s="76"/>
      <c r="T705" s="76"/>
      <c r="U705" s="76"/>
      <c r="V705" s="76"/>
      <c r="W705" s="76"/>
      <c r="X705" s="76"/>
      <c r="Y705" s="76"/>
      <c r="Z705" s="76"/>
      <c r="AA705" s="76"/>
      <c r="AB705" s="76"/>
      <c r="AC705" s="76"/>
      <c r="AD705" s="76"/>
      <c r="AE705" s="76"/>
      <c r="AF705" s="76"/>
    </row>
    <row r="706">
      <c r="A706" s="76"/>
      <c r="B706" s="170"/>
      <c r="C706" s="76"/>
      <c r="D706" s="173"/>
      <c r="E706" s="173"/>
      <c r="F706" s="173"/>
      <c r="G706" s="175"/>
      <c r="H706" s="173"/>
      <c r="I706" s="173"/>
      <c r="J706" s="173"/>
      <c r="K706" s="173"/>
      <c r="L706" s="76"/>
      <c r="M706" s="76"/>
      <c r="N706" s="76"/>
      <c r="O706" s="76"/>
      <c r="P706" s="76"/>
      <c r="Q706" s="76"/>
      <c r="R706" s="76"/>
      <c r="S706" s="76"/>
      <c r="T706" s="76"/>
      <c r="U706" s="76"/>
      <c r="V706" s="76"/>
      <c r="W706" s="76"/>
      <c r="X706" s="76"/>
      <c r="Y706" s="76"/>
      <c r="Z706" s="76"/>
      <c r="AA706" s="76"/>
      <c r="AB706" s="76"/>
      <c r="AC706" s="76"/>
      <c r="AD706" s="76"/>
      <c r="AE706" s="76"/>
      <c r="AF706" s="76"/>
    </row>
    <row r="707">
      <c r="A707" s="76"/>
      <c r="B707" s="170"/>
      <c r="C707" s="76"/>
      <c r="D707" s="173"/>
      <c r="E707" s="173"/>
      <c r="F707" s="173"/>
      <c r="G707" s="175"/>
      <c r="H707" s="173"/>
      <c r="I707" s="173"/>
      <c r="J707" s="173"/>
      <c r="K707" s="173"/>
      <c r="L707" s="76"/>
      <c r="M707" s="76"/>
      <c r="N707" s="76"/>
      <c r="O707" s="76"/>
      <c r="P707" s="76"/>
      <c r="Q707" s="76"/>
      <c r="R707" s="76"/>
      <c r="S707" s="76"/>
      <c r="T707" s="76"/>
      <c r="U707" s="76"/>
      <c r="V707" s="76"/>
      <c r="W707" s="76"/>
      <c r="X707" s="76"/>
      <c r="Y707" s="76"/>
      <c r="Z707" s="76"/>
      <c r="AA707" s="76"/>
      <c r="AB707" s="76"/>
      <c r="AC707" s="76"/>
      <c r="AD707" s="76"/>
      <c r="AE707" s="76"/>
      <c r="AF707" s="76"/>
    </row>
    <row r="708">
      <c r="A708" s="76"/>
      <c r="B708" s="170"/>
      <c r="C708" s="76"/>
      <c r="D708" s="173"/>
      <c r="E708" s="173"/>
      <c r="F708" s="173"/>
      <c r="G708" s="175"/>
      <c r="H708" s="173"/>
      <c r="I708" s="173"/>
      <c r="J708" s="173"/>
      <c r="K708" s="173"/>
      <c r="L708" s="76"/>
      <c r="M708" s="76"/>
      <c r="N708" s="76"/>
      <c r="O708" s="76"/>
      <c r="P708" s="76"/>
      <c r="Q708" s="76"/>
      <c r="R708" s="76"/>
      <c r="S708" s="76"/>
      <c r="T708" s="76"/>
      <c r="U708" s="76"/>
      <c r="V708" s="76"/>
      <c r="W708" s="76"/>
      <c r="X708" s="76"/>
      <c r="Y708" s="76"/>
      <c r="Z708" s="76"/>
      <c r="AA708" s="76"/>
      <c r="AB708" s="76"/>
      <c r="AC708" s="76"/>
      <c r="AD708" s="76"/>
      <c r="AE708" s="76"/>
      <c r="AF708" s="76"/>
    </row>
    <row r="709">
      <c r="A709" s="76"/>
      <c r="B709" s="170"/>
      <c r="C709" s="76"/>
      <c r="D709" s="173"/>
      <c r="E709" s="173"/>
      <c r="F709" s="173"/>
      <c r="G709" s="175"/>
      <c r="H709" s="173"/>
      <c r="I709" s="173"/>
      <c r="J709" s="173"/>
      <c r="K709" s="173"/>
      <c r="L709" s="76"/>
      <c r="M709" s="76"/>
      <c r="N709" s="76"/>
      <c r="O709" s="76"/>
      <c r="P709" s="76"/>
      <c r="Q709" s="76"/>
      <c r="R709" s="76"/>
      <c r="S709" s="76"/>
      <c r="T709" s="76"/>
      <c r="U709" s="76"/>
      <c r="V709" s="76"/>
      <c r="W709" s="76"/>
      <c r="X709" s="76"/>
      <c r="Y709" s="76"/>
      <c r="Z709" s="76"/>
      <c r="AA709" s="76"/>
      <c r="AB709" s="76"/>
      <c r="AC709" s="76"/>
      <c r="AD709" s="76"/>
      <c r="AE709" s="76"/>
      <c r="AF709" s="76"/>
    </row>
    <row r="710">
      <c r="A710" s="76"/>
      <c r="B710" s="170"/>
      <c r="C710" s="76"/>
      <c r="D710" s="173"/>
      <c r="E710" s="173"/>
      <c r="F710" s="173"/>
      <c r="G710" s="175"/>
      <c r="H710" s="173"/>
      <c r="I710" s="173"/>
      <c r="J710" s="173"/>
      <c r="K710" s="173"/>
      <c r="L710" s="76"/>
      <c r="M710" s="76"/>
      <c r="N710" s="76"/>
      <c r="O710" s="76"/>
      <c r="P710" s="76"/>
      <c r="Q710" s="76"/>
      <c r="R710" s="76"/>
      <c r="S710" s="76"/>
      <c r="T710" s="76"/>
      <c r="U710" s="76"/>
      <c r="V710" s="76"/>
      <c r="W710" s="76"/>
      <c r="X710" s="76"/>
      <c r="Y710" s="76"/>
      <c r="Z710" s="76"/>
      <c r="AA710" s="76"/>
      <c r="AB710" s="76"/>
      <c r="AC710" s="76"/>
      <c r="AD710" s="76"/>
      <c r="AE710" s="76"/>
      <c r="AF710" s="76"/>
    </row>
    <row r="711">
      <c r="A711" s="76"/>
      <c r="B711" s="170"/>
      <c r="C711" s="76"/>
      <c r="D711" s="173"/>
      <c r="E711" s="173"/>
      <c r="F711" s="173"/>
      <c r="G711" s="175"/>
      <c r="H711" s="173"/>
      <c r="I711" s="173"/>
      <c r="J711" s="173"/>
      <c r="K711" s="173"/>
      <c r="L711" s="76"/>
      <c r="M711" s="76"/>
      <c r="N711" s="76"/>
      <c r="O711" s="76"/>
      <c r="P711" s="76"/>
      <c r="Q711" s="76"/>
      <c r="R711" s="76"/>
      <c r="S711" s="76"/>
      <c r="T711" s="76"/>
      <c r="U711" s="76"/>
      <c r="V711" s="76"/>
      <c r="W711" s="76"/>
      <c r="X711" s="76"/>
      <c r="Y711" s="76"/>
      <c r="Z711" s="76"/>
      <c r="AA711" s="76"/>
      <c r="AB711" s="76"/>
      <c r="AC711" s="76"/>
      <c r="AD711" s="76"/>
      <c r="AE711" s="76"/>
      <c r="AF711" s="76"/>
    </row>
    <row r="712">
      <c r="A712" s="76"/>
      <c r="B712" s="170"/>
      <c r="C712" s="76"/>
      <c r="D712" s="173"/>
      <c r="E712" s="173"/>
      <c r="F712" s="173"/>
      <c r="G712" s="175"/>
      <c r="H712" s="173"/>
      <c r="I712" s="173"/>
      <c r="J712" s="173"/>
      <c r="K712" s="173"/>
      <c r="L712" s="76"/>
      <c r="M712" s="76"/>
      <c r="N712" s="76"/>
      <c r="O712" s="76"/>
      <c r="P712" s="76"/>
      <c r="Q712" s="76"/>
      <c r="R712" s="76"/>
      <c r="S712" s="76"/>
      <c r="T712" s="76"/>
      <c r="U712" s="76"/>
      <c r="V712" s="76"/>
      <c r="W712" s="76"/>
      <c r="X712" s="76"/>
      <c r="Y712" s="76"/>
      <c r="Z712" s="76"/>
      <c r="AA712" s="76"/>
      <c r="AB712" s="76"/>
      <c r="AC712" s="76"/>
      <c r="AD712" s="76"/>
      <c r="AE712" s="76"/>
      <c r="AF712" s="76"/>
    </row>
    <row r="713">
      <c r="A713" s="76"/>
      <c r="B713" s="170"/>
      <c r="C713" s="76"/>
      <c r="D713" s="173"/>
      <c r="E713" s="173"/>
      <c r="F713" s="173"/>
      <c r="G713" s="175"/>
      <c r="H713" s="173"/>
      <c r="I713" s="173"/>
      <c r="J713" s="173"/>
      <c r="K713" s="173"/>
      <c r="L713" s="76"/>
      <c r="M713" s="76"/>
      <c r="N713" s="76"/>
      <c r="O713" s="76"/>
      <c r="P713" s="76"/>
      <c r="Q713" s="76"/>
      <c r="R713" s="76"/>
      <c r="S713" s="76"/>
      <c r="T713" s="76"/>
      <c r="U713" s="76"/>
      <c r="V713" s="76"/>
      <c r="W713" s="76"/>
      <c r="X713" s="76"/>
      <c r="Y713" s="76"/>
      <c r="Z713" s="76"/>
      <c r="AA713" s="76"/>
      <c r="AB713" s="76"/>
      <c r="AC713" s="76"/>
      <c r="AD713" s="76"/>
      <c r="AE713" s="76"/>
      <c r="AF713" s="76"/>
    </row>
    <row r="714">
      <c r="A714" s="76"/>
      <c r="B714" s="170"/>
      <c r="C714" s="76"/>
      <c r="D714" s="173"/>
      <c r="E714" s="173"/>
      <c r="F714" s="173"/>
      <c r="G714" s="175"/>
      <c r="H714" s="173"/>
      <c r="I714" s="173"/>
      <c r="J714" s="173"/>
      <c r="K714" s="173"/>
      <c r="L714" s="76"/>
      <c r="M714" s="76"/>
      <c r="N714" s="76"/>
      <c r="O714" s="76"/>
      <c r="P714" s="76"/>
      <c r="Q714" s="76"/>
      <c r="R714" s="76"/>
      <c r="S714" s="76"/>
      <c r="T714" s="76"/>
      <c r="U714" s="76"/>
      <c r="V714" s="76"/>
      <c r="W714" s="76"/>
      <c r="X714" s="76"/>
      <c r="Y714" s="76"/>
      <c r="Z714" s="76"/>
      <c r="AA714" s="76"/>
      <c r="AB714" s="76"/>
      <c r="AC714" s="76"/>
      <c r="AD714" s="76"/>
      <c r="AE714" s="76"/>
      <c r="AF714" s="76"/>
    </row>
    <row r="715">
      <c r="A715" s="76"/>
      <c r="B715" s="170"/>
      <c r="C715" s="76"/>
      <c r="D715" s="173"/>
      <c r="E715" s="173"/>
      <c r="F715" s="173"/>
      <c r="G715" s="175"/>
      <c r="H715" s="173"/>
      <c r="I715" s="173"/>
      <c r="J715" s="173"/>
      <c r="K715" s="173"/>
      <c r="L715" s="76"/>
      <c r="M715" s="76"/>
      <c r="N715" s="76"/>
      <c r="O715" s="76"/>
      <c r="P715" s="76"/>
      <c r="Q715" s="76"/>
      <c r="R715" s="76"/>
      <c r="S715" s="76"/>
      <c r="T715" s="76"/>
      <c r="U715" s="76"/>
      <c r="V715" s="76"/>
      <c r="W715" s="76"/>
      <c r="X715" s="76"/>
      <c r="Y715" s="76"/>
      <c r="Z715" s="76"/>
      <c r="AA715" s="76"/>
      <c r="AB715" s="76"/>
      <c r="AC715" s="76"/>
      <c r="AD715" s="76"/>
      <c r="AE715" s="76"/>
      <c r="AF715" s="76"/>
    </row>
    <row r="716">
      <c r="A716" s="76"/>
      <c r="B716" s="170"/>
      <c r="C716" s="76"/>
      <c r="D716" s="173"/>
      <c r="E716" s="173"/>
      <c r="F716" s="173"/>
      <c r="G716" s="175"/>
      <c r="H716" s="173"/>
      <c r="I716" s="173"/>
      <c r="J716" s="173"/>
      <c r="K716" s="173"/>
      <c r="L716" s="76"/>
      <c r="M716" s="76"/>
      <c r="N716" s="76"/>
      <c r="O716" s="76"/>
      <c r="P716" s="76"/>
      <c r="Q716" s="76"/>
      <c r="R716" s="76"/>
      <c r="S716" s="76"/>
      <c r="T716" s="76"/>
      <c r="U716" s="76"/>
      <c r="V716" s="76"/>
      <c r="W716" s="76"/>
      <c r="X716" s="76"/>
      <c r="Y716" s="76"/>
      <c r="Z716" s="76"/>
      <c r="AA716" s="76"/>
      <c r="AB716" s="76"/>
      <c r="AC716" s="76"/>
      <c r="AD716" s="76"/>
      <c r="AE716" s="76"/>
      <c r="AF716" s="76"/>
    </row>
    <row r="717">
      <c r="A717" s="76"/>
      <c r="B717" s="170"/>
      <c r="C717" s="76"/>
      <c r="D717" s="173"/>
      <c r="E717" s="173"/>
      <c r="F717" s="173"/>
      <c r="G717" s="175"/>
      <c r="H717" s="173"/>
      <c r="I717" s="173"/>
      <c r="J717" s="173"/>
      <c r="K717" s="173"/>
      <c r="L717" s="76"/>
      <c r="M717" s="76"/>
      <c r="N717" s="76"/>
      <c r="O717" s="76"/>
      <c r="P717" s="76"/>
      <c r="Q717" s="76"/>
      <c r="R717" s="76"/>
      <c r="S717" s="76"/>
      <c r="T717" s="76"/>
      <c r="U717" s="76"/>
      <c r="V717" s="76"/>
      <c r="W717" s="76"/>
      <c r="X717" s="76"/>
      <c r="Y717" s="76"/>
      <c r="Z717" s="76"/>
      <c r="AA717" s="76"/>
      <c r="AB717" s="76"/>
      <c r="AC717" s="76"/>
      <c r="AD717" s="76"/>
      <c r="AE717" s="76"/>
      <c r="AF717" s="76"/>
    </row>
    <row r="718">
      <c r="A718" s="76"/>
      <c r="B718" s="170"/>
      <c r="C718" s="76"/>
      <c r="D718" s="173"/>
      <c r="E718" s="173"/>
      <c r="F718" s="173"/>
      <c r="G718" s="175"/>
      <c r="H718" s="173"/>
      <c r="I718" s="173"/>
      <c r="J718" s="173"/>
      <c r="K718" s="173"/>
      <c r="L718" s="76"/>
      <c r="M718" s="76"/>
      <c r="N718" s="76"/>
      <c r="O718" s="76"/>
      <c r="P718" s="76"/>
      <c r="Q718" s="76"/>
      <c r="R718" s="76"/>
      <c r="S718" s="76"/>
      <c r="T718" s="76"/>
      <c r="U718" s="76"/>
      <c r="V718" s="76"/>
      <c r="W718" s="76"/>
      <c r="X718" s="76"/>
      <c r="Y718" s="76"/>
      <c r="Z718" s="76"/>
      <c r="AA718" s="76"/>
      <c r="AB718" s="76"/>
      <c r="AC718" s="76"/>
      <c r="AD718" s="76"/>
      <c r="AE718" s="76"/>
      <c r="AF718" s="76"/>
    </row>
    <row r="719">
      <c r="A719" s="76"/>
      <c r="B719" s="170"/>
      <c r="C719" s="76"/>
      <c r="D719" s="173"/>
      <c r="E719" s="173"/>
      <c r="F719" s="173"/>
      <c r="G719" s="175"/>
      <c r="H719" s="173"/>
      <c r="I719" s="173"/>
      <c r="J719" s="173"/>
      <c r="K719" s="173"/>
      <c r="L719" s="76"/>
      <c r="M719" s="76"/>
      <c r="N719" s="76"/>
      <c r="O719" s="76"/>
      <c r="P719" s="76"/>
      <c r="Q719" s="76"/>
      <c r="R719" s="76"/>
      <c r="S719" s="76"/>
      <c r="T719" s="76"/>
      <c r="U719" s="76"/>
      <c r="V719" s="76"/>
      <c r="W719" s="76"/>
      <c r="X719" s="76"/>
      <c r="Y719" s="76"/>
      <c r="Z719" s="76"/>
      <c r="AA719" s="76"/>
      <c r="AB719" s="76"/>
      <c r="AC719" s="76"/>
      <c r="AD719" s="76"/>
      <c r="AE719" s="76"/>
      <c r="AF719" s="76"/>
    </row>
    <row r="720">
      <c r="A720" s="76"/>
      <c r="B720" s="170"/>
      <c r="C720" s="76"/>
      <c r="D720" s="173"/>
      <c r="E720" s="173"/>
      <c r="F720" s="173"/>
      <c r="G720" s="175"/>
      <c r="H720" s="173"/>
      <c r="I720" s="173"/>
      <c r="J720" s="173"/>
      <c r="K720" s="173"/>
      <c r="L720" s="76"/>
      <c r="M720" s="76"/>
      <c r="N720" s="76"/>
      <c r="O720" s="76"/>
      <c r="P720" s="76"/>
      <c r="Q720" s="76"/>
      <c r="R720" s="76"/>
      <c r="S720" s="76"/>
      <c r="T720" s="76"/>
      <c r="U720" s="76"/>
      <c r="V720" s="76"/>
      <c r="W720" s="76"/>
      <c r="X720" s="76"/>
      <c r="Y720" s="76"/>
      <c r="Z720" s="76"/>
      <c r="AA720" s="76"/>
      <c r="AB720" s="76"/>
      <c r="AC720" s="76"/>
      <c r="AD720" s="76"/>
      <c r="AE720" s="76"/>
      <c r="AF720" s="76"/>
    </row>
    <row r="721">
      <c r="A721" s="76"/>
      <c r="B721" s="170"/>
      <c r="C721" s="76"/>
      <c r="D721" s="173"/>
      <c r="E721" s="173"/>
      <c r="F721" s="173"/>
      <c r="G721" s="175"/>
      <c r="H721" s="173"/>
      <c r="I721" s="173"/>
      <c r="J721" s="173"/>
      <c r="K721" s="173"/>
      <c r="L721" s="76"/>
      <c r="M721" s="76"/>
      <c r="N721" s="76"/>
      <c r="O721" s="76"/>
      <c r="P721" s="76"/>
      <c r="Q721" s="76"/>
      <c r="R721" s="76"/>
      <c r="S721" s="76"/>
      <c r="T721" s="76"/>
      <c r="U721" s="76"/>
      <c r="V721" s="76"/>
      <c r="W721" s="76"/>
      <c r="X721" s="76"/>
      <c r="Y721" s="76"/>
      <c r="Z721" s="76"/>
      <c r="AA721" s="76"/>
      <c r="AB721" s="76"/>
      <c r="AC721" s="76"/>
      <c r="AD721" s="76"/>
      <c r="AE721" s="76"/>
      <c r="AF721" s="76"/>
    </row>
    <row r="722">
      <c r="A722" s="76"/>
      <c r="B722" s="170"/>
      <c r="C722" s="76"/>
      <c r="D722" s="173"/>
      <c r="E722" s="173"/>
      <c r="F722" s="173"/>
      <c r="G722" s="175"/>
      <c r="H722" s="173"/>
      <c r="I722" s="173"/>
      <c r="J722" s="173"/>
      <c r="K722" s="173"/>
      <c r="L722" s="76"/>
      <c r="M722" s="76"/>
      <c r="N722" s="76"/>
      <c r="O722" s="76"/>
      <c r="P722" s="76"/>
      <c r="Q722" s="76"/>
      <c r="R722" s="76"/>
      <c r="S722" s="76"/>
      <c r="T722" s="76"/>
      <c r="U722" s="76"/>
      <c r="V722" s="76"/>
      <c r="W722" s="76"/>
      <c r="X722" s="76"/>
      <c r="Y722" s="76"/>
      <c r="Z722" s="76"/>
      <c r="AA722" s="76"/>
      <c r="AB722" s="76"/>
      <c r="AC722" s="76"/>
      <c r="AD722" s="76"/>
      <c r="AE722" s="76"/>
      <c r="AF722" s="76"/>
    </row>
    <row r="723">
      <c r="A723" s="76"/>
      <c r="B723" s="170"/>
      <c r="C723" s="76"/>
      <c r="D723" s="173"/>
      <c r="E723" s="173"/>
      <c r="F723" s="173"/>
      <c r="G723" s="175"/>
      <c r="H723" s="173"/>
      <c r="I723" s="173"/>
      <c r="J723" s="173"/>
      <c r="K723" s="173"/>
      <c r="L723" s="76"/>
      <c r="M723" s="76"/>
      <c r="N723" s="76"/>
      <c r="O723" s="76"/>
      <c r="P723" s="76"/>
      <c r="Q723" s="76"/>
      <c r="R723" s="76"/>
      <c r="S723" s="76"/>
      <c r="T723" s="76"/>
      <c r="U723" s="76"/>
      <c r="V723" s="76"/>
      <c r="W723" s="76"/>
      <c r="X723" s="76"/>
      <c r="Y723" s="76"/>
      <c r="Z723" s="76"/>
      <c r="AA723" s="76"/>
      <c r="AB723" s="76"/>
      <c r="AC723" s="76"/>
      <c r="AD723" s="76"/>
      <c r="AE723" s="76"/>
      <c r="AF723" s="76"/>
    </row>
    <row r="724">
      <c r="A724" s="76"/>
      <c r="B724" s="170"/>
      <c r="C724" s="76"/>
      <c r="D724" s="173"/>
      <c r="E724" s="173"/>
      <c r="F724" s="173"/>
      <c r="G724" s="175"/>
      <c r="H724" s="173"/>
      <c r="I724" s="173"/>
      <c r="J724" s="173"/>
      <c r="K724" s="173"/>
      <c r="L724" s="76"/>
      <c r="M724" s="76"/>
      <c r="N724" s="76"/>
      <c r="O724" s="76"/>
      <c r="P724" s="76"/>
      <c r="Q724" s="76"/>
      <c r="R724" s="76"/>
      <c r="S724" s="76"/>
      <c r="T724" s="76"/>
      <c r="U724" s="76"/>
      <c r="V724" s="76"/>
      <c r="W724" s="76"/>
      <c r="X724" s="76"/>
      <c r="Y724" s="76"/>
      <c r="Z724" s="76"/>
      <c r="AA724" s="76"/>
      <c r="AB724" s="76"/>
      <c r="AC724" s="76"/>
      <c r="AD724" s="76"/>
      <c r="AE724" s="76"/>
      <c r="AF724" s="76"/>
    </row>
    <row r="725">
      <c r="A725" s="76"/>
      <c r="B725" s="170"/>
      <c r="C725" s="76"/>
      <c r="D725" s="173"/>
      <c r="E725" s="173"/>
      <c r="F725" s="173"/>
      <c r="G725" s="175"/>
      <c r="H725" s="173"/>
      <c r="I725" s="173"/>
      <c r="J725" s="173"/>
      <c r="K725" s="173"/>
      <c r="L725" s="76"/>
      <c r="M725" s="76"/>
      <c r="N725" s="76"/>
      <c r="O725" s="76"/>
      <c r="P725" s="76"/>
      <c r="Q725" s="76"/>
      <c r="R725" s="76"/>
      <c r="S725" s="76"/>
      <c r="T725" s="76"/>
      <c r="U725" s="76"/>
      <c r="V725" s="76"/>
      <c r="W725" s="76"/>
      <c r="X725" s="76"/>
      <c r="Y725" s="76"/>
      <c r="Z725" s="76"/>
      <c r="AA725" s="76"/>
      <c r="AB725" s="76"/>
      <c r="AC725" s="76"/>
      <c r="AD725" s="76"/>
      <c r="AE725" s="76"/>
      <c r="AF725" s="76"/>
    </row>
    <row r="726">
      <c r="A726" s="76"/>
      <c r="B726" s="170"/>
      <c r="C726" s="76"/>
      <c r="D726" s="173"/>
      <c r="E726" s="173"/>
      <c r="F726" s="173"/>
      <c r="G726" s="175"/>
      <c r="H726" s="173"/>
      <c r="I726" s="173"/>
      <c r="J726" s="173"/>
      <c r="K726" s="173"/>
      <c r="L726" s="76"/>
      <c r="M726" s="76"/>
      <c r="N726" s="76"/>
      <c r="O726" s="76"/>
      <c r="P726" s="76"/>
      <c r="Q726" s="76"/>
      <c r="R726" s="76"/>
      <c r="S726" s="76"/>
      <c r="T726" s="76"/>
      <c r="U726" s="76"/>
      <c r="V726" s="76"/>
      <c r="W726" s="76"/>
      <c r="X726" s="76"/>
      <c r="Y726" s="76"/>
      <c r="Z726" s="76"/>
      <c r="AA726" s="76"/>
      <c r="AB726" s="76"/>
      <c r="AC726" s="76"/>
      <c r="AD726" s="76"/>
      <c r="AE726" s="76"/>
      <c r="AF726" s="76"/>
    </row>
    <row r="727">
      <c r="A727" s="76"/>
      <c r="B727" s="170"/>
      <c r="C727" s="76"/>
      <c r="D727" s="173"/>
      <c r="E727" s="173"/>
      <c r="F727" s="173"/>
      <c r="G727" s="175"/>
      <c r="H727" s="173"/>
      <c r="I727" s="173"/>
      <c r="J727" s="173"/>
      <c r="K727" s="173"/>
      <c r="L727" s="76"/>
      <c r="M727" s="76"/>
      <c r="N727" s="76"/>
      <c r="O727" s="76"/>
      <c r="P727" s="76"/>
      <c r="Q727" s="76"/>
      <c r="R727" s="76"/>
      <c r="S727" s="76"/>
      <c r="T727" s="76"/>
      <c r="U727" s="76"/>
      <c r="V727" s="76"/>
      <c r="W727" s="76"/>
      <c r="X727" s="76"/>
      <c r="Y727" s="76"/>
      <c r="Z727" s="76"/>
      <c r="AA727" s="76"/>
      <c r="AB727" s="76"/>
      <c r="AC727" s="76"/>
      <c r="AD727" s="76"/>
      <c r="AE727" s="76"/>
      <c r="AF727" s="76"/>
    </row>
    <row r="728">
      <c r="A728" s="76"/>
      <c r="B728" s="170"/>
      <c r="C728" s="76"/>
      <c r="D728" s="173"/>
      <c r="E728" s="173"/>
      <c r="F728" s="173"/>
      <c r="G728" s="175"/>
      <c r="H728" s="173"/>
      <c r="I728" s="173"/>
      <c r="J728" s="173"/>
      <c r="K728" s="173"/>
      <c r="L728" s="76"/>
      <c r="M728" s="76"/>
      <c r="N728" s="76"/>
      <c r="O728" s="76"/>
      <c r="P728" s="76"/>
      <c r="Q728" s="76"/>
      <c r="R728" s="76"/>
      <c r="S728" s="76"/>
      <c r="T728" s="76"/>
      <c r="U728" s="76"/>
      <c r="V728" s="76"/>
      <c r="W728" s="76"/>
      <c r="X728" s="76"/>
      <c r="Y728" s="76"/>
      <c r="Z728" s="76"/>
      <c r="AA728" s="76"/>
      <c r="AB728" s="76"/>
      <c r="AC728" s="76"/>
      <c r="AD728" s="76"/>
      <c r="AE728" s="76"/>
      <c r="AF728" s="76"/>
    </row>
    <row r="729">
      <c r="A729" s="76"/>
      <c r="B729" s="170"/>
      <c r="C729" s="76"/>
      <c r="D729" s="173"/>
      <c r="E729" s="173"/>
      <c r="F729" s="173"/>
      <c r="G729" s="175"/>
      <c r="H729" s="173"/>
      <c r="I729" s="173"/>
      <c r="J729" s="173"/>
      <c r="K729" s="173"/>
      <c r="L729" s="76"/>
      <c r="M729" s="76"/>
      <c r="N729" s="76"/>
      <c r="O729" s="76"/>
      <c r="P729" s="76"/>
      <c r="Q729" s="76"/>
      <c r="R729" s="76"/>
      <c r="S729" s="76"/>
      <c r="T729" s="76"/>
      <c r="U729" s="76"/>
      <c r="V729" s="76"/>
      <c r="W729" s="76"/>
      <c r="X729" s="76"/>
      <c r="Y729" s="76"/>
      <c r="Z729" s="76"/>
      <c r="AA729" s="76"/>
      <c r="AB729" s="76"/>
      <c r="AC729" s="76"/>
      <c r="AD729" s="76"/>
      <c r="AE729" s="76"/>
      <c r="AF729" s="76"/>
    </row>
    <row r="730">
      <c r="A730" s="76"/>
      <c r="B730" s="170"/>
      <c r="C730" s="76"/>
      <c r="D730" s="173"/>
      <c r="E730" s="173"/>
      <c r="F730" s="173"/>
      <c r="G730" s="175"/>
      <c r="H730" s="173"/>
      <c r="I730" s="173"/>
      <c r="J730" s="173"/>
      <c r="K730" s="173"/>
      <c r="L730" s="76"/>
      <c r="M730" s="76"/>
      <c r="N730" s="76"/>
      <c r="O730" s="76"/>
      <c r="P730" s="76"/>
      <c r="Q730" s="76"/>
      <c r="R730" s="76"/>
      <c r="S730" s="76"/>
      <c r="T730" s="76"/>
      <c r="U730" s="76"/>
      <c r="V730" s="76"/>
      <c r="W730" s="76"/>
      <c r="X730" s="76"/>
      <c r="Y730" s="76"/>
      <c r="Z730" s="76"/>
      <c r="AA730" s="76"/>
      <c r="AB730" s="76"/>
      <c r="AC730" s="76"/>
      <c r="AD730" s="76"/>
      <c r="AE730" s="76"/>
      <c r="AF730" s="76"/>
    </row>
    <row r="731">
      <c r="A731" s="76"/>
      <c r="B731" s="170"/>
      <c r="C731" s="76"/>
      <c r="D731" s="173"/>
      <c r="E731" s="173"/>
      <c r="F731" s="173"/>
      <c r="G731" s="175"/>
      <c r="H731" s="173"/>
      <c r="I731" s="173"/>
      <c r="J731" s="173"/>
      <c r="K731" s="173"/>
      <c r="L731" s="76"/>
      <c r="M731" s="76"/>
      <c r="N731" s="76"/>
      <c r="O731" s="76"/>
      <c r="P731" s="76"/>
      <c r="Q731" s="76"/>
      <c r="R731" s="76"/>
      <c r="S731" s="76"/>
      <c r="T731" s="76"/>
      <c r="U731" s="76"/>
      <c r="V731" s="76"/>
      <c r="W731" s="76"/>
      <c r="X731" s="76"/>
      <c r="Y731" s="76"/>
      <c r="Z731" s="76"/>
      <c r="AA731" s="76"/>
      <c r="AB731" s="76"/>
      <c r="AC731" s="76"/>
      <c r="AD731" s="76"/>
      <c r="AE731" s="76"/>
      <c r="AF731" s="76"/>
    </row>
    <row r="732">
      <c r="A732" s="76"/>
      <c r="B732" s="170"/>
      <c r="C732" s="76"/>
      <c r="D732" s="173"/>
      <c r="E732" s="173"/>
      <c r="F732" s="173"/>
      <c r="G732" s="175"/>
      <c r="H732" s="173"/>
      <c r="I732" s="173"/>
      <c r="J732" s="173"/>
      <c r="K732" s="173"/>
      <c r="L732" s="76"/>
      <c r="M732" s="76"/>
      <c r="N732" s="76"/>
      <c r="O732" s="76"/>
      <c r="P732" s="76"/>
      <c r="Q732" s="76"/>
      <c r="R732" s="76"/>
      <c r="S732" s="76"/>
      <c r="T732" s="76"/>
      <c r="U732" s="76"/>
      <c r="V732" s="76"/>
      <c r="W732" s="76"/>
      <c r="X732" s="76"/>
      <c r="Y732" s="76"/>
      <c r="Z732" s="76"/>
      <c r="AA732" s="76"/>
      <c r="AB732" s="76"/>
      <c r="AC732" s="76"/>
      <c r="AD732" s="76"/>
      <c r="AE732" s="76"/>
      <c r="AF732" s="76"/>
    </row>
    <row r="733">
      <c r="A733" s="76"/>
      <c r="B733" s="170"/>
      <c r="C733" s="76"/>
      <c r="D733" s="173"/>
      <c r="E733" s="173"/>
      <c r="F733" s="173"/>
      <c r="G733" s="175"/>
      <c r="H733" s="173"/>
      <c r="I733" s="173"/>
      <c r="J733" s="173"/>
      <c r="K733" s="173"/>
      <c r="L733" s="76"/>
      <c r="M733" s="76"/>
      <c r="N733" s="76"/>
      <c r="O733" s="76"/>
      <c r="P733" s="76"/>
      <c r="Q733" s="76"/>
      <c r="R733" s="76"/>
      <c r="S733" s="76"/>
      <c r="T733" s="76"/>
      <c r="U733" s="76"/>
      <c r="V733" s="76"/>
      <c r="W733" s="76"/>
      <c r="X733" s="76"/>
      <c r="Y733" s="76"/>
      <c r="Z733" s="76"/>
      <c r="AA733" s="76"/>
      <c r="AB733" s="76"/>
      <c r="AC733" s="76"/>
      <c r="AD733" s="76"/>
      <c r="AE733" s="76"/>
      <c r="AF733" s="76"/>
    </row>
    <row r="734">
      <c r="A734" s="76"/>
      <c r="B734" s="170"/>
      <c r="C734" s="76"/>
      <c r="D734" s="173"/>
      <c r="E734" s="173"/>
      <c r="F734" s="173"/>
      <c r="G734" s="175"/>
      <c r="H734" s="173"/>
      <c r="I734" s="173"/>
      <c r="J734" s="173"/>
      <c r="K734" s="173"/>
      <c r="L734" s="76"/>
      <c r="M734" s="76"/>
      <c r="N734" s="76"/>
      <c r="O734" s="76"/>
      <c r="P734" s="76"/>
      <c r="Q734" s="76"/>
      <c r="R734" s="76"/>
      <c r="S734" s="76"/>
      <c r="T734" s="76"/>
      <c r="U734" s="76"/>
      <c r="V734" s="76"/>
      <c r="W734" s="76"/>
      <c r="X734" s="76"/>
      <c r="Y734" s="76"/>
      <c r="Z734" s="76"/>
      <c r="AA734" s="76"/>
      <c r="AB734" s="76"/>
      <c r="AC734" s="76"/>
      <c r="AD734" s="76"/>
      <c r="AE734" s="76"/>
      <c r="AF734" s="76"/>
    </row>
    <row r="735">
      <c r="A735" s="76"/>
      <c r="B735" s="170"/>
      <c r="C735" s="76"/>
      <c r="D735" s="173"/>
      <c r="E735" s="173"/>
      <c r="F735" s="173"/>
      <c r="G735" s="175"/>
      <c r="H735" s="173"/>
      <c r="I735" s="173"/>
      <c r="J735" s="173"/>
      <c r="K735" s="173"/>
      <c r="L735" s="76"/>
      <c r="M735" s="76"/>
      <c r="N735" s="76"/>
      <c r="O735" s="76"/>
      <c r="P735" s="76"/>
      <c r="Q735" s="76"/>
      <c r="R735" s="76"/>
      <c r="S735" s="76"/>
      <c r="T735" s="76"/>
      <c r="U735" s="76"/>
      <c r="V735" s="76"/>
      <c r="W735" s="76"/>
      <c r="X735" s="76"/>
      <c r="Y735" s="76"/>
      <c r="Z735" s="76"/>
      <c r="AA735" s="76"/>
      <c r="AB735" s="76"/>
      <c r="AC735" s="76"/>
      <c r="AD735" s="76"/>
      <c r="AE735" s="76"/>
      <c r="AF735" s="76"/>
    </row>
    <row r="736">
      <c r="A736" s="76"/>
      <c r="B736" s="170"/>
      <c r="C736" s="76"/>
      <c r="D736" s="173"/>
      <c r="E736" s="173"/>
      <c r="F736" s="173"/>
      <c r="G736" s="175"/>
      <c r="H736" s="173"/>
      <c r="I736" s="173"/>
      <c r="J736" s="173"/>
      <c r="K736" s="173"/>
      <c r="L736" s="76"/>
      <c r="M736" s="76"/>
      <c r="N736" s="76"/>
      <c r="O736" s="76"/>
      <c r="P736" s="76"/>
      <c r="Q736" s="76"/>
      <c r="R736" s="76"/>
      <c r="S736" s="76"/>
      <c r="T736" s="76"/>
      <c r="U736" s="76"/>
      <c r="V736" s="76"/>
      <c r="W736" s="76"/>
      <c r="X736" s="76"/>
      <c r="Y736" s="76"/>
      <c r="Z736" s="76"/>
      <c r="AA736" s="76"/>
      <c r="AB736" s="76"/>
      <c r="AC736" s="76"/>
      <c r="AD736" s="76"/>
      <c r="AE736" s="76"/>
      <c r="AF736" s="76"/>
    </row>
    <row r="737">
      <c r="A737" s="76"/>
      <c r="B737" s="170"/>
      <c r="C737" s="76"/>
      <c r="D737" s="173"/>
      <c r="E737" s="173"/>
      <c r="F737" s="173"/>
      <c r="G737" s="175"/>
      <c r="H737" s="173"/>
      <c r="I737" s="173"/>
      <c r="J737" s="173"/>
      <c r="K737" s="173"/>
      <c r="L737" s="76"/>
      <c r="M737" s="76"/>
      <c r="N737" s="76"/>
      <c r="O737" s="76"/>
      <c r="P737" s="76"/>
      <c r="Q737" s="76"/>
      <c r="R737" s="76"/>
      <c r="S737" s="76"/>
      <c r="T737" s="76"/>
      <c r="U737" s="76"/>
      <c r="V737" s="76"/>
      <c r="W737" s="76"/>
      <c r="X737" s="76"/>
      <c r="Y737" s="76"/>
      <c r="Z737" s="76"/>
      <c r="AA737" s="76"/>
      <c r="AB737" s="76"/>
      <c r="AC737" s="76"/>
      <c r="AD737" s="76"/>
      <c r="AE737" s="76"/>
      <c r="AF737" s="76"/>
    </row>
    <row r="738">
      <c r="A738" s="76"/>
      <c r="B738" s="170"/>
      <c r="C738" s="76"/>
      <c r="D738" s="173"/>
      <c r="E738" s="173"/>
      <c r="F738" s="173"/>
      <c r="G738" s="175"/>
      <c r="H738" s="173"/>
      <c r="I738" s="173"/>
      <c r="J738" s="173"/>
      <c r="K738" s="173"/>
      <c r="L738" s="76"/>
      <c r="M738" s="76"/>
      <c r="N738" s="76"/>
      <c r="O738" s="76"/>
      <c r="P738" s="76"/>
      <c r="Q738" s="76"/>
      <c r="R738" s="76"/>
      <c r="S738" s="76"/>
      <c r="T738" s="76"/>
      <c r="U738" s="76"/>
      <c r="V738" s="76"/>
      <c r="W738" s="76"/>
      <c r="X738" s="76"/>
      <c r="Y738" s="76"/>
      <c r="Z738" s="76"/>
      <c r="AA738" s="76"/>
      <c r="AB738" s="76"/>
      <c r="AC738" s="76"/>
      <c r="AD738" s="76"/>
      <c r="AE738" s="76"/>
      <c r="AF738" s="76"/>
    </row>
    <row r="739">
      <c r="A739" s="76"/>
      <c r="B739" s="170"/>
      <c r="C739" s="76"/>
      <c r="D739" s="173"/>
      <c r="E739" s="173"/>
      <c r="F739" s="173"/>
      <c r="G739" s="175"/>
      <c r="H739" s="173"/>
      <c r="I739" s="173"/>
      <c r="J739" s="173"/>
      <c r="K739" s="173"/>
      <c r="L739" s="76"/>
      <c r="M739" s="76"/>
      <c r="N739" s="76"/>
      <c r="O739" s="76"/>
      <c r="P739" s="76"/>
      <c r="Q739" s="76"/>
      <c r="R739" s="76"/>
      <c r="S739" s="76"/>
      <c r="T739" s="76"/>
      <c r="U739" s="76"/>
      <c r="V739" s="76"/>
      <c r="W739" s="76"/>
      <c r="X739" s="76"/>
      <c r="Y739" s="76"/>
      <c r="Z739" s="76"/>
      <c r="AA739" s="76"/>
      <c r="AB739" s="76"/>
      <c r="AC739" s="76"/>
      <c r="AD739" s="76"/>
      <c r="AE739" s="76"/>
      <c r="AF739" s="76"/>
    </row>
    <row r="740">
      <c r="A740" s="76"/>
      <c r="B740" s="170"/>
      <c r="C740" s="76"/>
      <c r="D740" s="173"/>
      <c r="E740" s="173"/>
      <c r="F740" s="173"/>
      <c r="G740" s="175"/>
      <c r="H740" s="173"/>
      <c r="I740" s="173"/>
      <c r="J740" s="173"/>
      <c r="K740" s="173"/>
      <c r="L740" s="76"/>
      <c r="M740" s="76"/>
      <c r="N740" s="76"/>
      <c r="O740" s="76"/>
      <c r="P740" s="76"/>
      <c r="Q740" s="76"/>
      <c r="R740" s="76"/>
      <c r="S740" s="76"/>
      <c r="T740" s="76"/>
      <c r="U740" s="76"/>
      <c r="V740" s="76"/>
      <c r="W740" s="76"/>
      <c r="X740" s="76"/>
      <c r="Y740" s="76"/>
      <c r="Z740" s="76"/>
      <c r="AA740" s="76"/>
      <c r="AB740" s="76"/>
      <c r="AC740" s="76"/>
      <c r="AD740" s="76"/>
      <c r="AE740" s="76"/>
      <c r="AF740" s="76"/>
    </row>
    <row r="741">
      <c r="A741" s="76"/>
      <c r="B741" s="170"/>
      <c r="C741" s="76"/>
      <c r="D741" s="173"/>
      <c r="E741" s="173"/>
      <c r="F741" s="173"/>
      <c r="G741" s="175"/>
      <c r="H741" s="173"/>
      <c r="I741" s="173"/>
      <c r="J741" s="173"/>
      <c r="K741" s="173"/>
      <c r="L741" s="76"/>
      <c r="M741" s="76"/>
      <c r="N741" s="76"/>
      <c r="O741" s="76"/>
      <c r="P741" s="76"/>
      <c r="Q741" s="76"/>
      <c r="R741" s="76"/>
      <c r="S741" s="76"/>
      <c r="T741" s="76"/>
      <c r="U741" s="76"/>
      <c r="V741" s="76"/>
      <c r="W741" s="76"/>
      <c r="X741" s="76"/>
      <c r="Y741" s="76"/>
      <c r="Z741" s="76"/>
      <c r="AA741" s="76"/>
      <c r="AB741" s="76"/>
      <c r="AC741" s="76"/>
      <c r="AD741" s="76"/>
      <c r="AE741" s="76"/>
      <c r="AF741" s="76"/>
    </row>
    <row r="742">
      <c r="A742" s="76"/>
      <c r="B742" s="170"/>
      <c r="C742" s="76"/>
      <c r="D742" s="173"/>
      <c r="E742" s="173"/>
      <c r="F742" s="173"/>
      <c r="G742" s="175"/>
      <c r="H742" s="173"/>
      <c r="I742" s="173"/>
      <c r="J742" s="173"/>
      <c r="K742" s="173"/>
      <c r="L742" s="76"/>
      <c r="M742" s="76"/>
      <c r="N742" s="76"/>
      <c r="O742" s="76"/>
      <c r="P742" s="76"/>
      <c r="Q742" s="76"/>
      <c r="R742" s="76"/>
      <c r="S742" s="76"/>
      <c r="T742" s="76"/>
      <c r="U742" s="76"/>
      <c r="V742" s="76"/>
      <c r="W742" s="76"/>
      <c r="X742" s="76"/>
      <c r="Y742" s="76"/>
      <c r="Z742" s="76"/>
      <c r="AA742" s="76"/>
      <c r="AB742" s="76"/>
      <c r="AC742" s="76"/>
      <c r="AD742" s="76"/>
      <c r="AE742" s="76"/>
      <c r="AF742" s="76"/>
    </row>
    <row r="743">
      <c r="A743" s="76"/>
      <c r="B743" s="170"/>
      <c r="C743" s="76"/>
      <c r="D743" s="173"/>
      <c r="E743" s="173"/>
      <c r="F743" s="173"/>
      <c r="G743" s="175"/>
      <c r="H743" s="173"/>
      <c r="I743" s="173"/>
      <c r="J743" s="173"/>
      <c r="K743" s="173"/>
      <c r="L743" s="76"/>
      <c r="M743" s="76"/>
      <c r="N743" s="76"/>
      <c r="O743" s="76"/>
      <c r="P743" s="76"/>
      <c r="Q743" s="76"/>
      <c r="R743" s="76"/>
      <c r="S743" s="76"/>
      <c r="T743" s="76"/>
      <c r="U743" s="76"/>
      <c r="V743" s="76"/>
      <c r="W743" s="76"/>
      <c r="X743" s="76"/>
      <c r="Y743" s="76"/>
      <c r="Z743" s="76"/>
      <c r="AA743" s="76"/>
      <c r="AB743" s="76"/>
      <c r="AC743" s="76"/>
      <c r="AD743" s="76"/>
      <c r="AE743" s="76"/>
      <c r="AF743" s="76"/>
    </row>
    <row r="744">
      <c r="A744" s="76"/>
      <c r="B744" s="170"/>
      <c r="C744" s="76"/>
      <c r="D744" s="173"/>
      <c r="E744" s="173"/>
      <c r="F744" s="173"/>
      <c r="G744" s="175"/>
      <c r="H744" s="173"/>
      <c r="I744" s="173"/>
      <c r="J744" s="173"/>
      <c r="K744" s="173"/>
      <c r="L744" s="76"/>
      <c r="M744" s="76"/>
      <c r="N744" s="76"/>
      <c r="O744" s="76"/>
      <c r="P744" s="76"/>
      <c r="Q744" s="76"/>
      <c r="R744" s="76"/>
      <c r="S744" s="76"/>
      <c r="T744" s="76"/>
      <c r="U744" s="76"/>
      <c r="V744" s="76"/>
      <c r="W744" s="76"/>
      <c r="X744" s="76"/>
      <c r="Y744" s="76"/>
      <c r="Z744" s="76"/>
      <c r="AA744" s="76"/>
      <c r="AB744" s="76"/>
      <c r="AC744" s="76"/>
      <c r="AD744" s="76"/>
      <c r="AE744" s="76"/>
      <c r="AF744" s="76"/>
    </row>
    <row r="745">
      <c r="A745" s="76"/>
      <c r="B745" s="170"/>
      <c r="C745" s="76"/>
      <c r="D745" s="173"/>
      <c r="E745" s="173"/>
      <c r="F745" s="173"/>
      <c r="G745" s="175"/>
      <c r="H745" s="173"/>
      <c r="I745" s="173"/>
      <c r="J745" s="173"/>
      <c r="K745" s="173"/>
      <c r="L745" s="76"/>
      <c r="M745" s="76"/>
      <c r="N745" s="76"/>
      <c r="O745" s="76"/>
      <c r="P745" s="76"/>
      <c r="Q745" s="76"/>
      <c r="R745" s="76"/>
      <c r="S745" s="76"/>
      <c r="T745" s="76"/>
      <c r="U745" s="76"/>
      <c r="V745" s="76"/>
      <c r="W745" s="76"/>
      <c r="X745" s="76"/>
      <c r="Y745" s="76"/>
      <c r="Z745" s="76"/>
      <c r="AA745" s="76"/>
      <c r="AB745" s="76"/>
      <c r="AC745" s="76"/>
      <c r="AD745" s="76"/>
      <c r="AE745" s="76"/>
      <c r="AF745" s="76"/>
    </row>
    <row r="746">
      <c r="A746" s="76"/>
      <c r="B746" s="170"/>
      <c r="C746" s="76"/>
      <c r="D746" s="173"/>
      <c r="E746" s="173"/>
      <c r="F746" s="173"/>
      <c r="G746" s="175"/>
      <c r="H746" s="173"/>
      <c r="I746" s="173"/>
      <c r="J746" s="173"/>
      <c r="K746" s="173"/>
      <c r="L746" s="76"/>
      <c r="M746" s="76"/>
      <c r="N746" s="76"/>
      <c r="O746" s="76"/>
      <c r="P746" s="76"/>
      <c r="Q746" s="76"/>
      <c r="R746" s="76"/>
      <c r="S746" s="76"/>
      <c r="T746" s="76"/>
      <c r="U746" s="76"/>
      <c r="V746" s="76"/>
      <c r="W746" s="76"/>
      <c r="X746" s="76"/>
      <c r="Y746" s="76"/>
      <c r="Z746" s="76"/>
      <c r="AA746" s="76"/>
      <c r="AB746" s="76"/>
      <c r="AC746" s="76"/>
      <c r="AD746" s="76"/>
      <c r="AE746" s="76"/>
      <c r="AF746" s="76"/>
    </row>
    <row r="747">
      <c r="A747" s="76"/>
      <c r="B747" s="170"/>
      <c r="C747" s="76"/>
      <c r="D747" s="173"/>
      <c r="E747" s="173"/>
      <c r="F747" s="173"/>
      <c r="G747" s="175"/>
      <c r="H747" s="173"/>
      <c r="I747" s="173"/>
      <c r="J747" s="173"/>
      <c r="K747" s="173"/>
      <c r="L747" s="76"/>
      <c r="M747" s="76"/>
      <c r="N747" s="76"/>
      <c r="O747" s="76"/>
      <c r="P747" s="76"/>
      <c r="Q747" s="76"/>
      <c r="R747" s="76"/>
      <c r="S747" s="76"/>
      <c r="T747" s="76"/>
      <c r="U747" s="76"/>
      <c r="V747" s="76"/>
      <c r="W747" s="76"/>
      <c r="X747" s="76"/>
      <c r="Y747" s="76"/>
      <c r="Z747" s="76"/>
      <c r="AA747" s="76"/>
      <c r="AB747" s="76"/>
      <c r="AC747" s="76"/>
      <c r="AD747" s="76"/>
      <c r="AE747" s="76"/>
      <c r="AF747" s="76"/>
    </row>
    <row r="748">
      <c r="A748" s="76"/>
      <c r="B748" s="170"/>
      <c r="C748" s="76"/>
      <c r="D748" s="173"/>
      <c r="E748" s="173"/>
      <c r="F748" s="173"/>
      <c r="G748" s="175"/>
      <c r="H748" s="173"/>
      <c r="I748" s="173"/>
      <c r="J748" s="173"/>
      <c r="K748" s="173"/>
      <c r="L748" s="76"/>
      <c r="M748" s="76"/>
      <c r="N748" s="76"/>
      <c r="O748" s="76"/>
      <c r="P748" s="76"/>
      <c r="Q748" s="76"/>
      <c r="R748" s="76"/>
      <c r="S748" s="76"/>
      <c r="T748" s="76"/>
      <c r="U748" s="76"/>
      <c r="V748" s="76"/>
      <c r="W748" s="76"/>
      <c r="X748" s="76"/>
      <c r="Y748" s="76"/>
      <c r="Z748" s="76"/>
      <c r="AA748" s="76"/>
      <c r="AB748" s="76"/>
      <c r="AC748" s="76"/>
      <c r="AD748" s="76"/>
      <c r="AE748" s="76"/>
      <c r="AF748" s="76"/>
    </row>
    <row r="749">
      <c r="A749" s="76"/>
      <c r="B749" s="170"/>
      <c r="C749" s="76"/>
      <c r="D749" s="173"/>
      <c r="E749" s="173"/>
      <c r="F749" s="173"/>
      <c r="G749" s="175"/>
      <c r="H749" s="173"/>
      <c r="I749" s="173"/>
      <c r="J749" s="173"/>
      <c r="K749" s="173"/>
      <c r="L749" s="76"/>
      <c r="M749" s="76"/>
      <c r="N749" s="76"/>
      <c r="O749" s="76"/>
      <c r="P749" s="76"/>
      <c r="Q749" s="76"/>
      <c r="R749" s="76"/>
      <c r="S749" s="76"/>
      <c r="T749" s="76"/>
      <c r="U749" s="76"/>
      <c r="V749" s="76"/>
      <c r="W749" s="76"/>
      <c r="X749" s="76"/>
      <c r="Y749" s="76"/>
      <c r="Z749" s="76"/>
      <c r="AA749" s="76"/>
      <c r="AB749" s="76"/>
      <c r="AC749" s="76"/>
      <c r="AD749" s="76"/>
      <c r="AE749" s="76"/>
      <c r="AF749" s="76"/>
    </row>
    <row r="750">
      <c r="A750" s="76"/>
      <c r="B750" s="170"/>
      <c r="C750" s="76"/>
      <c r="D750" s="173"/>
      <c r="E750" s="173"/>
      <c r="F750" s="173"/>
      <c r="G750" s="175"/>
      <c r="H750" s="173"/>
      <c r="I750" s="173"/>
      <c r="J750" s="173"/>
      <c r="K750" s="173"/>
      <c r="L750" s="76"/>
      <c r="M750" s="76"/>
      <c r="N750" s="76"/>
      <c r="O750" s="76"/>
      <c r="P750" s="76"/>
      <c r="Q750" s="76"/>
      <c r="R750" s="76"/>
      <c r="S750" s="76"/>
      <c r="T750" s="76"/>
      <c r="U750" s="76"/>
      <c r="V750" s="76"/>
      <c r="W750" s="76"/>
      <c r="X750" s="76"/>
      <c r="Y750" s="76"/>
      <c r="Z750" s="76"/>
      <c r="AA750" s="76"/>
      <c r="AB750" s="76"/>
      <c r="AC750" s="76"/>
      <c r="AD750" s="76"/>
      <c r="AE750" s="76"/>
      <c r="AF750" s="76"/>
    </row>
    <row r="751">
      <c r="A751" s="76"/>
      <c r="B751" s="170"/>
      <c r="C751" s="76"/>
      <c r="D751" s="173"/>
      <c r="E751" s="173"/>
      <c r="F751" s="173"/>
      <c r="G751" s="175"/>
      <c r="H751" s="173"/>
      <c r="I751" s="173"/>
      <c r="J751" s="173"/>
      <c r="K751" s="173"/>
      <c r="L751" s="76"/>
      <c r="M751" s="76"/>
      <c r="N751" s="76"/>
      <c r="O751" s="76"/>
      <c r="P751" s="76"/>
      <c r="Q751" s="76"/>
      <c r="R751" s="76"/>
      <c r="S751" s="76"/>
      <c r="T751" s="76"/>
      <c r="U751" s="76"/>
      <c r="V751" s="76"/>
      <c r="W751" s="76"/>
      <c r="X751" s="76"/>
      <c r="Y751" s="76"/>
      <c r="Z751" s="76"/>
      <c r="AA751" s="76"/>
      <c r="AB751" s="76"/>
      <c r="AC751" s="76"/>
      <c r="AD751" s="76"/>
      <c r="AE751" s="76"/>
      <c r="AF751" s="76"/>
    </row>
    <row r="752">
      <c r="A752" s="76"/>
      <c r="B752" s="170"/>
      <c r="C752" s="76"/>
      <c r="D752" s="173"/>
      <c r="E752" s="173"/>
      <c r="F752" s="173"/>
      <c r="G752" s="175"/>
      <c r="H752" s="173"/>
      <c r="I752" s="173"/>
      <c r="J752" s="173"/>
      <c r="K752" s="173"/>
      <c r="L752" s="76"/>
      <c r="M752" s="76"/>
      <c r="N752" s="76"/>
      <c r="O752" s="76"/>
      <c r="P752" s="76"/>
      <c r="Q752" s="76"/>
      <c r="R752" s="76"/>
      <c r="S752" s="76"/>
      <c r="T752" s="76"/>
      <c r="U752" s="76"/>
      <c r="V752" s="76"/>
      <c r="W752" s="76"/>
      <c r="X752" s="76"/>
      <c r="Y752" s="76"/>
      <c r="Z752" s="76"/>
      <c r="AA752" s="76"/>
      <c r="AB752" s="76"/>
      <c r="AC752" s="76"/>
      <c r="AD752" s="76"/>
      <c r="AE752" s="76"/>
      <c r="AF752" s="76"/>
    </row>
    <row r="753">
      <c r="A753" s="76"/>
      <c r="B753" s="170"/>
      <c r="C753" s="76"/>
      <c r="D753" s="173"/>
      <c r="E753" s="173"/>
      <c r="F753" s="173"/>
      <c r="G753" s="175"/>
      <c r="H753" s="173"/>
      <c r="I753" s="173"/>
      <c r="J753" s="173"/>
      <c r="K753" s="173"/>
      <c r="L753" s="76"/>
      <c r="M753" s="76"/>
      <c r="N753" s="76"/>
      <c r="O753" s="76"/>
      <c r="P753" s="76"/>
      <c r="Q753" s="76"/>
      <c r="R753" s="76"/>
      <c r="S753" s="76"/>
      <c r="T753" s="76"/>
      <c r="U753" s="76"/>
      <c r="V753" s="76"/>
      <c r="W753" s="76"/>
      <c r="X753" s="76"/>
      <c r="Y753" s="76"/>
      <c r="Z753" s="76"/>
      <c r="AA753" s="76"/>
      <c r="AB753" s="76"/>
      <c r="AC753" s="76"/>
      <c r="AD753" s="76"/>
      <c r="AE753" s="76"/>
      <c r="AF753" s="76"/>
    </row>
    <row r="754">
      <c r="A754" s="76"/>
      <c r="B754" s="170"/>
      <c r="C754" s="76"/>
      <c r="D754" s="173"/>
      <c r="E754" s="173"/>
      <c r="F754" s="173"/>
      <c r="G754" s="175"/>
      <c r="H754" s="173"/>
      <c r="I754" s="173"/>
      <c r="J754" s="173"/>
      <c r="K754" s="173"/>
      <c r="L754" s="76"/>
      <c r="M754" s="76"/>
      <c r="N754" s="76"/>
      <c r="O754" s="76"/>
      <c r="P754" s="76"/>
      <c r="Q754" s="76"/>
      <c r="R754" s="76"/>
      <c r="S754" s="76"/>
      <c r="T754" s="76"/>
      <c r="U754" s="76"/>
      <c r="V754" s="76"/>
      <c r="W754" s="76"/>
      <c r="X754" s="76"/>
      <c r="Y754" s="76"/>
      <c r="Z754" s="76"/>
      <c r="AA754" s="76"/>
      <c r="AB754" s="76"/>
      <c r="AC754" s="76"/>
      <c r="AD754" s="76"/>
      <c r="AE754" s="76"/>
      <c r="AF754" s="76"/>
    </row>
    <row r="755">
      <c r="A755" s="76"/>
      <c r="B755" s="170"/>
      <c r="C755" s="76"/>
      <c r="D755" s="173"/>
      <c r="E755" s="173"/>
      <c r="F755" s="173"/>
      <c r="G755" s="175"/>
      <c r="H755" s="173"/>
      <c r="I755" s="173"/>
      <c r="J755" s="173"/>
      <c r="K755" s="173"/>
      <c r="L755" s="76"/>
      <c r="M755" s="76"/>
      <c r="N755" s="76"/>
      <c r="O755" s="76"/>
      <c r="P755" s="76"/>
      <c r="Q755" s="76"/>
      <c r="R755" s="76"/>
      <c r="S755" s="76"/>
      <c r="T755" s="76"/>
      <c r="U755" s="76"/>
      <c r="V755" s="76"/>
      <c r="W755" s="76"/>
      <c r="X755" s="76"/>
      <c r="Y755" s="76"/>
      <c r="Z755" s="76"/>
      <c r="AA755" s="76"/>
      <c r="AB755" s="76"/>
      <c r="AC755" s="76"/>
      <c r="AD755" s="76"/>
      <c r="AE755" s="76"/>
      <c r="AF755" s="76"/>
    </row>
    <row r="756">
      <c r="A756" s="76"/>
      <c r="B756" s="170"/>
      <c r="C756" s="76"/>
      <c r="D756" s="173"/>
      <c r="E756" s="173"/>
      <c r="F756" s="173"/>
      <c r="G756" s="175"/>
      <c r="H756" s="173"/>
      <c r="I756" s="173"/>
      <c r="J756" s="173"/>
      <c r="K756" s="173"/>
      <c r="L756" s="76"/>
      <c r="M756" s="76"/>
      <c r="N756" s="76"/>
      <c r="O756" s="76"/>
      <c r="P756" s="76"/>
      <c r="Q756" s="76"/>
      <c r="R756" s="76"/>
      <c r="S756" s="76"/>
      <c r="T756" s="76"/>
      <c r="U756" s="76"/>
      <c r="V756" s="76"/>
      <c r="W756" s="76"/>
      <c r="X756" s="76"/>
      <c r="Y756" s="76"/>
      <c r="Z756" s="76"/>
      <c r="AA756" s="76"/>
      <c r="AB756" s="76"/>
      <c r="AC756" s="76"/>
      <c r="AD756" s="76"/>
      <c r="AE756" s="76"/>
      <c r="AF756" s="76"/>
    </row>
    <row r="757">
      <c r="A757" s="76"/>
      <c r="B757" s="170"/>
      <c r="C757" s="76"/>
      <c r="D757" s="173"/>
      <c r="E757" s="173"/>
      <c r="F757" s="173"/>
      <c r="G757" s="175"/>
      <c r="H757" s="173"/>
      <c r="I757" s="173"/>
      <c r="J757" s="173"/>
      <c r="K757" s="173"/>
      <c r="L757" s="76"/>
      <c r="M757" s="76"/>
      <c r="N757" s="76"/>
      <c r="O757" s="76"/>
      <c r="P757" s="76"/>
      <c r="Q757" s="76"/>
      <c r="R757" s="76"/>
      <c r="S757" s="76"/>
      <c r="T757" s="76"/>
      <c r="U757" s="76"/>
      <c r="V757" s="76"/>
      <c r="W757" s="76"/>
      <c r="X757" s="76"/>
      <c r="Y757" s="76"/>
      <c r="Z757" s="76"/>
      <c r="AA757" s="76"/>
      <c r="AB757" s="76"/>
      <c r="AC757" s="76"/>
      <c r="AD757" s="76"/>
      <c r="AE757" s="76"/>
      <c r="AF757" s="76"/>
    </row>
    <row r="758">
      <c r="A758" s="76"/>
      <c r="B758" s="170"/>
      <c r="C758" s="76"/>
      <c r="D758" s="173"/>
      <c r="E758" s="173"/>
      <c r="F758" s="173"/>
      <c r="G758" s="175"/>
      <c r="H758" s="173"/>
      <c r="I758" s="173"/>
      <c r="J758" s="173"/>
      <c r="K758" s="173"/>
      <c r="L758" s="76"/>
      <c r="M758" s="76"/>
      <c r="N758" s="76"/>
      <c r="O758" s="76"/>
      <c r="P758" s="76"/>
      <c r="Q758" s="76"/>
      <c r="R758" s="76"/>
      <c r="S758" s="76"/>
      <c r="T758" s="76"/>
      <c r="U758" s="76"/>
      <c r="V758" s="76"/>
      <c r="W758" s="76"/>
      <c r="X758" s="76"/>
      <c r="Y758" s="76"/>
      <c r="Z758" s="76"/>
      <c r="AA758" s="76"/>
      <c r="AB758" s="76"/>
      <c r="AC758" s="76"/>
      <c r="AD758" s="76"/>
      <c r="AE758" s="76"/>
      <c r="AF758" s="76"/>
    </row>
    <row r="759">
      <c r="A759" s="76"/>
      <c r="B759" s="170"/>
      <c r="C759" s="76"/>
      <c r="D759" s="173"/>
      <c r="E759" s="173"/>
      <c r="F759" s="173"/>
      <c r="G759" s="175"/>
      <c r="H759" s="173"/>
      <c r="I759" s="173"/>
      <c r="J759" s="173"/>
      <c r="K759" s="173"/>
      <c r="L759" s="76"/>
      <c r="M759" s="76"/>
      <c r="N759" s="76"/>
      <c r="O759" s="76"/>
      <c r="P759" s="76"/>
      <c r="Q759" s="76"/>
      <c r="R759" s="76"/>
      <c r="S759" s="76"/>
      <c r="T759" s="76"/>
      <c r="U759" s="76"/>
      <c r="V759" s="76"/>
      <c r="W759" s="76"/>
      <c r="X759" s="76"/>
      <c r="Y759" s="76"/>
      <c r="Z759" s="76"/>
      <c r="AA759" s="76"/>
      <c r="AB759" s="76"/>
      <c r="AC759" s="76"/>
      <c r="AD759" s="76"/>
      <c r="AE759" s="76"/>
      <c r="AF759" s="76"/>
    </row>
    <row r="760">
      <c r="A760" s="76"/>
      <c r="B760" s="170"/>
      <c r="C760" s="76"/>
      <c r="D760" s="173"/>
      <c r="E760" s="173"/>
      <c r="F760" s="173"/>
      <c r="G760" s="175"/>
      <c r="H760" s="173"/>
      <c r="I760" s="173"/>
      <c r="J760" s="173"/>
      <c r="K760" s="173"/>
      <c r="L760" s="76"/>
      <c r="M760" s="76"/>
      <c r="N760" s="76"/>
      <c r="O760" s="76"/>
      <c r="P760" s="76"/>
      <c r="Q760" s="76"/>
      <c r="R760" s="76"/>
      <c r="S760" s="76"/>
      <c r="T760" s="76"/>
      <c r="U760" s="76"/>
      <c r="V760" s="76"/>
      <c r="W760" s="76"/>
      <c r="X760" s="76"/>
      <c r="Y760" s="76"/>
      <c r="Z760" s="76"/>
      <c r="AA760" s="76"/>
      <c r="AB760" s="76"/>
      <c r="AC760" s="76"/>
      <c r="AD760" s="76"/>
      <c r="AE760" s="76"/>
      <c r="AF760" s="76"/>
    </row>
    <row r="761">
      <c r="A761" s="76"/>
      <c r="B761" s="170"/>
      <c r="C761" s="76"/>
      <c r="D761" s="173"/>
      <c r="E761" s="173"/>
      <c r="F761" s="173"/>
      <c r="G761" s="175"/>
      <c r="H761" s="173"/>
      <c r="I761" s="173"/>
      <c r="J761" s="173"/>
      <c r="K761" s="173"/>
      <c r="L761" s="76"/>
      <c r="M761" s="76"/>
      <c r="N761" s="76"/>
      <c r="O761" s="76"/>
      <c r="P761" s="76"/>
      <c r="Q761" s="76"/>
      <c r="R761" s="76"/>
      <c r="S761" s="76"/>
      <c r="T761" s="76"/>
      <c r="U761" s="76"/>
      <c r="V761" s="76"/>
      <c r="W761" s="76"/>
      <c r="X761" s="76"/>
      <c r="Y761" s="76"/>
      <c r="Z761" s="76"/>
      <c r="AA761" s="76"/>
      <c r="AB761" s="76"/>
      <c r="AC761" s="76"/>
      <c r="AD761" s="76"/>
      <c r="AE761" s="76"/>
      <c r="AF761" s="76"/>
    </row>
    <row r="762">
      <c r="A762" s="76"/>
      <c r="B762" s="170"/>
      <c r="C762" s="76"/>
      <c r="D762" s="173"/>
      <c r="E762" s="173"/>
      <c r="F762" s="173"/>
      <c r="G762" s="175"/>
      <c r="H762" s="173"/>
      <c r="I762" s="173"/>
      <c r="J762" s="173"/>
      <c r="K762" s="173"/>
      <c r="L762" s="76"/>
      <c r="M762" s="76"/>
      <c r="N762" s="76"/>
      <c r="O762" s="76"/>
      <c r="P762" s="76"/>
      <c r="Q762" s="76"/>
      <c r="R762" s="76"/>
      <c r="S762" s="76"/>
      <c r="T762" s="76"/>
      <c r="U762" s="76"/>
      <c r="V762" s="76"/>
      <c r="W762" s="76"/>
      <c r="X762" s="76"/>
      <c r="Y762" s="76"/>
      <c r="Z762" s="76"/>
      <c r="AA762" s="76"/>
      <c r="AB762" s="76"/>
      <c r="AC762" s="76"/>
      <c r="AD762" s="76"/>
      <c r="AE762" s="76"/>
      <c r="AF762" s="76"/>
    </row>
    <row r="763">
      <c r="A763" s="76"/>
      <c r="B763" s="170"/>
      <c r="C763" s="76"/>
      <c r="D763" s="173"/>
      <c r="E763" s="173"/>
      <c r="F763" s="173"/>
      <c r="G763" s="175"/>
      <c r="H763" s="173"/>
      <c r="I763" s="173"/>
      <c r="J763" s="173"/>
      <c r="K763" s="173"/>
      <c r="L763" s="76"/>
      <c r="M763" s="76"/>
      <c r="N763" s="76"/>
      <c r="O763" s="76"/>
      <c r="P763" s="76"/>
      <c r="Q763" s="76"/>
      <c r="R763" s="76"/>
      <c r="S763" s="76"/>
      <c r="T763" s="76"/>
      <c r="U763" s="76"/>
      <c r="V763" s="76"/>
      <c r="W763" s="76"/>
      <c r="X763" s="76"/>
      <c r="Y763" s="76"/>
      <c r="Z763" s="76"/>
      <c r="AA763" s="76"/>
      <c r="AB763" s="76"/>
      <c r="AC763" s="76"/>
      <c r="AD763" s="76"/>
      <c r="AE763" s="76"/>
      <c r="AF763" s="76"/>
    </row>
    <row r="764">
      <c r="A764" s="76"/>
      <c r="B764" s="170"/>
      <c r="C764" s="76"/>
      <c r="D764" s="173"/>
      <c r="E764" s="173"/>
      <c r="F764" s="173"/>
      <c r="G764" s="175"/>
      <c r="H764" s="173"/>
      <c r="I764" s="173"/>
      <c r="J764" s="173"/>
      <c r="K764" s="173"/>
      <c r="L764" s="76"/>
      <c r="M764" s="76"/>
      <c r="N764" s="76"/>
      <c r="O764" s="76"/>
      <c r="P764" s="76"/>
      <c r="Q764" s="76"/>
      <c r="R764" s="76"/>
      <c r="S764" s="76"/>
      <c r="T764" s="76"/>
      <c r="U764" s="76"/>
      <c r="V764" s="76"/>
      <c r="W764" s="76"/>
      <c r="X764" s="76"/>
      <c r="Y764" s="76"/>
      <c r="Z764" s="76"/>
      <c r="AA764" s="76"/>
      <c r="AB764" s="76"/>
      <c r="AC764" s="76"/>
      <c r="AD764" s="76"/>
      <c r="AE764" s="76"/>
      <c r="AF764" s="76"/>
    </row>
    <row r="765">
      <c r="A765" s="76"/>
      <c r="B765" s="170"/>
      <c r="C765" s="76"/>
      <c r="D765" s="173"/>
      <c r="E765" s="173"/>
      <c r="F765" s="173"/>
      <c r="G765" s="175"/>
      <c r="H765" s="173"/>
      <c r="I765" s="173"/>
      <c r="J765" s="173"/>
      <c r="K765" s="173"/>
      <c r="L765" s="76"/>
      <c r="M765" s="76"/>
      <c r="N765" s="76"/>
      <c r="O765" s="76"/>
      <c r="P765" s="76"/>
      <c r="Q765" s="76"/>
      <c r="R765" s="76"/>
      <c r="S765" s="76"/>
      <c r="T765" s="76"/>
      <c r="U765" s="76"/>
      <c r="V765" s="76"/>
      <c r="W765" s="76"/>
      <c r="X765" s="76"/>
      <c r="Y765" s="76"/>
      <c r="Z765" s="76"/>
      <c r="AA765" s="76"/>
      <c r="AB765" s="76"/>
      <c r="AC765" s="76"/>
      <c r="AD765" s="76"/>
      <c r="AE765" s="76"/>
      <c r="AF765" s="76"/>
    </row>
    <row r="766">
      <c r="A766" s="76"/>
      <c r="B766" s="170"/>
      <c r="C766" s="76"/>
      <c r="D766" s="173"/>
      <c r="E766" s="173"/>
      <c r="F766" s="173"/>
      <c r="G766" s="175"/>
      <c r="H766" s="173"/>
      <c r="I766" s="173"/>
      <c r="J766" s="173"/>
      <c r="K766" s="173"/>
      <c r="L766" s="76"/>
      <c r="M766" s="76"/>
      <c r="N766" s="76"/>
      <c r="O766" s="76"/>
      <c r="P766" s="76"/>
      <c r="Q766" s="76"/>
      <c r="R766" s="76"/>
      <c r="S766" s="76"/>
      <c r="T766" s="76"/>
      <c r="U766" s="76"/>
      <c r="V766" s="76"/>
      <c r="W766" s="76"/>
      <c r="X766" s="76"/>
      <c r="Y766" s="76"/>
      <c r="Z766" s="76"/>
      <c r="AA766" s="76"/>
      <c r="AB766" s="76"/>
      <c r="AC766" s="76"/>
      <c r="AD766" s="76"/>
      <c r="AE766" s="76"/>
      <c r="AF766" s="76"/>
    </row>
    <row r="767">
      <c r="A767" s="76"/>
      <c r="B767" s="170"/>
      <c r="C767" s="76"/>
      <c r="D767" s="173"/>
      <c r="E767" s="173"/>
      <c r="F767" s="173"/>
      <c r="G767" s="175"/>
      <c r="H767" s="173"/>
      <c r="I767" s="173"/>
      <c r="J767" s="173"/>
      <c r="K767" s="173"/>
      <c r="L767" s="76"/>
      <c r="M767" s="76"/>
      <c r="N767" s="76"/>
      <c r="O767" s="76"/>
      <c r="P767" s="76"/>
      <c r="Q767" s="76"/>
      <c r="R767" s="76"/>
      <c r="S767" s="76"/>
      <c r="T767" s="76"/>
      <c r="U767" s="76"/>
      <c r="V767" s="76"/>
      <c r="W767" s="76"/>
      <c r="X767" s="76"/>
      <c r="Y767" s="76"/>
      <c r="Z767" s="76"/>
      <c r="AA767" s="76"/>
      <c r="AB767" s="76"/>
      <c r="AC767" s="76"/>
      <c r="AD767" s="76"/>
      <c r="AE767" s="76"/>
      <c r="AF767" s="76"/>
    </row>
    <row r="768">
      <c r="A768" s="76"/>
      <c r="B768" s="170"/>
      <c r="C768" s="76"/>
      <c r="D768" s="173"/>
      <c r="E768" s="173"/>
      <c r="F768" s="173"/>
      <c r="G768" s="175"/>
      <c r="H768" s="173"/>
      <c r="I768" s="173"/>
      <c r="J768" s="173"/>
      <c r="K768" s="173"/>
      <c r="L768" s="76"/>
      <c r="M768" s="76"/>
      <c r="N768" s="76"/>
      <c r="O768" s="76"/>
      <c r="P768" s="76"/>
      <c r="Q768" s="76"/>
      <c r="R768" s="76"/>
      <c r="S768" s="76"/>
      <c r="T768" s="76"/>
      <c r="U768" s="76"/>
      <c r="V768" s="76"/>
      <c r="W768" s="76"/>
      <c r="X768" s="76"/>
      <c r="Y768" s="76"/>
      <c r="Z768" s="76"/>
      <c r="AA768" s="76"/>
      <c r="AB768" s="76"/>
      <c r="AC768" s="76"/>
      <c r="AD768" s="76"/>
      <c r="AE768" s="76"/>
      <c r="AF768" s="76"/>
    </row>
    <row r="769">
      <c r="A769" s="76"/>
      <c r="B769" s="170"/>
      <c r="C769" s="76"/>
      <c r="D769" s="173"/>
      <c r="E769" s="173"/>
      <c r="F769" s="173"/>
      <c r="G769" s="175"/>
      <c r="H769" s="173"/>
      <c r="I769" s="173"/>
      <c r="J769" s="173"/>
      <c r="K769" s="173"/>
      <c r="L769" s="76"/>
      <c r="M769" s="76"/>
      <c r="N769" s="76"/>
      <c r="O769" s="76"/>
      <c r="P769" s="76"/>
      <c r="Q769" s="76"/>
      <c r="R769" s="76"/>
      <c r="S769" s="76"/>
      <c r="T769" s="76"/>
      <c r="U769" s="76"/>
      <c r="V769" s="76"/>
      <c r="W769" s="76"/>
      <c r="X769" s="76"/>
      <c r="Y769" s="76"/>
      <c r="Z769" s="76"/>
      <c r="AA769" s="76"/>
      <c r="AB769" s="76"/>
      <c r="AC769" s="76"/>
      <c r="AD769" s="76"/>
      <c r="AE769" s="76"/>
      <c r="AF769" s="76"/>
    </row>
    <row r="770">
      <c r="A770" s="76"/>
      <c r="B770" s="170"/>
      <c r="C770" s="76"/>
      <c r="D770" s="173"/>
      <c r="E770" s="173"/>
      <c r="F770" s="173"/>
      <c r="G770" s="175"/>
      <c r="H770" s="173"/>
      <c r="I770" s="173"/>
      <c r="J770" s="173"/>
      <c r="K770" s="173"/>
      <c r="L770" s="76"/>
      <c r="M770" s="76"/>
      <c r="N770" s="76"/>
      <c r="O770" s="76"/>
      <c r="P770" s="76"/>
      <c r="Q770" s="76"/>
      <c r="R770" s="76"/>
      <c r="S770" s="76"/>
      <c r="T770" s="76"/>
      <c r="U770" s="76"/>
      <c r="V770" s="76"/>
      <c r="W770" s="76"/>
      <c r="X770" s="76"/>
      <c r="Y770" s="76"/>
      <c r="Z770" s="76"/>
      <c r="AA770" s="76"/>
      <c r="AB770" s="76"/>
      <c r="AC770" s="76"/>
      <c r="AD770" s="76"/>
      <c r="AE770" s="76"/>
      <c r="AF770" s="76"/>
    </row>
    <row r="771">
      <c r="A771" s="76"/>
      <c r="B771" s="170"/>
      <c r="C771" s="76"/>
      <c r="D771" s="173"/>
      <c r="E771" s="173"/>
      <c r="F771" s="173"/>
      <c r="G771" s="175"/>
      <c r="H771" s="173"/>
      <c r="I771" s="173"/>
      <c r="J771" s="173"/>
      <c r="K771" s="173"/>
      <c r="L771" s="76"/>
      <c r="M771" s="76"/>
      <c r="N771" s="76"/>
      <c r="O771" s="76"/>
      <c r="P771" s="76"/>
      <c r="Q771" s="76"/>
      <c r="R771" s="76"/>
      <c r="S771" s="76"/>
      <c r="T771" s="76"/>
      <c r="U771" s="76"/>
      <c r="V771" s="76"/>
      <c r="W771" s="76"/>
      <c r="X771" s="76"/>
      <c r="Y771" s="76"/>
      <c r="Z771" s="76"/>
      <c r="AA771" s="76"/>
      <c r="AB771" s="76"/>
      <c r="AC771" s="76"/>
      <c r="AD771" s="76"/>
      <c r="AE771" s="76"/>
      <c r="AF771" s="76"/>
    </row>
    <row r="772">
      <c r="A772" s="76"/>
      <c r="B772" s="170"/>
      <c r="C772" s="76"/>
      <c r="D772" s="173"/>
      <c r="E772" s="173"/>
      <c r="F772" s="173"/>
      <c r="G772" s="175"/>
      <c r="H772" s="173"/>
      <c r="I772" s="173"/>
      <c r="J772" s="173"/>
      <c r="K772" s="173"/>
      <c r="L772" s="76"/>
      <c r="M772" s="76"/>
      <c r="N772" s="76"/>
      <c r="O772" s="76"/>
      <c r="P772" s="76"/>
      <c r="Q772" s="76"/>
      <c r="R772" s="76"/>
      <c r="S772" s="76"/>
      <c r="T772" s="76"/>
      <c r="U772" s="76"/>
      <c r="V772" s="76"/>
      <c r="W772" s="76"/>
      <c r="X772" s="76"/>
      <c r="Y772" s="76"/>
      <c r="Z772" s="76"/>
      <c r="AA772" s="76"/>
      <c r="AB772" s="76"/>
      <c r="AC772" s="76"/>
      <c r="AD772" s="76"/>
      <c r="AE772" s="76"/>
      <c r="AF772" s="76"/>
    </row>
    <row r="773">
      <c r="A773" s="76"/>
      <c r="B773" s="170"/>
      <c r="C773" s="76"/>
      <c r="D773" s="173"/>
      <c r="E773" s="173"/>
      <c r="F773" s="173"/>
      <c r="G773" s="175"/>
      <c r="H773" s="173"/>
      <c r="I773" s="173"/>
      <c r="J773" s="173"/>
      <c r="K773" s="173"/>
      <c r="L773" s="76"/>
      <c r="M773" s="76"/>
      <c r="N773" s="76"/>
      <c r="O773" s="76"/>
      <c r="P773" s="76"/>
      <c r="Q773" s="76"/>
      <c r="R773" s="76"/>
      <c r="S773" s="76"/>
      <c r="T773" s="76"/>
      <c r="U773" s="76"/>
      <c r="V773" s="76"/>
      <c r="W773" s="76"/>
      <c r="X773" s="76"/>
      <c r="Y773" s="76"/>
      <c r="Z773" s="76"/>
      <c r="AA773" s="76"/>
      <c r="AB773" s="76"/>
      <c r="AC773" s="76"/>
      <c r="AD773" s="76"/>
      <c r="AE773" s="76"/>
      <c r="AF773" s="76"/>
    </row>
    <row r="774">
      <c r="A774" s="76"/>
      <c r="B774" s="170"/>
      <c r="C774" s="76"/>
      <c r="D774" s="173"/>
      <c r="E774" s="173"/>
      <c r="F774" s="173"/>
      <c r="G774" s="175"/>
      <c r="H774" s="173"/>
      <c r="I774" s="173"/>
      <c r="J774" s="173"/>
      <c r="K774" s="173"/>
      <c r="L774" s="76"/>
      <c r="M774" s="76"/>
      <c r="N774" s="76"/>
      <c r="O774" s="76"/>
      <c r="P774" s="76"/>
      <c r="Q774" s="76"/>
      <c r="R774" s="76"/>
      <c r="S774" s="76"/>
      <c r="T774" s="76"/>
      <c r="U774" s="76"/>
      <c r="V774" s="76"/>
      <c r="W774" s="76"/>
      <c r="X774" s="76"/>
      <c r="Y774" s="76"/>
      <c r="Z774" s="76"/>
      <c r="AA774" s="76"/>
      <c r="AB774" s="76"/>
      <c r="AC774" s="76"/>
      <c r="AD774" s="76"/>
      <c r="AE774" s="76"/>
      <c r="AF774" s="76"/>
    </row>
    <row r="775">
      <c r="A775" s="76"/>
      <c r="B775" s="170"/>
      <c r="C775" s="76"/>
      <c r="D775" s="173"/>
      <c r="E775" s="173"/>
      <c r="F775" s="173"/>
      <c r="G775" s="175"/>
      <c r="H775" s="173"/>
      <c r="I775" s="173"/>
      <c r="J775" s="173"/>
      <c r="K775" s="173"/>
      <c r="L775" s="76"/>
      <c r="M775" s="76"/>
      <c r="N775" s="76"/>
      <c r="O775" s="76"/>
      <c r="P775" s="76"/>
      <c r="Q775" s="76"/>
      <c r="R775" s="76"/>
      <c r="S775" s="76"/>
      <c r="T775" s="76"/>
      <c r="U775" s="76"/>
      <c r="V775" s="76"/>
      <c r="W775" s="76"/>
      <c r="X775" s="76"/>
      <c r="Y775" s="76"/>
      <c r="Z775" s="76"/>
      <c r="AA775" s="76"/>
      <c r="AB775" s="76"/>
      <c r="AC775" s="76"/>
      <c r="AD775" s="76"/>
      <c r="AE775" s="76"/>
      <c r="AF775" s="76"/>
    </row>
    <row r="776">
      <c r="A776" s="76"/>
      <c r="B776" s="170"/>
      <c r="C776" s="76"/>
      <c r="D776" s="173"/>
      <c r="E776" s="173"/>
      <c r="F776" s="173"/>
      <c r="G776" s="175"/>
      <c r="H776" s="173"/>
      <c r="I776" s="173"/>
      <c r="J776" s="173"/>
      <c r="K776" s="173"/>
      <c r="L776" s="76"/>
      <c r="M776" s="76"/>
      <c r="N776" s="76"/>
      <c r="O776" s="76"/>
      <c r="P776" s="76"/>
      <c r="Q776" s="76"/>
      <c r="R776" s="76"/>
      <c r="S776" s="76"/>
      <c r="T776" s="76"/>
      <c r="U776" s="76"/>
      <c r="V776" s="76"/>
      <c r="W776" s="76"/>
      <c r="X776" s="76"/>
      <c r="Y776" s="76"/>
      <c r="Z776" s="76"/>
      <c r="AA776" s="76"/>
      <c r="AB776" s="76"/>
      <c r="AC776" s="76"/>
      <c r="AD776" s="76"/>
      <c r="AE776" s="76"/>
      <c r="AF776" s="76"/>
    </row>
    <row r="777">
      <c r="A777" s="76"/>
      <c r="B777" s="170"/>
      <c r="C777" s="76"/>
      <c r="D777" s="173"/>
      <c r="E777" s="173"/>
      <c r="F777" s="173"/>
      <c r="G777" s="175"/>
      <c r="H777" s="173"/>
      <c r="I777" s="173"/>
      <c r="J777" s="173"/>
      <c r="K777" s="173"/>
      <c r="L777" s="76"/>
      <c r="M777" s="76"/>
      <c r="N777" s="76"/>
      <c r="O777" s="76"/>
      <c r="P777" s="76"/>
      <c r="Q777" s="76"/>
      <c r="R777" s="76"/>
      <c r="S777" s="76"/>
      <c r="T777" s="76"/>
      <c r="U777" s="76"/>
      <c r="V777" s="76"/>
      <c r="W777" s="76"/>
      <c r="X777" s="76"/>
      <c r="Y777" s="76"/>
      <c r="Z777" s="76"/>
      <c r="AA777" s="76"/>
      <c r="AB777" s="76"/>
      <c r="AC777" s="76"/>
      <c r="AD777" s="76"/>
      <c r="AE777" s="76"/>
      <c r="AF777" s="76"/>
    </row>
    <row r="778">
      <c r="A778" s="76"/>
      <c r="B778" s="170"/>
      <c r="C778" s="76"/>
      <c r="D778" s="173"/>
      <c r="E778" s="173"/>
      <c r="F778" s="173"/>
      <c r="G778" s="175"/>
      <c r="H778" s="173"/>
      <c r="I778" s="173"/>
      <c r="J778" s="173"/>
      <c r="K778" s="173"/>
      <c r="L778" s="76"/>
      <c r="M778" s="76"/>
      <c r="N778" s="76"/>
      <c r="O778" s="76"/>
      <c r="P778" s="76"/>
      <c r="Q778" s="76"/>
      <c r="R778" s="76"/>
      <c r="S778" s="76"/>
      <c r="T778" s="76"/>
      <c r="U778" s="76"/>
      <c r="V778" s="76"/>
      <c r="W778" s="76"/>
      <c r="X778" s="76"/>
      <c r="Y778" s="76"/>
      <c r="Z778" s="76"/>
      <c r="AA778" s="76"/>
      <c r="AB778" s="76"/>
      <c r="AC778" s="76"/>
      <c r="AD778" s="76"/>
      <c r="AE778" s="76"/>
      <c r="AF778" s="76"/>
    </row>
    <row r="779">
      <c r="A779" s="76"/>
      <c r="B779" s="170"/>
      <c r="C779" s="76"/>
      <c r="D779" s="173"/>
      <c r="E779" s="173"/>
      <c r="F779" s="173"/>
      <c r="G779" s="175"/>
      <c r="H779" s="173"/>
      <c r="I779" s="173"/>
      <c r="J779" s="173"/>
      <c r="K779" s="173"/>
      <c r="L779" s="76"/>
      <c r="M779" s="76"/>
      <c r="N779" s="76"/>
      <c r="O779" s="76"/>
      <c r="P779" s="76"/>
      <c r="Q779" s="76"/>
      <c r="R779" s="76"/>
      <c r="S779" s="76"/>
      <c r="T779" s="76"/>
      <c r="U779" s="76"/>
      <c r="V779" s="76"/>
      <c r="W779" s="76"/>
      <c r="X779" s="76"/>
      <c r="Y779" s="76"/>
      <c r="Z779" s="76"/>
      <c r="AA779" s="76"/>
      <c r="AB779" s="76"/>
      <c r="AC779" s="76"/>
      <c r="AD779" s="76"/>
      <c r="AE779" s="76"/>
      <c r="AF779" s="76"/>
    </row>
    <row r="780">
      <c r="A780" s="76"/>
      <c r="B780" s="170"/>
      <c r="C780" s="76"/>
      <c r="D780" s="173"/>
      <c r="E780" s="173"/>
      <c r="F780" s="173"/>
      <c r="G780" s="175"/>
      <c r="H780" s="173"/>
      <c r="I780" s="173"/>
      <c r="J780" s="173"/>
      <c r="K780" s="173"/>
      <c r="L780" s="76"/>
      <c r="M780" s="76"/>
      <c r="N780" s="76"/>
      <c r="O780" s="76"/>
      <c r="P780" s="76"/>
      <c r="Q780" s="76"/>
      <c r="R780" s="76"/>
      <c r="S780" s="76"/>
      <c r="T780" s="76"/>
      <c r="U780" s="76"/>
      <c r="V780" s="76"/>
      <c r="W780" s="76"/>
      <c r="X780" s="76"/>
      <c r="Y780" s="76"/>
      <c r="Z780" s="76"/>
      <c r="AA780" s="76"/>
      <c r="AB780" s="76"/>
      <c r="AC780" s="76"/>
      <c r="AD780" s="76"/>
      <c r="AE780" s="76"/>
      <c r="AF780" s="76"/>
    </row>
    <row r="781">
      <c r="A781" s="76"/>
      <c r="B781" s="170"/>
      <c r="C781" s="76"/>
      <c r="D781" s="173"/>
      <c r="E781" s="173"/>
      <c r="F781" s="173"/>
      <c r="G781" s="175"/>
      <c r="H781" s="173"/>
      <c r="I781" s="173"/>
      <c r="J781" s="173"/>
      <c r="K781" s="173"/>
      <c r="L781" s="76"/>
      <c r="M781" s="76"/>
      <c r="N781" s="76"/>
      <c r="O781" s="76"/>
      <c r="P781" s="76"/>
      <c r="Q781" s="76"/>
      <c r="R781" s="76"/>
      <c r="S781" s="76"/>
      <c r="T781" s="76"/>
      <c r="U781" s="76"/>
      <c r="V781" s="76"/>
      <c r="W781" s="76"/>
      <c r="X781" s="76"/>
      <c r="Y781" s="76"/>
      <c r="Z781" s="76"/>
      <c r="AA781" s="76"/>
      <c r="AB781" s="76"/>
      <c r="AC781" s="76"/>
      <c r="AD781" s="76"/>
      <c r="AE781" s="76"/>
      <c r="AF781" s="76"/>
    </row>
    <row r="782">
      <c r="A782" s="76"/>
      <c r="B782" s="170"/>
      <c r="C782" s="76"/>
      <c r="D782" s="173"/>
      <c r="E782" s="173"/>
      <c r="F782" s="173"/>
      <c r="G782" s="175"/>
      <c r="H782" s="173"/>
      <c r="I782" s="173"/>
      <c r="J782" s="173"/>
      <c r="K782" s="173"/>
      <c r="L782" s="76"/>
      <c r="M782" s="76"/>
      <c r="N782" s="76"/>
      <c r="O782" s="76"/>
      <c r="P782" s="76"/>
      <c r="Q782" s="76"/>
      <c r="R782" s="76"/>
      <c r="S782" s="76"/>
      <c r="T782" s="76"/>
      <c r="U782" s="76"/>
      <c r="V782" s="76"/>
      <c r="W782" s="76"/>
      <c r="X782" s="76"/>
      <c r="Y782" s="76"/>
      <c r="Z782" s="76"/>
      <c r="AA782" s="76"/>
      <c r="AB782" s="76"/>
      <c r="AC782" s="76"/>
      <c r="AD782" s="76"/>
      <c r="AE782" s="76"/>
      <c r="AF782" s="76"/>
    </row>
    <row r="783">
      <c r="A783" s="76"/>
      <c r="B783" s="170"/>
      <c r="C783" s="76"/>
      <c r="D783" s="173"/>
      <c r="E783" s="173"/>
      <c r="F783" s="173"/>
      <c r="G783" s="175"/>
      <c r="H783" s="173"/>
      <c r="I783" s="173"/>
      <c r="J783" s="173"/>
      <c r="K783" s="173"/>
      <c r="L783" s="76"/>
      <c r="M783" s="76"/>
      <c r="N783" s="76"/>
      <c r="O783" s="76"/>
      <c r="P783" s="76"/>
      <c r="Q783" s="76"/>
      <c r="R783" s="76"/>
      <c r="S783" s="76"/>
      <c r="T783" s="76"/>
      <c r="U783" s="76"/>
      <c r="V783" s="76"/>
      <c r="W783" s="76"/>
      <c r="X783" s="76"/>
      <c r="Y783" s="76"/>
      <c r="Z783" s="76"/>
      <c r="AA783" s="76"/>
      <c r="AB783" s="76"/>
      <c r="AC783" s="76"/>
      <c r="AD783" s="76"/>
      <c r="AE783" s="76"/>
      <c r="AF783" s="76"/>
    </row>
    <row r="784">
      <c r="A784" s="76"/>
      <c r="B784" s="170"/>
      <c r="C784" s="76"/>
      <c r="D784" s="173"/>
      <c r="E784" s="173"/>
      <c r="F784" s="173"/>
      <c r="G784" s="175"/>
      <c r="H784" s="173"/>
      <c r="I784" s="173"/>
      <c r="J784" s="173"/>
      <c r="K784" s="173"/>
      <c r="L784" s="76"/>
      <c r="M784" s="76"/>
      <c r="N784" s="76"/>
      <c r="O784" s="76"/>
      <c r="P784" s="76"/>
      <c r="Q784" s="76"/>
      <c r="R784" s="76"/>
      <c r="S784" s="76"/>
      <c r="T784" s="76"/>
      <c r="U784" s="76"/>
      <c r="V784" s="76"/>
      <c r="W784" s="76"/>
      <c r="X784" s="76"/>
      <c r="Y784" s="76"/>
      <c r="Z784" s="76"/>
      <c r="AA784" s="76"/>
      <c r="AB784" s="76"/>
      <c r="AC784" s="76"/>
      <c r="AD784" s="76"/>
      <c r="AE784" s="76"/>
      <c r="AF784" s="76"/>
    </row>
    <row r="785">
      <c r="A785" s="76"/>
      <c r="B785" s="170"/>
      <c r="C785" s="76"/>
      <c r="D785" s="173"/>
      <c r="E785" s="173"/>
      <c r="F785" s="173"/>
      <c r="G785" s="175"/>
      <c r="H785" s="173"/>
      <c r="I785" s="173"/>
      <c r="J785" s="173"/>
      <c r="K785" s="173"/>
      <c r="L785" s="76"/>
      <c r="M785" s="76"/>
      <c r="N785" s="76"/>
      <c r="O785" s="76"/>
      <c r="P785" s="76"/>
      <c r="Q785" s="76"/>
      <c r="R785" s="76"/>
      <c r="S785" s="76"/>
      <c r="T785" s="76"/>
      <c r="U785" s="76"/>
      <c r="V785" s="76"/>
      <c r="W785" s="76"/>
      <c r="X785" s="76"/>
      <c r="Y785" s="76"/>
      <c r="Z785" s="76"/>
      <c r="AA785" s="76"/>
      <c r="AB785" s="76"/>
      <c r="AC785" s="76"/>
      <c r="AD785" s="76"/>
      <c r="AE785" s="76"/>
      <c r="AF785" s="76"/>
    </row>
    <row r="786">
      <c r="A786" s="76"/>
      <c r="B786" s="170"/>
      <c r="C786" s="76"/>
      <c r="D786" s="173"/>
      <c r="E786" s="173"/>
      <c r="F786" s="173"/>
      <c r="G786" s="175"/>
      <c r="H786" s="173"/>
      <c r="I786" s="173"/>
      <c r="J786" s="173"/>
      <c r="K786" s="173"/>
      <c r="L786" s="76"/>
      <c r="M786" s="76"/>
      <c r="N786" s="76"/>
      <c r="O786" s="76"/>
      <c r="P786" s="76"/>
      <c r="Q786" s="76"/>
      <c r="R786" s="76"/>
      <c r="S786" s="76"/>
      <c r="T786" s="76"/>
      <c r="U786" s="76"/>
      <c r="V786" s="76"/>
      <c r="W786" s="76"/>
      <c r="X786" s="76"/>
      <c r="Y786" s="76"/>
      <c r="Z786" s="76"/>
      <c r="AA786" s="76"/>
      <c r="AB786" s="76"/>
      <c r="AC786" s="76"/>
      <c r="AD786" s="76"/>
      <c r="AE786" s="76"/>
      <c r="AF786" s="76"/>
    </row>
    <row r="787">
      <c r="A787" s="76"/>
      <c r="B787" s="170"/>
      <c r="C787" s="76"/>
      <c r="D787" s="173"/>
      <c r="E787" s="173"/>
      <c r="F787" s="173"/>
      <c r="G787" s="175"/>
      <c r="H787" s="173"/>
      <c r="I787" s="173"/>
      <c r="J787" s="173"/>
      <c r="K787" s="173"/>
      <c r="L787" s="76"/>
      <c r="M787" s="76"/>
      <c r="N787" s="76"/>
      <c r="O787" s="76"/>
      <c r="P787" s="76"/>
      <c r="Q787" s="76"/>
      <c r="R787" s="76"/>
      <c r="S787" s="76"/>
      <c r="T787" s="76"/>
      <c r="U787" s="76"/>
      <c r="V787" s="76"/>
      <c r="W787" s="76"/>
      <c r="X787" s="76"/>
      <c r="Y787" s="76"/>
      <c r="Z787" s="76"/>
      <c r="AA787" s="76"/>
      <c r="AB787" s="76"/>
      <c r="AC787" s="76"/>
      <c r="AD787" s="76"/>
      <c r="AE787" s="76"/>
      <c r="AF787" s="76"/>
    </row>
    <row r="788">
      <c r="A788" s="76"/>
      <c r="B788" s="170"/>
      <c r="C788" s="76"/>
      <c r="D788" s="173"/>
      <c r="E788" s="173"/>
      <c r="F788" s="173"/>
      <c r="G788" s="175"/>
      <c r="H788" s="173"/>
      <c r="I788" s="173"/>
      <c r="J788" s="173"/>
      <c r="K788" s="173"/>
      <c r="L788" s="76"/>
      <c r="M788" s="76"/>
      <c r="N788" s="76"/>
      <c r="O788" s="76"/>
      <c r="P788" s="76"/>
      <c r="Q788" s="76"/>
      <c r="R788" s="76"/>
      <c r="S788" s="76"/>
      <c r="T788" s="76"/>
      <c r="U788" s="76"/>
      <c r="V788" s="76"/>
      <c r="W788" s="76"/>
      <c r="X788" s="76"/>
      <c r="Y788" s="76"/>
      <c r="Z788" s="76"/>
      <c r="AA788" s="76"/>
      <c r="AB788" s="76"/>
      <c r="AC788" s="76"/>
      <c r="AD788" s="76"/>
      <c r="AE788" s="76"/>
      <c r="AF788" s="76"/>
    </row>
    <row r="789">
      <c r="A789" s="76"/>
      <c r="B789" s="170"/>
      <c r="C789" s="76"/>
      <c r="D789" s="173"/>
      <c r="E789" s="173"/>
      <c r="F789" s="173"/>
      <c r="G789" s="175"/>
      <c r="H789" s="173"/>
      <c r="I789" s="173"/>
      <c r="J789" s="173"/>
      <c r="K789" s="173"/>
      <c r="L789" s="76"/>
      <c r="M789" s="76"/>
      <c r="N789" s="76"/>
      <c r="O789" s="76"/>
      <c r="P789" s="76"/>
      <c r="Q789" s="76"/>
      <c r="R789" s="76"/>
      <c r="S789" s="76"/>
      <c r="T789" s="76"/>
      <c r="U789" s="76"/>
      <c r="V789" s="76"/>
      <c r="W789" s="76"/>
      <c r="X789" s="76"/>
      <c r="Y789" s="76"/>
      <c r="Z789" s="76"/>
      <c r="AA789" s="76"/>
      <c r="AB789" s="76"/>
      <c r="AC789" s="76"/>
      <c r="AD789" s="76"/>
      <c r="AE789" s="76"/>
      <c r="AF789" s="76"/>
    </row>
    <row r="790">
      <c r="A790" s="76"/>
      <c r="B790" s="170"/>
      <c r="C790" s="76"/>
      <c r="D790" s="173"/>
      <c r="E790" s="173"/>
      <c r="F790" s="173"/>
      <c r="G790" s="175"/>
      <c r="H790" s="173"/>
      <c r="I790" s="173"/>
      <c r="J790" s="173"/>
      <c r="K790" s="173"/>
      <c r="L790" s="76"/>
      <c r="M790" s="76"/>
      <c r="N790" s="76"/>
      <c r="O790" s="76"/>
      <c r="P790" s="76"/>
      <c r="Q790" s="76"/>
      <c r="R790" s="76"/>
      <c r="S790" s="76"/>
      <c r="T790" s="76"/>
      <c r="U790" s="76"/>
      <c r="V790" s="76"/>
      <c r="W790" s="76"/>
      <c r="X790" s="76"/>
      <c r="Y790" s="76"/>
      <c r="Z790" s="76"/>
      <c r="AA790" s="76"/>
      <c r="AB790" s="76"/>
      <c r="AC790" s="76"/>
      <c r="AD790" s="76"/>
      <c r="AE790" s="76"/>
      <c r="AF790" s="76"/>
    </row>
    <row r="791">
      <c r="A791" s="76"/>
      <c r="B791" s="170"/>
      <c r="C791" s="76"/>
      <c r="D791" s="173"/>
      <c r="E791" s="173"/>
      <c r="F791" s="173"/>
      <c r="G791" s="175"/>
      <c r="H791" s="173"/>
      <c r="I791" s="173"/>
      <c r="J791" s="173"/>
      <c r="K791" s="173"/>
      <c r="L791" s="76"/>
      <c r="M791" s="76"/>
      <c r="N791" s="76"/>
      <c r="O791" s="76"/>
      <c r="P791" s="76"/>
      <c r="Q791" s="76"/>
      <c r="R791" s="76"/>
      <c r="S791" s="76"/>
      <c r="T791" s="76"/>
      <c r="U791" s="76"/>
      <c r="V791" s="76"/>
      <c r="W791" s="76"/>
      <c r="X791" s="76"/>
      <c r="Y791" s="76"/>
      <c r="Z791" s="76"/>
      <c r="AA791" s="76"/>
      <c r="AB791" s="76"/>
      <c r="AC791" s="76"/>
      <c r="AD791" s="76"/>
      <c r="AE791" s="76"/>
      <c r="AF791" s="76"/>
    </row>
    <row r="792">
      <c r="A792" s="76"/>
      <c r="B792" s="170"/>
      <c r="C792" s="76"/>
      <c r="D792" s="173"/>
      <c r="E792" s="173"/>
      <c r="F792" s="173"/>
      <c r="G792" s="175"/>
      <c r="H792" s="173"/>
      <c r="I792" s="173"/>
      <c r="J792" s="173"/>
      <c r="K792" s="173"/>
      <c r="L792" s="76"/>
      <c r="M792" s="76"/>
      <c r="N792" s="76"/>
      <c r="O792" s="76"/>
      <c r="P792" s="76"/>
      <c r="Q792" s="76"/>
      <c r="R792" s="76"/>
      <c r="S792" s="76"/>
      <c r="T792" s="76"/>
      <c r="U792" s="76"/>
      <c r="V792" s="76"/>
      <c r="W792" s="76"/>
      <c r="X792" s="76"/>
      <c r="Y792" s="76"/>
      <c r="Z792" s="76"/>
      <c r="AA792" s="76"/>
      <c r="AB792" s="76"/>
      <c r="AC792" s="76"/>
      <c r="AD792" s="76"/>
      <c r="AE792" s="76"/>
      <c r="AF792" s="76"/>
    </row>
    <row r="793">
      <c r="A793" s="76"/>
      <c r="B793" s="170"/>
      <c r="C793" s="76"/>
      <c r="D793" s="173"/>
      <c r="E793" s="173"/>
      <c r="F793" s="173"/>
      <c r="G793" s="175"/>
      <c r="H793" s="173"/>
      <c r="I793" s="173"/>
      <c r="J793" s="173"/>
      <c r="K793" s="173"/>
      <c r="L793" s="76"/>
      <c r="M793" s="76"/>
      <c r="N793" s="76"/>
      <c r="O793" s="76"/>
      <c r="P793" s="76"/>
      <c r="Q793" s="76"/>
      <c r="R793" s="76"/>
      <c r="S793" s="76"/>
      <c r="T793" s="76"/>
      <c r="U793" s="76"/>
      <c r="V793" s="76"/>
      <c r="W793" s="76"/>
      <c r="X793" s="76"/>
      <c r="Y793" s="76"/>
      <c r="Z793" s="76"/>
      <c r="AA793" s="76"/>
      <c r="AB793" s="76"/>
      <c r="AC793" s="76"/>
      <c r="AD793" s="76"/>
      <c r="AE793" s="76"/>
      <c r="AF793" s="76"/>
    </row>
    <row r="794">
      <c r="A794" s="76"/>
      <c r="B794" s="170"/>
      <c r="C794" s="76"/>
      <c r="D794" s="173"/>
      <c r="E794" s="173"/>
      <c r="F794" s="173"/>
      <c r="G794" s="175"/>
      <c r="H794" s="173"/>
      <c r="I794" s="173"/>
      <c r="J794" s="173"/>
      <c r="K794" s="173"/>
      <c r="L794" s="76"/>
      <c r="M794" s="76"/>
      <c r="N794" s="76"/>
      <c r="O794" s="76"/>
      <c r="P794" s="76"/>
      <c r="Q794" s="76"/>
      <c r="R794" s="76"/>
      <c r="S794" s="76"/>
      <c r="T794" s="76"/>
      <c r="U794" s="76"/>
      <c r="V794" s="76"/>
      <c r="W794" s="76"/>
      <c r="X794" s="76"/>
      <c r="Y794" s="76"/>
      <c r="Z794" s="76"/>
      <c r="AA794" s="76"/>
      <c r="AB794" s="76"/>
      <c r="AC794" s="76"/>
      <c r="AD794" s="76"/>
      <c r="AE794" s="76"/>
      <c r="AF794" s="76"/>
    </row>
    <row r="795">
      <c r="A795" s="76"/>
      <c r="B795" s="170"/>
      <c r="C795" s="76"/>
      <c r="D795" s="173"/>
      <c r="E795" s="173"/>
      <c r="F795" s="173"/>
      <c r="G795" s="175"/>
      <c r="H795" s="173"/>
      <c r="I795" s="173"/>
      <c r="J795" s="173"/>
      <c r="K795" s="173"/>
      <c r="L795" s="76"/>
      <c r="M795" s="76"/>
      <c r="N795" s="76"/>
      <c r="O795" s="76"/>
      <c r="P795" s="76"/>
      <c r="Q795" s="76"/>
      <c r="R795" s="76"/>
      <c r="S795" s="76"/>
      <c r="T795" s="76"/>
      <c r="U795" s="76"/>
      <c r="V795" s="76"/>
      <c r="W795" s="76"/>
      <c r="X795" s="76"/>
      <c r="Y795" s="76"/>
      <c r="Z795" s="76"/>
      <c r="AA795" s="76"/>
      <c r="AB795" s="76"/>
      <c r="AC795" s="76"/>
      <c r="AD795" s="76"/>
      <c r="AE795" s="76"/>
      <c r="AF795" s="76"/>
    </row>
    <row r="796">
      <c r="A796" s="76"/>
      <c r="B796" s="170"/>
      <c r="C796" s="76"/>
      <c r="D796" s="173"/>
      <c r="E796" s="173"/>
      <c r="F796" s="173"/>
      <c r="G796" s="175"/>
      <c r="H796" s="173"/>
      <c r="I796" s="173"/>
      <c r="J796" s="173"/>
      <c r="K796" s="173"/>
      <c r="L796" s="76"/>
      <c r="M796" s="76"/>
      <c r="N796" s="76"/>
      <c r="O796" s="76"/>
      <c r="P796" s="76"/>
      <c r="Q796" s="76"/>
      <c r="R796" s="76"/>
      <c r="S796" s="76"/>
      <c r="T796" s="76"/>
      <c r="U796" s="76"/>
      <c r="V796" s="76"/>
      <c r="W796" s="76"/>
      <c r="X796" s="76"/>
      <c r="Y796" s="76"/>
      <c r="Z796" s="76"/>
      <c r="AA796" s="76"/>
      <c r="AB796" s="76"/>
      <c r="AC796" s="76"/>
      <c r="AD796" s="76"/>
      <c r="AE796" s="76"/>
      <c r="AF796" s="76"/>
    </row>
    <row r="797">
      <c r="A797" s="76"/>
      <c r="B797" s="170"/>
      <c r="C797" s="76"/>
      <c r="D797" s="173"/>
      <c r="E797" s="173"/>
      <c r="F797" s="173"/>
      <c r="G797" s="175"/>
      <c r="H797" s="173"/>
      <c r="I797" s="173"/>
      <c r="J797" s="173"/>
      <c r="K797" s="173"/>
      <c r="L797" s="76"/>
      <c r="M797" s="76"/>
      <c r="N797" s="76"/>
      <c r="O797" s="76"/>
      <c r="P797" s="76"/>
      <c r="Q797" s="76"/>
      <c r="R797" s="76"/>
      <c r="S797" s="76"/>
      <c r="T797" s="76"/>
      <c r="U797" s="76"/>
      <c r="V797" s="76"/>
      <c r="W797" s="76"/>
      <c r="X797" s="76"/>
      <c r="Y797" s="76"/>
      <c r="Z797" s="76"/>
      <c r="AA797" s="76"/>
      <c r="AB797" s="76"/>
      <c r="AC797" s="76"/>
      <c r="AD797" s="76"/>
      <c r="AE797" s="76"/>
      <c r="AF797" s="76"/>
    </row>
    <row r="798">
      <c r="A798" s="76"/>
      <c r="B798" s="170"/>
      <c r="C798" s="76"/>
      <c r="D798" s="173"/>
      <c r="E798" s="173"/>
      <c r="F798" s="173"/>
      <c r="G798" s="175"/>
      <c r="H798" s="173"/>
      <c r="I798" s="173"/>
      <c r="J798" s="173"/>
      <c r="K798" s="173"/>
      <c r="L798" s="76"/>
      <c r="M798" s="76"/>
      <c r="N798" s="76"/>
      <c r="O798" s="76"/>
      <c r="P798" s="76"/>
      <c r="Q798" s="76"/>
      <c r="R798" s="76"/>
      <c r="S798" s="76"/>
      <c r="T798" s="76"/>
      <c r="U798" s="76"/>
      <c r="V798" s="76"/>
      <c r="W798" s="76"/>
      <c r="X798" s="76"/>
      <c r="Y798" s="76"/>
      <c r="Z798" s="76"/>
      <c r="AA798" s="76"/>
      <c r="AB798" s="76"/>
      <c r="AC798" s="76"/>
      <c r="AD798" s="76"/>
      <c r="AE798" s="76"/>
      <c r="AF798" s="76"/>
    </row>
    <row r="799">
      <c r="A799" s="76"/>
      <c r="B799" s="170"/>
      <c r="C799" s="76"/>
      <c r="D799" s="173"/>
      <c r="E799" s="173"/>
      <c r="F799" s="173"/>
      <c r="G799" s="175"/>
      <c r="H799" s="173"/>
      <c r="I799" s="173"/>
      <c r="J799" s="173"/>
      <c r="K799" s="173"/>
      <c r="L799" s="76"/>
      <c r="M799" s="76"/>
      <c r="N799" s="76"/>
      <c r="O799" s="76"/>
      <c r="P799" s="76"/>
      <c r="Q799" s="76"/>
      <c r="R799" s="76"/>
      <c r="S799" s="76"/>
      <c r="T799" s="76"/>
      <c r="U799" s="76"/>
      <c r="V799" s="76"/>
      <c r="W799" s="76"/>
      <c r="X799" s="76"/>
      <c r="Y799" s="76"/>
      <c r="Z799" s="76"/>
      <c r="AA799" s="76"/>
      <c r="AB799" s="76"/>
      <c r="AC799" s="76"/>
      <c r="AD799" s="76"/>
      <c r="AE799" s="76"/>
      <c r="AF799" s="76"/>
    </row>
    <row r="800">
      <c r="A800" s="76"/>
      <c r="B800" s="170"/>
      <c r="C800" s="76"/>
      <c r="D800" s="173"/>
      <c r="E800" s="173"/>
      <c r="F800" s="173"/>
      <c r="G800" s="175"/>
      <c r="H800" s="173"/>
      <c r="I800" s="173"/>
      <c r="J800" s="173"/>
      <c r="K800" s="173"/>
      <c r="L800" s="76"/>
      <c r="M800" s="76"/>
      <c r="N800" s="76"/>
      <c r="O800" s="76"/>
      <c r="P800" s="76"/>
      <c r="Q800" s="76"/>
      <c r="R800" s="76"/>
      <c r="S800" s="76"/>
      <c r="T800" s="76"/>
      <c r="U800" s="76"/>
      <c r="V800" s="76"/>
      <c r="W800" s="76"/>
      <c r="X800" s="76"/>
      <c r="Y800" s="76"/>
      <c r="Z800" s="76"/>
      <c r="AA800" s="76"/>
      <c r="AB800" s="76"/>
      <c r="AC800" s="76"/>
      <c r="AD800" s="76"/>
      <c r="AE800" s="76"/>
      <c r="AF800" s="76"/>
    </row>
    <row r="801">
      <c r="A801" s="76"/>
      <c r="B801" s="170"/>
      <c r="C801" s="76"/>
      <c r="D801" s="173"/>
      <c r="E801" s="173"/>
      <c r="F801" s="173"/>
      <c r="G801" s="175"/>
      <c r="H801" s="173"/>
      <c r="I801" s="173"/>
      <c r="J801" s="173"/>
      <c r="K801" s="173"/>
      <c r="L801" s="76"/>
      <c r="M801" s="76"/>
      <c r="N801" s="76"/>
      <c r="O801" s="76"/>
      <c r="P801" s="76"/>
      <c r="Q801" s="76"/>
      <c r="R801" s="76"/>
      <c r="S801" s="76"/>
      <c r="T801" s="76"/>
      <c r="U801" s="76"/>
      <c r="V801" s="76"/>
      <c r="W801" s="76"/>
      <c r="X801" s="76"/>
      <c r="Y801" s="76"/>
      <c r="Z801" s="76"/>
      <c r="AA801" s="76"/>
      <c r="AB801" s="76"/>
      <c r="AC801" s="76"/>
      <c r="AD801" s="76"/>
      <c r="AE801" s="76"/>
      <c r="AF801" s="76"/>
    </row>
    <row r="802">
      <c r="A802" s="76"/>
      <c r="B802" s="170"/>
      <c r="C802" s="76"/>
      <c r="D802" s="173"/>
      <c r="E802" s="173"/>
      <c r="F802" s="173"/>
      <c r="G802" s="175"/>
      <c r="H802" s="173"/>
      <c r="I802" s="173"/>
      <c r="J802" s="173"/>
      <c r="K802" s="173"/>
      <c r="L802" s="76"/>
      <c r="M802" s="76"/>
      <c r="N802" s="76"/>
      <c r="O802" s="76"/>
      <c r="P802" s="76"/>
      <c r="Q802" s="76"/>
      <c r="R802" s="76"/>
      <c r="S802" s="76"/>
      <c r="T802" s="76"/>
      <c r="U802" s="76"/>
      <c r="V802" s="76"/>
      <c r="W802" s="76"/>
      <c r="X802" s="76"/>
      <c r="Y802" s="76"/>
      <c r="Z802" s="76"/>
      <c r="AA802" s="76"/>
      <c r="AB802" s="76"/>
      <c r="AC802" s="76"/>
      <c r="AD802" s="76"/>
      <c r="AE802" s="76"/>
      <c r="AF802" s="76"/>
    </row>
    <row r="803">
      <c r="A803" s="76"/>
      <c r="B803" s="170"/>
      <c r="C803" s="76"/>
      <c r="D803" s="173"/>
      <c r="E803" s="173"/>
      <c r="F803" s="173"/>
      <c r="G803" s="175"/>
      <c r="H803" s="173"/>
      <c r="I803" s="173"/>
      <c r="J803" s="173"/>
      <c r="K803" s="173"/>
      <c r="L803" s="76"/>
      <c r="M803" s="76"/>
      <c r="N803" s="76"/>
      <c r="O803" s="76"/>
      <c r="P803" s="76"/>
      <c r="Q803" s="76"/>
      <c r="R803" s="76"/>
      <c r="S803" s="76"/>
      <c r="T803" s="76"/>
      <c r="U803" s="76"/>
      <c r="V803" s="76"/>
      <c r="W803" s="76"/>
      <c r="X803" s="76"/>
      <c r="Y803" s="76"/>
      <c r="Z803" s="76"/>
      <c r="AA803" s="76"/>
      <c r="AB803" s="76"/>
      <c r="AC803" s="76"/>
      <c r="AD803" s="76"/>
      <c r="AE803" s="76"/>
      <c r="AF803" s="76"/>
    </row>
    <row r="804">
      <c r="A804" s="76"/>
      <c r="B804" s="170"/>
      <c r="C804" s="76"/>
      <c r="D804" s="173"/>
      <c r="E804" s="173"/>
      <c r="F804" s="173"/>
      <c r="G804" s="175"/>
      <c r="H804" s="173"/>
      <c r="I804" s="173"/>
      <c r="J804" s="173"/>
      <c r="K804" s="173"/>
      <c r="L804" s="76"/>
      <c r="M804" s="76"/>
      <c r="N804" s="76"/>
      <c r="O804" s="76"/>
      <c r="P804" s="76"/>
      <c r="Q804" s="76"/>
      <c r="R804" s="76"/>
      <c r="S804" s="76"/>
      <c r="T804" s="76"/>
      <c r="U804" s="76"/>
      <c r="V804" s="76"/>
      <c r="W804" s="76"/>
      <c r="X804" s="76"/>
      <c r="Y804" s="76"/>
      <c r="Z804" s="76"/>
      <c r="AA804" s="76"/>
      <c r="AB804" s="76"/>
      <c r="AC804" s="76"/>
      <c r="AD804" s="76"/>
      <c r="AE804" s="76"/>
      <c r="AF804" s="76"/>
    </row>
    <row r="805">
      <c r="A805" s="76"/>
      <c r="B805" s="170"/>
      <c r="C805" s="76"/>
      <c r="D805" s="173"/>
      <c r="E805" s="173"/>
      <c r="F805" s="173"/>
      <c r="G805" s="175"/>
      <c r="H805" s="173"/>
      <c r="I805" s="173"/>
      <c r="J805" s="173"/>
      <c r="K805" s="173"/>
      <c r="L805" s="76"/>
      <c r="M805" s="76"/>
      <c r="N805" s="76"/>
      <c r="O805" s="76"/>
      <c r="P805" s="76"/>
      <c r="Q805" s="76"/>
      <c r="R805" s="76"/>
      <c r="S805" s="76"/>
      <c r="T805" s="76"/>
      <c r="U805" s="76"/>
      <c r="V805" s="76"/>
      <c r="W805" s="76"/>
      <c r="X805" s="76"/>
      <c r="Y805" s="76"/>
      <c r="Z805" s="76"/>
      <c r="AA805" s="76"/>
      <c r="AB805" s="76"/>
      <c r="AC805" s="76"/>
      <c r="AD805" s="76"/>
      <c r="AE805" s="76"/>
      <c r="AF805" s="76"/>
    </row>
    <row r="806">
      <c r="A806" s="76"/>
      <c r="B806" s="170"/>
      <c r="C806" s="76"/>
      <c r="D806" s="173"/>
      <c r="E806" s="173"/>
      <c r="F806" s="173"/>
      <c r="G806" s="175"/>
      <c r="H806" s="173"/>
      <c r="I806" s="173"/>
      <c r="J806" s="173"/>
      <c r="K806" s="173"/>
      <c r="L806" s="76"/>
      <c r="M806" s="76"/>
      <c r="N806" s="76"/>
      <c r="O806" s="76"/>
      <c r="P806" s="76"/>
      <c r="Q806" s="76"/>
      <c r="R806" s="76"/>
      <c r="S806" s="76"/>
      <c r="T806" s="76"/>
      <c r="U806" s="76"/>
      <c r="V806" s="76"/>
      <c r="W806" s="76"/>
      <c r="X806" s="76"/>
      <c r="Y806" s="76"/>
      <c r="Z806" s="76"/>
      <c r="AA806" s="76"/>
      <c r="AB806" s="76"/>
      <c r="AC806" s="76"/>
      <c r="AD806" s="76"/>
      <c r="AE806" s="76"/>
      <c r="AF806" s="76"/>
    </row>
    <row r="807">
      <c r="A807" s="76"/>
      <c r="B807" s="170"/>
      <c r="C807" s="76"/>
      <c r="D807" s="173"/>
      <c r="E807" s="173"/>
      <c r="F807" s="173"/>
      <c r="G807" s="175"/>
      <c r="H807" s="173"/>
      <c r="I807" s="173"/>
      <c r="J807" s="173"/>
      <c r="K807" s="173"/>
      <c r="L807" s="76"/>
      <c r="M807" s="76"/>
      <c r="N807" s="76"/>
      <c r="O807" s="76"/>
      <c r="P807" s="76"/>
      <c r="Q807" s="76"/>
      <c r="R807" s="76"/>
      <c r="S807" s="76"/>
      <c r="T807" s="76"/>
      <c r="U807" s="76"/>
      <c r="V807" s="76"/>
      <c r="W807" s="76"/>
      <c r="X807" s="76"/>
      <c r="Y807" s="76"/>
      <c r="Z807" s="76"/>
      <c r="AA807" s="76"/>
      <c r="AB807" s="76"/>
      <c r="AC807" s="76"/>
      <c r="AD807" s="76"/>
      <c r="AE807" s="76"/>
      <c r="AF807" s="76"/>
    </row>
    <row r="808">
      <c r="A808" s="76"/>
      <c r="B808" s="170"/>
      <c r="C808" s="76"/>
      <c r="D808" s="173"/>
      <c r="E808" s="173"/>
      <c r="F808" s="173"/>
      <c r="G808" s="175"/>
      <c r="H808" s="173"/>
      <c r="I808" s="173"/>
      <c r="J808" s="173"/>
      <c r="K808" s="173"/>
      <c r="L808" s="76"/>
      <c r="M808" s="76"/>
      <c r="N808" s="76"/>
      <c r="O808" s="76"/>
      <c r="P808" s="76"/>
      <c r="Q808" s="76"/>
      <c r="R808" s="76"/>
      <c r="S808" s="76"/>
      <c r="T808" s="76"/>
      <c r="U808" s="76"/>
      <c r="V808" s="76"/>
      <c r="W808" s="76"/>
      <c r="X808" s="76"/>
      <c r="Y808" s="76"/>
      <c r="Z808" s="76"/>
      <c r="AA808" s="76"/>
      <c r="AB808" s="76"/>
      <c r="AC808" s="76"/>
      <c r="AD808" s="76"/>
      <c r="AE808" s="76"/>
      <c r="AF808" s="76"/>
    </row>
    <row r="809">
      <c r="A809" s="76"/>
      <c r="B809" s="170"/>
      <c r="C809" s="76"/>
      <c r="D809" s="173"/>
      <c r="E809" s="173"/>
      <c r="F809" s="173"/>
      <c r="G809" s="175"/>
      <c r="H809" s="173"/>
      <c r="I809" s="173"/>
      <c r="J809" s="173"/>
      <c r="K809" s="173"/>
      <c r="L809" s="76"/>
      <c r="M809" s="76"/>
      <c r="N809" s="76"/>
      <c r="O809" s="76"/>
      <c r="P809" s="76"/>
      <c r="Q809" s="76"/>
      <c r="R809" s="76"/>
      <c r="S809" s="76"/>
      <c r="T809" s="76"/>
      <c r="U809" s="76"/>
      <c r="V809" s="76"/>
      <c r="W809" s="76"/>
      <c r="X809" s="76"/>
      <c r="Y809" s="76"/>
      <c r="Z809" s="76"/>
      <c r="AA809" s="76"/>
      <c r="AB809" s="76"/>
      <c r="AC809" s="76"/>
      <c r="AD809" s="76"/>
      <c r="AE809" s="76"/>
      <c r="AF809" s="76"/>
    </row>
    <row r="810">
      <c r="A810" s="76"/>
      <c r="B810" s="170"/>
      <c r="C810" s="76"/>
      <c r="D810" s="173"/>
      <c r="E810" s="173"/>
      <c r="F810" s="173"/>
      <c r="G810" s="175"/>
      <c r="H810" s="173"/>
      <c r="I810" s="173"/>
      <c r="J810" s="173"/>
      <c r="K810" s="173"/>
      <c r="L810" s="76"/>
      <c r="M810" s="76"/>
      <c r="N810" s="76"/>
      <c r="O810" s="76"/>
      <c r="P810" s="76"/>
      <c r="Q810" s="76"/>
      <c r="R810" s="76"/>
      <c r="S810" s="76"/>
      <c r="T810" s="76"/>
      <c r="U810" s="76"/>
      <c r="V810" s="76"/>
      <c r="W810" s="76"/>
      <c r="X810" s="76"/>
      <c r="Y810" s="76"/>
      <c r="Z810" s="76"/>
      <c r="AA810" s="76"/>
      <c r="AB810" s="76"/>
      <c r="AC810" s="76"/>
      <c r="AD810" s="76"/>
      <c r="AE810" s="76"/>
      <c r="AF810" s="76"/>
    </row>
    <row r="811">
      <c r="A811" s="76"/>
      <c r="B811" s="170"/>
      <c r="C811" s="76"/>
      <c r="D811" s="173"/>
      <c r="E811" s="173"/>
      <c r="F811" s="173"/>
      <c r="G811" s="175"/>
      <c r="H811" s="173"/>
      <c r="I811" s="173"/>
      <c r="J811" s="173"/>
      <c r="K811" s="173"/>
      <c r="L811" s="76"/>
      <c r="M811" s="76"/>
      <c r="N811" s="76"/>
      <c r="O811" s="76"/>
      <c r="P811" s="76"/>
      <c r="Q811" s="76"/>
      <c r="R811" s="76"/>
      <c r="S811" s="76"/>
      <c r="T811" s="76"/>
      <c r="U811" s="76"/>
      <c r="V811" s="76"/>
      <c r="W811" s="76"/>
      <c r="X811" s="76"/>
      <c r="Y811" s="76"/>
      <c r="Z811" s="76"/>
      <c r="AA811" s="76"/>
      <c r="AB811" s="76"/>
      <c r="AC811" s="76"/>
      <c r="AD811" s="76"/>
      <c r="AE811" s="76"/>
      <c r="AF811" s="76"/>
    </row>
    <row r="812">
      <c r="A812" s="76"/>
      <c r="B812" s="170"/>
      <c r="C812" s="76"/>
      <c r="D812" s="173"/>
      <c r="E812" s="173"/>
      <c r="F812" s="173"/>
      <c r="G812" s="175"/>
      <c r="H812" s="173"/>
      <c r="I812" s="173"/>
      <c r="J812" s="173"/>
      <c r="K812" s="173"/>
      <c r="L812" s="76"/>
      <c r="M812" s="76"/>
      <c r="N812" s="76"/>
      <c r="O812" s="76"/>
      <c r="P812" s="76"/>
      <c r="Q812" s="76"/>
      <c r="R812" s="76"/>
      <c r="S812" s="76"/>
      <c r="T812" s="76"/>
      <c r="U812" s="76"/>
      <c r="V812" s="76"/>
      <c r="W812" s="76"/>
      <c r="X812" s="76"/>
      <c r="Y812" s="76"/>
      <c r="Z812" s="76"/>
      <c r="AA812" s="76"/>
      <c r="AB812" s="76"/>
      <c r="AC812" s="76"/>
      <c r="AD812" s="76"/>
      <c r="AE812" s="76"/>
      <c r="AF812" s="76"/>
    </row>
    <row r="813">
      <c r="A813" s="76"/>
      <c r="B813" s="170"/>
      <c r="C813" s="76"/>
      <c r="D813" s="173"/>
      <c r="E813" s="173"/>
      <c r="F813" s="173"/>
      <c r="G813" s="175"/>
      <c r="H813" s="173"/>
      <c r="I813" s="173"/>
      <c r="J813" s="173"/>
      <c r="K813" s="173"/>
      <c r="L813" s="76"/>
      <c r="M813" s="76"/>
      <c r="N813" s="76"/>
      <c r="O813" s="76"/>
      <c r="P813" s="76"/>
      <c r="Q813" s="76"/>
      <c r="R813" s="76"/>
      <c r="S813" s="76"/>
      <c r="T813" s="76"/>
      <c r="U813" s="76"/>
      <c r="V813" s="76"/>
      <c r="W813" s="76"/>
      <c r="X813" s="76"/>
      <c r="Y813" s="76"/>
      <c r="Z813" s="76"/>
      <c r="AA813" s="76"/>
      <c r="AB813" s="76"/>
      <c r="AC813" s="76"/>
      <c r="AD813" s="76"/>
      <c r="AE813" s="76"/>
      <c r="AF813" s="76"/>
    </row>
    <row r="814">
      <c r="A814" s="76"/>
      <c r="B814" s="170"/>
      <c r="C814" s="76"/>
      <c r="D814" s="173"/>
      <c r="E814" s="173"/>
      <c r="F814" s="173"/>
      <c r="G814" s="175"/>
      <c r="H814" s="173"/>
      <c r="I814" s="173"/>
      <c r="J814" s="173"/>
      <c r="K814" s="173"/>
      <c r="L814" s="76"/>
      <c r="M814" s="76"/>
      <c r="N814" s="76"/>
      <c r="O814" s="76"/>
      <c r="P814" s="76"/>
      <c r="Q814" s="76"/>
      <c r="R814" s="76"/>
      <c r="S814" s="76"/>
      <c r="T814" s="76"/>
      <c r="U814" s="76"/>
      <c r="V814" s="76"/>
      <c r="W814" s="76"/>
      <c r="X814" s="76"/>
      <c r="Y814" s="76"/>
      <c r="Z814" s="76"/>
      <c r="AA814" s="76"/>
      <c r="AB814" s="76"/>
      <c r="AC814" s="76"/>
      <c r="AD814" s="76"/>
      <c r="AE814" s="76"/>
      <c r="AF814" s="76"/>
    </row>
    <row r="815">
      <c r="A815" s="76"/>
      <c r="B815" s="170"/>
      <c r="C815" s="76"/>
      <c r="D815" s="173"/>
      <c r="E815" s="173"/>
      <c r="F815" s="173"/>
      <c r="G815" s="175"/>
      <c r="H815" s="173"/>
      <c r="I815" s="173"/>
      <c r="J815" s="173"/>
      <c r="K815" s="173"/>
      <c r="L815" s="76"/>
      <c r="M815" s="76"/>
      <c r="N815" s="76"/>
      <c r="O815" s="76"/>
      <c r="P815" s="76"/>
      <c r="Q815" s="76"/>
      <c r="R815" s="76"/>
      <c r="S815" s="76"/>
      <c r="T815" s="76"/>
      <c r="U815" s="76"/>
      <c r="V815" s="76"/>
      <c r="W815" s="76"/>
      <c r="X815" s="76"/>
      <c r="Y815" s="76"/>
      <c r="Z815" s="76"/>
      <c r="AA815" s="76"/>
      <c r="AB815" s="76"/>
      <c r="AC815" s="76"/>
      <c r="AD815" s="76"/>
      <c r="AE815" s="76"/>
      <c r="AF815" s="76"/>
    </row>
    <row r="816">
      <c r="A816" s="76"/>
      <c r="B816" s="170"/>
      <c r="C816" s="76"/>
      <c r="D816" s="173"/>
      <c r="E816" s="173"/>
      <c r="F816" s="173"/>
      <c r="G816" s="175"/>
      <c r="H816" s="173"/>
      <c r="I816" s="173"/>
      <c r="J816" s="173"/>
      <c r="K816" s="173"/>
      <c r="L816" s="76"/>
      <c r="M816" s="76"/>
      <c r="N816" s="76"/>
      <c r="O816" s="76"/>
      <c r="P816" s="76"/>
      <c r="Q816" s="76"/>
      <c r="R816" s="76"/>
      <c r="S816" s="76"/>
      <c r="T816" s="76"/>
      <c r="U816" s="76"/>
      <c r="V816" s="76"/>
      <c r="W816" s="76"/>
      <c r="X816" s="76"/>
      <c r="Y816" s="76"/>
      <c r="Z816" s="76"/>
      <c r="AA816" s="76"/>
      <c r="AB816" s="76"/>
      <c r="AC816" s="76"/>
      <c r="AD816" s="76"/>
      <c r="AE816" s="76"/>
      <c r="AF816" s="76"/>
    </row>
    <row r="817">
      <c r="A817" s="76"/>
      <c r="B817" s="170"/>
      <c r="C817" s="76"/>
      <c r="D817" s="173"/>
      <c r="E817" s="173"/>
      <c r="F817" s="173"/>
      <c r="G817" s="175"/>
      <c r="H817" s="173"/>
      <c r="I817" s="173"/>
      <c r="J817" s="173"/>
      <c r="K817" s="173"/>
      <c r="L817" s="76"/>
      <c r="M817" s="76"/>
      <c r="N817" s="76"/>
      <c r="O817" s="76"/>
      <c r="P817" s="76"/>
      <c r="Q817" s="76"/>
      <c r="R817" s="76"/>
      <c r="S817" s="76"/>
      <c r="T817" s="76"/>
      <c r="U817" s="76"/>
      <c r="V817" s="76"/>
      <c r="W817" s="76"/>
      <c r="X817" s="76"/>
      <c r="Y817" s="76"/>
      <c r="Z817" s="76"/>
      <c r="AA817" s="76"/>
      <c r="AB817" s="76"/>
      <c r="AC817" s="76"/>
      <c r="AD817" s="76"/>
      <c r="AE817" s="76"/>
      <c r="AF817" s="76"/>
    </row>
    <row r="818">
      <c r="A818" s="76"/>
      <c r="B818" s="170"/>
      <c r="C818" s="76"/>
      <c r="D818" s="173"/>
      <c r="E818" s="173"/>
      <c r="F818" s="173"/>
      <c r="G818" s="175"/>
      <c r="H818" s="173"/>
      <c r="I818" s="173"/>
      <c r="J818" s="173"/>
      <c r="K818" s="173"/>
      <c r="L818" s="76"/>
      <c r="M818" s="76"/>
      <c r="N818" s="76"/>
      <c r="O818" s="76"/>
      <c r="P818" s="76"/>
      <c r="Q818" s="76"/>
      <c r="R818" s="76"/>
      <c r="S818" s="76"/>
      <c r="T818" s="76"/>
      <c r="U818" s="76"/>
      <c r="V818" s="76"/>
      <c r="W818" s="76"/>
      <c r="X818" s="76"/>
      <c r="Y818" s="76"/>
      <c r="Z818" s="76"/>
      <c r="AA818" s="76"/>
      <c r="AB818" s="76"/>
      <c r="AC818" s="76"/>
      <c r="AD818" s="76"/>
      <c r="AE818" s="76"/>
      <c r="AF818" s="76"/>
    </row>
    <row r="819">
      <c r="A819" s="76"/>
      <c r="B819" s="170"/>
      <c r="C819" s="76"/>
      <c r="D819" s="173"/>
      <c r="E819" s="173"/>
      <c r="F819" s="173"/>
      <c r="G819" s="175"/>
      <c r="H819" s="173"/>
      <c r="I819" s="173"/>
      <c r="J819" s="173"/>
      <c r="K819" s="173"/>
      <c r="L819" s="76"/>
      <c r="M819" s="76"/>
      <c r="N819" s="76"/>
      <c r="O819" s="76"/>
      <c r="P819" s="76"/>
      <c r="Q819" s="76"/>
      <c r="R819" s="76"/>
      <c r="S819" s="76"/>
      <c r="T819" s="76"/>
      <c r="U819" s="76"/>
      <c r="V819" s="76"/>
      <c r="W819" s="76"/>
      <c r="X819" s="76"/>
      <c r="Y819" s="76"/>
      <c r="Z819" s="76"/>
      <c r="AA819" s="76"/>
      <c r="AB819" s="76"/>
      <c r="AC819" s="76"/>
      <c r="AD819" s="76"/>
      <c r="AE819" s="76"/>
      <c r="AF819" s="76"/>
    </row>
    <row r="820">
      <c r="A820" s="76"/>
      <c r="B820" s="170"/>
      <c r="C820" s="76"/>
      <c r="D820" s="173"/>
      <c r="E820" s="173"/>
      <c r="F820" s="173"/>
      <c r="G820" s="175"/>
      <c r="H820" s="173"/>
      <c r="I820" s="173"/>
      <c r="J820" s="173"/>
      <c r="K820" s="173"/>
      <c r="L820" s="76"/>
      <c r="M820" s="76"/>
      <c r="N820" s="76"/>
      <c r="O820" s="76"/>
      <c r="P820" s="76"/>
      <c r="Q820" s="76"/>
      <c r="R820" s="76"/>
      <c r="S820" s="76"/>
      <c r="T820" s="76"/>
      <c r="U820" s="76"/>
      <c r="V820" s="76"/>
      <c r="W820" s="76"/>
      <c r="X820" s="76"/>
      <c r="Y820" s="76"/>
      <c r="Z820" s="76"/>
      <c r="AA820" s="76"/>
      <c r="AB820" s="76"/>
      <c r="AC820" s="76"/>
      <c r="AD820" s="76"/>
      <c r="AE820" s="76"/>
      <c r="AF820" s="76"/>
    </row>
    <row r="821">
      <c r="A821" s="76"/>
      <c r="B821" s="170"/>
      <c r="C821" s="76"/>
      <c r="D821" s="173"/>
      <c r="E821" s="173"/>
      <c r="F821" s="173"/>
      <c r="G821" s="175"/>
      <c r="H821" s="173"/>
      <c r="I821" s="173"/>
      <c r="J821" s="173"/>
      <c r="K821" s="173"/>
      <c r="L821" s="76"/>
      <c r="M821" s="76"/>
      <c r="N821" s="76"/>
      <c r="O821" s="76"/>
      <c r="P821" s="76"/>
      <c r="Q821" s="76"/>
      <c r="R821" s="76"/>
      <c r="S821" s="76"/>
      <c r="T821" s="76"/>
      <c r="U821" s="76"/>
      <c r="V821" s="76"/>
      <c r="W821" s="76"/>
      <c r="X821" s="76"/>
      <c r="Y821" s="76"/>
      <c r="Z821" s="76"/>
      <c r="AA821" s="76"/>
      <c r="AB821" s="76"/>
      <c r="AC821" s="76"/>
      <c r="AD821" s="76"/>
      <c r="AE821" s="76"/>
      <c r="AF821" s="76"/>
    </row>
    <row r="822">
      <c r="A822" s="76"/>
      <c r="B822" s="170"/>
      <c r="C822" s="76"/>
      <c r="D822" s="173"/>
      <c r="E822" s="173"/>
      <c r="F822" s="173"/>
      <c r="G822" s="175"/>
      <c r="H822" s="173"/>
      <c r="I822" s="173"/>
      <c r="J822" s="173"/>
      <c r="K822" s="173"/>
      <c r="L822" s="76"/>
      <c r="M822" s="76"/>
      <c r="N822" s="76"/>
      <c r="O822" s="76"/>
      <c r="P822" s="76"/>
      <c r="Q822" s="76"/>
      <c r="R822" s="76"/>
      <c r="S822" s="76"/>
      <c r="T822" s="76"/>
      <c r="U822" s="76"/>
      <c r="V822" s="76"/>
      <c r="W822" s="76"/>
      <c r="X822" s="76"/>
      <c r="Y822" s="76"/>
      <c r="Z822" s="76"/>
      <c r="AA822" s="76"/>
      <c r="AB822" s="76"/>
      <c r="AC822" s="76"/>
      <c r="AD822" s="76"/>
      <c r="AE822" s="76"/>
      <c r="AF822" s="76"/>
    </row>
    <row r="823">
      <c r="A823" s="76"/>
      <c r="B823" s="170"/>
      <c r="C823" s="76"/>
      <c r="D823" s="173"/>
      <c r="E823" s="173"/>
      <c r="F823" s="173"/>
      <c r="G823" s="175"/>
      <c r="H823" s="173"/>
      <c r="I823" s="173"/>
      <c r="J823" s="173"/>
      <c r="K823" s="173"/>
      <c r="L823" s="76"/>
      <c r="M823" s="76"/>
      <c r="N823" s="76"/>
      <c r="O823" s="76"/>
      <c r="P823" s="76"/>
      <c r="Q823" s="76"/>
      <c r="R823" s="76"/>
      <c r="S823" s="76"/>
      <c r="T823" s="76"/>
      <c r="U823" s="76"/>
      <c r="V823" s="76"/>
      <c r="W823" s="76"/>
      <c r="X823" s="76"/>
      <c r="Y823" s="76"/>
      <c r="Z823" s="76"/>
      <c r="AA823" s="76"/>
      <c r="AB823" s="76"/>
      <c r="AC823" s="76"/>
      <c r="AD823" s="76"/>
      <c r="AE823" s="76"/>
      <c r="AF823" s="76"/>
    </row>
    <row r="824">
      <c r="A824" s="76"/>
      <c r="B824" s="170"/>
      <c r="C824" s="76"/>
      <c r="D824" s="173"/>
      <c r="E824" s="173"/>
      <c r="F824" s="173"/>
      <c r="G824" s="175"/>
      <c r="H824" s="173"/>
      <c r="I824" s="173"/>
      <c r="J824" s="173"/>
      <c r="K824" s="173"/>
      <c r="L824" s="76"/>
      <c r="M824" s="76"/>
      <c r="N824" s="76"/>
      <c r="O824" s="76"/>
      <c r="P824" s="76"/>
      <c r="Q824" s="76"/>
      <c r="R824" s="76"/>
      <c r="S824" s="76"/>
      <c r="T824" s="76"/>
      <c r="U824" s="76"/>
      <c r="V824" s="76"/>
      <c r="W824" s="76"/>
      <c r="X824" s="76"/>
      <c r="Y824" s="76"/>
      <c r="Z824" s="76"/>
      <c r="AA824" s="76"/>
      <c r="AB824" s="76"/>
      <c r="AC824" s="76"/>
      <c r="AD824" s="76"/>
      <c r="AE824" s="76"/>
      <c r="AF824" s="76"/>
    </row>
    <row r="825">
      <c r="A825" s="76"/>
      <c r="B825" s="170"/>
      <c r="C825" s="76"/>
      <c r="D825" s="173"/>
      <c r="E825" s="173"/>
      <c r="F825" s="173"/>
      <c r="G825" s="175"/>
      <c r="H825" s="173"/>
      <c r="I825" s="173"/>
      <c r="J825" s="173"/>
      <c r="K825" s="173"/>
      <c r="L825" s="76"/>
      <c r="M825" s="76"/>
      <c r="N825" s="76"/>
      <c r="O825" s="76"/>
      <c r="P825" s="76"/>
      <c r="Q825" s="76"/>
      <c r="R825" s="76"/>
      <c r="S825" s="76"/>
      <c r="T825" s="76"/>
      <c r="U825" s="76"/>
      <c r="V825" s="76"/>
      <c r="W825" s="76"/>
      <c r="X825" s="76"/>
      <c r="Y825" s="76"/>
      <c r="Z825" s="76"/>
      <c r="AA825" s="76"/>
      <c r="AB825" s="76"/>
      <c r="AC825" s="76"/>
      <c r="AD825" s="76"/>
      <c r="AE825" s="76"/>
      <c r="AF825" s="76"/>
    </row>
    <row r="826">
      <c r="A826" s="76"/>
      <c r="B826" s="170"/>
      <c r="C826" s="76"/>
      <c r="D826" s="173"/>
      <c r="E826" s="173"/>
      <c r="F826" s="173"/>
      <c r="G826" s="175"/>
      <c r="H826" s="173"/>
      <c r="I826" s="173"/>
      <c r="J826" s="173"/>
      <c r="K826" s="173"/>
      <c r="L826" s="76"/>
      <c r="M826" s="76"/>
      <c r="N826" s="76"/>
      <c r="O826" s="76"/>
      <c r="P826" s="76"/>
      <c r="Q826" s="76"/>
      <c r="R826" s="76"/>
      <c r="S826" s="76"/>
      <c r="T826" s="76"/>
      <c r="U826" s="76"/>
      <c r="V826" s="76"/>
      <c r="W826" s="76"/>
      <c r="X826" s="76"/>
      <c r="Y826" s="76"/>
      <c r="Z826" s="76"/>
      <c r="AA826" s="76"/>
      <c r="AB826" s="76"/>
      <c r="AC826" s="76"/>
      <c r="AD826" s="76"/>
      <c r="AE826" s="76"/>
      <c r="AF826" s="76"/>
    </row>
    <row r="827">
      <c r="A827" s="76"/>
      <c r="B827" s="170"/>
      <c r="C827" s="76"/>
      <c r="D827" s="173"/>
      <c r="E827" s="173"/>
      <c r="F827" s="173"/>
      <c r="G827" s="175"/>
      <c r="H827" s="173"/>
      <c r="I827" s="173"/>
      <c r="J827" s="173"/>
      <c r="K827" s="173"/>
      <c r="L827" s="76"/>
      <c r="M827" s="76"/>
      <c r="N827" s="76"/>
      <c r="O827" s="76"/>
      <c r="P827" s="76"/>
      <c r="Q827" s="76"/>
      <c r="R827" s="76"/>
      <c r="S827" s="76"/>
      <c r="T827" s="76"/>
      <c r="U827" s="76"/>
      <c r="V827" s="76"/>
      <c r="W827" s="76"/>
      <c r="X827" s="76"/>
      <c r="Y827" s="76"/>
      <c r="Z827" s="76"/>
      <c r="AA827" s="76"/>
      <c r="AB827" s="76"/>
      <c r="AC827" s="76"/>
      <c r="AD827" s="76"/>
      <c r="AE827" s="76"/>
      <c r="AF827" s="76"/>
    </row>
    <row r="828">
      <c r="A828" s="76"/>
      <c r="B828" s="170"/>
      <c r="C828" s="76"/>
      <c r="D828" s="173"/>
      <c r="E828" s="173"/>
      <c r="F828" s="173"/>
      <c r="G828" s="175"/>
      <c r="H828" s="173"/>
      <c r="I828" s="173"/>
      <c r="J828" s="173"/>
      <c r="K828" s="173"/>
      <c r="L828" s="76"/>
      <c r="M828" s="76"/>
      <c r="N828" s="76"/>
      <c r="O828" s="76"/>
      <c r="P828" s="76"/>
      <c r="Q828" s="76"/>
      <c r="R828" s="76"/>
      <c r="S828" s="76"/>
      <c r="T828" s="76"/>
      <c r="U828" s="76"/>
      <c r="V828" s="76"/>
      <c r="W828" s="76"/>
      <c r="X828" s="76"/>
      <c r="Y828" s="76"/>
      <c r="Z828" s="76"/>
      <c r="AA828" s="76"/>
      <c r="AB828" s="76"/>
      <c r="AC828" s="76"/>
      <c r="AD828" s="76"/>
      <c r="AE828" s="76"/>
      <c r="AF828" s="76"/>
    </row>
    <row r="829">
      <c r="A829" s="76"/>
      <c r="B829" s="170"/>
      <c r="C829" s="76"/>
      <c r="D829" s="173"/>
      <c r="E829" s="173"/>
      <c r="F829" s="173"/>
      <c r="G829" s="175"/>
      <c r="H829" s="173"/>
      <c r="I829" s="173"/>
      <c r="J829" s="173"/>
      <c r="K829" s="173"/>
      <c r="L829" s="76"/>
      <c r="M829" s="76"/>
      <c r="N829" s="76"/>
      <c r="O829" s="76"/>
      <c r="P829" s="76"/>
      <c r="Q829" s="76"/>
      <c r="R829" s="76"/>
      <c r="S829" s="76"/>
      <c r="T829" s="76"/>
      <c r="U829" s="76"/>
      <c r="V829" s="76"/>
      <c r="W829" s="76"/>
      <c r="X829" s="76"/>
      <c r="Y829" s="76"/>
      <c r="Z829" s="76"/>
      <c r="AA829" s="76"/>
      <c r="AB829" s="76"/>
      <c r="AC829" s="76"/>
      <c r="AD829" s="76"/>
      <c r="AE829" s="76"/>
      <c r="AF829" s="76"/>
    </row>
    <row r="830">
      <c r="A830" s="76"/>
      <c r="B830" s="170"/>
      <c r="C830" s="76"/>
      <c r="D830" s="173"/>
      <c r="E830" s="173"/>
      <c r="F830" s="173"/>
      <c r="G830" s="175"/>
      <c r="H830" s="173"/>
      <c r="I830" s="173"/>
      <c r="J830" s="173"/>
      <c r="K830" s="173"/>
      <c r="L830" s="76"/>
      <c r="M830" s="76"/>
      <c r="N830" s="76"/>
      <c r="O830" s="76"/>
      <c r="P830" s="76"/>
      <c r="Q830" s="76"/>
      <c r="R830" s="76"/>
      <c r="S830" s="76"/>
      <c r="T830" s="76"/>
      <c r="U830" s="76"/>
      <c r="V830" s="76"/>
      <c r="W830" s="76"/>
      <c r="X830" s="76"/>
      <c r="Y830" s="76"/>
      <c r="Z830" s="76"/>
      <c r="AA830" s="76"/>
      <c r="AB830" s="76"/>
      <c r="AC830" s="76"/>
      <c r="AD830" s="76"/>
      <c r="AE830" s="76"/>
      <c r="AF830" s="76"/>
    </row>
    <row r="831">
      <c r="A831" s="76"/>
      <c r="B831" s="170"/>
      <c r="C831" s="76"/>
      <c r="D831" s="173"/>
      <c r="E831" s="173"/>
      <c r="F831" s="173"/>
      <c r="G831" s="175"/>
      <c r="H831" s="173"/>
      <c r="I831" s="173"/>
      <c r="J831" s="173"/>
      <c r="K831" s="173"/>
      <c r="L831" s="76"/>
      <c r="M831" s="76"/>
      <c r="N831" s="76"/>
      <c r="O831" s="76"/>
      <c r="P831" s="76"/>
      <c r="Q831" s="76"/>
      <c r="R831" s="76"/>
      <c r="S831" s="76"/>
      <c r="T831" s="76"/>
      <c r="U831" s="76"/>
      <c r="V831" s="76"/>
      <c r="W831" s="76"/>
      <c r="X831" s="76"/>
      <c r="Y831" s="76"/>
      <c r="Z831" s="76"/>
      <c r="AA831" s="76"/>
      <c r="AB831" s="76"/>
      <c r="AC831" s="76"/>
      <c r="AD831" s="76"/>
      <c r="AE831" s="76"/>
      <c r="AF831" s="76"/>
    </row>
    <row r="832">
      <c r="A832" s="76"/>
      <c r="B832" s="170"/>
      <c r="C832" s="76"/>
      <c r="D832" s="173"/>
      <c r="E832" s="173"/>
      <c r="F832" s="173"/>
      <c r="G832" s="175"/>
      <c r="H832" s="173"/>
      <c r="I832" s="173"/>
      <c r="J832" s="173"/>
      <c r="K832" s="173"/>
      <c r="L832" s="76"/>
      <c r="M832" s="76"/>
      <c r="N832" s="76"/>
      <c r="O832" s="76"/>
      <c r="P832" s="76"/>
      <c r="Q832" s="76"/>
      <c r="R832" s="76"/>
      <c r="S832" s="76"/>
      <c r="T832" s="76"/>
      <c r="U832" s="76"/>
      <c r="V832" s="76"/>
      <c r="W832" s="76"/>
      <c r="X832" s="76"/>
      <c r="Y832" s="76"/>
      <c r="Z832" s="76"/>
      <c r="AA832" s="76"/>
      <c r="AB832" s="76"/>
      <c r="AC832" s="76"/>
      <c r="AD832" s="76"/>
      <c r="AE832" s="76"/>
      <c r="AF832" s="76"/>
    </row>
    <row r="833">
      <c r="A833" s="76"/>
      <c r="B833" s="170"/>
      <c r="C833" s="76"/>
      <c r="D833" s="173"/>
      <c r="E833" s="173"/>
      <c r="F833" s="173"/>
      <c r="G833" s="175"/>
      <c r="H833" s="173"/>
      <c r="I833" s="173"/>
      <c r="J833" s="173"/>
      <c r="K833" s="173"/>
      <c r="L833" s="76"/>
      <c r="M833" s="76"/>
      <c r="N833" s="76"/>
      <c r="O833" s="76"/>
      <c r="P833" s="76"/>
      <c r="Q833" s="76"/>
      <c r="R833" s="76"/>
      <c r="S833" s="76"/>
      <c r="T833" s="76"/>
      <c r="U833" s="76"/>
      <c r="V833" s="76"/>
      <c r="W833" s="76"/>
      <c r="X833" s="76"/>
      <c r="Y833" s="76"/>
      <c r="Z833" s="76"/>
      <c r="AA833" s="76"/>
      <c r="AB833" s="76"/>
      <c r="AC833" s="76"/>
      <c r="AD833" s="76"/>
      <c r="AE833" s="76"/>
      <c r="AF833" s="76"/>
    </row>
    <row r="834">
      <c r="A834" s="76"/>
      <c r="B834" s="170"/>
      <c r="C834" s="76"/>
      <c r="D834" s="173"/>
      <c r="E834" s="173"/>
      <c r="F834" s="173"/>
      <c r="G834" s="175"/>
      <c r="H834" s="173"/>
      <c r="I834" s="173"/>
      <c r="J834" s="173"/>
      <c r="K834" s="173"/>
      <c r="L834" s="76"/>
      <c r="M834" s="76"/>
      <c r="N834" s="76"/>
      <c r="O834" s="76"/>
      <c r="P834" s="76"/>
      <c r="Q834" s="76"/>
      <c r="R834" s="76"/>
      <c r="S834" s="76"/>
      <c r="T834" s="76"/>
      <c r="U834" s="76"/>
      <c r="V834" s="76"/>
      <c r="W834" s="76"/>
      <c r="X834" s="76"/>
      <c r="Y834" s="76"/>
      <c r="Z834" s="76"/>
      <c r="AA834" s="76"/>
      <c r="AB834" s="76"/>
      <c r="AC834" s="76"/>
      <c r="AD834" s="76"/>
      <c r="AE834" s="76"/>
      <c r="AF834" s="76"/>
    </row>
    <row r="835">
      <c r="A835" s="76"/>
      <c r="B835" s="170"/>
      <c r="C835" s="76"/>
      <c r="D835" s="173"/>
      <c r="E835" s="173"/>
      <c r="F835" s="173"/>
      <c r="G835" s="175"/>
      <c r="H835" s="173"/>
      <c r="I835" s="173"/>
      <c r="J835" s="173"/>
      <c r="K835" s="173"/>
      <c r="L835" s="76"/>
      <c r="M835" s="76"/>
      <c r="N835" s="76"/>
      <c r="O835" s="76"/>
      <c r="P835" s="76"/>
      <c r="Q835" s="76"/>
      <c r="R835" s="76"/>
      <c r="S835" s="76"/>
      <c r="T835" s="76"/>
      <c r="U835" s="76"/>
      <c r="V835" s="76"/>
      <c r="W835" s="76"/>
      <c r="X835" s="76"/>
      <c r="Y835" s="76"/>
      <c r="Z835" s="76"/>
      <c r="AA835" s="76"/>
      <c r="AB835" s="76"/>
      <c r="AC835" s="76"/>
      <c r="AD835" s="76"/>
      <c r="AE835" s="76"/>
      <c r="AF835" s="76"/>
    </row>
    <row r="836">
      <c r="A836" s="76"/>
      <c r="B836" s="170"/>
      <c r="C836" s="76"/>
      <c r="D836" s="173"/>
      <c r="E836" s="173"/>
      <c r="F836" s="173"/>
      <c r="G836" s="175"/>
      <c r="H836" s="173"/>
      <c r="I836" s="173"/>
      <c r="J836" s="173"/>
      <c r="K836" s="173"/>
      <c r="L836" s="76"/>
      <c r="M836" s="76"/>
      <c r="N836" s="76"/>
      <c r="O836" s="76"/>
      <c r="P836" s="76"/>
      <c r="Q836" s="76"/>
      <c r="R836" s="76"/>
      <c r="S836" s="76"/>
      <c r="T836" s="76"/>
      <c r="U836" s="76"/>
      <c r="V836" s="76"/>
      <c r="W836" s="76"/>
      <c r="X836" s="76"/>
      <c r="Y836" s="76"/>
      <c r="Z836" s="76"/>
      <c r="AA836" s="76"/>
      <c r="AB836" s="76"/>
      <c r="AC836" s="76"/>
      <c r="AD836" s="76"/>
      <c r="AE836" s="76"/>
      <c r="AF836" s="76"/>
    </row>
    <row r="837">
      <c r="A837" s="76"/>
      <c r="B837" s="170"/>
      <c r="C837" s="76"/>
      <c r="D837" s="173"/>
      <c r="E837" s="173"/>
      <c r="F837" s="173"/>
      <c r="G837" s="175"/>
      <c r="H837" s="173"/>
      <c r="I837" s="173"/>
      <c r="J837" s="173"/>
      <c r="K837" s="173"/>
      <c r="L837" s="76"/>
      <c r="M837" s="76"/>
      <c r="N837" s="76"/>
      <c r="O837" s="76"/>
      <c r="P837" s="76"/>
      <c r="Q837" s="76"/>
      <c r="R837" s="76"/>
      <c r="S837" s="76"/>
      <c r="T837" s="76"/>
      <c r="U837" s="76"/>
      <c r="V837" s="76"/>
      <c r="W837" s="76"/>
      <c r="X837" s="76"/>
      <c r="Y837" s="76"/>
      <c r="Z837" s="76"/>
      <c r="AA837" s="76"/>
      <c r="AB837" s="76"/>
      <c r="AC837" s="76"/>
      <c r="AD837" s="76"/>
      <c r="AE837" s="76"/>
      <c r="AF837" s="76"/>
    </row>
    <row r="838">
      <c r="A838" s="76"/>
      <c r="B838" s="170"/>
      <c r="C838" s="76"/>
      <c r="D838" s="173"/>
      <c r="E838" s="173"/>
      <c r="F838" s="173"/>
      <c r="G838" s="175"/>
      <c r="H838" s="173"/>
      <c r="I838" s="173"/>
      <c r="J838" s="173"/>
      <c r="K838" s="173"/>
      <c r="L838" s="76"/>
      <c r="M838" s="76"/>
      <c r="N838" s="76"/>
      <c r="O838" s="76"/>
      <c r="P838" s="76"/>
      <c r="Q838" s="76"/>
      <c r="R838" s="76"/>
      <c r="S838" s="76"/>
      <c r="T838" s="76"/>
      <c r="U838" s="76"/>
      <c r="V838" s="76"/>
      <c r="W838" s="76"/>
      <c r="X838" s="76"/>
      <c r="Y838" s="76"/>
      <c r="Z838" s="76"/>
      <c r="AA838" s="76"/>
      <c r="AB838" s="76"/>
      <c r="AC838" s="76"/>
      <c r="AD838" s="76"/>
      <c r="AE838" s="76"/>
      <c r="AF838" s="76"/>
    </row>
    <row r="839">
      <c r="A839" s="76"/>
      <c r="B839" s="170"/>
      <c r="C839" s="76"/>
      <c r="D839" s="173"/>
      <c r="E839" s="173"/>
      <c r="F839" s="173"/>
      <c r="G839" s="175"/>
      <c r="H839" s="173"/>
      <c r="I839" s="173"/>
      <c r="J839" s="173"/>
      <c r="K839" s="173"/>
      <c r="L839" s="76"/>
      <c r="M839" s="76"/>
      <c r="N839" s="76"/>
      <c r="O839" s="76"/>
      <c r="P839" s="76"/>
      <c r="Q839" s="76"/>
      <c r="R839" s="76"/>
      <c r="S839" s="76"/>
      <c r="T839" s="76"/>
      <c r="U839" s="76"/>
      <c r="V839" s="76"/>
      <c r="W839" s="76"/>
      <c r="X839" s="76"/>
      <c r="Y839" s="76"/>
      <c r="Z839" s="76"/>
      <c r="AA839" s="76"/>
      <c r="AB839" s="76"/>
      <c r="AC839" s="76"/>
      <c r="AD839" s="76"/>
      <c r="AE839" s="76"/>
      <c r="AF839" s="76"/>
    </row>
    <row r="840">
      <c r="A840" s="76"/>
      <c r="B840" s="170"/>
      <c r="C840" s="76"/>
      <c r="D840" s="173"/>
      <c r="E840" s="173"/>
      <c r="F840" s="173"/>
      <c r="G840" s="175"/>
      <c r="H840" s="173"/>
      <c r="I840" s="173"/>
      <c r="J840" s="173"/>
      <c r="K840" s="173"/>
      <c r="L840" s="76"/>
      <c r="M840" s="76"/>
      <c r="N840" s="76"/>
      <c r="O840" s="76"/>
      <c r="P840" s="76"/>
      <c r="Q840" s="76"/>
      <c r="R840" s="76"/>
      <c r="S840" s="76"/>
      <c r="T840" s="76"/>
      <c r="U840" s="76"/>
      <c r="V840" s="76"/>
      <c r="W840" s="76"/>
      <c r="X840" s="76"/>
      <c r="Y840" s="76"/>
      <c r="Z840" s="76"/>
      <c r="AA840" s="76"/>
      <c r="AB840" s="76"/>
      <c r="AC840" s="76"/>
      <c r="AD840" s="76"/>
      <c r="AE840" s="76"/>
      <c r="AF840" s="76"/>
    </row>
    <row r="841">
      <c r="A841" s="76"/>
      <c r="B841" s="170"/>
      <c r="C841" s="76"/>
      <c r="D841" s="173"/>
      <c r="E841" s="173"/>
      <c r="F841" s="173"/>
      <c r="G841" s="175"/>
      <c r="H841" s="173"/>
      <c r="I841" s="173"/>
      <c r="J841" s="173"/>
      <c r="K841" s="173"/>
      <c r="L841" s="76"/>
      <c r="M841" s="76"/>
      <c r="N841" s="76"/>
      <c r="O841" s="76"/>
      <c r="P841" s="76"/>
      <c r="Q841" s="76"/>
      <c r="R841" s="76"/>
      <c r="S841" s="76"/>
      <c r="T841" s="76"/>
      <c r="U841" s="76"/>
      <c r="V841" s="76"/>
      <c r="W841" s="76"/>
      <c r="X841" s="76"/>
      <c r="Y841" s="76"/>
      <c r="Z841" s="76"/>
      <c r="AA841" s="76"/>
      <c r="AB841" s="76"/>
      <c r="AC841" s="76"/>
      <c r="AD841" s="76"/>
      <c r="AE841" s="76"/>
      <c r="AF841" s="76"/>
    </row>
    <row r="842">
      <c r="A842" s="76"/>
      <c r="B842" s="170"/>
      <c r="C842" s="76"/>
      <c r="D842" s="173"/>
      <c r="E842" s="173"/>
      <c r="F842" s="173"/>
      <c r="G842" s="175"/>
      <c r="H842" s="173"/>
      <c r="I842" s="173"/>
      <c r="J842" s="173"/>
      <c r="K842" s="173"/>
      <c r="L842" s="76"/>
      <c r="M842" s="76"/>
      <c r="N842" s="76"/>
      <c r="O842" s="76"/>
      <c r="P842" s="76"/>
      <c r="Q842" s="76"/>
      <c r="R842" s="76"/>
      <c r="S842" s="76"/>
      <c r="T842" s="76"/>
      <c r="U842" s="76"/>
      <c r="V842" s="76"/>
      <c r="W842" s="76"/>
      <c r="X842" s="76"/>
      <c r="Y842" s="76"/>
      <c r="Z842" s="76"/>
      <c r="AA842" s="76"/>
      <c r="AB842" s="76"/>
      <c r="AC842" s="76"/>
      <c r="AD842" s="76"/>
      <c r="AE842" s="76"/>
      <c r="AF842" s="76"/>
    </row>
    <row r="843">
      <c r="A843" s="76"/>
      <c r="B843" s="170"/>
      <c r="C843" s="76"/>
      <c r="D843" s="173"/>
      <c r="E843" s="173"/>
      <c r="F843" s="173"/>
      <c r="G843" s="175"/>
      <c r="H843" s="173"/>
      <c r="I843" s="173"/>
      <c r="J843" s="173"/>
      <c r="K843" s="173"/>
      <c r="L843" s="76"/>
      <c r="M843" s="76"/>
      <c r="N843" s="76"/>
      <c r="O843" s="76"/>
      <c r="P843" s="76"/>
      <c r="Q843" s="76"/>
      <c r="R843" s="76"/>
      <c r="S843" s="76"/>
      <c r="T843" s="76"/>
      <c r="U843" s="76"/>
      <c r="V843" s="76"/>
      <c r="W843" s="76"/>
      <c r="X843" s="76"/>
      <c r="Y843" s="76"/>
      <c r="Z843" s="76"/>
      <c r="AA843" s="76"/>
      <c r="AB843" s="76"/>
      <c r="AC843" s="76"/>
      <c r="AD843" s="76"/>
      <c r="AE843" s="76"/>
      <c r="AF843" s="76"/>
    </row>
    <row r="844">
      <c r="A844" s="76"/>
      <c r="B844" s="170"/>
      <c r="C844" s="76"/>
      <c r="D844" s="173"/>
      <c r="E844" s="173"/>
      <c r="F844" s="173"/>
      <c r="G844" s="175"/>
      <c r="H844" s="173"/>
      <c r="I844" s="173"/>
      <c r="J844" s="173"/>
      <c r="K844" s="173"/>
      <c r="L844" s="76"/>
      <c r="M844" s="76"/>
      <c r="N844" s="76"/>
      <c r="O844" s="76"/>
      <c r="P844" s="76"/>
      <c r="Q844" s="76"/>
      <c r="R844" s="76"/>
      <c r="S844" s="76"/>
      <c r="T844" s="76"/>
      <c r="U844" s="76"/>
      <c r="V844" s="76"/>
      <c r="W844" s="76"/>
      <c r="X844" s="76"/>
      <c r="Y844" s="76"/>
      <c r="Z844" s="76"/>
      <c r="AA844" s="76"/>
      <c r="AB844" s="76"/>
      <c r="AC844" s="76"/>
      <c r="AD844" s="76"/>
      <c r="AE844" s="76"/>
      <c r="AF844" s="76"/>
    </row>
    <row r="845">
      <c r="A845" s="76"/>
      <c r="B845" s="170"/>
      <c r="C845" s="76"/>
      <c r="D845" s="173"/>
      <c r="E845" s="173"/>
      <c r="F845" s="173"/>
      <c r="G845" s="175"/>
      <c r="H845" s="173"/>
      <c r="I845" s="173"/>
      <c r="J845" s="173"/>
      <c r="K845" s="173"/>
      <c r="L845" s="76"/>
      <c r="M845" s="76"/>
      <c r="N845" s="76"/>
      <c r="O845" s="76"/>
      <c r="P845" s="76"/>
      <c r="Q845" s="76"/>
      <c r="R845" s="76"/>
      <c r="S845" s="76"/>
      <c r="T845" s="76"/>
      <c r="U845" s="76"/>
      <c r="V845" s="76"/>
      <c r="W845" s="76"/>
      <c r="X845" s="76"/>
      <c r="Y845" s="76"/>
      <c r="Z845" s="76"/>
      <c r="AA845" s="76"/>
      <c r="AB845" s="76"/>
      <c r="AC845" s="76"/>
      <c r="AD845" s="76"/>
      <c r="AE845" s="76"/>
      <c r="AF845" s="76"/>
    </row>
    <row r="846">
      <c r="A846" s="76"/>
      <c r="B846" s="170"/>
      <c r="C846" s="76"/>
      <c r="D846" s="173"/>
      <c r="E846" s="173"/>
      <c r="F846" s="173"/>
      <c r="G846" s="175"/>
      <c r="H846" s="173"/>
      <c r="I846" s="173"/>
      <c r="J846" s="173"/>
      <c r="K846" s="173"/>
      <c r="L846" s="76"/>
      <c r="M846" s="76"/>
      <c r="N846" s="76"/>
      <c r="O846" s="76"/>
      <c r="P846" s="76"/>
      <c r="Q846" s="76"/>
      <c r="R846" s="76"/>
      <c r="S846" s="76"/>
      <c r="T846" s="76"/>
      <c r="U846" s="76"/>
      <c r="V846" s="76"/>
      <c r="W846" s="76"/>
      <c r="X846" s="76"/>
      <c r="Y846" s="76"/>
      <c r="Z846" s="76"/>
      <c r="AA846" s="76"/>
      <c r="AB846" s="76"/>
      <c r="AC846" s="76"/>
      <c r="AD846" s="76"/>
      <c r="AE846" s="76"/>
      <c r="AF846" s="76"/>
    </row>
    <row r="847">
      <c r="A847" s="76"/>
      <c r="B847" s="170"/>
      <c r="C847" s="76"/>
      <c r="D847" s="173"/>
      <c r="E847" s="173"/>
      <c r="F847" s="173"/>
      <c r="G847" s="175"/>
      <c r="H847" s="173"/>
      <c r="I847" s="173"/>
      <c r="J847" s="173"/>
      <c r="K847" s="173"/>
      <c r="L847" s="76"/>
      <c r="M847" s="76"/>
      <c r="N847" s="76"/>
      <c r="O847" s="76"/>
      <c r="P847" s="76"/>
      <c r="Q847" s="76"/>
      <c r="R847" s="76"/>
      <c r="S847" s="76"/>
      <c r="T847" s="76"/>
      <c r="U847" s="76"/>
      <c r="V847" s="76"/>
      <c r="W847" s="76"/>
      <c r="X847" s="76"/>
      <c r="Y847" s="76"/>
      <c r="Z847" s="76"/>
      <c r="AA847" s="76"/>
      <c r="AB847" s="76"/>
      <c r="AC847" s="76"/>
      <c r="AD847" s="76"/>
      <c r="AE847" s="76"/>
      <c r="AF847" s="76"/>
    </row>
    <row r="848">
      <c r="A848" s="76"/>
      <c r="B848" s="170"/>
      <c r="C848" s="76"/>
      <c r="D848" s="173"/>
      <c r="E848" s="173"/>
      <c r="F848" s="173"/>
      <c r="G848" s="175"/>
      <c r="H848" s="173"/>
      <c r="I848" s="173"/>
      <c r="J848" s="173"/>
      <c r="K848" s="173"/>
      <c r="L848" s="76"/>
      <c r="M848" s="76"/>
      <c r="N848" s="76"/>
      <c r="O848" s="76"/>
      <c r="P848" s="76"/>
      <c r="Q848" s="76"/>
      <c r="R848" s="76"/>
      <c r="S848" s="76"/>
      <c r="T848" s="76"/>
      <c r="U848" s="76"/>
      <c r="V848" s="76"/>
      <c r="W848" s="76"/>
      <c r="X848" s="76"/>
      <c r="Y848" s="76"/>
      <c r="Z848" s="76"/>
      <c r="AA848" s="76"/>
      <c r="AB848" s="76"/>
      <c r="AC848" s="76"/>
      <c r="AD848" s="76"/>
      <c r="AE848" s="76"/>
      <c r="AF848" s="76"/>
    </row>
    <row r="849">
      <c r="A849" s="76"/>
      <c r="B849" s="170"/>
      <c r="C849" s="76"/>
      <c r="D849" s="173"/>
      <c r="E849" s="173"/>
      <c r="F849" s="173"/>
      <c r="G849" s="175"/>
      <c r="H849" s="173"/>
      <c r="I849" s="173"/>
      <c r="J849" s="173"/>
      <c r="K849" s="173"/>
      <c r="L849" s="76"/>
      <c r="M849" s="76"/>
      <c r="N849" s="76"/>
      <c r="O849" s="76"/>
      <c r="P849" s="76"/>
      <c r="Q849" s="76"/>
      <c r="R849" s="76"/>
      <c r="S849" s="76"/>
      <c r="T849" s="76"/>
      <c r="U849" s="76"/>
      <c r="V849" s="76"/>
      <c r="W849" s="76"/>
      <c r="X849" s="76"/>
      <c r="Y849" s="76"/>
      <c r="Z849" s="76"/>
      <c r="AA849" s="76"/>
      <c r="AB849" s="76"/>
      <c r="AC849" s="76"/>
      <c r="AD849" s="76"/>
      <c r="AE849" s="76"/>
      <c r="AF849" s="76"/>
    </row>
    <row r="850">
      <c r="A850" s="76"/>
      <c r="B850" s="170"/>
      <c r="C850" s="76"/>
      <c r="D850" s="173"/>
      <c r="E850" s="173"/>
      <c r="F850" s="173"/>
      <c r="G850" s="175"/>
      <c r="H850" s="173"/>
      <c r="I850" s="173"/>
      <c r="J850" s="173"/>
      <c r="K850" s="173"/>
      <c r="L850" s="76"/>
      <c r="M850" s="76"/>
      <c r="N850" s="76"/>
      <c r="O850" s="76"/>
      <c r="P850" s="76"/>
      <c r="Q850" s="76"/>
      <c r="R850" s="76"/>
      <c r="S850" s="76"/>
      <c r="T850" s="76"/>
      <c r="U850" s="76"/>
      <c r="V850" s="76"/>
      <c r="W850" s="76"/>
      <c r="X850" s="76"/>
      <c r="Y850" s="76"/>
      <c r="Z850" s="76"/>
      <c r="AA850" s="76"/>
      <c r="AB850" s="76"/>
      <c r="AC850" s="76"/>
      <c r="AD850" s="76"/>
      <c r="AE850" s="76"/>
      <c r="AF850" s="76"/>
    </row>
    <row r="851">
      <c r="A851" s="76"/>
      <c r="B851" s="170"/>
      <c r="C851" s="76"/>
      <c r="D851" s="173"/>
      <c r="E851" s="173"/>
      <c r="F851" s="173"/>
      <c r="G851" s="175"/>
      <c r="H851" s="173"/>
      <c r="I851" s="173"/>
      <c r="J851" s="173"/>
      <c r="K851" s="173"/>
      <c r="L851" s="76"/>
      <c r="M851" s="76"/>
      <c r="N851" s="76"/>
      <c r="O851" s="76"/>
      <c r="P851" s="76"/>
      <c r="Q851" s="76"/>
      <c r="R851" s="76"/>
      <c r="S851" s="76"/>
      <c r="T851" s="76"/>
      <c r="U851" s="76"/>
      <c r="V851" s="76"/>
      <c r="W851" s="76"/>
      <c r="X851" s="76"/>
      <c r="Y851" s="76"/>
      <c r="Z851" s="76"/>
      <c r="AA851" s="76"/>
      <c r="AB851" s="76"/>
      <c r="AC851" s="76"/>
      <c r="AD851" s="76"/>
      <c r="AE851" s="76"/>
      <c r="AF851" s="76"/>
    </row>
    <row r="852">
      <c r="A852" s="76"/>
      <c r="B852" s="170"/>
      <c r="C852" s="76"/>
      <c r="D852" s="173"/>
      <c r="E852" s="173"/>
      <c r="F852" s="173"/>
      <c r="G852" s="175"/>
      <c r="H852" s="173"/>
      <c r="I852" s="173"/>
      <c r="J852" s="173"/>
      <c r="K852" s="173"/>
      <c r="L852" s="76"/>
      <c r="M852" s="76"/>
      <c r="N852" s="76"/>
      <c r="O852" s="76"/>
      <c r="P852" s="76"/>
      <c r="Q852" s="76"/>
      <c r="R852" s="76"/>
      <c r="S852" s="76"/>
      <c r="T852" s="76"/>
      <c r="U852" s="76"/>
      <c r="V852" s="76"/>
      <c r="W852" s="76"/>
      <c r="X852" s="76"/>
      <c r="Y852" s="76"/>
      <c r="Z852" s="76"/>
      <c r="AA852" s="76"/>
      <c r="AB852" s="76"/>
      <c r="AC852" s="76"/>
      <c r="AD852" s="76"/>
      <c r="AE852" s="76"/>
      <c r="AF852" s="76"/>
    </row>
    <row r="853">
      <c r="A853" s="76"/>
      <c r="B853" s="170"/>
      <c r="C853" s="76"/>
      <c r="D853" s="173"/>
      <c r="E853" s="173"/>
      <c r="F853" s="173"/>
      <c r="G853" s="175"/>
      <c r="H853" s="173"/>
      <c r="I853" s="173"/>
      <c r="J853" s="173"/>
      <c r="K853" s="173"/>
      <c r="L853" s="76"/>
      <c r="M853" s="76"/>
      <c r="N853" s="76"/>
      <c r="O853" s="76"/>
      <c r="P853" s="76"/>
      <c r="Q853" s="76"/>
      <c r="R853" s="76"/>
      <c r="S853" s="76"/>
      <c r="T853" s="76"/>
      <c r="U853" s="76"/>
      <c r="V853" s="76"/>
      <c r="W853" s="76"/>
      <c r="X853" s="76"/>
      <c r="Y853" s="76"/>
      <c r="Z853" s="76"/>
      <c r="AA853" s="76"/>
      <c r="AB853" s="76"/>
      <c r="AC853" s="76"/>
      <c r="AD853" s="76"/>
      <c r="AE853" s="76"/>
      <c r="AF853" s="76"/>
    </row>
    <row r="854">
      <c r="A854" s="76"/>
      <c r="B854" s="170"/>
      <c r="C854" s="76"/>
      <c r="D854" s="173"/>
      <c r="E854" s="173"/>
      <c r="F854" s="173"/>
      <c r="G854" s="175"/>
      <c r="H854" s="173"/>
      <c r="I854" s="173"/>
      <c r="J854" s="173"/>
      <c r="K854" s="173"/>
      <c r="L854" s="76"/>
      <c r="M854" s="76"/>
      <c r="N854" s="76"/>
      <c r="O854" s="76"/>
      <c r="P854" s="76"/>
      <c r="Q854" s="76"/>
      <c r="R854" s="76"/>
      <c r="S854" s="76"/>
      <c r="T854" s="76"/>
      <c r="U854" s="76"/>
      <c r="V854" s="76"/>
      <c r="W854" s="76"/>
      <c r="X854" s="76"/>
      <c r="Y854" s="76"/>
      <c r="Z854" s="76"/>
      <c r="AA854" s="76"/>
      <c r="AB854" s="76"/>
      <c r="AC854" s="76"/>
      <c r="AD854" s="76"/>
      <c r="AE854" s="76"/>
      <c r="AF854" s="76"/>
    </row>
    <row r="855">
      <c r="A855" s="76"/>
      <c r="B855" s="170"/>
      <c r="C855" s="76"/>
      <c r="D855" s="173"/>
      <c r="E855" s="173"/>
      <c r="F855" s="173"/>
      <c r="G855" s="175"/>
      <c r="H855" s="173"/>
      <c r="I855" s="173"/>
      <c r="J855" s="173"/>
      <c r="K855" s="173"/>
      <c r="L855" s="76"/>
      <c r="M855" s="76"/>
      <c r="N855" s="76"/>
      <c r="O855" s="76"/>
      <c r="P855" s="76"/>
      <c r="Q855" s="76"/>
      <c r="R855" s="76"/>
      <c r="S855" s="76"/>
      <c r="T855" s="76"/>
      <c r="U855" s="76"/>
      <c r="V855" s="76"/>
      <c r="W855" s="76"/>
      <c r="X855" s="76"/>
      <c r="Y855" s="76"/>
      <c r="Z855" s="76"/>
      <c r="AA855" s="76"/>
      <c r="AB855" s="76"/>
      <c r="AC855" s="76"/>
      <c r="AD855" s="76"/>
      <c r="AE855" s="76"/>
      <c r="AF855" s="76"/>
    </row>
    <row r="856">
      <c r="A856" s="76"/>
      <c r="B856" s="170"/>
      <c r="C856" s="76"/>
      <c r="D856" s="173"/>
      <c r="E856" s="173"/>
      <c r="F856" s="173"/>
      <c r="G856" s="175"/>
      <c r="H856" s="173"/>
      <c r="I856" s="173"/>
      <c r="J856" s="173"/>
      <c r="K856" s="173"/>
      <c r="L856" s="76"/>
      <c r="M856" s="76"/>
      <c r="N856" s="76"/>
      <c r="O856" s="76"/>
      <c r="P856" s="76"/>
      <c r="Q856" s="76"/>
      <c r="R856" s="76"/>
      <c r="S856" s="76"/>
      <c r="T856" s="76"/>
      <c r="U856" s="76"/>
      <c r="V856" s="76"/>
      <c r="W856" s="76"/>
      <c r="X856" s="76"/>
      <c r="Y856" s="76"/>
      <c r="Z856" s="76"/>
      <c r="AA856" s="76"/>
      <c r="AB856" s="76"/>
      <c r="AC856" s="76"/>
      <c r="AD856" s="76"/>
      <c r="AE856" s="76"/>
      <c r="AF856" s="76"/>
    </row>
    <row r="857">
      <c r="A857" s="76"/>
      <c r="B857" s="170"/>
      <c r="C857" s="76"/>
      <c r="D857" s="173"/>
      <c r="E857" s="173"/>
      <c r="F857" s="173"/>
      <c r="G857" s="175"/>
      <c r="H857" s="173"/>
      <c r="I857" s="173"/>
      <c r="J857" s="173"/>
      <c r="K857" s="173"/>
      <c r="L857" s="76"/>
      <c r="M857" s="76"/>
      <c r="N857" s="76"/>
      <c r="O857" s="76"/>
      <c r="P857" s="76"/>
      <c r="Q857" s="76"/>
      <c r="R857" s="76"/>
      <c r="S857" s="76"/>
      <c r="T857" s="76"/>
      <c r="U857" s="76"/>
      <c r="V857" s="76"/>
      <c r="W857" s="76"/>
      <c r="X857" s="76"/>
      <c r="Y857" s="76"/>
      <c r="Z857" s="76"/>
      <c r="AA857" s="76"/>
      <c r="AB857" s="76"/>
      <c r="AC857" s="76"/>
      <c r="AD857" s="76"/>
      <c r="AE857" s="76"/>
      <c r="AF857" s="76"/>
    </row>
    <row r="858">
      <c r="A858" s="76"/>
      <c r="B858" s="170"/>
      <c r="C858" s="76"/>
      <c r="D858" s="173"/>
      <c r="E858" s="173"/>
      <c r="F858" s="173"/>
      <c r="G858" s="175"/>
      <c r="H858" s="173"/>
      <c r="I858" s="173"/>
      <c r="J858" s="173"/>
      <c r="K858" s="173"/>
      <c r="L858" s="76"/>
      <c r="M858" s="76"/>
      <c r="N858" s="76"/>
      <c r="O858" s="76"/>
      <c r="P858" s="76"/>
      <c r="Q858" s="76"/>
      <c r="R858" s="76"/>
      <c r="S858" s="76"/>
      <c r="T858" s="76"/>
      <c r="U858" s="76"/>
      <c r="V858" s="76"/>
      <c r="W858" s="76"/>
      <c r="X858" s="76"/>
      <c r="Y858" s="76"/>
      <c r="Z858" s="76"/>
      <c r="AA858" s="76"/>
      <c r="AB858" s="76"/>
      <c r="AC858" s="76"/>
      <c r="AD858" s="76"/>
      <c r="AE858" s="76"/>
      <c r="AF858" s="76"/>
    </row>
    <row r="859">
      <c r="A859" s="76"/>
      <c r="B859" s="170"/>
      <c r="C859" s="76"/>
      <c r="D859" s="173"/>
      <c r="E859" s="173"/>
      <c r="F859" s="173"/>
      <c r="G859" s="175"/>
      <c r="H859" s="173"/>
      <c r="I859" s="173"/>
      <c r="J859" s="173"/>
      <c r="K859" s="173"/>
      <c r="L859" s="76"/>
      <c r="M859" s="76"/>
      <c r="N859" s="76"/>
      <c r="O859" s="76"/>
      <c r="P859" s="76"/>
      <c r="Q859" s="76"/>
      <c r="R859" s="76"/>
      <c r="S859" s="76"/>
      <c r="T859" s="76"/>
      <c r="U859" s="76"/>
      <c r="V859" s="76"/>
      <c r="W859" s="76"/>
      <c r="X859" s="76"/>
      <c r="Y859" s="76"/>
      <c r="Z859" s="76"/>
      <c r="AA859" s="76"/>
      <c r="AB859" s="76"/>
      <c r="AC859" s="76"/>
      <c r="AD859" s="76"/>
      <c r="AE859" s="76"/>
      <c r="AF859" s="76"/>
    </row>
    <row r="860">
      <c r="A860" s="76"/>
      <c r="B860" s="170"/>
      <c r="C860" s="76"/>
      <c r="D860" s="173"/>
      <c r="E860" s="173"/>
      <c r="F860" s="173"/>
      <c r="G860" s="175"/>
      <c r="H860" s="173"/>
      <c r="I860" s="173"/>
      <c r="J860" s="173"/>
      <c r="K860" s="173"/>
      <c r="L860" s="76"/>
      <c r="M860" s="76"/>
      <c r="N860" s="76"/>
      <c r="O860" s="76"/>
      <c r="P860" s="76"/>
      <c r="Q860" s="76"/>
      <c r="R860" s="76"/>
      <c r="S860" s="76"/>
      <c r="T860" s="76"/>
      <c r="U860" s="76"/>
      <c r="V860" s="76"/>
      <c r="W860" s="76"/>
      <c r="X860" s="76"/>
      <c r="Y860" s="76"/>
      <c r="Z860" s="76"/>
      <c r="AA860" s="76"/>
      <c r="AB860" s="76"/>
      <c r="AC860" s="76"/>
      <c r="AD860" s="76"/>
      <c r="AE860" s="76"/>
      <c r="AF860" s="76"/>
    </row>
    <row r="861">
      <c r="A861" s="76"/>
      <c r="B861" s="170"/>
      <c r="C861" s="76"/>
      <c r="D861" s="173"/>
      <c r="E861" s="173"/>
      <c r="F861" s="173"/>
      <c r="G861" s="175"/>
      <c r="H861" s="173"/>
      <c r="I861" s="173"/>
      <c r="J861" s="173"/>
      <c r="K861" s="173"/>
      <c r="L861" s="76"/>
      <c r="M861" s="76"/>
      <c r="N861" s="76"/>
      <c r="O861" s="76"/>
      <c r="P861" s="76"/>
      <c r="Q861" s="76"/>
      <c r="R861" s="76"/>
      <c r="S861" s="76"/>
      <c r="T861" s="76"/>
      <c r="U861" s="76"/>
      <c r="V861" s="76"/>
      <c r="W861" s="76"/>
      <c r="X861" s="76"/>
      <c r="Y861" s="76"/>
      <c r="Z861" s="76"/>
      <c r="AA861" s="76"/>
      <c r="AB861" s="76"/>
      <c r="AC861" s="76"/>
      <c r="AD861" s="76"/>
      <c r="AE861" s="76"/>
      <c r="AF861" s="76"/>
    </row>
    <row r="862">
      <c r="A862" s="76"/>
      <c r="B862" s="170"/>
      <c r="C862" s="76"/>
      <c r="D862" s="173"/>
      <c r="E862" s="173"/>
      <c r="F862" s="173"/>
      <c r="G862" s="175"/>
      <c r="H862" s="173"/>
      <c r="I862" s="173"/>
      <c r="J862" s="173"/>
      <c r="K862" s="173"/>
      <c r="L862" s="76"/>
      <c r="M862" s="76"/>
      <c r="N862" s="76"/>
      <c r="O862" s="76"/>
      <c r="P862" s="76"/>
      <c r="Q862" s="76"/>
      <c r="R862" s="76"/>
      <c r="S862" s="76"/>
      <c r="T862" s="76"/>
      <c r="U862" s="76"/>
      <c r="V862" s="76"/>
      <c r="W862" s="76"/>
      <c r="X862" s="76"/>
      <c r="Y862" s="76"/>
      <c r="Z862" s="76"/>
      <c r="AA862" s="76"/>
      <c r="AB862" s="76"/>
      <c r="AC862" s="76"/>
      <c r="AD862" s="76"/>
      <c r="AE862" s="76"/>
      <c r="AF862" s="76"/>
    </row>
    <row r="863">
      <c r="A863" s="76"/>
      <c r="B863" s="170"/>
      <c r="C863" s="76"/>
      <c r="D863" s="173"/>
      <c r="E863" s="173"/>
      <c r="F863" s="173"/>
      <c r="G863" s="175"/>
      <c r="H863" s="173"/>
      <c r="I863" s="173"/>
      <c r="J863" s="173"/>
      <c r="K863" s="173"/>
      <c r="L863" s="76"/>
      <c r="M863" s="76"/>
      <c r="N863" s="76"/>
      <c r="O863" s="76"/>
      <c r="P863" s="76"/>
      <c r="Q863" s="76"/>
      <c r="R863" s="76"/>
      <c r="S863" s="76"/>
      <c r="T863" s="76"/>
      <c r="U863" s="76"/>
      <c r="V863" s="76"/>
      <c r="W863" s="76"/>
      <c r="X863" s="76"/>
      <c r="Y863" s="76"/>
      <c r="Z863" s="76"/>
      <c r="AA863" s="76"/>
      <c r="AB863" s="76"/>
      <c r="AC863" s="76"/>
      <c r="AD863" s="76"/>
      <c r="AE863" s="76"/>
      <c r="AF863" s="76"/>
    </row>
    <row r="864">
      <c r="A864" s="76"/>
      <c r="B864" s="170"/>
      <c r="C864" s="76"/>
      <c r="D864" s="173"/>
      <c r="E864" s="173"/>
      <c r="F864" s="173"/>
      <c r="G864" s="175"/>
      <c r="H864" s="173"/>
      <c r="I864" s="173"/>
      <c r="J864" s="173"/>
      <c r="K864" s="173"/>
      <c r="L864" s="76"/>
      <c r="M864" s="76"/>
      <c r="N864" s="76"/>
      <c r="O864" s="76"/>
      <c r="P864" s="76"/>
      <c r="Q864" s="76"/>
      <c r="R864" s="76"/>
      <c r="S864" s="76"/>
      <c r="T864" s="76"/>
      <c r="U864" s="76"/>
      <c r="V864" s="76"/>
      <c r="W864" s="76"/>
      <c r="X864" s="76"/>
      <c r="Y864" s="76"/>
      <c r="Z864" s="76"/>
      <c r="AA864" s="76"/>
      <c r="AB864" s="76"/>
      <c r="AC864" s="76"/>
      <c r="AD864" s="76"/>
      <c r="AE864" s="76"/>
      <c r="AF864" s="76"/>
    </row>
    <row r="865">
      <c r="A865" s="76"/>
      <c r="B865" s="170"/>
      <c r="C865" s="76"/>
      <c r="D865" s="173"/>
      <c r="E865" s="173"/>
      <c r="F865" s="173"/>
      <c r="G865" s="175"/>
      <c r="H865" s="173"/>
      <c r="I865" s="173"/>
      <c r="J865" s="173"/>
      <c r="K865" s="173"/>
      <c r="L865" s="76"/>
      <c r="M865" s="76"/>
      <c r="N865" s="76"/>
      <c r="O865" s="76"/>
      <c r="P865" s="76"/>
      <c r="Q865" s="76"/>
      <c r="R865" s="76"/>
      <c r="S865" s="76"/>
      <c r="T865" s="76"/>
      <c r="U865" s="76"/>
      <c r="V865" s="76"/>
      <c r="W865" s="76"/>
      <c r="X865" s="76"/>
      <c r="Y865" s="76"/>
      <c r="Z865" s="76"/>
      <c r="AA865" s="76"/>
      <c r="AB865" s="76"/>
      <c r="AC865" s="76"/>
      <c r="AD865" s="76"/>
      <c r="AE865" s="76"/>
      <c r="AF865" s="76"/>
    </row>
    <row r="866">
      <c r="A866" s="76"/>
      <c r="B866" s="170"/>
      <c r="C866" s="76"/>
      <c r="D866" s="173"/>
      <c r="E866" s="173"/>
      <c r="F866" s="173"/>
      <c r="G866" s="175"/>
      <c r="H866" s="173"/>
      <c r="I866" s="173"/>
      <c r="J866" s="173"/>
      <c r="K866" s="173"/>
      <c r="L866" s="76"/>
      <c r="M866" s="76"/>
      <c r="N866" s="76"/>
      <c r="O866" s="76"/>
      <c r="P866" s="76"/>
      <c r="Q866" s="76"/>
      <c r="R866" s="76"/>
      <c r="S866" s="76"/>
      <c r="T866" s="76"/>
      <c r="U866" s="76"/>
      <c r="V866" s="76"/>
      <c r="W866" s="76"/>
      <c r="X866" s="76"/>
      <c r="Y866" s="76"/>
      <c r="Z866" s="76"/>
      <c r="AA866" s="76"/>
      <c r="AB866" s="76"/>
      <c r="AC866" s="76"/>
      <c r="AD866" s="76"/>
      <c r="AE866" s="76"/>
      <c r="AF866" s="76"/>
    </row>
    <row r="867">
      <c r="A867" s="76"/>
      <c r="B867" s="170"/>
      <c r="C867" s="76"/>
      <c r="D867" s="173"/>
      <c r="E867" s="173"/>
      <c r="F867" s="173"/>
      <c r="G867" s="175"/>
      <c r="H867" s="173"/>
      <c r="I867" s="173"/>
      <c r="J867" s="173"/>
      <c r="K867" s="173"/>
      <c r="L867" s="76"/>
      <c r="M867" s="76"/>
      <c r="N867" s="76"/>
      <c r="O867" s="76"/>
      <c r="P867" s="76"/>
      <c r="Q867" s="76"/>
      <c r="R867" s="76"/>
      <c r="S867" s="76"/>
      <c r="T867" s="76"/>
      <c r="U867" s="76"/>
      <c r="V867" s="76"/>
      <c r="W867" s="76"/>
      <c r="X867" s="76"/>
      <c r="Y867" s="76"/>
      <c r="Z867" s="76"/>
      <c r="AA867" s="76"/>
      <c r="AB867" s="76"/>
      <c r="AC867" s="76"/>
      <c r="AD867" s="76"/>
      <c r="AE867" s="76"/>
      <c r="AF867" s="76"/>
    </row>
    <row r="868">
      <c r="A868" s="76"/>
      <c r="B868" s="170"/>
      <c r="C868" s="76"/>
      <c r="D868" s="173"/>
      <c r="E868" s="173"/>
      <c r="F868" s="173"/>
      <c r="G868" s="175"/>
      <c r="H868" s="173"/>
      <c r="I868" s="173"/>
      <c r="J868" s="173"/>
      <c r="K868" s="173"/>
      <c r="L868" s="76"/>
      <c r="M868" s="76"/>
      <c r="N868" s="76"/>
      <c r="O868" s="76"/>
      <c r="P868" s="76"/>
      <c r="Q868" s="76"/>
      <c r="R868" s="76"/>
      <c r="S868" s="76"/>
      <c r="T868" s="76"/>
      <c r="U868" s="76"/>
      <c r="V868" s="76"/>
      <c r="W868" s="76"/>
      <c r="X868" s="76"/>
      <c r="Y868" s="76"/>
      <c r="Z868" s="76"/>
      <c r="AA868" s="76"/>
      <c r="AB868" s="76"/>
      <c r="AC868" s="76"/>
      <c r="AD868" s="76"/>
      <c r="AE868" s="76"/>
      <c r="AF868" s="76"/>
    </row>
    <row r="869">
      <c r="A869" s="76"/>
      <c r="B869" s="170"/>
      <c r="C869" s="76"/>
      <c r="D869" s="173"/>
      <c r="E869" s="173"/>
      <c r="F869" s="173"/>
      <c r="G869" s="175"/>
      <c r="H869" s="173"/>
      <c r="I869" s="173"/>
      <c r="J869" s="173"/>
      <c r="K869" s="173"/>
      <c r="L869" s="76"/>
      <c r="M869" s="76"/>
      <c r="N869" s="76"/>
      <c r="O869" s="76"/>
      <c r="P869" s="76"/>
      <c r="Q869" s="76"/>
      <c r="R869" s="76"/>
      <c r="S869" s="76"/>
      <c r="T869" s="76"/>
      <c r="U869" s="76"/>
      <c r="V869" s="76"/>
      <c r="W869" s="76"/>
      <c r="X869" s="76"/>
      <c r="Y869" s="76"/>
      <c r="Z869" s="76"/>
      <c r="AA869" s="76"/>
      <c r="AB869" s="76"/>
      <c r="AC869" s="76"/>
      <c r="AD869" s="76"/>
      <c r="AE869" s="76"/>
      <c r="AF869" s="76"/>
    </row>
    <row r="870">
      <c r="A870" s="76"/>
      <c r="B870" s="170"/>
      <c r="C870" s="76"/>
      <c r="D870" s="173"/>
      <c r="E870" s="173"/>
      <c r="F870" s="173"/>
      <c r="G870" s="175"/>
      <c r="H870" s="173"/>
      <c r="I870" s="173"/>
      <c r="J870" s="173"/>
      <c r="K870" s="173"/>
      <c r="L870" s="76"/>
      <c r="M870" s="76"/>
      <c r="N870" s="76"/>
      <c r="O870" s="76"/>
      <c r="P870" s="76"/>
      <c r="Q870" s="76"/>
      <c r="R870" s="76"/>
      <c r="S870" s="76"/>
      <c r="T870" s="76"/>
      <c r="U870" s="76"/>
      <c r="V870" s="76"/>
      <c r="W870" s="76"/>
      <c r="X870" s="76"/>
      <c r="Y870" s="76"/>
      <c r="Z870" s="76"/>
      <c r="AA870" s="76"/>
      <c r="AB870" s="76"/>
      <c r="AC870" s="76"/>
      <c r="AD870" s="76"/>
      <c r="AE870" s="76"/>
      <c r="AF870" s="76"/>
    </row>
    <row r="871">
      <c r="A871" s="76"/>
      <c r="B871" s="170"/>
      <c r="C871" s="76"/>
      <c r="D871" s="173"/>
      <c r="E871" s="173"/>
      <c r="F871" s="173"/>
      <c r="G871" s="175"/>
      <c r="H871" s="173"/>
      <c r="I871" s="173"/>
      <c r="J871" s="173"/>
      <c r="K871" s="173"/>
      <c r="L871" s="76"/>
      <c r="M871" s="76"/>
      <c r="N871" s="76"/>
      <c r="O871" s="76"/>
      <c r="P871" s="76"/>
      <c r="Q871" s="76"/>
      <c r="R871" s="76"/>
      <c r="S871" s="76"/>
      <c r="T871" s="76"/>
      <c r="U871" s="76"/>
      <c r="V871" s="76"/>
      <c r="W871" s="76"/>
      <c r="X871" s="76"/>
      <c r="Y871" s="76"/>
      <c r="Z871" s="76"/>
      <c r="AA871" s="76"/>
      <c r="AB871" s="76"/>
      <c r="AC871" s="76"/>
      <c r="AD871" s="76"/>
      <c r="AE871" s="76"/>
      <c r="AF871" s="76"/>
    </row>
    <row r="872">
      <c r="A872" s="76"/>
      <c r="B872" s="170"/>
      <c r="C872" s="76"/>
      <c r="D872" s="173"/>
      <c r="E872" s="173"/>
      <c r="F872" s="173"/>
      <c r="G872" s="175"/>
      <c r="H872" s="173"/>
      <c r="I872" s="173"/>
      <c r="J872" s="173"/>
      <c r="K872" s="173"/>
      <c r="L872" s="76"/>
      <c r="M872" s="76"/>
      <c r="N872" s="76"/>
      <c r="O872" s="76"/>
      <c r="P872" s="76"/>
      <c r="Q872" s="76"/>
      <c r="R872" s="76"/>
      <c r="S872" s="76"/>
      <c r="T872" s="76"/>
      <c r="U872" s="76"/>
      <c r="V872" s="76"/>
      <c r="W872" s="76"/>
      <c r="X872" s="76"/>
      <c r="Y872" s="76"/>
      <c r="Z872" s="76"/>
      <c r="AA872" s="76"/>
      <c r="AB872" s="76"/>
      <c r="AC872" s="76"/>
      <c r="AD872" s="76"/>
      <c r="AE872" s="76"/>
      <c r="AF872" s="76"/>
    </row>
    <row r="873">
      <c r="A873" s="76"/>
      <c r="B873" s="170"/>
      <c r="C873" s="76"/>
      <c r="D873" s="173"/>
      <c r="E873" s="173"/>
      <c r="F873" s="173"/>
      <c r="G873" s="175"/>
      <c r="H873" s="173"/>
      <c r="I873" s="173"/>
      <c r="J873" s="173"/>
      <c r="K873" s="173"/>
      <c r="L873" s="76"/>
      <c r="M873" s="76"/>
      <c r="N873" s="76"/>
      <c r="O873" s="76"/>
      <c r="P873" s="76"/>
      <c r="Q873" s="76"/>
      <c r="R873" s="76"/>
      <c r="S873" s="76"/>
      <c r="T873" s="76"/>
      <c r="U873" s="76"/>
      <c r="V873" s="76"/>
      <c r="W873" s="76"/>
      <c r="X873" s="76"/>
      <c r="Y873" s="76"/>
      <c r="Z873" s="76"/>
      <c r="AA873" s="76"/>
      <c r="AB873" s="76"/>
      <c r="AC873" s="76"/>
      <c r="AD873" s="76"/>
      <c r="AE873" s="76"/>
      <c r="AF873" s="76"/>
    </row>
    <row r="874">
      <c r="A874" s="76"/>
      <c r="B874" s="170"/>
      <c r="C874" s="76"/>
      <c r="D874" s="173"/>
      <c r="E874" s="173"/>
      <c r="F874" s="173"/>
      <c r="G874" s="175"/>
      <c r="H874" s="173"/>
      <c r="I874" s="173"/>
      <c r="J874" s="173"/>
      <c r="K874" s="173"/>
      <c r="L874" s="76"/>
      <c r="M874" s="76"/>
      <c r="N874" s="76"/>
      <c r="O874" s="76"/>
      <c r="P874" s="76"/>
      <c r="Q874" s="76"/>
      <c r="R874" s="76"/>
      <c r="S874" s="76"/>
      <c r="T874" s="76"/>
      <c r="U874" s="76"/>
      <c r="V874" s="76"/>
      <c r="W874" s="76"/>
      <c r="X874" s="76"/>
      <c r="Y874" s="76"/>
      <c r="Z874" s="76"/>
      <c r="AA874" s="76"/>
      <c r="AB874" s="76"/>
      <c r="AC874" s="76"/>
      <c r="AD874" s="76"/>
      <c r="AE874" s="76"/>
      <c r="AF874" s="76"/>
    </row>
    <row r="875">
      <c r="A875" s="76"/>
      <c r="B875" s="170"/>
      <c r="C875" s="76"/>
      <c r="D875" s="173"/>
      <c r="E875" s="173"/>
      <c r="F875" s="173"/>
      <c r="G875" s="175"/>
      <c r="H875" s="173"/>
      <c r="I875" s="173"/>
      <c r="J875" s="173"/>
      <c r="K875" s="173"/>
      <c r="L875" s="76"/>
      <c r="M875" s="76"/>
      <c r="N875" s="76"/>
      <c r="O875" s="76"/>
      <c r="P875" s="76"/>
      <c r="Q875" s="76"/>
      <c r="R875" s="76"/>
      <c r="S875" s="76"/>
      <c r="T875" s="76"/>
      <c r="U875" s="76"/>
      <c r="V875" s="76"/>
      <c r="W875" s="76"/>
      <c r="X875" s="76"/>
      <c r="Y875" s="76"/>
      <c r="Z875" s="76"/>
      <c r="AA875" s="76"/>
      <c r="AB875" s="76"/>
      <c r="AC875" s="76"/>
      <c r="AD875" s="76"/>
      <c r="AE875" s="76"/>
      <c r="AF875" s="76"/>
    </row>
    <row r="876">
      <c r="A876" s="76"/>
      <c r="B876" s="170"/>
      <c r="C876" s="76"/>
      <c r="D876" s="173"/>
      <c r="E876" s="173"/>
      <c r="F876" s="173"/>
      <c r="G876" s="175"/>
      <c r="H876" s="173"/>
      <c r="I876" s="173"/>
      <c r="J876" s="173"/>
      <c r="K876" s="173"/>
      <c r="L876" s="76"/>
      <c r="M876" s="76"/>
      <c r="N876" s="76"/>
      <c r="O876" s="76"/>
      <c r="P876" s="76"/>
      <c r="Q876" s="76"/>
      <c r="R876" s="76"/>
      <c r="S876" s="76"/>
      <c r="T876" s="76"/>
      <c r="U876" s="76"/>
      <c r="V876" s="76"/>
      <c r="W876" s="76"/>
      <c r="X876" s="76"/>
      <c r="Y876" s="76"/>
      <c r="Z876" s="76"/>
      <c r="AA876" s="76"/>
      <c r="AB876" s="76"/>
      <c r="AC876" s="76"/>
      <c r="AD876" s="76"/>
      <c r="AE876" s="76"/>
      <c r="AF876" s="76"/>
    </row>
    <row r="877">
      <c r="A877" s="76"/>
      <c r="B877" s="170"/>
      <c r="C877" s="76"/>
      <c r="D877" s="173"/>
      <c r="E877" s="173"/>
      <c r="F877" s="173"/>
      <c r="G877" s="175"/>
      <c r="H877" s="173"/>
      <c r="I877" s="173"/>
      <c r="J877" s="173"/>
      <c r="K877" s="173"/>
      <c r="L877" s="76"/>
      <c r="M877" s="76"/>
      <c r="N877" s="76"/>
      <c r="O877" s="76"/>
      <c r="P877" s="76"/>
      <c r="Q877" s="76"/>
      <c r="R877" s="76"/>
      <c r="S877" s="76"/>
      <c r="T877" s="76"/>
      <c r="U877" s="76"/>
      <c r="V877" s="76"/>
      <c r="W877" s="76"/>
      <c r="X877" s="76"/>
      <c r="Y877" s="76"/>
      <c r="Z877" s="76"/>
      <c r="AA877" s="76"/>
      <c r="AB877" s="76"/>
      <c r="AC877" s="76"/>
      <c r="AD877" s="76"/>
      <c r="AE877" s="76"/>
      <c r="AF877" s="76"/>
    </row>
    <row r="878">
      <c r="A878" s="76"/>
      <c r="B878" s="170"/>
      <c r="C878" s="76"/>
      <c r="D878" s="173"/>
      <c r="E878" s="173"/>
      <c r="F878" s="173"/>
      <c r="G878" s="175"/>
      <c r="H878" s="173"/>
      <c r="I878" s="173"/>
      <c r="J878" s="173"/>
      <c r="K878" s="173"/>
      <c r="L878" s="76"/>
      <c r="M878" s="76"/>
      <c r="N878" s="76"/>
      <c r="O878" s="76"/>
      <c r="P878" s="76"/>
      <c r="Q878" s="76"/>
      <c r="R878" s="76"/>
      <c r="S878" s="76"/>
      <c r="T878" s="76"/>
      <c r="U878" s="76"/>
      <c r="V878" s="76"/>
      <c r="W878" s="76"/>
      <c r="X878" s="76"/>
      <c r="Y878" s="76"/>
      <c r="Z878" s="76"/>
      <c r="AA878" s="76"/>
      <c r="AB878" s="76"/>
      <c r="AC878" s="76"/>
      <c r="AD878" s="76"/>
      <c r="AE878" s="76"/>
      <c r="AF878" s="76"/>
    </row>
    <row r="879">
      <c r="A879" s="76"/>
      <c r="B879" s="170"/>
      <c r="C879" s="76"/>
      <c r="D879" s="173"/>
      <c r="E879" s="173"/>
      <c r="F879" s="173"/>
      <c r="G879" s="175"/>
      <c r="H879" s="173"/>
      <c r="I879" s="173"/>
      <c r="J879" s="173"/>
      <c r="K879" s="173"/>
      <c r="L879" s="76"/>
      <c r="M879" s="76"/>
      <c r="N879" s="76"/>
      <c r="O879" s="76"/>
      <c r="P879" s="76"/>
      <c r="Q879" s="76"/>
      <c r="R879" s="76"/>
      <c r="S879" s="76"/>
      <c r="T879" s="76"/>
      <c r="U879" s="76"/>
      <c r="V879" s="76"/>
      <c r="W879" s="76"/>
      <c r="X879" s="76"/>
      <c r="Y879" s="76"/>
      <c r="Z879" s="76"/>
      <c r="AA879" s="76"/>
      <c r="AB879" s="76"/>
      <c r="AC879" s="76"/>
      <c r="AD879" s="76"/>
      <c r="AE879" s="76"/>
      <c r="AF879" s="76"/>
    </row>
    <row r="880">
      <c r="A880" s="76"/>
      <c r="B880" s="170"/>
      <c r="C880" s="76"/>
      <c r="D880" s="173"/>
      <c r="E880" s="173"/>
      <c r="F880" s="173"/>
      <c r="G880" s="175"/>
      <c r="H880" s="173"/>
      <c r="I880" s="173"/>
      <c r="J880" s="173"/>
      <c r="K880" s="173"/>
      <c r="L880" s="76"/>
      <c r="M880" s="76"/>
      <c r="N880" s="76"/>
      <c r="O880" s="76"/>
      <c r="P880" s="76"/>
      <c r="Q880" s="76"/>
      <c r="R880" s="76"/>
      <c r="S880" s="76"/>
      <c r="T880" s="76"/>
      <c r="U880" s="76"/>
      <c r="V880" s="76"/>
      <c r="W880" s="76"/>
      <c r="X880" s="76"/>
      <c r="Y880" s="76"/>
      <c r="Z880" s="76"/>
      <c r="AA880" s="76"/>
      <c r="AB880" s="76"/>
      <c r="AC880" s="76"/>
      <c r="AD880" s="76"/>
      <c r="AE880" s="76"/>
      <c r="AF880" s="76"/>
    </row>
    <row r="881">
      <c r="A881" s="76"/>
      <c r="B881" s="170"/>
      <c r="C881" s="76"/>
      <c r="D881" s="173"/>
      <c r="E881" s="173"/>
      <c r="F881" s="173"/>
      <c r="G881" s="175"/>
      <c r="H881" s="173"/>
      <c r="I881" s="173"/>
      <c r="J881" s="173"/>
      <c r="K881" s="173"/>
      <c r="L881" s="76"/>
      <c r="M881" s="76"/>
      <c r="N881" s="76"/>
      <c r="O881" s="76"/>
      <c r="P881" s="76"/>
      <c r="Q881" s="76"/>
      <c r="R881" s="76"/>
      <c r="S881" s="76"/>
      <c r="T881" s="76"/>
      <c r="U881" s="76"/>
      <c r="V881" s="76"/>
      <c r="W881" s="76"/>
      <c r="X881" s="76"/>
      <c r="Y881" s="76"/>
      <c r="Z881" s="76"/>
      <c r="AA881" s="76"/>
      <c r="AB881" s="76"/>
      <c r="AC881" s="76"/>
      <c r="AD881" s="76"/>
      <c r="AE881" s="76"/>
      <c r="AF881" s="76"/>
    </row>
    <row r="882">
      <c r="A882" s="76"/>
      <c r="B882" s="170"/>
      <c r="C882" s="76"/>
      <c r="D882" s="173"/>
      <c r="E882" s="173"/>
      <c r="F882" s="173"/>
      <c r="G882" s="175"/>
      <c r="H882" s="173"/>
      <c r="I882" s="173"/>
      <c r="J882" s="173"/>
      <c r="K882" s="173"/>
      <c r="L882" s="76"/>
      <c r="M882" s="76"/>
      <c r="N882" s="76"/>
      <c r="O882" s="76"/>
      <c r="P882" s="76"/>
      <c r="Q882" s="76"/>
      <c r="R882" s="76"/>
      <c r="S882" s="76"/>
      <c r="T882" s="76"/>
      <c r="U882" s="76"/>
      <c r="V882" s="76"/>
      <c r="W882" s="76"/>
      <c r="X882" s="76"/>
      <c r="Y882" s="76"/>
      <c r="Z882" s="76"/>
      <c r="AA882" s="76"/>
      <c r="AB882" s="76"/>
      <c r="AC882" s="76"/>
      <c r="AD882" s="76"/>
      <c r="AE882" s="76"/>
      <c r="AF882" s="76"/>
    </row>
    <row r="883">
      <c r="A883" s="76"/>
      <c r="B883" s="170"/>
      <c r="C883" s="76"/>
      <c r="D883" s="173"/>
      <c r="E883" s="173"/>
      <c r="F883" s="173"/>
      <c r="G883" s="175"/>
      <c r="H883" s="173"/>
      <c r="I883" s="173"/>
      <c r="J883" s="173"/>
      <c r="K883" s="173"/>
      <c r="L883" s="76"/>
      <c r="M883" s="76"/>
      <c r="N883" s="76"/>
      <c r="O883" s="76"/>
      <c r="P883" s="76"/>
      <c r="Q883" s="76"/>
      <c r="R883" s="76"/>
      <c r="S883" s="76"/>
      <c r="T883" s="76"/>
      <c r="U883" s="76"/>
      <c r="V883" s="76"/>
      <c r="W883" s="76"/>
      <c r="X883" s="76"/>
      <c r="Y883" s="76"/>
      <c r="Z883" s="76"/>
      <c r="AA883" s="76"/>
      <c r="AB883" s="76"/>
      <c r="AC883" s="76"/>
      <c r="AD883" s="76"/>
      <c r="AE883" s="76"/>
      <c r="AF883" s="76"/>
    </row>
    <row r="884">
      <c r="A884" s="76"/>
      <c r="B884" s="170"/>
      <c r="C884" s="76"/>
      <c r="D884" s="173"/>
      <c r="E884" s="173"/>
      <c r="F884" s="173"/>
      <c r="G884" s="175"/>
      <c r="H884" s="173"/>
      <c r="I884" s="173"/>
      <c r="J884" s="173"/>
      <c r="K884" s="173"/>
      <c r="L884" s="76"/>
      <c r="M884" s="76"/>
      <c r="N884" s="76"/>
      <c r="O884" s="76"/>
      <c r="P884" s="76"/>
      <c r="Q884" s="76"/>
      <c r="R884" s="76"/>
      <c r="S884" s="76"/>
      <c r="T884" s="76"/>
      <c r="U884" s="76"/>
      <c r="V884" s="76"/>
      <c r="W884" s="76"/>
      <c r="X884" s="76"/>
      <c r="Y884" s="76"/>
      <c r="Z884" s="76"/>
      <c r="AA884" s="76"/>
      <c r="AB884" s="76"/>
      <c r="AC884" s="76"/>
      <c r="AD884" s="76"/>
      <c r="AE884" s="76"/>
      <c r="AF884" s="76"/>
    </row>
    <row r="885">
      <c r="A885" s="76"/>
      <c r="B885" s="170"/>
      <c r="C885" s="76"/>
      <c r="D885" s="173"/>
      <c r="E885" s="173"/>
      <c r="F885" s="173"/>
      <c r="G885" s="175"/>
      <c r="H885" s="173"/>
      <c r="I885" s="173"/>
      <c r="J885" s="173"/>
      <c r="K885" s="173"/>
      <c r="L885" s="76"/>
      <c r="M885" s="76"/>
      <c r="N885" s="76"/>
      <c r="O885" s="76"/>
      <c r="P885" s="76"/>
      <c r="Q885" s="76"/>
      <c r="R885" s="76"/>
      <c r="S885" s="76"/>
      <c r="T885" s="76"/>
      <c r="U885" s="76"/>
      <c r="V885" s="76"/>
      <c r="W885" s="76"/>
      <c r="X885" s="76"/>
      <c r="Y885" s="76"/>
      <c r="Z885" s="76"/>
      <c r="AA885" s="76"/>
      <c r="AB885" s="76"/>
      <c r="AC885" s="76"/>
      <c r="AD885" s="76"/>
      <c r="AE885" s="76"/>
      <c r="AF885" s="76"/>
    </row>
    <row r="886">
      <c r="A886" s="76"/>
      <c r="B886" s="170"/>
      <c r="C886" s="76"/>
      <c r="D886" s="173"/>
      <c r="E886" s="173"/>
      <c r="F886" s="173"/>
      <c r="G886" s="175"/>
      <c r="H886" s="173"/>
      <c r="I886" s="173"/>
      <c r="J886" s="173"/>
      <c r="K886" s="173"/>
      <c r="L886" s="76"/>
      <c r="M886" s="76"/>
      <c r="N886" s="76"/>
      <c r="O886" s="76"/>
      <c r="P886" s="76"/>
      <c r="Q886" s="76"/>
      <c r="R886" s="76"/>
      <c r="S886" s="76"/>
      <c r="T886" s="76"/>
      <c r="U886" s="76"/>
      <c r="V886" s="76"/>
      <c r="W886" s="76"/>
      <c r="X886" s="76"/>
      <c r="Y886" s="76"/>
      <c r="Z886" s="76"/>
      <c r="AA886" s="76"/>
      <c r="AB886" s="76"/>
      <c r="AC886" s="76"/>
      <c r="AD886" s="76"/>
      <c r="AE886" s="76"/>
      <c r="AF886" s="76"/>
    </row>
    <row r="887">
      <c r="A887" s="76"/>
      <c r="B887" s="170"/>
      <c r="C887" s="76"/>
      <c r="D887" s="173"/>
      <c r="E887" s="173"/>
      <c r="F887" s="173"/>
      <c r="G887" s="175"/>
      <c r="H887" s="173"/>
      <c r="I887" s="173"/>
      <c r="J887" s="173"/>
      <c r="K887" s="173"/>
      <c r="L887" s="76"/>
      <c r="M887" s="76"/>
      <c r="N887" s="76"/>
      <c r="O887" s="76"/>
      <c r="P887" s="76"/>
      <c r="Q887" s="76"/>
      <c r="R887" s="76"/>
      <c r="S887" s="76"/>
      <c r="T887" s="76"/>
      <c r="U887" s="76"/>
      <c r="V887" s="76"/>
      <c r="W887" s="76"/>
      <c r="X887" s="76"/>
      <c r="Y887" s="76"/>
      <c r="Z887" s="76"/>
      <c r="AA887" s="76"/>
      <c r="AB887" s="76"/>
      <c r="AC887" s="76"/>
      <c r="AD887" s="76"/>
      <c r="AE887" s="76"/>
      <c r="AF887" s="76"/>
    </row>
    <row r="888">
      <c r="A888" s="76"/>
      <c r="B888" s="170"/>
      <c r="C888" s="76"/>
      <c r="D888" s="173"/>
      <c r="E888" s="173"/>
      <c r="F888" s="173"/>
      <c r="G888" s="175"/>
      <c r="H888" s="173"/>
      <c r="I888" s="173"/>
      <c r="J888" s="173"/>
      <c r="K888" s="173"/>
      <c r="L888" s="76"/>
      <c r="M888" s="76"/>
      <c r="N888" s="76"/>
      <c r="O888" s="76"/>
      <c r="P888" s="76"/>
      <c r="Q888" s="76"/>
      <c r="R888" s="76"/>
      <c r="S888" s="76"/>
      <c r="T888" s="76"/>
      <c r="U888" s="76"/>
      <c r="V888" s="76"/>
      <c r="W888" s="76"/>
      <c r="X888" s="76"/>
      <c r="Y888" s="76"/>
      <c r="Z888" s="76"/>
      <c r="AA888" s="76"/>
      <c r="AB888" s="76"/>
      <c r="AC888" s="76"/>
      <c r="AD888" s="76"/>
      <c r="AE888" s="76"/>
      <c r="AF888" s="76"/>
    </row>
    <row r="889">
      <c r="A889" s="76"/>
      <c r="B889" s="170"/>
      <c r="C889" s="76"/>
      <c r="D889" s="173"/>
      <c r="E889" s="173"/>
      <c r="F889" s="173"/>
      <c r="G889" s="175"/>
      <c r="H889" s="173"/>
      <c r="I889" s="173"/>
      <c r="J889" s="173"/>
      <c r="K889" s="173"/>
      <c r="L889" s="76"/>
      <c r="M889" s="76"/>
      <c r="N889" s="76"/>
      <c r="O889" s="76"/>
      <c r="P889" s="76"/>
      <c r="Q889" s="76"/>
      <c r="R889" s="76"/>
      <c r="S889" s="76"/>
      <c r="T889" s="76"/>
      <c r="U889" s="76"/>
      <c r="V889" s="76"/>
      <c r="W889" s="76"/>
      <c r="X889" s="76"/>
      <c r="Y889" s="76"/>
      <c r="Z889" s="76"/>
      <c r="AA889" s="76"/>
      <c r="AB889" s="76"/>
      <c r="AC889" s="76"/>
      <c r="AD889" s="76"/>
      <c r="AE889" s="76"/>
      <c r="AF889" s="76"/>
    </row>
    <row r="890">
      <c r="A890" s="76"/>
      <c r="B890" s="170"/>
      <c r="C890" s="76"/>
      <c r="D890" s="173"/>
      <c r="E890" s="173"/>
      <c r="F890" s="173"/>
      <c r="G890" s="175"/>
      <c r="H890" s="173"/>
      <c r="I890" s="173"/>
      <c r="J890" s="173"/>
      <c r="K890" s="173"/>
      <c r="L890" s="76"/>
      <c r="M890" s="76"/>
      <c r="N890" s="76"/>
      <c r="O890" s="76"/>
      <c r="P890" s="76"/>
      <c r="Q890" s="76"/>
      <c r="R890" s="76"/>
      <c r="S890" s="76"/>
      <c r="T890" s="76"/>
      <c r="U890" s="76"/>
      <c r="V890" s="76"/>
      <c r="W890" s="76"/>
      <c r="X890" s="76"/>
      <c r="Y890" s="76"/>
      <c r="Z890" s="76"/>
      <c r="AA890" s="76"/>
      <c r="AB890" s="76"/>
      <c r="AC890" s="76"/>
      <c r="AD890" s="76"/>
      <c r="AE890" s="76"/>
      <c r="AF890" s="76"/>
    </row>
    <row r="891">
      <c r="A891" s="76"/>
      <c r="B891" s="170"/>
      <c r="C891" s="76"/>
      <c r="D891" s="173"/>
      <c r="E891" s="173"/>
      <c r="F891" s="173"/>
      <c r="G891" s="175"/>
      <c r="H891" s="173"/>
      <c r="I891" s="173"/>
      <c r="J891" s="173"/>
      <c r="K891" s="173"/>
      <c r="L891" s="76"/>
      <c r="M891" s="76"/>
      <c r="N891" s="76"/>
      <c r="O891" s="76"/>
      <c r="P891" s="76"/>
      <c r="Q891" s="76"/>
      <c r="R891" s="76"/>
      <c r="S891" s="76"/>
      <c r="T891" s="76"/>
      <c r="U891" s="76"/>
      <c r="V891" s="76"/>
      <c r="W891" s="76"/>
      <c r="X891" s="76"/>
      <c r="Y891" s="76"/>
      <c r="Z891" s="76"/>
      <c r="AA891" s="76"/>
      <c r="AB891" s="76"/>
      <c r="AC891" s="76"/>
      <c r="AD891" s="76"/>
      <c r="AE891" s="76"/>
      <c r="AF891" s="76"/>
    </row>
    <row r="892">
      <c r="A892" s="76"/>
      <c r="B892" s="170"/>
      <c r="C892" s="76"/>
      <c r="D892" s="173"/>
      <c r="E892" s="173"/>
      <c r="F892" s="173"/>
      <c r="G892" s="175"/>
      <c r="H892" s="173"/>
      <c r="I892" s="173"/>
      <c r="J892" s="173"/>
      <c r="K892" s="173"/>
      <c r="L892" s="76"/>
      <c r="M892" s="76"/>
      <c r="N892" s="76"/>
      <c r="O892" s="76"/>
      <c r="P892" s="76"/>
      <c r="Q892" s="76"/>
      <c r="R892" s="76"/>
      <c r="S892" s="76"/>
      <c r="T892" s="76"/>
      <c r="U892" s="76"/>
      <c r="V892" s="76"/>
      <c r="W892" s="76"/>
      <c r="X892" s="76"/>
      <c r="Y892" s="76"/>
      <c r="Z892" s="76"/>
      <c r="AA892" s="76"/>
      <c r="AB892" s="76"/>
      <c r="AC892" s="76"/>
      <c r="AD892" s="76"/>
      <c r="AE892" s="76"/>
      <c r="AF892" s="76"/>
    </row>
    <row r="893">
      <c r="A893" s="76"/>
      <c r="B893" s="170"/>
      <c r="C893" s="76"/>
      <c r="D893" s="173"/>
      <c r="E893" s="173"/>
      <c r="F893" s="173"/>
      <c r="G893" s="175"/>
      <c r="H893" s="173"/>
      <c r="I893" s="173"/>
      <c r="J893" s="173"/>
      <c r="K893" s="173"/>
      <c r="L893" s="76"/>
      <c r="M893" s="76"/>
      <c r="N893" s="76"/>
      <c r="O893" s="76"/>
      <c r="P893" s="76"/>
      <c r="Q893" s="76"/>
      <c r="R893" s="76"/>
      <c r="S893" s="76"/>
      <c r="T893" s="76"/>
      <c r="U893" s="76"/>
      <c r="V893" s="76"/>
      <c r="W893" s="76"/>
      <c r="X893" s="76"/>
      <c r="Y893" s="76"/>
      <c r="Z893" s="76"/>
      <c r="AA893" s="76"/>
      <c r="AB893" s="76"/>
      <c r="AC893" s="76"/>
      <c r="AD893" s="76"/>
      <c r="AE893" s="76"/>
      <c r="AF893" s="76"/>
    </row>
    <row r="894">
      <c r="A894" s="76"/>
      <c r="B894" s="170"/>
      <c r="C894" s="76"/>
      <c r="D894" s="173"/>
      <c r="E894" s="173"/>
      <c r="F894" s="173"/>
      <c r="G894" s="175"/>
      <c r="H894" s="173"/>
      <c r="I894" s="173"/>
      <c r="J894" s="173"/>
      <c r="K894" s="173"/>
      <c r="L894" s="76"/>
      <c r="M894" s="76"/>
      <c r="N894" s="76"/>
      <c r="O894" s="76"/>
      <c r="P894" s="76"/>
      <c r="Q894" s="76"/>
      <c r="R894" s="76"/>
      <c r="S894" s="76"/>
      <c r="T894" s="76"/>
      <c r="U894" s="76"/>
      <c r="V894" s="76"/>
      <c r="W894" s="76"/>
      <c r="X894" s="76"/>
      <c r="Y894" s="76"/>
      <c r="Z894" s="76"/>
      <c r="AA894" s="76"/>
      <c r="AB894" s="76"/>
      <c r="AC894" s="76"/>
      <c r="AD894" s="76"/>
      <c r="AE894" s="76"/>
      <c r="AF894" s="76"/>
    </row>
    <row r="895">
      <c r="A895" s="76"/>
      <c r="B895" s="170"/>
      <c r="C895" s="76"/>
      <c r="D895" s="173"/>
      <c r="E895" s="173"/>
      <c r="F895" s="173"/>
      <c r="G895" s="175"/>
      <c r="H895" s="173"/>
      <c r="I895" s="173"/>
      <c r="J895" s="173"/>
      <c r="K895" s="173"/>
      <c r="L895" s="76"/>
      <c r="M895" s="76"/>
      <c r="N895" s="76"/>
      <c r="O895" s="76"/>
      <c r="P895" s="76"/>
      <c r="Q895" s="76"/>
      <c r="R895" s="76"/>
      <c r="S895" s="76"/>
      <c r="T895" s="76"/>
      <c r="U895" s="76"/>
      <c r="V895" s="76"/>
      <c r="W895" s="76"/>
      <c r="X895" s="76"/>
      <c r="Y895" s="76"/>
      <c r="Z895" s="76"/>
      <c r="AA895" s="76"/>
      <c r="AB895" s="76"/>
      <c r="AC895" s="76"/>
      <c r="AD895" s="76"/>
      <c r="AE895" s="76"/>
      <c r="AF895" s="76"/>
    </row>
    <row r="896">
      <c r="A896" s="76"/>
      <c r="B896" s="170"/>
      <c r="C896" s="76"/>
      <c r="D896" s="173"/>
      <c r="E896" s="173"/>
      <c r="F896" s="173"/>
      <c r="G896" s="175"/>
      <c r="H896" s="173"/>
      <c r="I896" s="173"/>
      <c r="J896" s="173"/>
      <c r="K896" s="173"/>
      <c r="L896" s="76"/>
      <c r="M896" s="76"/>
      <c r="N896" s="76"/>
      <c r="O896" s="76"/>
      <c r="P896" s="76"/>
      <c r="Q896" s="76"/>
      <c r="R896" s="76"/>
      <c r="S896" s="76"/>
      <c r="T896" s="76"/>
      <c r="U896" s="76"/>
      <c r="V896" s="76"/>
      <c r="W896" s="76"/>
      <c r="X896" s="76"/>
      <c r="Y896" s="76"/>
      <c r="Z896" s="76"/>
      <c r="AA896" s="76"/>
      <c r="AB896" s="76"/>
      <c r="AC896" s="76"/>
      <c r="AD896" s="76"/>
      <c r="AE896" s="76"/>
      <c r="AF896" s="76"/>
    </row>
    <row r="897">
      <c r="A897" s="76"/>
      <c r="B897" s="170"/>
      <c r="C897" s="76"/>
      <c r="D897" s="173"/>
      <c r="E897" s="173"/>
      <c r="F897" s="173"/>
      <c r="G897" s="175"/>
      <c r="H897" s="173"/>
      <c r="I897" s="173"/>
      <c r="J897" s="173"/>
      <c r="K897" s="173"/>
      <c r="L897" s="76"/>
      <c r="M897" s="76"/>
      <c r="N897" s="76"/>
      <c r="O897" s="76"/>
      <c r="P897" s="76"/>
      <c r="Q897" s="76"/>
      <c r="R897" s="76"/>
      <c r="S897" s="76"/>
      <c r="T897" s="76"/>
      <c r="U897" s="76"/>
      <c r="V897" s="76"/>
      <c r="W897" s="76"/>
      <c r="X897" s="76"/>
      <c r="Y897" s="76"/>
      <c r="Z897" s="76"/>
      <c r="AA897" s="76"/>
      <c r="AB897" s="76"/>
      <c r="AC897" s="76"/>
      <c r="AD897" s="76"/>
      <c r="AE897" s="76"/>
      <c r="AF897" s="76"/>
    </row>
    <row r="898">
      <c r="A898" s="76"/>
      <c r="B898" s="170"/>
      <c r="C898" s="76"/>
      <c r="D898" s="173"/>
      <c r="E898" s="173"/>
      <c r="F898" s="173"/>
      <c r="G898" s="175"/>
      <c r="H898" s="173"/>
      <c r="I898" s="173"/>
      <c r="J898" s="173"/>
      <c r="K898" s="173"/>
      <c r="L898" s="76"/>
      <c r="M898" s="76"/>
      <c r="N898" s="76"/>
      <c r="O898" s="76"/>
      <c r="P898" s="76"/>
      <c r="Q898" s="76"/>
      <c r="R898" s="76"/>
      <c r="S898" s="76"/>
      <c r="T898" s="76"/>
      <c r="U898" s="76"/>
      <c r="V898" s="76"/>
      <c r="W898" s="76"/>
      <c r="X898" s="76"/>
      <c r="Y898" s="76"/>
      <c r="Z898" s="76"/>
      <c r="AA898" s="76"/>
      <c r="AB898" s="76"/>
      <c r="AC898" s="76"/>
      <c r="AD898" s="76"/>
      <c r="AE898" s="76"/>
      <c r="AF898" s="76"/>
    </row>
    <row r="899">
      <c r="A899" s="76"/>
      <c r="B899" s="170"/>
      <c r="C899" s="76"/>
      <c r="D899" s="173"/>
      <c r="E899" s="173"/>
      <c r="F899" s="173"/>
      <c r="G899" s="175"/>
      <c r="H899" s="173"/>
      <c r="I899" s="173"/>
      <c r="J899" s="173"/>
      <c r="K899" s="173"/>
      <c r="L899" s="76"/>
      <c r="M899" s="76"/>
      <c r="N899" s="76"/>
      <c r="O899" s="76"/>
      <c r="P899" s="76"/>
      <c r="Q899" s="76"/>
      <c r="R899" s="76"/>
      <c r="S899" s="76"/>
      <c r="T899" s="76"/>
      <c r="U899" s="76"/>
      <c r="V899" s="76"/>
      <c r="W899" s="76"/>
      <c r="X899" s="76"/>
      <c r="Y899" s="76"/>
      <c r="Z899" s="76"/>
      <c r="AA899" s="76"/>
      <c r="AB899" s="76"/>
      <c r="AC899" s="76"/>
      <c r="AD899" s="76"/>
      <c r="AE899" s="76"/>
      <c r="AF899" s="76"/>
    </row>
    <row r="900">
      <c r="A900" s="76"/>
      <c r="B900" s="170"/>
      <c r="C900" s="76"/>
      <c r="D900" s="173"/>
      <c r="E900" s="173"/>
      <c r="F900" s="173"/>
      <c r="G900" s="175"/>
      <c r="H900" s="173"/>
      <c r="I900" s="173"/>
      <c r="J900" s="173"/>
      <c r="K900" s="173"/>
      <c r="L900" s="76"/>
      <c r="M900" s="76"/>
      <c r="N900" s="76"/>
      <c r="O900" s="76"/>
      <c r="P900" s="76"/>
      <c r="Q900" s="76"/>
      <c r="R900" s="76"/>
      <c r="S900" s="76"/>
      <c r="T900" s="76"/>
      <c r="U900" s="76"/>
      <c r="V900" s="76"/>
      <c r="W900" s="76"/>
      <c r="X900" s="76"/>
      <c r="Y900" s="76"/>
      <c r="Z900" s="76"/>
      <c r="AA900" s="76"/>
      <c r="AB900" s="76"/>
      <c r="AC900" s="76"/>
      <c r="AD900" s="76"/>
      <c r="AE900" s="76"/>
      <c r="AF900" s="76"/>
    </row>
    <row r="901">
      <c r="A901" s="76"/>
      <c r="B901" s="170"/>
      <c r="C901" s="76"/>
      <c r="D901" s="173"/>
      <c r="E901" s="173"/>
      <c r="F901" s="173"/>
      <c r="G901" s="175"/>
      <c r="H901" s="173"/>
      <c r="I901" s="173"/>
      <c r="J901" s="173"/>
      <c r="K901" s="173"/>
      <c r="L901" s="76"/>
      <c r="M901" s="76"/>
      <c r="N901" s="76"/>
      <c r="O901" s="76"/>
      <c r="P901" s="76"/>
      <c r="Q901" s="76"/>
      <c r="R901" s="76"/>
      <c r="S901" s="76"/>
      <c r="T901" s="76"/>
      <c r="U901" s="76"/>
      <c r="V901" s="76"/>
      <c r="W901" s="76"/>
      <c r="X901" s="76"/>
      <c r="Y901" s="76"/>
      <c r="Z901" s="76"/>
      <c r="AA901" s="76"/>
      <c r="AB901" s="76"/>
      <c r="AC901" s="76"/>
      <c r="AD901" s="76"/>
      <c r="AE901" s="76"/>
      <c r="AF901" s="76"/>
    </row>
    <row r="902">
      <c r="A902" s="76"/>
      <c r="B902" s="170"/>
      <c r="C902" s="76"/>
      <c r="D902" s="173"/>
      <c r="E902" s="173"/>
      <c r="F902" s="173"/>
      <c r="G902" s="175"/>
      <c r="H902" s="173"/>
      <c r="I902" s="173"/>
      <c r="J902" s="173"/>
      <c r="K902" s="173"/>
      <c r="L902" s="76"/>
      <c r="M902" s="76"/>
      <c r="N902" s="76"/>
      <c r="O902" s="76"/>
      <c r="P902" s="76"/>
      <c r="Q902" s="76"/>
      <c r="R902" s="76"/>
      <c r="S902" s="76"/>
      <c r="T902" s="76"/>
      <c r="U902" s="76"/>
      <c r="V902" s="76"/>
      <c r="W902" s="76"/>
      <c r="X902" s="76"/>
      <c r="Y902" s="76"/>
      <c r="Z902" s="76"/>
      <c r="AA902" s="76"/>
      <c r="AB902" s="76"/>
      <c r="AC902" s="76"/>
      <c r="AD902" s="76"/>
      <c r="AE902" s="76"/>
      <c r="AF902" s="76"/>
    </row>
    <row r="903">
      <c r="A903" s="76"/>
      <c r="B903" s="170"/>
      <c r="C903" s="76"/>
      <c r="D903" s="173"/>
      <c r="E903" s="173"/>
      <c r="F903" s="173"/>
      <c r="G903" s="175"/>
      <c r="H903" s="173"/>
      <c r="I903" s="173"/>
      <c r="J903" s="173"/>
      <c r="K903" s="173"/>
      <c r="L903" s="76"/>
      <c r="M903" s="76"/>
      <c r="N903" s="76"/>
      <c r="O903" s="76"/>
      <c r="P903" s="76"/>
      <c r="Q903" s="76"/>
      <c r="R903" s="76"/>
      <c r="S903" s="76"/>
      <c r="T903" s="76"/>
      <c r="U903" s="76"/>
      <c r="V903" s="76"/>
      <c r="W903" s="76"/>
      <c r="X903" s="76"/>
      <c r="Y903" s="76"/>
      <c r="Z903" s="76"/>
      <c r="AA903" s="76"/>
      <c r="AB903" s="76"/>
      <c r="AC903" s="76"/>
      <c r="AD903" s="76"/>
      <c r="AE903" s="76"/>
      <c r="AF903" s="76"/>
    </row>
    <row r="904">
      <c r="A904" s="76"/>
      <c r="B904" s="170"/>
      <c r="C904" s="76"/>
      <c r="D904" s="173"/>
      <c r="E904" s="173"/>
      <c r="F904" s="173"/>
      <c r="G904" s="175"/>
      <c r="H904" s="173"/>
      <c r="I904" s="173"/>
      <c r="J904" s="173"/>
      <c r="K904" s="173"/>
      <c r="L904" s="76"/>
      <c r="M904" s="76"/>
      <c r="N904" s="76"/>
      <c r="O904" s="76"/>
      <c r="P904" s="76"/>
      <c r="Q904" s="76"/>
      <c r="R904" s="76"/>
      <c r="S904" s="76"/>
      <c r="T904" s="76"/>
      <c r="U904" s="76"/>
      <c r="V904" s="76"/>
      <c r="W904" s="76"/>
      <c r="X904" s="76"/>
      <c r="Y904" s="76"/>
      <c r="Z904" s="76"/>
      <c r="AA904" s="76"/>
      <c r="AB904" s="76"/>
      <c r="AC904" s="76"/>
      <c r="AD904" s="76"/>
      <c r="AE904" s="76"/>
      <c r="AF904" s="76"/>
    </row>
    <row r="905">
      <c r="A905" s="76"/>
      <c r="B905" s="170"/>
      <c r="C905" s="76"/>
      <c r="D905" s="173"/>
      <c r="E905" s="173"/>
      <c r="F905" s="173"/>
      <c r="G905" s="175"/>
      <c r="H905" s="173"/>
      <c r="I905" s="173"/>
      <c r="J905" s="173"/>
      <c r="K905" s="173"/>
      <c r="L905" s="76"/>
      <c r="M905" s="76"/>
      <c r="N905" s="76"/>
      <c r="O905" s="76"/>
      <c r="P905" s="76"/>
      <c r="Q905" s="76"/>
      <c r="R905" s="76"/>
      <c r="S905" s="76"/>
      <c r="T905" s="76"/>
      <c r="U905" s="76"/>
      <c r="V905" s="76"/>
      <c r="W905" s="76"/>
      <c r="X905" s="76"/>
      <c r="Y905" s="76"/>
      <c r="Z905" s="76"/>
      <c r="AA905" s="76"/>
      <c r="AB905" s="76"/>
      <c r="AC905" s="76"/>
      <c r="AD905" s="76"/>
      <c r="AE905" s="76"/>
      <c r="AF905" s="76"/>
    </row>
    <row r="906">
      <c r="A906" s="76"/>
      <c r="B906" s="170"/>
      <c r="C906" s="76"/>
      <c r="D906" s="173"/>
      <c r="E906" s="173"/>
      <c r="F906" s="173"/>
      <c r="G906" s="175"/>
      <c r="H906" s="173"/>
      <c r="I906" s="173"/>
      <c r="J906" s="173"/>
      <c r="K906" s="173"/>
      <c r="L906" s="76"/>
      <c r="M906" s="76"/>
      <c r="N906" s="76"/>
      <c r="O906" s="76"/>
      <c r="P906" s="76"/>
      <c r="Q906" s="76"/>
      <c r="R906" s="76"/>
      <c r="S906" s="76"/>
      <c r="T906" s="76"/>
      <c r="U906" s="76"/>
      <c r="V906" s="76"/>
      <c r="W906" s="76"/>
      <c r="X906" s="76"/>
      <c r="Y906" s="76"/>
      <c r="Z906" s="76"/>
      <c r="AA906" s="76"/>
      <c r="AB906" s="76"/>
      <c r="AC906" s="76"/>
      <c r="AD906" s="76"/>
      <c r="AE906" s="76"/>
      <c r="AF906" s="76"/>
    </row>
    <row r="907">
      <c r="A907" s="76"/>
      <c r="B907" s="170"/>
      <c r="C907" s="76"/>
      <c r="D907" s="173"/>
      <c r="E907" s="173"/>
      <c r="F907" s="173"/>
      <c r="G907" s="175"/>
      <c r="H907" s="173"/>
      <c r="I907" s="173"/>
      <c r="J907" s="173"/>
      <c r="K907" s="173"/>
      <c r="L907" s="76"/>
      <c r="M907" s="76"/>
      <c r="N907" s="76"/>
      <c r="O907" s="76"/>
      <c r="P907" s="76"/>
      <c r="Q907" s="76"/>
      <c r="R907" s="76"/>
      <c r="S907" s="76"/>
      <c r="T907" s="76"/>
      <c r="U907" s="76"/>
      <c r="V907" s="76"/>
      <c r="W907" s="76"/>
      <c r="X907" s="76"/>
      <c r="Y907" s="76"/>
      <c r="Z907" s="76"/>
      <c r="AA907" s="76"/>
      <c r="AB907" s="76"/>
      <c r="AC907" s="76"/>
      <c r="AD907" s="76"/>
      <c r="AE907" s="76"/>
      <c r="AF907" s="76"/>
    </row>
    <row r="908">
      <c r="A908" s="76"/>
      <c r="B908" s="170"/>
      <c r="C908" s="76"/>
      <c r="D908" s="173"/>
      <c r="E908" s="173"/>
      <c r="F908" s="173"/>
      <c r="G908" s="175"/>
      <c r="H908" s="173"/>
      <c r="I908" s="173"/>
      <c r="J908" s="173"/>
      <c r="K908" s="173"/>
      <c r="L908" s="76"/>
      <c r="M908" s="76"/>
      <c r="N908" s="76"/>
      <c r="O908" s="76"/>
      <c r="P908" s="76"/>
      <c r="Q908" s="76"/>
      <c r="R908" s="76"/>
      <c r="S908" s="76"/>
      <c r="T908" s="76"/>
      <c r="U908" s="76"/>
      <c r="V908" s="76"/>
      <c r="W908" s="76"/>
      <c r="X908" s="76"/>
      <c r="Y908" s="76"/>
      <c r="Z908" s="76"/>
      <c r="AA908" s="76"/>
      <c r="AB908" s="76"/>
      <c r="AC908" s="76"/>
      <c r="AD908" s="76"/>
      <c r="AE908" s="76"/>
      <c r="AF908" s="76"/>
    </row>
    <row r="909">
      <c r="A909" s="76"/>
      <c r="B909" s="170"/>
      <c r="C909" s="76"/>
      <c r="D909" s="173"/>
      <c r="E909" s="173"/>
      <c r="F909" s="173"/>
      <c r="G909" s="175"/>
      <c r="H909" s="173"/>
      <c r="I909" s="173"/>
      <c r="J909" s="173"/>
      <c r="K909" s="173"/>
      <c r="L909" s="76"/>
      <c r="M909" s="76"/>
      <c r="N909" s="76"/>
      <c r="O909" s="76"/>
      <c r="P909" s="76"/>
      <c r="Q909" s="76"/>
      <c r="R909" s="76"/>
      <c r="S909" s="76"/>
      <c r="T909" s="76"/>
      <c r="U909" s="76"/>
      <c r="V909" s="76"/>
      <c r="W909" s="76"/>
      <c r="X909" s="76"/>
      <c r="Y909" s="76"/>
      <c r="Z909" s="76"/>
      <c r="AA909" s="76"/>
      <c r="AB909" s="76"/>
      <c r="AC909" s="76"/>
      <c r="AD909" s="76"/>
      <c r="AE909" s="76"/>
      <c r="AF909" s="76"/>
    </row>
    <row r="910">
      <c r="A910" s="76"/>
      <c r="B910" s="170"/>
      <c r="C910" s="76"/>
      <c r="D910" s="173"/>
      <c r="E910" s="173"/>
      <c r="F910" s="173"/>
      <c r="G910" s="175"/>
      <c r="H910" s="173"/>
      <c r="I910" s="173"/>
      <c r="J910" s="173"/>
      <c r="K910" s="173"/>
      <c r="L910" s="76"/>
      <c r="M910" s="76"/>
      <c r="N910" s="76"/>
      <c r="O910" s="76"/>
      <c r="P910" s="76"/>
      <c r="Q910" s="76"/>
      <c r="R910" s="76"/>
      <c r="S910" s="76"/>
      <c r="T910" s="76"/>
      <c r="U910" s="76"/>
      <c r="V910" s="76"/>
      <c r="W910" s="76"/>
      <c r="X910" s="76"/>
      <c r="Y910" s="76"/>
      <c r="Z910" s="76"/>
      <c r="AA910" s="76"/>
      <c r="AB910" s="76"/>
      <c r="AC910" s="76"/>
      <c r="AD910" s="76"/>
      <c r="AE910" s="76"/>
      <c r="AF910" s="76"/>
    </row>
    <row r="911">
      <c r="A911" s="76"/>
      <c r="B911" s="170"/>
      <c r="C911" s="76"/>
      <c r="D911" s="173"/>
      <c r="E911" s="173"/>
      <c r="F911" s="173"/>
      <c r="G911" s="175"/>
      <c r="H911" s="173"/>
      <c r="I911" s="173"/>
      <c r="J911" s="173"/>
      <c r="K911" s="173"/>
      <c r="L911" s="76"/>
      <c r="M911" s="76"/>
      <c r="N911" s="76"/>
      <c r="O911" s="76"/>
      <c r="P911" s="76"/>
      <c r="Q911" s="76"/>
      <c r="R911" s="76"/>
      <c r="S911" s="76"/>
      <c r="T911" s="76"/>
      <c r="U911" s="76"/>
      <c r="V911" s="76"/>
      <c r="W911" s="76"/>
      <c r="X911" s="76"/>
      <c r="Y911" s="76"/>
      <c r="Z911" s="76"/>
      <c r="AA911" s="76"/>
      <c r="AB911" s="76"/>
      <c r="AC911" s="76"/>
      <c r="AD911" s="76"/>
      <c r="AE911" s="76"/>
      <c r="AF911" s="76"/>
    </row>
    <row r="912">
      <c r="A912" s="76"/>
      <c r="B912" s="170"/>
      <c r="C912" s="76"/>
      <c r="D912" s="173"/>
      <c r="E912" s="173"/>
      <c r="F912" s="173"/>
      <c r="G912" s="175"/>
      <c r="H912" s="173"/>
      <c r="I912" s="173"/>
      <c r="J912" s="173"/>
      <c r="K912" s="173"/>
      <c r="L912" s="76"/>
      <c r="M912" s="76"/>
      <c r="N912" s="76"/>
      <c r="O912" s="76"/>
      <c r="P912" s="76"/>
      <c r="Q912" s="76"/>
      <c r="R912" s="76"/>
      <c r="S912" s="76"/>
      <c r="T912" s="76"/>
      <c r="U912" s="76"/>
      <c r="V912" s="76"/>
      <c r="W912" s="76"/>
      <c r="X912" s="76"/>
      <c r="Y912" s="76"/>
      <c r="Z912" s="76"/>
      <c r="AA912" s="76"/>
      <c r="AB912" s="76"/>
      <c r="AC912" s="76"/>
      <c r="AD912" s="76"/>
      <c r="AE912" s="76"/>
      <c r="AF912" s="76"/>
    </row>
    <row r="913">
      <c r="A913" s="76"/>
      <c r="B913" s="170"/>
      <c r="C913" s="76"/>
      <c r="D913" s="173"/>
      <c r="E913" s="173"/>
      <c r="F913" s="173"/>
      <c r="G913" s="175"/>
      <c r="H913" s="173"/>
      <c r="I913" s="173"/>
      <c r="J913" s="173"/>
      <c r="K913" s="173"/>
      <c r="L913" s="76"/>
      <c r="M913" s="76"/>
      <c r="N913" s="76"/>
      <c r="O913" s="76"/>
      <c r="P913" s="76"/>
      <c r="Q913" s="76"/>
      <c r="R913" s="76"/>
      <c r="S913" s="76"/>
      <c r="T913" s="76"/>
      <c r="U913" s="76"/>
      <c r="V913" s="76"/>
      <c r="W913" s="76"/>
      <c r="X913" s="76"/>
      <c r="Y913" s="76"/>
      <c r="Z913" s="76"/>
      <c r="AA913" s="76"/>
      <c r="AB913" s="76"/>
      <c r="AC913" s="76"/>
      <c r="AD913" s="76"/>
      <c r="AE913" s="76"/>
      <c r="AF913" s="76"/>
    </row>
    <row r="914">
      <c r="A914" s="76"/>
      <c r="B914" s="170"/>
      <c r="C914" s="76"/>
      <c r="D914" s="173"/>
      <c r="E914" s="173"/>
      <c r="F914" s="173"/>
      <c r="G914" s="175"/>
      <c r="H914" s="173"/>
      <c r="I914" s="173"/>
      <c r="J914" s="173"/>
      <c r="K914" s="173"/>
      <c r="L914" s="76"/>
      <c r="M914" s="76"/>
      <c r="N914" s="76"/>
      <c r="O914" s="76"/>
      <c r="P914" s="76"/>
      <c r="Q914" s="76"/>
      <c r="R914" s="76"/>
      <c r="S914" s="76"/>
      <c r="T914" s="76"/>
      <c r="U914" s="76"/>
      <c r="V914" s="76"/>
      <c r="W914" s="76"/>
      <c r="X914" s="76"/>
      <c r="Y914" s="76"/>
      <c r="Z914" s="76"/>
      <c r="AA914" s="76"/>
      <c r="AB914" s="76"/>
      <c r="AC914" s="76"/>
      <c r="AD914" s="76"/>
      <c r="AE914" s="76"/>
      <c r="AF914" s="76"/>
    </row>
    <row r="915">
      <c r="A915" s="76"/>
      <c r="B915" s="170"/>
      <c r="C915" s="76"/>
      <c r="D915" s="173"/>
      <c r="E915" s="173"/>
      <c r="F915" s="173"/>
      <c r="G915" s="175"/>
      <c r="H915" s="173"/>
      <c r="I915" s="173"/>
      <c r="J915" s="173"/>
      <c r="K915" s="173"/>
      <c r="L915" s="76"/>
      <c r="M915" s="76"/>
      <c r="N915" s="76"/>
      <c r="O915" s="76"/>
      <c r="P915" s="76"/>
      <c r="Q915" s="76"/>
      <c r="R915" s="76"/>
      <c r="S915" s="76"/>
      <c r="T915" s="76"/>
      <c r="U915" s="76"/>
      <c r="V915" s="76"/>
      <c r="W915" s="76"/>
      <c r="X915" s="76"/>
      <c r="Y915" s="76"/>
      <c r="Z915" s="76"/>
      <c r="AA915" s="76"/>
      <c r="AB915" s="76"/>
      <c r="AC915" s="76"/>
      <c r="AD915" s="76"/>
      <c r="AE915" s="76"/>
      <c r="AF915" s="76"/>
    </row>
    <row r="916">
      <c r="A916" s="76"/>
      <c r="B916" s="170"/>
      <c r="C916" s="76"/>
      <c r="D916" s="173"/>
      <c r="E916" s="173"/>
      <c r="F916" s="173"/>
      <c r="G916" s="175"/>
      <c r="H916" s="173"/>
      <c r="I916" s="173"/>
      <c r="J916" s="173"/>
      <c r="K916" s="173"/>
      <c r="L916" s="76"/>
      <c r="M916" s="76"/>
      <c r="N916" s="76"/>
      <c r="O916" s="76"/>
      <c r="P916" s="76"/>
      <c r="Q916" s="76"/>
      <c r="R916" s="76"/>
      <c r="S916" s="76"/>
      <c r="T916" s="76"/>
      <c r="U916" s="76"/>
      <c r="V916" s="76"/>
      <c r="W916" s="76"/>
      <c r="X916" s="76"/>
      <c r="Y916" s="76"/>
      <c r="Z916" s="76"/>
      <c r="AA916" s="76"/>
      <c r="AB916" s="76"/>
      <c r="AC916" s="76"/>
      <c r="AD916" s="76"/>
      <c r="AE916" s="76"/>
      <c r="AF916" s="76"/>
    </row>
    <row r="917">
      <c r="A917" s="76"/>
      <c r="B917" s="170"/>
      <c r="C917" s="76"/>
      <c r="D917" s="173"/>
      <c r="E917" s="173"/>
      <c r="F917" s="173"/>
      <c r="G917" s="175"/>
      <c r="H917" s="173"/>
      <c r="I917" s="173"/>
      <c r="J917" s="173"/>
      <c r="K917" s="173"/>
      <c r="L917" s="76"/>
      <c r="M917" s="76"/>
      <c r="N917" s="76"/>
      <c r="O917" s="76"/>
      <c r="P917" s="76"/>
      <c r="Q917" s="76"/>
      <c r="R917" s="76"/>
      <c r="S917" s="76"/>
      <c r="T917" s="76"/>
      <c r="U917" s="76"/>
      <c r="V917" s="76"/>
      <c r="W917" s="76"/>
      <c r="X917" s="76"/>
      <c r="Y917" s="76"/>
      <c r="Z917" s="76"/>
      <c r="AA917" s="76"/>
      <c r="AB917" s="76"/>
      <c r="AC917" s="76"/>
      <c r="AD917" s="76"/>
      <c r="AE917" s="76"/>
      <c r="AF917" s="76"/>
    </row>
    <row r="918">
      <c r="A918" s="76"/>
      <c r="B918" s="170"/>
      <c r="C918" s="76"/>
      <c r="D918" s="173"/>
      <c r="E918" s="173"/>
      <c r="F918" s="173"/>
      <c r="G918" s="175"/>
      <c r="H918" s="173"/>
      <c r="I918" s="173"/>
      <c r="J918" s="173"/>
      <c r="K918" s="173"/>
      <c r="L918" s="76"/>
      <c r="M918" s="76"/>
      <c r="N918" s="76"/>
      <c r="O918" s="76"/>
      <c r="P918" s="76"/>
      <c r="Q918" s="76"/>
      <c r="R918" s="76"/>
      <c r="S918" s="76"/>
      <c r="T918" s="76"/>
      <c r="U918" s="76"/>
      <c r="V918" s="76"/>
      <c r="W918" s="76"/>
      <c r="X918" s="76"/>
      <c r="Y918" s="76"/>
      <c r="Z918" s="76"/>
      <c r="AA918" s="76"/>
      <c r="AB918" s="76"/>
      <c r="AC918" s="76"/>
      <c r="AD918" s="76"/>
      <c r="AE918" s="76"/>
      <c r="AF918" s="76"/>
    </row>
    <row r="919">
      <c r="A919" s="76"/>
      <c r="B919" s="170"/>
      <c r="C919" s="76"/>
      <c r="D919" s="173"/>
      <c r="E919" s="173"/>
      <c r="F919" s="173"/>
      <c r="G919" s="175"/>
      <c r="H919" s="173"/>
      <c r="I919" s="173"/>
      <c r="J919" s="173"/>
      <c r="K919" s="173"/>
      <c r="L919" s="76"/>
      <c r="M919" s="76"/>
      <c r="N919" s="76"/>
      <c r="O919" s="76"/>
      <c r="P919" s="76"/>
      <c r="Q919" s="76"/>
      <c r="R919" s="76"/>
      <c r="S919" s="76"/>
      <c r="T919" s="76"/>
      <c r="U919" s="76"/>
      <c r="V919" s="76"/>
      <c r="W919" s="76"/>
      <c r="X919" s="76"/>
      <c r="Y919" s="76"/>
      <c r="Z919" s="76"/>
      <c r="AA919" s="76"/>
      <c r="AB919" s="76"/>
      <c r="AC919" s="76"/>
      <c r="AD919" s="76"/>
      <c r="AE919" s="76"/>
      <c r="AF919" s="76"/>
    </row>
    <row r="920">
      <c r="A920" s="76"/>
      <c r="B920" s="170"/>
      <c r="C920" s="76"/>
      <c r="D920" s="173"/>
      <c r="E920" s="173"/>
      <c r="F920" s="173"/>
      <c r="G920" s="175"/>
      <c r="H920" s="173"/>
      <c r="I920" s="173"/>
      <c r="J920" s="173"/>
      <c r="K920" s="173"/>
      <c r="L920" s="76"/>
      <c r="M920" s="76"/>
      <c r="N920" s="76"/>
      <c r="O920" s="76"/>
      <c r="P920" s="76"/>
      <c r="Q920" s="76"/>
      <c r="R920" s="76"/>
      <c r="S920" s="76"/>
      <c r="T920" s="76"/>
      <c r="U920" s="76"/>
      <c r="V920" s="76"/>
      <c r="W920" s="76"/>
      <c r="X920" s="76"/>
      <c r="Y920" s="76"/>
      <c r="Z920" s="76"/>
      <c r="AA920" s="76"/>
      <c r="AB920" s="76"/>
      <c r="AC920" s="76"/>
      <c r="AD920" s="76"/>
      <c r="AE920" s="76"/>
      <c r="AF920" s="76"/>
    </row>
    <row r="921">
      <c r="A921" s="76"/>
      <c r="B921" s="170"/>
      <c r="C921" s="76"/>
      <c r="D921" s="173"/>
      <c r="E921" s="173"/>
      <c r="F921" s="173"/>
      <c r="G921" s="175"/>
      <c r="H921" s="173"/>
      <c r="I921" s="173"/>
      <c r="J921" s="173"/>
      <c r="K921" s="173"/>
      <c r="L921" s="76"/>
      <c r="M921" s="76"/>
      <c r="N921" s="76"/>
      <c r="O921" s="76"/>
      <c r="P921" s="76"/>
      <c r="Q921" s="76"/>
      <c r="R921" s="76"/>
      <c r="S921" s="76"/>
      <c r="T921" s="76"/>
      <c r="U921" s="76"/>
      <c r="V921" s="76"/>
      <c r="W921" s="76"/>
      <c r="X921" s="76"/>
      <c r="Y921" s="76"/>
      <c r="Z921" s="76"/>
      <c r="AA921" s="76"/>
      <c r="AB921" s="76"/>
      <c r="AC921" s="76"/>
      <c r="AD921" s="76"/>
      <c r="AE921" s="76"/>
      <c r="AF921" s="76"/>
    </row>
    <row r="922">
      <c r="A922" s="76"/>
      <c r="B922" s="170"/>
      <c r="C922" s="76"/>
      <c r="D922" s="173"/>
      <c r="E922" s="173"/>
      <c r="F922" s="173"/>
      <c r="G922" s="175"/>
      <c r="H922" s="173"/>
      <c r="I922" s="173"/>
      <c r="J922" s="173"/>
      <c r="K922" s="173"/>
      <c r="L922" s="76"/>
      <c r="M922" s="76"/>
      <c r="N922" s="76"/>
      <c r="O922" s="76"/>
      <c r="P922" s="76"/>
      <c r="Q922" s="76"/>
      <c r="R922" s="76"/>
      <c r="S922" s="76"/>
      <c r="T922" s="76"/>
      <c r="U922" s="76"/>
      <c r="V922" s="76"/>
      <c r="W922" s="76"/>
      <c r="X922" s="76"/>
      <c r="Y922" s="76"/>
      <c r="Z922" s="76"/>
      <c r="AA922" s="76"/>
      <c r="AB922" s="76"/>
      <c r="AC922" s="76"/>
      <c r="AD922" s="76"/>
      <c r="AE922" s="76"/>
      <c r="AF922" s="76"/>
    </row>
    <row r="923">
      <c r="A923" s="76"/>
      <c r="B923" s="170"/>
      <c r="C923" s="76"/>
      <c r="D923" s="173"/>
      <c r="E923" s="173"/>
      <c r="F923" s="173"/>
      <c r="G923" s="175"/>
      <c r="H923" s="173"/>
      <c r="I923" s="173"/>
      <c r="J923" s="173"/>
      <c r="K923" s="173"/>
      <c r="L923" s="76"/>
      <c r="M923" s="76"/>
      <c r="N923" s="76"/>
      <c r="O923" s="76"/>
      <c r="P923" s="76"/>
      <c r="Q923" s="76"/>
      <c r="R923" s="76"/>
      <c r="S923" s="76"/>
      <c r="T923" s="76"/>
      <c r="U923" s="76"/>
      <c r="V923" s="76"/>
      <c r="W923" s="76"/>
      <c r="X923" s="76"/>
      <c r="Y923" s="76"/>
      <c r="Z923" s="76"/>
      <c r="AA923" s="76"/>
      <c r="AB923" s="76"/>
      <c r="AC923" s="76"/>
      <c r="AD923" s="76"/>
      <c r="AE923" s="76"/>
      <c r="AF923" s="76"/>
    </row>
    <row r="924">
      <c r="A924" s="76"/>
      <c r="B924" s="170"/>
      <c r="C924" s="76"/>
      <c r="D924" s="173"/>
      <c r="E924" s="173"/>
      <c r="F924" s="173"/>
      <c r="G924" s="175"/>
      <c r="H924" s="173"/>
      <c r="I924" s="173"/>
      <c r="J924" s="173"/>
      <c r="K924" s="173"/>
      <c r="L924" s="76"/>
      <c r="M924" s="76"/>
      <c r="N924" s="76"/>
      <c r="O924" s="76"/>
      <c r="P924" s="76"/>
      <c r="Q924" s="76"/>
      <c r="R924" s="76"/>
      <c r="S924" s="76"/>
      <c r="T924" s="76"/>
      <c r="U924" s="76"/>
      <c r="V924" s="76"/>
      <c r="W924" s="76"/>
      <c r="X924" s="76"/>
      <c r="Y924" s="76"/>
      <c r="Z924" s="76"/>
      <c r="AA924" s="76"/>
      <c r="AB924" s="76"/>
      <c r="AC924" s="76"/>
      <c r="AD924" s="76"/>
      <c r="AE924" s="76"/>
      <c r="AF924" s="76"/>
    </row>
    <row r="925">
      <c r="A925" s="76"/>
      <c r="B925" s="170"/>
      <c r="C925" s="76"/>
      <c r="D925" s="173"/>
      <c r="E925" s="173"/>
      <c r="F925" s="173"/>
      <c r="G925" s="175"/>
      <c r="H925" s="173"/>
      <c r="I925" s="173"/>
      <c r="J925" s="173"/>
      <c r="K925" s="173"/>
      <c r="L925" s="76"/>
      <c r="M925" s="76"/>
      <c r="N925" s="76"/>
      <c r="O925" s="76"/>
      <c r="P925" s="76"/>
      <c r="Q925" s="76"/>
      <c r="R925" s="76"/>
      <c r="S925" s="76"/>
      <c r="T925" s="76"/>
      <c r="U925" s="76"/>
      <c r="V925" s="76"/>
      <c r="W925" s="76"/>
      <c r="X925" s="76"/>
      <c r="Y925" s="76"/>
      <c r="Z925" s="76"/>
      <c r="AA925" s="76"/>
      <c r="AB925" s="76"/>
      <c r="AC925" s="76"/>
      <c r="AD925" s="76"/>
      <c r="AE925" s="76"/>
      <c r="AF925" s="76"/>
    </row>
    <row r="926">
      <c r="A926" s="76"/>
      <c r="B926" s="170"/>
      <c r="C926" s="76"/>
      <c r="D926" s="173"/>
      <c r="E926" s="173"/>
      <c r="F926" s="173"/>
      <c r="G926" s="175"/>
      <c r="H926" s="173"/>
      <c r="I926" s="173"/>
      <c r="J926" s="173"/>
      <c r="K926" s="173"/>
      <c r="L926" s="76"/>
      <c r="M926" s="76"/>
      <c r="N926" s="76"/>
      <c r="O926" s="76"/>
      <c r="P926" s="76"/>
      <c r="Q926" s="76"/>
      <c r="R926" s="76"/>
      <c r="S926" s="76"/>
      <c r="T926" s="76"/>
      <c r="U926" s="76"/>
      <c r="V926" s="76"/>
      <c r="W926" s="76"/>
      <c r="X926" s="76"/>
      <c r="Y926" s="76"/>
      <c r="Z926" s="76"/>
      <c r="AA926" s="76"/>
      <c r="AB926" s="76"/>
      <c r="AC926" s="76"/>
      <c r="AD926" s="76"/>
      <c r="AE926" s="76"/>
      <c r="AF926" s="76"/>
    </row>
    <row r="927">
      <c r="A927" s="76"/>
      <c r="B927" s="170"/>
      <c r="C927" s="76"/>
      <c r="D927" s="173"/>
      <c r="E927" s="173"/>
      <c r="F927" s="173"/>
      <c r="G927" s="175"/>
      <c r="H927" s="173"/>
      <c r="I927" s="173"/>
      <c r="J927" s="173"/>
      <c r="K927" s="173"/>
      <c r="L927" s="76"/>
      <c r="M927" s="76"/>
      <c r="N927" s="76"/>
      <c r="O927" s="76"/>
      <c r="P927" s="76"/>
      <c r="Q927" s="76"/>
      <c r="R927" s="76"/>
      <c r="S927" s="76"/>
      <c r="T927" s="76"/>
      <c r="U927" s="76"/>
      <c r="V927" s="76"/>
      <c r="W927" s="76"/>
      <c r="X927" s="76"/>
      <c r="Y927" s="76"/>
      <c r="Z927" s="76"/>
      <c r="AA927" s="76"/>
      <c r="AB927" s="76"/>
      <c r="AC927" s="76"/>
      <c r="AD927" s="76"/>
      <c r="AE927" s="76"/>
      <c r="AF927" s="76"/>
    </row>
    <row r="928">
      <c r="A928" s="76"/>
      <c r="B928" s="170"/>
      <c r="C928" s="76"/>
      <c r="D928" s="173"/>
      <c r="E928" s="173"/>
      <c r="F928" s="173"/>
      <c r="G928" s="175"/>
      <c r="H928" s="173"/>
      <c r="I928" s="173"/>
      <c r="J928" s="173"/>
      <c r="K928" s="173"/>
      <c r="L928" s="76"/>
      <c r="M928" s="76"/>
      <c r="N928" s="76"/>
      <c r="O928" s="76"/>
      <c r="P928" s="76"/>
      <c r="Q928" s="76"/>
      <c r="R928" s="76"/>
      <c r="S928" s="76"/>
      <c r="T928" s="76"/>
      <c r="U928" s="76"/>
      <c r="V928" s="76"/>
      <c r="W928" s="76"/>
      <c r="X928" s="76"/>
      <c r="Y928" s="76"/>
      <c r="Z928" s="76"/>
      <c r="AA928" s="76"/>
      <c r="AB928" s="76"/>
      <c r="AC928" s="76"/>
      <c r="AD928" s="76"/>
      <c r="AE928" s="76"/>
      <c r="AF928" s="76"/>
    </row>
    <row r="929">
      <c r="A929" s="76"/>
      <c r="B929" s="170"/>
      <c r="C929" s="76"/>
      <c r="D929" s="173"/>
      <c r="E929" s="173"/>
      <c r="F929" s="173"/>
      <c r="G929" s="175"/>
      <c r="H929" s="173"/>
      <c r="I929" s="173"/>
      <c r="J929" s="173"/>
      <c r="K929" s="173"/>
      <c r="L929" s="76"/>
      <c r="M929" s="76"/>
      <c r="N929" s="76"/>
      <c r="O929" s="76"/>
      <c r="P929" s="76"/>
      <c r="Q929" s="76"/>
      <c r="R929" s="76"/>
      <c r="S929" s="76"/>
      <c r="T929" s="76"/>
      <c r="U929" s="76"/>
      <c r="V929" s="76"/>
      <c r="W929" s="76"/>
      <c r="X929" s="76"/>
      <c r="Y929" s="76"/>
      <c r="Z929" s="76"/>
      <c r="AA929" s="76"/>
      <c r="AB929" s="76"/>
      <c r="AC929" s="76"/>
      <c r="AD929" s="76"/>
      <c r="AE929" s="76"/>
      <c r="AF929" s="76"/>
    </row>
    <row r="930">
      <c r="A930" s="76"/>
      <c r="B930" s="170"/>
      <c r="C930" s="76"/>
      <c r="D930" s="173"/>
      <c r="E930" s="173"/>
      <c r="F930" s="173"/>
      <c r="G930" s="175"/>
      <c r="H930" s="173"/>
      <c r="I930" s="173"/>
      <c r="J930" s="173"/>
      <c r="K930" s="173"/>
      <c r="L930" s="76"/>
      <c r="M930" s="76"/>
      <c r="N930" s="76"/>
      <c r="O930" s="76"/>
      <c r="P930" s="76"/>
      <c r="Q930" s="76"/>
      <c r="R930" s="76"/>
      <c r="S930" s="76"/>
      <c r="T930" s="76"/>
      <c r="U930" s="76"/>
      <c r="V930" s="76"/>
      <c r="W930" s="76"/>
      <c r="X930" s="76"/>
      <c r="Y930" s="76"/>
      <c r="Z930" s="76"/>
      <c r="AA930" s="76"/>
      <c r="AB930" s="76"/>
      <c r="AC930" s="76"/>
      <c r="AD930" s="76"/>
      <c r="AE930" s="76"/>
      <c r="AF930" s="76"/>
    </row>
    <row r="931">
      <c r="A931" s="76"/>
      <c r="B931" s="170"/>
      <c r="C931" s="76"/>
      <c r="D931" s="173"/>
      <c r="E931" s="173"/>
      <c r="F931" s="173"/>
      <c r="G931" s="175"/>
      <c r="H931" s="173"/>
      <c r="I931" s="173"/>
      <c r="J931" s="173"/>
      <c r="K931" s="173"/>
      <c r="L931" s="76"/>
      <c r="M931" s="76"/>
      <c r="N931" s="76"/>
      <c r="O931" s="76"/>
      <c r="P931" s="76"/>
      <c r="Q931" s="76"/>
      <c r="R931" s="76"/>
      <c r="S931" s="76"/>
      <c r="T931" s="76"/>
      <c r="U931" s="76"/>
      <c r="V931" s="76"/>
      <c r="W931" s="76"/>
      <c r="X931" s="76"/>
      <c r="Y931" s="76"/>
      <c r="Z931" s="76"/>
      <c r="AA931" s="76"/>
      <c r="AB931" s="76"/>
      <c r="AC931" s="76"/>
      <c r="AD931" s="76"/>
      <c r="AE931" s="76"/>
      <c r="AF931" s="76"/>
    </row>
    <row r="932">
      <c r="A932" s="76"/>
      <c r="B932" s="170"/>
      <c r="C932" s="76"/>
      <c r="D932" s="173"/>
      <c r="E932" s="173"/>
      <c r="F932" s="173"/>
      <c r="G932" s="175"/>
      <c r="H932" s="173"/>
      <c r="I932" s="173"/>
      <c r="J932" s="173"/>
      <c r="K932" s="173"/>
      <c r="L932" s="76"/>
      <c r="M932" s="76"/>
      <c r="N932" s="76"/>
      <c r="O932" s="76"/>
      <c r="P932" s="76"/>
      <c r="Q932" s="76"/>
      <c r="R932" s="76"/>
      <c r="S932" s="76"/>
      <c r="T932" s="76"/>
      <c r="U932" s="76"/>
      <c r="V932" s="76"/>
      <c r="W932" s="76"/>
      <c r="X932" s="76"/>
      <c r="Y932" s="76"/>
      <c r="Z932" s="76"/>
      <c r="AA932" s="76"/>
      <c r="AB932" s="76"/>
      <c r="AC932" s="76"/>
      <c r="AD932" s="76"/>
      <c r="AE932" s="76"/>
      <c r="AF932" s="76"/>
    </row>
    <row r="933">
      <c r="A933" s="76"/>
      <c r="B933" s="170"/>
      <c r="C933" s="76"/>
      <c r="D933" s="173"/>
      <c r="E933" s="173"/>
      <c r="F933" s="173"/>
      <c r="G933" s="175"/>
      <c r="H933" s="173"/>
      <c r="I933" s="173"/>
      <c r="J933" s="173"/>
      <c r="K933" s="173"/>
      <c r="L933" s="76"/>
      <c r="M933" s="76"/>
      <c r="N933" s="76"/>
      <c r="O933" s="76"/>
      <c r="P933" s="76"/>
      <c r="Q933" s="76"/>
      <c r="R933" s="76"/>
      <c r="S933" s="76"/>
      <c r="T933" s="76"/>
      <c r="U933" s="76"/>
      <c r="V933" s="76"/>
      <c r="W933" s="76"/>
      <c r="X933" s="76"/>
      <c r="Y933" s="76"/>
      <c r="Z933" s="76"/>
      <c r="AA933" s="76"/>
      <c r="AB933" s="76"/>
      <c r="AC933" s="76"/>
      <c r="AD933" s="76"/>
      <c r="AE933" s="76"/>
      <c r="AF933" s="76"/>
    </row>
    <row r="934">
      <c r="A934" s="76"/>
      <c r="B934" s="170"/>
      <c r="C934" s="76"/>
      <c r="D934" s="173"/>
      <c r="E934" s="173"/>
      <c r="F934" s="173"/>
      <c r="G934" s="175"/>
      <c r="H934" s="173"/>
      <c r="I934" s="173"/>
      <c r="J934" s="173"/>
      <c r="K934" s="173"/>
      <c r="L934" s="76"/>
      <c r="M934" s="76"/>
      <c r="N934" s="76"/>
      <c r="O934" s="76"/>
      <c r="P934" s="76"/>
      <c r="Q934" s="76"/>
      <c r="R934" s="76"/>
      <c r="S934" s="76"/>
      <c r="T934" s="76"/>
      <c r="U934" s="76"/>
      <c r="V934" s="76"/>
      <c r="W934" s="76"/>
      <c r="X934" s="76"/>
      <c r="Y934" s="76"/>
      <c r="Z934" s="76"/>
      <c r="AA934" s="76"/>
      <c r="AB934" s="76"/>
      <c r="AC934" s="76"/>
      <c r="AD934" s="76"/>
      <c r="AE934" s="76"/>
      <c r="AF934" s="76"/>
    </row>
    <row r="935">
      <c r="A935" s="76"/>
      <c r="B935" s="170"/>
      <c r="C935" s="76"/>
      <c r="D935" s="173"/>
      <c r="E935" s="173"/>
      <c r="F935" s="173"/>
      <c r="G935" s="175"/>
      <c r="H935" s="173"/>
      <c r="I935" s="173"/>
      <c r="J935" s="173"/>
      <c r="K935" s="173"/>
      <c r="L935" s="76"/>
      <c r="M935" s="76"/>
      <c r="N935" s="76"/>
      <c r="O935" s="76"/>
      <c r="P935" s="76"/>
      <c r="Q935" s="76"/>
      <c r="R935" s="76"/>
      <c r="S935" s="76"/>
      <c r="T935" s="76"/>
      <c r="U935" s="76"/>
      <c r="V935" s="76"/>
      <c r="W935" s="76"/>
      <c r="X935" s="76"/>
      <c r="Y935" s="76"/>
      <c r="Z935" s="76"/>
      <c r="AA935" s="76"/>
      <c r="AB935" s="76"/>
      <c r="AC935" s="76"/>
      <c r="AD935" s="76"/>
      <c r="AE935" s="76"/>
      <c r="AF935" s="76"/>
    </row>
    <row r="936">
      <c r="A936" s="76"/>
      <c r="B936" s="170"/>
      <c r="C936" s="76"/>
      <c r="D936" s="173"/>
      <c r="E936" s="173"/>
      <c r="F936" s="173"/>
      <c r="G936" s="175"/>
      <c r="H936" s="173"/>
      <c r="I936" s="173"/>
      <c r="J936" s="173"/>
      <c r="K936" s="173"/>
      <c r="L936" s="76"/>
      <c r="M936" s="76"/>
      <c r="N936" s="76"/>
      <c r="O936" s="76"/>
      <c r="P936" s="76"/>
      <c r="Q936" s="76"/>
      <c r="R936" s="76"/>
      <c r="S936" s="76"/>
      <c r="T936" s="76"/>
      <c r="U936" s="76"/>
      <c r="V936" s="76"/>
      <c r="W936" s="76"/>
      <c r="X936" s="76"/>
      <c r="Y936" s="76"/>
      <c r="Z936" s="76"/>
      <c r="AA936" s="76"/>
      <c r="AB936" s="76"/>
      <c r="AC936" s="76"/>
      <c r="AD936" s="76"/>
      <c r="AE936" s="76"/>
      <c r="AF936" s="76"/>
    </row>
    <row r="937">
      <c r="A937" s="76"/>
      <c r="B937" s="170"/>
      <c r="C937" s="76"/>
      <c r="D937" s="173"/>
      <c r="E937" s="173"/>
      <c r="F937" s="173"/>
      <c r="G937" s="175"/>
      <c r="H937" s="173"/>
      <c r="I937" s="173"/>
      <c r="J937" s="173"/>
      <c r="K937" s="173"/>
      <c r="L937" s="76"/>
      <c r="M937" s="76"/>
      <c r="N937" s="76"/>
      <c r="O937" s="76"/>
      <c r="P937" s="76"/>
      <c r="Q937" s="76"/>
      <c r="R937" s="76"/>
      <c r="S937" s="76"/>
      <c r="T937" s="76"/>
      <c r="U937" s="76"/>
      <c r="V937" s="76"/>
      <c r="W937" s="76"/>
      <c r="X937" s="76"/>
      <c r="Y937" s="76"/>
      <c r="Z937" s="76"/>
      <c r="AA937" s="76"/>
      <c r="AB937" s="76"/>
      <c r="AC937" s="76"/>
      <c r="AD937" s="76"/>
      <c r="AE937" s="76"/>
      <c r="AF937" s="76"/>
    </row>
    <row r="938">
      <c r="A938" s="76"/>
      <c r="B938" s="170"/>
      <c r="C938" s="76"/>
      <c r="D938" s="173"/>
      <c r="E938" s="173"/>
      <c r="F938" s="173"/>
      <c r="G938" s="175"/>
      <c r="H938" s="173"/>
      <c r="I938" s="173"/>
      <c r="J938" s="173"/>
      <c r="K938" s="173"/>
      <c r="L938" s="76"/>
      <c r="M938" s="76"/>
      <c r="N938" s="76"/>
      <c r="O938" s="76"/>
      <c r="P938" s="76"/>
      <c r="Q938" s="76"/>
      <c r="R938" s="76"/>
      <c r="S938" s="76"/>
      <c r="T938" s="76"/>
      <c r="U938" s="76"/>
      <c r="V938" s="76"/>
      <c r="W938" s="76"/>
      <c r="X938" s="76"/>
      <c r="Y938" s="76"/>
      <c r="Z938" s="76"/>
      <c r="AA938" s="76"/>
      <c r="AB938" s="76"/>
      <c r="AC938" s="76"/>
      <c r="AD938" s="76"/>
      <c r="AE938" s="76"/>
      <c r="AF938" s="76"/>
    </row>
    <row r="939">
      <c r="A939" s="76"/>
      <c r="B939" s="170"/>
      <c r="C939" s="76"/>
      <c r="D939" s="173"/>
      <c r="E939" s="173"/>
      <c r="F939" s="173"/>
      <c r="G939" s="175"/>
      <c r="H939" s="173"/>
      <c r="I939" s="173"/>
      <c r="J939" s="173"/>
      <c r="K939" s="173"/>
      <c r="L939" s="76"/>
      <c r="M939" s="76"/>
      <c r="N939" s="76"/>
      <c r="O939" s="76"/>
      <c r="P939" s="76"/>
      <c r="Q939" s="76"/>
      <c r="R939" s="76"/>
      <c r="S939" s="76"/>
      <c r="T939" s="76"/>
      <c r="U939" s="76"/>
      <c r="V939" s="76"/>
      <c r="W939" s="76"/>
      <c r="X939" s="76"/>
      <c r="Y939" s="76"/>
      <c r="Z939" s="76"/>
      <c r="AA939" s="76"/>
      <c r="AB939" s="76"/>
      <c r="AC939" s="76"/>
      <c r="AD939" s="76"/>
      <c r="AE939" s="76"/>
      <c r="AF939" s="76"/>
    </row>
    <row r="940">
      <c r="A940" s="76"/>
      <c r="B940" s="170"/>
      <c r="C940" s="76"/>
      <c r="D940" s="173"/>
      <c r="E940" s="173"/>
      <c r="F940" s="173"/>
      <c r="G940" s="175"/>
      <c r="H940" s="173"/>
      <c r="I940" s="173"/>
      <c r="J940" s="173"/>
      <c r="K940" s="173"/>
      <c r="L940" s="76"/>
      <c r="M940" s="76"/>
      <c r="N940" s="76"/>
      <c r="O940" s="76"/>
      <c r="P940" s="76"/>
      <c r="Q940" s="76"/>
      <c r="R940" s="76"/>
      <c r="S940" s="76"/>
      <c r="T940" s="76"/>
      <c r="U940" s="76"/>
      <c r="V940" s="76"/>
      <c r="W940" s="76"/>
      <c r="X940" s="76"/>
      <c r="Y940" s="76"/>
      <c r="Z940" s="76"/>
      <c r="AA940" s="76"/>
      <c r="AB940" s="76"/>
      <c r="AC940" s="76"/>
      <c r="AD940" s="76"/>
      <c r="AE940" s="76"/>
      <c r="AF940" s="76"/>
    </row>
    <row r="941">
      <c r="A941" s="76"/>
      <c r="B941" s="170"/>
      <c r="C941" s="76"/>
      <c r="D941" s="173"/>
      <c r="E941" s="173"/>
      <c r="F941" s="173"/>
      <c r="G941" s="175"/>
      <c r="H941" s="173"/>
      <c r="I941" s="173"/>
      <c r="J941" s="173"/>
      <c r="K941" s="173"/>
      <c r="L941" s="76"/>
      <c r="M941" s="76"/>
      <c r="N941" s="76"/>
      <c r="O941" s="76"/>
      <c r="P941" s="76"/>
      <c r="Q941" s="76"/>
      <c r="R941" s="76"/>
      <c r="S941" s="76"/>
      <c r="T941" s="76"/>
      <c r="U941" s="76"/>
      <c r="V941" s="76"/>
      <c r="W941" s="76"/>
      <c r="X941" s="76"/>
      <c r="Y941" s="76"/>
      <c r="Z941" s="76"/>
      <c r="AA941" s="76"/>
      <c r="AB941" s="76"/>
      <c r="AC941" s="76"/>
      <c r="AD941" s="76"/>
      <c r="AE941" s="76"/>
      <c r="AF941" s="76"/>
    </row>
    <row r="942">
      <c r="A942" s="76"/>
      <c r="B942" s="170"/>
      <c r="C942" s="76"/>
      <c r="D942" s="173"/>
      <c r="E942" s="173"/>
      <c r="F942" s="173"/>
      <c r="G942" s="175"/>
      <c r="H942" s="173"/>
      <c r="I942" s="173"/>
      <c r="J942" s="173"/>
      <c r="K942" s="173"/>
      <c r="L942" s="76"/>
      <c r="M942" s="76"/>
      <c r="N942" s="76"/>
      <c r="O942" s="76"/>
      <c r="P942" s="76"/>
      <c r="Q942" s="76"/>
      <c r="R942" s="76"/>
      <c r="S942" s="76"/>
      <c r="T942" s="76"/>
      <c r="U942" s="76"/>
      <c r="V942" s="76"/>
      <c r="W942" s="76"/>
      <c r="X942" s="76"/>
      <c r="Y942" s="76"/>
      <c r="Z942" s="76"/>
      <c r="AA942" s="76"/>
      <c r="AB942" s="76"/>
      <c r="AC942" s="76"/>
      <c r="AD942" s="76"/>
      <c r="AE942" s="76"/>
      <c r="AF942" s="76"/>
    </row>
    <row r="943">
      <c r="A943" s="76"/>
      <c r="B943" s="170"/>
      <c r="C943" s="76"/>
      <c r="D943" s="173"/>
      <c r="E943" s="173"/>
      <c r="F943" s="173"/>
      <c r="G943" s="175"/>
      <c r="H943" s="173"/>
      <c r="I943" s="173"/>
      <c r="J943" s="173"/>
      <c r="K943" s="173"/>
      <c r="L943" s="76"/>
      <c r="M943" s="76"/>
      <c r="N943" s="76"/>
      <c r="O943" s="76"/>
      <c r="P943" s="76"/>
      <c r="Q943" s="76"/>
      <c r="R943" s="76"/>
      <c r="S943" s="76"/>
      <c r="T943" s="76"/>
      <c r="U943" s="76"/>
      <c r="V943" s="76"/>
      <c r="W943" s="76"/>
      <c r="X943" s="76"/>
      <c r="Y943" s="76"/>
      <c r="Z943" s="76"/>
      <c r="AA943" s="76"/>
      <c r="AB943" s="76"/>
      <c r="AC943" s="76"/>
      <c r="AD943" s="76"/>
      <c r="AE943" s="76"/>
      <c r="AF943" s="76"/>
    </row>
    <row r="944">
      <c r="A944" s="76"/>
      <c r="B944" s="170"/>
      <c r="C944" s="76"/>
      <c r="D944" s="173"/>
      <c r="E944" s="173"/>
      <c r="F944" s="173"/>
      <c r="G944" s="175"/>
      <c r="H944" s="173"/>
      <c r="I944" s="173"/>
      <c r="J944" s="173"/>
      <c r="K944" s="173"/>
      <c r="L944" s="76"/>
      <c r="M944" s="76"/>
      <c r="N944" s="76"/>
      <c r="O944" s="76"/>
      <c r="P944" s="76"/>
      <c r="Q944" s="76"/>
      <c r="R944" s="76"/>
      <c r="S944" s="76"/>
      <c r="T944" s="76"/>
      <c r="U944" s="76"/>
      <c r="V944" s="76"/>
      <c r="W944" s="76"/>
      <c r="X944" s="76"/>
      <c r="Y944" s="76"/>
      <c r="Z944" s="76"/>
      <c r="AA944" s="76"/>
      <c r="AB944" s="76"/>
      <c r="AC944" s="76"/>
      <c r="AD944" s="76"/>
      <c r="AE944" s="76"/>
      <c r="AF944" s="76"/>
    </row>
    <row r="945">
      <c r="A945" s="76"/>
      <c r="B945" s="170"/>
      <c r="C945" s="76"/>
      <c r="D945" s="173"/>
      <c r="E945" s="173"/>
      <c r="F945" s="173"/>
      <c r="G945" s="175"/>
      <c r="H945" s="173"/>
      <c r="I945" s="173"/>
      <c r="J945" s="173"/>
      <c r="K945" s="173"/>
      <c r="L945" s="76"/>
      <c r="M945" s="76"/>
      <c r="N945" s="76"/>
      <c r="O945" s="76"/>
      <c r="P945" s="76"/>
      <c r="Q945" s="76"/>
      <c r="R945" s="76"/>
      <c r="S945" s="76"/>
      <c r="T945" s="76"/>
      <c r="U945" s="76"/>
      <c r="V945" s="76"/>
      <c r="W945" s="76"/>
      <c r="X945" s="76"/>
      <c r="Y945" s="76"/>
      <c r="Z945" s="76"/>
      <c r="AA945" s="76"/>
      <c r="AB945" s="76"/>
      <c r="AC945" s="76"/>
      <c r="AD945" s="76"/>
      <c r="AE945" s="76"/>
      <c r="AF945" s="76"/>
    </row>
    <row r="946">
      <c r="A946" s="76"/>
      <c r="B946" s="170"/>
      <c r="C946" s="76"/>
      <c r="D946" s="173"/>
      <c r="E946" s="173"/>
      <c r="F946" s="173"/>
      <c r="G946" s="175"/>
      <c r="H946" s="173"/>
      <c r="I946" s="173"/>
      <c r="J946" s="173"/>
      <c r="K946" s="173"/>
      <c r="L946" s="76"/>
      <c r="M946" s="76"/>
      <c r="N946" s="76"/>
      <c r="O946" s="76"/>
      <c r="P946" s="76"/>
      <c r="Q946" s="76"/>
      <c r="R946" s="76"/>
      <c r="S946" s="76"/>
      <c r="T946" s="76"/>
      <c r="U946" s="76"/>
      <c r="V946" s="76"/>
      <c r="W946" s="76"/>
      <c r="X946" s="76"/>
      <c r="Y946" s="76"/>
      <c r="Z946" s="76"/>
      <c r="AA946" s="76"/>
      <c r="AB946" s="76"/>
      <c r="AC946" s="76"/>
      <c r="AD946" s="76"/>
      <c r="AE946" s="76"/>
      <c r="AF946" s="76"/>
    </row>
    <row r="947">
      <c r="A947" s="76"/>
      <c r="B947" s="170"/>
      <c r="C947" s="76"/>
      <c r="D947" s="173"/>
      <c r="E947" s="173"/>
      <c r="F947" s="173"/>
      <c r="G947" s="175"/>
      <c r="H947" s="173"/>
      <c r="I947" s="173"/>
      <c r="J947" s="173"/>
      <c r="K947" s="173"/>
      <c r="L947" s="76"/>
      <c r="M947" s="76"/>
      <c r="N947" s="76"/>
      <c r="O947" s="76"/>
      <c r="P947" s="76"/>
      <c r="Q947" s="76"/>
      <c r="R947" s="76"/>
      <c r="S947" s="76"/>
      <c r="T947" s="76"/>
      <c r="U947" s="76"/>
      <c r="V947" s="76"/>
      <c r="W947" s="76"/>
      <c r="X947" s="76"/>
      <c r="Y947" s="76"/>
      <c r="Z947" s="76"/>
      <c r="AA947" s="76"/>
      <c r="AB947" s="76"/>
      <c r="AC947" s="76"/>
      <c r="AD947" s="76"/>
      <c r="AE947" s="76"/>
      <c r="AF947" s="76"/>
    </row>
    <row r="948">
      <c r="A948" s="76"/>
      <c r="B948" s="170"/>
      <c r="C948" s="76"/>
      <c r="D948" s="173"/>
      <c r="E948" s="173"/>
      <c r="F948" s="173"/>
      <c r="G948" s="175"/>
      <c r="H948" s="173"/>
      <c r="I948" s="173"/>
      <c r="J948" s="173"/>
      <c r="K948" s="173"/>
      <c r="L948" s="76"/>
      <c r="M948" s="76"/>
      <c r="N948" s="76"/>
      <c r="O948" s="76"/>
      <c r="P948" s="76"/>
      <c r="Q948" s="76"/>
      <c r="R948" s="76"/>
      <c r="S948" s="76"/>
      <c r="T948" s="76"/>
      <c r="U948" s="76"/>
      <c r="V948" s="76"/>
      <c r="W948" s="76"/>
      <c r="X948" s="76"/>
      <c r="Y948" s="76"/>
      <c r="Z948" s="76"/>
      <c r="AA948" s="76"/>
      <c r="AB948" s="76"/>
      <c r="AC948" s="76"/>
      <c r="AD948" s="76"/>
      <c r="AE948" s="76"/>
      <c r="AF948" s="76"/>
    </row>
    <row r="949">
      <c r="A949" s="76"/>
      <c r="B949" s="170"/>
      <c r="C949" s="76"/>
      <c r="D949" s="173"/>
      <c r="E949" s="173"/>
      <c r="F949" s="173"/>
      <c r="G949" s="175"/>
      <c r="H949" s="173"/>
      <c r="I949" s="173"/>
      <c r="J949" s="173"/>
      <c r="K949" s="173"/>
      <c r="L949" s="76"/>
      <c r="M949" s="76"/>
      <c r="N949" s="76"/>
      <c r="O949" s="76"/>
      <c r="P949" s="76"/>
      <c r="Q949" s="76"/>
      <c r="R949" s="76"/>
      <c r="S949" s="76"/>
      <c r="T949" s="76"/>
      <c r="U949" s="76"/>
      <c r="V949" s="76"/>
      <c r="W949" s="76"/>
      <c r="X949" s="76"/>
      <c r="Y949" s="76"/>
      <c r="Z949" s="76"/>
      <c r="AA949" s="76"/>
      <c r="AB949" s="76"/>
      <c r="AC949" s="76"/>
      <c r="AD949" s="76"/>
      <c r="AE949" s="76"/>
      <c r="AF949" s="76"/>
    </row>
    <row r="950">
      <c r="A950" s="76"/>
      <c r="B950" s="170"/>
      <c r="C950" s="76"/>
      <c r="D950" s="173"/>
      <c r="E950" s="173"/>
      <c r="F950" s="173"/>
      <c r="G950" s="175"/>
      <c r="H950" s="173"/>
      <c r="I950" s="173"/>
      <c r="J950" s="173"/>
      <c r="K950" s="173"/>
      <c r="L950" s="76"/>
      <c r="M950" s="76"/>
      <c r="N950" s="76"/>
      <c r="O950" s="76"/>
      <c r="P950" s="76"/>
      <c r="Q950" s="76"/>
      <c r="R950" s="76"/>
      <c r="S950" s="76"/>
      <c r="T950" s="76"/>
      <c r="U950" s="76"/>
      <c r="V950" s="76"/>
      <c r="W950" s="76"/>
      <c r="X950" s="76"/>
      <c r="Y950" s="76"/>
      <c r="Z950" s="76"/>
      <c r="AA950" s="76"/>
      <c r="AB950" s="76"/>
      <c r="AC950" s="76"/>
      <c r="AD950" s="76"/>
      <c r="AE950" s="76"/>
      <c r="AF950" s="76"/>
    </row>
    <row r="951">
      <c r="A951" s="76"/>
      <c r="B951" s="170"/>
      <c r="C951" s="76"/>
      <c r="D951" s="173"/>
      <c r="E951" s="173"/>
      <c r="F951" s="173"/>
      <c r="G951" s="175"/>
      <c r="H951" s="173"/>
      <c r="I951" s="173"/>
      <c r="J951" s="173"/>
      <c r="K951" s="173"/>
      <c r="L951" s="76"/>
      <c r="M951" s="76"/>
      <c r="N951" s="76"/>
      <c r="O951" s="76"/>
      <c r="P951" s="76"/>
      <c r="Q951" s="76"/>
      <c r="R951" s="76"/>
      <c r="S951" s="76"/>
      <c r="T951" s="76"/>
      <c r="U951" s="76"/>
      <c r="V951" s="76"/>
      <c r="W951" s="76"/>
      <c r="X951" s="76"/>
      <c r="Y951" s="76"/>
      <c r="Z951" s="76"/>
      <c r="AA951" s="76"/>
      <c r="AB951" s="76"/>
      <c r="AC951" s="76"/>
      <c r="AD951" s="76"/>
      <c r="AE951" s="76"/>
      <c r="AF951" s="76"/>
    </row>
    <row r="952">
      <c r="A952" s="76"/>
      <c r="B952" s="170"/>
      <c r="C952" s="76"/>
      <c r="D952" s="173"/>
      <c r="E952" s="173"/>
      <c r="F952" s="173"/>
      <c r="G952" s="175"/>
      <c r="H952" s="173"/>
      <c r="I952" s="173"/>
      <c r="J952" s="173"/>
      <c r="K952" s="173"/>
      <c r="L952" s="76"/>
      <c r="M952" s="76"/>
      <c r="N952" s="76"/>
      <c r="O952" s="76"/>
      <c r="P952" s="76"/>
      <c r="Q952" s="76"/>
      <c r="R952" s="76"/>
      <c r="S952" s="76"/>
      <c r="T952" s="76"/>
      <c r="U952" s="76"/>
      <c r="V952" s="76"/>
      <c r="W952" s="76"/>
      <c r="X952" s="76"/>
      <c r="Y952" s="76"/>
      <c r="Z952" s="76"/>
      <c r="AA952" s="76"/>
      <c r="AB952" s="76"/>
      <c r="AC952" s="76"/>
      <c r="AD952" s="76"/>
      <c r="AE952" s="76"/>
      <c r="AF952" s="76"/>
    </row>
    <row r="953">
      <c r="A953" s="76"/>
      <c r="B953" s="170"/>
      <c r="C953" s="76"/>
      <c r="D953" s="173"/>
      <c r="E953" s="173"/>
      <c r="F953" s="173"/>
      <c r="G953" s="175"/>
      <c r="H953" s="173"/>
      <c r="I953" s="173"/>
      <c r="J953" s="173"/>
      <c r="K953" s="173"/>
      <c r="L953" s="76"/>
      <c r="M953" s="76"/>
      <c r="N953" s="76"/>
      <c r="O953" s="76"/>
      <c r="P953" s="76"/>
      <c r="Q953" s="76"/>
      <c r="R953" s="76"/>
      <c r="S953" s="76"/>
      <c r="T953" s="76"/>
      <c r="U953" s="76"/>
      <c r="V953" s="76"/>
      <c r="W953" s="76"/>
      <c r="X953" s="76"/>
      <c r="Y953" s="76"/>
      <c r="Z953" s="76"/>
      <c r="AA953" s="76"/>
      <c r="AB953" s="76"/>
      <c r="AC953" s="76"/>
      <c r="AD953" s="76"/>
      <c r="AE953" s="76"/>
      <c r="AF953" s="76"/>
    </row>
    <row r="954">
      <c r="A954" s="76"/>
      <c r="B954" s="170"/>
      <c r="C954" s="76"/>
      <c r="D954" s="173"/>
      <c r="E954" s="173"/>
      <c r="F954" s="173"/>
      <c r="G954" s="175"/>
      <c r="H954" s="173"/>
      <c r="I954" s="173"/>
      <c r="J954" s="173"/>
      <c r="K954" s="173"/>
      <c r="L954" s="76"/>
      <c r="M954" s="76"/>
      <c r="N954" s="76"/>
      <c r="O954" s="76"/>
      <c r="P954" s="76"/>
      <c r="Q954" s="76"/>
      <c r="R954" s="76"/>
      <c r="S954" s="76"/>
      <c r="T954" s="76"/>
      <c r="U954" s="76"/>
      <c r="V954" s="76"/>
      <c r="W954" s="76"/>
      <c r="X954" s="76"/>
      <c r="Y954" s="76"/>
      <c r="Z954" s="76"/>
      <c r="AA954" s="76"/>
      <c r="AB954" s="76"/>
      <c r="AC954" s="76"/>
      <c r="AD954" s="76"/>
      <c r="AE954" s="76"/>
      <c r="AF954" s="76"/>
    </row>
    <row r="955">
      <c r="A955" s="76"/>
      <c r="B955" s="170"/>
      <c r="C955" s="76"/>
      <c r="D955" s="173"/>
      <c r="E955" s="173"/>
      <c r="F955" s="173"/>
      <c r="G955" s="175"/>
      <c r="H955" s="173"/>
      <c r="I955" s="173"/>
      <c r="J955" s="173"/>
      <c r="K955" s="173"/>
      <c r="L955" s="76"/>
      <c r="M955" s="76"/>
      <c r="N955" s="76"/>
      <c r="O955" s="76"/>
      <c r="P955" s="76"/>
      <c r="Q955" s="76"/>
      <c r="R955" s="76"/>
      <c r="S955" s="76"/>
      <c r="T955" s="76"/>
      <c r="U955" s="76"/>
      <c r="V955" s="76"/>
      <c r="W955" s="76"/>
      <c r="X955" s="76"/>
      <c r="Y955" s="76"/>
      <c r="Z955" s="76"/>
      <c r="AA955" s="76"/>
      <c r="AB955" s="76"/>
      <c r="AC955" s="76"/>
      <c r="AD955" s="76"/>
      <c r="AE955" s="76"/>
      <c r="AF955" s="76"/>
    </row>
    <row r="956">
      <c r="A956" s="76"/>
      <c r="B956" s="170"/>
      <c r="C956" s="76"/>
      <c r="D956" s="173"/>
      <c r="E956" s="173"/>
      <c r="F956" s="173"/>
      <c r="G956" s="175"/>
      <c r="H956" s="173"/>
      <c r="I956" s="173"/>
      <c r="J956" s="173"/>
      <c r="K956" s="173"/>
      <c r="L956" s="76"/>
      <c r="M956" s="76"/>
      <c r="N956" s="76"/>
      <c r="O956" s="76"/>
      <c r="P956" s="76"/>
      <c r="Q956" s="76"/>
      <c r="R956" s="76"/>
      <c r="S956" s="76"/>
      <c r="T956" s="76"/>
      <c r="U956" s="76"/>
      <c r="V956" s="76"/>
      <c r="W956" s="76"/>
      <c r="X956" s="76"/>
      <c r="Y956" s="76"/>
      <c r="Z956" s="76"/>
      <c r="AA956" s="76"/>
      <c r="AB956" s="76"/>
      <c r="AC956" s="76"/>
      <c r="AD956" s="76"/>
      <c r="AE956" s="76"/>
      <c r="AF956" s="76"/>
    </row>
    <row r="957">
      <c r="A957" s="76"/>
      <c r="B957" s="170"/>
      <c r="C957" s="76"/>
      <c r="D957" s="173"/>
      <c r="E957" s="173"/>
      <c r="F957" s="173"/>
      <c r="G957" s="175"/>
      <c r="H957" s="173"/>
      <c r="I957" s="173"/>
      <c r="J957" s="173"/>
      <c r="K957" s="173"/>
      <c r="L957" s="76"/>
      <c r="M957" s="76"/>
      <c r="N957" s="76"/>
      <c r="O957" s="76"/>
      <c r="P957" s="76"/>
      <c r="Q957" s="76"/>
      <c r="R957" s="76"/>
      <c r="S957" s="76"/>
      <c r="T957" s="76"/>
      <c r="U957" s="76"/>
      <c r="V957" s="76"/>
      <c r="W957" s="76"/>
      <c r="X957" s="76"/>
      <c r="Y957" s="76"/>
      <c r="Z957" s="76"/>
      <c r="AA957" s="76"/>
      <c r="AB957" s="76"/>
      <c r="AC957" s="76"/>
      <c r="AD957" s="76"/>
      <c r="AE957" s="76"/>
      <c r="AF957" s="76"/>
    </row>
    <row r="958">
      <c r="A958" s="76"/>
      <c r="B958" s="170"/>
      <c r="C958" s="76"/>
      <c r="D958" s="173"/>
      <c r="E958" s="173"/>
      <c r="F958" s="173"/>
      <c r="G958" s="175"/>
      <c r="H958" s="173"/>
      <c r="I958" s="173"/>
      <c r="J958" s="173"/>
      <c r="K958" s="173"/>
      <c r="L958" s="76"/>
      <c r="M958" s="76"/>
      <c r="N958" s="76"/>
      <c r="O958" s="76"/>
      <c r="P958" s="76"/>
      <c r="Q958" s="76"/>
      <c r="R958" s="76"/>
      <c r="S958" s="76"/>
      <c r="T958" s="76"/>
      <c r="U958" s="76"/>
      <c r="V958" s="76"/>
      <c r="W958" s="76"/>
      <c r="X958" s="76"/>
      <c r="Y958" s="76"/>
      <c r="Z958" s="76"/>
      <c r="AA958" s="76"/>
      <c r="AB958" s="76"/>
      <c r="AC958" s="76"/>
      <c r="AD958" s="76"/>
      <c r="AE958" s="76"/>
      <c r="AF958" s="76"/>
    </row>
    <row r="959">
      <c r="A959" s="76"/>
      <c r="B959" s="170"/>
      <c r="C959" s="76"/>
      <c r="D959" s="173"/>
      <c r="E959" s="173"/>
      <c r="F959" s="173"/>
      <c r="G959" s="175"/>
      <c r="H959" s="173"/>
      <c r="I959" s="173"/>
      <c r="J959" s="173"/>
      <c r="K959" s="173"/>
      <c r="L959" s="76"/>
      <c r="M959" s="76"/>
      <c r="N959" s="76"/>
      <c r="O959" s="76"/>
      <c r="P959" s="76"/>
      <c r="Q959" s="76"/>
      <c r="R959" s="76"/>
      <c r="S959" s="76"/>
      <c r="T959" s="76"/>
      <c r="U959" s="76"/>
      <c r="V959" s="76"/>
      <c r="W959" s="76"/>
      <c r="X959" s="76"/>
      <c r="Y959" s="76"/>
      <c r="Z959" s="76"/>
      <c r="AA959" s="76"/>
      <c r="AB959" s="76"/>
      <c r="AC959" s="76"/>
      <c r="AD959" s="76"/>
      <c r="AE959" s="76"/>
      <c r="AF959" s="76"/>
    </row>
    <row r="960">
      <c r="A960" s="76"/>
      <c r="B960" s="170"/>
      <c r="C960" s="76"/>
      <c r="D960" s="173"/>
      <c r="E960" s="173"/>
      <c r="F960" s="173"/>
      <c r="G960" s="175"/>
      <c r="H960" s="173"/>
      <c r="I960" s="173"/>
      <c r="J960" s="173"/>
      <c r="K960" s="173"/>
      <c r="L960" s="76"/>
      <c r="M960" s="76"/>
      <c r="N960" s="76"/>
      <c r="O960" s="76"/>
      <c r="P960" s="76"/>
      <c r="Q960" s="76"/>
      <c r="R960" s="76"/>
      <c r="S960" s="76"/>
      <c r="T960" s="76"/>
      <c r="U960" s="76"/>
      <c r="V960" s="76"/>
      <c r="W960" s="76"/>
      <c r="X960" s="76"/>
      <c r="Y960" s="76"/>
      <c r="Z960" s="76"/>
      <c r="AA960" s="76"/>
      <c r="AB960" s="76"/>
      <c r="AC960" s="76"/>
      <c r="AD960" s="76"/>
      <c r="AE960" s="76"/>
      <c r="AF960" s="76"/>
    </row>
    <row r="961">
      <c r="A961" s="76"/>
      <c r="B961" s="170"/>
      <c r="C961" s="76"/>
      <c r="D961" s="173"/>
      <c r="E961" s="173"/>
      <c r="F961" s="173"/>
      <c r="G961" s="175"/>
      <c r="H961" s="173"/>
      <c r="I961" s="173"/>
      <c r="J961" s="173"/>
      <c r="K961" s="173"/>
      <c r="L961" s="76"/>
      <c r="M961" s="76"/>
      <c r="N961" s="76"/>
      <c r="O961" s="76"/>
      <c r="P961" s="76"/>
      <c r="Q961" s="76"/>
      <c r="R961" s="76"/>
      <c r="S961" s="76"/>
      <c r="T961" s="76"/>
      <c r="U961" s="76"/>
      <c r="V961" s="76"/>
      <c r="W961" s="76"/>
      <c r="X961" s="76"/>
      <c r="Y961" s="76"/>
      <c r="Z961" s="76"/>
      <c r="AA961" s="76"/>
      <c r="AB961" s="76"/>
      <c r="AC961" s="76"/>
      <c r="AD961" s="76"/>
      <c r="AE961" s="76"/>
      <c r="AF961" s="76"/>
    </row>
    <row r="962">
      <c r="A962" s="76"/>
      <c r="B962" s="170"/>
      <c r="C962" s="76"/>
      <c r="D962" s="173"/>
      <c r="E962" s="173"/>
      <c r="F962" s="173"/>
      <c r="G962" s="175"/>
      <c r="H962" s="173"/>
      <c r="I962" s="173"/>
      <c r="J962" s="173"/>
      <c r="K962" s="173"/>
      <c r="L962" s="76"/>
      <c r="M962" s="76"/>
      <c r="N962" s="76"/>
      <c r="O962" s="76"/>
      <c r="P962" s="76"/>
      <c r="Q962" s="76"/>
      <c r="R962" s="76"/>
      <c r="S962" s="76"/>
      <c r="T962" s="76"/>
      <c r="U962" s="76"/>
      <c r="V962" s="76"/>
      <c r="W962" s="76"/>
      <c r="X962" s="76"/>
      <c r="Y962" s="76"/>
      <c r="Z962" s="76"/>
      <c r="AA962" s="76"/>
      <c r="AB962" s="76"/>
      <c r="AC962" s="76"/>
      <c r="AD962" s="76"/>
      <c r="AE962" s="76"/>
      <c r="AF962" s="76"/>
    </row>
    <row r="963">
      <c r="A963" s="76"/>
      <c r="B963" s="170"/>
      <c r="C963" s="76"/>
      <c r="D963" s="173"/>
      <c r="E963" s="173"/>
      <c r="F963" s="173"/>
      <c r="G963" s="175"/>
      <c r="H963" s="173"/>
      <c r="I963" s="173"/>
      <c r="J963" s="173"/>
      <c r="K963" s="173"/>
      <c r="L963" s="76"/>
      <c r="M963" s="76"/>
      <c r="N963" s="76"/>
      <c r="O963" s="76"/>
      <c r="P963" s="76"/>
      <c r="Q963" s="76"/>
      <c r="R963" s="76"/>
      <c r="S963" s="76"/>
      <c r="T963" s="76"/>
      <c r="U963" s="76"/>
      <c r="V963" s="76"/>
      <c r="W963" s="76"/>
      <c r="X963" s="76"/>
      <c r="Y963" s="76"/>
      <c r="Z963" s="76"/>
      <c r="AA963" s="76"/>
      <c r="AB963" s="76"/>
      <c r="AC963" s="76"/>
      <c r="AD963" s="76"/>
      <c r="AE963" s="76"/>
      <c r="AF963" s="76"/>
    </row>
    <row r="964">
      <c r="A964" s="76"/>
      <c r="B964" s="170"/>
      <c r="C964" s="76"/>
      <c r="D964" s="173"/>
      <c r="E964" s="173"/>
      <c r="F964" s="173"/>
      <c r="G964" s="175"/>
      <c r="H964" s="173"/>
      <c r="I964" s="173"/>
      <c r="J964" s="173"/>
      <c r="K964" s="173"/>
      <c r="L964" s="76"/>
      <c r="M964" s="76"/>
      <c r="N964" s="76"/>
      <c r="O964" s="76"/>
      <c r="P964" s="76"/>
      <c r="Q964" s="76"/>
      <c r="R964" s="76"/>
      <c r="S964" s="76"/>
      <c r="T964" s="76"/>
      <c r="U964" s="76"/>
      <c r="V964" s="76"/>
      <c r="W964" s="76"/>
      <c r="X964" s="76"/>
      <c r="Y964" s="76"/>
      <c r="Z964" s="76"/>
      <c r="AA964" s="76"/>
      <c r="AB964" s="76"/>
      <c r="AC964" s="76"/>
      <c r="AD964" s="76"/>
      <c r="AE964" s="76"/>
      <c r="AF964" s="76"/>
    </row>
    <row r="965">
      <c r="A965" s="76"/>
      <c r="B965" s="170"/>
      <c r="C965" s="76"/>
      <c r="D965" s="173"/>
      <c r="E965" s="173"/>
      <c r="F965" s="173"/>
      <c r="G965" s="175"/>
      <c r="H965" s="173"/>
      <c r="I965" s="173"/>
      <c r="J965" s="173"/>
      <c r="K965" s="173"/>
      <c r="L965" s="76"/>
      <c r="M965" s="76"/>
      <c r="N965" s="76"/>
      <c r="O965" s="76"/>
      <c r="P965" s="76"/>
      <c r="Q965" s="76"/>
      <c r="R965" s="76"/>
      <c r="S965" s="76"/>
      <c r="T965" s="76"/>
      <c r="U965" s="76"/>
      <c r="V965" s="76"/>
      <c r="W965" s="76"/>
      <c r="X965" s="76"/>
      <c r="Y965" s="76"/>
      <c r="Z965" s="76"/>
      <c r="AA965" s="76"/>
      <c r="AB965" s="76"/>
      <c r="AC965" s="76"/>
      <c r="AD965" s="76"/>
      <c r="AE965" s="76"/>
      <c r="AF965" s="76"/>
    </row>
    <row r="966">
      <c r="A966" s="76"/>
      <c r="B966" s="170"/>
      <c r="C966" s="76"/>
      <c r="D966" s="173"/>
      <c r="E966" s="173"/>
      <c r="F966" s="173"/>
      <c r="G966" s="175"/>
      <c r="H966" s="173"/>
      <c r="I966" s="173"/>
      <c r="J966" s="173"/>
      <c r="K966" s="173"/>
      <c r="L966" s="76"/>
      <c r="M966" s="76"/>
      <c r="N966" s="76"/>
      <c r="O966" s="76"/>
      <c r="P966" s="76"/>
      <c r="Q966" s="76"/>
      <c r="R966" s="76"/>
      <c r="S966" s="76"/>
      <c r="T966" s="76"/>
      <c r="U966" s="76"/>
      <c r="V966" s="76"/>
      <c r="W966" s="76"/>
      <c r="X966" s="76"/>
      <c r="Y966" s="76"/>
      <c r="Z966" s="76"/>
      <c r="AA966" s="76"/>
      <c r="AB966" s="76"/>
      <c r="AC966" s="76"/>
      <c r="AD966" s="76"/>
      <c r="AE966" s="76"/>
      <c r="AF966" s="76"/>
    </row>
    <row r="967">
      <c r="A967" s="76"/>
      <c r="B967" s="170"/>
      <c r="C967" s="76"/>
      <c r="D967" s="173"/>
      <c r="E967" s="173"/>
      <c r="F967" s="173"/>
      <c r="G967" s="175"/>
      <c r="H967" s="173"/>
      <c r="I967" s="173"/>
      <c r="J967" s="173"/>
      <c r="K967" s="173"/>
      <c r="L967" s="76"/>
      <c r="M967" s="76"/>
      <c r="N967" s="76"/>
      <c r="O967" s="76"/>
      <c r="P967" s="76"/>
      <c r="Q967" s="76"/>
      <c r="R967" s="76"/>
      <c r="S967" s="76"/>
      <c r="T967" s="76"/>
      <c r="U967" s="76"/>
      <c r="V967" s="76"/>
      <c r="W967" s="76"/>
      <c r="X967" s="76"/>
      <c r="Y967" s="76"/>
      <c r="Z967" s="76"/>
      <c r="AA967" s="76"/>
      <c r="AB967" s="76"/>
      <c r="AC967" s="76"/>
      <c r="AD967" s="76"/>
      <c r="AE967" s="76"/>
      <c r="AF967" s="76"/>
    </row>
    <row r="968">
      <c r="A968" s="76"/>
      <c r="B968" s="170"/>
      <c r="C968" s="76"/>
      <c r="D968" s="173"/>
      <c r="E968" s="173"/>
      <c r="F968" s="173"/>
      <c r="G968" s="175"/>
      <c r="H968" s="173"/>
      <c r="I968" s="173"/>
      <c r="J968" s="173"/>
      <c r="K968" s="173"/>
      <c r="L968" s="76"/>
      <c r="M968" s="76"/>
      <c r="N968" s="76"/>
      <c r="O968" s="76"/>
      <c r="P968" s="76"/>
      <c r="Q968" s="76"/>
      <c r="R968" s="76"/>
      <c r="S968" s="76"/>
      <c r="T968" s="76"/>
      <c r="U968" s="76"/>
      <c r="V968" s="76"/>
      <c r="W968" s="76"/>
      <c r="X968" s="76"/>
      <c r="Y968" s="76"/>
      <c r="Z968" s="76"/>
      <c r="AA968" s="76"/>
      <c r="AB968" s="76"/>
      <c r="AC968" s="76"/>
      <c r="AD968" s="76"/>
      <c r="AE968" s="76"/>
      <c r="AF968" s="76"/>
    </row>
    <row r="969">
      <c r="A969" s="76"/>
      <c r="B969" s="170"/>
      <c r="C969" s="76"/>
      <c r="D969" s="173"/>
      <c r="E969" s="173"/>
      <c r="F969" s="173"/>
      <c r="G969" s="175"/>
      <c r="H969" s="173"/>
      <c r="I969" s="173"/>
      <c r="J969" s="173"/>
      <c r="K969" s="173"/>
      <c r="L969" s="76"/>
      <c r="M969" s="76"/>
      <c r="N969" s="76"/>
      <c r="O969" s="76"/>
      <c r="P969" s="76"/>
      <c r="Q969" s="76"/>
      <c r="R969" s="76"/>
      <c r="S969" s="76"/>
      <c r="T969" s="76"/>
      <c r="U969" s="76"/>
      <c r="V969" s="76"/>
      <c r="W969" s="76"/>
      <c r="X969" s="76"/>
      <c r="Y969" s="76"/>
      <c r="Z969" s="76"/>
      <c r="AA969" s="76"/>
      <c r="AB969" s="76"/>
      <c r="AC969" s="76"/>
      <c r="AD969" s="76"/>
      <c r="AE969" s="76"/>
      <c r="AF969" s="76"/>
    </row>
    <row r="970">
      <c r="A970" s="76"/>
      <c r="B970" s="170"/>
      <c r="C970" s="76"/>
      <c r="D970" s="173"/>
      <c r="E970" s="173"/>
      <c r="F970" s="173"/>
      <c r="G970" s="175"/>
      <c r="H970" s="173"/>
      <c r="I970" s="173"/>
      <c r="J970" s="173"/>
      <c r="K970" s="173"/>
      <c r="L970" s="76"/>
      <c r="M970" s="76"/>
      <c r="N970" s="76"/>
      <c r="O970" s="76"/>
      <c r="P970" s="76"/>
      <c r="Q970" s="76"/>
      <c r="R970" s="76"/>
      <c r="S970" s="76"/>
      <c r="T970" s="76"/>
      <c r="U970" s="76"/>
      <c r="V970" s="76"/>
      <c r="W970" s="76"/>
      <c r="X970" s="76"/>
      <c r="Y970" s="76"/>
      <c r="Z970" s="76"/>
      <c r="AA970" s="76"/>
      <c r="AB970" s="76"/>
      <c r="AC970" s="76"/>
      <c r="AD970" s="76"/>
      <c r="AE970" s="76"/>
      <c r="AF970" s="76"/>
    </row>
    <row r="971">
      <c r="A971" s="76"/>
      <c r="B971" s="170"/>
      <c r="C971" s="76"/>
      <c r="D971" s="173"/>
      <c r="E971" s="173"/>
      <c r="F971" s="173"/>
      <c r="G971" s="175"/>
      <c r="H971" s="173"/>
      <c r="I971" s="173"/>
      <c r="J971" s="173"/>
      <c r="K971" s="173"/>
      <c r="L971" s="76"/>
      <c r="M971" s="76"/>
      <c r="N971" s="76"/>
      <c r="O971" s="76"/>
      <c r="P971" s="76"/>
      <c r="Q971" s="76"/>
      <c r="R971" s="76"/>
      <c r="S971" s="76"/>
      <c r="T971" s="76"/>
      <c r="U971" s="76"/>
      <c r="V971" s="76"/>
      <c r="W971" s="76"/>
      <c r="X971" s="76"/>
      <c r="Y971" s="76"/>
      <c r="Z971" s="76"/>
      <c r="AA971" s="76"/>
      <c r="AB971" s="76"/>
      <c r="AC971" s="76"/>
      <c r="AD971" s="76"/>
      <c r="AE971" s="76"/>
      <c r="AF971" s="76"/>
    </row>
    <row r="972">
      <c r="A972" s="76"/>
      <c r="B972" s="170"/>
      <c r="C972" s="76"/>
      <c r="D972" s="173"/>
      <c r="E972" s="173"/>
      <c r="F972" s="173"/>
      <c r="G972" s="175"/>
      <c r="H972" s="173"/>
      <c r="I972" s="173"/>
      <c r="J972" s="173"/>
      <c r="K972" s="173"/>
      <c r="L972" s="76"/>
      <c r="M972" s="76"/>
      <c r="N972" s="76"/>
      <c r="O972" s="76"/>
      <c r="P972" s="76"/>
      <c r="Q972" s="76"/>
      <c r="R972" s="76"/>
      <c r="S972" s="76"/>
      <c r="T972" s="76"/>
      <c r="U972" s="76"/>
      <c r="V972" s="76"/>
      <c r="W972" s="76"/>
      <c r="X972" s="76"/>
      <c r="Y972" s="76"/>
      <c r="Z972" s="76"/>
      <c r="AA972" s="76"/>
      <c r="AB972" s="76"/>
      <c r="AC972" s="76"/>
      <c r="AD972" s="76"/>
      <c r="AE972" s="76"/>
      <c r="AF972" s="76"/>
    </row>
    <row r="973">
      <c r="A973" s="76"/>
      <c r="B973" s="170"/>
      <c r="C973" s="76"/>
      <c r="D973" s="173"/>
      <c r="E973" s="173"/>
      <c r="F973" s="173"/>
      <c r="G973" s="175"/>
      <c r="H973" s="173"/>
      <c r="I973" s="173"/>
      <c r="J973" s="173"/>
      <c r="K973" s="173"/>
      <c r="L973" s="76"/>
      <c r="M973" s="76"/>
      <c r="N973" s="76"/>
      <c r="O973" s="76"/>
      <c r="P973" s="76"/>
      <c r="Q973" s="76"/>
      <c r="R973" s="76"/>
      <c r="S973" s="76"/>
      <c r="T973" s="76"/>
      <c r="U973" s="76"/>
      <c r="V973" s="76"/>
      <c r="W973" s="76"/>
      <c r="X973" s="76"/>
      <c r="Y973" s="76"/>
      <c r="Z973" s="76"/>
      <c r="AA973" s="76"/>
      <c r="AB973" s="76"/>
      <c r="AC973" s="76"/>
      <c r="AD973" s="76"/>
      <c r="AE973" s="76"/>
      <c r="AF973" s="76"/>
    </row>
    <row r="974">
      <c r="A974" s="76"/>
      <c r="B974" s="170"/>
      <c r="C974" s="76"/>
      <c r="D974" s="173"/>
      <c r="E974" s="173"/>
      <c r="F974" s="173"/>
      <c r="G974" s="175"/>
      <c r="H974" s="173"/>
      <c r="I974" s="173"/>
      <c r="J974" s="173"/>
      <c r="K974" s="173"/>
      <c r="L974" s="76"/>
      <c r="M974" s="76"/>
      <c r="N974" s="76"/>
      <c r="O974" s="76"/>
      <c r="P974" s="76"/>
      <c r="Q974" s="76"/>
      <c r="R974" s="76"/>
      <c r="S974" s="76"/>
      <c r="T974" s="76"/>
      <c r="U974" s="76"/>
      <c r="V974" s="76"/>
      <c r="W974" s="76"/>
      <c r="X974" s="76"/>
      <c r="Y974" s="76"/>
      <c r="Z974" s="76"/>
      <c r="AA974" s="76"/>
      <c r="AB974" s="76"/>
      <c r="AC974" s="76"/>
      <c r="AD974" s="76"/>
      <c r="AE974" s="76"/>
      <c r="AF974" s="76"/>
    </row>
    <row r="975">
      <c r="A975" s="76"/>
      <c r="B975" s="170"/>
      <c r="C975" s="76"/>
      <c r="D975" s="173"/>
      <c r="E975" s="173"/>
      <c r="F975" s="173"/>
      <c r="G975" s="175"/>
      <c r="H975" s="173"/>
      <c r="I975" s="173"/>
      <c r="J975" s="173"/>
      <c r="K975" s="173"/>
      <c r="L975" s="76"/>
      <c r="M975" s="76"/>
      <c r="N975" s="76"/>
      <c r="O975" s="76"/>
      <c r="P975" s="76"/>
      <c r="Q975" s="76"/>
      <c r="R975" s="76"/>
      <c r="S975" s="76"/>
      <c r="T975" s="76"/>
      <c r="U975" s="76"/>
      <c r="V975" s="76"/>
      <c r="W975" s="76"/>
      <c r="X975" s="76"/>
      <c r="Y975" s="76"/>
      <c r="Z975" s="76"/>
      <c r="AA975" s="76"/>
      <c r="AB975" s="76"/>
      <c r="AC975" s="76"/>
      <c r="AD975" s="76"/>
      <c r="AE975" s="76"/>
      <c r="AF975" s="76"/>
    </row>
    <row r="976">
      <c r="A976" s="76"/>
      <c r="B976" s="170"/>
      <c r="C976" s="76"/>
      <c r="D976" s="173"/>
      <c r="E976" s="173"/>
      <c r="F976" s="173"/>
      <c r="G976" s="175"/>
      <c r="H976" s="173"/>
      <c r="I976" s="173"/>
      <c r="J976" s="173"/>
      <c r="K976" s="173"/>
      <c r="L976" s="76"/>
      <c r="M976" s="76"/>
      <c r="N976" s="76"/>
      <c r="O976" s="76"/>
      <c r="P976" s="76"/>
      <c r="Q976" s="76"/>
      <c r="R976" s="76"/>
      <c r="S976" s="76"/>
      <c r="T976" s="76"/>
      <c r="U976" s="76"/>
      <c r="V976" s="76"/>
      <c r="W976" s="76"/>
      <c r="X976" s="76"/>
      <c r="Y976" s="76"/>
      <c r="Z976" s="76"/>
      <c r="AA976" s="76"/>
      <c r="AB976" s="76"/>
      <c r="AC976" s="76"/>
      <c r="AD976" s="76"/>
      <c r="AE976" s="76"/>
      <c r="AF976" s="76"/>
    </row>
    <row r="977">
      <c r="A977" s="76"/>
      <c r="B977" s="170"/>
      <c r="C977" s="76"/>
      <c r="D977" s="173"/>
      <c r="E977" s="173"/>
      <c r="F977" s="173"/>
      <c r="G977" s="175"/>
      <c r="H977" s="173"/>
      <c r="I977" s="173"/>
      <c r="J977" s="173"/>
      <c r="K977" s="173"/>
      <c r="L977" s="76"/>
      <c r="M977" s="76"/>
      <c r="N977" s="76"/>
      <c r="O977" s="76"/>
      <c r="P977" s="76"/>
      <c r="Q977" s="76"/>
      <c r="R977" s="76"/>
      <c r="S977" s="76"/>
      <c r="T977" s="76"/>
      <c r="U977" s="76"/>
      <c r="V977" s="76"/>
      <c r="W977" s="76"/>
      <c r="X977" s="76"/>
      <c r="Y977" s="76"/>
      <c r="Z977" s="76"/>
      <c r="AA977" s="76"/>
      <c r="AB977" s="76"/>
      <c r="AC977" s="76"/>
      <c r="AD977" s="76"/>
      <c r="AE977" s="76"/>
      <c r="AF977" s="76"/>
    </row>
    <row r="978">
      <c r="A978" s="76"/>
      <c r="B978" s="170"/>
      <c r="C978" s="76"/>
      <c r="D978" s="173"/>
      <c r="E978" s="173"/>
      <c r="F978" s="173"/>
      <c r="G978" s="175"/>
      <c r="H978" s="173"/>
      <c r="I978" s="173"/>
      <c r="J978" s="173"/>
      <c r="K978" s="173"/>
      <c r="L978" s="76"/>
      <c r="M978" s="76"/>
      <c r="N978" s="76"/>
      <c r="O978" s="76"/>
      <c r="P978" s="76"/>
      <c r="Q978" s="76"/>
      <c r="R978" s="76"/>
      <c r="S978" s="76"/>
      <c r="T978" s="76"/>
      <c r="U978" s="76"/>
      <c r="V978" s="76"/>
      <c r="W978" s="76"/>
      <c r="X978" s="76"/>
      <c r="Y978" s="76"/>
      <c r="Z978" s="76"/>
      <c r="AA978" s="76"/>
      <c r="AB978" s="76"/>
      <c r="AC978" s="76"/>
      <c r="AD978" s="76"/>
      <c r="AE978" s="76"/>
      <c r="AF978" s="76"/>
    </row>
    <row r="979">
      <c r="A979" s="76"/>
      <c r="B979" s="170"/>
      <c r="C979" s="76"/>
      <c r="D979" s="173"/>
      <c r="E979" s="173"/>
      <c r="F979" s="173"/>
      <c r="G979" s="175"/>
      <c r="H979" s="173"/>
      <c r="I979" s="173"/>
      <c r="J979" s="173"/>
      <c r="K979" s="173"/>
      <c r="L979" s="76"/>
      <c r="M979" s="76"/>
      <c r="N979" s="76"/>
      <c r="O979" s="76"/>
      <c r="P979" s="76"/>
      <c r="Q979" s="76"/>
      <c r="R979" s="76"/>
      <c r="S979" s="76"/>
      <c r="T979" s="76"/>
      <c r="U979" s="76"/>
      <c r="V979" s="76"/>
      <c r="W979" s="76"/>
      <c r="X979" s="76"/>
      <c r="Y979" s="76"/>
      <c r="Z979" s="76"/>
      <c r="AA979" s="76"/>
      <c r="AB979" s="76"/>
      <c r="AC979" s="76"/>
      <c r="AD979" s="76"/>
      <c r="AE979" s="76"/>
      <c r="AF979" s="76"/>
    </row>
    <row r="980">
      <c r="A980" s="76"/>
      <c r="B980" s="170"/>
      <c r="C980" s="76"/>
      <c r="D980" s="173"/>
      <c r="E980" s="173"/>
      <c r="F980" s="173"/>
      <c r="G980" s="175"/>
      <c r="H980" s="173"/>
      <c r="I980" s="173"/>
      <c r="J980" s="173"/>
      <c r="K980" s="173"/>
      <c r="L980" s="76"/>
      <c r="M980" s="76"/>
      <c r="N980" s="76"/>
      <c r="O980" s="76"/>
      <c r="P980" s="76"/>
      <c r="Q980" s="76"/>
      <c r="R980" s="76"/>
      <c r="S980" s="76"/>
      <c r="T980" s="76"/>
      <c r="U980" s="76"/>
      <c r="V980" s="76"/>
      <c r="W980" s="76"/>
      <c r="X980" s="76"/>
      <c r="Y980" s="76"/>
      <c r="Z980" s="76"/>
      <c r="AA980" s="76"/>
      <c r="AB980" s="76"/>
      <c r="AC980" s="76"/>
      <c r="AD980" s="76"/>
      <c r="AE980" s="76"/>
      <c r="AF980" s="76"/>
    </row>
    <row r="981">
      <c r="A981" s="76"/>
      <c r="B981" s="170"/>
      <c r="C981" s="76"/>
      <c r="D981" s="173"/>
      <c r="E981" s="173"/>
      <c r="F981" s="173"/>
      <c r="G981" s="175"/>
      <c r="H981" s="173"/>
      <c r="I981" s="173"/>
      <c r="J981" s="173"/>
      <c r="K981" s="173"/>
      <c r="L981" s="76"/>
      <c r="M981" s="76"/>
      <c r="N981" s="76"/>
      <c r="O981" s="76"/>
      <c r="P981" s="76"/>
      <c r="Q981" s="76"/>
      <c r="R981" s="76"/>
      <c r="S981" s="76"/>
      <c r="T981" s="76"/>
      <c r="U981" s="76"/>
      <c r="V981" s="76"/>
      <c r="W981" s="76"/>
      <c r="X981" s="76"/>
      <c r="Y981" s="76"/>
      <c r="Z981" s="76"/>
      <c r="AA981" s="76"/>
      <c r="AB981" s="76"/>
      <c r="AC981" s="76"/>
      <c r="AD981" s="76"/>
      <c r="AE981" s="76"/>
      <c r="AF981" s="76"/>
    </row>
    <row r="982">
      <c r="A982" s="76"/>
      <c r="B982" s="170"/>
      <c r="C982" s="76"/>
      <c r="D982" s="173"/>
      <c r="E982" s="173"/>
      <c r="F982" s="173"/>
      <c r="G982" s="175"/>
      <c r="H982" s="173"/>
      <c r="I982" s="173"/>
      <c r="J982" s="173"/>
      <c r="K982" s="173"/>
      <c r="L982" s="76"/>
      <c r="M982" s="76"/>
      <c r="N982" s="76"/>
      <c r="O982" s="76"/>
      <c r="P982" s="76"/>
      <c r="Q982" s="76"/>
      <c r="R982" s="76"/>
      <c r="S982" s="76"/>
      <c r="T982" s="76"/>
      <c r="U982" s="76"/>
      <c r="V982" s="76"/>
      <c r="W982" s="76"/>
      <c r="X982" s="76"/>
      <c r="Y982" s="76"/>
      <c r="Z982" s="76"/>
      <c r="AA982" s="76"/>
      <c r="AB982" s="76"/>
      <c r="AC982" s="76"/>
      <c r="AD982" s="76"/>
      <c r="AE982" s="76"/>
      <c r="AF982" s="76"/>
    </row>
    <row r="983">
      <c r="A983" s="76"/>
      <c r="B983" s="170"/>
      <c r="C983" s="76"/>
      <c r="D983" s="173"/>
      <c r="E983" s="173"/>
      <c r="F983" s="173"/>
      <c r="G983" s="175"/>
      <c r="H983" s="173"/>
      <c r="I983" s="173"/>
      <c r="J983" s="173"/>
      <c r="K983" s="173"/>
      <c r="L983" s="76"/>
      <c r="M983" s="76"/>
      <c r="N983" s="76"/>
      <c r="O983" s="76"/>
      <c r="P983" s="76"/>
      <c r="Q983" s="76"/>
      <c r="R983" s="76"/>
      <c r="S983" s="76"/>
      <c r="T983" s="76"/>
      <c r="U983" s="76"/>
      <c r="V983" s="76"/>
      <c r="W983" s="76"/>
      <c r="X983" s="76"/>
      <c r="Y983" s="76"/>
      <c r="Z983" s="76"/>
      <c r="AA983" s="76"/>
      <c r="AB983" s="76"/>
      <c r="AC983" s="76"/>
      <c r="AD983" s="76"/>
      <c r="AE983" s="76"/>
      <c r="AF983" s="76"/>
    </row>
    <row r="984">
      <c r="A984" s="76"/>
      <c r="B984" s="170"/>
      <c r="C984" s="76"/>
      <c r="D984" s="173"/>
      <c r="E984" s="173"/>
      <c r="F984" s="173"/>
      <c r="G984" s="175"/>
      <c r="H984" s="173"/>
      <c r="I984" s="173"/>
      <c r="J984" s="173"/>
      <c r="K984" s="173"/>
      <c r="L984" s="76"/>
      <c r="M984" s="76"/>
      <c r="N984" s="76"/>
      <c r="O984" s="76"/>
      <c r="P984" s="76"/>
      <c r="Q984" s="76"/>
      <c r="R984" s="76"/>
      <c r="S984" s="76"/>
      <c r="T984" s="76"/>
      <c r="U984" s="76"/>
      <c r="V984" s="76"/>
      <c r="W984" s="76"/>
      <c r="X984" s="76"/>
      <c r="Y984" s="76"/>
      <c r="Z984" s="76"/>
      <c r="AA984" s="76"/>
      <c r="AB984" s="76"/>
      <c r="AC984" s="76"/>
      <c r="AD984" s="76"/>
      <c r="AE984" s="76"/>
      <c r="AF984" s="76"/>
    </row>
    <row r="985">
      <c r="A985" s="76"/>
      <c r="B985" s="170"/>
      <c r="C985" s="76"/>
      <c r="D985" s="173"/>
      <c r="E985" s="173"/>
      <c r="F985" s="173"/>
      <c r="G985" s="175"/>
      <c r="H985" s="173"/>
      <c r="I985" s="173"/>
      <c r="J985" s="173"/>
      <c r="K985" s="173"/>
      <c r="L985" s="76"/>
      <c r="M985" s="76"/>
      <c r="N985" s="76"/>
      <c r="O985" s="76"/>
      <c r="P985" s="76"/>
      <c r="Q985" s="76"/>
      <c r="R985" s="76"/>
      <c r="S985" s="76"/>
      <c r="T985" s="76"/>
      <c r="U985" s="76"/>
      <c r="V985" s="76"/>
      <c r="W985" s="76"/>
      <c r="X985" s="76"/>
      <c r="Y985" s="76"/>
      <c r="Z985" s="76"/>
      <c r="AA985" s="76"/>
      <c r="AB985" s="76"/>
      <c r="AC985" s="76"/>
      <c r="AD985" s="76"/>
      <c r="AE985" s="76"/>
      <c r="AF985" s="76"/>
    </row>
    <row r="986">
      <c r="A986" s="76"/>
      <c r="B986" s="170"/>
      <c r="C986" s="76"/>
      <c r="D986" s="173"/>
      <c r="E986" s="173"/>
      <c r="F986" s="173"/>
      <c r="G986" s="175"/>
      <c r="H986" s="173"/>
      <c r="I986" s="173"/>
      <c r="J986" s="173"/>
      <c r="K986" s="173"/>
      <c r="L986" s="76"/>
      <c r="M986" s="76"/>
      <c r="N986" s="76"/>
      <c r="O986" s="76"/>
      <c r="P986" s="76"/>
      <c r="Q986" s="76"/>
      <c r="R986" s="76"/>
      <c r="S986" s="76"/>
      <c r="T986" s="76"/>
      <c r="U986" s="76"/>
      <c r="V986" s="76"/>
      <c r="W986" s="76"/>
      <c r="X986" s="76"/>
      <c r="Y986" s="76"/>
      <c r="Z986" s="76"/>
      <c r="AA986" s="76"/>
      <c r="AB986" s="76"/>
      <c r="AC986" s="76"/>
      <c r="AD986" s="76"/>
      <c r="AE986" s="76"/>
      <c r="AF986" s="76"/>
    </row>
    <row r="987">
      <c r="A987" s="76"/>
      <c r="B987" s="170"/>
      <c r="C987" s="76"/>
      <c r="D987" s="173"/>
      <c r="E987" s="173"/>
      <c r="F987" s="173"/>
      <c r="G987" s="175"/>
      <c r="H987" s="173"/>
      <c r="I987" s="173"/>
      <c r="J987" s="173"/>
      <c r="K987" s="173"/>
      <c r="L987" s="76"/>
      <c r="M987" s="76"/>
      <c r="N987" s="76"/>
      <c r="O987" s="76"/>
      <c r="P987" s="76"/>
      <c r="Q987" s="76"/>
      <c r="R987" s="76"/>
      <c r="S987" s="76"/>
      <c r="T987" s="76"/>
      <c r="U987" s="76"/>
      <c r="V987" s="76"/>
      <c r="W987" s="76"/>
      <c r="X987" s="76"/>
      <c r="Y987" s="76"/>
      <c r="Z987" s="76"/>
      <c r="AA987" s="76"/>
      <c r="AB987" s="76"/>
      <c r="AC987" s="76"/>
      <c r="AD987" s="76"/>
      <c r="AE987" s="76"/>
      <c r="AF987" s="76"/>
    </row>
    <row r="988">
      <c r="A988" s="76"/>
      <c r="B988" s="170"/>
      <c r="C988" s="76"/>
      <c r="D988" s="173"/>
      <c r="E988" s="173"/>
      <c r="F988" s="173"/>
      <c r="G988" s="175"/>
      <c r="H988" s="173"/>
      <c r="I988" s="173"/>
      <c r="J988" s="173"/>
      <c r="K988" s="173"/>
      <c r="L988" s="76"/>
      <c r="M988" s="76"/>
      <c r="N988" s="76"/>
      <c r="O988" s="76"/>
      <c r="P988" s="76"/>
      <c r="Q988" s="76"/>
      <c r="R988" s="76"/>
      <c r="S988" s="76"/>
      <c r="T988" s="76"/>
      <c r="U988" s="76"/>
      <c r="V988" s="76"/>
      <c r="W988" s="76"/>
      <c r="X988" s="76"/>
      <c r="Y988" s="76"/>
      <c r="Z988" s="76"/>
      <c r="AA988" s="76"/>
      <c r="AB988" s="76"/>
      <c r="AC988" s="76"/>
      <c r="AD988" s="76"/>
      <c r="AE988" s="76"/>
      <c r="AF988" s="76"/>
    </row>
    <row r="989">
      <c r="A989" s="76"/>
      <c r="B989" s="170"/>
      <c r="C989" s="76"/>
      <c r="D989" s="173"/>
      <c r="E989" s="173"/>
      <c r="F989" s="173"/>
      <c r="G989" s="175"/>
      <c r="H989" s="173"/>
      <c r="I989" s="173"/>
      <c r="J989" s="173"/>
      <c r="K989" s="173"/>
      <c r="L989" s="76"/>
      <c r="M989" s="76"/>
      <c r="N989" s="76"/>
      <c r="O989" s="76"/>
      <c r="P989" s="76"/>
      <c r="Q989" s="76"/>
      <c r="R989" s="76"/>
      <c r="S989" s="76"/>
      <c r="T989" s="76"/>
      <c r="U989" s="76"/>
      <c r="V989" s="76"/>
      <c r="W989" s="76"/>
      <c r="X989" s="76"/>
      <c r="Y989" s="76"/>
      <c r="Z989" s="76"/>
      <c r="AA989" s="76"/>
      <c r="AB989" s="76"/>
      <c r="AC989" s="76"/>
      <c r="AD989" s="76"/>
      <c r="AE989" s="76"/>
      <c r="AF989" s="76"/>
    </row>
    <row r="990">
      <c r="A990" s="76"/>
      <c r="B990" s="170"/>
      <c r="C990" s="76"/>
      <c r="D990" s="173"/>
      <c r="E990" s="173"/>
      <c r="F990" s="173"/>
      <c r="G990" s="175"/>
      <c r="H990" s="173"/>
      <c r="I990" s="173"/>
      <c r="J990" s="173"/>
      <c r="K990" s="173"/>
      <c r="L990" s="76"/>
      <c r="M990" s="76"/>
      <c r="N990" s="76"/>
      <c r="O990" s="76"/>
      <c r="P990" s="76"/>
      <c r="Q990" s="76"/>
      <c r="R990" s="76"/>
      <c r="S990" s="76"/>
      <c r="T990" s="76"/>
      <c r="U990" s="76"/>
      <c r="V990" s="76"/>
      <c r="W990" s="76"/>
      <c r="X990" s="76"/>
      <c r="Y990" s="76"/>
      <c r="Z990" s="76"/>
      <c r="AA990" s="76"/>
      <c r="AB990" s="76"/>
      <c r="AC990" s="76"/>
      <c r="AD990" s="76"/>
      <c r="AE990" s="76"/>
      <c r="AF990" s="76"/>
    </row>
    <row r="991">
      <c r="A991" s="76"/>
      <c r="B991" s="170"/>
      <c r="C991" s="76"/>
      <c r="D991" s="173"/>
      <c r="E991" s="173"/>
      <c r="F991" s="173"/>
      <c r="G991" s="175"/>
      <c r="H991" s="173"/>
      <c r="I991" s="173"/>
      <c r="J991" s="173"/>
      <c r="K991" s="173"/>
      <c r="L991" s="76"/>
      <c r="M991" s="76"/>
      <c r="N991" s="76"/>
      <c r="O991" s="76"/>
      <c r="P991" s="76"/>
      <c r="Q991" s="76"/>
      <c r="R991" s="76"/>
      <c r="S991" s="76"/>
      <c r="T991" s="76"/>
      <c r="U991" s="76"/>
      <c r="V991" s="76"/>
      <c r="W991" s="76"/>
      <c r="X991" s="76"/>
      <c r="Y991" s="76"/>
      <c r="Z991" s="76"/>
      <c r="AA991" s="76"/>
      <c r="AB991" s="76"/>
      <c r="AC991" s="76"/>
      <c r="AD991" s="76"/>
      <c r="AE991" s="76"/>
      <c r="AF991" s="76"/>
    </row>
    <row r="992">
      <c r="A992" s="76"/>
      <c r="B992" s="170"/>
      <c r="C992" s="76"/>
      <c r="D992" s="173"/>
      <c r="E992" s="173"/>
      <c r="F992" s="173"/>
      <c r="G992" s="175"/>
      <c r="H992" s="173"/>
      <c r="I992" s="173"/>
      <c r="J992" s="173"/>
      <c r="K992" s="173"/>
      <c r="L992" s="76"/>
      <c r="M992" s="76"/>
      <c r="N992" s="76"/>
      <c r="O992" s="76"/>
      <c r="P992" s="76"/>
      <c r="Q992" s="76"/>
      <c r="R992" s="76"/>
      <c r="S992" s="76"/>
      <c r="T992" s="76"/>
      <c r="U992" s="76"/>
      <c r="V992" s="76"/>
      <c r="W992" s="76"/>
      <c r="X992" s="76"/>
      <c r="Y992" s="76"/>
      <c r="Z992" s="76"/>
      <c r="AA992" s="76"/>
      <c r="AB992" s="76"/>
      <c r="AC992" s="76"/>
      <c r="AD992" s="76"/>
      <c r="AE992" s="76"/>
      <c r="AF992" s="76"/>
    </row>
    <row r="993">
      <c r="A993" s="76"/>
      <c r="B993" s="170"/>
      <c r="C993" s="76"/>
      <c r="D993" s="173"/>
      <c r="E993" s="173"/>
      <c r="F993" s="173"/>
      <c r="G993" s="175"/>
      <c r="H993" s="173"/>
      <c r="I993" s="173"/>
      <c r="J993" s="173"/>
      <c r="K993" s="173"/>
      <c r="L993" s="76"/>
      <c r="M993" s="76"/>
      <c r="N993" s="76"/>
      <c r="O993" s="76"/>
      <c r="P993" s="76"/>
      <c r="Q993" s="76"/>
      <c r="R993" s="76"/>
      <c r="S993" s="76"/>
      <c r="T993" s="76"/>
      <c r="U993" s="76"/>
      <c r="V993" s="76"/>
      <c r="W993" s="76"/>
      <c r="X993" s="76"/>
      <c r="Y993" s="76"/>
      <c r="Z993" s="76"/>
      <c r="AA993" s="76"/>
      <c r="AB993" s="76"/>
      <c r="AC993" s="76"/>
      <c r="AD993" s="76"/>
      <c r="AE993" s="76"/>
      <c r="AF993" s="76"/>
    </row>
    <row r="994">
      <c r="A994" s="76"/>
      <c r="B994" s="170"/>
      <c r="C994" s="76"/>
      <c r="D994" s="173"/>
      <c r="E994" s="173"/>
      <c r="F994" s="173"/>
      <c r="G994" s="175"/>
      <c r="H994" s="173"/>
      <c r="I994" s="173"/>
      <c r="J994" s="173"/>
      <c r="K994" s="173"/>
      <c r="L994" s="76"/>
      <c r="M994" s="76"/>
      <c r="N994" s="76"/>
      <c r="O994" s="76"/>
      <c r="P994" s="76"/>
      <c r="Q994" s="76"/>
      <c r="R994" s="76"/>
      <c r="S994" s="76"/>
      <c r="T994" s="76"/>
      <c r="U994" s="76"/>
      <c r="V994" s="76"/>
      <c r="W994" s="76"/>
      <c r="X994" s="76"/>
      <c r="Y994" s="76"/>
      <c r="Z994" s="76"/>
      <c r="AA994" s="76"/>
      <c r="AB994" s="76"/>
      <c r="AC994" s="76"/>
      <c r="AD994" s="76"/>
      <c r="AE994" s="76"/>
      <c r="AF994" s="76"/>
    </row>
    <row r="995">
      <c r="A995" s="76"/>
      <c r="B995" s="170"/>
      <c r="C995" s="76"/>
      <c r="D995" s="173"/>
      <c r="E995" s="173"/>
      <c r="F995" s="173"/>
      <c r="G995" s="175"/>
      <c r="H995" s="173"/>
      <c r="I995" s="173"/>
      <c r="J995" s="173"/>
      <c r="K995" s="173"/>
      <c r="L995" s="76"/>
      <c r="M995" s="76"/>
      <c r="N995" s="76"/>
      <c r="O995" s="76"/>
      <c r="P995" s="76"/>
      <c r="Q995" s="76"/>
      <c r="R995" s="76"/>
      <c r="S995" s="76"/>
      <c r="T995" s="76"/>
      <c r="U995" s="76"/>
      <c r="V995" s="76"/>
      <c r="W995" s="76"/>
      <c r="X995" s="76"/>
      <c r="Y995" s="76"/>
      <c r="Z995" s="76"/>
      <c r="AA995" s="76"/>
      <c r="AB995" s="76"/>
      <c r="AC995" s="76"/>
      <c r="AD995" s="76"/>
      <c r="AE995" s="76"/>
      <c r="AF995" s="76"/>
    </row>
    <row r="996">
      <c r="A996" s="76"/>
      <c r="B996" s="170"/>
      <c r="C996" s="76"/>
      <c r="D996" s="173"/>
      <c r="E996" s="173"/>
      <c r="F996" s="173"/>
      <c r="G996" s="175"/>
      <c r="H996" s="173"/>
      <c r="I996" s="173"/>
      <c r="J996" s="173"/>
      <c r="K996" s="173"/>
      <c r="L996" s="76"/>
      <c r="M996" s="76"/>
      <c r="N996" s="76"/>
      <c r="O996" s="76"/>
      <c r="P996" s="76"/>
      <c r="Q996" s="76"/>
      <c r="R996" s="76"/>
      <c r="S996" s="76"/>
      <c r="T996" s="76"/>
      <c r="U996" s="76"/>
      <c r="V996" s="76"/>
      <c r="W996" s="76"/>
      <c r="X996" s="76"/>
      <c r="Y996" s="76"/>
      <c r="Z996" s="76"/>
      <c r="AA996" s="76"/>
      <c r="AB996" s="76"/>
      <c r="AC996" s="76"/>
      <c r="AD996" s="76"/>
      <c r="AE996" s="76"/>
      <c r="AF996" s="76"/>
    </row>
    <row r="997">
      <c r="A997" s="76"/>
      <c r="B997" s="170"/>
      <c r="C997" s="76"/>
      <c r="D997" s="173"/>
      <c r="E997" s="173"/>
      <c r="F997" s="173"/>
      <c r="G997" s="175"/>
      <c r="H997" s="173"/>
      <c r="I997" s="173"/>
      <c r="J997" s="173"/>
      <c r="K997" s="173"/>
      <c r="L997" s="76"/>
      <c r="M997" s="76"/>
      <c r="N997" s="76"/>
      <c r="O997" s="76"/>
      <c r="P997" s="76"/>
      <c r="Q997" s="76"/>
      <c r="R997" s="76"/>
      <c r="S997" s="76"/>
      <c r="T997" s="76"/>
      <c r="U997" s="76"/>
      <c r="V997" s="76"/>
      <c r="W997" s="76"/>
      <c r="X997" s="76"/>
      <c r="Y997" s="76"/>
      <c r="Z997" s="76"/>
      <c r="AA997" s="76"/>
      <c r="AB997" s="76"/>
      <c r="AC997" s="76"/>
      <c r="AD997" s="76"/>
      <c r="AE997" s="76"/>
      <c r="AF997" s="76"/>
    </row>
    <row r="998">
      <c r="A998" s="76"/>
      <c r="B998" s="170"/>
      <c r="C998" s="76"/>
      <c r="D998" s="173"/>
      <c r="E998" s="173"/>
      <c r="F998" s="173"/>
      <c r="G998" s="175"/>
      <c r="H998" s="173"/>
      <c r="I998" s="173"/>
      <c r="J998" s="173"/>
      <c r="K998" s="173"/>
      <c r="L998" s="76"/>
      <c r="M998" s="76"/>
      <c r="N998" s="76"/>
      <c r="O998" s="76"/>
      <c r="P998" s="76"/>
      <c r="Q998" s="76"/>
      <c r="R998" s="76"/>
      <c r="S998" s="76"/>
      <c r="T998" s="76"/>
      <c r="U998" s="76"/>
      <c r="V998" s="76"/>
      <c r="W998" s="76"/>
      <c r="X998" s="76"/>
      <c r="Y998" s="76"/>
      <c r="Z998" s="76"/>
      <c r="AA998" s="76"/>
      <c r="AB998" s="76"/>
      <c r="AC998" s="76"/>
      <c r="AD998" s="76"/>
      <c r="AE998" s="76"/>
      <c r="AF998" s="76"/>
    </row>
    <row r="999">
      <c r="A999" s="76"/>
      <c r="B999" s="170"/>
      <c r="C999" s="76"/>
      <c r="D999" s="173"/>
      <c r="E999" s="173"/>
      <c r="F999" s="173"/>
      <c r="G999" s="175"/>
      <c r="H999" s="173"/>
      <c r="I999" s="173"/>
      <c r="J999" s="173"/>
      <c r="K999" s="173"/>
      <c r="L999" s="76"/>
      <c r="M999" s="76"/>
      <c r="N999" s="76"/>
      <c r="O999" s="76"/>
      <c r="P999" s="76"/>
      <c r="Q999" s="76"/>
      <c r="R999" s="76"/>
      <c r="S999" s="76"/>
      <c r="T999" s="76"/>
      <c r="U999" s="76"/>
      <c r="V999" s="76"/>
      <c r="W999" s="76"/>
      <c r="X999" s="76"/>
      <c r="Y999" s="76"/>
      <c r="Z999" s="76"/>
      <c r="AA999" s="76"/>
      <c r="AB999" s="76"/>
      <c r="AC999" s="76"/>
      <c r="AD999" s="76"/>
      <c r="AE999" s="76"/>
      <c r="AF999" s="76"/>
    </row>
  </sheetData>
  <conditionalFormatting sqref="E1:E999">
    <cfRule type="colorScale" priority="1">
      <colorScale>
        <cfvo type="min"/>
        <cfvo type="percentile" val="50"/>
        <cfvo type="max"/>
        <color rgb="FFE67C73"/>
        <color rgb="FFFFFFFF"/>
        <color rgb="FF57BB8A"/>
      </colorScale>
    </cfRule>
  </conditionalFormatting>
  <conditionalFormatting sqref="F1:F999">
    <cfRule type="colorScale" priority="2">
      <colorScale>
        <cfvo type="min"/>
        <cfvo type="percentile" val="50"/>
        <cfvo type="max"/>
        <color rgb="FFE67C73"/>
        <color rgb="FFFFFFFF"/>
        <color rgb="FF57BB8A"/>
      </colorScale>
    </cfRule>
  </conditionalFormatting>
  <conditionalFormatting sqref="G1:G999">
    <cfRule type="colorScale" priority="3">
      <colorScale>
        <cfvo type="min"/>
        <cfvo type="percentile" val="50"/>
        <cfvo type="max"/>
        <color rgb="FFE67C73"/>
        <color rgb="FFFFFFFF"/>
        <color rgb="FF57BB8A"/>
      </colorScale>
    </cfRule>
  </conditionalFormatting>
  <conditionalFormatting sqref="H1:H999">
    <cfRule type="colorScale" priority="4">
      <colorScale>
        <cfvo type="min"/>
        <cfvo type="percentile" val="50"/>
        <cfvo type="max"/>
        <color rgb="FFE67C73"/>
        <color rgb="FFFFFFFF"/>
        <color rgb="FF57BB8A"/>
      </colorScale>
    </cfRule>
  </conditionalFormatting>
  <conditionalFormatting sqref="I1:I999">
    <cfRule type="colorScale" priority="5">
      <colorScale>
        <cfvo type="min"/>
        <cfvo type="percentile" val="50"/>
        <cfvo type="max"/>
        <color rgb="FFE67C73"/>
        <color rgb="FFFFFFFF"/>
        <color rgb="FF57BB8A"/>
      </colorScale>
    </cfRule>
  </conditionalFormatting>
  <conditionalFormatting sqref="J1:J999">
    <cfRule type="colorScale" priority="6">
      <colorScale>
        <cfvo type="min"/>
        <cfvo type="percentile" val="50"/>
        <cfvo type="max"/>
        <color rgb="FFE67C73"/>
        <color rgb="FFFFFFFF"/>
        <color rgb="FF57BB8A"/>
      </colorScale>
    </cfRule>
  </conditionalFormatting>
  <conditionalFormatting sqref="K1:K999">
    <cfRule type="colorScale" priority="7">
      <colorScale>
        <cfvo type="min"/>
        <cfvo type="percentile" val="50"/>
        <cfvo type="max"/>
        <color rgb="FFE67C73"/>
        <color rgb="FFFFFFFF"/>
        <color rgb="FF57BB8A"/>
      </colorScale>
    </cfRule>
  </conditionalFormatting>
  <conditionalFormatting sqref="L1:L999">
    <cfRule type="colorScale" priority="8">
      <colorScale>
        <cfvo type="min"/>
        <cfvo type="percentile" val="50"/>
        <cfvo type="max"/>
        <color rgb="FFE67C73"/>
        <color rgb="FFFFFFFF"/>
        <color rgb="FF57BB8A"/>
      </colorScale>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s>
  <sheetData>
    <row r="1">
      <c r="A1" s="112" t="s">
        <v>573</v>
      </c>
      <c r="B1" s="113">
        <v>1730.0</v>
      </c>
      <c r="C1" s="113">
        <v>4635.0</v>
      </c>
      <c r="D1" s="113" t="s">
        <v>1</v>
      </c>
      <c r="E1" s="113" t="s">
        <v>1</v>
      </c>
      <c r="F1" s="113" t="s">
        <v>1</v>
      </c>
      <c r="G1" s="113" t="s">
        <v>1</v>
      </c>
    </row>
    <row r="2">
      <c r="A2" s="27"/>
    </row>
    <row r="3">
      <c r="A3" s="27" t="s">
        <v>575</v>
      </c>
      <c r="B3" s="116" t="s">
        <v>560</v>
      </c>
      <c r="C3" s="117" t="s">
        <v>561</v>
      </c>
      <c r="D3" s="117" t="s">
        <v>562</v>
      </c>
      <c r="E3" s="117" t="s">
        <v>563</v>
      </c>
      <c r="F3" s="118" t="s">
        <v>532</v>
      </c>
      <c r="G3" s="118" t="s">
        <v>564</v>
      </c>
      <c r="H3" s="132" t="s">
        <v>537</v>
      </c>
    </row>
    <row r="4">
      <c r="A4" s="176">
        <f>B1</f>
        <v>1730</v>
      </c>
      <c r="B4" s="177">
        <f>SUMIF(RawTotals!A$2:A1000, B1, RawTotals!C$2:C1000)*2</f>
        <v>0</v>
      </c>
      <c r="C4" s="178">
        <f>SUMIF(RawTotals!A$2:A1000, B1, RawTotals!D$2:D1000)*4</f>
        <v>6.857142857</v>
      </c>
      <c r="D4" s="178">
        <f>SUMIF(RawTotals!A$2:A1000, B1, RawTotals!L$2:L1000)</f>
        <v>0.1428571429</v>
      </c>
      <c r="E4" s="178">
        <f>SUMIF(RawTotals!A$2:A1000, B1, RawTotals!M$2:M1000)*2</f>
        <v>14.28571429</v>
      </c>
      <c r="F4" s="178">
        <f>SUMIF(RawTotals!A$2:A1000, B1, RawTotals!Z$2:Z1000)+SUMIF(RawTotals!A$2:A1000, B1, RawTotals!Y$2:Y1000)</f>
        <v>21.28571429</v>
      </c>
      <c r="G4" s="178">
        <f>SUMIF(RawTotals!A$2:A1000, B1, RawTotals!P$2:P1000)</f>
        <v>7.857142857</v>
      </c>
      <c r="H4" s="178">
        <f>SUMIF(RawTotals!A$2:A1000, B1, RawTotals!AF$2:AF1000)</f>
        <v>29.14285714</v>
      </c>
    </row>
    <row r="5">
      <c r="A5" s="176">
        <f>C1</f>
        <v>4635</v>
      </c>
      <c r="B5" s="177">
        <f>SUMIF(RawTotals!A$2:A1000, C1, RawTotals!C$2:C1000)*2</f>
        <v>0</v>
      </c>
      <c r="C5" s="177">
        <f>SUMIF(RawTotals!A$2:A1000, C1, RawTotals!D$2:D1000)*4</f>
        <v>8</v>
      </c>
      <c r="D5" s="177">
        <f>SUMIF(RawTotals!A$2:A1000, C1, RawTotals!L$2:L1000)</f>
        <v>0</v>
      </c>
      <c r="E5" s="177">
        <f>SUMIF(RawTotals!A$2:A1000, C1, RawTotals!M$2:M1000)*2</f>
        <v>29.14285714</v>
      </c>
      <c r="F5" s="177">
        <f>SUMIF(RawTotals!A$2:A1000, C1, RawTotals!Z$2:Z1000)+SUMIF(RawTotals!A$2:A1000, C1, RawTotals!Y$2:Y1000)</f>
        <v>37.14285714</v>
      </c>
      <c r="G5" s="177">
        <f>SUMIF(RawTotals!A$2:A1000, C1, RawTotals!P$2:P1000)</f>
        <v>3.571428571</v>
      </c>
      <c r="H5" s="177">
        <f>SUMIF(RawTotals!A$2:A1000, C1, RawTotals!AF$2:AF1000)</f>
        <v>40.71428571</v>
      </c>
    </row>
    <row r="6">
      <c r="A6" s="176" t="str">
        <f>D1</f>
        <v>Team</v>
      </c>
      <c r="B6" s="177">
        <f>SUMIF(RawTotals!A$2:A1000, D1, RawTotals!C$2:C1000)*2</f>
        <v>0</v>
      </c>
      <c r="C6" s="178">
        <f>SUMIF(RawTotals!A$2:A1000, D1, RawTotals!D$2:D1000)*4</f>
        <v>0</v>
      </c>
      <c r="D6" s="178">
        <f>SUMIF(RawTotals!A$2:A1000, D1, RawTotals!L$2:L1000)</f>
        <v>0</v>
      </c>
      <c r="E6" s="178">
        <f>SUMIF(RawTotals!A$2:A1000, D1, RawTotals!M$2:M1000)*2</f>
        <v>0</v>
      </c>
      <c r="F6" s="178">
        <f>SUMIF(RawTotals!A$2:A1000, D1, RawTotals!Z$2:Z1000)+SUMIF(RawTotals!A$2:A1000, D1, RawTotals!Y$2:Y1000)</f>
        <v>0</v>
      </c>
      <c r="G6" s="178">
        <f>SUMIF(RawTotals!A$2:A1000, D1, RawTotals!P$2:P1000)</f>
        <v>0</v>
      </c>
      <c r="H6" s="178">
        <f>SUMIF(RawTotals!A$2:A1000, D1, RawTotals!AF$2:AF1000)</f>
        <v>0</v>
      </c>
    </row>
    <row r="7">
      <c r="A7" s="176" t="str">
        <f>E1</f>
        <v>Team</v>
      </c>
      <c r="B7" s="177">
        <f>SUMIF(RawTotals!A$2:A1000, E1, RawTotals!C$2:C1000)*2</f>
        <v>0</v>
      </c>
      <c r="C7" s="178">
        <f>SUMIF(RawTotals!A$2:A1000, E1, RawTotals!D$2:D1000)*4</f>
        <v>0</v>
      </c>
      <c r="D7" s="178">
        <f>SUMIF(RawTotals!A$2:A1000, E1, RawTotals!L$2:L1000)</f>
        <v>0</v>
      </c>
      <c r="E7" s="178">
        <f>SUMIF(RawTotals!A$2:A1000, E1, RawTotals!M$2:M1000)*2</f>
        <v>0</v>
      </c>
      <c r="F7" s="178">
        <f>SUMIF(RawTotals!A$2:A1000, E1, RawTotals!Z$2:Z1000)+SUMIF(RawTotals!A$2:A1000, E1, RawTotals!Y$2:Y1000)</f>
        <v>0</v>
      </c>
      <c r="G7" s="178">
        <f>SUMIF(RawTotals!A$2:A1000, E1, RawTotals!P$2:P1000)</f>
        <v>0</v>
      </c>
      <c r="H7" s="178">
        <f>SUMIF(RawTotals!A$2:A1000, E1, RawTotals!AF$2:AF1000)</f>
        <v>0</v>
      </c>
    </row>
    <row r="8">
      <c r="A8" s="179" t="str">
        <f>F1</f>
        <v>Team</v>
      </c>
      <c r="B8" s="177">
        <f>SUMIF(RawTotals!A$2:A1000, F1, RawTotals!C$2:C1000)*2</f>
        <v>0</v>
      </c>
      <c r="C8" s="178">
        <f>SUMIF(RawTotals!A$2:A1000, F1, RawTotals!D$2:D1000)*4</f>
        <v>0</v>
      </c>
      <c r="D8" s="178">
        <f>SUMIF(RawTotals!A$2:A1000, F1, RawTotals!L$2:L1000)</f>
        <v>0</v>
      </c>
      <c r="E8" s="178">
        <f>SUMIF(RawTotals!A$2:A1000, F1, RawTotals!M$2:M1000)*2</f>
        <v>0</v>
      </c>
      <c r="F8" s="178">
        <f>SUMIF(RawTotals!A$2:A1000, F1, RawTotals!Z$2:Z1000)+SUMIF(RawTotals!A$2:A1000, F1, RawTotals!Y$2:Y1000)</f>
        <v>0</v>
      </c>
      <c r="G8" s="178">
        <f>SUMIF(RawTotals!A$2:A1000, F1, RawTotals!P$2:P1000)</f>
        <v>0</v>
      </c>
      <c r="H8" s="178">
        <f>SUMIF(RawTotals!A$2:A1000, F1, RawTotals!AF$2:AF1000)</f>
        <v>0</v>
      </c>
    </row>
    <row r="9">
      <c r="A9" s="179" t="str">
        <f>G1</f>
        <v>Team</v>
      </c>
      <c r="B9" s="177">
        <f>SUMIF(RawTotals!A$2:A1000, G1, RawTotals!C$2:C1000)*2</f>
        <v>0</v>
      </c>
      <c r="C9" s="178">
        <f>SUMIF(RawTotals!A$2:A1000, G1, RawTotals!D$2:D1000)*4</f>
        <v>0</v>
      </c>
      <c r="D9" s="178">
        <f>SUMIF(RawTotals!A$2:A1000, G1, RawTotals!L$2:L1000)</f>
        <v>0</v>
      </c>
      <c r="E9" s="178">
        <f>SUMIF(RawTotals!A$2:A1000, G1, RawTotals!M$2:M1000)*2</f>
        <v>0</v>
      </c>
      <c r="F9" s="178">
        <f>SUMIF(RawTotals!A$2:A1000, G1, RawTotals!Z$2:Z1000)+SUMIF(RawTotals!A$2:A1000, G1, RawTotals!Y$2:Y1000)</f>
        <v>0</v>
      </c>
      <c r="G9" s="178">
        <f>SUMIF(RawTotals!A$2:A1000, G1, RawTotals!P$2:P1000)</f>
        <v>0</v>
      </c>
      <c r="H9" s="178">
        <f>SUMIF(RawTotals!A$2:A1000, G1, RawTotals!AF$2:AF1000)</f>
        <v>0</v>
      </c>
    </row>
    <row r="12">
      <c r="B12" s="140">
        <f t="shared" ref="B12:G12" si="1">B1</f>
        <v>1730</v>
      </c>
      <c r="C12" s="140">
        <f t="shared" si="1"/>
        <v>4635</v>
      </c>
      <c r="D12" s="140" t="str">
        <f t="shared" si="1"/>
        <v>Team</v>
      </c>
      <c r="E12" s="140" t="str">
        <f t="shared" si="1"/>
        <v>Team</v>
      </c>
      <c r="F12" s="15" t="str">
        <f t="shared" si="1"/>
        <v>Team</v>
      </c>
      <c r="G12" s="15" t="str">
        <f t="shared" si="1"/>
        <v>Team</v>
      </c>
    </row>
    <row r="13">
      <c r="A13" s="140" t="str">
        <f t="array" ref="A13:G16">TRANSPOSE(B3:E9)</f>
        <v>Auto Low</v>
      </c>
      <c r="B13" s="49">
        <v>0.0</v>
      </c>
      <c r="C13" s="49">
        <v>0.0</v>
      </c>
      <c r="D13" s="49">
        <v>0.0</v>
      </c>
      <c r="E13" s="49">
        <v>0.0</v>
      </c>
      <c r="F13" s="49">
        <v>0.0</v>
      </c>
      <c r="G13" s="49">
        <v>0.0</v>
      </c>
    </row>
    <row r="14">
      <c r="A14" s="140" t="s">
        <v>561</v>
      </c>
      <c r="B14" s="49">
        <v>6.857142857142857</v>
      </c>
      <c r="C14" s="49">
        <v>8.0</v>
      </c>
      <c r="D14" s="49">
        <v>0.0</v>
      </c>
      <c r="E14" s="49">
        <v>0.0</v>
      </c>
      <c r="F14" s="49">
        <v>0.0</v>
      </c>
      <c r="G14" s="49">
        <v>0.0</v>
      </c>
    </row>
    <row r="15">
      <c r="A15" s="140" t="s">
        <v>562</v>
      </c>
      <c r="B15" s="49">
        <v>0.14285714285714285</v>
      </c>
      <c r="C15" s="49">
        <v>0.0</v>
      </c>
      <c r="D15" s="49">
        <v>0.0</v>
      </c>
      <c r="E15" s="49">
        <v>0.0</v>
      </c>
      <c r="F15" s="49">
        <v>0.0</v>
      </c>
      <c r="G15" s="49">
        <v>0.0</v>
      </c>
    </row>
    <row r="16">
      <c r="A16" s="140" t="s">
        <v>563</v>
      </c>
      <c r="B16" s="49">
        <v>14.285714285714286</v>
      </c>
      <c r="C16" s="49">
        <v>29.142857142857142</v>
      </c>
      <c r="D16" s="49">
        <v>0.0</v>
      </c>
      <c r="E16" s="49">
        <v>0.0</v>
      </c>
      <c r="F16" s="49">
        <v>0.0</v>
      </c>
      <c r="G16" s="49">
        <v>0.0</v>
      </c>
    </row>
    <row r="17">
      <c r="A17" s="140" t="str">
        <f t="array" ref="A17:G17">TRANSPOSE(G3:G9)</f>
        <v>Hang</v>
      </c>
      <c r="B17" s="49">
        <v>7.857142857142857</v>
      </c>
      <c r="C17" s="49">
        <v>3.5714285714285716</v>
      </c>
      <c r="D17" s="49">
        <v>0.0</v>
      </c>
      <c r="E17" s="49">
        <v>0.0</v>
      </c>
      <c r="F17" s="49">
        <v>0.0</v>
      </c>
      <c r="G17" s="49">
        <v>0.0</v>
      </c>
    </row>
  </sheetData>
  <dataValidations>
    <dataValidation type="list" allowBlank="1" sqref="B1:G1">
      <formula1>RawTotals!$A:$A</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0.38"/>
    <col customWidth="1" min="2" max="2" width="8.38"/>
    <col customWidth="1" min="3" max="3" width="8.75"/>
    <col customWidth="1" min="4" max="4" width="8.63"/>
    <col customWidth="1" min="5" max="5" width="9.0"/>
    <col customWidth="1" min="6" max="6" width="12.75"/>
    <col customWidth="1" min="7" max="7" width="8.0"/>
    <col customWidth="1" min="8" max="8" width="8.38"/>
    <col customWidth="1" min="9" max="9" width="8.5"/>
    <col customWidth="1" min="10" max="10" width="11.38"/>
    <col customWidth="1" min="11" max="11" width="5.13"/>
    <col customWidth="1" min="12" max="12" width="16.5"/>
    <col customWidth="1" min="13" max="13" width="10.88"/>
    <col customWidth="1" min="14" max="14" width="12.88"/>
    <col customWidth="1" min="15" max="15" width="11.25"/>
    <col customWidth="1" min="16" max="16" width="14.38"/>
    <col customWidth="1" min="17" max="17" width="15.25"/>
    <col customWidth="1" min="18" max="18" width="11.88"/>
    <col customWidth="1" min="19" max="19" width="10.38"/>
    <col customWidth="1" min="21" max="21" width="32.63"/>
  </cols>
  <sheetData>
    <row r="1">
      <c r="A1" s="75"/>
      <c r="B1" s="180"/>
      <c r="K1" s="75"/>
      <c r="L1" s="75"/>
      <c r="M1" s="75"/>
      <c r="N1" s="75"/>
      <c r="O1" s="75"/>
      <c r="P1" s="75"/>
      <c r="Q1" s="75"/>
      <c r="R1" s="75"/>
      <c r="S1" s="75"/>
      <c r="T1" s="75"/>
      <c r="U1" s="75"/>
      <c r="V1" s="76"/>
      <c r="W1" s="76"/>
      <c r="X1" s="76"/>
      <c r="Y1" s="76"/>
      <c r="Z1" s="76"/>
      <c r="AA1" s="76"/>
      <c r="AB1" s="76"/>
      <c r="AC1" s="76"/>
      <c r="AD1" s="76"/>
      <c r="AE1" s="76"/>
      <c r="AF1" s="76"/>
    </row>
    <row r="2">
      <c r="A2" s="181"/>
      <c r="B2" s="182" t="s">
        <v>600</v>
      </c>
      <c r="C2" s="78" t="s">
        <v>559</v>
      </c>
      <c r="D2" s="78" t="s">
        <v>560</v>
      </c>
      <c r="E2" s="78" t="s">
        <v>561</v>
      </c>
      <c r="F2" s="78" t="s">
        <v>512</v>
      </c>
      <c r="G2" s="79" t="s">
        <v>562</v>
      </c>
      <c r="H2" s="79" t="s">
        <v>563</v>
      </c>
      <c r="I2" s="79" t="s">
        <v>520</v>
      </c>
      <c r="J2" s="79" t="s">
        <v>532</v>
      </c>
      <c r="K2" s="79" t="s">
        <v>564</v>
      </c>
      <c r="L2" s="79" t="s">
        <v>565</v>
      </c>
      <c r="M2" s="79" t="s">
        <v>525</v>
      </c>
      <c r="N2" s="80" t="s">
        <v>601</v>
      </c>
      <c r="O2" s="78" t="s">
        <v>527</v>
      </c>
      <c r="P2" s="78" t="s">
        <v>528</v>
      </c>
      <c r="Q2" s="80" t="s">
        <v>602</v>
      </c>
      <c r="R2" s="80" t="s">
        <v>603</v>
      </c>
      <c r="S2" s="78" t="s">
        <v>537</v>
      </c>
      <c r="T2" s="75"/>
      <c r="U2" s="75" t="s">
        <v>604</v>
      </c>
      <c r="V2" s="76"/>
      <c r="W2" s="76"/>
      <c r="X2" s="76"/>
      <c r="Y2" s="76"/>
      <c r="Z2" s="76"/>
      <c r="AA2" s="76"/>
      <c r="AB2" s="76"/>
      <c r="AC2" s="76"/>
      <c r="AD2" s="76"/>
      <c r="AE2" s="76"/>
      <c r="AF2" s="76"/>
    </row>
    <row r="3">
      <c r="A3" s="75"/>
      <c r="B3" s="80">
        <v>1706.0</v>
      </c>
      <c r="C3" s="82" t="str">
        <f>IFERROR(__xludf.DUMMYFUNCTION("IFERROR(FILTER(DriverInfo!B$2:B1000, DriverInfo!A$2:A1000=B3),"""")"),"")</f>
        <v/>
      </c>
      <c r="D3" s="83">
        <f>SUMIF(RawTotals!A$2:A1000, B3, RawTotals!C$2:C1000)</f>
        <v>0</v>
      </c>
      <c r="E3" s="84">
        <f>SUMIF(RawTotals!A$2:A1000, B3, RawTotals!D$2:D1000)</f>
        <v>3.285714286</v>
      </c>
      <c r="F3" s="85">
        <f>SUMIF(RawTotals!A$2:A1000, B3, RawTotals!G$2:G1000)</f>
        <v>0.92</v>
      </c>
      <c r="G3" s="84">
        <f>SUMIF(RawTotals!A$2:A1000, B3, RawTotals!L$2:L1000)</f>
        <v>0</v>
      </c>
      <c r="H3" s="84">
        <f>SUMIF(RawTotals!A$2:A1000, B3, RawTotals!M$2:M1000)</f>
        <v>17.71428571</v>
      </c>
      <c r="I3" s="85">
        <f>SUMIF(RawTotals!A$2:A1000, B3, RawTotals!O$2:O1000)</f>
        <v>0.8596491228</v>
      </c>
      <c r="J3" s="84">
        <f>SUMIF(RawTotals!A$2:A1000, B3, RawTotals!Z$2:Z1000)+SUMIF(RawTotals!A$2:A1000, B3, RawTotals!Y$2:Y1000)</f>
        <v>48.57142857</v>
      </c>
      <c r="K3" s="84">
        <f>SUMIF(RawTotals!A$2:A1000, B3, RawTotals!P$2:P1000)</f>
        <v>1.714285714</v>
      </c>
      <c r="L3" s="85">
        <f>SUMIF(RawTotals!$A$2:$A1000, $B3, RawTotals!S$2:S1000)</f>
        <v>0.5</v>
      </c>
      <c r="M3" s="85">
        <f>SUMIF(RawTotals!$A$2:$A1000, $B3, RawTotals!T$2:T1000)</f>
        <v>0</v>
      </c>
      <c r="N3" s="85">
        <f>SUMIF(RawTotals!$A$2:$A1000, $B3, RawTotals!U$2:U1000)</f>
        <v>0.2857142857</v>
      </c>
      <c r="O3" s="85">
        <f>SUMIF(RawTotals!$A$2:$A1000, $B3, RawTotals!V$2:V1000)</f>
        <v>0</v>
      </c>
      <c r="P3" s="85">
        <f>SUMIF(RawTotals!$A$2:$A1000, $B3, RawTotals!W$2:W1000)</f>
        <v>0</v>
      </c>
      <c r="Q3" s="86">
        <f>SUMIF(RawTotals!$A$2:$A1000, $B3, RawTotals!AM$2:AM1000)</f>
        <v>0</v>
      </c>
      <c r="R3" s="86">
        <f>SUMIF(RawTotals!$A$2:$A1000, $B3, RawTotals!AN$2:AN1000)</f>
        <v>0</v>
      </c>
      <c r="S3" s="183">
        <f>SUMIF(RawTotals!A$2:A1000, B3, RawTotals!AF$2:AF1000)</f>
        <v>50.28571429</v>
      </c>
      <c r="T3" s="75"/>
      <c r="U3" s="89" t="str">
        <f>IFERROR(__xludf.DUMMYFUNCTION("IFERROR(FILTER(DriverInfo!G$2:G1000, DriverInfo!A$2:A1000=B3),"""")"),"")</f>
        <v/>
      </c>
      <c r="V3" s="76"/>
      <c r="W3" s="76"/>
      <c r="X3" s="76"/>
      <c r="Y3" s="76"/>
      <c r="Z3" s="76"/>
      <c r="AA3" s="76"/>
      <c r="AB3" s="76"/>
      <c r="AC3" s="76"/>
      <c r="AD3" s="76"/>
      <c r="AE3" s="76"/>
      <c r="AF3" s="76"/>
    </row>
    <row r="4">
      <c r="A4" s="75"/>
      <c r="B4" s="80">
        <v>33.0</v>
      </c>
      <c r="C4" s="82" t="str">
        <f>IFERROR(__xludf.DUMMYFUNCTION("IFERROR(FILTER(DriverInfo!B$2:B1000, DriverInfo!A$2:A1000=B4),"""")"),"swerve")</f>
        <v>swerve</v>
      </c>
      <c r="D4" s="83">
        <f>SUMIF(RawTotals!A$2:A1000, B4, RawTotals!C$2:C1000)</f>
        <v>0</v>
      </c>
      <c r="E4" s="84">
        <f>SUMIF(RawTotals!A$2:A1000, B4, RawTotals!D$2:D1000)</f>
        <v>3.142857143</v>
      </c>
      <c r="F4" s="85">
        <f>SUMIF(RawTotals!A$2:A1000, B4, RawTotals!G$2:G1000)</f>
        <v>0.8148148148</v>
      </c>
      <c r="G4" s="84">
        <f>SUMIF(RawTotals!A$2:A1000, B4, RawTotals!L$2:L1000)</f>
        <v>0.1428571429</v>
      </c>
      <c r="H4" s="84">
        <f>SUMIF(RawTotals!A$2:A1000, B4, RawTotals!M$2:M1000)</f>
        <v>13.42857143</v>
      </c>
      <c r="I4" s="85">
        <f>SUMIF(RawTotals!A$2:A1000, B4, RawTotals!O$2:O1000)</f>
        <v>0.8731343284</v>
      </c>
      <c r="J4" s="84">
        <f>SUMIF(RawTotals!A$2:A1000, B4, RawTotals!Z$2:Z1000)+SUMIF(RawTotals!A$2:A1000, B4, RawTotals!Y$2:Y1000)</f>
        <v>39.57142857</v>
      </c>
      <c r="K4" s="84">
        <f>SUMIF(RawTotals!A$2:A1000, B4, RawTotals!P$2:P1000)</f>
        <v>6.428571429</v>
      </c>
      <c r="L4" s="85">
        <f>SUMIF(RawTotals!$A$2:$A1000, $B4, RawTotals!S$2:S1000)</f>
        <v>1</v>
      </c>
      <c r="M4" s="85">
        <f>SUMIF(RawTotals!$A$2:$A1000, $B4, RawTotals!T$2:T1000)</f>
        <v>0</v>
      </c>
      <c r="N4" s="85">
        <f>SUMIF(RawTotals!$A$2:$A1000, $B4, RawTotals!U$2:U1000)</f>
        <v>0</v>
      </c>
      <c r="O4" s="85">
        <f>SUMIF(RawTotals!$A$2:$A1000, $B4, RawTotals!V$2:V1000)</f>
        <v>0</v>
      </c>
      <c r="P4" s="85">
        <f>SUMIF(RawTotals!$A$2:$A1000, $B4, RawTotals!W$2:W1000)</f>
        <v>0.4285714286</v>
      </c>
      <c r="Q4" s="86">
        <f>SUMIF(RawTotals!$A$2:$A1000, $B4, RawTotals!AM$2:AM1000)</f>
        <v>0</v>
      </c>
      <c r="R4" s="86">
        <f>SUMIF(RawTotals!$A$2:$A1000, $B4, RawTotals!AN$2:AN1000)</f>
        <v>0</v>
      </c>
      <c r="S4" s="183">
        <f>SUMIF(RawTotals!A$2:A1000, B4, RawTotals!AF$2:AF1000)</f>
        <v>46</v>
      </c>
      <c r="T4" s="75"/>
      <c r="U4" s="89" t="str">
        <f>IFERROR(__xludf.DUMMYFUNCTION("IFERROR(FILTER(DriverInfo!G$2:G1000, DriverInfo!A$2:A1000=B4),"""")"),"")</f>
        <v/>
      </c>
      <c r="V4" s="76"/>
      <c r="W4" s="76"/>
      <c r="X4" s="76"/>
      <c r="Y4" s="76"/>
      <c r="Z4" s="76"/>
      <c r="AA4" s="76"/>
      <c r="AB4" s="76"/>
      <c r="AC4" s="76"/>
      <c r="AD4" s="76"/>
      <c r="AE4" s="76"/>
      <c r="AF4" s="76"/>
    </row>
    <row r="5">
      <c r="A5" s="75"/>
      <c r="B5" s="80">
        <v>5712.0</v>
      </c>
      <c r="C5" s="82" t="str">
        <f>IFERROR(__xludf.DUMMYFUNCTION("IFERROR(FILTER(DriverInfo!B$2:B1000, DriverInfo!A$2:A1000=B5),"""")"),"Swerve")</f>
        <v>Swerve</v>
      </c>
      <c r="D5" s="83">
        <f>SUMIF(RawTotals!A$2:A1000, B5, RawTotals!C$2:C1000)</f>
        <v>0</v>
      </c>
      <c r="E5" s="84">
        <f>SUMIF(RawTotals!A$2:A1000, B5, RawTotals!D$2:D1000)</f>
        <v>1</v>
      </c>
      <c r="F5" s="85">
        <f>SUMIF(RawTotals!A$2:A1000, B5, RawTotals!G$2:G1000)</f>
        <v>0.6666666667</v>
      </c>
      <c r="G5" s="84">
        <f>SUMIF(RawTotals!A$2:A1000, B5, RawTotals!L$2:L1000)</f>
        <v>0.125</v>
      </c>
      <c r="H5" s="84">
        <f>SUMIF(RawTotals!A$2:A1000, B5, RawTotals!M$2:M1000)</f>
        <v>12</v>
      </c>
      <c r="I5" s="85">
        <f>SUMIF(RawTotals!A$2:A1000, B5, RawTotals!O$2:O1000)</f>
        <v>0.875</v>
      </c>
      <c r="J5" s="84">
        <f>SUMIF(RawTotals!A$2:A1000, B5, RawTotals!Z$2:Z1000)+SUMIF(RawTotals!A$2:A1000, B5, RawTotals!Y$2:Y1000)</f>
        <v>28.125</v>
      </c>
      <c r="K5" s="84">
        <f>SUMIF(RawTotals!A$2:A1000, B5, RawTotals!P$2:P1000)</f>
        <v>12.5</v>
      </c>
      <c r="L5" s="85">
        <f>SUMIF(RawTotals!$A$2:$A1000, $B5, RawTotals!S$2:S1000)</f>
        <v>1</v>
      </c>
      <c r="M5" s="85">
        <f>SUMIF(RawTotals!$A$2:$A1000, $B5, RawTotals!T$2:T1000)</f>
        <v>0</v>
      </c>
      <c r="N5" s="85">
        <f>SUMIF(RawTotals!$A$2:$A1000, $B5, RawTotals!U$2:U1000)</f>
        <v>0</v>
      </c>
      <c r="O5" s="85">
        <f>SUMIF(RawTotals!$A$2:$A1000, $B5, RawTotals!V$2:V1000)</f>
        <v>0.125</v>
      </c>
      <c r="P5" s="85">
        <f>SUMIF(RawTotals!$A$2:$A1000, $B5, RawTotals!W$2:W1000)</f>
        <v>0.75</v>
      </c>
      <c r="Q5" s="86">
        <f>SUMIF(RawTotals!$A$2:$A1000, $B5, RawTotals!AM$2:AM1000)</f>
        <v>0</v>
      </c>
      <c r="R5" s="86">
        <f>SUMIF(RawTotals!$A$2:$A1000, $B5, RawTotals!AN$2:AN1000)</f>
        <v>0</v>
      </c>
      <c r="S5" s="183">
        <f>SUMIF(RawTotals!A$2:A1000, B5, RawTotals!AF$2:AF1000)</f>
        <v>40.625</v>
      </c>
      <c r="T5" s="75"/>
      <c r="U5" s="89" t="str">
        <f>IFERROR(__xludf.DUMMYFUNCTION("IFERROR(FILTER(DriverInfo!G$2:G1000, DriverInfo!A$2:A1000=B5),"""")"),"")</f>
        <v/>
      </c>
      <c r="V5" s="76"/>
      <c r="W5" s="76"/>
      <c r="X5" s="76"/>
      <c r="Y5" s="76"/>
      <c r="Z5" s="76"/>
      <c r="AA5" s="76"/>
      <c r="AB5" s="76"/>
      <c r="AC5" s="76"/>
      <c r="AD5" s="76"/>
      <c r="AE5" s="76"/>
      <c r="AF5" s="76"/>
    </row>
    <row r="6">
      <c r="A6" s="75"/>
      <c r="B6" s="90" t="s">
        <v>570</v>
      </c>
      <c r="C6" s="91"/>
      <c r="D6" s="92">
        <f t="shared" ref="D6:E6" si="1">SUM(D3:D5)</f>
        <v>0</v>
      </c>
      <c r="E6" s="92">
        <f t="shared" si="1"/>
        <v>7.428571429</v>
      </c>
      <c r="F6" s="92"/>
      <c r="G6" s="92">
        <f t="shared" ref="G6:H6" si="2">SUM(G3:G5)</f>
        <v>0.2678571429</v>
      </c>
      <c r="H6" s="92">
        <f t="shared" si="2"/>
        <v>43.14285714</v>
      </c>
      <c r="I6" s="92"/>
      <c r="J6" s="92">
        <f t="shared" ref="J6:K6" si="3">SUM(J3:J5)</f>
        <v>116.2678571</v>
      </c>
      <c r="K6" s="92">
        <f t="shared" si="3"/>
        <v>20.64285714</v>
      </c>
      <c r="L6" s="93"/>
      <c r="M6" s="93"/>
      <c r="N6" s="93"/>
      <c r="O6" s="93"/>
      <c r="P6" s="93"/>
      <c r="Q6" s="93"/>
      <c r="R6" s="93"/>
      <c r="S6" s="184">
        <f>SUM(S3:S5)</f>
        <v>136.9107143</v>
      </c>
      <c r="T6" s="75"/>
      <c r="U6" s="89"/>
      <c r="V6" s="76"/>
      <c r="W6" s="76"/>
      <c r="X6" s="76"/>
      <c r="Y6" s="76"/>
      <c r="Z6" s="76"/>
      <c r="AA6" s="76"/>
      <c r="AB6" s="76"/>
      <c r="AC6" s="76"/>
      <c r="AD6" s="76"/>
      <c r="AE6" s="76"/>
      <c r="AF6" s="76"/>
    </row>
    <row r="7">
      <c r="A7" s="75"/>
      <c r="B7" s="75"/>
      <c r="C7" s="82"/>
      <c r="D7" s="83"/>
      <c r="E7" s="83"/>
      <c r="F7" s="82"/>
      <c r="G7" s="83"/>
      <c r="H7" s="83"/>
      <c r="I7" s="84"/>
      <c r="J7" s="83"/>
      <c r="K7" s="83"/>
      <c r="L7" s="85"/>
      <c r="M7" s="85"/>
      <c r="N7" s="85"/>
      <c r="O7" s="85"/>
      <c r="P7" s="85"/>
      <c r="Q7" s="185"/>
      <c r="R7" s="185"/>
      <c r="S7" s="83"/>
      <c r="T7" s="75"/>
      <c r="U7" s="89"/>
      <c r="V7" s="76"/>
      <c r="W7" s="76"/>
      <c r="X7" s="76"/>
      <c r="Y7" s="76"/>
      <c r="Z7" s="76"/>
      <c r="AA7" s="76"/>
      <c r="AB7" s="76"/>
      <c r="AC7" s="76"/>
      <c r="AD7" s="76"/>
      <c r="AE7" s="76"/>
      <c r="AF7" s="76"/>
    </row>
    <row r="8">
      <c r="A8" s="75"/>
      <c r="B8" s="80">
        <v>5406.0</v>
      </c>
      <c r="C8" s="98" t="str">
        <f>IFERROR(__xludf.DUMMYFUNCTION("IFERROR(FILTER(DriverInfo!B$2:B1000, DriverInfo!A$2:A1000=B8),"""")"),"")</f>
        <v/>
      </c>
      <c r="D8" s="99">
        <f>SUMIF(RawTotals!A$2:A1000, B8, RawTotals!C$2:C1000)</f>
        <v>0</v>
      </c>
      <c r="E8" s="100">
        <f>SUMIF(RawTotals!A$2:A1000, B8, RawTotals!D$2:D1000)</f>
        <v>2.571428571</v>
      </c>
      <c r="F8" s="100">
        <f>SUMIF(RawTotals!A$2:A1000, B8, RawTotals!G$2:G1000)</f>
        <v>0.9473684211</v>
      </c>
      <c r="G8" s="100">
        <f>SUMIF(RawTotals!A$2:A1000, B8, RawTotals!L$2:L1000)</f>
        <v>0</v>
      </c>
      <c r="H8" s="100">
        <f>SUMIF(RawTotals!A$2:A1000, B8, RawTotals!M$2:M1000)</f>
        <v>6</v>
      </c>
      <c r="I8" s="100">
        <f>SUMIF(RawTotals!A$2:A1000, B8, RawTotals!O$2:O1000)</f>
        <v>0.8450704225</v>
      </c>
      <c r="J8" s="100">
        <f>SUMIF(RawTotals!A$2:A1000, B8, RawTotals!Z$2:Z1000)+SUMIF(RawTotals!A$2:A1000, B8, RawTotals!Y$2:Y1000)</f>
        <v>22.28571429</v>
      </c>
      <c r="K8" s="100">
        <f>SUMIF(RawTotals!A$2:A1000, B8, RawTotals!P$2:P1000)</f>
        <v>6.428571429</v>
      </c>
      <c r="L8" s="101">
        <f>SUMIF(RawTotals!$A$2:$A1000, $B8, RawTotals!S$2:S1000)</f>
        <v>1</v>
      </c>
      <c r="M8" s="101">
        <f>SUMIF(RawTotals!$A$2:$A1000, $B8, RawTotals!T$2:T1000)</f>
        <v>0</v>
      </c>
      <c r="N8" s="101">
        <f>SUMIF(RawTotals!$A$2:$A1000, $B8, RawTotals!U$2:U1000)</f>
        <v>0</v>
      </c>
      <c r="O8" s="101">
        <f>SUMIF(RawTotals!$A$2:$A1000, $B8, RawTotals!V$2:V1000)</f>
        <v>0</v>
      </c>
      <c r="P8" s="101">
        <f>SUMIF(RawTotals!$A$2:$A1000, $B8, RawTotals!W$2:W1000)</f>
        <v>0.4285714286</v>
      </c>
      <c r="Q8" s="86">
        <f>SUMIF(RawTotals!$A$2:$A1000, $B8, RawTotals!AM$2:AM1000)</f>
        <v>0</v>
      </c>
      <c r="R8" s="86">
        <f>SUMIF(RawTotals!$A$2:$A1000, $B8, RawTotals!AN$2:AN1000)</f>
        <v>0</v>
      </c>
      <c r="S8" s="186">
        <f>SUMIF(RawTotals!A$2:A1000, B8, RawTotals!AF$2:AF1000)</f>
        <v>28.71428571</v>
      </c>
      <c r="T8" s="75"/>
      <c r="U8" s="89" t="str">
        <f>IFERROR(__xludf.DUMMYFUNCTION("IFERROR(FILTER(DriverInfo!G$2:G1000, DriverInfo!A$2:A1000=B8),"""")"),"")</f>
        <v/>
      </c>
      <c r="V8" s="76"/>
      <c r="W8" s="76"/>
      <c r="X8" s="76"/>
      <c r="Y8" s="76"/>
      <c r="Z8" s="76"/>
      <c r="AA8" s="76"/>
      <c r="AB8" s="76"/>
      <c r="AC8" s="76"/>
      <c r="AD8" s="76"/>
      <c r="AE8" s="76"/>
      <c r="AF8" s="76"/>
    </row>
    <row r="9">
      <c r="A9" s="75"/>
      <c r="B9" s="80">
        <v>2468.0</v>
      </c>
      <c r="C9" s="104" t="str">
        <f>IFERROR(__xludf.DUMMYFUNCTION("IFERROR(FILTER(DriverInfo!B$2:B1000, DriverInfo!A$2:A1000=B9),"""")"),"")</f>
        <v/>
      </c>
      <c r="D9" s="83">
        <f>SUMIF(RawTotals!A$2:A1000, B9, RawTotals!C$2:C1000)</f>
        <v>0</v>
      </c>
      <c r="E9" s="84">
        <f>SUMIF(RawTotals!A$2:A1000, B9, RawTotals!D$2:D1000)</f>
        <v>1.428571429</v>
      </c>
      <c r="F9" s="82">
        <f>SUMIF(RawTotals!A$2:A1000, B9, RawTotals!G$2:G1000)</f>
        <v>0.7692307692</v>
      </c>
      <c r="G9" s="84">
        <f>SUMIF(RawTotals!A$2:A1000, B9, RawTotals!L$2:L1000)</f>
        <v>0</v>
      </c>
      <c r="H9" s="84">
        <f>SUMIF(RawTotals!A$2:A1000, B9, RawTotals!M$2:M1000)</f>
        <v>8.714285714</v>
      </c>
      <c r="I9" s="84">
        <f>SUMIF(RawTotals!A$2:A1000, B9, RawTotals!O$2:O1000)</f>
        <v>0.8875</v>
      </c>
      <c r="J9" s="84">
        <f>SUMIF(RawTotals!A$2:A1000, B9, RawTotals!Z$2:Z1000)+SUMIF(RawTotals!A$2:A1000, B9, RawTotals!Y$2:Y1000)</f>
        <v>23.14285714</v>
      </c>
      <c r="K9" s="84">
        <f>SUMIF(RawTotals!A$2:A1000, B9, RawTotals!P$2:P1000)</f>
        <v>10.57142857</v>
      </c>
      <c r="L9" s="85">
        <f>SUMIF(RawTotals!$A$2:$A1000, $B9, RawTotals!S$2:S1000)</f>
        <v>1</v>
      </c>
      <c r="M9" s="85">
        <f>SUMIF(RawTotals!$A$2:$A1000, $B9, RawTotals!T$2:T1000)</f>
        <v>0.1428571429</v>
      </c>
      <c r="N9" s="85">
        <f>SUMIF(RawTotals!$A$2:$A1000, $B9, RawTotals!U$2:U1000)</f>
        <v>0</v>
      </c>
      <c r="O9" s="85">
        <f>SUMIF(RawTotals!$A$2:$A1000, $B9, RawTotals!V$2:V1000)</f>
        <v>0.1428571429</v>
      </c>
      <c r="P9" s="85">
        <f>SUMIF(RawTotals!$A$2:$A1000, $B9, RawTotals!W$2:W1000)</f>
        <v>0.5714285714</v>
      </c>
      <c r="Q9" s="86">
        <f>SUMIF(RawTotals!$A$2:$A1000, $B9, RawTotals!AM$2:AM1000)</f>
        <v>0</v>
      </c>
      <c r="R9" s="86">
        <f>SUMIF(RawTotals!$A$2:$A1000, $B9, RawTotals!AN$2:AN1000)</f>
        <v>0</v>
      </c>
      <c r="S9" s="183">
        <f>SUMIF(RawTotals!A$2:A1000, B9, RawTotals!AF$2:AF1000)</f>
        <v>33.71428571</v>
      </c>
      <c r="T9" s="75"/>
      <c r="U9" s="89" t="str">
        <f>IFERROR(__xludf.DUMMYFUNCTION("IFERROR(FILTER(DriverInfo!G$2:G1000, DriverInfo!A$2:A1000=B9),"""")"),"")</f>
        <v/>
      </c>
      <c r="V9" s="76"/>
      <c r="W9" s="76"/>
      <c r="X9" s="76"/>
      <c r="Y9" s="76"/>
      <c r="Z9" s="76"/>
      <c r="AA9" s="76"/>
      <c r="AB9" s="76"/>
      <c r="AC9" s="76"/>
      <c r="AD9" s="76"/>
      <c r="AE9" s="76"/>
      <c r="AF9" s="76"/>
    </row>
    <row r="10">
      <c r="A10" s="75"/>
      <c r="B10" s="80">
        <v>234.0</v>
      </c>
      <c r="C10" s="104" t="str">
        <f>IFERROR(__xludf.DUMMYFUNCTION("IFERROR(FILTER(DriverInfo!B$2:B1000, DriverInfo!A$2:A1000=B10),"""")"),"Tank")</f>
        <v>Tank</v>
      </c>
      <c r="D10" s="83">
        <f>SUMIF(RawTotals!A$2:A1000, B10, RawTotals!C$2:C1000)</f>
        <v>0</v>
      </c>
      <c r="E10" s="84">
        <f>SUMIF(RawTotals!A$2:A1000, B10, RawTotals!D$2:D1000)</f>
        <v>0.7142857143</v>
      </c>
      <c r="F10" s="82">
        <f>SUMIF(RawTotals!A$2:A1000, B10, RawTotals!G$2:G1000)</f>
        <v>0.625</v>
      </c>
      <c r="G10" s="84">
        <f>SUMIF(RawTotals!A$2:A1000, B10, RawTotals!L$2:L1000)</f>
        <v>0</v>
      </c>
      <c r="H10" s="84">
        <f>SUMIF(RawTotals!A$2:A1000, B10, RawTotals!M$2:M1000)</f>
        <v>1.428571429</v>
      </c>
      <c r="I10" s="84">
        <f>SUMIF(RawTotals!A$2:A1000, B10, RawTotals!O$2:O1000)</f>
        <v>0.7142857143</v>
      </c>
      <c r="J10" s="84">
        <f>SUMIF(RawTotals!A$2:A1000, B10, RawTotals!Z$2:Z1000)+SUMIF(RawTotals!A$2:A1000, B10, RawTotals!Y$2:Y1000)</f>
        <v>5.714285714</v>
      </c>
      <c r="K10" s="84">
        <f>SUMIF(RawTotals!A$2:A1000, B10, RawTotals!P$2:P1000)</f>
        <v>8.428571429</v>
      </c>
      <c r="L10" s="85">
        <f>SUMIF(RawTotals!$A$2:$A1000, $B10, RawTotals!S$2:S1000)</f>
        <v>0.8333333333</v>
      </c>
      <c r="M10" s="85">
        <f>SUMIF(RawTotals!$A$2:$A1000, $B10, RawTotals!T$2:T1000)</f>
        <v>0.1428571429</v>
      </c>
      <c r="N10" s="85">
        <f>SUMIF(RawTotals!$A$2:$A1000, $B10, RawTotals!U$2:U1000)</f>
        <v>0</v>
      </c>
      <c r="O10" s="85">
        <f>SUMIF(RawTotals!$A$2:$A1000, $B10, RawTotals!V$2:V1000)</f>
        <v>0.1428571429</v>
      </c>
      <c r="P10" s="85">
        <f>SUMIF(RawTotals!$A$2:$A1000, $B10, RawTotals!W$2:W1000)</f>
        <v>0.4285714286</v>
      </c>
      <c r="Q10" s="86">
        <f>SUMIF(RawTotals!$A$2:$A1000, $B10, RawTotals!AM$2:AM1000)</f>
        <v>0</v>
      </c>
      <c r="R10" s="86">
        <f>SUMIF(RawTotals!$A$2:$A1000, $B10, RawTotals!AN$2:AN1000)</f>
        <v>0</v>
      </c>
      <c r="S10" s="183">
        <f>SUMIF(RawTotals!A$2:A1000, B10, RawTotals!AF$2:AF1000)</f>
        <v>14.14285714</v>
      </c>
      <c r="T10" s="75"/>
      <c r="U10" s="89" t="str">
        <f>IFERROR(__xludf.DUMMYFUNCTION("IFERROR(FILTER(DriverInfo!G$2:G1000, DriverInfo!A$2:A1000=B10),"""")"),"")</f>
        <v/>
      </c>
      <c r="V10" s="76"/>
      <c r="W10" s="76"/>
      <c r="X10" s="76"/>
      <c r="Y10" s="76"/>
      <c r="Z10" s="76"/>
      <c r="AA10" s="76"/>
      <c r="AB10" s="76"/>
      <c r="AC10" s="76"/>
      <c r="AD10" s="76"/>
      <c r="AE10" s="76"/>
      <c r="AF10" s="76"/>
    </row>
    <row r="11">
      <c r="A11" s="75"/>
      <c r="B11" s="106" t="s">
        <v>570</v>
      </c>
      <c r="C11" s="107"/>
      <c r="D11" s="108">
        <f t="shared" ref="D11:E11" si="4">SUM(D8:D10)</f>
        <v>0</v>
      </c>
      <c r="E11" s="108">
        <f t="shared" si="4"/>
        <v>4.714285714</v>
      </c>
      <c r="F11" s="108"/>
      <c r="G11" s="108">
        <f t="shared" ref="G11:H11" si="5">SUM(G8:G10)</f>
        <v>0</v>
      </c>
      <c r="H11" s="108">
        <f t="shared" si="5"/>
        <v>16.14285714</v>
      </c>
      <c r="I11" s="108"/>
      <c r="J11" s="108">
        <f t="shared" ref="J11:K11" si="6">SUM(J8:J10)</f>
        <v>51.14285714</v>
      </c>
      <c r="K11" s="108">
        <f t="shared" si="6"/>
        <v>25.42857143</v>
      </c>
      <c r="L11" s="108"/>
      <c r="M11" s="108"/>
      <c r="N11" s="108"/>
      <c r="O11" s="108"/>
      <c r="P11" s="108"/>
      <c r="Q11" s="108"/>
      <c r="R11" s="108"/>
      <c r="S11" s="187">
        <f>SUM(S8:S10)</f>
        <v>76.57142857</v>
      </c>
      <c r="T11" s="75"/>
      <c r="U11" s="75"/>
      <c r="V11" s="76"/>
      <c r="W11" s="76"/>
      <c r="X11" s="76"/>
      <c r="Y11" s="76"/>
      <c r="Z11" s="76"/>
      <c r="AA11" s="76"/>
      <c r="AB11" s="76"/>
      <c r="AC11" s="76"/>
      <c r="AD11" s="76"/>
      <c r="AE11" s="76"/>
      <c r="AF11" s="76"/>
    </row>
    <row r="12">
      <c r="A12" s="76"/>
      <c r="B12" s="76"/>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row>
    <row r="13">
      <c r="A13" s="76"/>
      <c r="B13" s="76"/>
      <c r="C13" s="76"/>
      <c r="D13" s="76"/>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row>
    <row r="14">
      <c r="A14" s="76"/>
      <c r="B14" s="76"/>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row>
    <row r="15">
      <c r="A15" s="76"/>
      <c r="B15" s="76"/>
      <c r="C15" s="76"/>
      <c r="D15" s="76"/>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row>
    <row r="16">
      <c r="A16" s="76"/>
      <c r="B16" s="76"/>
      <c r="C16" s="76"/>
      <c r="D16" s="76"/>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row>
    <row r="17">
      <c r="A17" s="76"/>
      <c r="B17" s="76"/>
      <c r="C17" s="76"/>
      <c r="D17" s="76"/>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row>
    <row r="18">
      <c r="A18" s="76"/>
      <c r="B18" s="76"/>
      <c r="C18" s="76"/>
      <c r="D18" s="76"/>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row>
    <row r="19">
      <c r="A19" s="76"/>
      <c r="B19" s="76"/>
      <c r="C19" s="76"/>
      <c r="D19" s="76"/>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row>
    <row r="20">
      <c r="A20" s="76"/>
      <c r="B20" s="76"/>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row>
    <row r="21">
      <c r="A21" s="76"/>
      <c r="B21" s="76"/>
      <c r="C21" s="76"/>
      <c r="D21" s="76"/>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row>
    <row r="22">
      <c r="A22" s="76"/>
      <c r="B22" s="76"/>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row>
    <row r="23">
      <c r="A23" s="76"/>
      <c r="B23" s="76"/>
      <c r="C23" s="76"/>
      <c r="D23" s="76"/>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row>
    <row r="24">
      <c r="A24" s="76"/>
      <c r="B24" s="76"/>
      <c r="C24" s="76"/>
      <c r="D24" s="76"/>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row>
    <row r="25">
      <c r="A25" s="76"/>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row>
    <row r="26">
      <c r="A26" s="76"/>
      <c r="B26" s="76"/>
      <c r="C26" s="76"/>
      <c r="D26" s="76"/>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row>
    <row r="27">
      <c r="A27" s="76"/>
      <c r="B27" s="76"/>
      <c r="C27" s="76"/>
      <c r="D27" s="76"/>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row>
    <row r="28">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row>
    <row r="29">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row>
    <row r="30">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row>
    <row r="31">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row>
    <row r="32">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row>
    <row r="33">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row>
    <row r="34">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row>
    <row r="35">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row>
    <row r="36">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row>
    <row r="37">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row>
    <row r="38">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row>
    <row r="39">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row>
    <row r="40">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row>
    <row r="41">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row>
    <row r="42">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row>
    <row r="43">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row>
    <row r="44">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row>
    <row r="45">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row>
    <row r="46">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row>
    <row r="47">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row>
    <row r="48">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row>
    <row r="49">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row>
    <row r="50">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row>
    <row r="51">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row>
    <row r="52">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row>
    <row r="53">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row>
    <row r="54">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row>
    <row r="55">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row>
    <row r="56">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row>
    <row r="57">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row>
    <row r="58">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row>
    <row r="59">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row>
    <row r="60">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row>
    <row r="61">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row>
    <row r="62">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row>
    <row r="63">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row>
    <row r="6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row>
    <row r="65">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row>
    <row r="66">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row>
    <row r="67">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row>
    <row r="68">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row>
    <row r="69">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row>
    <row r="70">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row>
    <row r="71">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row>
    <row r="72">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row>
    <row r="73">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row>
    <row r="7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row>
    <row r="75">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row>
    <row r="76">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row>
    <row r="77">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row>
    <row r="78">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row>
    <row r="79">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row>
    <row r="80">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row>
    <row r="81">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row>
    <row r="82">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row>
    <row r="83">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row>
    <row r="8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row>
    <row r="85">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row>
    <row r="86">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row>
    <row r="87">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row>
    <row r="88">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row>
    <row r="89">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row>
    <row r="90">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row>
    <row r="91">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row>
    <row r="92">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row>
    <row r="93">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row>
    <row r="9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row>
    <row r="95">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row>
    <row r="96">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row>
    <row r="97">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row>
    <row r="98">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row>
    <row r="99">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row>
    <row r="100">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row>
    <row r="101">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row>
    <row r="102">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row>
    <row r="103">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row>
    <row r="1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row>
    <row r="105">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row>
    <row r="106">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row>
    <row r="107">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row>
    <row r="108">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row>
    <row r="109">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row>
    <row r="110">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row>
    <row r="111">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row>
    <row r="112">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row>
    <row r="113">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row>
    <row r="11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row>
    <row r="115">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row>
    <row r="116">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row>
    <row r="117">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row>
    <row r="118">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row>
    <row r="119">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row>
    <row r="120">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row>
    <row r="121">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row>
    <row r="122">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row>
    <row r="123">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row>
    <row r="12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row>
    <row r="125">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row>
    <row r="126">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row>
    <row r="127">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row>
    <row r="128">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row>
    <row r="129">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row>
    <row r="130">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row>
    <row r="131">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row>
    <row r="132">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row>
    <row r="133">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row>
    <row r="13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row>
    <row r="135">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row>
    <row r="136">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row>
    <row r="137">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row>
    <row r="138">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row>
    <row r="139">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row>
    <row r="140">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row>
    <row r="141">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row>
    <row r="142">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row>
    <row r="143">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row>
    <row r="14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row>
    <row r="145">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row>
    <row r="146">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row>
    <row r="147">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row>
    <row r="148">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row>
    <row r="149">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row>
    <row r="150">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row>
    <row r="151">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row>
    <row r="152">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row>
    <row r="153">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row>
    <row r="15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row>
    <row r="155">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row>
    <row r="156">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row>
    <row r="157">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row>
    <row r="158">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row>
    <row r="159">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row>
    <row r="160">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row>
    <row r="161">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row>
    <row r="162">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row>
    <row r="163">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row>
    <row r="16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row>
    <row r="165">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row>
    <row r="166">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row>
    <row r="167">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row>
    <row r="168">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row>
    <row r="169">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row>
    <row r="170">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row>
    <row r="171">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row>
    <row r="172">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row>
    <row r="173">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row>
    <row r="17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row>
    <row r="175">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row>
    <row r="176">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row>
    <row r="177">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row>
    <row r="178">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row>
    <row r="179">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row>
    <row r="180">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row>
    <row r="181">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row>
    <row r="182">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row>
    <row r="183">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row>
    <row r="18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row>
    <row r="185">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row>
    <row r="186">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row>
    <row r="187">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row>
    <row r="188">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row>
    <row r="189">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row>
    <row r="190">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row>
    <row r="191">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row>
    <row r="192">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row>
    <row r="193">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row>
    <row r="19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row>
    <row r="195">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row>
    <row r="196">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row>
    <row r="197">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row>
    <row r="198">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row>
    <row r="199">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row>
    <row r="200">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row>
    <row r="201">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row>
    <row r="202">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row>
    <row r="203">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row>
    <row r="2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row>
    <row r="205">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row>
    <row r="206">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row>
    <row r="207">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row>
    <row r="208">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row>
    <row r="209">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row>
    <row r="210">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row>
    <row r="211">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row>
    <row r="212">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row>
    <row r="213">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row>
    <row r="21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row>
    <row r="215">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row>
    <row r="216">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row>
    <row r="217">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row>
    <row r="218">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row>
    <row r="219">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row>
    <row r="220">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row>
    <row r="221">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row>
    <row r="222">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row>
    <row r="223">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row>
    <row r="22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row>
    <row r="225">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row>
    <row r="226">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row>
    <row r="227">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row>
    <row r="228">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row>
    <row r="229">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row>
    <row r="230">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row>
    <row r="231">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row>
    <row r="232">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row>
    <row r="233">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row>
    <row r="23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row>
    <row r="235">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row>
    <row r="236">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row>
    <row r="237">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row>
    <row r="238">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row>
    <row r="239">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row>
    <row r="240">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row>
    <row r="241">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row>
    <row r="242">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row>
    <row r="243">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row>
    <row r="24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row>
    <row r="245">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row>
    <row r="246">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row>
    <row r="247">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row>
    <row r="248">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row>
    <row r="249">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row>
    <row r="250">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row>
    <row r="251">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row>
    <row r="252">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row>
    <row r="253">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row>
    <row r="25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row>
    <row r="255">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row>
    <row r="256">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row>
    <row r="257">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row>
    <row r="258">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row>
    <row r="259">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row>
    <row r="260">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row>
    <row r="261">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row>
    <row r="262">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row>
    <row r="263">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row>
    <row r="26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row>
  </sheetData>
  <mergeCells count="1">
    <mergeCell ref="B1:J1"/>
  </mergeCells>
  <dataValidations>
    <dataValidation type="list" allowBlank="1" sqref="B3:B5 B8:B10">
      <formula1>RawTotals!$A:$A</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6.75"/>
    <col customWidth="1" min="6" max="6" width="14.75"/>
    <col customWidth="1" min="11" max="11" width="5.63"/>
    <col customWidth="1" min="12" max="12" width="18.0"/>
    <col customWidth="1" min="13" max="13" width="15.0"/>
    <col customWidth="1" min="14" max="14" width="15.38"/>
    <col customWidth="1" min="15" max="15" width="14.75"/>
    <col customWidth="1" min="16" max="16" width="13.88"/>
    <col customWidth="1" min="17" max="17" width="14.25"/>
    <col customWidth="1" min="18" max="18" width="14.75"/>
    <col customWidth="1" min="19" max="19" width="9.25"/>
    <col customWidth="1" min="20" max="20" width="11.63"/>
    <col customWidth="1" min="21" max="21" width="15.63"/>
    <col customWidth="1" min="22" max="22" width="11.88"/>
    <col customWidth="1" min="23" max="23" width="13.38"/>
    <col customWidth="1" min="24" max="24" width="12.25"/>
    <col customWidth="1" min="25" max="25" width="15.75"/>
    <col customWidth="1" min="26" max="26" width="9.88"/>
    <col customWidth="1" min="27" max="27" width="9.25"/>
    <col customWidth="1" min="28" max="28" width="12.38"/>
    <col customWidth="1" min="29" max="29" width="10.88"/>
    <col customWidth="1" min="30" max="30" width="11.38"/>
    <col customWidth="1" min="31" max="31" width="6.13"/>
  </cols>
  <sheetData>
    <row r="1">
      <c r="A1" s="188"/>
      <c r="G1" s="140"/>
      <c r="H1" s="140"/>
      <c r="I1" s="140"/>
      <c r="J1" s="140"/>
      <c r="K1" s="189"/>
      <c r="L1" s="190" t="s">
        <v>605</v>
      </c>
      <c r="M1" s="191"/>
      <c r="N1" s="191"/>
      <c r="O1" s="191"/>
      <c r="P1" s="191"/>
      <c r="Q1" s="191"/>
      <c r="R1" s="191"/>
      <c r="S1" s="191"/>
      <c r="T1" s="191"/>
      <c r="U1" s="191"/>
      <c r="V1" s="191"/>
      <c r="W1" s="15" t="s">
        <v>508</v>
      </c>
      <c r="X1" s="191"/>
      <c r="Y1" s="191"/>
      <c r="Z1" s="192"/>
      <c r="AA1" s="192"/>
      <c r="AB1" s="191"/>
      <c r="AC1" s="191"/>
      <c r="AD1" s="191"/>
      <c r="AE1" s="193"/>
    </row>
    <row r="2">
      <c r="A2" s="188"/>
      <c r="G2" s="140"/>
      <c r="H2" s="140"/>
      <c r="I2" s="140"/>
      <c r="J2" s="140"/>
      <c r="L2" s="18" t="s">
        <v>520</v>
      </c>
      <c r="W2" s="15" t="s">
        <v>9</v>
      </c>
      <c r="X2" s="15">
        <f>IF(L2="Total Auto",25,IF(L2="Total Tele",26,IF(L2="Winrate",2,IF(L2="Attempted Auto",6,IF(L2="Auto Accuracy",7,IF(L2="Accuracy",15,IF(L2="Hang Points",16,IF(L2="Total Shots",31,IF(L2="Total Points",32,IF(L2="Hang Success %",19,IF(L2="1st Pickability",33,IF(L2="2nd Pickability",34))))))))))))</f>
        <v>15</v>
      </c>
    </row>
    <row r="3">
      <c r="A3" s="188"/>
      <c r="F3" s="140"/>
      <c r="W3" s="15" t="s">
        <v>512</v>
      </c>
    </row>
    <row r="4">
      <c r="A4" s="188"/>
      <c r="F4" s="140"/>
      <c r="W4" s="15" t="s">
        <v>520</v>
      </c>
    </row>
    <row r="5">
      <c r="A5" s="188"/>
      <c r="F5" s="140"/>
      <c r="W5" s="15" t="s">
        <v>521</v>
      </c>
    </row>
    <row r="6">
      <c r="A6" s="188"/>
      <c r="F6" s="140"/>
      <c r="W6" s="15" t="s">
        <v>536</v>
      </c>
    </row>
    <row r="7">
      <c r="A7" s="194"/>
      <c r="F7" s="140"/>
      <c r="W7" s="15" t="s">
        <v>537</v>
      </c>
    </row>
    <row r="8">
      <c r="A8" s="194"/>
      <c r="F8" s="140"/>
      <c r="W8" s="15" t="s">
        <v>538</v>
      </c>
    </row>
    <row r="9">
      <c r="W9" s="15" t="s">
        <v>539</v>
      </c>
    </row>
    <row r="10">
      <c r="W10" s="15" t="s">
        <v>524</v>
      </c>
    </row>
    <row r="11">
      <c r="A11" s="195"/>
      <c r="B11" s="195"/>
      <c r="C11" s="195"/>
      <c r="D11" s="195"/>
      <c r="E11" s="195"/>
      <c r="W11" s="15" t="s">
        <v>530</v>
      </c>
    </row>
    <row r="12">
      <c r="A12" s="195"/>
      <c r="W12" s="15" t="s">
        <v>531</v>
      </c>
    </row>
    <row r="13">
      <c r="A13" s="195"/>
      <c r="F13" s="195"/>
      <c r="G13" s="195"/>
      <c r="H13" s="195"/>
    </row>
    <row r="14">
      <c r="A14" s="49"/>
      <c r="B14" s="49"/>
      <c r="C14" s="49"/>
      <c r="D14" s="49"/>
      <c r="E14" s="49"/>
      <c r="F14" s="49"/>
      <c r="G14" s="49"/>
      <c r="H14" s="49"/>
      <c r="I14" s="49"/>
    </row>
    <row r="15">
      <c r="A15" s="195"/>
      <c r="B15" s="49"/>
      <c r="C15" s="49"/>
      <c r="D15" s="49"/>
      <c r="E15" s="49"/>
      <c r="F15" s="49"/>
      <c r="G15" s="49"/>
      <c r="H15" s="49"/>
      <c r="I15" s="49"/>
    </row>
    <row r="16">
      <c r="A16" s="195"/>
      <c r="B16" s="49"/>
      <c r="C16" s="49"/>
      <c r="D16" s="49"/>
      <c r="E16" s="49"/>
      <c r="F16" s="49"/>
      <c r="G16" s="49"/>
      <c r="H16" s="49"/>
      <c r="I16" s="49"/>
    </row>
    <row r="17">
      <c r="A17" s="195"/>
      <c r="B17" s="49"/>
      <c r="C17" s="49"/>
      <c r="D17" s="49"/>
      <c r="E17" s="49"/>
      <c r="F17" s="49"/>
      <c r="G17" s="49"/>
      <c r="H17" s="49"/>
      <c r="I17" s="49"/>
    </row>
    <row r="22">
      <c r="H22" s="18" t="s">
        <v>606</v>
      </c>
    </row>
  </sheetData>
  <dataValidations>
    <dataValidation type="list" allowBlank="1" sqref="L2">
      <formula1>$W$1:$W$83</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2" max="2" width="7.75"/>
    <col customWidth="1" min="3" max="3" width="14.75"/>
    <col customWidth="1" min="4" max="4" width="15.25"/>
    <col customWidth="1" min="5" max="5" width="16.88"/>
    <col customWidth="1" min="6" max="6" width="14.5"/>
    <col customWidth="1" min="7" max="7" width="13.38"/>
    <col customWidth="1" min="8" max="8" width="18.75"/>
    <col customWidth="1" min="9" max="9" width="24.13"/>
    <col customWidth="1" min="10" max="10" width="19.88"/>
    <col customWidth="1" min="11" max="11" width="26.88"/>
    <col customWidth="1" min="12" max="12" width="14.63"/>
    <col customWidth="1" min="13" max="13" width="15.13"/>
    <col customWidth="1" min="14" max="14" width="16.75"/>
    <col customWidth="1" min="15" max="15" width="8.88"/>
    <col customWidth="1" min="16" max="16" width="11.75"/>
    <col customWidth="1" min="17" max="17" width="20.0"/>
    <col customWidth="1" min="18" max="18" width="17.88"/>
    <col customWidth="1" min="19" max="19" width="15.75"/>
    <col customWidth="1" min="20" max="20" width="11.88"/>
    <col customWidth="1" min="21" max="21" width="11.5"/>
    <col customWidth="1" min="22" max="22" width="12.38"/>
    <col customWidth="1" min="23" max="23" width="16.25"/>
    <col customWidth="1" min="24" max="24" width="23.5"/>
    <col customWidth="1" min="25" max="25" width="9.88"/>
    <col customWidth="1" min="26" max="26" width="9.75"/>
    <col customWidth="1" min="27" max="27" width="12.5"/>
    <col customWidth="1" min="28" max="28" width="26.0"/>
    <col customWidth="1" min="29" max="29" width="15.13"/>
    <col customWidth="1" min="30" max="30" width="22.38"/>
    <col customWidth="1" min="31" max="31" width="11.0"/>
    <col customWidth="1" min="32" max="32" width="11.5"/>
    <col customWidth="1" min="33" max="33" width="11.88"/>
    <col customWidth="1" min="34" max="34" width="12.63"/>
    <col customWidth="1" min="35" max="35" width="222.25"/>
  </cols>
  <sheetData>
    <row r="1">
      <c r="A1" s="19" t="s">
        <v>1</v>
      </c>
      <c r="B1" s="20" t="s">
        <v>508</v>
      </c>
      <c r="C1" s="21" t="s">
        <v>509</v>
      </c>
      <c r="D1" s="21" t="s">
        <v>510</v>
      </c>
      <c r="E1" s="21" t="s">
        <v>511</v>
      </c>
      <c r="F1" s="21" t="s">
        <v>9</v>
      </c>
      <c r="G1" s="21" t="s">
        <v>512</v>
      </c>
      <c r="H1" s="21" t="s">
        <v>513</v>
      </c>
      <c r="I1" s="21" t="s">
        <v>514</v>
      </c>
      <c r="J1" s="21" t="s">
        <v>515</v>
      </c>
      <c r="K1" s="21" t="s">
        <v>516</v>
      </c>
      <c r="L1" s="21" t="s">
        <v>517</v>
      </c>
      <c r="M1" s="21" t="s">
        <v>518</v>
      </c>
      <c r="N1" s="21" t="s">
        <v>519</v>
      </c>
      <c r="O1" s="21" t="s">
        <v>520</v>
      </c>
      <c r="P1" s="21" t="s">
        <v>521</v>
      </c>
      <c r="Q1" s="21" t="s">
        <v>522</v>
      </c>
      <c r="R1" s="21" t="s">
        <v>523</v>
      </c>
      <c r="S1" s="21" t="s">
        <v>524</v>
      </c>
      <c r="T1" s="21" t="s">
        <v>525</v>
      </c>
      <c r="U1" s="21" t="s">
        <v>526</v>
      </c>
      <c r="V1" s="21" t="s">
        <v>527</v>
      </c>
      <c r="W1" s="21" t="s">
        <v>528</v>
      </c>
      <c r="X1" s="21" t="s">
        <v>529</v>
      </c>
      <c r="Y1" s="22" t="s">
        <v>530</v>
      </c>
      <c r="Z1" s="22" t="s">
        <v>531</v>
      </c>
      <c r="AA1" s="21" t="s">
        <v>532</v>
      </c>
      <c r="AB1" s="21" t="s">
        <v>533</v>
      </c>
      <c r="AC1" s="21" t="s">
        <v>534</v>
      </c>
      <c r="AD1" s="21" t="s">
        <v>535</v>
      </c>
      <c r="AE1" s="21" t="s">
        <v>536</v>
      </c>
      <c r="AF1" s="21" t="s">
        <v>537</v>
      </c>
      <c r="AG1" s="23" t="s">
        <v>538</v>
      </c>
      <c r="AH1" s="23" t="s">
        <v>539</v>
      </c>
      <c r="AI1" s="24" t="s">
        <v>540</v>
      </c>
    </row>
    <row r="2">
      <c r="A2" s="15">
        <f>IFERROR(__xludf.DUMMYFUNCTION("SORTN(Filter(RawTotals!A2:AI999,RawTotals!A2:A999&lt;&gt;""""),100,0,'Charts and Graphs'!X2,FALSE)"),4499.0)</f>
        <v>4499</v>
      </c>
      <c r="B2" s="62">
        <f>IFERROR(__xludf.DUMMYFUNCTION("""COMPUTED_VALUE"""),0.75)</f>
        <v>0.75</v>
      </c>
      <c r="C2" s="49">
        <f>IFERROR(__xludf.DUMMYFUNCTION("""COMPUTED_VALUE"""),0.0)</f>
        <v>0</v>
      </c>
      <c r="D2" s="49">
        <f>IFERROR(__xludf.DUMMYFUNCTION("""COMPUTED_VALUE"""),2.25)</f>
        <v>2.25</v>
      </c>
      <c r="E2" s="49">
        <f>IFERROR(__xludf.DUMMYFUNCTION("""COMPUTED_VALUE"""),0.30778758730962763)</f>
        <v>0.3077875873</v>
      </c>
      <c r="F2" s="49">
        <f>IFERROR(__xludf.DUMMYFUNCTION("""COMPUTED_VALUE"""),2.625)</f>
        <v>2.625</v>
      </c>
      <c r="G2" s="196">
        <f>IFERROR(__xludf.DUMMYFUNCTION("""COMPUTED_VALUE"""),0.8571428571428571)</f>
        <v>0.8571428571</v>
      </c>
      <c r="H2" s="196">
        <f>IFERROR(__xludf.DUMMYFUNCTION("""COMPUTED_VALUE"""),1.0)</f>
        <v>1</v>
      </c>
      <c r="I2" s="196">
        <f>IFERROR(__xludf.DUMMYFUNCTION("""COMPUTED_VALUE"""),0.875)</f>
        <v>0.875</v>
      </c>
      <c r="J2" s="196">
        <f>IFERROR(__xludf.DUMMYFUNCTION("""COMPUTED_VALUE"""),0.9375)</f>
        <v>0.9375</v>
      </c>
      <c r="K2" s="49">
        <f>IFERROR(__xludf.DUMMYFUNCTION("""COMPUTED_VALUE"""),0.6187922185556715)</f>
        <v>0.6187922186</v>
      </c>
      <c r="L2" s="49">
        <f>IFERROR(__xludf.DUMMYFUNCTION("""COMPUTED_VALUE"""),0.0)</f>
        <v>0</v>
      </c>
      <c r="M2" s="49">
        <f>IFERROR(__xludf.DUMMYFUNCTION("""COMPUTED_VALUE"""),10.375)</f>
        <v>10.375</v>
      </c>
      <c r="N2" s="197">
        <f>IFERROR(__xludf.DUMMYFUNCTION("""COMPUTED_VALUE"""),0.26256011311759075)</f>
        <v>0.2625601131</v>
      </c>
      <c r="O2" s="196">
        <f>IFERROR(__xludf.DUMMYFUNCTION("""COMPUTED_VALUE"""),0.9528301886792453)</f>
        <v>0.9528301887</v>
      </c>
      <c r="P2" s="49">
        <f>IFERROR(__xludf.DUMMYFUNCTION("""COMPUTED_VALUE"""),15.0)</f>
        <v>15</v>
      </c>
      <c r="Q2" s="49">
        <f>IFERROR(__xludf.DUMMYFUNCTION("""COMPUTED_VALUE"""),15.0)</f>
        <v>15</v>
      </c>
      <c r="R2" s="198">
        <f>IFERROR(__xludf.DUMMYFUNCTION("""COMPUTED_VALUE"""),0.9460107610423022)</f>
        <v>0.946010761</v>
      </c>
      <c r="S2" s="196">
        <f>IFERROR(__xludf.DUMMYFUNCTION("""COMPUTED_VALUE"""),1.0)</f>
        <v>1</v>
      </c>
      <c r="T2" s="196">
        <f>IFERROR(__xludf.DUMMYFUNCTION("""COMPUTED_VALUE"""),0.0)</f>
        <v>0</v>
      </c>
      <c r="U2" s="196">
        <f>IFERROR(__xludf.DUMMYFUNCTION("""COMPUTED_VALUE"""),0.0)</f>
        <v>0</v>
      </c>
      <c r="V2" s="196">
        <f>IFERROR(__xludf.DUMMYFUNCTION("""COMPUTED_VALUE"""),0.0)</f>
        <v>0</v>
      </c>
      <c r="W2" s="196">
        <f>IFERROR(__xludf.DUMMYFUNCTION("""COMPUTED_VALUE"""),1.0)</f>
        <v>1</v>
      </c>
      <c r="X2" s="199">
        <f>IFERROR(__xludf.DUMMYFUNCTION("""COMPUTED_VALUE"""),1.800419504331494)</f>
        <v>1.800419504</v>
      </c>
      <c r="Y2" s="49">
        <f>IFERROR(__xludf.DUMMYFUNCTION("""COMPUTED_VALUE"""),9.0)</f>
        <v>9</v>
      </c>
      <c r="Z2" s="49">
        <f>IFERROR(__xludf.DUMMYFUNCTION("""COMPUTED_VALUE"""),20.75)</f>
        <v>20.75</v>
      </c>
      <c r="AA2" s="49">
        <f>IFERROR(__xludf.DUMMYFUNCTION("""COMPUTED_VALUE"""),29.75)</f>
        <v>29.75</v>
      </c>
      <c r="AB2" s="200">
        <f>IFERROR(__xludf.DUMMYFUNCTION("""COMPUTED_VALUE"""),0.2700257995980401)</f>
        <v>0.2700257996</v>
      </c>
      <c r="AC2" s="15">
        <f>IFERROR(__xludf.DUMMYFUNCTION("""COMPUTED_VALUE"""),17.0)</f>
        <v>17</v>
      </c>
      <c r="AD2" s="15">
        <f>IFERROR(__xludf.DUMMYFUNCTION("""COMPUTED_VALUE"""),0.3001037186382074)</f>
        <v>0.3001037186</v>
      </c>
      <c r="AE2" s="49">
        <f>IFERROR(__xludf.DUMMYFUNCTION("""COMPUTED_VALUE"""),12.625)</f>
        <v>12.625</v>
      </c>
      <c r="AF2" s="49">
        <f>IFERROR(__xludf.DUMMYFUNCTION("""COMPUTED_VALUE"""),44.75)</f>
        <v>44.75</v>
      </c>
      <c r="AG2" s="201">
        <f>IFERROR(__xludf.DUMMYFUNCTION("""COMPUTED_VALUE"""),5.49061932071586)</f>
        <v>5.490619321</v>
      </c>
      <c r="AH2" s="201">
        <f>IFERROR(__xludf.DUMMYFUNCTION("""COMPUTED_VALUE"""),6.436630081758162)</f>
        <v>6.436630082</v>
      </c>
      <c r="AI2" s="15" t="str">
        <f>IFERROR(__xludf.DUMMYFUNCTION("""COMPUTED_VALUE"""),"climbed 15 seconds early, lot of opposing defense")</f>
        <v>climbed 15 seconds early, lot of opposing defense</v>
      </c>
    </row>
    <row r="3">
      <c r="A3" s="15">
        <f>IFERROR(__xludf.DUMMYFUNCTION("""COMPUTED_VALUE"""),340.0)</f>
        <v>340</v>
      </c>
      <c r="B3" s="62">
        <f>IFERROR(__xludf.DUMMYFUNCTION("""COMPUTED_VALUE"""),0.5)</f>
        <v>0.5</v>
      </c>
      <c r="C3" s="49">
        <f>IFERROR(__xludf.DUMMYFUNCTION("""COMPUTED_VALUE"""),0.0)</f>
        <v>0</v>
      </c>
      <c r="D3" s="49">
        <f>IFERROR(__xludf.DUMMYFUNCTION("""COMPUTED_VALUE"""),2.0)</f>
        <v>2</v>
      </c>
      <c r="E3" s="49">
        <f>IFERROR(__xludf.DUMMYFUNCTION("""COMPUTED_VALUE"""),0.022631440243355134)</f>
        <v>0.02263144024</v>
      </c>
      <c r="F3" s="49">
        <f>IFERROR(__xludf.DUMMYFUNCTION("""COMPUTED_VALUE"""),2.0)</f>
        <v>2</v>
      </c>
      <c r="G3" s="196">
        <f>IFERROR(__xludf.DUMMYFUNCTION("""COMPUTED_VALUE"""),1.0)</f>
        <v>1</v>
      </c>
      <c r="H3" s="196">
        <f>IFERROR(__xludf.DUMMYFUNCTION("""COMPUTED_VALUE"""),1.0)</f>
        <v>1</v>
      </c>
      <c r="I3" s="196">
        <f>IFERROR(__xludf.DUMMYFUNCTION("""COMPUTED_VALUE"""),0.875)</f>
        <v>0.875</v>
      </c>
      <c r="J3" s="196">
        <f>IFERROR(__xludf.DUMMYFUNCTION("""COMPUTED_VALUE"""),0.9375)</f>
        <v>0.9375</v>
      </c>
      <c r="K3" s="49">
        <f>IFERROR(__xludf.DUMMYFUNCTION("""COMPUTED_VALUE"""),0.6187922185556715)</f>
        <v>0.6187922186</v>
      </c>
      <c r="L3" s="49">
        <f>IFERROR(__xludf.DUMMYFUNCTION("""COMPUTED_VALUE"""),0.0)</f>
        <v>0</v>
      </c>
      <c r="M3" s="49">
        <f>IFERROR(__xludf.DUMMYFUNCTION("""COMPUTED_VALUE"""),11.75)</f>
        <v>11.75</v>
      </c>
      <c r="N3" s="197">
        <f>IFERROR(__xludf.DUMMYFUNCTION("""COMPUTED_VALUE"""),0.5726321691669949)</f>
        <v>0.5726321692</v>
      </c>
      <c r="O3" s="196">
        <f>IFERROR(__xludf.DUMMYFUNCTION("""COMPUTED_VALUE"""),0.9482758620689655)</f>
        <v>0.9482758621</v>
      </c>
      <c r="P3" s="49">
        <f>IFERROR(__xludf.DUMMYFUNCTION("""COMPUTED_VALUE"""),8.75)</f>
        <v>8.75</v>
      </c>
      <c r="Q3" s="49">
        <f>IFERROR(__xludf.DUMMYFUNCTION("""COMPUTED_VALUE"""),14.0)</f>
        <v>14</v>
      </c>
      <c r="R3" s="198">
        <f>IFERROR(__xludf.DUMMYFUNCTION("""COMPUTED_VALUE"""),0.7348083585770441)</f>
        <v>0.7348083586</v>
      </c>
      <c r="S3" s="196">
        <f>IFERROR(__xludf.DUMMYFUNCTION("""COMPUTED_VALUE"""),1.0)</f>
        <v>1</v>
      </c>
      <c r="T3" s="196">
        <f>IFERROR(__xludf.DUMMYFUNCTION("""COMPUTED_VALUE"""),0.0)</f>
        <v>0</v>
      </c>
      <c r="U3" s="196">
        <f>IFERROR(__xludf.DUMMYFUNCTION("""COMPUTED_VALUE"""),0.0)</f>
        <v>0</v>
      </c>
      <c r="V3" s="196">
        <f>IFERROR(__xludf.DUMMYFUNCTION("""COMPUTED_VALUE"""),0.125)</f>
        <v>0.125</v>
      </c>
      <c r="W3" s="196">
        <f>IFERROR(__xludf.DUMMYFUNCTION("""COMPUTED_VALUE"""),0.5)</f>
        <v>0.5</v>
      </c>
      <c r="X3" s="199">
        <f>IFERROR(__xludf.DUMMYFUNCTION("""COMPUTED_VALUE"""),0.21714983334685223)</f>
        <v>0.2171498333</v>
      </c>
      <c r="Y3" s="49">
        <f>IFERROR(__xludf.DUMMYFUNCTION("""COMPUTED_VALUE"""),8.0)</f>
        <v>8</v>
      </c>
      <c r="Z3" s="49">
        <f>IFERROR(__xludf.DUMMYFUNCTION("""COMPUTED_VALUE"""),23.5)</f>
        <v>23.5</v>
      </c>
      <c r="AA3" s="49">
        <f>IFERROR(__xludf.DUMMYFUNCTION("""COMPUTED_VALUE"""),31.5)</f>
        <v>31.5</v>
      </c>
      <c r="AB3" s="200">
        <f>IFERROR(__xludf.DUMMYFUNCTION("""COMPUTED_VALUE"""),0.4818437030959583)</f>
        <v>0.4818437031</v>
      </c>
      <c r="AC3" s="15">
        <f>IFERROR(__xludf.DUMMYFUNCTION("""COMPUTED_VALUE"""),24.0)</f>
        <v>24</v>
      </c>
      <c r="AD3" s="15">
        <f>IFERROR(__xludf.DUMMYFUNCTION("""COMPUTED_VALUE"""),1.486396065255121)</f>
        <v>1.486396065</v>
      </c>
      <c r="AE3" s="49">
        <f>IFERROR(__xludf.DUMMYFUNCTION("""COMPUTED_VALUE"""),13.75)</f>
        <v>13.75</v>
      </c>
      <c r="AF3" s="49">
        <f>IFERROR(__xludf.DUMMYFUNCTION("""COMPUTED_VALUE"""),40.25)</f>
        <v>40.25</v>
      </c>
      <c r="AG3" s="201">
        <f>IFERROR(__xludf.DUMMYFUNCTION("""COMPUTED_VALUE"""),6.762318225619953)</f>
        <v>6.762318226</v>
      </c>
      <c r="AH3" s="201">
        <f>IFERROR(__xludf.DUMMYFUNCTION("""COMPUTED_VALUE"""),7.497126584196997)</f>
        <v>7.497126584</v>
      </c>
      <c r="AI3" s="15" t="str">
        <f>IFERROR(__xludf.DUMMYFUNCTION("""COMPUTED_VALUE"""),"incapacitated halfway through, disconnected at the 30 sec. mark")</f>
        <v>incapacitated halfway through, disconnected at the 30 sec. mark</v>
      </c>
    </row>
    <row r="4">
      <c r="A4" s="15">
        <f>IFERROR(__xludf.DUMMYFUNCTION("""COMPUTED_VALUE"""),2767.0)</f>
        <v>2767</v>
      </c>
      <c r="B4" s="62">
        <f>IFERROR(__xludf.DUMMYFUNCTION("""COMPUTED_VALUE"""),0.71)</f>
        <v>0.71</v>
      </c>
      <c r="C4" s="49">
        <f>IFERROR(__xludf.DUMMYFUNCTION("""COMPUTED_VALUE"""),0.0)</f>
        <v>0</v>
      </c>
      <c r="D4" s="49">
        <f>IFERROR(__xludf.DUMMYFUNCTION("""COMPUTED_VALUE"""),2.7142857142857144)</f>
        <v>2.714285714</v>
      </c>
      <c r="E4" s="49">
        <f>IFERROR(__xludf.DUMMYFUNCTION("""COMPUTED_VALUE"""),0.8373632890041338)</f>
        <v>0.837363289</v>
      </c>
      <c r="F4" s="49">
        <f>IFERROR(__xludf.DUMMYFUNCTION("""COMPUTED_VALUE"""),3.0)</f>
        <v>3</v>
      </c>
      <c r="G4" s="196">
        <f>IFERROR(__xludf.DUMMYFUNCTION("""COMPUTED_VALUE"""),0.9047619047619048)</f>
        <v>0.9047619048</v>
      </c>
      <c r="H4" s="196">
        <f>IFERROR(__xludf.DUMMYFUNCTION("""COMPUTED_VALUE"""),1.0)</f>
        <v>1</v>
      </c>
      <c r="I4" s="196">
        <f>IFERROR(__xludf.DUMMYFUNCTION("""COMPUTED_VALUE"""),1.0)</f>
        <v>1</v>
      </c>
      <c r="J4" s="196">
        <f>IFERROR(__xludf.DUMMYFUNCTION("""COMPUTED_VALUE"""),1.0)</f>
        <v>1</v>
      </c>
      <c r="K4" s="49">
        <f>IFERROR(__xludf.DUMMYFUNCTION("""COMPUTED_VALUE"""),1.0757803414396225)</f>
        <v>1.075780341</v>
      </c>
      <c r="L4" s="49">
        <f>IFERROR(__xludf.DUMMYFUNCTION("""COMPUTED_VALUE"""),0.2857142857142857)</f>
        <v>0.2857142857</v>
      </c>
      <c r="M4" s="49">
        <f>IFERROR(__xludf.DUMMYFUNCTION("""COMPUTED_VALUE"""),10.857142857142858)</f>
        <v>10.85714286</v>
      </c>
      <c r="N4" s="197">
        <f>IFERROR(__xludf.DUMMYFUNCTION("""COMPUTED_VALUE"""),0.3712866782258235)</f>
        <v>0.3712866782</v>
      </c>
      <c r="O4" s="196">
        <f>IFERROR(__xludf.DUMMYFUNCTION("""COMPUTED_VALUE"""),0.941747572815534)</f>
        <v>0.9417475728</v>
      </c>
      <c r="P4" s="49">
        <f>IFERROR(__xludf.DUMMYFUNCTION("""COMPUTED_VALUE"""),12.857142857142858)</f>
        <v>12.85714286</v>
      </c>
      <c r="Q4" s="49">
        <f>IFERROR(__xludf.DUMMYFUNCTION("""COMPUTED_VALUE"""),15.0)</f>
        <v>15</v>
      </c>
      <c r="R4" s="198">
        <f>IFERROR(__xludf.DUMMYFUNCTION("""COMPUTED_VALUE"""),0.9460107610423022)</f>
        <v>0.946010761</v>
      </c>
      <c r="S4" s="196">
        <f>IFERROR(__xludf.DUMMYFUNCTION("""COMPUTED_VALUE"""),1.0)</f>
        <v>1</v>
      </c>
      <c r="T4" s="196">
        <f>IFERROR(__xludf.DUMMYFUNCTION("""COMPUTED_VALUE"""),0.0)</f>
        <v>0</v>
      </c>
      <c r="U4" s="196">
        <f>IFERROR(__xludf.DUMMYFUNCTION("""COMPUTED_VALUE"""),0.0)</f>
        <v>0</v>
      </c>
      <c r="V4" s="196">
        <f>IFERROR(__xludf.DUMMYFUNCTION("""COMPUTED_VALUE"""),0.0)</f>
        <v>0</v>
      </c>
      <c r="W4" s="196">
        <f>IFERROR(__xludf.DUMMYFUNCTION("""COMPUTED_VALUE"""),0.8571428571428571)</f>
        <v>0.8571428571</v>
      </c>
      <c r="X4" s="199">
        <f>IFERROR(__xludf.DUMMYFUNCTION("""COMPUTED_VALUE"""),1.3480567411930244)</f>
        <v>1.348056741</v>
      </c>
      <c r="Y4" s="49">
        <f>IFERROR(__xludf.DUMMYFUNCTION("""COMPUTED_VALUE"""),10.857142857142858)</f>
        <v>10.85714286</v>
      </c>
      <c r="Z4" s="49">
        <f>IFERROR(__xludf.DUMMYFUNCTION("""COMPUTED_VALUE"""),22.0)</f>
        <v>22</v>
      </c>
      <c r="AA4" s="49">
        <f>IFERROR(__xludf.DUMMYFUNCTION("""COMPUTED_VALUE"""),32.85714285714286)</f>
        <v>32.85714286</v>
      </c>
      <c r="AB4" s="200">
        <f>IFERROR(__xludf.DUMMYFUNCTION("""COMPUTED_VALUE"""),0.4482218136518446)</f>
        <v>0.4482218137</v>
      </c>
      <c r="AC4" s="15">
        <f>IFERROR(__xludf.DUMMYFUNCTION("""COMPUTED_VALUE"""),16.0)</f>
        <v>16</v>
      </c>
      <c r="AD4" s="15">
        <f>IFERROR(__xludf.DUMMYFUNCTION("""COMPUTED_VALUE"""),0.13063338340721975)</f>
        <v>0.1306333834</v>
      </c>
      <c r="AE4" s="49">
        <f>IFERROR(__xludf.DUMMYFUNCTION("""COMPUTED_VALUE"""),13.857142857142858)</f>
        <v>13.85714286</v>
      </c>
      <c r="AF4" s="49">
        <f>IFERROR(__xludf.DUMMYFUNCTION("""COMPUTED_VALUE"""),45.714285714285715)</f>
        <v>45.71428571</v>
      </c>
      <c r="AG4" s="201">
        <f>IFERROR(__xludf.DUMMYFUNCTION("""COMPUTED_VALUE"""),6.104316803693521)</f>
        <v>6.104316804</v>
      </c>
      <c r="AH4" s="201">
        <f>IFERROR(__xludf.DUMMYFUNCTION("""COMPUTED_VALUE"""),7.050327564735824)</f>
        <v>7.050327565</v>
      </c>
      <c r="AI4" s="15" t="str">
        <f>IFERROR(__xludf.DUMMYFUNCTION("""COMPUTED_VALUE"""),"")</f>
        <v/>
      </c>
    </row>
    <row r="5">
      <c r="A5" s="15">
        <f>IFERROR(__xludf.DUMMYFUNCTION("""COMPUTED_VALUE"""),694.0)</f>
        <v>694</v>
      </c>
      <c r="B5" s="62">
        <f>IFERROR(__xludf.DUMMYFUNCTION("""COMPUTED_VALUE"""),0.5)</f>
        <v>0.5</v>
      </c>
      <c r="C5" s="49">
        <f>IFERROR(__xludf.DUMMYFUNCTION("""COMPUTED_VALUE"""),0.0)</f>
        <v>0</v>
      </c>
      <c r="D5" s="49">
        <f>IFERROR(__xludf.DUMMYFUNCTION("""COMPUTED_VALUE"""),3.375)</f>
        <v>3.375</v>
      </c>
      <c r="E5" s="49">
        <f>IFERROR(__xludf.DUMMYFUNCTION("""COMPUTED_VALUE"""),1.5909902491078538)</f>
        <v>1.590990249</v>
      </c>
      <c r="F5" s="49">
        <f>IFERROR(__xludf.DUMMYFUNCTION("""COMPUTED_VALUE"""),4.0)</f>
        <v>4</v>
      </c>
      <c r="G5" s="196">
        <f>IFERROR(__xludf.DUMMYFUNCTION("""COMPUTED_VALUE"""),0.84375)</f>
        <v>0.84375</v>
      </c>
      <c r="H5" s="196" t="str">
        <f>IFERROR(__xludf.DUMMYFUNCTION("""COMPUTED_VALUE"""),"")</f>
        <v/>
      </c>
      <c r="I5" s="196">
        <f>IFERROR(__xludf.DUMMYFUNCTION("""COMPUTED_VALUE"""),1.0)</f>
        <v>1</v>
      </c>
      <c r="J5" s="196">
        <f>IFERROR(__xludf.DUMMYFUNCTION("""COMPUTED_VALUE"""),1.0)</f>
        <v>1</v>
      </c>
      <c r="K5" s="49">
        <f>IFERROR(__xludf.DUMMYFUNCTION("""COMPUTED_VALUE"""),1.0757803414396225)</f>
        <v>1.075780341</v>
      </c>
      <c r="L5" s="49">
        <f>IFERROR(__xludf.DUMMYFUNCTION("""COMPUTED_VALUE"""),0.0)</f>
        <v>0</v>
      </c>
      <c r="M5" s="49">
        <f>IFERROR(__xludf.DUMMYFUNCTION("""COMPUTED_VALUE"""),9.875)</f>
        <v>9.875</v>
      </c>
      <c r="N5" s="197">
        <f>IFERROR(__xludf.DUMMYFUNCTION("""COMPUTED_VALUE"""),0.14980663819053472)</f>
        <v>0.1498066382</v>
      </c>
      <c r="O5" s="196">
        <f>IFERROR(__xludf.DUMMYFUNCTION("""COMPUTED_VALUE"""),0.9380530973451328)</f>
        <v>0.9380530973</v>
      </c>
      <c r="P5" s="49">
        <f>IFERROR(__xludf.DUMMYFUNCTION("""COMPUTED_VALUE"""),13.125)</f>
        <v>13.125</v>
      </c>
      <c r="Q5" s="49">
        <f>IFERROR(__xludf.DUMMYFUNCTION("""COMPUTED_VALUE"""),15.0)</f>
        <v>15</v>
      </c>
      <c r="R5" s="198">
        <f>IFERROR(__xludf.DUMMYFUNCTION("""COMPUTED_VALUE"""),0.9460107610423022)</f>
        <v>0.946010761</v>
      </c>
      <c r="S5" s="196">
        <f>IFERROR(__xludf.DUMMYFUNCTION("""COMPUTED_VALUE"""),1.0)</f>
        <v>1</v>
      </c>
      <c r="T5" s="196">
        <f>IFERROR(__xludf.DUMMYFUNCTION("""COMPUTED_VALUE"""),0.0)</f>
        <v>0</v>
      </c>
      <c r="U5" s="196">
        <f>IFERROR(__xludf.DUMMYFUNCTION("""COMPUTED_VALUE"""),0.0)</f>
        <v>0</v>
      </c>
      <c r="V5" s="196">
        <f>IFERROR(__xludf.DUMMYFUNCTION("""COMPUTED_VALUE"""),0.375)</f>
        <v>0.375</v>
      </c>
      <c r="W5" s="196">
        <f>IFERROR(__xludf.DUMMYFUNCTION("""COMPUTED_VALUE"""),0.625)</f>
        <v>0.625</v>
      </c>
      <c r="X5" s="199">
        <f>IFERROR(__xludf.DUMMYFUNCTION("""COMPUTED_VALUE"""),0.6129672510930125)</f>
        <v>0.6129672511</v>
      </c>
      <c r="Y5" s="49">
        <f>IFERROR(__xludf.DUMMYFUNCTION("""COMPUTED_VALUE"""),13.5)</f>
        <v>13.5</v>
      </c>
      <c r="Z5" s="49">
        <f>IFERROR(__xludf.DUMMYFUNCTION("""COMPUTED_VALUE"""),19.75)</f>
        <v>19.75</v>
      </c>
      <c r="AA5" s="49">
        <f>IFERROR(__xludf.DUMMYFUNCTION("""COMPUTED_VALUE"""),33.25)</f>
        <v>33.25</v>
      </c>
      <c r="AB5" s="200">
        <f>IFERROR(__xludf.DUMMYFUNCTION("""COMPUTED_VALUE"""),0.3877024126524391)</f>
        <v>0.3877024127</v>
      </c>
      <c r="AC5" s="15">
        <f>IFERROR(__xludf.DUMMYFUNCTION("""COMPUTED_VALUE"""),13.0)</f>
        <v>13</v>
      </c>
      <c r="AD5" s="15">
        <f>IFERROR(__xludf.DUMMYFUNCTION("""COMPUTED_VALUE"""),-0.3777776222857432)</f>
        <v>-0.3777776223</v>
      </c>
      <c r="AE5" s="49">
        <f>IFERROR(__xludf.DUMMYFUNCTION("""COMPUTED_VALUE"""),13.25)</f>
        <v>13.25</v>
      </c>
      <c r="AF5" s="49">
        <f>IFERROR(__xludf.DUMMYFUNCTION("""COMPUTED_VALUE"""),46.375)</f>
        <v>46.375</v>
      </c>
      <c r="AG5" s="201">
        <f>IFERROR(__xludf.DUMMYFUNCTION("""COMPUTED_VALUE"""),4.931465677894693)</f>
        <v>4.931465678</v>
      </c>
      <c r="AH5" s="201">
        <f>IFERROR(__xludf.DUMMYFUNCTION("""COMPUTED_VALUE"""),5.877476438936994)</f>
        <v>5.877476439</v>
      </c>
      <c r="AI5" s="15" t="str">
        <f>IFERROR(__xludf.DUMMYFUNCTION("""COMPUTED_VALUE"""),"attempted traversal")</f>
        <v>attempted traversal</v>
      </c>
    </row>
    <row r="6">
      <c r="A6" s="15">
        <f>IFERROR(__xludf.DUMMYFUNCTION("""COMPUTED_VALUE"""),180.0)</f>
        <v>180</v>
      </c>
      <c r="B6" s="62">
        <f>IFERROR(__xludf.DUMMYFUNCTION("""COMPUTED_VALUE"""),0.88)</f>
        <v>0.88</v>
      </c>
      <c r="C6" s="49">
        <f>IFERROR(__xludf.DUMMYFUNCTION("""COMPUTED_VALUE"""),0.0)</f>
        <v>0</v>
      </c>
      <c r="D6" s="49">
        <f>IFERROR(__xludf.DUMMYFUNCTION("""COMPUTED_VALUE"""),2.875)</f>
        <v>2.875</v>
      </c>
      <c r="E6" s="49">
        <f>IFERROR(__xludf.DUMMYFUNCTION("""COMPUTED_VALUE"""),1.0206779549753089)</f>
        <v>1.020677955</v>
      </c>
      <c r="F6" s="49">
        <f>IFERROR(__xludf.DUMMYFUNCTION("""COMPUTED_VALUE"""),3.125)</f>
        <v>3.125</v>
      </c>
      <c r="G6" s="196">
        <f>IFERROR(__xludf.DUMMYFUNCTION("""COMPUTED_VALUE"""),0.92)</f>
        <v>0.92</v>
      </c>
      <c r="H6" s="196">
        <f>IFERROR(__xludf.DUMMYFUNCTION("""COMPUTED_VALUE"""),0.8333333333333334)</f>
        <v>0.8333333333</v>
      </c>
      <c r="I6" s="196">
        <f>IFERROR(__xludf.DUMMYFUNCTION("""COMPUTED_VALUE"""),0.875)</f>
        <v>0.875</v>
      </c>
      <c r="J6" s="196">
        <f>IFERROR(__xludf.DUMMYFUNCTION("""COMPUTED_VALUE"""),0.8541666666666667)</f>
        <v>0.8541666667</v>
      </c>
      <c r="K6" s="49">
        <f>IFERROR(__xludf.DUMMYFUNCTION("""COMPUTED_VALUE"""),0.009474721377070386)</f>
        <v>0.009474721377</v>
      </c>
      <c r="L6" s="49">
        <f>IFERROR(__xludf.DUMMYFUNCTION("""COMPUTED_VALUE"""),0.0)</f>
        <v>0</v>
      </c>
      <c r="M6" s="49">
        <f>IFERROR(__xludf.DUMMYFUNCTION("""COMPUTED_VALUE"""),18.625)</f>
        <v>18.625</v>
      </c>
      <c r="N6" s="197">
        <f>IFERROR(__xludf.DUMMYFUNCTION("""COMPUTED_VALUE"""),2.1229924494140158)</f>
        <v>2.122992449</v>
      </c>
      <c r="O6" s="196">
        <f>IFERROR(__xludf.DUMMYFUNCTION("""COMPUTED_VALUE"""),0.9347826086956522)</f>
        <v>0.9347826087</v>
      </c>
      <c r="P6" s="49">
        <f>IFERROR(__xludf.DUMMYFUNCTION("""COMPUTED_VALUE"""),5.25)</f>
        <v>5.25</v>
      </c>
      <c r="Q6" s="49">
        <f>IFERROR(__xludf.DUMMYFUNCTION("""COMPUTED_VALUE"""),8.4)</f>
        <v>8.4</v>
      </c>
      <c r="R6" s="198">
        <f>IFERROR(__xludf.DUMMYFUNCTION("""COMPUTED_VALUE"""),-0.44792509522840124)</f>
        <v>-0.4479250952</v>
      </c>
      <c r="S6" s="196">
        <f>IFERROR(__xludf.DUMMYFUNCTION("""COMPUTED_VALUE"""),0.8333333333333334)</f>
        <v>0.8333333333</v>
      </c>
      <c r="T6" s="196">
        <f>IFERROR(__xludf.DUMMYFUNCTION("""COMPUTED_VALUE"""),0.0)</f>
        <v>0</v>
      </c>
      <c r="U6" s="196">
        <f>IFERROR(__xludf.DUMMYFUNCTION("""COMPUTED_VALUE"""),0.25)</f>
        <v>0.25</v>
      </c>
      <c r="V6" s="196">
        <f>IFERROR(__xludf.DUMMYFUNCTION("""COMPUTED_VALUE"""),0.375)</f>
        <v>0.375</v>
      </c>
      <c r="W6" s="196">
        <f>IFERROR(__xludf.DUMMYFUNCTION("""COMPUTED_VALUE"""),0.0)</f>
        <v>0</v>
      </c>
      <c r="X6" s="199">
        <f>IFERROR(__xludf.DUMMYFUNCTION("""COMPUTED_VALUE"""),-1.3661198376377892)</f>
        <v>-1.366119838</v>
      </c>
      <c r="Y6" s="49">
        <f>IFERROR(__xludf.DUMMYFUNCTION("""COMPUTED_VALUE"""),11.5)</f>
        <v>11.5</v>
      </c>
      <c r="Z6" s="49">
        <f>IFERROR(__xludf.DUMMYFUNCTION("""COMPUTED_VALUE"""),37.25)</f>
        <v>37.25</v>
      </c>
      <c r="AA6" s="49">
        <f>IFERROR(__xludf.DUMMYFUNCTION("""COMPUTED_VALUE"""),48.75)</f>
        <v>48.75</v>
      </c>
      <c r="AB6" s="200">
        <f>IFERROR(__xludf.DUMMYFUNCTION("""COMPUTED_VALUE"""),1.9410337049705062)</f>
        <v>1.941033705</v>
      </c>
      <c r="AC6" s="15">
        <f>IFERROR(__xludf.DUMMYFUNCTION("""COMPUTED_VALUE"""),26.0)</f>
        <v>26</v>
      </c>
      <c r="AD6" s="15">
        <f>IFERROR(__xludf.DUMMYFUNCTION("""COMPUTED_VALUE"""),1.8253367357170962)</f>
        <v>1.825336736</v>
      </c>
      <c r="AE6" s="49">
        <f>IFERROR(__xludf.DUMMYFUNCTION("""COMPUTED_VALUE"""),21.5)</f>
        <v>21.5</v>
      </c>
      <c r="AF6" s="49">
        <f>IFERROR(__xludf.DUMMYFUNCTION("""COMPUTED_VALUE"""),54.0)</f>
        <v>54</v>
      </c>
      <c r="AG6" s="201">
        <f>IFERROR(__xludf.DUMMYFUNCTION("""COMPUTED_VALUE"""),6.41208842442261)</f>
        <v>6.412088424</v>
      </c>
      <c r="AH6" s="201">
        <f>IFERROR(__xludf.DUMMYFUNCTION("""COMPUTED_VALUE"""),5.964163329194209)</f>
        <v>5.964163329</v>
      </c>
      <c r="AI6" s="15" t="str">
        <f>IFERROR(__xludf.DUMMYFUNCTION("""COMPUTED_VALUE"""),"Froze for 25 ish seconds., slow, single balls but accurate and fast cycle tIme. climbed quickly and then dropped down before 5 second limit")</f>
        <v>Froze for 25 ish seconds., slow, single balls but accurate and fast cycle tIme. climbed quickly and then dropped down before 5 second limit</v>
      </c>
    </row>
    <row r="7">
      <c r="A7" s="15">
        <f>IFERROR(__xludf.DUMMYFUNCTION("""COMPUTED_VALUE"""),4143.0)</f>
        <v>4143</v>
      </c>
      <c r="B7" s="62">
        <f>IFERROR(__xludf.DUMMYFUNCTION("""COMPUTED_VALUE"""),0.38)</f>
        <v>0.38</v>
      </c>
      <c r="C7" s="49">
        <f>IFERROR(__xludf.DUMMYFUNCTION("""COMPUTED_VALUE"""),0.0)</f>
        <v>0</v>
      </c>
      <c r="D7" s="49">
        <f>IFERROR(__xludf.DUMMYFUNCTION("""COMPUTED_VALUE"""),1.5)</f>
        <v>1.5</v>
      </c>
      <c r="E7" s="49">
        <f>IFERROR(__xludf.DUMMYFUNCTION("""COMPUTED_VALUE"""),-0.5476808538891899)</f>
        <v>-0.5476808539</v>
      </c>
      <c r="F7" s="49">
        <f>IFERROR(__xludf.DUMMYFUNCTION("""COMPUTED_VALUE"""),1.625)</f>
        <v>1.625</v>
      </c>
      <c r="G7" s="196">
        <f>IFERROR(__xludf.DUMMYFUNCTION("""COMPUTED_VALUE"""),0.9230769230769231)</f>
        <v>0.9230769231</v>
      </c>
      <c r="H7" s="196">
        <f>IFERROR(__xludf.DUMMYFUNCTION("""COMPUTED_VALUE"""),1.0)</f>
        <v>1</v>
      </c>
      <c r="I7" s="196">
        <f>IFERROR(__xludf.DUMMYFUNCTION("""COMPUTED_VALUE"""),0.75)</f>
        <v>0.75</v>
      </c>
      <c r="J7" s="196">
        <f>IFERROR(__xludf.DUMMYFUNCTION("""COMPUTED_VALUE"""),0.875)</f>
        <v>0.875</v>
      </c>
      <c r="K7" s="49">
        <f>IFERROR(__xludf.DUMMYFUNCTION("""COMPUTED_VALUE"""),0.16180409567172024)</f>
        <v>0.1618040957</v>
      </c>
      <c r="L7" s="49">
        <f>IFERROR(__xludf.DUMMYFUNCTION("""COMPUTED_VALUE"""),0.0)</f>
        <v>0</v>
      </c>
      <c r="M7" s="49">
        <f>IFERROR(__xludf.DUMMYFUNCTION("""COMPUTED_VALUE"""),13.375)</f>
        <v>13.375</v>
      </c>
      <c r="N7" s="197">
        <f>IFERROR(__xludf.DUMMYFUNCTION("""COMPUTED_VALUE"""),0.939080962679927)</f>
        <v>0.9390809627</v>
      </c>
      <c r="O7" s="196">
        <f>IFERROR(__xludf.DUMMYFUNCTION("""COMPUTED_VALUE"""),0.9296875)</f>
        <v>0.9296875</v>
      </c>
      <c r="P7" s="49">
        <f>IFERROR(__xludf.DUMMYFUNCTION("""COMPUTED_VALUE"""),7.75)</f>
        <v>7.75</v>
      </c>
      <c r="Q7" s="49">
        <f>IFERROR(__xludf.DUMMYFUNCTION("""COMPUTED_VALUE"""),11.2)</f>
        <v>11.2</v>
      </c>
      <c r="R7" s="198">
        <f>IFERROR(__xludf.DUMMYFUNCTION("""COMPUTED_VALUE"""),0.14344163167432122)</f>
        <v>0.1434416317</v>
      </c>
      <c r="S7" s="196">
        <f>IFERROR(__xludf.DUMMYFUNCTION("""COMPUTED_VALUE"""),1.0)</f>
        <v>1</v>
      </c>
      <c r="T7" s="196">
        <f>IFERROR(__xludf.DUMMYFUNCTION("""COMPUTED_VALUE"""),0.0)</f>
        <v>0</v>
      </c>
      <c r="U7" s="196">
        <f>IFERROR(__xludf.DUMMYFUNCTION("""COMPUTED_VALUE"""),0.25)</f>
        <v>0.25</v>
      </c>
      <c r="V7" s="196">
        <f>IFERROR(__xludf.DUMMYFUNCTION("""COMPUTED_VALUE"""),0.25)</f>
        <v>0.25</v>
      </c>
      <c r="W7" s="196">
        <f>IFERROR(__xludf.DUMMYFUNCTION("""COMPUTED_VALUE"""),0.25)</f>
        <v>0.25</v>
      </c>
      <c r="X7" s="199">
        <f>IFERROR(__xludf.DUMMYFUNCTION("""COMPUTED_VALUE"""),-0.5744850021454685)</f>
        <v>-0.5744850021</v>
      </c>
      <c r="Y7" s="49">
        <f>IFERROR(__xludf.DUMMYFUNCTION("""COMPUTED_VALUE"""),6.0)</f>
        <v>6</v>
      </c>
      <c r="Z7" s="49">
        <f>IFERROR(__xludf.DUMMYFUNCTION("""COMPUTED_VALUE"""),26.75)</f>
        <v>26.75</v>
      </c>
      <c r="AA7" s="49">
        <f>IFERROR(__xludf.DUMMYFUNCTION("""COMPUTED_VALUE"""),32.75)</f>
        <v>32.75</v>
      </c>
      <c r="AB7" s="200">
        <f>IFERROR(__xludf.DUMMYFUNCTION("""COMPUTED_VALUE"""),0.6936616065938765)</f>
        <v>0.6936616066</v>
      </c>
      <c r="AC7" s="15">
        <f>IFERROR(__xludf.DUMMYFUNCTION("""COMPUTED_VALUE"""),22.0)</f>
        <v>22</v>
      </c>
      <c r="AD7" s="15">
        <f>IFERROR(__xludf.DUMMYFUNCTION("""COMPUTED_VALUE"""),1.1474553947931456)</f>
        <v>1.147455395</v>
      </c>
      <c r="AE7" s="49">
        <f>IFERROR(__xludf.DUMMYFUNCTION("""COMPUTED_VALUE"""),14.875)</f>
        <v>14.875</v>
      </c>
      <c r="AF7" s="49">
        <f>IFERROR(__xludf.DUMMYFUNCTION("""COMPUTED_VALUE"""),40.5)</f>
        <v>40.5</v>
      </c>
      <c r="AG7" s="201">
        <f>IFERROR(__xludf.DUMMYFUNCTION("""COMPUTED_VALUE"""),4.7002689052019315)</f>
        <v>4.700268905</v>
      </c>
      <c r="AH7" s="201">
        <f>IFERROR(__xludf.DUMMYFUNCTION("""COMPUTED_VALUE"""),4.8437105368762525)</f>
        <v>4.843710537</v>
      </c>
      <c r="AI7" s="15" t="str">
        <f>IFERROR(__xludf.DUMMYFUNCTION("""COMPUTED_VALUE"""),"intake is iffy at sn angle, played 2+1 auto, didnt perform during auto")</f>
        <v>intake is iffy at sn angle, played 2+1 auto, didnt perform during auto</v>
      </c>
    </row>
    <row r="8">
      <c r="A8" s="15">
        <f>IFERROR(__xludf.DUMMYFUNCTION("""COMPUTED_VALUE"""),67.0)</f>
        <v>67</v>
      </c>
      <c r="B8" s="62">
        <f>IFERROR(__xludf.DUMMYFUNCTION("""COMPUTED_VALUE"""),0.57)</f>
        <v>0.57</v>
      </c>
      <c r="C8" s="49">
        <f>IFERROR(__xludf.DUMMYFUNCTION("""COMPUTED_VALUE"""),0.0)</f>
        <v>0</v>
      </c>
      <c r="D8" s="49">
        <f>IFERROR(__xludf.DUMMYFUNCTION("""COMPUTED_VALUE"""),2.7142857142857144)</f>
        <v>2.714285714</v>
      </c>
      <c r="E8" s="49">
        <f>IFERROR(__xludf.DUMMYFUNCTION("""COMPUTED_VALUE"""),0.8373632890041338)</f>
        <v>0.837363289</v>
      </c>
      <c r="F8" s="49">
        <f>IFERROR(__xludf.DUMMYFUNCTION("""COMPUTED_VALUE"""),3.142857142857143)</f>
        <v>3.142857143</v>
      </c>
      <c r="G8" s="196">
        <f>IFERROR(__xludf.DUMMYFUNCTION("""COMPUTED_VALUE"""),0.8636363636363636)</f>
        <v>0.8636363636</v>
      </c>
      <c r="H8" s="196">
        <f>IFERROR(__xludf.DUMMYFUNCTION("""COMPUTED_VALUE"""),0.5)</f>
        <v>0.5</v>
      </c>
      <c r="I8" s="196">
        <f>IFERROR(__xludf.DUMMYFUNCTION("""COMPUTED_VALUE"""),0.8571428571428571)</f>
        <v>0.8571428571</v>
      </c>
      <c r="J8" s="196">
        <f>IFERROR(__xludf.DUMMYFUNCTION("""COMPUTED_VALUE"""),0.6785714285714286)</f>
        <v>0.6785714286</v>
      </c>
      <c r="K8" s="49">
        <f>IFERROR(__xludf.DUMMYFUNCTION("""COMPUTED_VALUE"""),-1.2744442905349833)</f>
        <v>-1.274444291</v>
      </c>
      <c r="L8" s="49">
        <f>IFERROR(__xludf.DUMMYFUNCTION("""COMPUTED_VALUE"""),0.0)</f>
        <v>0</v>
      </c>
      <c r="M8" s="49">
        <f>IFERROR(__xludf.DUMMYFUNCTION("""COMPUTED_VALUE"""),14.142857142857142)</f>
        <v>14.14285714</v>
      </c>
      <c r="N8" s="197">
        <f>IFERROR(__xludf.DUMMYFUNCTION("""COMPUTED_VALUE"""),1.1122380848893345)</f>
        <v>1.112238085</v>
      </c>
      <c r="O8" s="196">
        <f>IFERROR(__xludf.DUMMYFUNCTION("""COMPUTED_VALUE"""),0.9291338582677166)</f>
        <v>0.9291338583</v>
      </c>
      <c r="P8" s="49">
        <f>IFERROR(__xludf.DUMMYFUNCTION("""COMPUTED_VALUE"""),8.571428571428571)</f>
        <v>8.571428571</v>
      </c>
      <c r="Q8" s="49">
        <f>IFERROR(__xludf.DUMMYFUNCTION("""COMPUTED_VALUE"""),12.0)</f>
        <v>12</v>
      </c>
      <c r="R8" s="198">
        <f>IFERROR(__xludf.DUMMYFUNCTION("""COMPUTED_VALUE"""),0.3124035536465279)</f>
        <v>0.3124035536</v>
      </c>
      <c r="S8" s="196">
        <f>IFERROR(__xludf.DUMMYFUNCTION("""COMPUTED_VALUE"""),0.8)</f>
        <v>0.8</v>
      </c>
      <c r="T8" s="196">
        <f>IFERROR(__xludf.DUMMYFUNCTION("""COMPUTED_VALUE"""),0.0)</f>
        <v>0</v>
      </c>
      <c r="U8" s="196">
        <f>IFERROR(__xludf.DUMMYFUNCTION("""COMPUTED_VALUE"""),0.0)</f>
        <v>0</v>
      </c>
      <c r="V8" s="196">
        <f>IFERROR(__xludf.DUMMYFUNCTION("""COMPUTED_VALUE"""),0.0)</f>
        <v>0</v>
      </c>
      <c r="W8" s="196">
        <f>IFERROR(__xludf.DUMMYFUNCTION("""COMPUTED_VALUE"""),0.5714285714285714)</f>
        <v>0.5714285714</v>
      </c>
      <c r="X8" s="199">
        <f>IFERROR(__xludf.DUMMYFUNCTION("""COMPUTED_VALUE"""),0.4433312149160866)</f>
        <v>0.4433312149</v>
      </c>
      <c r="Y8" s="49">
        <f>IFERROR(__xludf.DUMMYFUNCTION("""COMPUTED_VALUE"""),10.857142857142858)</f>
        <v>10.85714286</v>
      </c>
      <c r="Z8" s="49">
        <f>IFERROR(__xludf.DUMMYFUNCTION("""COMPUTED_VALUE"""),28.285714285714285)</f>
        <v>28.28571429</v>
      </c>
      <c r="AA8" s="49">
        <f>IFERROR(__xludf.DUMMYFUNCTION("""COMPUTED_VALUE"""),39.14285714285714)</f>
        <v>39.14285714</v>
      </c>
      <c r="AB8" s="200">
        <f>IFERROR(__xludf.DUMMYFUNCTION("""COMPUTED_VALUE"""),1.066864579423542)</f>
        <v>1.066864579</v>
      </c>
      <c r="AC8" s="15">
        <f>IFERROR(__xludf.DUMMYFUNCTION("""COMPUTED_VALUE"""),21.0)</f>
        <v>21</v>
      </c>
      <c r="AD8" s="15">
        <f>IFERROR(__xludf.DUMMYFUNCTION("""COMPUTED_VALUE"""),0.977985059562158)</f>
        <v>0.9779850596</v>
      </c>
      <c r="AE8" s="49">
        <f>IFERROR(__xludf.DUMMYFUNCTION("""COMPUTED_VALUE"""),16.857142857142858)</f>
        <v>16.85714286</v>
      </c>
      <c r="AF8" s="49">
        <f>IFERROR(__xludf.DUMMYFUNCTION("""COMPUTED_VALUE"""),47.714285714285715)</f>
        <v>47.71428571</v>
      </c>
      <c r="AG8" s="201">
        <f>IFERROR(__xludf.DUMMYFUNCTION("""COMPUTED_VALUE"""),4.28986923828129)</f>
        <v>4.289869238</v>
      </c>
      <c r="AH8" s="201">
        <f>IFERROR(__xludf.DUMMYFUNCTION("""COMPUTED_VALUE"""),4.602272791927818)</f>
        <v>4.602272792</v>
      </c>
      <c r="AI8" s="15" t="str">
        <f>IFERROR(__xludf.DUMMYFUNCTION("""COMPUTED_VALUE"""),"fast climb")</f>
        <v>fast climb</v>
      </c>
    </row>
    <row r="9">
      <c r="A9" s="15">
        <f>IFERROR(__xludf.DUMMYFUNCTION("""COMPUTED_VALUE"""),2338.0)</f>
        <v>2338</v>
      </c>
      <c r="B9" s="62">
        <f>IFERROR(__xludf.DUMMYFUNCTION("""COMPUTED_VALUE"""),0.14)</f>
        <v>0.14</v>
      </c>
      <c r="C9" s="49">
        <f>IFERROR(__xludf.DUMMYFUNCTION("""COMPUTED_VALUE"""),0.0)</f>
        <v>0</v>
      </c>
      <c r="D9" s="49">
        <f>IFERROR(__xludf.DUMMYFUNCTION("""COMPUTED_VALUE"""),2.2857142857142856)</f>
        <v>2.285714286</v>
      </c>
      <c r="E9" s="49">
        <f>IFERROR(__xludf.DUMMYFUNCTION("""COMPUTED_VALUE"""),0.3485241797476664)</f>
        <v>0.3485241797</v>
      </c>
      <c r="F9" s="49">
        <f>IFERROR(__xludf.DUMMYFUNCTION("""COMPUTED_VALUE"""),2.857142857142857)</f>
        <v>2.857142857</v>
      </c>
      <c r="G9" s="196">
        <f>IFERROR(__xludf.DUMMYFUNCTION("""COMPUTED_VALUE"""),0.8)</f>
        <v>0.8</v>
      </c>
      <c r="H9" s="196">
        <f>IFERROR(__xludf.DUMMYFUNCTION("""COMPUTED_VALUE"""),1.0)</f>
        <v>1</v>
      </c>
      <c r="I9" s="196">
        <f>IFERROR(__xludf.DUMMYFUNCTION("""COMPUTED_VALUE"""),1.0)</f>
        <v>1</v>
      </c>
      <c r="J9" s="196">
        <f>IFERROR(__xludf.DUMMYFUNCTION("""COMPUTED_VALUE"""),1.0)</f>
        <v>1</v>
      </c>
      <c r="K9" s="49">
        <f>IFERROR(__xludf.DUMMYFUNCTION("""COMPUTED_VALUE"""),1.0757803414396225)</f>
        <v>1.075780341</v>
      </c>
      <c r="L9" s="49">
        <f>IFERROR(__xludf.DUMMYFUNCTION("""COMPUTED_VALUE"""),0.0)</f>
        <v>0</v>
      </c>
      <c r="M9" s="49">
        <f>IFERROR(__xludf.DUMMYFUNCTION("""COMPUTED_VALUE"""),10.142857142857142)</f>
        <v>10.14285714</v>
      </c>
      <c r="N9" s="197">
        <f>IFERROR(__xludf.DUMMYFUNCTION("""COMPUTED_VALUE"""),0.21021028547288606)</f>
        <v>0.2102102855</v>
      </c>
      <c r="O9" s="196">
        <f>IFERROR(__xludf.DUMMYFUNCTION("""COMPUTED_VALUE"""),0.925531914893617)</f>
        <v>0.9255319149</v>
      </c>
      <c r="P9" s="49">
        <f>IFERROR(__xludf.DUMMYFUNCTION("""COMPUTED_VALUE"""),14.285714285714286)</f>
        <v>14.28571429</v>
      </c>
      <c r="Q9" s="49">
        <f>IFERROR(__xludf.DUMMYFUNCTION("""COMPUTED_VALUE"""),15.0)</f>
        <v>15</v>
      </c>
      <c r="R9" s="198">
        <f>IFERROR(__xludf.DUMMYFUNCTION("""COMPUTED_VALUE"""),0.9460107610423022)</f>
        <v>0.946010761</v>
      </c>
      <c r="S9" s="196">
        <f>IFERROR(__xludf.DUMMYFUNCTION("""COMPUTED_VALUE"""),1.0)</f>
        <v>1</v>
      </c>
      <c r="T9" s="196">
        <f>IFERROR(__xludf.DUMMYFUNCTION("""COMPUTED_VALUE"""),0.0)</f>
        <v>0</v>
      </c>
      <c r="U9" s="196">
        <f>IFERROR(__xludf.DUMMYFUNCTION("""COMPUTED_VALUE"""),0.0)</f>
        <v>0</v>
      </c>
      <c r="V9" s="196">
        <f>IFERROR(__xludf.DUMMYFUNCTION("""COMPUTED_VALUE"""),0.14285714285714285)</f>
        <v>0.1428571429</v>
      </c>
      <c r="W9" s="196">
        <f>IFERROR(__xludf.DUMMYFUNCTION("""COMPUTED_VALUE"""),0.8571428571428571)</f>
        <v>0.8571428571</v>
      </c>
      <c r="X9" s="199">
        <f>IFERROR(__xludf.DUMMYFUNCTION("""COMPUTED_VALUE"""),1.3480567411930244)</f>
        <v>1.348056741</v>
      </c>
      <c r="Y9" s="49">
        <f>IFERROR(__xludf.DUMMYFUNCTION("""COMPUTED_VALUE"""),9.142857142857142)</f>
        <v>9.142857143</v>
      </c>
      <c r="Z9" s="49">
        <f>IFERROR(__xludf.DUMMYFUNCTION("""COMPUTED_VALUE"""),20.285714285714285)</f>
        <v>20.28571429</v>
      </c>
      <c r="AA9" s="49">
        <f>IFERROR(__xludf.DUMMYFUNCTION("""COMPUTED_VALUE"""),29.428571428571427)</f>
        <v>29.42857143</v>
      </c>
      <c r="AB9" s="200">
        <f>IFERROR(__xludf.DUMMYFUNCTION("""COMPUTED_VALUE"""),0.23304172120951439)</f>
        <v>0.2330417212</v>
      </c>
      <c r="AC9" s="15">
        <f>IFERROR(__xludf.DUMMYFUNCTION("""COMPUTED_VALUE"""),15.0)</f>
        <v>15</v>
      </c>
      <c r="AD9" s="15">
        <f>IFERROR(__xludf.DUMMYFUNCTION("""COMPUTED_VALUE"""),-0.0388369518237679)</f>
        <v>-0.03883695182</v>
      </c>
      <c r="AE9" s="49">
        <f>IFERROR(__xludf.DUMMYFUNCTION("""COMPUTED_VALUE"""),12.428571428571427)</f>
        <v>12.42857143</v>
      </c>
      <c r="AF9" s="49">
        <f>IFERROR(__xludf.DUMMYFUNCTION("""COMPUTED_VALUE"""),43.714285714285715)</f>
        <v>43.71428571</v>
      </c>
      <c r="AG9" s="201">
        <f>IFERROR(__xludf.DUMMYFUNCTION("""COMPUTED_VALUE"""),5.451617290203721)</f>
        <v>5.45161729</v>
      </c>
      <c r="AH9" s="201">
        <f>IFERROR(__xludf.DUMMYFUNCTION("""COMPUTED_VALUE"""),6.3976280512460235)</f>
        <v>6.397628051</v>
      </c>
      <c r="AI9" s="15" t="str">
        <f>IFERROR(__xludf.DUMMYFUNCTION("""COMPUTED_VALUE"""),"very accurate shooter, played defense most the match")</f>
        <v>very accurate shooter, played defense most the match</v>
      </c>
    </row>
    <row r="10">
      <c r="A10" s="15">
        <f>IFERROR(__xludf.DUMMYFUNCTION("""COMPUTED_VALUE"""),4028.0)</f>
        <v>4028</v>
      </c>
      <c r="B10" s="62">
        <f>IFERROR(__xludf.DUMMYFUNCTION("""COMPUTED_VALUE"""),0.43)</f>
        <v>0.43</v>
      </c>
      <c r="C10" s="49">
        <f>IFERROR(__xludf.DUMMYFUNCTION("""COMPUTED_VALUE"""),0.0)</f>
        <v>0</v>
      </c>
      <c r="D10" s="49">
        <f>IFERROR(__xludf.DUMMYFUNCTION("""COMPUTED_VALUE"""),3.4285714285714284)</f>
        <v>3.428571429</v>
      </c>
      <c r="E10" s="49">
        <f>IFERROR(__xludf.DUMMYFUNCTION("""COMPUTED_VALUE"""),1.652095137764912)</f>
        <v>1.652095138</v>
      </c>
      <c r="F10" s="49">
        <f>IFERROR(__xludf.DUMMYFUNCTION("""COMPUTED_VALUE"""),3.7142857142857144)</f>
        <v>3.714285714</v>
      </c>
      <c r="G10" s="196">
        <f>IFERROR(__xludf.DUMMYFUNCTION("""COMPUTED_VALUE"""),0.9230769230769231)</f>
        <v>0.9230769231</v>
      </c>
      <c r="H10" s="196">
        <f>IFERROR(__xludf.DUMMYFUNCTION("""COMPUTED_VALUE"""),1.0)</f>
        <v>1</v>
      </c>
      <c r="I10" s="196">
        <f>IFERROR(__xludf.DUMMYFUNCTION("""COMPUTED_VALUE"""),1.0)</f>
        <v>1</v>
      </c>
      <c r="J10" s="196">
        <f>IFERROR(__xludf.DUMMYFUNCTION("""COMPUTED_VALUE"""),1.0)</f>
        <v>1</v>
      </c>
      <c r="K10" s="49">
        <f>IFERROR(__xludf.DUMMYFUNCTION("""COMPUTED_VALUE"""),1.0757803414396225)</f>
        <v>1.075780341</v>
      </c>
      <c r="L10" s="49">
        <f>IFERROR(__xludf.DUMMYFUNCTION("""COMPUTED_VALUE"""),0.0)</f>
        <v>0</v>
      </c>
      <c r="M10" s="49">
        <f>IFERROR(__xludf.DUMMYFUNCTION("""COMPUTED_VALUE"""),15.857142857142858)</f>
        <v>15.85714286</v>
      </c>
      <c r="N10" s="197">
        <f>IFERROR(__xludf.DUMMYFUNCTION("""COMPUTED_VALUE"""),1.498821427496384)</f>
        <v>1.498821427</v>
      </c>
      <c r="O10" s="196">
        <f>IFERROR(__xludf.DUMMYFUNCTION("""COMPUTED_VALUE"""),0.9246575342465754)</f>
        <v>0.9246575342</v>
      </c>
      <c r="P10" s="49">
        <f>IFERROR(__xludf.DUMMYFUNCTION("""COMPUTED_VALUE"""),7.428571428571429)</f>
        <v>7.428571429</v>
      </c>
      <c r="Q10" s="49">
        <f>IFERROR(__xludf.DUMMYFUNCTION("""COMPUTED_VALUE"""),10.4)</f>
        <v>10.4</v>
      </c>
      <c r="R10" s="198">
        <f>IFERROR(__xludf.DUMMYFUNCTION("""COMPUTED_VALUE"""),-0.02552029029788503)</f>
        <v>-0.0255202903</v>
      </c>
      <c r="S10" s="196">
        <f>IFERROR(__xludf.DUMMYFUNCTION("""COMPUTED_VALUE"""),1.0)</f>
        <v>1</v>
      </c>
      <c r="T10" s="196">
        <f>IFERROR(__xludf.DUMMYFUNCTION("""COMPUTED_VALUE"""),0.0)</f>
        <v>0</v>
      </c>
      <c r="U10" s="196">
        <f>IFERROR(__xludf.DUMMYFUNCTION("""COMPUTED_VALUE"""),0.2857142857142857)</f>
        <v>0.2857142857</v>
      </c>
      <c r="V10" s="196">
        <f>IFERROR(__xludf.DUMMYFUNCTION("""COMPUTED_VALUE"""),0.14285714285714285)</f>
        <v>0.1428571429</v>
      </c>
      <c r="W10" s="196">
        <f>IFERROR(__xludf.DUMMYFUNCTION("""COMPUTED_VALUE"""),0.2857142857142857)</f>
        <v>0.2857142857</v>
      </c>
      <c r="X10" s="199">
        <f>IFERROR(__xludf.DUMMYFUNCTION("""COMPUTED_VALUE"""),-0.4613943113608513)</f>
        <v>-0.4613943114</v>
      </c>
      <c r="Y10" s="49">
        <f>IFERROR(__xludf.DUMMYFUNCTION("""COMPUTED_VALUE"""),13.714285714285714)</f>
        <v>13.71428571</v>
      </c>
      <c r="Z10" s="49">
        <f>IFERROR(__xludf.DUMMYFUNCTION("""COMPUTED_VALUE"""),31.714285714285715)</f>
        <v>31.71428571</v>
      </c>
      <c r="AA10" s="49">
        <f>IFERROR(__xludf.DUMMYFUNCTION("""COMPUTED_VALUE"""),45.42857142857143)</f>
        <v>45.42857143</v>
      </c>
      <c r="AB10" s="200">
        <f>IFERROR(__xludf.DUMMYFUNCTION("""COMPUTED_VALUE"""),1.5241222758634925)</f>
        <v>1.524122276</v>
      </c>
      <c r="AC10" s="15">
        <f>IFERROR(__xludf.DUMMYFUNCTION("""COMPUTED_VALUE"""),20.0)</f>
        <v>20</v>
      </c>
      <c r="AD10" s="15">
        <f>IFERROR(__xludf.DUMMYFUNCTION("""COMPUTED_VALUE"""),0.8085147243311703)</f>
        <v>0.8085147243</v>
      </c>
      <c r="AE10" s="49">
        <f>IFERROR(__xludf.DUMMYFUNCTION("""COMPUTED_VALUE"""),19.285714285714285)</f>
        <v>19.28571429</v>
      </c>
      <c r="AF10" s="49">
        <f>IFERROR(__xludf.DUMMYFUNCTION("""COMPUTED_VALUE"""),52.85714285714286)</f>
        <v>52.85714286</v>
      </c>
      <c r="AG10" s="201">
        <f>IFERROR(__xludf.DUMMYFUNCTION("""COMPUTED_VALUE"""),6.2786781870684045)</f>
        <v>6.278678187</v>
      </c>
      <c r="AH10" s="201">
        <f>IFERROR(__xludf.DUMMYFUNCTION("""COMPUTED_VALUE"""),6.25315789677052)</f>
        <v>6.253157897</v>
      </c>
      <c r="AI10" s="15" t="str">
        <f>IFERROR(__xludf.DUMMYFUNCTION("""COMPUTED_VALUE"""),"Struggled with climb, had to realign twice and still bareky made it up. Quick shots but shaky intake")</f>
        <v>Struggled with climb, had to realign twice and still bareky made it up. Quick shots but shaky intake</v>
      </c>
    </row>
    <row r="11">
      <c r="A11" s="15">
        <f>IFERROR(__xludf.DUMMYFUNCTION("""COMPUTED_VALUE"""),1987.0)</f>
        <v>1987</v>
      </c>
      <c r="B11" s="62">
        <f>IFERROR(__xludf.DUMMYFUNCTION("""COMPUTED_VALUE"""),0.5)</f>
        <v>0.5</v>
      </c>
      <c r="C11" s="49">
        <f>IFERROR(__xludf.DUMMYFUNCTION("""COMPUTED_VALUE"""),0.0)</f>
        <v>0</v>
      </c>
      <c r="D11" s="49">
        <f>IFERROR(__xludf.DUMMYFUNCTION("""COMPUTED_VALUE"""),1.875)</f>
        <v>1.875</v>
      </c>
      <c r="E11" s="49">
        <f>IFERROR(__xludf.DUMMYFUNCTION("""COMPUTED_VALUE"""),-0.11994663328978111)</f>
        <v>-0.1199466333</v>
      </c>
      <c r="F11" s="49">
        <f>IFERROR(__xludf.DUMMYFUNCTION("""COMPUTED_VALUE"""),2.0)</f>
        <v>2</v>
      </c>
      <c r="G11" s="196">
        <f>IFERROR(__xludf.DUMMYFUNCTION("""COMPUTED_VALUE"""),0.9375)</f>
        <v>0.9375</v>
      </c>
      <c r="H11" s="196">
        <f>IFERROR(__xludf.DUMMYFUNCTION("""COMPUTED_VALUE"""),0.9230769230769231)</f>
        <v>0.9230769231</v>
      </c>
      <c r="I11" s="196">
        <f>IFERROR(__xludf.DUMMYFUNCTION("""COMPUTED_VALUE"""),0.875)</f>
        <v>0.875</v>
      </c>
      <c r="J11" s="196">
        <f>IFERROR(__xludf.DUMMYFUNCTION("""COMPUTED_VALUE"""),0.8990384615384616)</f>
        <v>0.8990384615</v>
      </c>
      <c r="K11" s="49">
        <f>IFERROR(__xludf.DUMMYFUNCTION("""COMPUTED_VALUE"""),0.337568758319394)</f>
        <v>0.3375687583</v>
      </c>
      <c r="L11" s="49">
        <f>IFERROR(__xludf.DUMMYFUNCTION("""COMPUTED_VALUE"""),0.0)</f>
        <v>0</v>
      </c>
      <c r="M11" s="49">
        <f>IFERROR(__xludf.DUMMYFUNCTION("""COMPUTED_VALUE"""),9.625)</f>
        <v>9.625</v>
      </c>
      <c r="N11" s="197">
        <f>IFERROR(__xludf.DUMMYFUNCTION("""COMPUTED_VALUE"""),0.09342990072700669)</f>
        <v>0.09342990073</v>
      </c>
      <c r="O11" s="196">
        <f>IFERROR(__xludf.DUMMYFUNCTION("""COMPUTED_VALUE"""),0.9108910891089109)</f>
        <v>0.9108910891</v>
      </c>
      <c r="P11" s="49">
        <f>IFERROR(__xludf.DUMMYFUNCTION("""COMPUTED_VALUE"""),4.5)</f>
        <v>4.5</v>
      </c>
      <c r="Q11" s="49">
        <f>IFERROR(__xludf.DUMMYFUNCTION("""COMPUTED_VALUE"""),7.2)</f>
        <v>7.2</v>
      </c>
      <c r="R11" s="198">
        <f>IFERROR(__xludf.DUMMYFUNCTION("""COMPUTED_VALUE"""),-0.701367978186711)</f>
        <v>-0.7013679782</v>
      </c>
      <c r="S11" s="196">
        <f>IFERROR(__xludf.DUMMYFUNCTION("""COMPUTED_VALUE"""),0.6)</f>
        <v>0.6</v>
      </c>
      <c r="T11" s="196">
        <f>IFERROR(__xludf.DUMMYFUNCTION("""COMPUTED_VALUE"""),0.0)</f>
        <v>0</v>
      </c>
      <c r="U11" s="196">
        <f>IFERROR(__xludf.DUMMYFUNCTION("""COMPUTED_VALUE"""),0.125)</f>
        <v>0.125</v>
      </c>
      <c r="V11" s="196">
        <f>IFERROR(__xludf.DUMMYFUNCTION("""COMPUTED_VALUE"""),0.0)</f>
        <v>0</v>
      </c>
      <c r="W11" s="196">
        <f>IFERROR(__xludf.DUMMYFUNCTION("""COMPUTED_VALUE"""),0.25)</f>
        <v>0.25</v>
      </c>
      <c r="X11" s="199">
        <f>IFERROR(__xludf.DUMMYFUNCTION("""COMPUTED_VALUE"""),-0.5744850021454685)</f>
        <v>-0.5744850021</v>
      </c>
      <c r="Y11" s="49">
        <f>IFERROR(__xludf.DUMMYFUNCTION("""COMPUTED_VALUE"""),7.5)</f>
        <v>7.5</v>
      </c>
      <c r="Z11" s="49">
        <f>IFERROR(__xludf.DUMMYFUNCTION("""COMPUTED_VALUE"""),19.25)</f>
        <v>19.25</v>
      </c>
      <c r="AA11" s="49">
        <f>IFERROR(__xludf.DUMMYFUNCTION("""COMPUTED_VALUE"""),26.75)</f>
        <v>26.75</v>
      </c>
      <c r="AB11" s="200">
        <f>IFERROR(__xludf.DUMMYFUNCTION("""COMPUTED_VALUE"""),0.05820789610012185)</f>
        <v>0.0582078961</v>
      </c>
      <c r="AC11" s="15">
        <f>IFERROR(__xludf.DUMMYFUNCTION("""COMPUTED_VALUE"""),14.0)</f>
        <v>14</v>
      </c>
      <c r="AD11" s="15">
        <f>IFERROR(__xludf.DUMMYFUNCTION("""COMPUTED_VALUE"""),-0.20830728705475557)</f>
        <v>-0.2083072871</v>
      </c>
      <c r="AE11" s="49">
        <f>IFERROR(__xludf.DUMMYFUNCTION("""COMPUTED_VALUE"""),11.5)</f>
        <v>11.5</v>
      </c>
      <c r="AF11" s="49">
        <f>IFERROR(__xludf.DUMMYFUNCTION("""COMPUTED_VALUE"""),31.25)</f>
        <v>31.25</v>
      </c>
      <c r="AG11" s="201">
        <f>IFERROR(__xludf.DUMMYFUNCTION("""COMPUTED_VALUE"""),-2.395920739301186)</f>
        <v>-2.395920739</v>
      </c>
      <c r="AH11" s="201">
        <f>IFERROR(__xludf.DUMMYFUNCTION("""COMPUTED_VALUE"""),-3.0972887174878965)</f>
        <v>-3.097288717</v>
      </c>
      <c r="AI11" s="15" t="str">
        <f>IFERROR(__xludf.DUMMYFUNCTION("""COMPUTED_VALUE"""),"2 black semitransparent pieces fell off during the match., had plenty of time to climb but must have grabbed wrong because it just gave up, minor brownout at the end, but normal otherwise, switched to defense. intake error maybe")</f>
        <v>2 black semitransparent pieces fell off during the match., had plenty of time to climb but must have grabbed wrong because it just gave up, minor brownout at the end, but normal otherwise, switched to defense. intake error maybe</v>
      </c>
    </row>
    <row r="12">
      <c r="A12" s="15">
        <f>IFERROR(__xludf.DUMMYFUNCTION("""COMPUTED_VALUE"""),3940.0)</f>
        <v>3940</v>
      </c>
      <c r="B12" s="62">
        <f>IFERROR(__xludf.DUMMYFUNCTION("""COMPUTED_VALUE"""),0.29)</f>
        <v>0.29</v>
      </c>
      <c r="C12" s="49">
        <f>IFERROR(__xludf.DUMMYFUNCTION("""COMPUTED_VALUE"""),0.0)</f>
        <v>0</v>
      </c>
      <c r="D12" s="49">
        <f>IFERROR(__xludf.DUMMYFUNCTION("""COMPUTED_VALUE"""),1.2857142857142858)</f>
        <v>1.285714286</v>
      </c>
      <c r="E12" s="49">
        <f>IFERROR(__xludf.DUMMYFUNCTION("""COMPUTED_VALUE"""),-0.7921004085174232)</f>
        <v>-0.7921004085</v>
      </c>
      <c r="F12" s="49">
        <f>IFERROR(__xludf.DUMMYFUNCTION("""COMPUTED_VALUE"""),1.4285714285714286)</f>
        <v>1.428571429</v>
      </c>
      <c r="G12" s="196">
        <f>IFERROR(__xludf.DUMMYFUNCTION("""COMPUTED_VALUE"""),0.9)</f>
        <v>0.9</v>
      </c>
      <c r="H12" s="196">
        <f>IFERROR(__xludf.DUMMYFUNCTION("""COMPUTED_VALUE"""),0.9)</f>
        <v>0.9</v>
      </c>
      <c r="I12" s="196">
        <f>IFERROR(__xludf.DUMMYFUNCTION("""COMPUTED_VALUE"""),1.0)</f>
        <v>1</v>
      </c>
      <c r="J12" s="196">
        <f>IFERROR(__xludf.DUMMYFUNCTION("""COMPUTED_VALUE"""),0.95)</f>
        <v>0.95</v>
      </c>
      <c r="K12" s="49">
        <f>IFERROR(__xludf.DUMMYFUNCTION("""COMPUTED_VALUE"""),0.7101898431324614)</f>
        <v>0.7101898431</v>
      </c>
      <c r="L12" s="49">
        <f>IFERROR(__xludf.DUMMYFUNCTION("""COMPUTED_VALUE"""),0.0)</f>
        <v>0</v>
      </c>
      <c r="M12" s="49">
        <f>IFERROR(__xludf.DUMMYFUNCTION("""COMPUTED_VALUE"""),5.428571428571429)</f>
        <v>5.428571429</v>
      </c>
      <c r="N12" s="197">
        <f>IFERROR(__xludf.DUMMYFUNCTION("""COMPUTED_VALUE"""),-0.8528939066964993)</f>
        <v>-0.8528939067</v>
      </c>
      <c r="O12" s="196">
        <f>IFERROR(__xludf.DUMMYFUNCTION("""COMPUTED_VALUE"""),0.9038461538461539)</f>
        <v>0.9038461538</v>
      </c>
      <c r="P12" s="49">
        <f>IFERROR(__xludf.DUMMYFUNCTION("""COMPUTED_VALUE"""),13.571428571428571)</f>
        <v>13.57142857</v>
      </c>
      <c r="Q12" s="49">
        <f>IFERROR(__xludf.DUMMYFUNCTION("""COMPUTED_VALUE"""),15.0)</f>
        <v>15</v>
      </c>
      <c r="R12" s="198">
        <f>IFERROR(__xludf.DUMMYFUNCTION("""COMPUTED_VALUE"""),0.9460107610423022)</f>
        <v>0.946010761</v>
      </c>
      <c r="S12" s="196">
        <f>IFERROR(__xludf.DUMMYFUNCTION("""COMPUTED_VALUE"""),1.0)</f>
        <v>1</v>
      </c>
      <c r="T12" s="196">
        <f>IFERROR(__xludf.DUMMYFUNCTION("""COMPUTED_VALUE"""),0.0)</f>
        <v>0</v>
      </c>
      <c r="U12" s="196">
        <f>IFERROR(__xludf.DUMMYFUNCTION("""COMPUTED_VALUE"""),0.0)</f>
        <v>0</v>
      </c>
      <c r="V12" s="196">
        <f>IFERROR(__xludf.DUMMYFUNCTION("""COMPUTED_VALUE"""),0.2857142857142857)</f>
        <v>0.2857142857</v>
      </c>
      <c r="W12" s="196">
        <f>IFERROR(__xludf.DUMMYFUNCTION("""COMPUTED_VALUE"""),0.7142857142857143)</f>
        <v>0.7142857143</v>
      </c>
      <c r="X12" s="199">
        <f>IFERROR(__xludf.DUMMYFUNCTION("""COMPUTED_VALUE"""),0.8956939780545558)</f>
        <v>0.8956939781</v>
      </c>
      <c r="Y12" s="49">
        <f>IFERROR(__xludf.DUMMYFUNCTION("""COMPUTED_VALUE"""),5.142857142857143)</f>
        <v>5.142857143</v>
      </c>
      <c r="Z12" s="49">
        <f>IFERROR(__xludf.DUMMYFUNCTION("""COMPUTED_VALUE"""),10.857142857142858)</f>
        <v>10.85714286</v>
      </c>
      <c r="AA12" s="49">
        <f>IFERROR(__xludf.DUMMYFUNCTION("""COMPUTED_VALUE"""),16.0)</f>
        <v>16</v>
      </c>
      <c r="AB12" s="200">
        <f>IFERROR(__xludf.DUMMYFUNCTION("""COMPUTED_VALUE"""),-0.8428587410021335)</f>
        <v>-0.842858741</v>
      </c>
      <c r="AC12" s="15">
        <f>IFERROR(__xludf.DUMMYFUNCTION("""COMPUTED_VALUE"""),10.0)</f>
        <v>10</v>
      </c>
      <c r="AD12" s="15">
        <f>IFERROR(__xludf.DUMMYFUNCTION("""COMPUTED_VALUE"""),-0.8861886279787061)</f>
        <v>-0.886188628</v>
      </c>
      <c r="AE12" s="49">
        <f>IFERROR(__xludf.DUMMYFUNCTION("""COMPUTED_VALUE"""),6.714285714285714)</f>
        <v>6.714285714</v>
      </c>
      <c r="AF12" s="49">
        <f>IFERROR(__xludf.DUMMYFUNCTION("""COMPUTED_VALUE"""),29.571428571428573)</f>
        <v>29.57142857</v>
      </c>
      <c r="AG12" s="201">
        <f>IFERROR(__xludf.DUMMYFUNCTION("""COMPUTED_VALUE"""),1.0493625392334658)</f>
        <v>1.049362539</v>
      </c>
      <c r="AH12" s="201">
        <f>IFERROR(__xludf.DUMMYFUNCTION("""COMPUTED_VALUE"""),1.9953733002757676)</f>
        <v>1.9953733</v>
      </c>
      <c r="AI12" s="15" t="str">
        <f>IFERROR(__xludf.DUMMYFUNCTION("""COMPUTED_VALUE"""),"")</f>
        <v/>
      </c>
    </row>
    <row r="13">
      <c r="A13" s="15">
        <f>IFERROR(__xludf.DUMMYFUNCTION("""COMPUTED_VALUE"""),5484.0)</f>
        <v>5484</v>
      </c>
      <c r="B13" s="62">
        <f>IFERROR(__xludf.DUMMYFUNCTION("""COMPUTED_VALUE"""),0.5)</f>
        <v>0.5</v>
      </c>
      <c r="C13" s="49">
        <f>IFERROR(__xludf.DUMMYFUNCTION("""COMPUTED_VALUE"""),0.0)</f>
        <v>0</v>
      </c>
      <c r="D13" s="49">
        <f>IFERROR(__xludf.DUMMYFUNCTION("""COMPUTED_VALUE"""),1.875)</f>
        <v>1.875</v>
      </c>
      <c r="E13" s="49">
        <f>IFERROR(__xludf.DUMMYFUNCTION("""COMPUTED_VALUE"""),-0.11994663328978111)</f>
        <v>-0.1199466333</v>
      </c>
      <c r="F13" s="49">
        <f>IFERROR(__xludf.DUMMYFUNCTION("""COMPUTED_VALUE"""),1.875)</f>
        <v>1.875</v>
      </c>
      <c r="G13" s="196">
        <f>IFERROR(__xludf.DUMMYFUNCTION("""COMPUTED_VALUE"""),1.0)</f>
        <v>1</v>
      </c>
      <c r="H13" s="196">
        <f>IFERROR(__xludf.DUMMYFUNCTION("""COMPUTED_VALUE"""),1.0)</f>
        <v>1</v>
      </c>
      <c r="I13" s="196">
        <f>IFERROR(__xludf.DUMMYFUNCTION("""COMPUTED_VALUE"""),1.0)</f>
        <v>1</v>
      </c>
      <c r="J13" s="196">
        <f>IFERROR(__xludf.DUMMYFUNCTION("""COMPUTED_VALUE"""),1.0)</f>
        <v>1</v>
      </c>
      <c r="K13" s="49">
        <f>IFERROR(__xludf.DUMMYFUNCTION("""COMPUTED_VALUE"""),1.0757803414396225)</f>
        <v>1.075780341</v>
      </c>
      <c r="L13" s="49">
        <f>IFERROR(__xludf.DUMMYFUNCTION("""COMPUTED_VALUE"""),0.0)</f>
        <v>0</v>
      </c>
      <c r="M13" s="49">
        <f>IFERROR(__xludf.DUMMYFUNCTION("""COMPUTED_VALUE"""),2.5)</f>
        <v>2.5</v>
      </c>
      <c r="N13" s="197">
        <f>IFERROR(__xludf.DUMMYFUNCTION("""COMPUTED_VALUE"""),-1.513307116983542)</f>
        <v>-1.513307117</v>
      </c>
      <c r="O13" s="196">
        <f>IFERROR(__xludf.DUMMYFUNCTION("""COMPUTED_VALUE"""),0.8974358974358975)</f>
        <v>0.8974358974</v>
      </c>
      <c r="P13" s="49">
        <f>IFERROR(__xludf.DUMMYFUNCTION("""COMPUTED_VALUE"""),12.0)</f>
        <v>12</v>
      </c>
      <c r="Q13" s="49">
        <f>IFERROR(__xludf.DUMMYFUNCTION("""COMPUTED_VALUE"""),15.0)</f>
        <v>15</v>
      </c>
      <c r="R13" s="198">
        <f>IFERROR(__xludf.DUMMYFUNCTION("""COMPUTED_VALUE"""),0.9460107610423022)</f>
        <v>0.946010761</v>
      </c>
      <c r="S13" s="196">
        <f>IFERROR(__xludf.DUMMYFUNCTION("""COMPUTED_VALUE"""),1.0)</f>
        <v>1</v>
      </c>
      <c r="T13" s="196">
        <f>IFERROR(__xludf.DUMMYFUNCTION("""COMPUTED_VALUE"""),0.0)</f>
        <v>0</v>
      </c>
      <c r="U13" s="196">
        <f>IFERROR(__xludf.DUMMYFUNCTION("""COMPUTED_VALUE"""),0.125)</f>
        <v>0.125</v>
      </c>
      <c r="V13" s="196">
        <f>IFERROR(__xludf.DUMMYFUNCTION("""COMPUTED_VALUE"""),0.0)</f>
        <v>0</v>
      </c>
      <c r="W13" s="196">
        <f>IFERROR(__xludf.DUMMYFUNCTION("""COMPUTED_VALUE"""),0.75)</f>
        <v>0.75</v>
      </c>
      <c r="X13" s="199">
        <f>IFERROR(__xludf.DUMMYFUNCTION("""COMPUTED_VALUE"""),1.0087846688391728)</f>
        <v>1.008784669</v>
      </c>
      <c r="Y13" s="49">
        <f>IFERROR(__xludf.DUMMYFUNCTION("""COMPUTED_VALUE"""),7.5)</f>
        <v>7.5</v>
      </c>
      <c r="Z13" s="49">
        <f>IFERROR(__xludf.DUMMYFUNCTION("""COMPUTED_VALUE"""),5.0)</f>
        <v>5</v>
      </c>
      <c r="AA13" s="49">
        <f>IFERROR(__xludf.DUMMYFUNCTION("""COMPUTED_VALUE"""),12.5)</f>
        <v>12.5</v>
      </c>
      <c r="AB13" s="200">
        <f>IFERROR(__xludf.DUMMYFUNCTION("""COMPUTED_VALUE"""),-1.283305492720027)</f>
        <v>-1.283305493</v>
      </c>
      <c r="AC13" s="15">
        <f>IFERROR(__xludf.DUMMYFUNCTION("""COMPUTED_VALUE"""),7.0)</f>
        <v>7</v>
      </c>
      <c r="AD13" s="15">
        <f>IFERROR(__xludf.DUMMYFUNCTION("""COMPUTED_VALUE"""),-1.394599633671669)</f>
        <v>-1.394599634</v>
      </c>
      <c r="AE13" s="49">
        <f>IFERROR(__xludf.DUMMYFUNCTION("""COMPUTED_VALUE"""),4.375)</f>
        <v>4.375</v>
      </c>
      <c r="AF13" s="49">
        <f>IFERROR(__xludf.DUMMYFUNCTION("""COMPUTED_VALUE"""),24.5)</f>
        <v>24.5</v>
      </c>
      <c r="AG13" s="201">
        <f>IFERROR(__xludf.DUMMYFUNCTION("""COMPUTED_VALUE"""),-1.0746975990134637)</f>
        <v>-1.074697599</v>
      </c>
      <c r="AH13" s="201">
        <f>IFERROR(__xludf.DUMMYFUNCTION("""COMPUTED_VALUE"""),-0.12868683797116187)</f>
        <v>-0.128686838</v>
      </c>
      <c r="AI13" s="15" t="str">
        <f>IFERROR(__xludf.DUMMYFUNCTION("""COMPUTED_VALUE"""),"Played defense, defense held blue ball entire match. fell off during climb but reclimbed to middle rung")</f>
        <v>Played defense, defense held blue ball entire match. fell off during climb but reclimbed to middle rung</v>
      </c>
    </row>
    <row r="14">
      <c r="A14" s="15">
        <f>IFERROR(__xludf.DUMMYFUNCTION("""COMPUTED_VALUE"""),2056.0)</f>
        <v>2056</v>
      </c>
      <c r="B14" s="62">
        <f>IFERROR(__xludf.DUMMYFUNCTION("""COMPUTED_VALUE"""),0.88)</f>
        <v>0.88</v>
      </c>
      <c r="C14" s="49">
        <f>IFERROR(__xludf.DUMMYFUNCTION("""COMPUTED_VALUE"""),0.0)</f>
        <v>0</v>
      </c>
      <c r="D14" s="49">
        <f>IFERROR(__xludf.DUMMYFUNCTION("""COMPUTED_VALUE"""),4.0)</f>
        <v>4</v>
      </c>
      <c r="E14" s="49">
        <f>IFERROR(__xludf.DUMMYFUNCTION("""COMPUTED_VALUE"""),2.303880616773535)</f>
        <v>2.303880617</v>
      </c>
      <c r="F14" s="49">
        <f>IFERROR(__xludf.DUMMYFUNCTION("""COMPUTED_VALUE"""),4.0)</f>
        <v>4</v>
      </c>
      <c r="G14" s="196">
        <f>IFERROR(__xludf.DUMMYFUNCTION("""COMPUTED_VALUE"""),1.0)</f>
        <v>1</v>
      </c>
      <c r="H14" s="196">
        <f>IFERROR(__xludf.DUMMYFUNCTION("""COMPUTED_VALUE"""),1.0)</f>
        <v>1</v>
      </c>
      <c r="I14" s="196">
        <f>IFERROR(__xludf.DUMMYFUNCTION("""COMPUTED_VALUE"""),1.0)</f>
        <v>1</v>
      </c>
      <c r="J14" s="196">
        <f>IFERROR(__xludf.DUMMYFUNCTION("""COMPUTED_VALUE"""),1.0)</f>
        <v>1</v>
      </c>
      <c r="K14" s="49">
        <f>IFERROR(__xludf.DUMMYFUNCTION("""COMPUTED_VALUE"""),1.0757803414396225)</f>
        <v>1.075780341</v>
      </c>
      <c r="L14" s="49">
        <f>IFERROR(__xludf.DUMMYFUNCTION("""COMPUTED_VALUE"""),0.0)</f>
        <v>0</v>
      </c>
      <c r="M14" s="49">
        <f>IFERROR(__xludf.DUMMYFUNCTION("""COMPUTED_VALUE"""),15.25)</f>
        <v>15.25</v>
      </c>
      <c r="N14" s="197">
        <f>IFERROR(__xludf.DUMMYFUNCTION("""COMPUTED_VALUE"""),1.3619064936563872)</f>
        <v>1.361906494</v>
      </c>
      <c r="O14" s="196">
        <f>IFERROR(__xludf.DUMMYFUNCTION("""COMPUTED_VALUE"""),0.8901734104046243)</f>
        <v>0.8901734104</v>
      </c>
      <c r="P14" s="49">
        <f>IFERROR(__xludf.DUMMYFUNCTION("""COMPUTED_VALUE"""),7.625)</f>
        <v>7.625</v>
      </c>
      <c r="Q14" s="49">
        <f>IFERROR(__xludf.DUMMYFUNCTION("""COMPUTED_VALUE"""),12.2)</f>
        <v>12.2</v>
      </c>
      <c r="R14" s="198">
        <f>IFERROR(__xludf.DUMMYFUNCTION("""COMPUTED_VALUE"""),0.35464403413957934)</f>
        <v>0.3546440341</v>
      </c>
      <c r="S14" s="196">
        <f>IFERROR(__xludf.DUMMYFUNCTION("""COMPUTED_VALUE"""),1.0)</f>
        <v>1</v>
      </c>
      <c r="T14" s="196">
        <f>IFERROR(__xludf.DUMMYFUNCTION("""COMPUTED_VALUE"""),0.0)</f>
        <v>0</v>
      </c>
      <c r="U14" s="196">
        <f>IFERROR(__xludf.DUMMYFUNCTION("""COMPUTED_VALUE"""),0.125)</f>
        <v>0.125</v>
      </c>
      <c r="V14" s="196">
        <f>IFERROR(__xludf.DUMMYFUNCTION("""COMPUTED_VALUE"""),0.125)</f>
        <v>0.125</v>
      </c>
      <c r="W14" s="196">
        <f>IFERROR(__xludf.DUMMYFUNCTION("""COMPUTED_VALUE"""),0.375)</f>
        <v>0.375</v>
      </c>
      <c r="X14" s="199">
        <f>IFERROR(__xludf.DUMMYFUNCTION("""COMPUTED_VALUE"""),-0.17866758439930813)</f>
        <v>-0.1786675844</v>
      </c>
      <c r="Y14" s="49">
        <f>IFERROR(__xludf.DUMMYFUNCTION("""COMPUTED_VALUE"""),16.0)</f>
        <v>16</v>
      </c>
      <c r="Z14" s="49">
        <f>IFERROR(__xludf.DUMMYFUNCTION("""COMPUTED_VALUE"""),30.5)</f>
        <v>30.5</v>
      </c>
      <c r="AA14" s="49">
        <f>IFERROR(__xludf.DUMMYFUNCTION("""COMPUTED_VALUE"""),46.5)</f>
        <v>46.5</v>
      </c>
      <c r="AB14" s="200">
        <f>IFERROR(__xludf.DUMMYFUNCTION("""COMPUTED_VALUE"""),1.5173978979746698)</f>
        <v>1.517397898</v>
      </c>
      <c r="AC14" s="15">
        <f>IFERROR(__xludf.DUMMYFUNCTION("""COMPUTED_VALUE"""),26.0)</f>
        <v>26</v>
      </c>
      <c r="AD14" s="15">
        <f>IFERROR(__xludf.DUMMYFUNCTION("""COMPUTED_VALUE"""),1.8253367357170962)</f>
        <v>1.825336736</v>
      </c>
      <c r="AE14" s="49">
        <f>IFERROR(__xludf.DUMMYFUNCTION("""COMPUTED_VALUE"""),19.25)</f>
        <v>19.25</v>
      </c>
      <c r="AF14" s="49">
        <f>IFERROR(__xludf.DUMMYFUNCTION("""COMPUTED_VALUE"""),54.125)</f>
        <v>54.125</v>
      </c>
      <c r="AG14" s="201">
        <f>IFERROR(__xludf.DUMMYFUNCTION("""COMPUTED_VALUE"""),8.405412694684198)</f>
        <v>8.405412695</v>
      </c>
      <c r="AH14" s="201">
        <f>IFERROR(__xludf.DUMMYFUNCTION("""COMPUTED_VALUE"""),8.760056728823777)</f>
        <v>8.760056729</v>
      </c>
      <c r="AI14" s="15" t="str">
        <f>IFERROR(__xludf.DUMMYFUNCTION("""COMPUTED_VALUE"""),"very good scorer. shoots 3 ball bursts, move and shoot during auto")</f>
        <v>very good scorer. shoots 3 ball bursts, move and shoot during auto</v>
      </c>
    </row>
    <row r="15">
      <c r="A15" s="15">
        <f>IFERROR(__xludf.DUMMYFUNCTION("""COMPUTED_VALUE"""),118.0)</f>
        <v>118</v>
      </c>
      <c r="B15" s="62">
        <f>IFERROR(__xludf.DUMMYFUNCTION("""COMPUTED_VALUE"""),0.75)</f>
        <v>0.75</v>
      </c>
      <c r="C15" s="49">
        <f>IFERROR(__xludf.DUMMYFUNCTION("""COMPUTED_VALUE"""),0.0)</f>
        <v>0</v>
      </c>
      <c r="D15" s="49">
        <f>IFERROR(__xludf.DUMMYFUNCTION("""COMPUTED_VALUE"""),1.75)</f>
        <v>1.75</v>
      </c>
      <c r="E15" s="49">
        <f>IFERROR(__xludf.DUMMYFUNCTION("""COMPUTED_VALUE"""),-0.26252470682291734)</f>
        <v>-0.2625247068</v>
      </c>
      <c r="F15" s="49">
        <f>IFERROR(__xludf.DUMMYFUNCTION("""COMPUTED_VALUE"""),2.125)</f>
        <v>2.125</v>
      </c>
      <c r="G15" s="196">
        <f>IFERROR(__xludf.DUMMYFUNCTION("""COMPUTED_VALUE"""),0.8235294117647058)</f>
        <v>0.8235294118</v>
      </c>
      <c r="H15" s="196">
        <f>IFERROR(__xludf.DUMMYFUNCTION("""COMPUTED_VALUE"""),0.5)</f>
        <v>0.5</v>
      </c>
      <c r="I15" s="196">
        <f>IFERROR(__xludf.DUMMYFUNCTION("""COMPUTED_VALUE"""),0.625)</f>
        <v>0.625</v>
      </c>
      <c r="J15" s="196">
        <f>IFERROR(__xludf.DUMMYFUNCTION("""COMPUTED_VALUE"""),0.5625)</f>
        <v>0.5625</v>
      </c>
      <c r="K15" s="49">
        <f>IFERROR(__xludf.DUMMYFUNCTION("""COMPUTED_VALUE"""),-2.1231365187480358)</f>
        <v>-2.123136519</v>
      </c>
      <c r="L15" s="49">
        <f>IFERROR(__xludf.DUMMYFUNCTION("""COMPUTED_VALUE"""),0.0)</f>
        <v>0</v>
      </c>
      <c r="M15" s="49">
        <f>IFERROR(__xludf.DUMMYFUNCTION("""COMPUTED_VALUE"""),11.375)</f>
        <v>11.375</v>
      </c>
      <c r="N15" s="197">
        <f>IFERROR(__xludf.DUMMYFUNCTION("""COMPUTED_VALUE"""),0.4880670629717029)</f>
        <v>0.488067063</v>
      </c>
      <c r="O15" s="196">
        <f>IFERROR(__xludf.DUMMYFUNCTION("""COMPUTED_VALUE"""),0.8898305084745762)</f>
        <v>0.8898305085</v>
      </c>
      <c r="P15" s="49">
        <f>IFERROR(__xludf.DUMMYFUNCTION("""COMPUTED_VALUE"""),11.25)</f>
        <v>11.25</v>
      </c>
      <c r="Q15" s="49">
        <f>IFERROR(__xludf.DUMMYFUNCTION("""COMPUTED_VALUE"""),15.0)</f>
        <v>15</v>
      </c>
      <c r="R15" s="198">
        <f>IFERROR(__xludf.DUMMYFUNCTION("""COMPUTED_VALUE"""),0.9460107610423022)</f>
        <v>0.946010761</v>
      </c>
      <c r="S15" s="196">
        <f>IFERROR(__xludf.DUMMYFUNCTION("""COMPUTED_VALUE"""),0.8571428571428571)</f>
        <v>0.8571428571</v>
      </c>
      <c r="T15" s="196">
        <f>IFERROR(__xludf.DUMMYFUNCTION("""COMPUTED_VALUE"""),0.0)</f>
        <v>0</v>
      </c>
      <c r="U15" s="196">
        <f>IFERROR(__xludf.DUMMYFUNCTION("""COMPUTED_VALUE"""),0.0)</f>
        <v>0</v>
      </c>
      <c r="V15" s="196">
        <f>IFERROR(__xludf.DUMMYFUNCTION("""COMPUTED_VALUE"""),0.0)</f>
        <v>0</v>
      </c>
      <c r="W15" s="196">
        <f>IFERROR(__xludf.DUMMYFUNCTION("""COMPUTED_VALUE"""),0.75)</f>
        <v>0.75</v>
      </c>
      <c r="X15" s="199">
        <f>IFERROR(__xludf.DUMMYFUNCTION("""COMPUTED_VALUE"""),1.0087846688391728)</f>
        <v>1.008784669</v>
      </c>
      <c r="Y15" s="49">
        <f>IFERROR(__xludf.DUMMYFUNCTION("""COMPUTED_VALUE"""),7.0)</f>
        <v>7</v>
      </c>
      <c r="Z15" s="49">
        <f>IFERROR(__xludf.DUMMYFUNCTION("""COMPUTED_VALUE"""),22.75)</f>
        <v>22.75</v>
      </c>
      <c r="AA15" s="49">
        <f>IFERROR(__xludf.DUMMYFUNCTION("""COMPUTED_VALUE"""),29.75)</f>
        <v>29.75</v>
      </c>
      <c r="AB15" s="200">
        <f>IFERROR(__xludf.DUMMYFUNCTION("""COMPUTED_VALUE"""),0.36416709004155934)</f>
        <v>0.36416709</v>
      </c>
      <c r="AC15" s="15">
        <f>IFERROR(__xludf.DUMMYFUNCTION("""COMPUTED_VALUE"""),21.0)</f>
        <v>21</v>
      </c>
      <c r="AD15" s="15">
        <f>IFERROR(__xludf.DUMMYFUNCTION("""COMPUTED_VALUE"""),0.977985059562158)</f>
        <v>0.9779850596</v>
      </c>
      <c r="AE15" s="49">
        <f>IFERROR(__xludf.DUMMYFUNCTION("""COMPUTED_VALUE"""),13.125)</f>
        <v>13.125</v>
      </c>
      <c r="AF15" s="49">
        <f>IFERROR(__xludf.DUMMYFUNCTION("""COMPUTED_VALUE"""),41.0)</f>
        <v>41</v>
      </c>
      <c r="AG15" s="201">
        <f>IFERROR(__xludf.DUMMYFUNCTION("""COMPUTED_VALUE"""),4.10309277389844)</f>
        <v>4.103092774</v>
      </c>
      <c r="AH15" s="201">
        <f>IFERROR(__xludf.DUMMYFUNCTION("""COMPUTED_VALUE"""),5.049103534940741)</f>
        <v>5.049103535</v>
      </c>
      <c r="AI15" s="15" t="str">
        <f>IFERROR(__xludf.DUMMYFUNCTION("""COMPUTED_VALUE"""),"very fast climb, kind of shaky whdn moving around the field")</f>
        <v>very fast climb, kind of shaky whdn moving around the field</v>
      </c>
    </row>
    <row r="16">
      <c r="A16" s="15">
        <f>IFERROR(__xludf.DUMMYFUNCTION("""COMPUTED_VALUE"""),2468.0)</f>
        <v>2468</v>
      </c>
      <c r="B16" s="62">
        <f>IFERROR(__xludf.DUMMYFUNCTION("""COMPUTED_VALUE"""),0.71)</f>
        <v>0.71</v>
      </c>
      <c r="C16" s="49">
        <f>IFERROR(__xludf.DUMMYFUNCTION("""COMPUTED_VALUE"""),0.0)</f>
        <v>0</v>
      </c>
      <c r="D16" s="49">
        <f>IFERROR(__xludf.DUMMYFUNCTION("""COMPUTED_VALUE"""),1.4285714285714286)</f>
        <v>1.428571429</v>
      </c>
      <c r="E16" s="49">
        <f>IFERROR(__xludf.DUMMYFUNCTION("""COMPUTED_VALUE"""),-0.6291540387652677)</f>
        <v>-0.6291540388</v>
      </c>
      <c r="F16" s="49">
        <f>IFERROR(__xludf.DUMMYFUNCTION("""COMPUTED_VALUE"""),1.8571428571428572)</f>
        <v>1.857142857</v>
      </c>
      <c r="G16" s="196">
        <f>IFERROR(__xludf.DUMMYFUNCTION("""COMPUTED_VALUE"""),0.7692307692307693)</f>
        <v>0.7692307692</v>
      </c>
      <c r="H16" s="196">
        <f>IFERROR(__xludf.DUMMYFUNCTION("""COMPUTED_VALUE"""),0.8333333333333334)</f>
        <v>0.8333333333</v>
      </c>
      <c r="I16" s="196">
        <f>IFERROR(__xludf.DUMMYFUNCTION("""COMPUTED_VALUE"""),0.8571428571428571)</f>
        <v>0.8571428571</v>
      </c>
      <c r="J16" s="196">
        <f>IFERROR(__xludf.DUMMYFUNCTION("""COMPUTED_VALUE"""),0.8452380952380952)</f>
        <v>0.8452380952</v>
      </c>
      <c r="K16" s="49">
        <f>IFERROR(__xludf.DUMMYFUNCTION("""COMPUTED_VALUE"""),-0.05580929617778037)</f>
        <v>-0.05580929618</v>
      </c>
      <c r="L16" s="49">
        <f>IFERROR(__xludf.DUMMYFUNCTION("""COMPUTED_VALUE"""),0.0)</f>
        <v>0</v>
      </c>
      <c r="M16" s="49">
        <f>IFERROR(__xludf.DUMMYFUNCTION("""COMPUTED_VALUE"""),8.714285714285714)</f>
        <v>8.714285714</v>
      </c>
      <c r="N16" s="197">
        <f>IFERROR(__xludf.DUMMYFUNCTION("""COMPUTED_VALUE"""),-0.11194250003298843)</f>
        <v>-0.1119425</v>
      </c>
      <c r="O16" s="196">
        <f>IFERROR(__xludf.DUMMYFUNCTION("""COMPUTED_VALUE"""),0.8875)</f>
        <v>0.8875</v>
      </c>
      <c r="P16" s="49">
        <f>IFERROR(__xludf.DUMMYFUNCTION("""COMPUTED_VALUE"""),10.571428571428571)</f>
        <v>10.57142857</v>
      </c>
      <c r="Q16" s="49">
        <f>IFERROR(__xludf.DUMMYFUNCTION("""COMPUTED_VALUE"""),14.0)</f>
        <v>14</v>
      </c>
      <c r="R16" s="198">
        <f>IFERROR(__xludf.DUMMYFUNCTION("""COMPUTED_VALUE"""),0.7348083585770441)</f>
        <v>0.7348083586</v>
      </c>
      <c r="S16" s="196">
        <f>IFERROR(__xludf.DUMMYFUNCTION("""COMPUTED_VALUE"""),1.0)</f>
        <v>1</v>
      </c>
      <c r="T16" s="196">
        <f>IFERROR(__xludf.DUMMYFUNCTION("""COMPUTED_VALUE"""),0.14285714285714285)</f>
        <v>0.1428571429</v>
      </c>
      <c r="U16" s="196">
        <f>IFERROR(__xludf.DUMMYFUNCTION("""COMPUTED_VALUE"""),0.0)</f>
        <v>0</v>
      </c>
      <c r="V16" s="196">
        <f>IFERROR(__xludf.DUMMYFUNCTION("""COMPUTED_VALUE"""),0.14285714285714285)</f>
        <v>0.1428571429</v>
      </c>
      <c r="W16" s="196">
        <f>IFERROR(__xludf.DUMMYFUNCTION("""COMPUTED_VALUE"""),0.5714285714285714)</f>
        <v>0.5714285714</v>
      </c>
      <c r="X16" s="199">
        <f>IFERROR(__xludf.DUMMYFUNCTION("""COMPUTED_VALUE"""),0.4433312149160866)</f>
        <v>0.4433312149</v>
      </c>
      <c r="Y16" s="49">
        <f>IFERROR(__xludf.DUMMYFUNCTION("""COMPUTED_VALUE"""),5.714285714285714)</f>
        <v>5.714285714</v>
      </c>
      <c r="Z16" s="49">
        <f>IFERROR(__xludf.DUMMYFUNCTION("""COMPUTED_VALUE"""),17.428571428571427)</f>
        <v>17.42857143</v>
      </c>
      <c r="AA16" s="49">
        <f>IFERROR(__xludf.DUMMYFUNCTION("""COMPUTED_VALUE"""),23.142857142857142)</f>
        <v>23.14285714</v>
      </c>
      <c r="AB16" s="200">
        <f>IFERROR(__xludf.DUMMYFUNCTION("""COMPUTED_VALUE"""),-0.1973184636751447)</f>
        <v>-0.1973184637</v>
      </c>
      <c r="AC16" s="15">
        <f>IFERROR(__xludf.DUMMYFUNCTION("""COMPUTED_VALUE"""),13.0)</f>
        <v>13</v>
      </c>
      <c r="AD16" s="15">
        <f>IFERROR(__xludf.DUMMYFUNCTION("""COMPUTED_VALUE"""),-0.3777776222857432)</f>
        <v>-0.3777776223</v>
      </c>
      <c r="AE16" s="49">
        <f>IFERROR(__xludf.DUMMYFUNCTION("""COMPUTED_VALUE"""),10.142857142857142)</f>
        <v>10.14285714</v>
      </c>
      <c r="AF16" s="49">
        <f>IFERROR(__xludf.DUMMYFUNCTION("""COMPUTED_VALUE"""),33.71428571428571)</f>
        <v>33.71428571</v>
      </c>
      <c r="AG16" s="201">
        <f>IFERROR(__xludf.DUMMYFUNCTION("""COMPUTED_VALUE"""),2.1698190157456874)</f>
        <v>2.169819016</v>
      </c>
      <c r="AH16" s="201">
        <f>IFERROR(__xludf.DUMMYFUNCTION("""COMPUTED_VALUE"""),2.9046273743227315)</f>
        <v>2.904627374</v>
      </c>
      <c r="AI16" s="15" t="str">
        <f>IFERROR(__xludf.DUMMYFUNCTION("""COMPUTED_VALUE"""),"didnt really try to pick up more than one ball at a time, also only really shot one at a time, they were ballin")</f>
        <v>didnt really try to pick up more than one ball at a time, also only really shot one at a time, they were ballin</v>
      </c>
    </row>
    <row r="17">
      <c r="A17" s="15">
        <f>IFERROR(__xludf.DUMMYFUNCTION("""COMPUTED_VALUE"""),1339.0)</f>
        <v>1339</v>
      </c>
      <c r="B17" s="62">
        <f>IFERROR(__xludf.DUMMYFUNCTION("""COMPUTED_VALUE"""),0.71)</f>
        <v>0.71</v>
      </c>
      <c r="C17" s="49">
        <f>IFERROR(__xludf.DUMMYFUNCTION("""COMPUTED_VALUE"""),0.0)</f>
        <v>0</v>
      </c>
      <c r="D17" s="49">
        <f>IFERROR(__xludf.DUMMYFUNCTION("""COMPUTED_VALUE"""),2.0)</f>
        <v>2</v>
      </c>
      <c r="E17" s="49">
        <f>IFERROR(__xludf.DUMMYFUNCTION("""COMPUTED_VALUE"""),0.022631440243355134)</f>
        <v>0.02263144024</v>
      </c>
      <c r="F17" s="49">
        <f>IFERROR(__xludf.DUMMYFUNCTION("""COMPUTED_VALUE"""),2.0)</f>
        <v>2</v>
      </c>
      <c r="G17" s="196">
        <f>IFERROR(__xludf.DUMMYFUNCTION("""COMPUTED_VALUE"""),1.0)</f>
        <v>1</v>
      </c>
      <c r="H17" s="196">
        <f>IFERROR(__xludf.DUMMYFUNCTION("""COMPUTED_VALUE"""),1.0)</f>
        <v>1</v>
      </c>
      <c r="I17" s="196">
        <f>IFERROR(__xludf.DUMMYFUNCTION("""COMPUTED_VALUE"""),0.8571428571428571)</f>
        <v>0.8571428571</v>
      </c>
      <c r="J17" s="196">
        <f>IFERROR(__xludf.DUMMYFUNCTION("""COMPUTED_VALUE"""),0.9285714285714286)</f>
        <v>0.9285714286</v>
      </c>
      <c r="K17" s="49">
        <f>IFERROR(__xludf.DUMMYFUNCTION("""COMPUTED_VALUE"""),0.5535082010008215)</f>
        <v>0.553508201</v>
      </c>
      <c r="L17" s="49">
        <f>IFERROR(__xludf.DUMMYFUNCTION("""COMPUTED_VALUE"""),0.0)</f>
        <v>0</v>
      </c>
      <c r="M17" s="49">
        <f>IFERROR(__xludf.DUMMYFUNCTION("""COMPUTED_VALUE"""),13.857142857142858)</f>
        <v>13.85714286</v>
      </c>
      <c r="N17" s="197">
        <f>IFERROR(__xludf.DUMMYFUNCTION("""COMPUTED_VALUE"""),1.0478075277881598)</f>
        <v>1.047807528</v>
      </c>
      <c r="O17" s="196">
        <f>IFERROR(__xludf.DUMMYFUNCTION("""COMPUTED_VALUE"""),0.8809523809523809)</f>
        <v>0.880952381</v>
      </c>
      <c r="P17" s="49">
        <f>IFERROR(__xludf.DUMMYFUNCTION("""COMPUTED_VALUE"""),15.0)</f>
        <v>15</v>
      </c>
      <c r="Q17" s="49">
        <f>IFERROR(__xludf.DUMMYFUNCTION("""COMPUTED_VALUE"""),15.0)</f>
        <v>15</v>
      </c>
      <c r="R17" s="198">
        <f>IFERROR(__xludf.DUMMYFUNCTION("""COMPUTED_VALUE"""),0.9460107610423022)</f>
        <v>0.946010761</v>
      </c>
      <c r="S17" s="196">
        <f>IFERROR(__xludf.DUMMYFUNCTION("""COMPUTED_VALUE"""),1.0)</f>
        <v>1</v>
      </c>
      <c r="T17" s="196">
        <f>IFERROR(__xludf.DUMMYFUNCTION("""COMPUTED_VALUE"""),0.0)</f>
        <v>0</v>
      </c>
      <c r="U17" s="196">
        <f>IFERROR(__xludf.DUMMYFUNCTION("""COMPUTED_VALUE"""),0.0)</f>
        <v>0</v>
      </c>
      <c r="V17" s="196">
        <f>IFERROR(__xludf.DUMMYFUNCTION("""COMPUTED_VALUE"""),0.0)</f>
        <v>0</v>
      </c>
      <c r="W17" s="196">
        <f>IFERROR(__xludf.DUMMYFUNCTION("""COMPUTED_VALUE"""),1.0)</f>
        <v>1</v>
      </c>
      <c r="X17" s="199">
        <f>IFERROR(__xludf.DUMMYFUNCTION("""COMPUTED_VALUE"""),1.800419504331494)</f>
        <v>1.800419504</v>
      </c>
      <c r="Y17" s="49">
        <f>IFERROR(__xludf.DUMMYFUNCTION("""COMPUTED_VALUE"""),8.0)</f>
        <v>8</v>
      </c>
      <c r="Z17" s="49">
        <f>IFERROR(__xludf.DUMMYFUNCTION("""COMPUTED_VALUE"""),27.714285714285715)</f>
        <v>27.71428571</v>
      </c>
      <c r="AA17" s="49">
        <f>IFERROR(__xludf.DUMMYFUNCTION("""COMPUTED_VALUE"""),35.714285714285715)</f>
        <v>35.71428571</v>
      </c>
      <c r="AB17" s="200">
        <f>IFERROR(__xludf.DUMMYFUNCTION("""COMPUTED_VALUE"""),0.8785819985365038)</f>
        <v>0.8785819985</v>
      </c>
      <c r="AC17" s="15">
        <f>IFERROR(__xludf.DUMMYFUNCTION("""COMPUTED_VALUE"""),19.0)</f>
        <v>19</v>
      </c>
      <c r="AD17" s="15">
        <f>IFERROR(__xludf.DUMMYFUNCTION("""COMPUTED_VALUE"""),0.6390443891001827)</f>
        <v>0.6390443891</v>
      </c>
      <c r="AE17" s="49">
        <f>IFERROR(__xludf.DUMMYFUNCTION("""COMPUTED_VALUE"""),15.857142857142858)</f>
        <v>15.85714286</v>
      </c>
      <c r="AF17" s="49">
        <f>IFERROR(__xludf.DUMMYFUNCTION("""COMPUTED_VALUE"""),50.714285714285715)</f>
        <v>50.71428571</v>
      </c>
      <c r="AG17" s="201">
        <f>IFERROR(__xludf.DUMMYFUNCTION("""COMPUTED_VALUE"""),8.120018217634692)</f>
        <v>8.120018218</v>
      </c>
      <c r="AH17" s="201">
        <f>IFERROR(__xludf.DUMMYFUNCTION("""COMPUTED_VALUE"""),9.066028978676993)</f>
        <v>9.066028979</v>
      </c>
      <c r="AI17" s="15" t="str">
        <f>IFERROR(__xludf.DUMMYFUNCTION("""COMPUTED_VALUE"""),"fast and smooth intake, 18 sec traverse climb, fast intake, consistent. i like them.")</f>
        <v>fast and smooth intake, 18 sec traverse climb, fast intake, consistent. i like them.</v>
      </c>
    </row>
    <row r="18">
      <c r="A18" s="15">
        <f>IFERROR(__xludf.DUMMYFUNCTION("""COMPUTED_VALUE"""),5712.0)</f>
        <v>5712</v>
      </c>
      <c r="B18" s="62">
        <f>IFERROR(__xludf.DUMMYFUNCTION("""COMPUTED_VALUE"""),0.38)</f>
        <v>0.38</v>
      </c>
      <c r="C18" s="49">
        <f>IFERROR(__xludf.DUMMYFUNCTION("""COMPUTED_VALUE"""),0.0)</f>
        <v>0</v>
      </c>
      <c r="D18" s="49">
        <f>IFERROR(__xludf.DUMMYFUNCTION("""COMPUTED_VALUE"""),1.0)</f>
        <v>1</v>
      </c>
      <c r="E18" s="49">
        <f>IFERROR(__xludf.DUMMYFUNCTION("""COMPUTED_VALUE"""),-1.1179931480217349)</f>
        <v>-1.117993148</v>
      </c>
      <c r="F18" s="49">
        <f>IFERROR(__xludf.DUMMYFUNCTION("""COMPUTED_VALUE"""),1.5)</f>
        <v>1.5</v>
      </c>
      <c r="G18" s="196">
        <f>IFERROR(__xludf.DUMMYFUNCTION("""COMPUTED_VALUE"""),0.6666666666666666)</f>
        <v>0.6666666667</v>
      </c>
      <c r="H18" s="196">
        <f>IFERROR(__xludf.DUMMYFUNCTION("""COMPUTED_VALUE"""),0.6666666666666666)</f>
        <v>0.6666666667</v>
      </c>
      <c r="I18" s="196">
        <f>IFERROR(__xludf.DUMMYFUNCTION("""COMPUTED_VALUE"""),0.625)</f>
        <v>0.625</v>
      </c>
      <c r="J18" s="196">
        <f>IFERROR(__xludf.DUMMYFUNCTION("""COMPUTED_VALUE"""),0.6458333333333333)</f>
        <v>0.6458333333</v>
      </c>
      <c r="K18" s="49">
        <f>IFERROR(__xludf.DUMMYFUNCTION("""COMPUTED_VALUE"""),-1.5138190215694347)</f>
        <v>-1.513819022</v>
      </c>
      <c r="L18" s="49">
        <f>IFERROR(__xludf.DUMMYFUNCTION("""COMPUTED_VALUE"""),0.125)</f>
        <v>0.125</v>
      </c>
      <c r="M18" s="49">
        <f>IFERROR(__xludf.DUMMYFUNCTION("""COMPUTED_VALUE"""),12.0)</f>
        <v>12</v>
      </c>
      <c r="N18" s="197">
        <f>IFERROR(__xludf.DUMMYFUNCTION("""COMPUTED_VALUE"""),0.6290089066305229)</f>
        <v>0.6290089066</v>
      </c>
      <c r="O18" s="196">
        <f>IFERROR(__xludf.DUMMYFUNCTION("""COMPUTED_VALUE"""),0.875)</f>
        <v>0.875</v>
      </c>
      <c r="P18" s="49">
        <f>IFERROR(__xludf.DUMMYFUNCTION("""COMPUTED_VALUE"""),12.5)</f>
        <v>12.5</v>
      </c>
      <c r="Q18" s="49">
        <f>IFERROR(__xludf.DUMMYFUNCTION("""COMPUTED_VALUE"""),15.0)</f>
        <v>15</v>
      </c>
      <c r="R18" s="198">
        <f>IFERROR(__xludf.DUMMYFUNCTION("""COMPUTED_VALUE"""),0.9460107610423022)</f>
        <v>0.946010761</v>
      </c>
      <c r="S18" s="196">
        <f>IFERROR(__xludf.DUMMYFUNCTION("""COMPUTED_VALUE"""),1.0)</f>
        <v>1</v>
      </c>
      <c r="T18" s="196">
        <f>IFERROR(__xludf.DUMMYFUNCTION("""COMPUTED_VALUE"""),0.0)</f>
        <v>0</v>
      </c>
      <c r="U18" s="196">
        <f>IFERROR(__xludf.DUMMYFUNCTION("""COMPUTED_VALUE"""),0.0)</f>
        <v>0</v>
      </c>
      <c r="V18" s="196">
        <f>IFERROR(__xludf.DUMMYFUNCTION("""COMPUTED_VALUE"""),0.125)</f>
        <v>0.125</v>
      </c>
      <c r="W18" s="196">
        <f>IFERROR(__xludf.DUMMYFUNCTION("""COMPUTED_VALUE"""),0.75)</f>
        <v>0.75</v>
      </c>
      <c r="X18" s="199">
        <f>IFERROR(__xludf.DUMMYFUNCTION("""COMPUTED_VALUE"""),1.0087846688391728)</f>
        <v>1.008784669</v>
      </c>
      <c r="Y18" s="49">
        <f>IFERROR(__xludf.DUMMYFUNCTION("""COMPUTED_VALUE"""),4.0)</f>
        <v>4</v>
      </c>
      <c r="Z18" s="49">
        <f>IFERROR(__xludf.DUMMYFUNCTION("""COMPUTED_VALUE"""),24.125)</f>
        <v>24.125</v>
      </c>
      <c r="AA18" s="49">
        <f>IFERROR(__xludf.DUMMYFUNCTION("""COMPUTED_VALUE"""),28.125)</f>
        <v>28.125</v>
      </c>
      <c r="AB18" s="200">
        <f>IFERROR(__xludf.DUMMYFUNCTION("""COMPUTED_VALUE"""),0.3406317674306795)</f>
        <v>0.3406317674</v>
      </c>
      <c r="AC18" s="15">
        <f>IFERROR(__xludf.DUMMYFUNCTION("""COMPUTED_VALUE"""),26.0)</f>
        <v>26</v>
      </c>
      <c r="AD18" s="15">
        <f>IFERROR(__xludf.DUMMYFUNCTION("""COMPUTED_VALUE"""),1.8253367357170962)</f>
        <v>1.825336736</v>
      </c>
      <c r="AE18" s="49">
        <f>IFERROR(__xludf.DUMMYFUNCTION("""COMPUTED_VALUE"""),13.125)</f>
        <v>13.125</v>
      </c>
      <c r="AF18" s="49">
        <f>IFERROR(__xludf.DUMMYFUNCTION("""COMPUTED_VALUE"""),40.625)</f>
        <v>40.625</v>
      </c>
      <c r="AG18" s="201">
        <f>IFERROR(__xludf.DUMMYFUNCTION("""COMPUTED_VALUE"""),5.982587478208439)</f>
        <v>5.982587478</v>
      </c>
      <c r="AH18" s="201">
        <f>IFERROR(__xludf.DUMMYFUNCTION("""COMPUTED_VALUE"""),6.928598239250741)</f>
        <v>6.928598239</v>
      </c>
      <c r="AI18" s="15" t="str">
        <f>IFERROR(__xludf.DUMMYFUNCTION("""COMPUTED_VALUE"""),"Didn't attempt climb, completely overshot auto, Slow turning, quick climb once lined up properly")</f>
        <v>Didn't attempt climb, completely overshot auto, Slow turning, quick climb once lined up properly</v>
      </c>
    </row>
    <row r="19">
      <c r="A19" s="15">
        <f>IFERROR(__xludf.DUMMYFUNCTION("""COMPUTED_VALUE"""),33.0)</f>
        <v>33</v>
      </c>
      <c r="B19" s="62">
        <f>IFERROR(__xludf.DUMMYFUNCTION("""COMPUTED_VALUE"""),0.86)</f>
        <v>0.86</v>
      </c>
      <c r="C19" s="49">
        <f>IFERROR(__xludf.DUMMYFUNCTION("""COMPUTED_VALUE"""),0.0)</f>
        <v>0</v>
      </c>
      <c r="D19" s="49">
        <f>IFERROR(__xludf.DUMMYFUNCTION("""COMPUTED_VALUE"""),3.142857142857143)</f>
        <v>3.142857143</v>
      </c>
      <c r="E19" s="49">
        <f>IFERROR(__xludf.DUMMYFUNCTION("""COMPUTED_VALUE"""),1.3262023982606008)</f>
        <v>1.326202398</v>
      </c>
      <c r="F19" s="49">
        <f>IFERROR(__xludf.DUMMYFUNCTION("""COMPUTED_VALUE"""),3.857142857142857)</f>
        <v>3.857142857</v>
      </c>
      <c r="G19" s="196">
        <f>IFERROR(__xludf.DUMMYFUNCTION("""COMPUTED_VALUE"""),0.8148148148148148)</f>
        <v>0.8148148148</v>
      </c>
      <c r="H19" s="196">
        <f>IFERROR(__xludf.DUMMYFUNCTION("""COMPUTED_VALUE"""),0.25)</f>
        <v>0.25</v>
      </c>
      <c r="I19" s="196">
        <f>IFERROR(__xludf.DUMMYFUNCTION("""COMPUTED_VALUE"""),0.8571428571428571)</f>
        <v>0.8571428571</v>
      </c>
      <c r="J19" s="196">
        <f>IFERROR(__xludf.DUMMYFUNCTION("""COMPUTED_VALUE"""),0.5535714285714286)</f>
        <v>0.5535714286</v>
      </c>
      <c r="K19" s="49">
        <f>IFERROR(__xludf.DUMMYFUNCTION("""COMPUTED_VALUE"""),-2.188420536302886)</f>
        <v>-2.188420536</v>
      </c>
      <c r="L19" s="49">
        <f>IFERROR(__xludf.DUMMYFUNCTION("""COMPUTED_VALUE"""),0.14285714285714285)</f>
        <v>0.1428571429</v>
      </c>
      <c r="M19" s="49">
        <f>IFERROR(__xludf.DUMMYFUNCTION("""COMPUTED_VALUE"""),13.428571428571429)</f>
        <v>13.42857143</v>
      </c>
      <c r="N19" s="197">
        <f>IFERROR(__xludf.DUMMYFUNCTION("""COMPUTED_VALUE"""),0.9511616921363975)</f>
        <v>0.9511616921</v>
      </c>
      <c r="O19" s="196">
        <f>IFERROR(__xludf.DUMMYFUNCTION("""COMPUTED_VALUE"""),0.8731343283582089)</f>
        <v>0.8731343284</v>
      </c>
      <c r="P19" s="49">
        <f>IFERROR(__xludf.DUMMYFUNCTION("""COMPUTED_VALUE"""),6.428571428571429)</f>
        <v>6.428571429</v>
      </c>
      <c r="Q19" s="49">
        <f>IFERROR(__xludf.DUMMYFUNCTION("""COMPUTED_VALUE"""),9.0)</f>
        <v>9</v>
      </c>
      <c r="R19" s="198">
        <f>IFERROR(__xludf.DUMMYFUNCTION("""COMPUTED_VALUE"""),-0.3212036537492465)</f>
        <v>-0.3212036537</v>
      </c>
      <c r="S19" s="196">
        <f>IFERROR(__xludf.DUMMYFUNCTION("""COMPUTED_VALUE"""),1.0)</f>
        <v>1</v>
      </c>
      <c r="T19" s="196">
        <f>IFERROR(__xludf.DUMMYFUNCTION("""COMPUTED_VALUE"""),0.0)</f>
        <v>0</v>
      </c>
      <c r="U19" s="196">
        <f>IFERROR(__xludf.DUMMYFUNCTION("""COMPUTED_VALUE"""),0.0)</f>
        <v>0</v>
      </c>
      <c r="V19" s="196">
        <f>IFERROR(__xludf.DUMMYFUNCTION("""COMPUTED_VALUE"""),0.0)</f>
        <v>0</v>
      </c>
      <c r="W19" s="196">
        <f>IFERROR(__xludf.DUMMYFUNCTION("""COMPUTED_VALUE"""),0.42857142857142855)</f>
        <v>0.4285714286</v>
      </c>
      <c r="X19" s="199">
        <f>IFERROR(__xludf.DUMMYFUNCTION("""COMPUTED_VALUE"""),-0.009031548222382332)</f>
        <v>-0.009031548222</v>
      </c>
      <c r="Y19" s="49">
        <f>IFERROR(__xludf.DUMMYFUNCTION("""COMPUTED_VALUE"""),12.571428571428571)</f>
        <v>12.57142857</v>
      </c>
      <c r="Z19" s="49">
        <f>IFERROR(__xludf.DUMMYFUNCTION("""COMPUTED_VALUE"""),27.0)</f>
        <v>27</v>
      </c>
      <c r="AA19" s="49">
        <f>IFERROR(__xludf.DUMMYFUNCTION("""COMPUTED_VALUE"""),39.57142857142857)</f>
        <v>39.57142857</v>
      </c>
      <c r="AB19" s="200">
        <f>IFERROR(__xludf.DUMMYFUNCTION("""COMPUTED_VALUE"""),1.01306955631296)</f>
        <v>1.013069556</v>
      </c>
      <c r="AC19" s="15">
        <f>IFERROR(__xludf.DUMMYFUNCTION("""COMPUTED_VALUE"""),21.0)</f>
        <v>21</v>
      </c>
      <c r="AD19" s="15">
        <f>IFERROR(__xludf.DUMMYFUNCTION("""COMPUTED_VALUE"""),0.977985059562158)</f>
        <v>0.9779850596</v>
      </c>
      <c r="AE19" s="49">
        <f>IFERROR(__xludf.DUMMYFUNCTION("""COMPUTED_VALUE"""),16.714285714285715)</f>
        <v>16.71428571</v>
      </c>
      <c r="AF19" s="49">
        <f>IFERROR(__xludf.DUMMYFUNCTION("""COMPUTED_VALUE"""),46.0)</f>
        <v>46</v>
      </c>
      <c r="AG19" s="201">
        <f>IFERROR(__xludf.DUMMYFUNCTION("""COMPUTED_VALUE"""),0.3582349846714785)</f>
        <v>0.3582349847</v>
      </c>
      <c r="AH19" s="201">
        <f>IFERROR(__xludf.DUMMYFUNCTION("""COMPUTED_VALUE"""),0.0370313309222321)</f>
        <v>0.03703133092</v>
      </c>
      <c r="AI19" s="15" t="str">
        <f>IFERROR(__xludf.DUMMYFUNCTION("""COMPUTED_VALUE"""),"Quick fire rate even with mild defense against them. Strong team")</f>
        <v>Quick fire rate even with mild defense against them. Strong team</v>
      </c>
    </row>
    <row r="20">
      <c r="A20" s="15">
        <f>IFERROR(__xludf.DUMMYFUNCTION("""COMPUTED_VALUE"""),1720.0)</f>
        <v>1720</v>
      </c>
      <c r="B20" s="62">
        <f>IFERROR(__xludf.DUMMYFUNCTION("""COMPUTED_VALUE"""),0.14)</f>
        <v>0.14</v>
      </c>
      <c r="C20" s="49">
        <f>IFERROR(__xludf.DUMMYFUNCTION("""COMPUTED_VALUE"""),0.0)</f>
        <v>0</v>
      </c>
      <c r="D20" s="49">
        <f>IFERROR(__xludf.DUMMYFUNCTION("""COMPUTED_VALUE"""),0.5714285714285714)</f>
        <v>0.5714285714</v>
      </c>
      <c r="E20" s="49">
        <f>IFERROR(__xludf.DUMMYFUNCTION("""COMPUTED_VALUE"""),-1.606832257278202)</f>
        <v>-1.606832257</v>
      </c>
      <c r="F20" s="49">
        <f>IFERROR(__xludf.DUMMYFUNCTION("""COMPUTED_VALUE"""),0.7142857142857143)</f>
        <v>0.7142857143</v>
      </c>
      <c r="G20" s="196">
        <f>IFERROR(__xludf.DUMMYFUNCTION("""COMPUTED_VALUE"""),0.8)</f>
        <v>0.8</v>
      </c>
      <c r="H20" s="196">
        <f>IFERROR(__xludf.DUMMYFUNCTION("""COMPUTED_VALUE"""),0.8)</f>
        <v>0.8</v>
      </c>
      <c r="I20" s="196">
        <f>IFERROR(__xludf.DUMMYFUNCTION("""COMPUTED_VALUE"""),0.42857142857142855)</f>
        <v>0.4285714286</v>
      </c>
      <c r="J20" s="196">
        <f>IFERROR(__xludf.DUMMYFUNCTION("""COMPUTED_VALUE"""),0.6142857142857143)</f>
        <v>0.6142857143</v>
      </c>
      <c r="K20" s="49">
        <f>IFERROR(__xludf.DUMMYFUNCTION("""COMPUTED_VALUE"""),-1.7444892169299044)</f>
        <v>-1.744489217</v>
      </c>
      <c r="L20" s="49">
        <f>IFERROR(__xludf.DUMMYFUNCTION("""COMPUTED_VALUE"""),0.2857142857142857)</f>
        <v>0.2857142857</v>
      </c>
      <c r="M20" s="49">
        <f>IFERROR(__xludf.DUMMYFUNCTION("""COMPUTED_VALUE"""),6.0)</f>
        <v>6</v>
      </c>
      <c r="N20" s="197">
        <f>IFERROR(__xludf.DUMMYFUNCTION("""COMPUTED_VALUE"""),-0.7240327924941496)</f>
        <v>-0.7240327925</v>
      </c>
      <c r="O20" s="196">
        <f>IFERROR(__xludf.DUMMYFUNCTION("""COMPUTED_VALUE"""),0.8727272727272727)</f>
        <v>0.8727272727</v>
      </c>
      <c r="P20" s="49">
        <f>IFERROR(__xludf.DUMMYFUNCTION("""COMPUTED_VALUE"""),2.2857142857142856)</f>
        <v>2.285714286</v>
      </c>
      <c r="Q20" s="49">
        <f>IFERROR(__xludf.DUMMYFUNCTION("""COMPUTED_VALUE"""),3.2)</f>
        <v>3.2</v>
      </c>
      <c r="R20" s="198">
        <f>IFERROR(__xludf.DUMMYFUNCTION("""COMPUTED_VALUE"""),-1.5461775880477435)</f>
        <v>-1.546177588</v>
      </c>
      <c r="S20" s="196">
        <f>IFERROR(__xludf.DUMMYFUNCTION("""COMPUTED_VALUE"""),1.0)</f>
        <v>1</v>
      </c>
      <c r="T20" s="196">
        <f>IFERROR(__xludf.DUMMYFUNCTION("""COMPUTED_VALUE"""),0.0)</f>
        <v>0</v>
      </c>
      <c r="U20" s="196">
        <f>IFERROR(__xludf.DUMMYFUNCTION("""COMPUTED_VALUE"""),0.14285714285714285)</f>
        <v>0.1428571429</v>
      </c>
      <c r="V20" s="196">
        <f>IFERROR(__xludf.DUMMYFUNCTION("""COMPUTED_VALUE"""),0.14285714285714285)</f>
        <v>0.1428571429</v>
      </c>
      <c r="W20" s="196">
        <f>IFERROR(__xludf.DUMMYFUNCTION("""COMPUTED_VALUE"""),0.0)</f>
        <v>0</v>
      </c>
      <c r="X20" s="199">
        <f>IFERROR(__xludf.DUMMYFUNCTION("""COMPUTED_VALUE"""),-1.3661198376377892)</f>
        <v>-1.366119838</v>
      </c>
      <c r="Y20" s="49">
        <f>IFERROR(__xludf.DUMMYFUNCTION("""COMPUTED_VALUE"""),2.2857142857142856)</f>
        <v>2.285714286</v>
      </c>
      <c r="Z20" s="49">
        <f>IFERROR(__xludf.DUMMYFUNCTION("""COMPUTED_VALUE"""),12.285714285714286)</f>
        <v>12.28571429</v>
      </c>
      <c r="AA20" s="49">
        <f>IFERROR(__xludf.DUMMYFUNCTION("""COMPUTED_VALUE"""),14.571428571428573)</f>
        <v>14.57142857</v>
      </c>
      <c r="AB20" s="200">
        <f>IFERROR(__xludf.DUMMYFUNCTION("""COMPUTED_VALUE"""),-0.8697562525574248)</f>
        <v>-0.8697562526</v>
      </c>
      <c r="AC20" s="15">
        <f>IFERROR(__xludf.DUMMYFUNCTION("""COMPUTED_VALUE"""),12.0)</f>
        <v>12</v>
      </c>
      <c r="AD20" s="15">
        <f>IFERROR(__xludf.DUMMYFUNCTION("""COMPUTED_VALUE"""),-0.5472479575167308)</f>
        <v>-0.5472479575</v>
      </c>
      <c r="AE20" s="49">
        <f>IFERROR(__xludf.DUMMYFUNCTION("""COMPUTED_VALUE"""),6.857142857142857)</f>
        <v>6.857142857</v>
      </c>
      <c r="AF20" s="49">
        <f>IFERROR(__xludf.DUMMYFUNCTION("""COMPUTED_VALUE"""),16.857142857142858)</f>
        <v>16.85714286</v>
      </c>
      <c r="AG20" s="201">
        <f>IFERROR(__xludf.DUMMYFUNCTION("""COMPUTED_VALUE"""),-10.64854590412006)</f>
        <v>-10.6485459</v>
      </c>
      <c r="AH20" s="201">
        <f>IFERROR(__xludf.DUMMYFUNCTION("""COMPUTED_VALUE"""),-12.194723492167803)</f>
        <v>-12.19472349</v>
      </c>
      <c r="AI20" s="15" t="str">
        <f>IFERROR(__xludf.DUMMYFUNCTION("""COMPUTED_VALUE"""),"played defense but didn't really stop anything, Interesting climber., Disabled")</f>
        <v>played defense but didn't really stop anything, Interesting climber., Disabled</v>
      </c>
    </row>
    <row r="21">
      <c r="A21" s="15">
        <f>IFERROR(__xludf.DUMMYFUNCTION("""COMPUTED_VALUE"""),5010.0)</f>
        <v>5010</v>
      </c>
      <c r="B21" s="62">
        <f>IFERROR(__xludf.DUMMYFUNCTION("""COMPUTED_VALUE"""),0.14)</f>
        <v>0.14</v>
      </c>
      <c r="C21" s="49">
        <f>IFERROR(__xludf.DUMMYFUNCTION("""COMPUTED_VALUE"""),0.0)</f>
        <v>0</v>
      </c>
      <c r="D21" s="49">
        <f>IFERROR(__xludf.DUMMYFUNCTION("""COMPUTED_VALUE"""),0.8571428571428571)</f>
        <v>0.8571428571</v>
      </c>
      <c r="E21" s="49">
        <f>IFERROR(__xludf.DUMMYFUNCTION("""COMPUTED_VALUE"""),-1.2809395177738907)</f>
        <v>-1.280939518</v>
      </c>
      <c r="F21" s="49">
        <f>IFERROR(__xludf.DUMMYFUNCTION("""COMPUTED_VALUE"""),1.0)</f>
        <v>1</v>
      </c>
      <c r="G21" s="196">
        <f>IFERROR(__xludf.DUMMYFUNCTION("""COMPUTED_VALUE"""),0.8571428571428571)</f>
        <v>0.8571428571</v>
      </c>
      <c r="H21" s="196">
        <f>IFERROR(__xludf.DUMMYFUNCTION("""COMPUTED_VALUE"""),0.8571428571428571)</f>
        <v>0.8571428571</v>
      </c>
      <c r="I21" s="196">
        <f>IFERROR(__xludf.DUMMYFUNCTION("""COMPUTED_VALUE"""),0.5714285714285714)</f>
        <v>0.5714285714</v>
      </c>
      <c r="J21" s="196">
        <f>IFERROR(__xludf.DUMMYFUNCTION("""COMPUTED_VALUE"""),0.7142857142857142)</f>
        <v>0.7142857143</v>
      </c>
      <c r="K21" s="49">
        <f>IFERROR(__xludf.DUMMYFUNCTION("""COMPUTED_VALUE"""),-1.0133082203155834)</f>
        <v>-1.01330822</v>
      </c>
      <c r="L21" s="49">
        <f>IFERROR(__xludf.DUMMYFUNCTION("""COMPUTED_VALUE"""),0.0)</f>
        <v>0</v>
      </c>
      <c r="M21" s="49">
        <f>IFERROR(__xludf.DUMMYFUNCTION("""COMPUTED_VALUE"""),1.8571428571428572)</f>
        <v>1.857142857</v>
      </c>
      <c r="N21" s="197">
        <f>IFERROR(__xludf.DUMMYFUNCTION("""COMPUTED_VALUE"""),-1.6582758704611853)</f>
        <v>-1.65827587</v>
      </c>
      <c r="O21" s="196">
        <f>IFERROR(__xludf.DUMMYFUNCTION("""COMPUTED_VALUE"""),0.8636363636363636)</f>
        <v>0.8636363636</v>
      </c>
      <c r="P21" s="49">
        <f>IFERROR(__xludf.DUMMYFUNCTION("""COMPUTED_VALUE"""),9.571428571428571)</f>
        <v>9.571428571</v>
      </c>
      <c r="Q21" s="49">
        <f>IFERROR(__xludf.DUMMYFUNCTION("""COMPUTED_VALUE"""),12.2)</f>
        <v>12.2</v>
      </c>
      <c r="R21" s="198">
        <f>IFERROR(__xludf.DUMMYFUNCTION("""COMPUTED_VALUE"""),0.35464403413957934)</f>
        <v>0.3546440341</v>
      </c>
      <c r="S21" s="196">
        <f>IFERROR(__xludf.DUMMYFUNCTION("""COMPUTED_VALUE"""),1.0)</f>
        <v>1</v>
      </c>
      <c r="T21" s="196">
        <f>IFERROR(__xludf.DUMMYFUNCTION("""COMPUTED_VALUE"""),0.0)</f>
        <v>0</v>
      </c>
      <c r="U21" s="196">
        <f>IFERROR(__xludf.DUMMYFUNCTION("""COMPUTED_VALUE"""),0.2857142857142857)</f>
        <v>0.2857142857</v>
      </c>
      <c r="V21" s="196">
        <f>IFERROR(__xludf.DUMMYFUNCTION("""COMPUTED_VALUE"""),0.14285714285714285)</f>
        <v>0.1428571429</v>
      </c>
      <c r="W21" s="196">
        <f>IFERROR(__xludf.DUMMYFUNCTION("""COMPUTED_VALUE"""),0.42857142857142855)</f>
        <v>0.4285714286</v>
      </c>
      <c r="X21" s="199">
        <f>IFERROR(__xludf.DUMMYFUNCTION("""COMPUTED_VALUE"""),-0.009031548222382332)</f>
        <v>-0.009031548222</v>
      </c>
      <c r="Y21" s="49">
        <f>IFERROR(__xludf.DUMMYFUNCTION("""COMPUTED_VALUE"""),3.4285714285714284)</f>
        <v>3.428571429</v>
      </c>
      <c r="Z21" s="49">
        <f>IFERROR(__xludf.DUMMYFUNCTION("""COMPUTED_VALUE"""),3.7142857142857144)</f>
        <v>3.714285714</v>
      </c>
      <c r="AA21" s="49">
        <f>IFERROR(__xludf.DUMMYFUNCTION("""COMPUTED_VALUE"""),7.142857142857142)</f>
        <v>7.142857143</v>
      </c>
      <c r="AB21" s="200">
        <f>IFERROR(__xludf.DUMMYFUNCTION("""COMPUTED_VALUE"""),-1.5959890645502874)</f>
        <v>-1.595989065</v>
      </c>
      <c r="AC21" s="15">
        <f>IFERROR(__xludf.DUMMYFUNCTION("""COMPUTED_VALUE"""),7.0)</f>
        <v>7</v>
      </c>
      <c r="AD21" s="15">
        <f>IFERROR(__xludf.DUMMYFUNCTION("""COMPUTED_VALUE"""),-1.394599633671669)</f>
        <v>-1.394599634</v>
      </c>
      <c r="AE21" s="49">
        <f>IFERROR(__xludf.DUMMYFUNCTION("""COMPUTED_VALUE"""),2.7142857142857144)</f>
        <v>2.714285714</v>
      </c>
      <c r="AF21" s="49">
        <f>IFERROR(__xludf.DUMMYFUNCTION("""COMPUTED_VALUE"""),16.714285714285715)</f>
        <v>16.71428571</v>
      </c>
      <c r="AG21" s="201">
        <f>IFERROR(__xludf.DUMMYFUNCTION("""COMPUTED_VALUE"""),-5.964159328812491)</f>
        <v>-5.964159329</v>
      </c>
      <c r="AH21" s="201">
        <f>IFERROR(__xludf.DUMMYFUNCTION("""COMPUTED_VALUE"""),-5.609515294672911)</f>
        <v>-5.609515295</v>
      </c>
      <c r="AI21" s="15" t="str">
        <f>IFERROR(__xludf.DUMMYFUNCTION("""COMPUTED_VALUE"""),"just pushed people around and were generally shaky, defensive, likely due to shooter difficulties, they kept breaking down, played defense")</f>
        <v>just pushed people around and were generally shaky, defensive, likely due to shooter difficulties, they kept breaking down, played defense</v>
      </c>
    </row>
    <row r="22">
      <c r="A22" s="15">
        <f>IFERROR(__xludf.DUMMYFUNCTION("""COMPUTED_VALUE"""),2539.0)</f>
        <v>2539</v>
      </c>
      <c r="B22" s="62">
        <f>IFERROR(__xludf.DUMMYFUNCTION("""COMPUTED_VALUE"""),0.57)</f>
        <v>0.57</v>
      </c>
      <c r="C22" s="49">
        <f>IFERROR(__xludf.DUMMYFUNCTION("""COMPUTED_VALUE"""),0.0)</f>
        <v>0</v>
      </c>
      <c r="D22" s="49">
        <f>IFERROR(__xludf.DUMMYFUNCTION("""COMPUTED_VALUE"""),1.8571428571428572)</f>
        <v>1.857142857</v>
      </c>
      <c r="E22" s="49">
        <f>IFERROR(__xludf.DUMMYFUNCTION("""COMPUTED_VALUE"""),-0.1403149295088005)</f>
        <v>-0.1403149295</v>
      </c>
      <c r="F22" s="49">
        <f>IFERROR(__xludf.DUMMYFUNCTION("""COMPUTED_VALUE"""),2.2857142857142856)</f>
        <v>2.285714286</v>
      </c>
      <c r="G22" s="196">
        <f>IFERROR(__xludf.DUMMYFUNCTION("""COMPUTED_VALUE"""),0.8125)</f>
        <v>0.8125</v>
      </c>
      <c r="H22" s="196">
        <f>IFERROR(__xludf.DUMMYFUNCTION("""COMPUTED_VALUE"""),0.8888888888888888)</f>
        <v>0.8888888889</v>
      </c>
      <c r="I22" s="196">
        <f>IFERROR(__xludf.DUMMYFUNCTION("""COMPUTED_VALUE"""),1.0)</f>
        <v>1</v>
      </c>
      <c r="J22" s="196">
        <f>IFERROR(__xludf.DUMMYFUNCTION("""COMPUTED_VALUE"""),0.9444444444444444)</f>
        <v>0.9444444444</v>
      </c>
      <c r="K22" s="49">
        <f>IFERROR(__xludf.DUMMYFUNCTION("""COMPUTED_VALUE"""),0.6695686766538881)</f>
        <v>0.6695686767</v>
      </c>
      <c r="L22" s="49">
        <f>IFERROR(__xludf.DUMMYFUNCTION("""COMPUTED_VALUE"""),0.0)</f>
        <v>0</v>
      </c>
      <c r="M22" s="49">
        <f>IFERROR(__xludf.DUMMYFUNCTION("""COMPUTED_VALUE"""),4.428571428571429)</f>
        <v>4.428571429</v>
      </c>
      <c r="N22" s="197">
        <f>IFERROR(__xludf.DUMMYFUNCTION("""COMPUTED_VALUE"""),-1.0784008565506114)</f>
        <v>-1.078400857</v>
      </c>
      <c r="O22" s="196">
        <f>IFERROR(__xludf.DUMMYFUNCTION("""COMPUTED_VALUE"""),0.8627450980392157)</f>
        <v>0.862745098</v>
      </c>
      <c r="P22" s="49">
        <f>IFERROR(__xludf.DUMMYFUNCTION("""COMPUTED_VALUE"""),13.571428571428571)</f>
        <v>13.57142857</v>
      </c>
      <c r="Q22" s="49">
        <f>IFERROR(__xludf.DUMMYFUNCTION("""COMPUTED_VALUE"""),15.0)</f>
        <v>15</v>
      </c>
      <c r="R22" s="198">
        <f>IFERROR(__xludf.DUMMYFUNCTION("""COMPUTED_VALUE"""),0.9460107610423022)</f>
        <v>0.946010761</v>
      </c>
      <c r="S22" s="196">
        <f>IFERROR(__xludf.DUMMYFUNCTION("""COMPUTED_VALUE"""),1.0)</f>
        <v>1</v>
      </c>
      <c r="T22" s="196">
        <f>IFERROR(__xludf.DUMMYFUNCTION("""COMPUTED_VALUE"""),0.0)</f>
        <v>0</v>
      </c>
      <c r="U22" s="196">
        <f>IFERROR(__xludf.DUMMYFUNCTION("""COMPUTED_VALUE"""),0.0)</f>
        <v>0</v>
      </c>
      <c r="V22" s="196">
        <f>IFERROR(__xludf.DUMMYFUNCTION("""COMPUTED_VALUE"""),0.2857142857142857)</f>
        <v>0.2857142857</v>
      </c>
      <c r="W22" s="196">
        <f>IFERROR(__xludf.DUMMYFUNCTION("""COMPUTED_VALUE"""),0.7142857142857143)</f>
        <v>0.7142857143</v>
      </c>
      <c r="X22" s="199">
        <f>IFERROR(__xludf.DUMMYFUNCTION("""COMPUTED_VALUE"""),0.8956939780545558)</f>
        <v>0.8956939781</v>
      </c>
      <c r="Y22" s="49">
        <f>IFERROR(__xludf.DUMMYFUNCTION("""COMPUTED_VALUE"""),7.428571428571429)</f>
        <v>7.428571429</v>
      </c>
      <c r="Z22" s="49">
        <f>IFERROR(__xludf.DUMMYFUNCTION("""COMPUTED_VALUE"""),8.857142857142858)</f>
        <v>8.857142857</v>
      </c>
      <c r="AA22" s="49">
        <f>IFERROR(__xludf.DUMMYFUNCTION("""COMPUTED_VALUE"""),16.285714285714285)</f>
        <v>16.28571429</v>
      </c>
      <c r="AB22" s="200">
        <f>IFERROR(__xludf.DUMMYFUNCTION("""COMPUTED_VALUE"""),-0.923551275668007)</f>
        <v>-0.9235512757</v>
      </c>
      <c r="AC22" s="15">
        <f>IFERROR(__xludf.DUMMYFUNCTION("""COMPUTED_VALUE"""),15.0)</f>
        <v>15</v>
      </c>
      <c r="AD22" s="15">
        <f>IFERROR(__xludf.DUMMYFUNCTION("""COMPUTED_VALUE"""),-0.0388369518237679)</f>
        <v>-0.03883695182</v>
      </c>
      <c r="AE22" s="49">
        <f>IFERROR(__xludf.DUMMYFUNCTION("""COMPUTED_VALUE"""),6.2857142857142865)</f>
        <v>6.285714286</v>
      </c>
      <c r="AF22" s="49">
        <f>IFERROR(__xludf.DUMMYFUNCTION("""COMPUTED_VALUE"""),29.857142857142858)</f>
        <v>29.85714286</v>
      </c>
      <c r="AG22" s="201">
        <f>IFERROR(__xludf.DUMMYFUNCTION("""COMPUTED_VALUE"""),1.1795721993474948)</f>
        <v>1.179572199</v>
      </c>
      <c r="AH22" s="201">
        <f>IFERROR(__xludf.DUMMYFUNCTION("""COMPUTED_VALUE"""),2.1255829603897967)</f>
        <v>2.12558296</v>
      </c>
      <c r="AI22" s="15" t="str">
        <f>IFERROR(__xludf.DUMMYFUNCTION("""COMPUTED_VALUE"""),"defended mostly, played defense, played defense, defense")</f>
        <v>defended mostly, played defense, played defense, defense</v>
      </c>
    </row>
    <row r="23">
      <c r="A23" s="15">
        <f>IFERROR(__xludf.DUMMYFUNCTION("""COMPUTED_VALUE"""),829.0)</f>
        <v>829</v>
      </c>
      <c r="B23" s="62">
        <f>IFERROR(__xludf.DUMMYFUNCTION("""COMPUTED_VALUE"""),0.29)</f>
        <v>0.29</v>
      </c>
      <c r="C23" s="49">
        <f>IFERROR(__xludf.DUMMYFUNCTION("""COMPUTED_VALUE"""),0.0)</f>
        <v>0</v>
      </c>
      <c r="D23" s="49">
        <f>IFERROR(__xludf.DUMMYFUNCTION("""COMPUTED_VALUE"""),1.5714285714285714)</f>
        <v>1.571428571</v>
      </c>
      <c r="E23" s="49">
        <f>IFERROR(__xludf.DUMMYFUNCTION("""COMPUTED_VALUE"""),-0.466207669013112)</f>
        <v>-0.466207669</v>
      </c>
      <c r="F23" s="49">
        <f>IFERROR(__xludf.DUMMYFUNCTION("""COMPUTED_VALUE"""),2.0)</f>
        <v>2</v>
      </c>
      <c r="G23" s="196">
        <f>IFERROR(__xludf.DUMMYFUNCTION("""COMPUTED_VALUE"""),0.7857142857142857)</f>
        <v>0.7857142857</v>
      </c>
      <c r="H23" s="196">
        <f>IFERROR(__xludf.DUMMYFUNCTION("""COMPUTED_VALUE"""),0.9)</f>
        <v>0.9</v>
      </c>
      <c r="I23" s="196">
        <f>IFERROR(__xludf.DUMMYFUNCTION("""COMPUTED_VALUE"""),0.8571428571428571)</f>
        <v>0.8571428571</v>
      </c>
      <c r="J23" s="196">
        <f>IFERROR(__xludf.DUMMYFUNCTION("""COMPUTED_VALUE"""),0.8785714285714286)</f>
        <v>0.8785714286</v>
      </c>
      <c r="K23" s="49">
        <f>IFERROR(__xludf.DUMMYFUNCTION("""COMPUTED_VALUE"""),0.18791770269366023)</f>
        <v>0.1879177027</v>
      </c>
      <c r="L23" s="49">
        <f>IFERROR(__xludf.DUMMYFUNCTION("""COMPUTED_VALUE"""),0.2857142857142857)</f>
        <v>0.2857142857</v>
      </c>
      <c r="M23" s="49">
        <f>IFERROR(__xludf.DUMMYFUNCTION("""COMPUTED_VALUE"""),8.0)</f>
        <v>8</v>
      </c>
      <c r="N23" s="197">
        <f>IFERROR(__xludf.DUMMYFUNCTION("""COMPUTED_VALUE"""),-0.27301889278592545)</f>
        <v>-0.2730188928</v>
      </c>
      <c r="O23" s="196">
        <f>IFERROR(__xludf.DUMMYFUNCTION("""COMPUTED_VALUE"""),0.8625)</f>
        <v>0.8625</v>
      </c>
      <c r="P23" s="49">
        <f>IFERROR(__xludf.DUMMYFUNCTION("""COMPUTED_VALUE"""),8.428571428571429)</f>
        <v>8.428571429</v>
      </c>
      <c r="Q23" s="49">
        <f>IFERROR(__xludf.DUMMYFUNCTION("""COMPUTED_VALUE"""),11.8)</f>
        <v>11.8</v>
      </c>
      <c r="R23" s="198">
        <f>IFERROR(__xludf.DUMMYFUNCTION("""COMPUTED_VALUE"""),0.27016307315347643)</f>
        <v>0.2701630732</v>
      </c>
      <c r="S23" s="196">
        <f>IFERROR(__xludf.DUMMYFUNCTION("""COMPUTED_VALUE"""),1.0)</f>
        <v>1</v>
      </c>
      <c r="T23" s="196">
        <f>IFERROR(__xludf.DUMMYFUNCTION("""COMPUTED_VALUE"""),0.14285714285714285)</f>
        <v>0.1428571429</v>
      </c>
      <c r="U23" s="196">
        <f>IFERROR(__xludf.DUMMYFUNCTION("""COMPUTED_VALUE"""),0.0)</f>
        <v>0</v>
      </c>
      <c r="V23" s="196">
        <f>IFERROR(__xludf.DUMMYFUNCTION("""COMPUTED_VALUE"""),0.14285714285714285)</f>
        <v>0.1428571429</v>
      </c>
      <c r="W23" s="196">
        <f>IFERROR(__xludf.DUMMYFUNCTION("""COMPUTED_VALUE"""),0.42857142857142855)</f>
        <v>0.4285714286</v>
      </c>
      <c r="X23" s="199">
        <f>IFERROR(__xludf.DUMMYFUNCTION("""COMPUTED_VALUE"""),-0.009031548222382332)</f>
        <v>-0.009031548222</v>
      </c>
      <c r="Y23" s="49">
        <f>IFERROR(__xludf.DUMMYFUNCTION("""COMPUTED_VALUE"""),6.285714285714286)</f>
        <v>6.285714286</v>
      </c>
      <c r="Z23" s="49">
        <f>IFERROR(__xludf.DUMMYFUNCTION("""COMPUTED_VALUE"""),16.285714285714285)</f>
        <v>16.28571429</v>
      </c>
      <c r="AA23" s="49">
        <f>IFERROR(__xludf.DUMMYFUNCTION("""COMPUTED_VALUE"""),22.57142857142857)</f>
        <v>22.57142857</v>
      </c>
      <c r="AB23" s="200">
        <f>IFERROR(__xludf.DUMMYFUNCTION("""COMPUTED_VALUE"""),-0.30490850989630947)</f>
        <v>-0.3049085099</v>
      </c>
      <c r="AC23" s="15">
        <f>IFERROR(__xludf.DUMMYFUNCTION("""COMPUTED_VALUE"""),13.0)</f>
        <v>13</v>
      </c>
      <c r="AD23" s="15">
        <f>IFERROR(__xludf.DUMMYFUNCTION("""COMPUTED_VALUE"""),-0.3777776222857432)</f>
        <v>-0.3777776223</v>
      </c>
      <c r="AE23" s="49">
        <f>IFERROR(__xludf.DUMMYFUNCTION("""COMPUTED_VALUE"""),9.857142857142858)</f>
        <v>9.857142857</v>
      </c>
      <c r="AF23" s="49">
        <f>IFERROR(__xludf.DUMMYFUNCTION("""COMPUTED_VALUE"""),31.0)</f>
        <v>31</v>
      </c>
      <c r="AG23" s="201">
        <f>IFERROR(__xludf.DUMMYFUNCTION("""COMPUTED_VALUE"""),0.07173569466404639)</f>
        <v>0.07173569466</v>
      </c>
      <c r="AH23" s="201">
        <f>IFERROR(__xludf.DUMMYFUNCTION("""COMPUTED_VALUE"""),0.3418987678175227)</f>
        <v>0.3418987678</v>
      </c>
      <c r="AI23" s="15" t="str">
        <f>IFERROR(__xludf.DUMMYFUNCTION("""COMPUTED_VALUE"""),"1 side unhooked when climbing due to massive swinging. Robot stayed on high bar though, Something happened in the middle as the power behind the shots was lost so the cargo wasn't getting enough height. They also lined up to climb but then never extended "&amp;"their climber and left the hanger shortly after.")</f>
        <v>1 side unhooked when climbing due to massive swinging. Robot stayed on high bar though, Something happened in the middle as the power behind the shots was lost so the cargo wasn't getting enough height. They also lined up to climb but then never extended their climber and left the hanger shortly after.</v>
      </c>
    </row>
    <row r="24">
      <c r="A24" s="15">
        <f>IFERROR(__xludf.DUMMYFUNCTION("""COMPUTED_VALUE"""),7457.0)</f>
        <v>7457</v>
      </c>
      <c r="B24" s="62">
        <f>IFERROR(__xludf.DUMMYFUNCTION("""COMPUTED_VALUE"""),0.43)</f>
        <v>0.43</v>
      </c>
      <c r="C24" s="49">
        <f>IFERROR(__xludf.DUMMYFUNCTION("""COMPUTED_VALUE"""),0.0)</f>
        <v>0</v>
      </c>
      <c r="D24" s="49">
        <f>IFERROR(__xludf.DUMMYFUNCTION("""COMPUTED_VALUE"""),3.142857142857143)</f>
        <v>3.142857143</v>
      </c>
      <c r="E24" s="49">
        <f>IFERROR(__xludf.DUMMYFUNCTION("""COMPUTED_VALUE"""),1.3262023982606008)</f>
        <v>1.326202398</v>
      </c>
      <c r="F24" s="49">
        <f>IFERROR(__xludf.DUMMYFUNCTION("""COMPUTED_VALUE"""),3.142857142857143)</f>
        <v>3.142857143</v>
      </c>
      <c r="G24" s="196">
        <f>IFERROR(__xludf.DUMMYFUNCTION("""COMPUTED_VALUE"""),1.0)</f>
        <v>1</v>
      </c>
      <c r="H24" s="196">
        <f>IFERROR(__xludf.DUMMYFUNCTION("""COMPUTED_VALUE"""),1.0)</f>
        <v>1</v>
      </c>
      <c r="I24" s="196">
        <f>IFERROR(__xludf.DUMMYFUNCTION("""COMPUTED_VALUE"""),0.8571428571428571)</f>
        <v>0.8571428571</v>
      </c>
      <c r="J24" s="196">
        <f>IFERROR(__xludf.DUMMYFUNCTION("""COMPUTED_VALUE"""),0.9285714285714286)</f>
        <v>0.9285714286</v>
      </c>
      <c r="K24" s="49">
        <f>IFERROR(__xludf.DUMMYFUNCTION("""COMPUTED_VALUE"""),0.5535082010008215)</f>
        <v>0.553508201</v>
      </c>
      <c r="L24" s="49">
        <f>IFERROR(__xludf.DUMMYFUNCTION("""COMPUTED_VALUE"""),0.0)</f>
        <v>0</v>
      </c>
      <c r="M24" s="49">
        <f>IFERROR(__xludf.DUMMYFUNCTION("""COMPUTED_VALUE"""),7.428571428571429)</f>
        <v>7.428571429</v>
      </c>
      <c r="N24" s="197">
        <f>IFERROR(__xludf.DUMMYFUNCTION("""COMPUTED_VALUE"""),-0.4018800069882752)</f>
        <v>-0.401880007</v>
      </c>
      <c r="O24" s="196">
        <f>IFERROR(__xludf.DUMMYFUNCTION("""COMPUTED_VALUE"""),0.8604651162790697)</f>
        <v>0.8604651163</v>
      </c>
      <c r="P24" s="49">
        <f>IFERROR(__xludf.DUMMYFUNCTION("""COMPUTED_VALUE"""),9.0)</f>
        <v>9</v>
      </c>
      <c r="Q24" s="49">
        <f>IFERROR(__xludf.DUMMYFUNCTION("""COMPUTED_VALUE"""),11.4)</f>
        <v>11.4</v>
      </c>
      <c r="R24" s="198">
        <f>IFERROR(__xludf.DUMMYFUNCTION("""COMPUTED_VALUE"""),0.18568211216737307)</f>
        <v>0.1856821122</v>
      </c>
      <c r="S24" s="196">
        <f>IFERROR(__xludf.DUMMYFUNCTION("""COMPUTED_VALUE"""),1.0)</f>
        <v>1</v>
      </c>
      <c r="T24" s="196">
        <f>IFERROR(__xludf.DUMMYFUNCTION("""COMPUTED_VALUE"""),0.0)</f>
        <v>0</v>
      </c>
      <c r="U24" s="196">
        <f>IFERROR(__xludf.DUMMYFUNCTION("""COMPUTED_VALUE"""),0.42857142857142855)</f>
        <v>0.4285714286</v>
      </c>
      <c r="V24" s="196">
        <f>IFERROR(__xludf.DUMMYFUNCTION("""COMPUTED_VALUE"""),0.0)</f>
        <v>0</v>
      </c>
      <c r="W24" s="196">
        <f>IFERROR(__xludf.DUMMYFUNCTION("""COMPUTED_VALUE"""),0.42857142857142855)</f>
        <v>0.4285714286</v>
      </c>
      <c r="X24" s="199">
        <f>IFERROR(__xludf.DUMMYFUNCTION("""COMPUTED_VALUE"""),-0.009031548222382332)</f>
        <v>-0.009031548222</v>
      </c>
      <c r="Y24" s="49">
        <f>IFERROR(__xludf.DUMMYFUNCTION("""COMPUTED_VALUE"""),12.571428571428571)</f>
        <v>12.57142857</v>
      </c>
      <c r="Z24" s="49">
        <f>IFERROR(__xludf.DUMMYFUNCTION("""COMPUTED_VALUE"""),14.857142857142858)</f>
        <v>14.85714286</v>
      </c>
      <c r="AA24" s="49">
        <f>IFERROR(__xludf.DUMMYFUNCTION("""COMPUTED_VALUE"""),27.42857142857143)</f>
        <v>27.42857143</v>
      </c>
      <c r="AB24" s="200">
        <f>IFERROR(__xludf.DUMMYFUNCTION("""COMPUTED_VALUE"""),-0.11662592900927103)</f>
        <v>-0.116625929</v>
      </c>
      <c r="AC24" s="15">
        <f>IFERROR(__xludf.DUMMYFUNCTION("""COMPUTED_VALUE"""),15.0)</f>
        <v>15</v>
      </c>
      <c r="AD24" s="15">
        <f>IFERROR(__xludf.DUMMYFUNCTION("""COMPUTED_VALUE"""),-0.0388369518237679)</f>
        <v>-0.03883695182</v>
      </c>
      <c r="AE24" s="49">
        <f>IFERROR(__xludf.DUMMYFUNCTION("""COMPUTED_VALUE"""),10.571428571428571)</f>
        <v>10.57142857</v>
      </c>
      <c r="AF24" s="49">
        <f>IFERROR(__xludf.DUMMYFUNCTION("""COMPUTED_VALUE"""),36.42857142857143)</f>
        <v>36.42857143</v>
      </c>
      <c r="AG24" s="201">
        <f>IFERROR(__xludf.DUMMYFUNCTION("""COMPUTED_VALUE"""),0.05175967688172023)</f>
        <v>0.05175967688</v>
      </c>
      <c r="AH24" s="201">
        <f>IFERROR(__xludf.DUMMYFUNCTION("""COMPUTED_VALUE"""),0.2374417890490933)</f>
        <v>0.237441789</v>
      </c>
      <c r="AI24" s="15" t="str">
        <f>IFERROR(__xludf.DUMMYFUNCTION("""COMPUTED_VALUE"""),"went to climb a little before 30 but didnt move past mid, very slow. easy to play defense against, defended for a majority of the game")</f>
        <v>went to climb a little before 30 but didnt move past mid, very slow. easy to play defense against, defended for a majority of the game</v>
      </c>
    </row>
    <row r="25">
      <c r="A25" s="15">
        <f>IFERROR(__xludf.DUMMYFUNCTION("""COMPUTED_VALUE"""),1706.0)</f>
        <v>1706</v>
      </c>
      <c r="B25" s="62">
        <f>IFERROR(__xludf.DUMMYFUNCTION("""COMPUTED_VALUE"""),0.57)</f>
        <v>0.57</v>
      </c>
      <c r="C25" s="49">
        <f>IFERROR(__xludf.DUMMYFUNCTION("""COMPUTED_VALUE"""),0.0)</f>
        <v>0</v>
      </c>
      <c r="D25" s="49">
        <f>IFERROR(__xludf.DUMMYFUNCTION("""COMPUTED_VALUE"""),3.2857142857142856)</f>
        <v>3.285714286</v>
      </c>
      <c r="E25" s="49">
        <f>IFERROR(__xludf.DUMMYFUNCTION("""COMPUTED_VALUE"""),1.4891487680127564)</f>
        <v>1.489148768</v>
      </c>
      <c r="F25" s="49">
        <f>IFERROR(__xludf.DUMMYFUNCTION("""COMPUTED_VALUE"""),3.5714285714285716)</f>
        <v>3.571428571</v>
      </c>
      <c r="G25" s="196">
        <f>IFERROR(__xludf.DUMMYFUNCTION("""COMPUTED_VALUE"""),0.92)</f>
        <v>0.92</v>
      </c>
      <c r="H25" s="196">
        <f>IFERROR(__xludf.DUMMYFUNCTION("""COMPUTED_VALUE"""),1.0)</f>
        <v>1</v>
      </c>
      <c r="I25" s="196">
        <f>IFERROR(__xludf.DUMMYFUNCTION("""COMPUTED_VALUE"""),1.0)</f>
        <v>1</v>
      </c>
      <c r="J25" s="196">
        <f>IFERROR(__xludf.DUMMYFUNCTION("""COMPUTED_VALUE"""),1.0)</f>
        <v>1</v>
      </c>
      <c r="K25" s="49">
        <f>IFERROR(__xludf.DUMMYFUNCTION("""COMPUTED_VALUE"""),1.0757803414396225)</f>
        <v>1.075780341</v>
      </c>
      <c r="L25" s="49">
        <f>IFERROR(__xludf.DUMMYFUNCTION("""COMPUTED_VALUE"""),0.0)</f>
        <v>0</v>
      </c>
      <c r="M25" s="49">
        <f>IFERROR(__xludf.DUMMYFUNCTION("""COMPUTED_VALUE"""),17.714285714285715)</f>
        <v>17.71428571</v>
      </c>
      <c r="N25" s="197">
        <f>IFERROR(__xludf.DUMMYFUNCTION("""COMPUTED_VALUE"""),1.917620048654021)</f>
        <v>1.917620049</v>
      </c>
      <c r="O25" s="196">
        <f>IFERROR(__xludf.DUMMYFUNCTION("""COMPUTED_VALUE"""),0.8596491228070176)</f>
        <v>0.8596491228</v>
      </c>
      <c r="P25" s="49">
        <f>IFERROR(__xludf.DUMMYFUNCTION("""COMPUTED_VALUE"""),1.7142857142857142)</f>
        <v>1.714285714</v>
      </c>
      <c r="Q25" s="49">
        <f>IFERROR(__xludf.DUMMYFUNCTION("""COMPUTED_VALUE"""),2.4)</f>
        <v>2.4</v>
      </c>
      <c r="R25" s="198">
        <f>IFERROR(__xludf.DUMMYFUNCTION("""COMPUTED_VALUE"""),-1.71513951001995)</f>
        <v>-1.71513951</v>
      </c>
      <c r="S25" s="196">
        <f>IFERROR(__xludf.DUMMYFUNCTION("""COMPUTED_VALUE"""),0.5)</f>
        <v>0.5</v>
      </c>
      <c r="T25" s="196">
        <f>IFERROR(__xludf.DUMMYFUNCTION("""COMPUTED_VALUE"""),0.0)</f>
        <v>0</v>
      </c>
      <c r="U25" s="196">
        <f>IFERROR(__xludf.DUMMYFUNCTION("""COMPUTED_VALUE"""),0.2857142857142857)</f>
        <v>0.2857142857</v>
      </c>
      <c r="V25" s="196">
        <f>IFERROR(__xludf.DUMMYFUNCTION("""COMPUTED_VALUE"""),0.0)</f>
        <v>0</v>
      </c>
      <c r="W25" s="196">
        <f>IFERROR(__xludf.DUMMYFUNCTION("""COMPUTED_VALUE"""),0.0)</f>
        <v>0</v>
      </c>
      <c r="X25" s="199">
        <f>IFERROR(__xludf.DUMMYFUNCTION("""COMPUTED_VALUE"""),-1.3661198376377892)</f>
        <v>-1.366119838</v>
      </c>
      <c r="Y25" s="49">
        <f>IFERROR(__xludf.DUMMYFUNCTION("""COMPUTED_VALUE"""),13.142857142857142)</f>
        <v>13.14285714</v>
      </c>
      <c r="Z25" s="49">
        <f>IFERROR(__xludf.DUMMYFUNCTION("""COMPUTED_VALUE"""),35.42857142857143)</f>
        <v>35.42857143</v>
      </c>
      <c r="AA25" s="49">
        <f>IFERROR(__xludf.DUMMYFUNCTION("""COMPUTED_VALUE"""),48.57142857142857)</f>
        <v>48.57142857</v>
      </c>
      <c r="AB25" s="200">
        <f>IFERROR(__xludf.DUMMYFUNCTION("""COMPUTED_VALUE"""),1.846892414526987)</f>
        <v>1.846892415</v>
      </c>
      <c r="AC25" s="15">
        <f>IFERROR(__xludf.DUMMYFUNCTION("""COMPUTED_VALUE"""),24.0)</f>
        <v>24</v>
      </c>
      <c r="AD25" s="15">
        <f>IFERROR(__xludf.DUMMYFUNCTION("""COMPUTED_VALUE"""),1.486396065255121)</f>
        <v>1.486396065</v>
      </c>
      <c r="AE25" s="49">
        <f>IFERROR(__xludf.DUMMYFUNCTION("""COMPUTED_VALUE"""),21.0)</f>
        <v>21</v>
      </c>
      <c r="AF25" s="49">
        <f>IFERROR(__xludf.DUMMYFUNCTION("""COMPUTED_VALUE"""),50.285714285714285)</f>
        <v>50.28571429</v>
      </c>
      <c r="AG25" s="201">
        <f>IFERROR(__xludf.DUMMYFUNCTION("""COMPUTED_VALUE"""),1.4544785125770066)</f>
        <v>1.454478513</v>
      </c>
      <c r="AH25" s="201">
        <f>IFERROR(__xludf.DUMMYFUNCTION("""COMPUTED_VALUE"""),-0.2606609974429439)</f>
        <v>-0.2606609974</v>
      </c>
      <c r="AI25" s="15" t="str">
        <f>IFERROR(__xludf.DUMMYFUNCTION("""COMPUTED_VALUE"""),"")</f>
        <v/>
      </c>
    </row>
    <row r="26">
      <c r="A26" s="15">
        <f>IFERROR(__xludf.DUMMYFUNCTION("""COMPUTED_VALUE"""),325.0)</f>
        <v>325</v>
      </c>
      <c r="B26" s="62">
        <f>IFERROR(__xludf.DUMMYFUNCTION("""COMPUTED_VALUE"""),0.43)</f>
        <v>0.43</v>
      </c>
      <c r="C26" s="49">
        <f>IFERROR(__xludf.DUMMYFUNCTION("""COMPUTED_VALUE"""),0.0)</f>
        <v>0</v>
      </c>
      <c r="D26" s="49">
        <f>IFERROR(__xludf.DUMMYFUNCTION("""COMPUTED_VALUE"""),1.2857142857142858)</f>
        <v>1.285714286</v>
      </c>
      <c r="E26" s="49">
        <f>IFERROR(__xludf.DUMMYFUNCTION("""COMPUTED_VALUE"""),-0.7921004085174232)</f>
        <v>-0.7921004085</v>
      </c>
      <c r="F26" s="49">
        <f>IFERROR(__xludf.DUMMYFUNCTION("""COMPUTED_VALUE"""),1.7142857142857142)</f>
        <v>1.714285714</v>
      </c>
      <c r="G26" s="196">
        <f>IFERROR(__xludf.DUMMYFUNCTION("""COMPUTED_VALUE"""),0.75)</f>
        <v>0.75</v>
      </c>
      <c r="H26" s="196">
        <f>IFERROR(__xludf.DUMMYFUNCTION("""COMPUTED_VALUE"""),0.75)</f>
        <v>0.75</v>
      </c>
      <c r="I26" s="196">
        <f>IFERROR(__xludf.DUMMYFUNCTION("""COMPUTED_VALUE"""),0.8571428571428571)</f>
        <v>0.8571428571</v>
      </c>
      <c r="J26" s="196">
        <f>IFERROR(__xludf.DUMMYFUNCTION("""COMPUTED_VALUE"""),0.8035714285714286)</f>
        <v>0.8035714286</v>
      </c>
      <c r="K26" s="49">
        <f>IFERROR(__xludf.DUMMYFUNCTION("""COMPUTED_VALUE"""),-0.3604680447670809)</f>
        <v>-0.3604680448</v>
      </c>
      <c r="L26" s="49">
        <f>IFERROR(__xludf.DUMMYFUNCTION("""COMPUTED_VALUE"""),0.0)</f>
        <v>0</v>
      </c>
      <c r="M26" s="49">
        <f>IFERROR(__xludf.DUMMYFUNCTION("""COMPUTED_VALUE"""),0.42857142857142855)</f>
        <v>0.4285714286</v>
      </c>
      <c r="N26" s="197">
        <f>IFERROR(__xludf.DUMMYFUNCTION("""COMPUTED_VALUE"""),-1.9804286559670599)</f>
        <v>-1.980428656</v>
      </c>
      <c r="O26" s="196">
        <f>IFERROR(__xludf.DUMMYFUNCTION("""COMPUTED_VALUE"""),0.8571428571428571)</f>
        <v>0.8571428571</v>
      </c>
      <c r="P26" s="49">
        <f>IFERROR(__xludf.DUMMYFUNCTION("""COMPUTED_VALUE"""),0.5714285714285714)</f>
        <v>0.5714285714</v>
      </c>
      <c r="Q26" s="49">
        <f>IFERROR(__xludf.DUMMYFUNCTION("""COMPUTED_VALUE"""),0.8)</f>
        <v>0.8</v>
      </c>
      <c r="R26" s="198">
        <f>IFERROR(__xludf.DUMMYFUNCTION("""COMPUTED_VALUE"""),-2.053063353964363)</f>
        <v>-2.053063354</v>
      </c>
      <c r="S26" s="196">
        <f>IFERROR(__xludf.DUMMYFUNCTION("""COMPUTED_VALUE"""),1.0)</f>
        <v>1</v>
      </c>
      <c r="T26" s="196">
        <f>IFERROR(__xludf.DUMMYFUNCTION("""COMPUTED_VALUE"""),0.14285714285714285)</f>
        <v>0.1428571429</v>
      </c>
      <c r="U26" s="196">
        <f>IFERROR(__xludf.DUMMYFUNCTION("""COMPUTED_VALUE"""),0.0)</f>
        <v>0</v>
      </c>
      <c r="V26" s="196">
        <f>IFERROR(__xludf.DUMMYFUNCTION("""COMPUTED_VALUE"""),0.0)</f>
        <v>0</v>
      </c>
      <c r="W26" s="196">
        <f>IFERROR(__xludf.DUMMYFUNCTION("""COMPUTED_VALUE"""),0.0)</f>
        <v>0</v>
      </c>
      <c r="X26" s="199">
        <f>IFERROR(__xludf.DUMMYFUNCTION("""COMPUTED_VALUE"""),-1.3661198376377892)</f>
        <v>-1.366119838</v>
      </c>
      <c r="Y26" s="49">
        <f>IFERROR(__xludf.DUMMYFUNCTION("""COMPUTED_VALUE"""),5.142857142857143)</f>
        <v>5.142857143</v>
      </c>
      <c r="Z26" s="49">
        <f>IFERROR(__xludf.DUMMYFUNCTION("""COMPUTED_VALUE"""),0.8571428571428571)</f>
        <v>0.8571428571</v>
      </c>
      <c r="AA26" s="49">
        <f>IFERROR(__xludf.DUMMYFUNCTION("""COMPUTED_VALUE"""),6.0)</f>
        <v>6</v>
      </c>
      <c r="AB26" s="200">
        <f>IFERROR(__xludf.DUMMYFUNCTION("""COMPUTED_VALUE"""),-1.784271645437326)</f>
        <v>-1.784271645</v>
      </c>
      <c r="AC26" s="15">
        <f>IFERROR(__xludf.DUMMYFUNCTION("""COMPUTED_VALUE"""),3.0)</f>
        <v>3</v>
      </c>
      <c r="AD26" s="15">
        <f>IFERROR(__xludf.DUMMYFUNCTION("""COMPUTED_VALUE"""),-2.07248097459562)</f>
        <v>-2.072480975</v>
      </c>
      <c r="AE26" s="49">
        <f>IFERROR(__xludf.DUMMYFUNCTION("""COMPUTED_VALUE"""),1.7142857142857144)</f>
        <v>1.714285714</v>
      </c>
      <c r="AF26" s="49">
        <f>IFERROR(__xludf.DUMMYFUNCTION("""COMPUTED_VALUE"""),6.571428571428571)</f>
        <v>6.571428571</v>
      </c>
      <c r="AG26" s="201">
        <f>IFERROR(__xludf.DUMMYFUNCTION("""COMPUTED_VALUE"""),-16.58648840312133)</f>
        <v>-16.5864884</v>
      </c>
      <c r="AH26" s="201">
        <f>IFERROR(__xludf.DUMMYFUNCTION("""COMPUTED_VALUE"""),-18.639551757085695)</f>
        <v>-18.63955176</v>
      </c>
      <c r="AI26" s="15" t="str">
        <f>IFERROR(__xludf.DUMMYFUNCTION("""COMPUTED_VALUE"""),"i think they played defense, defensive, mostly defensive and attempted to climb but ran out of time., defense, held 2 blue cargo emtire match. played defense against team 118 entire match, no battery i think")</f>
        <v>i think they played defense, defensive, mostly defensive and attempted to climb but ran out of time., defense, held 2 blue cargo emtire match. played defense against team 118 entire match, no battery i think</v>
      </c>
    </row>
    <row r="27">
      <c r="A27" s="15">
        <f>IFERROR(__xludf.DUMMYFUNCTION("""COMPUTED_VALUE"""),5406.0)</f>
        <v>5406</v>
      </c>
      <c r="B27" s="62">
        <f>IFERROR(__xludf.DUMMYFUNCTION("""COMPUTED_VALUE"""),0.57)</f>
        <v>0.57</v>
      </c>
      <c r="C27" s="49">
        <f>IFERROR(__xludf.DUMMYFUNCTION("""COMPUTED_VALUE"""),0.0)</f>
        <v>0</v>
      </c>
      <c r="D27" s="49">
        <f>IFERROR(__xludf.DUMMYFUNCTION("""COMPUTED_VALUE"""),2.5714285714285716)</f>
        <v>2.571428571</v>
      </c>
      <c r="E27" s="49">
        <f>IFERROR(__xludf.DUMMYFUNCTION("""COMPUTED_VALUE"""),0.6744169192519782)</f>
        <v>0.6744169193</v>
      </c>
      <c r="F27" s="49">
        <f>IFERROR(__xludf.DUMMYFUNCTION("""COMPUTED_VALUE"""),2.7142857142857144)</f>
        <v>2.714285714</v>
      </c>
      <c r="G27" s="196">
        <f>IFERROR(__xludf.DUMMYFUNCTION("""COMPUTED_VALUE"""),0.9473684210526315)</f>
        <v>0.9473684211</v>
      </c>
      <c r="H27" s="196">
        <f>IFERROR(__xludf.DUMMYFUNCTION("""COMPUTED_VALUE"""),1.0)</f>
        <v>1</v>
      </c>
      <c r="I27" s="196">
        <f>IFERROR(__xludf.DUMMYFUNCTION("""COMPUTED_VALUE"""),0.8571428571428571)</f>
        <v>0.8571428571</v>
      </c>
      <c r="J27" s="196">
        <f>IFERROR(__xludf.DUMMYFUNCTION("""COMPUTED_VALUE"""),0.9285714285714286)</f>
        <v>0.9285714286</v>
      </c>
      <c r="K27" s="49">
        <f>IFERROR(__xludf.DUMMYFUNCTION("""COMPUTED_VALUE"""),0.5535082010008215)</f>
        <v>0.553508201</v>
      </c>
      <c r="L27" s="49">
        <f>IFERROR(__xludf.DUMMYFUNCTION("""COMPUTED_VALUE"""),0.0)</f>
        <v>0</v>
      </c>
      <c r="M27" s="49">
        <f>IFERROR(__xludf.DUMMYFUNCTION("""COMPUTED_VALUE"""),6.0)</f>
        <v>6</v>
      </c>
      <c r="N27" s="197">
        <f>IFERROR(__xludf.DUMMYFUNCTION("""COMPUTED_VALUE"""),-0.7240327924941496)</f>
        <v>-0.7240327925</v>
      </c>
      <c r="O27" s="196">
        <f>IFERROR(__xludf.DUMMYFUNCTION("""COMPUTED_VALUE"""),0.8450704225352113)</f>
        <v>0.8450704225</v>
      </c>
      <c r="P27" s="49">
        <f>IFERROR(__xludf.DUMMYFUNCTION("""COMPUTED_VALUE"""),6.428571428571429)</f>
        <v>6.428571429</v>
      </c>
      <c r="Q27" s="49">
        <f>IFERROR(__xludf.DUMMYFUNCTION("""COMPUTED_VALUE"""),9.0)</f>
        <v>9</v>
      </c>
      <c r="R27" s="198">
        <f>IFERROR(__xludf.DUMMYFUNCTION("""COMPUTED_VALUE"""),-0.3212036537492465)</f>
        <v>-0.3212036537</v>
      </c>
      <c r="S27" s="196">
        <f>IFERROR(__xludf.DUMMYFUNCTION("""COMPUTED_VALUE"""),1.0)</f>
        <v>1</v>
      </c>
      <c r="T27" s="196">
        <f>IFERROR(__xludf.DUMMYFUNCTION("""COMPUTED_VALUE"""),0.0)</f>
        <v>0</v>
      </c>
      <c r="U27" s="196">
        <f>IFERROR(__xludf.DUMMYFUNCTION("""COMPUTED_VALUE"""),0.0)</f>
        <v>0</v>
      </c>
      <c r="V27" s="196">
        <f>IFERROR(__xludf.DUMMYFUNCTION("""COMPUTED_VALUE"""),0.0)</f>
        <v>0</v>
      </c>
      <c r="W27" s="196">
        <f>IFERROR(__xludf.DUMMYFUNCTION("""COMPUTED_VALUE"""),0.42857142857142855)</f>
        <v>0.4285714286</v>
      </c>
      <c r="X27" s="199">
        <f>IFERROR(__xludf.DUMMYFUNCTION("""COMPUTED_VALUE"""),-0.009031548222382332)</f>
        <v>-0.009031548222</v>
      </c>
      <c r="Y27" s="49">
        <f>IFERROR(__xludf.DUMMYFUNCTION("""COMPUTED_VALUE"""),10.285714285714286)</f>
        <v>10.28571429</v>
      </c>
      <c r="Z27" s="49">
        <f>IFERROR(__xludf.DUMMYFUNCTION("""COMPUTED_VALUE"""),12.0)</f>
        <v>12</v>
      </c>
      <c r="AA27" s="49">
        <f>IFERROR(__xludf.DUMMYFUNCTION("""COMPUTED_VALUE"""),22.285714285714285)</f>
        <v>22.28571429</v>
      </c>
      <c r="AB27" s="200">
        <f>IFERROR(__xludf.DUMMYFUNCTION("""COMPUTED_VALUE"""),-0.4931910907833479)</f>
        <v>-0.4931910908</v>
      </c>
      <c r="AC27" s="15">
        <f>IFERROR(__xludf.DUMMYFUNCTION("""COMPUTED_VALUE"""),15.0)</f>
        <v>15</v>
      </c>
      <c r="AD27" s="15">
        <f>IFERROR(__xludf.DUMMYFUNCTION("""COMPUTED_VALUE"""),-0.0388369518237679)</f>
        <v>-0.03883695182</v>
      </c>
      <c r="AE27" s="49">
        <f>IFERROR(__xludf.DUMMYFUNCTION("""COMPUTED_VALUE"""),8.571428571428571)</f>
        <v>8.571428571</v>
      </c>
      <c r="AF27" s="49">
        <f>IFERROR(__xludf.DUMMYFUNCTION("""COMPUTED_VALUE"""),28.714285714285715)</f>
        <v>28.71428571</v>
      </c>
      <c r="AG27" s="201">
        <f>IFERROR(__xludf.DUMMYFUNCTION("""COMPUTED_VALUE"""),-2.9422417433023815)</f>
        <v>-2.942241743</v>
      </c>
      <c r="AH27" s="201">
        <f>IFERROR(__xludf.DUMMYFUNCTION("""COMPUTED_VALUE"""),-3.263445397051628)</f>
        <v>-3.263445397</v>
      </c>
      <c r="AI27" s="15" t="str">
        <f>IFERROR(__xludf.DUMMYFUNCTION("""COMPUTED_VALUE"""),"windmill climber, intake unreliable as balls kept slipping out, decided to play defense last minute but robot died halfway through the gams, 10 second traversal, tipped over mid game, kept getting pinned")</f>
        <v>windmill climber, intake unreliable as balls kept slipping out, decided to play defense last minute but robot died halfway through the gams, 10 second traversal, tipped over mid game, kept getting pinned</v>
      </c>
    </row>
    <row r="28">
      <c r="A28" s="15">
        <f>IFERROR(__xludf.DUMMYFUNCTION("""COMPUTED_VALUE"""),3175.0)</f>
        <v>3175</v>
      </c>
      <c r="B28" s="62">
        <f>IFERROR(__xludf.DUMMYFUNCTION("""COMPUTED_VALUE"""),0.63)</f>
        <v>0.63</v>
      </c>
      <c r="C28" s="49">
        <f>IFERROR(__xludf.DUMMYFUNCTION("""COMPUTED_VALUE"""),0.0)</f>
        <v>0</v>
      </c>
      <c r="D28" s="49">
        <f>IFERROR(__xludf.DUMMYFUNCTION("""COMPUTED_VALUE"""),1.25)</f>
        <v>1.25</v>
      </c>
      <c r="E28" s="49">
        <f>IFERROR(__xludf.DUMMYFUNCTION("""COMPUTED_VALUE"""),-0.8328370009554623)</f>
        <v>-0.832837001</v>
      </c>
      <c r="F28" s="49">
        <f>IFERROR(__xludf.DUMMYFUNCTION("""COMPUTED_VALUE"""),1.625)</f>
        <v>1.625</v>
      </c>
      <c r="G28" s="196">
        <f>IFERROR(__xludf.DUMMYFUNCTION("""COMPUTED_VALUE"""),0.7692307692307693)</f>
        <v>0.7692307692</v>
      </c>
      <c r="H28" s="196">
        <f>IFERROR(__xludf.DUMMYFUNCTION("""COMPUTED_VALUE"""),0.7777777777777778)</f>
        <v>0.7777777778</v>
      </c>
      <c r="I28" s="196">
        <f>IFERROR(__xludf.DUMMYFUNCTION("""COMPUTED_VALUE"""),0.75)</f>
        <v>0.75</v>
      </c>
      <c r="J28" s="196">
        <f>IFERROR(__xludf.DUMMYFUNCTION("""COMPUTED_VALUE"""),0.7638888888888888)</f>
        <v>0.7638888889</v>
      </c>
      <c r="K28" s="49">
        <f>IFERROR(__xludf.DUMMYFUNCTION("""COMPUTED_VALUE"""),-0.650619233899749)</f>
        <v>-0.6506192339</v>
      </c>
      <c r="L28" s="49">
        <f>IFERROR(__xludf.DUMMYFUNCTION("""COMPUTED_VALUE"""),0.0)</f>
        <v>0</v>
      </c>
      <c r="M28" s="49">
        <f>IFERROR(__xludf.DUMMYFUNCTION("""COMPUTED_VALUE"""),4.75)</f>
        <v>4.75</v>
      </c>
      <c r="N28" s="197">
        <f>IFERROR(__xludf.DUMMYFUNCTION("""COMPUTED_VALUE"""),-1.0059164798117897)</f>
        <v>-1.00591648</v>
      </c>
      <c r="O28" s="196">
        <f>IFERROR(__xludf.DUMMYFUNCTION("""COMPUTED_VALUE"""),0.8421052631578947)</f>
        <v>0.8421052632</v>
      </c>
      <c r="P28" s="49">
        <f>IFERROR(__xludf.DUMMYFUNCTION("""COMPUTED_VALUE"""),0.0)</f>
        <v>0</v>
      </c>
      <c r="Q28" s="49">
        <f>IFERROR(__xludf.DUMMYFUNCTION("""COMPUTED_VALUE"""),0.0)</f>
        <v>0</v>
      </c>
      <c r="R28" s="198">
        <f>IFERROR(__xludf.DUMMYFUNCTION("""COMPUTED_VALUE"""),-2.2220252759365695)</f>
        <v>-2.222025276</v>
      </c>
      <c r="S28" s="196">
        <f>IFERROR(__xludf.DUMMYFUNCTION("""COMPUTED_VALUE"""),0.0)</f>
        <v>0</v>
      </c>
      <c r="T28" s="196">
        <f>IFERROR(__xludf.DUMMYFUNCTION("""COMPUTED_VALUE"""),0.0)</f>
        <v>0</v>
      </c>
      <c r="U28" s="196">
        <f>IFERROR(__xludf.DUMMYFUNCTION("""COMPUTED_VALUE"""),0.0)</f>
        <v>0</v>
      </c>
      <c r="V28" s="196">
        <f>IFERROR(__xludf.DUMMYFUNCTION("""COMPUTED_VALUE"""),0.0)</f>
        <v>0</v>
      </c>
      <c r="W28" s="196">
        <f>IFERROR(__xludf.DUMMYFUNCTION("""COMPUTED_VALUE"""),0.0)</f>
        <v>0</v>
      </c>
      <c r="X28" s="199">
        <f>IFERROR(__xludf.DUMMYFUNCTION("""COMPUTED_VALUE"""),-1.3661198376377892)</f>
        <v>-1.366119838</v>
      </c>
      <c r="Y28" s="49">
        <f>IFERROR(__xludf.DUMMYFUNCTION("""COMPUTED_VALUE"""),5.0)</f>
        <v>5</v>
      </c>
      <c r="Z28" s="49">
        <f>IFERROR(__xludf.DUMMYFUNCTION("""COMPUTED_VALUE"""),9.5)</f>
        <v>9.5</v>
      </c>
      <c r="AA28" s="49">
        <f>IFERROR(__xludf.DUMMYFUNCTION("""COMPUTED_VALUE"""),14.5)</f>
        <v>14.5</v>
      </c>
      <c r="AB28" s="200">
        <f>IFERROR(__xludf.DUMMYFUNCTION("""COMPUTED_VALUE"""),-0.9773462987785896)</f>
        <v>-0.9773462988</v>
      </c>
      <c r="AC28" s="15">
        <f>IFERROR(__xludf.DUMMYFUNCTION("""COMPUTED_VALUE"""),13.0)</f>
        <v>13</v>
      </c>
      <c r="AD28" s="15">
        <f>IFERROR(__xludf.DUMMYFUNCTION("""COMPUTED_VALUE"""),-0.3777776222857432)</f>
        <v>-0.3777776223</v>
      </c>
      <c r="AE28" s="49">
        <f>IFERROR(__xludf.DUMMYFUNCTION("""COMPUTED_VALUE"""),6.0)</f>
        <v>6</v>
      </c>
      <c r="AF28" s="49">
        <f>IFERROR(__xludf.DUMMYFUNCTION("""COMPUTED_VALUE"""),14.5)</f>
        <v>14.5</v>
      </c>
      <c r="AG28" s="201">
        <f>IFERROR(__xludf.DUMMYFUNCTION("""COMPUTED_VALUE"""),-12.93424739936714)</f>
        <v>-12.9342474</v>
      </c>
      <c r="AH28" s="201">
        <f>IFERROR(__xludf.DUMMYFUNCTION("""COMPUTED_VALUE"""),-15.15627267530371)</f>
        <v>-15.15627268</v>
      </c>
      <c r="AI28" s="15" t="str">
        <f>IFERROR(__xludf.DUMMYFUNCTION("""COMPUTED_VALUE"""),"There appeared to be something wrong with the game firing mechanism at the end, hook (one) on high bar but bumper on floor, they played defense and disabled 2767 with only 4 points penalty, Decent defense.")</f>
        <v>There appeared to be something wrong with the game firing mechanism at the end, hook (one) on high bar but bumper on floor, they played defense and disabled 2767 with only 4 points penalty, Decent defense.</v>
      </c>
    </row>
    <row r="29">
      <c r="A29" s="15">
        <f>IFERROR(__xludf.DUMMYFUNCTION("""COMPUTED_VALUE"""),27.0)</f>
        <v>27</v>
      </c>
      <c r="B29" s="62">
        <f>IFERROR(__xludf.DUMMYFUNCTION("""COMPUTED_VALUE"""),0.75)</f>
        <v>0.75</v>
      </c>
      <c r="C29" s="49">
        <f>IFERROR(__xludf.DUMMYFUNCTION("""COMPUTED_VALUE"""),0.0)</f>
        <v>0</v>
      </c>
      <c r="D29" s="49">
        <f>IFERROR(__xludf.DUMMYFUNCTION("""COMPUTED_VALUE"""),2.5)</f>
        <v>2.5</v>
      </c>
      <c r="E29" s="49">
        <f>IFERROR(__xludf.DUMMYFUNCTION("""COMPUTED_VALUE"""),0.5929437343759001)</f>
        <v>0.5929437344</v>
      </c>
      <c r="F29" s="49">
        <f>IFERROR(__xludf.DUMMYFUNCTION("""COMPUTED_VALUE"""),2.75)</f>
        <v>2.75</v>
      </c>
      <c r="G29" s="196">
        <f>IFERROR(__xludf.DUMMYFUNCTION("""COMPUTED_VALUE"""),0.9090909090909091)</f>
        <v>0.9090909091</v>
      </c>
      <c r="H29" s="196">
        <f>IFERROR(__xludf.DUMMYFUNCTION("""COMPUTED_VALUE"""),0.8888888888888888)</f>
        <v>0.8888888889</v>
      </c>
      <c r="I29" s="196">
        <f>IFERROR(__xludf.DUMMYFUNCTION("""COMPUTED_VALUE"""),1.0)</f>
        <v>1</v>
      </c>
      <c r="J29" s="196">
        <f>IFERROR(__xludf.DUMMYFUNCTION("""COMPUTED_VALUE"""),0.9444444444444444)</f>
        <v>0.9444444444</v>
      </c>
      <c r="K29" s="49">
        <f>IFERROR(__xludf.DUMMYFUNCTION("""COMPUTED_VALUE"""),0.6695686766538881)</f>
        <v>0.6695686767</v>
      </c>
      <c r="L29" s="49">
        <f>IFERROR(__xludf.DUMMYFUNCTION("""COMPUTED_VALUE"""),0.0)</f>
        <v>0</v>
      </c>
      <c r="M29" s="49">
        <f>IFERROR(__xludf.DUMMYFUNCTION("""COMPUTED_VALUE"""),9.375)</f>
        <v>9.375</v>
      </c>
      <c r="N29" s="197">
        <f>IFERROR(__xludf.DUMMYFUNCTION("""COMPUTED_VALUE"""),0.03705316326347867)</f>
        <v>0.03705316326</v>
      </c>
      <c r="O29" s="196">
        <f>IFERROR(__xludf.DUMMYFUNCTION("""COMPUTED_VALUE"""),0.8407079646017699)</f>
        <v>0.8407079646</v>
      </c>
      <c r="P29" s="49">
        <f>IFERROR(__xludf.DUMMYFUNCTION("""COMPUTED_VALUE"""),14.375)</f>
        <v>14.375</v>
      </c>
      <c r="Q29" s="49">
        <f>IFERROR(__xludf.DUMMYFUNCTION("""COMPUTED_VALUE"""),15.0)</f>
        <v>15</v>
      </c>
      <c r="R29" s="198">
        <f>IFERROR(__xludf.DUMMYFUNCTION("""COMPUTED_VALUE"""),0.9460107610423022)</f>
        <v>0.946010761</v>
      </c>
      <c r="S29" s="196">
        <f>IFERROR(__xludf.DUMMYFUNCTION("""COMPUTED_VALUE"""),1.0)</f>
        <v>1</v>
      </c>
      <c r="T29" s="196">
        <f>IFERROR(__xludf.DUMMYFUNCTION("""COMPUTED_VALUE"""),0.0)</f>
        <v>0</v>
      </c>
      <c r="U29" s="196">
        <f>IFERROR(__xludf.DUMMYFUNCTION("""COMPUTED_VALUE"""),0.0)</f>
        <v>0</v>
      </c>
      <c r="V29" s="196">
        <f>IFERROR(__xludf.DUMMYFUNCTION("""COMPUTED_VALUE"""),0.125)</f>
        <v>0.125</v>
      </c>
      <c r="W29" s="196">
        <f>IFERROR(__xludf.DUMMYFUNCTION("""COMPUTED_VALUE"""),0.875)</f>
        <v>0.875</v>
      </c>
      <c r="X29" s="199">
        <f>IFERROR(__xludf.DUMMYFUNCTION("""COMPUTED_VALUE"""),1.4046020865853333)</f>
        <v>1.404602087</v>
      </c>
      <c r="Y29" s="49">
        <f>IFERROR(__xludf.DUMMYFUNCTION("""COMPUTED_VALUE"""),10.0)</f>
        <v>10</v>
      </c>
      <c r="Z29" s="49">
        <f>IFERROR(__xludf.DUMMYFUNCTION("""COMPUTED_VALUE"""),18.75)</f>
        <v>18.75</v>
      </c>
      <c r="AA29" s="49">
        <f>IFERROR(__xludf.DUMMYFUNCTION("""COMPUTED_VALUE"""),28.75)</f>
        <v>28.75</v>
      </c>
      <c r="AB29" s="200">
        <f>IFERROR(__xludf.DUMMYFUNCTION("""COMPUTED_VALUE"""),0.12881386393276126)</f>
        <v>0.1288138639</v>
      </c>
      <c r="AC29" s="15">
        <f>IFERROR(__xludf.DUMMYFUNCTION("""COMPUTED_VALUE"""),13.0)</f>
        <v>13</v>
      </c>
      <c r="AD29" s="15">
        <f>IFERROR(__xludf.DUMMYFUNCTION("""COMPUTED_VALUE"""),-0.3777776222857432)</f>
        <v>-0.3777776223</v>
      </c>
      <c r="AE29" s="49">
        <f>IFERROR(__xludf.DUMMYFUNCTION("""COMPUTED_VALUE"""),11.875)</f>
        <v>11.875</v>
      </c>
      <c r="AF29" s="49">
        <f>IFERROR(__xludf.DUMMYFUNCTION("""COMPUTED_VALUE"""),43.125)</f>
        <v>43.125</v>
      </c>
      <c r="AG29" s="201">
        <f>IFERROR(__xludf.DUMMYFUNCTION("""COMPUTED_VALUE"""),4.186993588327789)</f>
        <v>4.186993588</v>
      </c>
      <c r="AH29" s="201">
        <f>IFERROR(__xludf.DUMMYFUNCTION("""COMPUTED_VALUE"""),5.133004349370092)</f>
        <v>5.133004349</v>
      </c>
      <c r="AI29" s="15" t="str">
        <f>IFERROR(__xludf.DUMMYFUNCTION("""COMPUTED_VALUE"""),"put ine red cargo into hanger during auto, very efficient, but slow on intake due to driver, quick traversal climb, intakw has issues picking up balls at an angke, 20 sec climb to traversal")</f>
        <v>put ine red cargo into hanger during auto, very efficient, but slow on intake due to driver, quick traversal climb, intakw has issues picking up balls at an angke, 20 sec climb to traversal</v>
      </c>
    </row>
    <row r="30">
      <c r="A30" s="15">
        <f>IFERROR(__xludf.DUMMYFUNCTION("""COMPUTED_VALUE"""),3176.0)</f>
        <v>3176</v>
      </c>
      <c r="B30" s="62">
        <f>IFERROR(__xludf.DUMMYFUNCTION("""COMPUTED_VALUE"""),0.13)</f>
        <v>0.13</v>
      </c>
      <c r="C30" s="49">
        <f>IFERROR(__xludf.DUMMYFUNCTION("""COMPUTED_VALUE"""),0.0)</f>
        <v>0</v>
      </c>
      <c r="D30" s="49">
        <f>IFERROR(__xludf.DUMMYFUNCTION("""COMPUTED_VALUE"""),1.5)</f>
        <v>1.5</v>
      </c>
      <c r="E30" s="49">
        <f>IFERROR(__xludf.DUMMYFUNCTION("""COMPUTED_VALUE"""),-0.5476808538891899)</f>
        <v>-0.5476808539</v>
      </c>
      <c r="F30" s="49">
        <f>IFERROR(__xludf.DUMMYFUNCTION("""COMPUTED_VALUE"""),1.75)</f>
        <v>1.75</v>
      </c>
      <c r="G30" s="196">
        <f>IFERROR(__xludf.DUMMYFUNCTION("""COMPUTED_VALUE"""),0.8571428571428571)</f>
        <v>0.8571428571</v>
      </c>
      <c r="H30" s="196">
        <f>IFERROR(__xludf.DUMMYFUNCTION("""COMPUTED_VALUE"""),0.8181818181818182)</f>
        <v>0.8181818182</v>
      </c>
      <c r="I30" s="196">
        <f>IFERROR(__xludf.DUMMYFUNCTION("""COMPUTED_VALUE"""),0.875)</f>
        <v>0.875</v>
      </c>
      <c r="J30" s="196">
        <f>IFERROR(__xludf.DUMMYFUNCTION("""COMPUTED_VALUE"""),0.8465909090909092)</f>
        <v>0.8465909091</v>
      </c>
      <c r="K30" s="49">
        <f>IFERROR(__xludf.DUMMYFUNCTION("""COMPUTED_VALUE"""),-0.0459177783664388)</f>
        <v>-0.04591777837</v>
      </c>
      <c r="L30" s="49">
        <f>IFERROR(__xludf.DUMMYFUNCTION("""COMPUTED_VALUE"""),0.25)</f>
        <v>0.25</v>
      </c>
      <c r="M30" s="49">
        <f>IFERROR(__xludf.DUMMYFUNCTION("""COMPUTED_VALUE"""),5.5)</f>
        <v>5.5</v>
      </c>
      <c r="N30" s="197">
        <f>IFERROR(__xludf.DUMMYFUNCTION("""COMPUTED_VALUE"""),-0.8367862674212057)</f>
        <v>-0.8367862674</v>
      </c>
      <c r="O30" s="196">
        <f>IFERROR(__xludf.DUMMYFUNCTION("""COMPUTED_VALUE"""),0.8405797101449275)</f>
        <v>0.8405797101</v>
      </c>
      <c r="P30" s="49">
        <f>IFERROR(__xludf.DUMMYFUNCTION("""COMPUTED_VALUE"""),1.5)</f>
        <v>1.5</v>
      </c>
      <c r="Q30" s="49">
        <f>IFERROR(__xludf.DUMMYFUNCTION("""COMPUTED_VALUE"""),2.4)</f>
        <v>2.4</v>
      </c>
      <c r="R30" s="198">
        <f>IFERROR(__xludf.DUMMYFUNCTION("""COMPUTED_VALUE"""),-1.71513951001995)</f>
        <v>-1.71513951</v>
      </c>
      <c r="S30" s="196">
        <f>IFERROR(__xludf.DUMMYFUNCTION("""COMPUTED_VALUE"""),0.75)</f>
        <v>0.75</v>
      </c>
      <c r="T30" s="196">
        <f>IFERROR(__xludf.DUMMYFUNCTION("""COMPUTED_VALUE"""),0.375)</f>
        <v>0.375</v>
      </c>
      <c r="U30" s="196">
        <f>IFERROR(__xludf.DUMMYFUNCTION("""COMPUTED_VALUE"""),0.0)</f>
        <v>0</v>
      </c>
      <c r="V30" s="196">
        <f>IFERROR(__xludf.DUMMYFUNCTION("""COMPUTED_VALUE"""),0.0)</f>
        <v>0</v>
      </c>
      <c r="W30" s="196">
        <f>IFERROR(__xludf.DUMMYFUNCTION("""COMPUTED_VALUE"""),0.0)</f>
        <v>0</v>
      </c>
      <c r="X30" s="199">
        <f>IFERROR(__xludf.DUMMYFUNCTION("""COMPUTED_VALUE"""),-1.3661198376377892)</f>
        <v>-1.366119838</v>
      </c>
      <c r="Y30" s="49">
        <f>IFERROR(__xludf.DUMMYFUNCTION("""COMPUTED_VALUE"""),6.0)</f>
        <v>6</v>
      </c>
      <c r="Z30" s="49">
        <f>IFERROR(__xludf.DUMMYFUNCTION("""COMPUTED_VALUE"""),11.25)</f>
        <v>11.25</v>
      </c>
      <c r="AA30" s="49">
        <f>IFERROR(__xludf.DUMMYFUNCTION("""COMPUTED_VALUE"""),17.25)</f>
        <v>17.25</v>
      </c>
      <c r="AB30" s="200">
        <f>IFERROR(__xludf.DUMMYFUNCTION("""COMPUTED_VALUE"""),-0.7890637178915512)</f>
        <v>-0.7890637179</v>
      </c>
      <c r="AC30" s="15">
        <f>IFERROR(__xludf.DUMMYFUNCTION("""COMPUTED_VALUE"""),10.0)</f>
        <v>10</v>
      </c>
      <c r="AD30" s="15">
        <f>IFERROR(__xludf.DUMMYFUNCTION("""COMPUTED_VALUE"""),-0.8861886279787061)</f>
        <v>-0.886188628</v>
      </c>
      <c r="AE30" s="49">
        <f>IFERROR(__xludf.DUMMYFUNCTION("""COMPUTED_VALUE"""),7.25)</f>
        <v>7.25</v>
      </c>
      <c r="AF30" s="49">
        <f>IFERROR(__xludf.DUMMYFUNCTION("""COMPUTED_VALUE"""),18.75)</f>
        <v>18.75</v>
      </c>
      <c r="AG30" s="201">
        <f>IFERROR(__xludf.DUMMYFUNCTION("""COMPUTED_VALUE"""),-10.303023248688561)</f>
        <v>-10.30302325</v>
      </c>
      <c r="AH30" s="201">
        <f>IFERROR(__xludf.DUMMYFUNCTION("""COMPUTED_VALUE"""),-12.018162758708513)</f>
        <v>-12.01816276</v>
      </c>
      <c r="AI30" s="15" t="str">
        <f>IFERROR(__xludf.DUMMYFUNCTION("""COMPUTED_VALUE"""),"robot was not able to climb due to technical difficulties, only played defense, got a pinning foul this match, looks loke manual aim")</f>
        <v>robot was not able to climb due to technical difficulties, only played defense, got a pinning foul this match, looks loke manual aim</v>
      </c>
    </row>
    <row r="31">
      <c r="A31" s="15">
        <f>IFERROR(__xludf.DUMMYFUNCTION("""COMPUTED_VALUE"""),624.0)</f>
        <v>624</v>
      </c>
      <c r="B31" s="62">
        <f>IFERROR(__xludf.DUMMYFUNCTION("""COMPUTED_VALUE"""),0.25)</f>
        <v>0.25</v>
      </c>
      <c r="C31" s="49">
        <f>IFERROR(__xludf.DUMMYFUNCTION("""COMPUTED_VALUE"""),0.0)</f>
        <v>0</v>
      </c>
      <c r="D31" s="49">
        <f>IFERROR(__xludf.DUMMYFUNCTION("""COMPUTED_VALUE"""),4.375)</f>
        <v>4.375</v>
      </c>
      <c r="E31" s="49">
        <f>IFERROR(__xludf.DUMMYFUNCTION("""COMPUTED_VALUE"""),2.7316148373729434)</f>
        <v>2.731614837</v>
      </c>
      <c r="F31" s="49">
        <f>IFERROR(__xludf.DUMMYFUNCTION("""COMPUTED_VALUE"""),4.5)</f>
        <v>4.5</v>
      </c>
      <c r="G31" s="196">
        <f>IFERROR(__xludf.DUMMYFUNCTION("""COMPUTED_VALUE"""),0.9722222222222222)</f>
        <v>0.9722222222</v>
      </c>
      <c r="H31" s="196" t="str">
        <f>IFERROR(__xludf.DUMMYFUNCTION("""COMPUTED_VALUE"""),"")</f>
        <v/>
      </c>
      <c r="I31" s="196">
        <f>IFERROR(__xludf.DUMMYFUNCTION("""COMPUTED_VALUE"""),1.0)</f>
        <v>1</v>
      </c>
      <c r="J31" s="196">
        <f>IFERROR(__xludf.DUMMYFUNCTION("""COMPUTED_VALUE"""),1.0)</f>
        <v>1</v>
      </c>
      <c r="K31" s="49">
        <f>IFERROR(__xludf.DUMMYFUNCTION("""COMPUTED_VALUE"""),1.0757803414396225)</f>
        <v>1.075780341</v>
      </c>
      <c r="L31" s="49">
        <f>IFERROR(__xludf.DUMMYFUNCTION("""COMPUTED_VALUE"""),0.375)</f>
        <v>0.375</v>
      </c>
      <c r="M31" s="49">
        <f>IFERROR(__xludf.DUMMYFUNCTION("""COMPUTED_VALUE"""),12.25)</f>
        <v>12.25</v>
      </c>
      <c r="N31" s="197">
        <f>IFERROR(__xludf.DUMMYFUNCTION("""COMPUTED_VALUE"""),0.6853856440940509)</f>
        <v>0.6853856441</v>
      </c>
      <c r="O31" s="196">
        <f>IFERROR(__xludf.DUMMYFUNCTION("""COMPUTED_VALUE"""),0.8395061728395061)</f>
        <v>0.8395061728</v>
      </c>
      <c r="P31" s="49">
        <f>IFERROR(__xludf.DUMMYFUNCTION("""COMPUTED_VALUE"""),4.125)</f>
        <v>4.125</v>
      </c>
      <c r="Q31" s="49">
        <f>IFERROR(__xludf.DUMMYFUNCTION("""COMPUTED_VALUE"""),6.6)</f>
        <v>6.6</v>
      </c>
      <c r="R31" s="198">
        <f>IFERROR(__xludf.DUMMYFUNCTION("""COMPUTED_VALUE"""),-0.828089419665866)</f>
        <v>-0.8280894197</v>
      </c>
      <c r="S31" s="196">
        <f>IFERROR(__xludf.DUMMYFUNCTION("""COMPUTED_VALUE"""),0.5714285714285714)</f>
        <v>0.5714285714</v>
      </c>
      <c r="T31" s="196">
        <f>IFERROR(__xludf.DUMMYFUNCTION("""COMPUTED_VALUE"""),0.0)</f>
        <v>0</v>
      </c>
      <c r="U31" s="196">
        <f>IFERROR(__xludf.DUMMYFUNCTION("""COMPUTED_VALUE"""),0.375)</f>
        <v>0.375</v>
      </c>
      <c r="V31" s="196">
        <f>IFERROR(__xludf.DUMMYFUNCTION("""COMPUTED_VALUE"""),0.0)</f>
        <v>0</v>
      </c>
      <c r="W31" s="196">
        <f>IFERROR(__xludf.DUMMYFUNCTION("""COMPUTED_VALUE"""),0.125)</f>
        <v>0.125</v>
      </c>
      <c r="X31" s="199">
        <f>IFERROR(__xludf.DUMMYFUNCTION("""COMPUTED_VALUE"""),-0.9703024198916288)</f>
        <v>-0.9703024199</v>
      </c>
      <c r="Y31" s="49">
        <f>IFERROR(__xludf.DUMMYFUNCTION("""COMPUTED_VALUE"""),17.5)</f>
        <v>17.5</v>
      </c>
      <c r="Z31" s="49">
        <f>IFERROR(__xludf.DUMMYFUNCTION("""COMPUTED_VALUE"""),24.875)</f>
        <v>24.875</v>
      </c>
      <c r="AA31" s="49">
        <f>IFERROR(__xludf.DUMMYFUNCTION("""COMPUTED_VALUE"""),42.375)</f>
        <v>42.375</v>
      </c>
      <c r="AB31" s="200">
        <f>IFERROR(__xludf.DUMMYFUNCTION("""COMPUTED_VALUE"""),1.0231561231461939)</f>
        <v>1.023156123</v>
      </c>
      <c r="AC31" s="15">
        <f>IFERROR(__xludf.DUMMYFUNCTION("""COMPUTED_VALUE"""),17.0)</f>
        <v>17</v>
      </c>
      <c r="AD31" s="15">
        <f>IFERROR(__xludf.DUMMYFUNCTION("""COMPUTED_VALUE"""),0.3001037186382074)</f>
        <v>0.3001037186</v>
      </c>
      <c r="AE31" s="49">
        <f>IFERROR(__xludf.DUMMYFUNCTION("""COMPUTED_VALUE"""),17.0)</f>
        <v>17</v>
      </c>
      <c r="AF31" s="49">
        <f>IFERROR(__xludf.DUMMYFUNCTION("""COMPUTED_VALUE"""),46.5)</f>
        <v>46.5</v>
      </c>
      <c r="AG31" s="201">
        <f>IFERROR(__xludf.DUMMYFUNCTION("""COMPUTED_VALUE"""),0.1196833136965183)</f>
        <v>0.1196833137</v>
      </c>
      <c r="AH31" s="201">
        <f>IFERROR(__xludf.DUMMYFUNCTION("""COMPUTED_VALUE"""),-0.708406105969348)</f>
        <v>-0.708406106</v>
      </c>
      <c r="AI31" s="15" t="str">
        <f>IFERROR(__xludf.DUMMYFUNCTION("""COMPUTED_VALUE"""),"it got flipped, climber barely works, suddenly began throwing balls to the moon 1\2 way through")</f>
        <v>it got flipped, climber barely works, suddenly began throwing balls to the moon 1\2 way through</v>
      </c>
    </row>
    <row r="32">
      <c r="A32" s="15">
        <f>IFERROR(__xludf.DUMMYFUNCTION("""COMPUTED_VALUE"""),2075.0)</f>
        <v>2075</v>
      </c>
      <c r="B32" s="62">
        <f>IFERROR(__xludf.DUMMYFUNCTION("""COMPUTED_VALUE"""),0.5)</f>
        <v>0.5</v>
      </c>
      <c r="C32" s="49">
        <f>IFERROR(__xludf.DUMMYFUNCTION("""COMPUTED_VALUE"""),0.0)</f>
        <v>0</v>
      </c>
      <c r="D32" s="49">
        <f>IFERROR(__xludf.DUMMYFUNCTION("""COMPUTED_VALUE"""),2.5)</f>
        <v>2.5</v>
      </c>
      <c r="E32" s="49">
        <f>IFERROR(__xludf.DUMMYFUNCTION("""COMPUTED_VALUE"""),0.5929437343759001)</f>
        <v>0.5929437344</v>
      </c>
      <c r="F32" s="49">
        <f>IFERROR(__xludf.DUMMYFUNCTION("""COMPUTED_VALUE"""),3.0)</f>
        <v>3</v>
      </c>
      <c r="G32" s="196">
        <f>IFERROR(__xludf.DUMMYFUNCTION("""COMPUTED_VALUE"""),0.8333333333333334)</f>
        <v>0.8333333333</v>
      </c>
      <c r="H32" s="196">
        <f>IFERROR(__xludf.DUMMYFUNCTION("""COMPUTED_VALUE"""),0.875)</f>
        <v>0.875</v>
      </c>
      <c r="I32" s="196">
        <f>IFERROR(__xludf.DUMMYFUNCTION("""COMPUTED_VALUE"""),1.0)</f>
        <v>1</v>
      </c>
      <c r="J32" s="196">
        <f>IFERROR(__xludf.DUMMYFUNCTION("""COMPUTED_VALUE"""),0.9375)</f>
        <v>0.9375</v>
      </c>
      <c r="K32" s="49">
        <f>IFERROR(__xludf.DUMMYFUNCTION("""COMPUTED_VALUE"""),0.6187922185556715)</f>
        <v>0.6187922186</v>
      </c>
      <c r="L32" s="49">
        <f>IFERROR(__xludf.DUMMYFUNCTION("""COMPUTED_VALUE"""),0.0)</f>
        <v>0</v>
      </c>
      <c r="M32" s="49">
        <f>IFERROR(__xludf.DUMMYFUNCTION("""COMPUTED_VALUE"""),11.625)</f>
        <v>11.625</v>
      </c>
      <c r="N32" s="197">
        <f>IFERROR(__xludf.DUMMYFUNCTION("""COMPUTED_VALUE"""),0.5444438004352309)</f>
        <v>0.5444438004</v>
      </c>
      <c r="O32" s="196">
        <f>IFERROR(__xludf.DUMMYFUNCTION("""COMPUTED_VALUE"""),0.8308823529411765)</f>
        <v>0.8308823529</v>
      </c>
      <c r="P32" s="49">
        <f>IFERROR(__xludf.DUMMYFUNCTION("""COMPUTED_VALUE"""),2.75)</f>
        <v>2.75</v>
      </c>
      <c r="Q32" s="49">
        <f>IFERROR(__xludf.DUMMYFUNCTION("""COMPUTED_VALUE"""),4.4)</f>
        <v>4.4</v>
      </c>
      <c r="R32" s="198">
        <f>IFERROR(__xludf.DUMMYFUNCTION("""COMPUTED_VALUE"""),-1.2927347050894338)</f>
        <v>-1.292734705</v>
      </c>
      <c r="S32" s="196">
        <f>IFERROR(__xludf.DUMMYFUNCTION("""COMPUTED_VALUE"""),0.75)</f>
        <v>0.75</v>
      </c>
      <c r="T32" s="196">
        <f>IFERROR(__xludf.DUMMYFUNCTION("""COMPUTED_VALUE"""),0.0)</f>
        <v>0</v>
      </c>
      <c r="U32" s="196">
        <f>IFERROR(__xludf.DUMMYFUNCTION("""COMPUTED_VALUE"""),0.25)</f>
        <v>0.25</v>
      </c>
      <c r="V32" s="196">
        <f>IFERROR(__xludf.DUMMYFUNCTION("""COMPUTED_VALUE"""),0.125)</f>
        <v>0.125</v>
      </c>
      <c r="W32" s="196">
        <f>IFERROR(__xludf.DUMMYFUNCTION("""COMPUTED_VALUE"""),0.0)</f>
        <v>0</v>
      </c>
      <c r="X32" s="199">
        <f>IFERROR(__xludf.DUMMYFUNCTION("""COMPUTED_VALUE"""),-1.3661198376377892)</f>
        <v>-1.366119838</v>
      </c>
      <c r="Y32" s="49">
        <f>IFERROR(__xludf.DUMMYFUNCTION("""COMPUTED_VALUE"""),10.0)</f>
        <v>10</v>
      </c>
      <c r="Z32" s="49">
        <f>IFERROR(__xludf.DUMMYFUNCTION("""COMPUTED_VALUE"""),23.25)</f>
        <v>23.25</v>
      </c>
      <c r="AA32" s="49">
        <f>IFERROR(__xludf.DUMMYFUNCTION("""COMPUTED_VALUE"""),33.25)</f>
        <v>33.25</v>
      </c>
      <c r="AB32" s="200">
        <f>IFERROR(__xludf.DUMMYFUNCTION("""COMPUTED_VALUE"""),0.5524496709285978)</f>
        <v>0.5524496709</v>
      </c>
      <c r="AC32" s="15">
        <f>IFERROR(__xludf.DUMMYFUNCTION("""COMPUTED_VALUE"""),20.0)</f>
        <v>20</v>
      </c>
      <c r="AD32" s="15">
        <f>IFERROR(__xludf.DUMMYFUNCTION("""COMPUTED_VALUE"""),0.8085147243311703)</f>
        <v>0.8085147243</v>
      </c>
      <c r="AE32" s="49">
        <f>IFERROR(__xludf.DUMMYFUNCTION("""COMPUTED_VALUE"""),14.125)</f>
        <v>14.125</v>
      </c>
      <c r="AF32" s="49">
        <f>IFERROR(__xludf.DUMMYFUNCTION("""COMPUTED_VALUE"""),36.0)</f>
        <v>36</v>
      </c>
      <c r="AG32" s="201">
        <f>IFERROR(__xludf.DUMMYFUNCTION("""COMPUTED_VALUE"""),-2.1103004761652007)</f>
        <v>-2.110300476</v>
      </c>
      <c r="AH32" s="201">
        <f>IFERROR(__xludf.DUMMYFUNCTION("""COMPUTED_VALUE"""),-3.403035181254634)</f>
        <v>-3.403035181</v>
      </c>
      <c r="AI32" s="15" t="str">
        <f>IFERROR(__xludf.DUMMYFUNCTION("""COMPUTED_VALUE"""),"the missed shot in auto was the human player not rolling cargo in time, Was defended while shooting. Too slow on climb. Tried to intake a ball a teammate was in the process of intaking, played well while getting defended")</f>
        <v>the missed shot in auto was the human player not rolling cargo in time, Was defended while shooting. Too slow on climb. Tried to intake a ball a teammate was in the process of intaking, played well while getting defended</v>
      </c>
    </row>
    <row r="33">
      <c r="A33" s="15">
        <f>IFERROR(__xludf.DUMMYFUNCTION("""COMPUTED_VALUE"""),1023.0)</f>
        <v>1023</v>
      </c>
      <c r="B33" s="62">
        <f>IFERROR(__xludf.DUMMYFUNCTION("""COMPUTED_VALUE"""),0.5)</f>
        <v>0.5</v>
      </c>
      <c r="C33" s="49">
        <f>IFERROR(__xludf.DUMMYFUNCTION("""COMPUTED_VALUE"""),0.0)</f>
        <v>0</v>
      </c>
      <c r="D33" s="49">
        <f>IFERROR(__xludf.DUMMYFUNCTION("""COMPUTED_VALUE"""),1.375)</f>
        <v>1.375</v>
      </c>
      <c r="E33" s="49">
        <f>IFERROR(__xludf.DUMMYFUNCTION("""COMPUTED_VALUE"""),-0.6902589274223261)</f>
        <v>-0.6902589274</v>
      </c>
      <c r="F33" s="49">
        <f>IFERROR(__xludf.DUMMYFUNCTION("""COMPUTED_VALUE"""),2.75)</f>
        <v>2.75</v>
      </c>
      <c r="G33" s="196">
        <f>IFERROR(__xludf.DUMMYFUNCTION("""COMPUTED_VALUE"""),0.5)</f>
        <v>0.5</v>
      </c>
      <c r="H33" s="196">
        <f>IFERROR(__xludf.DUMMYFUNCTION("""COMPUTED_VALUE"""),1.0)</f>
        <v>1</v>
      </c>
      <c r="I33" s="196">
        <f>IFERROR(__xludf.DUMMYFUNCTION("""COMPUTED_VALUE"""),0.75)</f>
        <v>0.75</v>
      </c>
      <c r="J33" s="196">
        <f>IFERROR(__xludf.DUMMYFUNCTION("""COMPUTED_VALUE"""),0.875)</f>
        <v>0.875</v>
      </c>
      <c r="K33" s="49">
        <f>IFERROR(__xludf.DUMMYFUNCTION("""COMPUTED_VALUE"""),0.16180409567172024)</f>
        <v>0.1618040957</v>
      </c>
      <c r="L33" s="49">
        <f>IFERROR(__xludf.DUMMYFUNCTION("""COMPUTED_VALUE"""),0.0)</f>
        <v>0</v>
      </c>
      <c r="M33" s="49">
        <f>IFERROR(__xludf.DUMMYFUNCTION("""COMPUTED_VALUE"""),12.625)</f>
        <v>12.625</v>
      </c>
      <c r="N33" s="197">
        <f>IFERROR(__xludf.DUMMYFUNCTION("""COMPUTED_VALUE"""),0.769950750289343)</f>
        <v>0.7699507503</v>
      </c>
      <c r="O33" s="196">
        <f>IFERROR(__xludf.DUMMYFUNCTION("""COMPUTED_VALUE"""),0.8296296296296296)</f>
        <v>0.8296296296</v>
      </c>
      <c r="P33" s="49">
        <f>IFERROR(__xludf.DUMMYFUNCTION("""COMPUTED_VALUE"""),6.125)</f>
        <v>6.125</v>
      </c>
      <c r="Q33" s="49">
        <f>IFERROR(__xludf.DUMMYFUNCTION("""COMPUTED_VALUE"""),7.8)</f>
        <v>7.8</v>
      </c>
      <c r="R33" s="198">
        <f>IFERROR(__xludf.DUMMYFUNCTION("""COMPUTED_VALUE"""),-0.5746465367075563)</f>
        <v>-0.5746465367</v>
      </c>
      <c r="S33" s="196">
        <f>IFERROR(__xludf.DUMMYFUNCTION("""COMPUTED_VALUE"""),0.875)</f>
        <v>0.875</v>
      </c>
      <c r="T33" s="196">
        <f>IFERROR(__xludf.DUMMYFUNCTION("""COMPUTED_VALUE"""),0.125)</f>
        <v>0.125</v>
      </c>
      <c r="U33" s="196">
        <f>IFERROR(__xludf.DUMMYFUNCTION("""COMPUTED_VALUE"""),0.625)</f>
        <v>0.625</v>
      </c>
      <c r="V33" s="196">
        <f>IFERROR(__xludf.DUMMYFUNCTION("""COMPUTED_VALUE"""),0.0)</f>
        <v>0</v>
      </c>
      <c r="W33" s="196">
        <f>IFERROR(__xludf.DUMMYFUNCTION("""COMPUTED_VALUE"""),0.125)</f>
        <v>0.125</v>
      </c>
      <c r="X33" s="199">
        <f>IFERROR(__xludf.DUMMYFUNCTION("""COMPUTED_VALUE"""),-0.9703024198916288)</f>
        <v>-0.9703024199</v>
      </c>
      <c r="Y33" s="49">
        <f>IFERROR(__xludf.DUMMYFUNCTION("""COMPUTED_VALUE"""),5.5)</f>
        <v>5.5</v>
      </c>
      <c r="Z33" s="49">
        <f>IFERROR(__xludf.DUMMYFUNCTION("""COMPUTED_VALUE"""),25.25)</f>
        <v>25.25</v>
      </c>
      <c r="AA33" s="49">
        <f>IFERROR(__xludf.DUMMYFUNCTION("""COMPUTED_VALUE"""),30.75)</f>
        <v>30.75</v>
      </c>
      <c r="AB33" s="200">
        <f>IFERROR(__xludf.DUMMYFUNCTION("""COMPUTED_VALUE"""),0.528914348317718)</f>
        <v>0.5289143483</v>
      </c>
      <c r="AC33" s="15">
        <f>IFERROR(__xludf.DUMMYFUNCTION("""COMPUTED_VALUE"""),20.0)</f>
        <v>20</v>
      </c>
      <c r="AD33" s="15">
        <f>IFERROR(__xludf.DUMMYFUNCTION("""COMPUTED_VALUE"""),0.8085147243311703)</f>
        <v>0.8085147243</v>
      </c>
      <c r="AE33" s="49">
        <f>IFERROR(__xludf.DUMMYFUNCTION("""COMPUTED_VALUE"""),14.0)</f>
        <v>14</v>
      </c>
      <c r="AF33" s="49">
        <f>IFERROR(__xludf.DUMMYFUNCTION("""COMPUTED_VALUE"""),36.875)</f>
        <v>36.875</v>
      </c>
      <c r="AG33" s="201">
        <f>IFERROR(__xludf.DUMMYFUNCTION("""COMPUTED_VALUE"""),0.9815849240406944)</f>
        <v>0.981584924</v>
      </c>
      <c r="AH33" s="201">
        <f>IFERROR(__xludf.DUMMYFUNCTION("""COMPUTED_VALUE"""),0.40693838733313825)</f>
        <v>0.4069383873</v>
      </c>
      <c r="AI33" s="15" t="str">
        <f>IFERROR(__xludf.DUMMYFUNCTION("""COMPUTED_VALUE"""),"")</f>
        <v/>
      </c>
    </row>
    <row r="34">
      <c r="A34" s="15">
        <f>IFERROR(__xludf.DUMMYFUNCTION("""COMPUTED_VALUE"""),4265.0)</f>
        <v>4265</v>
      </c>
      <c r="B34" s="62">
        <f>IFERROR(__xludf.DUMMYFUNCTION("""COMPUTED_VALUE"""),0.43)</f>
        <v>0.43</v>
      </c>
      <c r="C34" s="49">
        <f>IFERROR(__xludf.DUMMYFUNCTION("""COMPUTED_VALUE"""),0.0)</f>
        <v>0</v>
      </c>
      <c r="D34" s="49">
        <f>IFERROR(__xludf.DUMMYFUNCTION("""COMPUTED_VALUE"""),2.0)</f>
        <v>2</v>
      </c>
      <c r="E34" s="49">
        <f>IFERROR(__xludf.DUMMYFUNCTION("""COMPUTED_VALUE"""),0.022631440243355134)</f>
        <v>0.02263144024</v>
      </c>
      <c r="F34" s="49">
        <f>IFERROR(__xludf.DUMMYFUNCTION("""COMPUTED_VALUE"""),3.0)</f>
        <v>3</v>
      </c>
      <c r="G34" s="196">
        <f>IFERROR(__xludf.DUMMYFUNCTION("""COMPUTED_VALUE"""),0.6666666666666666)</f>
        <v>0.6666666667</v>
      </c>
      <c r="H34" s="196">
        <f>IFERROR(__xludf.DUMMYFUNCTION("""COMPUTED_VALUE"""),1.0)</f>
        <v>1</v>
      </c>
      <c r="I34" s="196">
        <f>IFERROR(__xludf.DUMMYFUNCTION("""COMPUTED_VALUE"""),0.8571428571428571)</f>
        <v>0.8571428571</v>
      </c>
      <c r="J34" s="196">
        <f>IFERROR(__xludf.DUMMYFUNCTION("""COMPUTED_VALUE"""),0.9285714285714286)</f>
        <v>0.9285714286</v>
      </c>
      <c r="K34" s="49">
        <f>IFERROR(__xludf.DUMMYFUNCTION("""COMPUTED_VALUE"""),0.5535082010008215)</f>
        <v>0.553508201</v>
      </c>
      <c r="L34" s="49">
        <f>IFERROR(__xludf.DUMMYFUNCTION("""COMPUTED_VALUE"""),0.0)</f>
        <v>0</v>
      </c>
      <c r="M34" s="49">
        <f>IFERROR(__xludf.DUMMYFUNCTION("""COMPUTED_VALUE"""),11.0)</f>
        <v>11</v>
      </c>
      <c r="N34" s="197">
        <f>IFERROR(__xludf.DUMMYFUNCTION("""COMPUTED_VALUE"""),0.4035019567764108)</f>
        <v>0.4035019568</v>
      </c>
      <c r="O34" s="196">
        <f>IFERROR(__xludf.DUMMYFUNCTION("""COMPUTED_VALUE"""),0.8272727272727273)</f>
        <v>0.8272727273</v>
      </c>
      <c r="P34" s="49">
        <f>IFERROR(__xludf.DUMMYFUNCTION("""COMPUTED_VALUE"""),1.7142857142857142)</f>
        <v>1.714285714</v>
      </c>
      <c r="Q34" s="49">
        <f>IFERROR(__xludf.DUMMYFUNCTION("""COMPUTED_VALUE"""),2.4)</f>
        <v>2.4</v>
      </c>
      <c r="R34" s="198">
        <f>IFERROR(__xludf.DUMMYFUNCTION("""COMPUTED_VALUE"""),-1.71513951001995)</f>
        <v>-1.71513951</v>
      </c>
      <c r="S34" s="196">
        <f>IFERROR(__xludf.DUMMYFUNCTION("""COMPUTED_VALUE"""),1.0)</f>
        <v>1</v>
      </c>
      <c r="T34" s="196">
        <f>IFERROR(__xludf.DUMMYFUNCTION("""COMPUTED_VALUE"""),0.0)</f>
        <v>0</v>
      </c>
      <c r="U34" s="196">
        <f>IFERROR(__xludf.DUMMYFUNCTION("""COMPUTED_VALUE"""),0.2857142857142857)</f>
        <v>0.2857142857</v>
      </c>
      <c r="V34" s="196">
        <f>IFERROR(__xludf.DUMMYFUNCTION("""COMPUTED_VALUE"""),0.0)</f>
        <v>0</v>
      </c>
      <c r="W34" s="196">
        <f>IFERROR(__xludf.DUMMYFUNCTION("""COMPUTED_VALUE"""),0.0)</f>
        <v>0</v>
      </c>
      <c r="X34" s="199">
        <f>IFERROR(__xludf.DUMMYFUNCTION("""COMPUTED_VALUE"""),-1.3661198376377892)</f>
        <v>-1.366119838</v>
      </c>
      <c r="Y34" s="49">
        <f>IFERROR(__xludf.DUMMYFUNCTION("""COMPUTED_VALUE"""),8.0)</f>
        <v>8</v>
      </c>
      <c r="Z34" s="49">
        <f>IFERROR(__xludf.DUMMYFUNCTION("""COMPUTED_VALUE"""),22.0)</f>
        <v>22</v>
      </c>
      <c r="AA34" s="49">
        <f>IFERROR(__xludf.DUMMYFUNCTION("""COMPUTED_VALUE"""),30.0)</f>
        <v>30</v>
      </c>
      <c r="AB34" s="200">
        <f>IFERROR(__xludf.DUMMYFUNCTION("""COMPUTED_VALUE"""),0.3406317674306795)</f>
        <v>0.3406317674</v>
      </c>
      <c r="AC34" s="15">
        <f>IFERROR(__xludf.DUMMYFUNCTION("""COMPUTED_VALUE"""),14.0)</f>
        <v>14</v>
      </c>
      <c r="AD34" s="15">
        <f>IFERROR(__xludf.DUMMYFUNCTION("""COMPUTED_VALUE"""),-0.20830728705475557)</f>
        <v>-0.2083072871</v>
      </c>
      <c r="AE34" s="49">
        <f>IFERROR(__xludf.DUMMYFUNCTION("""COMPUTED_VALUE"""),13.0)</f>
        <v>13</v>
      </c>
      <c r="AF34" s="49">
        <f>IFERROR(__xludf.DUMMYFUNCTION("""COMPUTED_VALUE"""),31.714285714285715)</f>
        <v>31.71428571</v>
      </c>
      <c r="AG34" s="201">
        <f>IFERROR(__xludf.DUMMYFUNCTION("""COMPUTED_VALUE"""),-5.304851255804502)</f>
        <v>-5.304851256</v>
      </c>
      <c r="AH34" s="201">
        <f>IFERROR(__xludf.DUMMYFUNCTION("""COMPUTED_VALUE"""),-7.019990765824453)</f>
        <v>-7.019990766</v>
      </c>
      <c r="AI34" s="15" t="str">
        <f>IFERROR(__xludf.DUMMYFUNCTION("""COMPUTED_VALUE"""),"")</f>
        <v/>
      </c>
    </row>
    <row r="35">
      <c r="A35" s="15">
        <f>IFERROR(__xludf.DUMMYFUNCTION("""COMPUTED_VALUE"""),2363.0)</f>
        <v>2363</v>
      </c>
      <c r="B35" s="62">
        <f>IFERROR(__xludf.DUMMYFUNCTION("""COMPUTED_VALUE"""),0.57)</f>
        <v>0.57</v>
      </c>
      <c r="C35" s="49">
        <f>IFERROR(__xludf.DUMMYFUNCTION("""COMPUTED_VALUE"""),0.0)</f>
        <v>0</v>
      </c>
      <c r="D35" s="49">
        <f>IFERROR(__xludf.DUMMYFUNCTION("""COMPUTED_VALUE"""),1.8571428571428572)</f>
        <v>1.857142857</v>
      </c>
      <c r="E35" s="49">
        <f>IFERROR(__xludf.DUMMYFUNCTION("""COMPUTED_VALUE"""),-0.1403149295088005)</f>
        <v>-0.1403149295</v>
      </c>
      <c r="F35" s="49">
        <f>IFERROR(__xludf.DUMMYFUNCTION("""COMPUTED_VALUE"""),2.0)</f>
        <v>2</v>
      </c>
      <c r="G35" s="196">
        <f>IFERROR(__xludf.DUMMYFUNCTION("""COMPUTED_VALUE"""),0.9285714285714286)</f>
        <v>0.9285714286</v>
      </c>
      <c r="H35" s="196">
        <f>IFERROR(__xludf.DUMMYFUNCTION("""COMPUTED_VALUE"""),1.0)</f>
        <v>1</v>
      </c>
      <c r="I35" s="196">
        <f>IFERROR(__xludf.DUMMYFUNCTION("""COMPUTED_VALUE"""),0.8571428571428571)</f>
        <v>0.8571428571</v>
      </c>
      <c r="J35" s="196">
        <f>IFERROR(__xludf.DUMMYFUNCTION("""COMPUTED_VALUE"""),0.9285714285714286)</f>
        <v>0.9285714286</v>
      </c>
      <c r="K35" s="49">
        <f>IFERROR(__xludf.DUMMYFUNCTION("""COMPUTED_VALUE"""),0.5535082010008215)</f>
        <v>0.553508201</v>
      </c>
      <c r="L35" s="49">
        <f>IFERROR(__xludf.DUMMYFUNCTION("""COMPUTED_VALUE"""),0.0)</f>
        <v>0</v>
      </c>
      <c r="M35" s="49">
        <f>IFERROR(__xludf.DUMMYFUNCTION("""COMPUTED_VALUE"""),13.142857142857142)</f>
        <v>13.14285714</v>
      </c>
      <c r="N35" s="197">
        <f>IFERROR(__xludf.DUMMYFUNCTION("""COMPUTED_VALUE"""),0.8867311350352224)</f>
        <v>0.886731135</v>
      </c>
      <c r="O35" s="196">
        <f>IFERROR(__xludf.DUMMYFUNCTION("""COMPUTED_VALUE"""),0.8267716535433071)</f>
        <v>0.8267716535</v>
      </c>
      <c r="P35" s="49">
        <f>IFERROR(__xludf.DUMMYFUNCTION("""COMPUTED_VALUE"""),3.4285714285714284)</f>
        <v>3.428571429</v>
      </c>
      <c r="Q35" s="49">
        <f>IFERROR(__xludf.DUMMYFUNCTION("""COMPUTED_VALUE"""),4.8)</f>
        <v>4.8</v>
      </c>
      <c r="R35" s="198">
        <f>IFERROR(__xludf.DUMMYFUNCTION("""COMPUTED_VALUE"""),-1.2082537441033305)</f>
        <v>-1.208253744</v>
      </c>
      <c r="S35" s="196">
        <f>IFERROR(__xludf.DUMMYFUNCTION("""COMPUTED_VALUE"""),0.6666666666666666)</f>
        <v>0.6666666667</v>
      </c>
      <c r="T35" s="196">
        <f>IFERROR(__xludf.DUMMYFUNCTION("""COMPUTED_VALUE"""),0.0)</f>
        <v>0</v>
      </c>
      <c r="U35" s="196">
        <f>IFERROR(__xludf.DUMMYFUNCTION("""COMPUTED_VALUE"""),0.5714285714285714)</f>
        <v>0.5714285714</v>
      </c>
      <c r="V35" s="196">
        <f>IFERROR(__xludf.DUMMYFUNCTION("""COMPUTED_VALUE"""),0.0)</f>
        <v>0</v>
      </c>
      <c r="W35" s="196">
        <f>IFERROR(__xludf.DUMMYFUNCTION("""COMPUTED_VALUE"""),0.0)</f>
        <v>0</v>
      </c>
      <c r="X35" s="199">
        <f>IFERROR(__xludf.DUMMYFUNCTION("""COMPUTED_VALUE"""),-1.3661198376377892)</f>
        <v>-1.366119838</v>
      </c>
      <c r="Y35" s="49">
        <f>IFERROR(__xludf.DUMMYFUNCTION("""COMPUTED_VALUE"""),7.428571428571429)</f>
        <v>7.428571429</v>
      </c>
      <c r="Z35" s="49">
        <f>IFERROR(__xludf.DUMMYFUNCTION("""COMPUTED_VALUE"""),26.285714285714285)</f>
        <v>26.28571429</v>
      </c>
      <c r="AA35" s="49">
        <f>IFERROR(__xludf.DUMMYFUNCTION("""COMPUTED_VALUE"""),33.714285714285715)</f>
        <v>33.71428571</v>
      </c>
      <c r="AB35" s="200">
        <f>IFERROR(__xludf.DUMMYFUNCTION("""COMPUTED_VALUE"""),0.7171969292047564)</f>
        <v>0.7171969292</v>
      </c>
      <c r="AC35" s="15">
        <f>IFERROR(__xludf.DUMMYFUNCTION("""COMPUTED_VALUE"""),21.0)</f>
        <v>21</v>
      </c>
      <c r="AD35" s="15">
        <f>IFERROR(__xludf.DUMMYFUNCTION("""COMPUTED_VALUE"""),0.977985059562158)</f>
        <v>0.9779850596</v>
      </c>
      <c r="AE35" s="49">
        <f>IFERROR(__xludf.DUMMYFUNCTION("""COMPUTED_VALUE"""),15.0)</f>
        <v>15</v>
      </c>
      <c r="AF35" s="49">
        <f>IFERROR(__xludf.DUMMYFUNCTION("""COMPUTED_VALUE"""),37.14285714285714)</f>
        <v>37.14285714</v>
      </c>
      <c r="AG35" s="201">
        <f>IFERROR(__xludf.DUMMYFUNCTION("""COMPUTED_VALUE"""),-0.6413283107446759)</f>
        <v>-0.6413283107</v>
      </c>
      <c r="AH35" s="201">
        <f>IFERROR(__xludf.DUMMYFUNCTION("""COMPUTED_VALUE"""),-1.8495820548480069)</f>
        <v>-1.849582055</v>
      </c>
      <c r="AI35" s="15" t="str">
        <f>IFERROR(__xludf.DUMMYFUNCTION("""COMPUTED_VALUE"""),"Good intake and shooter, Climber misaligned with the bar so robot didnt leave ground")</f>
        <v>Good intake and shooter, Climber misaligned with the bar so robot didnt leave ground</v>
      </c>
    </row>
    <row r="36">
      <c r="A36" s="15">
        <f>IFERROR(__xludf.DUMMYFUNCTION("""COMPUTED_VALUE"""),4926.0)</f>
        <v>4926</v>
      </c>
      <c r="B36" s="62">
        <f>IFERROR(__xludf.DUMMYFUNCTION("""COMPUTED_VALUE"""),0.57)</f>
        <v>0.57</v>
      </c>
      <c r="C36" s="49">
        <f>IFERROR(__xludf.DUMMYFUNCTION("""COMPUTED_VALUE"""),0.0)</f>
        <v>0</v>
      </c>
      <c r="D36" s="49">
        <f>IFERROR(__xludf.DUMMYFUNCTION("""COMPUTED_VALUE"""),1.0)</f>
        <v>1</v>
      </c>
      <c r="E36" s="49">
        <f>IFERROR(__xludf.DUMMYFUNCTION("""COMPUTED_VALUE"""),-1.1179931480217349)</f>
        <v>-1.117993148</v>
      </c>
      <c r="F36" s="49">
        <f>IFERROR(__xludf.DUMMYFUNCTION("""COMPUTED_VALUE"""),1.5714285714285714)</f>
        <v>1.571428571</v>
      </c>
      <c r="G36" s="196">
        <f>IFERROR(__xludf.DUMMYFUNCTION("""COMPUTED_VALUE"""),0.6363636363636364)</f>
        <v>0.6363636364</v>
      </c>
      <c r="H36" s="196">
        <f>IFERROR(__xludf.DUMMYFUNCTION("""COMPUTED_VALUE"""),0.6363636363636364)</f>
        <v>0.6363636364</v>
      </c>
      <c r="I36" s="196">
        <f>IFERROR(__xludf.DUMMYFUNCTION("""COMPUTED_VALUE"""),0.7142857142857143)</f>
        <v>0.7142857143</v>
      </c>
      <c r="J36" s="196">
        <f>IFERROR(__xludf.DUMMYFUNCTION("""COMPUTED_VALUE"""),0.6753246753246753)</f>
        <v>0.6753246753</v>
      </c>
      <c r="K36" s="49">
        <f>IFERROR(__xludf.DUMMYFUNCTION("""COMPUTED_VALUE"""),-1.2981839332822018)</f>
        <v>-1.298183933</v>
      </c>
      <c r="L36" s="49">
        <f>IFERROR(__xludf.DUMMYFUNCTION("""COMPUTED_VALUE"""),0.0)</f>
        <v>0</v>
      </c>
      <c r="M36" s="49">
        <f>IFERROR(__xludf.DUMMYFUNCTION("""COMPUTED_VALUE"""),5.714285714285714)</f>
        <v>5.714285714</v>
      </c>
      <c r="N36" s="197">
        <f>IFERROR(__xludf.DUMMYFUNCTION("""COMPUTED_VALUE"""),-0.7884633495953245)</f>
        <v>-0.7884633496</v>
      </c>
      <c r="O36" s="196">
        <f>IFERROR(__xludf.DUMMYFUNCTION("""COMPUTED_VALUE"""),0.8245614035087719)</f>
        <v>0.8245614035</v>
      </c>
      <c r="P36" s="49">
        <f>IFERROR(__xludf.DUMMYFUNCTION("""COMPUTED_VALUE"""),12.857142857142858)</f>
        <v>12.85714286</v>
      </c>
      <c r="Q36" s="49">
        <f>IFERROR(__xludf.DUMMYFUNCTION("""COMPUTED_VALUE"""),14.0)</f>
        <v>14</v>
      </c>
      <c r="R36" s="198">
        <f>IFERROR(__xludf.DUMMYFUNCTION("""COMPUTED_VALUE"""),0.7348083585770441)</f>
        <v>0.7348083586</v>
      </c>
      <c r="S36" s="196">
        <f>IFERROR(__xludf.DUMMYFUNCTION("""COMPUTED_VALUE"""),1.0)</f>
        <v>1</v>
      </c>
      <c r="T36" s="196">
        <f>IFERROR(__xludf.DUMMYFUNCTION("""COMPUTED_VALUE"""),0.0)</f>
        <v>0</v>
      </c>
      <c r="U36" s="196">
        <f>IFERROR(__xludf.DUMMYFUNCTION("""COMPUTED_VALUE"""),0.0)</f>
        <v>0</v>
      </c>
      <c r="V36" s="196">
        <f>IFERROR(__xludf.DUMMYFUNCTION("""COMPUTED_VALUE"""),0.42857142857142855)</f>
        <v>0.4285714286</v>
      </c>
      <c r="W36" s="196">
        <f>IFERROR(__xludf.DUMMYFUNCTION("""COMPUTED_VALUE"""),0.5714285714285714)</f>
        <v>0.5714285714</v>
      </c>
      <c r="X36" s="199">
        <f>IFERROR(__xludf.DUMMYFUNCTION("""COMPUTED_VALUE"""),0.4433312149160866)</f>
        <v>0.4433312149</v>
      </c>
      <c r="Y36" s="49">
        <f>IFERROR(__xludf.DUMMYFUNCTION("""COMPUTED_VALUE"""),4.0)</f>
        <v>4</v>
      </c>
      <c r="Z36" s="49">
        <f>IFERROR(__xludf.DUMMYFUNCTION("""COMPUTED_VALUE"""),11.428571428571429)</f>
        <v>11.42857143</v>
      </c>
      <c r="AA36" s="49">
        <f>IFERROR(__xludf.DUMMYFUNCTION("""COMPUTED_VALUE"""),15.428571428571429)</f>
        <v>15.42857143</v>
      </c>
      <c r="AB36" s="200">
        <f>IFERROR(__xludf.DUMMYFUNCTION("""COMPUTED_VALUE"""),-0.8428587410021335)</f>
        <v>-0.842858741</v>
      </c>
      <c r="AC36" s="15">
        <f>IFERROR(__xludf.DUMMYFUNCTION("""COMPUTED_VALUE"""),14.0)</f>
        <v>14</v>
      </c>
      <c r="AD36" s="15">
        <f>IFERROR(__xludf.DUMMYFUNCTION("""COMPUTED_VALUE"""),-0.20830728705475557)</f>
        <v>-0.2083072871</v>
      </c>
      <c r="AE36" s="49">
        <f>IFERROR(__xludf.DUMMYFUNCTION("""COMPUTED_VALUE"""),6.714285714285714)</f>
        <v>6.714285714</v>
      </c>
      <c r="AF36" s="49">
        <f>IFERROR(__xludf.DUMMYFUNCTION("""COMPUTED_VALUE"""),28.285714285714285)</f>
        <v>28.28571429</v>
      </c>
      <c r="AG36" s="201">
        <f>IFERROR(__xludf.DUMMYFUNCTION("""COMPUTED_VALUE"""),-0.9326478348147549)</f>
        <v>-0.9326478348</v>
      </c>
      <c r="AH36" s="201">
        <f>IFERROR(__xludf.DUMMYFUNCTION("""COMPUTED_VALUE"""),-0.1978394762377107)</f>
        <v>-0.1978394762</v>
      </c>
      <c r="AI36" s="15" t="str">
        <f>IFERROR(__xludf.DUMMYFUNCTION("""COMPUTED_VALUE"""),"Near the half of the match, the bot started to go to defense.")</f>
        <v>Near the half of the match, the bot started to go to defense.</v>
      </c>
    </row>
    <row r="37">
      <c r="A37" s="15">
        <f>IFERROR(__xludf.DUMMYFUNCTION("""COMPUTED_VALUE"""),2614.0)</f>
        <v>2614</v>
      </c>
      <c r="B37" s="62">
        <f>IFERROR(__xludf.DUMMYFUNCTION("""COMPUTED_VALUE"""),0.25)</f>
        <v>0.25</v>
      </c>
      <c r="C37" s="49">
        <f>IFERROR(__xludf.DUMMYFUNCTION("""COMPUTED_VALUE"""),0.0)</f>
        <v>0</v>
      </c>
      <c r="D37" s="49">
        <f>IFERROR(__xludf.DUMMYFUNCTION("""COMPUTED_VALUE"""),1.25)</f>
        <v>1.25</v>
      </c>
      <c r="E37" s="49">
        <f>IFERROR(__xludf.DUMMYFUNCTION("""COMPUTED_VALUE"""),-0.8328370009554623)</f>
        <v>-0.832837001</v>
      </c>
      <c r="F37" s="49">
        <f>IFERROR(__xludf.DUMMYFUNCTION("""COMPUTED_VALUE"""),1.75)</f>
        <v>1.75</v>
      </c>
      <c r="G37" s="196">
        <f>IFERROR(__xludf.DUMMYFUNCTION("""COMPUTED_VALUE"""),0.7142857142857143)</f>
        <v>0.7142857143</v>
      </c>
      <c r="H37" s="196">
        <f>IFERROR(__xludf.DUMMYFUNCTION("""COMPUTED_VALUE"""),0.7142857142857143)</f>
        <v>0.7142857143</v>
      </c>
      <c r="I37" s="196">
        <f>IFERROR(__xludf.DUMMYFUNCTION("""COMPUTED_VALUE"""),0.625)</f>
        <v>0.625</v>
      </c>
      <c r="J37" s="196">
        <f>IFERROR(__xludf.DUMMYFUNCTION("""COMPUTED_VALUE"""),0.6696428571428572)</f>
        <v>0.6696428571</v>
      </c>
      <c r="K37" s="49">
        <f>IFERROR(__xludf.DUMMYFUNCTION("""COMPUTED_VALUE"""),-1.3397283080898332)</f>
        <v>-1.339728308</v>
      </c>
      <c r="L37" s="49">
        <f>IFERROR(__xludf.DUMMYFUNCTION("""COMPUTED_VALUE"""),0.125)</f>
        <v>0.125</v>
      </c>
      <c r="M37" s="49">
        <f>IFERROR(__xludf.DUMMYFUNCTION("""COMPUTED_VALUE"""),5.0)</f>
        <v>5</v>
      </c>
      <c r="N37" s="197">
        <f>IFERROR(__xludf.DUMMYFUNCTION("""COMPUTED_VALUE"""),-0.9495397423482618)</f>
        <v>-0.9495397423</v>
      </c>
      <c r="O37" s="196">
        <f>IFERROR(__xludf.DUMMYFUNCTION("""COMPUTED_VALUE"""),0.8225806451612904)</f>
        <v>0.8225806452</v>
      </c>
      <c r="P37" s="49">
        <f>IFERROR(__xludf.DUMMYFUNCTION("""COMPUTED_VALUE"""),2.25)</f>
        <v>2.25</v>
      </c>
      <c r="Q37" s="49">
        <f>IFERROR(__xludf.DUMMYFUNCTION("""COMPUTED_VALUE"""),3.6)</f>
        <v>3.6</v>
      </c>
      <c r="R37" s="198">
        <f>IFERROR(__xludf.DUMMYFUNCTION("""COMPUTED_VALUE"""),-1.4616966270616403)</f>
        <v>-1.461696627</v>
      </c>
      <c r="S37" s="196">
        <f>IFERROR(__xludf.DUMMYFUNCTION("""COMPUTED_VALUE"""),1.0)</f>
        <v>1</v>
      </c>
      <c r="T37" s="196">
        <f>IFERROR(__xludf.DUMMYFUNCTION("""COMPUTED_VALUE"""),0.0)</f>
        <v>0</v>
      </c>
      <c r="U37" s="196">
        <f>IFERROR(__xludf.DUMMYFUNCTION("""COMPUTED_VALUE"""),0.375)</f>
        <v>0.375</v>
      </c>
      <c r="V37" s="196">
        <f>IFERROR(__xludf.DUMMYFUNCTION("""COMPUTED_VALUE"""),0.0)</f>
        <v>0</v>
      </c>
      <c r="W37" s="196">
        <f>IFERROR(__xludf.DUMMYFUNCTION("""COMPUTED_VALUE"""),0.0)</f>
        <v>0</v>
      </c>
      <c r="X37" s="199">
        <f>IFERROR(__xludf.DUMMYFUNCTION("""COMPUTED_VALUE"""),-1.3661198376377892)</f>
        <v>-1.366119838</v>
      </c>
      <c r="Y37" s="49">
        <f>IFERROR(__xludf.DUMMYFUNCTION("""COMPUTED_VALUE"""),5.0)</f>
        <v>5</v>
      </c>
      <c r="Z37" s="49">
        <f>IFERROR(__xludf.DUMMYFUNCTION("""COMPUTED_VALUE"""),10.125)</f>
        <v>10.125</v>
      </c>
      <c r="AA37" s="49">
        <f>IFERROR(__xludf.DUMMYFUNCTION("""COMPUTED_VALUE"""),15.125)</f>
        <v>15.125</v>
      </c>
      <c r="AB37" s="200">
        <f>IFERROR(__xludf.DUMMYFUNCTION("""COMPUTED_VALUE"""),-0.93027565355683)</f>
        <v>-0.9302756536</v>
      </c>
      <c r="AC37" s="15">
        <f>IFERROR(__xludf.DUMMYFUNCTION("""COMPUTED_VALUE"""),9.0)</f>
        <v>9</v>
      </c>
      <c r="AD37" s="15">
        <f>IFERROR(__xludf.DUMMYFUNCTION("""COMPUTED_VALUE"""),-1.0556589632096938)</f>
        <v>-1.055658963</v>
      </c>
      <c r="AE37" s="49">
        <f>IFERROR(__xludf.DUMMYFUNCTION("""COMPUTED_VALUE"""),6.375)</f>
        <v>6.375</v>
      </c>
      <c r="AF37" s="49">
        <f>IFERROR(__xludf.DUMMYFUNCTION("""COMPUTED_VALUE"""),17.375)</f>
        <v>17.375</v>
      </c>
      <c r="AG37" s="201">
        <f>IFERROR(__xludf.DUMMYFUNCTION("""COMPUTED_VALUE"""),-11.090793006590873)</f>
        <v>-11.09079301</v>
      </c>
      <c r="AH37" s="201">
        <f>IFERROR(__xludf.DUMMYFUNCTION("""COMPUTED_VALUE"""),-12.552489633652513)</f>
        <v>-12.55248963</v>
      </c>
      <c r="AI37" s="15" t="str">
        <f>IFERROR(__xludf.DUMMYFUNCTION("""COMPUTED_VALUE"""),"hook came off of bar otherwise they woyld have gone higher, slower than average, must be stationary to shoot and can only hold one ball at a time.")</f>
        <v>hook came off of bar otherwise they woyld have gone higher, slower than average, must be stationary to shoot and can only hold one ball at a time.</v>
      </c>
    </row>
    <row r="38">
      <c r="A38" s="15">
        <f>IFERROR(__xludf.DUMMYFUNCTION("""COMPUTED_VALUE"""),4099.0)</f>
        <v>4099</v>
      </c>
      <c r="B38" s="62">
        <f>IFERROR(__xludf.DUMMYFUNCTION("""COMPUTED_VALUE"""),0.43)</f>
        <v>0.43</v>
      </c>
      <c r="C38" s="49">
        <f>IFERROR(__xludf.DUMMYFUNCTION("""COMPUTED_VALUE"""),0.0)</f>
        <v>0</v>
      </c>
      <c r="D38" s="49">
        <f>IFERROR(__xludf.DUMMYFUNCTION("""COMPUTED_VALUE"""),1.1428571428571428)</f>
        <v>1.142857143</v>
      </c>
      <c r="E38" s="49">
        <f>IFERROR(__xludf.DUMMYFUNCTION("""COMPUTED_VALUE"""),-0.9550467782695792)</f>
        <v>-0.9550467783</v>
      </c>
      <c r="F38" s="49">
        <f>IFERROR(__xludf.DUMMYFUNCTION("""COMPUTED_VALUE"""),1.4285714285714286)</f>
        <v>1.428571429</v>
      </c>
      <c r="G38" s="196">
        <f>IFERROR(__xludf.DUMMYFUNCTION("""COMPUTED_VALUE"""),0.8)</f>
        <v>0.8</v>
      </c>
      <c r="H38" s="196">
        <f>IFERROR(__xludf.DUMMYFUNCTION("""COMPUTED_VALUE"""),0.7142857142857143)</f>
        <v>0.7142857143</v>
      </c>
      <c r="I38" s="196">
        <f>IFERROR(__xludf.DUMMYFUNCTION("""COMPUTED_VALUE"""),0.7142857142857143)</f>
        <v>0.7142857143</v>
      </c>
      <c r="J38" s="196">
        <f>IFERROR(__xludf.DUMMYFUNCTION("""COMPUTED_VALUE"""),0.7142857142857143)</f>
        <v>0.7142857143</v>
      </c>
      <c r="K38" s="49">
        <f>IFERROR(__xludf.DUMMYFUNCTION("""COMPUTED_VALUE"""),-1.0133082203155828)</f>
        <v>-1.01330822</v>
      </c>
      <c r="L38" s="49">
        <f>IFERROR(__xludf.DUMMYFUNCTION("""COMPUTED_VALUE"""),0.0)</f>
        <v>0</v>
      </c>
      <c r="M38" s="49">
        <f>IFERROR(__xludf.DUMMYFUNCTION("""COMPUTED_VALUE"""),0.14285714285714285)</f>
        <v>0.1428571429</v>
      </c>
      <c r="N38" s="197">
        <f>IFERROR(__xludf.DUMMYFUNCTION("""COMPUTED_VALUE"""),-2.044859213068235)</f>
        <v>-2.044859213</v>
      </c>
      <c r="O38" s="196">
        <f>IFERROR(__xludf.DUMMYFUNCTION("""COMPUTED_VALUE"""),0.8181818181818182)</f>
        <v>0.8181818182</v>
      </c>
      <c r="P38" s="49">
        <f>IFERROR(__xludf.DUMMYFUNCTION("""COMPUTED_VALUE"""),12.857142857142858)</f>
        <v>12.85714286</v>
      </c>
      <c r="Q38" s="49">
        <f>IFERROR(__xludf.DUMMYFUNCTION("""COMPUTED_VALUE"""),15.0)</f>
        <v>15</v>
      </c>
      <c r="R38" s="198">
        <f>IFERROR(__xludf.DUMMYFUNCTION("""COMPUTED_VALUE"""),0.9460107610423022)</f>
        <v>0.946010761</v>
      </c>
      <c r="S38" s="196">
        <f>IFERROR(__xludf.DUMMYFUNCTION("""COMPUTED_VALUE"""),1.0)</f>
        <v>1</v>
      </c>
      <c r="T38" s="196">
        <f>IFERROR(__xludf.DUMMYFUNCTION("""COMPUTED_VALUE"""),0.0)</f>
        <v>0</v>
      </c>
      <c r="U38" s="196">
        <f>IFERROR(__xludf.DUMMYFUNCTION("""COMPUTED_VALUE"""),0.0)</f>
        <v>0</v>
      </c>
      <c r="V38" s="196">
        <f>IFERROR(__xludf.DUMMYFUNCTION("""COMPUTED_VALUE"""),0.0)</f>
        <v>0</v>
      </c>
      <c r="W38" s="196">
        <f>IFERROR(__xludf.DUMMYFUNCTION("""COMPUTED_VALUE"""),0.8571428571428571)</f>
        <v>0.8571428571</v>
      </c>
      <c r="X38" s="199">
        <f>IFERROR(__xludf.DUMMYFUNCTION("""COMPUTED_VALUE"""),1.3480567411930244)</f>
        <v>1.348056741</v>
      </c>
      <c r="Y38" s="49">
        <f>IFERROR(__xludf.DUMMYFUNCTION("""COMPUTED_VALUE"""),4.571428571428571)</f>
        <v>4.571428571</v>
      </c>
      <c r="Z38" s="49">
        <f>IFERROR(__xludf.DUMMYFUNCTION("""COMPUTED_VALUE"""),0.2857142857142857)</f>
        <v>0.2857142857</v>
      </c>
      <c r="AA38" s="49">
        <f>IFERROR(__xludf.DUMMYFUNCTION("""COMPUTED_VALUE"""),4.857142857142857)</f>
        <v>4.857142857</v>
      </c>
      <c r="AB38" s="200">
        <f>IFERROR(__xludf.DUMMYFUNCTION("""COMPUTED_VALUE"""),-1.8649641801031993)</f>
        <v>-1.86496418</v>
      </c>
      <c r="AC38" s="15">
        <f>IFERROR(__xludf.DUMMYFUNCTION("""COMPUTED_VALUE"""),1.0)</f>
        <v>1</v>
      </c>
      <c r="AD38" s="15">
        <f>IFERROR(__xludf.DUMMYFUNCTION("""COMPUTED_VALUE"""),-2.411421645057595)</f>
        <v>-2.411421645</v>
      </c>
      <c r="AE38" s="49">
        <f>IFERROR(__xludf.DUMMYFUNCTION("""COMPUTED_VALUE"""),1.2857142857142856)</f>
        <v>1.285714286</v>
      </c>
      <c r="AF38" s="49">
        <f>IFERROR(__xludf.DUMMYFUNCTION("""COMPUTED_VALUE"""),17.714285714285715)</f>
        <v>17.71428571</v>
      </c>
      <c r="AG38" s="201">
        <f>IFERROR(__xludf.DUMMYFUNCTION("""COMPUTED_VALUE"""),-5.775264460408673)</f>
        <v>-5.77526446</v>
      </c>
      <c r="AH38" s="201">
        <f>IFERROR(__xludf.DUMMYFUNCTION("""COMPUTED_VALUE"""),-4.8292536993663715)</f>
        <v>-4.829253699</v>
      </c>
      <c r="AI38" s="15" t="str">
        <f>IFERROR(__xludf.DUMMYFUNCTION("""COMPUTED_VALUE"""),"on defense, likely due to shooter problems, keeping teo red balls off the field, fast climb, Decent defense., played skillful defense no offense, played defense")</f>
        <v>on defense, likely due to shooter problems, keeping teo red balls off the field, fast climb, Decent defense., played skillful defense no offense, played defense</v>
      </c>
    </row>
    <row r="39">
      <c r="A39" s="15">
        <f>IFERROR(__xludf.DUMMYFUNCTION("""COMPUTED_VALUE"""),1732.0)</f>
        <v>1732</v>
      </c>
      <c r="B39" s="62">
        <f>IFERROR(__xludf.DUMMYFUNCTION("""COMPUTED_VALUE"""),0.38)</f>
        <v>0.38</v>
      </c>
      <c r="C39" s="49">
        <f>IFERROR(__xludf.DUMMYFUNCTION("""COMPUTED_VALUE"""),0.0)</f>
        <v>0</v>
      </c>
      <c r="D39" s="49">
        <f>IFERROR(__xludf.DUMMYFUNCTION("""COMPUTED_VALUE"""),2.625)</f>
        <v>2.625</v>
      </c>
      <c r="E39" s="49">
        <f>IFERROR(__xludf.DUMMYFUNCTION("""COMPUTED_VALUE"""),0.7355218079090363)</f>
        <v>0.7355218079</v>
      </c>
      <c r="F39" s="49">
        <f>IFERROR(__xludf.DUMMYFUNCTION("""COMPUTED_VALUE"""),3.25)</f>
        <v>3.25</v>
      </c>
      <c r="G39" s="196">
        <f>IFERROR(__xludf.DUMMYFUNCTION("""COMPUTED_VALUE"""),0.8076923076923077)</f>
        <v>0.8076923077</v>
      </c>
      <c r="H39" s="196">
        <f>IFERROR(__xludf.DUMMYFUNCTION("""COMPUTED_VALUE"""),1.0)</f>
        <v>1</v>
      </c>
      <c r="I39" s="196">
        <f>IFERROR(__xludf.DUMMYFUNCTION("""COMPUTED_VALUE"""),0.75)</f>
        <v>0.75</v>
      </c>
      <c r="J39" s="196">
        <f>IFERROR(__xludf.DUMMYFUNCTION("""COMPUTED_VALUE"""),0.875)</f>
        <v>0.875</v>
      </c>
      <c r="K39" s="49">
        <f>IFERROR(__xludf.DUMMYFUNCTION("""COMPUTED_VALUE"""),0.16180409567172024)</f>
        <v>0.1618040957</v>
      </c>
      <c r="L39" s="49">
        <f>IFERROR(__xludf.DUMMYFUNCTION("""COMPUTED_VALUE"""),0.0)</f>
        <v>0</v>
      </c>
      <c r="M39" s="49">
        <f>IFERROR(__xludf.DUMMYFUNCTION("""COMPUTED_VALUE"""),10.25)</f>
        <v>10.25</v>
      </c>
      <c r="N39" s="197">
        <f>IFERROR(__xludf.DUMMYFUNCTION("""COMPUTED_VALUE"""),0.23437174438582675)</f>
        <v>0.2343717444</v>
      </c>
      <c r="O39" s="196">
        <f>IFERROR(__xludf.DUMMYFUNCTION("""COMPUTED_VALUE"""),0.8174603174603174)</f>
        <v>0.8174603175</v>
      </c>
      <c r="P39" s="49">
        <f>IFERROR(__xludf.DUMMYFUNCTION("""COMPUTED_VALUE"""),4.0)</f>
        <v>4</v>
      </c>
      <c r="Q39" s="49">
        <f>IFERROR(__xludf.DUMMYFUNCTION("""COMPUTED_VALUE"""),5.6)</f>
        <v>5.6</v>
      </c>
      <c r="R39" s="198">
        <f>IFERROR(__xludf.DUMMYFUNCTION("""COMPUTED_VALUE"""),-1.039291822131124)</f>
        <v>-1.039291822</v>
      </c>
      <c r="S39" s="196">
        <f>IFERROR(__xludf.DUMMYFUNCTION("""COMPUTED_VALUE"""),0.8571428571428571)</f>
        <v>0.8571428571</v>
      </c>
      <c r="T39" s="196">
        <f>IFERROR(__xludf.DUMMYFUNCTION("""COMPUTED_VALUE"""),0.25)</f>
        <v>0.25</v>
      </c>
      <c r="U39" s="196">
        <f>IFERROR(__xludf.DUMMYFUNCTION("""COMPUTED_VALUE"""),0.5)</f>
        <v>0.5</v>
      </c>
      <c r="V39" s="196">
        <f>IFERROR(__xludf.DUMMYFUNCTION("""COMPUTED_VALUE"""),0.0)</f>
        <v>0</v>
      </c>
      <c r="W39" s="196">
        <f>IFERROR(__xludf.DUMMYFUNCTION("""COMPUTED_VALUE"""),0.0)</f>
        <v>0</v>
      </c>
      <c r="X39" s="199">
        <f>IFERROR(__xludf.DUMMYFUNCTION("""COMPUTED_VALUE"""),-1.3661198376377892)</f>
        <v>-1.366119838</v>
      </c>
      <c r="Y39" s="49">
        <f>IFERROR(__xludf.DUMMYFUNCTION("""COMPUTED_VALUE"""),10.5)</f>
        <v>10.5</v>
      </c>
      <c r="Z39" s="49">
        <f>IFERROR(__xludf.DUMMYFUNCTION("""COMPUTED_VALUE"""),20.5)</f>
        <v>20.5</v>
      </c>
      <c r="AA39" s="49">
        <f>IFERROR(__xludf.DUMMYFUNCTION("""COMPUTED_VALUE"""),31.0)</f>
        <v>31</v>
      </c>
      <c r="AB39" s="200">
        <f>IFERROR(__xludf.DUMMYFUNCTION("""COMPUTED_VALUE"""),0.3170964448197997)</f>
        <v>0.3170964448</v>
      </c>
      <c r="AC39" s="15">
        <f>IFERROR(__xludf.DUMMYFUNCTION("""COMPUTED_VALUE"""),16.0)</f>
        <v>16</v>
      </c>
      <c r="AD39" s="15">
        <f>IFERROR(__xludf.DUMMYFUNCTION("""COMPUTED_VALUE"""),0.13063338340721975)</f>
        <v>0.1306333834</v>
      </c>
      <c r="AE39" s="49">
        <f>IFERROR(__xludf.DUMMYFUNCTION("""COMPUTED_VALUE"""),12.875)</f>
        <v>12.875</v>
      </c>
      <c r="AF39" s="49">
        <f>IFERROR(__xludf.DUMMYFUNCTION("""COMPUTED_VALUE"""),35.0)</f>
        <v>35</v>
      </c>
      <c r="AG39" s="201">
        <f>IFERROR(__xludf.DUMMYFUNCTION("""COMPUTED_VALUE"""),-3.161614576288076)</f>
        <v>-3.161614576</v>
      </c>
      <c r="AH39" s="201">
        <f>IFERROR(__xludf.DUMMYFUNCTION("""COMPUTED_VALUE"""),-4.2009063984192005)</f>
        <v>-4.200906398</v>
      </c>
      <c r="AI39" s="15" t="str">
        <f>IFERROR(__xludf.DUMMYFUNCTION("""COMPUTED_VALUE"""),"defense prevented most shots, they did good, though 4028 was going crazy")</f>
        <v>defense prevented most shots, they did good, though 4028 was going crazy</v>
      </c>
    </row>
    <row r="40">
      <c r="A40" s="15">
        <f>IFERROR(__xludf.DUMMYFUNCTION("""COMPUTED_VALUE"""),3538.0)</f>
        <v>3538</v>
      </c>
      <c r="B40" s="62">
        <f>IFERROR(__xludf.DUMMYFUNCTION("""COMPUTED_VALUE"""),0.83)</f>
        <v>0.83</v>
      </c>
      <c r="C40" s="49">
        <f>IFERROR(__xludf.DUMMYFUNCTION("""COMPUTED_VALUE"""),0.0)</f>
        <v>0</v>
      </c>
      <c r="D40" s="49">
        <f>IFERROR(__xludf.DUMMYFUNCTION("""COMPUTED_VALUE"""),2.3333333333333335)</f>
        <v>2.333333333</v>
      </c>
      <c r="E40" s="49">
        <f>IFERROR(__xludf.DUMMYFUNCTION("""COMPUTED_VALUE"""),0.4028396363317186)</f>
        <v>0.4028396363</v>
      </c>
      <c r="F40" s="49">
        <f>IFERROR(__xludf.DUMMYFUNCTION("""COMPUTED_VALUE"""),3.6666666666666665)</f>
        <v>3.666666667</v>
      </c>
      <c r="G40" s="196">
        <f>IFERROR(__xludf.DUMMYFUNCTION("""COMPUTED_VALUE"""),0.6363636363636364)</f>
        <v>0.6363636364</v>
      </c>
      <c r="H40" s="196">
        <f>IFERROR(__xludf.DUMMYFUNCTION("""COMPUTED_VALUE"""),1.0)</f>
        <v>1</v>
      </c>
      <c r="I40" s="196">
        <f>IFERROR(__xludf.DUMMYFUNCTION("""COMPUTED_VALUE"""),0.8333333333333334)</f>
        <v>0.8333333333</v>
      </c>
      <c r="J40" s="196">
        <f>IFERROR(__xludf.DUMMYFUNCTION("""COMPUTED_VALUE"""),0.9166666666666667)</f>
        <v>0.9166666667</v>
      </c>
      <c r="K40" s="49">
        <f>IFERROR(__xludf.DUMMYFUNCTION("""COMPUTED_VALUE"""),0.4664628442610216)</f>
        <v>0.4664628443</v>
      </c>
      <c r="L40" s="49">
        <f>IFERROR(__xludf.DUMMYFUNCTION("""COMPUTED_VALUE"""),0.0)</f>
        <v>0</v>
      </c>
      <c r="M40" s="49">
        <f>IFERROR(__xludf.DUMMYFUNCTION("""COMPUTED_VALUE"""),13.166666666666666)</f>
        <v>13.16666667</v>
      </c>
      <c r="N40" s="197">
        <f>IFERROR(__xludf.DUMMYFUNCTION("""COMPUTED_VALUE"""),0.8921003481269869)</f>
        <v>0.8921003481</v>
      </c>
      <c r="O40" s="196">
        <f>IFERROR(__xludf.DUMMYFUNCTION("""COMPUTED_VALUE"""),0.8157894736842105)</f>
        <v>0.8157894737</v>
      </c>
      <c r="P40" s="49">
        <f>IFERROR(__xludf.DUMMYFUNCTION("""COMPUTED_VALUE"""),12.5)</f>
        <v>12.5</v>
      </c>
      <c r="Q40" s="49">
        <f>IFERROR(__xludf.DUMMYFUNCTION("""COMPUTED_VALUE"""),15.0)</f>
        <v>15</v>
      </c>
      <c r="R40" s="198">
        <f>IFERROR(__xludf.DUMMYFUNCTION("""COMPUTED_VALUE"""),0.9460107610423022)</f>
        <v>0.946010761</v>
      </c>
      <c r="S40" s="196">
        <f>IFERROR(__xludf.DUMMYFUNCTION("""COMPUTED_VALUE"""),1.0)</f>
        <v>1</v>
      </c>
      <c r="T40" s="196">
        <f>IFERROR(__xludf.DUMMYFUNCTION("""COMPUTED_VALUE"""),0.0)</f>
        <v>0</v>
      </c>
      <c r="U40" s="196">
        <f>IFERROR(__xludf.DUMMYFUNCTION("""COMPUTED_VALUE"""),0.0)</f>
        <v>0</v>
      </c>
      <c r="V40" s="196">
        <f>IFERROR(__xludf.DUMMYFUNCTION("""COMPUTED_VALUE"""),0.0)</f>
        <v>0</v>
      </c>
      <c r="W40" s="196">
        <f>IFERROR(__xludf.DUMMYFUNCTION("""COMPUTED_VALUE"""),0.8333333333333334)</f>
        <v>0.8333333333</v>
      </c>
      <c r="X40" s="199">
        <f>IFERROR(__xludf.DUMMYFUNCTION("""COMPUTED_VALUE"""),1.2726629473366133)</f>
        <v>1.272662947</v>
      </c>
      <c r="Y40" s="49">
        <f>IFERROR(__xludf.DUMMYFUNCTION("""COMPUTED_VALUE"""),9.333333333333334)</f>
        <v>9.333333333</v>
      </c>
      <c r="Z40" s="49">
        <f>IFERROR(__xludf.DUMMYFUNCTION("""COMPUTED_VALUE"""),26.333333333333332)</f>
        <v>26.33333333</v>
      </c>
      <c r="AA40" s="49">
        <f>IFERROR(__xludf.DUMMYFUNCTION("""COMPUTED_VALUE"""),35.666666666666664)</f>
        <v>35.66666667</v>
      </c>
      <c r="AB40" s="200">
        <f>IFERROR(__xludf.DUMMYFUNCTION("""COMPUTED_VALUE"""),0.8113382196482756)</f>
        <v>0.8113382196</v>
      </c>
      <c r="AC40" s="15">
        <f>IFERROR(__xludf.DUMMYFUNCTION("""COMPUTED_VALUE"""),18.0)</f>
        <v>18</v>
      </c>
      <c r="AD40" s="15">
        <f>IFERROR(__xludf.DUMMYFUNCTION("""COMPUTED_VALUE"""),0.46957405386919504)</f>
        <v>0.4695740539</v>
      </c>
      <c r="AE40" s="49">
        <f>IFERROR(__xludf.DUMMYFUNCTION("""COMPUTED_VALUE"""),15.5)</f>
        <v>15.5</v>
      </c>
      <c r="AF40" s="49">
        <f>IFERROR(__xludf.DUMMYFUNCTION("""COMPUTED_VALUE"""),48.16666666666667)</f>
        <v>48.16666667</v>
      </c>
      <c r="AG40" s="201">
        <f>IFERROR(__xludf.DUMMYFUNCTION("""COMPUTED_VALUE"""),7.396380986680386)</f>
        <v>7.396380987</v>
      </c>
      <c r="AH40" s="201">
        <f>IFERROR(__xludf.DUMMYFUNCTION("""COMPUTED_VALUE"""),8.342391747722688)</f>
        <v>8.342391748</v>
      </c>
      <c r="AI40" s="15" t="str">
        <f>IFERROR(__xludf.DUMMYFUNCTION("""COMPUTED_VALUE"""),"often did one ball cycles, accuarate shootEr close and far missed shots due to aggressive defense")</f>
        <v>often did one ball cycles, accuarate shootEr close and far missed shots due to aggressive defense</v>
      </c>
    </row>
    <row r="41">
      <c r="A41" s="15">
        <f>IFERROR(__xludf.DUMMYFUNCTION("""COMPUTED_VALUE"""),1024.0)</f>
        <v>1024</v>
      </c>
      <c r="B41" s="62">
        <f>IFERROR(__xludf.DUMMYFUNCTION("""COMPUTED_VALUE"""),0.38)</f>
        <v>0.38</v>
      </c>
      <c r="C41" s="49">
        <f>IFERROR(__xludf.DUMMYFUNCTION("""COMPUTED_VALUE"""),0.0)</f>
        <v>0</v>
      </c>
      <c r="D41" s="49">
        <f>IFERROR(__xludf.DUMMYFUNCTION("""COMPUTED_VALUE"""),1.625)</f>
        <v>1.625</v>
      </c>
      <c r="E41" s="49">
        <f>IFERROR(__xludf.DUMMYFUNCTION("""COMPUTED_VALUE"""),-0.4051027803560536)</f>
        <v>-0.4051027804</v>
      </c>
      <c r="F41" s="49">
        <f>IFERROR(__xludf.DUMMYFUNCTION("""COMPUTED_VALUE"""),1.75)</f>
        <v>1.75</v>
      </c>
      <c r="G41" s="196">
        <f>IFERROR(__xludf.DUMMYFUNCTION("""COMPUTED_VALUE"""),0.9285714285714286)</f>
        <v>0.9285714286</v>
      </c>
      <c r="H41" s="196">
        <f>IFERROR(__xludf.DUMMYFUNCTION("""COMPUTED_VALUE"""),0.9090909090909091)</f>
        <v>0.9090909091</v>
      </c>
      <c r="I41" s="196">
        <f>IFERROR(__xludf.DUMMYFUNCTION("""COMPUTED_VALUE"""),0.875)</f>
        <v>0.875</v>
      </c>
      <c r="J41" s="196">
        <f>IFERROR(__xludf.DUMMYFUNCTION("""COMPUTED_VALUE"""),0.8920454545454546)</f>
        <v>0.8920454545</v>
      </c>
      <c r="K41" s="49">
        <f>IFERROR(__xludf.DUMMYFUNCTION("""COMPUTED_VALUE"""),0.2864372200946163)</f>
        <v>0.2864372201</v>
      </c>
      <c r="L41" s="49">
        <f>IFERROR(__xludf.DUMMYFUNCTION("""COMPUTED_VALUE"""),0.25)</f>
        <v>0.25</v>
      </c>
      <c r="M41" s="49">
        <f>IFERROR(__xludf.DUMMYFUNCTION("""COMPUTED_VALUE"""),4.5)</f>
        <v>4.5</v>
      </c>
      <c r="N41" s="197">
        <f>IFERROR(__xludf.DUMMYFUNCTION("""COMPUTED_VALUE"""),-1.062293217275318)</f>
        <v>-1.062293217</v>
      </c>
      <c r="O41" s="196">
        <f>IFERROR(__xludf.DUMMYFUNCTION("""COMPUTED_VALUE"""),0.8095238095238095)</f>
        <v>0.8095238095</v>
      </c>
      <c r="P41" s="49">
        <f>IFERROR(__xludf.DUMMYFUNCTION("""COMPUTED_VALUE"""),11.25)</f>
        <v>11.25</v>
      </c>
      <c r="Q41" s="49">
        <f>IFERROR(__xludf.DUMMYFUNCTION("""COMPUTED_VALUE"""),14.0)</f>
        <v>14</v>
      </c>
      <c r="R41" s="198">
        <f>IFERROR(__xludf.DUMMYFUNCTION("""COMPUTED_VALUE"""),0.7348083585770441)</f>
        <v>0.7348083586</v>
      </c>
      <c r="S41" s="196">
        <f>IFERROR(__xludf.DUMMYFUNCTION("""COMPUTED_VALUE"""),1.0)</f>
        <v>1</v>
      </c>
      <c r="T41" s="196">
        <f>IFERROR(__xludf.DUMMYFUNCTION("""COMPUTED_VALUE"""),0.0)</f>
        <v>0</v>
      </c>
      <c r="U41" s="196">
        <f>IFERROR(__xludf.DUMMYFUNCTION("""COMPUTED_VALUE"""),0.0)</f>
        <v>0</v>
      </c>
      <c r="V41" s="196">
        <f>IFERROR(__xludf.DUMMYFUNCTION("""COMPUTED_VALUE"""),0.375)</f>
        <v>0.375</v>
      </c>
      <c r="W41" s="196">
        <f>IFERROR(__xludf.DUMMYFUNCTION("""COMPUTED_VALUE"""),0.5)</f>
        <v>0.5</v>
      </c>
      <c r="X41" s="199">
        <f>IFERROR(__xludf.DUMMYFUNCTION("""COMPUTED_VALUE"""),0.21714983334685223)</f>
        <v>0.2171498333</v>
      </c>
      <c r="Y41" s="49">
        <f>IFERROR(__xludf.DUMMYFUNCTION("""COMPUTED_VALUE"""),6.5)</f>
        <v>6.5</v>
      </c>
      <c r="Z41" s="49">
        <f>IFERROR(__xludf.DUMMYFUNCTION("""COMPUTED_VALUE"""),9.25)</f>
        <v>9.25</v>
      </c>
      <c r="AA41" s="49">
        <f>IFERROR(__xludf.DUMMYFUNCTION("""COMPUTED_VALUE"""),15.75)</f>
        <v>15.75</v>
      </c>
      <c r="AB41" s="200">
        <f>IFERROR(__xludf.DUMMYFUNCTION("""COMPUTED_VALUE"""),-0.9538109761677097)</f>
        <v>-0.9538109762</v>
      </c>
      <c r="AC41" s="15">
        <f>IFERROR(__xludf.DUMMYFUNCTION("""COMPUTED_VALUE"""),10.0)</f>
        <v>10</v>
      </c>
      <c r="AD41" s="15">
        <f>IFERROR(__xludf.DUMMYFUNCTION("""COMPUTED_VALUE"""),-0.8861886279787061)</f>
        <v>-0.886188628</v>
      </c>
      <c r="AE41" s="49">
        <f>IFERROR(__xludf.DUMMYFUNCTION("""COMPUTED_VALUE"""),6.375)</f>
        <v>6.375</v>
      </c>
      <c r="AF41" s="49">
        <f>IFERROR(__xludf.DUMMYFUNCTION("""COMPUTED_VALUE"""),27.0)</f>
        <v>27</v>
      </c>
      <c r="AG41" s="201">
        <f>IFERROR(__xludf.DUMMYFUNCTION("""COMPUTED_VALUE"""),-0.8473976254018667)</f>
        <v>-0.8473976254</v>
      </c>
      <c r="AH41" s="201">
        <f>IFERROR(__xludf.DUMMYFUNCTION("""COMPUTED_VALUE"""),-0.11258926682482251)</f>
        <v>-0.1125892668</v>
      </c>
      <c r="AI41" s="15" t="str">
        <f>IFERROR(__xludf.DUMMYFUNCTION("""COMPUTED_VALUE"""),"played defense entire time, Fell off the middle rung once. Climbed again. Played decent defense., takes a long time to climb compared to other traversals")</f>
        <v>played defense entire time, Fell off the middle rung once. Climbed again. Played decent defense., takes a long time to climb compared to other traversals</v>
      </c>
    </row>
    <row r="42">
      <c r="A42" s="15">
        <f>IFERROR(__xludf.DUMMYFUNCTION("""COMPUTED_VALUE"""),3357.0)</f>
        <v>3357</v>
      </c>
      <c r="B42" s="62">
        <f>IFERROR(__xludf.DUMMYFUNCTION("""COMPUTED_VALUE"""),0.71)</f>
        <v>0.71</v>
      </c>
      <c r="C42" s="49">
        <f>IFERROR(__xludf.DUMMYFUNCTION("""COMPUTED_VALUE"""),0.0)</f>
        <v>0</v>
      </c>
      <c r="D42" s="49">
        <f>IFERROR(__xludf.DUMMYFUNCTION("""COMPUTED_VALUE"""),1.7142857142857142)</f>
        <v>1.714285714</v>
      </c>
      <c r="E42" s="49">
        <f>IFERROR(__xludf.DUMMYFUNCTION("""COMPUTED_VALUE"""),-0.3032612992609564)</f>
        <v>-0.3032612993</v>
      </c>
      <c r="F42" s="49">
        <f>IFERROR(__xludf.DUMMYFUNCTION("""COMPUTED_VALUE"""),2.142857142857143)</f>
        <v>2.142857143</v>
      </c>
      <c r="G42" s="196">
        <f>IFERROR(__xludf.DUMMYFUNCTION("""COMPUTED_VALUE"""),0.8)</f>
        <v>0.8</v>
      </c>
      <c r="H42" s="196">
        <f>IFERROR(__xludf.DUMMYFUNCTION("""COMPUTED_VALUE"""),0.8888888888888888)</f>
        <v>0.8888888889</v>
      </c>
      <c r="I42" s="196">
        <f>IFERROR(__xludf.DUMMYFUNCTION("""COMPUTED_VALUE"""),1.0)</f>
        <v>1</v>
      </c>
      <c r="J42" s="196">
        <f>IFERROR(__xludf.DUMMYFUNCTION("""COMPUTED_VALUE"""),0.9444444444444444)</f>
        <v>0.9444444444</v>
      </c>
      <c r="K42" s="49">
        <f>IFERROR(__xludf.DUMMYFUNCTION("""COMPUTED_VALUE"""),0.6695686766538881)</f>
        <v>0.6695686767</v>
      </c>
      <c r="L42" s="49">
        <f>IFERROR(__xludf.DUMMYFUNCTION("""COMPUTED_VALUE"""),0.14285714285714285)</f>
        <v>0.1428571429</v>
      </c>
      <c r="M42" s="49">
        <f>IFERROR(__xludf.DUMMYFUNCTION("""COMPUTED_VALUE"""),7.0)</f>
        <v>7</v>
      </c>
      <c r="N42" s="197">
        <f>IFERROR(__xludf.DUMMYFUNCTION("""COMPUTED_VALUE"""),-0.4985258426400376)</f>
        <v>-0.4985258426</v>
      </c>
      <c r="O42" s="196">
        <f>IFERROR(__xludf.DUMMYFUNCTION("""COMPUTED_VALUE"""),0.8051948051948052)</f>
        <v>0.8051948052</v>
      </c>
      <c r="P42" s="49">
        <f>IFERROR(__xludf.DUMMYFUNCTION("""COMPUTED_VALUE"""),11.428571428571429)</f>
        <v>11.42857143</v>
      </c>
      <c r="Q42" s="49">
        <f>IFERROR(__xludf.DUMMYFUNCTION("""COMPUTED_VALUE"""),14.0)</f>
        <v>14</v>
      </c>
      <c r="R42" s="198">
        <f>IFERROR(__xludf.DUMMYFUNCTION("""COMPUTED_VALUE"""),0.7348083585770441)</f>
        <v>0.7348083586</v>
      </c>
      <c r="S42" s="196">
        <f>IFERROR(__xludf.DUMMYFUNCTION("""COMPUTED_VALUE"""),1.0)</f>
        <v>1</v>
      </c>
      <c r="T42" s="196">
        <f>IFERROR(__xludf.DUMMYFUNCTION("""COMPUTED_VALUE"""),0.0)</f>
        <v>0</v>
      </c>
      <c r="U42" s="196">
        <f>IFERROR(__xludf.DUMMYFUNCTION("""COMPUTED_VALUE"""),0.0)</f>
        <v>0</v>
      </c>
      <c r="V42" s="196">
        <f>IFERROR(__xludf.DUMMYFUNCTION("""COMPUTED_VALUE"""),0.2857142857142857)</f>
        <v>0.2857142857</v>
      </c>
      <c r="W42" s="196">
        <f>IFERROR(__xludf.DUMMYFUNCTION("""COMPUTED_VALUE"""),0.5714285714285714)</f>
        <v>0.5714285714</v>
      </c>
      <c r="X42" s="199">
        <f>IFERROR(__xludf.DUMMYFUNCTION("""COMPUTED_VALUE"""),0.4433312149160866)</f>
        <v>0.4433312149</v>
      </c>
      <c r="Y42" s="49">
        <f>IFERROR(__xludf.DUMMYFUNCTION("""COMPUTED_VALUE"""),6.857142857142857)</f>
        <v>6.857142857</v>
      </c>
      <c r="Z42" s="49">
        <f>IFERROR(__xludf.DUMMYFUNCTION("""COMPUTED_VALUE"""),14.142857142857142)</f>
        <v>14.14285714</v>
      </c>
      <c r="AA42" s="49">
        <f>IFERROR(__xludf.DUMMYFUNCTION("""COMPUTED_VALUE"""),21.0)</f>
        <v>21</v>
      </c>
      <c r="AB42" s="200">
        <f>IFERROR(__xludf.DUMMYFUNCTION("""COMPUTED_VALUE"""),-0.4662935792280568)</f>
        <v>-0.4662935792</v>
      </c>
      <c r="AC42" s="15">
        <f>IFERROR(__xludf.DUMMYFUNCTION("""COMPUTED_VALUE"""),10.0)</f>
        <v>10</v>
      </c>
      <c r="AD42" s="15">
        <f>IFERROR(__xludf.DUMMYFUNCTION("""COMPUTED_VALUE"""),-0.8861886279787061)</f>
        <v>-0.886188628</v>
      </c>
      <c r="AE42" s="49">
        <f>IFERROR(__xludf.DUMMYFUNCTION("""COMPUTED_VALUE"""),8.857142857142858)</f>
        <v>8.857142857</v>
      </c>
      <c r="AF42" s="49">
        <f>IFERROR(__xludf.DUMMYFUNCTION("""COMPUTED_VALUE"""),32.42857142857143)</f>
        <v>32.42857143</v>
      </c>
      <c r="AG42" s="201">
        <f>IFERROR(__xludf.DUMMYFUNCTION("""COMPUTED_VALUE"""),1.2270359550632457)</f>
        <v>1.227035955</v>
      </c>
      <c r="AH42" s="201">
        <f>IFERROR(__xludf.DUMMYFUNCTION("""COMPUTED_VALUE"""),1.9618443136402899)</f>
        <v>1.961844314</v>
      </c>
      <c r="AI42" s="15" t="str">
        <f>IFERROR(__xludf.DUMMYFUNCTION("""COMPUTED_VALUE"""),"Attempted traverse but ran out of time. Struggled against defense. Can shoot from anywhere on tge field, very vulnerable to being pinned for the whole match")</f>
        <v>Attempted traverse but ran out of time. Struggled against defense. Can shoot from anywhere on tge field, very vulnerable to being pinned for the whole match</v>
      </c>
    </row>
    <row r="43">
      <c r="A43" s="15">
        <f>IFERROR(__xludf.DUMMYFUNCTION("""COMPUTED_VALUE"""),195.0)</f>
        <v>195</v>
      </c>
      <c r="B43" s="62">
        <f>IFERROR(__xludf.DUMMYFUNCTION("""COMPUTED_VALUE"""),0.71)</f>
        <v>0.71</v>
      </c>
      <c r="C43" s="49">
        <f>IFERROR(__xludf.DUMMYFUNCTION("""COMPUTED_VALUE"""),0.0)</f>
        <v>0</v>
      </c>
      <c r="D43" s="49">
        <f>IFERROR(__xludf.DUMMYFUNCTION("""COMPUTED_VALUE"""),1.5714285714285714)</f>
        <v>1.571428571</v>
      </c>
      <c r="E43" s="49">
        <f>IFERROR(__xludf.DUMMYFUNCTION("""COMPUTED_VALUE"""),-0.466207669013112)</f>
        <v>-0.466207669</v>
      </c>
      <c r="F43" s="49">
        <f>IFERROR(__xludf.DUMMYFUNCTION("""COMPUTED_VALUE"""),2.0)</f>
        <v>2</v>
      </c>
      <c r="G43" s="196">
        <f>IFERROR(__xludf.DUMMYFUNCTION("""COMPUTED_VALUE"""),0.7857142857142857)</f>
        <v>0.7857142857</v>
      </c>
      <c r="H43" s="196">
        <f>IFERROR(__xludf.DUMMYFUNCTION("""COMPUTED_VALUE"""),0.8)</f>
        <v>0.8</v>
      </c>
      <c r="I43" s="196">
        <f>IFERROR(__xludf.DUMMYFUNCTION("""COMPUTED_VALUE"""),0.7142857142857143)</f>
        <v>0.7142857143</v>
      </c>
      <c r="J43" s="196">
        <f>IFERROR(__xludf.DUMMYFUNCTION("""COMPUTED_VALUE"""),0.7571428571428571)</f>
        <v>0.7571428571</v>
      </c>
      <c r="K43" s="49">
        <f>IFERROR(__xludf.DUMMYFUNCTION("""COMPUTED_VALUE"""),-0.6999449360523022)</f>
        <v>-0.6999449361</v>
      </c>
      <c r="L43" s="49">
        <f>IFERROR(__xludf.DUMMYFUNCTION("""COMPUTED_VALUE"""),0.0)</f>
        <v>0</v>
      </c>
      <c r="M43" s="49">
        <f>IFERROR(__xludf.DUMMYFUNCTION("""COMPUTED_VALUE"""),8.714285714285714)</f>
        <v>8.714285714</v>
      </c>
      <c r="N43" s="197">
        <f>IFERROR(__xludf.DUMMYFUNCTION("""COMPUTED_VALUE"""),-0.11194250003298843)</f>
        <v>-0.1119425</v>
      </c>
      <c r="O43" s="196">
        <f>IFERROR(__xludf.DUMMYFUNCTION("""COMPUTED_VALUE"""),0.8)</f>
        <v>0.8</v>
      </c>
      <c r="P43" s="49">
        <f>IFERROR(__xludf.DUMMYFUNCTION("""COMPUTED_VALUE"""),13.0)</f>
        <v>13</v>
      </c>
      <c r="Q43" s="49">
        <f>IFERROR(__xludf.DUMMYFUNCTION("""COMPUTED_VALUE"""),15.0)</f>
        <v>15</v>
      </c>
      <c r="R43" s="198">
        <f>IFERROR(__xludf.DUMMYFUNCTION("""COMPUTED_VALUE"""),0.9460107610423022)</f>
        <v>0.946010761</v>
      </c>
      <c r="S43" s="196">
        <f>IFERROR(__xludf.DUMMYFUNCTION("""COMPUTED_VALUE"""),1.0)</f>
        <v>1</v>
      </c>
      <c r="T43" s="196">
        <f>IFERROR(__xludf.DUMMYFUNCTION("""COMPUTED_VALUE"""),0.0)</f>
        <v>0</v>
      </c>
      <c r="U43" s="196">
        <f>IFERROR(__xludf.DUMMYFUNCTION("""COMPUTED_VALUE"""),0.14285714285714285)</f>
        <v>0.1428571429</v>
      </c>
      <c r="V43" s="196">
        <f>IFERROR(__xludf.DUMMYFUNCTION("""COMPUTED_VALUE"""),0.14285714285714285)</f>
        <v>0.1428571429</v>
      </c>
      <c r="W43" s="196">
        <f>IFERROR(__xludf.DUMMYFUNCTION("""COMPUTED_VALUE"""),0.7142857142857143)</f>
        <v>0.7142857143</v>
      </c>
      <c r="X43" s="199">
        <f>IFERROR(__xludf.DUMMYFUNCTION("""COMPUTED_VALUE"""),0.8956939780545558)</f>
        <v>0.8956939781</v>
      </c>
      <c r="Y43" s="49">
        <f>IFERROR(__xludf.DUMMYFUNCTION("""COMPUTED_VALUE"""),6.285714285714286)</f>
        <v>6.285714286</v>
      </c>
      <c r="Z43" s="49">
        <f>IFERROR(__xludf.DUMMYFUNCTION("""COMPUTED_VALUE"""),17.428571428571427)</f>
        <v>17.42857143</v>
      </c>
      <c r="AA43" s="49">
        <f>IFERROR(__xludf.DUMMYFUNCTION("""COMPUTED_VALUE"""),23.71428571428571)</f>
        <v>23.71428571</v>
      </c>
      <c r="AB43" s="200">
        <f>IFERROR(__xludf.DUMMYFUNCTION("""COMPUTED_VALUE"""),-0.17042095211985359)</f>
        <v>-0.1704209521</v>
      </c>
      <c r="AC43" s="15">
        <f>IFERROR(__xludf.DUMMYFUNCTION("""COMPUTED_VALUE"""),12.0)</f>
        <v>12</v>
      </c>
      <c r="AD43" s="15">
        <f>IFERROR(__xludf.DUMMYFUNCTION("""COMPUTED_VALUE"""),-0.5472479575167308)</f>
        <v>-0.5472479575</v>
      </c>
      <c r="AE43" s="49">
        <f>IFERROR(__xludf.DUMMYFUNCTION("""COMPUTED_VALUE"""),10.285714285714285)</f>
        <v>10.28571429</v>
      </c>
      <c r="AF43" s="49">
        <f>IFERROR(__xludf.DUMMYFUNCTION("""COMPUTED_VALUE"""),36.71428571428571)</f>
        <v>36.71428571</v>
      </c>
      <c r="AG43" s="201">
        <f>IFERROR(__xludf.DUMMYFUNCTION("""COMPUTED_VALUE"""),2.2010226505012103)</f>
        <v>2.201022651</v>
      </c>
      <c r="AH43" s="201">
        <f>IFERROR(__xludf.DUMMYFUNCTION("""COMPUTED_VALUE"""),3.1470334115435126)</f>
        <v>3.147033412</v>
      </c>
      <c r="AI43" s="15" t="str">
        <f>IFERROR(__xludf.DUMMYFUNCTION("""COMPUTED_VALUE"""),"spent most of the match damaging their intake, fell on first climb attemot and barely stayed on 2nd.")</f>
        <v>spent most of the match damaging their intake, fell on first climb attemot and barely stayed on 2nd.</v>
      </c>
    </row>
    <row r="44">
      <c r="A44" s="15">
        <f>IFERROR(__xludf.DUMMYFUNCTION("""COMPUTED_VALUE"""),4635.0)</f>
        <v>4635</v>
      </c>
      <c r="B44" s="62">
        <f>IFERROR(__xludf.DUMMYFUNCTION("""COMPUTED_VALUE"""),0.57)</f>
        <v>0.57</v>
      </c>
      <c r="C44" s="49">
        <f>IFERROR(__xludf.DUMMYFUNCTION("""COMPUTED_VALUE"""),0.0)</f>
        <v>0</v>
      </c>
      <c r="D44" s="49">
        <f>IFERROR(__xludf.DUMMYFUNCTION("""COMPUTED_VALUE"""),2.0)</f>
        <v>2</v>
      </c>
      <c r="E44" s="49">
        <f>IFERROR(__xludf.DUMMYFUNCTION("""COMPUTED_VALUE"""),0.022631440243355134)</f>
        <v>0.02263144024</v>
      </c>
      <c r="F44" s="49">
        <f>IFERROR(__xludf.DUMMYFUNCTION("""COMPUTED_VALUE"""),2.0)</f>
        <v>2</v>
      </c>
      <c r="G44" s="196">
        <f>IFERROR(__xludf.DUMMYFUNCTION("""COMPUTED_VALUE"""),1.0)</f>
        <v>1</v>
      </c>
      <c r="H44" s="196">
        <f>IFERROR(__xludf.DUMMYFUNCTION("""COMPUTED_VALUE"""),1.0)</f>
        <v>1</v>
      </c>
      <c r="I44" s="196">
        <f>IFERROR(__xludf.DUMMYFUNCTION("""COMPUTED_VALUE"""),1.0)</f>
        <v>1</v>
      </c>
      <c r="J44" s="196">
        <f>IFERROR(__xludf.DUMMYFUNCTION("""COMPUTED_VALUE"""),1.0)</f>
        <v>1</v>
      </c>
      <c r="K44" s="49">
        <f>IFERROR(__xludf.DUMMYFUNCTION("""COMPUTED_VALUE"""),1.0757803414396225)</f>
        <v>1.075780341</v>
      </c>
      <c r="L44" s="49">
        <f>IFERROR(__xludf.DUMMYFUNCTION("""COMPUTED_VALUE"""),0.0)</f>
        <v>0</v>
      </c>
      <c r="M44" s="49">
        <f>IFERROR(__xludf.DUMMYFUNCTION("""COMPUTED_VALUE"""),14.571428571428571)</f>
        <v>14.57142857</v>
      </c>
      <c r="N44" s="197">
        <f>IFERROR(__xludf.DUMMYFUNCTION("""COMPUTED_VALUE"""),1.2088839205410968)</f>
        <v>1.208883921</v>
      </c>
      <c r="O44" s="196">
        <f>IFERROR(__xludf.DUMMYFUNCTION("""COMPUTED_VALUE"""),0.7945205479452054)</f>
        <v>0.7945205479</v>
      </c>
      <c r="P44" s="49">
        <f>IFERROR(__xludf.DUMMYFUNCTION("""COMPUTED_VALUE"""),3.5714285714285716)</f>
        <v>3.571428571</v>
      </c>
      <c r="Q44" s="49">
        <f>IFERROR(__xludf.DUMMYFUNCTION("""COMPUTED_VALUE"""),5.0)</f>
        <v>5</v>
      </c>
      <c r="R44" s="198">
        <f>IFERROR(__xludf.DUMMYFUNCTION("""COMPUTED_VALUE"""),-1.166013263610279)</f>
        <v>-1.166013264</v>
      </c>
      <c r="S44" s="196">
        <f>IFERROR(__xludf.DUMMYFUNCTION("""COMPUTED_VALUE"""),0.6666666666666666)</f>
        <v>0.6666666667</v>
      </c>
      <c r="T44" s="196">
        <f>IFERROR(__xludf.DUMMYFUNCTION("""COMPUTED_VALUE"""),0.0)</f>
        <v>0</v>
      </c>
      <c r="U44" s="196">
        <f>IFERROR(__xludf.DUMMYFUNCTION("""COMPUTED_VALUE"""),0.0)</f>
        <v>0</v>
      </c>
      <c r="V44" s="196">
        <f>IFERROR(__xludf.DUMMYFUNCTION("""COMPUTED_VALUE"""),0.14285714285714285)</f>
        <v>0.1428571429</v>
      </c>
      <c r="W44" s="196">
        <f>IFERROR(__xludf.DUMMYFUNCTION("""COMPUTED_VALUE"""),0.14285714285714285)</f>
        <v>0.1428571429</v>
      </c>
      <c r="X44" s="199">
        <f>IFERROR(__xludf.DUMMYFUNCTION("""COMPUTED_VALUE"""),-0.9137570744993202)</f>
        <v>-0.9137570745</v>
      </c>
      <c r="Y44" s="49">
        <f>IFERROR(__xludf.DUMMYFUNCTION("""COMPUTED_VALUE"""),8.0)</f>
        <v>8</v>
      </c>
      <c r="Z44" s="49">
        <f>IFERROR(__xludf.DUMMYFUNCTION("""COMPUTED_VALUE"""),29.142857142857142)</f>
        <v>29.14285714</v>
      </c>
      <c r="AA44" s="49">
        <f>IFERROR(__xludf.DUMMYFUNCTION("""COMPUTED_VALUE"""),37.14285714285714)</f>
        <v>37.14285714</v>
      </c>
      <c r="AB44" s="200">
        <f>IFERROR(__xludf.DUMMYFUNCTION("""COMPUTED_VALUE"""),1.0130695563129593)</f>
        <v>1.013069556</v>
      </c>
      <c r="AC44" s="15">
        <f>IFERROR(__xludf.DUMMYFUNCTION("""COMPUTED_VALUE"""),19.0)</f>
        <v>19</v>
      </c>
      <c r="AD44" s="15">
        <f>IFERROR(__xludf.DUMMYFUNCTION("""COMPUTED_VALUE"""),0.6390443891001827)</f>
        <v>0.6390443891</v>
      </c>
      <c r="AE44" s="49">
        <f>IFERROR(__xludf.DUMMYFUNCTION("""COMPUTED_VALUE"""),16.57142857142857)</f>
        <v>16.57142857</v>
      </c>
      <c r="AF44" s="49">
        <f>IFERROR(__xludf.DUMMYFUNCTION("""COMPUTED_VALUE"""),40.714285714285715)</f>
        <v>40.71428571</v>
      </c>
      <c r="AG44" s="201">
        <f>IFERROR(__xludf.DUMMYFUNCTION("""COMPUTED_VALUE"""),0.6774234377219805)</f>
        <v>0.6774234377</v>
      </c>
      <c r="AH44" s="201">
        <f>IFERROR(__xludf.DUMMYFUNCTION("""COMPUTED_VALUE"""),-0.48858982588829836)</f>
        <v>-0.4885898259</v>
      </c>
      <c r="AI44" s="15" t="str">
        <f>IFERROR(__xludf.DUMMYFUNCTION("""COMPUTED_VALUE"""),"Second hook of climber didn't connect, and it was too much strain for one hook by itself.")</f>
        <v>Second hook of climber didn't connect, and it was too much strain for one hook by itself.</v>
      </c>
    </row>
    <row r="45">
      <c r="A45" s="15">
        <f>IFERROR(__xludf.DUMMYFUNCTION("""COMPUTED_VALUE"""),1533.0)</f>
        <v>1533</v>
      </c>
      <c r="B45" s="62">
        <f>IFERROR(__xludf.DUMMYFUNCTION("""COMPUTED_VALUE"""),0.63)</f>
        <v>0.63</v>
      </c>
      <c r="C45" s="49">
        <f>IFERROR(__xludf.DUMMYFUNCTION("""COMPUTED_VALUE"""),0.0)</f>
        <v>0</v>
      </c>
      <c r="D45" s="49">
        <f>IFERROR(__xludf.DUMMYFUNCTION("""COMPUTED_VALUE"""),0.75)</f>
        <v>0.75</v>
      </c>
      <c r="E45" s="49">
        <f>IFERROR(__xludf.DUMMYFUNCTION("""COMPUTED_VALUE"""),-1.4031492950880073)</f>
        <v>-1.403149295</v>
      </c>
      <c r="F45" s="49">
        <f>IFERROR(__xludf.DUMMYFUNCTION("""COMPUTED_VALUE"""),0.875)</f>
        <v>0.875</v>
      </c>
      <c r="G45" s="196">
        <f>IFERROR(__xludf.DUMMYFUNCTION("""COMPUTED_VALUE"""),0.8571428571428571)</f>
        <v>0.8571428571</v>
      </c>
      <c r="H45" s="196">
        <f>IFERROR(__xludf.DUMMYFUNCTION("""COMPUTED_VALUE"""),0.8571428571428571)</f>
        <v>0.8571428571</v>
      </c>
      <c r="I45" s="196">
        <f>IFERROR(__xludf.DUMMYFUNCTION("""COMPUTED_VALUE"""),0.75)</f>
        <v>0.75</v>
      </c>
      <c r="J45" s="196">
        <f>IFERROR(__xludf.DUMMYFUNCTION("""COMPUTED_VALUE"""),0.8035714285714286)</f>
        <v>0.8035714286</v>
      </c>
      <c r="K45" s="49">
        <f>IFERROR(__xludf.DUMMYFUNCTION("""COMPUTED_VALUE"""),-0.3604680447670809)</f>
        <v>-0.3604680448</v>
      </c>
      <c r="L45" s="49">
        <f>IFERROR(__xludf.DUMMYFUNCTION("""COMPUTED_VALUE"""),0.0)</f>
        <v>0</v>
      </c>
      <c r="M45" s="49">
        <f>IFERROR(__xludf.DUMMYFUNCTION("""COMPUTED_VALUE"""),10.25)</f>
        <v>10.25</v>
      </c>
      <c r="N45" s="197">
        <f>IFERROR(__xludf.DUMMYFUNCTION("""COMPUTED_VALUE"""),0.23437174438582675)</f>
        <v>0.2343717444</v>
      </c>
      <c r="O45" s="196">
        <f>IFERROR(__xludf.DUMMYFUNCTION("""COMPUTED_VALUE"""),0.7652173913043478)</f>
        <v>0.7652173913</v>
      </c>
      <c r="P45" s="49">
        <f>IFERROR(__xludf.DUMMYFUNCTION("""COMPUTED_VALUE"""),6.375)</f>
        <v>6.375</v>
      </c>
      <c r="Q45" s="49">
        <f>IFERROR(__xludf.DUMMYFUNCTION("""COMPUTED_VALUE"""),10.2)</f>
        <v>10.2</v>
      </c>
      <c r="R45" s="198">
        <f>IFERROR(__xludf.DUMMYFUNCTION("""COMPUTED_VALUE"""),-0.06776077079093688)</f>
        <v>-0.06776077079</v>
      </c>
      <c r="S45" s="196">
        <f>IFERROR(__xludf.DUMMYFUNCTION("""COMPUTED_VALUE"""),1.0)</f>
        <v>1</v>
      </c>
      <c r="T45" s="196">
        <f>IFERROR(__xludf.DUMMYFUNCTION("""COMPUTED_VALUE"""),0.0)</f>
        <v>0</v>
      </c>
      <c r="U45" s="196">
        <f>IFERROR(__xludf.DUMMYFUNCTION("""COMPUTED_VALUE"""),0.125)</f>
        <v>0.125</v>
      </c>
      <c r="V45" s="196">
        <f>IFERROR(__xludf.DUMMYFUNCTION("""COMPUTED_VALUE"""),0.0)</f>
        <v>0</v>
      </c>
      <c r="W45" s="196">
        <f>IFERROR(__xludf.DUMMYFUNCTION("""COMPUTED_VALUE"""),0.375)</f>
        <v>0.375</v>
      </c>
      <c r="X45" s="199">
        <f>IFERROR(__xludf.DUMMYFUNCTION("""COMPUTED_VALUE"""),-0.17866758439930813)</f>
        <v>-0.1786675844</v>
      </c>
      <c r="Y45" s="49">
        <f>IFERROR(__xludf.DUMMYFUNCTION("""COMPUTED_VALUE"""),3.0)</f>
        <v>3</v>
      </c>
      <c r="Z45" s="49">
        <f>IFERROR(__xludf.DUMMYFUNCTION("""COMPUTED_VALUE"""),20.5)</f>
        <v>20.5</v>
      </c>
      <c r="AA45" s="49">
        <f>IFERROR(__xludf.DUMMYFUNCTION("""COMPUTED_VALUE"""),23.5)</f>
        <v>23.5</v>
      </c>
      <c r="AB45" s="200">
        <f>IFERROR(__xludf.DUMMYFUNCTION("""COMPUTED_VALUE"""),-0.035933394343397373)</f>
        <v>-0.03593339434</v>
      </c>
      <c r="AC45" s="15">
        <f>IFERROR(__xludf.DUMMYFUNCTION("""COMPUTED_VALUE"""),17.0)</f>
        <v>17</v>
      </c>
      <c r="AD45" s="15">
        <f>IFERROR(__xludf.DUMMYFUNCTION("""COMPUTED_VALUE"""),0.3001037186382074)</f>
        <v>0.3001037186</v>
      </c>
      <c r="AE45" s="49">
        <f>IFERROR(__xludf.DUMMYFUNCTION("""COMPUTED_VALUE"""),11.0)</f>
        <v>11</v>
      </c>
      <c r="AF45" s="49">
        <f>IFERROR(__xludf.DUMMYFUNCTION("""COMPUTED_VALUE"""),29.875)</f>
        <v>29.875</v>
      </c>
      <c r="AG45" s="201">
        <f>IFERROR(__xludf.DUMMYFUNCTION("""COMPUTED_VALUE"""),0.3717078238648593)</f>
        <v>0.3717078239</v>
      </c>
      <c r="AH45" s="201">
        <f>IFERROR(__xludf.DUMMYFUNCTION("""COMPUTED_VALUE"""),0.3039470530739224)</f>
        <v>0.3039470531</v>
      </c>
      <c r="AI45" s="15" t="str">
        <f>IFERROR(__xludf.DUMMYFUNCTION("""COMPUTED_VALUE"""),"very fast and effective, did good in both sides of the field")</f>
        <v>very fast and effective, did good in both sides of the field</v>
      </c>
    </row>
    <row r="46">
      <c r="A46" s="15">
        <f>IFERROR(__xludf.DUMMYFUNCTION("""COMPUTED_VALUE"""),1730.0)</f>
        <v>1730</v>
      </c>
      <c r="B46" s="62">
        <f>IFERROR(__xludf.DUMMYFUNCTION("""COMPUTED_VALUE"""),0.57)</f>
        <v>0.57</v>
      </c>
      <c r="C46" s="49">
        <f>IFERROR(__xludf.DUMMYFUNCTION("""COMPUTED_VALUE"""),0.0)</f>
        <v>0</v>
      </c>
      <c r="D46" s="49">
        <f>IFERROR(__xludf.DUMMYFUNCTION("""COMPUTED_VALUE"""),1.7142857142857142)</f>
        <v>1.714285714</v>
      </c>
      <c r="E46" s="49">
        <f>IFERROR(__xludf.DUMMYFUNCTION("""COMPUTED_VALUE"""),-0.3032612992609564)</f>
        <v>-0.3032612993</v>
      </c>
      <c r="F46" s="49">
        <f>IFERROR(__xludf.DUMMYFUNCTION("""COMPUTED_VALUE"""),1.7142857142857142)</f>
        <v>1.714285714</v>
      </c>
      <c r="G46" s="196">
        <f>IFERROR(__xludf.DUMMYFUNCTION("""COMPUTED_VALUE"""),1.0)</f>
        <v>1</v>
      </c>
      <c r="H46" s="196">
        <f>IFERROR(__xludf.DUMMYFUNCTION("""COMPUTED_VALUE"""),1.0)</f>
        <v>1</v>
      </c>
      <c r="I46" s="196">
        <f>IFERROR(__xludf.DUMMYFUNCTION("""COMPUTED_VALUE"""),1.0)</f>
        <v>1</v>
      </c>
      <c r="J46" s="196">
        <f>IFERROR(__xludf.DUMMYFUNCTION("""COMPUTED_VALUE"""),1.0)</f>
        <v>1</v>
      </c>
      <c r="K46" s="49">
        <f>IFERROR(__xludf.DUMMYFUNCTION("""COMPUTED_VALUE"""),1.0757803414396225)</f>
        <v>1.075780341</v>
      </c>
      <c r="L46" s="49">
        <f>IFERROR(__xludf.DUMMYFUNCTION("""COMPUTED_VALUE"""),0.14285714285714285)</f>
        <v>0.1428571429</v>
      </c>
      <c r="M46" s="49">
        <f>IFERROR(__xludf.DUMMYFUNCTION("""COMPUTED_VALUE"""),7.142857142857143)</f>
        <v>7.142857143</v>
      </c>
      <c r="N46" s="197">
        <f>IFERROR(__xludf.DUMMYFUNCTION("""COMPUTED_VALUE"""),-0.46631056408945004)</f>
        <v>-0.4663105641</v>
      </c>
      <c r="O46" s="196">
        <f>IFERROR(__xludf.DUMMYFUNCTION("""COMPUTED_VALUE"""),0.75)</f>
        <v>0.75</v>
      </c>
      <c r="P46" s="49">
        <f>IFERROR(__xludf.DUMMYFUNCTION("""COMPUTED_VALUE"""),7.857142857142857)</f>
        <v>7.857142857</v>
      </c>
      <c r="Q46" s="49">
        <f>IFERROR(__xludf.DUMMYFUNCTION("""COMPUTED_VALUE"""),11.0)</f>
        <v>11</v>
      </c>
      <c r="R46" s="198">
        <f>IFERROR(__xludf.DUMMYFUNCTION("""COMPUTED_VALUE"""),0.10120115118126977)</f>
        <v>0.1012011512</v>
      </c>
      <c r="S46" s="196">
        <f>IFERROR(__xludf.DUMMYFUNCTION("""COMPUTED_VALUE"""),0.5714285714285714)</f>
        <v>0.5714285714</v>
      </c>
      <c r="T46" s="196">
        <f>IFERROR(__xludf.DUMMYFUNCTION("""COMPUTED_VALUE"""),0.0)</f>
        <v>0</v>
      </c>
      <c r="U46" s="196">
        <f>IFERROR(__xludf.DUMMYFUNCTION("""COMPUTED_VALUE"""),0.0)</f>
        <v>0</v>
      </c>
      <c r="V46" s="196">
        <f>IFERROR(__xludf.DUMMYFUNCTION("""COMPUTED_VALUE"""),0.14285714285714285)</f>
        <v>0.1428571429</v>
      </c>
      <c r="W46" s="196">
        <f>IFERROR(__xludf.DUMMYFUNCTION("""COMPUTED_VALUE"""),0.42857142857142855)</f>
        <v>0.4285714286</v>
      </c>
      <c r="X46" s="199">
        <f>IFERROR(__xludf.DUMMYFUNCTION("""COMPUTED_VALUE"""),-0.009031548222382332)</f>
        <v>-0.009031548222</v>
      </c>
      <c r="Y46" s="49">
        <f>IFERROR(__xludf.DUMMYFUNCTION("""COMPUTED_VALUE"""),6.857142857142857)</f>
        <v>6.857142857</v>
      </c>
      <c r="Z46" s="49">
        <f>IFERROR(__xludf.DUMMYFUNCTION("""COMPUTED_VALUE"""),14.428571428571429)</f>
        <v>14.42857143</v>
      </c>
      <c r="AA46" s="49">
        <f>IFERROR(__xludf.DUMMYFUNCTION("""COMPUTED_VALUE"""),21.285714285714285)</f>
        <v>21.28571429</v>
      </c>
      <c r="AB46" s="200">
        <f>IFERROR(__xludf.DUMMYFUNCTION("""COMPUTED_VALUE"""),-0.43939606767276534)</f>
        <v>-0.4393960677</v>
      </c>
      <c r="AC46" s="15">
        <f>IFERROR(__xludf.DUMMYFUNCTION("""COMPUTED_VALUE"""),12.0)</f>
        <v>12</v>
      </c>
      <c r="AD46" s="15">
        <f>IFERROR(__xludf.DUMMYFUNCTION("""COMPUTED_VALUE"""),-0.5472479575167308)</f>
        <v>-0.5472479575</v>
      </c>
      <c r="AE46" s="49">
        <f>IFERROR(__xludf.DUMMYFUNCTION("""COMPUTED_VALUE"""),9.0)</f>
        <v>9</v>
      </c>
      <c r="AF46" s="49">
        <f>IFERROR(__xludf.DUMMYFUNCTION("""COMPUTED_VALUE"""),29.142857142857142)</f>
        <v>29.14285714</v>
      </c>
      <c r="AG46" s="201">
        <f>IFERROR(__xludf.DUMMYFUNCTION("""COMPUTED_VALUE"""),-0.46559470362037936)</f>
        <v>-0.4655947036</v>
      </c>
      <c r="AH46" s="201">
        <f>IFERROR(__xludf.DUMMYFUNCTION("""COMPUTED_VALUE"""),-0.36439355243910954)</f>
        <v>-0.3643935524</v>
      </c>
      <c r="AI46" s="15" t="str">
        <f>IFERROR(__xludf.DUMMYFUNCTION("""COMPUTED_VALUE"""),"got stuck on low bar, too slow on climb, defended")</f>
        <v>got stuck on low bar, too slow on climb, defended</v>
      </c>
    </row>
    <row r="47">
      <c r="A47" s="15">
        <f>IFERROR(__xludf.DUMMYFUNCTION("""COMPUTED_VALUE"""),234.0)</f>
        <v>234</v>
      </c>
      <c r="B47" s="62">
        <f>IFERROR(__xludf.DUMMYFUNCTION("""COMPUTED_VALUE"""),0.14)</f>
        <v>0.14</v>
      </c>
      <c r="C47" s="49">
        <f>IFERROR(__xludf.DUMMYFUNCTION("""COMPUTED_VALUE"""),0.0)</f>
        <v>0</v>
      </c>
      <c r="D47" s="49">
        <f>IFERROR(__xludf.DUMMYFUNCTION("""COMPUTED_VALUE"""),0.7142857142857143)</f>
        <v>0.7142857143</v>
      </c>
      <c r="E47" s="49">
        <f>IFERROR(__xludf.DUMMYFUNCTION("""COMPUTED_VALUE"""),-1.4438858875260463)</f>
        <v>-1.443885888</v>
      </c>
      <c r="F47" s="49">
        <f>IFERROR(__xludf.DUMMYFUNCTION("""COMPUTED_VALUE"""),1.1428571428571428)</f>
        <v>1.142857143</v>
      </c>
      <c r="G47" s="196">
        <f>IFERROR(__xludf.DUMMYFUNCTION("""COMPUTED_VALUE"""),0.625)</f>
        <v>0.625</v>
      </c>
      <c r="H47" s="196">
        <f>IFERROR(__xludf.DUMMYFUNCTION("""COMPUTED_VALUE"""),0.625)</f>
        <v>0.625</v>
      </c>
      <c r="I47" s="196">
        <f>IFERROR(__xludf.DUMMYFUNCTION("""COMPUTED_VALUE"""),0.42857142857142855)</f>
        <v>0.4285714286</v>
      </c>
      <c r="J47" s="196">
        <f>IFERROR(__xludf.DUMMYFUNCTION("""COMPUTED_VALUE"""),0.5267857142857143)</f>
        <v>0.5267857143</v>
      </c>
      <c r="K47" s="49">
        <f>IFERROR(__xludf.DUMMYFUNCTION("""COMPUTED_VALUE"""),-2.3842725889674363)</f>
        <v>-2.384272589</v>
      </c>
      <c r="L47" s="49">
        <f>IFERROR(__xludf.DUMMYFUNCTION("""COMPUTED_VALUE"""),0.0)</f>
        <v>0</v>
      </c>
      <c r="M47" s="49">
        <f>IFERROR(__xludf.DUMMYFUNCTION("""COMPUTED_VALUE"""),1.4285714285714286)</f>
        <v>1.428571429</v>
      </c>
      <c r="N47" s="197">
        <f>IFERROR(__xludf.DUMMYFUNCTION("""COMPUTED_VALUE"""),-1.7549217061129478)</f>
        <v>-1.754921706</v>
      </c>
      <c r="O47" s="196">
        <f>IFERROR(__xludf.DUMMYFUNCTION("""COMPUTED_VALUE"""),0.7142857142857143)</f>
        <v>0.7142857143</v>
      </c>
      <c r="P47" s="49">
        <f>IFERROR(__xludf.DUMMYFUNCTION("""COMPUTED_VALUE"""),8.428571428571429)</f>
        <v>8.428571429</v>
      </c>
      <c r="Q47" s="49">
        <f>IFERROR(__xludf.DUMMYFUNCTION("""COMPUTED_VALUE"""),11.8)</f>
        <v>11.8</v>
      </c>
      <c r="R47" s="198">
        <f>IFERROR(__xludf.DUMMYFUNCTION("""COMPUTED_VALUE"""),0.27016307315347643)</f>
        <v>0.2701630732</v>
      </c>
      <c r="S47" s="196">
        <f>IFERROR(__xludf.DUMMYFUNCTION("""COMPUTED_VALUE"""),0.8333333333333334)</f>
        <v>0.8333333333</v>
      </c>
      <c r="T47" s="196">
        <f>IFERROR(__xludf.DUMMYFUNCTION("""COMPUTED_VALUE"""),0.14285714285714285)</f>
        <v>0.1428571429</v>
      </c>
      <c r="U47" s="196">
        <f>IFERROR(__xludf.DUMMYFUNCTION("""COMPUTED_VALUE"""),0.0)</f>
        <v>0</v>
      </c>
      <c r="V47" s="196">
        <f>IFERROR(__xludf.DUMMYFUNCTION("""COMPUTED_VALUE"""),0.14285714285714285)</f>
        <v>0.1428571429</v>
      </c>
      <c r="W47" s="196">
        <f>IFERROR(__xludf.DUMMYFUNCTION("""COMPUTED_VALUE"""),0.42857142857142855)</f>
        <v>0.4285714286</v>
      </c>
      <c r="X47" s="199">
        <f>IFERROR(__xludf.DUMMYFUNCTION("""COMPUTED_VALUE"""),-0.009031548222382332)</f>
        <v>-0.009031548222</v>
      </c>
      <c r="Y47" s="49">
        <f>IFERROR(__xludf.DUMMYFUNCTION("""COMPUTED_VALUE"""),2.857142857142857)</f>
        <v>2.857142857</v>
      </c>
      <c r="Z47" s="49">
        <f>IFERROR(__xludf.DUMMYFUNCTION("""COMPUTED_VALUE"""),2.857142857142857)</f>
        <v>2.857142857</v>
      </c>
      <c r="AA47" s="49">
        <f>IFERROR(__xludf.DUMMYFUNCTION("""COMPUTED_VALUE"""),5.714285714285714)</f>
        <v>5.714285714</v>
      </c>
      <c r="AB47" s="200">
        <f>IFERROR(__xludf.DUMMYFUNCTION("""COMPUTED_VALUE"""),-1.7035791107714522)</f>
        <v>-1.703579111</v>
      </c>
      <c r="AC47" s="15">
        <f>IFERROR(__xludf.DUMMYFUNCTION("""COMPUTED_VALUE"""),5.0)</f>
        <v>5</v>
      </c>
      <c r="AD47" s="15">
        <f>IFERROR(__xludf.DUMMYFUNCTION("""COMPUTED_VALUE"""),-1.7335403041336443)</f>
        <v>-1.733540304</v>
      </c>
      <c r="AE47" s="49">
        <f>IFERROR(__xludf.DUMMYFUNCTION("""COMPUTED_VALUE"""),2.142857142857143)</f>
        <v>2.142857143</v>
      </c>
      <c r="AF47" s="49">
        <f>IFERROR(__xludf.DUMMYFUNCTION("""COMPUTED_VALUE"""),14.142857142857144)</f>
        <v>14.14285714</v>
      </c>
      <c r="AG47" s="201">
        <f>IFERROR(__xludf.DUMMYFUNCTION("""COMPUTED_VALUE"""),-8.30192571882602)</f>
        <v>-8.301925719</v>
      </c>
      <c r="AH47" s="201">
        <f>IFERROR(__xludf.DUMMYFUNCTION("""COMPUTED_VALUE"""),-8.031762645672543)</f>
        <v>-8.031762646</v>
      </c>
      <c r="AI47" s="15" t="str">
        <f>IFERROR(__xludf.DUMMYFUNCTION("""COMPUTED_VALUE"""),"auto is just taxi, played defense, used mostly as defence, played defense, played defense")</f>
        <v>auto is just taxi, played defense, used mostly as defence, played defense, played defense</v>
      </c>
    </row>
    <row r="48">
      <c r="A48" s="15">
        <f>IFERROR(__xludf.DUMMYFUNCTION("""COMPUTED_VALUE"""),587.0)</f>
        <v>587</v>
      </c>
      <c r="B48" s="62">
        <f>IFERROR(__xludf.DUMMYFUNCTION("""COMPUTED_VALUE"""),0.63)</f>
        <v>0.63</v>
      </c>
      <c r="C48" s="49">
        <f>IFERROR(__xludf.DUMMYFUNCTION("""COMPUTED_VALUE"""),0.125)</f>
        <v>0.125</v>
      </c>
      <c r="D48" s="49">
        <f>IFERROR(__xludf.DUMMYFUNCTION("""COMPUTED_VALUE"""),0.75)</f>
        <v>0.75</v>
      </c>
      <c r="E48" s="49">
        <f>IFERROR(__xludf.DUMMYFUNCTION("""COMPUTED_VALUE"""),-1.4031492950880073)</f>
        <v>-1.403149295</v>
      </c>
      <c r="F48" s="49">
        <f>IFERROR(__xludf.DUMMYFUNCTION("""COMPUTED_VALUE"""),1.125)</f>
        <v>1.125</v>
      </c>
      <c r="G48" s="196">
        <f>IFERROR(__xludf.DUMMYFUNCTION("""COMPUTED_VALUE"""),0.7777777777777778)</f>
        <v>0.7777777778</v>
      </c>
      <c r="H48" s="196">
        <f>IFERROR(__xludf.DUMMYFUNCTION("""COMPUTED_VALUE"""),0.7777777777777778)</f>
        <v>0.7777777778</v>
      </c>
      <c r="I48" s="196">
        <f>IFERROR(__xludf.DUMMYFUNCTION("""COMPUTED_VALUE"""),0.625)</f>
        <v>0.625</v>
      </c>
      <c r="J48" s="196">
        <f>IFERROR(__xludf.DUMMYFUNCTION("""COMPUTED_VALUE"""),0.7013888888888888)</f>
        <v>0.7013888889</v>
      </c>
      <c r="K48" s="49">
        <f>IFERROR(__xludf.DUMMYFUNCTION("""COMPUTED_VALUE"""),-1.1076073567837001)</f>
        <v>-1.107607357</v>
      </c>
      <c r="L48" s="49">
        <f>IFERROR(__xludf.DUMMYFUNCTION("""COMPUTED_VALUE"""),0.25)</f>
        <v>0.25</v>
      </c>
      <c r="M48" s="49">
        <f>IFERROR(__xludf.DUMMYFUNCTION("""COMPUTED_VALUE"""),8.5)</f>
        <v>8.5</v>
      </c>
      <c r="N48" s="197">
        <f>IFERROR(__xludf.DUMMYFUNCTION("""COMPUTED_VALUE"""),-0.1602654178588694)</f>
        <v>-0.1602654179</v>
      </c>
      <c r="O48" s="196">
        <f>IFERROR(__xludf.DUMMYFUNCTION("""COMPUTED_VALUE"""),0.7129629629629629)</f>
        <v>0.712962963</v>
      </c>
      <c r="P48" s="49">
        <f>IFERROR(__xludf.DUMMYFUNCTION("""COMPUTED_VALUE"""),9.375)</f>
        <v>9.375</v>
      </c>
      <c r="Q48" s="49">
        <f>IFERROR(__xludf.DUMMYFUNCTION("""COMPUTED_VALUE"""),15.0)</f>
        <v>15</v>
      </c>
      <c r="R48" s="198">
        <f>IFERROR(__xludf.DUMMYFUNCTION("""COMPUTED_VALUE"""),0.9460107610423022)</f>
        <v>0.946010761</v>
      </c>
      <c r="S48" s="196">
        <f>IFERROR(__xludf.DUMMYFUNCTION("""COMPUTED_VALUE"""),1.0)</f>
        <v>1</v>
      </c>
      <c r="T48" s="196">
        <f>IFERROR(__xludf.DUMMYFUNCTION("""COMPUTED_VALUE"""),0.0)</f>
        <v>0</v>
      </c>
      <c r="U48" s="196">
        <f>IFERROR(__xludf.DUMMYFUNCTION("""COMPUTED_VALUE"""),0.0)</f>
        <v>0</v>
      </c>
      <c r="V48" s="196">
        <f>IFERROR(__xludf.DUMMYFUNCTION("""COMPUTED_VALUE"""),0.0)</f>
        <v>0</v>
      </c>
      <c r="W48" s="196">
        <f>IFERROR(__xludf.DUMMYFUNCTION("""COMPUTED_VALUE"""),0.625)</f>
        <v>0.625</v>
      </c>
      <c r="X48" s="199">
        <f>IFERROR(__xludf.DUMMYFUNCTION("""COMPUTED_VALUE"""),0.6129672510930125)</f>
        <v>0.6129672511</v>
      </c>
      <c r="Y48" s="49">
        <f>IFERROR(__xludf.DUMMYFUNCTION("""COMPUTED_VALUE"""),3.25)</f>
        <v>3.25</v>
      </c>
      <c r="Z48" s="49">
        <f>IFERROR(__xludf.DUMMYFUNCTION("""COMPUTED_VALUE"""),17.25)</f>
        <v>17.25</v>
      </c>
      <c r="AA48" s="49">
        <f>IFERROR(__xludf.DUMMYFUNCTION("""COMPUTED_VALUE"""),20.5)</f>
        <v>20.5</v>
      </c>
      <c r="AB48" s="200">
        <f>IFERROR(__xludf.DUMMYFUNCTION("""COMPUTED_VALUE"""),-0.36542791089571464)</f>
        <v>-0.3654279109</v>
      </c>
      <c r="AC48" s="15">
        <f>IFERROR(__xludf.DUMMYFUNCTION("""COMPUTED_VALUE"""),16.0)</f>
        <v>16</v>
      </c>
      <c r="AD48" s="15">
        <f>IFERROR(__xludf.DUMMYFUNCTION("""COMPUTED_VALUE"""),0.13063338340721975)</f>
        <v>0.1306333834</v>
      </c>
      <c r="AE48" s="49">
        <f>IFERROR(__xludf.DUMMYFUNCTION("""COMPUTED_VALUE"""),9.625)</f>
        <v>9.625</v>
      </c>
      <c r="AF48" s="49">
        <f>IFERROR(__xludf.DUMMYFUNCTION("""COMPUTED_VALUE"""),29.875)</f>
        <v>29.875</v>
      </c>
      <c r="AG48" s="201">
        <f>IFERROR(__xludf.DUMMYFUNCTION("""COMPUTED_VALUE"""),2.32627281721612)</f>
        <v>2.326272817</v>
      </c>
      <c r="AH48" s="201">
        <f>IFERROR(__xludf.DUMMYFUNCTION("""COMPUTED_VALUE"""),3.272283578258422)</f>
        <v>3.272283578</v>
      </c>
      <c r="AI48" s="15" t="str">
        <f>IFERROR(__xludf.DUMMYFUNCTION("""COMPUTED_VALUE"""),"crashed early stopped picking up balls and played defrnse. almost tipped over, their climber was very smooth")</f>
        <v>crashed early stopped picking up balls and played defrnse. almost tipped over, their climber was very smooth</v>
      </c>
    </row>
    <row r="49">
      <c r="A49" s="15">
        <f>IFERROR(__xludf.DUMMYFUNCTION("""COMPUTED_VALUE"""),503.0)</f>
        <v>503</v>
      </c>
      <c r="B49" s="62">
        <f>IFERROR(__xludf.DUMMYFUNCTION("""COMPUTED_VALUE"""),0.43)</f>
        <v>0.43</v>
      </c>
      <c r="C49" s="49">
        <f>IFERROR(__xludf.DUMMYFUNCTION("""COMPUTED_VALUE"""),0.0)</f>
        <v>0</v>
      </c>
      <c r="D49" s="49">
        <f>IFERROR(__xludf.DUMMYFUNCTION("""COMPUTED_VALUE"""),1.8571428571428572)</f>
        <v>1.857142857</v>
      </c>
      <c r="E49" s="49">
        <f>IFERROR(__xludf.DUMMYFUNCTION("""COMPUTED_VALUE"""),-0.1403149295088005)</f>
        <v>-0.1403149295</v>
      </c>
      <c r="F49" s="49">
        <f>IFERROR(__xludf.DUMMYFUNCTION("""COMPUTED_VALUE"""),2.4285714285714284)</f>
        <v>2.428571429</v>
      </c>
      <c r="G49" s="196">
        <f>IFERROR(__xludf.DUMMYFUNCTION("""COMPUTED_VALUE"""),0.7647058823529411)</f>
        <v>0.7647058824</v>
      </c>
      <c r="H49" s="196">
        <f>IFERROR(__xludf.DUMMYFUNCTION("""COMPUTED_VALUE"""),0.8)</f>
        <v>0.8</v>
      </c>
      <c r="I49" s="196">
        <f>IFERROR(__xludf.DUMMYFUNCTION("""COMPUTED_VALUE"""),0.7142857142857143)</f>
        <v>0.7142857143</v>
      </c>
      <c r="J49" s="196">
        <f>IFERROR(__xludf.DUMMYFUNCTION("""COMPUTED_VALUE"""),0.7571428571428571)</f>
        <v>0.7571428571</v>
      </c>
      <c r="K49" s="49">
        <f>IFERROR(__xludf.DUMMYFUNCTION("""COMPUTED_VALUE"""),-0.6999449360523022)</f>
        <v>-0.6999449361</v>
      </c>
      <c r="L49" s="49">
        <f>IFERROR(__xludf.DUMMYFUNCTION("""COMPUTED_VALUE"""),0.0)</f>
        <v>0</v>
      </c>
      <c r="M49" s="49">
        <f>IFERROR(__xludf.DUMMYFUNCTION("""COMPUTED_VALUE"""),6.428571428571429)</f>
        <v>6.428571429</v>
      </c>
      <c r="N49" s="197">
        <f>IFERROR(__xludf.DUMMYFUNCTION("""COMPUTED_VALUE"""),-0.6273869568423873)</f>
        <v>-0.6273869568</v>
      </c>
      <c r="O49" s="196">
        <f>IFERROR(__xludf.DUMMYFUNCTION("""COMPUTED_VALUE"""),0.6590909090909091)</f>
        <v>0.6590909091</v>
      </c>
      <c r="P49" s="49">
        <f>IFERROR(__xludf.DUMMYFUNCTION("""COMPUTED_VALUE"""),9.428571428571429)</f>
        <v>9.428571429</v>
      </c>
      <c r="Q49" s="49">
        <f>IFERROR(__xludf.DUMMYFUNCTION("""COMPUTED_VALUE"""),13.2)</f>
        <v>13.2</v>
      </c>
      <c r="R49" s="198">
        <f>IFERROR(__xludf.DUMMYFUNCTION("""COMPUTED_VALUE"""),0.5658464366048375)</f>
        <v>0.5658464366</v>
      </c>
      <c r="S49" s="196">
        <f>IFERROR(__xludf.DUMMYFUNCTION("""COMPUTED_VALUE"""),0.8333333333333334)</f>
        <v>0.8333333333</v>
      </c>
      <c r="T49" s="196">
        <f>IFERROR(__xludf.DUMMYFUNCTION("""COMPUTED_VALUE"""),0.0)</f>
        <v>0</v>
      </c>
      <c r="U49" s="196">
        <f>IFERROR(__xludf.DUMMYFUNCTION("""COMPUTED_VALUE"""),0.14285714285714285)</f>
        <v>0.1428571429</v>
      </c>
      <c r="V49" s="196">
        <f>IFERROR(__xludf.DUMMYFUNCTION("""COMPUTED_VALUE"""),0.0)</f>
        <v>0</v>
      </c>
      <c r="W49" s="196">
        <f>IFERROR(__xludf.DUMMYFUNCTION("""COMPUTED_VALUE"""),0.5714285714285714)</f>
        <v>0.5714285714</v>
      </c>
      <c r="X49" s="199">
        <f>IFERROR(__xludf.DUMMYFUNCTION("""COMPUTED_VALUE"""),0.4433312149160866)</f>
        <v>0.4433312149</v>
      </c>
      <c r="Y49" s="49">
        <f>IFERROR(__xludf.DUMMYFUNCTION("""COMPUTED_VALUE"""),7.428571428571429)</f>
        <v>7.428571429</v>
      </c>
      <c r="Z49" s="49">
        <f>IFERROR(__xludf.DUMMYFUNCTION("""COMPUTED_VALUE"""),12.857142857142858)</f>
        <v>12.85714286</v>
      </c>
      <c r="AA49" s="49">
        <f>IFERROR(__xludf.DUMMYFUNCTION("""COMPUTED_VALUE"""),20.285714285714285)</f>
        <v>20.28571429</v>
      </c>
      <c r="AB49" s="200">
        <f>IFERROR(__xludf.DUMMYFUNCTION("""COMPUTED_VALUE"""),-0.5469861138939301)</f>
        <v>-0.5469861139</v>
      </c>
      <c r="AC49" s="15">
        <f>IFERROR(__xludf.DUMMYFUNCTION("""COMPUTED_VALUE"""),9.0)</f>
        <v>9</v>
      </c>
      <c r="AD49" s="15">
        <f>IFERROR(__xludf.DUMMYFUNCTION("""COMPUTED_VALUE"""),-1.0556589632096938)</f>
        <v>-1.055658963</v>
      </c>
      <c r="AE49" s="49">
        <f>IFERROR(__xludf.DUMMYFUNCTION("""COMPUTED_VALUE"""),8.285714285714286)</f>
        <v>8.285714286</v>
      </c>
      <c r="AF49" s="49">
        <f>IFERROR(__xludf.DUMMYFUNCTION("""COMPUTED_VALUE"""),29.714285714285715)</f>
        <v>29.71428571</v>
      </c>
      <c r="AG49" s="201">
        <f>IFERROR(__xludf.DUMMYFUNCTION("""COMPUTED_VALUE"""),-1.374379023369808)</f>
        <v>-1.374379023</v>
      </c>
      <c r="AH49" s="201">
        <f>IFERROR(__xludf.DUMMYFUNCTION("""COMPUTED_VALUE"""),-0.8085325867649709)</f>
        <v>-0.8085325868</v>
      </c>
      <c r="AI49" s="15" t="str">
        <f>IFERROR(__xludf.DUMMYFUNCTION("""COMPUTED_VALUE"""),"defended, started climb at 14 sec")</f>
        <v>defended, started climb at 14 sec</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3" max="13" width="11.38"/>
    <col customWidth="1" min="14" max="14" width="23.5"/>
    <col customWidth="1" min="15" max="15" width="23.63"/>
    <col customWidth="1" min="16" max="16" width="21.88"/>
  </cols>
  <sheetData>
    <row r="1">
      <c r="A1" s="202" t="s">
        <v>581</v>
      </c>
      <c r="B1" s="203" t="s">
        <v>607</v>
      </c>
      <c r="C1" s="203" t="s">
        <v>608</v>
      </c>
      <c r="D1" s="203" t="s">
        <v>609</v>
      </c>
      <c r="E1" s="203" t="s">
        <v>610</v>
      </c>
      <c r="F1" s="203" t="s">
        <v>611</v>
      </c>
      <c r="G1" s="204" t="s">
        <v>612</v>
      </c>
      <c r="H1" s="203" t="s">
        <v>613</v>
      </c>
      <c r="I1" s="18" t="s">
        <v>614</v>
      </c>
      <c r="K1" s="18" t="s">
        <v>615</v>
      </c>
      <c r="N1" s="205" t="s">
        <v>616</v>
      </c>
      <c r="AA1" s="206" t="str">
        <f>JOIN("https://www.thebluealliance.com/event/","",I2)</f>
        <v>https://www.thebluealliance.com/event/2022iri</v>
      </c>
    </row>
    <row r="2">
      <c r="A2" s="207">
        <v>1.0</v>
      </c>
      <c r="B2" s="46">
        <f>IFERROR(__xludf.DUMMYFUNCTION("FILTER(X6:X1000,X6:X1000&lt;&gt;"""")"),3538.0)</f>
        <v>3538</v>
      </c>
      <c r="C2" s="46">
        <f>IFERROR(__xludf.DUMMYFUNCTION("FILTER(Y6:Y1000,Y6:Y1000&lt;&gt;"""")"),1987.0)</f>
        <v>1987</v>
      </c>
      <c r="D2" s="46">
        <f>IFERROR(__xludf.DUMMYFUNCTION("FILTER(Z6:Z1000,Z6:Z1000&lt;&gt;"""")"),1339.0)</f>
        <v>1339</v>
      </c>
      <c r="E2" s="46">
        <f>IFERROR(__xludf.DUMMYFUNCTION("FILTER(AA6:AA1000,AA6:AA1000&lt;&gt;"""")"),2614.0)</f>
        <v>2614</v>
      </c>
      <c r="F2" s="46">
        <f>IFERROR(__xludf.DUMMYFUNCTION("FILTER(AB6:AB1000,AB6:AB1000&lt;&gt;"""")"),3357.0)</f>
        <v>3357</v>
      </c>
      <c r="G2" s="46">
        <f>IFERROR(__xludf.DUMMYFUNCTION("FILTER(AC6:AC1000,AC6:AC1000&lt;&gt;"""")"),2539.0)</f>
        <v>2539</v>
      </c>
      <c r="H2" s="61">
        <f>IFERROR(__xludf.DUMMYFUNCTION("UNIQUE(SORT(FLATTEN(UNIQUE(Sheet20!C2:H1000))))"),27.0)</f>
        <v>27</v>
      </c>
      <c r="I2" s="18" t="s">
        <v>617</v>
      </c>
      <c r="K2" s="208" t="s">
        <v>618</v>
      </c>
      <c r="N2" s="209" t="str">
        <f t="shared" ref="N2:N81" si="1">TEXTJOIN(",",TRUE,B2:G2)</f>
        <v>3538,1987,1339,2614,3357,2539</v>
      </c>
      <c r="O2" s="210"/>
      <c r="P2" s="210"/>
      <c r="AD2" s="15" t="str">
        <f>IFERROR(__xludf.DUMMYFUNCTION("IMPORTHTML(AA1, ""table"", 1)"),"")</f>
        <v/>
      </c>
      <c r="AE2" s="15" t="str">
        <f>IFERROR(__xludf.DUMMYFUNCTION("""COMPUTED_VALUE"""),"Match")</f>
        <v>Match</v>
      </c>
      <c r="AF2" s="15" t="str">
        <f>IFERROR(__xludf.DUMMYFUNCTION("""COMPUTED_VALUE"""),"Red Alliance")</f>
        <v>Red Alliance</v>
      </c>
      <c r="AG2" s="15"/>
      <c r="AH2" s="15"/>
      <c r="AI2" s="15"/>
      <c r="AJ2" s="15"/>
      <c r="AK2" s="15"/>
      <c r="AL2" s="15" t="str">
        <f>IFERROR(__xludf.DUMMYFUNCTION("""COMPUTED_VALUE"""),"Blue Alliance")</f>
        <v>Blue Alliance</v>
      </c>
      <c r="AM2" s="15"/>
      <c r="AN2" s="15"/>
      <c r="AO2" s="15"/>
      <c r="AP2" s="15"/>
      <c r="AQ2" s="15"/>
      <c r="AR2" s="15" t="str">
        <f>IFERROR(__xludf.DUMMYFUNCTION("""COMPUTED_VALUE"""),"Scores")</f>
        <v>Scores</v>
      </c>
      <c r="AS2" s="15"/>
    </row>
    <row r="3">
      <c r="A3" s="73">
        <v>2.0</v>
      </c>
      <c r="B3" s="15">
        <f>IFERROR(__xludf.DUMMYFUNCTION("""COMPUTED_VALUE"""),180.0)</f>
        <v>180</v>
      </c>
      <c r="C3" s="15">
        <f>IFERROR(__xludf.DUMMYFUNCTION("""COMPUTED_VALUE"""),67.0)</f>
        <v>67</v>
      </c>
      <c r="D3" s="15">
        <f>IFERROR(__xludf.DUMMYFUNCTION("""COMPUTED_VALUE"""),33.0)</f>
        <v>33</v>
      </c>
      <c r="E3" s="15">
        <f>IFERROR(__xludf.DUMMYFUNCTION("""COMPUTED_VALUE"""),325.0)</f>
        <v>325</v>
      </c>
      <c r="F3" s="15">
        <f>IFERROR(__xludf.DUMMYFUNCTION("""COMPUTED_VALUE"""),4028.0)</f>
        <v>4028</v>
      </c>
      <c r="G3" s="15">
        <f>IFERROR(__xludf.DUMMYFUNCTION("""COMPUTED_VALUE"""),4143.0)</f>
        <v>4143</v>
      </c>
      <c r="H3" s="61">
        <f>IFERROR(__xludf.DUMMYFUNCTION("""COMPUTED_VALUE"""),33.0)</f>
        <v>33</v>
      </c>
      <c r="N3" s="209" t="str">
        <f t="shared" si="1"/>
        <v>180,67,33,325,4028,4143</v>
      </c>
      <c r="O3" s="210"/>
      <c r="P3" s="210"/>
      <c r="AD3" s="15"/>
      <c r="AE3" s="15" t="str">
        <f>IFERROR(__xludf.DUMMYFUNCTION("""COMPUTED_VALUE"""),"Match")</f>
        <v>Match</v>
      </c>
      <c r="AF3" s="15" t="str">
        <f>IFERROR(__xludf.DUMMYFUNCTION("""COMPUTED_VALUE"""),"Red Alliance")</f>
        <v>Red Alliance</v>
      </c>
      <c r="AG3" s="15"/>
      <c r="AH3" s="15"/>
      <c r="AI3" s="15"/>
      <c r="AJ3" s="15"/>
      <c r="AK3" s="15"/>
      <c r="AL3" s="15"/>
      <c r="AM3" s="15"/>
      <c r="AN3" s="15"/>
      <c r="AO3" s="15"/>
      <c r="AP3" s="15"/>
      <c r="AQ3" s="15"/>
      <c r="AR3" s="15" t="str">
        <f>IFERROR(__xludf.DUMMYFUNCTION("""COMPUTED_VALUE"""),"Red Score")</f>
        <v>Red Score</v>
      </c>
      <c r="AS3" s="15"/>
    </row>
    <row r="4">
      <c r="A4" s="73">
        <v>3.0</v>
      </c>
      <c r="B4" s="15">
        <f>IFERROR(__xludf.DUMMYFUNCTION("""COMPUTED_VALUE"""),4499.0)</f>
        <v>4499</v>
      </c>
      <c r="C4" s="15">
        <f>IFERROR(__xludf.DUMMYFUNCTION("""COMPUTED_VALUE"""),195.0)</f>
        <v>195</v>
      </c>
      <c r="D4" s="15">
        <f>IFERROR(__xludf.DUMMYFUNCTION("""COMPUTED_VALUE"""),624.0)</f>
        <v>624</v>
      </c>
      <c r="E4" s="15">
        <f>IFERROR(__xludf.DUMMYFUNCTION("""COMPUTED_VALUE"""),2468.0)</f>
        <v>2468</v>
      </c>
      <c r="F4" s="15">
        <f>IFERROR(__xludf.DUMMYFUNCTION("""COMPUTED_VALUE"""),5712.0)</f>
        <v>5712</v>
      </c>
      <c r="G4" s="15">
        <f>IFERROR(__xludf.DUMMYFUNCTION("""COMPUTED_VALUE"""),4099.0)</f>
        <v>4099</v>
      </c>
      <c r="H4" s="61">
        <f>IFERROR(__xludf.DUMMYFUNCTION("""COMPUTED_VALUE"""),67.0)</f>
        <v>67</v>
      </c>
      <c r="N4" s="209" t="str">
        <f t="shared" si="1"/>
        <v>4499,195,624,2468,5712,4099</v>
      </c>
      <c r="O4" s="210"/>
      <c r="P4" s="210"/>
      <c r="AD4" s="15"/>
      <c r="AE4" s="15"/>
      <c r="AF4" s="15" t="str">
        <f>IFERROR(__xludf.DUMMYFUNCTION("""COMPUTED_VALUE"""),"Blue Alliance")</f>
        <v>Blue Alliance</v>
      </c>
      <c r="AG4" s="15"/>
      <c r="AH4" s="15"/>
      <c r="AI4" s="15"/>
      <c r="AJ4" s="15"/>
      <c r="AK4" s="15"/>
      <c r="AL4" s="15"/>
      <c r="AM4" s="15"/>
      <c r="AN4" s="15"/>
      <c r="AO4" s="15"/>
      <c r="AP4" s="15"/>
      <c r="AQ4" s="15"/>
      <c r="AR4" s="15" t="str">
        <f>IFERROR(__xludf.DUMMYFUNCTION("""COMPUTED_VALUE"""),"Blue Score")</f>
        <v>Blue Score</v>
      </c>
      <c r="AS4" s="15"/>
    </row>
    <row r="5">
      <c r="A5" s="73">
        <v>4.0</v>
      </c>
      <c r="B5" s="15">
        <f>IFERROR(__xludf.DUMMYFUNCTION("""COMPUTED_VALUE"""),4265.0)</f>
        <v>4265</v>
      </c>
      <c r="C5" s="15">
        <f>IFERROR(__xludf.DUMMYFUNCTION("""COMPUTED_VALUE"""),3940.0)</f>
        <v>3940</v>
      </c>
      <c r="D5" s="15">
        <f>IFERROR(__xludf.DUMMYFUNCTION("""COMPUTED_VALUE"""),1732.0)</f>
        <v>1732</v>
      </c>
      <c r="E5" s="15">
        <f>IFERROR(__xludf.DUMMYFUNCTION("""COMPUTED_VALUE"""),3176.0)</f>
        <v>3176</v>
      </c>
      <c r="F5" s="15">
        <f>IFERROR(__xludf.DUMMYFUNCTION("""COMPUTED_VALUE"""),2363.0)</f>
        <v>2363</v>
      </c>
      <c r="G5" s="15">
        <f>IFERROR(__xludf.DUMMYFUNCTION("""COMPUTED_VALUE"""),27.0)</f>
        <v>27</v>
      </c>
      <c r="H5" s="61">
        <f>IFERROR(__xludf.DUMMYFUNCTION("""COMPUTED_VALUE"""),118.0)</f>
        <v>118</v>
      </c>
      <c r="N5" s="209" t="str">
        <f t="shared" si="1"/>
        <v>4265,3940,1732,3176,2363,27</v>
      </c>
      <c r="O5" s="210"/>
      <c r="P5" s="210"/>
      <c r="AD5" s="15" t="str">
        <f>IFERROR(__xludf.DUMMYFUNCTION("""COMPUTED_VALUE"""),"Qualifications")</f>
        <v>Qualifications</v>
      </c>
      <c r="AE5" s="15"/>
      <c r="AF5" s="15"/>
      <c r="AG5" s="15"/>
      <c r="AH5" s="15"/>
      <c r="AI5" s="15"/>
      <c r="AJ5" s="15"/>
      <c r="AK5" s="15"/>
      <c r="AL5" s="15"/>
      <c r="AM5" s="15"/>
      <c r="AN5" s="15"/>
      <c r="AO5" s="15"/>
      <c r="AP5" s="15"/>
      <c r="AQ5" s="15"/>
      <c r="AR5" s="15"/>
      <c r="AS5" s="15"/>
    </row>
    <row r="6">
      <c r="A6" s="73">
        <v>5.0</v>
      </c>
      <c r="B6" s="15">
        <f>IFERROR(__xludf.DUMMYFUNCTION("""COMPUTED_VALUE"""),587.0)</f>
        <v>587</v>
      </c>
      <c r="C6" s="15">
        <f>IFERROR(__xludf.DUMMYFUNCTION("""COMPUTED_VALUE"""),1720.0)</f>
        <v>1720</v>
      </c>
      <c r="D6" s="15">
        <f>IFERROR(__xludf.DUMMYFUNCTION("""COMPUTED_VALUE"""),2767.0)</f>
        <v>2767</v>
      </c>
      <c r="E6" s="15">
        <f>IFERROR(__xludf.DUMMYFUNCTION("""COMPUTED_VALUE"""),1023.0)</f>
        <v>1023</v>
      </c>
      <c r="F6" s="15">
        <f>IFERROR(__xludf.DUMMYFUNCTION("""COMPUTED_VALUE"""),4926.0)</f>
        <v>4926</v>
      </c>
      <c r="G6" s="15">
        <f>IFERROR(__xludf.DUMMYFUNCTION("""COMPUTED_VALUE"""),1730.0)</f>
        <v>1730</v>
      </c>
      <c r="H6" s="61">
        <f>IFERROR(__xludf.DUMMYFUNCTION("""COMPUTED_VALUE"""),180.0)</f>
        <v>180</v>
      </c>
      <c r="N6" s="209" t="str">
        <f t="shared" si="1"/>
        <v>587,1720,2767,1023,4926,1730</v>
      </c>
      <c r="O6" s="210"/>
      <c r="P6" s="210"/>
      <c r="W6" s="15">
        <f t="shared" ref="W6:W415" si="2">MOD(ROW(AC6)-1,3)</f>
        <v>2</v>
      </c>
      <c r="X6" s="15">
        <f>IF($W6=2,AF6,"")</f>
        <v>3538</v>
      </c>
      <c r="Y6" s="15">
        <f t="shared" ref="Y6:Y385" si="3">IF($W6=2,AH6,"")</f>
        <v>1987</v>
      </c>
      <c r="Z6" s="15">
        <f t="shared" ref="Z6:Z385" si="4">IF($W6=2,AJ6,"")</f>
        <v>1339</v>
      </c>
      <c r="AA6" s="15">
        <f t="shared" ref="AA6:AA385" si="5">IF($W6=2,AL6,"")</f>
        <v>2614</v>
      </c>
      <c r="AB6" s="15">
        <f t="shared" ref="AB6:AB385" si="6">IF($W6=2,AN6,"")</f>
        <v>3357</v>
      </c>
      <c r="AC6" s="15">
        <f t="shared" ref="AC6:AC385" si="7">IF($W6=2,AP6,"")</f>
        <v>2539</v>
      </c>
      <c r="AD6" s="15"/>
      <c r="AE6" s="15" t="str">
        <f>IFERROR(__xludf.DUMMYFUNCTION("""COMPUTED_VALUE"""),"Quals 1")</f>
        <v>Quals 1</v>
      </c>
      <c r="AF6" s="15">
        <f>IFERROR(__xludf.DUMMYFUNCTION("""COMPUTED_VALUE"""),3538.0)</f>
        <v>3538</v>
      </c>
      <c r="AG6" s="15"/>
      <c r="AH6" s="15">
        <f>IFERROR(__xludf.DUMMYFUNCTION("""COMPUTED_VALUE"""),1987.0)</f>
        <v>1987</v>
      </c>
      <c r="AI6" s="15"/>
      <c r="AJ6" s="15">
        <f>IFERROR(__xludf.DUMMYFUNCTION("""COMPUTED_VALUE"""),1339.0)</f>
        <v>1339</v>
      </c>
      <c r="AK6" s="15"/>
      <c r="AL6" s="15">
        <f>IFERROR(__xludf.DUMMYFUNCTION("""COMPUTED_VALUE"""),2614.0)</f>
        <v>2614</v>
      </c>
      <c r="AM6" s="15"/>
      <c r="AN6" s="15">
        <f>IFERROR(__xludf.DUMMYFUNCTION("""COMPUTED_VALUE"""),3357.0)</f>
        <v>3357</v>
      </c>
      <c r="AO6" s="15"/>
      <c r="AP6" s="15">
        <f>IFERROR(__xludf.DUMMYFUNCTION("""COMPUTED_VALUE"""),2539.0)</f>
        <v>2539</v>
      </c>
      <c r="AQ6" s="15"/>
      <c r="AR6" s="15">
        <f>IFERROR(__xludf.DUMMYFUNCTION("""COMPUTED_VALUE"""),110.0)</f>
        <v>110</v>
      </c>
      <c r="AS6" s="15">
        <f>IFERROR(__xludf.DUMMYFUNCTION("""COMPUTED_VALUE"""),77.0)</f>
        <v>77</v>
      </c>
    </row>
    <row r="7">
      <c r="A7" s="73">
        <v>6.0</v>
      </c>
      <c r="B7" s="15">
        <f>IFERROR(__xludf.DUMMYFUNCTION("""COMPUTED_VALUE"""),1706.0)</f>
        <v>1706</v>
      </c>
      <c r="C7" s="15">
        <f>IFERROR(__xludf.DUMMYFUNCTION("""COMPUTED_VALUE"""),2056.0)</f>
        <v>2056</v>
      </c>
      <c r="D7" s="15">
        <f>IFERROR(__xludf.DUMMYFUNCTION("""COMPUTED_VALUE"""),5484.0)</f>
        <v>5484</v>
      </c>
      <c r="E7" s="15">
        <f>IFERROR(__xludf.DUMMYFUNCTION("""COMPUTED_VALUE"""),2338.0)</f>
        <v>2338</v>
      </c>
      <c r="F7" s="15">
        <f>IFERROR(__xludf.DUMMYFUNCTION("""COMPUTED_VALUE"""),1533.0)</f>
        <v>1533</v>
      </c>
      <c r="G7" s="15">
        <f>IFERROR(__xludf.DUMMYFUNCTION("""COMPUTED_VALUE"""),7457.0)</f>
        <v>7457</v>
      </c>
      <c r="H7" s="61">
        <f>IFERROR(__xludf.DUMMYFUNCTION("""COMPUTED_VALUE"""),195.0)</f>
        <v>195</v>
      </c>
      <c r="N7" s="209" t="str">
        <f t="shared" si="1"/>
        <v>1706,2056,5484,2338,1533,7457</v>
      </c>
      <c r="O7" s="210"/>
      <c r="P7" s="210"/>
      <c r="W7" s="15">
        <f t="shared" si="2"/>
        <v>0</v>
      </c>
      <c r="X7" s="15" t="str">
        <f t="shared" ref="X7:X415" si="8">IF(W7=2,AF7,"")</f>
        <v/>
      </c>
      <c r="Y7" s="15" t="str">
        <f t="shared" si="3"/>
        <v/>
      </c>
      <c r="Z7" s="15" t="str">
        <f t="shared" si="4"/>
        <v/>
      </c>
      <c r="AA7" s="15" t="str">
        <f t="shared" si="5"/>
        <v/>
      </c>
      <c r="AB7" s="15" t="str">
        <f t="shared" si="6"/>
        <v/>
      </c>
      <c r="AC7" s="15" t="str">
        <f t="shared" si="7"/>
        <v/>
      </c>
      <c r="AD7" s="15"/>
      <c r="AE7" s="15" t="str">
        <f>IFERROR(__xludf.DUMMYFUNCTION("""COMPUTED_VALUE"""),"Quals 1")</f>
        <v>Quals 1</v>
      </c>
      <c r="AF7" s="15">
        <f>IFERROR(__xludf.DUMMYFUNCTION("""COMPUTED_VALUE"""),3538.0)</f>
        <v>3538</v>
      </c>
      <c r="AG7" s="15"/>
      <c r="AH7" s="15"/>
      <c r="AI7" s="15"/>
      <c r="AJ7" s="15">
        <f>IFERROR(__xludf.DUMMYFUNCTION("""COMPUTED_VALUE"""),1987.0)</f>
        <v>1987</v>
      </c>
      <c r="AK7" s="15"/>
      <c r="AL7" s="15"/>
      <c r="AM7" s="15"/>
      <c r="AN7" s="15">
        <f>IFERROR(__xludf.DUMMYFUNCTION("""COMPUTED_VALUE"""),1339.0)</f>
        <v>1339</v>
      </c>
      <c r="AO7" s="15"/>
      <c r="AP7" s="15"/>
      <c r="AQ7" s="15"/>
      <c r="AR7" s="15">
        <f>IFERROR(__xludf.DUMMYFUNCTION("""COMPUTED_VALUE"""),110.0)</f>
        <v>110</v>
      </c>
      <c r="AS7" s="15"/>
    </row>
    <row r="8">
      <c r="A8" s="73">
        <v>7.0</v>
      </c>
      <c r="B8" s="15">
        <f>IFERROR(__xludf.DUMMYFUNCTION("""COMPUTED_VALUE"""),694.0)</f>
        <v>694</v>
      </c>
      <c r="C8" s="15">
        <f>IFERROR(__xludf.DUMMYFUNCTION("""COMPUTED_VALUE"""),1024.0)</f>
        <v>1024</v>
      </c>
      <c r="D8" s="15">
        <f>IFERROR(__xludf.DUMMYFUNCTION("""COMPUTED_VALUE"""),234.0)</f>
        <v>234</v>
      </c>
      <c r="E8" s="15">
        <f>IFERROR(__xludf.DUMMYFUNCTION("""COMPUTED_VALUE"""),2075.0)</f>
        <v>2075</v>
      </c>
      <c r="F8" s="15">
        <f>IFERROR(__xludf.DUMMYFUNCTION("""COMPUTED_VALUE"""),829.0)</f>
        <v>829</v>
      </c>
      <c r="G8" s="15">
        <f>IFERROR(__xludf.DUMMYFUNCTION("""COMPUTED_VALUE"""),503.0)</f>
        <v>503</v>
      </c>
      <c r="H8" s="61">
        <f>IFERROR(__xludf.DUMMYFUNCTION("""COMPUTED_VALUE"""),234.0)</f>
        <v>234</v>
      </c>
      <c r="N8" s="209" t="str">
        <f t="shared" si="1"/>
        <v>694,1024,234,2075,829,503</v>
      </c>
      <c r="O8" s="210"/>
      <c r="P8" s="210"/>
      <c r="W8" s="15">
        <f t="shared" si="2"/>
        <v>1</v>
      </c>
      <c r="X8" s="15" t="str">
        <f t="shared" si="8"/>
        <v/>
      </c>
      <c r="Y8" s="15" t="str">
        <f t="shared" si="3"/>
        <v/>
      </c>
      <c r="Z8" s="15" t="str">
        <f t="shared" si="4"/>
        <v/>
      </c>
      <c r="AA8" s="15" t="str">
        <f t="shared" si="5"/>
        <v/>
      </c>
      <c r="AB8" s="15" t="str">
        <f t="shared" si="6"/>
        <v/>
      </c>
      <c r="AC8" s="15" t="str">
        <f t="shared" si="7"/>
        <v/>
      </c>
      <c r="AD8" s="15"/>
      <c r="AE8" s="15"/>
      <c r="AF8" s="15">
        <f>IFERROR(__xludf.DUMMYFUNCTION("""COMPUTED_VALUE"""),2614.0)</f>
        <v>2614</v>
      </c>
      <c r="AG8" s="15"/>
      <c r="AH8" s="15"/>
      <c r="AI8" s="15"/>
      <c r="AJ8" s="15">
        <f>IFERROR(__xludf.DUMMYFUNCTION("""COMPUTED_VALUE"""),3357.0)</f>
        <v>3357</v>
      </c>
      <c r="AK8" s="15"/>
      <c r="AL8" s="15"/>
      <c r="AM8" s="15"/>
      <c r="AN8" s="15">
        <f>IFERROR(__xludf.DUMMYFUNCTION("""COMPUTED_VALUE"""),2539.0)</f>
        <v>2539</v>
      </c>
      <c r="AO8" s="15"/>
      <c r="AP8" s="15"/>
      <c r="AQ8" s="15"/>
      <c r="AR8" s="15">
        <f>IFERROR(__xludf.DUMMYFUNCTION("""COMPUTED_VALUE"""),77.0)</f>
        <v>77</v>
      </c>
      <c r="AS8" s="15"/>
    </row>
    <row r="9">
      <c r="A9" s="73">
        <v>8.0</v>
      </c>
      <c r="B9" s="15">
        <f>IFERROR(__xludf.DUMMYFUNCTION("""COMPUTED_VALUE"""),5010.0)</f>
        <v>5010</v>
      </c>
      <c r="C9" s="15">
        <f>IFERROR(__xludf.DUMMYFUNCTION("""COMPUTED_VALUE"""),4635.0)</f>
        <v>4635</v>
      </c>
      <c r="D9" s="15">
        <f>IFERROR(__xludf.DUMMYFUNCTION("""COMPUTED_VALUE"""),3175.0)</f>
        <v>3175</v>
      </c>
      <c r="E9" s="15">
        <f>IFERROR(__xludf.DUMMYFUNCTION("""COMPUTED_VALUE"""),5406.0)</f>
        <v>5406</v>
      </c>
      <c r="F9" s="15">
        <f>IFERROR(__xludf.DUMMYFUNCTION("""COMPUTED_VALUE"""),340.0)</f>
        <v>340</v>
      </c>
      <c r="G9" s="15">
        <f>IFERROR(__xludf.DUMMYFUNCTION("""COMPUTED_VALUE"""),118.0)</f>
        <v>118</v>
      </c>
      <c r="H9" s="61">
        <f>IFERROR(__xludf.DUMMYFUNCTION("""COMPUTED_VALUE"""),325.0)</f>
        <v>325</v>
      </c>
      <c r="K9" s="27"/>
      <c r="N9" s="209" t="str">
        <f t="shared" si="1"/>
        <v>5010,4635,3175,5406,340,118</v>
      </c>
      <c r="O9" s="210"/>
      <c r="P9" s="210"/>
      <c r="W9" s="15">
        <f t="shared" si="2"/>
        <v>2</v>
      </c>
      <c r="X9" s="15">
        <f t="shared" si="8"/>
        <v>180</v>
      </c>
      <c r="Y9" s="15">
        <f t="shared" si="3"/>
        <v>67</v>
      </c>
      <c r="Z9" s="15">
        <f t="shared" si="4"/>
        <v>33</v>
      </c>
      <c r="AA9" s="15">
        <f t="shared" si="5"/>
        <v>325</v>
      </c>
      <c r="AB9" s="15">
        <f t="shared" si="6"/>
        <v>4028</v>
      </c>
      <c r="AC9" s="15">
        <f t="shared" si="7"/>
        <v>4143</v>
      </c>
      <c r="AD9" s="15"/>
      <c r="AE9" s="15" t="str">
        <f>IFERROR(__xludf.DUMMYFUNCTION("""COMPUTED_VALUE"""),"Quals 2")</f>
        <v>Quals 2</v>
      </c>
      <c r="AF9" s="15">
        <f>IFERROR(__xludf.DUMMYFUNCTION("""COMPUTED_VALUE"""),180.0)</f>
        <v>180</v>
      </c>
      <c r="AG9" s="15"/>
      <c r="AH9" s="15">
        <f>IFERROR(__xludf.DUMMYFUNCTION("""COMPUTED_VALUE"""),67.0)</f>
        <v>67</v>
      </c>
      <c r="AI9" s="15"/>
      <c r="AJ9" s="15">
        <f>IFERROR(__xludf.DUMMYFUNCTION("""COMPUTED_VALUE"""),33.0)</f>
        <v>33</v>
      </c>
      <c r="AK9" s="15"/>
      <c r="AL9" s="15">
        <f>IFERROR(__xludf.DUMMYFUNCTION("""COMPUTED_VALUE"""),325.0)</f>
        <v>325</v>
      </c>
      <c r="AM9" s="15"/>
      <c r="AN9" s="15">
        <f>IFERROR(__xludf.DUMMYFUNCTION("""COMPUTED_VALUE"""),4028.0)</f>
        <v>4028</v>
      </c>
      <c r="AO9" s="15"/>
      <c r="AP9" s="15">
        <f>IFERROR(__xludf.DUMMYFUNCTION("""COMPUTED_VALUE"""),4143.0)</f>
        <v>4143</v>
      </c>
      <c r="AQ9" s="15"/>
      <c r="AR9" s="15">
        <f>IFERROR(__xludf.DUMMYFUNCTION("""COMPUTED_VALUE"""),160.0)</f>
        <v>160</v>
      </c>
      <c r="AS9" s="15">
        <f>IFERROR(__xludf.DUMMYFUNCTION("""COMPUTED_VALUE"""),117.0)</f>
        <v>117</v>
      </c>
    </row>
    <row r="10">
      <c r="A10" s="73">
        <v>9.0</v>
      </c>
      <c r="B10" s="15">
        <f>IFERROR(__xludf.DUMMYFUNCTION("""COMPUTED_VALUE"""),1987.0)</f>
        <v>1987</v>
      </c>
      <c r="C10" s="15">
        <f>IFERROR(__xludf.DUMMYFUNCTION("""COMPUTED_VALUE"""),4099.0)</f>
        <v>4099</v>
      </c>
      <c r="D10" s="15">
        <f>IFERROR(__xludf.DUMMYFUNCTION("""COMPUTED_VALUE"""),2539.0)</f>
        <v>2539</v>
      </c>
      <c r="E10" s="15">
        <f>IFERROR(__xludf.DUMMYFUNCTION("""COMPUTED_VALUE"""),33.0)</f>
        <v>33</v>
      </c>
      <c r="F10" s="15">
        <f>IFERROR(__xludf.DUMMYFUNCTION("""COMPUTED_VALUE"""),4028.0)</f>
        <v>4028</v>
      </c>
      <c r="G10" s="15">
        <f>IFERROR(__xludf.DUMMYFUNCTION("""COMPUTED_VALUE"""),27.0)</f>
        <v>27</v>
      </c>
      <c r="H10" s="61">
        <f>IFERROR(__xludf.DUMMYFUNCTION("""COMPUTED_VALUE"""),340.0)</f>
        <v>340</v>
      </c>
      <c r="N10" s="209" t="str">
        <f t="shared" si="1"/>
        <v>1987,4099,2539,33,4028,27</v>
      </c>
      <c r="O10" s="210"/>
      <c r="P10" s="210"/>
      <c r="W10" s="15">
        <f t="shared" si="2"/>
        <v>0</v>
      </c>
      <c r="X10" s="15" t="str">
        <f t="shared" si="8"/>
        <v/>
      </c>
      <c r="Y10" s="15" t="str">
        <f t="shared" si="3"/>
        <v/>
      </c>
      <c r="Z10" s="15" t="str">
        <f t="shared" si="4"/>
        <v/>
      </c>
      <c r="AA10" s="15" t="str">
        <f t="shared" si="5"/>
        <v/>
      </c>
      <c r="AB10" s="15" t="str">
        <f t="shared" si="6"/>
        <v/>
      </c>
      <c r="AC10" s="15" t="str">
        <f t="shared" si="7"/>
        <v/>
      </c>
      <c r="AD10" s="15"/>
      <c r="AE10" s="15" t="str">
        <f>IFERROR(__xludf.DUMMYFUNCTION("""COMPUTED_VALUE"""),"Quals 2")</f>
        <v>Quals 2</v>
      </c>
      <c r="AF10" s="15">
        <f>IFERROR(__xludf.DUMMYFUNCTION("""COMPUTED_VALUE"""),180.0)</f>
        <v>180</v>
      </c>
      <c r="AG10" s="15"/>
      <c r="AH10" s="15"/>
      <c r="AI10" s="15"/>
      <c r="AJ10" s="15">
        <f>IFERROR(__xludf.DUMMYFUNCTION("""COMPUTED_VALUE"""),67.0)</f>
        <v>67</v>
      </c>
      <c r="AK10" s="15"/>
      <c r="AL10" s="15"/>
      <c r="AM10" s="15"/>
      <c r="AN10" s="15">
        <f>IFERROR(__xludf.DUMMYFUNCTION("""COMPUTED_VALUE"""),33.0)</f>
        <v>33</v>
      </c>
      <c r="AO10" s="15"/>
      <c r="AP10" s="15"/>
      <c r="AQ10" s="15"/>
      <c r="AR10" s="15">
        <f>IFERROR(__xludf.DUMMYFUNCTION("""COMPUTED_VALUE"""),160.0)</f>
        <v>160</v>
      </c>
      <c r="AS10" s="15"/>
    </row>
    <row r="11">
      <c r="A11" s="73">
        <v>10.0</v>
      </c>
      <c r="B11" s="15">
        <f>IFERROR(__xludf.DUMMYFUNCTION("""COMPUTED_VALUE"""),195.0)</f>
        <v>195</v>
      </c>
      <c r="C11" s="15">
        <f>IFERROR(__xludf.DUMMYFUNCTION("""COMPUTED_VALUE"""),325.0)</f>
        <v>325</v>
      </c>
      <c r="D11" s="15">
        <f>IFERROR(__xludf.DUMMYFUNCTION("""COMPUTED_VALUE"""),1339.0)</f>
        <v>1339</v>
      </c>
      <c r="E11" s="15">
        <f>IFERROR(__xludf.DUMMYFUNCTION("""COMPUTED_VALUE"""),1720.0)</f>
        <v>1720</v>
      </c>
      <c r="F11" s="15">
        <f>IFERROR(__xludf.DUMMYFUNCTION("""COMPUTED_VALUE"""),624.0)</f>
        <v>624</v>
      </c>
      <c r="G11" s="15">
        <f>IFERROR(__xludf.DUMMYFUNCTION("""COMPUTED_VALUE"""),4265.0)</f>
        <v>4265</v>
      </c>
      <c r="H11" s="61">
        <f>IFERROR(__xludf.DUMMYFUNCTION("""COMPUTED_VALUE"""),503.0)</f>
        <v>503</v>
      </c>
      <c r="N11" s="209" t="str">
        <f t="shared" si="1"/>
        <v>195,325,1339,1720,624,4265</v>
      </c>
      <c r="O11" s="210"/>
      <c r="P11" s="210"/>
      <c r="W11" s="15">
        <f t="shared" si="2"/>
        <v>1</v>
      </c>
      <c r="X11" s="15" t="str">
        <f t="shared" si="8"/>
        <v/>
      </c>
      <c r="Y11" s="15" t="str">
        <f t="shared" si="3"/>
        <v/>
      </c>
      <c r="Z11" s="15" t="str">
        <f t="shared" si="4"/>
        <v/>
      </c>
      <c r="AA11" s="15" t="str">
        <f t="shared" si="5"/>
        <v/>
      </c>
      <c r="AB11" s="15" t="str">
        <f t="shared" si="6"/>
        <v/>
      </c>
      <c r="AC11" s="15" t="str">
        <f t="shared" si="7"/>
        <v/>
      </c>
      <c r="AD11" s="15"/>
      <c r="AE11" s="15"/>
      <c r="AF11" s="15">
        <f>IFERROR(__xludf.DUMMYFUNCTION("""COMPUTED_VALUE"""),325.0)</f>
        <v>325</v>
      </c>
      <c r="AG11" s="15"/>
      <c r="AH11" s="15"/>
      <c r="AI11" s="15"/>
      <c r="AJ11" s="15">
        <f>IFERROR(__xludf.DUMMYFUNCTION("""COMPUTED_VALUE"""),4028.0)</f>
        <v>4028</v>
      </c>
      <c r="AK11" s="15"/>
      <c r="AL11" s="15"/>
      <c r="AM11" s="15"/>
      <c r="AN11" s="15">
        <f>IFERROR(__xludf.DUMMYFUNCTION("""COMPUTED_VALUE"""),4143.0)</f>
        <v>4143</v>
      </c>
      <c r="AO11" s="15"/>
      <c r="AP11" s="15"/>
      <c r="AQ11" s="15"/>
      <c r="AR11" s="15">
        <f>IFERROR(__xludf.DUMMYFUNCTION("""COMPUTED_VALUE"""),117.0)</f>
        <v>117</v>
      </c>
      <c r="AS11" s="15"/>
    </row>
    <row r="12">
      <c r="A12" s="73">
        <v>11.0</v>
      </c>
      <c r="B12" s="15">
        <f>IFERROR(__xludf.DUMMYFUNCTION("""COMPUTED_VALUE"""),1533.0)</f>
        <v>1533</v>
      </c>
      <c r="C12" s="15">
        <f>IFERROR(__xludf.DUMMYFUNCTION("""COMPUTED_VALUE"""),4143.0)</f>
        <v>4143</v>
      </c>
      <c r="D12" s="15">
        <f>IFERROR(__xludf.DUMMYFUNCTION("""COMPUTED_VALUE"""),3176.0)</f>
        <v>3176</v>
      </c>
      <c r="E12" s="15">
        <f>IFERROR(__xludf.DUMMYFUNCTION("""COMPUTED_VALUE"""),5712.0)</f>
        <v>5712</v>
      </c>
      <c r="F12" s="15">
        <f>IFERROR(__xludf.DUMMYFUNCTION("""COMPUTED_VALUE"""),4926.0)</f>
        <v>4926</v>
      </c>
      <c r="G12" s="15">
        <f>IFERROR(__xludf.DUMMYFUNCTION("""COMPUTED_VALUE"""),7457.0)</f>
        <v>7457</v>
      </c>
      <c r="H12" s="61">
        <f>IFERROR(__xludf.DUMMYFUNCTION("""COMPUTED_VALUE"""),587.0)</f>
        <v>587</v>
      </c>
      <c r="N12" s="209" t="str">
        <f t="shared" si="1"/>
        <v>1533,4143,3176,5712,4926,7457</v>
      </c>
      <c r="O12" s="210"/>
      <c r="P12" s="210"/>
      <c r="W12" s="15">
        <f t="shared" si="2"/>
        <v>2</v>
      </c>
      <c r="X12" s="15">
        <f t="shared" si="8"/>
        <v>4499</v>
      </c>
      <c r="Y12" s="15">
        <f t="shared" si="3"/>
        <v>195</v>
      </c>
      <c r="Z12" s="15">
        <f t="shared" si="4"/>
        <v>624</v>
      </c>
      <c r="AA12" s="15">
        <f t="shared" si="5"/>
        <v>2468</v>
      </c>
      <c r="AB12" s="15">
        <f t="shared" si="6"/>
        <v>5712</v>
      </c>
      <c r="AC12" s="15">
        <f t="shared" si="7"/>
        <v>4099</v>
      </c>
      <c r="AD12" s="15"/>
      <c r="AE12" s="15" t="str">
        <f>IFERROR(__xludf.DUMMYFUNCTION("""COMPUTED_VALUE"""),"Quals 3")</f>
        <v>Quals 3</v>
      </c>
      <c r="AF12" s="15">
        <f>IFERROR(__xludf.DUMMYFUNCTION("""COMPUTED_VALUE"""),4499.0)</f>
        <v>4499</v>
      </c>
      <c r="AG12" s="15"/>
      <c r="AH12" s="15">
        <f>IFERROR(__xludf.DUMMYFUNCTION("""COMPUTED_VALUE"""),195.0)</f>
        <v>195</v>
      </c>
      <c r="AI12" s="15"/>
      <c r="AJ12" s="15">
        <f>IFERROR(__xludf.DUMMYFUNCTION("""COMPUTED_VALUE"""),624.0)</f>
        <v>624</v>
      </c>
      <c r="AK12" s="15"/>
      <c r="AL12" s="15">
        <f>IFERROR(__xludf.DUMMYFUNCTION("""COMPUTED_VALUE"""),2468.0)</f>
        <v>2468</v>
      </c>
      <c r="AM12" s="15"/>
      <c r="AN12" s="15">
        <f>IFERROR(__xludf.DUMMYFUNCTION("""COMPUTED_VALUE"""),5712.0)</f>
        <v>5712</v>
      </c>
      <c r="AO12" s="15"/>
      <c r="AP12" s="15">
        <f>IFERROR(__xludf.DUMMYFUNCTION("""COMPUTED_VALUE"""),4099.0)</f>
        <v>4099</v>
      </c>
      <c r="AQ12" s="15"/>
      <c r="AR12" s="15">
        <f>IFERROR(__xludf.DUMMYFUNCTION("""COMPUTED_VALUE"""),124.0)</f>
        <v>124</v>
      </c>
      <c r="AS12" s="15">
        <f>IFERROR(__xludf.DUMMYFUNCTION("""COMPUTED_VALUE"""),112.0)</f>
        <v>112</v>
      </c>
    </row>
    <row r="13">
      <c r="A13" s="73">
        <v>12.0</v>
      </c>
      <c r="B13" s="15">
        <f>IFERROR(__xludf.DUMMYFUNCTION("""COMPUTED_VALUE"""),4499.0)</f>
        <v>4499</v>
      </c>
      <c r="C13" s="15">
        <f>IFERROR(__xludf.DUMMYFUNCTION("""COMPUTED_VALUE"""),2767.0)</f>
        <v>2767</v>
      </c>
      <c r="D13" s="15">
        <f>IFERROR(__xludf.DUMMYFUNCTION("""COMPUTED_VALUE"""),2468.0)</f>
        <v>2468</v>
      </c>
      <c r="E13" s="15">
        <f>IFERROR(__xludf.DUMMYFUNCTION("""COMPUTED_VALUE"""),5484.0)</f>
        <v>5484</v>
      </c>
      <c r="F13" s="15">
        <f>IFERROR(__xludf.DUMMYFUNCTION("""COMPUTED_VALUE"""),694.0)</f>
        <v>694</v>
      </c>
      <c r="G13" s="15">
        <f>IFERROR(__xludf.DUMMYFUNCTION("""COMPUTED_VALUE"""),829.0)</f>
        <v>829</v>
      </c>
      <c r="H13" s="61">
        <f>IFERROR(__xludf.DUMMYFUNCTION("""COMPUTED_VALUE"""),624.0)</f>
        <v>624</v>
      </c>
      <c r="N13" s="209" t="str">
        <f t="shared" si="1"/>
        <v>4499,2767,2468,5484,694,829</v>
      </c>
      <c r="O13" s="210"/>
      <c r="P13" s="210"/>
      <c r="W13" s="15">
        <f t="shared" si="2"/>
        <v>0</v>
      </c>
      <c r="X13" s="15" t="str">
        <f t="shared" si="8"/>
        <v/>
      </c>
      <c r="Y13" s="15" t="str">
        <f t="shared" si="3"/>
        <v/>
      </c>
      <c r="Z13" s="15" t="str">
        <f t="shared" si="4"/>
        <v/>
      </c>
      <c r="AA13" s="15" t="str">
        <f t="shared" si="5"/>
        <v/>
      </c>
      <c r="AB13" s="15" t="str">
        <f t="shared" si="6"/>
        <v/>
      </c>
      <c r="AC13" s="15" t="str">
        <f t="shared" si="7"/>
        <v/>
      </c>
      <c r="AD13" s="15"/>
      <c r="AE13" s="15" t="str">
        <f>IFERROR(__xludf.DUMMYFUNCTION("""COMPUTED_VALUE"""),"Quals 3")</f>
        <v>Quals 3</v>
      </c>
      <c r="AF13" s="15">
        <f>IFERROR(__xludf.DUMMYFUNCTION("""COMPUTED_VALUE"""),4499.0)</f>
        <v>4499</v>
      </c>
      <c r="AG13" s="15"/>
      <c r="AH13" s="15"/>
      <c r="AI13" s="15"/>
      <c r="AJ13" s="15">
        <f>IFERROR(__xludf.DUMMYFUNCTION("""COMPUTED_VALUE"""),195.0)</f>
        <v>195</v>
      </c>
      <c r="AK13" s="15"/>
      <c r="AL13" s="15"/>
      <c r="AM13" s="15"/>
      <c r="AN13" s="15">
        <f>IFERROR(__xludf.DUMMYFUNCTION("""COMPUTED_VALUE"""),624.0)</f>
        <v>624</v>
      </c>
      <c r="AO13" s="15"/>
      <c r="AP13" s="15"/>
      <c r="AQ13" s="15"/>
      <c r="AR13" s="15">
        <f>IFERROR(__xludf.DUMMYFUNCTION("""COMPUTED_VALUE"""),124.0)</f>
        <v>124</v>
      </c>
      <c r="AS13" s="15"/>
    </row>
    <row r="14">
      <c r="A14" s="73">
        <v>13.0</v>
      </c>
      <c r="B14" s="15">
        <f>IFERROR(__xludf.DUMMYFUNCTION("""COMPUTED_VALUE"""),118.0)</f>
        <v>118</v>
      </c>
      <c r="C14" s="15">
        <f>IFERROR(__xludf.DUMMYFUNCTION("""COMPUTED_VALUE"""),2075.0)</f>
        <v>2075</v>
      </c>
      <c r="D14" s="15">
        <f>IFERROR(__xludf.DUMMYFUNCTION("""COMPUTED_VALUE"""),3357.0)</f>
        <v>3357</v>
      </c>
      <c r="E14" s="15">
        <f>IFERROR(__xludf.DUMMYFUNCTION("""COMPUTED_VALUE"""),1730.0)</f>
        <v>1730</v>
      </c>
      <c r="F14" s="15">
        <f>IFERROR(__xludf.DUMMYFUNCTION("""COMPUTED_VALUE"""),5406.0)</f>
        <v>5406</v>
      </c>
      <c r="G14" s="15">
        <f>IFERROR(__xludf.DUMMYFUNCTION("""COMPUTED_VALUE"""),67.0)</f>
        <v>67</v>
      </c>
      <c r="H14" s="61">
        <f>IFERROR(__xludf.DUMMYFUNCTION("""COMPUTED_VALUE"""),694.0)</f>
        <v>694</v>
      </c>
      <c r="N14" s="209" t="str">
        <f t="shared" si="1"/>
        <v>118,2075,3357,1730,5406,67</v>
      </c>
      <c r="O14" s="210"/>
      <c r="P14" s="210"/>
      <c r="W14" s="15">
        <f t="shared" si="2"/>
        <v>1</v>
      </c>
      <c r="X14" s="15" t="str">
        <f t="shared" si="8"/>
        <v/>
      </c>
      <c r="Y14" s="15" t="str">
        <f t="shared" si="3"/>
        <v/>
      </c>
      <c r="Z14" s="15" t="str">
        <f t="shared" si="4"/>
        <v/>
      </c>
      <c r="AA14" s="15" t="str">
        <f t="shared" si="5"/>
        <v/>
      </c>
      <c r="AB14" s="15" t="str">
        <f t="shared" si="6"/>
        <v/>
      </c>
      <c r="AC14" s="15" t="str">
        <f t="shared" si="7"/>
        <v/>
      </c>
      <c r="AD14" s="15"/>
      <c r="AE14" s="15"/>
      <c r="AF14" s="15">
        <f>IFERROR(__xludf.DUMMYFUNCTION("""COMPUTED_VALUE"""),2468.0)</f>
        <v>2468</v>
      </c>
      <c r="AG14" s="15"/>
      <c r="AH14" s="15"/>
      <c r="AI14" s="15"/>
      <c r="AJ14" s="15">
        <f>IFERROR(__xludf.DUMMYFUNCTION("""COMPUTED_VALUE"""),5712.0)</f>
        <v>5712</v>
      </c>
      <c r="AK14" s="15"/>
      <c r="AL14" s="15"/>
      <c r="AM14" s="15"/>
      <c r="AN14" s="15">
        <f>IFERROR(__xludf.DUMMYFUNCTION("""COMPUTED_VALUE"""),4099.0)</f>
        <v>4099</v>
      </c>
      <c r="AO14" s="15"/>
      <c r="AP14" s="15"/>
      <c r="AQ14" s="15"/>
      <c r="AR14" s="15">
        <f>IFERROR(__xludf.DUMMYFUNCTION("""COMPUTED_VALUE"""),112.0)</f>
        <v>112</v>
      </c>
      <c r="AS14" s="15"/>
    </row>
    <row r="15">
      <c r="A15" s="73">
        <v>14.0</v>
      </c>
      <c r="B15" s="15">
        <f>IFERROR(__xludf.DUMMYFUNCTION("""COMPUTED_VALUE"""),4635.0)</f>
        <v>4635</v>
      </c>
      <c r="C15" s="15">
        <f>IFERROR(__xludf.DUMMYFUNCTION("""COMPUTED_VALUE"""),340.0)</f>
        <v>340</v>
      </c>
      <c r="D15" s="15">
        <f>IFERROR(__xludf.DUMMYFUNCTION("""COMPUTED_VALUE"""),234.0)</f>
        <v>234</v>
      </c>
      <c r="E15" s="15">
        <f>IFERROR(__xludf.DUMMYFUNCTION("""COMPUTED_VALUE"""),2614.0)</f>
        <v>2614</v>
      </c>
      <c r="F15" s="15">
        <f>IFERROR(__xludf.DUMMYFUNCTION("""COMPUTED_VALUE"""),2056.0)</f>
        <v>2056</v>
      </c>
      <c r="G15" s="15">
        <f>IFERROR(__xludf.DUMMYFUNCTION("""COMPUTED_VALUE"""),3175.0)</f>
        <v>3175</v>
      </c>
      <c r="H15" s="61">
        <f>IFERROR(__xludf.DUMMYFUNCTION("""COMPUTED_VALUE"""),829.0)</f>
        <v>829</v>
      </c>
      <c r="N15" s="209" t="str">
        <f t="shared" si="1"/>
        <v>4635,340,234,2614,2056,3175</v>
      </c>
      <c r="O15" s="210"/>
      <c r="P15" s="210"/>
      <c r="W15" s="15">
        <f t="shared" si="2"/>
        <v>2</v>
      </c>
      <c r="X15" s="15">
        <f t="shared" si="8"/>
        <v>4265</v>
      </c>
      <c r="Y15" s="15">
        <f t="shared" si="3"/>
        <v>3940</v>
      </c>
      <c r="Z15" s="15">
        <f t="shared" si="4"/>
        <v>1732</v>
      </c>
      <c r="AA15" s="15">
        <f t="shared" si="5"/>
        <v>3176</v>
      </c>
      <c r="AB15" s="15">
        <f t="shared" si="6"/>
        <v>2363</v>
      </c>
      <c r="AC15" s="15">
        <f t="shared" si="7"/>
        <v>27</v>
      </c>
      <c r="AD15" s="15"/>
      <c r="AE15" s="15" t="str">
        <f>IFERROR(__xludf.DUMMYFUNCTION("""COMPUTED_VALUE"""),"Quals 4")</f>
        <v>Quals 4</v>
      </c>
      <c r="AF15" s="15">
        <f>IFERROR(__xludf.DUMMYFUNCTION("""COMPUTED_VALUE"""),4265.0)</f>
        <v>4265</v>
      </c>
      <c r="AG15" s="15"/>
      <c r="AH15" s="15">
        <f>IFERROR(__xludf.DUMMYFUNCTION("""COMPUTED_VALUE"""),3940.0)</f>
        <v>3940</v>
      </c>
      <c r="AI15" s="15"/>
      <c r="AJ15" s="15">
        <f>IFERROR(__xludf.DUMMYFUNCTION("""COMPUTED_VALUE"""),1732.0)</f>
        <v>1732</v>
      </c>
      <c r="AK15" s="15"/>
      <c r="AL15" s="15">
        <f>IFERROR(__xludf.DUMMYFUNCTION("""COMPUTED_VALUE"""),3176.0)</f>
        <v>3176</v>
      </c>
      <c r="AM15" s="15"/>
      <c r="AN15" s="15">
        <f>IFERROR(__xludf.DUMMYFUNCTION("""COMPUTED_VALUE"""),2363.0)</f>
        <v>2363</v>
      </c>
      <c r="AO15" s="15"/>
      <c r="AP15" s="15">
        <f>IFERROR(__xludf.DUMMYFUNCTION("""COMPUTED_VALUE"""),27.0)</f>
        <v>27</v>
      </c>
      <c r="AQ15" s="15"/>
      <c r="AR15" s="15">
        <f>IFERROR(__xludf.DUMMYFUNCTION("""COMPUTED_VALUE"""),113.0)</f>
        <v>113</v>
      </c>
      <c r="AS15" s="15">
        <f>IFERROR(__xludf.DUMMYFUNCTION("""COMPUTED_VALUE"""),104.0)</f>
        <v>104</v>
      </c>
    </row>
    <row r="16">
      <c r="A16" s="73">
        <v>15.0</v>
      </c>
      <c r="B16" s="15">
        <f>IFERROR(__xludf.DUMMYFUNCTION("""COMPUTED_VALUE"""),3940.0)</f>
        <v>3940</v>
      </c>
      <c r="C16" s="15">
        <f>IFERROR(__xludf.DUMMYFUNCTION("""COMPUTED_VALUE"""),2363.0)</f>
        <v>2363</v>
      </c>
      <c r="D16" s="15">
        <f>IFERROR(__xludf.DUMMYFUNCTION("""COMPUTED_VALUE"""),1706.0)</f>
        <v>1706</v>
      </c>
      <c r="E16" s="15">
        <f>IFERROR(__xludf.DUMMYFUNCTION("""COMPUTED_VALUE"""),3538.0)</f>
        <v>3538</v>
      </c>
      <c r="F16" s="15">
        <f>IFERROR(__xludf.DUMMYFUNCTION("""COMPUTED_VALUE"""),1023.0)</f>
        <v>1023</v>
      </c>
      <c r="G16" s="15">
        <f>IFERROR(__xludf.DUMMYFUNCTION("""COMPUTED_VALUE"""),180.0)</f>
        <v>180</v>
      </c>
      <c r="H16" s="61">
        <f>IFERROR(__xludf.DUMMYFUNCTION("""COMPUTED_VALUE"""),1023.0)</f>
        <v>1023</v>
      </c>
      <c r="N16" s="209" t="str">
        <f t="shared" si="1"/>
        <v>3940,2363,1706,3538,1023,180</v>
      </c>
      <c r="O16" s="210"/>
      <c r="P16" s="210"/>
      <c r="W16" s="15">
        <f t="shared" si="2"/>
        <v>0</v>
      </c>
      <c r="X16" s="15" t="str">
        <f t="shared" si="8"/>
        <v/>
      </c>
      <c r="Y16" s="15" t="str">
        <f t="shared" si="3"/>
        <v/>
      </c>
      <c r="Z16" s="15" t="str">
        <f t="shared" si="4"/>
        <v/>
      </c>
      <c r="AA16" s="15" t="str">
        <f t="shared" si="5"/>
        <v/>
      </c>
      <c r="AB16" s="15" t="str">
        <f t="shared" si="6"/>
        <v/>
      </c>
      <c r="AC16" s="15" t="str">
        <f t="shared" si="7"/>
        <v/>
      </c>
      <c r="AD16" s="15"/>
      <c r="AE16" s="15" t="str">
        <f>IFERROR(__xludf.DUMMYFUNCTION("""COMPUTED_VALUE"""),"Quals 4")</f>
        <v>Quals 4</v>
      </c>
      <c r="AF16" s="15">
        <f>IFERROR(__xludf.DUMMYFUNCTION("""COMPUTED_VALUE"""),4265.0)</f>
        <v>4265</v>
      </c>
      <c r="AG16" s="15"/>
      <c r="AH16" s="15"/>
      <c r="AI16" s="15"/>
      <c r="AJ16" s="15">
        <f>IFERROR(__xludf.DUMMYFUNCTION("""COMPUTED_VALUE"""),3940.0)</f>
        <v>3940</v>
      </c>
      <c r="AK16" s="15"/>
      <c r="AL16" s="15"/>
      <c r="AM16" s="15"/>
      <c r="AN16" s="15">
        <f>IFERROR(__xludf.DUMMYFUNCTION("""COMPUTED_VALUE"""),1732.0)</f>
        <v>1732</v>
      </c>
      <c r="AO16" s="15"/>
      <c r="AP16" s="15"/>
      <c r="AQ16" s="15"/>
      <c r="AR16" s="15">
        <f>IFERROR(__xludf.DUMMYFUNCTION("""COMPUTED_VALUE"""),113.0)</f>
        <v>113</v>
      </c>
      <c r="AS16" s="15"/>
    </row>
    <row r="17">
      <c r="A17" s="73">
        <v>16.0</v>
      </c>
      <c r="B17" s="15">
        <f>IFERROR(__xludf.DUMMYFUNCTION("""COMPUTED_VALUE"""),1024.0)</f>
        <v>1024</v>
      </c>
      <c r="C17" s="15">
        <f>IFERROR(__xludf.DUMMYFUNCTION("""COMPUTED_VALUE"""),587.0)</f>
        <v>587</v>
      </c>
      <c r="D17" s="15">
        <f>IFERROR(__xludf.DUMMYFUNCTION("""COMPUTED_VALUE"""),503.0)</f>
        <v>503</v>
      </c>
      <c r="E17" s="15">
        <f>IFERROR(__xludf.DUMMYFUNCTION("""COMPUTED_VALUE"""),1732.0)</f>
        <v>1732</v>
      </c>
      <c r="F17" s="15">
        <f>IFERROR(__xludf.DUMMYFUNCTION("""COMPUTED_VALUE"""),5010.0)</f>
        <v>5010</v>
      </c>
      <c r="G17" s="15">
        <f>IFERROR(__xludf.DUMMYFUNCTION("""COMPUTED_VALUE"""),2338.0)</f>
        <v>2338</v>
      </c>
      <c r="H17" s="61">
        <f>IFERROR(__xludf.DUMMYFUNCTION("""COMPUTED_VALUE"""),1024.0)</f>
        <v>1024</v>
      </c>
      <c r="N17" s="209" t="str">
        <f t="shared" si="1"/>
        <v>1024,587,503,1732,5010,2338</v>
      </c>
      <c r="O17" s="210"/>
      <c r="P17" s="210"/>
      <c r="W17" s="15">
        <f t="shared" si="2"/>
        <v>1</v>
      </c>
      <c r="X17" s="15" t="str">
        <f t="shared" si="8"/>
        <v/>
      </c>
      <c r="Y17" s="15" t="str">
        <f t="shared" si="3"/>
        <v/>
      </c>
      <c r="Z17" s="15" t="str">
        <f t="shared" si="4"/>
        <v/>
      </c>
      <c r="AA17" s="15" t="str">
        <f t="shared" si="5"/>
        <v/>
      </c>
      <c r="AB17" s="15" t="str">
        <f t="shared" si="6"/>
        <v/>
      </c>
      <c r="AC17" s="15" t="str">
        <f t="shared" si="7"/>
        <v/>
      </c>
      <c r="AD17" s="15"/>
      <c r="AE17" s="15"/>
      <c r="AF17" s="15">
        <f>IFERROR(__xludf.DUMMYFUNCTION("""COMPUTED_VALUE"""),3176.0)</f>
        <v>3176</v>
      </c>
      <c r="AG17" s="15"/>
      <c r="AH17" s="15"/>
      <c r="AI17" s="15"/>
      <c r="AJ17" s="15">
        <f>IFERROR(__xludf.DUMMYFUNCTION("""COMPUTED_VALUE"""),2363.0)</f>
        <v>2363</v>
      </c>
      <c r="AK17" s="15"/>
      <c r="AL17" s="15"/>
      <c r="AM17" s="15"/>
      <c r="AN17" s="15">
        <f>IFERROR(__xludf.DUMMYFUNCTION("""COMPUTED_VALUE"""),27.0)</f>
        <v>27</v>
      </c>
      <c r="AO17" s="15"/>
      <c r="AP17" s="15"/>
      <c r="AQ17" s="15"/>
      <c r="AR17" s="15">
        <f>IFERROR(__xludf.DUMMYFUNCTION("""COMPUTED_VALUE"""),104.0)</f>
        <v>104</v>
      </c>
      <c r="AS17" s="15"/>
    </row>
    <row r="18">
      <c r="A18" s="73">
        <v>17.0</v>
      </c>
      <c r="B18" s="15">
        <f>IFERROR(__xludf.DUMMYFUNCTION("""COMPUTED_VALUE"""),4265.0)</f>
        <v>4265</v>
      </c>
      <c r="C18" s="15">
        <f>IFERROR(__xludf.DUMMYFUNCTION("""COMPUTED_VALUE"""),1533.0)</f>
        <v>1533</v>
      </c>
      <c r="D18" s="15">
        <f>IFERROR(__xludf.DUMMYFUNCTION("""COMPUTED_VALUE"""),4028.0)</f>
        <v>4028</v>
      </c>
      <c r="E18" s="15">
        <f>IFERROR(__xludf.DUMMYFUNCTION("""COMPUTED_VALUE"""),2539.0)</f>
        <v>2539</v>
      </c>
      <c r="F18" s="15">
        <f>IFERROR(__xludf.DUMMYFUNCTION("""COMPUTED_VALUE"""),4143.0)</f>
        <v>4143</v>
      </c>
      <c r="G18" s="15">
        <f>IFERROR(__xludf.DUMMYFUNCTION("""COMPUTED_VALUE"""),2468.0)</f>
        <v>2468</v>
      </c>
      <c r="H18" s="61">
        <f>IFERROR(__xludf.DUMMYFUNCTION("""COMPUTED_VALUE"""),1339.0)</f>
        <v>1339</v>
      </c>
      <c r="N18" s="209" t="str">
        <f t="shared" si="1"/>
        <v>4265,1533,4028,2539,4143,2468</v>
      </c>
      <c r="O18" s="210"/>
      <c r="P18" s="210"/>
      <c r="W18" s="15">
        <f t="shared" si="2"/>
        <v>2</v>
      </c>
      <c r="X18" s="15">
        <f t="shared" si="8"/>
        <v>587</v>
      </c>
      <c r="Y18" s="15">
        <f t="shared" si="3"/>
        <v>1720</v>
      </c>
      <c r="Z18" s="15">
        <f t="shared" si="4"/>
        <v>2767</v>
      </c>
      <c r="AA18" s="15">
        <f t="shared" si="5"/>
        <v>1023</v>
      </c>
      <c r="AB18" s="15">
        <f t="shared" si="6"/>
        <v>4926</v>
      </c>
      <c r="AC18" s="15">
        <f t="shared" si="7"/>
        <v>1730</v>
      </c>
      <c r="AD18" s="15"/>
      <c r="AE18" s="15" t="str">
        <f>IFERROR(__xludf.DUMMYFUNCTION("""COMPUTED_VALUE"""),"Quals 5")</f>
        <v>Quals 5</v>
      </c>
      <c r="AF18" s="15">
        <f>IFERROR(__xludf.DUMMYFUNCTION("""COMPUTED_VALUE"""),587.0)</f>
        <v>587</v>
      </c>
      <c r="AG18" s="15"/>
      <c r="AH18" s="15">
        <f>IFERROR(__xludf.DUMMYFUNCTION("""COMPUTED_VALUE"""),1720.0)</f>
        <v>1720</v>
      </c>
      <c r="AI18" s="15"/>
      <c r="AJ18" s="15">
        <f>IFERROR(__xludf.DUMMYFUNCTION("""COMPUTED_VALUE"""),2767.0)</f>
        <v>2767</v>
      </c>
      <c r="AK18" s="15"/>
      <c r="AL18" s="15">
        <f>IFERROR(__xludf.DUMMYFUNCTION("""COMPUTED_VALUE"""),1023.0)</f>
        <v>1023</v>
      </c>
      <c r="AM18" s="15"/>
      <c r="AN18" s="15">
        <f>IFERROR(__xludf.DUMMYFUNCTION("""COMPUTED_VALUE"""),4926.0)</f>
        <v>4926</v>
      </c>
      <c r="AO18" s="15"/>
      <c r="AP18" s="15">
        <f>IFERROR(__xludf.DUMMYFUNCTION("""COMPUTED_VALUE"""),1730.0)</f>
        <v>1730</v>
      </c>
      <c r="AQ18" s="15"/>
      <c r="AR18" s="15">
        <f>IFERROR(__xludf.DUMMYFUNCTION("""COMPUTED_VALUE"""),104.0)</f>
        <v>104</v>
      </c>
      <c r="AS18" s="15">
        <f>IFERROR(__xludf.DUMMYFUNCTION("""COMPUTED_VALUE"""),118.0)</f>
        <v>118</v>
      </c>
    </row>
    <row r="19">
      <c r="A19" s="73">
        <v>18.0</v>
      </c>
      <c r="B19" s="15">
        <f>IFERROR(__xludf.DUMMYFUNCTION("""COMPUTED_VALUE"""),27.0)</f>
        <v>27</v>
      </c>
      <c r="C19" s="15">
        <f>IFERROR(__xludf.DUMMYFUNCTION("""COMPUTED_VALUE"""),5484.0)</f>
        <v>5484</v>
      </c>
      <c r="D19" s="15">
        <f>IFERROR(__xludf.DUMMYFUNCTION("""COMPUTED_VALUE"""),2075.0)</f>
        <v>2075</v>
      </c>
      <c r="E19" s="15">
        <f>IFERROR(__xludf.DUMMYFUNCTION("""COMPUTED_VALUE"""),3357.0)</f>
        <v>3357</v>
      </c>
      <c r="F19" s="15">
        <f>IFERROR(__xludf.DUMMYFUNCTION("""COMPUTED_VALUE"""),1339.0)</f>
        <v>1339</v>
      </c>
      <c r="G19" s="15">
        <f>IFERROR(__xludf.DUMMYFUNCTION("""COMPUTED_VALUE"""),5712.0)</f>
        <v>5712</v>
      </c>
      <c r="H19" s="61">
        <f>IFERROR(__xludf.DUMMYFUNCTION("""COMPUTED_VALUE"""),1533.0)</f>
        <v>1533</v>
      </c>
      <c r="N19" s="209" t="str">
        <f t="shared" si="1"/>
        <v>27,5484,2075,3357,1339,5712</v>
      </c>
      <c r="O19" s="210"/>
      <c r="P19" s="210"/>
      <c r="W19" s="15">
        <f t="shared" si="2"/>
        <v>0</v>
      </c>
      <c r="X19" s="15" t="str">
        <f t="shared" si="8"/>
        <v/>
      </c>
      <c r="Y19" s="15" t="str">
        <f t="shared" si="3"/>
        <v/>
      </c>
      <c r="Z19" s="15" t="str">
        <f t="shared" si="4"/>
        <v/>
      </c>
      <c r="AA19" s="15" t="str">
        <f t="shared" si="5"/>
        <v/>
      </c>
      <c r="AB19" s="15" t="str">
        <f t="shared" si="6"/>
        <v/>
      </c>
      <c r="AC19" s="15" t="str">
        <f t="shared" si="7"/>
        <v/>
      </c>
      <c r="AD19" s="15"/>
      <c r="AE19" s="15" t="str">
        <f>IFERROR(__xludf.DUMMYFUNCTION("""COMPUTED_VALUE"""),"Quals 5")</f>
        <v>Quals 5</v>
      </c>
      <c r="AF19" s="15">
        <f>IFERROR(__xludf.DUMMYFUNCTION("""COMPUTED_VALUE"""),587.0)</f>
        <v>587</v>
      </c>
      <c r="AG19" s="15"/>
      <c r="AH19" s="15"/>
      <c r="AI19" s="15"/>
      <c r="AJ19" s="15">
        <f>IFERROR(__xludf.DUMMYFUNCTION("""COMPUTED_VALUE"""),1720.0)</f>
        <v>1720</v>
      </c>
      <c r="AK19" s="15"/>
      <c r="AL19" s="15"/>
      <c r="AM19" s="15"/>
      <c r="AN19" s="15">
        <f>IFERROR(__xludf.DUMMYFUNCTION("""COMPUTED_VALUE"""),2767.0)</f>
        <v>2767</v>
      </c>
      <c r="AO19" s="15"/>
      <c r="AP19" s="15"/>
      <c r="AQ19" s="15"/>
      <c r="AR19" s="15">
        <f>IFERROR(__xludf.DUMMYFUNCTION("""COMPUTED_VALUE"""),104.0)</f>
        <v>104</v>
      </c>
      <c r="AS19" s="15"/>
    </row>
    <row r="20">
      <c r="A20" s="73">
        <v>19.0</v>
      </c>
      <c r="B20" s="15">
        <f>IFERROR(__xludf.DUMMYFUNCTION("""COMPUTED_VALUE"""),5406.0)</f>
        <v>5406</v>
      </c>
      <c r="C20" s="15">
        <f>IFERROR(__xludf.DUMMYFUNCTION("""COMPUTED_VALUE"""),325.0)</f>
        <v>325</v>
      </c>
      <c r="D20" s="15">
        <f>IFERROR(__xludf.DUMMYFUNCTION("""COMPUTED_VALUE"""),1987.0)</f>
        <v>1987</v>
      </c>
      <c r="E20" s="15">
        <f>IFERROR(__xludf.DUMMYFUNCTION("""COMPUTED_VALUE"""),2056.0)</f>
        <v>2056</v>
      </c>
      <c r="F20" s="15">
        <f>IFERROR(__xludf.DUMMYFUNCTION("""COMPUTED_VALUE"""),195.0)</f>
        <v>195</v>
      </c>
      <c r="G20" s="15">
        <f>IFERROR(__xludf.DUMMYFUNCTION("""COMPUTED_VALUE"""),1730.0)</f>
        <v>1730</v>
      </c>
      <c r="H20" s="61">
        <f>IFERROR(__xludf.DUMMYFUNCTION("""COMPUTED_VALUE"""),1706.0)</f>
        <v>1706</v>
      </c>
      <c r="N20" s="209" t="str">
        <f t="shared" si="1"/>
        <v>5406,325,1987,2056,195,1730</v>
      </c>
      <c r="O20" s="210"/>
      <c r="P20" s="210"/>
      <c r="W20" s="15">
        <f t="shared" si="2"/>
        <v>1</v>
      </c>
      <c r="X20" s="15" t="str">
        <f t="shared" si="8"/>
        <v/>
      </c>
      <c r="Y20" s="15" t="str">
        <f t="shared" si="3"/>
        <v/>
      </c>
      <c r="Z20" s="15" t="str">
        <f t="shared" si="4"/>
        <v/>
      </c>
      <c r="AA20" s="15" t="str">
        <f t="shared" si="5"/>
        <v/>
      </c>
      <c r="AB20" s="15" t="str">
        <f t="shared" si="6"/>
        <v/>
      </c>
      <c r="AC20" s="15" t="str">
        <f t="shared" si="7"/>
        <v/>
      </c>
      <c r="AD20" s="15"/>
      <c r="AE20" s="15"/>
      <c r="AF20" s="15">
        <f>IFERROR(__xludf.DUMMYFUNCTION("""COMPUTED_VALUE"""),1023.0)</f>
        <v>1023</v>
      </c>
      <c r="AG20" s="15"/>
      <c r="AH20" s="15"/>
      <c r="AI20" s="15"/>
      <c r="AJ20" s="15">
        <f>IFERROR(__xludf.DUMMYFUNCTION("""COMPUTED_VALUE"""),4926.0)</f>
        <v>4926</v>
      </c>
      <c r="AK20" s="15"/>
      <c r="AL20" s="15"/>
      <c r="AM20" s="15"/>
      <c r="AN20" s="15">
        <f>IFERROR(__xludf.DUMMYFUNCTION("""COMPUTED_VALUE"""),1730.0)</f>
        <v>1730</v>
      </c>
      <c r="AO20" s="15"/>
      <c r="AP20" s="15"/>
      <c r="AQ20" s="15"/>
      <c r="AR20" s="15">
        <f>IFERROR(__xludf.DUMMYFUNCTION("""COMPUTED_VALUE"""),118.0)</f>
        <v>118</v>
      </c>
      <c r="AS20" s="15"/>
    </row>
    <row r="21">
      <c r="A21" s="73">
        <v>20.0</v>
      </c>
      <c r="B21" s="15">
        <f>IFERROR(__xludf.DUMMYFUNCTION("""COMPUTED_VALUE"""),118.0)</f>
        <v>118</v>
      </c>
      <c r="C21" s="15">
        <f>IFERROR(__xludf.DUMMYFUNCTION("""COMPUTED_VALUE"""),1023.0)</f>
        <v>1023</v>
      </c>
      <c r="D21" s="15">
        <f>IFERROR(__xludf.DUMMYFUNCTION("""COMPUTED_VALUE"""),33.0)</f>
        <v>33</v>
      </c>
      <c r="E21" s="15">
        <f>IFERROR(__xludf.DUMMYFUNCTION("""COMPUTED_VALUE"""),4926.0)</f>
        <v>4926</v>
      </c>
      <c r="F21" s="15">
        <f>IFERROR(__xludf.DUMMYFUNCTION("""COMPUTED_VALUE"""),2614.0)</f>
        <v>2614</v>
      </c>
      <c r="G21" s="15">
        <f>IFERROR(__xludf.DUMMYFUNCTION("""COMPUTED_VALUE"""),829.0)</f>
        <v>829</v>
      </c>
      <c r="H21" s="61">
        <f>IFERROR(__xludf.DUMMYFUNCTION("""COMPUTED_VALUE"""),1720.0)</f>
        <v>1720</v>
      </c>
      <c r="N21" s="209" t="str">
        <f t="shared" si="1"/>
        <v>118,1023,33,4926,2614,829</v>
      </c>
      <c r="O21" s="210"/>
      <c r="P21" s="210"/>
      <c r="W21" s="15">
        <f t="shared" si="2"/>
        <v>2</v>
      </c>
      <c r="X21" s="15">
        <f t="shared" si="8"/>
        <v>1706</v>
      </c>
      <c r="Y21" s="15">
        <f t="shared" si="3"/>
        <v>2056</v>
      </c>
      <c r="Z21" s="15">
        <f t="shared" si="4"/>
        <v>5484</v>
      </c>
      <c r="AA21" s="15">
        <f t="shared" si="5"/>
        <v>2338</v>
      </c>
      <c r="AB21" s="15">
        <f t="shared" si="6"/>
        <v>1533</v>
      </c>
      <c r="AC21" s="15">
        <f t="shared" si="7"/>
        <v>7457</v>
      </c>
      <c r="AD21" s="15"/>
      <c r="AE21" s="15" t="str">
        <f>IFERROR(__xludf.DUMMYFUNCTION("""COMPUTED_VALUE"""),"Quals 6")</f>
        <v>Quals 6</v>
      </c>
      <c r="AF21" s="15">
        <f>IFERROR(__xludf.DUMMYFUNCTION("""COMPUTED_VALUE"""),1706.0)</f>
        <v>1706</v>
      </c>
      <c r="AG21" s="15"/>
      <c r="AH21" s="15">
        <f>IFERROR(__xludf.DUMMYFUNCTION("""COMPUTED_VALUE"""),2056.0)</f>
        <v>2056</v>
      </c>
      <c r="AI21" s="15"/>
      <c r="AJ21" s="15">
        <f>IFERROR(__xludf.DUMMYFUNCTION("""COMPUTED_VALUE"""),5484.0)</f>
        <v>5484</v>
      </c>
      <c r="AK21" s="15"/>
      <c r="AL21" s="15">
        <f>IFERROR(__xludf.DUMMYFUNCTION("""COMPUTED_VALUE"""),2338.0)</f>
        <v>2338</v>
      </c>
      <c r="AM21" s="15"/>
      <c r="AN21" s="15">
        <f>IFERROR(__xludf.DUMMYFUNCTION("""COMPUTED_VALUE"""),1533.0)</f>
        <v>1533</v>
      </c>
      <c r="AO21" s="15"/>
      <c r="AP21" s="15">
        <f>IFERROR(__xludf.DUMMYFUNCTION("""COMPUTED_VALUE"""),7457.0)</f>
        <v>7457</v>
      </c>
      <c r="AQ21" s="15"/>
      <c r="AR21" s="15">
        <f>IFERROR(__xludf.DUMMYFUNCTION("""COMPUTED_VALUE"""),154.0)</f>
        <v>154</v>
      </c>
      <c r="AS21" s="15">
        <f>IFERROR(__xludf.DUMMYFUNCTION("""COMPUTED_VALUE"""),84.0)</f>
        <v>84</v>
      </c>
    </row>
    <row r="22">
      <c r="A22" s="73">
        <v>21.0</v>
      </c>
      <c r="B22" s="15">
        <f>IFERROR(__xludf.DUMMYFUNCTION("""COMPUTED_VALUE"""),67.0)</f>
        <v>67</v>
      </c>
      <c r="C22" s="15">
        <f>IFERROR(__xludf.DUMMYFUNCTION("""COMPUTED_VALUE"""),3940.0)</f>
        <v>3940</v>
      </c>
      <c r="D22" s="15">
        <f>IFERROR(__xludf.DUMMYFUNCTION("""COMPUTED_VALUE"""),7457.0)</f>
        <v>7457</v>
      </c>
      <c r="E22" s="15">
        <f>IFERROR(__xludf.DUMMYFUNCTION("""COMPUTED_VALUE"""),3175.0)</f>
        <v>3175</v>
      </c>
      <c r="F22" s="15">
        <f>IFERROR(__xludf.DUMMYFUNCTION("""COMPUTED_VALUE"""),2767.0)</f>
        <v>2767</v>
      </c>
      <c r="G22" s="15">
        <f>IFERROR(__xludf.DUMMYFUNCTION("""COMPUTED_VALUE"""),1024.0)</f>
        <v>1024</v>
      </c>
      <c r="H22" s="61">
        <f>IFERROR(__xludf.DUMMYFUNCTION("""COMPUTED_VALUE"""),1730.0)</f>
        <v>1730</v>
      </c>
      <c r="N22" s="209" t="str">
        <f t="shared" si="1"/>
        <v>67,3940,7457,3175,2767,1024</v>
      </c>
      <c r="O22" s="210"/>
      <c r="P22" s="210"/>
      <c r="W22" s="15">
        <f t="shared" si="2"/>
        <v>0</v>
      </c>
      <c r="X22" s="15" t="str">
        <f t="shared" si="8"/>
        <v/>
      </c>
      <c r="Y22" s="15" t="str">
        <f t="shared" si="3"/>
        <v/>
      </c>
      <c r="Z22" s="15" t="str">
        <f t="shared" si="4"/>
        <v/>
      </c>
      <c r="AA22" s="15" t="str">
        <f t="shared" si="5"/>
        <v/>
      </c>
      <c r="AB22" s="15" t="str">
        <f t="shared" si="6"/>
        <v/>
      </c>
      <c r="AC22" s="15" t="str">
        <f t="shared" si="7"/>
        <v/>
      </c>
      <c r="AD22" s="15"/>
      <c r="AE22" s="15" t="str">
        <f>IFERROR(__xludf.DUMMYFUNCTION("""COMPUTED_VALUE"""),"Quals 6")</f>
        <v>Quals 6</v>
      </c>
      <c r="AF22" s="15">
        <f>IFERROR(__xludf.DUMMYFUNCTION("""COMPUTED_VALUE"""),1706.0)</f>
        <v>1706</v>
      </c>
      <c r="AG22" s="15"/>
      <c r="AH22" s="15"/>
      <c r="AI22" s="15"/>
      <c r="AJ22" s="15">
        <f>IFERROR(__xludf.DUMMYFUNCTION("""COMPUTED_VALUE"""),2056.0)</f>
        <v>2056</v>
      </c>
      <c r="AK22" s="15"/>
      <c r="AL22" s="15"/>
      <c r="AM22" s="15"/>
      <c r="AN22" s="15">
        <f>IFERROR(__xludf.DUMMYFUNCTION("""COMPUTED_VALUE"""),5484.0)</f>
        <v>5484</v>
      </c>
      <c r="AO22" s="15"/>
      <c r="AP22" s="15"/>
      <c r="AQ22" s="15"/>
      <c r="AR22" s="15">
        <f>IFERROR(__xludf.DUMMYFUNCTION("""COMPUTED_VALUE"""),154.0)</f>
        <v>154</v>
      </c>
      <c r="AS22" s="15"/>
    </row>
    <row r="23">
      <c r="A23" s="73">
        <v>22.0</v>
      </c>
      <c r="B23" s="15">
        <f>IFERROR(__xludf.DUMMYFUNCTION("""COMPUTED_VALUE"""),1706.0)</f>
        <v>1706</v>
      </c>
      <c r="C23" s="15">
        <f>IFERROR(__xludf.DUMMYFUNCTION("""COMPUTED_VALUE"""),4499.0)</f>
        <v>4499</v>
      </c>
      <c r="D23" s="15">
        <f>IFERROR(__xludf.DUMMYFUNCTION("""COMPUTED_VALUE"""),587.0)</f>
        <v>587</v>
      </c>
      <c r="E23" s="15">
        <f>IFERROR(__xludf.DUMMYFUNCTION("""COMPUTED_VALUE"""),340.0)</f>
        <v>340</v>
      </c>
      <c r="F23" s="15">
        <f>IFERROR(__xludf.DUMMYFUNCTION("""COMPUTED_VALUE"""),1720.0)</f>
        <v>1720</v>
      </c>
      <c r="G23" s="15">
        <f>IFERROR(__xludf.DUMMYFUNCTION("""COMPUTED_VALUE"""),2363.0)</f>
        <v>2363</v>
      </c>
      <c r="H23" s="61">
        <f>IFERROR(__xludf.DUMMYFUNCTION("""COMPUTED_VALUE"""),1732.0)</f>
        <v>1732</v>
      </c>
      <c r="N23" s="209" t="str">
        <f t="shared" si="1"/>
        <v>1706,4499,587,340,1720,2363</v>
      </c>
      <c r="O23" s="210"/>
      <c r="P23" s="210"/>
      <c r="W23" s="15">
        <f t="shared" si="2"/>
        <v>1</v>
      </c>
      <c r="X23" s="15" t="str">
        <f t="shared" si="8"/>
        <v/>
      </c>
      <c r="Y23" s="15" t="str">
        <f t="shared" si="3"/>
        <v/>
      </c>
      <c r="Z23" s="15" t="str">
        <f t="shared" si="4"/>
        <v/>
      </c>
      <c r="AA23" s="15" t="str">
        <f t="shared" si="5"/>
        <v/>
      </c>
      <c r="AB23" s="15" t="str">
        <f t="shared" si="6"/>
        <v/>
      </c>
      <c r="AC23" s="15" t="str">
        <f t="shared" si="7"/>
        <v/>
      </c>
      <c r="AD23" s="15"/>
      <c r="AE23" s="15"/>
      <c r="AF23" s="15">
        <f>IFERROR(__xludf.DUMMYFUNCTION("""COMPUTED_VALUE"""),2338.0)</f>
        <v>2338</v>
      </c>
      <c r="AG23" s="15"/>
      <c r="AH23" s="15"/>
      <c r="AI23" s="15"/>
      <c r="AJ23" s="15">
        <f>IFERROR(__xludf.DUMMYFUNCTION("""COMPUTED_VALUE"""),1533.0)</f>
        <v>1533</v>
      </c>
      <c r="AK23" s="15"/>
      <c r="AL23" s="15"/>
      <c r="AM23" s="15"/>
      <c r="AN23" s="15">
        <f>IFERROR(__xludf.DUMMYFUNCTION("""COMPUTED_VALUE"""),7457.0)</f>
        <v>7457</v>
      </c>
      <c r="AO23" s="15"/>
      <c r="AP23" s="15"/>
      <c r="AQ23" s="15"/>
      <c r="AR23" s="15">
        <f>IFERROR(__xludf.DUMMYFUNCTION("""COMPUTED_VALUE"""),84.0)</f>
        <v>84</v>
      </c>
      <c r="AS23" s="15"/>
    </row>
    <row r="24">
      <c r="A24" s="73">
        <v>23.0</v>
      </c>
      <c r="B24" s="15">
        <f>IFERROR(__xludf.DUMMYFUNCTION("""COMPUTED_VALUE"""),503.0)</f>
        <v>503</v>
      </c>
      <c r="C24" s="15">
        <f>IFERROR(__xludf.DUMMYFUNCTION("""COMPUTED_VALUE"""),234.0)</f>
        <v>234</v>
      </c>
      <c r="D24" s="15">
        <f>IFERROR(__xludf.DUMMYFUNCTION("""COMPUTED_VALUE"""),1732.0)</f>
        <v>1732</v>
      </c>
      <c r="E24" s="15">
        <f>IFERROR(__xludf.DUMMYFUNCTION("""COMPUTED_VALUE"""),4099.0)</f>
        <v>4099</v>
      </c>
      <c r="F24" s="15">
        <f>IFERROR(__xludf.DUMMYFUNCTION("""COMPUTED_VALUE"""),3538.0)</f>
        <v>3538</v>
      </c>
      <c r="G24" s="15">
        <f>IFERROR(__xludf.DUMMYFUNCTION("""COMPUTED_VALUE"""),4635.0)</f>
        <v>4635</v>
      </c>
      <c r="H24" s="61">
        <f>IFERROR(__xludf.DUMMYFUNCTION("""COMPUTED_VALUE"""),1987.0)</f>
        <v>1987</v>
      </c>
      <c r="N24" s="209" t="str">
        <f t="shared" si="1"/>
        <v>503,234,1732,4099,3538,4635</v>
      </c>
      <c r="O24" s="210"/>
      <c r="P24" s="210"/>
      <c r="W24" s="15">
        <f t="shared" si="2"/>
        <v>2</v>
      </c>
      <c r="X24" s="15">
        <f t="shared" si="8"/>
        <v>694</v>
      </c>
      <c r="Y24" s="15">
        <f t="shared" si="3"/>
        <v>1024</v>
      </c>
      <c r="Z24" s="15">
        <f t="shared" si="4"/>
        <v>234</v>
      </c>
      <c r="AA24" s="15">
        <f t="shared" si="5"/>
        <v>2075</v>
      </c>
      <c r="AB24" s="15">
        <f t="shared" si="6"/>
        <v>829</v>
      </c>
      <c r="AC24" s="15">
        <f t="shared" si="7"/>
        <v>503</v>
      </c>
      <c r="AD24" s="15"/>
      <c r="AE24" s="15" t="str">
        <f>IFERROR(__xludf.DUMMYFUNCTION("""COMPUTED_VALUE"""),"Quals 7")</f>
        <v>Quals 7</v>
      </c>
      <c r="AF24" s="15">
        <f>IFERROR(__xludf.DUMMYFUNCTION("""COMPUTED_VALUE"""),694.0)</f>
        <v>694</v>
      </c>
      <c r="AG24" s="15"/>
      <c r="AH24" s="15">
        <f>IFERROR(__xludf.DUMMYFUNCTION("""COMPUTED_VALUE"""),1024.0)</f>
        <v>1024</v>
      </c>
      <c r="AI24" s="15"/>
      <c r="AJ24" s="15">
        <f>IFERROR(__xludf.DUMMYFUNCTION("""COMPUTED_VALUE"""),234.0)</f>
        <v>234</v>
      </c>
      <c r="AK24" s="15"/>
      <c r="AL24" s="15">
        <f>IFERROR(__xludf.DUMMYFUNCTION("""COMPUTED_VALUE"""),2075.0)</f>
        <v>2075</v>
      </c>
      <c r="AM24" s="15"/>
      <c r="AN24" s="15">
        <f>IFERROR(__xludf.DUMMYFUNCTION("""COMPUTED_VALUE"""),829.0)</f>
        <v>829</v>
      </c>
      <c r="AO24" s="15"/>
      <c r="AP24" s="15">
        <f>IFERROR(__xludf.DUMMYFUNCTION("""COMPUTED_VALUE"""),503.0)</f>
        <v>503</v>
      </c>
      <c r="AQ24" s="15"/>
      <c r="AR24" s="15">
        <f>IFERROR(__xludf.DUMMYFUNCTION("""COMPUTED_VALUE"""),99.0)</f>
        <v>99</v>
      </c>
      <c r="AS24" s="15">
        <f>IFERROR(__xludf.DUMMYFUNCTION("""COMPUTED_VALUE"""),102.0)</f>
        <v>102</v>
      </c>
    </row>
    <row r="25">
      <c r="A25" s="73">
        <v>24.0</v>
      </c>
      <c r="B25" s="15">
        <f>IFERROR(__xludf.DUMMYFUNCTION("""COMPUTED_VALUE"""),3176.0)</f>
        <v>3176</v>
      </c>
      <c r="C25" s="15">
        <f>IFERROR(__xludf.DUMMYFUNCTION("""COMPUTED_VALUE"""),694.0)</f>
        <v>694</v>
      </c>
      <c r="D25" s="15">
        <f>IFERROR(__xludf.DUMMYFUNCTION("""COMPUTED_VALUE"""),2338.0)</f>
        <v>2338</v>
      </c>
      <c r="E25" s="15">
        <f>IFERROR(__xludf.DUMMYFUNCTION("""COMPUTED_VALUE"""),5010.0)</f>
        <v>5010</v>
      </c>
      <c r="F25" s="15">
        <f>IFERROR(__xludf.DUMMYFUNCTION("""COMPUTED_VALUE"""),180.0)</f>
        <v>180</v>
      </c>
      <c r="G25" s="15">
        <f>IFERROR(__xludf.DUMMYFUNCTION("""COMPUTED_VALUE"""),624.0)</f>
        <v>624</v>
      </c>
      <c r="H25" s="61">
        <f>IFERROR(__xludf.DUMMYFUNCTION("""COMPUTED_VALUE"""),2056.0)</f>
        <v>2056</v>
      </c>
      <c r="N25" s="209" t="str">
        <f t="shared" si="1"/>
        <v>3176,694,2338,5010,180,624</v>
      </c>
      <c r="O25" s="210"/>
      <c r="P25" s="210"/>
      <c r="W25" s="15">
        <f t="shared" si="2"/>
        <v>0</v>
      </c>
      <c r="X25" s="15" t="str">
        <f t="shared" si="8"/>
        <v/>
      </c>
      <c r="Y25" s="15" t="str">
        <f t="shared" si="3"/>
        <v/>
      </c>
      <c r="Z25" s="15" t="str">
        <f t="shared" si="4"/>
        <v/>
      </c>
      <c r="AA25" s="15" t="str">
        <f t="shared" si="5"/>
        <v/>
      </c>
      <c r="AB25" s="15" t="str">
        <f t="shared" si="6"/>
        <v/>
      </c>
      <c r="AC25" s="15" t="str">
        <f t="shared" si="7"/>
        <v/>
      </c>
      <c r="AD25" s="15"/>
      <c r="AE25" s="15" t="str">
        <f>IFERROR(__xludf.DUMMYFUNCTION("""COMPUTED_VALUE"""),"Quals 7")</f>
        <v>Quals 7</v>
      </c>
      <c r="AF25" s="15">
        <f>IFERROR(__xludf.DUMMYFUNCTION("""COMPUTED_VALUE"""),694.0)</f>
        <v>694</v>
      </c>
      <c r="AG25" s="15"/>
      <c r="AH25" s="15"/>
      <c r="AI25" s="15"/>
      <c r="AJ25" s="15">
        <f>IFERROR(__xludf.DUMMYFUNCTION("""COMPUTED_VALUE"""),1024.0)</f>
        <v>1024</v>
      </c>
      <c r="AK25" s="15"/>
      <c r="AL25" s="15"/>
      <c r="AM25" s="15"/>
      <c r="AN25" s="15">
        <f>IFERROR(__xludf.DUMMYFUNCTION("""COMPUTED_VALUE"""),234.0)</f>
        <v>234</v>
      </c>
      <c r="AO25" s="15"/>
      <c r="AP25" s="15"/>
      <c r="AQ25" s="15"/>
      <c r="AR25" s="15">
        <f>IFERROR(__xludf.DUMMYFUNCTION("""COMPUTED_VALUE"""),99.0)</f>
        <v>99</v>
      </c>
      <c r="AS25" s="15"/>
    </row>
    <row r="26">
      <c r="A26" s="73">
        <v>25.0</v>
      </c>
      <c r="B26" s="15">
        <f>IFERROR(__xludf.DUMMYFUNCTION("""COMPUTED_VALUE"""),27.0)</f>
        <v>27</v>
      </c>
      <c r="C26" s="15">
        <f>IFERROR(__xludf.DUMMYFUNCTION("""COMPUTED_VALUE"""),2539.0)</f>
        <v>2539</v>
      </c>
      <c r="D26" s="15">
        <f>IFERROR(__xludf.DUMMYFUNCTION("""COMPUTED_VALUE"""),5406.0)</f>
        <v>5406</v>
      </c>
      <c r="E26" s="15">
        <f>IFERROR(__xludf.DUMMYFUNCTION("""COMPUTED_VALUE"""),325.0)</f>
        <v>325</v>
      </c>
      <c r="F26" s="15">
        <f>IFERROR(__xludf.DUMMYFUNCTION("""COMPUTED_VALUE"""),2468.0)</f>
        <v>2468</v>
      </c>
      <c r="G26" s="15">
        <f>IFERROR(__xludf.DUMMYFUNCTION("""COMPUTED_VALUE"""),1023.0)</f>
        <v>1023</v>
      </c>
      <c r="H26" s="61">
        <f>IFERROR(__xludf.DUMMYFUNCTION("""COMPUTED_VALUE"""),2075.0)</f>
        <v>2075</v>
      </c>
      <c r="N26" s="209" t="str">
        <f t="shared" si="1"/>
        <v>27,2539,5406,325,2468,1023</v>
      </c>
      <c r="O26" s="210"/>
      <c r="P26" s="210"/>
      <c r="W26" s="15">
        <f t="shared" si="2"/>
        <v>1</v>
      </c>
      <c r="X26" s="15" t="str">
        <f t="shared" si="8"/>
        <v/>
      </c>
      <c r="Y26" s="15" t="str">
        <f t="shared" si="3"/>
        <v/>
      </c>
      <c r="Z26" s="15" t="str">
        <f t="shared" si="4"/>
        <v/>
      </c>
      <c r="AA26" s="15" t="str">
        <f t="shared" si="5"/>
        <v/>
      </c>
      <c r="AB26" s="15" t="str">
        <f t="shared" si="6"/>
        <v/>
      </c>
      <c r="AC26" s="15" t="str">
        <f t="shared" si="7"/>
        <v/>
      </c>
      <c r="AD26" s="15"/>
      <c r="AE26" s="15"/>
      <c r="AF26" s="15">
        <f>IFERROR(__xludf.DUMMYFUNCTION("""COMPUTED_VALUE"""),2075.0)</f>
        <v>2075</v>
      </c>
      <c r="AG26" s="15"/>
      <c r="AH26" s="15"/>
      <c r="AI26" s="15"/>
      <c r="AJ26" s="15">
        <f>IFERROR(__xludf.DUMMYFUNCTION("""COMPUTED_VALUE"""),829.0)</f>
        <v>829</v>
      </c>
      <c r="AK26" s="15"/>
      <c r="AL26" s="15"/>
      <c r="AM26" s="15"/>
      <c r="AN26" s="15">
        <f>IFERROR(__xludf.DUMMYFUNCTION("""COMPUTED_VALUE"""),503.0)</f>
        <v>503</v>
      </c>
      <c r="AO26" s="15"/>
      <c r="AP26" s="15"/>
      <c r="AQ26" s="15"/>
      <c r="AR26" s="15">
        <f>IFERROR(__xludf.DUMMYFUNCTION("""COMPUTED_VALUE"""),102.0)</f>
        <v>102</v>
      </c>
      <c r="AS26" s="15"/>
    </row>
    <row r="27">
      <c r="A27" s="73">
        <v>26.0</v>
      </c>
      <c r="B27" s="15">
        <f>IFERROR(__xludf.DUMMYFUNCTION("""COMPUTED_VALUE"""),2767.0)</f>
        <v>2767</v>
      </c>
      <c r="C27" s="15">
        <f>IFERROR(__xludf.DUMMYFUNCTION("""COMPUTED_VALUE"""),4926.0)</f>
        <v>4926</v>
      </c>
      <c r="D27" s="15">
        <f>IFERROR(__xludf.DUMMYFUNCTION("""COMPUTED_VALUE"""),1533.0)</f>
        <v>1533</v>
      </c>
      <c r="E27" s="15">
        <f>IFERROR(__xludf.DUMMYFUNCTION("""COMPUTED_VALUE"""),1987.0)</f>
        <v>1987</v>
      </c>
      <c r="F27" s="15">
        <f>IFERROR(__xludf.DUMMYFUNCTION("""COMPUTED_VALUE"""),2075.0)</f>
        <v>2075</v>
      </c>
      <c r="G27" s="15">
        <f>IFERROR(__xludf.DUMMYFUNCTION("""COMPUTED_VALUE"""),3175.0)</f>
        <v>3175</v>
      </c>
      <c r="H27" s="61">
        <f>IFERROR(__xludf.DUMMYFUNCTION("""COMPUTED_VALUE"""),2338.0)</f>
        <v>2338</v>
      </c>
      <c r="N27" s="209" t="str">
        <f t="shared" si="1"/>
        <v>2767,4926,1533,1987,2075,3175</v>
      </c>
      <c r="O27" s="210"/>
      <c r="P27" s="210"/>
      <c r="W27" s="15">
        <f t="shared" si="2"/>
        <v>2</v>
      </c>
      <c r="X27" s="15">
        <f t="shared" si="8"/>
        <v>5010</v>
      </c>
      <c r="Y27" s="15">
        <f t="shared" si="3"/>
        <v>4635</v>
      </c>
      <c r="Z27" s="15">
        <f t="shared" si="4"/>
        <v>3175</v>
      </c>
      <c r="AA27" s="15">
        <f t="shared" si="5"/>
        <v>5406</v>
      </c>
      <c r="AB27" s="15">
        <f t="shared" si="6"/>
        <v>340</v>
      </c>
      <c r="AC27" s="15">
        <f t="shared" si="7"/>
        <v>118</v>
      </c>
      <c r="AD27" s="15"/>
      <c r="AE27" s="15" t="str">
        <f>IFERROR(__xludf.DUMMYFUNCTION("""COMPUTED_VALUE"""),"Quals 8")</f>
        <v>Quals 8</v>
      </c>
      <c r="AF27" s="15">
        <f>IFERROR(__xludf.DUMMYFUNCTION("""COMPUTED_VALUE"""),5010.0)</f>
        <v>5010</v>
      </c>
      <c r="AG27" s="15"/>
      <c r="AH27" s="15">
        <f>IFERROR(__xludf.DUMMYFUNCTION("""COMPUTED_VALUE"""),4635.0)</f>
        <v>4635</v>
      </c>
      <c r="AI27" s="15"/>
      <c r="AJ27" s="15">
        <f>IFERROR(__xludf.DUMMYFUNCTION("""COMPUTED_VALUE"""),3175.0)</f>
        <v>3175</v>
      </c>
      <c r="AK27" s="15"/>
      <c r="AL27" s="15">
        <f>IFERROR(__xludf.DUMMYFUNCTION("""COMPUTED_VALUE"""),5406.0)</f>
        <v>5406</v>
      </c>
      <c r="AM27" s="15"/>
      <c r="AN27" s="15">
        <f>IFERROR(__xludf.DUMMYFUNCTION("""COMPUTED_VALUE"""),340.0)</f>
        <v>340</v>
      </c>
      <c r="AO27" s="15"/>
      <c r="AP27" s="15">
        <f>IFERROR(__xludf.DUMMYFUNCTION("""COMPUTED_VALUE"""),118.0)</f>
        <v>118</v>
      </c>
      <c r="AQ27" s="15"/>
      <c r="AR27" s="15">
        <f>IFERROR(__xludf.DUMMYFUNCTION("""COMPUTED_VALUE"""),122.0)</f>
        <v>122</v>
      </c>
      <c r="AS27" s="15">
        <f>IFERROR(__xludf.DUMMYFUNCTION("""COMPUTED_VALUE"""),136.0)</f>
        <v>136</v>
      </c>
    </row>
    <row r="28">
      <c r="A28" s="73">
        <v>27.0</v>
      </c>
      <c r="B28" s="15">
        <f>IFERROR(__xludf.DUMMYFUNCTION("""COMPUTED_VALUE"""),118.0)</f>
        <v>118</v>
      </c>
      <c r="C28" s="15">
        <f>IFERROR(__xludf.DUMMYFUNCTION("""COMPUTED_VALUE"""),5712.0)</f>
        <v>5712</v>
      </c>
      <c r="D28" s="15">
        <f>IFERROR(__xludf.DUMMYFUNCTION("""COMPUTED_VALUE"""),4028.0)</f>
        <v>4028</v>
      </c>
      <c r="E28" s="15">
        <f>IFERROR(__xludf.DUMMYFUNCTION("""COMPUTED_VALUE"""),1339.0)</f>
        <v>1339</v>
      </c>
      <c r="F28" s="15">
        <f>IFERROR(__xludf.DUMMYFUNCTION("""COMPUTED_VALUE"""),1024.0)</f>
        <v>1024</v>
      </c>
      <c r="G28" s="15">
        <f>IFERROR(__xludf.DUMMYFUNCTION("""COMPUTED_VALUE"""),2363.0)</f>
        <v>2363</v>
      </c>
      <c r="H28" s="61">
        <f>IFERROR(__xludf.DUMMYFUNCTION("""COMPUTED_VALUE"""),2363.0)</f>
        <v>2363</v>
      </c>
      <c r="N28" s="209" t="str">
        <f t="shared" si="1"/>
        <v>118,5712,4028,1339,1024,2363</v>
      </c>
      <c r="O28" s="210"/>
      <c r="P28" s="210"/>
      <c r="W28" s="15">
        <f t="shared" si="2"/>
        <v>0</v>
      </c>
      <c r="X28" s="15" t="str">
        <f t="shared" si="8"/>
        <v/>
      </c>
      <c r="Y28" s="15" t="str">
        <f t="shared" si="3"/>
        <v/>
      </c>
      <c r="Z28" s="15" t="str">
        <f t="shared" si="4"/>
        <v/>
      </c>
      <c r="AA28" s="15" t="str">
        <f t="shared" si="5"/>
        <v/>
      </c>
      <c r="AB28" s="15" t="str">
        <f t="shared" si="6"/>
        <v/>
      </c>
      <c r="AC28" s="15" t="str">
        <f t="shared" si="7"/>
        <v/>
      </c>
      <c r="AD28" s="15"/>
      <c r="AE28" s="15" t="str">
        <f>IFERROR(__xludf.DUMMYFUNCTION("""COMPUTED_VALUE"""),"Quals 8")</f>
        <v>Quals 8</v>
      </c>
      <c r="AF28" s="15">
        <f>IFERROR(__xludf.DUMMYFUNCTION("""COMPUTED_VALUE"""),5010.0)</f>
        <v>5010</v>
      </c>
      <c r="AG28" s="15"/>
      <c r="AH28" s="15"/>
      <c r="AI28" s="15"/>
      <c r="AJ28" s="15">
        <f>IFERROR(__xludf.DUMMYFUNCTION("""COMPUTED_VALUE"""),4635.0)</f>
        <v>4635</v>
      </c>
      <c r="AK28" s="15"/>
      <c r="AL28" s="15"/>
      <c r="AM28" s="15"/>
      <c r="AN28" s="15">
        <f>IFERROR(__xludf.DUMMYFUNCTION("""COMPUTED_VALUE"""),3175.0)</f>
        <v>3175</v>
      </c>
      <c r="AO28" s="15"/>
      <c r="AP28" s="15"/>
      <c r="AQ28" s="15"/>
      <c r="AR28" s="15">
        <f>IFERROR(__xludf.DUMMYFUNCTION("""COMPUTED_VALUE"""),122.0)</f>
        <v>122</v>
      </c>
      <c r="AS28" s="15"/>
    </row>
    <row r="29">
      <c r="A29" s="73">
        <v>28.0</v>
      </c>
      <c r="B29" s="15">
        <f>IFERROR(__xludf.DUMMYFUNCTION("""COMPUTED_VALUE"""),829.0)</f>
        <v>829</v>
      </c>
      <c r="C29" s="15">
        <f>IFERROR(__xludf.DUMMYFUNCTION("""COMPUTED_VALUE"""),2056.0)</f>
        <v>2056</v>
      </c>
      <c r="D29" s="15">
        <f>IFERROR(__xludf.DUMMYFUNCTION("""COMPUTED_VALUE"""),4143.0)</f>
        <v>4143</v>
      </c>
      <c r="E29" s="15">
        <f>IFERROR(__xludf.DUMMYFUNCTION("""COMPUTED_VALUE"""),4099.0)</f>
        <v>4099</v>
      </c>
      <c r="F29" s="15">
        <f>IFERROR(__xludf.DUMMYFUNCTION("""COMPUTED_VALUE"""),1732.0)</f>
        <v>1732</v>
      </c>
      <c r="G29" s="15">
        <f>IFERROR(__xludf.DUMMYFUNCTION("""COMPUTED_VALUE"""),1706.0)</f>
        <v>1706</v>
      </c>
      <c r="H29" s="61">
        <f>IFERROR(__xludf.DUMMYFUNCTION("""COMPUTED_VALUE"""),2468.0)</f>
        <v>2468</v>
      </c>
      <c r="N29" s="209" t="str">
        <f t="shared" si="1"/>
        <v>829,2056,4143,4099,1732,1706</v>
      </c>
      <c r="O29" s="210"/>
      <c r="P29" s="210"/>
      <c r="W29" s="15">
        <f t="shared" si="2"/>
        <v>1</v>
      </c>
      <c r="X29" s="15" t="str">
        <f t="shared" si="8"/>
        <v/>
      </c>
      <c r="Y29" s="15" t="str">
        <f t="shared" si="3"/>
        <v/>
      </c>
      <c r="Z29" s="15" t="str">
        <f t="shared" si="4"/>
        <v/>
      </c>
      <c r="AA29" s="15" t="str">
        <f t="shared" si="5"/>
        <v/>
      </c>
      <c r="AB29" s="15" t="str">
        <f t="shared" si="6"/>
        <v/>
      </c>
      <c r="AC29" s="15" t="str">
        <f t="shared" si="7"/>
        <v/>
      </c>
      <c r="AD29" s="15"/>
      <c r="AE29" s="15"/>
      <c r="AF29" s="15">
        <f>IFERROR(__xludf.DUMMYFUNCTION("""COMPUTED_VALUE"""),5406.0)</f>
        <v>5406</v>
      </c>
      <c r="AG29" s="15"/>
      <c r="AH29" s="15"/>
      <c r="AI29" s="15"/>
      <c r="AJ29" s="15">
        <f>IFERROR(__xludf.DUMMYFUNCTION("""COMPUTED_VALUE"""),340.0)</f>
        <v>340</v>
      </c>
      <c r="AK29" s="15"/>
      <c r="AL29" s="15"/>
      <c r="AM29" s="15"/>
      <c r="AN29" s="15">
        <f>IFERROR(__xludf.DUMMYFUNCTION("""COMPUTED_VALUE"""),118.0)</f>
        <v>118</v>
      </c>
      <c r="AO29" s="15"/>
      <c r="AP29" s="15"/>
      <c r="AQ29" s="15"/>
      <c r="AR29" s="15">
        <f>IFERROR(__xludf.DUMMYFUNCTION("""COMPUTED_VALUE"""),136.0)</f>
        <v>136</v>
      </c>
      <c r="AS29" s="15"/>
    </row>
    <row r="30">
      <c r="A30" s="73">
        <v>29.0</v>
      </c>
      <c r="B30" s="15">
        <f>IFERROR(__xludf.DUMMYFUNCTION("""COMPUTED_VALUE"""),340.0)</f>
        <v>340</v>
      </c>
      <c r="C30" s="15">
        <f>IFERROR(__xludf.DUMMYFUNCTION("""COMPUTED_VALUE"""),180.0)</f>
        <v>180</v>
      </c>
      <c r="D30" s="15">
        <f>IFERROR(__xludf.DUMMYFUNCTION("""COMPUTED_VALUE"""),2614.0)</f>
        <v>2614</v>
      </c>
      <c r="E30" s="15">
        <f>IFERROR(__xludf.DUMMYFUNCTION("""COMPUTED_VALUE"""),624.0)</f>
        <v>624</v>
      </c>
      <c r="F30" s="15">
        <f>IFERROR(__xludf.DUMMYFUNCTION("""COMPUTED_VALUE"""),5484.0)</f>
        <v>5484</v>
      </c>
      <c r="G30" s="15">
        <f>IFERROR(__xludf.DUMMYFUNCTION("""COMPUTED_VALUE"""),503.0)</f>
        <v>503</v>
      </c>
      <c r="H30" s="61">
        <f>IFERROR(__xludf.DUMMYFUNCTION("""COMPUTED_VALUE"""),2539.0)</f>
        <v>2539</v>
      </c>
      <c r="N30" s="209" t="str">
        <f t="shared" si="1"/>
        <v>340,180,2614,624,5484,503</v>
      </c>
      <c r="O30" s="210"/>
      <c r="P30" s="210"/>
      <c r="W30" s="15">
        <f t="shared" si="2"/>
        <v>2</v>
      </c>
      <c r="X30" s="15">
        <f t="shared" si="8"/>
        <v>1987</v>
      </c>
      <c r="Y30" s="15">
        <f t="shared" si="3"/>
        <v>4099</v>
      </c>
      <c r="Z30" s="15">
        <f t="shared" si="4"/>
        <v>2539</v>
      </c>
      <c r="AA30" s="15">
        <f t="shared" si="5"/>
        <v>33</v>
      </c>
      <c r="AB30" s="15">
        <f t="shared" si="6"/>
        <v>4028</v>
      </c>
      <c r="AC30" s="15">
        <f t="shared" si="7"/>
        <v>27</v>
      </c>
      <c r="AD30" s="15"/>
      <c r="AE30" s="15" t="str">
        <f>IFERROR(__xludf.DUMMYFUNCTION("""COMPUTED_VALUE"""),"Quals 9")</f>
        <v>Quals 9</v>
      </c>
      <c r="AF30" s="15">
        <f>IFERROR(__xludf.DUMMYFUNCTION("""COMPUTED_VALUE"""),1987.0)</f>
        <v>1987</v>
      </c>
      <c r="AG30" s="15"/>
      <c r="AH30" s="15">
        <f>IFERROR(__xludf.DUMMYFUNCTION("""COMPUTED_VALUE"""),4099.0)</f>
        <v>4099</v>
      </c>
      <c r="AI30" s="15"/>
      <c r="AJ30" s="15">
        <f>IFERROR(__xludf.DUMMYFUNCTION("""COMPUTED_VALUE"""),2539.0)</f>
        <v>2539</v>
      </c>
      <c r="AK30" s="15"/>
      <c r="AL30" s="15">
        <f>IFERROR(__xludf.DUMMYFUNCTION("""COMPUTED_VALUE"""),33.0)</f>
        <v>33</v>
      </c>
      <c r="AM30" s="15"/>
      <c r="AN30" s="15">
        <f>IFERROR(__xludf.DUMMYFUNCTION("""COMPUTED_VALUE"""),4028.0)</f>
        <v>4028</v>
      </c>
      <c r="AO30" s="15"/>
      <c r="AP30" s="15">
        <f>IFERROR(__xludf.DUMMYFUNCTION("""COMPUTED_VALUE"""),27.0)</f>
        <v>27</v>
      </c>
      <c r="AQ30" s="15"/>
      <c r="AR30" s="15">
        <f>IFERROR(__xludf.DUMMYFUNCTION("""COMPUTED_VALUE"""),108.0)</f>
        <v>108</v>
      </c>
      <c r="AS30" s="15">
        <f>IFERROR(__xludf.DUMMYFUNCTION("""COMPUTED_VALUE"""),134.0)</f>
        <v>134</v>
      </c>
    </row>
    <row r="31">
      <c r="A31" s="73">
        <v>30.0</v>
      </c>
      <c r="B31" s="15">
        <f>IFERROR(__xludf.DUMMYFUNCTION("""COMPUTED_VALUE"""),3940.0)</f>
        <v>3940</v>
      </c>
      <c r="C31" s="15">
        <f>IFERROR(__xludf.DUMMYFUNCTION("""COMPUTED_VALUE"""),33.0)</f>
        <v>33</v>
      </c>
      <c r="D31" s="15">
        <f>IFERROR(__xludf.DUMMYFUNCTION("""COMPUTED_VALUE"""),3357.0)</f>
        <v>3357</v>
      </c>
      <c r="E31" s="15">
        <f>IFERROR(__xludf.DUMMYFUNCTION("""COMPUTED_VALUE"""),2338.0)</f>
        <v>2338</v>
      </c>
      <c r="F31" s="15">
        <f>IFERROR(__xludf.DUMMYFUNCTION("""COMPUTED_VALUE"""),1720.0)</f>
        <v>1720</v>
      </c>
      <c r="G31" s="15">
        <f>IFERROR(__xludf.DUMMYFUNCTION("""COMPUTED_VALUE"""),195.0)</f>
        <v>195</v>
      </c>
      <c r="H31" s="61">
        <f>IFERROR(__xludf.DUMMYFUNCTION("""COMPUTED_VALUE"""),2614.0)</f>
        <v>2614</v>
      </c>
      <c r="N31" s="209" t="str">
        <f t="shared" si="1"/>
        <v>3940,33,3357,2338,1720,195</v>
      </c>
      <c r="O31" s="210"/>
      <c r="P31" s="210"/>
      <c r="W31" s="15">
        <f t="shared" si="2"/>
        <v>0</v>
      </c>
      <c r="X31" s="15" t="str">
        <f t="shared" si="8"/>
        <v/>
      </c>
      <c r="Y31" s="15" t="str">
        <f t="shared" si="3"/>
        <v/>
      </c>
      <c r="Z31" s="15" t="str">
        <f t="shared" si="4"/>
        <v/>
      </c>
      <c r="AA31" s="15" t="str">
        <f t="shared" si="5"/>
        <v/>
      </c>
      <c r="AB31" s="15" t="str">
        <f t="shared" si="6"/>
        <v/>
      </c>
      <c r="AC31" s="15" t="str">
        <f t="shared" si="7"/>
        <v/>
      </c>
      <c r="AD31" s="15"/>
      <c r="AE31" s="15" t="str">
        <f>IFERROR(__xludf.DUMMYFUNCTION("""COMPUTED_VALUE"""),"Quals 9")</f>
        <v>Quals 9</v>
      </c>
      <c r="AF31" s="15">
        <f>IFERROR(__xludf.DUMMYFUNCTION("""COMPUTED_VALUE"""),1987.0)</f>
        <v>1987</v>
      </c>
      <c r="AG31" s="15"/>
      <c r="AH31" s="15"/>
      <c r="AI31" s="15"/>
      <c r="AJ31" s="15">
        <f>IFERROR(__xludf.DUMMYFUNCTION("""COMPUTED_VALUE"""),4099.0)</f>
        <v>4099</v>
      </c>
      <c r="AK31" s="15"/>
      <c r="AL31" s="15"/>
      <c r="AM31" s="15"/>
      <c r="AN31" s="15">
        <f>IFERROR(__xludf.DUMMYFUNCTION("""COMPUTED_VALUE"""),2539.0)</f>
        <v>2539</v>
      </c>
      <c r="AO31" s="15"/>
      <c r="AP31" s="15"/>
      <c r="AQ31" s="15"/>
      <c r="AR31" s="15">
        <f>IFERROR(__xludf.DUMMYFUNCTION("""COMPUTED_VALUE"""),108.0)</f>
        <v>108</v>
      </c>
      <c r="AS31" s="15"/>
    </row>
    <row r="32">
      <c r="A32" s="73">
        <v>31.0</v>
      </c>
      <c r="B32" s="15">
        <f>IFERROR(__xludf.DUMMYFUNCTION("""COMPUTED_VALUE"""),4635.0)</f>
        <v>4635</v>
      </c>
      <c r="C32" s="15">
        <f>IFERROR(__xludf.DUMMYFUNCTION("""COMPUTED_VALUE"""),67.0)</f>
        <v>67</v>
      </c>
      <c r="D32" s="15">
        <f>IFERROR(__xludf.DUMMYFUNCTION("""COMPUTED_VALUE"""),694.0)</f>
        <v>694</v>
      </c>
      <c r="E32" s="15">
        <f>IFERROR(__xludf.DUMMYFUNCTION("""COMPUTED_VALUE"""),587.0)</f>
        <v>587</v>
      </c>
      <c r="F32" s="15">
        <f>IFERROR(__xludf.DUMMYFUNCTION("""COMPUTED_VALUE"""),7457.0)</f>
        <v>7457</v>
      </c>
      <c r="G32" s="15">
        <f>IFERROR(__xludf.DUMMYFUNCTION("""COMPUTED_VALUE"""),4265.0)</f>
        <v>4265</v>
      </c>
      <c r="H32" s="61">
        <f>IFERROR(__xludf.DUMMYFUNCTION("""COMPUTED_VALUE"""),2767.0)</f>
        <v>2767</v>
      </c>
      <c r="N32" s="209" t="str">
        <f t="shared" si="1"/>
        <v>4635,67,694,587,7457,4265</v>
      </c>
      <c r="O32" s="210"/>
      <c r="P32" s="210"/>
      <c r="W32" s="15">
        <f t="shared" si="2"/>
        <v>1</v>
      </c>
      <c r="X32" s="15" t="str">
        <f t="shared" si="8"/>
        <v/>
      </c>
      <c r="Y32" s="15" t="str">
        <f t="shared" si="3"/>
        <v/>
      </c>
      <c r="Z32" s="15" t="str">
        <f t="shared" si="4"/>
        <v/>
      </c>
      <c r="AA32" s="15" t="str">
        <f t="shared" si="5"/>
        <v/>
      </c>
      <c r="AB32" s="15" t="str">
        <f t="shared" si="6"/>
        <v/>
      </c>
      <c r="AC32" s="15" t="str">
        <f t="shared" si="7"/>
        <v/>
      </c>
      <c r="AD32" s="15"/>
      <c r="AE32" s="15"/>
      <c r="AF32" s="15">
        <f>IFERROR(__xludf.DUMMYFUNCTION("""COMPUTED_VALUE"""),33.0)</f>
        <v>33</v>
      </c>
      <c r="AG32" s="15"/>
      <c r="AH32" s="15"/>
      <c r="AI32" s="15"/>
      <c r="AJ32" s="15">
        <f>IFERROR(__xludf.DUMMYFUNCTION("""COMPUTED_VALUE"""),4028.0)</f>
        <v>4028</v>
      </c>
      <c r="AK32" s="15"/>
      <c r="AL32" s="15"/>
      <c r="AM32" s="15"/>
      <c r="AN32" s="15">
        <f>IFERROR(__xludf.DUMMYFUNCTION("""COMPUTED_VALUE"""),27.0)</f>
        <v>27</v>
      </c>
      <c r="AO32" s="15"/>
      <c r="AP32" s="15"/>
      <c r="AQ32" s="15"/>
      <c r="AR32" s="15">
        <f>IFERROR(__xludf.DUMMYFUNCTION("""COMPUTED_VALUE"""),134.0)</f>
        <v>134</v>
      </c>
      <c r="AS32" s="15"/>
    </row>
    <row r="33">
      <c r="A33" s="73">
        <v>32.0</v>
      </c>
      <c r="B33" s="15">
        <f>IFERROR(__xludf.DUMMYFUNCTION("""COMPUTED_VALUE"""),3176.0)</f>
        <v>3176</v>
      </c>
      <c r="C33" s="15">
        <f>IFERROR(__xludf.DUMMYFUNCTION("""COMPUTED_VALUE"""),5010.0)</f>
        <v>5010</v>
      </c>
      <c r="D33" s="15">
        <f>IFERROR(__xludf.DUMMYFUNCTION("""COMPUTED_VALUE"""),1730.0)</f>
        <v>1730</v>
      </c>
      <c r="E33" s="15">
        <f>IFERROR(__xludf.DUMMYFUNCTION("""COMPUTED_VALUE"""),234.0)</f>
        <v>234</v>
      </c>
      <c r="F33" s="15">
        <f>IFERROR(__xludf.DUMMYFUNCTION("""COMPUTED_VALUE"""),4499.0)</f>
        <v>4499</v>
      </c>
      <c r="G33" s="15">
        <f>IFERROR(__xludf.DUMMYFUNCTION("""COMPUTED_VALUE"""),3538.0)</f>
        <v>3538</v>
      </c>
      <c r="H33" s="61">
        <f>IFERROR(__xludf.DUMMYFUNCTION("""COMPUTED_VALUE"""),3175.0)</f>
        <v>3175</v>
      </c>
      <c r="N33" s="209" t="str">
        <f t="shared" si="1"/>
        <v>3176,5010,1730,234,4499,3538</v>
      </c>
      <c r="O33" s="210"/>
      <c r="P33" s="210"/>
      <c r="W33" s="15">
        <f t="shared" si="2"/>
        <v>2</v>
      </c>
      <c r="X33" s="15">
        <f t="shared" si="8"/>
        <v>195</v>
      </c>
      <c r="Y33" s="15">
        <f t="shared" si="3"/>
        <v>325</v>
      </c>
      <c r="Z33" s="15">
        <f t="shared" si="4"/>
        <v>1339</v>
      </c>
      <c r="AA33" s="15">
        <f t="shared" si="5"/>
        <v>1720</v>
      </c>
      <c r="AB33" s="15">
        <f t="shared" si="6"/>
        <v>624</v>
      </c>
      <c r="AC33" s="15">
        <f t="shared" si="7"/>
        <v>4265</v>
      </c>
      <c r="AD33" s="15"/>
      <c r="AE33" s="15" t="str">
        <f>IFERROR(__xludf.DUMMYFUNCTION("""COMPUTED_VALUE"""),"Quals 10")</f>
        <v>Quals 10</v>
      </c>
      <c r="AF33" s="15">
        <f>IFERROR(__xludf.DUMMYFUNCTION("""COMPUTED_VALUE"""),195.0)</f>
        <v>195</v>
      </c>
      <c r="AG33" s="15"/>
      <c r="AH33" s="15">
        <f>IFERROR(__xludf.DUMMYFUNCTION("""COMPUTED_VALUE"""),325.0)</f>
        <v>325</v>
      </c>
      <c r="AI33" s="15"/>
      <c r="AJ33" s="15">
        <f>IFERROR(__xludf.DUMMYFUNCTION("""COMPUTED_VALUE"""),1339.0)</f>
        <v>1339</v>
      </c>
      <c r="AK33" s="15"/>
      <c r="AL33" s="15">
        <f>IFERROR(__xludf.DUMMYFUNCTION("""COMPUTED_VALUE"""),1720.0)</f>
        <v>1720</v>
      </c>
      <c r="AM33" s="15"/>
      <c r="AN33" s="15">
        <f>IFERROR(__xludf.DUMMYFUNCTION("""COMPUTED_VALUE"""),624.0)</f>
        <v>624</v>
      </c>
      <c r="AO33" s="15"/>
      <c r="AP33" s="15">
        <f>IFERROR(__xludf.DUMMYFUNCTION("""COMPUTED_VALUE"""),4265.0)</f>
        <v>4265</v>
      </c>
      <c r="AQ33" s="15"/>
      <c r="AR33" s="15">
        <f>IFERROR(__xludf.DUMMYFUNCTION("""COMPUTED_VALUE"""),104.0)</f>
        <v>104</v>
      </c>
      <c r="AS33" s="15">
        <f>IFERROR(__xludf.DUMMYFUNCTION("""COMPUTED_VALUE"""),85.0)</f>
        <v>85</v>
      </c>
    </row>
    <row r="34">
      <c r="A34" s="73">
        <v>33.0</v>
      </c>
      <c r="B34" s="15">
        <f>IFERROR(__xludf.DUMMYFUNCTION("""COMPUTED_VALUE"""),4143.0)</f>
        <v>4143</v>
      </c>
      <c r="C34" s="15">
        <f>IFERROR(__xludf.DUMMYFUNCTION("""COMPUTED_VALUE"""),1732.0)</f>
        <v>1732</v>
      </c>
      <c r="D34" s="15">
        <f>IFERROR(__xludf.DUMMYFUNCTION("""COMPUTED_VALUE"""),1339.0)</f>
        <v>1339</v>
      </c>
      <c r="E34" s="15">
        <f>IFERROR(__xludf.DUMMYFUNCTION("""COMPUTED_VALUE"""),2056.0)</f>
        <v>2056</v>
      </c>
      <c r="F34" s="15">
        <f>IFERROR(__xludf.DUMMYFUNCTION("""COMPUTED_VALUE"""),2767.0)</f>
        <v>2767</v>
      </c>
      <c r="G34" s="15">
        <f>IFERROR(__xludf.DUMMYFUNCTION("""COMPUTED_VALUE"""),325.0)</f>
        <v>325</v>
      </c>
      <c r="H34" s="61">
        <f>IFERROR(__xludf.DUMMYFUNCTION("""COMPUTED_VALUE"""),3176.0)</f>
        <v>3176</v>
      </c>
      <c r="N34" s="209" t="str">
        <f t="shared" si="1"/>
        <v>4143,1732,1339,2056,2767,325</v>
      </c>
      <c r="O34" s="210"/>
      <c r="P34" s="210"/>
      <c r="W34" s="15">
        <f t="shared" si="2"/>
        <v>0</v>
      </c>
      <c r="X34" s="15" t="str">
        <f t="shared" si="8"/>
        <v/>
      </c>
      <c r="Y34" s="15" t="str">
        <f t="shared" si="3"/>
        <v/>
      </c>
      <c r="Z34" s="15" t="str">
        <f t="shared" si="4"/>
        <v/>
      </c>
      <c r="AA34" s="15" t="str">
        <f t="shared" si="5"/>
        <v/>
      </c>
      <c r="AB34" s="15" t="str">
        <f t="shared" si="6"/>
        <v/>
      </c>
      <c r="AC34" s="15" t="str">
        <f t="shared" si="7"/>
        <v/>
      </c>
      <c r="AD34" s="15"/>
      <c r="AE34" s="15" t="str">
        <f>IFERROR(__xludf.DUMMYFUNCTION("""COMPUTED_VALUE"""),"Quals 10")</f>
        <v>Quals 10</v>
      </c>
      <c r="AF34" s="15">
        <f>IFERROR(__xludf.DUMMYFUNCTION("""COMPUTED_VALUE"""),195.0)</f>
        <v>195</v>
      </c>
      <c r="AG34" s="15"/>
      <c r="AH34" s="15"/>
      <c r="AI34" s="15"/>
      <c r="AJ34" s="15">
        <f>IFERROR(__xludf.DUMMYFUNCTION("""COMPUTED_VALUE"""),325.0)</f>
        <v>325</v>
      </c>
      <c r="AK34" s="15"/>
      <c r="AL34" s="15"/>
      <c r="AM34" s="15"/>
      <c r="AN34" s="15">
        <f>IFERROR(__xludf.DUMMYFUNCTION("""COMPUTED_VALUE"""),1339.0)</f>
        <v>1339</v>
      </c>
      <c r="AO34" s="15"/>
      <c r="AP34" s="15"/>
      <c r="AQ34" s="15"/>
      <c r="AR34" s="15">
        <f>IFERROR(__xludf.DUMMYFUNCTION("""COMPUTED_VALUE"""),104.0)</f>
        <v>104</v>
      </c>
      <c r="AS34" s="15"/>
    </row>
    <row r="35">
      <c r="A35" s="73">
        <v>34.0</v>
      </c>
      <c r="B35" s="15">
        <f>IFERROR(__xludf.DUMMYFUNCTION("""COMPUTED_VALUE"""),624.0)</f>
        <v>624</v>
      </c>
      <c r="C35" s="15">
        <f>IFERROR(__xludf.DUMMYFUNCTION("""COMPUTED_VALUE"""),5406.0)</f>
        <v>5406</v>
      </c>
      <c r="D35" s="15">
        <f>IFERROR(__xludf.DUMMYFUNCTION("""COMPUTED_VALUE"""),4926.0)</f>
        <v>4926</v>
      </c>
      <c r="E35" s="15">
        <f>IFERROR(__xludf.DUMMYFUNCTION("""COMPUTED_VALUE"""),5484.0)</f>
        <v>5484</v>
      </c>
      <c r="F35" s="15">
        <f>IFERROR(__xludf.DUMMYFUNCTION("""COMPUTED_VALUE"""),2363.0)</f>
        <v>2363</v>
      </c>
      <c r="G35" s="15">
        <f>IFERROR(__xludf.DUMMYFUNCTION("""COMPUTED_VALUE"""),180.0)</f>
        <v>180</v>
      </c>
      <c r="H35" s="61">
        <f>IFERROR(__xludf.DUMMYFUNCTION("""COMPUTED_VALUE"""),3357.0)</f>
        <v>3357</v>
      </c>
      <c r="N35" s="209" t="str">
        <f t="shared" si="1"/>
        <v>624,5406,4926,5484,2363,180</v>
      </c>
      <c r="O35" s="210"/>
      <c r="P35" s="210"/>
      <c r="W35" s="15">
        <f t="shared" si="2"/>
        <v>1</v>
      </c>
      <c r="X35" s="15" t="str">
        <f t="shared" si="8"/>
        <v/>
      </c>
      <c r="Y35" s="15" t="str">
        <f t="shared" si="3"/>
        <v/>
      </c>
      <c r="Z35" s="15" t="str">
        <f t="shared" si="4"/>
        <v/>
      </c>
      <c r="AA35" s="15" t="str">
        <f t="shared" si="5"/>
        <v/>
      </c>
      <c r="AB35" s="15" t="str">
        <f t="shared" si="6"/>
        <v/>
      </c>
      <c r="AC35" s="15" t="str">
        <f t="shared" si="7"/>
        <v/>
      </c>
      <c r="AD35" s="15"/>
      <c r="AE35" s="15"/>
      <c r="AF35" s="15">
        <f>IFERROR(__xludf.DUMMYFUNCTION("""COMPUTED_VALUE"""),1720.0)</f>
        <v>1720</v>
      </c>
      <c r="AG35" s="15"/>
      <c r="AH35" s="15"/>
      <c r="AI35" s="15"/>
      <c r="AJ35" s="15">
        <f>IFERROR(__xludf.DUMMYFUNCTION("""COMPUTED_VALUE"""),624.0)</f>
        <v>624</v>
      </c>
      <c r="AK35" s="15"/>
      <c r="AL35" s="15"/>
      <c r="AM35" s="15"/>
      <c r="AN35" s="15">
        <f>IFERROR(__xludf.DUMMYFUNCTION("""COMPUTED_VALUE"""),4265.0)</f>
        <v>4265</v>
      </c>
      <c r="AO35" s="15"/>
      <c r="AP35" s="15"/>
      <c r="AQ35" s="15"/>
      <c r="AR35" s="15">
        <f>IFERROR(__xludf.DUMMYFUNCTION("""COMPUTED_VALUE"""),85.0)</f>
        <v>85</v>
      </c>
      <c r="AS35" s="15"/>
    </row>
    <row r="36">
      <c r="A36" s="73">
        <v>35.0</v>
      </c>
      <c r="B36" s="15">
        <f>IFERROR(__xludf.DUMMYFUNCTION("""COMPUTED_VALUE"""),1023.0)</f>
        <v>1023</v>
      </c>
      <c r="C36" s="15">
        <f>IFERROR(__xludf.DUMMYFUNCTION("""COMPUTED_VALUE"""),3940.0)</f>
        <v>3940</v>
      </c>
      <c r="D36" s="15">
        <f>IFERROR(__xludf.DUMMYFUNCTION("""COMPUTED_VALUE"""),340.0)</f>
        <v>340</v>
      </c>
      <c r="E36" s="15">
        <f>IFERROR(__xludf.DUMMYFUNCTION("""COMPUTED_VALUE"""),33.0)</f>
        <v>33</v>
      </c>
      <c r="F36" s="15">
        <f>IFERROR(__xludf.DUMMYFUNCTION("""COMPUTED_VALUE"""),1533.0)</f>
        <v>1533</v>
      </c>
      <c r="G36" s="15">
        <f>IFERROR(__xludf.DUMMYFUNCTION("""COMPUTED_VALUE"""),4099.0)</f>
        <v>4099</v>
      </c>
      <c r="H36" s="61">
        <f>IFERROR(__xludf.DUMMYFUNCTION("""COMPUTED_VALUE"""),3538.0)</f>
        <v>3538</v>
      </c>
      <c r="N36" s="209" t="str">
        <f t="shared" si="1"/>
        <v>1023,3940,340,33,1533,4099</v>
      </c>
      <c r="O36" s="210"/>
      <c r="P36" s="210"/>
      <c r="W36" s="15">
        <f t="shared" si="2"/>
        <v>2</v>
      </c>
      <c r="X36" s="15">
        <f t="shared" si="8"/>
        <v>1533</v>
      </c>
      <c r="Y36" s="15">
        <f t="shared" si="3"/>
        <v>4143</v>
      </c>
      <c r="Z36" s="15">
        <f t="shared" si="4"/>
        <v>3176</v>
      </c>
      <c r="AA36" s="15">
        <f t="shared" si="5"/>
        <v>5712</v>
      </c>
      <c r="AB36" s="15">
        <f t="shared" si="6"/>
        <v>4926</v>
      </c>
      <c r="AC36" s="15">
        <f t="shared" si="7"/>
        <v>7457</v>
      </c>
      <c r="AD36" s="15"/>
      <c r="AE36" s="15" t="str">
        <f>IFERROR(__xludf.DUMMYFUNCTION("""COMPUTED_VALUE"""),"Quals 11")</f>
        <v>Quals 11</v>
      </c>
      <c r="AF36" s="15">
        <f>IFERROR(__xludf.DUMMYFUNCTION("""COMPUTED_VALUE"""),1533.0)</f>
        <v>1533</v>
      </c>
      <c r="AG36" s="15"/>
      <c r="AH36" s="15">
        <f>IFERROR(__xludf.DUMMYFUNCTION("""COMPUTED_VALUE"""),4143.0)</f>
        <v>4143</v>
      </c>
      <c r="AI36" s="15"/>
      <c r="AJ36" s="15">
        <f>IFERROR(__xludf.DUMMYFUNCTION("""COMPUTED_VALUE"""),3176.0)</f>
        <v>3176</v>
      </c>
      <c r="AK36" s="15"/>
      <c r="AL36" s="15">
        <f>IFERROR(__xludf.DUMMYFUNCTION("""COMPUTED_VALUE"""),5712.0)</f>
        <v>5712</v>
      </c>
      <c r="AM36" s="15"/>
      <c r="AN36" s="15">
        <f>IFERROR(__xludf.DUMMYFUNCTION("""COMPUTED_VALUE"""),4926.0)</f>
        <v>4926</v>
      </c>
      <c r="AO36" s="15"/>
      <c r="AP36" s="15">
        <f>IFERROR(__xludf.DUMMYFUNCTION("""COMPUTED_VALUE"""),7457.0)</f>
        <v>7457</v>
      </c>
      <c r="AQ36" s="15"/>
      <c r="AR36" s="15">
        <f>IFERROR(__xludf.DUMMYFUNCTION("""COMPUTED_VALUE"""),118.0)</f>
        <v>118</v>
      </c>
      <c r="AS36" s="15">
        <f>IFERROR(__xludf.DUMMYFUNCTION("""COMPUTED_VALUE"""),124.0)</f>
        <v>124</v>
      </c>
    </row>
    <row r="37">
      <c r="A37" s="73">
        <v>36.0</v>
      </c>
      <c r="B37" s="15">
        <f>IFERROR(__xludf.DUMMYFUNCTION("""COMPUTED_VALUE"""),694.0)</f>
        <v>694</v>
      </c>
      <c r="C37" s="15">
        <f>IFERROR(__xludf.DUMMYFUNCTION("""COMPUTED_VALUE"""),2468.0)</f>
        <v>2468</v>
      </c>
      <c r="D37" s="15">
        <f>IFERROR(__xludf.DUMMYFUNCTION("""COMPUTED_VALUE"""),118.0)</f>
        <v>118</v>
      </c>
      <c r="E37" s="15">
        <f>IFERROR(__xludf.DUMMYFUNCTION("""COMPUTED_VALUE"""),1987.0)</f>
        <v>1987</v>
      </c>
      <c r="F37" s="15">
        <f>IFERROR(__xludf.DUMMYFUNCTION("""COMPUTED_VALUE"""),7457.0)</f>
        <v>7457</v>
      </c>
      <c r="G37" s="15">
        <f>IFERROR(__xludf.DUMMYFUNCTION("""COMPUTED_VALUE"""),1720.0)</f>
        <v>1720</v>
      </c>
      <c r="H37" s="61">
        <f>IFERROR(__xludf.DUMMYFUNCTION("""COMPUTED_VALUE"""),3940.0)</f>
        <v>3940</v>
      </c>
      <c r="N37" s="209" t="str">
        <f t="shared" si="1"/>
        <v>694,2468,118,1987,7457,1720</v>
      </c>
      <c r="O37" s="210"/>
      <c r="P37" s="210"/>
      <c r="W37" s="15">
        <f t="shared" si="2"/>
        <v>0</v>
      </c>
      <c r="X37" s="15" t="str">
        <f t="shared" si="8"/>
        <v/>
      </c>
      <c r="Y37" s="15" t="str">
        <f t="shared" si="3"/>
        <v/>
      </c>
      <c r="Z37" s="15" t="str">
        <f t="shared" si="4"/>
        <v/>
      </c>
      <c r="AA37" s="15" t="str">
        <f t="shared" si="5"/>
        <v/>
      </c>
      <c r="AB37" s="15" t="str">
        <f t="shared" si="6"/>
        <v/>
      </c>
      <c r="AC37" s="15" t="str">
        <f t="shared" si="7"/>
        <v/>
      </c>
      <c r="AD37" s="15"/>
      <c r="AE37" s="15" t="str">
        <f>IFERROR(__xludf.DUMMYFUNCTION("""COMPUTED_VALUE"""),"Quals 11")</f>
        <v>Quals 11</v>
      </c>
      <c r="AF37" s="15">
        <f>IFERROR(__xludf.DUMMYFUNCTION("""COMPUTED_VALUE"""),1533.0)</f>
        <v>1533</v>
      </c>
      <c r="AG37" s="15"/>
      <c r="AH37" s="15"/>
      <c r="AI37" s="15"/>
      <c r="AJ37" s="15">
        <f>IFERROR(__xludf.DUMMYFUNCTION("""COMPUTED_VALUE"""),4143.0)</f>
        <v>4143</v>
      </c>
      <c r="AK37" s="15"/>
      <c r="AL37" s="15"/>
      <c r="AM37" s="15"/>
      <c r="AN37" s="15">
        <f>IFERROR(__xludf.DUMMYFUNCTION("""COMPUTED_VALUE"""),3176.0)</f>
        <v>3176</v>
      </c>
      <c r="AO37" s="15"/>
      <c r="AP37" s="15"/>
      <c r="AQ37" s="15"/>
      <c r="AR37" s="15">
        <f>IFERROR(__xludf.DUMMYFUNCTION("""COMPUTED_VALUE"""),118.0)</f>
        <v>118</v>
      </c>
      <c r="AS37" s="15"/>
    </row>
    <row r="38">
      <c r="A38" s="73">
        <v>37.0</v>
      </c>
      <c r="B38" s="15">
        <f>IFERROR(__xludf.DUMMYFUNCTION("""COMPUTED_VALUE"""),234.0)</f>
        <v>234</v>
      </c>
      <c r="C38" s="15">
        <f>IFERROR(__xludf.DUMMYFUNCTION("""COMPUTED_VALUE"""),3176.0)</f>
        <v>3176</v>
      </c>
      <c r="D38" s="15">
        <f>IFERROR(__xludf.DUMMYFUNCTION("""COMPUTED_VALUE"""),2614.0)</f>
        <v>2614</v>
      </c>
      <c r="E38" s="15">
        <f>IFERROR(__xludf.DUMMYFUNCTION("""COMPUTED_VALUE"""),67.0)</f>
        <v>67</v>
      </c>
      <c r="F38" s="15">
        <f>IFERROR(__xludf.DUMMYFUNCTION("""COMPUTED_VALUE"""),587.0)</f>
        <v>587</v>
      </c>
      <c r="G38" s="15">
        <f>IFERROR(__xludf.DUMMYFUNCTION("""COMPUTED_VALUE"""),3357.0)</f>
        <v>3357</v>
      </c>
      <c r="H38" s="61">
        <f>IFERROR(__xludf.DUMMYFUNCTION("""COMPUTED_VALUE"""),4028.0)</f>
        <v>4028</v>
      </c>
      <c r="N38" s="209" t="str">
        <f t="shared" si="1"/>
        <v>234,3176,2614,67,587,3357</v>
      </c>
      <c r="O38" s="210"/>
      <c r="P38" s="210"/>
      <c r="W38" s="15">
        <f t="shared" si="2"/>
        <v>1</v>
      </c>
      <c r="X38" s="15" t="str">
        <f t="shared" si="8"/>
        <v/>
      </c>
      <c r="Y38" s="15" t="str">
        <f t="shared" si="3"/>
        <v/>
      </c>
      <c r="Z38" s="15" t="str">
        <f t="shared" si="4"/>
        <v/>
      </c>
      <c r="AA38" s="15" t="str">
        <f t="shared" si="5"/>
        <v/>
      </c>
      <c r="AB38" s="15" t="str">
        <f t="shared" si="6"/>
        <v/>
      </c>
      <c r="AC38" s="15" t="str">
        <f t="shared" si="7"/>
        <v/>
      </c>
      <c r="AD38" s="15"/>
      <c r="AE38" s="15"/>
      <c r="AF38" s="15">
        <f>IFERROR(__xludf.DUMMYFUNCTION("""COMPUTED_VALUE"""),5712.0)</f>
        <v>5712</v>
      </c>
      <c r="AG38" s="15"/>
      <c r="AH38" s="15"/>
      <c r="AI38" s="15"/>
      <c r="AJ38" s="15">
        <f>IFERROR(__xludf.DUMMYFUNCTION("""COMPUTED_VALUE"""),4926.0)</f>
        <v>4926</v>
      </c>
      <c r="AK38" s="15"/>
      <c r="AL38" s="15"/>
      <c r="AM38" s="15"/>
      <c r="AN38" s="15">
        <f>IFERROR(__xludf.DUMMYFUNCTION("""COMPUTED_VALUE"""),7457.0)</f>
        <v>7457</v>
      </c>
      <c r="AO38" s="15"/>
      <c r="AP38" s="15"/>
      <c r="AQ38" s="15"/>
      <c r="AR38" s="15">
        <f>IFERROR(__xludf.DUMMYFUNCTION("""COMPUTED_VALUE"""),124.0)</f>
        <v>124</v>
      </c>
      <c r="AS38" s="15"/>
    </row>
    <row r="39">
      <c r="A39" s="73">
        <v>38.0</v>
      </c>
      <c r="B39" s="15">
        <f>IFERROR(__xludf.DUMMYFUNCTION("""COMPUTED_VALUE"""),5010.0)</f>
        <v>5010</v>
      </c>
      <c r="C39" s="15">
        <f>IFERROR(__xludf.DUMMYFUNCTION("""COMPUTED_VALUE"""),829.0)</f>
        <v>829</v>
      </c>
      <c r="D39" s="15">
        <f>IFERROR(__xludf.DUMMYFUNCTION("""COMPUTED_VALUE"""),27.0)</f>
        <v>27</v>
      </c>
      <c r="E39" s="15">
        <f>IFERROR(__xludf.DUMMYFUNCTION("""COMPUTED_VALUE"""),4028.0)</f>
        <v>4028</v>
      </c>
      <c r="F39" s="15">
        <f>IFERROR(__xludf.DUMMYFUNCTION("""COMPUTED_VALUE"""),195.0)</f>
        <v>195</v>
      </c>
      <c r="G39" s="15">
        <f>IFERROR(__xludf.DUMMYFUNCTION("""COMPUTED_VALUE"""),4635.0)</f>
        <v>4635</v>
      </c>
      <c r="H39" s="61">
        <f>IFERROR(__xludf.DUMMYFUNCTION("""COMPUTED_VALUE"""),4099.0)</f>
        <v>4099</v>
      </c>
      <c r="N39" s="209" t="str">
        <f t="shared" si="1"/>
        <v>5010,829,27,4028,195,4635</v>
      </c>
      <c r="O39" s="210"/>
      <c r="P39" s="210"/>
      <c r="W39" s="15">
        <f t="shared" si="2"/>
        <v>2</v>
      </c>
      <c r="X39" s="15">
        <f t="shared" si="8"/>
        <v>4499</v>
      </c>
      <c r="Y39" s="15">
        <f t="shared" si="3"/>
        <v>2767</v>
      </c>
      <c r="Z39" s="15">
        <f t="shared" si="4"/>
        <v>2468</v>
      </c>
      <c r="AA39" s="15">
        <f t="shared" si="5"/>
        <v>5484</v>
      </c>
      <c r="AB39" s="15">
        <f t="shared" si="6"/>
        <v>694</v>
      </c>
      <c r="AC39" s="15">
        <f t="shared" si="7"/>
        <v>829</v>
      </c>
      <c r="AD39" s="15"/>
      <c r="AE39" s="15" t="str">
        <f>IFERROR(__xludf.DUMMYFUNCTION("""COMPUTED_VALUE"""),"Quals 12")</f>
        <v>Quals 12</v>
      </c>
      <c r="AF39" s="15">
        <f>IFERROR(__xludf.DUMMYFUNCTION("""COMPUTED_VALUE"""),4499.0)</f>
        <v>4499</v>
      </c>
      <c r="AG39" s="15"/>
      <c r="AH39" s="15">
        <f>IFERROR(__xludf.DUMMYFUNCTION("""COMPUTED_VALUE"""),2767.0)</f>
        <v>2767</v>
      </c>
      <c r="AI39" s="15"/>
      <c r="AJ39" s="15">
        <f>IFERROR(__xludf.DUMMYFUNCTION("""COMPUTED_VALUE"""),2468.0)</f>
        <v>2468</v>
      </c>
      <c r="AK39" s="15"/>
      <c r="AL39" s="15">
        <f>IFERROR(__xludf.DUMMYFUNCTION("""COMPUTED_VALUE"""),5484.0)</f>
        <v>5484</v>
      </c>
      <c r="AM39" s="15"/>
      <c r="AN39" s="15">
        <f>IFERROR(__xludf.DUMMYFUNCTION("""COMPUTED_VALUE"""),694.0)</f>
        <v>694</v>
      </c>
      <c r="AO39" s="15"/>
      <c r="AP39" s="15">
        <f>IFERROR(__xludf.DUMMYFUNCTION("""COMPUTED_VALUE"""),829.0)</f>
        <v>829</v>
      </c>
      <c r="AQ39" s="15"/>
      <c r="AR39" s="15">
        <f>IFERROR(__xludf.DUMMYFUNCTION("""COMPUTED_VALUE"""),143.0)</f>
        <v>143</v>
      </c>
      <c r="AS39" s="15">
        <f>IFERROR(__xludf.DUMMYFUNCTION("""COMPUTED_VALUE"""),109.0)</f>
        <v>109</v>
      </c>
    </row>
    <row r="40">
      <c r="A40" s="73">
        <v>39.0</v>
      </c>
      <c r="B40" s="15">
        <f>IFERROR(__xludf.DUMMYFUNCTION("""COMPUTED_VALUE"""),1706.0)</f>
        <v>1706</v>
      </c>
      <c r="C40" s="15">
        <f>IFERROR(__xludf.DUMMYFUNCTION("""COMPUTED_VALUE"""),3175.0)</f>
        <v>3175</v>
      </c>
      <c r="D40" s="15">
        <f>IFERROR(__xludf.DUMMYFUNCTION("""COMPUTED_VALUE"""),3538.0)</f>
        <v>3538</v>
      </c>
      <c r="E40" s="15">
        <f>IFERROR(__xludf.DUMMYFUNCTION("""COMPUTED_VALUE"""),2075.0)</f>
        <v>2075</v>
      </c>
      <c r="F40" s="15">
        <f>IFERROR(__xludf.DUMMYFUNCTION("""COMPUTED_VALUE"""),4265.0)</f>
        <v>4265</v>
      </c>
      <c r="G40" s="15">
        <f>IFERROR(__xludf.DUMMYFUNCTION("""COMPUTED_VALUE"""),1024.0)</f>
        <v>1024</v>
      </c>
      <c r="H40" s="61">
        <f>IFERROR(__xludf.DUMMYFUNCTION("""COMPUTED_VALUE"""),4143.0)</f>
        <v>4143</v>
      </c>
      <c r="N40" s="209" t="str">
        <f t="shared" si="1"/>
        <v>1706,3175,3538,2075,4265,1024</v>
      </c>
      <c r="O40" s="210"/>
      <c r="P40" s="210"/>
      <c r="W40" s="15">
        <f t="shared" si="2"/>
        <v>0</v>
      </c>
      <c r="X40" s="15" t="str">
        <f t="shared" si="8"/>
        <v/>
      </c>
      <c r="Y40" s="15" t="str">
        <f t="shared" si="3"/>
        <v/>
      </c>
      <c r="Z40" s="15" t="str">
        <f t="shared" si="4"/>
        <v/>
      </c>
      <c r="AA40" s="15" t="str">
        <f t="shared" si="5"/>
        <v/>
      </c>
      <c r="AB40" s="15" t="str">
        <f t="shared" si="6"/>
        <v/>
      </c>
      <c r="AC40" s="15" t="str">
        <f t="shared" si="7"/>
        <v/>
      </c>
      <c r="AD40" s="15"/>
      <c r="AE40" s="15" t="str">
        <f>IFERROR(__xludf.DUMMYFUNCTION("""COMPUTED_VALUE"""),"Quals 12")</f>
        <v>Quals 12</v>
      </c>
      <c r="AF40" s="15">
        <f>IFERROR(__xludf.DUMMYFUNCTION("""COMPUTED_VALUE"""),4499.0)</f>
        <v>4499</v>
      </c>
      <c r="AG40" s="15"/>
      <c r="AH40" s="15"/>
      <c r="AI40" s="15"/>
      <c r="AJ40" s="15">
        <f>IFERROR(__xludf.DUMMYFUNCTION("""COMPUTED_VALUE"""),2767.0)</f>
        <v>2767</v>
      </c>
      <c r="AK40" s="15"/>
      <c r="AL40" s="15"/>
      <c r="AM40" s="15"/>
      <c r="AN40" s="15">
        <f>IFERROR(__xludf.DUMMYFUNCTION("""COMPUTED_VALUE"""),2468.0)</f>
        <v>2468</v>
      </c>
      <c r="AO40" s="15"/>
      <c r="AP40" s="15"/>
      <c r="AQ40" s="15"/>
      <c r="AR40" s="15">
        <f>IFERROR(__xludf.DUMMYFUNCTION("""COMPUTED_VALUE"""),143.0)</f>
        <v>143</v>
      </c>
      <c r="AS40" s="15"/>
    </row>
    <row r="41">
      <c r="A41" s="73">
        <v>40.0</v>
      </c>
      <c r="B41" s="15">
        <f>IFERROR(__xludf.DUMMYFUNCTION("""COMPUTED_VALUE"""),5712.0)</f>
        <v>5712</v>
      </c>
      <c r="C41" s="15">
        <f>IFERROR(__xludf.DUMMYFUNCTION("""COMPUTED_VALUE"""),1730.0)</f>
        <v>1730</v>
      </c>
      <c r="D41" s="15">
        <f>IFERROR(__xludf.DUMMYFUNCTION("""COMPUTED_VALUE"""),4499.0)</f>
        <v>4499</v>
      </c>
      <c r="E41" s="15">
        <f>IFERROR(__xludf.DUMMYFUNCTION("""COMPUTED_VALUE"""),2539.0)</f>
        <v>2539</v>
      </c>
      <c r="F41" s="15">
        <f>IFERROR(__xludf.DUMMYFUNCTION("""COMPUTED_VALUE"""),503.0)</f>
        <v>503</v>
      </c>
      <c r="G41" s="15">
        <f>IFERROR(__xludf.DUMMYFUNCTION("""COMPUTED_VALUE"""),2338.0)</f>
        <v>2338</v>
      </c>
      <c r="H41" s="61">
        <f>IFERROR(__xludf.DUMMYFUNCTION("""COMPUTED_VALUE"""),4265.0)</f>
        <v>4265</v>
      </c>
      <c r="N41" s="209" t="str">
        <f t="shared" si="1"/>
        <v>5712,1730,4499,2539,503,2338</v>
      </c>
      <c r="O41" s="210"/>
      <c r="P41" s="210"/>
      <c r="W41" s="15">
        <f t="shared" si="2"/>
        <v>1</v>
      </c>
      <c r="X41" s="15" t="str">
        <f t="shared" si="8"/>
        <v/>
      </c>
      <c r="Y41" s="15" t="str">
        <f t="shared" si="3"/>
        <v/>
      </c>
      <c r="Z41" s="15" t="str">
        <f t="shared" si="4"/>
        <v/>
      </c>
      <c r="AA41" s="15" t="str">
        <f t="shared" si="5"/>
        <v/>
      </c>
      <c r="AB41" s="15" t="str">
        <f t="shared" si="6"/>
        <v/>
      </c>
      <c r="AC41" s="15" t="str">
        <f t="shared" si="7"/>
        <v/>
      </c>
      <c r="AD41" s="15"/>
      <c r="AE41" s="15"/>
      <c r="AF41" s="15">
        <f>IFERROR(__xludf.DUMMYFUNCTION("""COMPUTED_VALUE"""),5484.0)</f>
        <v>5484</v>
      </c>
      <c r="AG41" s="15"/>
      <c r="AH41" s="15"/>
      <c r="AI41" s="15"/>
      <c r="AJ41" s="15">
        <f>IFERROR(__xludf.DUMMYFUNCTION("""COMPUTED_VALUE"""),694.0)</f>
        <v>694</v>
      </c>
      <c r="AK41" s="15"/>
      <c r="AL41" s="15"/>
      <c r="AM41" s="15"/>
      <c r="AN41" s="15">
        <f>IFERROR(__xludf.DUMMYFUNCTION("""COMPUTED_VALUE"""),829.0)</f>
        <v>829</v>
      </c>
      <c r="AO41" s="15"/>
      <c r="AP41" s="15"/>
      <c r="AQ41" s="15"/>
      <c r="AR41" s="15">
        <f>IFERROR(__xludf.DUMMYFUNCTION("""COMPUTED_VALUE"""),109.0)</f>
        <v>109</v>
      </c>
      <c r="AS41" s="15"/>
    </row>
    <row r="42">
      <c r="A42" s="73">
        <v>41.0</v>
      </c>
      <c r="B42" s="15">
        <f>IFERROR(__xludf.DUMMYFUNCTION("""COMPUTED_VALUE"""),340.0)</f>
        <v>340</v>
      </c>
      <c r="C42" s="15">
        <f>IFERROR(__xludf.DUMMYFUNCTION("""COMPUTED_VALUE"""),5484.0)</f>
        <v>5484</v>
      </c>
      <c r="D42" s="15">
        <f>IFERROR(__xludf.DUMMYFUNCTION("""COMPUTED_VALUE"""),325.0)</f>
        <v>325</v>
      </c>
      <c r="E42" s="15">
        <f>IFERROR(__xludf.DUMMYFUNCTION("""COMPUTED_VALUE"""),3940.0)</f>
        <v>3940</v>
      </c>
      <c r="F42" s="15">
        <f>IFERROR(__xludf.DUMMYFUNCTION("""COMPUTED_VALUE"""),118.0)</f>
        <v>118</v>
      </c>
      <c r="G42" s="15">
        <f>IFERROR(__xludf.DUMMYFUNCTION("""COMPUTED_VALUE"""),1987.0)</f>
        <v>1987</v>
      </c>
      <c r="H42" s="61">
        <f>IFERROR(__xludf.DUMMYFUNCTION("""COMPUTED_VALUE"""),4499.0)</f>
        <v>4499</v>
      </c>
      <c r="N42" s="209" t="str">
        <f t="shared" si="1"/>
        <v>340,5484,325,3940,118,1987</v>
      </c>
      <c r="O42" s="210"/>
      <c r="P42" s="210"/>
      <c r="W42" s="15">
        <f t="shared" si="2"/>
        <v>2</v>
      </c>
      <c r="X42" s="15">
        <f t="shared" si="8"/>
        <v>118</v>
      </c>
      <c r="Y42" s="15">
        <f t="shared" si="3"/>
        <v>2075</v>
      </c>
      <c r="Z42" s="15">
        <f t="shared" si="4"/>
        <v>3357</v>
      </c>
      <c r="AA42" s="15">
        <f t="shared" si="5"/>
        <v>1730</v>
      </c>
      <c r="AB42" s="15">
        <f t="shared" si="6"/>
        <v>5406</v>
      </c>
      <c r="AC42" s="15">
        <f t="shared" si="7"/>
        <v>67</v>
      </c>
      <c r="AD42" s="15"/>
      <c r="AE42" s="15" t="str">
        <f>IFERROR(__xludf.DUMMYFUNCTION("""COMPUTED_VALUE"""),"Quals 13")</f>
        <v>Quals 13</v>
      </c>
      <c r="AF42" s="15">
        <f>IFERROR(__xludf.DUMMYFUNCTION("""COMPUTED_VALUE"""),118.0)</f>
        <v>118</v>
      </c>
      <c r="AG42" s="15"/>
      <c r="AH42" s="15">
        <f>IFERROR(__xludf.DUMMYFUNCTION("""COMPUTED_VALUE"""),2075.0)</f>
        <v>2075</v>
      </c>
      <c r="AI42" s="15"/>
      <c r="AJ42" s="15">
        <f>IFERROR(__xludf.DUMMYFUNCTION("""COMPUTED_VALUE"""),3357.0)</f>
        <v>3357</v>
      </c>
      <c r="AK42" s="15"/>
      <c r="AL42" s="15">
        <f>IFERROR(__xludf.DUMMYFUNCTION("""COMPUTED_VALUE"""),1730.0)</f>
        <v>1730</v>
      </c>
      <c r="AM42" s="15"/>
      <c r="AN42" s="15">
        <f>IFERROR(__xludf.DUMMYFUNCTION("""COMPUTED_VALUE"""),5406.0)</f>
        <v>5406</v>
      </c>
      <c r="AO42" s="15"/>
      <c r="AP42" s="15">
        <f>IFERROR(__xludf.DUMMYFUNCTION("""COMPUTED_VALUE"""),67.0)</f>
        <v>67</v>
      </c>
      <c r="AQ42" s="15"/>
      <c r="AR42" s="15">
        <f>IFERROR(__xludf.DUMMYFUNCTION("""COMPUTED_VALUE"""),150.0)</f>
        <v>150</v>
      </c>
      <c r="AS42" s="15">
        <f>IFERROR(__xludf.DUMMYFUNCTION("""COMPUTED_VALUE"""),134.0)</f>
        <v>134</v>
      </c>
    </row>
    <row r="43">
      <c r="A43" s="73">
        <v>42.0</v>
      </c>
      <c r="B43" s="15">
        <f>IFERROR(__xludf.DUMMYFUNCTION("""COMPUTED_VALUE"""),694.0)</f>
        <v>694</v>
      </c>
      <c r="C43" s="15">
        <f>IFERROR(__xludf.DUMMYFUNCTION("""COMPUTED_VALUE"""),4099.0)</f>
        <v>4099</v>
      </c>
      <c r="D43" s="15">
        <f>IFERROR(__xludf.DUMMYFUNCTION("""COMPUTED_VALUE"""),4143.0)</f>
        <v>4143</v>
      </c>
      <c r="E43" s="15">
        <f>IFERROR(__xludf.DUMMYFUNCTION("""COMPUTED_VALUE"""),5406.0)</f>
        <v>5406</v>
      </c>
      <c r="F43" s="15">
        <f>IFERROR(__xludf.DUMMYFUNCTION("""COMPUTED_VALUE"""),3357.0)</f>
        <v>3357</v>
      </c>
      <c r="G43" s="15">
        <f>IFERROR(__xludf.DUMMYFUNCTION("""COMPUTED_VALUE"""),1533.0)</f>
        <v>1533</v>
      </c>
      <c r="H43" s="61">
        <f>IFERROR(__xludf.DUMMYFUNCTION("""COMPUTED_VALUE"""),4635.0)</f>
        <v>4635</v>
      </c>
      <c r="N43" s="209" t="str">
        <f t="shared" si="1"/>
        <v>694,4099,4143,5406,3357,1533</v>
      </c>
      <c r="O43" s="210"/>
      <c r="P43" s="210"/>
      <c r="W43" s="15">
        <f t="shared" si="2"/>
        <v>0</v>
      </c>
      <c r="X43" s="15" t="str">
        <f t="shared" si="8"/>
        <v/>
      </c>
      <c r="Y43" s="15" t="str">
        <f t="shared" si="3"/>
        <v/>
      </c>
      <c r="Z43" s="15" t="str">
        <f t="shared" si="4"/>
        <v/>
      </c>
      <c r="AA43" s="15" t="str">
        <f t="shared" si="5"/>
        <v/>
      </c>
      <c r="AB43" s="15" t="str">
        <f t="shared" si="6"/>
        <v/>
      </c>
      <c r="AC43" s="15" t="str">
        <f t="shared" si="7"/>
        <v/>
      </c>
      <c r="AD43" s="15"/>
      <c r="AE43" s="15" t="str">
        <f>IFERROR(__xludf.DUMMYFUNCTION("""COMPUTED_VALUE"""),"Quals 13")</f>
        <v>Quals 13</v>
      </c>
      <c r="AF43" s="15">
        <f>IFERROR(__xludf.DUMMYFUNCTION("""COMPUTED_VALUE"""),118.0)</f>
        <v>118</v>
      </c>
      <c r="AG43" s="15"/>
      <c r="AH43" s="15"/>
      <c r="AI43" s="15"/>
      <c r="AJ43" s="15">
        <f>IFERROR(__xludf.DUMMYFUNCTION("""COMPUTED_VALUE"""),2075.0)</f>
        <v>2075</v>
      </c>
      <c r="AK43" s="15"/>
      <c r="AL43" s="15"/>
      <c r="AM43" s="15"/>
      <c r="AN43" s="15">
        <f>IFERROR(__xludf.DUMMYFUNCTION("""COMPUTED_VALUE"""),3357.0)</f>
        <v>3357</v>
      </c>
      <c r="AO43" s="15"/>
      <c r="AP43" s="15"/>
      <c r="AQ43" s="15"/>
      <c r="AR43" s="15">
        <f>IFERROR(__xludf.DUMMYFUNCTION("""COMPUTED_VALUE"""),150.0)</f>
        <v>150</v>
      </c>
      <c r="AS43" s="15"/>
    </row>
    <row r="44">
      <c r="A44" s="73">
        <v>43.0</v>
      </c>
      <c r="B44" s="15">
        <f>IFERROR(__xludf.DUMMYFUNCTION("""COMPUTED_VALUE"""),2468.0)</f>
        <v>2468</v>
      </c>
      <c r="C44" s="15">
        <f>IFERROR(__xludf.DUMMYFUNCTION("""COMPUTED_VALUE"""),180.0)</f>
        <v>180</v>
      </c>
      <c r="D44" s="15">
        <f>IFERROR(__xludf.DUMMYFUNCTION("""COMPUTED_VALUE"""),7457.0)</f>
        <v>7457</v>
      </c>
      <c r="E44" s="15">
        <f>IFERROR(__xludf.DUMMYFUNCTION("""COMPUTED_VALUE"""),1339.0)</f>
        <v>1339</v>
      </c>
      <c r="F44" s="15">
        <f>IFERROR(__xludf.DUMMYFUNCTION("""COMPUTED_VALUE"""),234.0)</f>
        <v>234</v>
      </c>
      <c r="G44" s="15">
        <f>IFERROR(__xludf.DUMMYFUNCTION("""COMPUTED_VALUE"""),1023.0)</f>
        <v>1023</v>
      </c>
      <c r="H44" s="61">
        <f>IFERROR(__xludf.DUMMYFUNCTION("""COMPUTED_VALUE"""),4926.0)</f>
        <v>4926</v>
      </c>
      <c r="N44" s="209" t="str">
        <f t="shared" si="1"/>
        <v>2468,180,7457,1339,234,1023</v>
      </c>
      <c r="O44" s="210"/>
      <c r="P44" s="210"/>
      <c r="W44" s="15">
        <f t="shared" si="2"/>
        <v>1</v>
      </c>
      <c r="X44" s="15" t="str">
        <f t="shared" si="8"/>
        <v/>
      </c>
      <c r="Y44" s="15" t="str">
        <f t="shared" si="3"/>
        <v/>
      </c>
      <c r="Z44" s="15" t="str">
        <f t="shared" si="4"/>
        <v/>
      </c>
      <c r="AA44" s="15" t="str">
        <f t="shared" si="5"/>
        <v/>
      </c>
      <c r="AB44" s="15" t="str">
        <f t="shared" si="6"/>
        <v/>
      </c>
      <c r="AC44" s="15" t="str">
        <f t="shared" si="7"/>
        <v/>
      </c>
      <c r="AD44" s="15"/>
      <c r="AE44" s="15"/>
      <c r="AF44" s="15">
        <f>IFERROR(__xludf.DUMMYFUNCTION("""COMPUTED_VALUE"""),1730.0)</f>
        <v>1730</v>
      </c>
      <c r="AG44" s="15"/>
      <c r="AH44" s="15"/>
      <c r="AI44" s="15"/>
      <c r="AJ44" s="15">
        <f>IFERROR(__xludf.DUMMYFUNCTION("""COMPUTED_VALUE"""),5406.0)</f>
        <v>5406</v>
      </c>
      <c r="AK44" s="15"/>
      <c r="AL44" s="15"/>
      <c r="AM44" s="15"/>
      <c r="AN44" s="15">
        <f>IFERROR(__xludf.DUMMYFUNCTION("""COMPUTED_VALUE"""),67.0)</f>
        <v>67</v>
      </c>
      <c r="AO44" s="15"/>
      <c r="AP44" s="15"/>
      <c r="AQ44" s="15"/>
      <c r="AR44" s="15">
        <f>IFERROR(__xludf.DUMMYFUNCTION("""COMPUTED_VALUE"""),134.0)</f>
        <v>134</v>
      </c>
      <c r="AS44" s="15"/>
    </row>
    <row r="45">
      <c r="A45" s="73">
        <v>44.0</v>
      </c>
      <c r="B45" s="15">
        <f>IFERROR(__xludf.DUMMYFUNCTION("""COMPUTED_VALUE"""),195.0)</f>
        <v>195</v>
      </c>
      <c r="C45" s="15">
        <f>IFERROR(__xludf.DUMMYFUNCTION("""COMPUTED_VALUE"""),3538.0)</f>
        <v>3538</v>
      </c>
      <c r="D45" s="15">
        <f>IFERROR(__xludf.DUMMYFUNCTION("""COMPUTED_VALUE"""),2075.0)</f>
        <v>2075</v>
      </c>
      <c r="E45" s="15">
        <f>IFERROR(__xludf.DUMMYFUNCTION("""COMPUTED_VALUE"""),2056.0)</f>
        <v>2056</v>
      </c>
      <c r="F45" s="15">
        <f>IFERROR(__xludf.DUMMYFUNCTION("""COMPUTED_VALUE"""),4028.0)</f>
        <v>4028</v>
      </c>
      <c r="G45" s="15">
        <f>IFERROR(__xludf.DUMMYFUNCTION("""COMPUTED_VALUE"""),587.0)</f>
        <v>587</v>
      </c>
      <c r="H45" s="61">
        <f>IFERROR(__xludf.DUMMYFUNCTION("""COMPUTED_VALUE"""),5010.0)</f>
        <v>5010</v>
      </c>
      <c r="N45" s="209" t="str">
        <f t="shared" si="1"/>
        <v>195,3538,2075,2056,4028,587</v>
      </c>
      <c r="O45" s="210"/>
      <c r="P45" s="210"/>
      <c r="W45" s="15">
        <f t="shared" si="2"/>
        <v>2</v>
      </c>
      <c r="X45" s="15">
        <f t="shared" si="8"/>
        <v>4635</v>
      </c>
      <c r="Y45" s="15">
        <f t="shared" si="3"/>
        <v>340</v>
      </c>
      <c r="Z45" s="15">
        <f t="shared" si="4"/>
        <v>234</v>
      </c>
      <c r="AA45" s="15">
        <f t="shared" si="5"/>
        <v>2614</v>
      </c>
      <c r="AB45" s="15">
        <f t="shared" si="6"/>
        <v>2056</v>
      </c>
      <c r="AC45" s="15">
        <f t="shared" si="7"/>
        <v>3175</v>
      </c>
      <c r="AD45" s="15"/>
      <c r="AE45" s="15" t="str">
        <f>IFERROR(__xludf.DUMMYFUNCTION("""COMPUTED_VALUE"""),"Quals 14")</f>
        <v>Quals 14</v>
      </c>
      <c r="AF45" s="15">
        <f>IFERROR(__xludf.DUMMYFUNCTION("""COMPUTED_VALUE"""),4635.0)</f>
        <v>4635</v>
      </c>
      <c r="AG45" s="15"/>
      <c r="AH45" s="15">
        <f>IFERROR(__xludf.DUMMYFUNCTION("""COMPUTED_VALUE"""),340.0)</f>
        <v>340</v>
      </c>
      <c r="AI45" s="15"/>
      <c r="AJ45" s="15">
        <f>IFERROR(__xludf.DUMMYFUNCTION("""COMPUTED_VALUE"""),234.0)</f>
        <v>234</v>
      </c>
      <c r="AK45" s="15"/>
      <c r="AL45" s="15">
        <f>IFERROR(__xludf.DUMMYFUNCTION("""COMPUTED_VALUE"""),2614.0)</f>
        <v>2614</v>
      </c>
      <c r="AM45" s="15"/>
      <c r="AN45" s="15">
        <f>IFERROR(__xludf.DUMMYFUNCTION("""COMPUTED_VALUE"""),2056.0)</f>
        <v>2056</v>
      </c>
      <c r="AO45" s="15"/>
      <c r="AP45" s="15">
        <f>IFERROR(__xludf.DUMMYFUNCTION("""COMPUTED_VALUE"""),3175.0)</f>
        <v>3175</v>
      </c>
      <c r="AQ45" s="15"/>
      <c r="AR45" s="15">
        <f>IFERROR(__xludf.DUMMYFUNCTION("""COMPUTED_VALUE"""),112.0)</f>
        <v>112</v>
      </c>
      <c r="AS45" s="15">
        <f>IFERROR(__xludf.DUMMYFUNCTION("""COMPUTED_VALUE"""),129.0)</f>
        <v>129</v>
      </c>
    </row>
    <row r="46">
      <c r="A46" s="73">
        <v>45.0</v>
      </c>
      <c r="B46" s="15">
        <f>IFERROR(__xludf.DUMMYFUNCTION("""COMPUTED_VALUE"""),1024.0)</f>
        <v>1024</v>
      </c>
      <c r="C46" s="15">
        <f>IFERROR(__xludf.DUMMYFUNCTION("""COMPUTED_VALUE"""),1730.0)</f>
        <v>1730</v>
      </c>
      <c r="D46" s="15">
        <f>IFERROR(__xludf.DUMMYFUNCTION("""COMPUTED_VALUE"""),1720.0)</f>
        <v>1720</v>
      </c>
      <c r="E46" s="15">
        <f>IFERROR(__xludf.DUMMYFUNCTION("""COMPUTED_VALUE"""),4635.0)</f>
        <v>4635</v>
      </c>
      <c r="F46" s="15">
        <f>IFERROR(__xludf.DUMMYFUNCTION("""COMPUTED_VALUE"""),27.0)</f>
        <v>27</v>
      </c>
      <c r="G46" s="15">
        <f>IFERROR(__xludf.DUMMYFUNCTION("""COMPUTED_VALUE"""),624.0)</f>
        <v>624</v>
      </c>
      <c r="H46" s="61">
        <f>IFERROR(__xludf.DUMMYFUNCTION("""COMPUTED_VALUE"""),5406.0)</f>
        <v>5406</v>
      </c>
      <c r="N46" s="209" t="str">
        <f t="shared" si="1"/>
        <v>1024,1730,1720,4635,27,624</v>
      </c>
      <c r="O46" s="210"/>
      <c r="P46" s="210"/>
      <c r="W46" s="15">
        <f t="shared" si="2"/>
        <v>0</v>
      </c>
      <c r="X46" s="15" t="str">
        <f t="shared" si="8"/>
        <v/>
      </c>
      <c r="Y46" s="15" t="str">
        <f t="shared" si="3"/>
        <v/>
      </c>
      <c r="Z46" s="15" t="str">
        <f t="shared" si="4"/>
        <v/>
      </c>
      <c r="AA46" s="15" t="str">
        <f t="shared" si="5"/>
        <v/>
      </c>
      <c r="AB46" s="15" t="str">
        <f t="shared" si="6"/>
        <v/>
      </c>
      <c r="AC46" s="15" t="str">
        <f t="shared" si="7"/>
        <v/>
      </c>
      <c r="AD46" s="15"/>
      <c r="AE46" s="15" t="str">
        <f>IFERROR(__xludf.DUMMYFUNCTION("""COMPUTED_VALUE"""),"Quals 14")</f>
        <v>Quals 14</v>
      </c>
      <c r="AF46" s="15">
        <f>IFERROR(__xludf.DUMMYFUNCTION("""COMPUTED_VALUE"""),4635.0)</f>
        <v>4635</v>
      </c>
      <c r="AG46" s="15"/>
      <c r="AH46" s="15"/>
      <c r="AI46" s="15"/>
      <c r="AJ46" s="15">
        <f>IFERROR(__xludf.DUMMYFUNCTION("""COMPUTED_VALUE"""),340.0)</f>
        <v>340</v>
      </c>
      <c r="AK46" s="15"/>
      <c r="AL46" s="15"/>
      <c r="AM46" s="15"/>
      <c r="AN46" s="15">
        <f>IFERROR(__xludf.DUMMYFUNCTION("""COMPUTED_VALUE"""),234.0)</f>
        <v>234</v>
      </c>
      <c r="AO46" s="15"/>
      <c r="AP46" s="15"/>
      <c r="AQ46" s="15"/>
      <c r="AR46" s="15">
        <f>IFERROR(__xludf.DUMMYFUNCTION("""COMPUTED_VALUE"""),112.0)</f>
        <v>112</v>
      </c>
      <c r="AS46" s="15"/>
    </row>
    <row r="47">
      <c r="A47" s="73">
        <v>46.0</v>
      </c>
      <c r="B47" s="15">
        <f>IFERROR(__xludf.DUMMYFUNCTION("""COMPUTED_VALUE"""),4926.0)</f>
        <v>4926</v>
      </c>
      <c r="C47" s="15">
        <f>IFERROR(__xludf.DUMMYFUNCTION("""COMPUTED_VALUE"""),67.0)</f>
        <v>67</v>
      </c>
      <c r="D47" s="15">
        <f>IFERROR(__xludf.DUMMYFUNCTION("""COMPUTED_VALUE"""),2338.0)</f>
        <v>2338</v>
      </c>
      <c r="E47" s="15">
        <f>IFERROR(__xludf.DUMMYFUNCTION("""COMPUTED_VALUE"""),4499.0)</f>
        <v>4499</v>
      </c>
      <c r="F47" s="15">
        <f>IFERROR(__xludf.DUMMYFUNCTION("""COMPUTED_VALUE"""),2539.0)</f>
        <v>2539</v>
      </c>
      <c r="G47" s="15">
        <f>IFERROR(__xludf.DUMMYFUNCTION("""COMPUTED_VALUE"""),1732.0)</f>
        <v>1732</v>
      </c>
      <c r="H47" s="61">
        <f>IFERROR(__xludf.DUMMYFUNCTION("""COMPUTED_VALUE"""),5484.0)</f>
        <v>5484</v>
      </c>
      <c r="N47" s="209" t="str">
        <f t="shared" si="1"/>
        <v>4926,67,2338,4499,2539,1732</v>
      </c>
      <c r="O47" s="210"/>
      <c r="P47" s="210"/>
      <c r="W47" s="15">
        <f t="shared" si="2"/>
        <v>1</v>
      </c>
      <c r="X47" s="15" t="str">
        <f t="shared" si="8"/>
        <v/>
      </c>
      <c r="Y47" s="15" t="str">
        <f t="shared" si="3"/>
        <v/>
      </c>
      <c r="Z47" s="15" t="str">
        <f t="shared" si="4"/>
        <v/>
      </c>
      <c r="AA47" s="15" t="str">
        <f t="shared" si="5"/>
        <v/>
      </c>
      <c r="AB47" s="15" t="str">
        <f t="shared" si="6"/>
        <v/>
      </c>
      <c r="AC47" s="15" t="str">
        <f t="shared" si="7"/>
        <v/>
      </c>
      <c r="AD47" s="15"/>
      <c r="AE47" s="15"/>
      <c r="AF47" s="15">
        <f>IFERROR(__xludf.DUMMYFUNCTION("""COMPUTED_VALUE"""),2614.0)</f>
        <v>2614</v>
      </c>
      <c r="AG47" s="15"/>
      <c r="AH47" s="15"/>
      <c r="AI47" s="15"/>
      <c r="AJ47" s="15">
        <f>IFERROR(__xludf.DUMMYFUNCTION("""COMPUTED_VALUE"""),2056.0)</f>
        <v>2056</v>
      </c>
      <c r="AK47" s="15"/>
      <c r="AL47" s="15"/>
      <c r="AM47" s="15"/>
      <c r="AN47" s="15">
        <f>IFERROR(__xludf.DUMMYFUNCTION("""COMPUTED_VALUE"""),3175.0)</f>
        <v>3175</v>
      </c>
      <c r="AO47" s="15"/>
      <c r="AP47" s="15"/>
      <c r="AQ47" s="15"/>
      <c r="AR47" s="15">
        <f>IFERROR(__xludf.DUMMYFUNCTION("""COMPUTED_VALUE"""),129.0)</f>
        <v>129</v>
      </c>
      <c r="AS47" s="15"/>
    </row>
    <row r="48">
      <c r="A48" s="73">
        <v>47.0</v>
      </c>
      <c r="B48" s="15">
        <f>IFERROR(__xludf.DUMMYFUNCTION("""COMPUTED_VALUE"""),503.0)</f>
        <v>503</v>
      </c>
      <c r="C48" s="15">
        <f>IFERROR(__xludf.DUMMYFUNCTION("""COMPUTED_VALUE"""),3175.0)</f>
        <v>3175</v>
      </c>
      <c r="D48" s="15">
        <f>IFERROR(__xludf.DUMMYFUNCTION("""COMPUTED_VALUE"""),2363.0)</f>
        <v>2363</v>
      </c>
      <c r="E48" s="15">
        <f>IFERROR(__xludf.DUMMYFUNCTION("""COMPUTED_VALUE"""),829.0)</f>
        <v>829</v>
      </c>
      <c r="F48" s="15">
        <f>IFERROR(__xludf.DUMMYFUNCTION("""COMPUTED_VALUE"""),33.0)</f>
        <v>33</v>
      </c>
      <c r="G48" s="15">
        <f>IFERROR(__xludf.DUMMYFUNCTION("""COMPUTED_VALUE"""),3176.0)</f>
        <v>3176</v>
      </c>
      <c r="H48" s="61">
        <f>IFERROR(__xludf.DUMMYFUNCTION("""COMPUTED_VALUE"""),5712.0)</f>
        <v>5712</v>
      </c>
      <c r="N48" s="209" t="str">
        <f t="shared" si="1"/>
        <v>503,3175,2363,829,33,3176</v>
      </c>
      <c r="O48" s="210"/>
      <c r="P48" s="210"/>
      <c r="W48" s="15">
        <f t="shared" si="2"/>
        <v>2</v>
      </c>
      <c r="X48" s="15">
        <f t="shared" si="8"/>
        <v>3940</v>
      </c>
      <c r="Y48" s="15">
        <f t="shared" si="3"/>
        <v>2363</v>
      </c>
      <c r="Z48" s="15">
        <f t="shared" si="4"/>
        <v>1706</v>
      </c>
      <c r="AA48" s="15">
        <f t="shared" si="5"/>
        <v>3538</v>
      </c>
      <c r="AB48" s="15">
        <f t="shared" si="6"/>
        <v>1023</v>
      </c>
      <c r="AC48" s="15">
        <f t="shared" si="7"/>
        <v>180</v>
      </c>
      <c r="AD48" s="15"/>
      <c r="AE48" s="15" t="str">
        <f>IFERROR(__xludf.DUMMYFUNCTION("""COMPUTED_VALUE"""),"Quals 15")</f>
        <v>Quals 15</v>
      </c>
      <c r="AF48" s="15">
        <f>IFERROR(__xludf.DUMMYFUNCTION("""COMPUTED_VALUE"""),3940.0)</f>
        <v>3940</v>
      </c>
      <c r="AG48" s="15"/>
      <c r="AH48" s="15">
        <f>IFERROR(__xludf.DUMMYFUNCTION("""COMPUTED_VALUE"""),2363.0)</f>
        <v>2363</v>
      </c>
      <c r="AI48" s="15"/>
      <c r="AJ48" s="15">
        <f>IFERROR(__xludf.DUMMYFUNCTION("""COMPUTED_VALUE"""),1706.0)</f>
        <v>1706</v>
      </c>
      <c r="AK48" s="15"/>
      <c r="AL48" s="15">
        <f>IFERROR(__xludf.DUMMYFUNCTION("""COMPUTED_VALUE"""),3538.0)</f>
        <v>3538</v>
      </c>
      <c r="AM48" s="15"/>
      <c r="AN48" s="15">
        <f>IFERROR(__xludf.DUMMYFUNCTION("""COMPUTED_VALUE"""),1023.0)</f>
        <v>1023</v>
      </c>
      <c r="AO48" s="15"/>
      <c r="AP48" s="15">
        <f>IFERROR(__xludf.DUMMYFUNCTION("""COMPUTED_VALUE"""),180.0)</f>
        <v>180</v>
      </c>
      <c r="AQ48" s="15"/>
      <c r="AR48" s="15">
        <f>IFERROR(__xludf.DUMMYFUNCTION("""COMPUTED_VALUE"""),125.0)</f>
        <v>125</v>
      </c>
      <c r="AS48" s="15">
        <f>IFERROR(__xludf.DUMMYFUNCTION("""COMPUTED_VALUE"""),185.0)</f>
        <v>185</v>
      </c>
    </row>
    <row r="49">
      <c r="A49" s="73">
        <v>48.0</v>
      </c>
      <c r="B49" s="15">
        <f>IFERROR(__xludf.DUMMYFUNCTION("""COMPUTED_VALUE"""),4265.0)</f>
        <v>4265</v>
      </c>
      <c r="C49" s="15">
        <f>IFERROR(__xludf.DUMMYFUNCTION("""COMPUTED_VALUE"""),2614.0)</f>
        <v>2614</v>
      </c>
      <c r="D49" s="15">
        <f>IFERROR(__xludf.DUMMYFUNCTION("""COMPUTED_VALUE"""),5712.0)</f>
        <v>5712</v>
      </c>
      <c r="E49" s="15">
        <f>IFERROR(__xludf.DUMMYFUNCTION("""COMPUTED_VALUE"""),2767.0)</f>
        <v>2767</v>
      </c>
      <c r="F49" s="15">
        <f>IFERROR(__xludf.DUMMYFUNCTION("""COMPUTED_VALUE"""),1706.0)</f>
        <v>1706</v>
      </c>
      <c r="G49" s="15">
        <f>IFERROR(__xludf.DUMMYFUNCTION("""COMPUTED_VALUE"""),5010.0)</f>
        <v>5010</v>
      </c>
      <c r="H49" s="61">
        <f>IFERROR(__xludf.DUMMYFUNCTION("""COMPUTED_VALUE"""),7457.0)</f>
        <v>7457</v>
      </c>
      <c r="N49" s="209" t="str">
        <f t="shared" si="1"/>
        <v>4265,2614,5712,2767,1706,5010</v>
      </c>
      <c r="O49" s="210"/>
      <c r="P49" s="210"/>
      <c r="W49" s="15">
        <f t="shared" si="2"/>
        <v>0</v>
      </c>
      <c r="X49" s="15" t="str">
        <f t="shared" si="8"/>
        <v/>
      </c>
      <c r="Y49" s="15" t="str">
        <f t="shared" si="3"/>
        <v/>
      </c>
      <c r="Z49" s="15" t="str">
        <f t="shared" si="4"/>
        <v/>
      </c>
      <c r="AA49" s="15" t="str">
        <f t="shared" si="5"/>
        <v/>
      </c>
      <c r="AB49" s="15" t="str">
        <f t="shared" si="6"/>
        <v/>
      </c>
      <c r="AC49" s="15" t="str">
        <f t="shared" si="7"/>
        <v/>
      </c>
      <c r="AD49" s="15"/>
      <c r="AE49" s="15" t="str">
        <f>IFERROR(__xludf.DUMMYFUNCTION("""COMPUTED_VALUE"""),"Quals 15")</f>
        <v>Quals 15</v>
      </c>
      <c r="AF49" s="15">
        <f>IFERROR(__xludf.DUMMYFUNCTION("""COMPUTED_VALUE"""),3940.0)</f>
        <v>3940</v>
      </c>
      <c r="AG49" s="15"/>
      <c r="AH49" s="15"/>
      <c r="AI49" s="15"/>
      <c r="AJ49" s="15">
        <f>IFERROR(__xludf.DUMMYFUNCTION("""COMPUTED_VALUE"""),2363.0)</f>
        <v>2363</v>
      </c>
      <c r="AK49" s="15"/>
      <c r="AL49" s="15"/>
      <c r="AM49" s="15"/>
      <c r="AN49" s="15">
        <f>IFERROR(__xludf.DUMMYFUNCTION("""COMPUTED_VALUE"""),1706.0)</f>
        <v>1706</v>
      </c>
      <c r="AO49" s="15"/>
      <c r="AP49" s="15"/>
      <c r="AQ49" s="15"/>
      <c r="AR49" s="15">
        <f>IFERROR(__xludf.DUMMYFUNCTION("""COMPUTED_VALUE"""),125.0)</f>
        <v>125</v>
      </c>
      <c r="AS49" s="15"/>
    </row>
    <row r="50">
      <c r="A50" s="73">
        <v>49.0</v>
      </c>
      <c r="B50" s="15">
        <f>IFERROR(__xludf.DUMMYFUNCTION("""COMPUTED_VALUE"""),4143.0)</f>
        <v>4143</v>
      </c>
      <c r="C50" s="15">
        <f>IFERROR(__xludf.DUMMYFUNCTION("""COMPUTED_VALUE"""),3538.0)</f>
        <v>3538</v>
      </c>
      <c r="D50" s="15">
        <f>IFERROR(__xludf.DUMMYFUNCTION("""COMPUTED_VALUE"""),5484.0)</f>
        <v>5484</v>
      </c>
      <c r="E50" s="15">
        <f>IFERROR(__xludf.DUMMYFUNCTION("""COMPUTED_VALUE"""),195.0)</f>
        <v>195</v>
      </c>
      <c r="F50" s="15">
        <f>IFERROR(__xludf.DUMMYFUNCTION("""COMPUTED_VALUE"""),1023.0)</f>
        <v>1023</v>
      </c>
      <c r="G50" s="15">
        <f>IFERROR(__xludf.DUMMYFUNCTION("""COMPUTED_VALUE"""),694.0)</f>
        <v>694</v>
      </c>
      <c r="H50" s="15" t="str">
        <f>IFERROR(__xludf.DUMMYFUNCTION("""COMPUTED_VALUE"""),"*2338*")</f>
        <v>*2338*</v>
      </c>
      <c r="N50" s="209" t="str">
        <f t="shared" si="1"/>
        <v>4143,3538,5484,195,1023,694</v>
      </c>
      <c r="O50" s="210"/>
      <c r="P50" s="210"/>
      <c r="W50" s="15">
        <f t="shared" si="2"/>
        <v>1</v>
      </c>
      <c r="X50" s="15" t="str">
        <f t="shared" si="8"/>
        <v/>
      </c>
      <c r="Y50" s="15" t="str">
        <f t="shared" si="3"/>
        <v/>
      </c>
      <c r="Z50" s="15" t="str">
        <f t="shared" si="4"/>
        <v/>
      </c>
      <c r="AA50" s="15" t="str">
        <f t="shared" si="5"/>
        <v/>
      </c>
      <c r="AB50" s="15" t="str">
        <f t="shared" si="6"/>
        <v/>
      </c>
      <c r="AC50" s="15" t="str">
        <f t="shared" si="7"/>
        <v/>
      </c>
      <c r="AD50" s="15"/>
      <c r="AE50" s="15"/>
      <c r="AF50" s="15">
        <f>IFERROR(__xludf.DUMMYFUNCTION("""COMPUTED_VALUE"""),3538.0)</f>
        <v>3538</v>
      </c>
      <c r="AG50" s="15"/>
      <c r="AH50" s="15"/>
      <c r="AI50" s="15"/>
      <c r="AJ50" s="15">
        <f>IFERROR(__xludf.DUMMYFUNCTION("""COMPUTED_VALUE"""),1023.0)</f>
        <v>1023</v>
      </c>
      <c r="AK50" s="15"/>
      <c r="AL50" s="15"/>
      <c r="AM50" s="15"/>
      <c r="AN50" s="15">
        <f>IFERROR(__xludf.DUMMYFUNCTION("""COMPUTED_VALUE"""),180.0)</f>
        <v>180</v>
      </c>
      <c r="AO50" s="15"/>
      <c r="AP50" s="15"/>
      <c r="AQ50" s="15"/>
      <c r="AR50" s="15">
        <f>IFERROR(__xludf.DUMMYFUNCTION("""COMPUTED_VALUE"""),185.0)</f>
        <v>185</v>
      </c>
      <c r="AS50" s="15"/>
    </row>
    <row r="51">
      <c r="A51" s="73">
        <v>50.0</v>
      </c>
      <c r="B51" s="15">
        <f>IFERROR(__xludf.DUMMYFUNCTION("""COMPUTED_VALUE"""),7457.0)</f>
        <v>7457</v>
      </c>
      <c r="C51" s="15">
        <f>IFERROR(__xludf.DUMMYFUNCTION("""COMPUTED_VALUE"""),2075.0)</f>
        <v>2075</v>
      </c>
      <c r="D51" s="15">
        <f>IFERROR(__xludf.DUMMYFUNCTION("""COMPUTED_VALUE"""),340.0)</f>
        <v>340</v>
      </c>
      <c r="E51" s="15">
        <f>IFERROR(__xludf.DUMMYFUNCTION("""COMPUTED_VALUE"""),1730.0)</f>
        <v>1730</v>
      </c>
      <c r="F51" s="15">
        <f>IFERROR(__xludf.DUMMYFUNCTION("""COMPUTED_VALUE"""),27.0)</f>
        <v>27</v>
      </c>
      <c r="G51" s="15">
        <f>IFERROR(__xludf.DUMMYFUNCTION("""COMPUTED_VALUE"""),180.0)</f>
        <v>180</v>
      </c>
      <c r="H51" s="15" t="str">
        <f>IFERROR(__xludf.DUMMYFUNCTION("""COMPUTED_VALUE"""),"*2614*")</f>
        <v>*2614*</v>
      </c>
      <c r="N51" s="209" t="str">
        <f t="shared" si="1"/>
        <v>7457,2075,340,1730,27,180</v>
      </c>
      <c r="O51" s="210"/>
      <c r="P51" s="210"/>
      <c r="W51" s="15">
        <f t="shared" si="2"/>
        <v>2</v>
      </c>
      <c r="X51" s="15">
        <f t="shared" si="8"/>
        <v>1024</v>
      </c>
      <c r="Y51" s="15">
        <f t="shared" si="3"/>
        <v>587</v>
      </c>
      <c r="Z51" s="15">
        <f t="shared" si="4"/>
        <v>503</v>
      </c>
      <c r="AA51" s="15">
        <f t="shared" si="5"/>
        <v>1732</v>
      </c>
      <c r="AB51" s="15">
        <f t="shared" si="6"/>
        <v>5010</v>
      </c>
      <c r="AC51" s="15">
        <f t="shared" si="7"/>
        <v>2338</v>
      </c>
      <c r="AD51" s="15"/>
      <c r="AE51" s="15" t="str">
        <f>IFERROR(__xludf.DUMMYFUNCTION("""COMPUTED_VALUE"""),"Quals 16")</f>
        <v>Quals 16</v>
      </c>
      <c r="AF51" s="15">
        <f>IFERROR(__xludf.DUMMYFUNCTION("""COMPUTED_VALUE"""),1024.0)</f>
        <v>1024</v>
      </c>
      <c r="AG51" s="15"/>
      <c r="AH51" s="15">
        <f>IFERROR(__xludf.DUMMYFUNCTION("""COMPUTED_VALUE"""),587.0)</f>
        <v>587</v>
      </c>
      <c r="AI51" s="15"/>
      <c r="AJ51" s="15">
        <f>IFERROR(__xludf.DUMMYFUNCTION("""COMPUTED_VALUE"""),503.0)</f>
        <v>503</v>
      </c>
      <c r="AK51" s="15"/>
      <c r="AL51" s="15">
        <f>IFERROR(__xludf.DUMMYFUNCTION("""COMPUTED_VALUE"""),1732.0)</f>
        <v>1732</v>
      </c>
      <c r="AM51" s="15"/>
      <c r="AN51" s="15">
        <f>IFERROR(__xludf.DUMMYFUNCTION("""COMPUTED_VALUE"""),5010.0)</f>
        <v>5010</v>
      </c>
      <c r="AO51" s="15"/>
      <c r="AP51" s="15">
        <f>IFERROR(__xludf.DUMMYFUNCTION("""COMPUTED_VALUE"""),2338.0)</f>
        <v>2338</v>
      </c>
      <c r="AQ51" s="15"/>
      <c r="AR51" s="15">
        <f>IFERROR(__xludf.DUMMYFUNCTION("""COMPUTED_VALUE"""),107.0)</f>
        <v>107</v>
      </c>
      <c r="AS51" s="15">
        <f>IFERROR(__xludf.DUMMYFUNCTION("""COMPUTED_VALUE"""),103.0)</f>
        <v>103</v>
      </c>
    </row>
    <row r="52">
      <c r="A52" s="73">
        <v>51.0</v>
      </c>
      <c r="B52" s="15">
        <f>IFERROR(__xludf.DUMMYFUNCTION("""COMPUTED_VALUE"""),3357.0)</f>
        <v>3357</v>
      </c>
      <c r="C52" s="15">
        <f>IFERROR(__xludf.DUMMYFUNCTION("""COMPUTED_VALUE"""),1987.0)</f>
        <v>1987</v>
      </c>
      <c r="D52" s="15">
        <f>IFERROR(__xludf.DUMMYFUNCTION("""COMPUTED_VALUE"""),2056.0)</f>
        <v>2056</v>
      </c>
      <c r="E52" s="15">
        <f>IFERROR(__xludf.DUMMYFUNCTION("""COMPUTED_VALUE"""),587.0)</f>
        <v>587</v>
      </c>
      <c r="F52" s="15">
        <f>IFERROR(__xludf.DUMMYFUNCTION("""COMPUTED_VALUE"""),624.0)</f>
        <v>624</v>
      </c>
      <c r="G52" s="15">
        <f>IFERROR(__xludf.DUMMYFUNCTION("""COMPUTED_VALUE"""),3940.0)</f>
        <v>3940</v>
      </c>
      <c r="H52" s="15"/>
      <c r="N52" s="209" t="str">
        <f t="shared" si="1"/>
        <v>3357,1987,2056,587,624,3940</v>
      </c>
      <c r="O52" s="210"/>
      <c r="P52" s="210"/>
      <c r="W52" s="15">
        <f t="shared" si="2"/>
        <v>0</v>
      </c>
      <c r="X52" s="15" t="str">
        <f t="shared" si="8"/>
        <v/>
      </c>
      <c r="Y52" s="15" t="str">
        <f t="shared" si="3"/>
        <v/>
      </c>
      <c r="Z52" s="15" t="str">
        <f t="shared" si="4"/>
        <v/>
      </c>
      <c r="AA52" s="15" t="str">
        <f t="shared" si="5"/>
        <v/>
      </c>
      <c r="AB52" s="15" t="str">
        <f t="shared" si="6"/>
        <v/>
      </c>
      <c r="AC52" s="15" t="str">
        <f t="shared" si="7"/>
        <v/>
      </c>
      <c r="AD52" s="15"/>
      <c r="AE52" s="15" t="str">
        <f>IFERROR(__xludf.DUMMYFUNCTION("""COMPUTED_VALUE"""),"Quals 16")</f>
        <v>Quals 16</v>
      </c>
      <c r="AF52" s="15">
        <f>IFERROR(__xludf.DUMMYFUNCTION("""COMPUTED_VALUE"""),1024.0)</f>
        <v>1024</v>
      </c>
      <c r="AG52" s="15"/>
      <c r="AH52" s="15"/>
      <c r="AI52" s="15"/>
      <c r="AJ52" s="15">
        <f>IFERROR(__xludf.DUMMYFUNCTION("""COMPUTED_VALUE"""),587.0)</f>
        <v>587</v>
      </c>
      <c r="AK52" s="15"/>
      <c r="AL52" s="15"/>
      <c r="AM52" s="15"/>
      <c r="AN52" s="15">
        <f>IFERROR(__xludf.DUMMYFUNCTION("""COMPUTED_VALUE"""),503.0)</f>
        <v>503</v>
      </c>
      <c r="AO52" s="15"/>
      <c r="AP52" s="15"/>
      <c r="AQ52" s="15"/>
      <c r="AR52" s="15">
        <f>IFERROR(__xludf.DUMMYFUNCTION("""COMPUTED_VALUE"""),107.0)</f>
        <v>107</v>
      </c>
      <c r="AS52" s="15"/>
    </row>
    <row r="53">
      <c r="A53" s="73">
        <v>52.0</v>
      </c>
      <c r="B53" s="15">
        <f>IFERROR(__xludf.DUMMYFUNCTION("""COMPUTED_VALUE"""),4099.0)</f>
        <v>4099</v>
      </c>
      <c r="C53" s="15">
        <f>IFERROR(__xludf.DUMMYFUNCTION("""COMPUTED_VALUE"""),4499.0)</f>
        <v>4499</v>
      </c>
      <c r="D53" s="15">
        <f>IFERROR(__xludf.DUMMYFUNCTION("""COMPUTED_VALUE"""),503.0)</f>
        <v>503</v>
      </c>
      <c r="E53" s="15">
        <f>IFERROR(__xludf.DUMMYFUNCTION("""COMPUTED_VALUE"""),3175.0)</f>
        <v>3175</v>
      </c>
      <c r="F53" s="15">
        <f>IFERROR(__xludf.DUMMYFUNCTION("""COMPUTED_VALUE"""),1339.0)</f>
        <v>1339</v>
      </c>
      <c r="G53" s="15">
        <f>IFERROR(__xludf.DUMMYFUNCTION("""COMPUTED_VALUE"""),118.0)</f>
        <v>118</v>
      </c>
      <c r="N53" s="209" t="str">
        <f t="shared" si="1"/>
        <v>4099,4499,503,3175,1339,118</v>
      </c>
      <c r="O53" s="210"/>
      <c r="P53" s="210"/>
      <c r="W53" s="15">
        <f t="shared" si="2"/>
        <v>1</v>
      </c>
      <c r="X53" s="15" t="str">
        <f t="shared" si="8"/>
        <v/>
      </c>
      <c r="Y53" s="15" t="str">
        <f t="shared" si="3"/>
        <v/>
      </c>
      <c r="Z53" s="15" t="str">
        <f t="shared" si="4"/>
        <v/>
      </c>
      <c r="AA53" s="15" t="str">
        <f t="shared" si="5"/>
        <v/>
      </c>
      <c r="AB53" s="15" t="str">
        <f t="shared" si="6"/>
        <v/>
      </c>
      <c r="AC53" s="15" t="str">
        <f t="shared" si="7"/>
        <v/>
      </c>
      <c r="AD53" s="15"/>
      <c r="AE53" s="15"/>
      <c r="AF53" s="15">
        <f>IFERROR(__xludf.DUMMYFUNCTION("""COMPUTED_VALUE"""),1732.0)</f>
        <v>1732</v>
      </c>
      <c r="AG53" s="15"/>
      <c r="AH53" s="15"/>
      <c r="AI53" s="15"/>
      <c r="AJ53" s="15">
        <f>IFERROR(__xludf.DUMMYFUNCTION("""COMPUTED_VALUE"""),5010.0)</f>
        <v>5010</v>
      </c>
      <c r="AK53" s="15"/>
      <c r="AL53" s="15"/>
      <c r="AM53" s="15"/>
      <c r="AN53" s="15">
        <f>IFERROR(__xludf.DUMMYFUNCTION("""COMPUTED_VALUE"""),2338.0)</f>
        <v>2338</v>
      </c>
      <c r="AO53" s="15"/>
      <c r="AP53" s="15"/>
      <c r="AQ53" s="15"/>
      <c r="AR53" s="15">
        <f>IFERROR(__xludf.DUMMYFUNCTION("""COMPUTED_VALUE"""),103.0)</f>
        <v>103</v>
      </c>
      <c r="AS53" s="15"/>
    </row>
    <row r="54">
      <c r="A54" s="73">
        <v>53.0</v>
      </c>
      <c r="B54" s="15">
        <f>IFERROR(__xludf.DUMMYFUNCTION("""COMPUTED_VALUE"""),1720.0)</f>
        <v>1720</v>
      </c>
      <c r="C54" s="15">
        <f>IFERROR(__xludf.DUMMYFUNCTION("""COMPUTED_VALUE"""),5712.0)</f>
        <v>5712</v>
      </c>
      <c r="D54" s="15">
        <f>IFERROR(__xludf.DUMMYFUNCTION("""COMPUTED_VALUE"""),5406.0)</f>
        <v>5406</v>
      </c>
      <c r="E54" s="15">
        <f>IFERROR(__xludf.DUMMYFUNCTION("""COMPUTED_VALUE"""),4028.0)</f>
        <v>4028</v>
      </c>
      <c r="F54" s="15">
        <f>IFERROR(__xludf.DUMMYFUNCTION("""COMPUTED_VALUE"""),1732.0)</f>
        <v>1732</v>
      </c>
      <c r="G54" s="15">
        <f>IFERROR(__xludf.DUMMYFUNCTION("""COMPUTED_VALUE"""),2614.0)</f>
        <v>2614</v>
      </c>
      <c r="N54" s="209" t="str">
        <f t="shared" si="1"/>
        <v>1720,5712,5406,4028,1732,2614</v>
      </c>
      <c r="O54" s="210"/>
      <c r="P54" s="210"/>
      <c r="W54" s="15">
        <f t="shared" si="2"/>
        <v>2</v>
      </c>
      <c r="X54" s="15">
        <f t="shared" si="8"/>
        <v>4265</v>
      </c>
      <c r="Y54" s="15">
        <f t="shared" si="3"/>
        <v>1533</v>
      </c>
      <c r="Z54" s="15">
        <f t="shared" si="4"/>
        <v>4028</v>
      </c>
      <c r="AA54" s="15">
        <f t="shared" si="5"/>
        <v>2539</v>
      </c>
      <c r="AB54" s="15">
        <f t="shared" si="6"/>
        <v>4143</v>
      </c>
      <c r="AC54" s="15">
        <f t="shared" si="7"/>
        <v>2468</v>
      </c>
      <c r="AD54" s="15"/>
      <c r="AE54" s="15" t="str">
        <f>IFERROR(__xludf.DUMMYFUNCTION("""COMPUTED_VALUE"""),"Quals 17")</f>
        <v>Quals 17</v>
      </c>
      <c r="AF54" s="15">
        <f>IFERROR(__xludf.DUMMYFUNCTION("""COMPUTED_VALUE"""),4265.0)</f>
        <v>4265</v>
      </c>
      <c r="AG54" s="15"/>
      <c r="AH54" s="15">
        <f>IFERROR(__xludf.DUMMYFUNCTION("""COMPUTED_VALUE"""),1533.0)</f>
        <v>1533</v>
      </c>
      <c r="AI54" s="15"/>
      <c r="AJ54" s="15">
        <f>IFERROR(__xludf.DUMMYFUNCTION("""COMPUTED_VALUE"""),4028.0)</f>
        <v>4028</v>
      </c>
      <c r="AK54" s="15"/>
      <c r="AL54" s="15">
        <f>IFERROR(__xludf.DUMMYFUNCTION("""COMPUTED_VALUE"""),2539.0)</f>
        <v>2539</v>
      </c>
      <c r="AM54" s="15"/>
      <c r="AN54" s="15">
        <f>IFERROR(__xludf.DUMMYFUNCTION("""COMPUTED_VALUE"""),4143.0)</f>
        <v>4143</v>
      </c>
      <c r="AO54" s="15"/>
      <c r="AP54" s="15">
        <f>IFERROR(__xludf.DUMMYFUNCTION("""COMPUTED_VALUE"""),2468.0)</f>
        <v>2468</v>
      </c>
      <c r="AQ54" s="15"/>
      <c r="AR54" s="15">
        <f>IFERROR(__xludf.DUMMYFUNCTION("""COMPUTED_VALUE"""),130.0)</f>
        <v>130</v>
      </c>
      <c r="AS54" s="15">
        <f>IFERROR(__xludf.DUMMYFUNCTION("""COMPUTED_VALUE"""),144.0)</f>
        <v>144</v>
      </c>
    </row>
    <row r="55">
      <c r="A55" s="73">
        <v>54.0</v>
      </c>
      <c r="B55" s="15">
        <f>IFERROR(__xludf.DUMMYFUNCTION("""COMPUTED_VALUE"""),67.0)</f>
        <v>67</v>
      </c>
      <c r="C55" s="15">
        <f>IFERROR(__xludf.DUMMYFUNCTION("""COMPUTED_VALUE"""),5010.0)</f>
        <v>5010</v>
      </c>
      <c r="D55" s="15">
        <f>IFERROR(__xludf.DUMMYFUNCTION("""COMPUTED_VALUE"""),1024.0)</f>
        <v>1024</v>
      </c>
      <c r="E55" s="15">
        <f>IFERROR(__xludf.DUMMYFUNCTION("""COMPUTED_VALUE"""),2363.0)</f>
        <v>2363</v>
      </c>
      <c r="F55" s="15">
        <f>IFERROR(__xludf.DUMMYFUNCTION("""COMPUTED_VALUE"""),2468.0)</f>
        <v>2468</v>
      </c>
      <c r="G55" s="15">
        <f>IFERROR(__xludf.DUMMYFUNCTION("""COMPUTED_VALUE"""),1533.0)</f>
        <v>1533</v>
      </c>
      <c r="N55" s="209" t="str">
        <f t="shared" si="1"/>
        <v>67,5010,1024,2363,2468,1533</v>
      </c>
      <c r="O55" s="210"/>
      <c r="P55" s="210"/>
      <c r="W55" s="15">
        <f t="shared" si="2"/>
        <v>0</v>
      </c>
      <c r="X55" s="15" t="str">
        <f t="shared" si="8"/>
        <v/>
      </c>
      <c r="Y55" s="15" t="str">
        <f t="shared" si="3"/>
        <v/>
      </c>
      <c r="Z55" s="15" t="str">
        <f t="shared" si="4"/>
        <v/>
      </c>
      <c r="AA55" s="15" t="str">
        <f t="shared" si="5"/>
        <v/>
      </c>
      <c r="AB55" s="15" t="str">
        <f t="shared" si="6"/>
        <v/>
      </c>
      <c r="AC55" s="15" t="str">
        <f t="shared" si="7"/>
        <v/>
      </c>
      <c r="AD55" s="15"/>
      <c r="AE55" s="15" t="str">
        <f>IFERROR(__xludf.DUMMYFUNCTION("""COMPUTED_VALUE"""),"Quals 17")</f>
        <v>Quals 17</v>
      </c>
      <c r="AF55" s="15">
        <f>IFERROR(__xludf.DUMMYFUNCTION("""COMPUTED_VALUE"""),4265.0)</f>
        <v>4265</v>
      </c>
      <c r="AG55" s="15"/>
      <c r="AH55" s="15"/>
      <c r="AI55" s="15"/>
      <c r="AJ55" s="15">
        <f>IFERROR(__xludf.DUMMYFUNCTION("""COMPUTED_VALUE"""),1533.0)</f>
        <v>1533</v>
      </c>
      <c r="AK55" s="15"/>
      <c r="AL55" s="15"/>
      <c r="AM55" s="15"/>
      <c r="AN55" s="15">
        <f>IFERROR(__xludf.DUMMYFUNCTION("""COMPUTED_VALUE"""),4028.0)</f>
        <v>4028</v>
      </c>
      <c r="AO55" s="15"/>
      <c r="AP55" s="15"/>
      <c r="AQ55" s="15"/>
      <c r="AR55" s="15">
        <f>IFERROR(__xludf.DUMMYFUNCTION("""COMPUTED_VALUE"""),130.0)</f>
        <v>130</v>
      </c>
      <c r="AS55" s="15"/>
    </row>
    <row r="56">
      <c r="A56" s="73">
        <v>55.0</v>
      </c>
      <c r="B56" s="15">
        <f>IFERROR(__xludf.DUMMYFUNCTION("""COMPUTED_VALUE"""),2539.0)</f>
        <v>2539</v>
      </c>
      <c r="C56" s="15">
        <f>IFERROR(__xludf.DUMMYFUNCTION("""COMPUTED_VALUE"""),33.0)</f>
        <v>33</v>
      </c>
      <c r="D56" s="15">
        <f>IFERROR(__xludf.DUMMYFUNCTION("""COMPUTED_VALUE"""),2767.0)</f>
        <v>2767</v>
      </c>
      <c r="E56" s="15">
        <f>IFERROR(__xludf.DUMMYFUNCTION("""COMPUTED_VALUE"""),3176.0)</f>
        <v>3176</v>
      </c>
      <c r="F56" s="15">
        <f>IFERROR(__xludf.DUMMYFUNCTION("""COMPUTED_VALUE"""),1706.0)</f>
        <v>1706</v>
      </c>
      <c r="G56" s="15">
        <f>IFERROR(__xludf.DUMMYFUNCTION("""COMPUTED_VALUE"""),4635.0)</f>
        <v>4635</v>
      </c>
      <c r="N56" s="209" t="str">
        <f t="shared" si="1"/>
        <v>2539,33,2767,3176,1706,4635</v>
      </c>
      <c r="O56" s="210"/>
      <c r="P56" s="210"/>
      <c r="W56" s="15">
        <f t="shared" si="2"/>
        <v>1</v>
      </c>
      <c r="X56" s="15" t="str">
        <f t="shared" si="8"/>
        <v/>
      </c>
      <c r="Y56" s="15" t="str">
        <f t="shared" si="3"/>
        <v/>
      </c>
      <c r="Z56" s="15" t="str">
        <f t="shared" si="4"/>
        <v/>
      </c>
      <c r="AA56" s="15" t="str">
        <f t="shared" si="5"/>
        <v/>
      </c>
      <c r="AB56" s="15" t="str">
        <f t="shared" si="6"/>
        <v/>
      </c>
      <c r="AC56" s="15" t="str">
        <f t="shared" si="7"/>
        <v/>
      </c>
      <c r="AD56" s="15"/>
      <c r="AE56" s="15"/>
      <c r="AF56" s="15">
        <f>IFERROR(__xludf.DUMMYFUNCTION("""COMPUTED_VALUE"""),2539.0)</f>
        <v>2539</v>
      </c>
      <c r="AG56" s="15"/>
      <c r="AH56" s="15"/>
      <c r="AI56" s="15"/>
      <c r="AJ56" s="15">
        <f>IFERROR(__xludf.DUMMYFUNCTION("""COMPUTED_VALUE"""),4143.0)</f>
        <v>4143</v>
      </c>
      <c r="AK56" s="15"/>
      <c r="AL56" s="15"/>
      <c r="AM56" s="15"/>
      <c r="AN56" s="15">
        <f>IFERROR(__xludf.DUMMYFUNCTION("""COMPUTED_VALUE"""),2468.0)</f>
        <v>2468</v>
      </c>
      <c r="AO56" s="15"/>
      <c r="AP56" s="15"/>
      <c r="AQ56" s="15"/>
      <c r="AR56" s="15">
        <f>IFERROR(__xludf.DUMMYFUNCTION("""COMPUTED_VALUE"""),144.0)</f>
        <v>144</v>
      </c>
      <c r="AS56" s="15"/>
    </row>
    <row r="57">
      <c r="A57" s="73">
        <v>56.0</v>
      </c>
      <c r="B57" s="15">
        <f>IFERROR(__xludf.DUMMYFUNCTION("""COMPUTED_VALUE"""),2338.0)</f>
        <v>2338</v>
      </c>
      <c r="C57" s="15">
        <f>IFERROR(__xludf.DUMMYFUNCTION("""COMPUTED_VALUE"""),234.0)</f>
        <v>234</v>
      </c>
      <c r="D57" s="15">
        <f>IFERROR(__xludf.DUMMYFUNCTION("""COMPUTED_VALUE"""),829.0)</f>
        <v>829</v>
      </c>
      <c r="E57" s="15">
        <f>IFERROR(__xludf.DUMMYFUNCTION("""COMPUTED_VALUE"""),4265.0)</f>
        <v>4265</v>
      </c>
      <c r="F57" s="15">
        <f>IFERROR(__xludf.DUMMYFUNCTION("""COMPUTED_VALUE"""),325.0)</f>
        <v>325</v>
      </c>
      <c r="G57" s="15">
        <f>IFERROR(__xludf.DUMMYFUNCTION("""COMPUTED_VALUE"""),4926.0)</f>
        <v>4926</v>
      </c>
      <c r="N57" s="209" t="str">
        <f t="shared" si="1"/>
        <v>2338,234,829,4265,325,4926</v>
      </c>
      <c r="O57" s="210"/>
      <c r="P57" s="210"/>
      <c r="W57" s="15">
        <f t="shared" si="2"/>
        <v>2</v>
      </c>
      <c r="X57" s="15">
        <f t="shared" si="8"/>
        <v>27</v>
      </c>
      <c r="Y57" s="15">
        <f t="shared" si="3"/>
        <v>5484</v>
      </c>
      <c r="Z57" s="15">
        <f t="shared" si="4"/>
        <v>2075</v>
      </c>
      <c r="AA57" s="15">
        <f t="shared" si="5"/>
        <v>3357</v>
      </c>
      <c r="AB57" s="15">
        <f t="shared" si="6"/>
        <v>1339</v>
      </c>
      <c r="AC57" s="15">
        <f t="shared" si="7"/>
        <v>5712</v>
      </c>
      <c r="AD57" s="15"/>
      <c r="AE57" s="15" t="str">
        <f>IFERROR(__xludf.DUMMYFUNCTION("""COMPUTED_VALUE"""),"Quals 18")</f>
        <v>Quals 18</v>
      </c>
      <c r="AF57" s="15">
        <f>IFERROR(__xludf.DUMMYFUNCTION("""COMPUTED_VALUE"""),27.0)</f>
        <v>27</v>
      </c>
      <c r="AG57" s="15"/>
      <c r="AH57" s="15">
        <f>IFERROR(__xludf.DUMMYFUNCTION("""COMPUTED_VALUE"""),5484.0)</f>
        <v>5484</v>
      </c>
      <c r="AI57" s="15"/>
      <c r="AJ57" s="15">
        <f>IFERROR(__xludf.DUMMYFUNCTION("""COMPUTED_VALUE"""),2075.0)</f>
        <v>2075</v>
      </c>
      <c r="AK57" s="15"/>
      <c r="AL57" s="15">
        <f>IFERROR(__xludf.DUMMYFUNCTION("""COMPUTED_VALUE"""),3357.0)</f>
        <v>3357</v>
      </c>
      <c r="AM57" s="15"/>
      <c r="AN57" s="15">
        <f>IFERROR(__xludf.DUMMYFUNCTION("""COMPUTED_VALUE"""),1339.0)</f>
        <v>1339</v>
      </c>
      <c r="AO57" s="15"/>
      <c r="AP57" s="15">
        <f>IFERROR(__xludf.DUMMYFUNCTION("""COMPUTED_VALUE"""),5712.0)</f>
        <v>5712</v>
      </c>
      <c r="AQ57" s="15"/>
      <c r="AR57" s="15">
        <f>IFERROR(__xludf.DUMMYFUNCTION("""COMPUTED_VALUE"""),132.0)</f>
        <v>132</v>
      </c>
      <c r="AS57" s="15">
        <f>IFERROR(__xludf.DUMMYFUNCTION("""COMPUTED_VALUE"""),97.0)</f>
        <v>97</v>
      </c>
    </row>
    <row r="58">
      <c r="A58" s="73">
        <v>57.0</v>
      </c>
      <c r="B58" s="15">
        <f>IFERROR(__xludf.DUMMYFUNCTION("""COMPUTED_VALUE"""),27.0)</f>
        <v>27</v>
      </c>
      <c r="C58" s="15">
        <f>IFERROR(__xludf.DUMMYFUNCTION("""COMPUTED_VALUE"""),118.0)</f>
        <v>118</v>
      </c>
      <c r="D58" s="15">
        <f>IFERROR(__xludf.DUMMYFUNCTION("""COMPUTED_VALUE"""),587.0)</f>
        <v>587</v>
      </c>
      <c r="E58" s="15">
        <f>IFERROR(__xludf.DUMMYFUNCTION("""COMPUTED_VALUE"""),624.0)</f>
        <v>624</v>
      </c>
      <c r="F58" s="15">
        <f>IFERROR(__xludf.DUMMYFUNCTION("""COMPUTED_VALUE"""),4143.0)</f>
        <v>4143</v>
      </c>
      <c r="G58" s="15">
        <f>IFERROR(__xludf.DUMMYFUNCTION("""COMPUTED_VALUE"""),3175.0)</f>
        <v>3175</v>
      </c>
      <c r="N58" s="209" t="str">
        <f t="shared" si="1"/>
        <v>27,118,587,624,4143,3175</v>
      </c>
      <c r="O58" s="210"/>
      <c r="P58" s="210"/>
      <c r="W58" s="15">
        <f t="shared" si="2"/>
        <v>0</v>
      </c>
      <c r="X58" s="15" t="str">
        <f t="shared" si="8"/>
        <v/>
      </c>
      <c r="Y58" s="15" t="str">
        <f t="shared" si="3"/>
        <v/>
      </c>
      <c r="Z58" s="15" t="str">
        <f t="shared" si="4"/>
        <v/>
      </c>
      <c r="AA58" s="15" t="str">
        <f t="shared" si="5"/>
        <v/>
      </c>
      <c r="AB58" s="15" t="str">
        <f t="shared" si="6"/>
        <v/>
      </c>
      <c r="AC58" s="15" t="str">
        <f t="shared" si="7"/>
        <v/>
      </c>
      <c r="AD58" s="15"/>
      <c r="AE58" s="15" t="str">
        <f>IFERROR(__xludf.DUMMYFUNCTION("""COMPUTED_VALUE"""),"Quals 18")</f>
        <v>Quals 18</v>
      </c>
      <c r="AF58" s="15">
        <f>IFERROR(__xludf.DUMMYFUNCTION("""COMPUTED_VALUE"""),27.0)</f>
        <v>27</v>
      </c>
      <c r="AG58" s="15"/>
      <c r="AH58" s="15"/>
      <c r="AI58" s="15"/>
      <c r="AJ58" s="15">
        <f>IFERROR(__xludf.DUMMYFUNCTION("""COMPUTED_VALUE"""),5484.0)</f>
        <v>5484</v>
      </c>
      <c r="AK58" s="15"/>
      <c r="AL58" s="15"/>
      <c r="AM58" s="15"/>
      <c r="AN58" s="15">
        <f>IFERROR(__xludf.DUMMYFUNCTION("""COMPUTED_VALUE"""),2075.0)</f>
        <v>2075</v>
      </c>
      <c r="AO58" s="15"/>
      <c r="AP58" s="15"/>
      <c r="AQ58" s="15"/>
      <c r="AR58" s="15">
        <f>IFERROR(__xludf.DUMMYFUNCTION("""COMPUTED_VALUE"""),132.0)</f>
        <v>132</v>
      </c>
      <c r="AS58" s="15"/>
    </row>
    <row r="59">
      <c r="A59" s="73">
        <v>58.0</v>
      </c>
      <c r="B59" s="15">
        <f>IFERROR(__xludf.DUMMYFUNCTION("""COMPUTED_VALUE"""),1732.0)</f>
        <v>1732</v>
      </c>
      <c r="C59" s="15">
        <f>IFERROR(__xludf.DUMMYFUNCTION("""COMPUTED_VALUE"""),5712.0)</f>
        <v>5712</v>
      </c>
      <c r="D59" s="15">
        <f>IFERROR(__xludf.DUMMYFUNCTION("""COMPUTED_VALUE"""),1023.0)</f>
        <v>1023</v>
      </c>
      <c r="E59" s="15">
        <f>IFERROR(__xludf.DUMMYFUNCTION("""COMPUTED_VALUE"""),340.0)</f>
        <v>340</v>
      </c>
      <c r="F59" s="15">
        <f>IFERROR(__xludf.DUMMYFUNCTION("""COMPUTED_VALUE"""),1987.0)</f>
        <v>1987</v>
      </c>
      <c r="G59" s="15">
        <f>IFERROR(__xludf.DUMMYFUNCTION("""COMPUTED_VALUE"""),694.0)</f>
        <v>694</v>
      </c>
      <c r="N59" s="209" t="str">
        <f t="shared" si="1"/>
        <v>1732,5712,1023,340,1987,694</v>
      </c>
      <c r="O59" s="210"/>
      <c r="P59" s="210"/>
      <c r="W59" s="15">
        <f t="shared" si="2"/>
        <v>1</v>
      </c>
      <c r="X59" s="15" t="str">
        <f t="shared" si="8"/>
        <v/>
      </c>
      <c r="Y59" s="15" t="str">
        <f t="shared" si="3"/>
        <v/>
      </c>
      <c r="Z59" s="15" t="str">
        <f t="shared" si="4"/>
        <v/>
      </c>
      <c r="AA59" s="15" t="str">
        <f t="shared" si="5"/>
        <v/>
      </c>
      <c r="AB59" s="15" t="str">
        <f t="shared" si="6"/>
        <v/>
      </c>
      <c r="AC59" s="15" t="str">
        <f t="shared" si="7"/>
        <v/>
      </c>
      <c r="AD59" s="15"/>
      <c r="AE59" s="15"/>
      <c r="AF59" s="15">
        <f>IFERROR(__xludf.DUMMYFUNCTION("""COMPUTED_VALUE"""),3357.0)</f>
        <v>3357</v>
      </c>
      <c r="AG59" s="15"/>
      <c r="AH59" s="15"/>
      <c r="AI59" s="15"/>
      <c r="AJ59" s="15">
        <f>IFERROR(__xludf.DUMMYFUNCTION("""COMPUTED_VALUE"""),1339.0)</f>
        <v>1339</v>
      </c>
      <c r="AK59" s="15"/>
      <c r="AL59" s="15"/>
      <c r="AM59" s="15"/>
      <c r="AN59" s="15">
        <f>IFERROR(__xludf.DUMMYFUNCTION("""COMPUTED_VALUE"""),5712.0)</f>
        <v>5712</v>
      </c>
      <c r="AO59" s="15"/>
      <c r="AP59" s="15"/>
      <c r="AQ59" s="15"/>
      <c r="AR59" s="15">
        <f>IFERROR(__xludf.DUMMYFUNCTION("""COMPUTED_VALUE"""),97.0)</f>
        <v>97</v>
      </c>
      <c r="AS59" s="15"/>
    </row>
    <row r="60">
      <c r="A60" s="73">
        <v>59.0</v>
      </c>
      <c r="B60" s="15">
        <f>IFERROR(__xludf.DUMMYFUNCTION("""COMPUTED_VALUE"""),180.0)</f>
        <v>180</v>
      </c>
      <c r="C60" s="15">
        <f>IFERROR(__xludf.DUMMYFUNCTION("""COMPUTED_VALUE"""),1533.0)</f>
        <v>1533</v>
      </c>
      <c r="D60" s="15">
        <f>IFERROR(__xludf.DUMMYFUNCTION("""COMPUTED_VALUE"""),2056.0)</f>
        <v>2056</v>
      </c>
      <c r="E60" s="15">
        <f>IFERROR(__xludf.DUMMYFUNCTION("""COMPUTED_VALUE"""),1024.0)</f>
        <v>1024</v>
      </c>
      <c r="F60" s="15">
        <f>IFERROR(__xludf.DUMMYFUNCTION("""COMPUTED_VALUE"""),2614.0)</f>
        <v>2614</v>
      </c>
      <c r="G60" s="15">
        <f>IFERROR(__xludf.DUMMYFUNCTION("""COMPUTED_VALUE"""),4499.0)</f>
        <v>4499</v>
      </c>
      <c r="N60" s="209" t="str">
        <f t="shared" si="1"/>
        <v>180,1533,2056,1024,2614,4499</v>
      </c>
      <c r="O60" s="210"/>
      <c r="P60" s="210"/>
      <c r="W60" s="15">
        <f t="shared" si="2"/>
        <v>2</v>
      </c>
      <c r="X60" s="15">
        <f t="shared" si="8"/>
        <v>5406</v>
      </c>
      <c r="Y60" s="15">
        <f t="shared" si="3"/>
        <v>325</v>
      </c>
      <c r="Z60" s="15">
        <f t="shared" si="4"/>
        <v>1987</v>
      </c>
      <c r="AA60" s="15">
        <f t="shared" si="5"/>
        <v>2056</v>
      </c>
      <c r="AB60" s="15">
        <f t="shared" si="6"/>
        <v>195</v>
      </c>
      <c r="AC60" s="15">
        <f t="shared" si="7"/>
        <v>1730</v>
      </c>
      <c r="AD60" s="15"/>
      <c r="AE60" s="15" t="str">
        <f>IFERROR(__xludf.DUMMYFUNCTION("""COMPUTED_VALUE"""),"Quals 19")</f>
        <v>Quals 19</v>
      </c>
      <c r="AF60" s="15">
        <f>IFERROR(__xludf.DUMMYFUNCTION("""COMPUTED_VALUE"""),5406.0)</f>
        <v>5406</v>
      </c>
      <c r="AG60" s="15"/>
      <c r="AH60" s="15">
        <f>IFERROR(__xludf.DUMMYFUNCTION("""COMPUTED_VALUE"""),325.0)</f>
        <v>325</v>
      </c>
      <c r="AI60" s="15"/>
      <c r="AJ60" s="15">
        <f>IFERROR(__xludf.DUMMYFUNCTION("""COMPUTED_VALUE"""),1987.0)</f>
        <v>1987</v>
      </c>
      <c r="AK60" s="15"/>
      <c r="AL60" s="15">
        <f>IFERROR(__xludf.DUMMYFUNCTION("""COMPUTED_VALUE"""),2056.0)</f>
        <v>2056</v>
      </c>
      <c r="AM60" s="15"/>
      <c r="AN60" s="15">
        <f>IFERROR(__xludf.DUMMYFUNCTION("""COMPUTED_VALUE"""),195.0)</f>
        <v>195</v>
      </c>
      <c r="AO60" s="15"/>
      <c r="AP60" s="15">
        <f>IFERROR(__xludf.DUMMYFUNCTION("""COMPUTED_VALUE"""),1730.0)</f>
        <v>1730</v>
      </c>
      <c r="AQ60" s="15"/>
      <c r="AR60" s="15">
        <f>IFERROR(__xludf.DUMMYFUNCTION("""COMPUTED_VALUE"""),114.0)</f>
        <v>114</v>
      </c>
      <c r="AS60" s="15">
        <f>IFERROR(__xludf.DUMMYFUNCTION("""COMPUTED_VALUE"""),124.0)</f>
        <v>124</v>
      </c>
    </row>
    <row r="61">
      <c r="A61" s="73">
        <v>60.0</v>
      </c>
      <c r="B61" s="15">
        <f>IFERROR(__xludf.DUMMYFUNCTION("""COMPUTED_VALUE"""),1720.0)</f>
        <v>1720</v>
      </c>
      <c r="C61" s="15">
        <f>IFERROR(__xludf.DUMMYFUNCTION("""COMPUTED_VALUE"""),5484.0)</f>
        <v>5484</v>
      </c>
      <c r="D61" s="15">
        <f>IFERROR(__xludf.DUMMYFUNCTION("""COMPUTED_VALUE"""),3176.0)</f>
        <v>3176</v>
      </c>
      <c r="E61" s="15">
        <f>IFERROR(__xludf.DUMMYFUNCTION("""COMPUTED_VALUE"""),2075.0)</f>
        <v>2075</v>
      </c>
      <c r="F61" s="15">
        <f>IFERROR(__xludf.DUMMYFUNCTION("""COMPUTED_VALUE"""),67.0)</f>
        <v>67</v>
      </c>
      <c r="G61" s="15">
        <f>IFERROR(__xludf.DUMMYFUNCTION("""COMPUTED_VALUE"""),4099.0)</f>
        <v>4099</v>
      </c>
      <c r="N61" s="209" t="str">
        <f t="shared" si="1"/>
        <v>1720,5484,3176,2075,67,4099</v>
      </c>
      <c r="O61" s="210"/>
      <c r="P61" s="210"/>
      <c r="W61" s="15">
        <f t="shared" si="2"/>
        <v>0</v>
      </c>
      <c r="X61" s="15" t="str">
        <f t="shared" si="8"/>
        <v/>
      </c>
      <c r="Y61" s="15" t="str">
        <f t="shared" si="3"/>
        <v/>
      </c>
      <c r="Z61" s="15" t="str">
        <f t="shared" si="4"/>
        <v/>
      </c>
      <c r="AA61" s="15" t="str">
        <f t="shared" si="5"/>
        <v/>
      </c>
      <c r="AB61" s="15" t="str">
        <f t="shared" si="6"/>
        <v/>
      </c>
      <c r="AC61" s="15" t="str">
        <f t="shared" si="7"/>
        <v/>
      </c>
      <c r="AD61" s="15"/>
      <c r="AE61" s="15" t="str">
        <f>IFERROR(__xludf.DUMMYFUNCTION("""COMPUTED_VALUE"""),"Quals 19")</f>
        <v>Quals 19</v>
      </c>
      <c r="AF61" s="15">
        <f>IFERROR(__xludf.DUMMYFUNCTION("""COMPUTED_VALUE"""),5406.0)</f>
        <v>5406</v>
      </c>
      <c r="AG61" s="15"/>
      <c r="AH61" s="15"/>
      <c r="AI61" s="15"/>
      <c r="AJ61" s="15">
        <f>IFERROR(__xludf.DUMMYFUNCTION("""COMPUTED_VALUE"""),325.0)</f>
        <v>325</v>
      </c>
      <c r="AK61" s="15"/>
      <c r="AL61" s="15"/>
      <c r="AM61" s="15"/>
      <c r="AN61" s="15">
        <f>IFERROR(__xludf.DUMMYFUNCTION("""COMPUTED_VALUE"""),1987.0)</f>
        <v>1987</v>
      </c>
      <c r="AO61" s="15"/>
      <c r="AP61" s="15"/>
      <c r="AQ61" s="15"/>
      <c r="AR61" s="15">
        <f>IFERROR(__xludf.DUMMYFUNCTION("""COMPUTED_VALUE"""),114.0)</f>
        <v>114</v>
      </c>
      <c r="AS61" s="15"/>
    </row>
    <row r="62">
      <c r="A62" s="73">
        <v>61.0</v>
      </c>
      <c r="B62" s="15">
        <f>IFERROR(__xludf.DUMMYFUNCTION("""COMPUTED_VALUE"""),1730.0)</f>
        <v>1730</v>
      </c>
      <c r="C62" s="15">
        <f>IFERROR(__xludf.DUMMYFUNCTION("""COMPUTED_VALUE"""),3538.0)</f>
        <v>3538</v>
      </c>
      <c r="D62" s="15">
        <f>IFERROR(__xludf.DUMMYFUNCTION("""COMPUTED_VALUE"""),325.0)</f>
        <v>325</v>
      </c>
      <c r="E62" s="15">
        <f>IFERROR(__xludf.DUMMYFUNCTION("""COMPUTED_VALUE"""),2468.0)</f>
        <v>2468</v>
      </c>
      <c r="F62" s="15">
        <f>IFERROR(__xludf.DUMMYFUNCTION("""COMPUTED_VALUE"""),4635.0)</f>
        <v>4635</v>
      </c>
      <c r="G62" s="15">
        <f>IFERROR(__xludf.DUMMYFUNCTION("""COMPUTED_VALUE"""),33.0)</f>
        <v>33</v>
      </c>
      <c r="N62" s="209" t="str">
        <f t="shared" si="1"/>
        <v>1730,3538,325,2468,4635,33</v>
      </c>
      <c r="O62" s="210"/>
      <c r="P62" s="210"/>
      <c r="W62" s="15">
        <f t="shared" si="2"/>
        <v>1</v>
      </c>
      <c r="X62" s="15" t="str">
        <f t="shared" si="8"/>
        <v/>
      </c>
      <c r="Y62" s="15" t="str">
        <f t="shared" si="3"/>
        <v/>
      </c>
      <c r="Z62" s="15" t="str">
        <f t="shared" si="4"/>
        <v/>
      </c>
      <c r="AA62" s="15" t="str">
        <f t="shared" si="5"/>
        <v/>
      </c>
      <c r="AB62" s="15" t="str">
        <f t="shared" si="6"/>
        <v/>
      </c>
      <c r="AC62" s="15" t="str">
        <f t="shared" si="7"/>
        <v/>
      </c>
      <c r="AD62" s="15"/>
      <c r="AE62" s="15"/>
      <c r="AF62" s="15">
        <f>IFERROR(__xludf.DUMMYFUNCTION("""COMPUTED_VALUE"""),2056.0)</f>
        <v>2056</v>
      </c>
      <c r="AG62" s="15"/>
      <c r="AH62" s="15"/>
      <c r="AI62" s="15"/>
      <c r="AJ62" s="15">
        <f>IFERROR(__xludf.DUMMYFUNCTION("""COMPUTED_VALUE"""),195.0)</f>
        <v>195</v>
      </c>
      <c r="AK62" s="15"/>
      <c r="AL62" s="15"/>
      <c r="AM62" s="15"/>
      <c r="AN62" s="15">
        <f>IFERROR(__xludf.DUMMYFUNCTION("""COMPUTED_VALUE"""),1730.0)</f>
        <v>1730</v>
      </c>
      <c r="AO62" s="15"/>
      <c r="AP62" s="15"/>
      <c r="AQ62" s="15"/>
      <c r="AR62" s="15">
        <f>IFERROR(__xludf.DUMMYFUNCTION("""COMPUTED_VALUE"""),124.0)</f>
        <v>124</v>
      </c>
      <c r="AS62" s="15"/>
    </row>
    <row r="63">
      <c r="A63" s="73">
        <v>62.0</v>
      </c>
      <c r="B63" s="15">
        <f>IFERROR(__xludf.DUMMYFUNCTION("""COMPUTED_VALUE"""),7457.0)</f>
        <v>7457</v>
      </c>
      <c r="C63" s="15">
        <f>IFERROR(__xludf.DUMMYFUNCTION("""COMPUTED_VALUE"""),829.0)</f>
        <v>829</v>
      </c>
      <c r="D63" s="15">
        <f>IFERROR(__xludf.DUMMYFUNCTION("""COMPUTED_VALUE"""),3357.0)</f>
        <v>3357</v>
      </c>
      <c r="E63" s="15">
        <f>IFERROR(__xludf.DUMMYFUNCTION("""COMPUTED_VALUE"""),3940.0)</f>
        <v>3940</v>
      </c>
      <c r="F63" s="15">
        <f>IFERROR(__xludf.DUMMYFUNCTION("""COMPUTED_VALUE"""),2539.0)</f>
        <v>2539</v>
      </c>
      <c r="G63" s="15">
        <f>IFERROR(__xludf.DUMMYFUNCTION("""COMPUTED_VALUE"""),5010.0)</f>
        <v>5010</v>
      </c>
      <c r="N63" s="209" t="str">
        <f t="shared" si="1"/>
        <v>7457,829,3357,3940,2539,5010</v>
      </c>
      <c r="O63" s="210"/>
      <c r="P63" s="210"/>
      <c r="W63" s="15">
        <f t="shared" si="2"/>
        <v>2</v>
      </c>
      <c r="X63" s="15">
        <f t="shared" si="8"/>
        <v>118</v>
      </c>
      <c r="Y63" s="15">
        <f t="shared" si="3"/>
        <v>1023</v>
      </c>
      <c r="Z63" s="15">
        <f t="shared" si="4"/>
        <v>33</v>
      </c>
      <c r="AA63" s="15">
        <f t="shared" si="5"/>
        <v>4926</v>
      </c>
      <c r="AB63" s="15">
        <f t="shared" si="6"/>
        <v>2614</v>
      </c>
      <c r="AC63" s="15">
        <f t="shared" si="7"/>
        <v>829</v>
      </c>
      <c r="AD63" s="15"/>
      <c r="AE63" s="15" t="str">
        <f>IFERROR(__xludf.DUMMYFUNCTION("""COMPUTED_VALUE"""),"Quals 20")</f>
        <v>Quals 20</v>
      </c>
      <c r="AF63" s="15">
        <f>IFERROR(__xludf.DUMMYFUNCTION("""COMPUTED_VALUE"""),118.0)</f>
        <v>118</v>
      </c>
      <c r="AG63" s="15"/>
      <c r="AH63" s="15">
        <f>IFERROR(__xludf.DUMMYFUNCTION("""COMPUTED_VALUE"""),1023.0)</f>
        <v>1023</v>
      </c>
      <c r="AI63" s="15"/>
      <c r="AJ63" s="15">
        <f>IFERROR(__xludf.DUMMYFUNCTION("""COMPUTED_VALUE"""),33.0)</f>
        <v>33</v>
      </c>
      <c r="AK63" s="15"/>
      <c r="AL63" s="15">
        <f>IFERROR(__xludf.DUMMYFUNCTION("""COMPUTED_VALUE"""),4926.0)</f>
        <v>4926</v>
      </c>
      <c r="AM63" s="15"/>
      <c r="AN63" s="15">
        <f>IFERROR(__xludf.DUMMYFUNCTION("""COMPUTED_VALUE"""),2614.0)</f>
        <v>2614</v>
      </c>
      <c r="AO63" s="15"/>
      <c r="AP63" s="15">
        <f>IFERROR(__xludf.DUMMYFUNCTION("""COMPUTED_VALUE"""),829.0)</f>
        <v>829</v>
      </c>
      <c r="AQ63" s="15"/>
      <c r="AR63" s="15">
        <f>IFERROR(__xludf.DUMMYFUNCTION("""COMPUTED_VALUE"""),170.0)</f>
        <v>170</v>
      </c>
      <c r="AS63" s="15">
        <f>IFERROR(__xludf.DUMMYFUNCTION("""COMPUTED_VALUE"""),102.0)</f>
        <v>102</v>
      </c>
    </row>
    <row r="64">
      <c r="A64" s="73">
        <v>63.0</v>
      </c>
      <c r="B64" s="15">
        <f>IFERROR(__xludf.DUMMYFUNCTION("""COMPUTED_VALUE"""),503.0)</f>
        <v>503</v>
      </c>
      <c r="C64" s="15">
        <f>IFERROR(__xludf.DUMMYFUNCTION("""COMPUTED_VALUE"""),4028.0)</f>
        <v>4028</v>
      </c>
      <c r="D64" s="15">
        <f>IFERROR(__xludf.DUMMYFUNCTION("""COMPUTED_VALUE"""),4926.0)</f>
        <v>4926</v>
      </c>
      <c r="E64" s="15">
        <f>IFERROR(__xludf.DUMMYFUNCTION("""COMPUTED_VALUE"""),195.0)</f>
        <v>195</v>
      </c>
      <c r="F64" s="15">
        <f>IFERROR(__xludf.DUMMYFUNCTION("""COMPUTED_VALUE"""),4265.0)</f>
        <v>4265</v>
      </c>
      <c r="G64" s="15">
        <f>IFERROR(__xludf.DUMMYFUNCTION("""COMPUTED_VALUE"""),1706.0)</f>
        <v>1706</v>
      </c>
      <c r="N64" s="209" t="str">
        <f t="shared" si="1"/>
        <v>503,4028,4926,195,4265,1706</v>
      </c>
      <c r="O64" s="210"/>
      <c r="P64" s="210"/>
      <c r="W64" s="15">
        <f t="shared" si="2"/>
        <v>0</v>
      </c>
      <c r="X64" s="15" t="str">
        <f t="shared" si="8"/>
        <v/>
      </c>
      <c r="Y64" s="15" t="str">
        <f t="shared" si="3"/>
        <v/>
      </c>
      <c r="Z64" s="15" t="str">
        <f t="shared" si="4"/>
        <v/>
      </c>
      <c r="AA64" s="15" t="str">
        <f t="shared" si="5"/>
        <v/>
      </c>
      <c r="AB64" s="15" t="str">
        <f t="shared" si="6"/>
        <v/>
      </c>
      <c r="AC64" s="15" t="str">
        <f t="shared" si="7"/>
        <v/>
      </c>
      <c r="AD64" s="15"/>
      <c r="AE64" s="15" t="str">
        <f>IFERROR(__xludf.DUMMYFUNCTION("""COMPUTED_VALUE"""),"Quals 20")</f>
        <v>Quals 20</v>
      </c>
      <c r="AF64" s="15">
        <f>IFERROR(__xludf.DUMMYFUNCTION("""COMPUTED_VALUE"""),118.0)</f>
        <v>118</v>
      </c>
      <c r="AG64" s="15"/>
      <c r="AH64" s="15"/>
      <c r="AI64" s="15"/>
      <c r="AJ64" s="15">
        <f>IFERROR(__xludf.DUMMYFUNCTION("""COMPUTED_VALUE"""),1023.0)</f>
        <v>1023</v>
      </c>
      <c r="AK64" s="15"/>
      <c r="AL64" s="15"/>
      <c r="AM64" s="15"/>
      <c r="AN64" s="15">
        <f>IFERROR(__xludf.DUMMYFUNCTION("""COMPUTED_VALUE"""),33.0)</f>
        <v>33</v>
      </c>
      <c r="AO64" s="15"/>
      <c r="AP64" s="15"/>
      <c r="AQ64" s="15"/>
      <c r="AR64" s="15">
        <f>IFERROR(__xludf.DUMMYFUNCTION("""COMPUTED_VALUE"""),170.0)</f>
        <v>170</v>
      </c>
      <c r="AS64" s="15"/>
    </row>
    <row r="65">
      <c r="A65" s="73">
        <v>64.0</v>
      </c>
      <c r="B65" s="15">
        <f>IFERROR(__xludf.DUMMYFUNCTION("""COMPUTED_VALUE"""),2767.0)</f>
        <v>2767</v>
      </c>
      <c r="C65" s="15">
        <f>IFERROR(__xludf.DUMMYFUNCTION("""COMPUTED_VALUE"""),2338.0)</f>
        <v>2338</v>
      </c>
      <c r="D65" s="15">
        <f>IFERROR(__xludf.DUMMYFUNCTION("""COMPUTED_VALUE"""),1339.0)</f>
        <v>1339</v>
      </c>
      <c r="E65" s="15">
        <f>IFERROR(__xludf.DUMMYFUNCTION("""COMPUTED_VALUE"""),234.0)</f>
        <v>234</v>
      </c>
      <c r="F65" s="15">
        <f>IFERROR(__xludf.DUMMYFUNCTION("""COMPUTED_VALUE"""),5406.0)</f>
        <v>5406</v>
      </c>
      <c r="G65" s="15">
        <f>IFERROR(__xludf.DUMMYFUNCTION("""COMPUTED_VALUE"""),2363.0)</f>
        <v>2363</v>
      </c>
      <c r="N65" s="209" t="str">
        <f t="shared" si="1"/>
        <v>2767,2338,1339,234,5406,2363</v>
      </c>
      <c r="O65" s="210"/>
      <c r="P65" s="210"/>
      <c r="W65" s="15">
        <f t="shared" si="2"/>
        <v>1</v>
      </c>
      <c r="X65" s="15" t="str">
        <f t="shared" si="8"/>
        <v/>
      </c>
      <c r="Y65" s="15" t="str">
        <f t="shared" si="3"/>
        <v/>
      </c>
      <c r="Z65" s="15" t="str">
        <f t="shared" si="4"/>
        <v/>
      </c>
      <c r="AA65" s="15" t="str">
        <f t="shared" si="5"/>
        <v/>
      </c>
      <c r="AB65" s="15" t="str">
        <f t="shared" si="6"/>
        <v/>
      </c>
      <c r="AC65" s="15" t="str">
        <f t="shared" si="7"/>
        <v/>
      </c>
      <c r="AD65" s="15"/>
      <c r="AE65" s="15"/>
      <c r="AF65" s="15">
        <f>IFERROR(__xludf.DUMMYFUNCTION("""COMPUTED_VALUE"""),4926.0)</f>
        <v>4926</v>
      </c>
      <c r="AG65" s="15"/>
      <c r="AH65" s="15"/>
      <c r="AI65" s="15"/>
      <c r="AJ65" s="15">
        <f>IFERROR(__xludf.DUMMYFUNCTION("""COMPUTED_VALUE"""),2614.0)</f>
        <v>2614</v>
      </c>
      <c r="AK65" s="15"/>
      <c r="AL65" s="15"/>
      <c r="AM65" s="15"/>
      <c r="AN65" s="15">
        <f>IFERROR(__xludf.DUMMYFUNCTION("""COMPUTED_VALUE"""),829.0)</f>
        <v>829</v>
      </c>
      <c r="AO65" s="15"/>
      <c r="AP65" s="15"/>
      <c r="AQ65" s="15"/>
      <c r="AR65" s="15">
        <f>IFERROR(__xludf.DUMMYFUNCTION("""COMPUTED_VALUE"""),102.0)</f>
        <v>102</v>
      </c>
      <c r="AS65" s="15"/>
    </row>
    <row r="66">
      <c r="A66" s="73">
        <v>65.0</v>
      </c>
      <c r="B66" s="15">
        <f>IFERROR(__xludf.DUMMYFUNCTION("""COMPUTED_VALUE"""),2056.0)</f>
        <v>2056</v>
      </c>
      <c r="C66" s="15">
        <f>IFERROR(__xludf.DUMMYFUNCTION("""COMPUTED_VALUE"""),27.0)</f>
        <v>27</v>
      </c>
      <c r="D66" s="15">
        <f>IFERROR(__xludf.DUMMYFUNCTION("""COMPUTED_VALUE"""),1023.0)</f>
        <v>1023</v>
      </c>
      <c r="E66" s="15">
        <f>IFERROR(__xludf.DUMMYFUNCTION("""COMPUTED_VALUE"""),118.0)</f>
        <v>118</v>
      </c>
      <c r="F66" s="15">
        <f>IFERROR(__xludf.DUMMYFUNCTION("""COMPUTED_VALUE"""),3176.0)</f>
        <v>3176</v>
      </c>
      <c r="G66" s="15">
        <f>IFERROR(__xludf.DUMMYFUNCTION("""COMPUTED_VALUE"""),67.0)</f>
        <v>67</v>
      </c>
      <c r="N66" s="209" t="str">
        <f t="shared" si="1"/>
        <v>2056,27,1023,118,3176,67</v>
      </c>
      <c r="O66" s="210"/>
      <c r="P66" s="210"/>
      <c r="W66" s="15">
        <f t="shared" si="2"/>
        <v>2</v>
      </c>
      <c r="X66" s="15">
        <f t="shared" si="8"/>
        <v>67</v>
      </c>
      <c r="Y66" s="15">
        <f t="shared" si="3"/>
        <v>3940</v>
      </c>
      <c r="Z66" s="15">
        <f t="shared" si="4"/>
        <v>7457</v>
      </c>
      <c r="AA66" s="15">
        <f t="shared" si="5"/>
        <v>3175</v>
      </c>
      <c r="AB66" s="15">
        <f t="shared" si="6"/>
        <v>2767</v>
      </c>
      <c r="AC66" s="15">
        <f t="shared" si="7"/>
        <v>1024</v>
      </c>
      <c r="AD66" s="15"/>
      <c r="AE66" s="15" t="str">
        <f>IFERROR(__xludf.DUMMYFUNCTION("""COMPUTED_VALUE"""),"Quals 21")</f>
        <v>Quals 21</v>
      </c>
      <c r="AF66" s="15">
        <f>IFERROR(__xludf.DUMMYFUNCTION("""COMPUTED_VALUE"""),67.0)</f>
        <v>67</v>
      </c>
      <c r="AG66" s="15"/>
      <c r="AH66" s="15">
        <f>IFERROR(__xludf.DUMMYFUNCTION("""COMPUTED_VALUE"""),3940.0)</f>
        <v>3940</v>
      </c>
      <c r="AI66" s="15"/>
      <c r="AJ66" s="15">
        <f>IFERROR(__xludf.DUMMYFUNCTION("""COMPUTED_VALUE"""),7457.0)</f>
        <v>7457</v>
      </c>
      <c r="AK66" s="15"/>
      <c r="AL66" s="15">
        <f>IFERROR(__xludf.DUMMYFUNCTION("""COMPUTED_VALUE"""),3175.0)</f>
        <v>3175</v>
      </c>
      <c r="AM66" s="15"/>
      <c r="AN66" s="15">
        <f>IFERROR(__xludf.DUMMYFUNCTION("""COMPUTED_VALUE"""),2767.0)</f>
        <v>2767</v>
      </c>
      <c r="AO66" s="15"/>
      <c r="AP66" s="15">
        <f>IFERROR(__xludf.DUMMYFUNCTION("""COMPUTED_VALUE"""),1024.0)</f>
        <v>1024</v>
      </c>
      <c r="AQ66" s="15"/>
      <c r="AR66" s="15">
        <f>IFERROR(__xludf.DUMMYFUNCTION("""COMPUTED_VALUE"""),102.0)</f>
        <v>102</v>
      </c>
      <c r="AS66" s="15">
        <f>IFERROR(__xludf.DUMMYFUNCTION("""COMPUTED_VALUE"""),109.0)</f>
        <v>109</v>
      </c>
    </row>
    <row r="67">
      <c r="A67" s="73">
        <v>66.0</v>
      </c>
      <c r="B67" s="15">
        <f>IFERROR(__xludf.DUMMYFUNCTION("""COMPUTED_VALUE"""),33.0)</f>
        <v>33</v>
      </c>
      <c r="C67" s="15">
        <f>IFERROR(__xludf.DUMMYFUNCTION("""COMPUTED_VALUE"""),3175.0)</f>
        <v>3175</v>
      </c>
      <c r="D67" s="15">
        <f>IFERROR(__xludf.DUMMYFUNCTION("""COMPUTED_VALUE"""),1720.0)</f>
        <v>1720</v>
      </c>
      <c r="E67" s="15">
        <f>IFERROR(__xludf.DUMMYFUNCTION("""COMPUTED_VALUE"""),5484.0)</f>
        <v>5484</v>
      </c>
      <c r="F67" s="15">
        <f>IFERROR(__xludf.DUMMYFUNCTION("""COMPUTED_VALUE"""),1024.0)</f>
        <v>1024</v>
      </c>
      <c r="G67" s="15">
        <f>IFERROR(__xludf.DUMMYFUNCTION("""COMPUTED_VALUE"""),5712.0)</f>
        <v>5712</v>
      </c>
      <c r="N67" s="209" t="str">
        <f t="shared" si="1"/>
        <v>33,3175,1720,5484,1024,5712</v>
      </c>
      <c r="O67" s="210"/>
      <c r="P67" s="210"/>
      <c r="W67" s="15">
        <f t="shared" si="2"/>
        <v>0</v>
      </c>
      <c r="X67" s="15" t="str">
        <f t="shared" si="8"/>
        <v/>
      </c>
      <c r="Y67" s="15" t="str">
        <f t="shared" si="3"/>
        <v/>
      </c>
      <c r="Z67" s="15" t="str">
        <f t="shared" si="4"/>
        <v/>
      </c>
      <c r="AA67" s="15" t="str">
        <f t="shared" si="5"/>
        <v/>
      </c>
      <c r="AB67" s="15" t="str">
        <f t="shared" si="6"/>
        <v/>
      </c>
      <c r="AC67" s="15" t="str">
        <f t="shared" si="7"/>
        <v/>
      </c>
      <c r="AD67" s="15"/>
      <c r="AE67" s="15" t="str">
        <f>IFERROR(__xludf.DUMMYFUNCTION("""COMPUTED_VALUE"""),"Quals 21")</f>
        <v>Quals 21</v>
      </c>
      <c r="AF67" s="15">
        <f>IFERROR(__xludf.DUMMYFUNCTION("""COMPUTED_VALUE"""),67.0)</f>
        <v>67</v>
      </c>
      <c r="AG67" s="15"/>
      <c r="AH67" s="15"/>
      <c r="AI67" s="15"/>
      <c r="AJ67" s="15">
        <f>IFERROR(__xludf.DUMMYFUNCTION("""COMPUTED_VALUE"""),3940.0)</f>
        <v>3940</v>
      </c>
      <c r="AK67" s="15"/>
      <c r="AL67" s="15"/>
      <c r="AM67" s="15"/>
      <c r="AN67" s="15">
        <f>IFERROR(__xludf.DUMMYFUNCTION("""COMPUTED_VALUE"""),7457.0)</f>
        <v>7457</v>
      </c>
      <c r="AO67" s="15"/>
      <c r="AP67" s="15"/>
      <c r="AQ67" s="15"/>
      <c r="AR67" s="15">
        <f>IFERROR(__xludf.DUMMYFUNCTION("""COMPUTED_VALUE"""),102.0)</f>
        <v>102</v>
      </c>
      <c r="AS67" s="15"/>
    </row>
    <row r="68">
      <c r="A68" s="73">
        <v>67.0</v>
      </c>
      <c r="B68" s="15">
        <f>IFERROR(__xludf.DUMMYFUNCTION("""COMPUTED_VALUE"""),1533.0)</f>
        <v>1533</v>
      </c>
      <c r="C68" s="15">
        <f>IFERROR(__xludf.DUMMYFUNCTION("""COMPUTED_VALUE"""),624.0)</f>
        <v>624</v>
      </c>
      <c r="D68" s="15">
        <f>IFERROR(__xludf.DUMMYFUNCTION("""COMPUTED_VALUE"""),1730.0)</f>
        <v>1730</v>
      </c>
      <c r="E68" s="15">
        <f>IFERROR(__xludf.DUMMYFUNCTION("""COMPUTED_VALUE"""),3538.0)</f>
        <v>3538</v>
      </c>
      <c r="F68" s="15">
        <f>IFERROR(__xludf.DUMMYFUNCTION("""COMPUTED_VALUE"""),1732.0)</f>
        <v>1732</v>
      </c>
      <c r="G68" s="15">
        <f>IFERROR(__xludf.DUMMYFUNCTION("""COMPUTED_VALUE"""),829.0)</f>
        <v>829</v>
      </c>
      <c r="N68" s="209" t="str">
        <f t="shared" si="1"/>
        <v>1533,624,1730,3538,1732,829</v>
      </c>
      <c r="O68" s="210"/>
      <c r="P68" s="210"/>
      <c r="W68" s="15">
        <f t="shared" si="2"/>
        <v>1</v>
      </c>
      <c r="X68" s="15" t="str">
        <f t="shared" si="8"/>
        <v/>
      </c>
      <c r="Y68" s="15" t="str">
        <f t="shared" si="3"/>
        <v/>
      </c>
      <c r="Z68" s="15" t="str">
        <f t="shared" si="4"/>
        <v/>
      </c>
      <c r="AA68" s="15" t="str">
        <f t="shared" si="5"/>
        <v/>
      </c>
      <c r="AB68" s="15" t="str">
        <f t="shared" si="6"/>
        <v/>
      </c>
      <c r="AC68" s="15" t="str">
        <f t="shared" si="7"/>
        <v/>
      </c>
      <c r="AD68" s="15"/>
      <c r="AE68" s="15"/>
      <c r="AF68" s="15">
        <f>IFERROR(__xludf.DUMMYFUNCTION("""COMPUTED_VALUE"""),3175.0)</f>
        <v>3175</v>
      </c>
      <c r="AG68" s="15"/>
      <c r="AH68" s="15"/>
      <c r="AI68" s="15"/>
      <c r="AJ68" s="15">
        <f>IFERROR(__xludf.DUMMYFUNCTION("""COMPUTED_VALUE"""),2767.0)</f>
        <v>2767</v>
      </c>
      <c r="AK68" s="15"/>
      <c r="AL68" s="15"/>
      <c r="AM68" s="15"/>
      <c r="AN68" s="15">
        <f>IFERROR(__xludf.DUMMYFUNCTION("""COMPUTED_VALUE"""),1024.0)</f>
        <v>1024</v>
      </c>
      <c r="AO68" s="15"/>
      <c r="AP68" s="15"/>
      <c r="AQ68" s="15"/>
      <c r="AR68" s="15">
        <f>IFERROR(__xludf.DUMMYFUNCTION("""COMPUTED_VALUE"""),109.0)</f>
        <v>109</v>
      </c>
      <c r="AS68" s="15"/>
    </row>
    <row r="69">
      <c r="A69" s="73">
        <v>68.0</v>
      </c>
      <c r="B69" s="15">
        <f>IFERROR(__xludf.DUMMYFUNCTION("""COMPUTED_VALUE"""),3357.0)</f>
        <v>3357</v>
      </c>
      <c r="C69" s="15">
        <f>IFERROR(__xludf.DUMMYFUNCTION("""COMPUTED_VALUE"""),2468.0)</f>
        <v>2468</v>
      </c>
      <c r="D69" s="15">
        <f>IFERROR(__xludf.DUMMYFUNCTION("""COMPUTED_VALUE"""),4265.0)</f>
        <v>4265</v>
      </c>
      <c r="E69" s="15">
        <f>IFERROR(__xludf.DUMMYFUNCTION("""COMPUTED_VALUE"""),1706.0)</f>
        <v>1706</v>
      </c>
      <c r="F69" s="15">
        <f>IFERROR(__xludf.DUMMYFUNCTION("""COMPUTED_VALUE"""),503.0)</f>
        <v>503</v>
      </c>
      <c r="G69" s="15">
        <f>IFERROR(__xludf.DUMMYFUNCTION("""COMPUTED_VALUE"""),340.0)</f>
        <v>340</v>
      </c>
      <c r="N69" s="209" t="str">
        <f t="shared" si="1"/>
        <v>3357,2468,4265,1706,503,340</v>
      </c>
      <c r="O69" s="210"/>
      <c r="P69" s="210"/>
      <c r="W69" s="15">
        <f t="shared" si="2"/>
        <v>2</v>
      </c>
      <c r="X69" s="15">
        <f t="shared" si="8"/>
        <v>1706</v>
      </c>
      <c r="Y69" s="15">
        <f t="shared" si="3"/>
        <v>4499</v>
      </c>
      <c r="Z69" s="15">
        <f t="shared" si="4"/>
        <v>587</v>
      </c>
      <c r="AA69" s="15">
        <f t="shared" si="5"/>
        <v>340</v>
      </c>
      <c r="AB69" s="15">
        <f t="shared" si="6"/>
        <v>1720</v>
      </c>
      <c r="AC69" s="15">
        <f t="shared" si="7"/>
        <v>2363</v>
      </c>
      <c r="AD69" s="15"/>
      <c r="AE69" s="15" t="str">
        <f>IFERROR(__xludf.DUMMYFUNCTION("""COMPUTED_VALUE"""),"Quals 22")</f>
        <v>Quals 22</v>
      </c>
      <c r="AF69" s="15">
        <f>IFERROR(__xludf.DUMMYFUNCTION("""COMPUTED_VALUE"""),1706.0)</f>
        <v>1706</v>
      </c>
      <c r="AG69" s="15"/>
      <c r="AH69" s="15">
        <f>IFERROR(__xludf.DUMMYFUNCTION("""COMPUTED_VALUE"""),4499.0)</f>
        <v>4499</v>
      </c>
      <c r="AI69" s="15"/>
      <c r="AJ69" s="15">
        <f>IFERROR(__xludf.DUMMYFUNCTION("""COMPUTED_VALUE"""),587.0)</f>
        <v>587</v>
      </c>
      <c r="AK69" s="15"/>
      <c r="AL69" s="15">
        <f>IFERROR(__xludf.DUMMYFUNCTION("""COMPUTED_VALUE"""),340.0)</f>
        <v>340</v>
      </c>
      <c r="AM69" s="15"/>
      <c r="AN69" s="15">
        <f>IFERROR(__xludf.DUMMYFUNCTION("""COMPUTED_VALUE"""),1720.0)</f>
        <v>1720</v>
      </c>
      <c r="AO69" s="15"/>
      <c r="AP69" s="15">
        <f>IFERROR(__xludf.DUMMYFUNCTION("""COMPUTED_VALUE"""),2363.0)</f>
        <v>2363</v>
      </c>
      <c r="AQ69" s="15"/>
      <c r="AR69" s="15">
        <f>IFERROR(__xludf.DUMMYFUNCTION("""COMPUTED_VALUE"""),149.0)</f>
        <v>149</v>
      </c>
      <c r="AS69" s="15">
        <f>IFERROR(__xludf.DUMMYFUNCTION("""COMPUTED_VALUE"""),72.0)</f>
        <v>72</v>
      </c>
    </row>
    <row r="70">
      <c r="A70" s="73">
        <v>69.0</v>
      </c>
      <c r="B70" s="15">
        <f>IFERROR(__xludf.DUMMYFUNCTION("""COMPUTED_VALUE"""),1339.0)</f>
        <v>1339</v>
      </c>
      <c r="C70" s="15">
        <f>IFERROR(__xludf.DUMMYFUNCTION("""COMPUTED_VALUE"""),4635.0)</f>
        <v>4635</v>
      </c>
      <c r="D70" s="15">
        <f>IFERROR(__xludf.DUMMYFUNCTION("""COMPUTED_VALUE"""),5406.0)</f>
        <v>5406</v>
      </c>
      <c r="E70" s="15">
        <f>IFERROR(__xludf.DUMMYFUNCTION("""COMPUTED_VALUE"""),4926.0)</f>
        <v>4926</v>
      </c>
      <c r="F70" s="15">
        <f>IFERROR(__xludf.DUMMYFUNCTION("""COMPUTED_VALUE"""),4499.0)</f>
        <v>4499</v>
      </c>
      <c r="G70" s="15">
        <f>IFERROR(__xludf.DUMMYFUNCTION("""COMPUTED_VALUE"""),3940.0)</f>
        <v>3940</v>
      </c>
      <c r="N70" s="209" t="str">
        <f t="shared" si="1"/>
        <v>1339,4635,5406,4926,4499,3940</v>
      </c>
      <c r="O70" s="210"/>
      <c r="P70" s="210"/>
      <c r="W70" s="15">
        <f t="shared" si="2"/>
        <v>0</v>
      </c>
      <c r="X70" s="15" t="str">
        <f t="shared" si="8"/>
        <v/>
      </c>
      <c r="Y70" s="15" t="str">
        <f t="shared" si="3"/>
        <v/>
      </c>
      <c r="Z70" s="15" t="str">
        <f t="shared" si="4"/>
        <v/>
      </c>
      <c r="AA70" s="15" t="str">
        <f t="shared" si="5"/>
        <v/>
      </c>
      <c r="AB70" s="15" t="str">
        <f t="shared" si="6"/>
        <v/>
      </c>
      <c r="AC70" s="15" t="str">
        <f t="shared" si="7"/>
        <v/>
      </c>
      <c r="AD70" s="15"/>
      <c r="AE70" s="15" t="str">
        <f>IFERROR(__xludf.DUMMYFUNCTION("""COMPUTED_VALUE"""),"Quals 22")</f>
        <v>Quals 22</v>
      </c>
      <c r="AF70" s="15">
        <f>IFERROR(__xludf.DUMMYFUNCTION("""COMPUTED_VALUE"""),1706.0)</f>
        <v>1706</v>
      </c>
      <c r="AG70" s="15"/>
      <c r="AH70" s="15"/>
      <c r="AI70" s="15"/>
      <c r="AJ70" s="15">
        <f>IFERROR(__xludf.DUMMYFUNCTION("""COMPUTED_VALUE"""),4499.0)</f>
        <v>4499</v>
      </c>
      <c r="AK70" s="15"/>
      <c r="AL70" s="15"/>
      <c r="AM70" s="15"/>
      <c r="AN70" s="15">
        <f>IFERROR(__xludf.DUMMYFUNCTION("""COMPUTED_VALUE"""),587.0)</f>
        <v>587</v>
      </c>
      <c r="AO70" s="15"/>
      <c r="AP70" s="15"/>
      <c r="AQ70" s="15"/>
      <c r="AR70" s="15">
        <f>IFERROR(__xludf.DUMMYFUNCTION("""COMPUTED_VALUE"""),149.0)</f>
        <v>149</v>
      </c>
      <c r="AS70" s="15"/>
    </row>
    <row r="71">
      <c r="A71" s="73">
        <v>70.0</v>
      </c>
      <c r="B71" s="15">
        <f>IFERROR(__xludf.DUMMYFUNCTION("""COMPUTED_VALUE"""),325.0)</f>
        <v>325</v>
      </c>
      <c r="C71" s="15">
        <f>IFERROR(__xludf.DUMMYFUNCTION("""COMPUTED_VALUE"""),2338.0)</f>
        <v>2338</v>
      </c>
      <c r="D71" s="15">
        <f>IFERROR(__xludf.DUMMYFUNCTION("""COMPUTED_VALUE"""),2614.0)</f>
        <v>2614</v>
      </c>
      <c r="E71" s="15">
        <f>IFERROR(__xludf.DUMMYFUNCTION("""COMPUTED_VALUE"""),7457.0)</f>
        <v>7457</v>
      </c>
      <c r="F71" s="15">
        <f>IFERROR(__xludf.DUMMYFUNCTION("""COMPUTED_VALUE"""),694.0)</f>
        <v>694</v>
      </c>
      <c r="G71" s="15">
        <f>IFERROR(__xludf.DUMMYFUNCTION("""COMPUTED_VALUE"""),4028.0)</f>
        <v>4028</v>
      </c>
      <c r="N71" s="209" t="str">
        <f t="shared" si="1"/>
        <v>325,2338,2614,7457,694,4028</v>
      </c>
      <c r="O71" s="210"/>
      <c r="P71" s="210"/>
      <c r="W71" s="15">
        <f t="shared" si="2"/>
        <v>1</v>
      </c>
      <c r="X71" s="15" t="str">
        <f t="shared" si="8"/>
        <v/>
      </c>
      <c r="Y71" s="15" t="str">
        <f t="shared" si="3"/>
        <v/>
      </c>
      <c r="Z71" s="15" t="str">
        <f t="shared" si="4"/>
        <v/>
      </c>
      <c r="AA71" s="15" t="str">
        <f t="shared" si="5"/>
        <v/>
      </c>
      <c r="AB71" s="15" t="str">
        <f t="shared" si="6"/>
        <v/>
      </c>
      <c r="AC71" s="15" t="str">
        <f t="shared" si="7"/>
        <v/>
      </c>
      <c r="AD71" s="15"/>
      <c r="AE71" s="15"/>
      <c r="AF71" s="15">
        <f>IFERROR(__xludf.DUMMYFUNCTION("""COMPUTED_VALUE"""),340.0)</f>
        <v>340</v>
      </c>
      <c r="AG71" s="15"/>
      <c r="AH71" s="15"/>
      <c r="AI71" s="15"/>
      <c r="AJ71" s="15">
        <f>IFERROR(__xludf.DUMMYFUNCTION("""COMPUTED_VALUE"""),1720.0)</f>
        <v>1720</v>
      </c>
      <c r="AK71" s="15"/>
      <c r="AL71" s="15"/>
      <c r="AM71" s="15"/>
      <c r="AN71" s="15">
        <f>IFERROR(__xludf.DUMMYFUNCTION("""COMPUTED_VALUE"""),2363.0)</f>
        <v>2363</v>
      </c>
      <c r="AO71" s="15"/>
      <c r="AP71" s="15"/>
      <c r="AQ71" s="15"/>
      <c r="AR71" s="15">
        <f>IFERROR(__xludf.DUMMYFUNCTION("""COMPUTED_VALUE"""),72.0)</f>
        <v>72</v>
      </c>
      <c r="AS71" s="15"/>
    </row>
    <row r="72">
      <c r="A72" s="73">
        <v>71.0</v>
      </c>
      <c r="B72" s="15">
        <f>IFERROR(__xludf.DUMMYFUNCTION("""COMPUTED_VALUE"""),2363.0)</f>
        <v>2363</v>
      </c>
      <c r="C72" s="15">
        <f>IFERROR(__xludf.DUMMYFUNCTION("""COMPUTED_VALUE"""),4143.0)</f>
        <v>4143</v>
      </c>
      <c r="D72" s="15">
        <f>IFERROR(__xludf.DUMMYFUNCTION("""COMPUTED_VALUE"""),195.0)</f>
        <v>195</v>
      </c>
      <c r="E72" s="15">
        <f>IFERROR(__xludf.DUMMYFUNCTION("""COMPUTED_VALUE"""),2075.0)</f>
        <v>2075</v>
      </c>
      <c r="F72" s="15">
        <f>IFERROR(__xludf.DUMMYFUNCTION("""COMPUTED_VALUE"""),234.0)</f>
        <v>234</v>
      </c>
      <c r="G72" s="15">
        <f>IFERROR(__xludf.DUMMYFUNCTION("""COMPUTED_VALUE"""),2539.0)</f>
        <v>2539</v>
      </c>
      <c r="N72" s="209" t="str">
        <f t="shared" si="1"/>
        <v>2363,4143,195,2075,234,2539</v>
      </c>
      <c r="O72" s="210"/>
      <c r="P72" s="210"/>
      <c r="W72" s="15">
        <f t="shared" si="2"/>
        <v>2</v>
      </c>
      <c r="X72" s="15">
        <f t="shared" si="8"/>
        <v>503</v>
      </c>
      <c r="Y72" s="15">
        <f t="shared" si="3"/>
        <v>234</v>
      </c>
      <c r="Z72" s="15">
        <f t="shared" si="4"/>
        <v>1732</v>
      </c>
      <c r="AA72" s="15">
        <f t="shared" si="5"/>
        <v>4099</v>
      </c>
      <c r="AB72" s="15">
        <f t="shared" si="6"/>
        <v>3538</v>
      </c>
      <c r="AC72" s="15">
        <f t="shared" si="7"/>
        <v>4635</v>
      </c>
      <c r="AD72" s="15"/>
      <c r="AE72" s="15" t="str">
        <f>IFERROR(__xludf.DUMMYFUNCTION("""COMPUTED_VALUE"""),"Quals 23")</f>
        <v>Quals 23</v>
      </c>
      <c r="AF72" s="15">
        <f>IFERROR(__xludf.DUMMYFUNCTION("""COMPUTED_VALUE"""),503.0)</f>
        <v>503</v>
      </c>
      <c r="AG72" s="15"/>
      <c r="AH72" s="15">
        <f>IFERROR(__xludf.DUMMYFUNCTION("""COMPUTED_VALUE"""),234.0)</f>
        <v>234</v>
      </c>
      <c r="AI72" s="15"/>
      <c r="AJ72" s="15">
        <f>IFERROR(__xludf.DUMMYFUNCTION("""COMPUTED_VALUE"""),1732.0)</f>
        <v>1732</v>
      </c>
      <c r="AK72" s="15"/>
      <c r="AL72" s="15">
        <f>IFERROR(__xludf.DUMMYFUNCTION("""COMPUTED_VALUE"""),4099.0)</f>
        <v>4099</v>
      </c>
      <c r="AM72" s="15"/>
      <c r="AN72" s="15">
        <f>IFERROR(__xludf.DUMMYFUNCTION("""COMPUTED_VALUE"""),3538.0)</f>
        <v>3538</v>
      </c>
      <c r="AO72" s="15"/>
      <c r="AP72" s="15">
        <f>IFERROR(__xludf.DUMMYFUNCTION("""COMPUTED_VALUE"""),4635.0)</f>
        <v>4635</v>
      </c>
      <c r="AQ72" s="15"/>
      <c r="AR72" s="15">
        <f>IFERROR(__xludf.DUMMYFUNCTION("""COMPUTED_VALUE"""),86.0)</f>
        <v>86</v>
      </c>
      <c r="AS72" s="15">
        <f>IFERROR(__xludf.DUMMYFUNCTION("""COMPUTED_VALUE"""),120.0)</f>
        <v>120</v>
      </c>
    </row>
    <row r="73">
      <c r="A73" s="73">
        <v>72.0</v>
      </c>
      <c r="B73" s="15">
        <f>IFERROR(__xludf.DUMMYFUNCTION("""COMPUTED_VALUE"""),587.0)</f>
        <v>587</v>
      </c>
      <c r="C73" s="15">
        <f>IFERROR(__xludf.DUMMYFUNCTION("""COMPUTED_VALUE"""),4099.0)</f>
        <v>4099</v>
      </c>
      <c r="D73" s="15">
        <f>IFERROR(__xludf.DUMMYFUNCTION("""COMPUTED_VALUE"""),5010.0)</f>
        <v>5010</v>
      </c>
      <c r="E73" s="15">
        <f>IFERROR(__xludf.DUMMYFUNCTION("""COMPUTED_VALUE"""),2767.0)</f>
        <v>2767</v>
      </c>
      <c r="F73" s="15">
        <f>IFERROR(__xludf.DUMMYFUNCTION("""COMPUTED_VALUE"""),180.0)</f>
        <v>180</v>
      </c>
      <c r="G73" s="15">
        <f>IFERROR(__xludf.DUMMYFUNCTION("""COMPUTED_VALUE"""),1987.0)</f>
        <v>1987</v>
      </c>
      <c r="N73" s="209" t="str">
        <f t="shared" si="1"/>
        <v>587,4099,5010,2767,180,1987</v>
      </c>
      <c r="O73" s="210"/>
      <c r="P73" s="210"/>
      <c r="W73" s="15">
        <f t="shared" si="2"/>
        <v>0</v>
      </c>
      <c r="X73" s="15" t="str">
        <f t="shared" si="8"/>
        <v/>
      </c>
      <c r="Y73" s="15" t="str">
        <f t="shared" si="3"/>
        <v/>
      </c>
      <c r="Z73" s="15" t="str">
        <f t="shared" si="4"/>
        <v/>
      </c>
      <c r="AA73" s="15" t="str">
        <f t="shared" si="5"/>
        <v/>
      </c>
      <c r="AB73" s="15" t="str">
        <f t="shared" si="6"/>
        <v/>
      </c>
      <c r="AC73" s="15" t="str">
        <f t="shared" si="7"/>
        <v/>
      </c>
      <c r="AD73" s="15"/>
      <c r="AE73" s="15" t="str">
        <f>IFERROR(__xludf.DUMMYFUNCTION("""COMPUTED_VALUE"""),"Quals 23")</f>
        <v>Quals 23</v>
      </c>
      <c r="AF73" s="15">
        <f>IFERROR(__xludf.DUMMYFUNCTION("""COMPUTED_VALUE"""),503.0)</f>
        <v>503</v>
      </c>
      <c r="AG73" s="15"/>
      <c r="AH73" s="15"/>
      <c r="AI73" s="15"/>
      <c r="AJ73" s="15">
        <f>IFERROR(__xludf.DUMMYFUNCTION("""COMPUTED_VALUE"""),234.0)</f>
        <v>234</v>
      </c>
      <c r="AK73" s="15"/>
      <c r="AL73" s="15"/>
      <c r="AM73" s="15"/>
      <c r="AN73" s="15">
        <f>IFERROR(__xludf.DUMMYFUNCTION("""COMPUTED_VALUE"""),1732.0)</f>
        <v>1732</v>
      </c>
      <c r="AO73" s="15"/>
      <c r="AP73" s="15"/>
      <c r="AQ73" s="15"/>
      <c r="AR73" s="15">
        <f>IFERROR(__xludf.DUMMYFUNCTION("""COMPUTED_VALUE"""),86.0)</f>
        <v>86</v>
      </c>
      <c r="AS73" s="15"/>
    </row>
    <row r="74">
      <c r="A74" s="73">
        <v>73.0</v>
      </c>
      <c r="B74" s="15">
        <f>IFERROR(__xludf.DUMMYFUNCTION("""COMPUTED_VALUE"""),829.0)</f>
        <v>829</v>
      </c>
      <c r="C74" s="15">
        <f>IFERROR(__xludf.DUMMYFUNCTION("""COMPUTED_VALUE"""),1720.0)</f>
        <v>1720</v>
      </c>
      <c r="D74" s="15">
        <f>IFERROR(__xludf.DUMMYFUNCTION("""COMPUTED_VALUE"""),67.0)</f>
        <v>67</v>
      </c>
      <c r="E74" s="15">
        <f>IFERROR(__xludf.DUMMYFUNCTION("""COMPUTED_VALUE"""),5712.0)</f>
        <v>5712</v>
      </c>
      <c r="F74" s="15">
        <f>IFERROR(__xludf.DUMMYFUNCTION("""COMPUTED_VALUE"""),340.0)</f>
        <v>340</v>
      </c>
      <c r="G74" s="15">
        <f>IFERROR(__xludf.DUMMYFUNCTION("""COMPUTED_VALUE"""),3538.0)</f>
        <v>3538</v>
      </c>
      <c r="N74" s="209" t="str">
        <f t="shared" si="1"/>
        <v>829,1720,67,5712,340,3538</v>
      </c>
      <c r="O74" s="210"/>
      <c r="P74" s="210"/>
      <c r="W74" s="15">
        <f t="shared" si="2"/>
        <v>1</v>
      </c>
      <c r="X74" s="15" t="str">
        <f t="shared" si="8"/>
        <v/>
      </c>
      <c r="Y74" s="15" t="str">
        <f t="shared" si="3"/>
        <v/>
      </c>
      <c r="Z74" s="15" t="str">
        <f t="shared" si="4"/>
        <v/>
      </c>
      <c r="AA74" s="15" t="str">
        <f t="shared" si="5"/>
        <v/>
      </c>
      <c r="AB74" s="15" t="str">
        <f t="shared" si="6"/>
        <v/>
      </c>
      <c r="AC74" s="15" t="str">
        <f t="shared" si="7"/>
        <v/>
      </c>
      <c r="AD74" s="15"/>
      <c r="AE74" s="15"/>
      <c r="AF74" s="15">
        <f>IFERROR(__xludf.DUMMYFUNCTION("""COMPUTED_VALUE"""),4099.0)</f>
        <v>4099</v>
      </c>
      <c r="AG74" s="15"/>
      <c r="AH74" s="15"/>
      <c r="AI74" s="15"/>
      <c r="AJ74" s="15">
        <f>IFERROR(__xludf.DUMMYFUNCTION("""COMPUTED_VALUE"""),3538.0)</f>
        <v>3538</v>
      </c>
      <c r="AK74" s="15"/>
      <c r="AL74" s="15"/>
      <c r="AM74" s="15"/>
      <c r="AN74" s="15">
        <f>IFERROR(__xludf.DUMMYFUNCTION("""COMPUTED_VALUE"""),4635.0)</f>
        <v>4635</v>
      </c>
      <c r="AO74" s="15"/>
      <c r="AP74" s="15"/>
      <c r="AQ74" s="15"/>
      <c r="AR74" s="15">
        <f>IFERROR(__xludf.DUMMYFUNCTION("""COMPUTED_VALUE"""),120.0)</f>
        <v>120</v>
      </c>
      <c r="AS74" s="15"/>
    </row>
    <row r="75">
      <c r="A75" s="73">
        <v>74.0</v>
      </c>
      <c r="B75" s="15">
        <f>IFERROR(__xludf.DUMMYFUNCTION("""COMPUTED_VALUE"""),1024.0)</f>
        <v>1024</v>
      </c>
      <c r="C75" s="15">
        <f>IFERROR(__xludf.DUMMYFUNCTION("""COMPUTED_VALUE"""),33.0)</f>
        <v>33</v>
      </c>
      <c r="D75" s="15">
        <f>IFERROR(__xludf.DUMMYFUNCTION("""COMPUTED_VALUE"""),624.0)</f>
        <v>624</v>
      </c>
      <c r="E75" s="15">
        <f>IFERROR(__xludf.DUMMYFUNCTION("""COMPUTED_VALUE"""),5406.0)</f>
        <v>5406</v>
      </c>
      <c r="F75" s="15">
        <f>IFERROR(__xludf.DUMMYFUNCTION("""COMPUTED_VALUE"""),4265.0)</f>
        <v>4265</v>
      </c>
      <c r="G75" s="15">
        <f>IFERROR(__xludf.DUMMYFUNCTION("""COMPUTED_VALUE"""),4499.0)</f>
        <v>4499</v>
      </c>
      <c r="N75" s="209" t="str">
        <f t="shared" si="1"/>
        <v>1024,33,624,5406,4265,4499</v>
      </c>
      <c r="O75" s="210"/>
      <c r="P75" s="210"/>
      <c r="W75" s="15">
        <f t="shared" si="2"/>
        <v>2</v>
      </c>
      <c r="X75" s="15">
        <f t="shared" si="8"/>
        <v>3176</v>
      </c>
      <c r="Y75" s="15">
        <f t="shared" si="3"/>
        <v>694</v>
      </c>
      <c r="Z75" s="15">
        <f t="shared" si="4"/>
        <v>2338</v>
      </c>
      <c r="AA75" s="15">
        <f t="shared" si="5"/>
        <v>5010</v>
      </c>
      <c r="AB75" s="15">
        <f t="shared" si="6"/>
        <v>180</v>
      </c>
      <c r="AC75" s="15">
        <f t="shared" si="7"/>
        <v>624</v>
      </c>
      <c r="AD75" s="15"/>
      <c r="AE75" s="15" t="str">
        <f>IFERROR(__xludf.DUMMYFUNCTION("""COMPUTED_VALUE"""),"Quals 24")</f>
        <v>Quals 24</v>
      </c>
      <c r="AF75" s="15">
        <f>IFERROR(__xludf.DUMMYFUNCTION("""COMPUTED_VALUE"""),3176.0)</f>
        <v>3176</v>
      </c>
      <c r="AG75" s="15"/>
      <c r="AH75" s="15">
        <f>IFERROR(__xludf.DUMMYFUNCTION("""COMPUTED_VALUE"""),694.0)</f>
        <v>694</v>
      </c>
      <c r="AI75" s="15"/>
      <c r="AJ75" s="15">
        <f>IFERROR(__xludf.DUMMYFUNCTION("""COMPUTED_VALUE"""),2338.0)</f>
        <v>2338</v>
      </c>
      <c r="AK75" s="15"/>
      <c r="AL75" s="15">
        <f>IFERROR(__xludf.DUMMYFUNCTION("""COMPUTED_VALUE"""),5010.0)</f>
        <v>5010</v>
      </c>
      <c r="AM75" s="15"/>
      <c r="AN75" s="15">
        <f>IFERROR(__xludf.DUMMYFUNCTION("""COMPUTED_VALUE"""),180.0)</f>
        <v>180</v>
      </c>
      <c r="AO75" s="15"/>
      <c r="AP75" s="15">
        <f>IFERROR(__xludf.DUMMYFUNCTION("""COMPUTED_VALUE"""),624.0)</f>
        <v>624</v>
      </c>
      <c r="AQ75" s="15"/>
      <c r="AR75" s="15">
        <f>IFERROR(__xludf.DUMMYFUNCTION("""COMPUTED_VALUE"""),102.0)</f>
        <v>102</v>
      </c>
      <c r="AS75" s="15">
        <f>IFERROR(__xludf.DUMMYFUNCTION("""COMPUTED_VALUE"""),77.0)</f>
        <v>77</v>
      </c>
    </row>
    <row r="76">
      <c r="A76" s="73">
        <v>75.0</v>
      </c>
      <c r="B76" s="15">
        <f>IFERROR(__xludf.DUMMYFUNCTION("""COMPUTED_VALUE"""),4028.0)</f>
        <v>4028</v>
      </c>
      <c r="C76" s="15">
        <f>IFERROR(__xludf.DUMMYFUNCTION("""COMPUTED_VALUE"""),1730.0)</f>
        <v>1730</v>
      </c>
      <c r="D76" s="15">
        <f>IFERROR(__xludf.DUMMYFUNCTION("""COMPUTED_VALUE"""),2468.0)</f>
        <v>2468</v>
      </c>
      <c r="E76" s="15">
        <f>IFERROR(__xludf.DUMMYFUNCTION("""COMPUTED_VALUE"""),3175.0)</f>
        <v>3175</v>
      </c>
      <c r="F76" s="15">
        <f>IFERROR(__xludf.DUMMYFUNCTION("""COMPUTED_VALUE"""),3176.0)</f>
        <v>3176</v>
      </c>
      <c r="G76" s="15">
        <f>IFERROR(__xludf.DUMMYFUNCTION("""COMPUTED_VALUE"""),3940.0)</f>
        <v>3940</v>
      </c>
      <c r="N76" s="209" t="str">
        <f t="shared" si="1"/>
        <v>4028,1730,2468,3175,3176,3940</v>
      </c>
      <c r="O76" s="210"/>
      <c r="P76" s="210"/>
      <c r="W76" s="15">
        <f t="shared" si="2"/>
        <v>0</v>
      </c>
      <c r="X76" s="15" t="str">
        <f t="shared" si="8"/>
        <v/>
      </c>
      <c r="Y76" s="15" t="str">
        <f t="shared" si="3"/>
        <v/>
      </c>
      <c r="Z76" s="15" t="str">
        <f t="shared" si="4"/>
        <v/>
      </c>
      <c r="AA76" s="15" t="str">
        <f t="shared" si="5"/>
        <v/>
      </c>
      <c r="AB76" s="15" t="str">
        <f t="shared" si="6"/>
        <v/>
      </c>
      <c r="AC76" s="15" t="str">
        <f t="shared" si="7"/>
        <v/>
      </c>
      <c r="AD76" s="15"/>
      <c r="AE76" s="15" t="str">
        <f>IFERROR(__xludf.DUMMYFUNCTION("""COMPUTED_VALUE"""),"Quals 24")</f>
        <v>Quals 24</v>
      </c>
      <c r="AF76" s="15">
        <f>IFERROR(__xludf.DUMMYFUNCTION("""COMPUTED_VALUE"""),3176.0)</f>
        <v>3176</v>
      </c>
      <c r="AG76" s="15"/>
      <c r="AH76" s="15"/>
      <c r="AI76" s="15"/>
      <c r="AJ76" s="15">
        <f>IFERROR(__xludf.DUMMYFUNCTION("""COMPUTED_VALUE"""),694.0)</f>
        <v>694</v>
      </c>
      <c r="AK76" s="15"/>
      <c r="AL76" s="15"/>
      <c r="AM76" s="15"/>
      <c r="AN76" s="15">
        <f>IFERROR(__xludf.DUMMYFUNCTION("""COMPUTED_VALUE"""),2338.0)</f>
        <v>2338</v>
      </c>
      <c r="AO76" s="15"/>
      <c r="AP76" s="15"/>
      <c r="AQ76" s="15"/>
      <c r="AR76" s="15">
        <f>IFERROR(__xludf.DUMMYFUNCTION("""COMPUTED_VALUE"""),102.0)</f>
        <v>102</v>
      </c>
      <c r="AS76" s="15"/>
    </row>
    <row r="77">
      <c r="A77" s="73">
        <v>76.0</v>
      </c>
      <c r="B77" s="15">
        <f>IFERROR(__xludf.DUMMYFUNCTION("""COMPUTED_VALUE"""),1533.0)</f>
        <v>1533</v>
      </c>
      <c r="C77" s="15">
        <f>IFERROR(__xludf.DUMMYFUNCTION("""COMPUTED_VALUE"""),1706.0)</f>
        <v>1706</v>
      </c>
      <c r="D77" s="15">
        <f>IFERROR(__xludf.DUMMYFUNCTION("""COMPUTED_VALUE"""),234.0)</f>
        <v>234</v>
      </c>
      <c r="E77" s="15">
        <f>IFERROR(__xludf.DUMMYFUNCTION("""COMPUTED_VALUE"""),694.0)</f>
        <v>694</v>
      </c>
      <c r="F77" s="15">
        <f>IFERROR(__xludf.DUMMYFUNCTION("""COMPUTED_VALUE"""),1339.0)</f>
        <v>1339</v>
      </c>
      <c r="G77" s="15">
        <f>IFERROR(__xludf.DUMMYFUNCTION("""COMPUTED_VALUE"""),27.0)</f>
        <v>27</v>
      </c>
      <c r="N77" s="209" t="str">
        <f t="shared" si="1"/>
        <v>1533,1706,234,694,1339,27</v>
      </c>
      <c r="O77" s="210"/>
      <c r="P77" s="210"/>
      <c r="W77" s="15">
        <f t="shared" si="2"/>
        <v>1</v>
      </c>
      <c r="X77" s="15" t="str">
        <f t="shared" si="8"/>
        <v/>
      </c>
      <c r="Y77" s="15" t="str">
        <f t="shared" si="3"/>
        <v/>
      </c>
      <c r="Z77" s="15" t="str">
        <f t="shared" si="4"/>
        <v/>
      </c>
      <c r="AA77" s="15" t="str">
        <f t="shared" si="5"/>
        <v/>
      </c>
      <c r="AB77" s="15" t="str">
        <f t="shared" si="6"/>
        <v/>
      </c>
      <c r="AC77" s="15" t="str">
        <f t="shared" si="7"/>
        <v/>
      </c>
      <c r="AD77" s="15"/>
      <c r="AE77" s="15"/>
      <c r="AF77" s="15">
        <f>IFERROR(__xludf.DUMMYFUNCTION("""COMPUTED_VALUE"""),5010.0)</f>
        <v>5010</v>
      </c>
      <c r="AG77" s="15"/>
      <c r="AH77" s="15"/>
      <c r="AI77" s="15"/>
      <c r="AJ77" s="15">
        <f>IFERROR(__xludf.DUMMYFUNCTION("""COMPUTED_VALUE"""),180.0)</f>
        <v>180</v>
      </c>
      <c r="AK77" s="15"/>
      <c r="AL77" s="15"/>
      <c r="AM77" s="15"/>
      <c r="AN77" s="15">
        <f>IFERROR(__xludf.DUMMYFUNCTION("""COMPUTED_VALUE"""),624.0)</f>
        <v>624</v>
      </c>
      <c r="AO77" s="15"/>
      <c r="AP77" s="15"/>
      <c r="AQ77" s="15"/>
      <c r="AR77" s="15">
        <f>IFERROR(__xludf.DUMMYFUNCTION("""COMPUTED_VALUE"""),77.0)</f>
        <v>77</v>
      </c>
      <c r="AS77" s="15"/>
    </row>
    <row r="78">
      <c r="A78" s="73">
        <v>77.0</v>
      </c>
      <c r="B78" s="15">
        <f>IFERROR(__xludf.DUMMYFUNCTION("""COMPUTED_VALUE"""),2363.0)</f>
        <v>2363</v>
      </c>
      <c r="C78" s="15">
        <f>IFERROR(__xludf.DUMMYFUNCTION("""COMPUTED_VALUE"""),587.0)</f>
        <v>587</v>
      </c>
      <c r="D78" s="15">
        <f>IFERROR(__xludf.DUMMYFUNCTION("""COMPUTED_VALUE"""),4926.0)</f>
        <v>4926</v>
      </c>
      <c r="E78" s="15">
        <f>IFERROR(__xludf.DUMMYFUNCTION("""COMPUTED_VALUE"""),325.0)</f>
        <v>325</v>
      </c>
      <c r="F78" s="15">
        <f>IFERROR(__xludf.DUMMYFUNCTION("""COMPUTED_VALUE"""),7457.0)</f>
        <v>7457</v>
      </c>
      <c r="G78" s="15">
        <f>IFERROR(__xludf.DUMMYFUNCTION("""COMPUTED_VALUE"""),4099.0)</f>
        <v>4099</v>
      </c>
      <c r="N78" s="209" t="str">
        <f t="shared" si="1"/>
        <v>2363,587,4926,325,7457,4099</v>
      </c>
      <c r="O78" s="210"/>
      <c r="P78" s="210"/>
      <c r="W78" s="15">
        <f t="shared" si="2"/>
        <v>2</v>
      </c>
      <c r="X78" s="15">
        <f t="shared" si="8"/>
        <v>27</v>
      </c>
      <c r="Y78" s="15">
        <f t="shared" si="3"/>
        <v>2539</v>
      </c>
      <c r="Z78" s="15">
        <f t="shared" si="4"/>
        <v>5406</v>
      </c>
      <c r="AA78" s="15">
        <f t="shared" si="5"/>
        <v>325</v>
      </c>
      <c r="AB78" s="15">
        <f t="shared" si="6"/>
        <v>2468</v>
      </c>
      <c r="AC78" s="15">
        <f t="shared" si="7"/>
        <v>1023</v>
      </c>
      <c r="AD78" s="15"/>
      <c r="AE78" s="15" t="str">
        <f>IFERROR(__xludf.DUMMYFUNCTION("""COMPUTED_VALUE"""),"Quals 25")</f>
        <v>Quals 25</v>
      </c>
      <c r="AF78" s="15">
        <f>IFERROR(__xludf.DUMMYFUNCTION("""COMPUTED_VALUE"""),27.0)</f>
        <v>27</v>
      </c>
      <c r="AG78" s="15"/>
      <c r="AH78" s="15">
        <f>IFERROR(__xludf.DUMMYFUNCTION("""COMPUTED_VALUE"""),2539.0)</f>
        <v>2539</v>
      </c>
      <c r="AI78" s="15"/>
      <c r="AJ78" s="15">
        <f>IFERROR(__xludf.DUMMYFUNCTION("""COMPUTED_VALUE"""),5406.0)</f>
        <v>5406</v>
      </c>
      <c r="AK78" s="15"/>
      <c r="AL78" s="15">
        <f>IFERROR(__xludf.DUMMYFUNCTION("""COMPUTED_VALUE"""),325.0)</f>
        <v>325</v>
      </c>
      <c r="AM78" s="15"/>
      <c r="AN78" s="15">
        <f>IFERROR(__xludf.DUMMYFUNCTION("""COMPUTED_VALUE"""),2468.0)</f>
        <v>2468</v>
      </c>
      <c r="AO78" s="15"/>
      <c r="AP78" s="15">
        <f>IFERROR(__xludf.DUMMYFUNCTION("""COMPUTED_VALUE"""),1023.0)</f>
        <v>1023</v>
      </c>
      <c r="AQ78" s="15"/>
      <c r="AR78" s="15">
        <f>IFERROR(__xludf.DUMMYFUNCTION("""COMPUTED_VALUE"""),123.0)</f>
        <v>123</v>
      </c>
      <c r="AS78" s="15">
        <f>IFERROR(__xludf.DUMMYFUNCTION("""COMPUTED_VALUE"""),91.0)</f>
        <v>91</v>
      </c>
    </row>
    <row r="79">
      <c r="A79" s="73">
        <v>78.0</v>
      </c>
      <c r="B79" s="15">
        <f>IFERROR(__xludf.DUMMYFUNCTION("""COMPUTED_VALUE"""),1023.0)</f>
        <v>1023</v>
      </c>
      <c r="C79" s="15">
        <f>IFERROR(__xludf.DUMMYFUNCTION("""COMPUTED_VALUE"""),2539.0)</f>
        <v>2539</v>
      </c>
      <c r="D79" s="15">
        <f>IFERROR(__xludf.DUMMYFUNCTION("""COMPUTED_VALUE"""),5484.0)</f>
        <v>5484</v>
      </c>
      <c r="E79" s="15">
        <f>IFERROR(__xludf.DUMMYFUNCTION("""COMPUTED_VALUE"""),5010.0)</f>
        <v>5010</v>
      </c>
      <c r="F79" s="15">
        <f>IFERROR(__xludf.DUMMYFUNCTION("""COMPUTED_VALUE"""),503.0)</f>
        <v>503</v>
      </c>
      <c r="G79" s="15">
        <f>IFERROR(__xludf.DUMMYFUNCTION("""COMPUTED_VALUE"""),2056.0)</f>
        <v>2056</v>
      </c>
      <c r="N79" s="209" t="str">
        <f t="shared" si="1"/>
        <v>1023,2539,5484,5010,503,2056</v>
      </c>
      <c r="O79" s="210"/>
      <c r="P79" s="210"/>
      <c r="W79" s="15">
        <f t="shared" si="2"/>
        <v>0</v>
      </c>
      <c r="X79" s="15" t="str">
        <f t="shared" si="8"/>
        <v/>
      </c>
      <c r="Y79" s="15" t="str">
        <f t="shared" si="3"/>
        <v/>
      </c>
      <c r="Z79" s="15" t="str">
        <f t="shared" si="4"/>
        <v/>
      </c>
      <c r="AA79" s="15" t="str">
        <f t="shared" si="5"/>
        <v/>
      </c>
      <c r="AB79" s="15" t="str">
        <f t="shared" si="6"/>
        <v/>
      </c>
      <c r="AC79" s="15" t="str">
        <f t="shared" si="7"/>
        <v/>
      </c>
      <c r="AD79" s="15"/>
      <c r="AE79" s="15" t="str">
        <f>IFERROR(__xludf.DUMMYFUNCTION("""COMPUTED_VALUE"""),"Quals 25")</f>
        <v>Quals 25</v>
      </c>
      <c r="AF79" s="15">
        <f>IFERROR(__xludf.DUMMYFUNCTION("""COMPUTED_VALUE"""),27.0)</f>
        <v>27</v>
      </c>
      <c r="AG79" s="15"/>
      <c r="AH79" s="15"/>
      <c r="AI79" s="15"/>
      <c r="AJ79" s="15">
        <f>IFERROR(__xludf.DUMMYFUNCTION("""COMPUTED_VALUE"""),2539.0)</f>
        <v>2539</v>
      </c>
      <c r="AK79" s="15"/>
      <c r="AL79" s="15"/>
      <c r="AM79" s="15"/>
      <c r="AN79" s="15">
        <f>IFERROR(__xludf.DUMMYFUNCTION("""COMPUTED_VALUE"""),5406.0)</f>
        <v>5406</v>
      </c>
      <c r="AO79" s="15"/>
      <c r="AP79" s="15"/>
      <c r="AQ79" s="15"/>
      <c r="AR79" s="15">
        <f>IFERROR(__xludf.DUMMYFUNCTION("""COMPUTED_VALUE"""),123.0)</f>
        <v>123</v>
      </c>
      <c r="AS79" s="15"/>
    </row>
    <row r="80">
      <c r="A80" s="73">
        <v>79.0</v>
      </c>
      <c r="B80" s="15">
        <f>IFERROR(__xludf.DUMMYFUNCTION("""COMPUTED_VALUE"""),180.0)</f>
        <v>180</v>
      </c>
      <c r="C80" s="15">
        <f>IFERROR(__xludf.DUMMYFUNCTION("""COMPUTED_VALUE"""),3357.0)</f>
        <v>3357</v>
      </c>
      <c r="D80" s="15">
        <f>IFERROR(__xludf.DUMMYFUNCTION("""COMPUTED_VALUE"""),195.0)</f>
        <v>195</v>
      </c>
      <c r="E80" s="15">
        <f>IFERROR(__xludf.DUMMYFUNCTION("""COMPUTED_VALUE"""),1732.0)</f>
        <v>1732</v>
      </c>
      <c r="F80" s="15">
        <f>IFERROR(__xludf.DUMMYFUNCTION("""COMPUTED_VALUE"""),118.0)</f>
        <v>118</v>
      </c>
      <c r="G80" s="15">
        <f>IFERROR(__xludf.DUMMYFUNCTION("""COMPUTED_VALUE"""),2767.0)</f>
        <v>2767</v>
      </c>
      <c r="N80" s="209" t="str">
        <f t="shared" si="1"/>
        <v>180,3357,195,1732,118,2767</v>
      </c>
      <c r="O80" s="210"/>
      <c r="P80" s="210"/>
      <c r="W80" s="15">
        <f t="shared" si="2"/>
        <v>1</v>
      </c>
      <c r="X80" s="15" t="str">
        <f t="shared" si="8"/>
        <v/>
      </c>
      <c r="Y80" s="15" t="str">
        <f t="shared" si="3"/>
        <v/>
      </c>
      <c r="Z80" s="15" t="str">
        <f t="shared" si="4"/>
        <v/>
      </c>
      <c r="AA80" s="15" t="str">
        <f t="shared" si="5"/>
        <v/>
      </c>
      <c r="AB80" s="15" t="str">
        <f t="shared" si="6"/>
        <v/>
      </c>
      <c r="AC80" s="15" t="str">
        <f t="shared" si="7"/>
        <v/>
      </c>
      <c r="AD80" s="15"/>
      <c r="AE80" s="15"/>
      <c r="AF80" s="15">
        <f>IFERROR(__xludf.DUMMYFUNCTION("""COMPUTED_VALUE"""),325.0)</f>
        <v>325</v>
      </c>
      <c r="AG80" s="15"/>
      <c r="AH80" s="15"/>
      <c r="AI80" s="15"/>
      <c r="AJ80" s="15">
        <f>IFERROR(__xludf.DUMMYFUNCTION("""COMPUTED_VALUE"""),2468.0)</f>
        <v>2468</v>
      </c>
      <c r="AK80" s="15"/>
      <c r="AL80" s="15"/>
      <c r="AM80" s="15"/>
      <c r="AN80" s="15">
        <f>IFERROR(__xludf.DUMMYFUNCTION("""COMPUTED_VALUE"""),1023.0)</f>
        <v>1023</v>
      </c>
      <c r="AO80" s="15"/>
      <c r="AP80" s="15"/>
      <c r="AQ80" s="15"/>
      <c r="AR80" s="15">
        <f>IFERROR(__xludf.DUMMYFUNCTION("""COMPUTED_VALUE"""),91.0)</f>
        <v>91</v>
      </c>
      <c r="AS80" s="15"/>
    </row>
    <row r="81">
      <c r="A81" s="73">
        <v>80.0</v>
      </c>
      <c r="B81" s="15">
        <f>IFERROR(__xludf.DUMMYFUNCTION("""COMPUTED_VALUE"""),2614.0)</f>
        <v>2614</v>
      </c>
      <c r="C81" s="15">
        <f>IFERROR(__xludf.DUMMYFUNCTION("""COMPUTED_VALUE"""),4635.0)</f>
        <v>4635</v>
      </c>
      <c r="D81" s="15">
        <f>IFERROR(__xludf.DUMMYFUNCTION("""COMPUTED_VALUE"""),1987.0)</f>
        <v>1987</v>
      </c>
      <c r="E81" s="15">
        <f>IFERROR(__xludf.DUMMYFUNCTION("""COMPUTED_VALUE"""),4143.0)</f>
        <v>4143</v>
      </c>
      <c r="F81" s="15">
        <f>IFERROR(__xludf.DUMMYFUNCTION("""COMPUTED_VALUE"""),2338.0)</f>
        <v>2338</v>
      </c>
      <c r="G81" s="15">
        <f>IFERROR(__xludf.DUMMYFUNCTION("""COMPUTED_VALUE"""),2075.0)</f>
        <v>2075</v>
      </c>
      <c r="N81" s="209" t="str">
        <f t="shared" si="1"/>
        <v>2614,4635,1987,4143,2338,2075</v>
      </c>
      <c r="O81" s="210"/>
      <c r="P81" s="210"/>
      <c r="W81" s="15">
        <f t="shared" si="2"/>
        <v>2</v>
      </c>
      <c r="X81" s="15">
        <f t="shared" si="8"/>
        <v>2767</v>
      </c>
      <c r="Y81" s="15">
        <f t="shared" si="3"/>
        <v>4926</v>
      </c>
      <c r="Z81" s="15">
        <f t="shared" si="4"/>
        <v>1533</v>
      </c>
      <c r="AA81" s="15">
        <f t="shared" si="5"/>
        <v>1987</v>
      </c>
      <c r="AB81" s="15">
        <f t="shared" si="6"/>
        <v>2075</v>
      </c>
      <c r="AC81" s="15">
        <f t="shared" si="7"/>
        <v>3175</v>
      </c>
      <c r="AD81" s="15"/>
      <c r="AE81" s="15" t="str">
        <f>IFERROR(__xludf.DUMMYFUNCTION("""COMPUTED_VALUE"""),"Quals 26")</f>
        <v>Quals 26</v>
      </c>
      <c r="AF81" s="15">
        <f>IFERROR(__xludf.DUMMYFUNCTION("""COMPUTED_VALUE"""),2767.0)</f>
        <v>2767</v>
      </c>
      <c r="AG81" s="15"/>
      <c r="AH81" s="15">
        <f>IFERROR(__xludf.DUMMYFUNCTION("""COMPUTED_VALUE"""),4926.0)</f>
        <v>4926</v>
      </c>
      <c r="AI81" s="15"/>
      <c r="AJ81" s="15">
        <f>IFERROR(__xludf.DUMMYFUNCTION("""COMPUTED_VALUE"""),1533.0)</f>
        <v>1533</v>
      </c>
      <c r="AK81" s="15"/>
      <c r="AL81" s="15">
        <f>IFERROR(__xludf.DUMMYFUNCTION("""COMPUTED_VALUE"""),1987.0)</f>
        <v>1987</v>
      </c>
      <c r="AM81" s="15"/>
      <c r="AN81" s="15">
        <f>IFERROR(__xludf.DUMMYFUNCTION("""COMPUTED_VALUE"""),2075.0)</f>
        <v>2075</v>
      </c>
      <c r="AO81" s="15"/>
      <c r="AP81" s="15">
        <f>IFERROR(__xludf.DUMMYFUNCTION("""COMPUTED_VALUE"""),3175.0)</f>
        <v>3175</v>
      </c>
      <c r="AQ81" s="15"/>
      <c r="AR81" s="15">
        <f>IFERROR(__xludf.DUMMYFUNCTION("""COMPUTED_VALUE"""),130.0)</f>
        <v>130</v>
      </c>
      <c r="AS81" s="15">
        <f>IFERROR(__xludf.DUMMYFUNCTION("""COMPUTED_VALUE"""),108.0)</f>
        <v>108</v>
      </c>
    </row>
    <row r="82">
      <c r="A82" s="73">
        <v>81.0</v>
      </c>
      <c r="W82" s="15">
        <f t="shared" si="2"/>
        <v>0</v>
      </c>
      <c r="X82" s="15" t="str">
        <f t="shared" si="8"/>
        <v/>
      </c>
      <c r="Y82" s="15" t="str">
        <f t="shared" si="3"/>
        <v/>
      </c>
      <c r="Z82" s="15" t="str">
        <f t="shared" si="4"/>
        <v/>
      </c>
      <c r="AA82" s="15" t="str">
        <f t="shared" si="5"/>
        <v/>
      </c>
      <c r="AB82" s="15" t="str">
        <f t="shared" si="6"/>
        <v/>
      </c>
      <c r="AC82" s="15" t="str">
        <f t="shared" si="7"/>
        <v/>
      </c>
      <c r="AD82" s="15"/>
      <c r="AE82" s="15" t="str">
        <f>IFERROR(__xludf.DUMMYFUNCTION("""COMPUTED_VALUE"""),"Quals 26")</f>
        <v>Quals 26</v>
      </c>
      <c r="AF82" s="15">
        <f>IFERROR(__xludf.DUMMYFUNCTION("""COMPUTED_VALUE"""),2767.0)</f>
        <v>2767</v>
      </c>
      <c r="AG82" s="15"/>
      <c r="AH82" s="15"/>
      <c r="AI82" s="15"/>
      <c r="AJ82" s="15">
        <f>IFERROR(__xludf.DUMMYFUNCTION("""COMPUTED_VALUE"""),4926.0)</f>
        <v>4926</v>
      </c>
      <c r="AK82" s="15"/>
      <c r="AL82" s="15"/>
      <c r="AM82" s="15"/>
      <c r="AN82" s="15">
        <f>IFERROR(__xludf.DUMMYFUNCTION("""COMPUTED_VALUE"""),1533.0)</f>
        <v>1533</v>
      </c>
      <c r="AO82" s="15"/>
      <c r="AP82" s="15"/>
      <c r="AQ82" s="15"/>
      <c r="AR82" s="15">
        <f>IFERROR(__xludf.DUMMYFUNCTION("""COMPUTED_VALUE"""),130.0)</f>
        <v>130</v>
      </c>
      <c r="AS82" s="15"/>
    </row>
    <row r="83">
      <c r="A83" s="73">
        <v>82.0</v>
      </c>
      <c r="W83" s="15">
        <f t="shared" si="2"/>
        <v>1</v>
      </c>
      <c r="X83" s="15" t="str">
        <f t="shared" si="8"/>
        <v/>
      </c>
      <c r="Y83" s="15" t="str">
        <f t="shared" si="3"/>
        <v/>
      </c>
      <c r="Z83" s="15" t="str">
        <f t="shared" si="4"/>
        <v/>
      </c>
      <c r="AA83" s="15" t="str">
        <f t="shared" si="5"/>
        <v/>
      </c>
      <c r="AB83" s="15" t="str">
        <f t="shared" si="6"/>
        <v/>
      </c>
      <c r="AC83" s="15" t="str">
        <f t="shared" si="7"/>
        <v/>
      </c>
      <c r="AD83" s="15"/>
      <c r="AE83" s="15"/>
      <c r="AF83" s="15">
        <f>IFERROR(__xludf.DUMMYFUNCTION("""COMPUTED_VALUE"""),1987.0)</f>
        <v>1987</v>
      </c>
      <c r="AG83" s="15"/>
      <c r="AH83" s="15"/>
      <c r="AI83" s="15"/>
      <c r="AJ83" s="15">
        <f>IFERROR(__xludf.DUMMYFUNCTION("""COMPUTED_VALUE"""),2075.0)</f>
        <v>2075</v>
      </c>
      <c r="AK83" s="15"/>
      <c r="AL83" s="15"/>
      <c r="AM83" s="15"/>
      <c r="AN83" s="15">
        <f>IFERROR(__xludf.DUMMYFUNCTION("""COMPUTED_VALUE"""),3175.0)</f>
        <v>3175</v>
      </c>
      <c r="AO83" s="15"/>
      <c r="AP83" s="15"/>
      <c r="AQ83" s="15"/>
      <c r="AR83" s="15">
        <f>IFERROR(__xludf.DUMMYFUNCTION("""COMPUTED_VALUE"""),108.0)</f>
        <v>108</v>
      </c>
      <c r="AS83" s="15"/>
    </row>
    <row r="84">
      <c r="A84" s="73">
        <v>83.0</v>
      </c>
      <c r="W84" s="15">
        <f t="shared" si="2"/>
        <v>2</v>
      </c>
      <c r="X84" s="15">
        <f t="shared" si="8"/>
        <v>118</v>
      </c>
      <c r="Y84" s="15">
        <f t="shared" si="3"/>
        <v>5712</v>
      </c>
      <c r="Z84" s="15">
        <f t="shared" si="4"/>
        <v>4028</v>
      </c>
      <c r="AA84" s="15">
        <f t="shared" si="5"/>
        <v>1339</v>
      </c>
      <c r="AB84" s="15">
        <f t="shared" si="6"/>
        <v>1024</v>
      </c>
      <c r="AC84" s="15">
        <f t="shared" si="7"/>
        <v>2363</v>
      </c>
      <c r="AD84" s="15"/>
      <c r="AE84" s="15" t="str">
        <f>IFERROR(__xludf.DUMMYFUNCTION("""COMPUTED_VALUE"""),"Quals 27")</f>
        <v>Quals 27</v>
      </c>
      <c r="AF84" s="15">
        <f>IFERROR(__xludf.DUMMYFUNCTION("""COMPUTED_VALUE"""),118.0)</f>
        <v>118</v>
      </c>
      <c r="AG84" s="15"/>
      <c r="AH84" s="15">
        <f>IFERROR(__xludf.DUMMYFUNCTION("""COMPUTED_VALUE"""),5712.0)</f>
        <v>5712</v>
      </c>
      <c r="AI84" s="15"/>
      <c r="AJ84" s="15">
        <f>IFERROR(__xludf.DUMMYFUNCTION("""COMPUTED_VALUE"""),4028.0)</f>
        <v>4028</v>
      </c>
      <c r="AK84" s="15"/>
      <c r="AL84" s="15">
        <f>IFERROR(__xludf.DUMMYFUNCTION("""COMPUTED_VALUE"""),1339.0)</f>
        <v>1339</v>
      </c>
      <c r="AM84" s="15"/>
      <c r="AN84" s="15">
        <f>IFERROR(__xludf.DUMMYFUNCTION("""COMPUTED_VALUE"""),1024.0)</f>
        <v>1024</v>
      </c>
      <c r="AO84" s="15"/>
      <c r="AP84" s="15">
        <f>IFERROR(__xludf.DUMMYFUNCTION("""COMPUTED_VALUE"""),2363.0)</f>
        <v>2363</v>
      </c>
      <c r="AQ84" s="15"/>
      <c r="AR84" s="15">
        <f>IFERROR(__xludf.DUMMYFUNCTION("""COMPUTED_VALUE"""),133.0)</f>
        <v>133</v>
      </c>
      <c r="AS84" s="15">
        <f>IFERROR(__xludf.DUMMYFUNCTION("""COMPUTED_VALUE"""),139.0)</f>
        <v>139</v>
      </c>
    </row>
    <row r="85">
      <c r="A85" s="73">
        <v>84.0</v>
      </c>
      <c r="W85" s="15">
        <f t="shared" si="2"/>
        <v>0</v>
      </c>
      <c r="X85" s="15" t="str">
        <f t="shared" si="8"/>
        <v/>
      </c>
      <c r="Y85" s="15" t="str">
        <f t="shared" si="3"/>
        <v/>
      </c>
      <c r="Z85" s="15" t="str">
        <f t="shared" si="4"/>
        <v/>
      </c>
      <c r="AA85" s="15" t="str">
        <f t="shared" si="5"/>
        <v/>
      </c>
      <c r="AB85" s="15" t="str">
        <f t="shared" si="6"/>
        <v/>
      </c>
      <c r="AC85" s="15" t="str">
        <f t="shared" si="7"/>
        <v/>
      </c>
      <c r="AD85" s="15"/>
      <c r="AE85" s="15" t="str">
        <f>IFERROR(__xludf.DUMMYFUNCTION("""COMPUTED_VALUE"""),"Quals 27")</f>
        <v>Quals 27</v>
      </c>
      <c r="AF85" s="15">
        <f>IFERROR(__xludf.DUMMYFUNCTION("""COMPUTED_VALUE"""),118.0)</f>
        <v>118</v>
      </c>
      <c r="AG85" s="15"/>
      <c r="AH85" s="15"/>
      <c r="AI85" s="15"/>
      <c r="AJ85" s="15">
        <f>IFERROR(__xludf.DUMMYFUNCTION("""COMPUTED_VALUE"""),5712.0)</f>
        <v>5712</v>
      </c>
      <c r="AK85" s="15"/>
      <c r="AL85" s="15"/>
      <c r="AM85" s="15"/>
      <c r="AN85" s="15">
        <f>IFERROR(__xludf.DUMMYFUNCTION("""COMPUTED_VALUE"""),4028.0)</f>
        <v>4028</v>
      </c>
      <c r="AO85" s="15"/>
      <c r="AP85" s="15"/>
      <c r="AQ85" s="15"/>
      <c r="AR85" s="15">
        <f>IFERROR(__xludf.DUMMYFUNCTION("""COMPUTED_VALUE"""),133.0)</f>
        <v>133</v>
      </c>
      <c r="AS85" s="15"/>
    </row>
    <row r="86">
      <c r="A86" s="73">
        <v>85.0</v>
      </c>
      <c r="W86" s="15">
        <f t="shared" si="2"/>
        <v>1</v>
      </c>
      <c r="X86" s="15" t="str">
        <f t="shared" si="8"/>
        <v/>
      </c>
      <c r="Y86" s="15" t="str">
        <f t="shared" si="3"/>
        <v/>
      </c>
      <c r="Z86" s="15" t="str">
        <f t="shared" si="4"/>
        <v/>
      </c>
      <c r="AA86" s="15" t="str">
        <f t="shared" si="5"/>
        <v/>
      </c>
      <c r="AB86" s="15" t="str">
        <f t="shared" si="6"/>
        <v/>
      </c>
      <c r="AC86" s="15" t="str">
        <f t="shared" si="7"/>
        <v/>
      </c>
      <c r="AD86" s="15"/>
      <c r="AE86" s="15"/>
      <c r="AF86" s="15">
        <f>IFERROR(__xludf.DUMMYFUNCTION("""COMPUTED_VALUE"""),1339.0)</f>
        <v>1339</v>
      </c>
      <c r="AG86" s="15"/>
      <c r="AH86" s="15"/>
      <c r="AI86" s="15"/>
      <c r="AJ86" s="15">
        <f>IFERROR(__xludf.DUMMYFUNCTION("""COMPUTED_VALUE"""),1024.0)</f>
        <v>1024</v>
      </c>
      <c r="AK86" s="15"/>
      <c r="AL86" s="15"/>
      <c r="AM86" s="15"/>
      <c r="AN86" s="15">
        <f>IFERROR(__xludf.DUMMYFUNCTION("""COMPUTED_VALUE"""),2363.0)</f>
        <v>2363</v>
      </c>
      <c r="AO86" s="15"/>
      <c r="AP86" s="15"/>
      <c r="AQ86" s="15"/>
      <c r="AR86" s="15">
        <f>IFERROR(__xludf.DUMMYFUNCTION("""COMPUTED_VALUE"""),139.0)</f>
        <v>139</v>
      </c>
      <c r="AS86" s="15"/>
    </row>
    <row r="87">
      <c r="A87" s="73">
        <v>86.0</v>
      </c>
      <c r="W87" s="15">
        <f t="shared" si="2"/>
        <v>2</v>
      </c>
      <c r="X87" s="15">
        <f t="shared" si="8"/>
        <v>829</v>
      </c>
      <c r="Y87" s="15">
        <f t="shared" si="3"/>
        <v>2056</v>
      </c>
      <c r="Z87" s="15">
        <f t="shared" si="4"/>
        <v>4143</v>
      </c>
      <c r="AA87" s="15">
        <f t="shared" si="5"/>
        <v>4099</v>
      </c>
      <c r="AB87" s="15">
        <f t="shared" si="6"/>
        <v>1732</v>
      </c>
      <c r="AC87" s="15">
        <f t="shared" si="7"/>
        <v>1706</v>
      </c>
      <c r="AD87" s="15"/>
      <c r="AE87" s="15" t="str">
        <f>IFERROR(__xludf.DUMMYFUNCTION("""COMPUTED_VALUE"""),"Quals 28")</f>
        <v>Quals 28</v>
      </c>
      <c r="AF87" s="15">
        <f>IFERROR(__xludf.DUMMYFUNCTION("""COMPUTED_VALUE"""),829.0)</f>
        <v>829</v>
      </c>
      <c r="AG87" s="15"/>
      <c r="AH87" s="15">
        <f>IFERROR(__xludf.DUMMYFUNCTION("""COMPUTED_VALUE"""),2056.0)</f>
        <v>2056</v>
      </c>
      <c r="AI87" s="15"/>
      <c r="AJ87" s="15">
        <f>IFERROR(__xludf.DUMMYFUNCTION("""COMPUTED_VALUE"""),4143.0)</f>
        <v>4143</v>
      </c>
      <c r="AK87" s="15"/>
      <c r="AL87" s="15">
        <f>IFERROR(__xludf.DUMMYFUNCTION("""COMPUTED_VALUE"""),4099.0)</f>
        <v>4099</v>
      </c>
      <c r="AM87" s="15"/>
      <c r="AN87" s="15">
        <f>IFERROR(__xludf.DUMMYFUNCTION("""COMPUTED_VALUE"""),1732.0)</f>
        <v>1732</v>
      </c>
      <c r="AO87" s="15"/>
      <c r="AP87" s="15">
        <f>IFERROR(__xludf.DUMMYFUNCTION("""COMPUTED_VALUE"""),1706.0)</f>
        <v>1706</v>
      </c>
      <c r="AQ87" s="15"/>
      <c r="AR87" s="15">
        <f>IFERROR(__xludf.DUMMYFUNCTION("""COMPUTED_VALUE"""),145.0)</f>
        <v>145</v>
      </c>
      <c r="AS87" s="15">
        <f>IFERROR(__xludf.DUMMYFUNCTION("""COMPUTED_VALUE"""),123.0)</f>
        <v>123</v>
      </c>
    </row>
    <row r="88">
      <c r="A88" s="73">
        <v>87.0</v>
      </c>
      <c r="W88" s="15">
        <f t="shared" si="2"/>
        <v>0</v>
      </c>
      <c r="X88" s="15" t="str">
        <f t="shared" si="8"/>
        <v/>
      </c>
      <c r="Y88" s="15" t="str">
        <f t="shared" si="3"/>
        <v/>
      </c>
      <c r="Z88" s="15" t="str">
        <f t="shared" si="4"/>
        <v/>
      </c>
      <c r="AA88" s="15" t="str">
        <f t="shared" si="5"/>
        <v/>
      </c>
      <c r="AB88" s="15" t="str">
        <f t="shared" si="6"/>
        <v/>
      </c>
      <c r="AC88" s="15" t="str">
        <f t="shared" si="7"/>
        <v/>
      </c>
      <c r="AD88" s="15"/>
      <c r="AE88" s="15" t="str">
        <f>IFERROR(__xludf.DUMMYFUNCTION("""COMPUTED_VALUE"""),"Quals 28")</f>
        <v>Quals 28</v>
      </c>
      <c r="AF88" s="15">
        <f>IFERROR(__xludf.DUMMYFUNCTION("""COMPUTED_VALUE"""),829.0)</f>
        <v>829</v>
      </c>
      <c r="AG88" s="15"/>
      <c r="AH88" s="15"/>
      <c r="AI88" s="15"/>
      <c r="AJ88" s="15">
        <f>IFERROR(__xludf.DUMMYFUNCTION("""COMPUTED_VALUE"""),2056.0)</f>
        <v>2056</v>
      </c>
      <c r="AK88" s="15"/>
      <c r="AL88" s="15"/>
      <c r="AM88" s="15"/>
      <c r="AN88" s="15">
        <f>IFERROR(__xludf.DUMMYFUNCTION("""COMPUTED_VALUE"""),4143.0)</f>
        <v>4143</v>
      </c>
      <c r="AO88" s="15"/>
      <c r="AP88" s="15"/>
      <c r="AQ88" s="15"/>
      <c r="AR88" s="15">
        <f>IFERROR(__xludf.DUMMYFUNCTION("""COMPUTED_VALUE"""),145.0)</f>
        <v>145</v>
      </c>
      <c r="AS88" s="15"/>
    </row>
    <row r="89">
      <c r="A89" s="73">
        <v>88.0</v>
      </c>
      <c r="W89" s="15">
        <f t="shared" si="2"/>
        <v>1</v>
      </c>
      <c r="X89" s="15" t="str">
        <f t="shared" si="8"/>
        <v/>
      </c>
      <c r="Y89" s="15" t="str">
        <f t="shared" si="3"/>
        <v/>
      </c>
      <c r="Z89" s="15" t="str">
        <f t="shared" si="4"/>
        <v/>
      </c>
      <c r="AA89" s="15" t="str">
        <f t="shared" si="5"/>
        <v/>
      </c>
      <c r="AB89" s="15" t="str">
        <f t="shared" si="6"/>
        <v/>
      </c>
      <c r="AC89" s="15" t="str">
        <f t="shared" si="7"/>
        <v/>
      </c>
      <c r="AD89" s="15"/>
      <c r="AE89" s="15"/>
      <c r="AF89" s="15">
        <f>IFERROR(__xludf.DUMMYFUNCTION("""COMPUTED_VALUE"""),4099.0)</f>
        <v>4099</v>
      </c>
      <c r="AG89" s="15"/>
      <c r="AH89" s="15"/>
      <c r="AI89" s="15"/>
      <c r="AJ89" s="15">
        <f>IFERROR(__xludf.DUMMYFUNCTION("""COMPUTED_VALUE"""),1732.0)</f>
        <v>1732</v>
      </c>
      <c r="AK89" s="15"/>
      <c r="AL89" s="15"/>
      <c r="AM89" s="15"/>
      <c r="AN89" s="15">
        <f>IFERROR(__xludf.DUMMYFUNCTION("""COMPUTED_VALUE"""),1706.0)</f>
        <v>1706</v>
      </c>
      <c r="AO89" s="15"/>
      <c r="AP89" s="15"/>
      <c r="AQ89" s="15"/>
      <c r="AR89" s="15">
        <f>IFERROR(__xludf.DUMMYFUNCTION("""COMPUTED_VALUE"""),123.0)</f>
        <v>123</v>
      </c>
      <c r="AS89" s="15"/>
    </row>
    <row r="90">
      <c r="A90" s="73">
        <v>89.0</v>
      </c>
      <c r="W90" s="15">
        <f t="shared" si="2"/>
        <v>2</v>
      </c>
      <c r="X90" s="15">
        <f t="shared" si="8"/>
        <v>340</v>
      </c>
      <c r="Y90" s="15">
        <f t="shared" si="3"/>
        <v>180</v>
      </c>
      <c r="Z90" s="15">
        <f t="shared" si="4"/>
        <v>2614</v>
      </c>
      <c r="AA90" s="15">
        <f t="shared" si="5"/>
        <v>624</v>
      </c>
      <c r="AB90" s="15">
        <f t="shared" si="6"/>
        <v>5484</v>
      </c>
      <c r="AC90" s="15">
        <f t="shared" si="7"/>
        <v>503</v>
      </c>
      <c r="AD90" s="15"/>
      <c r="AE90" s="15" t="str">
        <f>IFERROR(__xludf.DUMMYFUNCTION("""COMPUTED_VALUE"""),"Quals 29")</f>
        <v>Quals 29</v>
      </c>
      <c r="AF90" s="15">
        <f>IFERROR(__xludf.DUMMYFUNCTION("""COMPUTED_VALUE"""),340.0)</f>
        <v>340</v>
      </c>
      <c r="AG90" s="15"/>
      <c r="AH90" s="15">
        <f>IFERROR(__xludf.DUMMYFUNCTION("""COMPUTED_VALUE"""),180.0)</f>
        <v>180</v>
      </c>
      <c r="AI90" s="15"/>
      <c r="AJ90" s="15">
        <f>IFERROR(__xludf.DUMMYFUNCTION("""COMPUTED_VALUE"""),2614.0)</f>
        <v>2614</v>
      </c>
      <c r="AK90" s="15"/>
      <c r="AL90" s="15">
        <f>IFERROR(__xludf.DUMMYFUNCTION("""COMPUTED_VALUE"""),624.0)</f>
        <v>624</v>
      </c>
      <c r="AM90" s="15"/>
      <c r="AN90" s="15">
        <f>IFERROR(__xludf.DUMMYFUNCTION("""COMPUTED_VALUE"""),5484.0)</f>
        <v>5484</v>
      </c>
      <c r="AO90" s="15"/>
      <c r="AP90" s="15">
        <f>IFERROR(__xludf.DUMMYFUNCTION("""COMPUTED_VALUE"""),503.0)</f>
        <v>503</v>
      </c>
      <c r="AQ90" s="15"/>
      <c r="AR90" s="15">
        <f>IFERROR(__xludf.DUMMYFUNCTION("""COMPUTED_VALUE"""),149.0)</f>
        <v>149</v>
      </c>
      <c r="AS90" s="15">
        <f>IFERROR(__xludf.DUMMYFUNCTION("""COMPUTED_VALUE"""),135.0)</f>
        <v>135</v>
      </c>
    </row>
    <row r="91">
      <c r="A91" s="73">
        <v>90.0</v>
      </c>
      <c r="W91" s="15">
        <f t="shared" si="2"/>
        <v>0</v>
      </c>
      <c r="X91" s="15" t="str">
        <f t="shared" si="8"/>
        <v/>
      </c>
      <c r="Y91" s="15" t="str">
        <f t="shared" si="3"/>
        <v/>
      </c>
      <c r="Z91" s="15" t="str">
        <f t="shared" si="4"/>
        <v/>
      </c>
      <c r="AA91" s="15" t="str">
        <f t="shared" si="5"/>
        <v/>
      </c>
      <c r="AB91" s="15" t="str">
        <f t="shared" si="6"/>
        <v/>
      </c>
      <c r="AC91" s="15" t="str">
        <f t="shared" si="7"/>
        <v/>
      </c>
      <c r="AD91" s="15"/>
      <c r="AE91" s="15" t="str">
        <f>IFERROR(__xludf.DUMMYFUNCTION("""COMPUTED_VALUE"""),"Quals 29")</f>
        <v>Quals 29</v>
      </c>
      <c r="AF91" s="15">
        <f>IFERROR(__xludf.DUMMYFUNCTION("""COMPUTED_VALUE"""),340.0)</f>
        <v>340</v>
      </c>
      <c r="AG91" s="15"/>
      <c r="AH91" s="15"/>
      <c r="AI91" s="15"/>
      <c r="AJ91" s="15">
        <f>IFERROR(__xludf.DUMMYFUNCTION("""COMPUTED_VALUE"""),180.0)</f>
        <v>180</v>
      </c>
      <c r="AK91" s="15"/>
      <c r="AL91" s="15"/>
      <c r="AM91" s="15"/>
      <c r="AN91" s="15">
        <f>IFERROR(__xludf.DUMMYFUNCTION("""COMPUTED_VALUE"""),2614.0)</f>
        <v>2614</v>
      </c>
      <c r="AO91" s="15"/>
      <c r="AP91" s="15"/>
      <c r="AQ91" s="15"/>
      <c r="AR91" s="15">
        <f>IFERROR(__xludf.DUMMYFUNCTION("""COMPUTED_VALUE"""),149.0)</f>
        <v>149</v>
      </c>
      <c r="AS91" s="15"/>
    </row>
    <row r="92">
      <c r="A92" s="73">
        <v>91.0</v>
      </c>
      <c r="W92" s="15">
        <f t="shared" si="2"/>
        <v>1</v>
      </c>
      <c r="X92" s="15" t="str">
        <f t="shared" si="8"/>
        <v/>
      </c>
      <c r="Y92" s="15" t="str">
        <f t="shared" si="3"/>
        <v/>
      </c>
      <c r="Z92" s="15" t="str">
        <f t="shared" si="4"/>
        <v/>
      </c>
      <c r="AA92" s="15" t="str">
        <f t="shared" si="5"/>
        <v/>
      </c>
      <c r="AB92" s="15" t="str">
        <f t="shared" si="6"/>
        <v/>
      </c>
      <c r="AC92" s="15" t="str">
        <f t="shared" si="7"/>
        <v/>
      </c>
      <c r="AD92" s="15"/>
      <c r="AE92" s="15"/>
      <c r="AF92" s="15">
        <f>IFERROR(__xludf.DUMMYFUNCTION("""COMPUTED_VALUE"""),624.0)</f>
        <v>624</v>
      </c>
      <c r="AG92" s="15"/>
      <c r="AH92" s="15"/>
      <c r="AI92" s="15"/>
      <c r="AJ92" s="15">
        <f>IFERROR(__xludf.DUMMYFUNCTION("""COMPUTED_VALUE"""),5484.0)</f>
        <v>5484</v>
      </c>
      <c r="AK92" s="15"/>
      <c r="AL92" s="15"/>
      <c r="AM92" s="15"/>
      <c r="AN92" s="15">
        <f>IFERROR(__xludf.DUMMYFUNCTION("""COMPUTED_VALUE"""),503.0)</f>
        <v>503</v>
      </c>
      <c r="AO92" s="15"/>
      <c r="AP92" s="15"/>
      <c r="AQ92" s="15"/>
      <c r="AR92" s="15">
        <f>IFERROR(__xludf.DUMMYFUNCTION("""COMPUTED_VALUE"""),135.0)</f>
        <v>135</v>
      </c>
      <c r="AS92" s="15"/>
    </row>
    <row r="93">
      <c r="A93" s="73">
        <v>92.0</v>
      </c>
      <c r="W93" s="15">
        <f t="shared" si="2"/>
        <v>2</v>
      </c>
      <c r="X93" s="15">
        <f t="shared" si="8"/>
        <v>3940</v>
      </c>
      <c r="Y93" s="15">
        <f t="shared" si="3"/>
        <v>33</v>
      </c>
      <c r="Z93" s="15">
        <f t="shared" si="4"/>
        <v>3357</v>
      </c>
      <c r="AA93" s="15">
        <f t="shared" si="5"/>
        <v>2338</v>
      </c>
      <c r="AB93" s="15">
        <f t="shared" si="6"/>
        <v>1720</v>
      </c>
      <c r="AC93" s="15">
        <f t="shared" si="7"/>
        <v>195</v>
      </c>
      <c r="AD93" s="15"/>
      <c r="AE93" s="15" t="str">
        <f>IFERROR(__xludf.DUMMYFUNCTION("""COMPUTED_VALUE"""),"Quals 30")</f>
        <v>Quals 30</v>
      </c>
      <c r="AF93" s="15">
        <f>IFERROR(__xludf.DUMMYFUNCTION("""COMPUTED_VALUE"""),3940.0)</f>
        <v>3940</v>
      </c>
      <c r="AG93" s="15"/>
      <c r="AH93" s="15">
        <f>IFERROR(__xludf.DUMMYFUNCTION("""COMPUTED_VALUE"""),33.0)</f>
        <v>33</v>
      </c>
      <c r="AI93" s="15"/>
      <c r="AJ93" s="15">
        <f>IFERROR(__xludf.DUMMYFUNCTION("""COMPUTED_VALUE"""),3357.0)</f>
        <v>3357</v>
      </c>
      <c r="AK93" s="15"/>
      <c r="AL93" s="15">
        <f>IFERROR(__xludf.DUMMYFUNCTION("""COMPUTED_VALUE"""),2338.0)</f>
        <v>2338</v>
      </c>
      <c r="AM93" s="15"/>
      <c r="AN93" s="15">
        <f>IFERROR(__xludf.DUMMYFUNCTION("""COMPUTED_VALUE"""),1720.0)</f>
        <v>1720</v>
      </c>
      <c r="AO93" s="15"/>
      <c r="AP93" s="15">
        <f>IFERROR(__xludf.DUMMYFUNCTION("""COMPUTED_VALUE"""),195.0)</f>
        <v>195</v>
      </c>
      <c r="AQ93" s="15"/>
      <c r="AR93" s="15">
        <f>IFERROR(__xludf.DUMMYFUNCTION("""COMPUTED_VALUE"""),133.0)</f>
        <v>133</v>
      </c>
      <c r="AS93" s="15">
        <f>IFERROR(__xludf.DUMMYFUNCTION("""COMPUTED_VALUE"""),120.0)</f>
        <v>120</v>
      </c>
    </row>
    <row r="94">
      <c r="A94" s="73">
        <v>93.0</v>
      </c>
      <c r="W94" s="15">
        <f t="shared" si="2"/>
        <v>0</v>
      </c>
      <c r="X94" s="15" t="str">
        <f t="shared" si="8"/>
        <v/>
      </c>
      <c r="Y94" s="15" t="str">
        <f t="shared" si="3"/>
        <v/>
      </c>
      <c r="Z94" s="15" t="str">
        <f t="shared" si="4"/>
        <v/>
      </c>
      <c r="AA94" s="15" t="str">
        <f t="shared" si="5"/>
        <v/>
      </c>
      <c r="AB94" s="15" t="str">
        <f t="shared" si="6"/>
        <v/>
      </c>
      <c r="AC94" s="15" t="str">
        <f t="shared" si="7"/>
        <v/>
      </c>
      <c r="AD94" s="15"/>
      <c r="AE94" s="15" t="str">
        <f>IFERROR(__xludf.DUMMYFUNCTION("""COMPUTED_VALUE"""),"Quals 30")</f>
        <v>Quals 30</v>
      </c>
      <c r="AF94" s="15">
        <f>IFERROR(__xludf.DUMMYFUNCTION("""COMPUTED_VALUE"""),3940.0)</f>
        <v>3940</v>
      </c>
      <c r="AG94" s="15"/>
      <c r="AH94" s="15"/>
      <c r="AI94" s="15"/>
      <c r="AJ94" s="15">
        <f>IFERROR(__xludf.DUMMYFUNCTION("""COMPUTED_VALUE"""),33.0)</f>
        <v>33</v>
      </c>
      <c r="AK94" s="15"/>
      <c r="AL94" s="15"/>
      <c r="AM94" s="15"/>
      <c r="AN94" s="15">
        <f>IFERROR(__xludf.DUMMYFUNCTION("""COMPUTED_VALUE"""),3357.0)</f>
        <v>3357</v>
      </c>
      <c r="AO94" s="15"/>
      <c r="AP94" s="15"/>
      <c r="AQ94" s="15"/>
      <c r="AR94" s="15">
        <f>IFERROR(__xludf.DUMMYFUNCTION("""COMPUTED_VALUE"""),133.0)</f>
        <v>133</v>
      </c>
      <c r="AS94" s="15"/>
    </row>
    <row r="95">
      <c r="A95" s="73">
        <v>94.0</v>
      </c>
      <c r="W95" s="15">
        <f t="shared" si="2"/>
        <v>1</v>
      </c>
      <c r="X95" s="15" t="str">
        <f t="shared" si="8"/>
        <v/>
      </c>
      <c r="Y95" s="15" t="str">
        <f t="shared" si="3"/>
        <v/>
      </c>
      <c r="Z95" s="15" t="str">
        <f t="shared" si="4"/>
        <v/>
      </c>
      <c r="AA95" s="15" t="str">
        <f t="shared" si="5"/>
        <v/>
      </c>
      <c r="AB95" s="15" t="str">
        <f t="shared" si="6"/>
        <v/>
      </c>
      <c r="AC95" s="15" t="str">
        <f t="shared" si="7"/>
        <v/>
      </c>
      <c r="AD95" s="15"/>
      <c r="AE95" s="15"/>
      <c r="AF95" s="15">
        <f>IFERROR(__xludf.DUMMYFUNCTION("""COMPUTED_VALUE"""),2338.0)</f>
        <v>2338</v>
      </c>
      <c r="AG95" s="15"/>
      <c r="AH95" s="15"/>
      <c r="AI95" s="15"/>
      <c r="AJ95" s="15">
        <f>IFERROR(__xludf.DUMMYFUNCTION("""COMPUTED_VALUE"""),1720.0)</f>
        <v>1720</v>
      </c>
      <c r="AK95" s="15"/>
      <c r="AL95" s="15"/>
      <c r="AM95" s="15"/>
      <c r="AN95" s="15">
        <f>IFERROR(__xludf.DUMMYFUNCTION("""COMPUTED_VALUE"""),195.0)</f>
        <v>195</v>
      </c>
      <c r="AO95" s="15"/>
      <c r="AP95" s="15"/>
      <c r="AQ95" s="15"/>
      <c r="AR95" s="15">
        <f>IFERROR(__xludf.DUMMYFUNCTION("""COMPUTED_VALUE"""),120.0)</f>
        <v>120</v>
      </c>
      <c r="AS95" s="15"/>
    </row>
    <row r="96">
      <c r="A96" s="73">
        <v>95.0</v>
      </c>
      <c r="W96" s="15">
        <f t="shared" si="2"/>
        <v>2</v>
      </c>
      <c r="X96" s="15">
        <f t="shared" si="8"/>
        <v>4635</v>
      </c>
      <c r="Y96" s="15">
        <f t="shared" si="3"/>
        <v>67</v>
      </c>
      <c r="Z96" s="15">
        <f t="shared" si="4"/>
        <v>694</v>
      </c>
      <c r="AA96" s="15">
        <f t="shared" si="5"/>
        <v>587</v>
      </c>
      <c r="AB96" s="15">
        <f t="shared" si="6"/>
        <v>7457</v>
      </c>
      <c r="AC96" s="15">
        <f t="shared" si="7"/>
        <v>4265</v>
      </c>
      <c r="AD96" s="15"/>
      <c r="AE96" s="15" t="str">
        <f>IFERROR(__xludf.DUMMYFUNCTION("""COMPUTED_VALUE"""),"Quals 31")</f>
        <v>Quals 31</v>
      </c>
      <c r="AF96" s="15">
        <f>IFERROR(__xludf.DUMMYFUNCTION("""COMPUTED_VALUE"""),4635.0)</f>
        <v>4635</v>
      </c>
      <c r="AG96" s="15"/>
      <c r="AH96" s="15">
        <f>IFERROR(__xludf.DUMMYFUNCTION("""COMPUTED_VALUE"""),67.0)</f>
        <v>67</v>
      </c>
      <c r="AI96" s="15"/>
      <c r="AJ96" s="15">
        <f>IFERROR(__xludf.DUMMYFUNCTION("""COMPUTED_VALUE"""),694.0)</f>
        <v>694</v>
      </c>
      <c r="AK96" s="15"/>
      <c r="AL96" s="15">
        <f>IFERROR(__xludf.DUMMYFUNCTION("""COMPUTED_VALUE"""),587.0)</f>
        <v>587</v>
      </c>
      <c r="AM96" s="15"/>
      <c r="AN96" s="15">
        <f>IFERROR(__xludf.DUMMYFUNCTION("""COMPUTED_VALUE"""),7457.0)</f>
        <v>7457</v>
      </c>
      <c r="AO96" s="15"/>
      <c r="AP96" s="15">
        <f>IFERROR(__xludf.DUMMYFUNCTION("""COMPUTED_VALUE"""),4265.0)</f>
        <v>4265</v>
      </c>
      <c r="AQ96" s="15"/>
      <c r="AR96" s="15">
        <f>IFERROR(__xludf.DUMMYFUNCTION("""COMPUTED_VALUE"""),136.0)</f>
        <v>136</v>
      </c>
      <c r="AS96" s="15">
        <f>IFERROR(__xludf.DUMMYFUNCTION("""COMPUTED_VALUE"""),135.0)</f>
        <v>135</v>
      </c>
    </row>
    <row r="97">
      <c r="A97" s="73">
        <v>96.0</v>
      </c>
      <c r="W97" s="15">
        <f t="shared" si="2"/>
        <v>0</v>
      </c>
      <c r="X97" s="15" t="str">
        <f t="shared" si="8"/>
        <v/>
      </c>
      <c r="Y97" s="15" t="str">
        <f t="shared" si="3"/>
        <v/>
      </c>
      <c r="Z97" s="15" t="str">
        <f t="shared" si="4"/>
        <v/>
      </c>
      <c r="AA97" s="15" t="str">
        <f t="shared" si="5"/>
        <v/>
      </c>
      <c r="AB97" s="15" t="str">
        <f t="shared" si="6"/>
        <v/>
      </c>
      <c r="AC97" s="15" t="str">
        <f t="shared" si="7"/>
        <v/>
      </c>
      <c r="AD97" s="15"/>
      <c r="AE97" s="15" t="str">
        <f>IFERROR(__xludf.DUMMYFUNCTION("""COMPUTED_VALUE"""),"Quals 31")</f>
        <v>Quals 31</v>
      </c>
      <c r="AF97" s="15">
        <f>IFERROR(__xludf.DUMMYFUNCTION("""COMPUTED_VALUE"""),4635.0)</f>
        <v>4635</v>
      </c>
      <c r="AG97" s="15"/>
      <c r="AH97" s="15"/>
      <c r="AI97" s="15"/>
      <c r="AJ97" s="15">
        <f>IFERROR(__xludf.DUMMYFUNCTION("""COMPUTED_VALUE"""),67.0)</f>
        <v>67</v>
      </c>
      <c r="AK97" s="15"/>
      <c r="AL97" s="15"/>
      <c r="AM97" s="15"/>
      <c r="AN97" s="15">
        <f>IFERROR(__xludf.DUMMYFUNCTION("""COMPUTED_VALUE"""),694.0)</f>
        <v>694</v>
      </c>
      <c r="AO97" s="15"/>
      <c r="AP97" s="15"/>
      <c r="AQ97" s="15"/>
      <c r="AR97" s="15">
        <f>IFERROR(__xludf.DUMMYFUNCTION("""COMPUTED_VALUE"""),136.0)</f>
        <v>136</v>
      </c>
      <c r="AS97" s="15"/>
    </row>
    <row r="98">
      <c r="A98" s="73">
        <v>97.0</v>
      </c>
      <c r="W98" s="15">
        <f t="shared" si="2"/>
        <v>1</v>
      </c>
      <c r="X98" s="15" t="str">
        <f t="shared" si="8"/>
        <v/>
      </c>
      <c r="Y98" s="15" t="str">
        <f t="shared" si="3"/>
        <v/>
      </c>
      <c r="Z98" s="15" t="str">
        <f t="shared" si="4"/>
        <v/>
      </c>
      <c r="AA98" s="15" t="str">
        <f t="shared" si="5"/>
        <v/>
      </c>
      <c r="AB98" s="15" t="str">
        <f t="shared" si="6"/>
        <v/>
      </c>
      <c r="AC98" s="15" t="str">
        <f t="shared" si="7"/>
        <v/>
      </c>
      <c r="AD98" s="15"/>
      <c r="AE98" s="15"/>
      <c r="AF98" s="15">
        <f>IFERROR(__xludf.DUMMYFUNCTION("""COMPUTED_VALUE"""),587.0)</f>
        <v>587</v>
      </c>
      <c r="AG98" s="15"/>
      <c r="AH98" s="15"/>
      <c r="AI98" s="15"/>
      <c r="AJ98" s="15">
        <f>IFERROR(__xludf.DUMMYFUNCTION("""COMPUTED_VALUE"""),7457.0)</f>
        <v>7457</v>
      </c>
      <c r="AK98" s="15"/>
      <c r="AL98" s="15"/>
      <c r="AM98" s="15"/>
      <c r="AN98" s="15">
        <f>IFERROR(__xludf.DUMMYFUNCTION("""COMPUTED_VALUE"""),4265.0)</f>
        <v>4265</v>
      </c>
      <c r="AO98" s="15"/>
      <c r="AP98" s="15"/>
      <c r="AQ98" s="15"/>
      <c r="AR98" s="15">
        <f>IFERROR(__xludf.DUMMYFUNCTION("""COMPUTED_VALUE"""),135.0)</f>
        <v>135</v>
      </c>
      <c r="AS98" s="15"/>
    </row>
    <row r="99">
      <c r="A99" s="73">
        <v>98.0</v>
      </c>
      <c r="W99" s="15">
        <f t="shared" si="2"/>
        <v>2</v>
      </c>
      <c r="X99" s="15">
        <f t="shared" si="8"/>
        <v>3176</v>
      </c>
      <c r="Y99" s="15">
        <f t="shared" si="3"/>
        <v>5010</v>
      </c>
      <c r="Z99" s="15">
        <f t="shared" si="4"/>
        <v>1730</v>
      </c>
      <c r="AA99" s="15">
        <f t="shared" si="5"/>
        <v>234</v>
      </c>
      <c r="AB99" s="15">
        <f t="shared" si="6"/>
        <v>4499</v>
      </c>
      <c r="AC99" s="15">
        <f t="shared" si="7"/>
        <v>3538</v>
      </c>
      <c r="AD99" s="15"/>
      <c r="AE99" s="15" t="str">
        <f>IFERROR(__xludf.DUMMYFUNCTION("""COMPUTED_VALUE"""),"Quals 32")</f>
        <v>Quals 32</v>
      </c>
      <c r="AF99" s="15">
        <f>IFERROR(__xludf.DUMMYFUNCTION("""COMPUTED_VALUE"""),3176.0)</f>
        <v>3176</v>
      </c>
      <c r="AG99" s="15"/>
      <c r="AH99" s="15">
        <f>IFERROR(__xludf.DUMMYFUNCTION("""COMPUTED_VALUE"""),5010.0)</f>
        <v>5010</v>
      </c>
      <c r="AI99" s="15"/>
      <c r="AJ99" s="15">
        <f>IFERROR(__xludf.DUMMYFUNCTION("""COMPUTED_VALUE"""),1730.0)</f>
        <v>1730</v>
      </c>
      <c r="AK99" s="15"/>
      <c r="AL99" s="15">
        <f>IFERROR(__xludf.DUMMYFUNCTION("""COMPUTED_VALUE"""),234.0)</f>
        <v>234</v>
      </c>
      <c r="AM99" s="15"/>
      <c r="AN99" s="15">
        <f>IFERROR(__xludf.DUMMYFUNCTION("""COMPUTED_VALUE"""),4499.0)</f>
        <v>4499</v>
      </c>
      <c r="AO99" s="15"/>
      <c r="AP99" s="15">
        <f>IFERROR(__xludf.DUMMYFUNCTION("""COMPUTED_VALUE"""),3538.0)</f>
        <v>3538</v>
      </c>
      <c r="AQ99" s="15"/>
      <c r="AR99" s="15">
        <f>IFERROR(__xludf.DUMMYFUNCTION("""COMPUTED_VALUE"""),91.0)</f>
        <v>91</v>
      </c>
      <c r="AS99" s="15">
        <f>IFERROR(__xludf.DUMMYFUNCTION("""COMPUTED_VALUE"""),140.0)</f>
        <v>140</v>
      </c>
    </row>
    <row r="100">
      <c r="A100" s="73">
        <v>99.0</v>
      </c>
      <c r="W100" s="15">
        <f t="shared" si="2"/>
        <v>0</v>
      </c>
      <c r="X100" s="15" t="str">
        <f t="shared" si="8"/>
        <v/>
      </c>
      <c r="Y100" s="15" t="str">
        <f t="shared" si="3"/>
        <v/>
      </c>
      <c r="Z100" s="15" t="str">
        <f t="shared" si="4"/>
        <v/>
      </c>
      <c r="AA100" s="15" t="str">
        <f t="shared" si="5"/>
        <v/>
      </c>
      <c r="AB100" s="15" t="str">
        <f t="shared" si="6"/>
        <v/>
      </c>
      <c r="AC100" s="15" t="str">
        <f t="shared" si="7"/>
        <v/>
      </c>
      <c r="AD100" s="15"/>
      <c r="AE100" s="15" t="str">
        <f>IFERROR(__xludf.DUMMYFUNCTION("""COMPUTED_VALUE"""),"Quals 32")</f>
        <v>Quals 32</v>
      </c>
      <c r="AF100" s="15">
        <f>IFERROR(__xludf.DUMMYFUNCTION("""COMPUTED_VALUE"""),3176.0)</f>
        <v>3176</v>
      </c>
      <c r="AG100" s="15"/>
      <c r="AH100" s="15"/>
      <c r="AI100" s="15"/>
      <c r="AJ100" s="15">
        <f>IFERROR(__xludf.DUMMYFUNCTION("""COMPUTED_VALUE"""),5010.0)</f>
        <v>5010</v>
      </c>
      <c r="AK100" s="15"/>
      <c r="AL100" s="15"/>
      <c r="AM100" s="15"/>
      <c r="AN100" s="15">
        <f>IFERROR(__xludf.DUMMYFUNCTION("""COMPUTED_VALUE"""),1730.0)</f>
        <v>1730</v>
      </c>
      <c r="AO100" s="15"/>
      <c r="AP100" s="15"/>
      <c r="AQ100" s="15"/>
      <c r="AR100" s="15">
        <f>IFERROR(__xludf.DUMMYFUNCTION("""COMPUTED_VALUE"""),91.0)</f>
        <v>91</v>
      </c>
      <c r="AS100" s="15"/>
    </row>
    <row r="101">
      <c r="A101" s="73">
        <v>100.0</v>
      </c>
      <c r="W101" s="15">
        <f t="shared" si="2"/>
        <v>1</v>
      </c>
      <c r="X101" s="15" t="str">
        <f t="shared" si="8"/>
        <v/>
      </c>
      <c r="Y101" s="15" t="str">
        <f t="shared" si="3"/>
        <v/>
      </c>
      <c r="Z101" s="15" t="str">
        <f t="shared" si="4"/>
        <v/>
      </c>
      <c r="AA101" s="15" t="str">
        <f t="shared" si="5"/>
        <v/>
      </c>
      <c r="AB101" s="15" t="str">
        <f t="shared" si="6"/>
        <v/>
      </c>
      <c r="AC101" s="15" t="str">
        <f t="shared" si="7"/>
        <v/>
      </c>
      <c r="AD101" s="15"/>
      <c r="AE101" s="15"/>
      <c r="AF101" s="15">
        <f>IFERROR(__xludf.DUMMYFUNCTION("""COMPUTED_VALUE"""),234.0)</f>
        <v>234</v>
      </c>
      <c r="AG101" s="15"/>
      <c r="AH101" s="15"/>
      <c r="AI101" s="15"/>
      <c r="AJ101" s="15">
        <f>IFERROR(__xludf.DUMMYFUNCTION("""COMPUTED_VALUE"""),4499.0)</f>
        <v>4499</v>
      </c>
      <c r="AK101" s="15"/>
      <c r="AL101" s="15"/>
      <c r="AM101" s="15"/>
      <c r="AN101" s="15">
        <f>IFERROR(__xludf.DUMMYFUNCTION("""COMPUTED_VALUE"""),3538.0)</f>
        <v>3538</v>
      </c>
      <c r="AO101" s="15"/>
      <c r="AP101" s="15"/>
      <c r="AQ101" s="15"/>
      <c r="AR101" s="15">
        <f>IFERROR(__xludf.DUMMYFUNCTION("""COMPUTED_VALUE"""),140.0)</f>
        <v>140</v>
      </c>
      <c r="AS101" s="15"/>
    </row>
    <row r="102">
      <c r="A102" s="73">
        <v>101.0</v>
      </c>
      <c r="W102" s="15">
        <f t="shared" si="2"/>
        <v>2</v>
      </c>
      <c r="X102" s="15">
        <f t="shared" si="8"/>
        <v>4143</v>
      </c>
      <c r="Y102" s="15">
        <f t="shared" si="3"/>
        <v>1732</v>
      </c>
      <c r="Z102" s="15">
        <f t="shared" si="4"/>
        <v>1339</v>
      </c>
      <c r="AA102" s="15">
        <f t="shared" si="5"/>
        <v>2056</v>
      </c>
      <c r="AB102" s="15">
        <f t="shared" si="6"/>
        <v>2767</v>
      </c>
      <c r="AC102" s="15">
        <f t="shared" si="7"/>
        <v>325</v>
      </c>
      <c r="AD102" s="15"/>
      <c r="AE102" s="15" t="str">
        <f>IFERROR(__xludf.DUMMYFUNCTION("""COMPUTED_VALUE"""),"Quals 33")</f>
        <v>Quals 33</v>
      </c>
      <c r="AF102" s="15">
        <f>IFERROR(__xludf.DUMMYFUNCTION("""COMPUTED_VALUE"""),4143.0)</f>
        <v>4143</v>
      </c>
      <c r="AG102" s="15"/>
      <c r="AH102" s="15">
        <f>IFERROR(__xludf.DUMMYFUNCTION("""COMPUTED_VALUE"""),1732.0)</f>
        <v>1732</v>
      </c>
      <c r="AI102" s="15"/>
      <c r="AJ102" s="15">
        <f>IFERROR(__xludf.DUMMYFUNCTION("""COMPUTED_VALUE"""),1339.0)</f>
        <v>1339</v>
      </c>
      <c r="AK102" s="15"/>
      <c r="AL102" s="15">
        <f>IFERROR(__xludf.DUMMYFUNCTION("""COMPUTED_VALUE"""),2056.0)</f>
        <v>2056</v>
      </c>
      <c r="AM102" s="15"/>
      <c r="AN102" s="15">
        <f>IFERROR(__xludf.DUMMYFUNCTION("""COMPUTED_VALUE"""),2767.0)</f>
        <v>2767</v>
      </c>
      <c r="AO102" s="15"/>
      <c r="AP102" s="15">
        <f>IFERROR(__xludf.DUMMYFUNCTION("""COMPUTED_VALUE"""),325.0)</f>
        <v>325</v>
      </c>
      <c r="AQ102" s="15"/>
      <c r="AR102" s="15">
        <f>IFERROR(__xludf.DUMMYFUNCTION("""COMPUTED_VALUE"""),136.0)</f>
        <v>136</v>
      </c>
      <c r="AS102" s="15">
        <f>IFERROR(__xludf.DUMMYFUNCTION("""COMPUTED_VALUE"""),121.0)</f>
        <v>121</v>
      </c>
    </row>
    <row r="103">
      <c r="A103" s="73">
        <v>102.0</v>
      </c>
      <c r="W103" s="15">
        <f t="shared" si="2"/>
        <v>0</v>
      </c>
      <c r="X103" s="15" t="str">
        <f t="shared" si="8"/>
        <v/>
      </c>
      <c r="Y103" s="15" t="str">
        <f t="shared" si="3"/>
        <v/>
      </c>
      <c r="Z103" s="15" t="str">
        <f t="shared" si="4"/>
        <v/>
      </c>
      <c r="AA103" s="15" t="str">
        <f t="shared" si="5"/>
        <v/>
      </c>
      <c r="AB103" s="15" t="str">
        <f t="shared" si="6"/>
        <v/>
      </c>
      <c r="AC103" s="15" t="str">
        <f t="shared" si="7"/>
        <v/>
      </c>
      <c r="AD103" s="15"/>
      <c r="AE103" s="15" t="str">
        <f>IFERROR(__xludf.DUMMYFUNCTION("""COMPUTED_VALUE"""),"Quals 33")</f>
        <v>Quals 33</v>
      </c>
      <c r="AF103" s="15">
        <f>IFERROR(__xludf.DUMMYFUNCTION("""COMPUTED_VALUE"""),4143.0)</f>
        <v>4143</v>
      </c>
      <c r="AG103" s="15"/>
      <c r="AH103" s="15"/>
      <c r="AI103" s="15"/>
      <c r="AJ103" s="15">
        <f>IFERROR(__xludf.DUMMYFUNCTION("""COMPUTED_VALUE"""),1732.0)</f>
        <v>1732</v>
      </c>
      <c r="AK103" s="15"/>
      <c r="AL103" s="15"/>
      <c r="AM103" s="15"/>
      <c r="AN103" s="15">
        <f>IFERROR(__xludf.DUMMYFUNCTION("""COMPUTED_VALUE"""),1339.0)</f>
        <v>1339</v>
      </c>
      <c r="AO103" s="15"/>
      <c r="AP103" s="15"/>
      <c r="AQ103" s="15"/>
      <c r="AR103" s="15">
        <f>IFERROR(__xludf.DUMMYFUNCTION("""COMPUTED_VALUE"""),136.0)</f>
        <v>136</v>
      </c>
      <c r="AS103" s="15"/>
    </row>
    <row r="104">
      <c r="A104" s="73">
        <v>103.0</v>
      </c>
      <c r="W104" s="15">
        <f t="shared" si="2"/>
        <v>1</v>
      </c>
      <c r="X104" s="15" t="str">
        <f t="shared" si="8"/>
        <v/>
      </c>
      <c r="Y104" s="15" t="str">
        <f t="shared" si="3"/>
        <v/>
      </c>
      <c r="Z104" s="15" t="str">
        <f t="shared" si="4"/>
        <v/>
      </c>
      <c r="AA104" s="15" t="str">
        <f t="shared" si="5"/>
        <v/>
      </c>
      <c r="AB104" s="15" t="str">
        <f t="shared" si="6"/>
        <v/>
      </c>
      <c r="AC104" s="15" t="str">
        <f t="shared" si="7"/>
        <v/>
      </c>
      <c r="AD104" s="15"/>
      <c r="AE104" s="15"/>
      <c r="AF104" s="15">
        <f>IFERROR(__xludf.DUMMYFUNCTION("""COMPUTED_VALUE"""),2056.0)</f>
        <v>2056</v>
      </c>
      <c r="AG104" s="15"/>
      <c r="AH104" s="15"/>
      <c r="AI104" s="15"/>
      <c r="AJ104" s="15">
        <f>IFERROR(__xludf.DUMMYFUNCTION("""COMPUTED_VALUE"""),2767.0)</f>
        <v>2767</v>
      </c>
      <c r="AK104" s="15"/>
      <c r="AL104" s="15"/>
      <c r="AM104" s="15"/>
      <c r="AN104" s="15">
        <f>IFERROR(__xludf.DUMMYFUNCTION("""COMPUTED_VALUE"""),325.0)</f>
        <v>325</v>
      </c>
      <c r="AO104" s="15"/>
      <c r="AP104" s="15"/>
      <c r="AQ104" s="15"/>
      <c r="AR104" s="15">
        <f>IFERROR(__xludf.DUMMYFUNCTION("""COMPUTED_VALUE"""),121.0)</f>
        <v>121</v>
      </c>
      <c r="AS104" s="15"/>
    </row>
    <row r="105">
      <c r="A105" s="73">
        <v>104.0</v>
      </c>
      <c r="W105" s="15">
        <f t="shared" si="2"/>
        <v>2</v>
      </c>
      <c r="X105" s="15">
        <f t="shared" si="8"/>
        <v>624</v>
      </c>
      <c r="Y105" s="15">
        <f t="shared" si="3"/>
        <v>5406</v>
      </c>
      <c r="Z105" s="15">
        <f t="shared" si="4"/>
        <v>4926</v>
      </c>
      <c r="AA105" s="15">
        <f t="shared" si="5"/>
        <v>5484</v>
      </c>
      <c r="AB105" s="15">
        <f t="shared" si="6"/>
        <v>2363</v>
      </c>
      <c r="AC105" s="15">
        <f t="shared" si="7"/>
        <v>180</v>
      </c>
      <c r="AD105" s="15"/>
      <c r="AE105" s="15" t="str">
        <f>IFERROR(__xludf.DUMMYFUNCTION("""COMPUTED_VALUE"""),"Quals 34")</f>
        <v>Quals 34</v>
      </c>
      <c r="AF105" s="15">
        <f>IFERROR(__xludf.DUMMYFUNCTION("""COMPUTED_VALUE"""),624.0)</f>
        <v>624</v>
      </c>
      <c r="AG105" s="15"/>
      <c r="AH105" s="15">
        <f>IFERROR(__xludf.DUMMYFUNCTION("""COMPUTED_VALUE"""),5406.0)</f>
        <v>5406</v>
      </c>
      <c r="AI105" s="15"/>
      <c r="AJ105" s="15">
        <f>IFERROR(__xludf.DUMMYFUNCTION("""COMPUTED_VALUE"""),4926.0)</f>
        <v>4926</v>
      </c>
      <c r="AK105" s="15"/>
      <c r="AL105" s="15">
        <f>IFERROR(__xludf.DUMMYFUNCTION("""COMPUTED_VALUE"""),5484.0)</f>
        <v>5484</v>
      </c>
      <c r="AM105" s="15"/>
      <c r="AN105" s="15">
        <f>IFERROR(__xludf.DUMMYFUNCTION("""COMPUTED_VALUE"""),2363.0)</f>
        <v>2363</v>
      </c>
      <c r="AO105" s="15"/>
      <c r="AP105" s="15">
        <f>IFERROR(__xludf.DUMMYFUNCTION("""COMPUTED_VALUE"""),180.0)</f>
        <v>180</v>
      </c>
      <c r="AQ105" s="15"/>
      <c r="AR105" s="15">
        <f>IFERROR(__xludf.DUMMYFUNCTION("""COMPUTED_VALUE"""),119.0)</f>
        <v>119</v>
      </c>
      <c r="AS105" s="15">
        <f>IFERROR(__xludf.DUMMYFUNCTION("""COMPUTED_VALUE"""),145.0)</f>
        <v>145</v>
      </c>
    </row>
    <row r="106">
      <c r="A106" s="73">
        <v>105.0</v>
      </c>
      <c r="W106" s="15">
        <f t="shared" si="2"/>
        <v>0</v>
      </c>
      <c r="X106" s="15" t="str">
        <f t="shared" si="8"/>
        <v/>
      </c>
      <c r="Y106" s="15" t="str">
        <f t="shared" si="3"/>
        <v/>
      </c>
      <c r="Z106" s="15" t="str">
        <f t="shared" si="4"/>
        <v/>
      </c>
      <c r="AA106" s="15" t="str">
        <f t="shared" si="5"/>
        <v/>
      </c>
      <c r="AB106" s="15" t="str">
        <f t="shared" si="6"/>
        <v/>
      </c>
      <c r="AC106" s="15" t="str">
        <f t="shared" si="7"/>
        <v/>
      </c>
      <c r="AD106" s="15"/>
      <c r="AE106" s="15" t="str">
        <f>IFERROR(__xludf.DUMMYFUNCTION("""COMPUTED_VALUE"""),"Quals 34")</f>
        <v>Quals 34</v>
      </c>
      <c r="AF106" s="15">
        <f>IFERROR(__xludf.DUMMYFUNCTION("""COMPUTED_VALUE"""),624.0)</f>
        <v>624</v>
      </c>
      <c r="AG106" s="15"/>
      <c r="AH106" s="15"/>
      <c r="AI106" s="15"/>
      <c r="AJ106" s="15">
        <f>IFERROR(__xludf.DUMMYFUNCTION("""COMPUTED_VALUE"""),5406.0)</f>
        <v>5406</v>
      </c>
      <c r="AK106" s="15"/>
      <c r="AL106" s="15"/>
      <c r="AM106" s="15"/>
      <c r="AN106" s="15">
        <f>IFERROR(__xludf.DUMMYFUNCTION("""COMPUTED_VALUE"""),4926.0)</f>
        <v>4926</v>
      </c>
      <c r="AO106" s="15"/>
      <c r="AP106" s="15"/>
      <c r="AQ106" s="15"/>
      <c r="AR106" s="15">
        <f>IFERROR(__xludf.DUMMYFUNCTION("""COMPUTED_VALUE"""),119.0)</f>
        <v>119</v>
      </c>
      <c r="AS106" s="15"/>
    </row>
    <row r="107">
      <c r="A107" s="73">
        <v>106.0</v>
      </c>
      <c r="W107" s="15">
        <f t="shared" si="2"/>
        <v>1</v>
      </c>
      <c r="X107" s="15" t="str">
        <f t="shared" si="8"/>
        <v/>
      </c>
      <c r="Y107" s="15" t="str">
        <f t="shared" si="3"/>
        <v/>
      </c>
      <c r="Z107" s="15" t="str">
        <f t="shared" si="4"/>
        <v/>
      </c>
      <c r="AA107" s="15" t="str">
        <f t="shared" si="5"/>
        <v/>
      </c>
      <c r="AB107" s="15" t="str">
        <f t="shared" si="6"/>
        <v/>
      </c>
      <c r="AC107" s="15" t="str">
        <f t="shared" si="7"/>
        <v/>
      </c>
      <c r="AD107" s="15"/>
      <c r="AE107" s="15"/>
      <c r="AF107" s="15">
        <f>IFERROR(__xludf.DUMMYFUNCTION("""COMPUTED_VALUE"""),5484.0)</f>
        <v>5484</v>
      </c>
      <c r="AG107" s="15"/>
      <c r="AH107" s="15"/>
      <c r="AI107" s="15"/>
      <c r="AJ107" s="15">
        <f>IFERROR(__xludf.DUMMYFUNCTION("""COMPUTED_VALUE"""),2363.0)</f>
        <v>2363</v>
      </c>
      <c r="AK107" s="15"/>
      <c r="AL107" s="15"/>
      <c r="AM107" s="15"/>
      <c r="AN107" s="15">
        <f>IFERROR(__xludf.DUMMYFUNCTION("""COMPUTED_VALUE"""),180.0)</f>
        <v>180</v>
      </c>
      <c r="AO107" s="15"/>
      <c r="AP107" s="15"/>
      <c r="AQ107" s="15"/>
      <c r="AR107" s="15">
        <f>IFERROR(__xludf.DUMMYFUNCTION("""COMPUTED_VALUE"""),145.0)</f>
        <v>145</v>
      </c>
      <c r="AS107" s="15"/>
    </row>
    <row r="108">
      <c r="A108" s="73">
        <v>107.0</v>
      </c>
      <c r="W108" s="15">
        <f t="shared" si="2"/>
        <v>2</v>
      </c>
      <c r="X108" s="15">
        <f t="shared" si="8"/>
        <v>1023</v>
      </c>
      <c r="Y108" s="15">
        <f t="shared" si="3"/>
        <v>3940</v>
      </c>
      <c r="Z108" s="15">
        <f t="shared" si="4"/>
        <v>340</v>
      </c>
      <c r="AA108" s="15">
        <f t="shared" si="5"/>
        <v>33</v>
      </c>
      <c r="AB108" s="15">
        <f t="shared" si="6"/>
        <v>1533</v>
      </c>
      <c r="AC108" s="15">
        <f t="shared" si="7"/>
        <v>4099</v>
      </c>
      <c r="AD108" s="15"/>
      <c r="AE108" s="15" t="str">
        <f>IFERROR(__xludf.DUMMYFUNCTION("""COMPUTED_VALUE"""),"Quals 35")</f>
        <v>Quals 35</v>
      </c>
      <c r="AF108" s="15">
        <f>IFERROR(__xludf.DUMMYFUNCTION("""COMPUTED_VALUE"""),1023.0)</f>
        <v>1023</v>
      </c>
      <c r="AG108" s="15"/>
      <c r="AH108" s="15">
        <f>IFERROR(__xludf.DUMMYFUNCTION("""COMPUTED_VALUE"""),3940.0)</f>
        <v>3940</v>
      </c>
      <c r="AI108" s="15"/>
      <c r="AJ108" s="15">
        <f>IFERROR(__xludf.DUMMYFUNCTION("""COMPUTED_VALUE"""),340.0)</f>
        <v>340</v>
      </c>
      <c r="AK108" s="15"/>
      <c r="AL108" s="15">
        <f>IFERROR(__xludf.DUMMYFUNCTION("""COMPUTED_VALUE"""),33.0)</f>
        <v>33</v>
      </c>
      <c r="AM108" s="15"/>
      <c r="AN108" s="15">
        <f>IFERROR(__xludf.DUMMYFUNCTION("""COMPUTED_VALUE"""),1533.0)</f>
        <v>1533</v>
      </c>
      <c r="AO108" s="15"/>
      <c r="AP108" s="15">
        <f>IFERROR(__xludf.DUMMYFUNCTION("""COMPUTED_VALUE"""),4099.0)</f>
        <v>4099</v>
      </c>
      <c r="AQ108" s="15"/>
      <c r="AR108" s="15">
        <f>IFERROR(__xludf.DUMMYFUNCTION("""COMPUTED_VALUE"""),115.0)</f>
        <v>115</v>
      </c>
      <c r="AS108" s="15">
        <f>IFERROR(__xludf.DUMMYFUNCTION("""COMPUTED_VALUE"""),140.0)</f>
        <v>140</v>
      </c>
    </row>
    <row r="109">
      <c r="A109" s="73">
        <v>108.0</v>
      </c>
      <c r="W109" s="15">
        <f t="shared" si="2"/>
        <v>0</v>
      </c>
      <c r="X109" s="15" t="str">
        <f t="shared" si="8"/>
        <v/>
      </c>
      <c r="Y109" s="15" t="str">
        <f t="shared" si="3"/>
        <v/>
      </c>
      <c r="Z109" s="15" t="str">
        <f t="shared" si="4"/>
        <v/>
      </c>
      <c r="AA109" s="15" t="str">
        <f t="shared" si="5"/>
        <v/>
      </c>
      <c r="AB109" s="15" t="str">
        <f t="shared" si="6"/>
        <v/>
      </c>
      <c r="AC109" s="15" t="str">
        <f t="shared" si="7"/>
        <v/>
      </c>
      <c r="AD109" s="15"/>
      <c r="AE109" s="15" t="str">
        <f>IFERROR(__xludf.DUMMYFUNCTION("""COMPUTED_VALUE"""),"Quals 35")</f>
        <v>Quals 35</v>
      </c>
      <c r="AF109" s="15">
        <f>IFERROR(__xludf.DUMMYFUNCTION("""COMPUTED_VALUE"""),1023.0)</f>
        <v>1023</v>
      </c>
      <c r="AG109" s="15"/>
      <c r="AH109" s="15"/>
      <c r="AI109" s="15"/>
      <c r="AJ109" s="15">
        <f>IFERROR(__xludf.DUMMYFUNCTION("""COMPUTED_VALUE"""),3940.0)</f>
        <v>3940</v>
      </c>
      <c r="AK109" s="15"/>
      <c r="AL109" s="15"/>
      <c r="AM109" s="15"/>
      <c r="AN109" s="15">
        <f>IFERROR(__xludf.DUMMYFUNCTION("""COMPUTED_VALUE"""),340.0)</f>
        <v>340</v>
      </c>
      <c r="AO109" s="15"/>
      <c r="AP109" s="15"/>
      <c r="AQ109" s="15"/>
      <c r="AR109" s="15">
        <f>IFERROR(__xludf.DUMMYFUNCTION("""COMPUTED_VALUE"""),115.0)</f>
        <v>115</v>
      </c>
      <c r="AS109" s="15"/>
    </row>
    <row r="110">
      <c r="A110" s="73">
        <v>109.0</v>
      </c>
      <c r="W110" s="15">
        <f t="shared" si="2"/>
        <v>1</v>
      </c>
      <c r="X110" s="15" t="str">
        <f t="shared" si="8"/>
        <v/>
      </c>
      <c r="Y110" s="15" t="str">
        <f t="shared" si="3"/>
        <v/>
      </c>
      <c r="Z110" s="15" t="str">
        <f t="shared" si="4"/>
        <v/>
      </c>
      <c r="AA110" s="15" t="str">
        <f t="shared" si="5"/>
        <v/>
      </c>
      <c r="AB110" s="15" t="str">
        <f t="shared" si="6"/>
        <v/>
      </c>
      <c r="AC110" s="15" t="str">
        <f t="shared" si="7"/>
        <v/>
      </c>
      <c r="AD110" s="15"/>
      <c r="AE110" s="15"/>
      <c r="AF110" s="15">
        <f>IFERROR(__xludf.DUMMYFUNCTION("""COMPUTED_VALUE"""),33.0)</f>
        <v>33</v>
      </c>
      <c r="AG110" s="15"/>
      <c r="AH110" s="15"/>
      <c r="AI110" s="15"/>
      <c r="AJ110" s="15">
        <f>IFERROR(__xludf.DUMMYFUNCTION("""COMPUTED_VALUE"""),1533.0)</f>
        <v>1533</v>
      </c>
      <c r="AK110" s="15"/>
      <c r="AL110" s="15"/>
      <c r="AM110" s="15"/>
      <c r="AN110" s="15">
        <f>IFERROR(__xludf.DUMMYFUNCTION("""COMPUTED_VALUE"""),4099.0)</f>
        <v>4099</v>
      </c>
      <c r="AO110" s="15"/>
      <c r="AP110" s="15"/>
      <c r="AQ110" s="15"/>
      <c r="AR110" s="15">
        <f>IFERROR(__xludf.DUMMYFUNCTION("""COMPUTED_VALUE"""),140.0)</f>
        <v>140</v>
      </c>
      <c r="AS110" s="15"/>
    </row>
    <row r="111">
      <c r="A111" s="73">
        <v>110.0</v>
      </c>
      <c r="W111" s="15">
        <f t="shared" si="2"/>
        <v>2</v>
      </c>
      <c r="X111" s="15">
        <f t="shared" si="8"/>
        <v>694</v>
      </c>
      <c r="Y111" s="15">
        <f t="shared" si="3"/>
        <v>2468</v>
      </c>
      <c r="Z111" s="15">
        <f t="shared" si="4"/>
        <v>118</v>
      </c>
      <c r="AA111" s="15">
        <f t="shared" si="5"/>
        <v>1987</v>
      </c>
      <c r="AB111" s="15">
        <f t="shared" si="6"/>
        <v>7457</v>
      </c>
      <c r="AC111" s="15">
        <f t="shared" si="7"/>
        <v>1720</v>
      </c>
      <c r="AD111" s="15"/>
      <c r="AE111" s="15" t="str">
        <f>IFERROR(__xludf.DUMMYFUNCTION("""COMPUTED_VALUE"""),"Quals 36")</f>
        <v>Quals 36</v>
      </c>
      <c r="AF111" s="15">
        <f>IFERROR(__xludf.DUMMYFUNCTION("""COMPUTED_VALUE"""),694.0)</f>
        <v>694</v>
      </c>
      <c r="AG111" s="15"/>
      <c r="AH111" s="15">
        <f>IFERROR(__xludf.DUMMYFUNCTION("""COMPUTED_VALUE"""),2468.0)</f>
        <v>2468</v>
      </c>
      <c r="AI111" s="15"/>
      <c r="AJ111" s="15">
        <f>IFERROR(__xludf.DUMMYFUNCTION("""COMPUTED_VALUE"""),118.0)</f>
        <v>118</v>
      </c>
      <c r="AK111" s="15"/>
      <c r="AL111" s="15">
        <f>IFERROR(__xludf.DUMMYFUNCTION("""COMPUTED_VALUE"""),1987.0)</f>
        <v>1987</v>
      </c>
      <c r="AM111" s="15"/>
      <c r="AN111" s="15">
        <f>IFERROR(__xludf.DUMMYFUNCTION("""COMPUTED_VALUE"""),7457.0)</f>
        <v>7457</v>
      </c>
      <c r="AO111" s="15"/>
      <c r="AP111" s="15">
        <f>IFERROR(__xludf.DUMMYFUNCTION("""COMPUTED_VALUE"""),1720.0)</f>
        <v>1720</v>
      </c>
      <c r="AQ111" s="15"/>
      <c r="AR111" s="15">
        <f>IFERROR(__xludf.DUMMYFUNCTION("""COMPUTED_VALUE"""),110.0)</f>
        <v>110</v>
      </c>
      <c r="AS111" s="15">
        <f>IFERROR(__xludf.DUMMYFUNCTION("""COMPUTED_VALUE"""),154.0)</f>
        <v>154</v>
      </c>
    </row>
    <row r="112">
      <c r="A112" s="73">
        <v>111.0</v>
      </c>
      <c r="W112" s="15">
        <f t="shared" si="2"/>
        <v>0</v>
      </c>
      <c r="X112" s="15" t="str">
        <f t="shared" si="8"/>
        <v/>
      </c>
      <c r="Y112" s="15" t="str">
        <f t="shared" si="3"/>
        <v/>
      </c>
      <c r="Z112" s="15" t="str">
        <f t="shared" si="4"/>
        <v/>
      </c>
      <c r="AA112" s="15" t="str">
        <f t="shared" si="5"/>
        <v/>
      </c>
      <c r="AB112" s="15" t="str">
        <f t="shared" si="6"/>
        <v/>
      </c>
      <c r="AC112" s="15" t="str">
        <f t="shared" si="7"/>
        <v/>
      </c>
      <c r="AD112" s="15"/>
      <c r="AE112" s="15" t="str">
        <f>IFERROR(__xludf.DUMMYFUNCTION("""COMPUTED_VALUE"""),"Quals 36")</f>
        <v>Quals 36</v>
      </c>
      <c r="AF112" s="15">
        <f>IFERROR(__xludf.DUMMYFUNCTION("""COMPUTED_VALUE"""),694.0)</f>
        <v>694</v>
      </c>
      <c r="AG112" s="15"/>
      <c r="AH112" s="15"/>
      <c r="AI112" s="15"/>
      <c r="AJ112" s="15">
        <f>IFERROR(__xludf.DUMMYFUNCTION("""COMPUTED_VALUE"""),2468.0)</f>
        <v>2468</v>
      </c>
      <c r="AK112" s="15"/>
      <c r="AL112" s="15"/>
      <c r="AM112" s="15"/>
      <c r="AN112" s="15">
        <f>IFERROR(__xludf.DUMMYFUNCTION("""COMPUTED_VALUE"""),118.0)</f>
        <v>118</v>
      </c>
      <c r="AO112" s="15"/>
      <c r="AP112" s="15"/>
      <c r="AQ112" s="15"/>
      <c r="AR112" s="15">
        <f>IFERROR(__xludf.DUMMYFUNCTION("""COMPUTED_VALUE"""),110.0)</f>
        <v>110</v>
      </c>
      <c r="AS112" s="15"/>
    </row>
    <row r="113">
      <c r="A113" s="73">
        <v>112.0</v>
      </c>
      <c r="W113" s="15">
        <f t="shared" si="2"/>
        <v>1</v>
      </c>
      <c r="X113" s="15" t="str">
        <f t="shared" si="8"/>
        <v/>
      </c>
      <c r="Y113" s="15" t="str">
        <f t="shared" si="3"/>
        <v/>
      </c>
      <c r="Z113" s="15" t="str">
        <f t="shared" si="4"/>
        <v/>
      </c>
      <c r="AA113" s="15" t="str">
        <f t="shared" si="5"/>
        <v/>
      </c>
      <c r="AB113" s="15" t="str">
        <f t="shared" si="6"/>
        <v/>
      </c>
      <c r="AC113" s="15" t="str">
        <f t="shared" si="7"/>
        <v/>
      </c>
      <c r="AD113" s="15"/>
      <c r="AE113" s="15"/>
      <c r="AF113" s="15">
        <f>IFERROR(__xludf.DUMMYFUNCTION("""COMPUTED_VALUE"""),1987.0)</f>
        <v>1987</v>
      </c>
      <c r="AG113" s="15"/>
      <c r="AH113" s="15"/>
      <c r="AI113" s="15"/>
      <c r="AJ113" s="15">
        <f>IFERROR(__xludf.DUMMYFUNCTION("""COMPUTED_VALUE"""),7457.0)</f>
        <v>7457</v>
      </c>
      <c r="AK113" s="15"/>
      <c r="AL113" s="15"/>
      <c r="AM113" s="15"/>
      <c r="AN113" s="15">
        <f>IFERROR(__xludf.DUMMYFUNCTION("""COMPUTED_VALUE"""),1720.0)</f>
        <v>1720</v>
      </c>
      <c r="AO113" s="15"/>
      <c r="AP113" s="15"/>
      <c r="AQ113" s="15"/>
      <c r="AR113" s="15">
        <f>IFERROR(__xludf.DUMMYFUNCTION("""COMPUTED_VALUE"""),154.0)</f>
        <v>154</v>
      </c>
      <c r="AS113" s="15"/>
    </row>
    <row r="114">
      <c r="A114" s="73">
        <v>113.0</v>
      </c>
      <c r="W114" s="15">
        <f t="shared" si="2"/>
        <v>2</v>
      </c>
      <c r="X114" s="15">
        <f t="shared" si="8"/>
        <v>234</v>
      </c>
      <c r="Y114" s="15">
        <f t="shared" si="3"/>
        <v>3176</v>
      </c>
      <c r="Z114" s="15">
        <f t="shared" si="4"/>
        <v>2614</v>
      </c>
      <c r="AA114" s="15">
        <f t="shared" si="5"/>
        <v>67</v>
      </c>
      <c r="AB114" s="15">
        <f t="shared" si="6"/>
        <v>587</v>
      </c>
      <c r="AC114" s="15">
        <f t="shared" si="7"/>
        <v>3357</v>
      </c>
      <c r="AD114" s="15"/>
      <c r="AE114" s="15" t="str">
        <f>IFERROR(__xludf.DUMMYFUNCTION("""COMPUTED_VALUE"""),"Quals 37")</f>
        <v>Quals 37</v>
      </c>
      <c r="AF114" s="15">
        <f>IFERROR(__xludf.DUMMYFUNCTION("""COMPUTED_VALUE"""),234.0)</f>
        <v>234</v>
      </c>
      <c r="AG114" s="15"/>
      <c r="AH114" s="15">
        <f>IFERROR(__xludf.DUMMYFUNCTION("""COMPUTED_VALUE"""),3176.0)</f>
        <v>3176</v>
      </c>
      <c r="AI114" s="15"/>
      <c r="AJ114" s="15">
        <f>IFERROR(__xludf.DUMMYFUNCTION("""COMPUTED_VALUE"""),2614.0)</f>
        <v>2614</v>
      </c>
      <c r="AK114" s="15"/>
      <c r="AL114" s="15">
        <f>IFERROR(__xludf.DUMMYFUNCTION("""COMPUTED_VALUE"""),67.0)</f>
        <v>67</v>
      </c>
      <c r="AM114" s="15"/>
      <c r="AN114" s="15">
        <f>IFERROR(__xludf.DUMMYFUNCTION("""COMPUTED_VALUE"""),587.0)</f>
        <v>587</v>
      </c>
      <c r="AO114" s="15"/>
      <c r="AP114" s="15">
        <f>IFERROR(__xludf.DUMMYFUNCTION("""COMPUTED_VALUE"""),3357.0)</f>
        <v>3357</v>
      </c>
      <c r="AQ114" s="15"/>
      <c r="AR114" s="15">
        <f>IFERROR(__xludf.DUMMYFUNCTION("""COMPUTED_VALUE"""),43.0)</f>
        <v>43</v>
      </c>
      <c r="AS114" s="15">
        <f>IFERROR(__xludf.DUMMYFUNCTION("""COMPUTED_VALUE"""),150.0)</f>
        <v>150</v>
      </c>
    </row>
    <row r="115">
      <c r="A115" s="73">
        <v>114.0</v>
      </c>
      <c r="W115" s="15">
        <f t="shared" si="2"/>
        <v>0</v>
      </c>
      <c r="X115" s="15" t="str">
        <f t="shared" si="8"/>
        <v/>
      </c>
      <c r="Y115" s="15" t="str">
        <f t="shared" si="3"/>
        <v/>
      </c>
      <c r="Z115" s="15" t="str">
        <f t="shared" si="4"/>
        <v/>
      </c>
      <c r="AA115" s="15" t="str">
        <f t="shared" si="5"/>
        <v/>
      </c>
      <c r="AB115" s="15" t="str">
        <f t="shared" si="6"/>
        <v/>
      </c>
      <c r="AC115" s="15" t="str">
        <f t="shared" si="7"/>
        <v/>
      </c>
      <c r="AD115" s="15"/>
      <c r="AE115" s="15" t="str">
        <f>IFERROR(__xludf.DUMMYFUNCTION("""COMPUTED_VALUE"""),"Quals 37")</f>
        <v>Quals 37</v>
      </c>
      <c r="AF115" s="15">
        <f>IFERROR(__xludf.DUMMYFUNCTION("""COMPUTED_VALUE"""),234.0)</f>
        <v>234</v>
      </c>
      <c r="AG115" s="15"/>
      <c r="AH115" s="15"/>
      <c r="AI115" s="15"/>
      <c r="AJ115" s="15">
        <f>IFERROR(__xludf.DUMMYFUNCTION("""COMPUTED_VALUE"""),3176.0)</f>
        <v>3176</v>
      </c>
      <c r="AK115" s="15"/>
      <c r="AL115" s="15"/>
      <c r="AM115" s="15"/>
      <c r="AN115" s="15">
        <f>IFERROR(__xludf.DUMMYFUNCTION("""COMPUTED_VALUE"""),2614.0)</f>
        <v>2614</v>
      </c>
      <c r="AO115" s="15"/>
      <c r="AP115" s="15"/>
      <c r="AQ115" s="15"/>
      <c r="AR115" s="15">
        <f>IFERROR(__xludf.DUMMYFUNCTION("""COMPUTED_VALUE"""),43.0)</f>
        <v>43</v>
      </c>
      <c r="AS115" s="15"/>
    </row>
    <row r="116">
      <c r="A116" s="73">
        <v>115.0</v>
      </c>
      <c r="W116" s="15">
        <f t="shared" si="2"/>
        <v>1</v>
      </c>
      <c r="X116" s="15" t="str">
        <f t="shared" si="8"/>
        <v/>
      </c>
      <c r="Y116" s="15" t="str">
        <f t="shared" si="3"/>
        <v/>
      </c>
      <c r="Z116" s="15" t="str">
        <f t="shared" si="4"/>
        <v/>
      </c>
      <c r="AA116" s="15" t="str">
        <f t="shared" si="5"/>
        <v/>
      </c>
      <c r="AB116" s="15" t="str">
        <f t="shared" si="6"/>
        <v/>
      </c>
      <c r="AC116" s="15" t="str">
        <f t="shared" si="7"/>
        <v/>
      </c>
      <c r="AD116" s="15"/>
      <c r="AE116" s="15"/>
      <c r="AF116" s="15">
        <f>IFERROR(__xludf.DUMMYFUNCTION("""COMPUTED_VALUE"""),67.0)</f>
        <v>67</v>
      </c>
      <c r="AG116" s="15"/>
      <c r="AH116" s="15"/>
      <c r="AI116" s="15"/>
      <c r="AJ116" s="15">
        <f>IFERROR(__xludf.DUMMYFUNCTION("""COMPUTED_VALUE"""),587.0)</f>
        <v>587</v>
      </c>
      <c r="AK116" s="15"/>
      <c r="AL116" s="15"/>
      <c r="AM116" s="15"/>
      <c r="AN116" s="15">
        <f>IFERROR(__xludf.DUMMYFUNCTION("""COMPUTED_VALUE"""),3357.0)</f>
        <v>3357</v>
      </c>
      <c r="AO116" s="15"/>
      <c r="AP116" s="15"/>
      <c r="AQ116" s="15"/>
      <c r="AR116" s="15">
        <f>IFERROR(__xludf.DUMMYFUNCTION("""COMPUTED_VALUE"""),150.0)</f>
        <v>150</v>
      </c>
      <c r="AS116" s="15"/>
    </row>
    <row r="117">
      <c r="A117" s="73">
        <v>116.0</v>
      </c>
      <c r="W117" s="15">
        <f t="shared" si="2"/>
        <v>2</v>
      </c>
      <c r="X117" s="15">
        <f t="shared" si="8"/>
        <v>5010</v>
      </c>
      <c r="Y117" s="15">
        <f t="shared" si="3"/>
        <v>829</v>
      </c>
      <c r="Z117" s="15">
        <f t="shared" si="4"/>
        <v>27</v>
      </c>
      <c r="AA117" s="15">
        <f t="shared" si="5"/>
        <v>4028</v>
      </c>
      <c r="AB117" s="15">
        <f t="shared" si="6"/>
        <v>195</v>
      </c>
      <c r="AC117" s="15">
        <f t="shared" si="7"/>
        <v>4635</v>
      </c>
      <c r="AD117" s="15"/>
      <c r="AE117" s="15" t="str">
        <f>IFERROR(__xludf.DUMMYFUNCTION("""COMPUTED_VALUE"""),"Quals 38")</f>
        <v>Quals 38</v>
      </c>
      <c r="AF117" s="15">
        <f>IFERROR(__xludf.DUMMYFUNCTION("""COMPUTED_VALUE"""),5010.0)</f>
        <v>5010</v>
      </c>
      <c r="AG117" s="15"/>
      <c r="AH117" s="15">
        <f>IFERROR(__xludf.DUMMYFUNCTION("""COMPUTED_VALUE"""),829.0)</f>
        <v>829</v>
      </c>
      <c r="AI117" s="15"/>
      <c r="AJ117" s="15">
        <f>IFERROR(__xludf.DUMMYFUNCTION("""COMPUTED_VALUE"""),27.0)</f>
        <v>27</v>
      </c>
      <c r="AK117" s="15"/>
      <c r="AL117" s="15">
        <f>IFERROR(__xludf.DUMMYFUNCTION("""COMPUTED_VALUE"""),4028.0)</f>
        <v>4028</v>
      </c>
      <c r="AM117" s="15"/>
      <c r="AN117" s="15">
        <f>IFERROR(__xludf.DUMMYFUNCTION("""COMPUTED_VALUE"""),195.0)</f>
        <v>195</v>
      </c>
      <c r="AO117" s="15"/>
      <c r="AP117" s="15">
        <f>IFERROR(__xludf.DUMMYFUNCTION("""COMPUTED_VALUE"""),4635.0)</f>
        <v>4635</v>
      </c>
      <c r="AQ117" s="15"/>
      <c r="AR117" s="15">
        <f>IFERROR(__xludf.DUMMYFUNCTION("""COMPUTED_VALUE"""),114.0)</f>
        <v>114</v>
      </c>
      <c r="AS117" s="15">
        <f>IFERROR(__xludf.DUMMYFUNCTION("""COMPUTED_VALUE"""),145.0)</f>
        <v>145</v>
      </c>
    </row>
    <row r="118">
      <c r="A118" s="73">
        <v>117.0</v>
      </c>
      <c r="W118" s="15">
        <f t="shared" si="2"/>
        <v>0</v>
      </c>
      <c r="X118" s="15" t="str">
        <f t="shared" si="8"/>
        <v/>
      </c>
      <c r="Y118" s="15" t="str">
        <f t="shared" si="3"/>
        <v/>
      </c>
      <c r="Z118" s="15" t="str">
        <f t="shared" si="4"/>
        <v/>
      </c>
      <c r="AA118" s="15" t="str">
        <f t="shared" si="5"/>
        <v/>
      </c>
      <c r="AB118" s="15" t="str">
        <f t="shared" si="6"/>
        <v/>
      </c>
      <c r="AC118" s="15" t="str">
        <f t="shared" si="7"/>
        <v/>
      </c>
      <c r="AD118" s="15"/>
      <c r="AE118" s="15" t="str">
        <f>IFERROR(__xludf.DUMMYFUNCTION("""COMPUTED_VALUE"""),"Quals 38")</f>
        <v>Quals 38</v>
      </c>
      <c r="AF118" s="15">
        <f>IFERROR(__xludf.DUMMYFUNCTION("""COMPUTED_VALUE"""),5010.0)</f>
        <v>5010</v>
      </c>
      <c r="AG118" s="15"/>
      <c r="AH118" s="15"/>
      <c r="AI118" s="15"/>
      <c r="AJ118" s="15">
        <f>IFERROR(__xludf.DUMMYFUNCTION("""COMPUTED_VALUE"""),829.0)</f>
        <v>829</v>
      </c>
      <c r="AK118" s="15"/>
      <c r="AL118" s="15"/>
      <c r="AM118" s="15"/>
      <c r="AN118" s="15">
        <f>IFERROR(__xludf.DUMMYFUNCTION("""COMPUTED_VALUE"""),27.0)</f>
        <v>27</v>
      </c>
      <c r="AO118" s="15"/>
      <c r="AP118" s="15"/>
      <c r="AQ118" s="15"/>
      <c r="AR118" s="15">
        <f>IFERROR(__xludf.DUMMYFUNCTION("""COMPUTED_VALUE"""),114.0)</f>
        <v>114</v>
      </c>
      <c r="AS118" s="15"/>
    </row>
    <row r="119">
      <c r="A119" s="73">
        <v>118.0</v>
      </c>
      <c r="W119" s="15">
        <f t="shared" si="2"/>
        <v>1</v>
      </c>
      <c r="X119" s="15" t="str">
        <f t="shared" si="8"/>
        <v/>
      </c>
      <c r="Y119" s="15" t="str">
        <f t="shared" si="3"/>
        <v/>
      </c>
      <c r="Z119" s="15" t="str">
        <f t="shared" si="4"/>
        <v/>
      </c>
      <c r="AA119" s="15" t="str">
        <f t="shared" si="5"/>
        <v/>
      </c>
      <c r="AB119" s="15" t="str">
        <f t="shared" si="6"/>
        <v/>
      </c>
      <c r="AC119" s="15" t="str">
        <f t="shared" si="7"/>
        <v/>
      </c>
      <c r="AD119" s="15"/>
      <c r="AE119" s="15"/>
      <c r="AF119" s="15">
        <f>IFERROR(__xludf.DUMMYFUNCTION("""COMPUTED_VALUE"""),4028.0)</f>
        <v>4028</v>
      </c>
      <c r="AG119" s="15"/>
      <c r="AH119" s="15"/>
      <c r="AI119" s="15"/>
      <c r="AJ119" s="15">
        <f>IFERROR(__xludf.DUMMYFUNCTION("""COMPUTED_VALUE"""),195.0)</f>
        <v>195</v>
      </c>
      <c r="AK119" s="15"/>
      <c r="AL119" s="15"/>
      <c r="AM119" s="15"/>
      <c r="AN119" s="15">
        <f>IFERROR(__xludf.DUMMYFUNCTION("""COMPUTED_VALUE"""),4635.0)</f>
        <v>4635</v>
      </c>
      <c r="AO119" s="15"/>
      <c r="AP119" s="15"/>
      <c r="AQ119" s="15"/>
      <c r="AR119" s="15">
        <f>IFERROR(__xludf.DUMMYFUNCTION("""COMPUTED_VALUE"""),145.0)</f>
        <v>145</v>
      </c>
      <c r="AS119" s="15"/>
    </row>
    <row r="120">
      <c r="A120" s="73">
        <v>119.0</v>
      </c>
      <c r="W120" s="15">
        <f t="shared" si="2"/>
        <v>2</v>
      </c>
      <c r="X120" s="15">
        <f t="shared" si="8"/>
        <v>1706</v>
      </c>
      <c r="Y120" s="15">
        <f t="shared" si="3"/>
        <v>3175</v>
      </c>
      <c r="Z120" s="15">
        <f t="shared" si="4"/>
        <v>3538</v>
      </c>
      <c r="AA120" s="15">
        <f t="shared" si="5"/>
        <v>2075</v>
      </c>
      <c r="AB120" s="15">
        <f t="shared" si="6"/>
        <v>4265</v>
      </c>
      <c r="AC120" s="15">
        <f t="shared" si="7"/>
        <v>1024</v>
      </c>
      <c r="AD120" s="15"/>
      <c r="AE120" s="15" t="str">
        <f>IFERROR(__xludf.DUMMYFUNCTION("""COMPUTED_VALUE"""),"Quals 39")</f>
        <v>Quals 39</v>
      </c>
      <c r="AF120" s="15">
        <f>IFERROR(__xludf.DUMMYFUNCTION("""COMPUTED_VALUE"""),1706.0)</f>
        <v>1706</v>
      </c>
      <c r="AG120" s="15"/>
      <c r="AH120" s="15">
        <f>IFERROR(__xludf.DUMMYFUNCTION("""COMPUTED_VALUE"""),3175.0)</f>
        <v>3175</v>
      </c>
      <c r="AI120" s="15"/>
      <c r="AJ120" s="15">
        <f>IFERROR(__xludf.DUMMYFUNCTION("""COMPUTED_VALUE"""),3538.0)</f>
        <v>3538</v>
      </c>
      <c r="AK120" s="15"/>
      <c r="AL120" s="15">
        <f>IFERROR(__xludf.DUMMYFUNCTION("""COMPUTED_VALUE"""),2075.0)</f>
        <v>2075</v>
      </c>
      <c r="AM120" s="15"/>
      <c r="AN120" s="15">
        <f>IFERROR(__xludf.DUMMYFUNCTION("""COMPUTED_VALUE"""),4265.0)</f>
        <v>4265</v>
      </c>
      <c r="AO120" s="15"/>
      <c r="AP120" s="15">
        <f>IFERROR(__xludf.DUMMYFUNCTION("""COMPUTED_VALUE"""),1024.0)</f>
        <v>1024</v>
      </c>
      <c r="AQ120" s="15"/>
      <c r="AR120" s="15">
        <f>IFERROR(__xludf.DUMMYFUNCTION("""COMPUTED_VALUE"""),119.0)</f>
        <v>119</v>
      </c>
      <c r="AS120" s="15">
        <f>IFERROR(__xludf.DUMMYFUNCTION("""COMPUTED_VALUE"""),97.0)</f>
        <v>97</v>
      </c>
    </row>
    <row r="121">
      <c r="A121" s="73">
        <v>120.0</v>
      </c>
      <c r="W121" s="15">
        <f t="shared" si="2"/>
        <v>0</v>
      </c>
      <c r="X121" s="15" t="str">
        <f t="shared" si="8"/>
        <v/>
      </c>
      <c r="Y121" s="15" t="str">
        <f t="shared" si="3"/>
        <v/>
      </c>
      <c r="Z121" s="15" t="str">
        <f t="shared" si="4"/>
        <v/>
      </c>
      <c r="AA121" s="15" t="str">
        <f t="shared" si="5"/>
        <v/>
      </c>
      <c r="AB121" s="15" t="str">
        <f t="shared" si="6"/>
        <v/>
      </c>
      <c r="AC121" s="15" t="str">
        <f t="shared" si="7"/>
        <v/>
      </c>
      <c r="AD121" s="15"/>
      <c r="AE121" s="15" t="str">
        <f>IFERROR(__xludf.DUMMYFUNCTION("""COMPUTED_VALUE"""),"Quals 39")</f>
        <v>Quals 39</v>
      </c>
      <c r="AF121" s="15">
        <f>IFERROR(__xludf.DUMMYFUNCTION("""COMPUTED_VALUE"""),1706.0)</f>
        <v>1706</v>
      </c>
      <c r="AG121" s="15"/>
      <c r="AH121" s="15"/>
      <c r="AI121" s="15"/>
      <c r="AJ121" s="15">
        <f>IFERROR(__xludf.DUMMYFUNCTION("""COMPUTED_VALUE"""),3175.0)</f>
        <v>3175</v>
      </c>
      <c r="AK121" s="15"/>
      <c r="AL121" s="15"/>
      <c r="AM121" s="15"/>
      <c r="AN121" s="15">
        <f>IFERROR(__xludf.DUMMYFUNCTION("""COMPUTED_VALUE"""),3538.0)</f>
        <v>3538</v>
      </c>
      <c r="AO121" s="15"/>
      <c r="AP121" s="15"/>
      <c r="AQ121" s="15"/>
      <c r="AR121" s="15">
        <f>IFERROR(__xludf.DUMMYFUNCTION("""COMPUTED_VALUE"""),119.0)</f>
        <v>119</v>
      </c>
      <c r="AS121" s="15"/>
    </row>
    <row r="122">
      <c r="A122" s="73">
        <v>121.0</v>
      </c>
      <c r="W122" s="15">
        <f t="shared" si="2"/>
        <v>1</v>
      </c>
      <c r="X122" s="15" t="str">
        <f t="shared" si="8"/>
        <v/>
      </c>
      <c r="Y122" s="15" t="str">
        <f t="shared" si="3"/>
        <v/>
      </c>
      <c r="Z122" s="15" t="str">
        <f t="shared" si="4"/>
        <v/>
      </c>
      <c r="AA122" s="15" t="str">
        <f t="shared" si="5"/>
        <v/>
      </c>
      <c r="AB122" s="15" t="str">
        <f t="shared" si="6"/>
        <v/>
      </c>
      <c r="AC122" s="15" t="str">
        <f t="shared" si="7"/>
        <v/>
      </c>
      <c r="AD122" s="15"/>
      <c r="AE122" s="15"/>
      <c r="AF122" s="15">
        <f>IFERROR(__xludf.DUMMYFUNCTION("""COMPUTED_VALUE"""),2075.0)</f>
        <v>2075</v>
      </c>
      <c r="AG122" s="15"/>
      <c r="AH122" s="15"/>
      <c r="AI122" s="15"/>
      <c r="AJ122" s="15">
        <f>IFERROR(__xludf.DUMMYFUNCTION("""COMPUTED_VALUE"""),4265.0)</f>
        <v>4265</v>
      </c>
      <c r="AK122" s="15"/>
      <c r="AL122" s="15"/>
      <c r="AM122" s="15"/>
      <c r="AN122" s="15">
        <f>IFERROR(__xludf.DUMMYFUNCTION("""COMPUTED_VALUE"""),1024.0)</f>
        <v>1024</v>
      </c>
      <c r="AO122" s="15"/>
      <c r="AP122" s="15"/>
      <c r="AQ122" s="15"/>
      <c r="AR122" s="15">
        <f>IFERROR(__xludf.DUMMYFUNCTION("""COMPUTED_VALUE"""),97.0)</f>
        <v>97</v>
      </c>
      <c r="AS122" s="15"/>
    </row>
    <row r="123">
      <c r="A123" s="73">
        <v>122.0</v>
      </c>
      <c r="W123" s="15">
        <f t="shared" si="2"/>
        <v>2</v>
      </c>
      <c r="X123" s="15">
        <f t="shared" si="8"/>
        <v>5712</v>
      </c>
      <c r="Y123" s="15">
        <f t="shared" si="3"/>
        <v>1730</v>
      </c>
      <c r="Z123" s="15">
        <f t="shared" si="4"/>
        <v>4499</v>
      </c>
      <c r="AA123" s="15">
        <f t="shared" si="5"/>
        <v>2539</v>
      </c>
      <c r="AB123" s="15">
        <f t="shared" si="6"/>
        <v>503</v>
      </c>
      <c r="AC123" s="15">
        <f t="shared" si="7"/>
        <v>2338</v>
      </c>
      <c r="AD123" s="15"/>
      <c r="AE123" s="15" t="str">
        <f>IFERROR(__xludf.DUMMYFUNCTION("""COMPUTED_VALUE"""),"Quals 40")</f>
        <v>Quals 40</v>
      </c>
      <c r="AF123" s="15">
        <f>IFERROR(__xludf.DUMMYFUNCTION("""COMPUTED_VALUE"""),5712.0)</f>
        <v>5712</v>
      </c>
      <c r="AG123" s="15"/>
      <c r="AH123" s="15">
        <f>IFERROR(__xludf.DUMMYFUNCTION("""COMPUTED_VALUE"""),1730.0)</f>
        <v>1730</v>
      </c>
      <c r="AI123" s="15"/>
      <c r="AJ123" s="15">
        <f>IFERROR(__xludf.DUMMYFUNCTION("""COMPUTED_VALUE"""),4499.0)</f>
        <v>4499</v>
      </c>
      <c r="AK123" s="15"/>
      <c r="AL123" s="15">
        <f>IFERROR(__xludf.DUMMYFUNCTION("""COMPUTED_VALUE"""),2539.0)</f>
        <v>2539</v>
      </c>
      <c r="AM123" s="15"/>
      <c r="AN123" s="15">
        <f>IFERROR(__xludf.DUMMYFUNCTION("""COMPUTED_VALUE"""),503.0)</f>
        <v>503</v>
      </c>
      <c r="AO123" s="15"/>
      <c r="AP123" s="15">
        <f>IFERROR(__xludf.DUMMYFUNCTION("""COMPUTED_VALUE"""),2338.0)</f>
        <v>2338</v>
      </c>
      <c r="AQ123" s="15"/>
      <c r="AR123" s="15">
        <f>IFERROR(__xludf.DUMMYFUNCTION("""COMPUTED_VALUE"""),116.0)</f>
        <v>116</v>
      </c>
      <c r="AS123" s="15">
        <f>IFERROR(__xludf.DUMMYFUNCTION("""COMPUTED_VALUE"""),109.0)</f>
        <v>109</v>
      </c>
    </row>
    <row r="124">
      <c r="A124" s="73">
        <v>123.0</v>
      </c>
      <c r="W124" s="15">
        <f t="shared" si="2"/>
        <v>0</v>
      </c>
      <c r="X124" s="15" t="str">
        <f t="shared" si="8"/>
        <v/>
      </c>
      <c r="Y124" s="15" t="str">
        <f t="shared" si="3"/>
        <v/>
      </c>
      <c r="Z124" s="15" t="str">
        <f t="shared" si="4"/>
        <v/>
      </c>
      <c r="AA124" s="15" t="str">
        <f t="shared" si="5"/>
        <v/>
      </c>
      <c r="AB124" s="15" t="str">
        <f t="shared" si="6"/>
        <v/>
      </c>
      <c r="AC124" s="15" t="str">
        <f t="shared" si="7"/>
        <v/>
      </c>
      <c r="AD124" s="15"/>
      <c r="AE124" s="15" t="str">
        <f>IFERROR(__xludf.DUMMYFUNCTION("""COMPUTED_VALUE"""),"Quals 40")</f>
        <v>Quals 40</v>
      </c>
      <c r="AF124" s="15">
        <f>IFERROR(__xludf.DUMMYFUNCTION("""COMPUTED_VALUE"""),5712.0)</f>
        <v>5712</v>
      </c>
      <c r="AG124" s="15"/>
      <c r="AH124" s="15"/>
      <c r="AI124" s="15"/>
      <c r="AJ124" s="15">
        <f>IFERROR(__xludf.DUMMYFUNCTION("""COMPUTED_VALUE"""),1730.0)</f>
        <v>1730</v>
      </c>
      <c r="AK124" s="15"/>
      <c r="AL124" s="15"/>
      <c r="AM124" s="15"/>
      <c r="AN124" s="15">
        <f>IFERROR(__xludf.DUMMYFUNCTION("""COMPUTED_VALUE"""),4499.0)</f>
        <v>4499</v>
      </c>
      <c r="AO124" s="15"/>
      <c r="AP124" s="15"/>
      <c r="AQ124" s="15"/>
      <c r="AR124" s="15">
        <f>IFERROR(__xludf.DUMMYFUNCTION("""COMPUTED_VALUE"""),116.0)</f>
        <v>116</v>
      </c>
      <c r="AS124" s="15"/>
    </row>
    <row r="125">
      <c r="A125" s="73">
        <v>124.0</v>
      </c>
      <c r="W125" s="15">
        <f t="shared" si="2"/>
        <v>1</v>
      </c>
      <c r="X125" s="15" t="str">
        <f t="shared" si="8"/>
        <v/>
      </c>
      <c r="Y125" s="15" t="str">
        <f t="shared" si="3"/>
        <v/>
      </c>
      <c r="Z125" s="15" t="str">
        <f t="shared" si="4"/>
        <v/>
      </c>
      <c r="AA125" s="15" t="str">
        <f t="shared" si="5"/>
        <v/>
      </c>
      <c r="AB125" s="15" t="str">
        <f t="shared" si="6"/>
        <v/>
      </c>
      <c r="AC125" s="15" t="str">
        <f t="shared" si="7"/>
        <v/>
      </c>
      <c r="AD125" s="15"/>
      <c r="AE125" s="15"/>
      <c r="AF125" s="15">
        <f>IFERROR(__xludf.DUMMYFUNCTION("""COMPUTED_VALUE"""),2539.0)</f>
        <v>2539</v>
      </c>
      <c r="AG125" s="15"/>
      <c r="AH125" s="15"/>
      <c r="AI125" s="15"/>
      <c r="AJ125" s="15">
        <f>IFERROR(__xludf.DUMMYFUNCTION("""COMPUTED_VALUE"""),503.0)</f>
        <v>503</v>
      </c>
      <c r="AK125" s="15"/>
      <c r="AL125" s="15"/>
      <c r="AM125" s="15"/>
      <c r="AN125" s="15">
        <f>IFERROR(__xludf.DUMMYFUNCTION("""COMPUTED_VALUE"""),2338.0)</f>
        <v>2338</v>
      </c>
      <c r="AO125" s="15"/>
      <c r="AP125" s="15"/>
      <c r="AQ125" s="15"/>
      <c r="AR125" s="15">
        <f>IFERROR(__xludf.DUMMYFUNCTION("""COMPUTED_VALUE"""),109.0)</f>
        <v>109</v>
      </c>
      <c r="AS125" s="15"/>
    </row>
    <row r="126">
      <c r="A126" s="73">
        <v>125.0</v>
      </c>
      <c r="W126" s="15">
        <f t="shared" si="2"/>
        <v>2</v>
      </c>
      <c r="X126" s="15">
        <f t="shared" si="8"/>
        <v>340</v>
      </c>
      <c r="Y126" s="15">
        <f t="shared" si="3"/>
        <v>5484</v>
      </c>
      <c r="Z126" s="15">
        <f t="shared" si="4"/>
        <v>325</v>
      </c>
      <c r="AA126" s="15">
        <f t="shared" si="5"/>
        <v>3940</v>
      </c>
      <c r="AB126" s="15">
        <f t="shared" si="6"/>
        <v>118</v>
      </c>
      <c r="AC126" s="15">
        <f t="shared" si="7"/>
        <v>1987</v>
      </c>
      <c r="AD126" s="15"/>
      <c r="AE126" s="15" t="str">
        <f>IFERROR(__xludf.DUMMYFUNCTION("""COMPUTED_VALUE"""),"Quals 41")</f>
        <v>Quals 41</v>
      </c>
      <c r="AF126" s="15">
        <f>IFERROR(__xludf.DUMMYFUNCTION("""COMPUTED_VALUE"""),340.0)</f>
        <v>340</v>
      </c>
      <c r="AG126" s="15"/>
      <c r="AH126" s="15">
        <f>IFERROR(__xludf.DUMMYFUNCTION("""COMPUTED_VALUE"""),5484.0)</f>
        <v>5484</v>
      </c>
      <c r="AI126" s="15"/>
      <c r="AJ126" s="15">
        <f>IFERROR(__xludf.DUMMYFUNCTION("""COMPUTED_VALUE"""),325.0)</f>
        <v>325</v>
      </c>
      <c r="AK126" s="15"/>
      <c r="AL126" s="15">
        <f>IFERROR(__xludf.DUMMYFUNCTION("""COMPUTED_VALUE"""),3940.0)</f>
        <v>3940</v>
      </c>
      <c r="AM126" s="15"/>
      <c r="AN126" s="15">
        <f>IFERROR(__xludf.DUMMYFUNCTION("""COMPUTED_VALUE"""),118.0)</f>
        <v>118</v>
      </c>
      <c r="AO126" s="15"/>
      <c r="AP126" s="15">
        <f>IFERROR(__xludf.DUMMYFUNCTION("""COMPUTED_VALUE"""),1987.0)</f>
        <v>1987</v>
      </c>
      <c r="AQ126" s="15"/>
      <c r="AR126" s="15">
        <f>IFERROR(__xludf.DUMMYFUNCTION("""COMPUTED_VALUE"""),91.0)</f>
        <v>91</v>
      </c>
      <c r="AS126" s="15">
        <f>IFERROR(__xludf.DUMMYFUNCTION("""COMPUTED_VALUE"""),90.0)</f>
        <v>90</v>
      </c>
    </row>
    <row r="127">
      <c r="A127" s="73">
        <v>126.0</v>
      </c>
      <c r="W127" s="15">
        <f t="shared" si="2"/>
        <v>0</v>
      </c>
      <c r="X127" s="15" t="str">
        <f t="shared" si="8"/>
        <v/>
      </c>
      <c r="Y127" s="15" t="str">
        <f t="shared" si="3"/>
        <v/>
      </c>
      <c r="Z127" s="15" t="str">
        <f t="shared" si="4"/>
        <v/>
      </c>
      <c r="AA127" s="15" t="str">
        <f t="shared" si="5"/>
        <v/>
      </c>
      <c r="AB127" s="15" t="str">
        <f t="shared" si="6"/>
        <v/>
      </c>
      <c r="AC127" s="15" t="str">
        <f t="shared" si="7"/>
        <v/>
      </c>
      <c r="AD127" s="15"/>
      <c r="AE127" s="15" t="str">
        <f>IFERROR(__xludf.DUMMYFUNCTION("""COMPUTED_VALUE"""),"Quals 41")</f>
        <v>Quals 41</v>
      </c>
      <c r="AF127" s="15">
        <f>IFERROR(__xludf.DUMMYFUNCTION("""COMPUTED_VALUE"""),340.0)</f>
        <v>340</v>
      </c>
      <c r="AG127" s="15"/>
      <c r="AH127" s="15"/>
      <c r="AI127" s="15"/>
      <c r="AJ127" s="15">
        <f>IFERROR(__xludf.DUMMYFUNCTION("""COMPUTED_VALUE"""),5484.0)</f>
        <v>5484</v>
      </c>
      <c r="AK127" s="15"/>
      <c r="AL127" s="15"/>
      <c r="AM127" s="15"/>
      <c r="AN127" s="15">
        <f>IFERROR(__xludf.DUMMYFUNCTION("""COMPUTED_VALUE"""),325.0)</f>
        <v>325</v>
      </c>
      <c r="AO127" s="15"/>
      <c r="AP127" s="15"/>
      <c r="AQ127" s="15"/>
      <c r="AR127" s="15">
        <f>IFERROR(__xludf.DUMMYFUNCTION("""COMPUTED_VALUE"""),91.0)</f>
        <v>91</v>
      </c>
      <c r="AS127" s="15"/>
    </row>
    <row r="128">
      <c r="A128" s="73">
        <v>127.0</v>
      </c>
      <c r="W128" s="15">
        <f t="shared" si="2"/>
        <v>1</v>
      </c>
      <c r="X128" s="15" t="str">
        <f t="shared" si="8"/>
        <v/>
      </c>
      <c r="Y128" s="15" t="str">
        <f t="shared" si="3"/>
        <v/>
      </c>
      <c r="Z128" s="15" t="str">
        <f t="shared" si="4"/>
        <v/>
      </c>
      <c r="AA128" s="15" t="str">
        <f t="shared" si="5"/>
        <v/>
      </c>
      <c r="AB128" s="15" t="str">
        <f t="shared" si="6"/>
        <v/>
      </c>
      <c r="AC128" s="15" t="str">
        <f t="shared" si="7"/>
        <v/>
      </c>
      <c r="AD128" s="15"/>
      <c r="AE128" s="15"/>
      <c r="AF128" s="15">
        <f>IFERROR(__xludf.DUMMYFUNCTION("""COMPUTED_VALUE"""),3940.0)</f>
        <v>3940</v>
      </c>
      <c r="AG128" s="15"/>
      <c r="AH128" s="15"/>
      <c r="AI128" s="15"/>
      <c r="AJ128" s="15">
        <f>IFERROR(__xludf.DUMMYFUNCTION("""COMPUTED_VALUE"""),118.0)</f>
        <v>118</v>
      </c>
      <c r="AK128" s="15"/>
      <c r="AL128" s="15"/>
      <c r="AM128" s="15"/>
      <c r="AN128" s="15">
        <f>IFERROR(__xludf.DUMMYFUNCTION("""COMPUTED_VALUE"""),1987.0)</f>
        <v>1987</v>
      </c>
      <c r="AO128" s="15"/>
      <c r="AP128" s="15"/>
      <c r="AQ128" s="15"/>
      <c r="AR128" s="15">
        <f>IFERROR(__xludf.DUMMYFUNCTION("""COMPUTED_VALUE"""),90.0)</f>
        <v>90</v>
      </c>
      <c r="AS128" s="15"/>
    </row>
    <row r="129">
      <c r="A129" s="73">
        <v>128.0</v>
      </c>
      <c r="W129" s="15">
        <f t="shared" si="2"/>
        <v>2</v>
      </c>
      <c r="X129" s="15">
        <f t="shared" si="8"/>
        <v>694</v>
      </c>
      <c r="Y129" s="15">
        <f t="shared" si="3"/>
        <v>4099</v>
      </c>
      <c r="Z129" s="15">
        <f t="shared" si="4"/>
        <v>4143</v>
      </c>
      <c r="AA129" s="15">
        <f t="shared" si="5"/>
        <v>5406</v>
      </c>
      <c r="AB129" s="15">
        <f t="shared" si="6"/>
        <v>3357</v>
      </c>
      <c r="AC129" s="15">
        <f t="shared" si="7"/>
        <v>1533</v>
      </c>
      <c r="AD129" s="15"/>
      <c r="AE129" s="15" t="str">
        <f>IFERROR(__xludf.DUMMYFUNCTION("""COMPUTED_VALUE"""),"Quals 42")</f>
        <v>Quals 42</v>
      </c>
      <c r="AF129" s="15">
        <f>IFERROR(__xludf.DUMMYFUNCTION("""COMPUTED_VALUE"""),694.0)</f>
        <v>694</v>
      </c>
      <c r="AG129" s="15"/>
      <c r="AH129" s="15">
        <f>IFERROR(__xludf.DUMMYFUNCTION("""COMPUTED_VALUE"""),4099.0)</f>
        <v>4099</v>
      </c>
      <c r="AI129" s="15"/>
      <c r="AJ129" s="15">
        <f>IFERROR(__xludf.DUMMYFUNCTION("""COMPUTED_VALUE"""),4143.0)</f>
        <v>4143</v>
      </c>
      <c r="AK129" s="15"/>
      <c r="AL129" s="15">
        <f>IFERROR(__xludf.DUMMYFUNCTION("""COMPUTED_VALUE"""),5406.0)</f>
        <v>5406</v>
      </c>
      <c r="AM129" s="15"/>
      <c r="AN129" s="15">
        <f>IFERROR(__xludf.DUMMYFUNCTION("""COMPUTED_VALUE"""),3357.0)</f>
        <v>3357</v>
      </c>
      <c r="AO129" s="15"/>
      <c r="AP129" s="15">
        <f>IFERROR(__xludf.DUMMYFUNCTION("""COMPUTED_VALUE"""),1533.0)</f>
        <v>1533</v>
      </c>
      <c r="AQ129" s="15"/>
      <c r="AR129" s="15">
        <f>IFERROR(__xludf.DUMMYFUNCTION("""COMPUTED_VALUE"""),98.0)</f>
        <v>98</v>
      </c>
      <c r="AS129" s="15">
        <f>IFERROR(__xludf.DUMMYFUNCTION("""COMPUTED_VALUE"""),115.0)</f>
        <v>115</v>
      </c>
    </row>
    <row r="130">
      <c r="A130" s="73">
        <v>129.0</v>
      </c>
      <c r="W130" s="15">
        <f t="shared" si="2"/>
        <v>0</v>
      </c>
      <c r="X130" s="15" t="str">
        <f t="shared" si="8"/>
        <v/>
      </c>
      <c r="Y130" s="15" t="str">
        <f t="shared" si="3"/>
        <v/>
      </c>
      <c r="Z130" s="15" t="str">
        <f t="shared" si="4"/>
        <v/>
      </c>
      <c r="AA130" s="15" t="str">
        <f t="shared" si="5"/>
        <v/>
      </c>
      <c r="AB130" s="15" t="str">
        <f t="shared" si="6"/>
        <v/>
      </c>
      <c r="AC130" s="15" t="str">
        <f t="shared" si="7"/>
        <v/>
      </c>
      <c r="AD130" s="15"/>
      <c r="AE130" s="15" t="str">
        <f>IFERROR(__xludf.DUMMYFUNCTION("""COMPUTED_VALUE"""),"Quals 42")</f>
        <v>Quals 42</v>
      </c>
      <c r="AF130" s="15">
        <f>IFERROR(__xludf.DUMMYFUNCTION("""COMPUTED_VALUE"""),694.0)</f>
        <v>694</v>
      </c>
      <c r="AG130" s="15"/>
      <c r="AH130" s="15"/>
      <c r="AI130" s="15"/>
      <c r="AJ130" s="15">
        <f>IFERROR(__xludf.DUMMYFUNCTION("""COMPUTED_VALUE"""),4099.0)</f>
        <v>4099</v>
      </c>
      <c r="AK130" s="15"/>
      <c r="AL130" s="15"/>
      <c r="AM130" s="15"/>
      <c r="AN130" s="15">
        <f>IFERROR(__xludf.DUMMYFUNCTION("""COMPUTED_VALUE"""),4143.0)</f>
        <v>4143</v>
      </c>
      <c r="AO130" s="15"/>
      <c r="AP130" s="15"/>
      <c r="AQ130" s="15"/>
      <c r="AR130" s="15">
        <f>IFERROR(__xludf.DUMMYFUNCTION("""COMPUTED_VALUE"""),98.0)</f>
        <v>98</v>
      </c>
      <c r="AS130" s="15"/>
    </row>
    <row r="131">
      <c r="A131" s="73">
        <v>130.0</v>
      </c>
      <c r="W131" s="15">
        <f t="shared" si="2"/>
        <v>1</v>
      </c>
      <c r="X131" s="15" t="str">
        <f t="shared" si="8"/>
        <v/>
      </c>
      <c r="Y131" s="15" t="str">
        <f t="shared" si="3"/>
        <v/>
      </c>
      <c r="Z131" s="15" t="str">
        <f t="shared" si="4"/>
        <v/>
      </c>
      <c r="AA131" s="15" t="str">
        <f t="shared" si="5"/>
        <v/>
      </c>
      <c r="AB131" s="15" t="str">
        <f t="shared" si="6"/>
        <v/>
      </c>
      <c r="AC131" s="15" t="str">
        <f t="shared" si="7"/>
        <v/>
      </c>
      <c r="AD131" s="15"/>
      <c r="AE131" s="15"/>
      <c r="AF131" s="15">
        <f>IFERROR(__xludf.DUMMYFUNCTION("""COMPUTED_VALUE"""),5406.0)</f>
        <v>5406</v>
      </c>
      <c r="AG131" s="15"/>
      <c r="AH131" s="15"/>
      <c r="AI131" s="15"/>
      <c r="AJ131" s="15">
        <f>IFERROR(__xludf.DUMMYFUNCTION("""COMPUTED_VALUE"""),3357.0)</f>
        <v>3357</v>
      </c>
      <c r="AK131" s="15"/>
      <c r="AL131" s="15"/>
      <c r="AM131" s="15"/>
      <c r="AN131" s="15">
        <f>IFERROR(__xludf.DUMMYFUNCTION("""COMPUTED_VALUE"""),1533.0)</f>
        <v>1533</v>
      </c>
      <c r="AO131" s="15"/>
      <c r="AP131" s="15"/>
      <c r="AQ131" s="15"/>
      <c r="AR131" s="15">
        <f>IFERROR(__xludf.DUMMYFUNCTION("""COMPUTED_VALUE"""),115.0)</f>
        <v>115</v>
      </c>
      <c r="AS131" s="15"/>
    </row>
    <row r="132">
      <c r="A132" s="73">
        <v>131.0</v>
      </c>
      <c r="W132" s="15">
        <f t="shared" si="2"/>
        <v>2</v>
      </c>
      <c r="X132" s="15">
        <f t="shared" si="8"/>
        <v>2468</v>
      </c>
      <c r="Y132" s="15">
        <f t="shared" si="3"/>
        <v>180</v>
      </c>
      <c r="Z132" s="15">
        <f t="shared" si="4"/>
        <v>7457</v>
      </c>
      <c r="AA132" s="15">
        <f t="shared" si="5"/>
        <v>1339</v>
      </c>
      <c r="AB132" s="15">
        <f t="shared" si="6"/>
        <v>234</v>
      </c>
      <c r="AC132" s="15">
        <f t="shared" si="7"/>
        <v>1023</v>
      </c>
      <c r="AD132" s="15"/>
      <c r="AE132" s="15" t="str">
        <f>IFERROR(__xludf.DUMMYFUNCTION("""COMPUTED_VALUE"""),"Quals 43")</f>
        <v>Quals 43</v>
      </c>
      <c r="AF132" s="15">
        <f>IFERROR(__xludf.DUMMYFUNCTION("""COMPUTED_VALUE"""),2468.0)</f>
        <v>2468</v>
      </c>
      <c r="AG132" s="15"/>
      <c r="AH132" s="15">
        <f>IFERROR(__xludf.DUMMYFUNCTION("""COMPUTED_VALUE"""),180.0)</f>
        <v>180</v>
      </c>
      <c r="AI132" s="15"/>
      <c r="AJ132" s="15">
        <f>IFERROR(__xludf.DUMMYFUNCTION("""COMPUTED_VALUE"""),7457.0)</f>
        <v>7457</v>
      </c>
      <c r="AK132" s="15"/>
      <c r="AL132" s="15">
        <f>IFERROR(__xludf.DUMMYFUNCTION("""COMPUTED_VALUE"""),1339.0)</f>
        <v>1339</v>
      </c>
      <c r="AM132" s="15"/>
      <c r="AN132" s="15">
        <f>IFERROR(__xludf.DUMMYFUNCTION("""COMPUTED_VALUE"""),234.0)</f>
        <v>234</v>
      </c>
      <c r="AO132" s="15"/>
      <c r="AP132" s="15">
        <f>IFERROR(__xludf.DUMMYFUNCTION("""COMPUTED_VALUE"""),1023.0)</f>
        <v>1023</v>
      </c>
      <c r="AQ132" s="15"/>
      <c r="AR132" s="15">
        <f>IFERROR(__xludf.DUMMYFUNCTION("""COMPUTED_VALUE"""),144.0)</f>
        <v>144</v>
      </c>
      <c r="AS132" s="15">
        <f>IFERROR(__xludf.DUMMYFUNCTION("""COMPUTED_VALUE"""),128.0)</f>
        <v>128</v>
      </c>
    </row>
    <row r="133">
      <c r="A133" s="73">
        <v>132.0</v>
      </c>
      <c r="W133" s="15">
        <f t="shared" si="2"/>
        <v>0</v>
      </c>
      <c r="X133" s="15" t="str">
        <f t="shared" si="8"/>
        <v/>
      </c>
      <c r="Y133" s="15" t="str">
        <f t="shared" si="3"/>
        <v/>
      </c>
      <c r="Z133" s="15" t="str">
        <f t="shared" si="4"/>
        <v/>
      </c>
      <c r="AA133" s="15" t="str">
        <f t="shared" si="5"/>
        <v/>
      </c>
      <c r="AB133" s="15" t="str">
        <f t="shared" si="6"/>
        <v/>
      </c>
      <c r="AC133" s="15" t="str">
        <f t="shared" si="7"/>
        <v/>
      </c>
      <c r="AD133" s="15"/>
      <c r="AE133" s="15" t="str">
        <f>IFERROR(__xludf.DUMMYFUNCTION("""COMPUTED_VALUE"""),"Quals 43")</f>
        <v>Quals 43</v>
      </c>
      <c r="AF133" s="15">
        <f>IFERROR(__xludf.DUMMYFUNCTION("""COMPUTED_VALUE"""),2468.0)</f>
        <v>2468</v>
      </c>
      <c r="AG133" s="15"/>
      <c r="AH133" s="15"/>
      <c r="AI133" s="15"/>
      <c r="AJ133" s="15">
        <f>IFERROR(__xludf.DUMMYFUNCTION("""COMPUTED_VALUE"""),180.0)</f>
        <v>180</v>
      </c>
      <c r="AK133" s="15"/>
      <c r="AL133" s="15"/>
      <c r="AM133" s="15"/>
      <c r="AN133" s="15">
        <f>IFERROR(__xludf.DUMMYFUNCTION("""COMPUTED_VALUE"""),7457.0)</f>
        <v>7457</v>
      </c>
      <c r="AO133" s="15"/>
      <c r="AP133" s="15"/>
      <c r="AQ133" s="15"/>
      <c r="AR133" s="15">
        <f>IFERROR(__xludf.DUMMYFUNCTION("""COMPUTED_VALUE"""),144.0)</f>
        <v>144</v>
      </c>
      <c r="AS133" s="15"/>
    </row>
    <row r="134">
      <c r="A134" s="73">
        <v>133.0</v>
      </c>
      <c r="W134" s="15">
        <f t="shared" si="2"/>
        <v>1</v>
      </c>
      <c r="X134" s="15" t="str">
        <f t="shared" si="8"/>
        <v/>
      </c>
      <c r="Y134" s="15" t="str">
        <f t="shared" si="3"/>
        <v/>
      </c>
      <c r="Z134" s="15" t="str">
        <f t="shared" si="4"/>
        <v/>
      </c>
      <c r="AA134" s="15" t="str">
        <f t="shared" si="5"/>
        <v/>
      </c>
      <c r="AB134" s="15" t="str">
        <f t="shared" si="6"/>
        <v/>
      </c>
      <c r="AC134" s="15" t="str">
        <f t="shared" si="7"/>
        <v/>
      </c>
      <c r="AD134" s="15"/>
      <c r="AE134" s="15"/>
      <c r="AF134" s="15">
        <f>IFERROR(__xludf.DUMMYFUNCTION("""COMPUTED_VALUE"""),1339.0)</f>
        <v>1339</v>
      </c>
      <c r="AG134" s="15"/>
      <c r="AH134" s="15"/>
      <c r="AI134" s="15"/>
      <c r="AJ134" s="15">
        <f>IFERROR(__xludf.DUMMYFUNCTION("""COMPUTED_VALUE"""),234.0)</f>
        <v>234</v>
      </c>
      <c r="AK134" s="15"/>
      <c r="AL134" s="15"/>
      <c r="AM134" s="15"/>
      <c r="AN134" s="15">
        <f>IFERROR(__xludf.DUMMYFUNCTION("""COMPUTED_VALUE"""),1023.0)</f>
        <v>1023</v>
      </c>
      <c r="AO134" s="15"/>
      <c r="AP134" s="15"/>
      <c r="AQ134" s="15"/>
      <c r="AR134" s="15">
        <f>IFERROR(__xludf.DUMMYFUNCTION("""COMPUTED_VALUE"""),128.0)</f>
        <v>128</v>
      </c>
      <c r="AS134" s="15"/>
    </row>
    <row r="135">
      <c r="A135" s="73">
        <v>134.0</v>
      </c>
      <c r="W135" s="15">
        <f t="shared" si="2"/>
        <v>2</v>
      </c>
      <c r="X135" s="15">
        <f t="shared" si="8"/>
        <v>195</v>
      </c>
      <c r="Y135" s="15">
        <f t="shared" si="3"/>
        <v>3538</v>
      </c>
      <c r="Z135" s="15">
        <f t="shared" si="4"/>
        <v>2075</v>
      </c>
      <c r="AA135" s="15">
        <f t="shared" si="5"/>
        <v>2056</v>
      </c>
      <c r="AB135" s="15">
        <f t="shared" si="6"/>
        <v>4028</v>
      </c>
      <c r="AC135" s="15">
        <f t="shared" si="7"/>
        <v>587</v>
      </c>
      <c r="AD135" s="15"/>
      <c r="AE135" s="15" t="str">
        <f>IFERROR(__xludf.DUMMYFUNCTION("""COMPUTED_VALUE"""),"Quals 44")</f>
        <v>Quals 44</v>
      </c>
      <c r="AF135" s="15">
        <f>IFERROR(__xludf.DUMMYFUNCTION("""COMPUTED_VALUE"""),195.0)</f>
        <v>195</v>
      </c>
      <c r="AG135" s="15"/>
      <c r="AH135" s="15">
        <f>IFERROR(__xludf.DUMMYFUNCTION("""COMPUTED_VALUE"""),3538.0)</f>
        <v>3538</v>
      </c>
      <c r="AI135" s="15"/>
      <c r="AJ135" s="15">
        <f>IFERROR(__xludf.DUMMYFUNCTION("""COMPUTED_VALUE"""),2075.0)</f>
        <v>2075</v>
      </c>
      <c r="AK135" s="15"/>
      <c r="AL135" s="15">
        <f>IFERROR(__xludf.DUMMYFUNCTION("""COMPUTED_VALUE"""),2056.0)</f>
        <v>2056</v>
      </c>
      <c r="AM135" s="15"/>
      <c r="AN135" s="15">
        <f>IFERROR(__xludf.DUMMYFUNCTION("""COMPUTED_VALUE"""),4028.0)</f>
        <v>4028</v>
      </c>
      <c r="AO135" s="15"/>
      <c r="AP135" s="15">
        <f>IFERROR(__xludf.DUMMYFUNCTION("""COMPUTED_VALUE"""),587.0)</f>
        <v>587</v>
      </c>
      <c r="AQ135" s="15"/>
      <c r="AR135" s="15">
        <f>IFERROR(__xludf.DUMMYFUNCTION("""COMPUTED_VALUE"""),115.0)</f>
        <v>115</v>
      </c>
      <c r="AS135" s="15">
        <f>IFERROR(__xludf.DUMMYFUNCTION("""COMPUTED_VALUE"""),160.0)</f>
        <v>160</v>
      </c>
    </row>
    <row r="136">
      <c r="A136" s="73">
        <v>135.0</v>
      </c>
      <c r="W136" s="15">
        <f t="shared" si="2"/>
        <v>0</v>
      </c>
      <c r="X136" s="15" t="str">
        <f t="shared" si="8"/>
        <v/>
      </c>
      <c r="Y136" s="15" t="str">
        <f t="shared" si="3"/>
        <v/>
      </c>
      <c r="Z136" s="15" t="str">
        <f t="shared" si="4"/>
        <v/>
      </c>
      <c r="AA136" s="15" t="str">
        <f t="shared" si="5"/>
        <v/>
      </c>
      <c r="AB136" s="15" t="str">
        <f t="shared" si="6"/>
        <v/>
      </c>
      <c r="AC136" s="15" t="str">
        <f t="shared" si="7"/>
        <v/>
      </c>
      <c r="AD136" s="15"/>
      <c r="AE136" s="15" t="str">
        <f>IFERROR(__xludf.DUMMYFUNCTION("""COMPUTED_VALUE"""),"Quals 44")</f>
        <v>Quals 44</v>
      </c>
      <c r="AF136" s="15">
        <f>IFERROR(__xludf.DUMMYFUNCTION("""COMPUTED_VALUE"""),195.0)</f>
        <v>195</v>
      </c>
      <c r="AG136" s="15"/>
      <c r="AH136" s="15"/>
      <c r="AI136" s="15"/>
      <c r="AJ136" s="15">
        <f>IFERROR(__xludf.DUMMYFUNCTION("""COMPUTED_VALUE"""),3538.0)</f>
        <v>3538</v>
      </c>
      <c r="AK136" s="15"/>
      <c r="AL136" s="15"/>
      <c r="AM136" s="15"/>
      <c r="AN136" s="15">
        <f>IFERROR(__xludf.DUMMYFUNCTION("""COMPUTED_VALUE"""),2075.0)</f>
        <v>2075</v>
      </c>
      <c r="AO136" s="15"/>
      <c r="AP136" s="15"/>
      <c r="AQ136" s="15"/>
      <c r="AR136" s="15">
        <f>IFERROR(__xludf.DUMMYFUNCTION("""COMPUTED_VALUE"""),115.0)</f>
        <v>115</v>
      </c>
      <c r="AS136" s="15"/>
    </row>
    <row r="137">
      <c r="A137" s="73">
        <v>136.0</v>
      </c>
      <c r="W137" s="15">
        <f t="shared" si="2"/>
        <v>1</v>
      </c>
      <c r="X137" s="15" t="str">
        <f t="shared" si="8"/>
        <v/>
      </c>
      <c r="Y137" s="15" t="str">
        <f t="shared" si="3"/>
        <v/>
      </c>
      <c r="Z137" s="15" t="str">
        <f t="shared" si="4"/>
        <v/>
      </c>
      <c r="AA137" s="15" t="str">
        <f t="shared" si="5"/>
        <v/>
      </c>
      <c r="AB137" s="15" t="str">
        <f t="shared" si="6"/>
        <v/>
      </c>
      <c r="AC137" s="15" t="str">
        <f t="shared" si="7"/>
        <v/>
      </c>
      <c r="AD137" s="15"/>
      <c r="AE137" s="15"/>
      <c r="AF137" s="15">
        <f>IFERROR(__xludf.DUMMYFUNCTION("""COMPUTED_VALUE"""),2056.0)</f>
        <v>2056</v>
      </c>
      <c r="AG137" s="15"/>
      <c r="AH137" s="15"/>
      <c r="AI137" s="15"/>
      <c r="AJ137" s="15">
        <f>IFERROR(__xludf.DUMMYFUNCTION("""COMPUTED_VALUE"""),4028.0)</f>
        <v>4028</v>
      </c>
      <c r="AK137" s="15"/>
      <c r="AL137" s="15"/>
      <c r="AM137" s="15"/>
      <c r="AN137" s="15">
        <f>IFERROR(__xludf.DUMMYFUNCTION("""COMPUTED_VALUE"""),587.0)</f>
        <v>587</v>
      </c>
      <c r="AO137" s="15"/>
      <c r="AP137" s="15"/>
      <c r="AQ137" s="15"/>
      <c r="AR137" s="15">
        <f>IFERROR(__xludf.DUMMYFUNCTION("""COMPUTED_VALUE"""),160.0)</f>
        <v>160</v>
      </c>
      <c r="AS137" s="15"/>
    </row>
    <row r="138">
      <c r="A138" s="73">
        <v>137.0</v>
      </c>
      <c r="W138" s="15">
        <f t="shared" si="2"/>
        <v>2</v>
      </c>
      <c r="X138" s="15">
        <f t="shared" si="8"/>
        <v>1024</v>
      </c>
      <c r="Y138" s="15">
        <f t="shared" si="3"/>
        <v>1730</v>
      </c>
      <c r="Z138" s="15">
        <f t="shared" si="4"/>
        <v>1720</v>
      </c>
      <c r="AA138" s="15">
        <f t="shared" si="5"/>
        <v>4635</v>
      </c>
      <c r="AB138" s="15">
        <f t="shared" si="6"/>
        <v>27</v>
      </c>
      <c r="AC138" s="15">
        <f t="shared" si="7"/>
        <v>624</v>
      </c>
      <c r="AD138" s="15"/>
      <c r="AE138" s="15" t="str">
        <f>IFERROR(__xludf.DUMMYFUNCTION("""COMPUTED_VALUE"""),"Quals 45")</f>
        <v>Quals 45</v>
      </c>
      <c r="AF138" s="15">
        <f>IFERROR(__xludf.DUMMYFUNCTION("""COMPUTED_VALUE"""),1024.0)</f>
        <v>1024</v>
      </c>
      <c r="AG138" s="15"/>
      <c r="AH138" s="15">
        <f>IFERROR(__xludf.DUMMYFUNCTION("""COMPUTED_VALUE"""),1730.0)</f>
        <v>1730</v>
      </c>
      <c r="AI138" s="15"/>
      <c r="AJ138" s="15">
        <f>IFERROR(__xludf.DUMMYFUNCTION("""COMPUTED_VALUE"""),1720.0)</f>
        <v>1720</v>
      </c>
      <c r="AK138" s="15"/>
      <c r="AL138" s="15">
        <f>IFERROR(__xludf.DUMMYFUNCTION("""COMPUTED_VALUE"""),4635.0)</f>
        <v>4635</v>
      </c>
      <c r="AM138" s="15"/>
      <c r="AN138" s="15">
        <f>IFERROR(__xludf.DUMMYFUNCTION("""COMPUTED_VALUE"""),27.0)</f>
        <v>27</v>
      </c>
      <c r="AO138" s="15"/>
      <c r="AP138" s="15">
        <f>IFERROR(__xludf.DUMMYFUNCTION("""COMPUTED_VALUE"""),624.0)</f>
        <v>624</v>
      </c>
      <c r="AQ138" s="15"/>
      <c r="AR138" s="15">
        <f>IFERROR(__xludf.DUMMYFUNCTION("""COMPUTED_VALUE"""),108.0)</f>
        <v>108</v>
      </c>
      <c r="AS138" s="15">
        <f>IFERROR(__xludf.DUMMYFUNCTION("""COMPUTED_VALUE"""),146.0)</f>
        <v>146</v>
      </c>
    </row>
    <row r="139">
      <c r="A139" s="73">
        <v>138.0</v>
      </c>
      <c r="W139" s="15">
        <f t="shared" si="2"/>
        <v>0</v>
      </c>
      <c r="X139" s="15" t="str">
        <f t="shared" si="8"/>
        <v/>
      </c>
      <c r="Y139" s="15" t="str">
        <f t="shared" si="3"/>
        <v/>
      </c>
      <c r="Z139" s="15" t="str">
        <f t="shared" si="4"/>
        <v/>
      </c>
      <c r="AA139" s="15" t="str">
        <f t="shared" si="5"/>
        <v/>
      </c>
      <c r="AB139" s="15" t="str">
        <f t="shared" si="6"/>
        <v/>
      </c>
      <c r="AC139" s="15" t="str">
        <f t="shared" si="7"/>
        <v/>
      </c>
      <c r="AD139" s="15"/>
      <c r="AE139" s="15" t="str">
        <f>IFERROR(__xludf.DUMMYFUNCTION("""COMPUTED_VALUE"""),"Quals 45")</f>
        <v>Quals 45</v>
      </c>
      <c r="AF139" s="15">
        <f>IFERROR(__xludf.DUMMYFUNCTION("""COMPUTED_VALUE"""),1024.0)</f>
        <v>1024</v>
      </c>
      <c r="AG139" s="15"/>
      <c r="AH139" s="15"/>
      <c r="AI139" s="15"/>
      <c r="AJ139" s="15">
        <f>IFERROR(__xludf.DUMMYFUNCTION("""COMPUTED_VALUE"""),1730.0)</f>
        <v>1730</v>
      </c>
      <c r="AK139" s="15"/>
      <c r="AL139" s="15"/>
      <c r="AM139" s="15"/>
      <c r="AN139" s="15">
        <f>IFERROR(__xludf.DUMMYFUNCTION("""COMPUTED_VALUE"""),1720.0)</f>
        <v>1720</v>
      </c>
      <c r="AO139" s="15"/>
      <c r="AP139" s="15"/>
      <c r="AQ139" s="15"/>
      <c r="AR139" s="15">
        <f>IFERROR(__xludf.DUMMYFUNCTION("""COMPUTED_VALUE"""),108.0)</f>
        <v>108</v>
      </c>
      <c r="AS139" s="15"/>
    </row>
    <row r="140">
      <c r="A140" s="73">
        <v>139.0</v>
      </c>
      <c r="W140" s="15">
        <f t="shared" si="2"/>
        <v>1</v>
      </c>
      <c r="X140" s="15" t="str">
        <f t="shared" si="8"/>
        <v/>
      </c>
      <c r="Y140" s="15" t="str">
        <f t="shared" si="3"/>
        <v/>
      </c>
      <c r="Z140" s="15" t="str">
        <f t="shared" si="4"/>
        <v/>
      </c>
      <c r="AA140" s="15" t="str">
        <f t="shared" si="5"/>
        <v/>
      </c>
      <c r="AB140" s="15" t="str">
        <f t="shared" si="6"/>
        <v/>
      </c>
      <c r="AC140" s="15" t="str">
        <f t="shared" si="7"/>
        <v/>
      </c>
      <c r="AD140" s="15"/>
      <c r="AE140" s="15"/>
      <c r="AF140" s="15">
        <f>IFERROR(__xludf.DUMMYFUNCTION("""COMPUTED_VALUE"""),4635.0)</f>
        <v>4635</v>
      </c>
      <c r="AG140" s="15"/>
      <c r="AH140" s="15"/>
      <c r="AI140" s="15"/>
      <c r="AJ140" s="15">
        <f>IFERROR(__xludf.DUMMYFUNCTION("""COMPUTED_VALUE"""),27.0)</f>
        <v>27</v>
      </c>
      <c r="AK140" s="15"/>
      <c r="AL140" s="15"/>
      <c r="AM140" s="15"/>
      <c r="AN140" s="15">
        <f>IFERROR(__xludf.DUMMYFUNCTION("""COMPUTED_VALUE"""),624.0)</f>
        <v>624</v>
      </c>
      <c r="AO140" s="15"/>
      <c r="AP140" s="15"/>
      <c r="AQ140" s="15"/>
      <c r="AR140" s="15">
        <f>IFERROR(__xludf.DUMMYFUNCTION("""COMPUTED_VALUE"""),146.0)</f>
        <v>146</v>
      </c>
      <c r="AS140" s="15"/>
    </row>
    <row r="141">
      <c r="A141" s="73">
        <v>140.0</v>
      </c>
      <c r="W141" s="15">
        <f t="shared" si="2"/>
        <v>2</v>
      </c>
      <c r="X141" s="15">
        <f t="shared" si="8"/>
        <v>4926</v>
      </c>
      <c r="Y141" s="15">
        <f t="shared" si="3"/>
        <v>67</v>
      </c>
      <c r="Z141" s="15">
        <f t="shared" si="4"/>
        <v>2338</v>
      </c>
      <c r="AA141" s="15">
        <f t="shared" si="5"/>
        <v>4499</v>
      </c>
      <c r="AB141" s="15">
        <f t="shared" si="6"/>
        <v>2539</v>
      </c>
      <c r="AC141" s="15">
        <f t="shared" si="7"/>
        <v>1732</v>
      </c>
      <c r="AD141" s="15"/>
      <c r="AE141" s="15" t="str">
        <f>IFERROR(__xludf.DUMMYFUNCTION("""COMPUTED_VALUE"""),"Quals 46")</f>
        <v>Quals 46</v>
      </c>
      <c r="AF141" s="15">
        <f>IFERROR(__xludf.DUMMYFUNCTION("""COMPUTED_VALUE"""),4926.0)</f>
        <v>4926</v>
      </c>
      <c r="AG141" s="15"/>
      <c r="AH141" s="15">
        <f>IFERROR(__xludf.DUMMYFUNCTION("""COMPUTED_VALUE"""),67.0)</f>
        <v>67</v>
      </c>
      <c r="AI141" s="15"/>
      <c r="AJ141" s="15">
        <f>IFERROR(__xludf.DUMMYFUNCTION("""COMPUTED_VALUE"""),2338.0)</f>
        <v>2338</v>
      </c>
      <c r="AK141" s="15"/>
      <c r="AL141" s="15">
        <f>IFERROR(__xludf.DUMMYFUNCTION("""COMPUTED_VALUE"""),4499.0)</f>
        <v>4499</v>
      </c>
      <c r="AM141" s="15"/>
      <c r="AN141" s="15">
        <f>IFERROR(__xludf.DUMMYFUNCTION("""COMPUTED_VALUE"""),2539.0)</f>
        <v>2539</v>
      </c>
      <c r="AO141" s="15"/>
      <c r="AP141" s="15">
        <f>IFERROR(__xludf.DUMMYFUNCTION("""COMPUTED_VALUE"""),1732.0)</f>
        <v>1732</v>
      </c>
      <c r="AQ141" s="15"/>
      <c r="AR141" s="15">
        <f>IFERROR(__xludf.DUMMYFUNCTION("""COMPUTED_VALUE"""),98.0)</f>
        <v>98</v>
      </c>
      <c r="AS141" s="15">
        <f>IFERROR(__xludf.DUMMYFUNCTION("""COMPUTED_VALUE"""),122.0)</f>
        <v>122</v>
      </c>
    </row>
    <row r="142">
      <c r="A142" s="73">
        <v>141.0</v>
      </c>
      <c r="W142" s="15">
        <f t="shared" si="2"/>
        <v>0</v>
      </c>
      <c r="X142" s="15" t="str">
        <f t="shared" si="8"/>
        <v/>
      </c>
      <c r="Y142" s="15" t="str">
        <f t="shared" si="3"/>
        <v/>
      </c>
      <c r="Z142" s="15" t="str">
        <f t="shared" si="4"/>
        <v/>
      </c>
      <c r="AA142" s="15" t="str">
        <f t="shared" si="5"/>
        <v/>
      </c>
      <c r="AB142" s="15" t="str">
        <f t="shared" si="6"/>
        <v/>
      </c>
      <c r="AC142" s="15" t="str">
        <f t="shared" si="7"/>
        <v/>
      </c>
      <c r="AD142" s="15"/>
      <c r="AE142" s="15" t="str">
        <f>IFERROR(__xludf.DUMMYFUNCTION("""COMPUTED_VALUE"""),"Quals 46")</f>
        <v>Quals 46</v>
      </c>
      <c r="AF142" s="15">
        <f>IFERROR(__xludf.DUMMYFUNCTION("""COMPUTED_VALUE"""),4926.0)</f>
        <v>4926</v>
      </c>
      <c r="AG142" s="15"/>
      <c r="AH142" s="15"/>
      <c r="AI142" s="15"/>
      <c r="AJ142" s="15">
        <f>IFERROR(__xludf.DUMMYFUNCTION("""COMPUTED_VALUE"""),67.0)</f>
        <v>67</v>
      </c>
      <c r="AK142" s="15"/>
      <c r="AL142" s="15"/>
      <c r="AM142" s="15"/>
      <c r="AN142" s="15">
        <f>IFERROR(__xludf.DUMMYFUNCTION("""COMPUTED_VALUE"""),2338.0)</f>
        <v>2338</v>
      </c>
      <c r="AO142" s="15"/>
      <c r="AP142" s="15"/>
      <c r="AQ142" s="15"/>
      <c r="AR142" s="15">
        <f>IFERROR(__xludf.DUMMYFUNCTION("""COMPUTED_VALUE"""),98.0)</f>
        <v>98</v>
      </c>
      <c r="AS142" s="15"/>
    </row>
    <row r="143">
      <c r="A143" s="73">
        <v>142.0</v>
      </c>
      <c r="W143" s="15">
        <f t="shared" si="2"/>
        <v>1</v>
      </c>
      <c r="X143" s="15" t="str">
        <f t="shared" si="8"/>
        <v/>
      </c>
      <c r="Y143" s="15" t="str">
        <f t="shared" si="3"/>
        <v/>
      </c>
      <c r="Z143" s="15" t="str">
        <f t="shared" si="4"/>
        <v/>
      </c>
      <c r="AA143" s="15" t="str">
        <f t="shared" si="5"/>
        <v/>
      </c>
      <c r="AB143" s="15" t="str">
        <f t="shared" si="6"/>
        <v/>
      </c>
      <c r="AC143" s="15" t="str">
        <f t="shared" si="7"/>
        <v/>
      </c>
      <c r="AD143" s="15"/>
      <c r="AE143" s="15"/>
      <c r="AF143" s="15">
        <f>IFERROR(__xludf.DUMMYFUNCTION("""COMPUTED_VALUE"""),4499.0)</f>
        <v>4499</v>
      </c>
      <c r="AG143" s="15"/>
      <c r="AH143" s="15"/>
      <c r="AI143" s="15"/>
      <c r="AJ143" s="15">
        <f>IFERROR(__xludf.DUMMYFUNCTION("""COMPUTED_VALUE"""),2539.0)</f>
        <v>2539</v>
      </c>
      <c r="AK143" s="15"/>
      <c r="AL143" s="15"/>
      <c r="AM143" s="15"/>
      <c r="AN143" s="15">
        <f>IFERROR(__xludf.DUMMYFUNCTION("""COMPUTED_VALUE"""),1732.0)</f>
        <v>1732</v>
      </c>
      <c r="AO143" s="15"/>
      <c r="AP143" s="15"/>
      <c r="AQ143" s="15"/>
      <c r="AR143" s="15">
        <f>IFERROR(__xludf.DUMMYFUNCTION("""COMPUTED_VALUE"""),122.0)</f>
        <v>122</v>
      </c>
      <c r="AS143" s="15"/>
    </row>
    <row r="144">
      <c r="A144" s="73">
        <v>143.0</v>
      </c>
      <c r="W144" s="15">
        <f t="shared" si="2"/>
        <v>2</v>
      </c>
      <c r="X144" s="15">
        <f t="shared" si="8"/>
        <v>503</v>
      </c>
      <c r="Y144" s="15">
        <f t="shared" si="3"/>
        <v>3175</v>
      </c>
      <c r="Z144" s="15">
        <f t="shared" si="4"/>
        <v>2363</v>
      </c>
      <c r="AA144" s="15">
        <f t="shared" si="5"/>
        <v>829</v>
      </c>
      <c r="AB144" s="15">
        <f t="shared" si="6"/>
        <v>33</v>
      </c>
      <c r="AC144" s="15">
        <f t="shared" si="7"/>
        <v>3176</v>
      </c>
      <c r="AD144" s="15"/>
      <c r="AE144" s="15" t="str">
        <f>IFERROR(__xludf.DUMMYFUNCTION("""COMPUTED_VALUE"""),"Quals 47")</f>
        <v>Quals 47</v>
      </c>
      <c r="AF144" s="15">
        <f>IFERROR(__xludf.DUMMYFUNCTION("""COMPUTED_VALUE"""),503.0)</f>
        <v>503</v>
      </c>
      <c r="AG144" s="15"/>
      <c r="AH144" s="15">
        <f>IFERROR(__xludf.DUMMYFUNCTION("""COMPUTED_VALUE"""),3175.0)</f>
        <v>3175</v>
      </c>
      <c r="AI144" s="15"/>
      <c r="AJ144" s="15">
        <f>IFERROR(__xludf.DUMMYFUNCTION("""COMPUTED_VALUE"""),2363.0)</f>
        <v>2363</v>
      </c>
      <c r="AK144" s="15"/>
      <c r="AL144" s="15">
        <f>IFERROR(__xludf.DUMMYFUNCTION("""COMPUTED_VALUE"""),829.0)</f>
        <v>829</v>
      </c>
      <c r="AM144" s="15"/>
      <c r="AN144" s="15">
        <f>IFERROR(__xludf.DUMMYFUNCTION("""COMPUTED_VALUE"""),33.0)</f>
        <v>33</v>
      </c>
      <c r="AO144" s="15"/>
      <c r="AP144" s="15">
        <f>IFERROR(__xludf.DUMMYFUNCTION("""COMPUTED_VALUE"""),3176.0)</f>
        <v>3176</v>
      </c>
      <c r="AQ144" s="15"/>
      <c r="AR144" s="15">
        <f>IFERROR(__xludf.DUMMYFUNCTION("""COMPUTED_VALUE"""),115.0)</f>
        <v>115</v>
      </c>
      <c r="AS144" s="15">
        <f>IFERROR(__xludf.DUMMYFUNCTION("""COMPUTED_VALUE"""),104.0)</f>
        <v>104</v>
      </c>
    </row>
    <row r="145">
      <c r="A145" s="73">
        <v>144.0</v>
      </c>
      <c r="W145" s="15">
        <f t="shared" si="2"/>
        <v>0</v>
      </c>
      <c r="X145" s="15" t="str">
        <f t="shared" si="8"/>
        <v/>
      </c>
      <c r="Y145" s="15" t="str">
        <f t="shared" si="3"/>
        <v/>
      </c>
      <c r="Z145" s="15" t="str">
        <f t="shared" si="4"/>
        <v/>
      </c>
      <c r="AA145" s="15" t="str">
        <f t="shared" si="5"/>
        <v/>
      </c>
      <c r="AB145" s="15" t="str">
        <f t="shared" si="6"/>
        <v/>
      </c>
      <c r="AC145" s="15" t="str">
        <f t="shared" si="7"/>
        <v/>
      </c>
      <c r="AD145" s="15"/>
      <c r="AE145" s="15" t="str">
        <f>IFERROR(__xludf.DUMMYFUNCTION("""COMPUTED_VALUE"""),"Quals 47")</f>
        <v>Quals 47</v>
      </c>
      <c r="AF145" s="15">
        <f>IFERROR(__xludf.DUMMYFUNCTION("""COMPUTED_VALUE"""),503.0)</f>
        <v>503</v>
      </c>
      <c r="AG145" s="15"/>
      <c r="AH145" s="15"/>
      <c r="AI145" s="15"/>
      <c r="AJ145" s="15">
        <f>IFERROR(__xludf.DUMMYFUNCTION("""COMPUTED_VALUE"""),3175.0)</f>
        <v>3175</v>
      </c>
      <c r="AK145" s="15"/>
      <c r="AL145" s="15"/>
      <c r="AM145" s="15"/>
      <c r="AN145" s="15">
        <f>IFERROR(__xludf.DUMMYFUNCTION("""COMPUTED_VALUE"""),2363.0)</f>
        <v>2363</v>
      </c>
      <c r="AO145" s="15"/>
      <c r="AP145" s="15"/>
      <c r="AQ145" s="15"/>
      <c r="AR145" s="15">
        <f>IFERROR(__xludf.DUMMYFUNCTION("""COMPUTED_VALUE"""),115.0)</f>
        <v>115</v>
      </c>
      <c r="AS145" s="15"/>
    </row>
    <row r="146">
      <c r="A146" s="73">
        <v>145.0</v>
      </c>
      <c r="W146" s="15">
        <f t="shared" si="2"/>
        <v>1</v>
      </c>
      <c r="X146" s="15" t="str">
        <f t="shared" si="8"/>
        <v/>
      </c>
      <c r="Y146" s="15" t="str">
        <f t="shared" si="3"/>
        <v/>
      </c>
      <c r="Z146" s="15" t="str">
        <f t="shared" si="4"/>
        <v/>
      </c>
      <c r="AA146" s="15" t="str">
        <f t="shared" si="5"/>
        <v/>
      </c>
      <c r="AB146" s="15" t="str">
        <f t="shared" si="6"/>
        <v/>
      </c>
      <c r="AC146" s="15" t="str">
        <f t="shared" si="7"/>
        <v/>
      </c>
      <c r="AD146" s="15"/>
      <c r="AE146" s="15"/>
      <c r="AF146" s="15">
        <f>IFERROR(__xludf.DUMMYFUNCTION("""COMPUTED_VALUE"""),829.0)</f>
        <v>829</v>
      </c>
      <c r="AG146" s="15"/>
      <c r="AH146" s="15"/>
      <c r="AI146" s="15"/>
      <c r="AJ146" s="15">
        <f>IFERROR(__xludf.DUMMYFUNCTION("""COMPUTED_VALUE"""),33.0)</f>
        <v>33</v>
      </c>
      <c r="AK146" s="15"/>
      <c r="AL146" s="15"/>
      <c r="AM146" s="15"/>
      <c r="AN146" s="15">
        <f>IFERROR(__xludf.DUMMYFUNCTION("""COMPUTED_VALUE"""),3176.0)</f>
        <v>3176</v>
      </c>
      <c r="AO146" s="15"/>
      <c r="AP146" s="15"/>
      <c r="AQ146" s="15"/>
      <c r="AR146" s="15">
        <f>IFERROR(__xludf.DUMMYFUNCTION("""COMPUTED_VALUE"""),104.0)</f>
        <v>104</v>
      </c>
      <c r="AS146" s="15"/>
    </row>
    <row r="147">
      <c r="A147" s="73">
        <v>146.0</v>
      </c>
      <c r="W147" s="15">
        <f t="shared" si="2"/>
        <v>2</v>
      </c>
      <c r="X147" s="15">
        <f t="shared" si="8"/>
        <v>4265</v>
      </c>
      <c r="Y147" s="15">
        <f t="shared" si="3"/>
        <v>2614</v>
      </c>
      <c r="Z147" s="15">
        <f t="shared" si="4"/>
        <v>5712</v>
      </c>
      <c r="AA147" s="15">
        <f t="shared" si="5"/>
        <v>2767</v>
      </c>
      <c r="AB147" s="15">
        <f t="shared" si="6"/>
        <v>1706</v>
      </c>
      <c r="AC147" s="15">
        <f t="shared" si="7"/>
        <v>5010</v>
      </c>
      <c r="AD147" s="15"/>
      <c r="AE147" s="15" t="str">
        <f>IFERROR(__xludf.DUMMYFUNCTION("""COMPUTED_VALUE"""),"Quals 48")</f>
        <v>Quals 48</v>
      </c>
      <c r="AF147" s="15">
        <f>IFERROR(__xludf.DUMMYFUNCTION("""COMPUTED_VALUE"""),4265.0)</f>
        <v>4265</v>
      </c>
      <c r="AG147" s="15"/>
      <c r="AH147" s="15">
        <f>IFERROR(__xludf.DUMMYFUNCTION("""COMPUTED_VALUE"""),2614.0)</f>
        <v>2614</v>
      </c>
      <c r="AI147" s="15"/>
      <c r="AJ147" s="15">
        <f>IFERROR(__xludf.DUMMYFUNCTION("""COMPUTED_VALUE"""),5712.0)</f>
        <v>5712</v>
      </c>
      <c r="AK147" s="15"/>
      <c r="AL147" s="15">
        <f>IFERROR(__xludf.DUMMYFUNCTION("""COMPUTED_VALUE"""),2767.0)</f>
        <v>2767</v>
      </c>
      <c r="AM147" s="15"/>
      <c r="AN147" s="15">
        <f>IFERROR(__xludf.DUMMYFUNCTION("""COMPUTED_VALUE"""),1706.0)</f>
        <v>1706</v>
      </c>
      <c r="AO147" s="15"/>
      <c r="AP147" s="15">
        <f>IFERROR(__xludf.DUMMYFUNCTION("""COMPUTED_VALUE"""),5010.0)</f>
        <v>5010</v>
      </c>
      <c r="AQ147" s="15"/>
      <c r="AR147" s="15">
        <f>IFERROR(__xludf.DUMMYFUNCTION("""COMPUTED_VALUE"""),109.0)</f>
        <v>109</v>
      </c>
      <c r="AS147" s="15">
        <f>IFERROR(__xludf.DUMMYFUNCTION("""COMPUTED_VALUE"""),131.0)</f>
        <v>131</v>
      </c>
    </row>
    <row r="148">
      <c r="A148" s="73">
        <v>147.0</v>
      </c>
      <c r="W148" s="15">
        <f t="shared" si="2"/>
        <v>0</v>
      </c>
      <c r="X148" s="15" t="str">
        <f t="shared" si="8"/>
        <v/>
      </c>
      <c r="Y148" s="15" t="str">
        <f t="shared" si="3"/>
        <v/>
      </c>
      <c r="Z148" s="15" t="str">
        <f t="shared" si="4"/>
        <v/>
      </c>
      <c r="AA148" s="15" t="str">
        <f t="shared" si="5"/>
        <v/>
      </c>
      <c r="AB148" s="15" t="str">
        <f t="shared" si="6"/>
        <v/>
      </c>
      <c r="AC148" s="15" t="str">
        <f t="shared" si="7"/>
        <v/>
      </c>
      <c r="AD148" s="15"/>
      <c r="AE148" s="15" t="str">
        <f>IFERROR(__xludf.DUMMYFUNCTION("""COMPUTED_VALUE"""),"Quals 48")</f>
        <v>Quals 48</v>
      </c>
      <c r="AF148" s="15">
        <f>IFERROR(__xludf.DUMMYFUNCTION("""COMPUTED_VALUE"""),4265.0)</f>
        <v>4265</v>
      </c>
      <c r="AG148" s="15"/>
      <c r="AH148" s="15"/>
      <c r="AI148" s="15"/>
      <c r="AJ148" s="15">
        <f>IFERROR(__xludf.DUMMYFUNCTION("""COMPUTED_VALUE"""),2614.0)</f>
        <v>2614</v>
      </c>
      <c r="AK148" s="15"/>
      <c r="AL148" s="15"/>
      <c r="AM148" s="15"/>
      <c r="AN148" s="15">
        <f>IFERROR(__xludf.DUMMYFUNCTION("""COMPUTED_VALUE"""),5712.0)</f>
        <v>5712</v>
      </c>
      <c r="AO148" s="15"/>
      <c r="AP148" s="15"/>
      <c r="AQ148" s="15"/>
      <c r="AR148" s="15">
        <f>IFERROR(__xludf.DUMMYFUNCTION("""COMPUTED_VALUE"""),109.0)</f>
        <v>109</v>
      </c>
      <c r="AS148" s="15"/>
    </row>
    <row r="149">
      <c r="A149" s="73">
        <v>148.0</v>
      </c>
      <c r="W149" s="15">
        <f t="shared" si="2"/>
        <v>1</v>
      </c>
      <c r="X149" s="15" t="str">
        <f t="shared" si="8"/>
        <v/>
      </c>
      <c r="Y149" s="15" t="str">
        <f t="shared" si="3"/>
        <v/>
      </c>
      <c r="Z149" s="15" t="str">
        <f t="shared" si="4"/>
        <v/>
      </c>
      <c r="AA149" s="15" t="str">
        <f t="shared" si="5"/>
        <v/>
      </c>
      <c r="AB149" s="15" t="str">
        <f t="shared" si="6"/>
        <v/>
      </c>
      <c r="AC149" s="15" t="str">
        <f t="shared" si="7"/>
        <v/>
      </c>
      <c r="AD149" s="15"/>
      <c r="AE149" s="15"/>
      <c r="AF149" s="15">
        <f>IFERROR(__xludf.DUMMYFUNCTION("""COMPUTED_VALUE"""),2767.0)</f>
        <v>2767</v>
      </c>
      <c r="AG149" s="15"/>
      <c r="AH149" s="15"/>
      <c r="AI149" s="15"/>
      <c r="AJ149" s="15">
        <f>IFERROR(__xludf.DUMMYFUNCTION("""COMPUTED_VALUE"""),1706.0)</f>
        <v>1706</v>
      </c>
      <c r="AK149" s="15"/>
      <c r="AL149" s="15"/>
      <c r="AM149" s="15"/>
      <c r="AN149" s="15">
        <f>IFERROR(__xludf.DUMMYFUNCTION("""COMPUTED_VALUE"""),5010.0)</f>
        <v>5010</v>
      </c>
      <c r="AO149" s="15"/>
      <c r="AP149" s="15"/>
      <c r="AQ149" s="15"/>
      <c r="AR149" s="15">
        <f>IFERROR(__xludf.DUMMYFUNCTION("""COMPUTED_VALUE"""),131.0)</f>
        <v>131</v>
      </c>
      <c r="AS149" s="15"/>
    </row>
    <row r="150">
      <c r="A150" s="73">
        <v>149.0</v>
      </c>
      <c r="W150" s="15">
        <f t="shared" si="2"/>
        <v>2</v>
      </c>
      <c r="X150" s="15">
        <f t="shared" si="8"/>
        <v>4143</v>
      </c>
      <c r="Y150" s="15">
        <f t="shared" si="3"/>
        <v>3538</v>
      </c>
      <c r="Z150" s="15">
        <f t="shared" si="4"/>
        <v>5484</v>
      </c>
      <c r="AA150" s="15">
        <f t="shared" si="5"/>
        <v>195</v>
      </c>
      <c r="AB150" s="15">
        <f t="shared" si="6"/>
        <v>1023</v>
      </c>
      <c r="AC150" s="15">
        <f t="shared" si="7"/>
        <v>694</v>
      </c>
      <c r="AD150" s="15"/>
      <c r="AE150" s="15" t="str">
        <f>IFERROR(__xludf.DUMMYFUNCTION("""COMPUTED_VALUE"""),"Quals 49")</f>
        <v>Quals 49</v>
      </c>
      <c r="AF150" s="15">
        <f>IFERROR(__xludf.DUMMYFUNCTION("""COMPUTED_VALUE"""),4143.0)</f>
        <v>4143</v>
      </c>
      <c r="AG150" s="15"/>
      <c r="AH150" s="15">
        <f>IFERROR(__xludf.DUMMYFUNCTION("""COMPUTED_VALUE"""),3538.0)</f>
        <v>3538</v>
      </c>
      <c r="AI150" s="15"/>
      <c r="AJ150" s="15">
        <f>IFERROR(__xludf.DUMMYFUNCTION("""COMPUTED_VALUE"""),5484.0)</f>
        <v>5484</v>
      </c>
      <c r="AK150" s="15"/>
      <c r="AL150" s="15">
        <f>IFERROR(__xludf.DUMMYFUNCTION("""COMPUTED_VALUE"""),195.0)</f>
        <v>195</v>
      </c>
      <c r="AM150" s="15"/>
      <c r="AN150" s="15">
        <f>IFERROR(__xludf.DUMMYFUNCTION("""COMPUTED_VALUE"""),1023.0)</f>
        <v>1023</v>
      </c>
      <c r="AO150" s="15"/>
      <c r="AP150" s="15">
        <f>IFERROR(__xludf.DUMMYFUNCTION("""COMPUTED_VALUE"""),694.0)</f>
        <v>694</v>
      </c>
      <c r="AQ150" s="15"/>
      <c r="AR150" s="15">
        <f>IFERROR(__xludf.DUMMYFUNCTION("""COMPUTED_VALUE"""),104.0)</f>
        <v>104</v>
      </c>
      <c r="AS150" s="15">
        <f>IFERROR(__xludf.DUMMYFUNCTION("""COMPUTED_VALUE"""),137.0)</f>
        <v>137</v>
      </c>
    </row>
    <row r="151">
      <c r="A151" s="73">
        <v>150.0</v>
      </c>
      <c r="W151" s="15">
        <f t="shared" si="2"/>
        <v>0</v>
      </c>
      <c r="X151" s="15" t="str">
        <f t="shared" si="8"/>
        <v/>
      </c>
      <c r="Y151" s="15" t="str">
        <f t="shared" si="3"/>
        <v/>
      </c>
      <c r="Z151" s="15" t="str">
        <f t="shared" si="4"/>
        <v/>
      </c>
      <c r="AA151" s="15" t="str">
        <f t="shared" si="5"/>
        <v/>
      </c>
      <c r="AB151" s="15" t="str">
        <f t="shared" si="6"/>
        <v/>
      </c>
      <c r="AC151" s="15" t="str">
        <f t="shared" si="7"/>
        <v/>
      </c>
      <c r="AD151" s="15"/>
      <c r="AE151" s="15" t="str">
        <f>IFERROR(__xludf.DUMMYFUNCTION("""COMPUTED_VALUE"""),"Quals 49")</f>
        <v>Quals 49</v>
      </c>
      <c r="AF151" s="15">
        <f>IFERROR(__xludf.DUMMYFUNCTION("""COMPUTED_VALUE"""),4143.0)</f>
        <v>4143</v>
      </c>
      <c r="AG151" s="15"/>
      <c r="AH151" s="15"/>
      <c r="AI151" s="15"/>
      <c r="AJ151" s="15">
        <f>IFERROR(__xludf.DUMMYFUNCTION("""COMPUTED_VALUE"""),3538.0)</f>
        <v>3538</v>
      </c>
      <c r="AK151" s="15"/>
      <c r="AL151" s="15"/>
      <c r="AM151" s="15"/>
      <c r="AN151" s="15">
        <f>IFERROR(__xludf.DUMMYFUNCTION("""COMPUTED_VALUE"""),5484.0)</f>
        <v>5484</v>
      </c>
      <c r="AO151" s="15"/>
      <c r="AP151" s="15"/>
      <c r="AQ151" s="15"/>
      <c r="AR151" s="15">
        <f>IFERROR(__xludf.DUMMYFUNCTION("""COMPUTED_VALUE"""),104.0)</f>
        <v>104</v>
      </c>
      <c r="AS151" s="15"/>
    </row>
    <row r="152">
      <c r="A152" s="73">
        <v>151.0</v>
      </c>
      <c r="W152" s="15">
        <f t="shared" si="2"/>
        <v>1</v>
      </c>
      <c r="X152" s="15" t="str">
        <f t="shared" si="8"/>
        <v/>
      </c>
      <c r="Y152" s="15" t="str">
        <f t="shared" si="3"/>
        <v/>
      </c>
      <c r="Z152" s="15" t="str">
        <f t="shared" si="4"/>
        <v/>
      </c>
      <c r="AA152" s="15" t="str">
        <f t="shared" si="5"/>
        <v/>
      </c>
      <c r="AB152" s="15" t="str">
        <f t="shared" si="6"/>
        <v/>
      </c>
      <c r="AC152" s="15" t="str">
        <f t="shared" si="7"/>
        <v/>
      </c>
      <c r="AD152" s="15"/>
      <c r="AE152" s="15"/>
      <c r="AF152" s="15">
        <f>IFERROR(__xludf.DUMMYFUNCTION("""COMPUTED_VALUE"""),195.0)</f>
        <v>195</v>
      </c>
      <c r="AG152" s="15"/>
      <c r="AH152" s="15"/>
      <c r="AI152" s="15"/>
      <c r="AJ152" s="15">
        <f>IFERROR(__xludf.DUMMYFUNCTION("""COMPUTED_VALUE"""),1023.0)</f>
        <v>1023</v>
      </c>
      <c r="AK152" s="15"/>
      <c r="AL152" s="15"/>
      <c r="AM152" s="15"/>
      <c r="AN152" s="15">
        <f>IFERROR(__xludf.DUMMYFUNCTION("""COMPUTED_VALUE"""),694.0)</f>
        <v>694</v>
      </c>
      <c r="AO152" s="15"/>
      <c r="AP152" s="15"/>
      <c r="AQ152" s="15"/>
      <c r="AR152" s="15">
        <f>IFERROR(__xludf.DUMMYFUNCTION("""COMPUTED_VALUE"""),137.0)</f>
        <v>137</v>
      </c>
      <c r="AS152" s="15"/>
    </row>
    <row r="153">
      <c r="A153" s="73">
        <v>152.0</v>
      </c>
      <c r="W153" s="15">
        <f t="shared" si="2"/>
        <v>2</v>
      </c>
      <c r="X153" s="15">
        <f t="shared" si="8"/>
        <v>7457</v>
      </c>
      <c r="Y153" s="15">
        <f t="shared" si="3"/>
        <v>2075</v>
      </c>
      <c r="Z153" s="15">
        <f t="shared" si="4"/>
        <v>340</v>
      </c>
      <c r="AA153" s="15">
        <f t="shared" si="5"/>
        <v>1730</v>
      </c>
      <c r="AB153" s="15">
        <f t="shared" si="6"/>
        <v>27</v>
      </c>
      <c r="AC153" s="15">
        <f t="shared" si="7"/>
        <v>180</v>
      </c>
      <c r="AD153" s="15"/>
      <c r="AE153" s="15" t="str">
        <f>IFERROR(__xludf.DUMMYFUNCTION("""COMPUTED_VALUE"""),"Quals 50")</f>
        <v>Quals 50</v>
      </c>
      <c r="AF153" s="15">
        <f>IFERROR(__xludf.DUMMYFUNCTION("""COMPUTED_VALUE"""),7457.0)</f>
        <v>7457</v>
      </c>
      <c r="AG153" s="15"/>
      <c r="AH153" s="15">
        <f>IFERROR(__xludf.DUMMYFUNCTION("""COMPUTED_VALUE"""),2075.0)</f>
        <v>2075</v>
      </c>
      <c r="AI153" s="15"/>
      <c r="AJ153" s="15">
        <f>IFERROR(__xludf.DUMMYFUNCTION("""COMPUTED_VALUE"""),340.0)</f>
        <v>340</v>
      </c>
      <c r="AK153" s="15"/>
      <c r="AL153" s="15">
        <f>IFERROR(__xludf.DUMMYFUNCTION("""COMPUTED_VALUE"""),1730.0)</f>
        <v>1730</v>
      </c>
      <c r="AM153" s="15"/>
      <c r="AN153" s="15">
        <f>IFERROR(__xludf.DUMMYFUNCTION("""COMPUTED_VALUE"""),27.0)</f>
        <v>27</v>
      </c>
      <c r="AO153" s="15"/>
      <c r="AP153" s="15">
        <f>IFERROR(__xludf.DUMMYFUNCTION("""COMPUTED_VALUE"""),180.0)</f>
        <v>180</v>
      </c>
      <c r="AQ153" s="15"/>
      <c r="AR153" s="15">
        <f>IFERROR(__xludf.DUMMYFUNCTION("""COMPUTED_VALUE"""),155.0)</f>
        <v>155</v>
      </c>
      <c r="AS153" s="15">
        <f>IFERROR(__xludf.DUMMYFUNCTION("""COMPUTED_VALUE"""),169.0)</f>
        <v>169</v>
      </c>
    </row>
    <row r="154">
      <c r="A154" s="73">
        <v>153.0</v>
      </c>
      <c r="W154" s="15">
        <f t="shared" si="2"/>
        <v>0</v>
      </c>
      <c r="X154" s="15" t="str">
        <f t="shared" si="8"/>
        <v/>
      </c>
      <c r="Y154" s="15" t="str">
        <f t="shared" si="3"/>
        <v/>
      </c>
      <c r="Z154" s="15" t="str">
        <f t="shared" si="4"/>
        <v/>
      </c>
      <c r="AA154" s="15" t="str">
        <f t="shared" si="5"/>
        <v/>
      </c>
      <c r="AB154" s="15" t="str">
        <f t="shared" si="6"/>
        <v/>
      </c>
      <c r="AC154" s="15" t="str">
        <f t="shared" si="7"/>
        <v/>
      </c>
      <c r="AD154" s="15"/>
      <c r="AE154" s="15" t="str">
        <f>IFERROR(__xludf.DUMMYFUNCTION("""COMPUTED_VALUE"""),"Quals 50")</f>
        <v>Quals 50</v>
      </c>
      <c r="AF154" s="15">
        <f>IFERROR(__xludf.DUMMYFUNCTION("""COMPUTED_VALUE"""),7457.0)</f>
        <v>7457</v>
      </c>
      <c r="AG154" s="15"/>
      <c r="AH154" s="15"/>
      <c r="AI154" s="15"/>
      <c r="AJ154" s="15">
        <f>IFERROR(__xludf.DUMMYFUNCTION("""COMPUTED_VALUE"""),2075.0)</f>
        <v>2075</v>
      </c>
      <c r="AK154" s="15"/>
      <c r="AL154" s="15"/>
      <c r="AM154" s="15"/>
      <c r="AN154" s="15">
        <f>IFERROR(__xludf.DUMMYFUNCTION("""COMPUTED_VALUE"""),340.0)</f>
        <v>340</v>
      </c>
      <c r="AO154" s="15"/>
      <c r="AP154" s="15"/>
      <c r="AQ154" s="15"/>
      <c r="AR154" s="15">
        <f>IFERROR(__xludf.DUMMYFUNCTION("""COMPUTED_VALUE"""),155.0)</f>
        <v>155</v>
      </c>
      <c r="AS154" s="15"/>
    </row>
    <row r="155">
      <c r="A155" s="73">
        <v>154.0</v>
      </c>
      <c r="W155" s="15">
        <f t="shared" si="2"/>
        <v>1</v>
      </c>
      <c r="X155" s="15" t="str">
        <f t="shared" si="8"/>
        <v/>
      </c>
      <c r="Y155" s="15" t="str">
        <f t="shared" si="3"/>
        <v/>
      </c>
      <c r="Z155" s="15" t="str">
        <f t="shared" si="4"/>
        <v/>
      </c>
      <c r="AA155" s="15" t="str">
        <f t="shared" si="5"/>
        <v/>
      </c>
      <c r="AB155" s="15" t="str">
        <f t="shared" si="6"/>
        <v/>
      </c>
      <c r="AC155" s="15" t="str">
        <f t="shared" si="7"/>
        <v/>
      </c>
      <c r="AD155" s="15"/>
      <c r="AE155" s="15"/>
      <c r="AF155" s="15">
        <f>IFERROR(__xludf.DUMMYFUNCTION("""COMPUTED_VALUE"""),1730.0)</f>
        <v>1730</v>
      </c>
      <c r="AG155" s="15"/>
      <c r="AH155" s="15"/>
      <c r="AI155" s="15"/>
      <c r="AJ155" s="15">
        <f>IFERROR(__xludf.DUMMYFUNCTION("""COMPUTED_VALUE"""),27.0)</f>
        <v>27</v>
      </c>
      <c r="AK155" s="15"/>
      <c r="AL155" s="15"/>
      <c r="AM155" s="15"/>
      <c r="AN155" s="15">
        <f>IFERROR(__xludf.DUMMYFUNCTION("""COMPUTED_VALUE"""),180.0)</f>
        <v>180</v>
      </c>
      <c r="AO155" s="15"/>
      <c r="AP155" s="15"/>
      <c r="AQ155" s="15"/>
      <c r="AR155" s="15">
        <f>IFERROR(__xludf.DUMMYFUNCTION("""COMPUTED_VALUE"""),169.0)</f>
        <v>169</v>
      </c>
      <c r="AS155" s="15"/>
    </row>
    <row r="156">
      <c r="A156" s="73">
        <v>155.0</v>
      </c>
      <c r="W156" s="15">
        <f t="shared" si="2"/>
        <v>2</v>
      </c>
      <c r="X156" s="15">
        <f t="shared" si="8"/>
        <v>3357</v>
      </c>
      <c r="Y156" s="15">
        <f t="shared" si="3"/>
        <v>1987</v>
      </c>
      <c r="Z156" s="15">
        <f t="shared" si="4"/>
        <v>2056</v>
      </c>
      <c r="AA156" s="15">
        <f t="shared" si="5"/>
        <v>587</v>
      </c>
      <c r="AB156" s="15">
        <f t="shared" si="6"/>
        <v>624</v>
      </c>
      <c r="AC156" s="15">
        <f t="shared" si="7"/>
        <v>3940</v>
      </c>
      <c r="AD156" s="15"/>
      <c r="AE156" s="15" t="str">
        <f>IFERROR(__xludf.DUMMYFUNCTION("""COMPUTED_VALUE"""),"Quals 51")</f>
        <v>Quals 51</v>
      </c>
      <c r="AF156" s="15">
        <f>IFERROR(__xludf.DUMMYFUNCTION("""COMPUTED_VALUE"""),3357.0)</f>
        <v>3357</v>
      </c>
      <c r="AG156" s="15"/>
      <c r="AH156" s="15">
        <f>IFERROR(__xludf.DUMMYFUNCTION("""COMPUTED_VALUE"""),1987.0)</f>
        <v>1987</v>
      </c>
      <c r="AI156" s="15"/>
      <c r="AJ156" s="15">
        <f>IFERROR(__xludf.DUMMYFUNCTION("""COMPUTED_VALUE"""),2056.0)</f>
        <v>2056</v>
      </c>
      <c r="AK156" s="15"/>
      <c r="AL156" s="15">
        <f>IFERROR(__xludf.DUMMYFUNCTION("""COMPUTED_VALUE"""),587.0)</f>
        <v>587</v>
      </c>
      <c r="AM156" s="15"/>
      <c r="AN156" s="15">
        <f>IFERROR(__xludf.DUMMYFUNCTION("""COMPUTED_VALUE"""),624.0)</f>
        <v>624</v>
      </c>
      <c r="AO156" s="15"/>
      <c r="AP156" s="15">
        <f>IFERROR(__xludf.DUMMYFUNCTION("""COMPUTED_VALUE"""),3940.0)</f>
        <v>3940</v>
      </c>
      <c r="AQ156" s="15"/>
      <c r="AR156" s="15">
        <f>IFERROR(__xludf.DUMMYFUNCTION("""COMPUTED_VALUE"""),139.0)</f>
        <v>139</v>
      </c>
      <c r="AS156" s="15">
        <f>IFERROR(__xludf.DUMMYFUNCTION("""COMPUTED_VALUE"""),118.0)</f>
        <v>118</v>
      </c>
    </row>
    <row r="157">
      <c r="A157" s="73">
        <v>156.0</v>
      </c>
      <c r="W157" s="15">
        <f t="shared" si="2"/>
        <v>0</v>
      </c>
      <c r="X157" s="15" t="str">
        <f t="shared" si="8"/>
        <v/>
      </c>
      <c r="Y157" s="15" t="str">
        <f t="shared" si="3"/>
        <v/>
      </c>
      <c r="Z157" s="15" t="str">
        <f t="shared" si="4"/>
        <v/>
      </c>
      <c r="AA157" s="15" t="str">
        <f t="shared" si="5"/>
        <v/>
      </c>
      <c r="AB157" s="15" t="str">
        <f t="shared" si="6"/>
        <v/>
      </c>
      <c r="AC157" s="15" t="str">
        <f t="shared" si="7"/>
        <v/>
      </c>
      <c r="AD157" s="15"/>
      <c r="AE157" s="15" t="str">
        <f>IFERROR(__xludf.DUMMYFUNCTION("""COMPUTED_VALUE"""),"Quals 51")</f>
        <v>Quals 51</v>
      </c>
      <c r="AF157" s="15">
        <f>IFERROR(__xludf.DUMMYFUNCTION("""COMPUTED_VALUE"""),3357.0)</f>
        <v>3357</v>
      </c>
      <c r="AG157" s="15"/>
      <c r="AH157" s="15"/>
      <c r="AI157" s="15"/>
      <c r="AJ157" s="15">
        <f>IFERROR(__xludf.DUMMYFUNCTION("""COMPUTED_VALUE"""),1987.0)</f>
        <v>1987</v>
      </c>
      <c r="AK157" s="15"/>
      <c r="AL157" s="15"/>
      <c r="AM157" s="15"/>
      <c r="AN157" s="15">
        <f>IFERROR(__xludf.DUMMYFUNCTION("""COMPUTED_VALUE"""),2056.0)</f>
        <v>2056</v>
      </c>
      <c r="AO157" s="15"/>
      <c r="AP157" s="15"/>
      <c r="AQ157" s="15"/>
      <c r="AR157" s="15">
        <f>IFERROR(__xludf.DUMMYFUNCTION("""COMPUTED_VALUE"""),139.0)</f>
        <v>139</v>
      </c>
      <c r="AS157" s="15"/>
    </row>
    <row r="158">
      <c r="A158" s="73">
        <v>157.0</v>
      </c>
      <c r="W158" s="15">
        <f t="shared" si="2"/>
        <v>1</v>
      </c>
      <c r="X158" s="15" t="str">
        <f t="shared" si="8"/>
        <v/>
      </c>
      <c r="Y158" s="15" t="str">
        <f t="shared" si="3"/>
        <v/>
      </c>
      <c r="Z158" s="15" t="str">
        <f t="shared" si="4"/>
        <v/>
      </c>
      <c r="AA158" s="15" t="str">
        <f t="shared" si="5"/>
        <v/>
      </c>
      <c r="AB158" s="15" t="str">
        <f t="shared" si="6"/>
        <v/>
      </c>
      <c r="AC158" s="15" t="str">
        <f t="shared" si="7"/>
        <v/>
      </c>
      <c r="AD158" s="15"/>
      <c r="AE158" s="15"/>
      <c r="AF158" s="15">
        <f>IFERROR(__xludf.DUMMYFUNCTION("""COMPUTED_VALUE"""),587.0)</f>
        <v>587</v>
      </c>
      <c r="AG158" s="15"/>
      <c r="AH158" s="15"/>
      <c r="AI158" s="15"/>
      <c r="AJ158" s="15">
        <f>IFERROR(__xludf.DUMMYFUNCTION("""COMPUTED_VALUE"""),624.0)</f>
        <v>624</v>
      </c>
      <c r="AK158" s="15"/>
      <c r="AL158" s="15"/>
      <c r="AM158" s="15"/>
      <c r="AN158" s="15">
        <f>IFERROR(__xludf.DUMMYFUNCTION("""COMPUTED_VALUE"""),3940.0)</f>
        <v>3940</v>
      </c>
      <c r="AO158" s="15"/>
      <c r="AP158" s="15"/>
      <c r="AQ158" s="15"/>
      <c r="AR158" s="15">
        <f>IFERROR(__xludf.DUMMYFUNCTION("""COMPUTED_VALUE"""),118.0)</f>
        <v>118</v>
      </c>
      <c r="AS158" s="15"/>
    </row>
    <row r="159">
      <c r="A159" s="73">
        <v>158.0</v>
      </c>
      <c r="W159" s="15">
        <f t="shared" si="2"/>
        <v>2</v>
      </c>
      <c r="X159" s="15">
        <f t="shared" si="8"/>
        <v>4099</v>
      </c>
      <c r="Y159" s="15">
        <f t="shared" si="3"/>
        <v>4499</v>
      </c>
      <c r="Z159" s="15">
        <f t="shared" si="4"/>
        <v>503</v>
      </c>
      <c r="AA159" s="15">
        <f t="shared" si="5"/>
        <v>3175</v>
      </c>
      <c r="AB159" s="15">
        <f t="shared" si="6"/>
        <v>1339</v>
      </c>
      <c r="AC159" s="15">
        <f t="shared" si="7"/>
        <v>118</v>
      </c>
      <c r="AD159" s="15"/>
      <c r="AE159" s="15" t="str">
        <f>IFERROR(__xludf.DUMMYFUNCTION("""COMPUTED_VALUE"""),"Quals 52")</f>
        <v>Quals 52</v>
      </c>
      <c r="AF159" s="15">
        <f>IFERROR(__xludf.DUMMYFUNCTION("""COMPUTED_VALUE"""),4099.0)</f>
        <v>4099</v>
      </c>
      <c r="AG159" s="15"/>
      <c r="AH159" s="15">
        <f>IFERROR(__xludf.DUMMYFUNCTION("""COMPUTED_VALUE"""),4499.0)</f>
        <v>4499</v>
      </c>
      <c r="AI159" s="15"/>
      <c r="AJ159" s="15">
        <f>IFERROR(__xludf.DUMMYFUNCTION("""COMPUTED_VALUE"""),503.0)</f>
        <v>503</v>
      </c>
      <c r="AK159" s="15"/>
      <c r="AL159" s="15">
        <f>IFERROR(__xludf.DUMMYFUNCTION("""COMPUTED_VALUE"""),3175.0)</f>
        <v>3175</v>
      </c>
      <c r="AM159" s="15"/>
      <c r="AN159" s="15">
        <f>IFERROR(__xludf.DUMMYFUNCTION("""COMPUTED_VALUE"""),1339.0)</f>
        <v>1339</v>
      </c>
      <c r="AO159" s="15"/>
      <c r="AP159" s="15">
        <f>IFERROR(__xludf.DUMMYFUNCTION("""COMPUTED_VALUE"""),118.0)</f>
        <v>118</v>
      </c>
      <c r="AQ159" s="15"/>
      <c r="AR159" s="15">
        <f>IFERROR(__xludf.DUMMYFUNCTION("""COMPUTED_VALUE"""),114.0)</f>
        <v>114</v>
      </c>
      <c r="AS159" s="15">
        <f>IFERROR(__xludf.DUMMYFUNCTION("""COMPUTED_VALUE"""),120.0)</f>
        <v>120</v>
      </c>
    </row>
    <row r="160">
      <c r="A160" s="73">
        <v>159.0</v>
      </c>
      <c r="W160" s="15">
        <f t="shared" si="2"/>
        <v>0</v>
      </c>
      <c r="X160" s="15" t="str">
        <f t="shared" si="8"/>
        <v/>
      </c>
      <c r="Y160" s="15" t="str">
        <f t="shared" si="3"/>
        <v/>
      </c>
      <c r="Z160" s="15" t="str">
        <f t="shared" si="4"/>
        <v/>
      </c>
      <c r="AA160" s="15" t="str">
        <f t="shared" si="5"/>
        <v/>
      </c>
      <c r="AB160" s="15" t="str">
        <f t="shared" si="6"/>
        <v/>
      </c>
      <c r="AC160" s="15" t="str">
        <f t="shared" si="7"/>
        <v/>
      </c>
      <c r="AD160" s="15"/>
      <c r="AE160" s="15" t="str">
        <f>IFERROR(__xludf.DUMMYFUNCTION("""COMPUTED_VALUE"""),"Quals 52")</f>
        <v>Quals 52</v>
      </c>
      <c r="AF160" s="15">
        <f>IFERROR(__xludf.DUMMYFUNCTION("""COMPUTED_VALUE"""),4099.0)</f>
        <v>4099</v>
      </c>
      <c r="AG160" s="15"/>
      <c r="AH160" s="15"/>
      <c r="AI160" s="15"/>
      <c r="AJ160" s="15">
        <f>IFERROR(__xludf.DUMMYFUNCTION("""COMPUTED_VALUE"""),4499.0)</f>
        <v>4499</v>
      </c>
      <c r="AK160" s="15"/>
      <c r="AL160" s="15"/>
      <c r="AM160" s="15"/>
      <c r="AN160" s="15">
        <f>IFERROR(__xludf.DUMMYFUNCTION("""COMPUTED_VALUE"""),503.0)</f>
        <v>503</v>
      </c>
      <c r="AO160" s="15"/>
      <c r="AP160" s="15"/>
      <c r="AQ160" s="15"/>
      <c r="AR160" s="15">
        <f>IFERROR(__xludf.DUMMYFUNCTION("""COMPUTED_VALUE"""),114.0)</f>
        <v>114</v>
      </c>
      <c r="AS160" s="15"/>
    </row>
    <row r="161">
      <c r="A161" s="73">
        <v>160.0</v>
      </c>
      <c r="W161" s="15">
        <f t="shared" si="2"/>
        <v>1</v>
      </c>
      <c r="X161" s="15" t="str">
        <f t="shared" si="8"/>
        <v/>
      </c>
      <c r="Y161" s="15" t="str">
        <f t="shared" si="3"/>
        <v/>
      </c>
      <c r="Z161" s="15" t="str">
        <f t="shared" si="4"/>
        <v/>
      </c>
      <c r="AA161" s="15" t="str">
        <f t="shared" si="5"/>
        <v/>
      </c>
      <c r="AB161" s="15" t="str">
        <f t="shared" si="6"/>
        <v/>
      </c>
      <c r="AC161" s="15" t="str">
        <f t="shared" si="7"/>
        <v/>
      </c>
      <c r="AD161" s="15"/>
      <c r="AE161" s="15"/>
      <c r="AF161" s="15">
        <f>IFERROR(__xludf.DUMMYFUNCTION("""COMPUTED_VALUE"""),3175.0)</f>
        <v>3175</v>
      </c>
      <c r="AG161" s="15"/>
      <c r="AH161" s="15"/>
      <c r="AI161" s="15"/>
      <c r="AJ161" s="15">
        <f>IFERROR(__xludf.DUMMYFUNCTION("""COMPUTED_VALUE"""),1339.0)</f>
        <v>1339</v>
      </c>
      <c r="AK161" s="15"/>
      <c r="AL161" s="15"/>
      <c r="AM161" s="15"/>
      <c r="AN161" s="15">
        <f>IFERROR(__xludf.DUMMYFUNCTION("""COMPUTED_VALUE"""),118.0)</f>
        <v>118</v>
      </c>
      <c r="AO161" s="15"/>
      <c r="AP161" s="15"/>
      <c r="AQ161" s="15"/>
      <c r="AR161" s="15">
        <f>IFERROR(__xludf.DUMMYFUNCTION("""COMPUTED_VALUE"""),120.0)</f>
        <v>120</v>
      </c>
      <c r="AS161" s="15"/>
    </row>
    <row r="162">
      <c r="A162" s="73">
        <v>161.0</v>
      </c>
      <c r="W162" s="15">
        <f t="shared" si="2"/>
        <v>2</v>
      </c>
      <c r="X162" s="15">
        <f t="shared" si="8"/>
        <v>1720</v>
      </c>
      <c r="Y162" s="15">
        <f t="shared" si="3"/>
        <v>5712</v>
      </c>
      <c r="Z162" s="15">
        <f t="shared" si="4"/>
        <v>5406</v>
      </c>
      <c r="AA162" s="15">
        <f t="shared" si="5"/>
        <v>4028</v>
      </c>
      <c r="AB162" s="15">
        <f t="shared" si="6"/>
        <v>1732</v>
      </c>
      <c r="AC162" s="15">
        <f t="shared" si="7"/>
        <v>2614</v>
      </c>
      <c r="AD162" s="15"/>
      <c r="AE162" s="15" t="str">
        <f>IFERROR(__xludf.DUMMYFUNCTION("""COMPUTED_VALUE"""),"Quals 53")</f>
        <v>Quals 53</v>
      </c>
      <c r="AF162" s="15">
        <f>IFERROR(__xludf.DUMMYFUNCTION("""COMPUTED_VALUE"""),1720.0)</f>
        <v>1720</v>
      </c>
      <c r="AG162" s="15"/>
      <c r="AH162" s="15">
        <f>IFERROR(__xludf.DUMMYFUNCTION("""COMPUTED_VALUE"""),5712.0)</f>
        <v>5712</v>
      </c>
      <c r="AI162" s="15"/>
      <c r="AJ162" s="15">
        <f>IFERROR(__xludf.DUMMYFUNCTION("""COMPUTED_VALUE"""),5406.0)</f>
        <v>5406</v>
      </c>
      <c r="AK162" s="15"/>
      <c r="AL162" s="15">
        <f>IFERROR(__xludf.DUMMYFUNCTION("""COMPUTED_VALUE"""),4028.0)</f>
        <v>4028</v>
      </c>
      <c r="AM162" s="15"/>
      <c r="AN162" s="15">
        <f>IFERROR(__xludf.DUMMYFUNCTION("""COMPUTED_VALUE"""),1732.0)</f>
        <v>1732</v>
      </c>
      <c r="AO162" s="15"/>
      <c r="AP162" s="15">
        <f>IFERROR(__xludf.DUMMYFUNCTION("""COMPUTED_VALUE"""),2614.0)</f>
        <v>2614</v>
      </c>
      <c r="AQ162" s="15"/>
      <c r="AR162" s="15">
        <f>IFERROR(__xludf.DUMMYFUNCTION("""COMPUTED_VALUE"""),127.0)</f>
        <v>127</v>
      </c>
      <c r="AS162" s="15">
        <f>IFERROR(__xludf.DUMMYFUNCTION("""COMPUTED_VALUE"""),116.0)</f>
        <v>116</v>
      </c>
    </row>
    <row r="163">
      <c r="A163" s="73">
        <v>162.0</v>
      </c>
      <c r="W163" s="15">
        <f t="shared" si="2"/>
        <v>0</v>
      </c>
      <c r="X163" s="15" t="str">
        <f t="shared" si="8"/>
        <v/>
      </c>
      <c r="Y163" s="15" t="str">
        <f t="shared" si="3"/>
        <v/>
      </c>
      <c r="Z163" s="15" t="str">
        <f t="shared" si="4"/>
        <v/>
      </c>
      <c r="AA163" s="15" t="str">
        <f t="shared" si="5"/>
        <v/>
      </c>
      <c r="AB163" s="15" t="str">
        <f t="shared" si="6"/>
        <v/>
      </c>
      <c r="AC163" s="15" t="str">
        <f t="shared" si="7"/>
        <v/>
      </c>
      <c r="AD163" s="15"/>
      <c r="AE163" s="15" t="str">
        <f>IFERROR(__xludf.DUMMYFUNCTION("""COMPUTED_VALUE"""),"Quals 53")</f>
        <v>Quals 53</v>
      </c>
      <c r="AF163" s="15">
        <f>IFERROR(__xludf.DUMMYFUNCTION("""COMPUTED_VALUE"""),1720.0)</f>
        <v>1720</v>
      </c>
      <c r="AG163" s="15"/>
      <c r="AH163" s="15"/>
      <c r="AI163" s="15"/>
      <c r="AJ163" s="15">
        <f>IFERROR(__xludf.DUMMYFUNCTION("""COMPUTED_VALUE"""),5712.0)</f>
        <v>5712</v>
      </c>
      <c r="AK163" s="15"/>
      <c r="AL163" s="15"/>
      <c r="AM163" s="15"/>
      <c r="AN163" s="15">
        <f>IFERROR(__xludf.DUMMYFUNCTION("""COMPUTED_VALUE"""),5406.0)</f>
        <v>5406</v>
      </c>
      <c r="AO163" s="15"/>
      <c r="AP163" s="15"/>
      <c r="AQ163" s="15"/>
      <c r="AR163" s="15">
        <f>IFERROR(__xludf.DUMMYFUNCTION("""COMPUTED_VALUE"""),127.0)</f>
        <v>127</v>
      </c>
      <c r="AS163" s="15"/>
    </row>
    <row r="164">
      <c r="A164" s="73">
        <v>163.0</v>
      </c>
      <c r="W164" s="15">
        <f t="shared" si="2"/>
        <v>1</v>
      </c>
      <c r="X164" s="15" t="str">
        <f t="shared" si="8"/>
        <v/>
      </c>
      <c r="Y164" s="15" t="str">
        <f t="shared" si="3"/>
        <v/>
      </c>
      <c r="Z164" s="15" t="str">
        <f t="shared" si="4"/>
        <v/>
      </c>
      <c r="AA164" s="15" t="str">
        <f t="shared" si="5"/>
        <v/>
      </c>
      <c r="AB164" s="15" t="str">
        <f t="shared" si="6"/>
        <v/>
      </c>
      <c r="AC164" s="15" t="str">
        <f t="shared" si="7"/>
        <v/>
      </c>
      <c r="AD164" s="15"/>
      <c r="AE164" s="15"/>
      <c r="AF164" s="15">
        <f>IFERROR(__xludf.DUMMYFUNCTION("""COMPUTED_VALUE"""),4028.0)</f>
        <v>4028</v>
      </c>
      <c r="AG164" s="15"/>
      <c r="AH164" s="15"/>
      <c r="AI164" s="15"/>
      <c r="AJ164" s="15">
        <f>IFERROR(__xludf.DUMMYFUNCTION("""COMPUTED_VALUE"""),1732.0)</f>
        <v>1732</v>
      </c>
      <c r="AK164" s="15"/>
      <c r="AL164" s="15"/>
      <c r="AM164" s="15"/>
      <c r="AN164" s="15">
        <f>IFERROR(__xludf.DUMMYFUNCTION("""COMPUTED_VALUE"""),2614.0)</f>
        <v>2614</v>
      </c>
      <c r="AO164" s="15"/>
      <c r="AP164" s="15"/>
      <c r="AQ164" s="15"/>
      <c r="AR164" s="15">
        <f>IFERROR(__xludf.DUMMYFUNCTION("""COMPUTED_VALUE"""),116.0)</f>
        <v>116</v>
      </c>
      <c r="AS164" s="15"/>
    </row>
    <row r="165">
      <c r="A165" s="73">
        <v>164.0</v>
      </c>
      <c r="W165" s="15">
        <f t="shared" si="2"/>
        <v>2</v>
      </c>
      <c r="X165" s="15">
        <f t="shared" si="8"/>
        <v>67</v>
      </c>
      <c r="Y165" s="15">
        <f t="shared" si="3"/>
        <v>5010</v>
      </c>
      <c r="Z165" s="15">
        <f t="shared" si="4"/>
        <v>1024</v>
      </c>
      <c r="AA165" s="15">
        <f t="shared" si="5"/>
        <v>2363</v>
      </c>
      <c r="AB165" s="15">
        <f t="shared" si="6"/>
        <v>2468</v>
      </c>
      <c r="AC165" s="15">
        <f t="shared" si="7"/>
        <v>1533</v>
      </c>
      <c r="AD165" s="15"/>
      <c r="AE165" s="15" t="str">
        <f>IFERROR(__xludf.DUMMYFUNCTION("""COMPUTED_VALUE"""),"Quals 54")</f>
        <v>Quals 54</v>
      </c>
      <c r="AF165" s="15">
        <f>IFERROR(__xludf.DUMMYFUNCTION("""COMPUTED_VALUE"""),67.0)</f>
        <v>67</v>
      </c>
      <c r="AG165" s="15"/>
      <c r="AH165" s="15">
        <f>IFERROR(__xludf.DUMMYFUNCTION("""COMPUTED_VALUE"""),5010.0)</f>
        <v>5010</v>
      </c>
      <c r="AI165" s="15"/>
      <c r="AJ165" s="15">
        <f>IFERROR(__xludf.DUMMYFUNCTION("""COMPUTED_VALUE"""),1024.0)</f>
        <v>1024</v>
      </c>
      <c r="AK165" s="15"/>
      <c r="AL165" s="15">
        <f>IFERROR(__xludf.DUMMYFUNCTION("""COMPUTED_VALUE"""),2363.0)</f>
        <v>2363</v>
      </c>
      <c r="AM165" s="15"/>
      <c r="AN165" s="15">
        <f>IFERROR(__xludf.DUMMYFUNCTION("""COMPUTED_VALUE"""),2468.0)</f>
        <v>2468</v>
      </c>
      <c r="AO165" s="15"/>
      <c r="AP165" s="15">
        <f>IFERROR(__xludf.DUMMYFUNCTION("""COMPUTED_VALUE"""),1533.0)</f>
        <v>1533</v>
      </c>
      <c r="AQ165" s="15"/>
      <c r="AR165" s="15">
        <f>IFERROR(__xludf.DUMMYFUNCTION("""COMPUTED_VALUE"""),109.0)</f>
        <v>109</v>
      </c>
      <c r="AS165" s="15">
        <f>IFERROR(__xludf.DUMMYFUNCTION("""COMPUTED_VALUE"""),121.0)</f>
        <v>121</v>
      </c>
    </row>
    <row r="166">
      <c r="A166" s="73">
        <v>165.0</v>
      </c>
      <c r="W166" s="15">
        <f t="shared" si="2"/>
        <v>0</v>
      </c>
      <c r="X166" s="15" t="str">
        <f t="shared" si="8"/>
        <v/>
      </c>
      <c r="Y166" s="15" t="str">
        <f t="shared" si="3"/>
        <v/>
      </c>
      <c r="Z166" s="15" t="str">
        <f t="shared" si="4"/>
        <v/>
      </c>
      <c r="AA166" s="15" t="str">
        <f t="shared" si="5"/>
        <v/>
      </c>
      <c r="AB166" s="15" t="str">
        <f t="shared" si="6"/>
        <v/>
      </c>
      <c r="AC166" s="15" t="str">
        <f t="shared" si="7"/>
        <v/>
      </c>
      <c r="AD166" s="15"/>
      <c r="AE166" s="15" t="str">
        <f>IFERROR(__xludf.DUMMYFUNCTION("""COMPUTED_VALUE"""),"Quals 54")</f>
        <v>Quals 54</v>
      </c>
      <c r="AF166" s="15">
        <f>IFERROR(__xludf.DUMMYFUNCTION("""COMPUTED_VALUE"""),67.0)</f>
        <v>67</v>
      </c>
      <c r="AG166" s="15"/>
      <c r="AH166" s="15"/>
      <c r="AI166" s="15"/>
      <c r="AJ166" s="15">
        <f>IFERROR(__xludf.DUMMYFUNCTION("""COMPUTED_VALUE"""),5010.0)</f>
        <v>5010</v>
      </c>
      <c r="AK166" s="15"/>
      <c r="AL166" s="15"/>
      <c r="AM166" s="15"/>
      <c r="AN166" s="15">
        <f>IFERROR(__xludf.DUMMYFUNCTION("""COMPUTED_VALUE"""),1024.0)</f>
        <v>1024</v>
      </c>
      <c r="AO166" s="15"/>
      <c r="AP166" s="15"/>
      <c r="AQ166" s="15"/>
      <c r="AR166" s="15">
        <f>IFERROR(__xludf.DUMMYFUNCTION("""COMPUTED_VALUE"""),109.0)</f>
        <v>109</v>
      </c>
      <c r="AS166" s="15"/>
    </row>
    <row r="167">
      <c r="A167" s="73">
        <v>166.0</v>
      </c>
      <c r="W167" s="15">
        <f t="shared" si="2"/>
        <v>1</v>
      </c>
      <c r="X167" s="15" t="str">
        <f t="shared" si="8"/>
        <v/>
      </c>
      <c r="Y167" s="15" t="str">
        <f t="shared" si="3"/>
        <v/>
      </c>
      <c r="Z167" s="15" t="str">
        <f t="shared" si="4"/>
        <v/>
      </c>
      <c r="AA167" s="15" t="str">
        <f t="shared" si="5"/>
        <v/>
      </c>
      <c r="AB167" s="15" t="str">
        <f t="shared" si="6"/>
        <v/>
      </c>
      <c r="AC167" s="15" t="str">
        <f t="shared" si="7"/>
        <v/>
      </c>
      <c r="AD167" s="15"/>
      <c r="AE167" s="15"/>
      <c r="AF167" s="15">
        <f>IFERROR(__xludf.DUMMYFUNCTION("""COMPUTED_VALUE"""),2363.0)</f>
        <v>2363</v>
      </c>
      <c r="AG167" s="15"/>
      <c r="AH167" s="15"/>
      <c r="AI167" s="15"/>
      <c r="AJ167" s="15">
        <f>IFERROR(__xludf.DUMMYFUNCTION("""COMPUTED_VALUE"""),2468.0)</f>
        <v>2468</v>
      </c>
      <c r="AK167" s="15"/>
      <c r="AL167" s="15"/>
      <c r="AM167" s="15"/>
      <c r="AN167" s="15">
        <f>IFERROR(__xludf.DUMMYFUNCTION("""COMPUTED_VALUE"""),1533.0)</f>
        <v>1533</v>
      </c>
      <c r="AO167" s="15"/>
      <c r="AP167" s="15"/>
      <c r="AQ167" s="15"/>
      <c r="AR167" s="15">
        <f>IFERROR(__xludf.DUMMYFUNCTION("""COMPUTED_VALUE"""),121.0)</f>
        <v>121</v>
      </c>
      <c r="AS167" s="15"/>
    </row>
    <row r="168">
      <c r="A168" s="73">
        <v>167.0</v>
      </c>
      <c r="W168" s="15">
        <f t="shared" si="2"/>
        <v>2</v>
      </c>
      <c r="X168" s="15">
        <f t="shared" si="8"/>
        <v>2539</v>
      </c>
      <c r="Y168" s="15">
        <f t="shared" si="3"/>
        <v>33</v>
      </c>
      <c r="Z168" s="15">
        <f t="shared" si="4"/>
        <v>2767</v>
      </c>
      <c r="AA168" s="15">
        <f t="shared" si="5"/>
        <v>3176</v>
      </c>
      <c r="AB168" s="15">
        <f t="shared" si="6"/>
        <v>1706</v>
      </c>
      <c r="AC168" s="15">
        <f t="shared" si="7"/>
        <v>4635</v>
      </c>
      <c r="AD168" s="15"/>
      <c r="AE168" s="15" t="str">
        <f>IFERROR(__xludf.DUMMYFUNCTION("""COMPUTED_VALUE"""),"Quals 55")</f>
        <v>Quals 55</v>
      </c>
      <c r="AF168" s="15">
        <f>IFERROR(__xludf.DUMMYFUNCTION("""COMPUTED_VALUE"""),2539.0)</f>
        <v>2539</v>
      </c>
      <c r="AG168" s="15"/>
      <c r="AH168" s="15">
        <f>IFERROR(__xludf.DUMMYFUNCTION("""COMPUTED_VALUE"""),33.0)</f>
        <v>33</v>
      </c>
      <c r="AI168" s="15"/>
      <c r="AJ168" s="15">
        <f>IFERROR(__xludf.DUMMYFUNCTION("""COMPUTED_VALUE"""),2767.0)</f>
        <v>2767</v>
      </c>
      <c r="AK168" s="15"/>
      <c r="AL168" s="15">
        <f>IFERROR(__xludf.DUMMYFUNCTION("""COMPUTED_VALUE"""),3176.0)</f>
        <v>3176</v>
      </c>
      <c r="AM168" s="15"/>
      <c r="AN168" s="15">
        <f>IFERROR(__xludf.DUMMYFUNCTION("""COMPUTED_VALUE"""),1706.0)</f>
        <v>1706</v>
      </c>
      <c r="AO168" s="15"/>
      <c r="AP168" s="15">
        <f>IFERROR(__xludf.DUMMYFUNCTION("""COMPUTED_VALUE"""),4635.0)</f>
        <v>4635</v>
      </c>
      <c r="AQ168" s="15"/>
      <c r="AR168" s="15">
        <f>IFERROR(__xludf.DUMMYFUNCTION("""COMPUTED_VALUE"""),116.0)</f>
        <v>116</v>
      </c>
      <c r="AS168" s="15">
        <f>IFERROR(__xludf.DUMMYFUNCTION("""COMPUTED_VALUE"""),96.0)</f>
        <v>96</v>
      </c>
    </row>
    <row r="169">
      <c r="A169" s="73">
        <v>168.0</v>
      </c>
      <c r="W169" s="15">
        <f t="shared" si="2"/>
        <v>0</v>
      </c>
      <c r="X169" s="15" t="str">
        <f t="shared" si="8"/>
        <v/>
      </c>
      <c r="Y169" s="15" t="str">
        <f t="shared" si="3"/>
        <v/>
      </c>
      <c r="Z169" s="15" t="str">
        <f t="shared" si="4"/>
        <v/>
      </c>
      <c r="AA169" s="15" t="str">
        <f t="shared" si="5"/>
        <v/>
      </c>
      <c r="AB169" s="15" t="str">
        <f t="shared" si="6"/>
        <v/>
      </c>
      <c r="AC169" s="15" t="str">
        <f t="shared" si="7"/>
        <v/>
      </c>
      <c r="AD169" s="15"/>
      <c r="AE169" s="15" t="str">
        <f>IFERROR(__xludf.DUMMYFUNCTION("""COMPUTED_VALUE"""),"Quals 55")</f>
        <v>Quals 55</v>
      </c>
      <c r="AF169" s="15">
        <f>IFERROR(__xludf.DUMMYFUNCTION("""COMPUTED_VALUE"""),2539.0)</f>
        <v>2539</v>
      </c>
      <c r="AG169" s="15"/>
      <c r="AH169" s="15"/>
      <c r="AI169" s="15"/>
      <c r="AJ169" s="15">
        <f>IFERROR(__xludf.DUMMYFUNCTION("""COMPUTED_VALUE"""),33.0)</f>
        <v>33</v>
      </c>
      <c r="AK169" s="15"/>
      <c r="AL169" s="15"/>
      <c r="AM169" s="15"/>
      <c r="AN169" s="15">
        <f>IFERROR(__xludf.DUMMYFUNCTION("""COMPUTED_VALUE"""),2767.0)</f>
        <v>2767</v>
      </c>
      <c r="AO169" s="15"/>
      <c r="AP169" s="15"/>
      <c r="AQ169" s="15"/>
      <c r="AR169" s="15">
        <f>IFERROR(__xludf.DUMMYFUNCTION("""COMPUTED_VALUE"""),116.0)</f>
        <v>116</v>
      </c>
      <c r="AS169" s="15"/>
    </row>
    <row r="170">
      <c r="A170" s="73">
        <v>169.0</v>
      </c>
      <c r="W170" s="15">
        <f t="shared" si="2"/>
        <v>1</v>
      </c>
      <c r="X170" s="15" t="str">
        <f t="shared" si="8"/>
        <v/>
      </c>
      <c r="Y170" s="15" t="str">
        <f t="shared" si="3"/>
        <v/>
      </c>
      <c r="Z170" s="15" t="str">
        <f t="shared" si="4"/>
        <v/>
      </c>
      <c r="AA170" s="15" t="str">
        <f t="shared" si="5"/>
        <v/>
      </c>
      <c r="AB170" s="15" t="str">
        <f t="shared" si="6"/>
        <v/>
      </c>
      <c r="AC170" s="15" t="str">
        <f t="shared" si="7"/>
        <v/>
      </c>
      <c r="AD170" s="15"/>
      <c r="AE170" s="15"/>
      <c r="AF170" s="15">
        <f>IFERROR(__xludf.DUMMYFUNCTION("""COMPUTED_VALUE"""),3176.0)</f>
        <v>3176</v>
      </c>
      <c r="AG170" s="15"/>
      <c r="AH170" s="15"/>
      <c r="AI170" s="15"/>
      <c r="AJ170" s="15">
        <f>IFERROR(__xludf.DUMMYFUNCTION("""COMPUTED_VALUE"""),1706.0)</f>
        <v>1706</v>
      </c>
      <c r="AK170" s="15"/>
      <c r="AL170" s="15"/>
      <c r="AM170" s="15"/>
      <c r="AN170" s="15">
        <f>IFERROR(__xludf.DUMMYFUNCTION("""COMPUTED_VALUE"""),4635.0)</f>
        <v>4635</v>
      </c>
      <c r="AO170" s="15"/>
      <c r="AP170" s="15"/>
      <c r="AQ170" s="15"/>
      <c r="AR170" s="15">
        <f>IFERROR(__xludf.DUMMYFUNCTION("""COMPUTED_VALUE"""),96.0)</f>
        <v>96</v>
      </c>
      <c r="AS170" s="15"/>
    </row>
    <row r="171">
      <c r="A171" s="73">
        <v>170.0</v>
      </c>
      <c r="W171" s="15">
        <f t="shared" si="2"/>
        <v>2</v>
      </c>
      <c r="X171" s="15">
        <f t="shared" si="8"/>
        <v>2338</v>
      </c>
      <c r="Y171" s="15">
        <f t="shared" si="3"/>
        <v>234</v>
      </c>
      <c r="Z171" s="15">
        <f t="shared" si="4"/>
        <v>829</v>
      </c>
      <c r="AA171" s="15">
        <f t="shared" si="5"/>
        <v>4265</v>
      </c>
      <c r="AB171" s="15">
        <f t="shared" si="6"/>
        <v>325</v>
      </c>
      <c r="AC171" s="15">
        <f t="shared" si="7"/>
        <v>4926</v>
      </c>
      <c r="AD171" s="15"/>
      <c r="AE171" s="15" t="str">
        <f>IFERROR(__xludf.DUMMYFUNCTION("""COMPUTED_VALUE"""),"Quals 56")</f>
        <v>Quals 56</v>
      </c>
      <c r="AF171" s="15">
        <f>IFERROR(__xludf.DUMMYFUNCTION("""COMPUTED_VALUE"""),2338.0)</f>
        <v>2338</v>
      </c>
      <c r="AG171" s="15"/>
      <c r="AH171" s="15">
        <f>IFERROR(__xludf.DUMMYFUNCTION("""COMPUTED_VALUE"""),234.0)</f>
        <v>234</v>
      </c>
      <c r="AI171" s="15"/>
      <c r="AJ171" s="15">
        <f>IFERROR(__xludf.DUMMYFUNCTION("""COMPUTED_VALUE"""),829.0)</f>
        <v>829</v>
      </c>
      <c r="AK171" s="15"/>
      <c r="AL171" s="15">
        <f>IFERROR(__xludf.DUMMYFUNCTION("""COMPUTED_VALUE"""),4265.0)</f>
        <v>4265</v>
      </c>
      <c r="AM171" s="15"/>
      <c r="AN171" s="15">
        <f>IFERROR(__xludf.DUMMYFUNCTION("""COMPUTED_VALUE"""),325.0)</f>
        <v>325</v>
      </c>
      <c r="AO171" s="15"/>
      <c r="AP171" s="15">
        <f>IFERROR(__xludf.DUMMYFUNCTION("""COMPUTED_VALUE"""),4926.0)</f>
        <v>4926</v>
      </c>
      <c r="AQ171" s="15"/>
      <c r="AR171" s="15">
        <f>IFERROR(__xludf.DUMMYFUNCTION("""COMPUTED_VALUE"""),95.0)</f>
        <v>95</v>
      </c>
      <c r="AS171" s="15">
        <f>IFERROR(__xludf.DUMMYFUNCTION("""COMPUTED_VALUE"""),100.0)</f>
        <v>100</v>
      </c>
    </row>
    <row r="172">
      <c r="A172" s="73">
        <v>171.0</v>
      </c>
      <c r="W172" s="15">
        <f t="shared" si="2"/>
        <v>0</v>
      </c>
      <c r="X172" s="15" t="str">
        <f t="shared" si="8"/>
        <v/>
      </c>
      <c r="Y172" s="15" t="str">
        <f t="shared" si="3"/>
        <v/>
      </c>
      <c r="Z172" s="15" t="str">
        <f t="shared" si="4"/>
        <v/>
      </c>
      <c r="AA172" s="15" t="str">
        <f t="shared" si="5"/>
        <v/>
      </c>
      <c r="AB172" s="15" t="str">
        <f t="shared" si="6"/>
        <v/>
      </c>
      <c r="AC172" s="15" t="str">
        <f t="shared" si="7"/>
        <v/>
      </c>
      <c r="AD172" s="15"/>
      <c r="AE172" s="15" t="str">
        <f>IFERROR(__xludf.DUMMYFUNCTION("""COMPUTED_VALUE"""),"Quals 56")</f>
        <v>Quals 56</v>
      </c>
      <c r="AF172" s="15">
        <f>IFERROR(__xludf.DUMMYFUNCTION("""COMPUTED_VALUE"""),2338.0)</f>
        <v>2338</v>
      </c>
      <c r="AG172" s="15"/>
      <c r="AH172" s="15"/>
      <c r="AI172" s="15"/>
      <c r="AJ172" s="15">
        <f>IFERROR(__xludf.DUMMYFUNCTION("""COMPUTED_VALUE"""),234.0)</f>
        <v>234</v>
      </c>
      <c r="AK172" s="15"/>
      <c r="AL172" s="15"/>
      <c r="AM172" s="15"/>
      <c r="AN172" s="15">
        <f>IFERROR(__xludf.DUMMYFUNCTION("""COMPUTED_VALUE"""),829.0)</f>
        <v>829</v>
      </c>
      <c r="AO172" s="15"/>
      <c r="AP172" s="15"/>
      <c r="AQ172" s="15"/>
      <c r="AR172" s="15">
        <f>IFERROR(__xludf.DUMMYFUNCTION("""COMPUTED_VALUE"""),95.0)</f>
        <v>95</v>
      </c>
      <c r="AS172" s="15"/>
    </row>
    <row r="173">
      <c r="A173" s="73">
        <v>172.0</v>
      </c>
      <c r="W173" s="15">
        <f t="shared" si="2"/>
        <v>1</v>
      </c>
      <c r="X173" s="15" t="str">
        <f t="shared" si="8"/>
        <v/>
      </c>
      <c r="Y173" s="15" t="str">
        <f t="shared" si="3"/>
        <v/>
      </c>
      <c r="Z173" s="15" t="str">
        <f t="shared" si="4"/>
        <v/>
      </c>
      <c r="AA173" s="15" t="str">
        <f t="shared" si="5"/>
        <v/>
      </c>
      <c r="AB173" s="15" t="str">
        <f t="shared" si="6"/>
        <v/>
      </c>
      <c r="AC173" s="15" t="str">
        <f t="shared" si="7"/>
        <v/>
      </c>
      <c r="AD173" s="15"/>
      <c r="AE173" s="15"/>
      <c r="AF173" s="15">
        <f>IFERROR(__xludf.DUMMYFUNCTION("""COMPUTED_VALUE"""),4265.0)</f>
        <v>4265</v>
      </c>
      <c r="AG173" s="15"/>
      <c r="AH173" s="15"/>
      <c r="AI173" s="15"/>
      <c r="AJ173" s="15">
        <f>IFERROR(__xludf.DUMMYFUNCTION("""COMPUTED_VALUE"""),325.0)</f>
        <v>325</v>
      </c>
      <c r="AK173" s="15"/>
      <c r="AL173" s="15"/>
      <c r="AM173" s="15"/>
      <c r="AN173" s="15">
        <f>IFERROR(__xludf.DUMMYFUNCTION("""COMPUTED_VALUE"""),4926.0)</f>
        <v>4926</v>
      </c>
      <c r="AO173" s="15"/>
      <c r="AP173" s="15"/>
      <c r="AQ173" s="15"/>
      <c r="AR173" s="15">
        <f>IFERROR(__xludf.DUMMYFUNCTION("""COMPUTED_VALUE"""),100.0)</f>
        <v>100</v>
      </c>
      <c r="AS173" s="15"/>
    </row>
    <row r="174">
      <c r="A174" s="73">
        <v>173.0</v>
      </c>
      <c r="W174" s="15">
        <f t="shared" si="2"/>
        <v>2</v>
      </c>
      <c r="X174" s="15">
        <f t="shared" si="8"/>
        <v>27</v>
      </c>
      <c r="Y174" s="15">
        <f t="shared" si="3"/>
        <v>118</v>
      </c>
      <c r="Z174" s="15">
        <f t="shared" si="4"/>
        <v>587</v>
      </c>
      <c r="AA174" s="15">
        <f t="shared" si="5"/>
        <v>624</v>
      </c>
      <c r="AB174" s="15">
        <f t="shared" si="6"/>
        <v>4143</v>
      </c>
      <c r="AC174" s="15">
        <f t="shared" si="7"/>
        <v>3175</v>
      </c>
      <c r="AD174" s="15"/>
      <c r="AE174" s="15" t="str">
        <f>IFERROR(__xludf.DUMMYFUNCTION("""COMPUTED_VALUE"""),"Quals 57")</f>
        <v>Quals 57</v>
      </c>
      <c r="AF174" s="15">
        <f>IFERROR(__xludf.DUMMYFUNCTION("""COMPUTED_VALUE"""),27.0)</f>
        <v>27</v>
      </c>
      <c r="AG174" s="15"/>
      <c r="AH174" s="15">
        <f>IFERROR(__xludf.DUMMYFUNCTION("""COMPUTED_VALUE"""),118.0)</f>
        <v>118</v>
      </c>
      <c r="AI174" s="15"/>
      <c r="AJ174" s="15">
        <f>IFERROR(__xludf.DUMMYFUNCTION("""COMPUTED_VALUE"""),587.0)</f>
        <v>587</v>
      </c>
      <c r="AK174" s="15"/>
      <c r="AL174" s="15">
        <f>IFERROR(__xludf.DUMMYFUNCTION("""COMPUTED_VALUE"""),624.0)</f>
        <v>624</v>
      </c>
      <c r="AM174" s="15"/>
      <c r="AN174" s="15">
        <f>IFERROR(__xludf.DUMMYFUNCTION("""COMPUTED_VALUE"""),4143.0)</f>
        <v>4143</v>
      </c>
      <c r="AO174" s="15"/>
      <c r="AP174" s="15">
        <f>IFERROR(__xludf.DUMMYFUNCTION("""COMPUTED_VALUE"""),3175.0)</f>
        <v>3175</v>
      </c>
      <c r="AQ174" s="15"/>
      <c r="AR174" s="15">
        <f>IFERROR(__xludf.DUMMYFUNCTION("""COMPUTED_VALUE"""),114.0)</f>
        <v>114</v>
      </c>
      <c r="AS174" s="15">
        <f>IFERROR(__xludf.DUMMYFUNCTION("""COMPUTED_VALUE"""),111.0)</f>
        <v>111</v>
      </c>
    </row>
    <row r="175">
      <c r="A175" s="73">
        <v>174.0</v>
      </c>
      <c r="W175" s="15">
        <f t="shared" si="2"/>
        <v>0</v>
      </c>
      <c r="X175" s="15" t="str">
        <f t="shared" si="8"/>
        <v/>
      </c>
      <c r="Y175" s="15" t="str">
        <f t="shared" si="3"/>
        <v/>
      </c>
      <c r="Z175" s="15" t="str">
        <f t="shared" si="4"/>
        <v/>
      </c>
      <c r="AA175" s="15" t="str">
        <f t="shared" si="5"/>
        <v/>
      </c>
      <c r="AB175" s="15" t="str">
        <f t="shared" si="6"/>
        <v/>
      </c>
      <c r="AC175" s="15" t="str">
        <f t="shared" si="7"/>
        <v/>
      </c>
      <c r="AD175" s="15"/>
      <c r="AE175" s="15" t="str">
        <f>IFERROR(__xludf.DUMMYFUNCTION("""COMPUTED_VALUE"""),"Quals 57")</f>
        <v>Quals 57</v>
      </c>
      <c r="AF175" s="15">
        <f>IFERROR(__xludf.DUMMYFUNCTION("""COMPUTED_VALUE"""),27.0)</f>
        <v>27</v>
      </c>
      <c r="AG175" s="15"/>
      <c r="AH175" s="15"/>
      <c r="AI175" s="15"/>
      <c r="AJ175" s="15">
        <f>IFERROR(__xludf.DUMMYFUNCTION("""COMPUTED_VALUE"""),118.0)</f>
        <v>118</v>
      </c>
      <c r="AK175" s="15"/>
      <c r="AL175" s="15"/>
      <c r="AM175" s="15"/>
      <c r="AN175" s="15">
        <f>IFERROR(__xludf.DUMMYFUNCTION("""COMPUTED_VALUE"""),587.0)</f>
        <v>587</v>
      </c>
      <c r="AO175" s="15"/>
      <c r="AP175" s="15"/>
      <c r="AQ175" s="15"/>
      <c r="AR175" s="15">
        <f>IFERROR(__xludf.DUMMYFUNCTION("""COMPUTED_VALUE"""),114.0)</f>
        <v>114</v>
      </c>
      <c r="AS175" s="15"/>
    </row>
    <row r="176">
      <c r="A176" s="73">
        <v>175.0</v>
      </c>
      <c r="W176" s="15">
        <f t="shared" si="2"/>
        <v>1</v>
      </c>
      <c r="X176" s="15" t="str">
        <f t="shared" si="8"/>
        <v/>
      </c>
      <c r="Y176" s="15" t="str">
        <f t="shared" si="3"/>
        <v/>
      </c>
      <c r="Z176" s="15" t="str">
        <f t="shared" si="4"/>
        <v/>
      </c>
      <c r="AA176" s="15" t="str">
        <f t="shared" si="5"/>
        <v/>
      </c>
      <c r="AB176" s="15" t="str">
        <f t="shared" si="6"/>
        <v/>
      </c>
      <c r="AC176" s="15" t="str">
        <f t="shared" si="7"/>
        <v/>
      </c>
      <c r="AD176" s="15"/>
      <c r="AE176" s="15"/>
      <c r="AF176" s="15">
        <f>IFERROR(__xludf.DUMMYFUNCTION("""COMPUTED_VALUE"""),624.0)</f>
        <v>624</v>
      </c>
      <c r="AG176" s="15"/>
      <c r="AH176" s="15"/>
      <c r="AI176" s="15"/>
      <c r="AJ176" s="15">
        <f>IFERROR(__xludf.DUMMYFUNCTION("""COMPUTED_VALUE"""),4143.0)</f>
        <v>4143</v>
      </c>
      <c r="AK176" s="15"/>
      <c r="AL176" s="15"/>
      <c r="AM176" s="15"/>
      <c r="AN176" s="15">
        <f>IFERROR(__xludf.DUMMYFUNCTION("""COMPUTED_VALUE"""),3175.0)</f>
        <v>3175</v>
      </c>
      <c r="AO176" s="15"/>
      <c r="AP176" s="15"/>
      <c r="AQ176" s="15"/>
      <c r="AR176" s="15">
        <f>IFERROR(__xludf.DUMMYFUNCTION("""COMPUTED_VALUE"""),111.0)</f>
        <v>111</v>
      </c>
      <c r="AS176" s="15"/>
    </row>
    <row r="177">
      <c r="A177" s="73">
        <v>176.0</v>
      </c>
      <c r="W177" s="15">
        <f t="shared" si="2"/>
        <v>2</v>
      </c>
      <c r="X177" s="15">
        <f t="shared" si="8"/>
        <v>1732</v>
      </c>
      <c r="Y177" s="15">
        <f t="shared" si="3"/>
        <v>5712</v>
      </c>
      <c r="Z177" s="15">
        <f t="shared" si="4"/>
        <v>1023</v>
      </c>
      <c r="AA177" s="15">
        <f t="shared" si="5"/>
        <v>340</v>
      </c>
      <c r="AB177" s="15">
        <f t="shared" si="6"/>
        <v>1987</v>
      </c>
      <c r="AC177" s="15">
        <f t="shared" si="7"/>
        <v>694</v>
      </c>
      <c r="AD177" s="15"/>
      <c r="AE177" s="15" t="str">
        <f>IFERROR(__xludf.DUMMYFUNCTION("""COMPUTED_VALUE"""),"Quals 58")</f>
        <v>Quals 58</v>
      </c>
      <c r="AF177" s="15">
        <f>IFERROR(__xludf.DUMMYFUNCTION("""COMPUTED_VALUE"""),1732.0)</f>
        <v>1732</v>
      </c>
      <c r="AG177" s="15"/>
      <c r="AH177" s="15">
        <f>IFERROR(__xludf.DUMMYFUNCTION("""COMPUTED_VALUE"""),5712.0)</f>
        <v>5712</v>
      </c>
      <c r="AI177" s="15"/>
      <c r="AJ177" s="15">
        <f>IFERROR(__xludf.DUMMYFUNCTION("""COMPUTED_VALUE"""),1023.0)</f>
        <v>1023</v>
      </c>
      <c r="AK177" s="15"/>
      <c r="AL177" s="15">
        <f>IFERROR(__xludf.DUMMYFUNCTION("""COMPUTED_VALUE"""),340.0)</f>
        <v>340</v>
      </c>
      <c r="AM177" s="15"/>
      <c r="AN177" s="15">
        <f>IFERROR(__xludf.DUMMYFUNCTION("""COMPUTED_VALUE"""),1987.0)</f>
        <v>1987</v>
      </c>
      <c r="AO177" s="15"/>
      <c r="AP177" s="15">
        <f>IFERROR(__xludf.DUMMYFUNCTION("""COMPUTED_VALUE"""),694.0)</f>
        <v>694</v>
      </c>
      <c r="AQ177" s="15"/>
      <c r="AR177" s="15">
        <f>IFERROR(__xludf.DUMMYFUNCTION("""COMPUTED_VALUE"""),131.0)</f>
        <v>131</v>
      </c>
      <c r="AS177" s="15">
        <f>IFERROR(__xludf.DUMMYFUNCTION("""COMPUTED_VALUE"""),149.0)</f>
        <v>149</v>
      </c>
    </row>
    <row r="178">
      <c r="A178" s="73">
        <v>177.0</v>
      </c>
      <c r="W178" s="15">
        <f t="shared" si="2"/>
        <v>0</v>
      </c>
      <c r="X178" s="15" t="str">
        <f t="shared" si="8"/>
        <v/>
      </c>
      <c r="Y178" s="15" t="str">
        <f t="shared" si="3"/>
        <v/>
      </c>
      <c r="Z178" s="15" t="str">
        <f t="shared" si="4"/>
        <v/>
      </c>
      <c r="AA178" s="15" t="str">
        <f t="shared" si="5"/>
        <v/>
      </c>
      <c r="AB178" s="15" t="str">
        <f t="shared" si="6"/>
        <v/>
      </c>
      <c r="AC178" s="15" t="str">
        <f t="shared" si="7"/>
        <v/>
      </c>
      <c r="AD178" s="15"/>
      <c r="AE178" s="15" t="str">
        <f>IFERROR(__xludf.DUMMYFUNCTION("""COMPUTED_VALUE"""),"Quals 58")</f>
        <v>Quals 58</v>
      </c>
      <c r="AF178" s="15">
        <f>IFERROR(__xludf.DUMMYFUNCTION("""COMPUTED_VALUE"""),1732.0)</f>
        <v>1732</v>
      </c>
      <c r="AG178" s="15"/>
      <c r="AH178" s="15"/>
      <c r="AI178" s="15"/>
      <c r="AJ178" s="15">
        <f>IFERROR(__xludf.DUMMYFUNCTION("""COMPUTED_VALUE"""),5712.0)</f>
        <v>5712</v>
      </c>
      <c r="AK178" s="15"/>
      <c r="AL178" s="15"/>
      <c r="AM178" s="15"/>
      <c r="AN178" s="15">
        <f>IFERROR(__xludf.DUMMYFUNCTION("""COMPUTED_VALUE"""),1023.0)</f>
        <v>1023</v>
      </c>
      <c r="AO178" s="15"/>
      <c r="AP178" s="15"/>
      <c r="AQ178" s="15"/>
      <c r="AR178" s="15">
        <f>IFERROR(__xludf.DUMMYFUNCTION("""COMPUTED_VALUE"""),131.0)</f>
        <v>131</v>
      </c>
      <c r="AS178" s="15"/>
    </row>
    <row r="179">
      <c r="A179" s="73">
        <v>178.0</v>
      </c>
      <c r="W179" s="15">
        <f t="shared" si="2"/>
        <v>1</v>
      </c>
      <c r="X179" s="15" t="str">
        <f t="shared" si="8"/>
        <v/>
      </c>
      <c r="Y179" s="15" t="str">
        <f t="shared" si="3"/>
        <v/>
      </c>
      <c r="Z179" s="15" t="str">
        <f t="shared" si="4"/>
        <v/>
      </c>
      <c r="AA179" s="15" t="str">
        <f t="shared" si="5"/>
        <v/>
      </c>
      <c r="AB179" s="15" t="str">
        <f t="shared" si="6"/>
        <v/>
      </c>
      <c r="AC179" s="15" t="str">
        <f t="shared" si="7"/>
        <v/>
      </c>
      <c r="AD179" s="15"/>
      <c r="AE179" s="15"/>
      <c r="AF179" s="15">
        <f>IFERROR(__xludf.DUMMYFUNCTION("""COMPUTED_VALUE"""),340.0)</f>
        <v>340</v>
      </c>
      <c r="AG179" s="15"/>
      <c r="AH179" s="15"/>
      <c r="AI179" s="15"/>
      <c r="AJ179" s="15">
        <f>IFERROR(__xludf.DUMMYFUNCTION("""COMPUTED_VALUE"""),1987.0)</f>
        <v>1987</v>
      </c>
      <c r="AK179" s="15"/>
      <c r="AL179" s="15"/>
      <c r="AM179" s="15"/>
      <c r="AN179" s="15">
        <f>IFERROR(__xludf.DUMMYFUNCTION("""COMPUTED_VALUE"""),694.0)</f>
        <v>694</v>
      </c>
      <c r="AO179" s="15"/>
      <c r="AP179" s="15"/>
      <c r="AQ179" s="15"/>
      <c r="AR179" s="15">
        <f>IFERROR(__xludf.DUMMYFUNCTION("""COMPUTED_VALUE"""),149.0)</f>
        <v>149</v>
      </c>
      <c r="AS179" s="15"/>
    </row>
    <row r="180">
      <c r="A180" s="73">
        <v>179.0</v>
      </c>
      <c r="W180" s="15">
        <f t="shared" si="2"/>
        <v>2</v>
      </c>
      <c r="X180" s="15">
        <f t="shared" si="8"/>
        <v>180</v>
      </c>
      <c r="Y180" s="15">
        <f t="shared" si="3"/>
        <v>1533</v>
      </c>
      <c r="Z180" s="15">
        <f t="shared" si="4"/>
        <v>2056</v>
      </c>
      <c r="AA180" s="15">
        <f t="shared" si="5"/>
        <v>1024</v>
      </c>
      <c r="AB180" s="15">
        <f t="shared" si="6"/>
        <v>2614</v>
      </c>
      <c r="AC180" s="15">
        <f t="shared" si="7"/>
        <v>4499</v>
      </c>
      <c r="AD180" s="15"/>
      <c r="AE180" s="15" t="str">
        <f>IFERROR(__xludf.DUMMYFUNCTION("""COMPUTED_VALUE"""),"Quals 59")</f>
        <v>Quals 59</v>
      </c>
      <c r="AF180" s="15">
        <f>IFERROR(__xludf.DUMMYFUNCTION("""COMPUTED_VALUE"""),180.0)</f>
        <v>180</v>
      </c>
      <c r="AG180" s="15"/>
      <c r="AH180" s="15">
        <f>IFERROR(__xludf.DUMMYFUNCTION("""COMPUTED_VALUE"""),1533.0)</f>
        <v>1533</v>
      </c>
      <c r="AI180" s="15"/>
      <c r="AJ180" s="15">
        <f>IFERROR(__xludf.DUMMYFUNCTION("""COMPUTED_VALUE"""),2056.0)</f>
        <v>2056</v>
      </c>
      <c r="AK180" s="15"/>
      <c r="AL180" s="15">
        <f>IFERROR(__xludf.DUMMYFUNCTION("""COMPUTED_VALUE"""),1024.0)</f>
        <v>1024</v>
      </c>
      <c r="AM180" s="15"/>
      <c r="AN180" s="15">
        <f>IFERROR(__xludf.DUMMYFUNCTION("""COMPUTED_VALUE"""),2614.0)</f>
        <v>2614</v>
      </c>
      <c r="AO180" s="15"/>
      <c r="AP180" s="15">
        <f>IFERROR(__xludf.DUMMYFUNCTION("""COMPUTED_VALUE"""),4499.0)</f>
        <v>4499</v>
      </c>
      <c r="AQ180" s="15"/>
      <c r="AR180" s="15">
        <f>IFERROR(__xludf.DUMMYFUNCTION("""COMPUTED_VALUE"""),177.0)</f>
        <v>177</v>
      </c>
      <c r="AS180" s="15">
        <f>IFERROR(__xludf.DUMMYFUNCTION("""COMPUTED_VALUE"""),113.0)</f>
        <v>113</v>
      </c>
    </row>
    <row r="181">
      <c r="A181" s="73">
        <v>180.0</v>
      </c>
      <c r="W181" s="15">
        <f t="shared" si="2"/>
        <v>0</v>
      </c>
      <c r="X181" s="15" t="str">
        <f t="shared" si="8"/>
        <v/>
      </c>
      <c r="Y181" s="15" t="str">
        <f t="shared" si="3"/>
        <v/>
      </c>
      <c r="Z181" s="15" t="str">
        <f t="shared" si="4"/>
        <v/>
      </c>
      <c r="AA181" s="15" t="str">
        <f t="shared" si="5"/>
        <v/>
      </c>
      <c r="AB181" s="15" t="str">
        <f t="shared" si="6"/>
        <v/>
      </c>
      <c r="AC181" s="15" t="str">
        <f t="shared" si="7"/>
        <v/>
      </c>
      <c r="AD181" s="15"/>
      <c r="AE181" s="15" t="str">
        <f>IFERROR(__xludf.DUMMYFUNCTION("""COMPUTED_VALUE"""),"Quals 59")</f>
        <v>Quals 59</v>
      </c>
      <c r="AF181" s="15">
        <f>IFERROR(__xludf.DUMMYFUNCTION("""COMPUTED_VALUE"""),180.0)</f>
        <v>180</v>
      </c>
      <c r="AG181" s="15"/>
      <c r="AH181" s="15"/>
      <c r="AI181" s="15"/>
      <c r="AJ181" s="15">
        <f>IFERROR(__xludf.DUMMYFUNCTION("""COMPUTED_VALUE"""),1533.0)</f>
        <v>1533</v>
      </c>
      <c r="AK181" s="15"/>
      <c r="AL181" s="15"/>
      <c r="AM181" s="15"/>
      <c r="AN181" s="15">
        <f>IFERROR(__xludf.DUMMYFUNCTION("""COMPUTED_VALUE"""),2056.0)</f>
        <v>2056</v>
      </c>
      <c r="AO181" s="15"/>
      <c r="AP181" s="15"/>
      <c r="AQ181" s="15"/>
      <c r="AR181" s="15">
        <f>IFERROR(__xludf.DUMMYFUNCTION("""COMPUTED_VALUE"""),177.0)</f>
        <v>177</v>
      </c>
      <c r="AS181" s="15"/>
    </row>
    <row r="182">
      <c r="A182" s="73">
        <v>181.0</v>
      </c>
      <c r="W182" s="15">
        <f t="shared" si="2"/>
        <v>1</v>
      </c>
      <c r="X182" s="15" t="str">
        <f t="shared" si="8"/>
        <v/>
      </c>
      <c r="Y182" s="15" t="str">
        <f t="shared" si="3"/>
        <v/>
      </c>
      <c r="Z182" s="15" t="str">
        <f t="shared" si="4"/>
        <v/>
      </c>
      <c r="AA182" s="15" t="str">
        <f t="shared" si="5"/>
        <v/>
      </c>
      <c r="AB182" s="15" t="str">
        <f t="shared" si="6"/>
        <v/>
      </c>
      <c r="AC182" s="15" t="str">
        <f t="shared" si="7"/>
        <v/>
      </c>
      <c r="AD182" s="15"/>
      <c r="AE182" s="15"/>
      <c r="AF182" s="15">
        <f>IFERROR(__xludf.DUMMYFUNCTION("""COMPUTED_VALUE"""),1024.0)</f>
        <v>1024</v>
      </c>
      <c r="AG182" s="15"/>
      <c r="AH182" s="15"/>
      <c r="AI182" s="15"/>
      <c r="AJ182" s="15">
        <f>IFERROR(__xludf.DUMMYFUNCTION("""COMPUTED_VALUE"""),2614.0)</f>
        <v>2614</v>
      </c>
      <c r="AK182" s="15"/>
      <c r="AL182" s="15"/>
      <c r="AM182" s="15"/>
      <c r="AN182" s="15">
        <f>IFERROR(__xludf.DUMMYFUNCTION("""COMPUTED_VALUE"""),4499.0)</f>
        <v>4499</v>
      </c>
      <c r="AO182" s="15"/>
      <c r="AP182" s="15"/>
      <c r="AQ182" s="15"/>
      <c r="AR182" s="15">
        <f>IFERROR(__xludf.DUMMYFUNCTION("""COMPUTED_VALUE"""),113.0)</f>
        <v>113</v>
      </c>
      <c r="AS182" s="15"/>
    </row>
    <row r="183">
      <c r="A183" s="73">
        <v>182.0</v>
      </c>
      <c r="W183" s="15">
        <f t="shared" si="2"/>
        <v>2</v>
      </c>
      <c r="X183" s="15">
        <f t="shared" si="8"/>
        <v>1720</v>
      </c>
      <c r="Y183" s="15">
        <f t="shared" si="3"/>
        <v>5484</v>
      </c>
      <c r="Z183" s="15">
        <f t="shared" si="4"/>
        <v>3176</v>
      </c>
      <c r="AA183" s="15">
        <f t="shared" si="5"/>
        <v>2075</v>
      </c>
      <c r="AB183" s="15">
        <f t="shared" si="6"/>
        <v>67</v>
      </c>
      <c r="AC183" s="15">
        <f t="shared" si="7"/>
        <v>4099</v>
      </c>
      <c r="AD183" s="15"/>
      <c r="AE183" s="15" t="str">
        <f>IFERROR(__xludf.DUMMYFUNCTION("""COMPUTED_VALUE"""),"Quals 60")</f>
        <v>Quals 60</v>
      </c>
      <c r="AF183" s="15">
        <f>IFERROR(__xludf.DUMMYFUNCTION("""COMPUTED_VALUE"""),1720.0)</f>
        <v>1720</v>
      </c>
      <c r="AG183" s="15"/>
      <c r="AH183" s="15">
        <f>IFERROR(__xludf.DUMMYFUNCTION("""COMPUTED_VALUE"""),5484.0)</f>
        <v>5484</v>
      </c>
      <c r="AI183" s="15"/>
      <c r="AJ183" s="15">
        <f>IFERROR(__xludf.DUMMYFUNCTION("""COMPUTED_VALUE"""),3176.0)</f>
        <v>3176</v>
      </c>
      <c r="AK183" s="15"/>
      <c r="AL183" s="15">
        <f>IFERROR(__xludf.DUMMYFUNCTION("""COMPUTED_VALUE"""),2075.0)</f>
        <v>2075</v>
      </c>
      <c r="AM183" s="15"/>
      <c r="AN183" s="15">
        <f>IFERROR(__xludf.DUMMYFUNCTION("""COMPUTED_VALUE"""),67.0)</f>
        <v>67</v>
      </c>
      <c r="AO183" s="15"/>
      <c r="AP183" s="15">
        <f>IFERROR(__xludf.DUMMYFUNCTION("""COMPUTED_VALUE"""),4099.0)</f>
        <v>4099</v>
      </c>
      <c r="AQ183" s="15"/>
      <c r="AR183" s="15">
        <f>IFERROR(__xludf.DUMMYFUNCTION("""COMPUTED_VALUE"""),85.0)</f>
        <v>85</v>
      </c>
      <c r="AS183" s="15">
        <f>IFERROR(__xludf.DUMMYFUNCTION("""COMPUTED_VALUE"""),144.0)</f>
        <v>144</v>
      </c>
    </row>
    <row r="184">
      <c r="A184" s="73">
        <v>183.0</v>
      </c>
      <c r="W184" s="15">
        <f t="shared" si="2"/>
        <v>0</v>
      </c>
      <c r="X184" s="15" t="str">
        <f t="shared" si="8"/>
        <v/>
      </c>
      <c r="Y184" s="15" t="str">
        <f t="shared" si="3"/>
        <v/>
      </c>
      <c r="Z184" s="15" t="str">
        <f t="shared" si="4"/>
        <v/>
      </c>
      <c r="AA184" s="15" t="str">
        <f t="shared" si="5"/>
        <v/>
      </c>
      <c r="AB184" s="15" t="str">
        <f t="shared" si="6"/>
        <v/>
      </c>
      <c r="AC184" s="15" t="str">
        <f t="shared" si="7"/>
        <v/>
      </c>
      <c r="AD184" s="15"/>
      <c r="AE184" s="15" t="str">
        <f>IFERROR(__xludf.DUMMYFUNCTION("""COMPUTED_VALUE"""),"Quals 60")</f>
        <v>Quals 60</v>
      </c>
      <c r="AF184" s="15">
        <f>IFERROR(__xludf.DUMMYFUNCTION("""COMPUTED_VALUE"""),1720.0)</f>
        <v>1720</v>
      </c>
      <c r="AG184" s="15"/>
      <c r="AH184" s="15"/>
      <c r="AI184" s="15"/>
      <c r="AJ184" s="15">
        <f>IFERROR(__xludf.DUMMYFUNCTION("""COMPUTED_VALUE"""),5484.0)</f>
        <v>5484</v>
      </c>
      <c r="AK184" s="15"/>
      <c r="AL184" s="15"/>
      <c r="AM184" s="15"/>
      <c r="AN184" s="15">
        <f>IFERROR(__xludf.DUMMYFUNCTION("""COMPUTED_VALUE"""),3176.0)</f>
        <v>3176</v>
      </c>
      <c r="AO184" s="15"/>
      <c r="AP184" s="15"/>
      <c r="AQ184" s="15"/>
      <c r="AR184" s="15">
        <f>IFERROR(__xludf.DUMMYFUNCTION("""COMPUTED_VALUE"""),85.0)</f>
        <v>85</v>
      </c>
      <c r="AS184" s="15"/>
    </row>
    <row r="185">
      <c r="A185" s="73">
        <v>184.0</v>
      </c>
      <c r="W185" s="15">
        <f t="shared" si="2"/>
        <v>1</v>
      </c>
      <c r="X185" s="15" t="str">
        <f t="shared" si="8"/>
        <v/>
      </c>
      <c r="Y185" s="15" t="str">
        <f t="shared" si="3"/>
        <v/>
      </c>
      <c r="Z185" s="15" t="str">
        <f t="shared" si="4"/>
        <v/>
      </c>
      <c r="AA185" s="15" t="str">
        <f t="shared" si="5"/>
        <v/>
      </c>
      <c r="AB185" s="15" t="str">
        <f t="shared" si="6"/>
        <v/>
      </c>
      <c r="AC185" s="15" t="str">
        <f t="shared" si="7"/>
        <v/>
      </c>
      <c r="AD185" s="15"/>
      <c r="AE185" s="15"/>
      <c r="AF185" s="15">
        <f>IFERROR(__xludf.DUMMYFUNCTION("""COMPUTED_VALUE"""),2075.0)</f>
        <v>2075</v>
      </c>
      <c r="AG185" s="15"/>
      <c r="AH185" s="15"/>
      <c r="AI185" s="15"/>
      <c r="AJ185" s="15">
        <f>IFERROR(__xludf.DUMMYFUNCTION("""COMPUTED_VALUE"""),67.0)</f>
        <v>67</v>
      </c>
      <c r="AK185" s="15"/>
      <c r="AL185" s="15"/>
      <c r="AM185" s="15"/>
      <c r="AN185" s="15">
        <f>IFERROR(__xludf.DUMMYFUNCTION("""COMPUTED_VALUE"""),4099.0)</f>
        <v>4099</v>
      </c>
      <c r="AO185" s="15"/>
      <c r="AP185" s="15"/>
      <c r="AQ185" s="15"/>
      <c r="AR185" s="15">
        <f>IFERROR(__xludf.DUMMYFUNCTION("""COMPUTED_VALUE"""),144.0)</f>
        <v>144</v>
      </c>
      <c r="AS185" s="15"/>
    </row>
    <row r="186">
      <c r="A186" s="73">
        <v>185.0</v>
      </c>
      <c r="W186" s="15">
        <f t="shared" si="2"/>
        <v>2</v>
      </c>
      <c r="X186" s="15">
        <f t="shared" si="8"/>
        <v>1730</v>
      </c>
      <c r="Y186" s="15">
        <f t="shared" si="3"/>
        <v>3538</v>
      </c>
      <c r="Z186" s="15">
        <f t="shared" si="4"/>
        <v>325</v>
      </c>
      <c r="AA186" s="15">
        <f t="shared" si="5"/>
        <v>2468</v>
      </c>
      <c r="AB186" s="15">
        <f t="shared" si="6"/>
        <v>4635</v>
      </c>
      <c r="AC186" s="15">
        <f t="shared" si="7"/>
        <v>33</v>
      </c>
      <c r="AD186" s="15"/>
      <c r="AE186" s="15" t="str">
        <f>IFERROR(__xludf.DUMMYFUNCTION("""COMPUTED_VALUE"""),"Quals 61")</f>
        <v>Quals 61</v>
      </c>
      <c r="AF186" s="15">
        <f>IFERROR(__xludf.DUMMYFUNCTION("""COMPUTED_VALUE"""),1730.0)</f>
        <v>1730</v>
      </c>
      <c r="AG186" s="15"/>
      <c r="AH186" s="15">
        <f>IFERROR(__xludf.DUMMYFUNCTION("""COMPUTED_VALUE"""),3538.0)</f>
        <v>3538</v>
      </c>
      <c r="AI186" s="15"/>
      <c r="AJ186" s="15">
        <f>IFERROR(__xludf.DUMMYFUNCTION("""COMPUTED_VALUE"""),325.0)</f>
        <v>325</v>
      </c>
      <c r="AK186" s="15"/>
      <c r="AL186" s="15">
        <f>IFERROR(__xludf.DUMMYFUNCTION("""COMPUTED_VALUE"""),2468.0)</f>
        <v>2468</v>
      </c>
      <c r="AM186" s="15"/>
      <c r="AN186" s="15">
        <f>IFERROR(__xludf.DUMMYFUNCTION("""COMPUTED_VALUE"""),4635.0)</f>
        <v>4635</v>
      </c>
      <c r="AO186" s="15"/>
      <c r="AP186" s="15">
        <f>IFERROR(__xludf.DUMMYFUNCTION("""COMPUTED_VALUE"""),33.0)</f>
        <v>33</v>
      </c>
      <c r="AQ186" s="15"/>
      <c r="AR186" s="15">
        <f>IFERROR(__xludf.DUMMYFUNCTION("""COMPUTED_VALUE"""),111.0)</f>
        <v>111</v>
      </c>
      <c r="AS186" s="15">
        <f>IFERROR(__xludf.DUMMYFUNCTION("""COMPUTED_VALUE"""),158.0)</f>
        <v>158</v>
      </c>
    </row>
    <row r="187">
      <c r="A187" s="73">
        <v>186.0</v>
      </c>
      <c r="W187" s="15">
        <f t="shared" si="2"/>
        <v>0</v>
      </c>
      <c r="X187" s="15" t="str">
        <f t="shared" si="8"/>
        <v/>
      </c>
      <c r="Y187" s="15" t="str">
        <f t="shared" si="3"/>
        <v/>
      </c>
      <c r="Z187" s="15" t="str">
        <f t="shared" si="4"/>
        <v/>
      </c>
      <c r="AA187" s="15" t="str">
        <f t="shared" si="5"/>
        <v/>
      </c>
      <c r="AB187" s="15" t="str">
        <f t="shared" si="6"/>
        <v/>
      </c>
      <c r="AC187" s="15" t="str">
        <f t="shared" si="7"/>
        <v/>
      </c>
      <c r="AD187" s="15"/>
      <c r="AE187" s="15" t="str">
        <f>IFERROR(__xludf.DUMMYFUNCTION("""COMPUTED_VALUE"""),"Quals 61")</f>
        <v>Quals 61</v>
      </c>
      <c r="AF187" s="15">
        <f>IFERROR(__xludf.DUMMYFUNCTION("""COMPUTED_VALUE"""),1730.0)</f>
        <v>1730</v>
      </c>
      <c r="AG187" s="15"/>
      <c r="AH187" s="15"/>
      <c r="AI187" s="15"/>
      <c r="AJ187" s="15">
        <f>IFERROR(__xludf.DUMMYFUNCTION("""COMPUTED_VALUE"""),3538.0)</f>
        <v>3538</v>
      </c>
      <c r="AK187" s="15"/>
      <c r="AL187" s="15"/>
      <c r="AM187" s="15"/>
      <c r="AN187" s="15">
        <f>IFERROR(__xludf.DUMMYFUNCTION("""COMPUTED_VALUE"""),325.0)</f>
        <v>325</v>
      </c>
      <c r="AO187" s="15"/>
      <c r="AP187" s="15"/>
      <c r="AQ187" s="15"/>
      <c r="AR187" s="15">
        <f>IFERROR(__xludf.DUMMYFUNCTION("""COMPUTED_VALUE"""),111.0)</f>
        <v>111</v>
      </c>
      <c r="AS187" s="15"/>
    </row>
    <row r="188">
      <c r="A188" s="73">
        <v>187.0</v>
      </c>
      <c r="W188" s="15">
        <f t="shared" si="2"/>
        <v>1</v>
      </c>
      <c r="X188" s="15" t="str">
        <f t="shared" si="8"/>
        <v/>
      </c>
      <c r="Y188" s="15" t="str">
        <f t="shared" si="3"/>
        <v/>
      </c>
      <c r="Z188" s="15" t="str">
        <f t="shared" si="4"/>
        <v/>
      </c>
      <c r="AA188" s="15" t="str">
        <f t="shared" si="5"/>
        <v/>
      </c>
      <c r="AB188" s="15" t="str">
        <f t="shared" si="6"/>
        <v/>
      </c>
      <c r="AC188" s="15" t="str">
        <f t="shared" si="7"/>
        <v/>
      </c>
      <c r="AD188" s="15"/>
      <c r="AE188" s="15"/>
      <c r="AF188" s="15">
        <f>IFERROR(__xludf.DUMMYFUNCTION("""COMPUTED_VALUE"""),2468.0)</f>
        <v>2468</v>
      </c>
      <c r="AG188" s="15"/>
      <c r="AH188" s="15"/>
      <c r="AI188" s="15"/>
      <c r="AJ188" s="15">
        <f>IFERROR(__xludf.DUMMYFUNCTION("""COMPUTED_VALUE"""),4635.0)</f>
        <v>4635</v>
      </c>
      <c r="AK188" s="15"/>
      <c r="AL188" s="15"/>
      <c r="AM188" s="15"/>
      <c r="AN188" s="15">
        <f>IFERROR(__xludf.DUMMYFUNCTION("""COMPUTED_VALUE"""),33.0)</f>
        <v>33</v>
      </c>
      <c r="AO188" s="15"/>
      <c r="AP188" s="15"/>
      <c r="AQ188" s="15"/>
      <c r="AR188" s="15">
        <f>IFERROR(__xludf.DUMMYFUNCTION("""COMPUTED_VALUE"""),158.0)</f>
        <v>158</v>
      </c>
      <c r="AS188" s="15"/>
    </row>
    <row r="189">
      <c r="A189" s="73">
        <v>188.0</v>
      </c>
      <c r="W189" s="15">
        <f t="shared" si="2"/>
        <v>2</v>
      </c>
      <c r="X189" s="15">
        <f t="shared" si="8"/>
        <v>7457</v>
      </c>
      <c r="Y189" s="15">
        <f t="shared" si="3"/>
        <v>829</v>
      </c>
      <c r="Z189" s="15">
        <f t="shared" si="4"/>
        <v>3357</v>
      </c>
      <c r="AA189" s="15">
        <f t="shared" si="5"/>
        <v>3940</v>
      </c>
      <c r="AB189" s="15">
        <f t="shared" si="6"/>
        <v>2539</v>
      </c>
      <c r="AC189" s="15">
        <f t="shared" si="7"/>
        <v>5010</v>
      </c>
      <c r="AD189" s="15"/>
      <c r="AE189" s="15" t="str">
        <f>IFERROR(__xludf.DUMMYFUNCTION("""COMPUTED_VALUE"""),"Quals 62")</f>
        <v>Quals 62</v>
      </c>
      <c r="AF189" s="15">
        <f>IFERROR(__xludf.DUMMYFUNCTION("""COMPUTED_VALUE"""),7457.0)</f>
        <v>7457</v>
      </c>
      <c r="AG189" s="15"/>
      <c r="AH189" s="15">
        <f>IFERROR(__xludf.DUMMYFUNCTION("""COMPUTED_VALUE"""),829.0)</f>
        <v>829</v>
      </c>
      <c r="AI189" s="15"/>
      <c r="AJ189" s="15">
        <f>IFERROR(__xludf.DUMMYFUNCTION("""COMPUTED_VALUE"""),3357.0)</f>
        <v>3357</v>
      </c>
      <c r="AK189" s="15"/>
      <c r="AL189" s="15">
        <f>IFERROR(__xludf.DUMMYFUNCTION("""COMPUTED_VALUE"""),3940.0)</f>
        <v>3940</v>
      </c>
      <c r="AM189" s="15"/>
      <c r="AN189" s="15">
        <f>IFERROR(__xludf.DUMMYFUNCTION("""COMPUTED_VALUE"""),2539.0)</f>
        <v>2539</v>
      </c>
      <c r="AO189" s="15"/>
      <c r="AP189" s="15">
        <f>IFERROR(__xludf.DUMMYFUNCTION("""COMPUTED_VALUE"""),5010.0)</f>
        <v>5010</v>
      </c>
      <c r="AQ189" s="15"/>
      <c r="AR189" s="15">
        <f>IFERROR(__xludf.DUMMYFUNCTION("""COMPUTED_VALUE"""),89.0)</f>
        <v>89</v>
      </c>
      <c r="AS189" s="15">
        <f>IFERROR(__xludf.DUMMYFUNCTION("""COMPUTED_VALUE"""),112.0)</f>
        <v>112</v>
      </c>
    </row>
    <row r="190">
      <c r="A190" s="73">
        <v>189.0</v>
      </c>
      <c r="W190" s="15">
        <f t="shared" si="2"/>
        <v>0</v>
      </c>
      <c r="X190" s="15" t="str">
        <f t="shared" si="8"/>
        <v/>
      </c>
      <c r="Y190" s="15" t="str">
        <f t="shared" si="3"/>
        <v/>
      </c>
      <c r="Z190" s="15" t="str">
        <f t="shared" si="4"/>
        <v/>
      </c>
      <c r="AA190" s="15" t="str">
        <f t="shared" si="5"/>
        <v/>
      </c>
      <c r="AB190" s="15" t="str">
        <f t="shared" si="6"/>
        <v/>
      </c>
      <c r="AC190" s="15" t="str">
        <f t="shared" si="7"/>
        <v/>
      </c>
      <c r="AD190" s="15"/>
      <c r="AE190" s="15" t="str">
        <f>IFERROR(__xludf.DUMMYFUNCTION("""COMPUTED_VALUE"""),"Quals 62")</f>
        <v>Quals 62</v>
      </c>
      <c r="AF190" s="15">
        <f>IFERROR(__xludf.DUMMYFUNCTION("""COMPUTED_VALUE"""),7457.0)</f>
        <v>7457</v>
      </c>
      <c r="AG190" s="15"/>
      <c r="AH190" s="15"/>
      <c r="AI190" s="15"/>
      <c r="AJ190" s="15">
        <f>IFERROR(__xludf.DUMMYFUNCTION("""COMPUTED_VALUE"""),829.0)</f>
        <v>829</v>
      </c>
      <c r="AK190" s="15"/>
      <c r="AL190" s="15"/>
      <c r="AM190" s="15"/>
      <c r="AN190" s="15">
        <f>IFERROR(__xludf.DUMMYFUNCTION("""COMPUTED_VALUE"""),3357.0)</f>
        <v>3357</v>
      </c>
      <c r="AO190" s="15"/>
      <c r="AP190" s="15"/>
      <c r="AQ190" s="15"/>
      <c r="AR190" s="15">
        <f>IFERROR(__xludf.DUMMYFUNCTION("""COMPUTED_VALUE"""),89.0)</f>
        <v>89</v>
      </c>
      <c r="AS190" s="15"/>
    </row>
    <row r="191">
      <c r="A191" s="73">
        <v>190.0</v>
      </c>
      <c r="W191" s="15">
        <f t="shared" si="2"/>
        <v>1</v>
      </c>
      <c r="X191" s="15" t="str">
        <f t="shared" si="8"/>
        <v/>
      </c>
      <c r="Y191" s="15" t="str">
        <f t="shared" si="3"/>
        <v/>
      </c>
      <c r="Z191" s="15" t="str">
        <f t="shared" si="4"/>
        <v/>
      </c>
      <c r="AA191" s="15" t="str">
        <f t="shared" si="5"/>
        <v/>
      </c>
      <c r="AB191" s="15" t="str">
        <f t="shared" si="6"/>
        <v/>
      </c>
      <c r="AC191" s="15" t="str">
        <f t="shared" si="7"/>
        <v/>
      </c>
      <c r="AD191" s="15"/>
      <c r="AE191" s="15"/>
      <c r="AF191" s="15">
        <f>IFERROR(__xludf.DUMMYFUNCTION("""COMPUTED_VALUE"""),3940.0)</f>
        <v>3940</v>
      </c>
      <c r="AG191" s="15"/>
      <c r="AH191" s="15"/>
      <c r="AI191" s="15"/>
      <c r="AJ191" s="15">
        <f>IFERROR(__xludf.DUMMYFUNCTION("""COMPUTED_VALUE"""),2539.0)</f>
        <v>2539</v>
      </c>
      <c r="AK191" s="15"/>
      <c r="AL191" s="15"/>
      <c r="AM191" s="15"/>
      <c r="AN191" s="15">
        <f>IFERROR(__xludf.DUMMYFUNCTION("""COMPUTED_VALUE"""),5010.0)</f>
        <v>5010</v>
      </c>
      <c r="AO191" s="15"/>
      <c r="AP191" s="15"/>
      <c r="AQ191" s="15"/>
      <c r="AR191" s="15">
        <f>IFERROR(__xludf.DUMMYFUNCTION("""COMPUTED_VALUE"""),112.0)</f>
        <v>112</v>
      </c>
      <c r="AS191" s="15"/>
    </row>
    <row r="192">
      <c r="A192" s="73">
        <v>191.0</v>
      </c>
      <c r="W192" s="15">
        <f t="shared" si="2"/>
        <v>2</v>
      </c>
      <c r="X192" s="15">
        <f t="shared" si="8"/>
        <v>503</v>
      </c>
      <c r="Y192" s="15">
        <f t="shared" si="3"/>
        <v>4028</v>
      </c>
      <c r="Z192" s="15">
        <f t="shared" si="4"/>
        <v>4926</v>
      </c>
      <c r="AA192" s="15">
        <f t="shared" si="5"/>
        <v>195</v>
      </c>
      <c r="AB192" s="15">
        <f t="shared" si="6"/>
        <v>4265</v>
      </c>
      <c r="AC192" s="15">
        <f t="shared" si="7"/>
        <v>1706</v>
      </c>
      <c r="AD192" s="15"/>
      <c r="AE192" s="15" t="str">
        <f>IFERROR(__xludf.DUMMYFUNCTION("""COMPUTED_VALUE"""),"Quals 63")</f>
        <v>Quals 63</v>
      </c>
      <c r="AF192" s="15">
        <f>IFERROR(__xludf.DUMMYFUNCTION("""COMPUTED_VALUE"""),503.0)</f>
        <v>503</v>
      </c>
      <c r="AG192" s="15"/>
      <c r="AH192" s="15">
        <f>IFERROR(__xludf.DUMMYFUNCTION("""COMPUTED_VALUE"""),4028.0)</f>
        <v>4028</v>
      </c>
      <c r="AI192" s="15"/>
      <c r="AJ192" s="15">
        <f>IFERROR(__xludf.DUMMYFUNCTION("""COMPUTED_VALUE"""),4926.0)</f>
        <v>4926</v>
      </c>
      <c r="AK192" s="15"/>
      <c r="AL192" s="15">
        <f>IFERROR(__xludf.DUMMYFUNCTION("""COMPUTED_VALUE"""),195.0)</f>
        <v>195</v>
      </c>
      <c r="AM192" s="15"/>
      <c r="AN192" s="15">
        <f>IFERROR(__xludf.DUMMYFUNCTION("""COMPUTED_VALUE"""),4265.0)</f>
        <v>4265</v>
      </c>
      <c r="AO192" s="15"/>
      <c r="AP192" s="15">
        <f>IFERROR(__xludf.DUMMYFUNCTION("""COMPUTED_VALUE"""),1706.0)</f>
        <v>1706</v>
      </c>
      <c r="AQ192" s="15"/>
      <c r="AR192" s="15">
        <f>IFERROR(__xludf.DUMMYFUNCTION("""COMPUTED_VALUE"""),122.0)</f>
        <v>122</v>
      </c>
      <c r="AS192" s="15">
        <f>IFERROR(__xludf.DUMMYFUNCTION("""COMPUTED_VALUE"""),123.0)</f>
        <v>123</v>
      </c>
    </row>
    <row r="193">
      <c r="A193" s="73">
        <v>192.0</v>
      </c>
      <c r="W193" s="15">
        <f t="shared" si="2"/>
        <v>0</v>
      </c>
      <c r="X193" s="15" t="str">
        <f t="shared" si="8"/>
        <v/>
      </c>
      <c r="Y193" s="15" t="str">
        <f t="shared" si="3"/>
        <v/>
      </c>
      <c r="Z193" s="15" t="str">
        <f t="shared" si="4"/>
        <v/>
      </c>
      <c r="AA193" s="15" t="str">
        <f t="shared" si="5"/>
        <v/>
      </c>
      <c r="AB193" s="15" t="str">
        <f t="shared" si="6"/>
        <v/>
      </c>
      <c r="AC193" s="15" t="str">
        <f t="shared" si="7"/>
        <v/>
      </c>
      <c r="AD193" s="15"/>
      <c r="AE193" s="15" t="str">
        <f>IFERROR(__xludf.DUMMYFUNCTION("""COMPUTED_VALUE"""),"Quals 63")</f>
        <v>Quals 63</v>
      </c>
      <c r="AF193" s="15">
        <f>IFERROR(__xludf.DUMMYFUNCTION("""COMPUTED_VALUE"""),503.0)</f>
        <v>503</v>
      </c>
      <c r="AG193" s="15"/>
      <c r="AH193" s="15"/>
      <c r="AI193" s="15"/>
      <c r="AJ193" s="15">
        <f>IFERROR(__xludf.DUMMYFUNCTION("""COMPUTED_VALUE"""),4028.0)</f>
        <v>4028</v>
      </c>
      <c r="AK193" s="15"/>
      <c r="AL193" s="15"/>
      <c r="AM193" s="15"/>
      <c r="AN193" s="15">
        <f>IFERROR(__xludf.DUMMYFUNCTION("""COMPUTED_VALUE"""),4926.0)</f>
        <v>4926</v>
      </c>
      <c r="AO193" s="15"/>
      <c r="AP193" s="15"/>
      <c r="AQ193" s="15"/>
      <c r="AR193" s="15">
        <f>IFERROR(__xludf.DUMMYFUNCTION("""COMPUTED_VALUE"""),122.0)</f>
        <v>122</v>
      </c>
      <c r="AS193" s="15"/>
    </row>
    <row r="194">
      <c r="A194" s="73">
        <v>193.0</v>
      </c>
      <c r="W194" s="15">
        <f t="shared" si="2"/>
        <v>1</v>
      </c>
      <c r="X194" s="15" t="str">
        <f t="shared" si="8"/>
        <v/>
      </c>
      <c r="Y194" s="15" t="str">
        <f t="shared" si="3"/>
        <v/>
      </c>
      <c r="Z194" s="15" t="str">
        <f t="shared" si="4"/>
        <v/>
      </c>
      <c r="AA194" s="15" t="str">
        <f t="shared" si="5"/>
        <v/>
      </c>
      <c r="AB194" s="15" t="str">
        <f t="shared" si="6"/>
        <v/>
      </c>
      <c r="AC194" s="15" t="str">
        <f t="shared" si="7"/>
        <v/>
      </c>
      <c r="AD194" s="15"/>
      <c r="AE194" s="15"/>
      <c r="AF194" s="15">
        <f>IFERROR(__xludf.DUMMYFUNCTION("""COMPUTED_VALUE"""),195.0)</f>
        <v>195</v>
      </c>
      <c r="AG194" s="15"/>
      <c r="AH194" s="15"/>
      <c r="AI194" s="15"/>
      <c r="AJ194" s="15">
        <f>IFERROR(__xludf.DUMMYFUNCTION("""COMPUTED_VALUE"""),4265.0)</f>
        <v>4265</v>
      </c>
      <c r="AK194" s="15"/>
      <c r="AL194" s="15"/>
      <c r="AM194" s="15"/>
      <c r="AN194" s="15">
        <f>IFERROR(__xludf.DUMMYFUNCTION("""COMPUTED_VALUE"""),1706.0)</f>
        <v>1706</v>
      </c>
      <c r="AO194" s="15"/>
      <c r="AP194" s="15"/>
      <c r="AQ194" s="15"/>
      <c r="AR194" s="15">
        <f>IFERROR(__xludf.DUMMYFUNCTION("""COMPUTED_VALUE"""),123.0)</f>
        <v>123</v>
      </c>
      <c r="AS194" s="15"/>
    </row>
    <row r="195">
      <c r="A195" s="73">
        <v>194.0</v>
      </c>
      <c r="W195" s="15">
        <f t="shared" si="2"/>
        <v>2</v>
      </c>
      <c r="X195" s="15">
        <f t="shared" si="8"/>
        <v>2767</v>
      </c>
      <c r="Y195" s="15">
        <f t="shared" si="3"/>
        <v>2338</v>
      </c>
      <c r="Z195" s="15">
        <f t="shared" si="4"/>
        <v>1339</v>
      </c>
      <c r="AA195" s="15">
        <f t="shared" si="5"/>
        <v>234</v>
      </c>
      <c r="AB195" s="15">
        <f t="shared" si="6"/>
        <v>5406</v>
      </c>
      <c r="AC195" s="15">
        <f t="shared" si="7"/>
        <v>2363</v>
      </c>
      <c r="AD195" s="15"/>
      <c r="AE195" s="15" t="str">
        <f>IFERROR(__xludf.DUMMYFUNCTION("""COMPUTED_VALUE"""),"Quals 64")</f>
        <v>Quals 64</v>
      </c>
      <c r="AF195" s="15">
        <f>IFERROR(__xludf.DUMMYFUNCTION("""COMPUTED_VALUE"""),2767.0)</f>
        <v>2767</v>
      </c>
      <c r="AG195" s="15"/>
      <c r="AH195" s="15">
        <f>IFERROR(__xludf.DUMMYFUNCTION("""COMPUTED_VALUE"""),2338.0)</f>
        <v>2338</v>
      </c>
      <c r="AI195" s="15"/>
      <c r="AJ195" s="15">
        <f>IFERROR(__xludf.DUMMYFUNCTION("""COMPUTED_VALUE"""),1339.0)</f>
        <v>1339</v>
      </c>
      <c r="AK195" s="15"/>
      <c r="AL195" s="15">
        <f>IFERROR(__xludf.DUMMYFUNCTION("""COMPUTED_VALUE"""),234.0)</f>
        <v>234</v>
      </c>
      <c r="AM195" s="15"/>
      <c r="AN195" s="15">
        <f>IFERROR(__xludf.DUMMYFUNCTION("""COMPUTED_VALUE"""),5406.0)</f>
        <v>5406</v>
      </c>
      <c r="AO195" s="15"/>
      <c r="AP195" s="15">
        <f>IFERROR(__xludf.DUMMYFUNCTION("""COMPUTED_VALUE"""),2363.0)</f>
        <v>2363</v>
      </c>
      <c r="AQ195" s="15"/>
      <c r="AR195" s="15">
        <f>IFERROR(__xludf.DUMMYFUNCTION("""COMPUTED_VALUE"""),141.0)</f>
        <v>141</v>
      </c>
      <c r="AS195" s="15">
        <f>IFERROR(__xludf.DUMMYFUNCTION("""COMPUTED_VALUE"""),112.0)</f>
        <v>112</v>
      </c>
    </row>
    <row r="196">
      <c r="A196" s="73">
        <v>195.0</v>
      </c>
      <c r="W196" s="15">
        <f t="shared" si="2"/>
        <v>0</v>
      </c>
      <c r="X196" s="15" t="str">
        <f t="shared" si="8"/>
        <v/>
      </c>
      <c r="Y196" s="15" t="str">
        <f t="shared" si="3"/>
        <v/>
      </c>
      <c r="Z196" s="15" t="str">
        <f t="shared" si="4"/>
        <v/>
      </c>
      <c r="AA196" s="15" t="str">
        <f t="shared" si="5"/>
        <v/>
      </c>
      <c r="AB196" s="15" t="str">
        <f t="shared" si="6"/>
        <v/>
      </c>
      <c r="AC196" s="15" t="str">
        <f t="shared" si="7"/>
        <v/>
      </c>
      <c r="AD196" s="15"/>
      <c r="AE196" s="15" t="str">
        <f>IFERROR(__xludf.DUMMYFUNCTION("""COMPUTED_VALUE"""),"Quals 64")</f>
        <v>Quals 64</v>
      </c>
      <c r="AF196" s="15">
        <f>IFERROR(__xludf.DUMMYFUNCTION("""COMPUTED_VALUE"""),2767.0)</f>
        <v>2767</v>
      </c>
      <c r="AG196" s="15"/>
      <c r="AH196" s="15"/>
      <c r="AI196" s="15"/>
      <c r="AJ196" s="15">
        <f>IFERROR(__xludf.DUMMYFUNCTION("""COMPUTED_VALUE"""),2338.0)</f>
        <v>2338</v>
      </c>
      <c r="AK196" s="15"/>
      <c r="AL196" s="15"/>
      <c r="AM196" s="15"/>
      <c r="AN196" s="15">
        <f>IFERROR(__xludf.DUMMYFUNCTION("""COMPUTED_VALUE"""),1339.0)</f>
        <v>1339</v>
      </c>
      <c r="AO196" s="15"/>
      <c r="AP196" s="15"/>
      <c r="AQ196" s="15"/>
      <c r="AR196" s="15">
        <f>IFERROR(__xludf.DUMMYFUNCTION("""COMPUTED_VALUE"""),141.0)</f>
        <v>141</v>
      </c>
      <c r="AS196" s="15"/>
    </row>
    <row r="197">
      <c r="A197" s="73">
        <v>196.0</v>
      </c>
      <c r="W197" s="15">
        <f t="shared" si="2"/>
        <v>1</v>
      </c>
      <c r="X197" s="15" t="str">
        <f t="shared" si="8"/>
        <v/>
      </c>
      <c r="Y197" s="15" t="str">
        <f t="shared" si="3"/>
        <v/>
      </c>
      <c r="Z197" s="15" t="str">
        <f t="shared" si="4"/>
        <v/>
      </c>
      <c r="AA197" s="15" t="str">
        <f t="shared" si="5"/>
        <v/>
      </c>
      <c r="AB197" s="15" t="str">
        <f t="shared" si="6"/>
        <v/>
      </c>
      <c r="AC197" s="15" t="str">
        <f t="shared" si="7"/>
        <v/>
      </c>
      <c r="AD197" s="15"/>
      <c r="AE197" s="15"/>
      <c r="AF197" s="15">
        <f>IFERROR(__xludf.DUMMYFUNCTION("""COMPUTED_VALUE"""),234.0)</f>
        <v>234</v>
      </c>
      <c r="AG197" s="15"/>
      <c r="AH197" s="15"/>
      <c r="AI197" s="15"/>
      <c r="AJ197" s="15">
        <f>IFERROR(__xludf.DUMMYFUNCTION("""COMPUTED_VALUE"""),5406.0)</f>
        <v>5406</v>
      </c>
      <c r="AK197" s="15"/>
      <c r="AL197" s="15"/>
      <c r="AM197" s="15"/>
      <c r="AN197" s="15">
        <f>IFERROR(__xludf.DUMMYFUNCTION("""COMPUTED_VALUE"""),2363.0)</f>
        <v>2363</v>
      </c>
      <c r="AO197" s="15"/>
      <c r="AP197" s="15"/>
      <c r="AQ197" s="15"/>
      <c r="AR197" s="15">
        <f>IFERROR(__xludf.DUMMYFUNCTION("""COMPUTED_VALUE"""),112.0)</f>
        <v>112</v>
      </c>
      <c r="AS197" s="15"/>
    </row>
    <row r="198">
      <c r="A198" s="73">
        <v>197.0</v>
      </c>
      <c r="W198" s="15">
        <f t="shared" si="2"/>
        <v>2</v>
      </c>
      <c r="X198" s="15">
        <f t="shared" si="8"/>
        <v>2056</v>
      </c>
      <c r="Y198" s="15">
        <f t="shared" si="3"/>
        <v>27</v>
      </c>
      <c r="Z198" s="15">
        <f t="shared" si="4"/>
        <v>1023</v>
      </c>
      <c r="AA198" s="15">
        <f t="shared" si="5"/>
        <v>118</v>
      </c>
      <c r="AB198" s="15">
        <f t="shared" si="6"/>
        <v>3176</v>
      </c>
      <c r="AC198" s="15">
        <f t="shared" si="7"/>
        <v>67</v>
      </c>
      <c r="AD198" s="15"/>
      <c r="AE198" s="15" t="str">
        <f>IFERROR(__xludf.DUMMYFUNCTION("""COMPUTED_VALUE"""),"Quals 65")</f>
        <v>Quals 65</v>
      </c>
      <c r="AF198" s="15">
        <f>IFERROR(__xludf.DUMMYFUNCTION("""COMPUTED_VALUE"""),2056.0)</f>
        <v>2056</v>
      </c>
      <c r="AG198" s="15"/>
      <c r="AH198" s="15">
        <f>IFERROR(__xludf.DUMMYFUNCTION("""COMPUTED_VALUE"""),27.0)</f>
        <v>27</v>
      </c>
      <c r="AI198" s="15"/>
      <c r="AJ198" s="15">
        <f>IFERROR(__xludf.DUMMYFUNCTION("""COMPUTED_VALUE"""),1023.0)</f>
        <v>1023</v>
      </c>
      <c r="AK198" s="15"/>
      <c r="AL198" s="15">
        <f>IFERROR(__xludf.DUMMYFUNCTION("""COMPUTED_VALUE"""),118.0)</f>
        <v>118</v>
      </c>
      <c r="AM198" s="15"/>
      <c r="AN198" s="15">
        <f>IFERROR(__xludf.DUMMYFUNCTION("""COMPUTED_VALUE"""),3176.0)</f>
        <v>3176</v>
      </c>
      <c r="AO198" s="15"/>
      <c r="AP198" s="15">
        <f>IFERROR(__xludf.DUMMYFUNCTION("""COMPUTED_VALUE"""),67.0)</f>
        <v>67</v>
      </c>
      <c r="AQ198" s="15"/>
      <c r="AR198" s="15">
        <f>IFERROR(__xludf.DUMMYFUNCTION("""COMPUTED_VALUE"""),156.0)</f>
        <v>156</v>
      </c>
      <c r="AS198" s="15">
        <f>IFERROR(__xludf.DUMMYFUNCTION("""COMPUTED_VALUE"""),135.0)</f>
        <v>135</v>
      </c>
    </row>
    <row r="199">
      <c r="A199" s="73">
        <v>198.0</v>
      </c>
      <c r="W199" s="15">
        <f t="shared" si="2"/>
        <v>0</v>
      </c>
      <c r="X199" s="15" t="str">
        <f t="shared" si="8"/>
        <v/>
      </c>
      <c r="Y199" s="15" t="str">
        <f t="shared" si="3"/>
        <v/>
      </c>
      <c r="Z199" s="15" t="str">
        <f t="shared" si="4"/>
        <v/>
      </c>
      <c r="AA199" s="15" t="str">
        <f t="shared" si="5"/>
        <v/>
      </c>
      <c r="AB199" s="15" t="str">
        <f t="shared" si="6"/>
        <v/>
      </c>
      <c r="AC199" s="15" t="str">
        <f t="shared" si="7"/>
        <v/>
      </c>
      <c r="AD199" s="15"/>
      <c r="AE199" s="15" t="str">
        <f>IFERROR(__xludf.DUMMYFUNCTION("""COMPUTED_VALUE"""),"Quals 65")</f>
        <v>Quals 65</v>
      </c>
      <c r="AF199" s="15">
        <f>IFERROR(__xludf.DUMMYFUNCTION("""COMPUTED_VALUE"""),2056.0)</f>
        <v>2056</v>
      </c>
      <c r="AG199" s="15"/>
      <c r="AH199" s="15"/>
      <c r="AI199" s="15"/>
      <c r="AJ199" s="15">
        <f>IFERROR(__xludf.DUMMYFUNCTION("""COMPUTED_VALUE"""),27.0)</f>
        <v>27</v>
      </c>
      <c r="AK199" s="15"/>
      <c r="AL199" s="15"/>
      <c r="AM199" s="15"/>
      <c r="AN199" s="15">
        <f>IFERROR(__xludf.DUMMYFUNCTION("""COMPUTED_VALUE"""),1023.0)</f>
        <v>1023</v>
      </c>
      <c r="AO199" s="15"/>
      <c r="AP199" s="15"/>
      <c r="AQ199" s="15"/>
      <c r="AR199" s="15">
        <f>IFERROR(__xludf.DUMMYFUNCTION("""COMPUTED_VALUE"""),156.0)</f>
        <v>156</v>
      </c>
      <c r="AS199" s="15"/>
    </row>
    <row r="200">
      <c r="A200" s="73">
        <v>199.0</v>
      </c>
      <c r="W200" s="15">
        <f t="shared" si="2"/>
        <v>1</v>
      </c>
      <c r="X200" s="15" t="str">
        <f t="shared" si="8"/>
        <v/>
      </c>
      <c r="Y200" s="15" t="str">
        <f t="shared" si="3"/>
        <v/>
      </c>
      <c r="Z200" s="15" t="str">
        <f t="shared" si="4"/>
        <v/>
      </c>
      <c r="AA200" s="15" t="str">
        <f t="shared" si="5"/>
        <v/>
      </c>
      <c r="AB200" s="15" t="str">
        <f t="shared" si="6"/>
        <v/>
      </c>
      <c r="AC200" s="15" t="str">
        <f t="shared" si="7"/>
        <v/>
      </c>
      <c r="AD200" s="15"/>
      <c r="AE200" s="15"/>
      <c r="AF200" s="15">
        <f>IFERROR(__xludf.DUMMYFUNCTION("""COMPUTED_VALUE"""),118.0)</f>
        <v>118</v>
      </c>
      <c r="AG200" s="15"/>
      <c r="AH200" s="15"/>
      <c r="AI200" s="15"/>
      <c r="AJ200" s="15">
        <f>IFERROR(__xludf.DUMMYFUNCTION("""COMPUTED_VALUE"""),3176.0)</f>
        <v>3176</v>
      </c>
      <c r="AK200" s="15"/>
      <c r="AL200" s="15"/>
      <c r="AM200" s="15"/>
      <c r="AN200" s="15">
        <f>IFERROR(__xludf.DUMMYFUNCTION("""COMPUTED_VALUE"""),67.0)</f>
        <v>67</v>
      </c>
      <c r="AO200" s="15"/>
      <c r="AP200" s="15"/>
      <c r="AQ200" s="15"/>
      <c r="AR200" s="15">
        <f>IFERROR(__xludf.DUMMYFUNCTION("""COMPUTED_VALUE"""),135.0)</f>
        <v>135</v>
      </c>
      <c r="AS200" s="15"/>
    </row>
    <row r="201">
      <c r="A201" s="73">
        <v>200.0</v>
      </c>
      <c r="W201" s="15">
        <f t="shared" si="2"/>
        <v>2</v>
      </c>
      <c r="X201" s="15">
        <f t="shared" si="8"/>
        <v>33</v>
      </c>
      <c r="Y201" s="15">
        <f t="shared" si="3"/>
        <v>3175</v>
      </c>
      <c r="Z201" s="15">
        <f t="shared" si="4"/>
        <v>1720</v>
      </c>
      <c r="AA201" s="15">
        <f t="shared" si="5"/>
        <v>5484</v>
      </c>
      <c r="AB201" s="15">
        <f t="shared" si="6"/>
        <v>1024</v>
      </c>
      <c r="AC201" s="15">
        <f t="shared" si="7"/>
        <v>5712</v>
      </c>
      <c r="AD201" s="15"/>
      <c r="AE201" s="15" t="str">
        <f>IFERROR(__xludf.DUMMYFUNCTION("""COMPUTED_VALUE"""),"Quals 66")</f>
        <v>Quals 66</v>
      </c>
      <c r="AF201" s="15">
        <f>IFERROR(__xludf.DUMMYFUNCTION("""COMPUTED_VALUE"""),33.0)</f>
        <v>33</v>
      </c>
      <c r="AG201" s="15"/>
      <c r="AH201" s="15">
        <f>IFERROR(__xludf.DUMMYFUNCTION("""COMPUTED_VALUE"""),3175.0)</f>
        <v>3175</v>
      </c>
      <c r="AI201" s="15"/>
      <c r="AJ201" s="15">
        <f>IFERROR(__xludf.DUMMYFUNCTION("""COMPUTED_VALUE"""),1720.0)</f>
        <v>1720</v>
      </c>
      <c r="AK201" s="15"/>
      <c r="AL201" s="15">
        <f>IFERROR(__xludf.DUMMYFUNCTION("""COMPUTED_VALUE"""),5484.0)</f>
        <v>5484</v>
      </c>
      <c r="AM201" s="15"/>
      <c r="AN201" s="15">
        <f>IFERROR(__xludf.DUMMYFUNCTION("""COMPUTED_VALUE"""),1024.0)</f>
        <v>1024</v>
      </c>
      <c r="AO201" s="15"/>
      <c r="AP201" s="15">
        <f>IFERROR(__xludf.DUMMYFUNCTION("""COMPUTED_VALUE"""),5712.0)</f>
        <v>5712</v>
      </c>
      <c r="AQ201" s="15"/>
      <c r="AR201" s="15">
        <f>IFERROR(__xludf.DUMMYFUNCTION("""COMPUTED_VALUE"""),119.0)</f>
        <v>119</v>
      </c>
      <c r="AS201" s="15">
        <f>IFERROR(__xludf.DUMMYFUNCTION("""COMPUTED_VALUE"""),114.0)</f>
        <v>114</v>
      </c>
    </row>
    <row r="202">
      <c r="A202" s="73">
        <v>201.0</v>
      </c>
      <c r="W202" s="15">
        <f t="shared" si="2"/>
        <v>0</v>
      </c>
      <c r="X202" s="15" t="str">
        <f t="shared" si="8"/>
        <v/>
      </c>
      <c r="Y202" s="15" t="str">
        <f t="shared" si="3"/>
        <v/>
      </c>
      <c r="Z202" s="15" t="str">
        <f t="shared" si="4"/>
        <v/>
      </c>
      <c r="AA202" s="15" t="str">
        <f t="shared" si="5"/>
        <v/>
      </c>
      <c r="AB202" s="15" t="str">
        <f t="shared" si="6"/>
        <v/>
      </c>
      <c r="AC202" s="15" t="str">
        <f t="shared" si="7"/>
        <v/>
      </c>
      <c r="AD202" s="15"/>
      <c r="AE202" s="15" t="str">
        <f>IFERROR(__xludf.DUMMYFUNCTION("""COMPUTED_VALUE"""),"Quals 66")</f>
        <v>Quals 66</v>
      </c>
      <c r="AF202" s="15">
        <f>IFERROR(__xludf.DUMMYFUNCTION("""COMPUTED_VALUE"""),33.0)</f>
        <v>33</v>
      </c>
      <c r="AG202" s="15"/>
      <c r="AH202" s="15"/>
      <c r="AI202" s="15"/>
      <c r="AJ202" s="15">
        <f>IFERROR(__xludf.DUMMYFUNCTION("""COMPUTED_VALUE"""),3175.0)</f>
        <v>3175</v>
      </c>
      <c r="AK202" s="15"/>
      <c r="AL202" s="15"/>
      <c r="AM202" s="15"/>
      <c r="AN202" s="15">
        <f>IFERROR(__xludf.DUMMYFUNCTION("""COMPUTED_VALUE"""),1720.0)</f>
        <v>1720</v>
      </c>
      <c r="AO202" s="15"/>
      <c r="AP202" s="15"/>
      <c r="AQ202" s="15"/>
      <c r="AR202" s="15">
        <f>IFERROR(__xludf.DUMMYFUNCTION("""COMPUTED_VALUE"""),119.0)</f>
        <v>119</v>
      </c>
      <c r="AS202" s="15"/>
    </row>
    <row r="203">
      <c r="A203" s="73">
        <v>202.0</v>
      </c>
      <c r="W203" s="15">
        <f t="shared" si="2"/>
        <v>1</v>
      </c>
      <c r="X203" s="15" t="str">
        <f t="shared" si="8"/>
        <v/>
      </c>
      <c r="Y203" s="15" t="str">
        <f t="shared" si="3"/>
        <v/>
      </c>
      <c r="Z203" s="15" t="str">
        <f t="shared" si="4"/>
        <v/>
      </c>
      <c r="AA203" s="15" t="str">
        <f t="shared" si="5"/>
        <v/>
      </c>
      <c r="AB203" s="15" t="str">
        <f t="shared" si="6"/>
        <v/>
      </c>
      <c r="AC203" s="15" t="str">
        <f t="shared" si="7"/>
        <v/>
      </c>
      <c r="AD203" s="15"/>
      <c r="AE203" s="15"/>
      <c r="AF203" s="15">
        <f>IFERROR(__xludf.DUMMYFUNCTION("""COMPUTED_VALUE"""),5484.0)</f>
        <v>5484</v>
      </c>
      <c r="AG203" s="15"/>
      <c r="AH203" s="15"/>
      <c r="AI203" s="15"/>
      <c r="AJ203" s="15">
        <f>IFERROR(__xludf.DUMMYFUNCTION("""COMPUTED_VALUE"""),1024.0)</f>
        <v>1024</v>
      </c>
      <c r="AK203" s="15"/>
      <c r="AL203" s="15"/>
      <c r="AM203" s="15"/>
      <c r="AN203" s="15">
        <f>IFERROR(__xludf.DUMMYFUNCTION("""COMPUTED_VALUE"""),5712.0)</f>
        <v>5712</v>
      </c>
      <c r="AO203" s="15"/>
      <c r="AP203" s="15"/>
      <c r="AQ203" s="15"/>
      <c r="AR203" s="15">
        <f>IFERROR(__xludf.DUMMYFUNCTION("""COMPUTED_VALUE"""),114.0)</f>
        <v>114</v>
      </c>
      <c r="AS203" s="15"/>
    </row>
    <row r="204">
      <c r="A204" s="73">
        <v>203.0</v>
      </c>
      <c r="W204" s="15">
        <f t="shared" si="2"/>
        <v>2</v>
      </c>
      <c r="X204" s="15">
        <f t="shared" si="8"/>
        <v>1533</v>
      </c>
      <c r="Y204" s="15">
        <f t="shared" si="3"/>
        <v>624</v>
      </c>
      <c r="Z204" s="15">
        <f t="shared" si="4"/>
        <v>1730</v>
      </c>
      <c r="AA204" s="15">
        <f t="shared" si="5"/>
        <v>3538</v>
      </c>
      <c r="AB204" s="15">
        <f t="shared" si="6"/>
        <v>1732</v>
      </c>
      <c r="AC204" s="15">
        <f t="shared" si="7"/>
        <v>829</v>
      </c>
      <c r="AD204" s="15"/>
      <c r="AE204" s="15" t="str">
        <f>IFERROR(__xludf.DUMMYFUNCTION("""COMPUTED_VALUE"""),"Quals 67")</f>
        <v>Quals 67</v>
      </c>
      <c r="AF204" s="15">
        <f>IFERROR(__xludf.DUMMYFUNCTION("""COMPUTED_VALUE"""),1533.0)</f>
        <v>1533</v>
      </c>
      <c r="AG204" s="15"/>
      <c r="AH204" s="15">
        <f>IFERROR(__xludf.DUMMYFUNCTION("""COMPUTED_VALUE"""),624.0)</f>
        <v>624</v>
      </c>
      <c r="AI204" s="15"/>
      <c r="AJ204" s="15">
        <f>IFERROR(__xludf.DUMMYFUNCTION("""COMPUTED_VALUE"""),1730.0)</f>
        <v>1730</v>
      </c>
      <c r="AK204" s="15"/>
      <c r="AL204" s="15">
        <f>IFERROR(__xludf.DUMMYFUNCTION("""COMPUTED_VALUE"""),3538.0)</f>
        <v>3538</v>
      </c>
      <c r="AM204" s="15"/>
      <c r="AN204" s="15">
        <f>IFERROR(__xludf.DUMMYFUNCTION("""COMPUTED_VALUE"""),1732.0)</f>
        <v>1732</v>
      </c>
      <c r="AO204" s="15"/>
      <c r="AP204" s="15">
        <f>IFERROR(__xludf.DUMMYFUNCTION("""COMPUTED_VALUE"""),829.0)</f>
        <v>829</v>
      </c>
      <c r="AQ204" s="15"/>
      <c r="AR204" s="15">
        <f>IFERROR(__xludf.DUMMYFUNCTION("""COMPUTED_VALUE"""),107.0)</f>
        <v>107</v>
      </c>
      <c r="AS204" s="15">
        <f>IFERROR(__xludf.DUMMYFUNCTION("""COMPUTED_VALUE"""),147.0)</f>
        <v>147</v>
      </c>
    </row>
    <row r="205">
      <c r="A205" s="73">
        <v>204.0</v>
      </c>
      <c r="W205" s="15">
        <f t="shared" si="2"/>
        <v>0</v>
      </c>
      <c r="X205" s="15" t="str">
        <f t="shared" si="8"/>
        <v/>
      </c>
      <c r="Y205" s="15" t="str">
        <f t="shared" si="3"/>
        <v/>
      </c>
      <c r="Z205" s="15" t="str">
        <f t="shared" si="4"/>
        <v/>
      </c>
      <c r="AA205" s="15" t="str">
        <f t="shared" si="5"/>
        <v/>
      </c>
      <c r="AB205" s="15" t="str">
        <f t="shared" si="6"/>
        <v/>
      </c>
      <c r="AC205" s="15" t="str">
        <f t="shared" si="7"/>
        <v/>
      </c>
      <c r="AD205" s="15"/>
      <c r="AE205" s="15" t="str">
        <f>IFERROR(__xludf.DUMMYFUNCTION("""COMPUTED_VALUE"""),"Quals 67")</f>
        <v>Quals 67</v>
      </c>
      <c r="AF205" s="15">
        <f>IFERROR(__xludf.DUMMYFUNCTION("""COMPUTED_VALUE"""),1533.0)</f>
        <v>1533</v>
      </c>
      <c r="AG205" s="15"/>
      <c r="AH205" s="15"/>
      <c r="AI205" s="15"/>
      <c r="AJ205" s="15">
        <f>IFERROR(__xludf.DUMMYFUNCTION("""COMPUTED_VALUE"""),624.0)</f>
        <v>624</v>
      </c>
      <c r="AK205" s="15"/>
      <c r="AL205" s="15"/>
      <c r="AM205" s="15"/>
      <c r="AN205" s="15">
        <f>IFERROR(__xludf.DUMMYFUNCTION("""COMPUTED_VALUE"""),1730.0)</f>
        <v>1730</v>
      </c>
      <c r="AO205" s="15"/>
      <c r="AP205" s="15"/>
      <c r="AQ205" s="15"/>
      <c r="AR205" s="15">
        <f>IFERROR(__xludf.DUMMYFUNCTION("""COMPUTED_VALUE"""),107.0)</f>
        <v>107</v>
      </c>
      <c r="AS205" s="15"/>
    </row>
    <row r="206">
      <c r="A206" s="73">
        <v>205.0</v>
      </c>
      <c r="W206" s="15">
        <f t="shared" si="2"/>
        <v>1</v>
      </c>
      <c r="X206" s="15" t="str">
        <f t="shared" si="8"/>
        <v/>
      </c>
      <c r="Y206" s="15" t="str">
        <f t="shared" si="3"/>
        <v/>
      </c>
      <c r="Z206" s="15" t="str">
        <f t="shared" si="4"/>
        <v/>
      </c>
      <c r="AA206" s="15" t="str">
        <f t="shared" si="5"/>
        <v/>
      </c>
      <c r="AB206" s="15" t="str">
        <f t="shared" si="6"/>
        <v/>
      </c>
      <c r="AC206" s="15" t="str">
        <f t="shared" si="7"/>
        <v/>
      </c>
      <c r="AD206" s="15"/>
      <c r="AE206" s="15"/>
      <c r="AF206" s="15">
        <f>IFERROR(__xludf.DUMMYFUNCTION("""COMPUTED_VALUE"""),3538.0)</f>
        <v>3538</v>
      </c>
      <c r="AG206" s="15"/>
      <c r="AH206" s="15"/>
      <c r="AI206" s="15"/>
      <c r="AJ206" s="15">
        <f>IFERROR(__xludf.DUMMYFUNCTION("""COMPUTED_VALUE"""),1732.0)</f>
        <v>1732</v>
      </c>
      <c r="AK206" s="15"/>
      <c r="AL206" s="15"/>
      <c r="AM206" s="15"/>
      <c r="AN206" s="15">
        <f>IFERROR(__xludf.DUMMYFUNCTION("""COMPUTED_VALUE"""),829.0)</f>
        <v>829</v>
      </c>
      <c r="AO206" s="15"/>
      <c r="AP206" s="15"/>
      <c r="AQ206" s="15"/>
      <c r="AR206" s="15">
        <f>IFERROR(__xludf.DUMMYFUNCTION("""COMPUTED_VALUE"""),147.0)</f>
        <v>147</v>
      </c>
      <c r="AS206" s="15"/>
    </row>
    <row r="207">
      <c r="A207" s="73">
        <v>206.0</v>
      </c>
      <c r="W207" s="15">
        <f t="shared" si="2"/>
        <v>2</v>
      </c>
      <c r="X207" s="15">
        <f t="shared" si="8"/>
        <v>3357</v>
      </c>
      <c r="Y207" s="15">
        <f t="shared" si="3"/>
        <v>2468</v>
      </c>
      <c r="Z207" s="15">
        <f t="shared" si="4"/>
        <v>4265</v>
      </c>
      <c r="AA207" s="15">
        <f t="shared" si="5"/>
        <v>1706</v>
      </c>
      <c r="AB207" s="15">
        <f t="shared" si="6"/>
        <v>503</v>
      </c>
      <c r="AC207" s="15">
        <f t="shared" si="7"/>
        <v>340</v>
      </c>
      <c r="AD207" s="15"/>
      <c r="AE207" s="15" t="str">
        <f>IFERROR(__xludf.DUMMYFUNCTION("""COMPUTED_VALUE"""),"Quals 68")</f>
        <v>Quals 68</v>
      </c>
      <c r="AF207" s="15">
        <f>IFERROR(__xludf.DUMMYFUNCTION("""COMPUTED_VALUE"""),3357.0)</f>
        <v>3357</v>
      </c>
      <c r="AG207" s="15"/>
      <c r="AH207" s="15">
        <f>IFERROR(__xludf.DUMMYFUNCTION("""COMPUTED_VALUE"""),2468.0)</f>
        <v>2468</v>
      </c>
      <c r="AI207" s="15"/>
      <c r="AJ207" s="15">
        <f>IFERROR(__xludf.DUMMYFUNCTION("""COMPUTED_VALUE"""),4265.0)</f>
        <v>4265</v>
      </c>
      <c r="AK207" s="15"/>
      <c r="AL207" s="15">
        <f>IFERROR(__xludf.DUMMYFUNCTION("""COMPUTED_VALUE"""),1706.0)</f>
        <v>1706</v>
      </c>
      <c r="AM207" s="15"/>
      <c r="AN207" s="15">
        <f>IFERROR(__xludf.DUMMYFUNCTION("""COMPUTED_VALUE"""),503.0)</f>
        <v>503</v>
      </c>
      <c r="AO207" s="15"/>
      <c r="AP207" s="15">
        <f>IFERROR(__xludf.DUMMYFUNCTION("""COMPUTED_VALUE"""),340.0)</f>
        <v>340</v>
      </c>
      <c r="AQ207" s="15"/>
      <c r="AR207" s="15">
        <f>IFERROR(__xludf.DUMMYFUNCTION("""COMPUTED_VALUE"""),128.0)</f>
        <v>128</v>
      </c>
      <c r="AS207" s="15">
        <f>IFERROR(__xludf.DUMMYFUNCTION("""COMPUTED_VALUE"""),140.0)</f>
        <v>140</v>
      </c>
    </row>
    <row r="208">
      <c r="A208" s="73">
        <v>207.0</v>
      </c>
      <c r="W208" s="15">
        <f t="shared" si="2"/>
        <v>0</v>
      </c>
      <c r="X208" s="15" t="str">
        <f t="shared" si="8"/>
        <v/>
      </c>
      <c r="Y208" s="15" t="str">
        <f t="shared" si="3"/>
        <v/>
      </c>
      <c r="Z208" s="15" t="str">
        <f t="shared" si="4"/>
        <v/>
      </c>
      <c r="AA208" s="15" t="str">
        <f t="shared" si="5"/>
        <v/>
      </c>
      <c r="AB208" s="15" t="str">
        <f t="shared" si="6"/>
        <v/>
      </c>
      <c r="AC208" s="15" t="str">
        <f t="shared" si="7"/>
        <v/>
      </c>
      <c r="AD208" s="15"/>
      <c r="AE208" s="15" t="str">
        <f>IFERROR(__xludf.DUMMYFUNCTION("""COMPUTED_VALUE"""),"Quals 68")</f>
        <v>Quals 68</v>
      </c>
      <c r="AF208" s="15">
        <f>IFERROR(__xludf.DUMMYFUNCTION("""COMPUTED_VALUE"""),3357.0)</f>
        <v>3357</v>
      </c>
      <c r="AG208" s="15"/>
      <c r="AH208" s="15"/>
      <c r="AI208" s="15"/>
      <c r="AJ208" s="15">
        <f>IFERROR(__xludf.DUMMYFUNCTION("""COMPUTED_VALUE"""),2468.0)</f>
        <v>2468</v>
      </c>
      <c r="AK208" s="15"/>
      <c r="AL208" s="15"/>
      <c r="AM208" s="15"/>
      <c r="AN208" s="15">
        <f>IFERROR(__xludf.DUMMYFUNCTION("""COMPUTED_VALUE"""),4265.0)</f>
        <v>4265</v>
      </c>
      <c r="AO208" s="15"/>
      <c r="AP208" s="15"/>
      <c r="AQ208" s="15"/>
      <c r="AR208" s="15">
        <f>IFERROR(__xludf.DUMMYFUNCTION("""COMPUTED_VALUE"""),128.0)</f>
        <v>128</v>
      </c>
      <c r="AS208" s="15"/>
    </row>
    <row r="209">
      <c r="A209" s="73">
        <v>208.0</v>
      </c>
      <c r="W209" s="15">
        <f t="shared" si="2"/>
        <v>1</v>
      </c>
      <c r="X209" s="15" t="str">
        <f t="shared" si="8"/>
        <v/>
      </c>
      <c r="Y209" s="15" t="str">
        <f t="shared" si="3"/>
        <v/>
      </c>
      <c r="Z209" s="15" t="str">
        <f t="shared" si="4"/>
        <v/>
      </c>
      <c r="AA209" s="15" t="str">
        <f t="shared" si="5"/>
        <v/>
      </c>
      <c r="AB209" s="15" t="str">
        <f t="shared" si="6"/>
        <v/>
      </c>
      <c r="AC209" s="15" t="str">
        <f t="shared" si="7"/>
        <v/>
      </c>
      <c r="AD209" s="15"/>
      <c r="AE209" s="15"/>
      <c r="AF209" s="15">
        <f>IFERROR(__xludf.DUMMYFUNCTION("""COMPUTED_VALUE"""),1706.0)</f>
        <v>1706</v>
      </c>
      <c r="AG209" s="15"/>
      <c r="AH209" s="15"/>
      <c r="AI209" s="15"/>
      <c r="AJ209" s="15">
        <f>IFERROR(__xludf.DUMMYFUNCTION("""COMPUTED_VALUE"""),503.0)</f>
        <v>503</v>
      </c>
      <c r="AK209" s="15"/>
      <c r="AL209" s="15"/>
      <c r="AM209" s="15"/>
      <c r="AN209" s="15">
        <f>IFERROR(__xludf.DUMMYFUNCTION("""COMPUTED_VALUE"""),340.0)</f>
        <v>340</v>
      </c>
      <c r="AO209" s="15"/>
      <c r="AP209" s="15"/>
      <c r="AQ209" s="15"/>
      <c r="AR209" s="15">
        <f>IFERROR(__xludf.DUMMYFUNCTION("""COMPUTED_VALUE"""),140.0)</f>
        <v>140</v>
      </c>
      <c r="AS209" s="15"/>
    </row>
    <row r="210">
      <c r="A210" s="73">
        <v>209.0</v>
      </c>
      <c r="W210" s="15">
        <f t="shared" si="2"/>
        <v>2</v>
      </c>
      <c r="X210" s="15">
        <f t="shared" si="8"/>
        <v>1339</v>
      </c>
      <c r="Y210" s="15">
        <f t="shared" si="3"/>
        <v>4635</v>
      </c>
      <c r="Z210" s="15">
        <f t="shared" si="4"/>
        <v>5406</v>
      </c>
      <c r="AA210" s="15">
        <f t="shared" si="5"/>
        <v>4926</v>
      </c>
      <c r="AB210" s="15">
        <f t="shared" si="6"/>
        <v>4499</v>
      </c>
      <c r="AC210" s="15">
        <f t="shared" si="7"/>
        <v>3940</v>
      </c>
      <c r="AD210" s="15"/>
      <c r="AE210" s="15" t="str">
        <f>IFERROR(__xludf.DUMMYFUNCTION("""COMPUTED_VALUE"""),"Quals 69")</f>
        <v>Quals 69</v>
      </c>
      <c r="AF210" s="15">
        <f>IFERROR(__xludf.DUMMYFUNCTION("""COMPUTED_VALUE"""),1339.0)</f>
        <v>1339</v>
      </c>
      <c r="AG210" s="15"/>
      <c r="AH210" s="15">
        <f>IFERROR(__xludf.DUMMYFUNCTION("""COMPUTED_VALUE"""),4635.0)</f>
        <v>4635</v>
      </c>
      <c r="AI210" s="15"/>
      <c r="AJ210" s="15">
        <f>IFERROR(__xludf.DUMMYFUNCTION("""COMPUTED_VALUE"""),5406.0)</f>
        <v>5406</v>
      </c>
      <c r="AK210" s="15"/>
      <c r="AL210" s="15">
        <f>IFERROR(__xludf.DUMMYFUNCTION("""COMPUTED_VALUE"""),4926.0)</f>
        <v>4926</v>
      </c>
      <c r="AM210" s="15"/>
      <c r="AN210" s="15">
        <f>IFERROR(__xludf.DUMMYFUNCTION("""COMPUTED_VALUE"""),4499.0)</f>
        <v>4499</v>
      </c>
      <c r="AO210" s="15"/>
      <c r="AP210" s="15">
        <f>IFERROR(__xludf.DUMMYFUNCTION("""COMPUTED_VALUE"""),3940.0)</f>
        <v>3940</v>
      </c>
      <c r="AQ210" s="15"/>
      <c r="AR210" s="15">
        <f>IFERROR(__xludf.DUMMYFUNCTION("""COMPUTED_VALUE"""),140.0)</f>
        <v>140</v>
      </c>
      <c r="AS210" s="15">
        <f>IFERROR(__xludf.DUMMYFUNCTION("""COMPUTED_VALUE"""),121.0)</f>
        <v>121</v>
      </c>
    </row>
    <row r="211">
      <c r="A211" s="73">
        <v>210.0</v>
      </c>
      <c r="W211" s="15">
        <f t="shared" si="2"/>
        <v>0</v>
      </c>
      <c r="X211" s="15" t="str">
        <f t="shared" si="8"/>
        <v/>
      </c>
      <c r="Y211" s="15" t="str">
        <f t="shared" si="3"/>
        <v/>
      </c>
      <c r="Z211" s="15" t="str">
        <f t="shared" si="4"/>
        <v/>
      </c>
      <c r="AA211" s="15" t="str">
        <f t="shared" si="5"/>
        <v/>
      </c>
      <c r="AB211" s="15" t="str">
        <f t="shared" si="6"/>
        <v/>
      </c>
      <c r="AC211" s="15" t="str">
        <f t="shared" si="7"/>
        <v/>
      </c>
      <c r="AD211" s="15"/>
      <c r="AE211" s="15" t="str">
        <f>IFERROR(__xludf.DUMMYFUNCTION("""COMPUTED_VALUE"""),"Quals 69")</f>
        <v>Quals 69</v>
      </c>
      <c r="AF211" s="15">
        <f>IFERROR(__xludf.DUMMYFUNCTION("""COMPUTED_VALUE"""),1339.0)</f>
        <v>1339</v>
      </c>
      <c r="AG211" s="15"/>
      <c r="AH211" s="15"/>
      <c r="AI211" s="15"/>
      <c r="AJ211" s="15">
        <f>IFERROR(__xludf.DUMMYFUNCTION("""COMPUTED_VALUE"""),4635.0)</f>
        <v>4635</v>
      </c>
      <c r="AK211" s="15"/>
      <c r="AL211" s="15"/>
      <c r="AM211" s="15"/>
      <c r="AN211" s="15">
        <f>IFERROR(__xludf.DUMMYFUNCTION("""COMPUTED_VALUE"""),5406.0)</f>
        <v>5406</v>
      </c>
      <c r="AO211" s="15"/>
      <c r="AP211" s="15"/>
      <c r="AQ211" s="15"/>
      <c r="AR211" s="15">
        <f>IFERROR(__xludf.DUMMYFUNCTION("""COMPUTED_VALUE"""),140.0)</f>
        <v>140</v>
      </c>
      <c r="AS211" s="15"/>
    </row>
    <row r="212">
      <c r="A212" s="73">
        <v>211.0</v>
      </c>
      <c r="W212" s="15">
        <f t="shared" si="2"/>
        <v>1</v>
      </c>
      <c r="X212" s="15" t="str">
        <f t="shared" si="8"/>
        <v/>
      </c>
      <c r="Y212" s="15" t="str">
        <f t="shared" si="3"/>
        <v/>
      </c>
      <c r="Z212" s="15" t="str">
        <f t="shared" si="4"/>
        <v/>
      </c>
      <c r="AA212" s="15" t="str">
        <f t="shared" si="5"/>
        <v/>
      </c>
      <c r="AB212" s="15" t="str">
        <f t="shared" si="6"/>
        <v/>
      </c>
      <c r="AC212" s="15" t="str">
        <f t="shared" si="7"/>
        <v/>
      </c>
      <c r="AD212" s="15"/>
      <c r="AE212" s="15"/>
      <c r="AF212" s="15">
        <f>IFERROR(__xludf.DUMMYFUNCTION("""COMPUTED_VALUE"""),4926.0)</f>
        <v>4926</v>
      </c>
      <c r="AG212" s="15"/>
      <c r="AH212" s="15"/>
      <c r="AI212" s="15"/>
      <c r="AJ212" s="15">
        <f>IFERROR(__xludf.DUMMYFUNCTION("""COMPUTED_VALUE"""),4499.0)</f>
        <v>4499</v>
      </c>
      <c r="AK212" s="15"/>
      <c r="AL212" s="15"/>
      <c r="AM212" s="15"/>
      <c r="AN212" s="15">
        <f>IFERROR(__xludf.DUMMYFUNCTION("""COMPUTED_VALUE"""),3940.0)</f>
        <v>3940</v>
      </c>
      <c r="AO212" s="15"/>
      <c r="AP212" s="15"/>
      <c r="AQ212" s="15"/>
      <c r="AR212" s="15">
        <f>IFERROR(__xludf.DUMMYFUNCTION("""COMPUTED_VALUE"""),121.0)</f>
        <v>121</v>
      </c>
      <c r="AS212" s="15"/>
    </row>
    <row r="213">
      <c r="A213" s="73">
        <v>212.0</v>
      </c>
      <c r="W213" s="15">
        <f t="shared" si="2"/>
        <v>2</v>
      </c>
      <c r="X213" s="15">
        <f t="shared" si="8"/>
        <v>325</v>
      </c>
      <c r="Y213" s="15">
        <f t="shared" si="3"/>
        <v>2338</v>
      </c>
      <c r="Z213" s="15">
        <f t="shared" si="4"/>
        <v>2614</v>
      </c>
      <c r="AA213" s="15">
        <f t="shared" si="5"/>
        <v>7457</v>
      </c>
      <c r="AB213" s="15">
        <f t="shared" si="6"/>
        <v>694</v>
      </c>
      <c r="AC213" s="15">
        <f t="shared" si="7"/>
        <v>4028</v>
      </c>
      <c r="AD213" s="15"/>
      <c r="AE213" s="15" t="str">
        <f>IFERROR(__xludf.DUMMYFUNCTION("""COMPUTED_VALUE"""),"Quals 70")</f>
        <v>Quals 70</v>
      </c>
      <c r="AF213" s="15">
        <f>IFERROR(__xludf.DUMMYFUNCTION("""COMPUTED_VALUE"""),325.0)</f>
        <v>325</v>
      </c>
      <c r="AG213" s="15"/>
      <c r="AH213" s="15">
        <f>IFERROR(__xludf.DUMMYFUNCTION("""COMPUTED_VALUE"""),2338.0)</f>
        <v>2338</v>
      </c>
      <c r="AI213" s="15"/>
      <c r="AJ213" s="15">
        <f>IFERROR(__xludf.DUMMYFUNCTION("""COMPUTED_VALUE"""),2614.0)</f>
        <v>2614</v>
      </c>
      <c r="AK213" s="15"/>
      <c r="AL213" s="15">
        <f>IFERROR(__xludf.DUMMYFUNCTION("""COMPUTED_VALUE"""),7457.0)</f>
        <v>7457</v>
      </c>
      <c r="AM213" s="15"/>
      <c r="AN213" s="15">
        <f>IFERROR(__xludf.DUMMYFUNCTION("""COMPUTED_VALUE"""),694.0)</f>
        <v>694</v>
      </c>
      <c r="AO213" s="15"/>
      <c r="AP213" s="15">
        <f>IFERROR(__xludf.DUMMYFUNCTION("""COMPUTED_VALUE"""),4028.0)</f>
        <v>4028</v>
      </c>
      <c r="AQ213" s="15"/>
      <c r="AR213" s="15">
        <f>IFERROR(__xludf.DUMMYFUNCTION("""COMPUTED_VALUE"""),75.0)</f>
        <v>75</v>
      </c>
      <c r="AS213" s="15">
        <f>IFERROR(__xludf.DUMMYFUNCTION("""COMPUTED_VALUE"""),116.0)</f>
        <v>116</v>
      </c>
    </row>
    <row r="214">
      <c r="A214" s="73">
        <v>213.0</v>
      </c>
      <c r="W214" s="15">
        <f t="shared" si="2"/>
        <v>0</v>
      </c>
      <c r="X214" s="15" t="str">
        <f t="shared" si="8"/>
        <v/>
      </c>
      <c r="Y214" s="15" t="str">
        <f t="shared" si="3"/>
        <v/>
      </c>
      <c r="Z214" s="15" t="str">
        <f t="shared" si="4"/>
        <v/>
      </c>
      <c r="AA214" s="15" t="str">
        <f t="shared" si="5"/>
        <v/>
      </c>
      <c r="AB214" s="15" t="str">
        <f t="shared" si="6"/>
        <v/>
      </c>
      <c r="AC214" s="15" t="str">
        <f t="shared" si="7"/>
        <v/>
      </c>
      <c r="AD214" s="15"/>
      <c r="AE214" s="15" t="str">
        <f>IFERROR(__xludf.DUMMYFUNCTION("""COMPUTED_VALUE"""),"Quals 70")</f>
        <v>Quals 70</v>
      </c>
      <c r="AF214" s="15">
        <f>IFERROR(__xludf.DUMMYFUNCTION("""COMPUTED_VALUE"""),325.0)</f>
        <v>325</v>
      </c>
      <c r="AG214" s="15"/>
      <c r="AH214" s="15"/>
      <c r="AI214" s="15"/>
      <c r="AJ214" s="15">
        <f>IFERROR(__xludf.DUMMYFUNCTION("""COMPUTED_VALUE"""),2338.0)</f>
        <v>2338</v>
      </c>
      <c r="AK214" s="15"/>
      <c r="AL214" s="15"/>
      <c r="AM214" s="15"/>
      <c r="AN214" s="15">
        <f>IFERROR(__xludf.DUMMYFUNCTION("""COMPUTED_VALUE"""),2614.0)</f>
        <v>2614</v>
      </c>
      <c r="AO214" s="15"/>
      <c r="AP214" s="15"/>
      <c r="AQ214" s="15"/>
      <c r="AR214" s="15">
        <f>IFERROR(__xludf.DUMMYFUNCTION("""COMPUTED_VALUE"""),75.0)</f>
        <v>75</v>
      </c>
      <c r="AS214" s="15"/>
    </row>
    <row r="215">
      <c r="A215" s="73">
        <v>214.0</v>
      </c>
      <c r="W215" s="15">
        <f t="shared" si="2"/>
        <v>1</v>
      </c>
      <c r="X215" s="15" t="str">
        <f t="shared" si="8"/>
        <v/>
      </c>
      <c r="Y215" s="15" t="str">
        <f t="shared" si="3"/>
        <v/>
      </c>
      <c r="Z215" s="15" t="str">
        <f t="shared" si="4"/>
        <v/>
      </c>
      <c r="AA215" s="15" t="str">
        <f t="shared" si="5"/>
        <v/>
      </c>
      <c r="AB215" s="15" t="str">
        <f t="shared" si="6"/>
        <v/>
      </c>
      <c r="AC215" s="15" t="str">
        <f t="shared" si="7"/>
        <v/>
      </c>
      <c r="AD215" s="15"/>
      <c r="AE215" s="15"/>
      <c r="AF215" s="15">
        <f>IFERROR(__xludf.DUMMYFUNCTION("""COMPUTED_VALUE"""),7457.0)</f>
        <v>7457</v>
      </c>
      <c r="AG215" s="15"/>
      <c r="AH215" s="15"/>
      <c r="AI215" s="15"/>
      <c r="AJ215" s="15">
        <f>IFERROR(__xludf.DUMMYFUNCTION("""COMPUTED_VALUE"""),694.0)</f>
        <v>694</v>
      </c>
      <c r="AK215" s="15"/>
      <c r="AL215" s="15"/>
      <c r="AM215" s="15"/>
      <c r="AN215" s="15">
        <f>IFERROR(__xludf.DUMMYFUNCTION("""COMPUTED_VALUE"""),4028.0)</f>
        <v>4028</v>
      </c>
      <c r="AO215" s="15"/>
      <c r="AP215" s="15"/>
      <c r="AQ215" s="15"/>
      <c r="AR215" s="15">
        <f>IFERROR(__xludf.DUMMYFUNCTION("""COMPUTED_VALUE"""),116.0)</f>
        <v>116</v>
      </c>
      <c r="AS215" s="15"/>
    </row>
    <row r="216">
      <c r="A216" s="73">
        <v>215.0</v>
      </c>
      <c r="W216" s="15">
        <f t="shared" si="2"/>
        <v>2</v>
      </c>
      <c r="X216" s="15">
        <f t="shared" si="8"/>
        <v>2363</v>
      </c>
      <c r="Y216" s="15">
        <f t="shared" si="3"/>
        <v>4143</v>
      </c>
      <c r="Z216" s="15">
        <f t="shared" si="4"/>
        <v>195</v>
      </c>
      <c r="AA216" s="15">
        <f t="shared" si="5"/>
        <v>2075</v>
      </c>
      <c r="AB216" s="15">
        <f t="shared" si="6"/>
        <v>234</v>
      </c>
      <c r="AC216" s="15">
        <f t="shared" si="7"/>
        <v>2539</v>
      </c>
      <c r="AD216" s="15"/>
      <c r="AE216" s="15" t="str">
        <f>IFERROR(__xludf.DUMMYFUNCTION("""COMPUTED_VALUE"""),"Quals 71")</f>
        <v>Quals 71</v>
      </c>
      <c r="AF216" s="15">
        <f>IFERROR(__xludf.DUMMYFUNCTION("""COMPUTED_VALUE"""),2363.0)</f>
        <v>2363</v>
      </c>
      <c r="AG216" s="15"/>
      <c r="AH216" s="15">
        <f>IFERROR(__xludf.DUMMYFUNCTION("""COMPUTED_VALUE"""),4143.0)</f>
        <v>4143</v>
      </c>
      <c r="AI216" s="15"/>
      <c r="AJ216" s="15">
        <f>IFERROR(__xludf.DUMMYFUNCTION("""COMPUTED_VALUE"""),195.0)</f>
        <v>195</v>
      </c>
      <c r="AK216" s="15"/>
      <c r="AL216" s="15">
        <f>IFERROR(__xludf.DUMMYFUNCTION("""COMPUTED_VALUE"""),2075.0)</f>
        <v>2075</v>
      </c>
      <c r="AM216" s="15"/>
      <c r="AN216" s="15">
        <f>IFERROR(__xludf.DUMMYFUNCTION("""COMPUTED_VALUE"""),234.0)</f>
        <v>234</v>
      </c>
      <c r="AO216" s="15"/>
      <c r="AP216" s="15">
        <f>IFERROR(__xludf.DUMMYFUNCTION("""COMPUTED_VALUE"""),2539.0)</f>
        <v>2539</v>
      </c>
      <c r="AQ216" s="15"/>
      <c r="AR216" s="15">
        <f>IFERROR(__xludf.DUMMYFUNCTION("""COMPUTED_VALUE"""),130.0)</f>
        <v>130</v>
      </c>
      <c r="AS216" s="15">
        <f>IFERROR(__xludf.DUMMYFUNCTION("""COMPUTED_VALUE"""),125.0)</f>
        <v>125</v>
      </c>
    </row>
    <row r="217">
      <c r="A217" s="73">
        <v>216.0</v>
      </c>
      <c r="W217" s="15">
        <f t="shared" si="2"/>
        <v>0</v>
      </c>
      <c r="X217" s="15" t="str">
        <f t="shared" si="8"/>
        <v/>
      </c>
      <c r="Y217" s="15" t="str">
        <f t="shared" si="3"/>
        <v/>
      </c>
      <c r="Z217" s="15" t="str">
        <f t="shared" si="4"/>
        <v/>
      </c>
      <c r="AA217" s="15" t="str">
        <f t="shared" si="5"/>
        <v/>
      </c>
      <c r="AB217" s="15" t="str">
        <f t="shared" si="6"/>
        <v/>
      </c>
      <c r="AC217" s="15" t="str">
        <f t="shared" si="7"/>
        <v/>
      </c>
      <c r="AD217" s="15"/>
      <c r="AE217" s="15" t="str">
        <f>IFERROR(__xludf.DUMMYFUNCTION("""COMPUTED_VALUE"""),"Quals 71")</f>
        <v>Quals 71</v>
      </c>
      <c r="AF217" s="15">
        <f>IFERROR(__xludf.DUMMYFUNCTION("""COMPUTED_VALUE"""),2363.0)</f>
        <v>2363</v>
      </c>
      <c r="AG217" s="15"/>
      <c r="AH217" s="15"/>
      <c r="AI217" s="15"/>
      <c r="AJ217" s="15">
        <f>IFERROR(__xludf.DUMMYFUNCTION("""COMPUTED_VALUE"""),4143.0)</f>
        <v>4143</v>
      </c>
      <c r="AK217" s="15"/>
      <c r="AL217" s="15"/>
      <c r="AM217" s="15"/>
      <c r="AN217" s="15">
        <f>IFERROR(__xludf.DUMMYFUNCTION("""COMPUTED_VALUE"""),195.0)</f>
        <v>195</v>
      </c>
      <c r="AO217" s="15"/>
      <c r="AP217" s="15"/>
      <c r="AQ217" s="15"/>
      <c r="AR217" s="15">
        <f>IFERROR(__xludf.DUMMYFUNCTION("""COMPUTED_VALUE"""),130.0)</f>
        <v>130</v>
      </c>
      <c r="AS217" s="15"/>
    </row>
    <row r="218">
      <c r="A218" s="73">
        <v>217.0</v>
      </c>
      <c r="W218" s="15">
        <f t="shared" si="2"/>
        <v>1</v>
      </c>
      <c r="X218" s="15" t="str">
        <f t="shared" si="8"/>
        <v/>
      </c>
      <c r="Y218" s="15" t="str">
        <f t="shared" si="3"/>
        <v/>
      </c>
      <c r="Z218" s="15" t="str">
        <f t="shared" si="4"/>
        <v/>
      </c>
      <c r="AA218" s="15" t="str">
        <f t="shared" si="5"/>
        <v/>
      </c>
      <c r="AB218" s="15" t="str">
        <f t="shared" si="6"/>
        <v/>
      </c>
      <c r="AC218" s="15" t="str">
        <f t="shared" si="7"/>
        <v/>
      </c>
      <c r="AD218" s="15"/>
      <c r="AE218" s="15"/>
      <c r="AF218" s="15">
        <f>IFERROR(__xludf.DUMMYFUNCTION("""COMPUTED_VALUE"""),2075.0)</f>
        <v>2075</v>
      </c>
      <c r="AG218" s="15"/>
      <c r="AH218" s="15"/>
      <c r="AI218" s="15"/>
      <c r="AJ218" s="15">
        <f>IFERROR(__xludf.DUMMYFUNCTION("""COMPUTED_VALUE"""),234.0)</f>
        <v>234</v>
      </c>
      <c r="AK218" s="15"/>
      <c r="AL218" s="15"/>
      <c r="AM218" s="15"/>
      <c r="AN218" s="15">
        <f>IFERROR(__xludf.DUMMYFUNCTION("""COMPUTED_VALUE"""),2539.0)</f>
        <v>2539</v>
      </c>
      <c r="AO218" s="15"/>
      <c r="AP218" s="15"/>
      <c r="AQ218" s="15"/>
      <c r="AR218" s="15">
        <f>IFERROR(__xludf.DUMMYFUNCTION("""COMPUTED_VALUE"""),125.0)</f>
        <v>125</v>
      </c>
      <c r="AS218" s="15"/>
    </row>
    <row r="219">
      <c r="A219" s="73">
        <v>218.0</v>
      </c>
      <c r="W219" s="15">
        <f t="shared" si="2"/>
        <v>2</v>
      </c>
      <c r="X219" s="15">
        <f t="shared" si="8"/>
        <v>587</v>
      </c>
      <c r="Y219" s="15">
        <f t="shared" si="3"/>
        <v>4099</v>
      </c>
      <c r="Z219" s="15">
        <f t="shared" si="4"/>
        <v>5010</v>
      </c>
      <c r="AA219" s="15">
        <f t="shared" si="5"/>
        <v>2767</v>
      </c>
      <c r="AB219" s="15">
        <f t="shared" si="6"/>
        <v>180</v>
      </c>
      <c r="AC219" s="15">
        <f t="shared" si="7"/>
        <v>1987</v>
      </c>
      <c r="AD219" s="15"/>
      <c r="AE219" s="15" t="str">
        <f>IFERROR(__xludf.DUMMYFUNCTION("""COMPUTED_VALUE"""),"Quals 72")</f>
        <v>Quals 72</v>
      </c>
      <c r="AF219" s="15">
        <f>IFERROR(__xludf.DUMMYFUNCTION("""COMPUTED_VALUE"""),587.0)</f>
        <v>587</v>
      </c>
      <c r="AG219" s="15"/>
      <c r="AH219" s="15">
        <f>IFERROR(__xludf.DUMMYFUNCTION("""COMPUTED_VALUE"""),4099.0)</f>
        <v>4099</v>
      </c>
      <c r="AI219" s="15"/>
      <c r="AJ219" s="15">
        <f>IFERROR(__xludf.DUMMYFUNCTION("""COMPUTED_VALUE"""),5010.0)</f>
        <v>5010</v>
      </c>
      <c r="AK219" s="15"/>
      <c r="AL219" s="15">
        <f>IFERROR(__xludf.DUMMYFUNCTION("""COMPUTED_VALUE"""),2767.0)</f>
        <v>2767</v>
      </c>
      <c r="AM219" s="15"/>
      <c r="AN219" s="15">
        <f>IFERROR(__xludf.DUMMYFUNCTION("""COMPUTED_VALUE"""),180.0)</f>
        <v>180</v>
      </c>
      <c r="AO219" s="15"/>
      <c r="AP219" s="15">
        <f>IFERROR(__xludf.DUMMYFUNCTION("""COMPUTED_VALUE"""),1987.0)</f>
        <v>1987</v>
      </c>
      <c r="AQ219" s="15"/>
      <c r="AR219" s="15">
        <f>IFERROR(__xludf.DUMMYFUNCTION("""COMPUTED_VALUE"""),78.0)</f>
        <v>78</v>
      </c>
      <c r="AS219" s="15">
        <f>IFERROR(__xludf.DUMMYFUNCTION("""COMPUTED_VALUE"""),127.0)</f>
        <v>127</v>
      </c>
    </row>
    <row r="220">
      <c r="A220" s="73">
        <v>219.0</v>
      </c>
      <c r="W220" s="15">
        <f t="shared" si="2"/>
        <v>0</v>
      </c>
      <c r="X220" s="15" t="str">
        <f t="shared" si="8"/>
        <v/>
      </c>
      <c r="Y220" s="15" t="str">
        <f t="shared" si="3"/>
        <v/>
      </c>
      <c r="Z220" s="15" t="str">
        <f t="shared" si="4"/>
        <v/>
      </c>
      <c r="AA220" s="15" t="str">
        <f t="shared" si="5"/>
        <v/>
      </c>
      <c r="AB220" s="15" t="str">
        <f t="shared" si="6"/>
        <v/>
      </c>
      <c r="AC220" s="15" t="str">
        <f t="shared" si="7"/>
        <v/>
      </c>
      <c r="AD220" s="15"/>
      <c r="AE220" s="15" t="str">
        <f>IFERROR(__xludf.DUMMYFUNCTION("""COMPUTED_VALUE"""),"Quals 72")</f>
        <v>Quals 72</v>
      </c>
      <c r="AF220" s="15">
        <f>IFERROR(__xludf.DUMMYFUNCTION("""COMPUTED_VALUE"""),587.0)</f>
        <v>587</v>
      </c>
      <c r="AG220" s="15"/>
      <c r="AH220" s="15"/>
      <c r="AI220" s="15"/>
      <c r="AJ220" s="15">
        <f>IFERROR(__xludf.DUMMYFUNCTION("""COMPUTED_VALUE"""),4099.0)</f>
        <v>4099</v>
      </c>
      <c r="AK220" s="15"/>
      <c r="AL220" s="15"/>
      <c r="AM220" s="15"/>
      <c r="AN220" s="15">
        <f>IFERROR(__xludf.DUMMYFUNCTION("""COMPUTED_VALUE"""),5010.0)</f>
        <v>5010</v>
      </c>
      <c r="AO220" s="15"/>
      <c r="AP220" s="15"/>
      <c r="AQ220" s="15"/>
      <c r="AR220" s="15">
        <f>IFERROR(__xludf.DUMMYFUNCTION("""COMPUTED_VALUE"""),78.0)</f>
        <v>78</v>
      </c>
      <c r="AS220" s="15"/>
    </row>
    <row r="221">
      <c r="A221" s="73">
        <v>220.0</v>
      </c>
      <c r="W221" s="15">
        <f t="shared" si="2"/>
        <v>1</v>
      </c>
      <c r="X221" s="15" t="str">
        <f t="shared" si="8"/>
        <v/>
      </c>
      <c r="Y221" s="15" t="str">
        <f t="shared" si="3"/>
        <v/>
      </c>
      <c r="Z221" s="15" t="str">
        <f t="shared" si="4"/>
        <v/>
      </c>
      <c r="AA221" s="15" t="str">
        <f t="shared" si="5"/>
        <v/>
      </c>
      <c r="AB221" s="15" t="str">
        <f t="shared" si="6"/>
        <v/>
      </c>
      <c r="AC221" s="15" t="str">
        <f t="shared" si="7"/>
        <v/>
      </c>
      <c r="AD221" s="15"/>
      <c r="AE221" s="15"/>
      <c r="AF221" s="15">
        <f>IFERROR(__xludf.DUMMYFUNCTION("""COMPUTED_VALUE"""),2767.0)</f>
        <v>2767</v>
      </c>
      <c r="AG221" s="15"/>
      <c r="AH221" s="15"/>
      <c r="AI221" s="15"/>
      <c r="AJ221" s="15">
        <f>IFERROR(__xludf.DUMMYFUNCTION("""COMPUTED_VALUE"""),180.0)</f>
        <v>180</v>
      </c>
      <c r="AK221" s="15"/>
      <c r="AL221" s="15"/>
      <c r="AM221" s="15"/>
      <c r="AN221" s="15">
        <f>IFERROR(__xludf.DUMMYFUNCTION("""COMPUTED_VALUE"""),1987.0)</f>
        <v>1987</v>
      </c>
      <c r="AO221" s="15"/>
      <c r="AP221" s="15"/>
      <c r="AQ221" s="15"/>
      <c r="AR221" s="15">
        <f>IFERROR(__xludf.DUMMYFUNCTION("""COMPUTED_VALUE"""),127.0)</f>
        <v>127</v>
      </c>
      <c r="AS221" s="15"/>
    </row>
    <row r="222">
      <c r="A222" s="73">
        <v>221.0</v>
      </c>
      <c r="W222" s="15">
        <f t="shared" si="2"/>
        <v>2</v>
      </c>
      <c r="X222" s="15">
        <f t="shared" si="8"/>
        <v>829</v>
      </c>
      <c r="Y222" s="15">
        <f t="shared" si="3"/>
        <v>1720</v>
      </c>
      <c r="Z222" s="15">
        <f t="shared" si="4"/>
        <v>67</v>
      </c>
      <c r="AA222" s="15">
        <f t="shared" si="5"/>
        <v>5712</v>
      </c>
      <c r="AB222" s="15">
        <f t="shared" si="6"/>
        <v>340</v>
      </c>
      <c r="AC222" s="15">
        <f t="shared" si="7"/>
        <v>3538</v>
      </c>
      <c r="AD222" s="15"/>
      <c r="AE222" s="15" t="str">
        <f>IFERROR(__xludf.DUMMYFUNCTION("""COMPUTED_VALUE"""),"Quals 73")</f>
        <v>Quals 73</v>
      </c>
      <c r="AF222" s="15">
        <f>IFERROR(__xludf.DUMMYFUNCTION("""COMPUTED_VALUE"""),829.0)</f>
        <v>829</v>
      </c>
      <c r="AG222" s="15"/>
      <c r="AH222" s="15">
        <f>IFERROR(__xludf.DUMMYFUNCTION("""COMPUTED_VALUE"""),1720.0)</f>
        <v>1720</v>
      </c>
      <c r="AI222" s="15"/>
      <c r="AJ222" s="15">
        <f>IFERROR(__xludf.DUMMYFUNCTION("""COMPUTED_VALUE"""),67.0)</f>
        <v>67</v>
      </c>
      <c r="AK222" s="15"/>
      <c r="AL222" s="15">
        <f>IFERROR(__xludf.DUMMYFUNCTION("""COMPUTED_VALUE"""),5712.0)</f>
        <v>5712</v>
      </c>
      <c r="AM222" s="15"/>
      <c r="AN222" s="15">
        <f>IFERROR(__xludf.DUMMYFUNCTION("""COMPUTED_VALUE"""),340.0)</f>
        <v>340</v>
      </c>
      <c r="AO222" s="15"/>
      <c r="AP222" s="15">
        <f>IFERROR(__xludf.DUMMYFUNCTION("""COMPUTED_VALUE"""),3538.0)</f>
        <v>3538</v>
      </c>
      <c r="AQ222" s="15"/>
      <c r="AR222" s="15">
        <f>IFERROR(__xludf.DUMMYFUNCTION("""COMPUTED_VALUE"""),97.0)</f>
        <v>97</v>
      </c>
      <c r="AS222" s="15">
        <f>IFERROR(__xludf.DUMMYFUNCTION("""COMPUTED_VALUE"""),137.0)</f>
        <v>137</v>
      </c>
    </row>
    <row r="223">
      <c r="A223" s="73">
        <v>222.0</v>
      </c>
      <c r="W223" s="15">
        <f t="shared" si="2"/>
        <v>0</v>
      </c>
      <c r="X223" s="15" t="str">
        <f t="shared" si="8"/>
        <v/>
      </c>
      <c r="Y223" s="15" t="str">
        <f t="shared" si="3"/>
        <v/>
      </c>
      <c r="Z223" s="15" t="str">
        <f t="shared" si="4"/>
        <v/>
      </c>
      <c r="AA223" s="15" t="str">
        <f t="shared" si="5"/>
        <v/>
      </c>
      <c r="AB223" s="15" t="str">
        <f t="shared" si="6"/>
        <v/>
      </c>
      <c r="AC223" s="15" t="str">
        <f t="shared" si="7"/>
        <v/>
      </c>
      <c r="AD223" s="15"/>
      <c r="AE223" s="15" t="str">
        <f>IFERROR(__xludf.DUMMYFUNCTION("""COMPUTED_VALUE"""),"Quals 73")</f>
        <v>Quals 73</v>
      </c>
      <c r="AF223" s="15">
        <f>IFERROR(__xludf.DUMMYFUNCTION("""COMPUTED_VALUE"""),829.0)</f>
        <v>829</v>
      </c>
      <c r="AG223" s="15"/>
      <c r="AH223" s="15"/>
      <c r="AI223" s="15"/>
      <c r="AJ223" s="15">
        <f>IFERROR(__xludf.DUMMYFUNCTION("""COMPUTED_VALUE"""),1720.0)</f>
        <v>1720</v>
      </c>
      <c r="AK223" s="15"/>
      <c r="AL223" s="15"/>
      <c r="AM223" s="15"/>
      <c r="AN223" s="15">
        <f>IFERROR(__xludf.DUMMYFUNCTION("""COMPUTED_VALUE"""),67.0)</f>
        <v>67</v>
      </c>
      <c r="AO223" s="15"/>
      <c r="AP223" s="15"/>
      <c r="AQ223" s="15"/>
      <c r="AR223" s="15">
        <f>IFERROR(__xludf.DUMMYFUNCTION("""COMPUTED_VALUE"""),97.0)</f>
        <v>97</v>
      </c>
      <c r="AS223" s="15"/>
    </row>
    <row r="224">
      <c r="A224" s="73">
        <v>223.0</v>
      </c>
      <c r="W224" s="15">
        <f t="shared" si="2"/>
        <v>1</v>
      </c>
      <c r="X224" s="15" t="str">
        <f t="shared" si="8"/>
        <v/>
      </c>
      <c r="Y224" s="15" t="str">
        <f t="shared" si="3"/>
        <v/>
      </c>
      <c r="Z224" s="15" t="str">
        <f t="shared" si="4"/>
        <v/>
      </c>
      <c r="AA224" s="15" t="str">
        <f t="shared" si="5"/>
        <v/>
      </c>
      <c r="AB224" s="15" t="str">
        <f t="shared" si="6"/>
        <v/>
      </c>
      <c r="AC224" s="15" t="str">
        <f t="shared" si="7"/>
        <v/>
      </c>
      <c r="AD224" s="15"/>
      <c r="AE224" s="15"/>
      <c r="AF224" s="15">
        <f>IFERROR(__xludf.DUMMYFUNCTION("""COMPUTED_VALUE"""),5712.0)</f>
        <v>5712</v>
      </c>
      <c r="AG224" s="15"/>
      <c r="AH224" s="15"/>
      <c r="AI224" s="15"/>
      <c r="AJ224" s="15">
        <f>IFERROR(__xludf.DUMMYFUNCTION("""COMPUTED_VALUE"""),340.0)</f>
        <v>340</v>
      </c>
      <c r="AK224" s="15"/>
      <c r="AL224" s="15"/>
      <c r="AM224" s="15"/>
      <c r="AN224" s="15">
        <f>IFERROR(__xludf.DUMMYFUNCTION("""COMPUTED_VALUE"""),3538.0)</f>
        <v>3538</v>
      </c>
      <c r="AO224" s="15"/>
      <c r="AP224" s="15"/>
      <c r="AQ224" s="15"/>
      <c r="AR224" s="15">
        <f>IFERROR(__xludf.DUMMYFUNCTION("""COMPUTED_VALUE"""),137.0)</f>
        <v>137</v>
      </c>
      <c r="AS224" s="15"/>
    </row>
    <row r="225">
      <c r="A225" s="73">
        <v>224.0</v>
      </c>
      <c r="W225" s="15">
        <f t="shared" si="2"/>
        <v>2</v>
      </c>
      <c r="X225" s="15">
        <f t="shared" si="8"/>
        <v>1024</v>
      </c>
      <c r="Y225" s="15">
        <f t="shared" si="3"/>
        <v>33</v>
      </c>
      <c r="Z225" s="15">
        <f t="shared" si="4"/>
        <v>624</v>
      </c>
      <c r="AA225" s="15">
        <f t="shared" si="5"/>
        <v>5406</v>
      </c>
      <c r="AB225" s="15">
        <f t="shared" si="6"/>
        <v>4265</v>
      </c>
      <c r="AC225" s="15">
        <f t="shared" si="7"/>
        <v>4499</v>
      </c>
      <c r="AD225" s="15"/>
      <c r="AE225" s="15" t="str">
        <f>IFERROR(__xludf.DUMMYFUNCTION("""COMPUTED_VALUE"""),"Quals 74")</f>
        <v>Quals 74</v>
      </c>
      <c r="AF225" s="15">
        <f>IFERROR(__xludf.DUMMYFUNCTION("""COMPUTED_VALUE"""),1024.0)</f>
        <v>1024</v>
      </c>
      <c r="AG225" s="15"/>
      <c r="AH225" s="15">
        <f>IFERROR(__xludf.DUMMYFUNCTION("""COMPUTED_VALUE"""),33.0)</f>
        <v>33</v>
      </c>
      <c r="AI225" s="15"/>
      <c r="AJ225" s="15">
        <f>IFERROR(__xludf.DUMMYFUNCTION("""COMPUTED_VALUE"""),624.0)</f>
        <v>624</v>
      </c>
      <c r="AK225" s="15"/>
      <c r="AL225" s="15">
        <f>IFERROR(__xludf.DUMMYFUNCTION("""COMPUTED_VALUE"""),5406.0)</f>
        <v>5406</v>
      </c>
      <c r="AM225" s="15"/>
      <c r="AN225" s="15">
        <f>IFERROR(__xludf.DUMMYFUNCTION("""COMPUTED_VALUE"""),4265.0)</f>
        <v>4265</v>
      </c>
      <c r="AO225" s="15"/>
      <c r="AP225" s="15">
        <f>IFERROR(__xludf.DUMMYFUNCTION("""COMPUTED_VALUE"""),4499.0)</f>
        <v>4499</v>
      </c>
      <c r="AQ225" s="15"/>
      <c r="AR225" s="15">
        <f>IFERROR(__xludf.DUMMYFUNCTION("""COMPUTED_VALUE"""),124.0)</f>
        <v>124</v>
      </c>
      <c r="AS225" s="15">
        <f>IFERROR(__xludf.DUMMYFUNCTION("""COMPUTED_VALUE"""),145.0)</f>
        <v>145</v>
      </c>
    </row>
    <row r="226">
      <c r="A226" s="73">
        <v>225.0</v>
      </c>
      <c r="W226" s="15">
        <f t="shared" si="2"/>
        <v>0</v>
      </c>
      <c r="X226" s="15" t="str">
        <f t="shared" si="8"/>
        <v/>
      </c>
      <c r="Y226" s="15" t="str">
        <f t="shared" si="3"/>
        <v/>
      </c>
      <c r="Z226" s="15" t="str">
        <f t="shared" si="4"/>
        <v/>
      </c>
      <c r="AA226" s="15" t="str">
        <f t="shared" si="5"/>
        <v/>
      </c>
      <c r="AB226" s="15" t="str">
        <f t="shared" si="6"/>
        <v/>
      </c>
      <c r="AC226" s="15" t="str">
        <f t="shared" si="7"/>
        <v/>
      </c>
      <c r="AD226" s="15"/>
      <c r="AE226" s="15" t="str">
        <f>IFERROR(__xludf.DUMMYFUNCTION("""COMPUTED_VALUE"""),"Quals 74")</f>
        <v>Quals 74</v>
      </c>
      <c r="AF226" s="15">
        <f>IFERROR(__xludf.DUMMYFUNCTION("""COMPUTED_VALUE"""),1024.0)</f>
        <v>1024</v>
      </c>
      <c r="AG226" s="15"/>
      <c r="AH226" s="15"/>
      <c r="AI226" s="15"/>
      <c r="AJ226" s="15">
        <f>IFERROR(__xludf.DUMMYFUNCTION("""COMPUTED_VALUE"""),33.0)</f>
        <v>33</v>
      </c>
      <c r="AK226" s="15"/>
      <c r="AL226" s="15"/>
      <c r="AM226" s="15"/>
      <c r="AN226" s="15">
        <f>IFERROR(__xludf.DUMMYFUNCTION("""COMPUTED_VALUE"""),624.0)</f>
        <v>624</v>
      </c>
      <c r="AO226" s="15"/>
      <c r="AP226" s="15"/>
      <c r="AQ226" s="15"/>
      <c r="AR226" s="15">
        <f>IFERROR(__xludf.DUMMYFUNCTION("""COMPUTED_VALUE"""),124.0)</f>
        <v>124</v>
      </c>
      <c r="AS226" s="15"/>
    </row>
    <row r="227">
      <c r="A227" s="73">
        <v>226.0</v>
      </c>
      <c r="W227" s="15">
        <f t="shared" si="2"/>
        <v>1</v>
      </c>
      <c r="X227" s="15" t="str">
        <f t="shared" si="8"/>
        <v/>
      </c>
      <c r="Y227" s="15" t="str">
        <f t="shared" si="3"/>
        <v/>
      </c>
      <c r="Z227" s="15" t="str">
        <f t="shared" si="4"/>
        <v/>
      </c>
      <c r="AA227" s="15" t="str">
        <f t="shared" si="5"/>
        <v/>
      </c>
      <c r="AB227" s="15" t="str">
        <f t="shared" si="6"/>
        <v/>
      </c>
      <c r="AC227" s="15" t="str">
        <f t="shared" si="7"/>
        <v/>
      </c>
      <c r="AD227" s="15"/>
      <c r="AE227" s="15"/>
      <c r="AF227" s="15">
        <f>IFERROR(__xludf.DUMMYFUNCTION("""COMPUTED_VALUE"""),5406.0)</f>
        <v>5406</v>
      </c>
      <c r="AG227" s="15"/>
      <c r="AH227" s="15"/>
      <c r="AI227" s="15"/>
      <c r="AJ227" s="15">
        <f>IFERROR(__xludf.DUMMYFUNCTION("""COMPUTED_VALUE"""),4265.0)</f>
        <v>4265</v>
      </c>
      <c r="AK227" s="15"/>
      <c r="AL227" s="15"/>
      <c r="AM227" s="15"/>
      <c r="AN227" s="15">
        <f>IFERROR(__xludf.DUMMYFUNCTION("""COMPUTED_VALUE"""),4499.0)</f>
        <v>4499</v>
      </c>
      <c r="AO227" s="15"/>
      <c r="AP227" s="15"/>
      <c r="AQ227" s="15"/>
      <c r="AR227" s="15">
        <f>IFERROR(__xludf.DUMMYFUNCTION("""COMPUTED_VALUE"""),145.0)</f>
        <v>145</v>
      </c>
      <c r="AS227" s="15"/>
    </row>
    <row r="228">
      <c r="A228" s="73">
        <v>227.0</v>
      </c>
      <c r="W228" s="15">
        <f t="shared" si="2"/>
        <v>2</v>
      </c>
      <c r="X228" s="15">
        <f t="shared" si="8"/>
        <v>4028</v>
      </c>
      <c r="Y228" s="15">
        <f t="shared" si="3"/>
        <v>1730</v>
      </c>
      <c r="Z228" s="15">
        <f t="shared" si="4"/>
        <v>2468</v>
      </c>
      <c r="AA228" s="15">
        <f t="shared" si="5"/>
        <v>3175</v>
      </c>
      <c r="AB228" s="15">
        <f t="shared" si="6"/>
        <v>3176</v>
      </c>
      <c r="AC228" s="15">
        <f t="shared" si="7"/>
        <v>3940</v>
      </c>
      <c r="AD228" s="15"/>
      <c r="AE228" s="15" t="str">
        <f>IFERROR(__xludf.DUMMYFUNCTION("""COMPUTED_VALUE"""),"Quals 75")</f>
        <v>Quals 75</v>
      </c>
      <c r="AF228" s="15">
        <f>IFERROR(__xludf.DUMMYFUNCTION("""COMPUTED_VALUE"""),4028.0)</f>
        <v>4028</v>
      </c>
      <c r="AG228" s="15"/>
      <c r="AH228" s="15">
        <f>IFERROR(__xludf.DUMMYFUNCTION("""COMPUTED_VALUE"""),1730.0)</f>
        <v>1730</v>
      </c>
      <c r="AI228" s="15"/>
      <c r="AJ228" s="15">
        <f>IFERROR(__xludf.DUMMYFUNCTION("""COMPUTED_VALUE"""),2468.0)</f>
        <v>2468</v>
      </c>
      <c r="AK228" s="15"/>
      <c r="AL228" s="15">
        <f>IFERROR(__xludf.DUMMYFUNCTION("""COMPUTED_VALUE"""),3175.0)</f>
        <v>3175</v>
      </c>
      <c r="AM228" s="15"/>
      <c r="AN228" s="15">
        <f>IFERROR(__xludf.DUMMYFUNCTION("""COMPUTED_VALUE"""),3176.0)</f>
        <v>3176</v>
      </c>
      <c r="AO228" s="15"/>
      <c r="AP228" s="15">
        <f>IFERROR(__xludf.DUMMYFUNCTION("""COMPUTED_VALUE"""),3940.0)</f>
        <v>3940</v>
      </c>
      <c r="AQ228" s="15"/>
      <c r="AR228" s="15">
        <f>IFERROR(__xludf.DUMMYFUNCTION("""COMPUTED_VALUE"""),105.0)</f>
        <v>105</v>
      </c>
      <c r="AS228" s="15">
        <f>IFERROR(__xludf.DUMMYFUNCTION("""COMPUTED_VALUE"""),107.0)</f>
        <v>107</v>
      </c>
    </row>
    <row r="229">
      <c r="A229" s="73">
        <v>228.0</v>
      </c>
      <c r="W229" s="15">
        <f t="shared" si="2"/>
        <v>0</v>
      </c>
      <c r="X229" s="15" t="str">
        <f t="shared" si="8"/>
        <v/>
      </c>
      <c r="Y229" s="15" t="str">
        <f t="shared" si="3"/>
        <v/>
      </c>
      <c r="Z229" s="15" t="str">
        <f t="shared" si="4"/>
        <v/>
      </c>
      <c r="AA229" s="15" t="str">
        <f t="shared" si="5"/>
        <v/>
      </c>
      <c r="AB229" s="15" t="str">
        <f t="shared" si="6"/>
        <v/>
      </c>
      <c r="AC229" s="15" t="str">
        <f t="shared" si="7"/>
        <v/>
      </c>
      <c r="AD229" s="15"/>
      <c r="AE229" s="15" t="str">
        <f>IFERROR(__xludf.DUMMYFUNCTION("""COMPUTED_VALUE"""),"Quals 75")</f>
        <v>Quals 75</v>
      </c>
      <c r="AF229" s="15">
        <f>IFERROR(__xludf.DUMMYFUNCTION("""COMPUTED_VALUE"""),4028.0)</f>
        <v>4028</v>
      </c>
      <c r="AG229" s="15"/>
      <c r="AH229" s="15"/>
      <c r="AI229" s="15"/>
      <c r="AJ229" s="15">
        <f>IFERROR(__xludf.DUMMYFUNCTION("""COMPUTED_VALUE"""),1730.0)</f>
        <v>1730</v>
      </c>
      <c r="AK229" s="15"/>
      <c r="AL229" s="15"/>
      <c r="AM229" s="15"/>
      <c r="AN229" s="15">
        <f>IFERROR(__xludf.DUMMYFUNCTION("""COMPUTED_VALUE"""),2468.0)</f>
        <v>2468</v>
      </c>
      <c r="AO229" s="15"/>
      <c r="AP229" s="15"/>
      <c r="AQ229" s="15"/>
      <c r="AR229" s="15">
        <f>IFERROR(__xludf.DUMMYFUNCTION("""COMPUTED_VALUE"""),105.0)</f>
        <v>105</v>
      </c>
      <c r="AS229" s="15"/>
    </row>
    <row r="230">
      <c r="A230" s="73">
        <v>229.0</v>
      </c>
      <c r="W230" s="15">
        <f t="shared" si="2"/>
        <v>1</v>
      </c>
      <c r="X230" s="15" t="str">
        <f t="shared" si="8"/>
        <v/>
      </c>
      <c r="Y230" s="15" t="str">
        <f t="shared" si="3"/>
        <v/>
      </c>
      <c r="Z230" s="15" t="str">
        <f t="shared" si="4"/>
        <v/>
      </c>
      <c r="AA230" s="15" t="str">
        <f t="shared" si="5"/>
        <v/>
      </c>
      <c r="AB230" s="15" t="str">
        <f t="shared" si="6"/>
        <v/>
      </c>
      <c r="AC230" s="15" t="str">
        <f t="shared" si="7"/>
        <v/>
      </c>
      <c r="AD230" s="15"/>
      <c r="AE230" s="15"/>
      <c r="AF230" s="15">
        <f>IFERROR(__xludf.DUMMYFUNCTION("""COMPUTED_VALUE"""),3175.0)</f>
        <v>3175</v>
      </c>
      <c r="AG230" s="15"/>
      <c r="AH230" s="15"/>
      <c r="AI230" s="15"/>
      <c r="AJ230" s="15">
        <f>IFERROR(__xludf.DUMMYFUNCTION("""COMPUTED_VALUE"""),3176.0)</f>
        <v>3176</v>
      </c>
      <c r="AK230" s="15"/>
      <c r="AL230" s="15"/>
      <c r="AM230" s="15"/>
      <c r="AN230" s="15">
        <f>IFERROR(__xludf.DUMMYFUNCTION("""COMPUTED_VALUE"""),3940.0)</f>
        <v>3940</v>
      </c>
      <c r="AO230" s="15"/>
      <c r="AP230" s="15"/>
      <c r="AQ230" s="15"/>
      <c r="AR230" s="15">
        <f>IFERROR(__xludf.DUMMYFUNCTION("""COMPUTED_VALUE"""),107.0)</f>
        <v>107</v>
      </c>
      <c r="AS230" s="15"/>
    </row>
    <row r="231">
      <c r="A231" s="73">
        <v>230.0</v>
      </c>
      <c r="W231" s="15">
        <f t="shared" si="2"/>
        <v>2</v>
      </c>
      <c r="X231" s="15">
        <f t="shared" si="8"/>
        <v>1533</v>
      </c>
      <c r="Y231" s="15">
        <f t="shared" si="3"/>
        <v>1706</v>
      </c>
      <c r="Z231" s="15">
        <f t="shared" si="4"/>
        <v>234</v>
      </c>
      <c r="AA231" s="15">
        <f t="shared" si="5"/>
        <v>694</v>
      </c>
      <c r="AB231" s="15">
        <f t="shared" si="6"/>
        <v>1339</v>
      </c>
      <c r="AC231" s="15">
        <f t="shared" si="7"/>
        <v>27</v>
      </c>
      <c r="AD231" s="15"/>
      <c r="AE231" s="15" t="str">
        <f>IFERROR(__xludf.DUMMYFUNCTION("""COMPUTED_VALUE"""),"Quals 76")</f>
        <v>Quals 76</v>
      </c>
      <c r="AF231" s="15">
        <f>IFERROR(__xludf.DUMMYFUNCTION("""COMPUTED_VALUE"""),1533.0)</f>
        <v>1533</v>
      </c>
      <c r="AG231" s="15"/>
      <c r="AH231" s="15">
        <f>IFERROR(__xludf.DUMMYFUNCTION("""COMPUTED_VALUE"""),1706.0)</f>
        <v>1706</v>
      </c>
      <c r="AI231" s="15"/>
      <c r="AJ231" s="15">
        <f>IFERROR(__xludf.DUMMYFUNCTION("""COMPUTED_VALUE"""),234.0)</f>
        <v>234</v>
      </c>
      <c r="AK231" s="15"/>
      <c r="AL231" s="15">
        <f>IFERROR(__xludf.DUMMYFUNCTION("""COMPUTED_VALUE"""),694.0)</f>
        <v>694</v>
      </c>
      <c r="AM231" s="15"/>
      <c r="AN231" s="15">
        <f>IFERROR(__xludf.DUMMYFUNCTION("""COMPUTED_VALUE"""),1339.0)</f>
        <v>1339</v>
      </c>
      <c r="AO231" s="15"/>
      <c r="AP231" s="15">
        <f>IFERROR(__xludf.DUMMYFUNCTION("""COMPUTED_VALUE"""),27.0)</f>
        <v>27</v>
      </c>
      <c r="AQ231" s="15"/>
      <c r="AR231" s="15">
        <f>IFERROR(__xludf.DUMMYFUNCTION("""COMPUTED_VALUE"""),146.0)</f>
        <v>146</v>
      </c>
      <c r="AS231" s="15">
        <f>IFERROR(__xludf.DUMMYFUNCTION("""COMPUTED_VALUE"""),118.0)</f>
        <v>118</v>
      </c>
    </row>
    <row r="232">
      <c r="A232" s="73">
        <v>231.0</v>
      </c>
      <c r="W232" s="15">
        <f t="shared" si="2"/>
        <v>0</v>
      </c>
      <c r="X232" s="15" t="str">
        <f t="shared" si="8"/>
        <v/>
      </c>
      <c r="Y232" s="15" t="str">
        <f t="shared" si="3"/>
        <v/>
      </c>
      <c r="Z232" s="15" t="str">
        <f t="shared" si="4"/>
        <v/>
      </c>
      <c r="AA232" s="15" t="str">
        <f t="shared" si="5"/>
        <v/>
      </c>
      <c r="AB232" s="15" t="str">
        <f t="shared" si="6"/>
        <v/>
      </c>
      <c r="AC232" s="15" t="str">
        <f t="shared" si="7"/>
        <v/>
      </c>
      <c r="AD232" s="15"/>
      <c r="AE232" s="15" t="str">
        <f>IFERROR(__xludf.DUMMYFUNCTION("""COMPUTED_VALUE"""),"Quals 76")</f>
        <v>Quals 76</v>
      </c>
      <c r="AF232" s="15">
        <f>IFERROR(__xludf.DUMMYFUNCTION("""COMPUTED_VALUE"""),1533.0)</f>
        <v>1533</v>
      </c>
      <c r="AG232" s="15"/>
      <c r="AH232" s="15"/>
      <c r="AI232" s="15"/>
      <c r="AJ232" s="15">
        <f>IFERROR(__xludf.DUMMYFUNCTION("""COMPUTED_VALUE"""),1706.0)</f>
        <v>1706</v>
      </c>
      <c r="AK232" s="15"/>
      <c r="AL232" s="15"/>
      <c r="AM232" s="15"/>
      <c r="AN232" s="15">
        <f>IFERROR(__xludf.DUMMYFUNCTION("""COMPUTED_VALUE"""),234.0)</f>
        <v>234</v>
      </c>
      <c r="AO232" s="15"/>
      <c r="AP232" s="15"/>
      <c r="AQ232" s="15"/>
      <c r="AR232" s="15">
        <f>IFERROR(__xludf.DUMMYFUNCTION("""COMPUTED_VALUE"""),146.0)</f>
        <v>146</v>
      </c>
      <c r="AS232" s="15"/>
    </row>
    <row r="233">
      <c r="A233" s="73">
        <v>232.0</v>
      </c>
      <c r="W233" s="15">
        <f t="shared" si="2"/>
        <v>1</v>
      </c>
      <c r="X233" s="15" t="str">
        <f t="shared" si="8"/>
        <v/>
      </c>
      <c r="Y233" s="15" t="str">
        <f t="shared" si="3"/>
        <v/>
      </c>
      <c r="Z233" s="15" t="str">
        <f t="shared" si="4"/>
        <v/>
      </c>
      <c r="AA233" s="15" t="str">
        <f t="shared" si="5"/>
        <v/>
      </c>
      <c r="AB233" s="15" t="str">
        <f t="shared" si="6"/>
        <v/>
      </c>
      <c r="AC233" s="15" t="str">
        <f t="shared" si="7"/>
        <v/>
      </c>
      <c r="AD233" s="15"/>
      <c r="AE233" s="15"/>
      <c r="AF233" s="15">
        <f>IFERROR(__xludf.DUMMYFUNCTION("""COMPUTED_VALUE"""),694.0)</f>
        <v>694</v>
      </c>
      <c r="AG233" s="15"/>
      <c r="AH233" s="15"/>
      <c r="AI233" s="15"/>
      <c r="AJ233" s="15">
        <f>IFERROR(__xludf.DUMMYFUNCTION("""COMPUTED_VALUE"""),1339.0)</f>
        <v>1339</v>
      </c>
      <c r="AK233" s="15"/>
      <c r="AL233" s="15"/>
      <c r="AM233" s="15"/>
      <c r="AN233" s="15">
        <f>IFERROR(__xludf.DUMMYFUNCTION("""COMPUTED_VALUE"""),27.0)</f>
        <v>27</v>
      </c>
      <c r="AO233" s="15"/>
      <c r="AP233" s="15"/>
      <c r="AQ233" s="15"/>
      <c r="AR233" s="15">
        <f>IFERROR(__xludf.DUMMYFUNCTION("""COMPUTED_VALUE"""),118.0)</f>
        <v>118</v>
      </c>
      <c r="AS233" s="15"/>
    </row>
    <row r="234">
      <c r="A234" s="73">
        <v>233.0</v>
      </c>
      <c r="W234" s="15">
        <f t="shared" si="2"/>
        <v>2</v>
      </c>
      <c r="X234" s="15">
        <f t="shared" si="8"/>
        <v>2363</v>
      </c>
      <c r="Y234" s="15">
        <f t="shared" si="3"/>
        <v>587</v>
      </c>
      <c r="Z234" s="15">
        <f t="shared" si="4"/>
        <v>4926</v>
      </c>
      <c r="AA234" s="15">
        <f t="shared" si="5"/>
        <v>325</v>
      </c>
      <c r="AB234" s="15">
        <f t="shared" si="6"/>
        <v>7457</v>
      </c>
      <c r="AC234" s="15">
        <f t="shared" si="7"/>
        <v>4099</v>
      </c>
      <c r="AD234" s="15"/>
      <c r="AE234" s="15" t="str">
        <f>IFERROR(__xludf.DUMMYFUNCTION("""COMPUTED_VALUE"""),"Quals 77")</f>
        <v>Quals 77</v>
      </c>
      <c r="AF234" s="15">
        <f>IFERROR(__xludf.DUMMYFUNCTION("""COMPUTED_VALUE"""),2363.0)</f>
        <v>2363</v>
      </c>
      <c r="AG234" s="15"/>
      <c r="AH234" s="15">
        <f>IFERROR(__xludf.DUMMYFUNCTION("""COMPUTED_VALUE"""),587.0)</f>
        <v>587</v>
      </c>
      <c r="AI234" s="15"/>
      <c r="AJ234" s="15">
        <f>IFERROR(__xludf.DUMMYFUNCTION("""COMPUTED_VALUE"""),4926.0)</f>
        <v>4926</v>
      </c>
      <c r="AK234" s="15"/>
      <c r="AL234" s="15">
        <f>IFERROR(__xludf.DUMMYFUNCTION("""COMPUTED_VALUE"""),325.0)</f>
        <v>325</v>
      </c>
      <c r="AM234" s="15"/>
      <c r="AN234" s="15">
        <f>IFERROR(__xludf.DUMMYFUNCTION("""COMPUTED_VALUE"""),7457.0)</f>
        <v>7457</v>
      </c>
      <c r="AO234" s="15"/>
      <c r="AP234" s="15">
        <f>IFERROR(__xludf.DUMMYFUNCTION("""COMPUTED_VALUE"""),4099.0)</f>
        <v>4099</v>
      </c>
      <c r="AQ234" s="15"/>
      <c r="AR234" s="15">
        <f>IFERROR(__xludf.DUMMYFUNCTION("""COMPUTED_VALUE"""),125.0)</f>
        <v>125</v>
      </c>
      <c r="AS234" s="15">
        <f>IFERROR(__xludf.DUMMYFUNCTION("""COMPUTED_VALUE"""),87.0)</f>
        <v>87</v>
      </c>
    </row>
    <row r="235">
      <c r="A235" s="73">
        <v>234.0</v>
      </c>
      <c r="W235" s="15">
        <f t="shared" si="2"/>
        <v>0</v>
      </c>
      <c r="X235" s="15" t="str">
        <f t="shared" si="8"/>
        <v/>
      </c>
      <c r="Y235" s="15" t="str">
        <f t="shared" si="3"/>
        <v/>
      </c>
      <c r="Z235" s="15" t="str">
        <f t="shared" si="4"/>
        <v/>
      </c>
      <c r="AA235" s="15" t="str">
        <f t="shared" si="5"/>
        <v/>
      </c>
      <c r="AB235" s="15" t="str">
        <f t="shared" si="6"/>
        <v/>
      </c>
      <c r="AC235" s="15" t="str">
        <f t="shared" si="7"/>
        <v/>
      </c>
      <c r="AD235" s="15"/>
      <c r="AE235" s="15" t="str">
        <f>IFERROR(__xludf.DUMMYFUNCTION("""COMPUTED_VALUE"""),"Quals 77")</f>
        <v>Quals 77</v>
      </c>
      <c r="AF235" s="15">
        <f>IFERROR(__xludf.DUMMYFUNCTION("""COMPUTED_VALUE"""),2363.0)</f>
        <v>2363</v>
      </c>
      <c r="AG235" s="15"/>
      <c r="AH235" s="15"/>
      <c r="AI235" s="15"/>
      <c r="AJ235" s="15">
        <f>IFERROR(__xludf.DUMMYFUNCTION("""COMPUTED_VALUE"""),587.0)</f>
        <v>587</v>
      </c>
      <c r="AK235" s="15"/>
      <c r="AL235" s="15"/>
      <c r="AM235" s="15"/>
      <c r="AN235" s="15">
        <f>IFERROR(__xludf.DUMMYFUNCTION("""COMPUTED_VALUE"""),4926.0)</f>
        <v>4926</v>
      </c>
      <c r="AO235" s="15"/>
      <c r="AP235" s="15"/>
      <c r="AQ235" s="15"/>
      <c r="AR235" s="15">
        <f>IFERROR(__xludf.DUMMYFUNCTION("""COMPUTED_VALUE"""),125.0)</f>
        <v>125</v>
      </c>
      <c r="AS235" s="15"/>
    </row>
    <row r="236">
      <c r="A236" s="73">
        <v>235.0</v>
      </c>
      <c r="W236" s="15">
        <f t="shared" si="2"/>
        <v>1</v>
      </c>
      <c r="X236" s="15" t="str">
        <f t="shared" si="8"/>
        <v/>
      </c>
      <c r="Y236" s="15" t="str">
        <f t="shared" si="3"/>
        <v/>
      </c>
      <c r="Z236" s="15" t="str">
        <f t="shared" si="4"/>
        <v/>
      </c>
      <c r="AA236" s="15" t="str">
        <f t="shared" si="5"/>
        <v/>
      </c>
      <c r="AB236" s="15" t="str">
        <f t="shared" si="6"/>
        <v/>
      </c>
      <c r="AC236" s="15" t="str">
        <f t="shared" si="7"/>
        <v/>
      </c>
      <c r="AD236" s="15"/>
      <c r="AE236" s="15"/>
      <c r="AF236" s="15">
        <f>IFERROR(__xludf.DUMMYFUNCTION("""COMPUTED_VALUE"""),325.0)</f>
        <v>325</v>
      </c>
      <c r="AG236" s="15"/>
      <c r="AH236" s="15"/>
      <c r="AI236" s="15"/>
      <c r="AJ236" s="15">
        <f>IFERROR(__xludf.DUMMYFUNCTION("""COMPUTED_VALUE"""),7457.0)</f>
        <v>7457</v>
      </c>
      <c r="AK236" s="15"/>
      <c r="AL236" s="15"/>
      <c r="AM236" s="15"/>
      <c r="AN236" s="15">
        <f>IFERROR(__xludf.DUMMYFUNCTION("""COMPUTED_VALUE"""),4099.0)</f>
        <v>4099</v>
      </c>
      <c r="AO236" s="15"/>
      <c r="AP236" s="15"/>
      <c r="AQ236" s="15"/>
      <c r="AR236" s="15">
        <f>IFERROR(__xludf.DUMMYFUNCTION("""COMPUTED_VALUE"""),87.0)</f>
        <v>87</v>
      </c>
      <c r="AS236" s="15"/>
    </row>
    <row r="237">
      <c r="A237" s="73">
        <v>236.0</v>
      </c>
      <c r="W237" s="15">
        <f t="shared" si="2"/>
        <v>2</v>
      </c>
      <c r="X237" s="15">
        <f t="shared" si="8"/>
        <v>1023</v>
      </c>
      <c r="Y237" s="15">
        <f t="shared" si="3"/>
        <v>2539</v>
      </c>
      <c r="Z237" s="15">
        <f t="shared" si="4"/>
        <v>5484</v>
      </c>
      <c r="AA237" s="15">
        <f t="shared" si="5"/>
        <v>5010</v>
      </c>
      <c r="AB237" s="15">
        <f t="shared" si="6"/>
        <v>503</v>
      </c>
      <c r="AC237" s="15">
        <f t="shared" si="7"/>
        <v>2056</v>
      </c>
      <c r="AD237" s="15"/>
      <c r="AE237" s="15" t="str">
        <f>IFERROR(__xludf.DUMMYFUNCTION("""COMPUTED_VALUE"""),"Quals 78")</f>
        <v>Quals 78</v>
      </c>
      <c r="AF237" s="15">
        <f>IFERROR(__xludf.DUMMYFUNCTION("""COMPUTED_VALUE"""),1023.0)</f>
        <v>1023</v>
      </c>
      <c r="AG237" s="15"/>
      <c r="AH237" s="15">
        <f>IFERROR(__xludf.DUMMYFUNCTION("""COMPUTED_VALUE"""),2539.0)</f>
        <v>2539</v>
      </c>
      <c r="AI237" s="15"/>
      <c r="AJ237" s="15">
        <f>IFERROR(__xludf.DUMMYFUNCTION("""COMPUTED_VALUE"""),5484.0)</f>
        <v>5484</v>
      </c>
      <c r="AK237" s="15"/>
      <c r="AL237" s="15">
        <f>IFERROR(__xludf.DUMMYFUNCTION("""COMPUTED_VALUE"""),5010.0)</f>
        <v>5010</v>
      </c>
      <c r="AM237" s="15"/>
      <c r="AN237" s="15">
        <f>IFERROR(__xludf.DUMMYFUNCTION("""COMPUTED_VALUE"""),503.0)</f>
        <v>503</v>
      </c>
      <c r="AO237" s="15"/>
      <c r="AP237" s="15">
        <f>IFERROR(__xludf.DUMMYFUNCTION("""COMPUTED_VALUE"""),2056.0)</f>
        <v>2056</v>
      </c>
      <c r="AQ237" s="15"/>
      <c r="AR237" s="15">
        <f>IFERROR(__xludf.DUMMYFUNCTION("""COMPUTED_VALUE"""),108.0)</f>
        <v>108</v>
      </c>
      <c r="AS237" s="15">
        <f>IFERROR(__xludf.DUMMYFUNCTION("""COMPUTED_VALUE"""),109.0)</f>
        <v>109</v>
      </c>
    </row>
    <row r="238">
      <c r="A238" s="73">
        <v>237.0</v>
      </c>
      <c r="W238" s="15">
        <f t="shared" si="2"/>
        <v>0</v>
      </c>
      <c r="X238" s="15" t="str">
        <f t="shared" si="8"/>
        <v/>
      </c>
      <c r="Y238" s="15" t="str">
        <f t="shared" si="3"/>
        <v/>
      </c>
      <c r="Z238" s="15" t="str">
        <f t="shared" si="4"/>
        <v/>
      </c>
      <c r="AA238" s="15" t="str">
        <f t="shared" si="5"/>
        <v/>
      </c>
      <c r="AB238" s="15" t="str">
        <f t="shared" si="6"/>
        <v/>
      </c>
      <c r="AC238" s="15" t="str">
        <f t="shared" si="7"/>
        <v/>
      </c>
      <c r="AD238" s="15"/>
      <c r="AE238" s="15" t="str">
        <f>IFERROR(__xludf.DUMMYFUNCTION("""COMPUTED_VALUE"""),"Quals 78")</f>
        <v>Quals 78</v>
      </c>
      <c r="AF238" s="15">
        <f>IFERROR(__xludf.DUMMYFUNCTION("""COMPUTED_VALUE"""),1023.0)</f>
        <v>1023</v>
      </c>
      <c r="AG238" s="15"/>
      <c r="AH238" s="15"/>
      <c r="AI238" s="15"/>
      <c r="AJ238" s="15">
        <f>IFERROR(__xludf.DUMMYFUNCTION("""COMPUTED_VALUE"""),2539.0)</f>
        <v>2539</v>
      </c>
      <c r="AK238" s="15"/>
      <c r="AL238" s="15"/>
      <c r="AM238" s="15"/>
      <c r="AN238" s="15">
        <f>IFERROR(__xludf.DUMMYFUNCTION("""COMPUTED_VALUE"""),5484.0)</f>
        <v>5484</v>
      </c>
      <c r="AO238" s="15"/>
      <c r="AP238" s="15"/>
      <c r="AQ238" s="15"/>
      <c r="AR238" s="15">
        <f>IFERROR(__xludf.DUMMYFUNCTION("""COMPUTED_VALUE"""),108.0)</f>
        <v>108</v>
      </c>
      <c r="AS238" s="15"/>
    </row>
    <row r="239">
      <c r="A239" s="73">
        <v>238.0</v>
      </c>
      <c r="W239" s="15">
        <f t="shared" si="2"/>
        <v>1</v>
      </c>
      <c r="X239" s="15" t="str">
        <f t="shared" si="8"/>
        <v/>
      </c>
      <c r="Y239" s="15" t="str">
        <f t="shared" si="3"/>
        <v/>
      </c>
      <c r="Z239" s="15" t="str">
        <f t="shared" si="4"/>
        <v/>
      </c>
      <c r="AA239" s="15" t="str">
        <f t="shared" si="5"/>
        <v/>
      </c>
      <c r="AB239" s="15" t="str">
        <f t="shared" si="6"/>
        <v/>
      </c>
      <c r="AC239" s="15" t="str">
        <f t="shared" si="7"/>
        <v/>
      </c>
      <c r="AD239" s="15"/>
      <c r="AE239" s="15"/>
      <c r="AF239" s="15">
        <f>IFERROR(__xludf.DUMMYFUNCTION("""COMPUTED_VALUE"""),5010.0)</f>
        <v>5010</v>
      </c>
      <c r="AG239" s="15"/>
      <c r="AH239" s="15"/>
      <c r="AI239" s="15"/>
      <c r="AJ239" s="15">
        <f>IFERROR(__xludf.DUMMYFUNCTION("""COMPUTED_VALUE"""),503.0)</f>
        <v>503</v>
      </c>
      <c r="AK239" s="15"/>
      <c r="AL239" s="15"/>
      <c r="AM239" s="15"/>
      <c r="AN239" s="15">
        <f>IFERROR(__xludf.DUMMYFUNCTION("""COMPUTED_VALUE"""),2056.0)</f>
        <v>2056</v>
      </c>
      <c r="AO239" s="15"/>
      <c r="AP239" s="15"/>
      <c r="AQ239" s="15"/>
      <c r="AR239" s="15">
        <f>IFERROR(__xludf.DUMMYFUNCTION("""COMPUTED_VALUE"""),109.0)</f>
        <v>109</v>
      </c>
      <c r="AS239" s="15"/>
    </row>
    <row r="240">
      <c r="A240" s="73">
        <v>239.0</v>
      </c>
      <c r="W240" s="15">
        <f t="shared" si="2"/>
        <v>2</v>
      </c>
      <c r="X240" s="15">
        <f t="shared" si="8"/>
        <v>180</v>
      </c>
      <c r="Y240" s="15">
        <f t="shared" si="3"/>
        <v>3357</v>
      </c>
      <c r="Z240" s="15">
        <f t="shared" si="4"/>
        <v>195</v>
      </c>
      <c r="AA240" s="15">
        <f t="shared" si="5"/>
        <v>1732</v>
      </c>
      <c r="AB240" s="15">
        <f t="shared" si="6"/>
        <v>118</v>
      </c>
      <c r="AC240" s="15">
        <f t="shared" si="7"/>
        <v>2767</v>
      </c>
      <c r="AD240" s="15"/>
      <c r="AE240" s="15" t="str">
        <f>IFERROR(__xludf.DUMMYFUNCTION("""COMPUTED_VALUE"""),"Quals 79")</f>
        <v>Quals 79</v>
      </c>
      <c r="AF240" s="15">
        <f>IFERROR(__xludf.DUMMYFUNCTION("""COMPUTED_VALUE"""),180.0)</f>
        <v>180</v>
      </c>
      <c r="AG240" s="15"/>
      <c r="AH240" s="15">
        <f>IFERROR(__xludf.DUMMYFUNCTION("""COMPUTED_VALUE"""),3357.0)</f>
        <v>3357</v>
      </c>
      <c r="AI240" s="15"/>
      <c r="AJ240" s="15">
        <f>IFERROR(__xludf.DUMMYFUNCTION("""COMPUTED_VALUE"""),195.0)</f>
        <v>195</v>
      </c>
      <c r="AK240" s="15"/>
      <c r="AL240" s="15">
        <f>IFERROR(__xludf.DUMMYFUNCTION("""COMPUTED_VALUE"""),1732.0)</f>
        <v>1732</v>
      </c>
      <c r="AM240" s="15"/>
      <c r="AN240" s="15">
        <f>IFERROR(__xludf.DUMMYFUNCTION("""COMPUTED_VALUE"""),118.0)</f>
        <v>118</v>
      </c>
      <c r="AO240" s="15"/>
      <c r="AP240" s="15">
        <f>IFERROR(__xludf.DUMMYFUNCTION("""COMPUTED_VALUE"""),2767.0)</f>
        <v>2767</v>
      </c>
      <c r="AQ240" s="15"/>
      <c r="AR240" s="15">
        <f>IFERROR(__xludf.DUMMYFUNCTION("""COMPUTED_VALUE"""),136.0)</f>
        <v>136</v>
      </c>
      <c r="AS240" s="15">
        <f>IFERROR(__xludf.DUMMYFUNCTION("""COMPUTED_VALUE"""),150.0)</f>
        <v>150</v>
      </c>
    </row>
    <row r="241">
      <c r="A241" s="73">
        <v>240.0</v>
      </c>
      <c r="W241" s="15">
        <f t="shared" si="2"/>
        <v>0</v>
      </c>
      <c r="X241" s="15" t="str">
        <f t="shared" si="8"/>
        <v/>
      </c>
      <c r="Y241" s="15" t="str">
        <f t="shared" si="3"/>
        <v/>
      </c>
      <c r="Z241" s="15" t="str">
        <f t="shared" si="4"/>
        <v/>
      </c>
      <c r="AA241" s="15" t="str">
        <f t="shared" si="5"/>
        <v/>
      </c>
      <c r="AB241" s="15" t="str">
        <f t="shared" si="6"/>
        <v/>
      </c>
      <c r="AC241" s="15" t="str">
        <f t="shared" si="7"/>
        <v/>
      </c>
      <c r="AD241" s="15"/>
      <c r="AE241" s="15" t="str">
        <f>IFERROR(__xludf.DUMMYFUNCTION("""COMPUTED_VALUE"""),"Quals 79")</f>
        <v>Quals 79</v>
      </c>
      <c r="AF241" s="15">
        <f>IFERROR(__xludf.DUMMYFUNCTION("""COMPUTED_VALUE"""),180.0)</f>
        <v>180</v>
      </c>
      <c r="AG241" s="15"/>
      <c r="AH241" s="15"/>
      <c r="AI241" s="15"/>
      <c r="AJ241" s="15">
        <f>IFERROR(__xludf.DUMMYFUNCTION("""COMPUTED_VALUE"""),3357.0)</f>
        <v>3357</v>
      </c>
      <c r="AK241" s="15"/>
      <c r="AL241" s="15"/>
      <c r="AM241" s="15"/>
      <c r="AN241" s="15">
        <f>IFERROR(__xludf.DUMMYFUNCTION("""COMPUTED_VALUE"""),195.0)</f>
        <v>195</v>
      </c>
      <c r="AO241" s="15"/>
      <c r="AP241" s="15"/>
      <c r="AQ241" s="15"/>
      <c r="AR241" s="15">
        <f>IFERROR(__xludf.DUMMYFUNCTION("""COMPUTED_VALUE"""),136.0)</f>
        <v>136</v>
      </c>
      <c r="AS241" s="15"/>
    </row>
    <row r="242">
      <c r="A242" s="73">
        <v>241.0</v>
      </c>
      <c r="W242" s="15">
        <f t="shared" si="2"/>
        <v>1</v>
      </c>
      <c r="X242" s="15" t="str">
        <f t="shared" si="8"/>
        <v/>
      </c>
      <c r="Y242" s="15" t="str">
        <f t="shared" si="3"/>
        <v/>
      </c>
      <c r="Z242" s="15" t="str">
        <f t="shared" si="4"/>
        <v/>
      </c>
      <c r="AA242" s="15" t="str">
        <f t="shared" si="5"/>
        <v/>
      </c>
      <c r="AB242" s="15" t="str">
        <f t="shared" si="6"/>
        <v/>
      </c>
      <c r="AC242" s="15" t="str">
        <f t="shared" si="7"/>
        <v/>
      </c>
      <c r="AD242" s="15"/>
      <c r="AE242" s="15"/>
      <c r="AF242" s="15">
        <f>IFERROR(__xludf.DUMMYFUNCTION("""COMPUTED_VALUE"""),1732.0)</f>
        <v>1732</v>
      </c>
      <c r="AG242" s="15"/>
      <c r="AH242" s="15"/>
      <c r="AI242" s="15"/>
      <c r="AJ242" s="15">
        <f>IFERROR(__xludf.DUMMYFUNCTION("""COMPUTED_VALUE"""),118.0)</f>
        <v>118</v>
      </c>
      <c r="AK242" s="15"/>
      <c r="AL242" s="15"/>
      <c r="AM242" s="15"/>
      <c r="AN242" s="15">
        <f>IFERROR(__xludf.DUMMYFUNCTION("""COMPUTED_VALUE"""),2767.0)</f>
        <v>2767</v>
      </c>
      <c r="AO242" s="15"/>
      <c r="AP242" s="15"/>
      <c r="AQ242" s="15"/>
      <c r="AR242" s="15">
        <f>IFERROR(__xludf.DUMMYFUNCTION("""COMPUTED_VALUE"""),150.0)</f>
        <v>150</v>
      </c>
      <c r="AS242" s="15"/>
    </row>
    <row r="243">
      <c r="A243" s="73">
        <v>242.0</v>
      </c>
      <c r="W243" s="15">
        <f t="shared" si="2"/>
        <v>2</v>
      </c>
      <c r="X243" s="15">
        <f t="shared" si="8"/>
        <v>2614</v>
      </c>
      <c r="Y243" s="15">
        <f t="shared" si="3"/>
        <v>4635</v>
      </c>
      <c r="Z243" s="15">
        <f t="shared" si="4"/>
        <v>1987</v>
      </c>
      <c r="AA243" s="15">
        <f t="shared" si="5"/>
        <v>4143</v>
      </c>
      <c r="AB243" s="15">
        <f t="shared" si="6"/>
        <v>2338</v>
      </c>
      <c r="AC243" s="15">
        <f t="shared" si="7"/>
        <v>2075</v>
      </c>
      <c r="AD243" s="15"/>
      <c r="AE243" s="15" t="str">
        <f>IFERROR(__xludf.DUMMYFUNCTION("""COMPUTED_VALUE"""),"Quals 80")</f>
        <v>Quals 80</v>
      </c>
      <c r="AF243" s="15">
        <f>IFERROR(__xludf.DUMMYFUNCTION("""COMPUTED_VALUE"""),2614.0)</f>
        <v>2614</v>
      </c>
      <c r="AG243" s="15"/>
      <c r="AH243" s="15">
        <f>IFERROR(__xludf.DUMMYFUNCTION("""COMPUTED_VALUE"""),4635.0)</f>
        <v>4635</v>
      </c>
      <c r="AI243" s="15"/>
      <c r="AJ243" s="15">
        <f>IFERROR(__xludf.DUMMYFUNCTION("""COMPUTED_VALUE"""),1987.0)</f>
        <v>1987</v>
      </c>
      <c r="AK243" s="15"/>
      <c r="AL243" s="15">
        <f>IFERROR(__xludf.DUMMYFUNCTION("""COMPUTED_VALUE"""),4143.0)</f>
        <v>4143</v>
      </c>
      <c r="AM243" s="15"/>
      <c r="AN243" s="15">
        <f>IFERROR(__xludf.DUMMYFUNCTION("""COMPUTED_VALUE"""),2338.0)</f>
        <v>2338</v>
      </c>
      <c r="AO243" s="15"/>
      <c r="AP243" s="15">
        <f>IFERROR(__xludf.DUMMYFUNCTION("""COMPUTED_VALUE"""),2075.0)</f>
        <v>2075</v>
      </c>
      <c r="AQ243" s="15"/>
      <c r="AR243" s="15">
        <f>IFERROR(__xludf.DUMMYFUNCTION("""COMPUTED_VALUE"""),115.0)</f>
        <v>115</v>
      </c>
      <c r="AS243" s="15">
        <f>IFERROR(__xludf.DUMMYFUNCTION("""COMPUTED_VALUE"""),122.0)</f>
        <v>122</v>
      </c>
    </row>
    <row r="244">
      <c r="A244" s="73">
        <v>243.0</v>
      </c>
      <c r="W244" s="15">
        <f t="shared" si="2"/>
        <v>0</v>
      </c>
      <c r="X244" s="15" t="str">
        <f t="shared" si="8"/>
        <v/>
      </c>
      <c r="Y244" s="15" t="str">
        <f t="shared" si="3"/>
        <v/>
      </c>
      <c r="Z244" s="15" t="str">
        <f t="shared" si="4"/>
        <v/>
      </c>
      <c r="AA244" s="15" t="str">
        <f t="shared" si="5"/>
        <v/>
      </c>
      <c r="AB244" s="15" t="str">
        <f t="shared" si="6"/>
        <v/>
      </c>
      <c r="AC244" s="15" t="str">
        <f t="shared" si="7"/>
        <v/>
      </c>
      <c r="AD244" s="15"/>
      <c r="AE244" s="15" t="str">
        <f>IFERROR(__xludf.DUMMYFUNCTION("""COMPUTED_VALUE"""),"Quals 80")</f>
        <v>Quals 80</v>
      </c>
      <c r="AF244" s="15">
        <f>IFERROR(__xludf.DUMMYFUNCTION("""COMPUTED_VALUE"""),2614.0)</f>
        <v>2614</v>
      </c>
      <c r="AG244" s="15"/>
      <c r="AH244" s="15"/>
      <c r="AI244" s="15"/>
      <c r="AJ244" s="15">
        <f>IFERROR(__xludf.DUMMYFUNCTION("""COMPUTED_VALUE"""),4635.0)</f>
        <v>4635</v>
      </c>
      <c r="AK244" s="15"/>
      <c r="AL244" s="15"/>
      <c r="AM244" s="15"/>
      <c r="AN244" s="15">
        <f>IFERROR(__xludf.DUMMYFUNCTION("""COMPUTED_VALUE"""),1987.0)</f>
        <v>1987</v>
      </c>
      <c r="AO244" s="15"/>
      <c r="AP244" s="15"/>
      <c r="AQ244" s="15"/>
      <c r="AR244" s="15">
        <f>IFERROR(__xludf.DUMMYFUNCTION("""COMPUTED_VALUE"""),115.0)</f>
        <v>115</v>
      </c>
      <c r="AS244" s="15"/>
    </row>
    <row r="245">
      <c r="A245" s="73">
        <v>244.0</v>
      </c>
      <c r="W245" s="15">
        <f t="shared" si="2"/>
        <v>1</v>
      </c>
      <c r="X245" s="15" t="str">
        <f t="shared" si="8"/>
        <v/>
      </c>
      <c r="Y245" s="15" t="str">
        <f t="shared" si="3"/>
        <v/>
      </c>
      <c r="Z245" s="15" t="str">
        <f t="shared" si="4"/>
        <v/>
      </c>
      <c r="AA245" s="15" t="str">
        <f t="shared" si="5"/>
        <v/>
      </c>
      <c r="AB245" s="15" t="str">
        <f t="shared" si="6"/>
        <v/>
      </c>
      <c r="AC245" s="15" t="str">
        <f t="shared" si="7"/>
        <v/>
      </c>
      <c r="AD245" s="15"/>
      <c r="AE245" s="15"/>
      <c r="AF245" s="15">
        <f>IFERROR(__xludf.DUMMYFUNCTION("""COMPUTED_VALUE"""),4143.0)</f>
        <v>4143</v>
      </c>
      <c r="AG245" s="15"/>
      <c r="AH245" s="15"/>
      <c r="AI245" s="15"/>
      <c r="AJ245" s="15">
        <f>IFERROR(__xludf.DUMMYFUNCTION("""COMPUTED_VALUE"""),2338.0)</f>
        <v>2338</v>
      </c>
      <c r="AK245" s="15"/>
      <c r="AL245" s="15"/>
      <c r="AM245" s="15"/>
      <c r="AN245" s="15">
        <f>IFERROR(__xludf.DUMMYFUNCTION("""COMPUTED_VALUE"""),2075.0)</f>
        <v>2075</v>
      </c>
      <c r="AO245" s="15"/>
      <c r="AP245" s="15"/>
      <c r="AQ245" s="15"/>
      <c r="AR245" s="15">
        <f>IFERROR(__xludf.DUMMYFUNCTION("""COMPUTED_VALUE"""),122.0)</f>
        <v>122</v>
      </c>
      <c r="AS245" s="15"/>
    </row>
    <row r="246">
      <c r="A246" s="73">
        <v>245.0</v>
      </c>
      <c r="W246" s="15">
        <f t="shared" si="2"/>
        <v>2</v>
      </c>
      <c r="X246" s="15" t="str">
        <f t="shared" si="8"/>
        <v/>
      </c>
      <c r="Y246" s="15" t="str">
        <f t="shared" si="3"/>
        <v/>
      </c>
      <c r="Z246" s="15" t="str">
        <f t="shared" si="4"/>
        <v/>
      </c>
      <c r="AA246" s="15" t="str">
        <f t="shared" si="5"/>
        <v/>
      </c>
      <c r="AB246" s="15" t="str">
        <f t="shared" si="6"/>
        <v/>
      </c>
      <c r="AC246" s="15" t="str">
        <f t="shared" si="7"/>
        <v/>
      </c>
    </row>
    <row r="247">
      <c r="A247" s="73">
        <v>246.0</v>
      </c>
      <c r="W247" s="15">
        <f t="shared" si="2"/>
        <v>0</v>
      </c>
      <c r="X247" s="15" t="str">
        <f t="shared" si="8"/>
        <v/>
      </c>
      <c r="Y247" s="15" t="str">
        <f t="shared" si="3"/>
        <v/>
      </c>
      <c r="Z247" s="15" t="str">
        <f t="shared" si="4"/>
        <v/>
      </c>
      <c r="AA247" s="15" t="str">
        <f t="shared" si="5"/>
        <v/>
      </c>
      <c r="AB247" s="15" t="str">
        <f t="shared" si="6"/>
        <v/>
      </c>
      <c r="AC247" s="15" t="str">
        <f t="shared" si="7"/>
        <v/>
      </c>
    </row>
    <row r="248">
      <c r="A248" s="73">
        <v>247.0</v>
      </c>
      <c r="W248" s="15">
        <f t="shared" si="2"/>
        <v>1</v>
      </c>
      <c r="X248" s="15" t="str">
        <f t="shared" si="8"/>
        <v/>
      </c>
      <c r="Y248" s="15" t="str">
        <f t="shared" si="3"/>
        <v/>
      </c>
      <c r="Z248" s="15" t="str">
        <f t="shared" si="4"/>
        <v/>
      </c>
      <c r="AA248" s="15" t="str">
        <f t="shared" si="5"/>
        <v/>
      </c>
      <c r="AB248" s="15" t="str">
        <f t="shared" si="6"/>
        <v/>
      </c>
      <c r="AC248" s="15" t="str">
        <f t="shared" si="7"/>
        <v/>
      </c>
    </row>
    <row r="249">
      <c r="A249" s="73">
        <v>248.0</v>
      </c>
      <c r="W249" s="15">
        <f t="shared" si="2"/>
        <v>2</v>
      </c>
      <c r="X249" s="15" t="str">
        <f t="shared" si="8"/>
        <v/>
      </c>
      <c r="Y249" s="15" t="str">
        <f t="shared" si="3"/>
        <v/>
      </c>
      <c r="Z249" s="15" t="str">
        <f t="shared" si="4"/>
        <v/>
      </c>
      <c r="AA249" s="15" t="str">
        <f t="shared" si="5"/>
        <v/>
      </c>
      <c r="AB249" s="15" t="str">
        <f t="shared" si="6"/>
        <v/>
      </c>
      <c r="AC249" s="15" t="str">
        <f t="shared" si="7"/>
        <v/>
      </c>
    </row>
    <row r="250">
      <c r="A250" s="73">
        <v>249.0</v>
      </c>
      <c r="W250" s="15">
        <f t="shared" si="2"/>
        <v>0</v>
      </c>
      <c r="X250" s="15" t="str">
        <f t="shared" si="8"/>
        <v/>
      </c>
      <c r="Y250" s="15" t="str">
        <f t="shared" si="3"/>
        <v/>
      </c>
      <c r="Z250" s="15" t="str">
        <f t="shared" si="4"/>
        <v/>
      </c>
      <c r="AA250" s="15" t="str">
        <f t="shared" si="5"/>
        <v/>
      </c>
      <c r="AB250" s="15" t="str">
        <f t="shared" si="6"/>
        <v/>
      </c>
      <c r="AC250" s="15" t="str">
        <f t="shared" si="7"/>
        <v/>
      </c>
    </row>
    <row r="251">
      <c r="A251" s="73">
        <v>250.0</v>
      </c>
      <c r="W251" s="15">
        <f t="shared" si="2"/>
        <v>1</v>
      </c>
      <c r="X251" s="15" t="str">
        <f t="shared" si="8"/>
        <v/>
      </c>
      <c r="Y251" s="15" t="str">
        <f t="shared" si="3"/>
        <v/>
      </c>
      <c r="Z251" s="15" t="str">
        <f t="shared" si="4"/>
        <v/>
      </c>
      <c r="AA251" s="15" t="str">
        <f t="shared" si="5"/>
        <v/>
      </c>
      <c r="AB251" s="15" t="str">
        <f t="shared" si="6"/>
        <v/>
      </c>
      <c r="AC251" s="15" t="str">
        <f t="shared" si="7"/>
        <v/>
      </c>
    </row>
    <row r="252">
      <c r="A252" s="73">
        <v>251.0</v>
      </c>
      <c r="W252" s="15">
        <f t="shared" si="2"/>
        <v>2</v>
      </c>
      <c r="X252" s="15" t="str">
        <f t="shared" si="8"/>
        <v/>
      </c>
      <c r="Y252" s="15" t="str">
        <f t="shared" si="3"/>
        <v/>
      </c>
      <c r="Z252" s="15" t="str">
        <f t="shared" si="4"/>
        <v/>
      </c>
      <c r="AA252" s="15" t="str">
        <f t="shared" si="5"/>
        <v/>
      </c>
      <c r="AB252" s="15" t="str">
        <f t="shared" si="6"/>
        <v/>
      </c>
      <c r="AC252" s="15" t="str">
        <f t="shared" si="7"/>
        <v/>
      </c>
    </row>
    <row r="253">
      <c r="A253" s="73">
        <v>252.0</v>
      </c>
      <c r="W253" s="15">
        <f t="shared" si="2"/>
        <v>0</v>
      </c>
      <c r="X253" s="15" t="str">
        <f t="shared" si="8"/>
        <v/>
      </c>
      <c r="Y253" s="15" t="str">
        <f t="shared" si="3"/>
        <v/>
      </c>
      <c r="Z253" s="15" t="str">
        <f t="shared" si="4"/>
        <v/>
      </c>
      <c r="AA253" s="15" t="str">
        <f t="shared" si="5"/>
        <v/>
      </c>
      <c r="AB253" s="15" t="str">
        <f t="shared" si="6"/>
        <v/>
      </c>
      <c r="AC253" s="15" t="str">
        <f t="shared" si="7"/>
        <v/>
      </c>
    </row>
    <row r="254">
      <c r="A254" s="73">
        <v>253.0</v>
      </c>
      <c r="W254" s="15">
        <f t="shared" si="2"/>
        <v>1</v>
      </c>
      <c r="X254" s="15" t="str">
        <f t="shared" si="8"/>
        <v/>
      </c>
      <c r="Y254" s="15" t="str">
        <f t="shared" si="3"/>
        <v/>
      </c>
      <c r="Z254" s="15" t="str">
        <f t="shared" si="4"/>
        <v/>
      </c>
      <c r="AA254" s="15" t="str">
        <f t="shared" si="5"/>
        <v/>
      </c>
      <c r="AB254" s="15" t="str">
        <f t="shared" si="6"/>
        <v/>
      </c>
      <c r="AC254" s="15" t="str">
        <f t="shared" si="7"/>
        <v/>
      </c>
    </row>
    <row r="255">
      <c r="A255" s="73">
        <v>254.0</v>
      </c>
      <c r="W255" s="15">
        <f t="shared" si="2"/>
        <v>2</v>
      </c>
      <c r="X255" s="15" t="str">
        <f t="shared" si="8"/>
        <v/>
      </c>
      <c r="Y255" s="15" t="str">
        <f t="shared" si="3"/>
        <v/>
      </c>
      <c r="Z255" s="15" t="str">
        <f t="shared" si="4"/>
        <v/>
      </c>
      <c r="AA255" s="15" t="str">
        <f t="shared" si="5"/>
        <v/>
      </c>
      <c r="AB255" s="15" t="str">
        <f t="shared" si="6"/>
        <v/>
      </c>
      <c r="AC255" s="15" t="str">
        <f t="shared" si="7"/>
        <v/>
      </c>
    </row>
    <row r="256">
      <c r="A256" s="73">
        <v>255.0</v>
      </c>
      <c r="W256" s="15">
        <f t="shared" si="2"/>
        <v>0</v>
      </c>
      <c r="X256" s="15" t="str">
        <f t="shared" si="8"/>
        <v/>
      </c>
      <c r="Y256" s="15" t="str">
        <f t="shared" si="3"/>
        <v/>
      </c>
      <c r="Z256" s="15" t="str">
        <f t="shared" si="4"/>
        <v/>
      </c>
      <c r="AA256" s="15" t="str">
        <f t="shared" si="5"/>
        <v/>
      </c>
      <c r="AB256" s="15" t="str">
        <f t="shared" si="6"/>
        <v/>
      </c>
      <c r="AC256" s="15" t="str">
        <f t="shared" si="7"/>
        <v/>
      </c>
    </row>
    <row r="257">
      <c r="A257" s="73">
        <v>256.0</v>
      </c>
      <c r="W257" s="15">
        <f t="shared" si="2"/>
        <v>1</v>
      </c>
      <c r="X257" s="15" t="str">
        <f t="shared" si="8"/>
        <v/>
      </c>
      <c r="Y257" s="15" t="str">
        <f t="shared" si="3"/>
        <v/>
      </c>
      <c r="Z257" s="15" t="str">
        <f t="shared" si="4"/>
        <v/>
      </c>
      <c r="AA257" s="15" t="str">
        <f t="shared" si="5"/>
        <v/>
      </c>
      <c r="AB257" s="15" t="str">
        <f t="shared" si="6"/>
        <v/>
      </c>
      <c r="AC257" s="15" t="str">
        <f t="shared" si="7"/>
        <v/>
      </c>
    </row>
    <row r="258">
      <c r="A258" s="73">
        <v>257.0</v>
      </c>
      <c r="W258" s="15">
        <f t="shared" si="2"/>
        <v>2</v>
      </c>
      <c r="X258" s="15" t="str">
        <f t="shared" si="8"/>
        <v/>
      </c>
      <c r="Y258" s="15" t="str">
        <f t="shared" si="3"/>
        <v/>
      </c>
      <c r="Z258" s="15" t="str">
        <f t="shared" si="4"/>
        <v/>
      </c>
      <c r="AA258" s="15" t="str">
        <f t="shared" si="5"/>
        <v/>
      </c>
      <c r="AB258" s="15" t="str">
        <f t="shared" si="6"/>
        <v/>
      </c>
      <c r="AC258" s="15" t="str">
        <f t="shared" si="7"/>
        <v/>
      </c>
    </row>
    <row r="259">
      <c r="A259" s="73">
        <v>258.0</v>
      </c>
      <c r="W259" s="15">
        <f t="shared" si="2"/>
        <v>0</v>
      </c>
      <c r="X259" s="15" t="str">
        <f t="shared" si="8"/>
        <v/>
      </c>
      <c r="Y259" s="15" t="str">
        <f t="shared" si="3"/>
        <v/>
      </c>
      <c r="Z259" s="15" t="str">
        <f t="shared" si="4"/>
        <v/>
      </c>
      <c r="AA259" s="15" t="str">
        <f t="shared" si="5"/>
        <v/>
      </c>
      <c r="AB259" s="15" t="str">
        <f t="shared" si="6"/>
        <v/>
      </c>
      <c r="AC259" s="15" t="str">
        <f t="shared" si="7"/>
        <v/>
      </c>
    </row>
    <row r="260">
      <c r="A260" s="73">
        <v>259.0</v>
      </c>
      <c r="W260" s="15">
        <f t="shared" si="2"/>
        <v>1</v>
      </c>
      <c r="X260" s="15" t="str">
        <f t="shared" si="8"/>
        <v/>
      </c>
      <c r="Y260" s="15" t="str">
        <f t="shared" si="3"/>
        <v/>
      </c>
      <c r="Z260" s="15" t="str">
        <f t="shared" si="4"/>
        <v/>
      </c>
      <c r="AA260" s="15" t="str">
        <f t="shared" si="5"/>
        <v/>
      </c>
      <c r="AB260" s="15" t="str">
        <f t="shared" si="6"/>
        <v/>
      </c>
      <c r="AC260" s="15" t="str">
        <f t="shared" si="7"/>
        <v/>
      </c>
    </row>
    <row r="261">
      <c r="A261" s="73">
        <v>260.0</v>
      </c>
      <c r="W261" s="15">
        <f t="shared" si="2"/>
        <v>2</v>
      </c>
      <c r="X261" s="15" t="str">
        <f t="shared" si="8"/>
        <v/>
      </c>
      <c r="Y261" s="15" t="str">
        <f t="shared" si="3"/>
        <v/>
      </c>
      <c r="Z261" s="15" t="str">
        <f t="shared" si="4"/>
        <v/>
      </c>
      <c r="AA261" s="15" t="str">
        <f t="shared" si="5"/>
        <v/>
      </c>
      <c r="AB261" s="15" t="str">
        <f t="shared" si="6"/>
        <v/>
      </c>
      <c r="AC261" s="15" t="str">
        <f t="shared" si="7"/>
        <v/>
      </c>
    </row>
    <row r="262">
      <c r="A262" s="73">
        <v>261.0</v>
      </c>
      <c r="W262" s="15">
        <f t="shared" si="2"/>
        <v>0</v>
      </c>
      <c r="X262" s="15" t="str">
        <f t="shared" si="8"/>
        <v/>
      </c>
      <c r="Y262" s="15" t="str">
        <f t="shared" si="3"/>
        <v/>
      </c>
      <c r="Z262" s="15" t="str">
        <f t="shared" si="4"/>
        <v/>
      </c>
      <c r="AA262" s="15" t="str">
        <f t="shared" si="5"/>
        <v/>
      </c>
      <c r="AB262" s="15" t="str">
        <f t="shared" si="6"/>
        <v/>
      </c>
      <c r="AC262" s="15" t="str">
        <f t="shared" si="7"/>
        <v/>
      </c>
    </row>
    <row r="263">
      <c r="A263" s="73">
        <v>262.0</v>
      </c>
      <c r="W263" s="15">
        <f t="shared" si="2"/>
        <v>1</v>
      </c>
      <c r="X263" s="15" t="str">
        <f t="shared" si="8"/>
        <v/>
      </c>
      <c r="Y263" s="15" t="str">
        <f t="shared" si="3"/>
        <v/>
      </c>
      <c r="Z263" s="15" t="str">
        <f t="shared" si="4"/>
        <v/>
      </c>
      <c r="AA263" s="15" t="str">
        <f t="shared" si="5"/>
        <v/>
      </c>
      <c r="AB263" s="15" t="str">
        <f t="shared" si="6"/>
        <v/>
      </c>
      <c r="AC263" s="15" t="str">
        <f t="shared" si="7"/>
        <v/>
      </c>
    </row>
    <row r="264">
      <c r="A264" s="73">
        <v>263.0</v>
      </c>
      <c r="W264" s="15">
        <f t="shared" si="2"/>
        <v>2</v>
      </c>
      <c r="X264" s="15" t="str">
        <f t="shared" si="8"/>
        <v/>
      </c>
      <c r="Y264" s="15" t="str">
        <f t="shared" si="3"/>
        <v/>
      </c>
      <c r="Z264" s="15" t="str">
        <f t="shared" si="4"/>
        <v/>
      </c>
      <c r="AA264" s="15" t="str">
        <f t="shared" si="5"/>
        <v/>
      </c>
      <c r="AB264" s="15" t="str">
        <f t="shared" si="6"/>
        <v/>
      </c>
      <c r="AC264" s="15" t="str">
        <f t="shared" si="7"/>
        <v/>
      </c>
    </row>
    <row r="265">
      <c r="A265" s="73">
        <v>264.0</v>
      </c>
      <c r="W265" s="15">
        <f t="shared" si="2"/>
        <v>0</v>
      </c>
      <c r="X265" s="15" t="str">
        <f t="shared" si="8"/>
        <v/>
      </c>
      <c r="Y265" s="15" t="str">
        <f t="shared" si="3"/>
        <v/>
      </c>
      <c r="Z265" s="15" t="str">
        <f t="shared" si="4"/>
        <v/>
      </c>
      <c r="AA265" s="15" t="str">
        <f t="shared" si="5"/>
        <v/>
      </c>
      <c r="AB265" s="15" t="str">
        <f t="shared" si="6"/>
        <v/>
      </c>
      <c r="AC265" s="15" t="str">
        <f t="shared" si="7"/>
        <v/>
      </c>
    </row>
    <row r="266">
      <c r="A266" s="73">
        <v>265.0</v>
      </c>
      <c r="W266" s="15">
        <f t="shared" si="2"/>
        <v>1</v>
      </c>
      <c r="X266" s="15" t="str">
        <f t="shared" si="8"/>
        <v/>
      </c>
      <c r="Y266" s="15" t="str">
        <f t="shared" si="3"/>
        <v/>
      </c>
      <c r="Z266" s="15" t="str">
        <f t="shared" si="4"/>
        <v/>
      </c>
      <c r="AA266" s="15" t="str">
        <f t="shared" si="5"/>
        <v/>
      </c>
      <c r="AB266" s="15" t="str">
        <f t="shared" si="6"/>
        <v/>
      </c>
      <c r="AC266" s="15" t="str">
        <f t="shared" si="7"/>
        <v/>
      </c>
    </row>
    <row r="267">
      <c r="A267" s="73">
        <v>266.0</v>
      </c>
      <c r="W267" s="15">
        <f t="shared" si="2"/>
        <v>2</v>
      </c>
      <c r="X267" s="15" t="str">
        <f t="shared" si="8"/>
        <v/>
      </c>
      <c r="Y267" s="15" t="str">
        <f t="shared" si="3"/>
        <v/>
      </c>
      <c r="Z267" s="15" t="str">
        <f t="shared" si="4"/>
        <v/>
      </c>
      <c r="AA267" s="15" t="str">
        <f t="shared" si="5"/>
        <v/>
      </c>
      <c r="AB267" s="15" t="str">
        <f t="shared" si="6"/>
        <v/>
      </c>
      <c r="AC267" s="15" t="str">
        <f t="shared" si="7"/>
        <v/>
      </c>
    </row>
    <row r="268">
      <c r="A268" s="73">
        <v>267.0</v>
      </c>
      <c r="W268" s="15">
        <f t="shared" si="2"/>
        <v>0</v>
      </c>
      <c r="X268" s="15" t="str">
        <f t="shared" si="8"/>
        <v/>
      </c>
      <c r="Y268" s="15" t="str">
        <f t="shared" si="3"/>
        <v/>
      </c>
      <c r="Z268" s="15" t="str">
        <f t="shared" si="4"/>
        <v/>
      </c>
      <c r="AA268" s="15" t="str">
        <f t="shared" si="5"/>
        <v/>
      </c>
      <c r="AB268" s="15" t="str">
        <f t="shared" si="6"/>
        <v/>
      </c>
      <c r="AC268" s="15" t="str">
        <f t="shared" si="7"/>
        <v/>
      </c>
    </row>
    <row r="269">
      <c r="A269" s="73">
        <v>268.0</v>
      </c>
      <c r="W269" s="15">
        <f t="shared" si="2"/>
        <v>1</v>
      </c>
      <c r="X269" s="15" t="str">
        <f t="shared" si="8"/>
        <v/>
      </c>
      <c r="Y269" s="15" t="str">
        <f t="shared" si="3"/>
        <v/>
      </c>
      <c r="Z269" s="15" t="str">
        <f t="shared" si="4"/>
        <v/>
      </c>
      <c r="AA269" s="15" t="str">
        <f t="shared" si="5"/>
        <v/>
      </c>
      <c r="AB269" s="15" t="str">
        <f t="shared" si="6"/>
        <v/>
      </c>
      <c r="AC269" s="15" t="str">
        <f t="shared" si="7"/>
        <v/>
      </c>
    </row>
    <row r="270">
      <c r="A270" s="73">
        <v>269.0</v>
      </c>
      <c r="W270" s="15">
        <f t="shared" si="2"/>
        <v>2</v>
      </c>
      <c r="X270" s="15" t="str">
        <f t="shared" si="8"/>
        <v/>
      </c>
      <c r="Y270" s="15" t="str">
        <f t="shared" si="3"/>
        <v/>
      </c>
      <c r="Z270" s="15" t="str">
        <f t="shared" si="4"/>
        <v/>
      </c>
      <c r="AA270" s="15" t="str">
        <f t="shared" si="5"/>
        <v/>
      </c>
      <c r="AB270" s="15" t="str">
        <f t="shared" si="6"/>
        <v/>
      </c>
      <c r="AC270" s="15" t="str">
        <f t="shared" si="7"/>
        <v/>
      </c>
    </row>
    <row r="271">
      <c r="A271" s="73">
        <v>270.0</v>
      </c>
      <c r="W271" s="15">
        <f t="shared" si="2"/>
        <v>0</v>
      </c>
      <c r="X271" s="15" t="str">
        <f t="shared" si="8"/>
        <v/>
      </c>
      <c r="Y271" s="15" t="str">
        <f t="shared" si="3"/>
        <v/>
      </c>
      <c r="Z271" s="15" t="str">
        <f t="shared" si="4"/>
        <v/>
      </c>
      <c r="AA271" s="15" t="str">
        <f t="shared" si="5"/>
        <v/>
      </c>
      <c r="AB271" s="15" t="str">
        <f t="shared" si="6"/>
        <v/>
      </c>
      <c r="AC271" s="15" t="str">
        <f t="shared" si="7"/>
        <v/>
      </c>
    </row>
    <row r="272">
      <c r="A272" s="73">
        <v>271.0</v>
      </c>
      <c r="W272" s="15">
        <f t="shared" si="2"/>
        <v>1</v>
      </c>
      <c r="X272" s="15" t="str">
        <f t="shared" si="8"/>
        <v/>
      </c>
      <c r="Y272" s="15" t="str">
        <f t="shared" si="3"/>
        <v/>
      </c>
      <c r="Z272" s="15" t="str">
        <f t="shared" si="4"/>
        <v/>
      </c>
      <c r="AA272" s="15" t="str">
        <f t="shared" si="5"/>
        <v/>
      </c>
      <c r="AB272" s="15" t="str">
        <f t="shared" si="6"/>
        <v/>
      </c>
      <c r="AC272" s="15" t="str">
        <f t="shared" si="7"/>
        <v/>
      </c>
    </row>
    <row r="273">
      <c r="A273" s="73">
        <v>272.0</v>
      </c>
      <c r="W273" s="15">
        <f t="shared" si="2"/>
        <v>2</v>
      </c>
      <c r="X273" s="15" t="str">
        <f t="shared" si="8"/>
        <v/>
      </c>
      <c r="Y273" s="15" t="str">
        <f t="shared" si="3"/>
        <v/>
      </c>
      <c r="Z273" s="15" t="str">
        <f t="shared" si="4"/>
        <v/>
      </c>
      <c r="AA273" s="15" t="str">
        <f t="shared" si="5"/>
        <v/>
      </c>
      <c r="AB273" s="15" t="str">
        <f t="shared" si="6"/>
        <v/>
      </c>
      <c r="AC273" s="15" t="str">
        <f t="shared" si="7"/>
        <v/>
      </c>
    </row>
    <row r="274">
      <c r="A274" s="73">
        <v>273.0</v>
      </c>
      <c r="W274" s="15">
        <f t="shared" si="2"/>
        <v>0</v>
      </c>
      <c r="X274" s="15" t="str">
        <f t="shared" si="8"/>
        <v/>
      </c>
      <c r="Y274" s="15" t="str">
        <f t="shared" si="3"/>
        <v/>
      </c>
      <c r="Z274" s="15" t="str">
        <f t="shared" si="4"/>
        <v/>
      </c>
      <c r="AA274" s="15" t="str">
        <f t="shared" si="5"/>
        <v/>
      </c>
      <c r="AB274" s="15" t="str">
        <f t="shared" si="6"/>
        <v/>
      </c>
      <c r="AC274" s="15" t="str">
        <f t="shared" si="7"/>
        <v/>
      </c>
    </row>
    <row r="275">
      <c r="A275" s="73">
        <v>274.0</v>
      </c>
      <c r="W275" s="15">
        <f t="shared" si="2"/>
        <v>1</v>
      </c>
      <c r="X275" s="15" t="str">
        <f t="shared" si="8"/>
        <v/>
      </c>
      <c r="Y275" s="15" t="str">
        <f t="shared" si="3"/>
        <v/>
      </c>
      <c r="Z275" s="15" t="str">
        <f t="shared" si="4"/>
        <v/>
      </c>
      <c r="AA275" s="15" t="str">
        <f t="shared" si="5"/>
        <v/>
      </c>
      <c r="AB275" s="15" t="str">
        <f t="shared" si="6"/>
        <v/>
      </c>
      <c r="AC275" s="15" t="str">
        <f t="shared" si="7"/>
        <v/>
      </c>
    </row>
    <row r="276">
      <c r="A276" s="73">
        <v>275.0</v>
      </c>
      <c r="W276" s="15">
        <f t="shared" si="2"/>
        <v>2</v>
      </c>
      <c r="X276" s="15" t="str">
        <f t="shared" si="8"/>
        <v/>
      </c>
      <c r="Y276" s="15" t="str">
        <f t="shared" si="3"/>
        <v/>
      </c>
      <c r="Z276" s="15" t="str">
        <f t="shared" si="4"/>
        <v/>
      </c>
      <c r="AA276" s="15" t="str">
        <f t="shared" si="5"/>
        <v/>
      </c>
      <c r="AB276" s="15" t="str">
        <f t="shared" si="6"/>
        <v/>
      </c>
      <c r="AC276" s="15" t="str">
        <f t="shared" si="7"/>
        <v/>
      </c>
    </row>
    <row r="277">
      <c r="A277" s="73">
        <v>276.0</v>
      </c>
      <c r="W277" s="15">
        <f t="shared" si="2"/>
        <v>0</v>
      </c>
      <c r="X277" s="15" t="str">
        <f t="shared" si="8"/>
        <v/>
      </c>
      <c r="Y277" s="15" t="str">
        <f t="shared" si="3"/>
        <v/>
      </c>
      <c r="Z277" s="15" t="str">
        <f t="shared" si="4"/>
        <v/>
      </c>
      <c r="AA277" s="15" t="str">
        <f t="shared" si="5"/>
        <v/>
      </c>
      <c r="AB277" s="15" t="str">
        <f t="shared" si="6"/>
        <v/>
      </c>
      <c r="AC277" s="15" t="str">
        <f t="shared" si="7"/>
        <v/>
      </c>
    </row>
    <row r="278">
      <c r="A278" s="73">
        <v>277.0</v>
      </c>
      <c r="W278" s="15">
        <f t="shared" si="2"/>
        <v>1</v>
      </c>
      <c r="X278" s="15" t="str">
        <f t="shared" si="8"/>
        <v/>
      </c>
      <c r="Y278" s="15" t="str">
        <f t="shared" si="3"/>
        <v/>
      </c>
      <c r="Z278" s="15" t="str">
        <f t="shared" si="4"/>
        <v/>
      </c>
      <c r="AA278" s="15" t="str">
        <f t="shared" si="5"/>
        <v/>
      </c>
      <c r="AB278" s="15" t="str">
        <f t="shared" si="6"/>
        <v/>
      </c>
      <c r="AC278" s="15" t="str">
        <f t="shared" si="7"/>
        <v/>
      </c>
    </row>
    <row r="279">
      <c r="A279" s="73">
        <v>278.0</v>
      </c>
      <c r="W279" s="15">
        <f t="shared" si="2"/>
        <v>2</v>
      </c>
      <c r="X279" s="15" t="str">
        <f t="shared" si="8"/>
        <v/>
      </c>
      <c r="Y279" s="15" t="str">
        <f t="shared" si="3"/>
        <v/>
      </c>
      <c r="Z279" s="15" t="str">
        <f t="shared" si="4"/>
        <v/>
      </c>
      <c r="AA279" s="15" t="str">
        <f t="shared" si="5"/>
        <v/>
      </c>
      <c r="AB279" s="15" t="str">
        <f t="shared" si="6"/>
        <v/>
      </c>
      <c r="AC279" s="15" t="str">
        <f t="shared" si="7"/>
        <v/>
      </c>
    </row>
    <row r="280">
      <c r="A280" s="73">
        <v>279.0</v>
      </c>
      <c r="W280" s="15">
        <f t="shared" si="2"/>
        <v>0</v>
      </c>
      <c r="X280" s="15" t="str">
        <f t="shared" si="8"/>
        <v/>
      </c>
      <c r="Y280" s="15" t="str">
        <f t="shared" si="3"/>
        <v/>
      </c>
      <c r="Z280" s="15" t="str">
        <f t="shared" si="4"/>
        <v/>
      </c>
      <c r="AA280" s="15" t="str">
        <f t="shared" si="5"/>
        <v/>
      </c>
      <c r="AB280" s="15" t="str">
        <f t="shared" si="6"/>
        <v/>
      </c>
      <c r="AC280" s="15" t="str">
        <f t="shared" si="7"/>
        <v/>
      </c>
    </row>
    <row r="281">
      <c r="A281" s="73">
        <v>280.0</v>
      </c>
      <c r="W281" s="15">
        <f t="shared" si="2"/>
        <v>1</v>
      </c>
      <c r="X281" s="15" t="str">
        <f t="shared" si="8"/>
        <v/>
      </c>
      <c r="Y281" s="15" t="str">
        <f t="shared" si="3"/>
        <v/>
      </c>
      <c r="Z281" s="15" t="str">
        <f t="shared" si="4"/>
        <v/>
      </c>
      <c r="AA281" s="15" t="str">
        <f t="shared" si="5"/>
        <v/>
      </c>
      <c r="AB281" s="15" t="str">
        <f t="shared" si="6"/>
        <v/>
      </c>
      <c r="AC281" s="15" t="str">
        <f t="shared" si="7"/>
        <v/>
      </c>
    </row>
    <row r="282">
      <c r="A282" s="73">
        <v>281.0</v>
      </c>
      <c r="W282" s="15">
        <f t="shared" si="2"/>
        <v>2</v>
      </c>
      <c r="X282" s="15" t="str">
        <f t="shared" si="8"/>
        <v/>
      </c>
      <c r="Y282" s="15" t="str">
        <f t="shared" si="3"/>
        <v/>
      </c>
      <c r="Z282" s="15" t="str">
        <f t="shared" si="4"/>
        <v/>
      </c>
      <c r="AA282" s="15" t="str">
        <f t="shared" si="5"/>
        <v/>
      </c>
      <c r="AB282" s="15" t="str">
        <f t="shared" si="6"/>
        <v/>
      </c>
      <c r="AC282" s="15" t="str">
        <f t="shared" si="7"/>
        <v/>
      </c>
    </row>
    <row r="283">
      <c r="A283" s="73">
        <v>282.0</v>
      </c>
      <c r="W283" s="15">
        <f t="shared" si="2"/>
        <v>0</v>
      </c>
      <c r="X283" s="15" t="str">
        <f t="shared" si="8"/>
        <v/>
      </c>
      <c r="Y283" s="15" t="str">
        <f t="shared" si="3"/>
        <v/>
      </c>
      <c r="Z283" s="15" t="str">
        <f t="shared" si="4"/>
        <v/>
      </c>
      <c r="AA283" s="15" t="str">
        <f t="shared" si="5"/>
        <v/>
      </c>
      <c r="AB283" s="15" t="str">
        <f t="shared" si="6"/>
        <v/>
      </c>
      <c r="AC283" s="15" t="str">
        <f t="shared" si="7"/>
        <v/>
      </c>
    </row>
    <row r="284">
      <c r="A284" s="73">
        <v>283.0</v>
      </c>
      <c r="W284" s="15">
        <f t="shared" si="2"/>
        <v>1</v>
      </c>
      <c r="X284" s="15" t="str">
        <f t="shared" si="8"/>
        <v/>
      </c>
      <c r="Y284" s="15" t="str">
        <f t="shared" si="3"/>
        <v/>
      </c>
      <c r="Z284" s="15" t="str">
        <f t="shared" si="4"/>
        <v/>
      </c>
      <c r="AA284" s="15" t="str">
        <f t="shared" si="5"/>
        <v/>
      </c>
      <c r="AB284" s="15" t="str">
        <f t="shared" si="6"/>
        <v/>
      </c>
      <c r="AC284" s="15" t="str">
        <f t="shared" si="7"/>
        <v/>
      </c>
    </row>
    <row r="285">
      <c r="A285" s="73">
        <v>284.0</v>
      </c>
      <c r="W285" s="15">
        <f t="shared" si="2"/>
        <v>2</v>
      </c>
      <c r="X285" s="15" t="str">
        <f t="shared" si="8"/>
        <v/>
      </c>
      <c r="Y285" s="15" t="str">
        <f t="shared" si="3"/>
        <v/>
      </c>
      <c r="Z285" s="15" t="str">
        <f t="shared" si="4"/>
        <v/>
      </c>
      <c r="AA285" s="15" t="str">
        <f t="shared" si="5"/>
        <v/>
      </c>
      <c r="AB285" s="15" t="str">
        <f t="shared" si="6"/>
        <v/>
      </c>
      <c r="AC285" s="15" t="str">
        <f t="shared" si="7"/>
        <v/>
      </c>
    </row>
    <row r="286">
      <c r="A286" s="73">
        <v>285.0</v>
      </c>
      <c r="W286" s="15">
        <f t="shared" si="2"/>
        <v>0</v>
      </c>
      <c r="X286" s="15" t="str">
        <f t="shared" si="8"/>
        <v/>
      </c>
      <c r="Y286" s="15" t="str">
        <f t="shared" si="3"/>
        <v/>
      </c>
      <c r="Z286" s="15" t="str">
        <f t="shared" si="4"/>
        <v/>
      </c>
      <c r="AA286" s="15" t="str">
        <f t="shared" si="5"/>
        <v/>
      </c>
      <c r="AB286" s="15" t="str">
        <f t="shared" si="6"/>
        <v/>
      </c>
      <c r="AC286" s="15" t="str">
        <f t="shared" si="7"/>
        <v/>
      </c>
    </row>
    <row r="287">
      <c r="A287" s="73">
        <v>286.0</v>
      </c>
      <c r="W287" s="15">
        <f t="shared" si="2"/>
        <v>1</v>
      </c>
      <c r="X287" s="15" t="str">
        <f t="shared" si="8"/>
        <v/>
      </c>
      <c r="Y287" s="15" t="str">
        <f t="shared" si="3"/>
        <v/>
      </c>
      <c r="Z287" s="15" t="str">
        <f t="shared" si="4"/>
        <v/>
      </c>
      <c r="AA287" s="15" t="str">
        <f t="shared" si="5"/>
        <v/>
      </c>
      <c r="AB287" s="15" t="str">
        <f t="shared" si="6"/>
        <v/>
      </c>
      <c r="AC287" s="15" t="str">
        <f t="shared" si="7"/>
        <v/>
      </c>
    </row>
    <row r="288">
      <c r="A288" s="73">
        <v>287.0</v>
      </c>
      <c r="W288" s="15">
        <f t="shared" si="2"/>
        <v>2</v>
      </c>
      <c r="X288" s="15" t="str">
        <f t="shared" si="8"/>
        <v/>
      </c>
      <c r="Y288" s="15" t="str">
        <f t="shared" si="3"/>
        <v/>
      </c>
      <c r="Z288" s="15" t="str">
        <f t="shared" si="4"/>
        <v/>
      </c>
      <c r="AA288" s="15" t="str">
        <f t="shared" si="5"/>
        <v/>
      </c>
      <c r="AB288" s="15" t="str">
        <f t="shared" si="6"/>
        <v/>
      </c>
      <c r="AC288" s="15" t="str">
        <f t="shared" si="7"/>
        <v/>
      </c>
    </row>
    <row r="289">
      <c r="A289" s="73">
        <v>288.0</v>
      </c>
      <c r="W289" s="15">
        <f t="shared" si="2"/>
        <v>0</v>
      </c>
      <c r="X289" s="15" t="str">
        <f t="shared" si="8"/>
        <v/>
      </c>
      <c r="Y289" s="15" t="str">
        <f t="shared" si="3"/>
        <v/>
      </c>
      <c r="Z289" s="15" t="str">
        <f t="shared" si="4"/>
        <v/>
      </c>
      <c r="AA289" s="15" t="str">
        <f t="shared" si="5"/>
        <v/>
      </c>
      <c r="AB289" s="15" t="str">
        <f t="shared" si="6"/>
        <v/>
      </c>
      <c r="AC289" s="15" t="str">
        <f t="shared" si="7"/>
        <v/>
      </c>
    </row>
    <row r="290">
      <c r="A290" s="73">
        <v>289.0</v>
      </c>
      <c r="W290" s="15">
        <f t="shared" si="2"/>
        <v>1</v>
      </c>
      <c r="X290" s="15" t="str">
        <f t="shared" si="8"/>
        <v/>
      </c>
      <c r="Y290" s="15" t="str">
        <f t="shared" si="3"/>
        <v/>
      </c>
      <c r="Z290" s="15" t="str">
        <f t="shared" si="4"/>
        <v/>
      </c>
      <c r="AA290" s="15" t="str">
        <f t="shared" si="5"/>
        <v/>
      </c>
      <c r="AB290" s="15" t="str">
        <f t="shared" si="6"/>
        <v/>
      </c>
      <c r="AC290" s="15" t="str">
        <f t="shared" si="7"/>
        <v/>
      </c>
    </row>
    <row r="291">
      <c r="A291" s="61"/>
      <c r="G291" s="73"/>
      <c r="W291" s="15">
        <f t="shared" si="2"/>
        <v>2</v>
      </c>
      <c r="X291" s="15" t="str">
        <f t="shared" si="8"/>
        <v/>
      </c>
      <c r="Y291" s="15" t="str">
        <f t="shared" si="3"/>
        <v/>
      </c>
      <c r="Z291" s="15" t="str">
        <f t="shared" si="4"/>
        <v/>
      </c>
      <c r="AA291" s="15" t="str">
        <f t="shared" si="5"/>
        <v/>
      </c>
      <c r="AB291" s="15" t="str">
        <f t="shared" si="6"/>
        <v/>
      </c>
      <c r="AC291" s="15" t="str">
        <f t="shared" si="7"/>
        <v/>
      </c>
    </row>
    <row r="292">
      <c r="A292" s="61"/>
      <c r="G292" s="73"/>
      <c r="W292" s="15">
        <f t="shared" si="2"/>
        <v>0</v>
      </c>
      <c r="X292" s="15" t="str">
        <f t="shared" si="8"/>
        <v/>
      </c>
      <c r="Y292" s="15" t="str">
        <f t="shared" si="3"/>
        <v/>
      </c>
      <c r="Z292" s="15" t="str">
        <f t="shared" si="4"/>
        <v/>
      </c>
      <c r="AA292" s="15" t="str">
        <f t="shared" si="5"/>
        <v/>
      </c>
      <c r="AB292" s="15" t="str">
        <f t="shared" si="6"/>
        <v/>
      </c>
      <c r="AC292" s="15" t="str">
        <f t="shared" si="7"/>
        <v/>
      </c>
    </row>
    <row r="293">
      <c r="A293" s="61"/>
      <c r="G293" s="73"/>
      <c r="W293" s="15">
        <f t="shared" si="2"/>
        <v>1</v>
      </c>
      <c r="X293" s="15" t="str">
        <f t="shared" si="8"/>
        <v/>
      </c>
      <c r="Y293" s="15" t="str">
        <f t="shared" si="3"/>
        <v/>
      </c>
      <c r="Z293" s="15" t="str">
        <f t="shared" si="4"/>
        <v/>
      </c>
      <c r="AA293" s="15" t="str">
        <f t="shared" si="5"/>
        <v/>
      </c>
      <c r="AB293" s="15" t="str">
        <f t="shared" si="6"/>
        <v/>
      </c>
      <c r="AC293" s="15" t="str">
        <f t="shared" si="7"/>
        <v/>
      </c>
    </row>
    <row r="294">
      <c r="A294" s="61"/>
      <c r="G294" s="73"/>
      <c r="W294" s="15">
        <f t="shared" si="2"/>
        <v>2</v>
      </c>
      <c r="X294" s="15" t="str">
        <f t="shared" si="8"/>
        <v/>
      </c>
      <c r="Y294" s="15" t="str">
        <f t="shared" si="3"/>
        <v/>
      </c>
      <c r="Z294" s="15" t="str">
        <f t="shared" si="4"/>
        <v/>
      </c>
      <c r="AA294" s="15" t="str">
        <f t="shared" si="5"/>
        <v/>
      </c>
      <c r="AB294" s="15" t="str">
        <f t="shared" si="6"/>
        <v/>
      </c>
      <c r="AC294" s="15" t="str">
        <f t="shared" si="7"/>
        <v/>
      </c>
    </row>
    <row r="295">
      <c r="A295" s="61"/>
      <c r="G295" s="73"/>
      <c r="W295" s="15">
        <f t="shared" si="2"/>
        <v>0</v>
      </c>
      <c r="X295" s="15" t="str">
        <f t="shared" si="8"/>
        <v/>
      </c>
      <c r="Y295" s="15" t="str">
        <f t="shared" si="3"/>
        <v/>
      </c>
      <c r="Z295" s="15" t="str">
        <f t="shared" si="4"/>
        <v/>
      </c>
      <c r="AA295" s="15" t="str">
        <f t="shared" si="5"/>
        <v/>
      </c>
      <c r="AB295" s="15" t="str">
        <f t="shared" si="6"/>
        <v/>
      </c>
      <c r="AC295" s="15" t="str">
        <f t="shared" si="7"/>
        <v/>
      </c>
    </row>
    <row r="296">
      <c r="A296" s="61"/>
      <c r="G296" s="73"/>
      <c r="W296" s="15">
        <f t="shared" si="2"/>
        <v>1</v>
      </c>
      <c r="X296" s="15" t="str">
        <f t="shared" si="8"/>
        <v/>
      </c>
      <c r="Y296" s="15" t="str">
        <f t="shared" si="3"/>
        <v/>
      </c>
      <c r="Z296" s="15" t="str">
        <f t="shared" si="4"/>
        <v/>
      </c>
      <c r="AA296" s="15" t="str">
        <f t="shared" si="5"/>
        <v/>
      </c>
      <c r="AB296" s="15" t="str">
        <f t="shared" si="6"/>
        <v/>
      </c>
      <c r="AC296" s="15" t="str">
        <f t="shared" si="7"/>
        <v/>
      </c>
    </row>
    <row r="297">
      <c r="A297" s="61"/>
      <c r="G297" s="73"/>
      <c r="W297" s="15">
        <f t="shared" si="2"/>
        <v>2</v>
      </c>
      <c r="X297" s="15" t="str">
        <f t="shared" si="8"/>
        <v/>
      </c>
      <c r="Y297" s="15" t="str">
        <f t="shared" si="3"/>
        <v/>
      </c>
      <c r="Z297" s="15" t="str">
        <f t="shared" si="4"/>
        <v/>
      </c>
      <c r="AA297" s="15" t="str">
        <f t="shared" si="5"/>
        <v/>
      </c>
      <c r="AB297" s="15" t="str">
        <f t="shared" si="6"/>
        <v/>
      </c>
      <c r="AC297" s="15" t="str">
        <f t="shared" si="7"/>
        <v/>
      </c>
    </row>
    <row r="298">
      <c r="A298" s="61"/>
      <c r="G298" s="73"/>
      <c r="W298" s="15">
        <f t="shared" si="2"/>
        <v>0</v>
      </c>
      <c r="X298" s="15" t="str">
        <f t="shared" si="8"/>
        <v/>
      </c>
      <c r="Y298" s="15" t="str">
        <f t="shared" si="3"/>
        <v/>
      </c>
      <c r="Z298" s="15" t="str">
        <f t="shared" si="4"/>
        <v/>
      </c>
      <c r="AA298" s="15" t="str">
        <f t="shared" si="5"/>
        <v/>
      </c>
      <c r="AB298" s="15" t="str">
        <f t="shared" si="6"/>
        <v/>
      </c>
      <c r="AC298" s="15" t="str">
        <f t="shared" si="7"/>
        <v/>
      </c>
    </row>
    <row r="299">
      <c r="A299" s="61"/>
      <c r="G299" s="73"/>
      <c r="W299" s="15">
        <f t="shared" si="2"/>
        <v>1</v>
      </c>
      <c r="X299" s="15" t="str">
        <f t="shared" si="8"/>
        <v/>
      </c>
      <c r="Y299" s="15" t="str">
        <f t="shared" si="3"/>
        <v/>
      </c>
      <c r="Z299" s="15" t="str">
        <f t="shared" si="4"/>
        <v/>
      </c>
      <c r="AA299" s="15" t="str">
        <f t="shared" si="5"/>
        <v/>
      </c>
      <c r="AB299" s="15" t="str">
        <f t="shared" si="6"/>
        <v/>
      </c>
      <c r="AC299" s="15" t="str">
        <f t="shared" si="7"/>
        <v/>
      </c>
    </row>
    <row r="300">
      <c r="A300" s="61"/>
      <c r="G300" s="73"/>
      <c r="W300" s="15">
        <f t="shared" si="2"/>
        <v>2</v>
      </c>
      <c r="X300" s="15" t="str">
        <f t="shared" si="8"/>
        <v/>
      </c>
      <c r="Y300" s="15" t="str">
        <f t="shared" si="3"/>
        <v/>
      </c>
      <c r="Z300" s="15" t="str">
        <f t="shared" si="4"/>
        <v/>
      </c>
      <c r="AA300" s="15" t="str">
        <f t="shared" si="5"/>
        <v/>
      </c>
      <c r="AB300" s="15" t="str">
        <f t="shared" si="6"/>
        <v/>
      </c>
      <c r="AC300" s="15" t="str">
        <f t="shared" si="7"/>
        <v/>
      </c>
    </row>
    <row r="301">
      <c r="A301" s="61"/>
      <c r="G301" s="73"/>
      <c r="W301" s="15">
        <f t="shared" si="2"/>
        <v>0</v>
      </c>
      <c r="X301" s="15" t="str">
        <f t="shared" si="8"/>
        <v/>
      </c>
      <c r="Y301" s="15" t="str">
        <f t="shared" si="3"/>
        <v/>
      </c>
      <c r="Z301" s="15" t="str">
        <f t="shared" si="4"/>
        <v/>
      </c>
      <c r="AA301" s="15" t="str">
        <f t="shared" si="5"/>
        <v/>
      </c>
      <c r="AB301" s="15" t="str">
        <f t="shared" si="6"/>
        <v/>
      </c>
      <c r="AC301" s="15" t="str">
        <f t="shared" si="7"/>
        <v/>
      </c>
    </row>
    <row r="302">
      <c r="A302" s="61"/>
      <c r="G302" s="73"/>
      <c r="W302" s="15">
        <f t="shared" si="2"/>
        <v>1</v>
      </c>
      <c r="X302" s="15" t="str">
        <f t="shared" si="8"/>
        <v/>
      </c>
      <c r="Y302" s="15" t="str">
        <f t="shared" si="3"/>
        <v/>
      </c>
      <c r="Z302" s="15" t="str">
        <f t="shared" si="4"/>
        <v/>
      </c>
      <c r="AA302" s="15" t="str">
        <f t="shared" si="5"/>
        <v/>
      </c>
      <c r="AB302" s="15" t="str">
        <f t="shared" si="6"/>
        <v/>
      </c>
      <c r="AC302" s="15" t="str">
        <f t="shared" si="7"/>
        <v/>
      </c>
    </row>
    <row r="303">
      <c r="A303" s="61"/>
      <c r="G303" s="73"/>
      <c r="W303" s="15">
        <f t="shared" si="2"/>
        <v>2</v>
      </c>
      <c r="X303" s="15" t="str">
        <f t="shared" si="8"/>
        <v/>
      </c>
      <c r="Y303" s="15" t="str">
        <f t="shared" si="3"/>
        <v/>
      </c>
      <c r="Z303" s="15" t="str">
        <f t="shared" si="4"/>
        <v/>
      </c>
      <c r="AA303" s="15" t="str">
        <f t="shared" si="5"/>
        <v/>
      </c>
      <c r="AB303" s="15" t="str">
        <f t="shared" si="6"/>
        <v/>
      </c>
      <c r="AC303" s="15" t="str">
        <f t="shared" si="7"/>
        <v/>
      </c>
    </row>
    <row r="304">
      <c r="A304" s="61"/>
      <c r="G304" s="73"/>
      <c r="W304" s="15">
        <f t="shared" si="2"/>
        <v>0</v>
      </c>
      <c r="X304" s="15" t="str">
        <f t="shared" si="8"/>
        <v/>
      </c>
      <c r="Y304" s="15" t="str">
        <f t="shared" si="3"/>
        <v/>
      </c>
      <c r="Z304" s="15" t="str">
        <f t="shared" si="4"/>
        <v/>
      </c>
      <c r="AA304" s="15" t="str">
        <f t="shared" si="5"/>
        <v/>
      </c>
      <c r="AB304" s="15" t="str">
        <f t="shared" si="6"/>
        <v/>
      </c>
      <c r="AC304" s="15" t="str">
        <f t="shared" si="7"/>
        <v/>
      </c>
    </row>
    <row r="305">
      <c r="A305" s="61"/>
      <c r="G305" s="73"/>
      <c r="W305" s="15">
        <f t="shared" si="2"/>
        <v>1</v>
      </c>
      <c r="X305" s="15" t="str">
        <f t="shared" si="8"/>
        <v/>
      </c>
      <c r="Y305" s="15" t="str">
        <f t="shared" si="3"/>
        <v/>
      </c>
      <c r="Z305" s="15" t="str">
        <f t="shared" si="4"/>
        <v/>
      </c>
      <c r="AA305" s="15" t="str">
        <f t="shared" si="5"/>
        <v/>
      </c>
      <c r="AB305" s="15" t="str">
        <f t="shared" si="6"/>
        <v/>
      </c>
      <c r="AC305" s="15" t="str">
        <f t="shared" si="7"/>
        <v/>
      </c>
    </row>
    <row r="306">
      <c r="A306" s="61"/>
      <c r="G306" s="73"/>
      <c r="W306" s="15">
        <f t="shared" si="2"/>
        <v>2</v>
      </c>
      <c r="X306" s="15" t="str">
        <f t="shared" si="8"/>
        <v/>
      </c>
      <c r="Y306" s="15" t="str">
        <f t="shared" si="3"/>
        <v/>
      </c>
      <c r="Z306" s="15" t="str">
        <f t="shared" si="4"/>
        <v/>
      </c>
      <c r="AA306" s="15" t="str">
        <f t="shared" si="5"/>
        <v/>
      </c>
      <c r="AB306" s="15" t="str">
        <f t="shared" si="6"/>
        <v/>
      </c>
      <c r="AC306" s="15" t="str">
        <f t="shared" si="7"/>
        <v/>
      </c>
    </row>
    <row r="307">
      <c r="A307" s="61"/>
      <c r="G307" s="73"/>
      <c r="W307" s="15">
        <f t="shared" si="2"/>
        <v>0</v>
      </c>
      <c r="X307" s="15" t="str">
        <f t="shared" si="8"/>
        <v/>
      </c>
      <c r="Y307" s="15" t="str">
        <f t="shared" si="3"/>
        <v/>
      </c>
      <c r="Z307" s="15" t="str">
        <f t="shared" si="4"/>
        <v/>
      </c>
      <c r="AA307" s="15" t="str">
        <f t="shared" si="5"/>
        <v/>
      </c>
      <c r="AB307" s="15" t="str">
        <f t="shared" si="6"/>
        <v/>
      </c>
      <c r="AC307" s="15" t="str">
        <f t="shared" si="7"/>
        <v/>
      </c>
    </row>
    <row r="308">
      <c r="A308" s="61"/>
      <c r="G308" s="73"/>
      <c r="W308" s="15">
        <f t="shared" si="2"/>
        <v>1</v>
      </c>
      <c r="X308" s="15" t="str">
        <f t="shared" si="8"/>
        <v/>
      </c>
      <c r="Y308" s="15" t="str">
        <f t="shared" si="3"/>
        <v/>
      </c>
      <c r="Z308" s="15" t="str">
        <f t="shared" si="4"/>
        <v/>
      </c>
      <c r="AA308" s="15" t="str">
        <f t="shared" si="5"/>
        <v/>
      </c>
      <c r="AB308" s="15" t="str">
        <f t="shared" si="6"/>
        <v/>
      </c>
      <c r="AC308" s="15" t="str">
        <f t="shared" si="7"/>
        <v/>
      </c>
    </row>
    <row r="309">
      <c r="A309" s="61"/>
      <c r="G309" s="73"/>
      <c r="W309" s="15">
        <f t="shared" si="2"/>
        <v>2</v>
      </c>
      <c r="X309" s="15" t="str">
        <f t="shared" si="8"/>
        <v/>
      </c>
      <c r="Y309" s="15" t="str">
        <f t="shared" si="3"/>
        <v/>
      </c>
      <c r="Z309" s="15" t="str">
        <f t="shared" si="4"/>
        <v/>
      </c>
      <c r="AA309" s="15" t="str">
        <f t="shared" si="5"/>
        <v/>
      </c>
      <c r="AB309" s="15" t="str">
        <f t="shared" si="6"/>
        <v/>
      </c>
      <c r="AC309" s="15" t="str">
        <f t="shared" si="7"/>
        <v/>
      </c>
    </row>
    <row r="310">
      <c r="A310" s="61"/>
      <c r="G310" s="73"/>
      <c r="W310" s="15">
        <f t="shared" si="2"/>
        <v>0</v>
      </c>
      <c r="X310" s="15" t="str">
        <f t="shared" si="8"/>
        <v/>
      </c>
      <c r="Y310" s="15" t="str">
        <f t="shared" si="3"/>
        <v/>
      </c>
      <c r="Z310" s="15" t="str">
        <f t="shared" si="4"/>
        <v/>
      </c>
      <c r="AA310" s="15" t="str">
        <f t="shared" si="5"/>
        <v/>
      </c>
      <c r="AB310" s="15" t="str">
        <f t="shared" si="6"/>
        <v/>
      </c>
      <c r="AC310" s="15" t="str">
        <f t="shared" si="7"/>
        <v/>
      </c>
    </row>
    <row r="311">
      <c r="A311" s="61"/>
      <c r="G311" s="73"/>
      <c r="W311" s="15">
        <f t="shared" si="2"/>
        <v>1</v>
      </c>
      <c r="X311" s="15" t="str">
        <f t="shared" si="8"/>
        <v/>
      </c>
      <c r="Y311" s="15" t="str">
        <f t="shared" si="3"/>
        <v/>
      </c>
      <c r="Z311" s="15" t="str">
        <f t="shared" si="4"/>
        <v/>
      </c>
      <c r="AA311" s="15" t="str">
        <f t="shared" si="5"/>
        <v/>
      </c>
      <c r="AB311" s="15" t="str">
        <f t="shared" si="6"/>
        <v/>
      </c>
      <c r="AC311" s="15" t="str">
        <f t="shared" si="7"/>
        <v/>
      </c>
    </row>
    <row r="312">
      <c r="A312" s="61"/>
      <c r="G312" s="73"/>
      <c r="W312" s="15">
        <f t="shared" si="2"/>
        <v>2</v>
      </c>
      <c r="X312" s="15" t="str">
        <f t="shared" si="8"/>
        <v/>
      </c>
      <c r="Y312" s="15" t="str">
        <f t="shared" si="3"/>
        <v/>
      </c>
      <c r="Z312" s="15" t="str">
        <f t="shared" si="4"/>
        <v/>
      </c>
      <c r="AA312" s="15" t="str">
        <f t="shared" si="5"/>
        <v/>
      </c>
      <c r="AB312" s="15" t="str">
        <f t="shared" si="6"/>
        <v/>
      </c>
      <c r="AC312" s="15" t="str">
        <f t="shared" si="7"/>
        <v/>
      </c>
    </row>
    <row r="313">
      <c r="A313" s="61"/>
      <c r="G313" s="73"/>
      <c r="W313" s="15">
        <f t="shared" si="2"/>
        <v>0</v>
      </c>
      <c r="X313" s="15" t="str">
        <f t="shared" si="8"/>
        <v/>
      </c>
      <c r="Y313" s="15" t="str">
        <f t="shared" si="3"/>
        <v/>
      </c>
      <c r="Z313" s="15" t="str">
        <f t="shared" si="4"/>
        <v/>
      </c>
      <c r="AA313" s="15" t="str">
        <f t="shared" si="5"/>
        <v/>
      </c>
      <c r="AB313" s="15" t="str">
        <f t="shared" si="6"/>
        <v/>
      </c>
      <c r="AC313" s="15" t="str">
        <f t="shared" si="7"/>
        <v/>
      </c>
    </row>
    <row r="314">
      <c r="A314" s="61"/>
      <c r="G314" s="73"/>
      <c r="W314" s="15">
        <f t="shared" si="2"/>
        <v>1</v>
      </c>
      <c r="X314" s="15" t="str">
        <f t="shared" si="8"/>
        <v/>
      </c>
      <c r="Y314" s="15" t="str">
        <f t="shared" si="3"/>
        <v/>
      </c>
      <c r="Z314" s="15" t="str">
        <f t="shared" si="4"/>
        <v/>
      </c>
      <c r="AA314" s="15" t="str">
        <f t="shared" si="5"/>
        <v/>
      </c>
      <c r="AB314" s="15" t="str">
        <f t="shared" si="6"/>
        <v/>
      </c>
      <c r="AC314" s="15" t="str">
        <f t="shared" si="7"/>
        <v/>
      </c>
    </row>
    <row r="315">
      <c r="A315" s="61"/>
      <c r="G315" s="73"/>
      <c r="W315" s="15">
        <f t="shared" si="2"/>
        <v>2</v>
      </c>
      <c r="X315" s="15" t="str">
        <f t="shared" si="8"/>
        <v/>
      </c>
      <c r="Y315" s="15" t="str">
        <f t="shared" si="3"/>
        <v/>
      </c>
      <c r="Z315" s="15" t="str">
        <f t="shared" si="4"/>
        <v/>
      </c>
      <c r="AA315" s="15" t="str">
        <f t="shared" si="5"/>
        <v/>
      </c>
      <c r="AB315" s="15" t="str">
        <f t="shared" si="6"/>
        <v/>
      </c>
      <c r="AC315" s="15" t="str">
        <f t="shared" si="7"/>
        <v/>
      </c>
    </row>
    <row r="316">
      <c r="A316" s="61"/>
      <c r="G316" s="73"/>
      <c r="W316" s="15">
        <f t="shared" si="2"/>
        <v>0</v>
      </c>
      <c r="X316" s="15" t="str">
        <f t="shared" si="8"/>
        <v/>
      </c>
      <c r="Y316" s="15" t="str">
        <f t="shared" si="3"/>
        <v/>
      </c>
      <c r="Z316" s="15" t="str">
        <f t="shared" si="4"/>
        <v/>
      </c>
      <c r="AA316" s="15" t="str">
        <f t="shared" si="5"/>
        <v/>
      </c>
      <c r="AB316" s="15" t="str">
        <f t="shared" si="6"/>
        <v/>
      </c>
      <c r="AC316" s="15" t="str">
        <f t="shared" si="7"/>
        <v/>
      </c>
    </row>
    <row r="317">
      <c r="A317" s="61"/>
      <c r="G317" s="73"/>
      <c r="W317" s="15">
        <f t="shared" si="2"/>
        <v>1</v>
      </c>
      <c r="X317" s="15" t="str">
        <f t="shared" si="8"/>
        <v/>
      </c>
      <c r="Y317" s="15" t="str">
        <f t="shared" si="3"/>
        <v/>
      </c>
      <c r="Z317" s="15" t="str">
        <f t="shared" si="4"/>
        <v/>
      </c>
      <c r="AA317" s="15" t="str">
        <f t="shared" si="5"/>
        <v/>
      </c>
      <c r="AB317" s="15" t="str">
        <f t="shared" si="6"/>
        <v/>
      </c>
      <c r="AC317" s="15" t="str">
        <f t="shared" si="7"/>
        <v/>
      </c>
    </row>
    <row r="318">
      <c r="A318" s="61"/>
      <c r="G318" s="73"/>
      <c r="W318" s="15">
        <f t="shared" si="2"/>
        <v>2</v>
      </c>
      <c r="X318" s="15" t="str">
        <f t="shared" si="8"/>
        <v/>
      </c>
      <c r="Y318" s="15" t="str">
        <f t="shared" si="3"/>
        <v/>
      </c>
      <c r="Z318" s="15" t="str">
        <f t="shared" si="4"/>
        <v/>
      </c>
      <c r="AA318" s="15" t="str">
        <f t="shared" si="5"/>
        <v/>
      </c>
      <c r="AB318" s="15" t="str">
        <f t="shared" si="6"/>
        <v/>
      </c>
      <c r="AC318" s="15" t="str">
        <f t="shared" si="7"/>
        <v/>
      </c>
    </row>
    <row r="319">
      <c r="A319" s="61"/>
      <c r="G319" s="73"/>
      <c r="W319" s="15">
        <f t="shared" si="2"/>
        <v>0</v>
      </c>
      <c r="X319" s="15" t="str">
        <f t="shared" si="8"/>
        <v/>
      </c>
      <c r="Y319" s="15" t="str">
        <f t="shared" si="3"/>
        <v/>
      </c>
      <c r="Z319" s="15" t="str">
        <f t="shared" si="4"/>
        <v/>
      </c>
      <c r="AA319" s="15" t="str">
        <f t="shared" si="5"/>
        <v/>
      </c>
      <c r="AB319" s="15" t="str">
        <f t="shared" si="6"/>
        <v/>
      </c>
      <c r="AC319" s="15" t="str">
        <f t="shared" si="7"/>
        <v/>
      </c>
    </row>
    <row r="320">
      <c r="A320" s="61"/>
      <c r="G320" s="73"/>
      <c r="W320" s="15">
        <f t="shared" si="2"/>
        <v>1</v>
      </c>
      <c r="X320" s="15" t="str">
        <f t="shared" si="8"/>
        <v/>
      </c>
      <c r="Y320" s="15" t="str">
        <f t="shared" si="3"/>
        <v/>
      </c>
      <c r="Z320" s="15" t="str">
        <f t="shared" si="4"/>
        <v/>
      </c>
      <c r="AA320" s="15" t="str">
        <f t="shared" si="5"/>
        <v/>
      </c>
      <c r="AB320" s="15" t="str">
        <f t="shared" si="6"/>
        <v/>
      </c>
      <c r="AC320" s="15" t="str">
        <f t="shared" si="7"/>
        <v/>
      </c>
    </row>
    <row r="321">
      <c r="A321" s="61"/>
      <c r="G321" s="73"/>
      <c r="W321" s="15">
        <f t="shared" si="2"/>
        <v>2</v>
      </c>
      <c r="X321" s="15" t="str">
        <f t="shared" si="8"/>
        <v/>
      </c>
      <c r="Y321" s="15" t="str">
        <f t="shared" si="3"/>
        <v/>
      </c>
      <c r="Z321" s="15" t="str">
        <f t="shared" si="4"/>
        <v/>
      </c>
      <c r="AA321" s="15" t="str">
        <f t="shared" si="5"/>
        <v/>
      </c>
      <c r="AB321" s="15" t="str">
        <f t="shared" si="6"/>
        <v/>
      </c>
      <c r="AC321" s="15" t="str">
        <f t="shared" si="7"/>
        <v/>
      </c>
    </row>
    <row r="322">
      <c r="A322" s="61"/>
      <c r="G322" s="73"/>
      <c r="W322" s="15">
        <f t="shared" si="2"/>
        <v>0</v>
      </c>
      <c r="X322" s="15" t="str">
        <f t="shared" si="8"/>
        <v/>
      </c>
      <c r="Y322" s="15" t="str">
        <f t="shared" si="3"/>
        <v/>
      </c>
      <c r="Z322" s="15" t="str">
        <f t="shared" si="4"/>
        <v/>
      </c>
      <c r="AA322" s="15" t="str">
        <f t="shared" si="5"/>
        <v/>
      </c>
      <c r="AB322" s="15" t="str">
        <f t="shared" si="6"/>
        <v/>
      </c>
      <c r="AC322" s="15" t="str">
        <f t="shared" si="7"/>
        <v/>
      </c>
    </row>
    <row r="323">
      <c r="A323" s="61"/>
      <c r="G323" s="73"/>
      <c r="W323" s="15">
        <f t="shared" si="2"/>
        <v>1</v>
      </c>
      <c r="X323" s="15" t="str">
        <f t="shared" si="8"/>
        <v/>
      </c>
      <c r="Y323" s="15" t="str">
        <f t="shared" si="3"/>
        <v/>
      </c>
      <c r="Z323" s="15" t="str">
        <f t="shared" si="4"/>
        <v/>
      </c>
      <c r="AA323" s="15" t="str">
        <f t="shared" si="5"/>
        <v/>
      </c>
      <c r="AB323" s="15" t="str">
        <f t="shared" si="6"/>
        <v/>
      </c>
      <c r="AC323" s="15" t="str">
        <f t="shared" si="7"/>
        <v/>
      </c>
    </row>
    <row r="324">
      <c r="A324" s="61"/>
      <c r="G324" s="73"/>
      <c r="W324" s="15">
        <f t="shared" si="2"/>
        <v>2</v>
      </c>
      <c r="X324" s="15" t="str">
        <f t="shared" si="8"/>
        <v/>
      </c>
      <c r="Y324" s="15" t="str">
        <f t="shared" si="3"/>
        <v/>
      </c>
      <c r="Z324" s="15" t="str">
        <f t="shared" si="4"/>
        <v/>
      </c>
      <c r="AA324" s="15" t="str">
        <f t="shared" si="5"/>
        <v/>
      </c>
      <c r="AB324" s="15" t="str">
        <f t="shared" si="6"/>
        <v/>
      </c>
      <c r="AC324" s="15" t="str">
        <f t="shared" si="7"/>
        <v/>
      </c>
    </row>
    <row r="325">
      <c r="A325" s="61"/>
      <c r="G325" s="73"/>
      <c r="W325" s="15">
        <f t="shared" si="2"/>
        <v>0</v>
      </c>
      <c r="X325" s="15" t="str">
        <f t="shared" si="8"/>
        <v/>
      </c>
      <c r="Y325" s="15" t="str">
        <f t="shared" si="3"/>
        <v/>
      </c>
      <c r="Z325" s="15" t="str">
        <f t="shared" si="4"/>
        <v/>
      </c>
      <c r="AA325" s="15" t="str">
        <f t="shared" si="5"/>
        <v/>
      </c>
      <c r="AB325" s="15" t="str">
        <f t="shared" si="6"/>
        <v/>
      </c>
      <c r="AC325" s="15" t="str">
        <f t="shared" si="7"/>
        <v/>
      </c>
    </row>
    <row r="326">
      <c r="A326" s="61"/>
      <c r="G326" s="73"/>
      <c r="W326" s="15">
        <f t="shared" si="2"/>
        <v>1</v>
      </c>
      <c r="X326" s="15" t="str">
        <f t="shared" si="8"/>
        <v/>
      </c>
      <c r="Y326" s="15" t="str">
        <f t="shared" si="3"/>
        <v/>
      </c>
      <c r="Z326" s="15" t="str">
        <f t="shared" si="4"/>
        <v/>
      </c>
      <c r="AA326" s="15" t="str">
        <f t="shared" si="5"/>
        <v/>
      </c>
      <c r="AB326" s="15" t="str">
        <f t="shared" si="6"/>
        <v/>
      </c>
      <c r="AC326" s="15" t="str">
        <f t="shared" si="7"/>
        <v/>
      </c>
    </row>
    <row r="327">
      <c r="A327" s="61"/>
      <c r="G327" s="73"/>
      <c r="W327" s="15">
        <f t="shared" si="2"/>
        <v>2</v>
      </c>
      <c r="X327" s="15" t="str">
        <f t="shared" si="8"/>
        <v/>
      </c>
      <c r="Y327" s="15" t="str">
        <f t="shared" si="3"/>
        <v/>
      </c>
      <c r="Z327" s="15" t="str">
        <f t="shared" si="4"/>
        <v/>
      </c>
      <c r="AA327" s="15" t="str">
        <f t="shared" si="5"/>
        <v/>
      </c>
      <c r="AB327" s="15" t="str">
        <f t="shared" si="6"/>
        <v/>
      </c>
      <c r="AC327" s="15" t="str">
        <f t="shared" si="7"/>
        <v/>
      </c>
    </row>
    <row r="328">
      <c r="A328" s="61"/>
      <c r="G328" s="73"/>
      <c r="W328" s="15">
        <f t="shared" si="2"/>
        <v>0</v>
      </c>
      <c r="X328" s="15" t="str">
        <f t="shared" si="8"/>
        <v/>
      </c>
      <c r="Y328" s="15" t="str">
        <f t="shared" si="3"/>
        <v/>
      </c>
      <c r="Z328" s="15" t="str">
        <f t="shared" si="4"/>
        <v/>
      </c>
      <c r="AA328" s="15" t="str">
        <f t="shared" si="5"/>
        <v/>
      </c>
      <c r="AB328" s="15" t="str">
        <f t="shared" si="6"/>
        <v/>
      </c>
      <c r="AC328" s="15" t="str">
        <f t="shared" si="7"/>
        <v/>
      </c>
    </row>
    <row r="329">
      <c r="A329" s="61"/>
      <c r="G329" s="73"/>
      <c r="W329" s="15">
        <f t="shared" si="2"/>
        <v>1</v>
      </c>
      <c r="X329" s="15" t="str">
        <f t="shared" si="8"/>
        <v/>
      </c>
      <c r="Y329" s="15" t="str">
        <f t="shared" si="3"/>
        <v/>
      </c>
      <c r="Z329" s="15" t="str">
        <f t="shared" si="4"/>
        <v/>
      </c>
      <c r="AA329" s="15" t="str">
        <f t="shared" si="5"/>
        <v/>
      </c>
      <c r="AB329" s="15" t="str">
        <f t="shared" si="6"/>
        <v/>
      </c>
      <c r="AC329" s="15" t="str">
        <f t="shared" si="7"/>
        <v/>
      </c>
    </row>
    <row r="330">
      <c r="A330" s="61"/>
      <c r="G330" s="73"/>
      <c r="W330" s="15">
        <f t="shared" si="2"/>
        <v>2</v>
      </c>
      <c r="X330" s="15" t="str">
        <f t="shared" si="8"/>
        <v/>
      </c>
      <c r="Y330" s="15" t="str">
        <f t="shared" si="3"/>
        <v/>
      </c>
      <c r="Z330" s="15" t="str">
        <f t="shared" si="4"/>
        <v/>
      </c>
      <c r="AA330" s="15" t="str">
        <f t="shared" si="5"/>
        <v/>
      </c>
      <c r="AB330" s="15" t="str">
        <f t="shared" si="6"/>
        <v/>
      </c>
      <c r="AC330" s="15" t="str">
        <f t="shared" si="7"/>
        <v/>
      </c>
    </row>
    <row r="331">
      <c r="A331" s="61"/>
      <c r="G331" s="73"/>
      <c r="W331" s="15">
        <f t="shared" si="2"/>
        <v>0</v>
      </c>
      <c r="X331" s="15" t="str">
        <f t="shared" si="8"/>
        <v/>
      </c>
      <c r="Y331" s="15" t="str">
        <f t="shared" si="3"/>
        <v/>
      </c>
      <c r="Z331" s="15" t="str">
        <f t="shared" si="4"/>
        <v/>
      </c>
      <c r="AA331" s="15" t="str">
        <f t="shared" si="5"/>
        <v/>
      </c>
      <c r="AB331" s="15" t="str">
        <f t="shared" si="6"/>
        <v/>
      </c>
      <c r="AC331" s="15" t="str">
        <f t="shared" si="7"/>
        <v/>
      </c>
    </row>
    <row r="332">
      <c r="A332" s="61"/>
      <c r="G332" s="73"/>
      <c r="W332" s="15">
        <f t="shared" si="2"/>
        <v>1</v>
      </c>
      <c r="X332" s="15" t="str">
        <f t="shared" si="8"/>
        <v/>
      </c>
      <c r="Y332" s="15" t="str">
        <f t="shared" si="3"/>
        <v/>
      </c>
      <c r="Z332" s="15" t="str">
        <f t="shared" si="4"/>
        <v/>
      </c>
      <c r="AA332" s="15" t="str">
        <f t="shared" si="5"/>
        <v/>
      </c>
      <c r="AB332" s="15" t="str">
        <f t="shared" si="6"/>
        <v/>
      </c>
      <c r="AC332" s="15" t="str">
        <f t="shared" si="7"/>
        <v/>
      </c>
    </row>
    <row r="333">
      <c r="A333" s="61"/>
      <c r="G333" s="73"/>
      <c r="W333" s="15">
        <f t="shared" si="2"/>
        <v>2</v>
      </c>
      <c r="X333" s="15" t="str">
        <f t="shared" si="8"/>
        <v/>
      </c>
      <c r="Y333" s="15" t="str">
        <f t="shared" si="3"/>
        <v/>
      </c>
      <c r="Z333" s="15" t="str">
        <f t="shared" si="4"/>
        <v/>
      </c>
      <c r="AA333" s="15" t="str">
        <f t="shared" si="5"/>
        <v/>
      </c>
      <c r="AB333" s="15" t="str">
        <f t="shared" si="6"/>
        <v/>
      </c>
      <c r="AC333" s="15" t="str">
        <f t="shared" si="7"/>
        <v/>
      </c>
    </row>
    <row r="334">
      <c r="A334" s="61"/>
      <c r="G334" s="73"/>
      <c r="W334" s="15">
        <f t="shared" si="2"/>
        <v>0</v>
      </c>
      <c r="X334" s="15" t="str">
        <f t="shared" si="8"/>
        <v/>
      </c>
      <c r="Y334" s="15" t="str">
        <f t="shared" si="3"/>
        <v/>
      </c>
      <c r="Z334" s="15" t="str">
        <f t="shared" si="4"/>
        <v/>
      </c>
      <c r="AA334" s="15" t="str">
        <f t="shared" si="5"/>
        <v/>
      </c>
      <c r="AB334" s="15" t="str">
        <f t="shared" si="6"/>
        <v/>
      </c>
      <c r="AC334" s="15" t="str">
        <f t="shared" si="7"/>
        <v/>
      </c>
    </row>
    <row r="335">
      <c r="A335" s="61"/>
      <c r="G335" s="73"/>
      <c r="W335" s="15">
        <f t="shared" si="2"/>
        <v>1</v>
      </c>
      <c r="X335" s="15" t="str">
        <f t="shared" si="8"/>
        <v/>
      </c>
      <c r="Y335" s="15" t="str">
        <f t="shared" si="3"/>
        <v/>
      </c>
      <c r="Z335" s="15" t="str">
        <f t="shared" si="4"/>
        <v/>
      </c>
      <c r="AA335" s="15" t="str">
        <f t="shared" si="5"/>
        <v/>
      </c>
      <c r="AB335" s="15" t="str">
        <f t="shared" si="6"/>
        <v/>
      </c>
      <c r="AC335" s="15" t="str">
        <f t="shared" si="7"/>
        <v/>
      </c>
    </row>
    <row r="336">
      <c r="A336" s="61"/>
      <c r="G336" s="73"/>
      <c r="W336" s="15">
        <f t="shared" si="2"/>
        <v>2</v>
      </c>
      <c r="X336" s="15" t="str">
        <f t="shared" si="8"/>
        <v/>
      </c>
      <c r="Y336" s="15" t="str">
        <f t="shared" si="3"/>
        <v/>
      </c>
      <c r="Z336" s="15" t="str">
        <f t="shared" si="4"/>
        <v/>
      </c>
      <c r="AA336" s="15" t="str">
        <f t="shared" si="5"/>
        <v/>
      </c>
      <c r="AB336" s="15" t="str">
        <f t="shared" si="6"/>
        <v/>
      </c>
      <c r="AC336" s="15" t="str">
        <f t="shared" si="7"/>
        <v/>
      </c>
    </row>
    <row r="337">
      <c r="A337" s="61"/>
      <c r="G337" s="73"/>
      <c r="W337" s="15">
        <f t="shared" si="2"/>
        <v>0</v>
      </c>
      <c r="X337" s="15" t="str">
        <f t="shared" si="8"/>
        <v/>
      </c>
      <c r="Y337" s="15" t="str">
        <f t="shared" si="3"/>
        <v/>
      </c>
      <c r="Z337" s="15" t="str">
        <f t="shared" si="4"/>
        <v/>
      </c>
      <c r="AA337" s="15" t="str">
        <f t="shared" si="5"/>
        <v/>
      </c>
      <c r="AB337" s="15" t="str">
        <f t="shared" si="6"/>
        <v/>
      </c>
      <c r="AC337" s="15" t="str">
        <f t="shared" si="7"/>
        <v/>
      </c>
    </row>
    <row r="338">
      <c r="A338" s="61"/>
      <c r="G338" s="73"/>
      <c r="W338" s="15">
        <f t="shared" si="2"/>
        <v>1</v>
      </c>
      <c r="X338" s="15" t="str">
        <f t="shared" si="8"/>
        <v/>
      </c>
      <c r="Y338" s="15" t="str">
        <f t="shared" si="3"/>
        <v/>
      </c>
      <c r="Z338" s="15" t="str">
        <f t="shared" si="4"/>
        <v/>
      </c>
      <c r="AA338" s="15" t="str">
        <f t="shared" si="5"/>
        <v/>
      </c>
      <c r="AB338" s="15" t="str">
        <f t="shared" si="6"/>
        <v/>
      </c>
      <c r="AC338" s="15" t="str">
        <f t="shared" si="7"/>
        <v/>
      </c>
    </row>
    <row r="339">
      <c r="A339" s="61"/>
      <c r="G339" s="73"/>
      <c r="W339" s="15">
        <f t="shared" si="2"/>
        <v>2</v>
      </c>
      <c r="X339" s="15" t="str">
        <f t="shared" si="8"/>
        <v/>
      </c>
      <c r="Y339" s="15" t="str">
        <f t="shared" si="3"/>
        <v/>
      </c>
      <c r="Z339" s="15" t="str">
        <f t="shared" si="4"/>
        <v/>
      </c>
      <c r="AA339" s="15" t="str">
        <f t="shared" si="5"/>
        <v/>
      </c>
      <c r="AB339" s="15" t="str">
        <f t="shared" si="6"/>
        <v/>
      </c>
      <c r="AC339" s="15" t="str">
        <f t="shared" si="7"/>
        <v/>
      </c>
    </row>
    <row r="340">
      <c r="A340" s="61"/>
      <c r="G340" s="73"/>
      <c r="W340" s="15">
        <f t="shared" si="2"/>
        <v>0</v>
      </c>
      <c r="X340" s="15" t="str">
        <f t="shared" si="8"/>
        <v/>
      </c>
      <c r="Y340" s="15" t="str">
        <f t="shared" si="3"/>
        <v/>
      </c>
      <c r="Z340" s="15" t="str">
        <f t="shared" si="4"/>
        <v/>
      </c>
      <c r="AA340" s="15" t="str">
        <f t="shared" si="5"/>
        <v/>
      </c>
      <c r="AB340" s="15" t="str">
        <f t="shared" si="6"/>
        <v/>
      </c>
      <c r="AC340" s="15" t="str">
        <f t="shared" si="7"/>
        <v/>
      </c>
    </row>
    <row r="341">
      <c r="A341" s="61"/>
      <c r="G341" s="73"/>
      <c r="W341" s="15">
        <f t="shared" si="2"/>
        <v>1</v>
      </c>
      <c r="X341" s="15" t="str">
        <f t="shared" si="8"/>
        <v/>
      </c>
      <c r="Y341" s="15" t="str">
        <f t="shared" si="3"/>
        <v/>
      </c>
      <c r="Z341" s="15" t="str">
        <f t="shared" si="4"/>
        <v/>
      </c>
      <c r="AA341" s="15" t="str">
        <f t="shared" si="5"/>
        <v/>
      </c>
      <c r="AB341" s="15" t="str">
        <f t="shared" si="6"/>
        <v/>
      </c>
      <c r="AC341" s="15" t="str">
        <f t="shared" si="7"/>
        <v/>
      </c>
    </row>
    <row r="342">
      <c r="A342" s="61"/>
      <c r="G342" s="73"/>
      <c r="W342" s="15">
        <f t="shared" si="2"/>
        <v>2</v>
      </c>
      <c r="X342" s="15" t="str">
        <f t="shared" si="8"/>
        <v/>
      </c>
      <c r="Y342" s="15" t="str">
        <f t="shared" si="3"/>
        <v/>
      </c>
      <c r="Z342" s="15" t="str">
        <f t="shared" si="4"/>
        <v/>
      </c>
      <c r="AA342" s="15" t="str">
        <f t="shared" si="5"/>
        <v/>
      </c>
      <c r="AB342" s="15" t="str">
        <f t="shared" si="6"/>
        <v/>
      </c>
      <c r="AC342" s="15" t="str">
        <f t="shared" si="7"/>
        <v/>
      </c>
    </row>
    <row r="343">
      <c r="A343" s="61"/>
      <c r="G343" s="73"/>
      <c r="W343" s="15">
        <f t="shared" si="2"/>
        <v>0</v>
      </c>
      <c r="X343" s="15" t="str">
        <f t="shared" si="8"/>
        <v/>
      </c>
      <c r="Y343" s="15" t="str">
        <f t="shared" si="3"/>
        <v/>
      </c>
      <c r="Z343" s="15" t="str">
        <f t="shared" si="4"/>
        <v/>
      </c>
      <c r="AA343" s="15" t="str">
        <f t="shared" si="5"/>
        <v/>
      </c>
      <c r="AB343" s="15" t="str">
        <f t="shared" si="6"/>
        <v/>
      </c>
      <c r="AC343" s="15" t="str">
        <f t="shared" si="7"/>
        <v/>
      </c>
    </row>
    <row r="344">
      <c r="A344" s="61"/>
      <c r="G344" s="73"/>
      <c r="W344" s="15">
        <f t="shared" si="2"/>
        <v>1</v>
      </c>
      <c r="X344" s="15" t="str">
        <f t="shared" si="8"/>
        <v/>
      </c>
      <c r="Y344" s="15" t="str">
        <f t="shared" si="3"/>
        <v/>
      </c>
      <c r="Z344" s="15" t="str">
        <f t="shared" si="4"/>
        <v/>
      </c>
      <c r="AA344" s="15" t="str">
        <f t="shared" si="5"/>
        <v/>
      </c>
      <c r="AB344" s="15" t="str">
        <f t="shared" si="6"/>
        <v/>
      </c>
      <c r="AC344" s="15" t="str">
        <f t="shared" si="7"/>
        <v/>
      </c>
    </row>
    <row r="345">
      <c r="A345" s="61"/>
      <c r="G345" s="73"/>
      <c r="W345" s="15">
        <f t="shared" si="2"/>
        <v>2</v>
      </c>
      <c r="X345" s="15" t="str">
        <f t="shared" si="8"/>
        <v/>
      </c>
      <c r="Y345" s="15" t="str">
        <f t="shared" si="3"/>
        <v/>
      </c>
      <c r="Z345" s="15" t="str">
        <f t="shared" si="4"/>
        <v/>
      </c>
      <c r="AA345" s="15" t="str">
        <f t="shared" si="5"/>
        <v/>
      </c>
      <c r="AB345" s="15" t="str">
        <f t="shared" si="6"/>
        <v/>
      </c>
      <c r="AC345" s="15" t="str">
        <f t="shared" si="7"/>
        <v/>
      </c>
    </row>
    <row r="346">
      <c r="A346" s="61"/>
      <c r="G346" s="73"/>
      <c r="W346" s="15">
        <f t="shared" si="2"/>
        <v>0</v>
      </c>
      <c r="X346" s="15" t="str">
        <f t="shared" si="8"/>
        <v/>
      </c>
      <c r="Y346" s="15" t="str">
        <f t="shared" si="3"/>
        <v/>
      </c>
      <c r="Z346" s="15" t="str">
        <f t="shared" si="4"/>
        <v/>
      </c>
      <c r="AA346" s="15" t="str">
        <f t="shared" si="5"/>
        <v/>
      </c>
      <c r="AB346" s="15" t="str">
        <f t="shared" si="6"/>
        <v/>
      </c>
      <c r="AC346" s="15" t="str">
        <f t="shared" si="7"/>
        <v/>
      </c>
    </row>
    <row r="347">
      <c r="A347" s="61"/>
      <c r="G347" s="73"/>
      <c r="W347" s="15">
        <f t="shared" si="2"/>
        <v>1</v>
      </c>
      <c r="X347" s="15" t="str">
        <f t="shared" si="8"/>
        <v/>
      </c>
      <c r="Y347" s="15" t="str">
        <f t="shared" si="3"/>
        <v/>
      </c>
      <c r="Z347" s="15" t="str">
        <f t="shared" si="4"/>
        <v/>
      </c>
      <c r="AA347" s="15" t="str">
        <f t="shared" si="5"/>
        <v/>
      </c>
      <c r="AB347" s="15" t="str">
        <f t="shared" si="6"/>
        <v/>
      </c>
      <c r="AC347" s="15" t="str">
        <f t="shared" si="7"/>
        <v/>
      </c>
    </row>
    <row r="348">
      <c r="A348" s="61"/>
      <c r="G348" s="73"/>
      <c r="W348" s="15">
        <f t="shared" si="2"/>
        <v>2</v>
      </c>
      <c r="X348" s="15" t="str">
        <f t="shared" si="8"/>
        <v/>
      </c>
      <c r="Y348" s="15" t="str">
        <f t="shared" si="3"/>
        <v/>
      </c>
      <c r="Z348" s="15" t="str">
        <f t="shared" si="4"/>
        <v/>
      </c>
      <c r="AA348" s="15" t="str">
        <f t="shared" si="5"/>
        <v/>
      </c>
      <c r="AB348" s="15" t="str">
        <f t="shared" si="6"/>
        <v/>
      </c>
      <c r="AC348" s="15" t="str">
        <f t="shared" si="7"/>
        <v/>
      </c>
    </row>
    <row r="349">
      <c r="A349" s="61"/>
      <c r="G349" s="73"/>
      <c r="W349" s="15">
        <f t="shared" si="2"/>
        <v>0</v>
      </c>
      <c r="X349" s="15" t="str">
        <f t="shared" si="8"/>
        <v/>
      </c>
      <c r="Y349" s="15" t="str">
        <f t="shared" si="3"/>
        <v/>
      </c>
      <c r="Z349" s="15" t="str">
        <f t="shared" si="4"/>
        <v/>
      </c>
      <c r="AA349" s="15" t="str">
        <f t="shared" si="5"/>
        <v/>
      </c>
      <c r="AB349" s="15" t="str">
        <f t="shared" si="6"/>
        <v/>
      </c>
      <c r="AC349" s="15" t="str">
        <f t="shared" si="7"/>
        <v/>
      </c>
    </row>
    <row r="350">
      <c r="A350" s="61"/>
      <c r="G350" s="73"/>
      <c r="W350" s="15">
        <f t="shared" si="2"/>
        <v>1</v>
      </c>
      <c r="X350" s="15" t="str">
        <f t="shared" si="8"/>
        <v/>
      </c>
      <c r="Y350" s="15" t="str">
        <f t="shared" si="3"/>
        <v/>
      </c>
      <c r="Z350" s="15" t="str">
        <f t="shared" si="4"/>
        <v/>
      </c>
      <c r="AA350" s="15" t="str">
        <f t="shared" si="5"/>
        <v/>
      </c>
      <c r="AB350" s="15" t="str">
        <f t="shared" si="6"/>
        <v/>
      </c>
      <c r="AC350" s="15" t="str">
        <f t="shared" si="7"/>
        <v/>
      </c>
    </row>
    <row r="351">
      <c r="A351" s="61"/>
      <c r="G351" s="73"/>
      <c r="W351" s="15">
        <f t="shared" si="2"/>
        <v>2</v>
      </c>
      <c r="X351" s="15" t="str">
        <f t="shared" si="8"/>
        <v/>
      </c>
      <c r="Y351" s="15" t="str">
        <f t="shared" si="3"/>
        <v/>
      </c>
      <c r="Z351" s="15" t="str">
        <f t="shared" si="4"/>
        <v/>
      </c>
      <c r="AA351" s="15" t="str">
        <f t="shared" si="5"/>
        <v/>
      </c>
      <c r="AB351" s="15" t="str">
        <f t="shared" si="6"/>
        <v/>
      </c>
      <c r="AC351" s="15" t="str">
        <f t="shared" si="7"/>
        <v/>
      </c>
    </row>
    <row r="352">
      <c r="A352" s="61"/>
      <c r="G352" s="73"/>
      <c r="W352" s="15">
        <f t="shared" si="2"/>
        <v>0</v>
      </c>
      <c r="X352" s="15" t="str">
        <f t="shared" si="8"/>
        <v/>
      </c>
      <c r="Y352" s="15" t="str">
        <f t="shared" si="3"/>
        <v/>
      </c>
      <c r="Z352" s="15" t="str">
        <f t="shared" si="4"/>
        <v/>
      </c>
      <c r="AA352" s="15" t="str">
        <f t="shared" si="5"/>
        <v/>
      </c>
      <c r="AB352" s="15" t="str">
        <f t="shared" si="6"/>
        <v/>
      </c>
      <c r="AC352" s="15" t="str">
        <f t="shared" si="7"/>
        <v/>
      </c>
    </row>
    <row r="353">
      <c r="A353" s="61"/>
      <c r="G353" s="73"/>
      <c r="W353" s="15">
        <f t="shared" si="2"/>
        <v>1</v>
      </c>
      <c r="X353" s="15" t="str">
        <f t="shared" si="8"/>
        <v/>
      </c>
      <c r="Y353" s="15" t="str">
        <f t="shared" si="3"/>
        <v/>
      </c>
      <c r="Z353" s="15" t="str">
        <f t="shared" si="4"/>
        <v/>
      </c>
      <c r="AA353" s="15" t="str">
        <f t="shared" si="5"/>
        <v/>
      </c>
      <c r="AB353" s="15" t="str">
        <f t="shared" si="6"/>
        <v/>
      </c>
      <c r="AC353" s="15" t="str">
        <f t="shared" si="7"/>
        <v/>
      </c>
    </row>
    <row r="354">
      <c r="A354" s="61"/>
      <c r="G354" s="73"/>
      <c r="W354" s="15">
        <f t="shared" si="2"/>
        <v>2</v>
      </c>
      <c r="X354" s="15" t="str">
        <f t="shared" si="8"/>
        <v/>
      </c>
      <c r="Y354" s="15" t="str">
        <f t="shared" si="3"/>
        <v/>
      </c>
      <c r="Z354" s="15" t="str">
        <f t="shared" si="4"/>
        <v/>
      </c>
      <c r="AA354" s="15" t="str">
        <f t="shared" si="5"/>
        <v/>
      </c>
      <c r="AB354" s="15" t="str">
        <f t="shared" si="6"/>
        <v/>
      </c>
      <c r="AC354" s="15" t="str">
        <f t="shared" si="7"/>
        <v/>
      </c>
    </row>
    <row r="355">
      <c r="A355" s="61"/>
      <c r="G355" s="73"/>
      <c r="W355" s="15">
        <f t="shared" si="2"/>
        <v>0</v>
      </c>
      <c r="X355" s="15" t="str">
        <f t="shared" si="8"/>
        <v/>
      </c>
      <c r="Y355" s="15" t="str">
        <f t="shared" si="3"/>
        <v/>
      </c>
      <c r="Z355" s="15" t="str">
        <f t="shared" si="4"/>
        <v/>
      </c>
      <c r="AA355" s="15" t="str">
        <f t="shared" si="5"/>
        <v/>
      </c>
      <c r="AB355" s="15" t="str">
        <f t="shared" si="6"/>
        <v/>
      </c>
      <c r="AC355" s="15" t="str">
        <f t="shared" si="7"/>
        <v/>
      </c>
    </row>
    <row r="356">
      <c r="A356" s="61"/>
      <c r="G356" s="73"/>
      <c r="W356" s="15">
        <f t="shared" si="2"/>
        <v>1</v>
      </c>
      <c r="X356" s="15" t="str">
        <f t="shared" si="8"/>
        <v/>
      </c>
      <c r="Y356" s="15" t="str">
        <f t="shared" si="3"/>
        <v/>
      </c>
      <c r="Z356" s="15" t="str">
        <f t="shared" si="4"/>
        <v/>
      </c>
      <c r="AA356" s="15" t="str">
        <f t="shared" si="5"/>
        <v/>
      </c>
      <c r="AB356" s="15" t="str">
        <f t="shared" si="6"/>
        <v/>
      </c>
      <c r="AC356" s="15" t="str">
        <f t="shared" si="7"/>
        <v/>
      </c>
    </row>
    <row r="357">
      <c r="A357" s="61"/>
      <c r="G357" s="73"/>
      <c r="W357" s="15">
        <f t="shared" si="2"/>
        <v>2</v>
      </c>
      <c r="X357" s="15" t="str">
        <f t="shared" si="8"/>
        <v/>
      </c>
      <c r="Y357" s="15" t="str">
        <f t="shared" si="3"/>
        <v/>
      </c>
      <c r="Z357" s="15" t="str">
        <f t="shared" si="4"/>
        <v/>
      </c>
      <c r="AA357" s="15" t="str">
        <f t="shared" si="5"/>
        <v/>
      </c>
      <c r="AB357" s="15" t="str">
        <f t="shared" si="6"/>
        <v/>
      </c>
      <c r="AC357" s="15" t="str">
        <f t="shared" si="7"/>
        <v/>
      </c>
    </row>
    <row r="358">
      <c r="A358" s="61"/>
      <c r="G358" s="73"/>
      <c r="W358" s="15">
        <f t="shared" si="2"/>
        <v>0</v>
      </c>
      <c r="X358" s="15" t="str">
        <f t="shared" si="8"/>
        <v/>
      </c>
      <c r="Y358" s="15" t="str">
        <f t="shared" si="3"/>
        <v/>
      </c>
      <c r="Z358" s="15" t="str">
        <f t="shared" si="4"/>
        <v/>
      </c>
      <c r="AA358" s="15" t="str">
        <f t="shared" si="5"/>
        <v/>
      </c>
      <c r="AB358" s="15" t="str">
        <f t="shared" si="6"/>
        <v/>
      </c>
      <c r="AC358" s="15" t="str">
        <f t="shared" si="7"/>
        <v/>
      </c>
    </row>
    <row r="359">
      <c r="A359" s="61"/>
      <c r="G359" s="73"/>
      <c r="W359" s="15">
        <f t="shared" si="2"/>
        <v>1</v>
      </c>
      <c r="X359" s="15" t="str">
        <f t="shared" si="8"/>
        <v/>
      </c>
      <c r="Y359" s="15" t="str">
        <f t="shared" si="3"/>
        <v/>
      </c>
      <c r="Z359" s="15" t="str">
        <f t="shared" si="4"/>
        <v/>
      </c>
      <c r="AA359" s="15" t="str">
        <f t="shared" si="5"/>
        <v/>
      </c>
      <c r="AB359" s="15" t="str">
        <f t="shared" si="6"/>
        <v/>
      </c>
      <c r="AC359" s="15" t="str">
        <f t="shared" si="7"/>
        <v/>
      </c>
    </row>
    <row r="360">
      <c r="A360" s="61"/>
      <c r="G360" s="73"/>
      <c r="W360" s="15">
        <f t="shared" si="2"/>
        <v>2</v>
      </c>
      <c r="X360" s="15" t="str">
        <f t="shared" si="8"/>
        <v/>
      </c>
      <c r="Y360" s="15" t="str">
        <f t="shared" si="3"/>
        <v/>
      </c>
      <c r="Z360" s="15" t="str">
        <f t="shared" si="4"/>
        <v/>
      </c>
      <c r="AA360" s="15" t="str">
        <f t="shared" si="5"/>
        <v/>
      </c>
      <c r="AB360" s="15" t="str">
        <f t="shared" si="6"/>
        <v/>
      </c>
      <c r="AC360" s="15" t="str">
        <f t="shared" si="7"/>
        <v/>
      </c>
    </row>
    <row r="361">
      <c r="A361" s="61"/>
      <c r="G361" s="73"/>
      <c r="W361" s="15">
        <f t="shared" si="2"/>
        <v>0</v>
      </c>
      <c r="X361" s="15" t="str">
        <f t="shared" si="8"/>
        <v/>
      </c>
      <c r="Y361" s="15" t="str">
        <f t="shared" si="3"/>
        <v/>
      </c>
      <c r="Z361" s="15" t="str">
        <f t="shared" si="4"/>
        <v/>
      </c>
      <c r="AA361" s="15" t="str">
        <f t="shared" si="5"/>
        <v/>
      </c>
      <c r="AB361" s="15" t="str">
        <f t="shared" si="6"/>
        <v/>
      </c>
      <c r="AC361" s="15" t="str">
        <f t="shared" si="7"/>
        <v/>
      </c>
    </row>
    <row r="362">
      <c r="A362" s="61"/>
      <c r="G362" s="73"/>
      <c r="W362" s="15">
        <f t="shared" si="2"/>
        <v>1</v>
      </c>
      <c r="X362" s="15" t="str">
        <f t="shared" si="8"/>
        <v/>
      </c>
      <c r="Y362" s="15" t="str">
        <f t="shared" si="3"/>
        <v/>
      </c>
      <c r="Z362" s="15" t="str">
        <f t="shared" si="4"/>
        <v/>
      </c>
      <c r="AA362" s="15" t="str">
        <f t="shared" si="5"/>
        <v/>
      </c>
      <c r="AB362" s="15" t="str">
        <f t="shared" si="6"/>
        <v/>
      </c>
      <c r="AC362" s="15" t="str">
        <f t="shared" si="7"/>
        <v/>
      </c>
    </row>
    <row r="363">
      <c r="A363" s="61"/>
      <c r="G363" s="73"/>
      <c r="W363" s="15">
        <f t="shared" si="2"/>
        <v>2</v>
      </c>
      <c r="X363" s="15" t="str">
        <f t="shared" si="8"/>
        <v/>
      </c>
      <c r="Y363" s="15" t="str">
        <f t="shared" si="3"/>
        <v/>
      </c>
      <c r="Z363" s="15" t="str">
        <f t="shared" si="4"/>
        <v/>
      </c>
      <c r="AA363" s="15" t="str">
        <f t="shared" si="5"/>
        <v/>
      </c>
      <c r="AB363" s="15" t="str">
        <f t="shared" si="6"/>
        <v/>
      </c>
      <c r="AC363" s="15" t="str">
        <f t="shared" si="7"/>
        <v/>
      </c>
    </row>
    <row r="364">
      <c r="A364" s="61"/>
      <c r="G364" s="73"/>
      <c r="W364" s="15">
        <f t="shared" si="2"/>
        <v>0</v>
      </c>
      <c r="X364" s="15" t="str">
        <f t="shared" si="8"/>
        <v/>
      </c>
      <c r="Y364" s="15" t="str">
        <f t="shared" si="3"/>
        <v/>
      </c>
      <c r="Z364" s="15" t="str">
        <f t="shared" si="4"/>
        <v/>
      </c>
      <c r="AA364" s="15" t="str">
        <f t="shared" si="5"/>
        <v/>
      </c>
      <c r="AB364" s="15" t="str">
        <f t="shared" si="6"/>
        <v/>
      </c>
      <c r="AC364" s="15" t="str">
        <f t="shared" si="7"/>
        <v/>
      </c>
    </row>
    <row r="365">
      <c r="A365" s="61"/>
      <c r="G365" s="73"/>
      <c r="W365" s="15">
        <f t="shared" si="2"/>
        <v>1</v>
      </c>
      <c r="X365" s="15" t="str">
        <f t="shared" si="8"/>
        <v/>
      </c>
      <c r="Y365" s="15" t="str">
        <f t="shared" si="3"/>
        <v/>
      </c>
      <c r="Z365" s="15" t="str">
        <f t="shared" si="4"/>
        <v/>
      </c>
      <c r="AA365" s="15" t="str">
        <f t="shared" si="5"/>
        <v/>
      </c>
      <c r="AB365" s="15" t="str">
        <f t="shared" si="6"/>
        <v/>
      </c>
      <c r="AC365" s="15" t="str">
        <f t="shared" si="7"/>
        <v/>
      </c>
    </row>
    <row r="366">
      <c r="A366" s="61"/>
      <c r="G366" s="73"/>
      <c r="W366" s="15">
        <f t="shared" si="2"/>
        <v>2</v>
      </c>
      <c r="X366" s="15" t="str">
        <f t="shared" si="8"/>
        <v/>
      </c>
      <c r="Y366" s="15" t="str">
        <f t="shared" si="3"/>
        <v/>
      </c>
      <c r="Z366" s="15" t="str">
        <f t="shared" si="4"/>
        <v/>
      </c>
      <c r="AA366" s="15" t="str">
        <f t="shared" si="5"/>
        <v/>
      </c>
      <c r="AB366" s="15" t="str">
        <f t="shared" si="6"/>
        <v/>
      </c>
      <c r="AC366" s="15" t="str">
        <f t="shared" si="7"/>
        <v/>
      </c>
    </row>
    <row r="367">
      <c r="A367" s="61"/>
      <c r="G367" s="73"/>
      <c r="W367" s="15">
        <f t="shared" si="2"/>
        <v>0</v>
      </c>
      <c r="X367" s="15" t="str">
        <f t="shared" si="8"/>
        <v/>
      </c>
      <c r="Y367" s="15" t="str">
        <f t="shared" si="3"/>
        <v/>
      </c>
      <c r="Z367" s="15" t="str">
        <f t="shared" si="4"/>
        <v/>
      </c>
      <c r="AA367" s="15" t="str">
        <f t="shared" si="5"/>
        <v/>
      </c>
      <c r="AB367" s="15" t="str">
        <f t="shared" si="6"/>
        <v/>
      </c>
      <c r="AC367" s="15" t="str">
        <f t="shared" si="7"/>
        <v/>
      </c>
    </row>
    <row r="368">
      <c r="A368" s="61"/>
      <c r="G368" s="73"/>
      <c r="W368" s="15">
        <f t="shared" si="2"/>
        <v>1</v>
      </c>
      <c r="X368" s="15" t="str">
        <f t="shared" si="8"/>
        <v/>
      </c>
      <c r="Y368" s="15" t="str">
        <f t="shared" si="3"/>
        <v/>
      </c>
      <c r="Z368" s="15" t="str">
        <f t="shared" si="4"/>
        <v/>
      </c>
      <c r="AA368" s="15" t="str">
        <f t="shared" si="5"/>
        <v/>
      </c>
      <c r="AB368" s="15" t="str">
        <f t="shared" si="6"/>
        <v/>
      </c>
      <c r="AC368" s="15" t="str">
        <f t="shared" si="7"/>
        <v/>
      </c>
    </row>
    <row r="369">
      <c r="A369" s="61"/>
      <c r="G369" s="73"/>
      <c r="W369" s="15">
        <f t="shared" si="2"/>
        <v>2</v>
      </c>
      <c r="X369" s="15" t="str">
        <f t="shared" si="8"/>
        <v/>
      </c>
      <c r="Y369" s="15" t="str">
        <f t="shared" si="3"/>
        <v/>
      </c>
      <c r="Z369" s="15" t="str">
        <f t="shared" si="4"/>
        <v/>
      </c>
      <c r="AA369" s="15" t="str">
        <f t="shared" si="5"/>
        <v/>
      </c>
      <c r="AB369" s="15" t="str">
        <f t="shared" si="6"/>
        <v/>
      </c>
      <c r="AC369" s="15" t="str">
        <f t="shared" si="7"/>
        <v/>
      </c>
    </row>
    <row r="370">
      <c r="A370" s="61"/>
      <c r="G370" s="73"/>
      <c r="W370" s="15">
        <f t="shared" si="2"/>
        <v>0</v>
      </c>
      <c r="X370" s="15" t="str">
        <f t="shared" si="8"/>
        <v/>
      </c>
      <c r="Y370" s="15" t="str">
        <f t="shared" si="3"/>
        <v/>
      </c>
      <c r="Z370" s="15" t="str">
        <f t="shared" si="4"/>
        <v/>
      </c>
      <c r="AA370" s="15" t="str">
        <f t="shared" si="5"/>
        <v/>
      </c>
      <c r="AB370" s="15" t="str">
        <f t="shared" si="6"/>
        <v/>
      </c>
      <c r="AC370" s="15" t="str">
        <f t="shared" si="7"/>
        <v/>
      </c>
    </row>
    <row r="371">
      <c r="A371" s="61"/>
      <c r="G371" s="73"/>
      <c r="W371" s="15">
        <f t="shared" si="2"/>
        <v>1</v>
      </c>
      <c r="X371" s="15" t="str">
        <f t="shared" si="8"/>
        <v/>
      </c>
      <c r="Y371" s="15" t="str">
        <f t="shared" si="3"/>
        <v/>
      </c>
      <c r="Z371" s="15" t="str">
        <f t="shared" si="4"/>
        <v/>
      </c>
      <c r="AA371" s="15" t="str">
        <f t="shared" si="5"/>
        <v/>
      </c>
      <c r="AB371" s="15" t="str">
        <f t="shared" si="6"/>
        <v/>
      </c>
      <c r="AC371" s="15" t="str">
        <f t="shared" si="7"/>
        <v/>
      </c>
    </row>
    <row r="372">
      <c r="A372" s="61"/>
      <c r="G372" s="73"/>
      <c r="W372" s="15">
        <f t="shared" si="2"/>
        <v>2</v>
      </c>
      <c r="X372" s="15" t="str">
        <f t="shared" si="8"/>
        <v/>
      </c>
      <c r="Y372" s="15" t="str">
        <f t="shared" si="3"/>
        <v/>
      </c>
      <c r="Z372" s="15" t="str">
        <f t="shared" si="4"/>
        <v/>
      </c>
      <c r="AA372" s="15" t="str">
        <f t="shared" si="5"/>
        <v/>
      </c>
      <c r="AB372" s="15" t="str">
        <f t="shared" si="6"/>
        <v/>
      </c>
      <c r="AC372" s="15" t="str">
        <f t="shared" si="7"/>
        <v/>
      </c>
    </row>
    <row r="373">
      <c r="A373" s="61"/>
      <c r="G373" s="73"/>
      <c r="W373" s="15">
        <f t="shared" si="2"/>
        <v>0</v>
      </c>
      <c r="X373" s="15" t="str">
        <f t="shared" si="8"/>
        <v/>
      </c>
      <c r="Y373" s="15" t="str">
        <f t="shared" si="3"/>
        <v/>
      </c>
      <c r="Z373" s="15" t="str">
        <f t="shared" si="4"/>
        <v/>
      </c>
      <c r="AA373" s="15" t="str">
        <f t="shared" si="5"/>
        <v/>
      </c>
      <c r="AB373" s="15" t="str">
        <f t="shared" si="6"/>
        <v/>
      </c>
      <c r="AC373" s="15" t="str">
        <f t="shared" si="7"/>
        <v/>
      </c>
    </row>
    <row r="374">
      <c r="A374" s="61"/>
      <c r="G374" s="73"/>
      <c r="W374" s="15">
        <f t="shared" si="2"/>
        <v>1</v>
      </c>
      <c r="X374" s="15" t="str">
        <f t="shared" si="8"/>
        <v/>
      </c>
      <c r="Y374" s="15" t="str">
        <f t="shared" si="3"/>
        <v/>
      </c>
      <c r="Z374" s="15" t="str">
        <f t="shared" si="4"/>
        <v/>
      </c>
      <c r="AA374" s="15" t="str">
        <f t="shared" si="5"/>
        <v/>
      </c>
      <c r="AB374" s="15" t="str">
        <f t="shared" si="6"/>
        <v/>
      </c>
      <c r="AC374" s="15" t="str">
        <f t="shared" si="7"/>
        <v/>
      </c>
    </row>
    <row r="375">
      <c r="A375" s="61"/>
      <c r="G375" s="73"/>
      <c r="W375" s="15">
        <f t="shared" si="2"/>
        <v>2</v>
      </c>
      <c r="X375" s="15" t="str">
        <f t="shared" si="8"/>
        <v/>
      </c>
      <c r="Y375" s="15" t="str">
        <f t="shared" si="3"/>
        <v/>
      </c>
      <c r="Z375" s="15" t="str">
        <f t="shared" si="4"/>
        <v/>
      </c>
      <c r="AA375" s="15" t="str">
        <f t="shared" si="5"/>
        <v/>
      </c>
      <c r="AB375" s="15" t="str">
        <f t="shared" si="6"/>
        <v/>
      </c>
      <c r="AC375" s="15" t="str">
        <f t="shared" si="7"/>
        <v/>
      </c>
    </row>
    <row r="376">
      <c r="A376" s="61"/>
      <c r="G376" s="73"/>
      <c r="W376" s="15">
        <f t="shared" si="2"/>
        <v>0</v>
      </c>
      <c r="X376" s="15" t="str">
        <f t="shared" si="8"/>
        <v/>
      </c>
      <c r="Y376" s="15" t="str">
        <f t="shared" si="3"/>
        <v/>
      </c>
      <c r="Z376" s="15" t="str">
        <f t="shared" si="4"/>
        <v/>
      </c>
      <c r="AA376" s="15" t="str">
        <f t="shared" si="5"/>
        <v/>
      </c>
      <c r="AB376" s="15" t="str">
        <f t="shared" si="6"/>
        <v/>
      </c>
      <c r="AC376" s="15" t="str">
        <f t="shared" si="7"/>
        <v/>
      </c>
    </row>
    <row r="377">
      <c r="A377" s="61"/>
      <c r="G377" s="73"/>
      <c r="W377" s="15">
        <f t="shared" si="2"/>
        <v>1</v>
      </c>
      <c r="X377" s="15" t="str">
        <f t="shared" si="8"/>
        <v/>
      </c>
      <c r="Y377" s="15" t="str">
        <f t="shared" si="3"/>
        <v/>
      </c>
      <c r="Z377" s="15" t="str">
        <f t="shared" si="4"/>
        <v/>
      </c>
      <c r="AA377" s="15" t="str">
        <f t="shared" si="5"/>
        <v/>
      </c>
      <c r="AB377" s="15" t="str">
        <f t="shared" si="6"/>
        <v/>
      </c>
      <c r="AC377" s="15" t="str">
        <f t="shared" si="7"/>
        <v/>
      </c>
    </row>
    <row r="378">
      <c r="A378" s="61"/>
      <c r="G378" s="73"/>
      <c r="W378" s="15">
        <f t="shared" si="2"/>
        <v>2</v>
      </c>
      <c r="X378" s="15" t="str">
        <f t="shared" si="8"/>
        <v/>
      </c>
      <c r="Y378" s="15" t="str">
        <f t="shared" si="3"/>
        <v/>
      </c>
      <c r="Z378" s="15" t="str">
        <f t="shared" si="4"/>
        <v/>
      </c>
      <c r="AA378" s="15" t="str">
        <f t="shared" si="5"/>
        <v/>
      </c>
      <c r="AB378" s="15" t="str">
        <f t="shared" si="6"/>
        <v/>
      </c>
      <c r="AC378" s="15" t="str">
        <f t="shared" si="7"/>
        <v/>
      </c>
    </row>
    <row r="379">
      <c r="A379" s="61"/>
      <c r="G379" s="73"/>
      <c r="W379" s="15">
        <f t="shared" si="2"/>
        <v>0</v>
      </c>
      <c r="X379" s="15" t="str">
        <f t="shared" si="8"/>
        <v/>
      </c>
      <c r="Y379" s="15" t="str">
        <f t="shared" si="3"/>
        <v/>
      </c>
      <c r="Z379" s="15" t="str">
        <f t="shared" si="4"/>
        <v/>
      </c>
      <c r="AA379" s="15" t="str">
        <f t="shared" si="5"/>
        <v/>
      </c>
      <c r="AB379" s="15" t="str">
        <f t="shared" si="6"/>
        <v/>
      </c>
      <c r="AC379" s="15" t="str">
        <f t="shared" si="7"/>
        <v/>
      </c>
    </row>
    <row r="380">
      <c r="A380" s="61"/>
      <c r="G380" s="73"/>
      <c r="W380" s="15">
        <f t="shared" si="2"/>
        <v>1</v>
      </c>
      <c r="X380" s="15" t="str">
        <f t="shared" si="8"/>
        <v/>
      </c>
      <c r="Y380" s="15" t="str">
        <f t="shared" si="3"/>
        <v/>
      </c>
      <c r="Z380" s="15" t="str">
        <f t="shared" si="4"/>
        <v/>
      </c>
      <c r="AA380" s="15" t="str">
        <f t="shared" si="5"/>
        <v/>
      </c>
      <c r="AB380" s="15" t="str">
        <f t="shared" si="6"/>
        <v/>
      </c>
      <c r="AC380" s="15" t="str">
        <f t="shared" si="7"/>
        <v/>
      </c>
    </row>
    <row r="381">
      <c r="A381" s="61"/>
      <c r="G381" s="73"/>
      <c r="W381" s="15">
        <f t="shared" si="2"/>
        <v>2</v>
      </c>
      <c r="X381" s="15" t="str">
        <f t="shared" si="8"/>
        <v/>
      </c>
      <c r="Y381" s="15" t="str">
        <f t="shared" si="3"/>
        <v/>
      </c>
      <c r="Z381" s="15" t="str">
        <f t="shared" si="4"/>
        <v/>
      </c>
      <c r="AA381" s="15" t="str">
        <f t="shared" si="5"/>
        <v/>
      </c>
      <c r="AB381" s="15" t="str">
        <f t="shared" si="6"/>
        <v/>
      </c>
      <c r="AC381" s="15" t="str">
        <f t="shared" si="7"/>
        <v/>
      </c>
    </row>
    <row r="382">
      <c r="A382" s="61"/>
      <c r="G382" s="73"/>
      <c r="W382" s="15">
        <f t="shared" si="2"/>
        <v>0</v>
      </c>
      <c r="X382" s="15" t="str">
        <f t="shared" si="8"/>
        <v/>
      </c>
      <c r="Y382" s="15" t="str">
        <f t="shared" si="3"/>
        <v/>
      </c>
      <c r="Z382" s="15" t="str">
        <f t="shared" si="4"/>
        <v/>
      </c>
      <c r="AA382" s="15" t="str">
        <f t="shared" si="5"/>
        <v/>
      </c>
      <c r="AB382" s="15" t="str">
        <f t="shared" si="6"/>
        <v/>
      </c>
      <c r="AC382" s="15" t="str">
        <f t="shared" si="7"/>
        <v/>
      </c>
    </row>
    <row r="383">
      <c r="A383" s="61"/>
      <c r="G383" s="73"/>
      <c r="W383" s="15">
        <f t="shared" si="2"/>
        <v>1</v>
      </c>
      <c r="X383" s="15" t="str">
        <f t="shared" si="8"/>
        <v/>
      </c>
      <c r="Y383" s="15" t="str">
        <f t="shared" si="3"/>
        <v/>
      </c>
      <c r="Z383" s="15" t="str">
        <f t="shared" si="4"/>
        <v/>
      </c>
      <c r="AA383" s="15" t="str">
        <f t="shared" si="5"/>
        <v/>
      </c>
      <c r="AB383" s="15" t="str">
        <f t="shared" si="6"/>
        <v/>
      </c>
      <c r="AC383" s="15" t="str">
        <f t="shared" si="7"/>
        <v/>
      </c>
    </row>
    <row r="384">
      <c r="A384" s="61"/>
      <c r="G384" s="73"/>
      <c r="W384" s="15">
        <f t="shared" si="2"/>
        <v>2</v>
      </c>
      <c r="X384" s="15" t="str">
        <f t="shared" si="8"/>
        <v/>
      </c>
      <c r="Y384" s="15" t="str">
        <f t="shared" si="3"/>
        <v/>
      </c>
      <c r="Z384" s="15" t="str">
        <f t="shared" si="4"/>
        <v/>
      </c>
      <c r="AA384" s="15" t="str">
        <f t="shared" si="5"/>
        <v/>
      </c>
      <c r="AB384" s="15" t="str">
        <f t="shared" si="6"/>
        <v/>
      </c>
      <c r="AC384" s="15" t="str">
        <f t="shared" si="7"/>
        <v/>
      </c>
    </row>
    <row r="385">
      <c r="A385" s="61"/>
      <c r="G385" s="73"/>
      <c r="W385" s="15">
        <f t="shared" si="2"/>
        <v>0</v>
      </c>
      <c r="X385" s="15" t="str">
        <f t="shared" si="8"/>
        <v/>
      </c>
      <c r="Y385" s="15" t="str">
        <f t="shared" si="3"/>
        <v/>
      </c>
      <c r="Z385" s="15" t="str">
        <f t="shared" si="4"/>
        <v/>
      </c>
      <c r="AA385" s="15" t="str">
        <f t="shared" si="5"/>
        <v/>
      </c>
      <c r="AB385" s="15" t="str">
        <f t="shared" si="6"/>
        <v/>
      </c>
      <c r="AC385" s="15" t="str">
        <f t="shared" si="7"/>
        <v/>
      </c>
    </row>
    <row r="386">
      <c r="A386" s="61"/>
      <c r="G386" s="73"/>
      <c r="W386" s="15">
        <f t="shared" si="2"/>
        <v>1</v>
      </c>
      <c r="X386" s="15" t="str">
        <f t="shared" si="8"/>
        <v/>
      </c>
    </row>
    <row r="387">
      <c r="A387" s="61"/>
      <c r="G387" s="73"/>
      <c r="W387" s="15">
        <f t="shared" si="2"/>
        <v>2</v>
      </c>
      <c r="X387" s="15" t="str">
        <f t="shared" si="8"/>
        <v/>
      </c>
    </row>
    <row r="388">
      <c r="A388" s="61"/>
      <c r="G388" s="73"/>
      <c r="W388" s="15">
        <f t="shared" si="2"/>
        <v>0</v>
      </c>
      <c r="X388" s="15" t="str">
        <f t="shared" si="8"/>
        <v/>
      </c>
    </row>
    <row r="389">
      <c r="A389" s="61"/>
      <c r="G389" s="73"/>
      <c r="W389" s="15">
        <f t="shared" si="2"/>
        <v>1</v>
      </c>
      <c r="X389" s="15" t="str">
        <f t="shared" si="8"/>
        <v/>
      </c>
    </row>
    <row r="390">
      <c r="A390" s="61"/>
      <c r="G390" s="73"/>
      <c r="W390" s="15">
        <f t="shared" si="2"/>
        <v>2</v>
      </c>
      <c r="X390" s="15" t="str">
        <f t="shared" si="8"/>
        <v/>
      </c>
    </row>
    <row r="391">
      <c r="A391" s="61"/>
      <c r="G391" s="73"/>
      <c r="W391" s="15">
        <f t="shared" si="2"/>
        <v>0</v>
      </c>
      <c r="X391" s="15" t="str">
        <f t="shared" si="8"/>
        <v/>
      </c>
    </row>
    <row r="392">
      <c r="A392" s="61"/>
      <c r="G392" s="73"/>
      <c r="W392" s="15">
        <f t="shared" si="2"/>
        <v>1</v>
      </c>
      <c r="X392" s="15" t="str">
        <f t="shared" si="8"/>
        <v/>
      </c>
    </row>
    <row r="393">
      <c r="A393" s="61"/>
      <c r="G393" s="73"/>
      <c r="W393" s="15">
        <f t="shared" si="2"/>
        <v>2</v>
      </c>
      <c r="X393" s="15" t="str">
        <f t="shared" si="8"/>
        <v/>
      </c>
    </row>
    <row r="394">
      <c r="A394" s="61"/>
      <c r="G394" s="73"/>
      <c r="W394" s="15">
        <f t="shared" si="2"/>
        <v>0</v>
      </c>
      <c r="X394" s="15" t="str">
        <f t="shared" si="8"/>
        <v/>
      </c>
    </row>
    <row r="395">
      <c r="A395" s="61"/>
      <c r="G395" s="73"/>
      <c r="W395" s="15">
        <f t="shared" si="2"/>
        <v>1</v>
      </c>
      <c r="X395" s="15" t="str">
        <f t="shared" si="8"/>
        <v/>
      </c>
    </row>
    <row r="396">
      <c r="A396" s="61"/>
      <c r="G396" s="73"/>
      <c r="W396" s="15">
        <f t="shared" si="2"/>
        <v>2</v>
      </c>
      <c r="X396" s="15" t="str">
        <f t="shared" si="8"/>
        <v/>
      </c>
    </row>
    <row r="397">
      <c r="A397" s="61"/>
      <c r="G397" s="73"/>
      <c r="W397" s="15">
        <f t="shared" si="2"/>
        <v>0</v>
      </c>
      <c r="X397" s="15" t="str">
        <f t="shared" si="8"/>
        <v/>
      </c>
    </row>
    <row r="398">
      <c r="A398" s="61"/>
      <c r="G398" s="73"/>
      <c r="W398" s="15">
        <f t="shared" si="2"/>
        <v>1</v>
      </c>
      <c r="X398" s="15" t="str">
        <f t="shared" si="8"/>
        <v/>
      </c>
    </row>
    <row r="399">
      <c r="A399" s="61"/>
      <c r="G399" s="73"/>
      <c r="W399" s="15">
        <f t="shared" si="2"/>
        <v>2</v>
      </c>
      <c r="X399" s="15" t="str">
        <f t="shared" si="8"/>
        <v/>
      </c>
    </row>
    <row r="400">
      <c r="A400" s="61"/>
      <c r="G400" s="73"/>
      <c r="W400" s="15">
        <f t="shared" si="2"/>
        <v>0</v>
      </c>
      <c r="X400" s="15" t="str">
        <f t="shared" si="8"/>
        <v/>
      </c>
    </row>
    <row r="401">
      <c r="A401" s="61"/>
      <c r="G401" s="73"/>
      <c r="W401" s="15">
        <f t="shared" si="2"/>
        <v>1</v>
      </c>
      <c r="X401" s="15" t="str">
        <f t="shared" si="8"/>
        <v/>
      </c>
    </row>
    <row r="402">
      <c r="A402" s="61"/>
      <c r="G402" s="73"/>
      <c r="W402" s="15">
        <f t="shared" si="2"/>
        <v>2</v>
      </c>
      <c r="X402" s="15" t="str">
        <f t="shared" si="8"/>
        <v/>
      </c>
    </row>
    <row r="403">
      <c r="A403" s="61"/>
      <c r="G403" s="73"/>
      <c r="W403" s="15">
        <f t="shared" si="2"/>
        <v>0</v>
      </c>
      <c r="X403" s="15" t="str">
        <f t="shared" si="8"/>
        <v/>
      </c>
    </row>
    <row r="404">
      <c r="A404" s="61"/>
      <c r="G404" s="73"/>
      <c r="W404" s="15">
        <f t="shared" si="2"/>
        <v>1</v>
      </c>
      <c r="X404" s="15" t="str">
        <f t="shared" si="8"/>
        <v/>
      </c>
    </row>
    <row r="405">
      <c r="A405" s="61"/>
      <c r="G405" s="73"/>
      <c r="W405" s="15">
        <f t="shared" si="2"/>
        <v>2</v>
      </c>
      <c r="X405" s="15" t="str">
        <f t="shared" si="8"/>
        <v/>
      </c>
    </row>
    <row r="406">
      <c r="A406" s="61"/>
      <c r="G406" s="73"/>
      <c r="W406" s="15">
        <f t="shared" si="2"/>
        <v>0</v>
      </c>
      <c r="X406" s="15" t="str">
        <f t="shared" si="8"/>
        <v/>
      </c>
    </row>
    <row r="407">
      <c r="A407" s="61"/>
      <c r="G407" s="73"/>
      <c r="W407" s="15">
        <f t="shared" si="2"/>
        <v>1</v>
      </c>
      <c r="X407" s="15" t="str">
        <f t="shared" si="8"/>
        <v/>
      </c>
    </row>
    <row r="408">
      <c r="A408" s="61"/>
      <c r="G408" s="73"/>
      <c r="W408" s="15">
        <f t="shared" si="2"/>
        <v>2</v>
      </c>
      <c r="X408" s="15" t="str">
        <f t="shared" si="8"/>
        <v/>
      </c>
    </row>
    <row r="409">
      <c r="A409" s="61"/>
      <c r="G409" s="73"/>
      <c r="W409" s="15">
        <f t="shared" si="2"/>
        <v>0</v>
      </c>
      <c r="X409" s="15" t="str">
        <f t="shared" si="8"/>
        <v/>
      </c>
    </row>
    <row r="410">
      <c r="A410" s="61"/>
      <c r="G410" s="73"/>
      <c r="W410" s="15">
        <f t="shared" si="2"/>
        <v>1</v>
      </c>
      <c r="X410" s="15" t="str">
        <f t="shared" si="8"/>
        <v/>
      </c>
    </row>
    <row r="411">
      <c r="A411" s="61"/>
      <c r="G411" s="73"/>
      <c r="W411" s="15">
        <f t="shared" si="2"/>
        <v>2</v>
      </c>
      <c r="X411" s="15" t="str">
        <f t="shared" si="8"/>
        <v/>
      </c>
    </row>
    <row r="412">
      <c r="A412" s="61"/>
      <c r="G412" s="73"/>
      <c r="W412" s="15">
        <f t="shared" si="2"/>
        <v>0</v>
      </c>
      <c r="X412" s="15" t="str">
        <f t="shared" si="8"/>
        <v/>
      </c>
    </row>
    <row r="413">
      <c r="A413" s="61"/>
      <c r="G413" s="73"/>
      <c r="W413" s="15">
        <f t="shared" si="2"/>
        <v>1</v>
      </c>
      <c r="X413" s="15" t="str">
        <f t="shared" si="8"/>
        <v/>
      </c>
    </row>
    <row r="414">
      <c r="A414" s="61"/>
      <c r="G414" s="73"/>
      <c r="W414" s="15">
        <f t="shared" si="2"/>
        <v>2</v>
      </c>
      <c r="X414" s="15" t="str">
        <f t="shared" si="8"/>
        <v/>
      </c>
    </row>
    <row r="415">
      <c r="A415" s="61"/>
      <c r="G415" s="73"/>
      <c r="W415" s="15">
        <f t="shared" si="2"/>
        <v>0</v>
      </c>
      <c r="X415" s="15" t="str">
        <f t="shared" si="8"/>
        <v/>
      </c>
    </row>
    <row r="416">
      <c r="A416" s="61"/>
      <c r="G416" s="73"/>
    </row>
    <row r="417">
      <c r="A417" s="61"/>
      <c r="G417" s="73"/>
    </row>
    <row r="418">
      <c r="A418" s="61"/>
      <c r="G418" s="73"/>
    </row>
    <row r="419">
      <c r="A419" s="61"/>
      <c r="G419" s="73"/>
    </row>
    <row r="420">
      <c r="A420" s="61"/>
      <c r="G420" s="73"/>
    </row>
    <row r="421">
      <c r="A421" s="61"/>
      <c r="G421" s="73"/>
    </row>
    <row r="422">
      <c r="A422" s="61"/>
      <c r="G422" s="73"/>
    </row>
    <row r="423">
      <c r="A423" s="61"/>
      <c r="G423" s="73"/>
    </row>
    <row r="424">
      <c r="A424" s="61"/>
      <c r="G424" s="73"/>
    </row>
    <row r="425">
      <c r="A425" s="61"/>
      <c r="G425" s="73"/>
    </row>
    <row r="426">
      <c r="A426" s="61"/>
      <c r="G426" s="73"/>
    </row>
    <row r="427">
      <c r="A427" s="61"/>
      <c r="G427" s="73"/>
    </row>
    <row r="428">
      <c r="A428" s="61"/>
      <c r="G428" s="73"/>
    </row>
    <row r="429">
      <c r="A429" s="61"/>
      <c r="G429" s="73"/>
    </row>
    <row r="430">
      <c r="A430" s="61"/>
      <c r="G430" s="73"/>
    </row>
    <row r="431">
      <c r="A431" s="61"/>
      <c r="G431" s="73"/>
    </row>
    <row r="432">
      <c r="A432" s="61"/>
      <c r="G432" s="73"/>
    </row>
    <row r="433">
      <c r="A433" s="61"/>
      <c r="G433" s="73"/>
    </row>
    <row r="434">
      <c r="A434" s="61"/>
      <c r="G434" s="73"/>
    </row>
    <row r="435">
      <c r="A435" s="61"/>
      <c r="G435" s="73"/>
    </row>
    <row r="436">
      <c r="A436" s="61"/>
      <c r="G436" s="73"/>
    </row>
    <row r="437">
      <c r="A437" s="61"/>
      <c r="G437" s="73"/>
    </row>
    <row r="438">
      <c r="A438" s="61"/>
      <c r="G438" s="73"/>
    </row>
    <row r="439">
      <c r="A439" s="61"/>
      <c r="G439" s="73"/>
    </row>
    <row r="440">
      <c r="A440" s="61"/>
      <c r="G440" s="73"/>
    </row>
    <row r="441">
      <c r="A441" s="61"/>
      <c r="G441" s="73"/>
    </row>
    <row r="442">
      <c r="A442" s="61"/>
      <c r="G442" s="73"/>
    </row>
    <row r="443">
      <c r="A443" s="61"/>
      <c r="G443" s="73"/>
    </row>
    <row r="444">
      <c r="A444" s="61"/>
      <c r="G444" s="73"/>
    </row>
    <row r="445">
      <c r="A445" s="61"/>
      <c r="G445" s="73"/>
    </row>
    <row r="446">
      <c r="A446" s="61"/>
      <c r="G446" s="73"/>
    </row>
    <row r="447">
      <c r="A447" s="61"/>
      <c r="G447" s="73"/>
    </row>
    <row r="448">
      <c r="A448" s="61"/>
      <c r="G448" s="73"/>
    </row>
    <row r="449">
      <c r="A449" s="61"/>
      <c r="G449" s="73"/>
    </row>
    <row r="450">
      <c r="A450" s="61"/>
      <c r="G450" s="73"/>
    </row>
    <row r="451">
      <c r="A451" s="61"/>
      <c r="G451" s="73"/>
    </row>
    <row r="452">
      <c r="A452" s="61"/>
      <c r="G452" s="73"/>
    </row>
    <row r="453">
      <c r="A453" s="61"/>
      <c r="G453" s="73"/>
    </row>
    <row r="454">
      <c r="A454" s="61"/>
      <c r="G454" s="73"/>
    </row>
    <row r="455">
      <c r="A455" s="61"/>
      <c r="G455" s="73"/>
    </row>
    <row r="456">
      <c r="A456" s="61"/>
      <c r="G456" s="73"/>
    </row>
    <row r="457">
      <c r="A457" s="61"/>
      <c r="G457" s="73"/>
    </row>
    <row r="458">
      <c r="A458" s="61"/>
      <c r="G458" s="73"/>
    </row>
    <row r="459">
      <c r="A459" s="61"/>
      <c r="G459" s="73"/>
    </row>
    <row r="460">
      <c r="A460" s="61"/>
      <c r="G460" s="73"/>
    </row>
    <row r="461">
      <c r="A461" s="61"/>
      <c r="G461" s="73"/>
    </row>
    <row r="462">
      <c r="A462" s="61"/>
      <c r="G462" s="73"/>
    </row>
    <row r="463">
      <c r="A463" s="61"/>
      <c r="G463" s="73"/>
    </row>
    <row r="464">
      <c r="A464" s="61"/>
      <c r="G464" s="73"/>
    </row>
    <row r="465">
      <c r="A465" s="61"/>
      <c r="G465" s="73"/>
    </row>
    <row r="466">
      <c r="A466" s="61"/>
      <c r="G466" s="73"/>
    </row>
    <row r="467">
      <c r="A467" s="61"/>
      <c r="G467" s="73"/>
    </row>
    <row r="468">
      <c r="A468" s="61"/>
      <c r="G468" s="73"/>
    </row>
    <row r="469">
      <c r="A469" s="61"/>
      <c r="G469" s="73"/>
    </row>
    <row r="470">
      <c r="A470" s="61"/>
      <c r="G470" s="73"/>
    </row>
    <row r="471">
      <c r="A471" s="61"/>
      <c r="G471" s="73"/>
    </row>
    <row r="472">
      <c r="A472" s="61"/>
      <c r="G472" s="73"/>
    </row>
    <row r="473">
      <c r="A473" s="61"/>
      <c r="G473" s="73"/>
    </row>
    <row r="474">
      <c r="A474" s="61"/>
      <c r="G474" s="73"/>
    </row>
    <row r="475">
      <c r="A475" s="61"/>
      <c r="G475" s="73"/>
    </row>
    <row r="476">
      <c r="A476" s="61"/>
      <c r="G476" s="73"/>
    </row>
    <row r="477">
      <c r="A477" s="61"/>
      <c r="G477" s="73"/>
    </row>
    <row r="478">
      <c r="A478" s="61"/>
      <c r="G478" s="73"/>
    </row>
    <row r="479">
      <c r="A479" s="61"/>
      <c r="G479" s="73"/>
    </row>
    <row r="480">
      <c r="A480" s="61"/>
      <c r="G480" s="73"/>
    </row>
    <row r="481">
      <c r="A481" s="61"/>
      <c r="G481" s="73"/>
    </row>
    <row r="482">
      <c r="A482" s="61"/>
      <c r="G482" s="73"/>
    </row>
    <row r="483">
      <c r="A483" s="61"/>
      <c r="G483" s="73"/>
    </row>
    <row r="484">
      <c r="A484" s="61"/>
      <c r="G484" s="73"/>
    </row>
    <row r="485">
      <c r="A485" s="61"/>
      <c r="G485" s="73"/>
    </row>
    <row r="486">
      <c r="A486" s="61"/>
      <c r="G486" s="73"/>
    </row>
    <row r="487">
      <c r="A487" s="61"/>
      <c r="G487" s="73"/>
    </row>
    <row r="488">
      <c r="A488" s="61"/>
      <c r="G488" s="73"/>
    </row>
    <row r="489">
      <c r="A489" s="61"/>
      <c r="G489" s="73"/>
    </row>
    <row r="490">
      <c r="A490" s="61"/>
      <c r="G490" s="73"/>
    </row>
    <row r="491">
      <c r="A491" s="61"/>
      <c r="G491" s="73"/>
    </row>
    <row r="492">
      <c r="A492" s="61"/>
      <c r="G492" s="73"/>
    </row>
    <row r="493">
      <c r="A493" s="61"/>
      <c r="G493" s="73"/>
    </row>
    <row r="494">
      <c r="A494" s="61"/>
      <c r="G494" s="73"/>
    </row>
    <row r="495">
      <c r="A495" s="61"/>
      <c r="G495" s="73"/>
    </row>
    <row r="496">
      <c r="A496" s="61"/>
      <c r="G496" s="73"/>
    </row>
    <row r="497">
      <c r="A497" s="61"/>
      <c r="G497" s="73"/>
    </row>
    <row r="498">
      <c r="A498" s="61"/>
      <c r="G498" s="73"/>
    </row>
    <row r="499">
      <c r="A499" s="61"/>
      <c r="G499" s="73"/>
    </row>
    <row r="500">
      <c r="A500" s="61"/>
      <c r="G500" s="73"/>
    </row>
    <row r="501">
      <c r="A501" s="61"/>
      <c r="G501" s="73"/>
    </row>
    <row r="502">
      <c r="A502" s="61"/>
      <c r="G502" s="73"/>
    </row>
    <row r="503">
      <c r="A503" s="61"/>
      <c r="G503" s="73"/>
    </row>
    <row r="504">
      <c r="A504" s="61"/>
      <c r="G504" s="73"/>
    </row>
    <row r="505">
      <c r="A505" s="61"/>
      <c r="G505" s="73"/>
    </row>
    <row r="506">
      <c r="A506" s="61"/>
      <c r="G506" s="73"/>
    </row>
    <row r="507">
      <c r="A507" s="61"/>
      <c r="G507" s="73"/>
    </row>
    <row r="508">
      <c r="A508" s="61"/>
      <c r="G508" s="73"/>
    </row>
    <row r="509">
      <c r="A509" s="61"/>
      <c r="G509" s="73"/>
    </row>
    <row r="510">
      <c r="A510" s="61"/>
      <c r="G510" s="73"/>
    </row>
    <row r="511">
      <c r="A511" s="61"/>
      <c r="G511" s="73"/>
    </row>
    <row r="512">
      <c r="A512" s="61"/>
      <c r="G512" s="73"/>
    </row>
    <row r="513">
      <c r="A513" s="61"/>
      <c r="G513" s="73"/>
    </row>
    <row r="514">
      <c r="A514" s="61"/>
      <c r="G514" s="73"/>
    </row>
    <row r="515">
      <c r="A515" s="61"/>
      <c r="G515" s="73"/>
    </row>
    <row r="516">
      <c r="A516" s="61"/>
      <c r="G516" s="73"/>
    </row>
    <row r="517">
      <c r="A517" s="61"/>
      <c r="G517" s="73"/>
    </row>
    <row r="518">
      <c r="A518" s="61"/>
      <c r="G518" s="73"/>
    </row>
    <row r="519">
      <c r="A519" s="61"/>
      <c r="G519" s="73"/>
    </row>
    <row r="520">
      <c r="A520" s="61"/>
      <c r="G520" s="73"/>
    </row>
    <row r="521">
      <c r="A521" s="61"/>
      <c r="G521" s="73"/>
    </row>
    <row r="522">
      <c r="A522" s="61"/>
      <c r="G522" s="73"/>
    </row>
    <row r="523">
      <c r="A523" s="61"/>
      <c r="G523" s="73"/>
    </row>
    <row r="524">
      <c r="A524" s="61"/>
      <c r="G524" s="73"/>
    </row>
    <row r="525">
      <c r="A525" s="61"/>
      <c r="G525" s="73"/>
    </row>
    <row r="526">
      <c r="A526" s="61"/>
      <c r="G526" s="73"/>
    </row>
    <row r="527">
      <c r="A527" s="61"/>
      <c r="G527" s="73"/>
    </row>
    <row r="528">
      <c r="A528" s="61"/>
      <c r="G528" s="73"/>
    </row>
    <row r="529">
      <c r="A529" s="61"/>
      <c r="G529" s="73"/>
    </row>
    <row r="530">
      <c r="A530" s="61"/>
      <c r="G530" s="73"/>
    </row>
    <row r="531">
      <c r="A531" s="61"/>
      <c r="G531" s="73"/>
    </row>
    <row r="532">
      <c r="A532" s="61"/>
      <c r="G532" s="73"/>
    </row>
    <row r="533">
      <c r="A533" s="61"/>
      <c r="G533" s="73"/>
    </row>
    <row r="534">
      <c r="A534" s="61"/>
      <c r="G534" s="73"/>
    </row>
    <row r="535">
      <c r="A535" s="61"/>
      <c r="G535" s="73"/>
    </row>
    <row r="536">
      <c r="A536" s="61"/>
      <c r="G536" s="73"/>
    </row>
    <row r="537">
      <c r="A537" s="61"/>
      <c r="G537" s="73"/>
    </row>
    <row r="538">
      <c r="A538" s="61"/>
      <c r="G538" s="73"/>
    </row>
    <row r="539">
      <c r="A539" s="61"/>
      <c r="G539" s="73"/>
    </row>
    <row r="540">
      <c r="A540" s="61"/>
      <c r="G540" s="73"/>
    </row>
    <row r="541">
      <c r="A541" s="61"/>
      <c r="G541" s="73"/>
    </row>
    <row r="542">
      <c r="A542" s="61"/>
      <c r="G542" s="73"/>
    </row>
    <row r="543">
      <c r="A543" s="61"/>
      <c r="G543" s="73"/>
    </row>
    <row r="544">
      <c r="A544" s="61"/>
      <c r="G544" s="73"/>
    </row>
    <row r="545">
      <c r="A545" s="61"/>
      <c r="G545" s="73"/>
    </row>
    <row r="546">
      <c r="A546" s="61"/>
      <c r="G546" s="73"/>
    </row>
    <row r="547">
      <c r="A547" s="61"/>
      <c r="G547" s="73"/>
    </row>
    <row r="548">
      <c r="A548" s="61"/>
      <c r="G548" s="73"/>
    </row>
    <row r="549">
      <c r="A549" s="61"/>
      <c r="G549" s="73"/>
    </row>
    <row r="550">
      <c r="A550" s="61"/>
      <c r="G550" s="73"/>
    </row>
    <row r="551">
      <c r="A551" s="61"/>
      <c r="G551" s="73"/>
    </row>
    <row r="552">
      <c r="A552" s="61"/>
      <c r="G552" s="73"/>
    </row>
    <row r="553">
      <c r="A553" s="61"/>
      <c r="G553" s="73"/>
    </row>
    <row r="554">
      <c r="A554" s="61"/>
      <c r="G554" s="73"/>
    </row>
    <row r="555">
      <c r="A555" s="61"/>
      <c r="G555" s="73"/>
    </row>
    <row r="556">
      <c r="A556" s="61"/>
      <c r="G556" s="73"/>
    </row>
    <row r="557">
      <c r="A557" s="61"/>
      <c r="G557" s="73"/>
    </row>
    <row r="558">
      <c r="A558" s="61"/>
      <c r="G558" s="73"/>
    </row>
    <row r="559">
      <c r="A559" s="61"/>
      <c r="G559" s="73"/>
    </row>
    <row r="560">
      <c r="A560" s="61"/>
      <c r="G560" s="73"/>
    </row>
    <row r="561">
      <c r="A561" s="61"/>
      <c r="G561" s="73"/>
    </row>
    <row r="562">
      <c r="A562" s="61"/>
      <c r="G562" s="73"/>
    </row>
    <row r="563">
      <c r="A563" s="61"/>
      <c r="G563" s="73"/>
    </row>
    <row r="564">
      <c r="A564" s="61"/>
      <c r="G564" s="73"/>
    </row>
    <row r="565">
      <c r="A565" s="61"/>
      <c r="G565" s="73"/>
    </row>
    <row r="566">
      <c r="A566" s="61"/>
      <c r="G566" s="73"/>
    </row>
    <row r="567">
      <c r="A567" s="61"/>
      <c r="G567" s="73"/>
    </row>
    <row r="568">
      <c r="A568" s="61"/>
      <c r="G568" s="73"/>
    </row>
    <row r="569">
      <c r="A569" s="61"/>
      <c r="G569" s="73"/>
    </row>
    <row r="570">
      <c r="A570" s="61"/>
      <c r="G570" s="73"/>
    </row>
    <row r="571">
      <c r="A571" s="61"/>
      <c r="G571" s="73"/>
    </row>
    <row r="572">
      <c r="A572" s="61"/>
      <c r="G572" s="73"/>
    </row>
    <row r="573">
      <c r="A573" s="61"/>
      <c r="G573" s="73"/>
    </row>
    <row r="574">
      <c r="A574" s="61"/>
      <c r="G574" s="73"/>
    </row>
    <row r="575">
      <c r="A575" s="61"/>
      <c r="G575" s="73"/>
    </row>
    <row r="576">
      <c r="A576" s="61"/>
      <c r="G576" s="73"/>
    </row>
    <row r="577">
      <c r="A577" s="61"/>
      <c r="G577" s="73"/>
    </row>
    <row r="578">
      <c r="A578" s="61"/>
      <c r="G578" s="73"/>
    </row>
    <row r="579">
      <c r="A579" s="61"/>
      <c r="G579" s="73"/>
    </row>
    <row r="580">
      <c r="A580" s="61"/>
      <c r="G580" s="73"/>
    </row>
    <row r="581">
      <c r="A581" s="61"/>
      <c r="G581" s="73"/>
    </row>
    <row r="582">
      <c r="A582" s="61"/>
      <c r="G582" s="73"/>
    </row>
    <row r="583">
      <c r="A583" s="61"/>
      <c r="G583" s="73"/>
    </row>
    <row r="584">
      <c r="A584" s="61"/>
      <c r="G584" s="73"/>
    </row>
    <row r="585">
      <c r="A585" s="61"/>
      <c r="G585" s="73"/>
    </row>
    <row r="586">
      <c r="A586" s="61"/>
      <c r="G586" s="73"/>
    </row>
    <row r="587">
      <c r="A587" s="61"/>
      <c r="G587" s="73"/>
    </row>
    <row r="588">
      <c r="A588" s="61"/>
      <c r="G588" s="73"/>
    </row>
    <row r="589">
      <c r="A589" s="61"/>
      <c r="G589" s="73"/>
    </row>
    <row r="590">
      <c r="A590" s="61"/>
      <c r="G590" s="73"/>
    </row>
    <row r="591">
      <c r="A591" s="61"/>
      <c r="G591" s="73"/>
    </row>
    <row r="592">
      <c r="A592" s="61"/>
      <c r="G592" s="73"/>
    </row>
    <row r="593">
      <c r="A593" s="61"/>
      <c r="G593" s="73"/>
    </row>
    <row r="594">
      <c r="A594" s="61"/>
      <c r="G594" s="73"/>
    </row>
    <row r="595">
      <c r="A595" s="61"/>
      <c r="G595" s="73"/>
    </row>
    <row r="596">
      <c r="A596" s="61"/>
      <c r="G596" s="73"/>
    </row>
    <row r="597">
      <c r="A597" s="61"/>
      <c r="G597" s="73"/>
    </row>
    <row r="598">
      <c r="A598" s="61"/>
      <c r="G598" s="73"/>
    </row>
    <row r="599">
      <c r="A599" s="61"/>
      <c r="G599" s="73"/>
    </row>
    <row r="600">
      <c r="A600" s="61"/>
      <c r="G600" s="73"/>
    </row>
    <row r="601">
      <c r="A601" s="61"/>
      <c r="G601" s="73"/>
    </row>
    <row r="602">
      <c r="A602" s="61"/>
      <c r="G602" s="73"/>
    </row>
    <row r="603">
      <c r="A603" s="61"/>
      <c r="G603" s="73"/>
    </row>
    <row r="604">
      <c r="A604" s="61"/>
      <c r="G604" s="73"/>
    </row>
    <row r="605">
      <c r="A605" s="61"/>
      <c r="G605" s="73"/>
    </row>
    <row r="606">
      <c r="A606" s="61"/>
      <c r="G606" s="73"/>
    </row>
    <row r="607">
      <c r="A607" s="61"/>
      <c r="G607" s="73"/>
    </row>
    <row r="608">
      <c r="A608" s="61"/>
      <c r="G608" s="73"/>
    </row>
    <row r="609">
      <c r="A609" s="61"/>
      <c r="G609" s="73"/>
    </row>
    <row r="610">
      <c r="A610" s="61"/>
      <c r="G610" s="73"/>
    </row>
    <row r="611">
      <c r="A611" s="61"/>
      <c r="G611" s="73"/>
    </row>
    <row r="612">
      <c r="A612" s="61"/>
      <c r="G612" s="73"/>
    </row>
    <row r="613">
      <c r="A613" s="61"/>
      <c r="G613" s="73"/>
    </row>
    <row r="614">
      <c r="A614" s="61"/>
      <c r="G614" s="73"/>
    </row>
    <row r="615">
      <c r="A615" s="61"/>
      <c r="G615" s="73"/>
    </row>
    <row r="616">
      <c r="A616" s="61"/>
      <c r="G616" s="73"/>
    </row>
    <row r="617">
      <c r="A617" s="61"/>
      <c r="G617" s="73"/>
    </row>
    <row r="618">
      <c r="A618" s="61"/>
      <c r="G618" s="73"/>
    </row>
    <row r="619">
      <c r="A619" s="61"/>
      <c r="G619" s="73"/>
    </row>
    <row r="620">
      <c r="A620" s="61"/>
      <c r="G620" s="73"/>
    </row>
    <row r="621">
      <c r="A621" s="61"/>
      <c r="G621" s="73"/>
    </row>
    <row r="622">
      <c r="A622" s="61"/>
      <c r="G622" s="73"/>
    </row>
    <row r="623">
      <c r="A623" s="61"/>
      <c r="G623" s="73"/>
    </row>
    <row r="624">
      <c r="A624" s="61"/>
      <c r="G624" s="73"/>
    </row>
    <row r="625">
      <c r="A625" s="61"/>
      <c r="G625" s="73"/>
    </row>
    <row r="626">
      <c r="A626" s="61"/>
      <c r="G626" s="73"/>
    </row>
    <row r="627">
      <c r="A627" s="61"/>
      <c r="G627" s="73"/>
    </row>
    <row r="628">
      <c r="A628" s="61"/>
      <c r="G628" s="73"/>
    </row>
    <row r="629">
      <c r="A629" s="61"/>
      <c r="G629" s="73"/>
    </row>
    <row r="630">
      <c r="A630" s="61"/>
      <c r="G630" s="73"/>
    </row>
    <row r="631">
      <c r="A631" s="61"/>
      <c r="G631" s="73"/>
    </row>
    <row r="632">
      <c r="A632" s="61"/>
      <c r="G632" s="73"/>
    </row>
    <row r="633">
      <c r="A633" s="61"/>
      <c r="G633" s="73"/>
    </row>
    <row r="634">
      <c r="A634" s="61"/>
      <c r="G634" s="73"/>
    </row>
    <row r="635">
      <c r="A635" s="61"/>
      <c r="G635" s="73"/>
    </row>
    <row r="636">
      <c r="A636" s="61"/>
      <c r="G636" s="73"/>
    </row>
    <row r="637">
      <c r="A637" s="61"/>
      <c r="G637" s="73"/>
    </row>
    <row r="638">
      <c r="A638" s="61"/>
      <c r="G638" s="73"/>
    </row>
    <row r="639">
      <c r="A639" s="61"/>
      <c r="G639" s="73"/>
    </row>
    <row r="640">
      <c r="A640" s="61"/>
      <c r="G640" s="73"/>
    </row>
    <row r="641">
      <c r="A641" s="61"/>
      <c r="G641" s="73"/>
    </row>
    <row r="642">
      <c r="A642" s="61"/>
      <c r="G642" s="73"/>
    </row>
    <row r="643">
      <c r="A643" s="61"/>
      <c r="G643" s="73"/>
    </row>
    <row r="644">
      <c r="A644" s="61"/>
      <c r="G644" s="73"/>
    </row>
    <row r="645">
      <c r="A645" s="61"/>
      <c r="G645" s="73"/>
    </row>
    <row r="646">
      <c r="A646" s="61"/>
      <c r="G646" s="73"/>
    </row>
    <row r="647">
      <c r="A647" s="61"/>
      <c r="G647" s="73"/>
    </row>
    <row r="648">
      <c r="A648" s="61"/>
      <c r="G648" s="73"/>
    </row>
    <row r="649">
      <c r="A649" s="61"/>
      <c r="G649" s="73"/>
    </row>
    <row r="650">
      <c r="A650" s="61"/>
      <c r="G650" s="73"/>
    </row>
    <row r="651">
      <c r="A651" s="61"/>
      <c r="G651" s="73"/>
    </row>
    <row r="652">
      <c r="A652" s="61"/>
      <c r="G652" s="73"/>
    </row>
    <row r="653">
      <c r="A653" s="61"/>
      <c r="G653" s="73"/>
    </row>
    <row r="654">
      <c r="A654" s="61"/>
      <c r="G654" s="73"/>
    </row>
    <row r="655">
      <c r="A655" s="61"/>
      <c r="G655" s="73"/>
    </row>
    <row r="656">
      <c r="A656" s="61"/>
      <c r="G656" s="73"/>
    </row>
    <row r="657">
      <c r="A657" s="61"/>
      <c r="G657" s="73"/>
    </row>
    <row r="658">
      <c r="A658" s="61"/>
      <c r="G658" s="73"/>
    </row>
    <row r="659">
      <c r="A659" s="61"/>
      <c r="G659" s="73"/>
    </row>
    <row r="660">
      <c r="A660" s="61"/>
      <c r="G660" s="73"/>
    </row>
    <row r="661">
      <c r="A661" s="61"/>
      <c r="G661" s="73"/>
    </row>
    <row r="662">
      <c r="A662" s="61"/>
      <c r="G662" s="73"/>
    </row>
    <row r="663">
      <c r="A663" s="61"/>
      <c r="G663" s="73"/>
    </row>
    <row r="664">
      <c r="A664" s="61"/>
      <c r="G664" s="73"/>
    </row>
    <row r="665">
      <c r="A665" s="61"/>
      <c r="G665" s="73"/>
    </row>
    <row r="666">
      <c r="A666" s="61"/>
      <c r="G666" s="73"/>
    </row>
    <row r="667">
      <c r="A667" s="61"/>
      <c r="G667" s="73"/>
    </row>
    <row r="668">
      <c r="A668" s="61"/>
      <c r="G668" s="73"/>
    </row>
    <row r="669">
      <c r="A669" s="61"/>
      <c r="G669" s="73"/>
    </row>
    <row r="670">
      <c r="A670" s="61"/>
      <c r="G670" s="73"/>
    </row>
    <row r="671">
      <c r="A671" s="61"/>
      <c r="G671" s="73"/>
    </row>
    <row r="672">
      <c r="A672" s="61"/>
      <c r="G672" s="73"/>
    </row>
    <row r="673">
      <c r="A673" s="61"/>
      <c r="G673" s="73"/>
    </row>
    <row r="674">
      <c r="A674" s="61"/>
      <c r="G674" s="73"/>
    </row>
    <row r="675">
      <c r="A675" s="61"/>
      <c r="G675" s="73"/>
    </row>
    <row r="676">
      <c r="A676" s="61"/>
      <c r="G676" s="73"/>
    </row>
    <row r="677">
      <c r="A677" s="61"/>
      <c r="G677" s="73"/>
    </row>
    <row r="678">
      <c r="A678" s="61"/>
      <c r="G678" s="73"/>
    </row>
    <row r="679">
      <c r="A679" s="61"/>
      <c r="G679" s="73"/>
    </row>
    <row r="680">
      <c r="A680" s="61"/>
      <c r="G680" s="73"/>
    </row>
    <row r="681">
      <c r="A681" s="61"/>
      <c r="G681" s="73"/>
    </row>
    <row r="682">
      <c r="A682" s="61"/>
      <c r="G682" s="73"/>
    </row>
    <row r="683">
      <c r="A683" s="61"/>
      <c r="G683" s="73"/>
    </row>
    <row r="684">
      <c r="A684" s="61"/>
      <c r="G684" s="73"/>
    </row>
    <row r="685">
      <c r="A685" s="61"/>
      <c r="G685" s="73"/>
    </row>
    <row r="686">
      <c r="A686" s="61"/>
      <c r="G686" s="73"/>
    </row>
    <row r="687">
      <c r="A687" s="61"/>
      <c r="G687" s="73"/>
    </row>
    <row r="688">
      <c r="A688" s="61"/>
      <c r="G688" s="73"/>
    </row>
    <row r="689">
      <c r="A689" s="61"/>
      <c r="G689" s="73"/>
    </row>
    <row r="690">
      <c r="A690" s="61"/>
      <c r="G690" s="73"/>
    </row>
    <row r="691">
      <c r="A691" s="61"/>
      <c r="G691" s="73"/>
    </row>
    <row r="692">
      <c r="A692" s="61"/>
      <c r="G692" s="73"/>
    </row>
    <row r="693">
      <c r="A693" s="61"/>
      <c r="G693" s="73"/>
    </row>
    <row r="694">
      <c r="A694" s="61"/>
      <c r="G694" s="73"/>
    </row>
    <row r="695">
      <c r="A695" s="61"/>
      <c r="G695" s="73"/>
    </row>
    <row r="696">
      <c r="A696" s="61"/>
      <c r="G696" s="73"/>
    </row>
    <row r="697">
      <c r="A697" s="61"/>
      <c r="G697" s="73"/>
    </row>
    <row r="698">
      <c r="A698" s="61"/>
      <c r="G698" s="73"/>
    </row>
    <row r="699">
      <c r="A699" s="61"/>
      <c r="G699" s="73"/>
    </row>
    <row r="700">
      <c r="A700" s="61"/>
      <c r="G700" s="73"/>
    </row>
    <row r="701">
      <c r="A701" s="61"/>
      <c r="G701" s="73"/>
    </row>
    <row r="702">
      <c r="A702" s="61"/>
      <c r="G702" s="73"/>
    </row>
    <row r="703">
      <c r="A703" s="61"/>
      <c r="G703" s="73"/>
    </row>
    <row r="704">
      <c r="A704" s="61"/>
      <c r="G704" s="73"/>
    </row>
    <row r="705">
      <c r="A705" s="61"/>
      <c r="G705" s="73"/>
    </row>
    <row r="706">
      <c r="A706" s="61"/>
      <c r="G706" s="73"/>
    </row>
    <row r="707">
      <c r="A707" s="61"/>
      <c r="G707" s="73"/>
    </row>
    <row r="708">
      <c r="A708" s="61"/>
      <c r="G708" s="73"/>
    </row>
    <row r="709">
      <c r="A709" s="61"/>
      <c r="G709" s="73"/>
    </row>
    <row r="710">
      <c r="A710" s="61"/>
      <c r="G710" s="73"/>
    </row>
    <row r="711">
      <c r="A711" s="61"/>
      <c r="G711" s="73"/>
    </row>
    <row r="712">
      <c r="A712" s="61"/>
      <c r="G712" s="73"/>
    </row>
    <row r="713">
      <c r="A713" s="61"/>
      <c r="G713" s="73"/>
    </row>
    <row r="714">
      <c r="A714" s="61"/>
      <c r="G714" s="73"/>
    </row>
    <row r="715">
      <c r="A715" s="61"/>
      <c r="G715" s="73"/>
    </row>
    <row r="716">
      <c r="A716" s="61"/>
      <c r="G716" s="73"/>
    </row>
    <row r="717">
      <c r="A717" s="61"/>
      <c r="G717" s="73"/>
    </row>
    <row r="718">
      <c r="A718" s="61"/>
      <c r="G718" s="73"/>
    </row>
    <row r="719">
      <c r="A719" s="61"/>
      <c r="G719" s="73"/>
    </row>
    <row r="720">
      <c r="A720" s="61"/>
      <c r="G720" s="73"/>
    </row>
    <row r="721">
      <c r="A721" s="61"/>
      <c r="G721" s="73"/>
    </row>
    <row r="722">
      <c r="A722" s="61"/>
      <c r="G722" s="73"/>
    </row>
    <row r="723">
      <c r="A723" s="61"/>
      <c r="G723" s="73"/>
    </row>
    <row r="724">
      <c r="A724" s="61"/>
      <c r="G724" s="73"/>
    </row>
    <row r="725">
      <c r="A725" s="61"/>
      <c r="G725" s="73"/>
    </row>
    <row r="726">
      <c r="A726" s="61"/>
      <c r="G726" s="73"/>
    </row>
    <row r="727">
      <c r="A727" s="61"/>
      <c r="G727" s="73"/>
    </row>
    <row r="728">
      <c r="A728" s="61"/>
      <c r="G728" s="73"/>
    </row>
    <row r="729">
      <c r="A729" s="61"/>
      <c r="G729" s="73"/>
    </row>
    <row r="730">
      <c r="A730" s="61"/>
      <c r="G730" s="73"/>
    </row>
    <row r="731">
      <c r="A731" s="61"/>
      <c r="G731" s="73"/>
    </row>
    <row r="732">
      <c r="A732" s="61"/>
      <c r="G732" s="73"/>
    </row>
    <row r="733">
      <c r="A733" s="61"/>
      <c r="G733" s="73"/>
    </row>
    <row r="734">
      <c r="A734" s="61"/>
      <c r="G734" s="73"/>
    </row>
    <row r="735">
      <c r="A735" s="61"/>
      <c r="G735" s="73"/>
    </row>
    <row r="736">
      <c r="A736" s="61"/>
      <c r="G736" s="73"/>
    </row>
    <row r="737">
      <c r="A737" s="61"/>
      <c r="G737" s="73"/>
    </row>
    <row r="738">
      <c r="A738" s="61"/>
      <c r="G738" s="73"/>
    </row>
    <row r="739">
      <c r="A739" s="61"/>
      <c r="G739" s="73"/>
    </row>
    <row r="740">
      <c r="A740" s="61"/>
      <c r="G740" s="73"/>
    </row>
    <row r="741">
      <c r="A741" s="61"/>
      <c r="G741" s="73"/>
    </row>
    <row r="742">
      <c r="A742" s="61"/>
      <c r="G742" s="73"/>
    </row>
    <row r="743">
      <c r="A743" s="61"/>
      <c r="G743" s="73"/>
    </row>
    <row r="744">
      <c r="A744" s="61"/>
      <c r="G744" s="73"/>
    </row>
    <row r="745">
      <c r="A745" s="61"/>
      <c r="G745" s="73"/>
    </row>
    <row r="746">
      <c r="A746" s="61"/>
      <c r="G746" s="73"/>
    </row>
    <row r="747">
      <c r="A747" s="61"/>
      <c r="G747" s="73"/>
    </row>
    <row r="748">
      <c r="A748" s="61"/>
      <c r="G748" s="73"/>
    </row>
    <row r="749">
      <c r="A749" s="61"/>
      <c r="G749" s="73"/>
    </row>
    <row r="750">
      <c r="A750" s="61"/>
      <c r="G750" s="73"/>
    </row>
    <row r="751">
      <c r="A751" s="61"/>
      <c r="G751" s="73"/>
    </row>
    <row r="752">
      <c r="A752" s="61"/>
      <c r="G752" s="73"/>
    </row>
    <row r="753">
      <c r="A753" s="61"/>
      <c r="G753" s="73"/>
    </row>
    <row r="754">
      <c r="A754" s="61"/>
      <c r="G754" s="73"/>
    </row>
    <row r="755">
      <c r="A755" s="61"/>
      <c r="G755" s="73"/>
    </row>
    <row r="756">
      <c r="A756" s="61"/>
      <c r="G756" s="73"/>
    </row>
    <row r="757">
      <c r="A757" s="61"/>
      <c r="G757" s="73"/>
    </row>
    <row r="758">
      <c r="A758" s="61"/>
      <c r="G758" s="73"/>
    </row>
    <row r="759">
      <c r="A759" s="61"/>
      <c r="G759" s="73"/>
    </row>
    <row r="760">
      <c r="A760" s="61"/>
      <c r="G760" s="73"/>
    </row>
    <row r="761">
      <c r="A761" s="61"/>
      <c r="G761" s="73"/>
    </row>
    <row r="762">
      <c r="A762" s="61"/>
      <c r="G762" s="73"/>
    </row>
    <row r="763">
      <c r="A763" s="61"/>
      <c r="G763" s="73"/>
    </row>
    <row r="764">
      <c r="A764" s="61"/>
      <c r="G764" s="73"/>
    </row>
    <row r="765">
      <c r="A765" s="61"/>
      <c r="G765" s="73"/>
    </row>
    <row r="766">
      <c r="A766" s="61"/>
      <c r="G766" s="73"/>
    </row>
    <row r="767">
      <c r="A767" s="61"/>
      <c r="G767" s="73"/>
    </row>
    <row r="768">
      <c r="A768" s="61"/>
      <c r="G768" s="73"/>
    </row>
    <row r="769">
      <c r="A769" s="61"/>
      <c r="G769" s="73"/>
    </row>
    <row r="770">
      <c r="A770" s="61"/>
      <c r="G770" s="73"/>
    </row>
    <row r="771">
      <c r="A771" s="61"/>
      <c r="G771" s="73"/>
    </row>
    <row r="772">
      <c r="A772" s="61"/>
      <c r="G772" s="73"/>
    </row>
    <row r="773">
      <c r="A773" s="61"/>
      <c r="G773" s="73"/>
    </row>
    <row r="774">
      <c r="A774" s="61"/>
      <c r="G774" s="73"/>
    </row>
    <row r="775">
      <c r="A775" s="61"/>
      <c r="G775" s="73"/>
    </row>
    <row r="776">
      <c r="A776" s="61"/>
      <c r="G776" s="73"/>
    </row>
    <row r="777">
      <c r="A777" s="61"/>
      <c r="G777" s="73"/>
    </row>
    <row r="778">
      <c r="A778" s="61"/>
      <c r="G778" s="73"/>
    </row>
    <row r="779">
      <c r="A779" s="61"/>
      <c r="G779" s="73"/>
    </row>
    <row r="780">
      <c r="A780" s="61"/>
      <c r="G780" s="73"/>
    </row>
    <row r="781">
      <c r="A781" s="61"/>
      <c r="G781" s="73"/>
    </row>
    <row r="782">
      <c r="A782" s="61"/>
      <c r="G782" s="73"/>
    </row>
    <row r="783">
      <c r="A783" s="61"/>
      <c r="G783" s="73"/>
    </row>
    <row r="784">
      <c r="A784" s="61"/>
      <c r="G784" s="73"/>
    </row>
    <row r="785">
      <c r="A785" s="61"/>
      <c r="G785" s="73"/>
    </row>
    <row r="786">
      <c r="A786" s="61"/>
      <c r="G786" s="73"/>
    </row>
    <row r="787">
      <c r="A787" s="61"/>
      <c r="G787" s="73"/>
    </row>
    <row r="788">
      <c r="A788" s="61"/>
      <c r="G788" s="73"/>
    </row>
    <row r="789">
      <c r="A789" s="61"/>
      <c r="G789" s="73"/>
    </row>
    <row r="790">
      <c r="A790" s="61"/>
      <c r="G790" s="73"/>
    </row>
    <row r="791">
      <c r="A791" s="61"/>
      <c r="G791" s="73"/>
    </row>
    <row r="792">
      <c r="A792" s="61"/>
      <c r="G792" s="73"/>
    </row>
    <row r="793">
      <c r="A793" s="61"/>
      <c r="G793" s="73"/>
    </row>
    <row r="794">
      <c r="A794" s="61"/>
      <c r="G794" s="73"/>
    </row>
    <row r="795">
      <c r="A795" s="61"/>
      <c r="G795" s="73"/>
    </row>
    <row r="796">
      <c r="A796" s="61"/>
      <c r="G796" s="73"/>
    </row>
    <row r="797">
      <c r="A797" s="61"/>
      <c r="G797" s="73"/>
    </row>
    <row r="798">
      <c r="A798" s="61"/>
      <c r="G798" s="73"/>
    </row>
    <row r="799">
      <c r="A799" s="61"/>
      <c r="G799" s="73"/>
    </row>
    <row r="800">
      <c r="A800" s="61"/>
      <c r="G800" s="73"/>
    </row>
    <row r="801">
      <c r="A801" s="61"/>
      <c r="G801" s="73"/>
    </row>
    <row r="802">
      <c r="A802" s="61"/>
      <c r="G802" s="73"/>
    </row>
    <row r="803">
      <c r="A803" s="61"/>
      <c r="G803" s="73"/>
    </row>
    <row r="804">
      <c r="A804" s="61"/>
      <c r="G804" s="73"/>
    </row>
    <row r="805">
      <c r="A805" s="61"/>
      <c r="G805" s="73"/>
    </row>
    <row r="806">
      <c r="A806" s="61"/>
      <c r="G806" s="73"/>
    </row>
    <row r="807">
      <c r="A807" s="61"/>
      <c r="G807" s="73"/>
    </row>
    <row r="808">
      <c r="A808" s="61"/>
      <c r="G808" s="73"/>
    </row>
    <row r="809">
      <c r="A809" s="61"/>
      <c r="G809" s="73"/>
    </row>
    <row r="810">
      <c r="A810" s="61"/>
      <c r="G810" s="73"/>
    </row>
    <row r="811">
      <c r="A811" s="61"/>
      <c r="G811" s="73"/>
    </row>
    <row r="812">
      <c r="A812" s="61"/>
      <c r="G812" s="73"/>
    </row>
    <row r="813">
      <c r="A813" s="61"/>
      <c r="G813" s="73"/>
    </row>
    <row r="814">
      <c r="A814" s="61"/>
      <c r="G814" s="73"/>
    </row>
    <row r="815">
      <c r="A815" s="61"/>
      <c r="G815" s="73"/>
    </row>
    <row r="816">
      <c r="A816" s="61"/>
      <c r="G816" s="73"/>
    </row>
    <row r="817">
      <c r="A817" s="61"/>
      <c r="G817" s="73"/>
    </row>
    <row r="818">
      <c r="A818" s="61"/>
      <c r="G818" s="73"/>
    </row>
    <row r="819">
      <c r="A819" s="61"/>
      <c r="G819" s="73"/>
    </row>
    <row r="820">
      <c r="A820" s="61"/>
      <c r="G820" s="73"/>
    </row>
    <row r="821">
      <c r="A821" s="61"/>
      <c r="G821" s="73"/>
    </row>
    <row r="822">
      <c r="A822" s="61"/>
      <c r="G822" s="73"/>
    </row>
    <row r="823">
      <c r="A823" s="61"/>
      <c r="G823" s="73"/>
    </row>
    <row r="824">
      <c r="A824" s="61"/>
      <c r="G824" s="73"/>
    </row>
    <row r="825">
      <c r="A825" s="61"/>
      <c r="G825" s="73"/>
    </row>
    <row r="826">
      <c r="A826" s="61"/>
      <c r="G826" s="73"/>
    </row>
    <row r="827">
      <c r="A827" s="61"/>
      <c r="G827" s="73"/>
    </row>
    <row r="828">
      <c r="A828" s="61"/>
      <c r="G828" s="73"/>
    </row>
    <row r="829">
      <c r="A829" s="61"/>
      <c r="G829" s="73"/>
    </row>
    <row r="830">
      <c r="A830" s="61"/>
      <c r="G830" s="73"/>
    </row>
    <row r="831">
      <c r="A831" s="61"/>
      <c r="G831" s="73"/>
    </row>
    <row r="832">
      <c r="A832" s="61"/>
      <c r="G832" s="73"/>
    </row>
    <row r="833">
      <c r="A833" s="61"/>
      <c r="G833" s="73"/>
    </row>
    <row r="834">
      <c r="A834" s="61"/>
      <c r="G834" s="73"/>
    </row>
    <row r="835">
      <c r="A835" s="61"/>
      <c r="G835" s="73"/>
    </row>
    <row r="836">
      <c r="A836" s="61"/>
      <c r="G836" s="73"/>
    </row>
    <row r="837">
      <c r="A837" s="61"/>
      <c r="G837" s="73"/>
    </row>
    <row r="838">
      <c r="A838" s="61"/>
      <c r="G838" s="73"/>
    </row>
    <row r="839">
      <c r="A839" s="61"/>
      <c r="G839" s="73"/>
    </row>
    <row r="840">
      <c r="A840" s="61"/>
      <c r="G840" s="73"/>
    </row>
    <row r="841">
      <c r="A841" s="61"/>
      <c r="G841" s="73"/>
    </row>
    <row r="842">
      <c r="A842" s="61"/>
      <c r="G842" s="73"/>
    </row>
    <row r="843">
      <c r="A843" s="61"/>
      <c r="G843" s="73"/>
    </row>
    <row r="844">
      <c r="A844" s="61"/>
      <c r="G844" s="73"/>
    </row>
    <row r="845">
      <c r="A845" s="61"/>
      <c r="G845" s="73"/>
    </row>
    <row r="846">
      <c r="A846" s="61"/>
      <c r="G846" s="73"/>
    </row>
    <row r="847">
      <c r="A847" s="61"/>
      <c r="G847" s="73"/>
    </row>
    <row r="848">
      <c r="A848" s="61"/>
      <c r="G848" s="73"/>
    </row>
    <row r="849">
      <c r="A849" s="61"/>
      <c r="G849" s="73"/>
    </row>
    <row r="850">
      <c r="A850" s="61"/>
      <c r="G850" s="73"/>
    </row>
    <row r="851">
      <c r="A851" s="61"/>
      <c r="G851" s="73"/>
    </row>
    <row r="852">
      <c r="A852" s="61"/>
      <c r="G852" s="73"/>
    </row>
    <row r="853">
      <c r="A853" s="61"/>
      <c r="G853" s="73"/>
    </row>
    <row r="854">
      <c r="A854" s="61"/>
      <c r="G854" s="73"/>
    </row>
    <row r="855">
      <c r="A855" s="61"/>
      <c r="G855" s="73"/>
    </row>
    <row r="856">
      <c r="A856" s="61"/>
      <c r="G856" s="73"/>
    </row>
    <row r="857">
      <c r="A857" s="61"/>
      <c r="G857" s="73"/>
    </row>
    <row r="858">
      <c r="A858" s="61"/>
      <c r="G858" s="73"/>
    </row>
    <row r="859">
      <c r="A859" s="61"/>
      <c r="G859" s="73"/>
    </row>
    <row r="860">
      <c r="A860" s="61"/>
      <c r="G860" s="73"/>
    </row>
    <row r="861">
      <c r="A861" s="61"/>
      <c r="G861" s="73"/>
    </row>
    <row r="862">
      <c r="A862" s="61"/>
      <c r="G862" s="73"/>
    </row>
    <row r="863">
      <c r="A863" s="61"/>
      <c r="G863" s="73"/>
    </row>
    <row r="864">
      <c r="A864" s="61"/>
      <c r="G864" s="73"/>
    </row>
    <row r="865">
      <c r="A865" s="61"/>
      <c r="G865" s="73"/>
    </row>
    <row r="866">
      <c r="A866" s="61"/>
      <c r="G866" s="73"/>
    </row>
    <row r="867">
      <c r="A867" s="61"/>
      <c r="G867" s="73"/>
    </row>
    <row r="868">
      <c r="A868" s="61"/>
      <c r="G868" s="73"/>
    </row>
    <row r="869">
      <c r="A869" s="61"/>
      <c r="G869" s="73"/>
    </row>
    <row r="870">
      <c r="A870" s="61"/>
      <c r="G870" s="73"/>
    </row>
    <row r="871">
      <c r="A871" s="61"/>
      <c r="G871" s="73"/>
    </row>
    <row r="872">
      <c r="A872" s="61"/>
      <c r="G872" s="73"/>
    </row>
    <row r="873">
      <c r="A873" s="61"/>
      <c r="G873" s="73"/>
    </row>
    <row r="874">
      <c r="A874" s="61"/>
      <c r="G874" s="73"/>
    </row>
    <row r="875">
      <c r="A875" s="61"/>
      <c r="G875" s="73"/>
    </row>
    <row r="876">
      <c r="A876" s="61"/>
      <c r="G876" s="73"/>
    </row>
    <row r="877">
      <c r="A877" s="61"/>
      <c r="G877" s="73"/>
    </row>
    <row r="878">
      <c r="A878" s="61"/>
      <c r="G878" s="73"/>
    </row>
    <row r="879">
      <c r="A879" s="61"/>
      <c r="G879" s="73"/>
    </row>
    <row r="880">
      <c r="A880" s="61"/>
      <c r="G880" s="73"/>
    </row>
    <row r="881">
      <c r="A881" s="61"/>
      <c r="G881" s="73"/>
    </row>
    <row r="882">
      <c r="A882" s="61"/>
      <c r="G882" s="73"/>
    </row>
    <row r="883">
      <c r="A883" s="61"/>
      <c r="G883" s="73"/>
    </row>
    <row r="884">
      <c r="A884" s="61"/>
      <c r="G884" s="73"/>
    </row>
    <row r="885">
      <c r="A885" s="61"/>
      <c r="G885" s="73"/>
    </row>
    <row r="886">
      <c r="A886" s="61"/>
      <c r="G886" s="73"/>
    </row>
    <row r="887">
      <c r="A887" s="61"/>
      <c r="G887" s="73"/>
    </row>
    <row r="888">
      <c r="A888" s="61"/>
      <c r="G888" s="73"/>
    </row>
    <row r="889">
      <c r="A889" s="61"/>
      <c r="G889" s="73"/>
    </row>
    <row r="890">
      <c r="A890" s="61"/>
      <c r="G890" s="73"/>
    </row>
    <row r="891">
      <c r="A891" s="61"/>
      <c r="G891" s="73"/>
    </row>
    <row r="892">
      <c r="A892" s="61"/>
      <c r="G892" s="73"/>
    </row>
    <row r="893">
      <c r="A893" s="61"/>
      <c r="G893" s="73"/>
    </row>
    <row r="894">
      <c r="A894" s="61"/>
      <c r="G894" s="73"/>
    </row>
    <row r="895">
      <c r="A895" s="61"/>
      <c r="G895" s="73"/>
    </row>
    <row r="896">
      <c r="A896" s="61"/>
      <c r="G896" s="73"/>
    </row>
    <row r="897">
      <c r="A897" s="61"/>
      <c r="G897" s="73"/>
    </row>
    <row r="898">
      <c r="A898" s="61"/>
      <c r="G898" s="73"/>
    </row>
    <row r="899">
      <c r="A899" s="61"/>
      <c r="G899" s="73"/>
    </row>
    <row r="900">
      <c r="A900" s="61"/>
      <c r="G900" s="73"/>
    </row>
    <row r="901">
      <c r="A901" s="61"/>
      <c r="G901" s="73"/>
    </row>
    <row r="902">
      <c r="A902" s="61"/>
      <c r="G902" s="73"/>
    </row>
    <row r="903">
      <c r="A903" s="61"/>
      <c r="G903" s="73"/>
    </row>
    <row r="904">
      <c r="A904" s="61"/>
      <c r="G904" s="73"/>
    </row>
    <row r="905">
      <c r="A905" s="61"/>
      <c r="G905" s="73"/>
    </row>
    <row r="906">
      <c r="A906" s="61"/>
      <c r="G906" s="73"/>
    </row>
    <row r="907">
      <c r="A907" s="61"/>
      <c r="G907" s="73"/>
    </row>
    <row r="908">
      <c r="A908" s="61"/>
      <c r="G908" s="73"/>
    </row>
    <row r="909">
      <c r="A909" s="61"/>
      <c r="G909" s="73"/>
    </row>
    <row r="910">
      <c r="A910" s="61"/>
      <c r="G910" s="73"/>
    </row>
    <row r="911">
      <c r="A911" s="61"/>
      <c r="G911" s="73"/>
    </row>
    <row r="912">
      <c r="A912" s="61"/>
      <c r="G912" s="73"/>
    </row>
    <row r="913">
      <c r="A913" s="61"/>
      <c r="G913" s="73"/>
    </row>
    <row r="914">
      <c r="A914" s="61"/>
      <c r="G914" s="73"/>
    </row>
    <row r="915">
      <c r="A915" s="61"/>
      <c r="G915" s="73"/>
    </row>
    <row r="916">
      <c r="A916" s="61"/>
      <c r="G916" s="73"/>
    </row>
    <row r="917">
      <c r="A917" s="61"/>
      <c r="G917" s="73"/>
    </row>
    <row r="918">
      <c r="A918" s="61"/>
      <c r="G918" s="73"/>
    </row>
    <row r="919">
      <c r="A919" s="61"/>
      <c r="G919" s="73"/>
    </row>
    <row r="920">
      <c r="A920" s="61"/>
      <c r="G920" s="73"/>
    </row>
    <row r="921">
      <c r="A921" s="61"/>
      <c r="G921" s="73"/>
    </row>
    <row r="922">
      <c r="A922" s="61"/>
      <c r="G922" s="73"/>
    </row>
    <row r="923">
      <c r="A923" s="61"/>
      <c r="G923" s="73"/>
    </row>
    <row r="924">
      <c r="A924" s="61"/>
      <c r="G924" s="73"/>
    </row>
    <row r="925">
      <c r="A925" s="61"/>
      <c r="G925" s="73"/>
    </row>
    <row r="926">
      <c r="A926" s="61"/>
      <c r="G926" s="73"/>
    </row>
    <row r="927">
      <c r="A927" s="61"/>
      <c r="G927" s="73"/>
    </row>
    <row r="928">
      <c r="A928" s="61"/>
      <c r="G928" s="73"/>
    </row>
    <row r="929">
      <c r="A929" s="61"/>
      <c r="G929" s="73"/>
    </row>
    <row r="930">
      <c r="A930" s="61"/>
      <c r="G930" s="73"/>
    </row>
    <row r="931">
      <c r="A931" s="61"/>
      <c r="G931" s="73"/>
    </row>
    <row r="932">
      <c r="A932" s="61"/>
      <c r="G932" s="73"/>
    </row>
    <row r="933">
      <c r="A933" s="61"/>
      <c r="G933" s="73"/>
    </row>
    <row r="934">
      <c r="A934" s="61"/>
      <c r="G934" s="73"/>
    </row>
    <row r="935">
      <c r="A935" s="61"/>
      <c r="G935" s="73"/>
    </row>
    <row r="936">
      <c r="A936" s="61"/>
      <c r="G936" s="73"/>
    </row>
    <row r="937">
      <c r="A937" s="61"/>
      <c r="G937" s="73"/>
    </row>
    <row r="938">
      <c r="A938" s="61"/>
      <c r="G938" s="73"/>
    </row>
    <row r="939">
      <c r="A939" s="61"/>
      <c r="G939" s="73"/>
    </row>
    <row r="940">
      <c r="A940" s="61"/>
      <c r="G940" s="73"/>
    </row>
    <row r="941">
      <c r="A941" s="61"/>
      <c r="G941" s="73"/>
    </row>
    <row r="942">
      <c r="A942" s="61"/>
      <c r="G942" s="73"/>
    </row>
    <row r="943">
      <c r="A943" s="61"/>
      <c r="G943" s="73"/>
    </row>
    <row r="944">
      <c r="A944" s="61"/>
      <c r="G944" s="73"/>
    </row>
    <row r="945">
      <c r="A945" s="61"/>
      <c r="G945" s="73"/>
    </row>
    <row r="946">
      <c r="A946" s="61"/>
      <c r="G946" s="73"/>
    </row>
    <row r="947">
      <c r="A947" s="61"/>
      <c r="G947" s="73"/>
    </row>
    <row r="948">
      <c r="A948" s="61"/>
      <c r="G948" s="73"/>
    </row>
    <row r="949">
      <c r="A949" s="61"/>
      <c r="G949" s="73"/>
    </row>
    <row r="950">
      <c r="A950" s="61"/>
      <c r="G950" s="73"/>
    </row>
    <row r="951">
      <c r="A951" s="61"/>
      <c r="G951" s="73"/>
    </row>
    <row r="952">
      <c r="A952" s="61"/>
      <c r="G952" s="73"/>
    </row>
    <row r="953">
      <c r="A953" s="61"/>
      <c r="G953" s="73"/>
    </row>
    <row r="954">
      <c r="A954" s="61"/>
      <c r="G954" s="73"/>
    </row>
    <row r="955">
      <c r="A955" s="61"/>
      <c r="G955" s="73"/>
    </row>
    <row r="956">
      <c r="A956" s="61"/>
      <c r="G956" s="73"/>
    </row>
    <row r="957">
      <c r="A957" s="61"/>
      <c r="G957" s="73"/>
    </row>
    <row r="958">
      <c r="A958" s="61"/>
      <c r="G958" s="73"/>
    </row>
    <row r="959">
      <c r="A959" s="61"/>
      <c r="G959" s="73"/>
    </row>
    <row r="960">
      <c r="A960" s="61"/>
      <c r="G960" s="73"/>
    </row>
    <row r="961">
      <c r="A961" s="61"/>
      <c r="G961" s="73"/>
    </row>
    <row r="962">
      <c r="A962" s="61"/>
      <c r="G962" s="73"/>
    </row>
    <row r="963">
      <c r="A963" s="61"/>
      <c r="G963" s="73"/>
    </row>
    <row r="964">
      <c r="A964" s="61"/>
      <c r="G964" s="73"/>
    </row>
    <row r="965">
      <c r="A965" s="61"/>
      <c r="G965" s="73"/>
    </row>
    <row r="966">
      <c r="A966" s="61"/>
      <c r="G966" s="73"/>
    </row>
    <row r="967">
      <c r="A967" s="61"/>
      <c r="G967" s="73"/>
    </row>
    <row r="968">
      <c r="A968" s="61"/>
      <c r="G968" s="73"/>
    </row>
    <row r="969">
      <c r="A969" s="61"/>
      <c r="G969" s="73"/>
    </row>
    <row r="970">
      <c r="A970" s="61"/>
      <c r="G970" s="73"/>
    </row>
    <row r="971">
      <c r="A971" s="61"/>
      <c r="G971" s="73"/>
    </row>
    <row r="972">
      <c r="A972" s="61"/>
      <c r="G972" s="73"/>
    </row>
    <row r="973">
      <c r="A973" s="61"/>
      <c r="G973" s="73"/>
    </row>
    <row r="974">
      <c r="A974" s="61"/>
      <c r="G974" s="73"/>
    </row>
    <row r="975">
      <c r="A975" s="61"/>
      <c r="G975" s="73"/>
    </row>
    <row r="976">
      <c r="A976" s="61"/>
      <c r="G976" s="73"/>
    </row>
    <row r="977">
      <c r="A977" s="61"/>
      <c r="G977" s="73"/>
    </row>
    <row r="978">
      <c r="A978" s="61"/>
      <c r="G978" s="73"/>
    </row>
    <row r="979">
      <c r="A979" s="61"/>
      <c r="G979" s="73"/>
    </row>
    <row r="980">
      <c r="A980" s="61"/>
      <c r="G980" s="73"/>
    </row>
    <row r="981">
      <c r="A981" s="61"/>
      <c r="G981" s="73"/>
    </row>
    <row r="982">
      <c r="A982" s="61"/>
      <c r="G982" s="73"/>
    </row>
    <row r="983">
      <c r="A983" s="61"/>
      <c r="G983" s="73"/>
    </row>
    <row r="984">
      <c r="A984" s="61"/>
      <c r="G984" s="73"/>
    </row>
    <row r="985">
      <c r="A985" s="61"/>
      <c r="G985" s="73"/>
    </row>
    <row r="986">
      <c r="A986" s="61"/>
      <c r="G986" s="73"/>
    </row>
    <row r="987">
      <c r="A987" s="61"/>
      <c r="G987" s="73"/>
    </row>
    <row r="988">
      <c r="A988" s="61"/>
      <c r="G988" s="73"/>
    </row>
    <row r="989">
      <c r="A989" s="61"/>
      <c r="G989" s="73"/>
    </row>
    <row r="990">
      <c r="A990" s="61"/>
      <c r="G990" s="73"/>
    </row>
    <row r="991">
      <c r="A991" s="61"/>
      <c r="G991" s="73"/>
    </row>
    <row r="992">
      <c r="A992" s="61"/>
      <c r="G992" s="73"/>
    </row>
    <row r="993">
      <c r="A993" s="61"/>
      <c r="G993" s="73"/>
    </row>
    <row r="994">
      <c r="A994" s="61"/>
      <c r="G994" s="73"/>
    </row>
    <row r="995">
      <c r="A995" s="61"/>
      <c r="G995" s="73"/>
    </row>
    <row r="996">
      <c r="A996" s="61"/>
      <c r="G996" s="73"/>
    </row>
    <row r="997">
      <c r="A997" s="61"/>
      <c r="G997" s="73"/>
    </row>
    <row r="998">
      <c r="A998" s="61"/>
      <c r="G998" s="73"/>
    </row>
    <row r="999">
      <c r="A999" s="61"/>
      <c r="G999" s="73"/>
    </row>
    <row r="1000">
      <c r="A1000" s="211"/>
      <c r="B1000" s="212"/>
      <c r="C1000" s="212"/>
      <c r="D1000" s="212"/>
      <c r="E1000" s="212"/>
      <c r="F1000" s="212"/>
      <c r="G1000" s="213"/>
    </row>
  </sheetData>
  <mergeCells count="1">
    <mergeCell ref="K2:M2"/>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 t="str">
        <f>IFERROR(__xludf.DUMMYFUNCTION("IMPORTHTML(""https://frc-events.firstinspires.org/2022/INCO2/qualifications"",""table"",1)"),"Match")</f>
        <v>Match</v>
      </c>
      <c r="B1" s="15" t="str">
        <f>IFERROR(__xludf.DUMMYFUNCTION("""COMPUTED_VALUE"""),"Start Time")</f>
        <v>Start Time</v>
      </c>
      <c r="C1" s="15" t="str">
        <f>IFERROR(__xludf.DUMMYFUNCTION("""COMPUTED_VALUE"""),"Red 1")</f>
        <v>Red 1</v>
      </c>
      <c r="D1" s="15" t="str">
        <f>IFERROR(__xludf.DUMMYFUNCTION("""COMPUTED_VALUE"""),"Red 2")</f>
        <v>Red 2</v>
      </c>
      <c r="E1" s="15" t="str">
        <f>IFERROR(__xludf.DUMMYFUNCTION("""COMPUTED_VALUE"""),"Red 3")</f>
        <v>Red 3</v>
      </c>
      <c r="F1" s="15" t="str">
        <f>IFERROR(__xludf.DUMMYFUNCTION("""COMPUTED_VALUE"""),"Blue 1")</f>
        <v>Blue 1</v>
      </c>
      <c r="G1" s="15" t="str">
        <f>IFERROR(__xludf.DUMMYFUNCTION("""COMPUTED_VALUE"""),"Blue 2")</f>
        <v>Blue 2</v>
      </c>
      <c r="H1" s="15" t="str">
        <f>IFERROR(__xludf.DUMMYFUNCTION("""COMPUTED_VALUE"""),"Blue 3")</f>
        <v>Blue 3</v>
      </c>
      <c r="I1" s="15" t="str">
        <f>IFERROR(__xludf.DUMMYFUNCTION("""COMPUTED_VALUE"""),"Red Final")</f>
        <v>Red Final</v>
      </c>
      <c r="J1" s="15" t="str">
        <f>IFERROR(__xludf.DUMMYFUNCTION("""COMPUTED_VALUE"""),"Blue Final")</f>
        <v>Blue Final</v>
      </c>
    </row>
    <row r="2">
      <c r="A2" s="15" t="str">
        <f>IFERROR(__xludf.DUMMYFUNCTION("""COMPUTED_VALUE"""),"Qualification 1")</f>
        <v>Qualification 1</v>
      </c>
      <c r="B2" s="15" t="str">
        <f>IFERROR(__xludf.DUMMYFUNCTION("""COMPUTED_VALUE"""),"Sat 7/16 - 10:26 AM")</f>
        <v>Sat 7/16 - 10:26 AM</v>
      </c>
      <c r="C2" s="15">
        <f>IFERROR(__xludf.DUMMYFUNCTION("""COMPUTED_VALUE"""),3538.0)</f>
        <v>3538</v>
      </c>
      <c r="D2" s="15">
        <f>IFERROR(__xludf.DUMMYFUNCTION("""COMPUTED_VALUE"""),1987.0)</f>
        <v>1987</v>
      </c>
      <c r="E2" s="15">
        <f>IFERROR(__xludf.DUMMYFUNCTION("""COMPUTED_VALUE"""),1339.0)</f>
        <v>1339</v>
      </c>
      <c r="F2" s="15">
        <f>IFERROR(__xludf.DUMMYFUNCTION("""COMPUTED_VALUE"""),2614.0)</f>
        <v>2614</v>
      </c>
      <c r="G2" s="15">
        <f>IFERROR(__xludf.DUMMYFUNCTION("""COMPUTED_VALUE"""),3357.0)</f>
        <v>3357</v>
      </c>
      <c r="H2" s="15">
        <f>IFERROR(__xludf.DUMMYFUNCTION("""COMPUTED_VALUE"""),2539.0)</f>
        <v>2539</v>
      </c>
      <c r="I2" s="15">
        <f>IFERROR(__xludf.DUMMYFUNCTION("""COMPUTED_VALUE"""),110.0)</f>
        <v>110</v>
      </c>
      <c r="J2" s="15">
        <f>IFERROR(__xludf.DUMMYFUNCTION("""COMPUTED_VALUE"""),77.0)</f>
        <v>77</v>
      </c>
    </row>
    <row r="3">
      <c r="A3" s="15" t="str">
        <f>IFERROR(__xludf.DUMMYFUNCTION("""COMPUTED_VALUE"""),"Qualification 2")</f>
        <v>Qualification 2</v>
      </c>
      <c r="B3" s="15" t="str">
        <f>IFERROR(__xludf.DUMMYFUNCTION("""COMPUTED_VALUE"""),"Sat 7/16 - 10:35 AM")</f>
        <v>Sat 7/16 - 10:35 AM</v>
      </c>
      <c r="C3" s="15">
        <f>IFERROR(__xludf.DUMMYFUNCTION("""COMPUTED_VALUE"""),180.0)</f>
        <v>180</v>
      </c>
      <c r="D3" s="15">
        <f>IFERROR(__xludf.DUMMYFUNCTION("""COMPUTED_VALUE"""),67.0)</f>
        <v>67</v>
      </c>
      <c r="E3" s="15">
        <f>IFERROR(__xludf.DUMMYFUNCTION("""COMPUTED_VALUE"""),33.0)</f>
        <v>33</v>
      </c>
      <c r="F3" s="15">
        <f>IFERROR(__xludf.DUMMYFUNCTION("""COMPUTED_VALUE"""),325.0)</f>
        <v>325</v>
      </c>
      <c r="G3" s="15">
        <f>IFERROR(__xludf.DUMMYFUNCTION("""COMPUTED_VALUE"""),4028.0)</f>
        <v>4028</v>
      </c>
      <c r="H3" s="15">
        <f>IFERROR(__xludf.DUMMYFUNCTION("""COMPUTED_VALUE"""),4143.0)</f>
        <v>4143</v>
      </c>
      <c r="I3" s="15">
        <f>IFERROR(__xludf.DUMMYFUNCTION("""COMPUTED_VALUE"""),160.0)</f>
        <v>160</v>
      </c>
      <c r="J3" s="15">
        <f>IFERROR(__xludf.DUMMYFUNCTION("""COMPUTED_VALUE"""),117.0)</f>
        <v>117</v>
      </c>
    </row>
    <row r="4">
      <c r="A4" s="15" t="str">
        <f>IFERROR(__xludf.DUMMYFUNCTION("""COMPUTED_VALUE"""),"Qualification 3")</f>
        <v>Qualification 3</v>
      </c>
      <c r="B4" s="15" t="str">
        <f>IFERROR(__xludf.DUMMYFUNCTION("""COMPUTED_VALUE"""),"Sat 7/16 - 10:43 AM")</f>
        <v>Sat 7/16 - 10:43 AM</v>
      </c>
      <c r="C4" s="15">
        <f>IFERROR(__xludf.DUMMYFUNCTION("""COMPUTED_VALUE"""),4499.0)</f>
        <v>4499</v>
      </c>
      <c r="D4" s="15">
        <f>IFERROR(__xludf.DUMMYFUNCTION("""COMPUTED_VALUE"""),195.0)</f>
        <v>195</v>
      </c>
      <c r="E4" s="15">
        <f>IFERROR(__xludf.DUMMYFUNCTION("""COMPUTED_VALUE"""),624.0)</f>
        <v>624</v>
      </c>
      <c r="F4" s="15">
        <f>IFERROR(__xludf.DUMMYFUNCTION("""COMPUTED_VALUE"""),2468.0)</f>
        <v>2468</v>
      </c>
      <c r="G4" s="15">
        <f>IFERROR(__xludf.DUMMYFUNCTION("""COMPUTED_VALUE"""),5712.0)</f>
        <v>5712</v>
      </c>
      <c r="H4" s="15">
        <f>IFERROR(__xludf.DUMMYFUNCTION("""COMPUTED_VALUE"""),4099.0)</f>
        <v>4099</v>
      </c>
      <c r="I4" s="15">
        <f>IFERROR(__xludf.DUMMYFUNCTION("""COMPUTED_VALUE"""),124.0)</f>
        <v>124</v>
      </c>
      <c r="J4" s="15">
        <f>IFERROR(__xludf.DUMMYFUNCTION("""COMPUTED_VALUE"""),112.0)</f>
        <v>112</v>
      </c>
    </row>
    <row r="5">
      <c r="A5" s="15" t="str">
        <f>IFERROR(__xludf.DUMMYFUNCTION("""COMPUTED_VALUE"""),"Qualification 4")</f>
        <v>Qualification 4</v>
      </c>
      <c r="B5" s="15" t="str">
        <f>IFERROR(__xludf.DUMMYFUNCTION("""COMPUTED_VALUE"""),"Sat 7/16 - 10:57 AM")</f>
        <v>Sat 7/16 - 10:57 AM</v>
      </c>
      <c r="C5" s="15">
        <f>IFERROR(__xludf.DUMMYFUNCTION("""COMPUTED_VALUE"""),4265.0)</f>
        <v>4265</v>
      </c>
      <c r="D5" s="15">
        <f>IFERROR(__xludf.DUMMYFUNCTION("""COMPUTED_VALUE"""),3940.0)</f>
        <v>3940</v>
      </c>
      <c r="E5" s="15">
        <f>IFERROR(__xludf.DUMMYFUNCTION("""COMPUTED_VALUE"""),1732.0)</f>
        <v>1732</v>
      </c>
      <c r="F5" s="15">
        <f>IFERROR(__xludf.DUMMYFUNCTION("""COMPUTED_VALUE"""),3176.0)</f>
        <v>3176</v>
      </c>
      <c r="G5" s="15">
        <f>IFERROR(__xludf.DUMMYFUNCTION("""COMPUTED_VALUE"""),2363.0)</f>
        <v>2363</v>
      </c>
      <c r="H5" s="15">
        <f>IFERROR(__xludf.DUMMYFUNCTION("""COMPUTED_VALUE"""),27.0)</f>
        <v>27</v>
      </c>
      <c r="I5" s="15">
        <f>IFERROR(__xludf.DUMMYFUNCTION("""COMPUTED_VALUE"""),113.0)</f>
        <v>113</v>
      </c>
      <c r="J5" s="15">
        <f>IFERROR(__xludf.DUMMYFUNCTION("""COMPUTED_VALUE"""),104.0)</f>
        <v>104</v>
      </c>
    </row>
    <row r="6">
      <c r="A6" s="15" t="str">
        <f>IFERROR(__xludf.DUMMYFUNCTION("""COMPUTED_VALUE"""),"Qualification 5")</f>
        <v>Qualification 5</v>
      </c>
      <c r="B6" s="15" t="str">
        <f>IFERROR(__xludf.DUMMYFUNCTION("""COMPUTED_VALUE"""),"Sat 7/16 - 11:06 AM")</f>
        <v>Sat 7/16 - 11:06 AM</v>
      </c>
      <c r="C6" s="15">
        <f>IFERROR(__xludf.DUMMYFUNCTION("""COMPUTED_VALUE"""),587.0)</f>
        <v>587</v>
      </c>
      <c r="D6" s="15">
        <f>IFERROR(__xludf.DUMMYFUNCTION("""COMPUTED_VALUE"""),1720.0)</f>
        <v>1720</v>
      </c>
      <c r="E6" s="15">
        <f>IFERROR(__xludf.DUMMYFUNCTION("""COMPUTED_VALUE"""),2767.0)</f>
        <v>2767</v>
      </c>
      <c r="F6" s="15">
        <f>IFERROR(__xludf.DUMMYFUNCTION("""COMPUTED_VALUE"""),1023.0)</f>
        <v>1023</v>
      </c>
      <c r="G6" s="15">
        <f>IFERROR(__xludf.DUMMYFUNCTION("""COMPUTED_VALUE"""),4926.0)</f>
        <v>4926</v>
      </c>
      <c r="H6" s="15">
        <f>IFERROR(__xludf.DUMMYFUNCTION("""COMPUTED_VALUE"""),1730.0)</f>
        <v>1730</v>
      </c>
      <c r="I6" s="15">
        <f>IFERROR(__xludf.DUMMYFUNCTION("""COMPUTED_VALUE"""),104.0)</f>
        <v>104</v>
      </c>
      <c r="J6" s="15">
        <f>IFERROR(__xludf.DUMMYFUNCTION("""COMPUTED_VALUE"""),118.0)</f>
        <v>118</v>
      </c>
    </row>
    <row r="7">
      <c r="A7" s="15" t="str">
        <f>IFERROR(__xludf.DUMMYFUNCTION("""COMPUTED_VALUE"""),"Qualification 6")</f>
        <v>Qualification 6</v>
      </c>
      <c r="B7" s="15" t="str">
        <f>IFERROR(__xludf.DUMMYFUNCTION("""COMPUTED_VALUE"""),"Sat 7/16 - 11:14 AM")</f>
        <v>Sat 7/16 - 11:14 AM</v>
      </c>
      <c r="C7" s="15">
        <f>IFERROR(__xludf.DUMMYFUNCTION("""COMPUTED_VALUE"""),1706.0)</f>
        <v>1706</v>
      </c>
      <c r="D7" s="15">
        <f>IFERROR(__xludf.DUMMYFUNCTION("""COMPUTED_VALUE"""),2056.0)</f>
        <v>2056</v>
      </c>
      <c r="E7" s="15">
        <f>IFERROR(__xludf.DUMMYFUNCTION("""COMPUTED_VALUE"""),5484.0)</f>
        <v>5484</v>
      </c>
      <c r="F7" s="15">
        <f>IFERROR(__xludf.DUMMYFUNCTION("""COMPUTED_VALUE"""),2338.0)</f>
        <v>2338</v>
      </c>
      <c r="G7" s="15">
        <f>IFERROR(__xludf.DUMMYFUNCTION("""COMPUTED_VALUE"""),1533.0)</f>
        <v>1533</v>
      </c>
      <c r="H7" s="15">
        <f>IFERROR(__xludf.DUMMYFUNCTION("""COMPUTED_VALUE"""),7457.0)</f>
        <v>7457</v>
      </c>
      <c r="I7" s="15">
        <f>IFERROR(__xludf.DUMMYFUNCTION("""COMPUTED_VALUE"""),154.0)</f>
        <v>154</v>
      </c>
      <c r="J7" s="15">
        <f>IFERROR(__xludf.DUMMYFUNCTION("""COMPUTED_VALUE"""),84.0)</f>
        <v>84</v>
      </c>
    </row>
    <row r="8">
      <c r="A8" s="15" t="str">
        <f>IFERROR(__xludf.DUMMYFUNCTION("""COMPUTED_VALUE"""),"Qualification 7")</f>
        <v>Qualification 7</v>
      </c>
      <c r="B8" s="15" t="str">
        <f>IFERROR(__xludf.DUMMYFUNCTION("""COMPUTED_VALUE"""),"Sat 7/16 - 11:23 AM")</f>
        <v>Sat 7/16 - 11:23 AM</v>
      </c>
      <c r="C8" s="15">
        <f>IFERROR(__xludf.DUMMYFUNCTION("""COMPUTED_VALUE"""),694.0)</f>
        <v>694</v>
      </c>
      <c r="D8" s="15">
        <f>IFERROR(__xludf.DUMMYFUNCTION("""COMPUTED_VALUE"""),1024.0)</f>
        <v>1024</v>
      </c>
      <c r="E8" s="15">
        <f>IFERROR(__xludf.DUMMYFUNCTION("""COMPUTED_VALUE"""),234.0)</f>
        <v>234</v>
      </c>
      <c r="F8" s="15">
        <f>IFERROR(__xludf.DUMMYFUNCTION("""COMPUTED_VALUE"""),2075.0)</f>
        <v>2075</v>
      </c>
      <c r="G8" s="15">
        <f>IFERROR(__xludf.DUMMYFUNCTION("""COMPUTED_VALUE"""),829.0)</f>
        <v>829</v>
      </c>
      <c r="H8" s="15">
        <f>IFERROR(__xludf.DUMMYFUNCTION("""COMPUTED_VALUE"""),503.0)</f>
        <v>503</v>
      </c>
      <c r="I8" s="15">
        <f>IFERROR(__xludf.DUMMYFUNCTION("""COMPUTED_VALUE"""),99.0)</f>
        <v>99</v>
      </c>
      <c r="J8" s="15">
        <f>IFERROR(__xludf.DUMMYFUNCTION("""COMPUTED_VALUE"""),102.0)</f>
        <v>102</v>
      </c>
    </row>
    <row r="9">
      <c r="A9" s="15" t="str">
        <f>IFERROR(__xludf.DUMMYFUNCTION("""COMPUTED_VALUE"""),"Qualification 8")</f>
        <v>Qualification 8</v>
      </c>
      <c r="B9" s="15" t="str">
        <f>IFERROR(__xludf.DUMMYFUNCTION("""COMPUTED_VALUE"""),"Sat 7/16 - 11:31 AM")</f>
        <v>Sat 7/16 - 11:31 AM</v>
      </c>
      <c r="C9" s="15">
        <f>IFERROR(__xludf.DUMMYFUNCTION("""COMPUTED_VALUE"""),5010.0)</f>
        <v>5010</v>
      </c>
      <c r="D9" s="15">
        <f>IFERROR(__xludf.DUMMYFUNCTION("""COMPUTED_VALUE"""),4635.0)</f>
        <v>4635</v>
      </c>
      <c r="E9" s="15">
        <f>IFERROR(__xludf.DUMMYFUNCTION("""COMPUTED_VALUE"""),3175.0)</f>
        <v>3175</v>
      </c>
      <c r="F9" s="15">
        <f>IFERROR(__xludf.DUMMYFUNCTION("""COMPUTED_VALUE"""),5406.0)</f>
        <v>5406</v>
      </c>
      <c r="G9" s="15">
        <f>IFERROR(__xludf.DUMMYFUNCTION("""COMPUTED_VALUE"""),340.0)</f>
        <v>340</v>
      </c>
      <c r="H9" s="15">
        <f>IFERROR(__xludf.DUMMYFUNCTION("""COMPUTED_VALUE"""),118.0)</f>
        <v>118</v>
      </c>
      <c r="I9" s="15">
        <f>IFERROR(__xludf.DUMMYFUNCTION("""COMPUTED_VALUE"""),122.0)</f>
        <v>122</v>
      </c>
      <c r="J9" s="15">
        <f>IFERROR(__xludf.DUMMYFUNCTION("""COMPUTED_VALUE"""),136.0)</f>
        <v>136</v>
      </c>
    </row>
    <row r="10">
      <c r="A10" s="15" t="str">
        <f>IFERROR(__xludf.DUMMYFUNCTION("""COMPUTED_VALUE"""),"Qualification 9")</f>
        <v>Qualification 9</v>
      </c>
      <c r="B10" s="15" t="str">
        <f>IFERROR(__xludf.DUMMYFUNCTION("""COMPUTED_VALUE"""),"Sat 7/16 - 11:38 AM")</f>
        <v>Sat 7/16 - 11:38 AM</v>
      </c>
      <c r="C10" s="15">
        <f>IFERROR(__xludf.DUMMYFUNCTION("""COMPUTED_VALUE"""),1987.0)</f>
        <v>1987</v>
      </c>
      <c r="D10" s="15">
        <f>IFERROR(__xludf.DUMMYFUNCTION("""COMPUTED_VALUE"""),4099.0)</f>
        <v>4099</v>
      </c>
      <c r="E10" s="15">
        <f>IFERROR(__xludf.DUMMYFUNCTION("""COMPUTED_VALUE"""),2539.0)</f>
        <v>2539</v>
      </c>
      <c r="F10" s="15">
        <f>IFERROR(__xludf.DUMMYFUNCTION("""COMPUTED_VALUE"""),33.0)</f>
        <v>33</v>
      </c>
      <c r="G10" s="15">
        <f>IFERROR(__xludf.DUMMYFUNCTION("""COMPUTED_VALUE"""),4028.0)</f>
        <v>4028</v>
      </c>
      <c r="H10" s="15">
        <f>IFERROR(__xludf.DUMMYFUNCTION("""COMPUTED_VALUE"""),27.0)</f>
        <v>27</v>
      </c>
      <c r="I10" s="15">
        <f>IFERROR(__xludf.DUMMYFUNCTION("""COMPUTED_VALUE"""),108.0)</f>
        <v>108</v>
      </c>
      <c r="J10" s="15">
        <f>IFERROR(__xludf.DUMMYFUNCTION("""COMPUTED_VALUE"""),134.0)</f>
        <v>134</v>
      </c>
    </row>
    <row r="11">
      <c r="A11" s="15" t="str">
        <f>IFERROR(__xludf.DUMMYFUNCTION("""COMPUTED_VALUE"""),"Qualification 10")</f>
        <v>Qualification 10</v>
      </c>
      <c r="B11" s="15" t="str">
        <f>IFERROR(__xludf.DUMMYFUNCTION("""COMPUTED_VALUE"""),"Sat 7/16 - 11:46 AM")</f>
        <v>Sat 7/16 - 11:46 AM</v>
      </c>
      <c r="C11" s="15">
        <f>IFERROR(__xludf.DUMMYFUNCTION("""COMPUTED_VALUE"""),195.0)</f>
        <v>195</v>
      </c>
      <c r="D11" s="15">
        <f>IFERROR(__xludf.DUMMYFUNCTION("""COMPUTED_VALUE"""),325.0)</f>
        <v>325</v>
      </c>
      <c r="E11" s="15">
        <f>IFERROR(__xludf.DUMMYFUNCTION("""COMPUTED_VALUE"""),1339.0)</f>
        <v>1339</v>
      </c>
      <c r="F11" s="15">
        <f>IFERROR(__xludf.DUMMYFUNCTION("""COMPUTED_VALUE"""),1720.0)</f>
        <v>1720</v>
      </c>
      <c r="G11" s="15">
        <f>IFERROR(__xludf.DUMMYFUNCTION("""COMPUTED_VALUE"""),624.0)</f>
        <v>624</v>
      </c>
      <c r="H11" s="15">
        <f>IFERROR(__xludf.DUMMYFUNCTION("""COMPUTED_VALUE"""),4265.0)</f>
        <v>4265</v>
      </c>
      <c r="I11" s="15">
        <f>IFERROR(__xludf.DUMMYFUNCTION("""COMPUTED_VALUE"""),104.0)</f>
        <v>104</v>
      </c>
      <c r="J11" s="15">
        <f>IFERROR(__xludf.DUMMYFUNCTION("""COMPUTED_VALUE"""),85.0)</f>
        <v>85</v>
      </c>
    </row>
    <row r="12">
      <c r="A12" s="15" t="str">
        <f>IFERROR(__xludf.DUMMYFUNCTION("""COMPUTED_VALUE"""),"Qualification 11")</f>
        <v>Qualification 11</v>
      </c>
      <c r="B12" s="15" t="str">
        <f>IFERROR(__xludf.DUMMYFUNCTION("""COMPUTED_VALUE"""),"Sat 7/16 - 11:54 AM")</f>
        <v>Sat 7/16 - 11:54 AM</v>
      </c>
      <c r="C12" s="15">
        <f>IFERROR(__xludf.DUMMYFUNCTION("""COMPUTED_VALUE"""),1533.0)</f>
        <v>1533</v>
      </c>
      <c r="D12" s="15">
        <f>IFERROR(__xludf.DUMMYFUNCTION("""COMPUTED_VALUE"""),4143.0)</f>
        <v>4143</v>
      </c>
      <c r="E12" s="15">
        <f>IFERROR(__xludf.DUMMYFUNCTION("""COMPUTED_VALUE"""),3176.0)</f>
        <v>3176</v>
      </c>
      <c r="F12" s="15">
        <f>IFERROR(__xludf.DUMMYFUNCTION("""COMPUTED_VALUE"""),5712.0)</f>
        <v>5712</v>
      </c>
      <c r="G12" s="15">
        <f>IFERROR(__xludf.DUMMYFUNCTION("""COMPUTED_VALUE"""),4926.0)</f>
        <v>4926</v>
      </c>
      <c r="H12" s="15">
        <f>IFERROR(__xludf.DUMMYFUNCTION("""COMPUTED_VALUE"""),7457.0)</f>
        <v>7457</v>
      </c>
      <c r="I12" s="15">
        <f>IFERROR(__xludf.DUMMYFUNCTION("""COMPUTED_VALUE"""),118.0)</f>
        <v>118</v>
      </c>
      <c r="J12" s="15">
        <f>IFERROR(__xludf.DUMMYFUNCTION("""COMPUTED_VALUE"""),124.0)</f>
        <v>124</v>
      </c>
    </row>
    <row r="13">
      <c r="A13" s="15" t="str">
        <f>IFERROR(__xludf.DUMMYFUNCTION("""COMPUTED_VALUE"""),"Qualification 12")</f>
        <v>Qualification 12</v>
      </c>
      <c r="B13" s="15" t="str">
        <f>IFERROR(__xludf.DUMMYFUNCTION("""COMPUTED_VALUE"""),"Sat 7/16 - 12:01 PM")</f>
        <v>Sat 7/16 - 12:01 PM</v>
      </c>
      <c r="C13" s="15">
        <f>IFERROR(__xludf.DUMMYFUNCTION("""COMPUTED_VALUE"""),4499.0)</f>
        <v>4499</v>
      </c>
      <c r="D13" s="15">
        <f>IFERROR(__xludf.DUMMYFUNCTION("""COMPUTED_VALUE"""),2767.0)</f>
        <v>2767</v>
      </c>
      <c r="E13" s="15">
        <f>IFERROR(__xludf.DUMMYFUNCTION("""COMPUTED_VALUE"""),2468.0)</f>
        <v>2468</v>
      </c>
      <c r="F13" s="15">
        <f>IFERROR(__xludf.DUMMYFUNCTION("""COMPUTED_VALUE"""),5484.0)</f>
        <v>5484</v>
      </c>
      <c r="G13" s="15">
        <f>IFERROR(__xludf.DUMMYFUNCTION("""COMPUTED_VALUE"""),694.0)</f>
        <v>694</v>
      </c>
      <c r="H13" s="15">
        <f>IFERROR(__xludf.DUMMYFUNCTION("""COMPUTED_VALUE"""),829.0)</f>
        <v>829</v>
      </c>
      <c r="I13" s="15">
        <f>IFERROR(__xludf.DUMMYFUNCTION("""COMPUTED_VALUE"""),143.0)</f>
        <v>143</v>
      </c>
      <c r="J13" s="15">
        <f>IFERROR(__xludf.DUMMYFUNCTION("""COMPUTED_VALUE"""),109.0)</f>
        <v>109</v>
      </c>
    </row>
    <row r="14">
      <c r="A14" s="15" t="str">
        <f>IFERROR(__xludf.DUMMYFUNCTION("""COMPUTED_VALUE"""),"Qualification 13")</f>
        <v>Qualification 13</v>
      </c>
      <c r="B14" s="15" t="str">
        <f>IFERROR(__xludf.DUMMYFUNCTION("""COMPUTED_VALUE"""),"Sat 7/16 - 12:09 PM")</f>
        <v>Sat 7/16 - 12:09 PM</v>
      </c>
      <c r="C14" s="15">
        <f>IFERROR(__xludf.DUMMYFUNCTION("""COMPUTED_VALUE"""),118.0)</f>
        <v>118</v>
      </c>
      <c r="D14" s="15">
        <f>IFERROR(__xludf.DUMMYFUNCTION("""COMPUTED_VALUE"""),2075.0)</f>
        <v>2075</v>
      </c>
      <c r="E14" s="15">
        <f>IFERROR(__xludf.DUMMYFUNCTION("""COMPUTED_VALUE"""),3357.0)</f>
        <v>3357</v>
      </c>
      <c r="F14" s="15">
        <f>IFERROR(__xludf.DUMMYFUNCTION("""COMPUTED_VALUE"""),1730.0)</f>
        <v>1730</v>
      </c>
      <c r="G14" s="15">
        <f>IFERROR(__xludf.DUMMYFUNCTION("""COMPUTED_VALUE"""),5406.0)</f>
        <v>5406</v>
      </c>
      <c r="H14" s="15">
        <f>IFERROR(__xludf.DUMMYFUNCTION("""COMPUTED_VALUE"""),67.0)</f>
        <v>67</v>
      </c>
      <c r="I14" s="15">
        <f>IFERROR(__xludf.DUMMYFUNCTION("""COMPUTED_VALUE"""),150.0)</f>
        <v>150</v>
      </c>
      <c r="J14" s="15">
        <f>IFERROR(__xludf.DUMMYFUNCTION("""COMPUTED_VALUE"""),134.0)</f>
        <v>134</v>
      </c>
    </row>
    <row r="15">
      <c r="A15" s="15" t="str">
        <f>IFERROR(__xludf.DUMMYFUNCTION("""COMPUTED_VALUE"""),"Qualification 14")</f>
        <v>Qualification 14</v>
      </c>
      <c r="B15" s="15" t="str">
        <f>IFERROR(__xludf.DUMMYFUNCTION("""COMPUTED_VALUE"""),"Sat 7/16 - 12:15 PM")</f>
        <v>Sat 7/16 - 12:15 PM</v>
      </c>
      <c r="C15" s="15">
        <f>IFERROR(__xludf.DUMMYFUNCTION("""COMPUTED_VALUE"""),4635.0)</f>
        <v>4635</v>
      </c>
      <c r="D15" s="15">
        <f>IFERROR(__xludf.DUMMYFUNCTION("""COMPUTED_VALUE"""),340.0)</f>
        <v>340</v>
      </c>
      <c r="E15" s="15">
        <f>IFERROR(__xludf.DUMMYFUNCTION("""COMPUTED_VALUE"""),234.0)</f>
        <v>234</v>
      </c>
      <c r="F15" s="15">
        <f>IFERROR(__xludf.DUMMYFUNCTION("""COMPUTED_VALUE"""),2614.0)</f>
        <v>2614</v>
      </c>
      <c r="G15" s="15">
        <f>IFERROR(__xludf.DUMMYFUNCTION("""COMPUTED_VALUE"""),2056.0)</f>
        <v>2056</v>
      </c>
      <c r="H15" s="15">
        <f>IFERROR(__xludf.DUMMYFUNCTION("""COMPUTED_VALUE"""),3175.0)</f>
        <v>3175</v>
      </c>
      <c r="I15" s="15">
        <f>IFERROR(__xludf.DUMMYFUNCTION("""COMPUTED_VALUE"""),112.0)</f>
        <v>112</v>
      </c>
      <c r="J15" s="15">
        <f>IFERROR(__xludf.DUMMYFUNCTION("""COMPUTED_VALUE"""),129.0)</f>
        <v>129</v>
      </c>
    </row>
    <row r="16">
      <c r="A16" s="15" t="str">
        <f>IFERROR(__xludf.DUMMYFUNCTION("""COMPUTED_VALUE"""),"Qualification 15")</f>
        <v>Qualification 15</v>
      </c>
      <c r="B16" s="15" t="str">
        <f>IFERROR(__xludf.DUMMYFUNCTION("""COMPUTED_VALUE"""),"Sat 7/16 - 12:22 PM")</f>
        <v>Sat 7/16 - 12:22 PM</v>
      </c>
      <c r="C16" s="15">
        <f>IFERROR(__xludf.DUMMYFUNCTION("""COMPUTED_VALUE"""),3940.0)</f>
        <v>3940</v>
      </c>
      <c r="D16" s="15">
        <f>IFERROR(__xludf.DUMMYFUNCTION("""COMPUTED_VALUE"""),2363.0)</f>
        <v>2363</v>
      </c>
      <c r="E16" s="15">
        <f>IFERROR(__xludf.DUMMYFUNCTION("""COMPUTED_VALUE"""),1706.0)</f>
        <v>1706</v>
      </c>
      <c r="F16" s="15">
        <f>IFERROR(__xludf.DUMMYFUNCTION("""COMPUTED_VALUE"""),3538.0)</f>
        <v>3538</v>
      </c>
      <c r="G16" s="15">
        <f>IFERROR(__xludf.DUMMYFUNCTION("""COMPUTED_VALUE"""),1023.0)</f>
        <v>1023</v>
      </c>
      <c r="H16" s="15">
        <f>IFERROR(__xludf.DUMMYFUNCTION("""COMPUTED_VALUE"""),180.0)</f>
        <v>180</v>
      </c>
      <c r="I16" s="15">
        <f>IFERROR(__xludf.DUMMYFUNCTION("""COMPUTED_VALUE"""),125.0)</f>
        <v>125</v>
      </c>
      <c r="J16" s="15">
        <f>IFERROR(__xludf.DUMMYFUNCTION("""COMPUTED_VALUE"""),185.0)</f>
        <v>185</v>
      </c>
    </row>
    <row r="17">
      <c r="A17" s="15" t="str">
        <f>IFERROR(__xludf.DUMMYFUNCTION("""COMPUTED_VALUE"""),"Qualification 16")</f>
        <v>Qualification 16</v>
      </c>
      <c r="B17" s="15" t="str">
        <f>IFERROR(__xludf.DUMMYFUNCTION("""COMPUTED_VALUE"""),"Sat 7/16 - 12:29 PM")</f>
        <v>Sat 7/16 - 12:29 PM</v>
      </c>
      <c r="C17" s="15">
        <f>IFERROR(__xludf.DUMMYFUNCTION("""COMPUTED_VALUE"""),1024.0)</f>
        <v>1024</v>
      </c>
      <c r="D17" s="15">
        <f>IFERROR(__xludf.DUMMYFUNCTION("""COMPUTED_VALUE"""),587.0)</f>
        <v>587</v>
      </c>
      <c r="E17" s="15">
        <f>IFERROR(__xludf.DUMMYFUNCTION("""COMPUTED_VALUE"""),503.0)</f>
        <v>503</v>
      </c>
      <c r="F17" s="15">
        <f>IFERROR(__xludf.DUMMYFUNCTION("""COMPUTED_VALUE"""),1732.0)</f>
        <v>1732</v>
      </c>
      <c r="G17" s="15">
        <f>IFERROR(__xludf.DUMMYFUNCTION("""COMPUTED_VALUE"""),5010.0)</f>
        <v>5010</v>
      </c>
      <c r="H17" s="15">
        <f>IFERROR(__xludf.DUMMYFUNCTION("""COMPUTED_VALUE"""),2338.0)</f>
        <v>2338</v>
      </c>
      <c r="I17" s="15">
        <f>IFERROR(__xludf.DUMMYFUNCTION("""COMPUTED_VALUE"""),107.0)</f>
        <v>107</v>
      </c>
      <c r="J17" s="15">
        <f>IFERROR(__xludf.DUMMYFUNCTION("""COMPUTED_VALUE"""),103.0)</f>
        <v>103</v>
      </c>
    </row>
    <row r="18">
      <c r="A18" s="15" t="str">
        <f>IFERROR(__xludf.DUMMYFUNCTION("""COMPUTED_VALUE"""),"Qualification 17")</f>
        <v>Qualification 17</v>
      </c>
      <c r="B18" s="15" t="str">
        <f>IFERROR(__xludf.DUMMYFUNCTION("""COMPUTED_VALUE"""),"Sat 7/16 - 12:36 PM")</f>
        <v>Sat 7/16 - 12:36 PM</v>
      </c>
      <c r="C18" s="15">
        <f>IFERROR(__xludf.DUMMYFUNCTION("""COMPUTED_VALUE"""),4265.0)</f>
        <v>4265</v>
      </c>
      <c r="D18" s="15">
        <f>IFERROR(__xludf.DUMMYFUNCTION("""COMPUTED_VALUE"""),1533.0)</f>
        <v>1533</v>
      </c>
      <c r="E18" s="15">
        <f>IFERROR(__xludf.DUMMYFUNCTION("""COMPUTED_VALUE"""),4028.0)</f>
        <v>4028</v>
      </c>
      <c r="F18" s="15">
        <f>IFERROR(__xludf.DUMMYFUNCTION("""COMPUTED_VALUE"""),2539.0)</f>
        <v>2539</v>
      </c>
      <c r="G18" s="15">
        <f>IFERROR(__xludf.DUMMYFUNCTION("""COMPUTED_VALUE"""),4143.0)</f>
        <v>4143</v>
      </c>
      <c r="H18" s="15">
        <f>IFERROR(__xludf.DUMMYFUNCTION("""COMPUTED_VALUE"""),2468.0)</f>
        <v>2468</v>
      </c>
      <c r="I18" s="15">
        <f>IFERROR(__xludf.DUMMYFUNCTION("""COMPUTED_VALUE"""),130.0)</f>
        <v>130</v>
      </c>
      <c r="J18" s="15">
        <f>IFERROR(__xludf.DUMMYFUNCTION("""COMPUTED_VALUE"""),144.0)</f>
        <v>144</v>
      </c>
    </row>
    <row r="19">
      <c r="A19" s="15" t="str">
        <f>IFERROR(__xludf.DUMMYFUNCTION("""COMPUTED_VALUE"""),"Qualification 18")</f>
        <v>Qualification 18</v>
      </c>
      <c r="B19" s="15" t="str">
        <f>IFERROR(__xludf.DUMMYFUNCTION("""COMPUTED_VALUE"""),"Sat 7/16 - 12:43 PM")</f>
        <v>Sat 7/16 - 12:43 PM</v>
      </c>
      <c r="C19" s="15">
        <f>IFERROR(__xludf.DUMMYFUNCTION("""COMPUTED_VALUE"""),27.0)</f>
        <v>27</v>
      </c>
      <c r="D19" s="15">
        <f>IFERROR(__xludf.DUMMYFUNCTION("""COMPUTED_VALUE"""),5484.0)</f>
        <v>5484</v>
      </c>
      <c r="E19" s="15">
        <f>IFERROR(__xludf.DUMMYFUNCTION("""COMPUTED_VALUE"""),2075.0)</f>
        <v>2075</v>
      </c>
      <c r="F19" s="15">
        <f>IFERROR(__xludf.DUMMYFUNCTION("""COMPUTED_VALUE"""),3357.0)</f>
        <v>3357</v>
      </c>
      <c r="G19" s="15">
        <f>IFERROR(__xludf.DUMMYFUNCTION("""COMPUTED_VALUE"""),1339.0)</f>
        <v>1339</v>
      </c>
      <c r="H19" s="15">
        <f>IFERROR(__xludf.DUMMYFUNCTION("""COMPUTED_VALUE"""),5712.0)</f>
        <v>5712</v>
      </c>
      <c r="I19" s="15">
        <f>IFERROR(__xludf.DUMMYFUNCTION("""COMPUTED_VALUE"""),132.0)</f>
        <v>132</v>
      </c>
      <c r="J19" s="15">
        <f>IFERROR(__xludf.DUMMYFUNCTION("""COMPUTED_VALUE"""),97.0)</f>
        <v>97</v>
      </c>
    </row>
    <row r="20">
      <c r="A20" s="15" t="str">
        <f>IFERROR(__xludf.DUMMYFUNCTION("""COMPUTED_VALUE"""),"Qualification 19")</f>
        <v>Qualification 19</v>
      </c>
      <c r="B20" s="15" t="str">
        <f>IFERROR(__xludf.DUMMYFUNCTION("""COMPUTED_VALUE"""),"Sat 7/16 - 12:50 PM")</f>
        <v>Sat 7/16 - 12:50 PM</v>
      </c>
      <c r="C20" s="15">
        <f>IFERROR(__xludf.DUMMYFUNCTION("""COMPUTED_VALUE"""),5406.0)</f>
        <v>5406</v>
      </c>
      <c r="D20" s="15">
        <f>IFERROR(__xludf.DUMMYFUNCTION("""COMPUTED_VALUE"""),325.0)</f>
        <v>325</v>
      </c>
      <c r="E20" s="15">
        <f>IFERROR(__xludf.DUMMYFUNCTION("""COMPUTED_VALUE"""),1987.0)</f>
        <v>1987</v>
      </c>
      <c r="F20" s="15">
        <f>IFERROR(__xludf.DUMMYFUNCTION("""COMPUTED_VALUE"""),2056.0)</f>
        <v>2056</v>
      </c>
      <c r="G20" s="15">
        <f>IFERROR(__xludf.DUMMYFUNCTION("""COMPUTED_VALUE"""),195.0)</f>
        <v>195</v>
      </c>
      <c r="H20" s="15">
        <f>IFERROR(__xludf.DUMMYFUNCTION("""COMPUTED_VALUE"""),1730.0)</f>
        <v>1730</v>
      </c>
      <c r="I20" s="15">
        <f>IFERROR(__xludf.DUMMYFUNCTION("""COMPUTED_VALUE"""),114.0)</f>
        <v>114</v>
      </c>
      <c r="J20" s="15">
        <f>IFERROR(__xludf.DUMMYFUNCTION("""COMPUTED_VALUE"""),124.0)</f>
        <v>124</v>
      </c>
    </row>
    <row r="21">
      <c r="A21" s="15" t="str">
        <f>IFERROR(__xludf.DUMMYFUNCTION("""COMPUTED_VALUE"""),"Qualification 20")</f>
        <v>Qualification 20</v>
      </c>
      <c r="B21" s="15" t="str">
        <f>IFERROR(__xludf.DUMMYFUNCTION("""COMPUTED_VALUE"""),"Sat 7/16 - 12:58 PM")</f>
        <v>Sat 7/16 - 12:58 PM</v>
      </c>
      <c r="C21" s="15">
        <f>IFERROR(__xludf.DUMMYFUNCTION("""COMPUTED_VALUE"""),118.0)</f>
        <v>118</v>
      </c>
      <c r="D21" s="15">
        <f>IFERROR(__xludf.DUMMYFUNCTION("""COMPUTED_VALUE"""),1023.0)</f>
        <v>1023</v>
      </c>
      <c r="E21" s="15">
        <f>IFERROR(__xludf.DUMMYFUNCTION("""COMPUTED_VALUE"""),33.0)</f>
        <v>33</v>
      </c>
      <c r="F21" s="15">
        <f>IFERROR(__xludf.DUMMYFUNCTION("""COMPUTED_VALUE"""),4926.0)</f>
        <v>4926</v>
      </c>
      <c r="G21" s="15">
        <f>IFERROR(__xludf.DUMMYFUNCTION("""COMPUTED_VALUE"""),2614.0)</f>
        <v>2614</v>
      </c>
      <c r="H21" s="15">
        <f>IFERROR(__xludf.DUMMYFUNCTION("""COMPUTED_VALUE"""),829.0)</f>
        <v>829</v>
      </c>
      <c r="I21" s="15">
        <f>IFERROR(__xludf.DUMMYFUNCTION("""COMPUTED_VALUE"""),170.0)</f>
        <v>170</v>
      </c>
      <c r="J21" s="15">
        <f>IFERROR(__xludf.DUMMYFUNCTION("""COMPUTED_VALUE"""),102.0)</f>
        <v>102</v>
      </c>
    </row>
    <row r="22">
      <c r="A22" s="15" t="str">
        <f>IFERROR(__xludf.DUMMYFUNCTION("""COMPUTED_VALUE"""),"Qualification 21")</f>
        <v>Qualification 21</v>
      </c>
      <c r="B22" s="15" t="str">
        <f>IFERROR(__xludf.DUMMYFUNCTION("""COMPUTED_VALUE"""),"Sat 7/16 - 1:05 PM")</f>
        <v>Sat 7/16 - 1:05 PM</v>
      </c>
      <c r="C22" s="15">
        <f>IFERROR(__xludf.DUMMYFUNCTION("""COMPUTED_VALUE"""),67.0)</f>
        <v>67</v>
      </c>
      <c r="D22" s="15">
        <f>IFERROR(__xludf.DUMMYFUNCTION("""COMPUTED_VALUE"""),3940.0)</f>
        <v>3940</v>
      </c>
      <c r="E22" s="15">
        <f>IFERROR(__xludf.DUMMYFUNCTION("""COMPUTED_VALUE"""),7457.0)</f>
        <v>7457</v>
      </c>
      <c r="F22" s="15">
        <f>IFERROR(__xludf.DUMMYFUNCTION("""COMPUTED_VALUE"""),3175.0)</f>
        <v>3175</v>
      </c>
      <c r="G22" s="15">
        <f>IFERROR(__xludf.DUMMYFUNCTION("""COMPUTED_VALUE"""),2767.0)</f>
        <v>2767</v>
      </c>
      <c r="H22" s="15">
        <f>IFERROR(__xludf.DUMMYFUNCTION("""COMPUTED_VALUE"""),1024.0)</f>
        <v>1024</v>
      </c>
      <c r="I22" s="15">
        <f>IFERROR(__xludf.DUMMYFUNCTION("""COMPUTED_VALUE"""),102.0)</f>
        <v>102</v>
      </c>
      <c r="J22" s="15">
        <f>IFERROR(__xludf.DUMMYFUNCTION("""COMPUTED_VALUE"""),109.0)</f>
        <v>109</v>
      </c>
    </row>
    <row r="23">
      <c r="A23" s="15" t="str">
        <f>IFERROR(__xludf.DUMMYFUNCTION("""COMPUTED_VALUE"""),"Qualification 22")</f>
        <v>Qualification 22</v>
      </c>
      <c r="B23" s="15" t="str">
        <f>IFERROR(__xludf.DUMMYFUNCTION("""COMPUTED_VALUE"""),"Sat 7/16 - 1:12 PM")</f>
        <v>Sat 7/16 - 1:12 PM</v>
      </c>
      <c r="C23" s="15">
        <f>IFERROR(__xludf.DUMMYFUNCTION("""COMPUTED_VALUE"""),1706.0)</f>
        <v>1706</v>
      </c>
      <c r="D23" s="15">
        <f>IFERROR(__xludf.DUMMYFUNCTION("""COMPUTED_VALUE"""),4499.0)</f>
        <v>4499</v>
      </c>
      <c r="E23" s="15">
        <f>IFERROR(__xludf.DUMMYFUNCTION("""COMPUTED_VALUE"""),587.0)</f>
        <v>587</v>
      </c>
      <c r="F23" s="15">
        <f>IFERROR(__xludf.DUMMYFUNCTION("""COMPUTED_VALUE"""),340.0)</f>
        <v>340</v>
      </c>
      <c r="G23" s="15">
        <f>IFERROR(__xludf.DUMMYFUNCTION("""COMPUTED_VALUE"""),1720.0)</f>
        <v>1720</v>
      </c>
      <c r="H23" s="15">
        <f>IFERROR(__xludf.DUMMYFUNCTION("""COMPUTED_VALUE"""),2363.0)</f>
        <v>2363</v>
      </c>
      <c r="I23" s="15">
        <f>IFERROR(__xludf.DUMMYFUNCTION("""COMPUTED_VALUE"""),149.0)</f>
        <v>149</v>
      </c>
      <c r="J23" s="15">
        <f>IFERROR(__xludf.DUMMYFUNCTION("""COMPUTED_VALUE"""),72.0)</f>
        <v>72</v>
      </c>
    </row>
    <row r="24">
      <c r="A24" s="15" t="str">
        <f>IFERROR(__xludf.DUMMYFUNCTION("""COMPUTED_VALUE"""),"Qualification 23")</f>
        <v>Qualification 23</v>
      </c>
      <c r="B24" s="15" t="str">
        <f>IFERROR(__xludf.DUMMYFUNCTION("""COMPUTED_VALUE"""),"Sat 7/16 - 1:39 PM")</f>
        <v>Sat 7/16 - 1:39 PM</v>
      </c>
      <c r="C24" s="15">
        <f>IFERROR(__xludf.DUMMYFUNCTION("""COMPUTED_VALUE"""),503.0)</f>
        <v>503</v>
      </c>
      <c r="D24" s="15">
        <f>IFERROR(__xludf.DUMMYFUNCTION("""COMPUTED_VALUE"""),234.0)</f>
        <v>234</v>
      </c>
      <c r="E24" s="15">
        <f>IFERROR(__xludf.DUMMYFUNCTION("""COMPUTED_VALUE"""),1732.0)</f>
        <v>1732</v>
      </c>
      <c r="F24" s="15">
        <f>IFERROR(__xludf.DUMMYFUNCTION("""COMPUTED_VALUE"""),4099.0)</f>
        <v>4099</v>
      </c>
      <c r="G24" s="15">
        <f>IFERROR(__xludf.DUMMYFUNCTION("""COMPUTED_VALUE"""),3538.0)</f>
        <v>3538</v>
      </c>
      <c r="H24" s="15">
        <f>IFERROR(__xludf.DUMMYFUNCTION("""COMPUTED_VALUE"""),4635.0)</f>
        <v>4635</v>
      </c>
      <c r="I24" s="15">
        <f>IFERROR(__xludf.DUMMYFUNCTION("""COMPUTED_VALUE"""),86.0)</f>
        <v>86</v>
      </c>
      <c r="J24" s="15">
        <f>IFERROR(__xludf.DUMMYFUNCTION("""COMPUTED_VALUE"""),120.0)</f>
        <v>120</v>
      </c>
    </row>
    <row r="25">
      <c r="A25" s="15" t="str">
        <f>IFERROR(__xludf.DUMMYFUNCTION("""COMPUTED_VALUE"""),"Qualification 24")</f>
        <v>Qualification 24</v>
      </c>
      <c r="B25" s="15" t="str">
        <f>IFERROR(__xludf.DUMMYFUNCTION("""COMPUTED_VALUE"""),"Sat 7/16 - 1:46 PM")</f>
        <v>Sat 7/16 - 1:46 PM</v>
      </c>
      <c r="C25" s="15">
        <f>IFERROR(__xludf.DUMMYFUNCTION("""COMPUTED_VALUE"""),3176.0)</f>
        <v>3176</v>
      </c>
      <c r="D25" s="15">
        <f>IFERROR(__xludf.DUMMYFUNCTION("""COMPUTED_VALUE"""),694.0)</f>
        <v>694</v>
      </c>
      <c r="E25" s="15">
        <f>IFERROR(__xludf.DUMMYFUNCTION("""COMPUTED_VALUE"""),2338.0)</f>
        <v>2338</v>
      </c>
      <c r="F25" s="15">
        <f>IFERROR(__xludf.DUMMYFUNCTION("""COMPUTED_VALUE"""),5010.0)</f>
        <v>5010</v>
      </c>
      <c r="G25" s="15">
        <f>IFERROR(__xludf.DUMMYFUNCTION("""COMPUTED_VALUE"""),180.0)</f>
        <v>180</v>
      </c>
      <c r="H25" s="15">
        <f>IFERROR(__xludf.DUMMYFUNCTION("""COMPUTED_VALUE"""),624.0)</f>
        <v>624</v>
      </c>
      <c r="I25" s="15">
        <f>IFERROR(__xludf.DUMMYFUNCTION("""COMPUTED_VALUE"""),102.0)</f>
        <v>102</v>
      </c>
      <c r="J25" s="15">
        <f>IFERROR(__xludf.DUMMYFUNCTION("""COMPUTED_VALUE"""),77.0)</f>
        <v>77</v>
      </c>
    </row>
    <row r="26">
      <c r="A26" s="15" t="str">
        <f>IFERROR(__xludf.DUMMYFUNCTION("""COMPUTED_VALUE"""),"Qualification 25")</f>
        <v>Qualification 25</v>
      </c>
      <c r="B26" s="15" t="str">
        <f>IFERROR(__xludf.DUMMYFUNCTION("""COMPUTED_VALUE"""),"Sat 7/16 - 1:53 PM")</f>
        <v>Sat 7/16 - 1:53 PM</v>
      </c>
      <c r="C26" s="15">
        <f>IFERROR(__xludf.DUMMYFUNCTION("""COMPUTED_VALUE"""),27.0)</f>
        <v>27</v>
      </c>
      <c r="D26" s="15">
        <f>IFERROR(__xludf.DUMMYFUNCTION("""COMPUTED_VALUE"""),2539.0)</f>
        <v>2539</v>
      </c>
      <c r="E26" s="15">
        <f>IFERROR(__xludf.DUMMYFUNCTION("""COMPUTED_VALUE"""),5406.0)</f>
        <v>5406</v>
      </c>
      <c r="F26" s="15">
        <f>IFERROR(__xludf.DUMMYFUNCTION("""COMPUTED_VALUE"""),325.0)</f>
        <v>325</v>
      </c>
      <c r="G26" s="15">
        <f>IFERROR(__xludf.DUMMYFUNCTION("""COMPUTED_VALUE"""),2468.0)</f>
        <v>2468</v>
      </c>
      <c r="H26" s="15">
        <f>IFERROR(__xludf.DUMMYFUNCTION("""COMPUTED_VALUE"""),1023.0)</f>
        <v>1023</v>
      </c>
      <c r="I26" s="15">
        <f>IFERROR(__xludf.DUMMYFUNCTION("""COMPUTED_VALUE"""),123.0)</f>
        <v>123</v>
      </c>
      <c r="J26" s="15">
        <f>IFERROR(__xludf.DUMMYFUNCTION("""COMPUTED_VALUE"""),91.0)</f>
        <v>91</v>
      </c>
    </row>
    <row r="27">
      <c r="A27" s="15" t="str">
        <f>IFERROR(__xludf.DUMMYFUNCTION("""COMPUTED_VALUE"""),"Qualification 26")</f>
        <v>Qualification 26</v>
      </c>
      <c r="B27" s="15" t="str">
        <f>IFERROR(__xludf.DUMMYFUNCTION("""COMPUTED_VALUE"""),"Sat 7/16 - 2:02 PM")</f>
        <v>Sat 7/16 - 2:02 PM</v>
      </c>
      <c r="C27" s="15">
        <f>IFERROR(__xludf.DUMMYFUNCTION("""COMPUTED_VALUE"""),2767.0)</f>
        <v>2767</v>
      </c>
      <c r="D27" s="15">
        <f>IFERROR(__xludf.DUMMYFUNCTION("""COMPUTED_VALUE"""),4926.0)</f>
        <v>4926</v>
      </c>
      <c r="E27" s="15">
        <f>IFERROR(__xludf.DUMMYFUNCTION("""COMPUTED_VALUE"""),1533.0)</f>
        <v>1533</v>
      </c>
      <c r="F27" s="15">
        <f>IFERROR(__xludf.DUMMYFUNCTION("""COMPUTED_VALUE"""),1987.0)</f>
        <v>1987</v>
      </c>
      <c r="G27" s="15">
        <f>IFERROR(__xludf.DUMMYFUNCTION("""COMPUTED_VALUE"""),2075.0)</f>
        <v>2075</v>
      </c>
      <c r="H27" s="15">
        <f>IFERROR(__xludf.DUMMYFUNCTION("""COMPUTED_VALUE"""),3175.0)</f>
        <v>3175</v>
      </c>
      <c r="I27" s="15">
        <f>IFERROR(__xludf.DUMMYFUNCTION("""COMPUTED_VALUE"""),130.0)</f>
        <v>130</v>
      </c>
      <c r="J27" s="15">
        <f>IFERROR(__xludf.DUMMYFUNCTION("""COMPUTED_VALUE"""),108.0)</f>
        <v>108</v>
      </c>
    </row>
    <row r="28">
      <c r="A28" s="15" t="str">
        <f>IFERROR(__xludf.DUMMYFUNCTION("""COMPUTED_VALUE"""),"Qualification 27")</f>
        <v>Qualification 27</v>
      </c>
      <c r="B28" s="15" t="str">
        <f>IFERROR(__xludf.DUMMYFUNCTION("""COMPUTED_VALUE"""),"Sat 7/16 - 2:10 PM")</f>
        <v>Sat 7/16 - 2:10 PM</v>
      </c>
      <c r="C28" s="15">
        <f>IFERROR(__xludf.DUMMYFUNCTION("""COMPUTED_VALUE"""),118.0)</f>
        <v>118</v>
      </c>
      <c r="D28" s="15">
        <f>IFERROR(__xludf.DUMMYFUNCTION("""COMPUTED_VALUE"""),5712.0)</f>
        <v>5712</v>
      </c>
      <c r="E28" s="15">
        <f>IFERROR(__xludf.DUMMYFUNCTION("""COMPUTED_VALUE"""),4028.0)</f>
        <v>4028</v>
      </c>
      <c r="F28" s="15">
        <f>IFERROR(__xludf.DUMMYFUNCTION("""COMPUTED_VALUE"""),1339.0)</f>
        <v>1339</v>
      </c>
      <c r="G28" s="15">
        <f>IFERROR(__xludf.DUMMYFUNCTION("""COMPUTED_VALUE"""),1024.0)</f>
        <v>1024</v>
      </c>
      <c r="H28" s="15">
        <f>IFERROR(__xludf.DUMMYFUNCTION("""COMPUTED_VALUE"""),2363.0)</f>
        <v>2363</v>
      </c>
      <c r="I28" s="15">
        <f>IFERROR(__xludf.DUMMYFUNCTION("""COMPUTED_VALUE"""),133.0)</f>
        <v>133</v>
      </c>
      <c r="J28" s="15">
        <f>IFERROR(__xludf.DUMMYFUNCTION("""COMPUTED_VALUE"""),139.0)</f>
        <v>139</v>
      </c>
    </row>
    <row r="29">
      <c r="A29" s="15" t="str">
        <f>IFERROR(__xludf.DUMMYFUNCTION("""COMPUTED_VALUE"""),"Qualification 28")</f>
        <v>Qualification 28</v>
      </c>
      <c r="B29" s="15" t="str">
        <f>IFERROR(__xludf.DUMMYFUNCTION("""COMPUTED_VALUE"""),"Sat 7/16 - 2:18 PM")</f>
        <v>Sat 7/16 - 2:18 PM</v>
      </c>
      <c r="C29" s="15">
        <f>IFERROR(__xludf.DUMMYFUNCTION("""COMPUTED_VALUE"""),829.0)</f>
        <v>829</v>
      </c>
      <c r="D29" s="15">
        <f>IFERROR(__xludf.DUMMYFUNCTION("""COMPUTED_VALUE"""),2056.0)</f>
        <v>2056</v>
      </c>
      <c r="E29" s="15">
        <f>IFERROR(__xludf.DUMMYFUNCTION("""COMPUTED_VALUE"""),4143.0)</f>
        <v>4143</v>
      </c>
      <c r="F29" s="15">
        <f>IFERROR(__xludf.DUMMYFUNCTION("""COMPUTED_VALUE"""),4099.0)</f>
        <v>4099</v>
      </c>
      <c r="G29" s="15">
        <f>IFERROR(__xludf.DUMMYFUNCTION("""COMPUTED_VALUE"""),1732.0)</f>
        <v>1732</v>
      </c>
      <c r="H29" s="15">
        <f>IFERROR(__xludf.DUMMYFUNCTION("""COMPUTED_VALUE"""),1706.0)</f>
        <v>1706</v>
      </c>
      <c r="I29" s="15">
        <f>IFERROR(__xludf.DUMMYFUNCTION("""COMPUTED_VALUE"""),145.0)</f>
        <v>145</v>
      </c>
      <c r="J29" s="15">
        <f>IFERROR(__xludf.DUMMYFUNCTION("""COMPUTED_VALUE"""),123.0)</f>
        <v>123</v>
      </c>
    </row>
    <row r="30">
      <c r="A30" s="15" t="str">
        <f>IFERROR(__xludf.DUMMYFUNCTION("""COMPUTED_VALUE"""),"Qualification 29")</f>
        <v>Qualification 29</v>
      </c>
      <c r="B30" s="15" t="str">
        <f>IFERROR(__xludf.DUMMYFUNCTION("""COMPUTED_VALUE"""),"Sat 7/16 - 2:25 PM")</f>
        <v>Sat 7/16 - 2:25 PM</v>
      </c>
      <c r="C30" s="15">
        <f>IFERROR(__xludf.DUMMYFUNCTION("""COMPUTED_VALUE"""),340.0)</f>
        <v>340</v>
      </c>
      <c r="D30" s="15">
        <f>IFERROR(__xludf.DUMMYFUNCTION("""COMPUTED_VALUE"""),180.0)</f>
        <v>180</v>
      </c>
      <c r="E30" s="15">
        <f>IFERROR(__xludf.DUMMYFUNCTION("""COMPUTED_VALUE"""),2614.0)</f>
        <v>2614</v>
      </c>
      <c r="F30" s="15">
        <f>IFERROR(__xludf.DUMMYFUNCTION("""COMPUTED_VALUE"""),624.0)</f>
        <v>624</v>
      </c>
      <c r="G30" s="15">
        <f>IFERROR(__xludf.DUMMYFUNCTION("""COMPUTED_VALUE"""),5484.0)</f>
        <v>5484</v>
      </c>
      <c r="H30" s="15">
        <f>IFERROR(__xludf.DUMMYFUNCTION("""COMPUTED_VALUE"""),503.0)</f>
        <v>503</v>
      </c>
      <c r="I30" s="15">
        <f>IFERROR(__xludf.DUMMYFUNCTION("""COMPUTED_VALUE"""),149.0)</f>
        <v>149</v>
      </c>
      <c r="J30" s="15">
        <f>IFERROR(__xludf.DUMMYFUNCTION("""COMPUTED_VALUE"""),135.0)</f>
        <v>135</v>
      </c>
    </row>
    <row r="31">
      <c r="A31" s="15" t="str">
        <f>IFERROR(__xludf.DUMMYFUNCTION("""COMPUTED_VALUE"""),"Qualification 30")</f>
        <v>Qualification 30</v>
      </c>
      <c r="B31" s="15" t="str">
        <f>IFERROR(__xludf.DUMMYFUNCTION("""COMPUTED_VALUE"""),"Sat 7/16 - 2:32 PM")</f>
        <v>Sat 7/16 - 2:32 PM</v>
      </c>
      <c r="C31" s="15">
        <f>IFERROR(__xludf.DUMMYFUNCTION("""COMPUTED_VALUE"""),3940.0)</f>
        <v>3940</v>
      </c>
      <c r="D31" s="15">
        <f>IFERROR(__xludf.DUMMYFUNCTION("""COMPUTED_VALUE"""),33.0)</f>
        <v>33</v>
      </c>
      <c r="E31" s="15">
        <f>IFERROR(__xludf.DUMMYFUNCTION("""COMPUTED_VALUE"""),3357.0)</f>
        <v>3357</v>
      </c>
      <c r="F31" s="15">
        <f>IFERROR(__xludf.DUMMYFUNCTION("""COMPUTED_VALUE"""),2338.0)</f>
        <v>2338</v>
      </c>
      <c r="G31" s="15">
        <f>IFERROR(__xludf.DUMMYFUNCTION("""COMPUTED_VALUE"""),1720.0)</f>
        <v>1720</v>
      </c>
      <c r="H31" s="15">
        <f>IFERROR(__xludf.DUMMYFUNCTION("""COMPUTED_VALUE"""),195.0)</f>
        <v>195</v>
      </c>
      <c r="I31" s="15">
        <f>IFERROR(__xludf.DUMMYFUNCTION("""COMPUTED_VALUE"""),133.0)</f>
        <v>133</v>
      </c>
      <c r="J31" s="15">
        <f>IFERROR(__xludf.DUMMYFUNCTION("""COMPUTED_VALUE"""),120.0)</f>
        <v>120</v>
      </c>
    </row>
    <row r="32">
      <c r="A32" s="15" t="str">
        <f>IFERROR(__xludf.DUMMYFUNCTION("""COMPUTED_VALUE"""),"Qualification 31")</f>
        <v>Qualification 31</v>
      </c>
      <c r="B32" s="15" t="str">
        <f>IFERROR(__xludf.DUMMYFUNCTION("""COMPUTED_VALUE"""),"Sat 7/16 - 2:41 PM")</f>
        <v>Sat 7/16 - 2:41 PM</v>
      </c>
      <c r="C32" s="15">
        <f>IFERROR(__xludf.DUMMYFUNCTION("""COMPUTED_VALUE"""),4635.0)</f>
        <v>4635</v>
      </c>
      <c r="D32" s="15">
        <f>IFERROR(__xludf.DUMMYFUNCTION("""COMPUTED_VALUE"""),67.0)</f>
        <v>67</v>
      </c>
      <c r="E32" s="15">
        <f>IFERROR(__xludf.DUMMYFUNCTION("""COMPUTED_VALUE"""),694.0)</f>
        <v>694</v>
      </c>
      <c r="F32" s="15">
        <f>IFERROR(__xludf.DUMMYFUNCTION("""COMPUTED_VALUE"""),587.0)</f>
        <v>587</v>
      </c>
      <c r="G32" s="15">
        <f>IFERROR(__xludf.DUMMYFUNCTION("""COMPUTED_VALUE"""),7457.0)</f>
        <v>7457</v>
      </c>
      <c r="H32" s="15">
        <f>IFERROR(__xludf.DUMMYFUNCTION("""COMPUTED_VALUE"""),4265.0)</f>
        <v>4265</v>
      </c>
      <c r="I32" s="15">
        <f>IFERROR(__xludf.DUMMYFUNCTION("""COMPUTED_VALUE"""),136.0)</f>
        <v>136</v>
      </c>
      <c r="J32" s="15">
        <f>IFERROR(__xludf.DUMMYFUNCTION("""COMPUTED_VALUE"""),135.0)</f>
        <v>135</v>
      </c>
    </row>
    <row r="33">
      <c r="A33" s="15" t="str">
        <f>IFERROR(__xludf.DUMMYFUNCTION("""COMPUTED_VALUE"""),"Qualification 32")</f>
        <v>Qualification 32</v>
      </c>
      <c r="B33" s="15" t="str">
        <f>IFERROR(__xludf.DUMMYFUNCTION("""COMPUTED_VALUE"""),"Sat 7/16 - 2:49 PM")</f>
        <v>Sat 7/16 - 2:49 PM</v>
      </c>
      <c r="C33" s="15">
        <f>IFERROR(__xludf.DUMMYFUNCTION("""COMPUTED_VALUE"""),3176.0)</f>
        <v>3176</v>
      </c>
      <c r="D33" s="15">
        <f>IFERROR(__xludf.DUMMYFUNCTION("""COMPUTED_VALUE"""),5010.0)</f>
        <v>5010</v>
      </c>
      <c r="E33" s="15">
        <f>IFERROR(__xludf.DUMMYFUNCTION("""COMPUTED_VALUE"""),1730.0)</f>
        <v>1730</v>
      </c>
      <c r="F33" s="15">
        <f>IFERROR(__xludf.DUMMYFUNCTION("""COMPUTED_VALUE"""),234.0)</f>
        <v>234</v>
      </c>
      <c r="G33" s="15">
        <f>IFERROR(__xludf.DUMMYFUNCTION("""COMPUTED_VALUE"""),4499.0)</f>
        <v>4499</v>
      </c>
      <c r="H33" s="15">
        <f>IFERROR(__xludf.DUMMYFUNCTION("""COMPUTED_VALUE"""),3538.0)</f>
        <v>3538</v>
      </c>
      <c r="I33" s="15">
        <f>IFERROR(__xludf.DUMMYFUNCTION("""COMPUTED_VALUE"""),91.0)</f>
        <v>91</v>
      </c>
      <c r="J33" s="15">
        <f>IFERROR(__xludf.DUMMYFUNCTION("""COMPUTED_VALUE"""),140.0)</f>
        <v>140</v>
      </c>
    </row>
    <row r="34">
      <c r="A34" s="15" t="str">
        <f>IFERROR(__xludf.DUMMYFUNCTION("""COMPUTED_VALUE"""),"Qualification 33")</f>
        <v>Qualification 33</v>
      </c>
      <c r="B34" s="15" t="str">
        <f>IFERROR(__xludf.DUMMYFUNCTION("""COMPUTED_VALUE"""),"Sat 7/16 - 2:57 PM")</f>
        <v>Sat 7/16 - 2:57 PM</v>
      </c>
      <c r="C34" s="15">
        <f>IFERROR(__xludf.DUMMYFUNCTION("""COMPUTED_VALUE"""),4143.0)</f>
        <v>4143</v>
      </c>
      <c r="D34" s="15">
        <f>IFERROR(__xludf.DUMMYFUNCTION("""COMPUTED_VALUE"""),1732.0)</f>
        <v>1732</v>
      </c>
      <c r="E34" s="15">
        <f>IFERROR(__xludf.DUMMYFUNCTION("""COMPUTED_VALUE"""),1339.0)</f>
        <v>1339</v>
      </c>
      <c r="F34" s="15">
        <f>IFERROR(__xludf.DUMMYFUNCTION("""COMPUTED_VALUE"""),2056.0)</f>
        <v>2056</v>
      </c>
      <c r="G34" s="15">
        <f>IFERROR(__xludf.DUMMYFUNCTION("""COMPUTED_VALUE"""),2767.0)</f>
        <v>2767</v>
      </c>
      <c r="H34" s="15">
        <f>IFERROR(__xludf.DUMMYFUNCTION("""COMPUTED_VALUE"""),325.0)</f>
        <v>325</v>
      </c>
      <c r="I34" s="15">
        <f>IFERROR(__xludf.DUMMYFUNCTION("""COMPUTED_VALUE"""),136.0)</f>
        <v>136</v>
      </c>
      <c r="J34" s="15">
        <f>IFERROR(__xludf.DUMMYFUNCTION("""COMPUTED_VALUE"""),121.0)</f>
        <v>121</v>
      </c>
    </row>
    <row r="35">
      <c r="A35" s="15" t="str">
        <f>IFERROR(__xludf.DUMMYFUNCTION("""COMPUTED_VALUE"""),"Qualification 34")</f>
        <v>Qualification 34</v>
      </c>
      <c r="B35" s="15" t="str">
        <f>IFERROR(__xludf.DUMMYFUNCTION("""COMPUTED_VALUE"""),"Sat 7/16 - 3:04 PM")</f>
        <v>Sat 7/16 - 3:04 PM</v>
      </c>
      <c r="C35" s="15">
        <f>IFERROR(__xludf.DUMMYFUNCTION("""COMPUTED_VALUE"""),624.0)</f>
        <v>624</v>
      </c>
      <c r="D35" s="15">
        <f>IFERROR(__xludf.DUMMYFUNCTION("""COMPUTED_VALUE"""),5406.0)</f>
        <v>5406</v>
      </c>
      <c r="E35" s="15">
        <f>IFERROR(__xludf.DUMMYFUNCTION("""COMPUTED_VALUE"""),4926.0)</f>
        <v>4926</v>
      </c>
      <c r="F35" s="15">
        <f>IFERROR(__xludf.DUMMYFUNCTION("""COMPUTED_VALUE"""),5484.0)</f>
        <v>5484</v>
      </c>
      <c r="G35" s="15">
        <f>IFERROR(__xludf.DUMMYFUNCTION("""COMPUTED_VALUE"""),2363.0)</f>
        <v>2363</v>
      </c>
      <c r="H35" s="15">
        <f>IFERROR(__xludf.DUMMYFUNCTION("""COMPUTED_VALUE"""),180.0)</f>
        <v>180</v>
      </c>
      <c r="I35" s="15">
        <f>IFERROR(__xludf.DUMMYFUNCTION("""COMPUTED_VALUE"""),119.0)</f>
        <v>119</v>
      </c>
      <c r="J35" s="15">
        <f>IFERROR(__xludf.DUMMYFUNCTION("""COMPUTED_VALUE"""),145.0)</f>
        <v>145</v>
      </c>
    </row>
    <row r="36">
      <c r="A36" s="15" t="str">
        <f>IFERROR(__xludf.DUMMYFUNCTION("""COMPUTED_VALUE"""),"Qualification 35")</f>
        <v>Qualification 35</v>
      </c>
      <c r="B36" s="15" t="str">
        <f>IFERROR(__xludf.DUMMYFUNCTION("""COMPUTED_VALUE"""),"Sat 7/16 - 3:12 PM")</f>
        <v>Sat 7/16 - 3:12 PM</v>
      </c>
      <c r="C36" s="15">
        <f>IFERROR(__xludf.DUMMYFUNCTION("""COMPUTED_VALUE"""),1023.0)</f>
        <v>1023</v>
      </c>
      <c r="D36" s="15">
        <f>IFERROR(__xludf.DUMMYFUNCTION("""COMPUTED_VALUE"""),3940.0)</f>
        <v>3940</v>
      </c>
      <c r="E36" s="15">
        <f>IFERROR(__xludf.DUMMYFUNCTION("""COMPUTED_VALUE"""),340.0)</f>
        <v>340</v>
      </c>
      <c r="F36" s="15">
        <f>IFERROR(__xludf.DUMMYFUNCTION("""COMPUTED_VALUE"""),33.0)</f>
        <v>33</v>
      </c>
      <c r="G36" s="15">
        <f>IFERROR(__xludf.DUMMYFUNCTION("""COMPUTED_VALUE"""),1533.0)</f>
        <v>1533</v>
      </c>
      <c r="H36" s="15">
        <f>IFERROR(__xludf.DUMMYFUNCTION("""COMPUTED_VALUE"""),4099.0)</f>
        <v>4099</v>
      </c>
      <c r="I36" s="15">
        <f>IFERROR(__xludf.DUMMYFUNCTION("""COMPUTED_VALUE"""),115.0)</f>
        <v>115</v>
      </c>
      <c r="J36" s="15">
        <f>IFERROR(__xludf.DUMMYFUNCTION("""COMPUTED_VALUE"""),140.0)</f>
        <v>140</v>
      </c>
    </row>
    <row r="37">
      <c r="A37" s="15" t="str">
        <f>IFERROR(__xludf.DUMMYFUNCTION("""COMPUTED_VALUE"""),"Qualification 36")</f>
        <v>Qualification 36</v>
      </c>
      <c r="B37" s="15" t="str">
        <f>IFERROR(__xludf.DUMMYFUNCTION("""COMPUTED_VALUE"""),"Sat 7/16 - 3:19 PM")</f>
        <v>Sat 7/16 - 3:19 PM</v>
      </c>
      <c r="C37" s="15">
        <f>IFERROR(__xludf.DUMMYFUNCTION("""COMPUTED_VALUE"""),694.0)</f>
        <v>694</v>
      </c>
      <c r="D37" s="15">
        <f>IFERROR(__xludf.DUMMYFUNCTION("""COMPUTED_VALUE"""),2468.0)</f>
        <v>2468</v>
      </c>
      <c r="E37" s="15">
        <f>IFERROR(__xludf.DUMMYFUNCTION("""COMPUTED_VALUE"""),118.0)</f>
        <v>118</v>
      </c>
      <c r="F37" s="15">
        <f>IFERROR(__xludf.DUMMYFUNCTION("""COMPUTED_VALUE"""),1987.0)</f>
        <v>1987</v>
      </c>
      <c r="G37" s="15">
        <f>IFERROR(__xludf.DUMMYFUNCTION("""COMPUTED_VALUE"""),7457.0)</f>
        <v>7457</v>
      </c>
      <c r="H37" s="15">
        <f>IFERROR(__xludf.DUMMYFUNCTION("""COMPUTED_VALUE"""),1720.0)</f>
        <v>1720</v>
      </c>
      <c r="I37" s="15">
        <f>IFERROR(__xludf.DUMMYFUNCTION("""COMPUTED_VALUE"""),110.0)</f>
        <v>110</v>
      </c>
      <c r="J37" s="15">
        <f>IFERROR(__xludf.DUMMYFUNCTION("""COMPUTED_VALUE"""),154.0)</f>
        <v>154</v>
      </c>
    </row>
    <row r="38">
      <c r="A38" s="15" t="str">
        <f>IFERROR(__xludf.DUMMYFUNCTION("""COMPUTED_VALUE"""),"Qualification 37")</f>
        <v>Qualification 37</v>
      </c>
      <c r="B38" s="15" t="str">
        <f>IFERROR(__xludf.DUMMYFUNCTION("""COMPUTED_VALUE"""),"Sat 7/16 - 3:25 PM")</f>
        <v>Sat 7/16 - 3:25 PM</v>
      </c>
      <c r="C38" s="15">
        <f>IFERROR(__xludf.DUMMYFUNCTION("""COMPUTED_VALUE"""),234.0)</f>
        <v>234</v>
      </c>
      <c r="D38" s="15">
        <f>IFERROR(__xludf.DUMMYFUNCTION("""COMPUTED_VALUE"""),3176.0)</f>
        <v>3176</v>
      </c>
      <c r="E38" s="15">
        <f>IFERROR(__xludf.DUMMYFUNCTION("""COMPUTED_VALUE"""),2614.0)</f>
        <v>2614</v>
      </c>
      <c r="F38" s="15">
        <f>IFERROR(__xludf.DUMMYFUNCTION("""COMPUTED_VALUE"""),67.0)</f>
        <v>67</v>
      </c>
      <c r="G38" s="15">
        <f>IFERROR(__xludf.DUMMYFUNCTION("""COMPUTED_VALUE"""),587.0)</f>
        <v>587</v>
      </c>
      <c r="H38" s="15">
        <f>IFERROR(__xludf.DUMMYFUNCTION("""COMPUTED_VALUE"""),3357.0)</f>
        <v>3357</v>
      </c>
      <c r="I38" s="15">
        <f>IFERROR(__xludf.DUMMYFUNCTION("""COMPUTED_VALUE"""),43.0)</f>
        <v>43</v>
      </c>
      <c r="J38" s="15">
        <f>IFERROR(__xludf.DUMMYFUNCTION("""COMPUTED_VALUE"""),150.0)</f>
        <v>150</v>
      </c>
    </row>
    <row r="39">
      <c r="A39" s="15" t="str">
        <f>IFERROR(__xludf.DUMMYFUNCTION("""COMPUTED_VALUE"""),"Qualification 38")</f>
        <v>Qualification 38</v>
      </c>
      <c r="B39" s="15" t="str">
        <f>IFERROR(__xludf.DUMMYFUNCTION("""COMPUTED_VALUE"""),"Sat 7/16 - 3:32 PM")</f>
        <v>Sat 7/16 - 3:32 PM</v>
      </c>
      <c r="C39" s="15">
        <f>IFERROR(__xludf.DUMMYFUNCTION("""COMPUTED_VALUE"""),5010.0)</f>
        <v>5010</v>
      </c>
      <c r="D39" s="15">
        <f>IFERROR(__xludf.DUMMYFUNCTION("""COMPUTED_VALUE"""),829.0)</f>
        <v>829</v>
      </c>
      <c r="E39" s="15">
        <f>IFERROR(__xludf.DUMMYFUNCTION("""COMPUTED_VALUE"""),27.0)</f>
        <v>27</v>
      </c>
      <c r="F39" s="15">
        <f>IFERROR(__xludf.DUMMYFUNCTION("""COMPUTED_VALUE"""),4028.0)</f>
        <v>4028</v>
      </c>
      <c r="G39" s="15">
        <f>IFERROR(__xludf.DUMMYFUNCTION("""COMPUTED_VALUE"""),195.0)</f>
        <v>195</v>
      </c>
      <c r="H39" s="15">
        <f>IFERROR(__xludf.DUMMYFUNCTION("""COMPUTED_VALUE"""),4635.0)</f>
        <v>4635</v>
      </c>
      <c r="I39" s="15">
        <f>IFERROR(__xludf.DUMMYFUNCTION("""COMPUTED_VALUE"""),114.0)</f>
        <v>114</v>
      </c>
      <c r="J39" s="15">
        <f>IFERROR(__xludf.DUMMYFUNCTION("""COMPUTED_VALUE"""),145.0)</f>
        <v>145</v>
      </c>
    </row>
    <row r="40">
      <c r="A40" s="15" t="str">
        <f>IFERROR(__xludf.DUMMYFUNCTION("""COMPUTED_VALUE"""),"Qualification 39")</f>
        <v>Qualification 39</v>
      </c>
      <c r="B40" s="15" t="str">
        <f>IFERROR(__xludf.DUMMYFUNCTION("""COMPUTED_VALUE"""),"Sat 7/16 - 3:39 PM")</f>
        <v>Sat 7/16 - 3:39 PM</v>
      </c>
      <c r="C40" s="15">
        <f>IFERROR(__xludf.DUMMYFUNCTION("""COMPUTED_VALUE"""),1706.0)</f>
        <v>1706</v>
      </c>
      <c r="D40" s="15">
        <f>IFERROR(__xludf.DUMMYFUNCTION("""COMPUTED_VALUE"""),3175.0)</f>
        <v>3175</v>
      </c>
      <c r="E40" s="15">
        <f>IFERROR(__xludf.DUMMYFUNCTION("""COMPUTED_VALUE"""),3538.0)</f>
        <v>3538</v>
      </c>
      <c r="F40" s="15">
        <f>IFERROR(__xludf.DUMMYFUNCTION("""COMPUTED_VALUE"""),2075.0)</f>
        <v>2075</v>
      </c>
      <c r="G40" s="15">
        <f>IFERROR(__xludf.DUMMYFUNCTION("""COMPUTED_VALUE"""),4265.0)</f>
        <v>4265</v>
      </c>
      <c r="H40" s="15">
        <f>IFERROR(__xludf.DUMMYFUNCTION("""COMPUTED_VALUE"""),1024.0)</f>
        <v>1024</v>
      </c>
      <c r="I40" s="15">
        <f>IFERROR(__xludf.DUMMYFUNCTION("""COMPUTED_VALUE"""),119.0)</f>
        <v>119</v>
      </c>
      <c r="J40" s="15">
        <f>IFERROR(__xludf.DUMMYFUNCTION("""COMPUTED_VALUE"""),97.0)</f>
        <v>97</v>
      </c>
    </row>
    <row r="41">
      <c r="A41" s="15" t="str">
        <f>IFERROR(__xludf.DUMMYFUNCTION("""COMPUTED_VALUE"""),"Qualification 40")</f>
        <v>Qualification 40</v>
      </c>
      <c r="B41" s="15" t="str">
        <f>IFERROR(__xludf.DUMMYFUNCTION("""COMPUTED_VALUE"""),"Sat 7/16 - 3:48 PM")</f>
        <v>Sat 7/16 - 3:48 PM</v>
      </c>
      <c r="C41" s="15">
        <f>IFERROR(__xludf.DUMMYFUNCTION("""COMPUTED_VALUE"""),5712.0)</f>
        <v>5712</v>
      </c>
      <c r="D41" s="15">
        <f>IFERROR(__xludf.DUMMYFUNCTION("""COMPUTED_VALUE"""),1730.0)</f>
        <v>1730</v>
      </c>
      <c r="E41" s="15">
        <f>IFERROR(__xludf.DUMMYFUNCTION("""COMPUTED_VALUE"""),4499.0)</f>
        <v>4499</v>
      </c>
      <c r="F41" s="15">
        <f>IFERROR(__xludf.DUMMYFUNCTION("""COMPUTED_VALUE"""),2539.0)</f>
        <v>2539</v>
      </c>
      <c r="G41" s="15">
        <f>IFERROR(__xludf.DUMMYFUNCTION("""COMPUTED_VALUE"""),503.0)</f>
        <v>503</v>
      </c>
      <c r="H41" s="15">
        <f>IFERROR(__xludf.DUMMYFUNCTION("""COMPUTED_VALUE"""),2338.0)</f>
        <v>2338</v>
      </c>
      <c r="I41" s="15">
        <f>IFERROR(__xludf.DUMMYFUNCTION("""COMPUTED_VALUE"""),116.0)</f>
        <v>116</v>
      </c>
      <c r="J41" s="15">
        <f>IFERROR(__xludf.DUMMYFUNCTION("""COMPUTED_VALUE"""),109.0)</f>
        <v>109</v>
      </c>
    </row>
    <row r="42">
      <c r="A42" s="15" t="str">
        <f>IFERROR(__xludf.DUMMYFUNCTION("""COMPUTED_VALUE"""),"Qualification 41")</f>
        <v>Qualification 41</v>
      </c>
      <c r="B42" s="15" t="str">
        <f>IFERROR(__xludf.DUMMYFUNCTION("""COMPUTED_VALUE"""),"Sat 7/16 - 3:56 PM")</f>
        <v>Sat 7/16 - 3:56 PM</v>
      </c>
      <c r="C42" s="15">
        <f>IFERROR(__xludf.DUMMYFUNCTION("""COMPUTED_VALUE"""),340.0)</f>
        <v>340</v>
      </c>
      <c r="D42" s="15">
        <f>IFERROR(__xludf.DUMMYFUNCTION("""COMPUTED_VALUE"""),5484.0)</f>
        <v>5484</v>
      </c>
      <c r="E42" s="15">
        <f>IFERROR(__xludf.DUMMYFUNCTION("""COMPUTED_VALUE"""),325.0)</f>
        <v>325</v>
      </c>
      <c r="F42" s="15">
        <f>IFERROR(__xludf.DUMMYFUNCTION("""COMPUTED_VALUE"""),3940.0)</f>
        <v>3940</v>
      </c>
      <c r="G42" s="15">
        <f>IFERROR(__xludf.DUMMYFUNCTION("""COMPUTED_VALUE"""),118.0)</f>
        <v>118</v>
      </c>
      <c r="H42" s="15">
        <f>IFERROR(__xludf.DUMMYFUNCTION("""COMPUTED_VALUE"""),1987.0)</f>
        <v>1987</v>
      </c>
      <c r="I42" s="15">
        <f>IFERROR(__xludf.DUMMYFUNCTION("""COMPUTED_VALUE"""),91.0)</f>
        <v>91</v>
      </c>
      <c r="J42" s="15">
        <f>IFERROR(__xludf.DUMMYFUNCTION("""COMPUTED_VALUE"""),90.0)</f>
        <v>90</v>
      </c>
    </row>
    <row r="43">
      <c r="A43" s="15" t="str">
        <f>IFERROR(__xludf.DUMMYFUNCTION("""COMPUTED_VALUE"""),"Qualification 42")</f>
        <v>Qualification 42</v>
      </c>
      <c r="B43" s="15" t="str">
        <f>IFERROR(__xludf.DUMMYFUNCTION("""COMPUTED_VALUE"""),"Sat 7/16 - 4:03 PM")</f>
        <v>Sat 7/16 - 4:03 PM</v>
      </c>
      <c r="C43" s="15">
        <f>IFERROR(__xludf.DUMMYFUNCTION("""COMPUTED_VALUE"""),694.0)</f>
        <v>694</v>
      </c>
      <c r="D43" s="15">
        <f>IFERROR(__xludf.DUMMYFUNCTION("""COMPUTED_VALUE"""),4099.0)</f>
        <v>4099</v>
      </c>
      <c r="E43" s="15">
        <f>IFERROR(__xludf.DUMMYFUNCTION("""COMPUTED_VALUE"""),4143.0)</f>
        <v>4143</v>
      </c>
      <c r="F43" s="15">
        <f>IFERROR(__xludf.DUMMYFUNCTION("""COMPUTED_VALUE"""),5406.0)</f>
        <v>5406</v>
      </c>
      <c r="G43" s="15">
        <f>IFERROR(__xludf.DUMMYFUNCTION("""COMPUTED_VALUE"""),3357.0)</f>
        <v>3357</v>
      </c>
      <c r="H43" s="15">
        <f>IFERROR(__xludf.DUMMYFUNCTION("""COMPUTED_VALUE"""),1533.0)</f>
        <v>1533</v>
      </c>
      <c r="I43" s="15">
        <f>IFERROR(__xludf.DUMMYFUNCTION("""COMPUTED_VALUE"""),98.0)</f>
        <v>98</v>
      </c>
      <c r="J43" s="15">
        <f>IFERROR(__xludf.DUMMYFUNCTION("""COMPUTED_VALUE"""),115.0)</f>
        <v>115</v>
      </c>
    </row>
    <row r="44">
      <c r="A44" s="15" t="str">
        <f>IFERROR(__xludf.DUMMYFUNCTION("""COMPUTED_VALUE"""),"Qualification 43")</f>
        <v>Qualification 43</v>
      </c>
      <c r="B44" s="15" t="str">
        <f>IFERROR(__xludf.DUMMYFUNCTION("""COMPUTED_VALUE"""),"Sat 7/16 - 4:10 PM")</f>
        <v>Sat 7/16 - 4:10 PM</v>
      </c>
      <c r="C44" s="15">
        <f>IFERROR(__xludf.DUMMYFUNCTION("""COMPUTED_VALUE"""),2468.0)</f>
        <v>2468</v>
      </c>
      <c r="D44" s="15">
        <f>IFERROR(__xludf.DUMMYFUNCTION("""COMPUTED_VALUE"""),180.0)</f>
        <v>180</v>
      </c>
      <c r="E44" s="15">
        <f>IFERROR(__xludf.DUMMYFUNCTION("""COMPUTED_VALUE"""),7457.0)</f>
        <v>7457</v>
      </c>
      <c r="F44" s="15">
        <f>IFERROR(__xludf.DUMMYFUNCTION("""COMPUTED_VALUE"""),1339.0)</f>
        <v>1339</v>
      </c>
      <c r="G44" s="15">
        <f>IFERROR(__xludf.DUMMYFUNCTION("""COMPUTED_VALUE"""),234.0)</f>
        <v>234</v>
      </c>
      <c r="H44" s="15">
        <f>IFERROR(__xludf.DUMMYFUNCTION("""COMPUTED_VALUE"""),1023.0)</f>
        <v>1023</v>
      </c>
      <c r="I44" s="15">
        <f>IFERROR(__xludf.DUMMYFUNCTION("""COMPUTED_VALUE"""),144.0)</f>
        <v>144</v>
      </c>
      <c r="J44" s="15">
        <f>IFERROR(__xludf.DUMMYFUNCTION("""COMPUTED_VALUE"""),128.0)</f>
        <v>128</v>
      </c>
    </row>
    <row r="45">
      <c r="A45" s="15" t="str">
        <f>IFERROR(__xludf.DUMMYFUNCTION("""COMPUTED_VALUE"""),"Qualification 44")</f>
        <v>Qualification 44</v>
      </c>
      <c r="B45" s="15" t="str">
        <f>IFERROR(__xludf.DUMMYFUNCTION("""COMPUTED_VALUE"""),"Sat 7/16 - 4:17 PM")</f>
        <v>Sat 7/16 - 4:17 PM</v>
      </c>
      <c r="C45" s="15">
        <f>IFERROR(__xludf.DUMMYFUNCTION("""COMPUTED_VALUE"""),195.0)</f>
        <v>195</v>
      </c>
      <c r="D45" s="15">
        <f>IFERROR(__xludf.DUMMYFUNCTION("""COMPUTED_VALUE"""),3538.0)</f>
        <v>3538</v>
      </c>
      <c r="E45" s="15">
        <f>IFERROR(__xludf.DUMMYFUNCTION("""COMPUTED_VALUE"""),2075.0)</f>
        <v>2075</v>
      </c>
      <c r="F45" s="15">
        <f>IFERROR(__xludf.DUMMYFUNCTION("""COMPUTED_VALUE"""),2056.0)</f>
        <v>2056</v>
      </c>
      <c r="G45" s="15">
        <f>IFERROR(__xludf.DUMMYFUNCTION("""COMPUTED_VALUE"""),4028.0)</f>
        <v>4028</v>
      </c>
      <c r="H45" s="15">
        <f>IFERROR(__xludf.DUMMYFUNCTION("""COMPUTED_VALUE"""),587.0)</f>
        <v>587</v>
      </c>
      <c r="I45" s="15">
        <f>IFERROR(__xludf.DUMMYFUNCTION("""COMPUTED_VALUE"""),115.0)</f>
        <v>115</v>
      </c>
      <c r="J45" s="15">
        <f>IFERROR(__xludf.DUMMYFUNCTION("""COMPUTED_VALUE"""),160.0)</f>
        <v>160</v>
      </c>
    </row>
    <row r="46">
      <c r="A46" s="15" t="str">
        <f>IFERROR(__xludf.DUMMYFUNCTION("""COMPUTED_VALUE"""),"Qualification 45")</f>
        <v>Qualification 45</v>
      </c>
      <c r="B46" s="15" t="str">
        <f>IFERROR(__xludf.DUMMYFUNCTION("""COMPUTED_VALUE"""),"Sat 7/16 - 4:24 PM")</f>
        <v>Sat 7/16 - 4:24 PM</v>
      </c>
      <c r="C46" s="15">
        <f>IFERROR(__xludf.DUMMYFUNCTION("""COMPUTED_VALUE"""),1024.0)</f>
        <v>1024</v>
      </c>
      <c r="D46" s="15">
        <f>IFERROR(__xludf.DUMMYFUNCTION("""COMPUTED_VALUE"""),1730.0)</f>
        <v>1730</v>
      </c>
      <c r="E46" s="15">
        <f>IFERROR(__xludf.DUMMYFUNCTION("""COMPUTED_VALUE"""),1720.0)</f>
        <v>1720</v>
      </c>
      <c r="F46" s="15">
        <f>IFERROR(__xludf.DUMMYFUNCTION("""COMPUTED_VALUE"""),4635.0)</f>
        <v>4635</v>
      </c>
      <c r="G46" s="15">
        <f>IFERROR(__xludf.DUMMYFUNCTION("""COMPUTED_VALUE"""),27.0)</f>
        <v>27</v>
      </c>
      <c r="H46" s="15">
        <f>IFERROR(__xludf.DUMMYFUNCTION("""COMPUTED_VALUE"""),624.0)</f>
        <v>624</v>
      </c>
      <c r="I46" s="15">
        <f>IFERROR(__xludf.DUMMYFUNCTION("""COMPUTED_VALUE"""),108.0)</f>
        <v>108</v>
      </c>
      <c r="J46" s="15">
        <f>IFERROR(__xludf.DUMMYFUNCTION("""COMPUTED_VALUE"""),146.0)</f>
        <v>146</v>
      </c>
    </row>
    <row r="47">
      <c r="A47" s="15" t="str">
        <f>IFERROR(__xludf.DUMMYFUNCTION("""COMPUTED_VALUE"""),"Qualification 46")</f>
        <v>Qualification 46</v>
      </c>
      <c r="B47" s="15" t="str">
        <f>IFERROR(__xludf.DUMMYFUNCTION("""COMPUTED_VALUE"""),"Sat 7/16 - 4:31 PM")</f>
        <v>Sat 7/16 - 4:31 PM</v>
      </c>
      <c r="C47" s="15">
        <f>IFERROR(__xludf.DUMMYFUNCTION("""COMPUTED_VALUE"""),4926.0)</f>
        <v>4926</v>
      </c>
      <c r="D47" s="15">
        <f>IFERROR(__xludf.DUMMYFUNCTION("""COMPUTED_VALUE"""),67.0)</f>
        <v>67</v>
      </c>
      <c r="E47" s="15">
        <f>IFERROR(__xludf.DUMMYFUNCTION("""COMPUTED_VALUE"""),2338.0)</f>
        <v>2338</v>
      </c>
      <c r="F47" s="15">
        <f>IFERROR(__xludf.DUMMYFUNCTION("""COMPUTED_VALUE"""),4499.0)</f>
        <v>4499</v>
      </c>
      <c r="G47" s="15">
        <f>IFERROR(__xludf.DUMMYFUNCTION("""COMPUTED_VALUE"""),2539.0)</f>
        <v>2539</v>
      </c>
      <c r="H47" s="15">
        <f>IFERROR(__xludf.DUMMYFUNCTION("""COMPUTED_VALUE"""),1732.0)</f>
        <v>1732</v>
      </c>
      <c r="I47" s="15">
        <f>IFERROR(__xludf.DUMMYFUNCTION("""COMPUTED_VALUE"""),98.0)</f>
        <v>98</v>
      </c>
      <c r="J47" s="15">
        <f>IFERROR(__xludf.DUMMYFUNCTION("""COMPUTED_VALUE"""),122.0)</f>
        <v>122</v>
      </c>
    </row>
    <row r="48">
      <c r="A48" s="15" t="str">
        <f>IFERROR(__xludf.DUMMYFUNCTION("""COMPUTED_VALUE"""),"Qualification 47")</f>
        <v>Qualification 47</v>
      </c>
      <c r="B48" s="15" t="str">
        <f>IFERROR(__xludf.DUMMYFUNCTION("""COMPUTED_VALUE"""),"Sat 7/16 - 4:38 PM")</f>
        <v>Sat 7/16 - 4:38 PM</v>
      </c>
      <c r="C48" s="15">
        <f>IFERROR(__xludf.DUMMYFUNCTION("""COMPUTED_VALUE"""),503.0)</f>
        <v>503</v>
      </c>
      <c r="D48" s="15">
        <f>IFERROR(__xludf.DUMMYFUNCTION("""COMPUTED_VALUE"""),3175.0)</f>
        <v>3175</v>
      </c>
      <c r="E48" s="15">
        <f>IFERROR(__xludf.DUMMYFUNCTION("""COMPUTED_VALUE"""),2363.0)</f>
        <v>2363</v>
      </c>
      <c r="F48" s="15">
        <f>IFERROR(__xludf.DUMMYFUNCTION("""COMPUTED_VALUE"""),829.0)</f>
        <v>829</v>
      </c>
      <c r="G48" s="15">
        <f>IFERROR(__xludf.DUMMYFUNCTION("""COMPUTED_VALUE"""),33.0)</f>
        <v>33</v>
      </c>
      <c r="H48" s="15">
        <f>IFERROR(__xludf.DUMMYFUNCTION("""COMPUTED_VALUE"""),3176.0)</f>
        <v>3176</v>
      </c>
      <c r="I48" s="15">
        <f>IFERROR(__xludf.DUMMYFUNCTION("""COMPUTED_VALUE"""),115.0)</f>
        <v>115</v>
      </c>
      <c r="J48" s="15">
        <f>IFERROR(__xludf.DUMMYFUNCTION("""COMPUTED_VALUE"""),104.0)</f>
        <v>104</v>
      </c>
    </row>
    <row r="49">
      <c r="A49" s="15" t="str">
        <f>IFERROR(__xludf.DUMMYFUNCTION("""COMPUTED_VALUE"""),"Qualification 48")</f>
        <v>Qualification 48</v>
      </c>
      <c r="B49" s="15" t="str">
        <f>IFERROR(__xludf.DUMMYFUNCTION("""COMPUTED_VALUE"""),"Sat 7/16 - 4:48 PM")</f>
        <v>Sat 7/16 - 4:48 PM</v>
      </c>
      <c r="C49" s="15">
        <f>IFERROR(__xludf.DUMMYFUNCTION("""COMPUTED_VALUE"""),4265.0)</f>
        <v>4265</v>
      </c>
      <c r="D49" s="15">
        <f>IFERROR(__xludf.DUMMYFUNCTION("""COMPUTED_VALUE"""),2614.0)</f>
        <v>2614</v>
      </c>
      <c r="E49" s="15">
        <f>IFERROR(__xludf.DUMMYFUNCTION("""COMPUTED_VALUE"""),5712.0)</f>
        <v>5712</v>
      </c>
      <c r="F49" s="15">
        <f>IFERROR(__xludf.DUMMYFUNCTION("""COMPUTED_VALUE"""),2767.0)</f>
        <v>2767</v>
      </c>
      <c r="G49" s="15">
        <f>IFERROR(__xludf.DUMMYFUNCTION("""COMPUTED_VALUE"""),1706.0)</f>
        <v>1706</v>
      </c>
      <c r="H49" s="15">
        <f>IFERROR(__xludf.DUMMYFUNCTION("""COMPUTED_VALUE"""),5010.0)</f>
        <v>5010</v>
      </c>
      <c r="I49" s="15">
        <f>IFERROR(__xludf.DUMMYFUNCTION("""COMPUTED_VALUE"""),109.0)</f>
        <v>109</v>
      </c>
      <c r="J49" s="15">
        <f>IFERROR(__xludf.DUMMYFUNCTION("""COMPUTED_VALUE"""),131.0)</f>
        <v>131</v>
      </c>
    </row>
    <row r="50">
      <c r="A50" s="15" t="str">
        <f>IFERROR(__xludf.DUMMYFUNCTION("""COMPUTED_VALUE"""),"Qualification 49")</f>
        <v>Qualification 49</v>
      </c>
      <c r="B50" s="15" t="str">
        <f>IFERROR(__xludf.DUMMYFUNCTION("""COMPUTED_VALUE"""),"Sat 7/16 - 4:54 PM")</f>
        <v>Sat 7/16 - 4:54 PM</v>
      </c>
      <c r="C50" s="15">
        <f>IFERROR(__xludf.DUMMYFUNCTION("""COMPUTED_VALUE"""),4143.0)</f>
        <v>4143</v>
      </c>
      <c r="D50" s="15">
        <f>IFERROR(__xludf.DUMMYFUNCTION("""COMPUTED_VALUE"""),3538.0)</f>
        <v>3538</v>
      </c>
      <c r="E50" s="15">
        <f>IFERROR(__xludf.DUMMYFUNCTION("""COMPUTED_VALUE"""),5484.0)</f>
        <v>5484</v>
      </c>
      <c r="F50" s="15">
        <f>IFERROR(__xludf.DUMMYFUNCTION("""COMPUTED_VALUE"""),195.0)</f>
        <v>195</v>
      </c>
      <c r="G50" s="15">
        <f>IFERROR(__xludf.DUMMYFUNCTION("""COMPUTED_VALUE"""),1023.0)</f>
        <v>1023</v>
      </c>
      <c r="H50" s="15">
        <f>IFERROR(__xludf.DUMMYFUNCTION("""COMPUTED_VALUE"""),694.0)</f>
        <v>694</v>
      </c>
      <c r="I50" s="15">
        <f>IFERROR(__xludf.DUMMYFUNCTION("""COMPUTED_VALUE"""),104.0)</f>
        <v>104</v>
      </c>
      <c r="J50" s="15">
        <f>IFERROR(__xludf.DUMMYFUNCTION("""COMPUTED_VALUE"""),137.0)</f>
        <v>137</v>
      </c>
    </row>
    <row r="51">
      <c r="A51" s="15" t="str">
        <f>IFERROR(__xludf.DUMMYFUNCTION("""COMPUTED_VALUE"""),"Qualification 50")</f>
        <v>Qualification 50</v>
      </c>
      <c r="B51" s="15" t="str">
        <f>IFERROR(__xludf.DUMMYFUNCTION("""COMPUTED_VALUE"""),"Sat 7/16 - 5:03 PM")</f>
        <v>Sat 7/16 - 5:03 PM</v>
      </c>
      <c r="C51" s="15">
        <f>IFERROR(__xludf.DUMMYFUNCTION("""COMPUTED_VALUE"""),7457.0)</f>
        <v>7457</v>
      </c>
      <c r="D51" s="15">
        <f>IFERROR(__xludf.DUMMYFUNCTION("""COMPUTED_VALUE"""),2075.0)</f>
        <v>2075</v>
      </c>
      <c r="E51" s="15">
        <f>IFERROR(__xludf.DUMMYFUNCTION("""COMPUTED_VALUE"""),340.0)</f>
        <v>340</v>
      </c>
      <c r="F51" s="15">
        <f>IFERROR(__xludf.DUMMYFUNCTION("""COMPUTED_VALUE"""),1730.0)</f>
        <v>1730</v>
      </c>
      <c r="G51" s="15">
        <f>IFERROR(__xludf.DUMMYFUNCTION("""COMPUTED_VALUE"""),27.0)</f>
        <v>27</v>
      </c>
      <c r="H51" s="15">
        <f>IFERROR(__xludf.DUMMYFUNCTION("""COMPUTED_VALUE"""),180.0)</f>
        <v>180</v>
      </c>
      <c r="I51" s="15">
        <f>IFERROR(__xludf.DUMMYFUNCTION("""COMPUTED_VALUE"""),155.0)</f>
        <v>155</v>
      </c>
      <c r="J51" s="15">
        <f>IFERROR(__xludf.DUMMYFUNCTION("""COMPUTED_VALUE"""),169.0)</f>
        <v>169</v>
      </c>
    </row>
    <row r="52">
      <c r="A52" s="15" t="str">
        <f>IFERROR(__xludf.DUMMYFUNCTION("""COMPUTED_VALUE"""),"Qualification 51")</f>
        <v>Qualification 51</v>
      </c>
      <c r="B52" s="15" t="str">
        <f>IFERROR(__xludf.DUMMYFUNCTION("""COMPUTED_VALUE"""),"Sat 7/16 - 5:12 PM")</f>
        <v>Sat 7/16 - 5:12 PM</v>
      </c>
      <c r="C52" s="15">
        <f>IFERROR(__xludf.DUMMYFUNCTION("""COMPUTED_VALUE"""),3357.0)</f>
        <v>3357</v>
      </c>
      <c r="D52" s="15">
        <f>IFERROR(__xludf.DUMMYFUNCTION("""COMPUTED_VALUE"""),1987.0)</f>
        <v>1987</v>
      </c>
      <c r="E52" s="15">
        <f>IFERROR(__xludf.DUMMYFUNCTION("""COMPUTED_VALUE"""),2056.0)</f>
        <v>2056</v>
      </c>
      <c r="F52" s="15">
        <f>IFERROR(__xludf.DUMMYFUNCTION("""COMPUTED_VALUE"""),587.0)</f>
        <v>587</v>
      </c>
      <c r="G52" s="15">
        <f>IFERROR(__xludf.DUMMYFUNCTION("""COMPUTED_VALUE"""),624.0)</f>
        <v>624</v>
      </c>
      <c r="H52" s="15">
        <f>IFERROR(__xludf.DUMMYFUNCTION("""COMPUTED_VALUE"""),3940.0)</f>
        <v>3940</v>
      </c>
      <c r="I52" s="15">
        <f>IFERROR(__xludf.DUMMYFUNCTION("""COMPUTED_VALUE"""),139.0)</f>
        <v>139</v>
      </c>
      <c r="J52" s="15">
        <f>IFERROR(__xludf.DUMMYFUNCTION("""COMPUTED_VALUE"""),118.0)</f>
        <v>118</v>
      </c>
    </row>
    <row r="53">
      <c r="A53" s="15" t="str">
        <f>IFERROR(__xludf.DUMMYFUNCTION("""COMPUTED_VALUE"""),"Qualification 52")</f>
        <v>Qualification 52</v>
      </c>
      <c r="B53" s="15" t="str">
        <f>IFERROR(__xludf.DUMMYFUNCTION("""COMPUTED_VALUE"""),"Sat 7/16 - 5:22 PM")</f>
        <v>Sat 7/16 - 5:22 PM</v>
      </c>
      <c r="C53" s="15">
        <f>IFERROR(__xludf.DUMMYFUNCTION("""COMPUTED_VALUE"""),4099.0)</f>
        <v>4099</v>
      </c>
      <c r="D53" s="15">
        <f>IFERROR(__xludf.DUMMYFUNCTION("""COMPUTED_VALUE"""),4499.0)</f>
        <v>4499</v>
      </c>
      <c r="E53" s="15">
        <f>IFERROR(__xludf.DUMMYFUNCTION("""COMPUTED_VALUE"""),503.0)</f>
        <v>503</v>
      </c>
      <c r="F53" s="15">
        <f>IFERROR(__xludf.DUMMYFUNCTION("""COMPUTED_VALUE"""),3175.0)</f>
        <v>3175</v>
      </c>
      <c r="G53" s="15">
        <f>IFERROR(__xludf.DUMMYFUNCTION("""COMPUTED_VALUE"""),1339.0)</f>
        <v>1339</v>
      </c>
      <c r="H53" s="15">
        <f>IFERROR(__xludf.DUMMYFUNCTION("""COMPUTED_VALUE"""),118.0)</f>
        <v>118</v>
      </c>
      <c r="I53" s="15">
        <f>IFERROR(__xludf.DUMMYFUNCTION("""COMPUTED_VALUE"""),114.0)</f>
        <v>114</v>
      </c>
      <c r="J53" s="15">
        <f>IFERROR(__xludf.DUMMYFUNCTION("""COMPUTED_VALUE"""),120.0)</f>
        <v>120</v>
      </c>
    </row>
    <row r="54">
      <c r="A54" s="15" t="str">
        <f>IFERROR(__xludf.DUMMYFUNCTION("""COMPUTED_VALUE"""),"Qualification 53")</f>
        <v>Qualification 53</v>
      </c>
      <c r="B54" s="15" t="str">
        <f>IFERROR(__xludf.DUMMYFUNCTION("""COMPUTED_VALUE"""),"Sat 7/16 - 5:30 PM")</f>
        <v>Sat 7/16 - 5:30 PM</v>
      </c>
      <c r="C54" s="15">
        <f>IFERROR(__xludf.DUMMYFUNCTION("""COMPUTED_VALUE"""),1720.0)</f>
        <v>1720</v>
      </c>
      <c r="D54" s="15">
        <f>IFERROR(__xludf.DUMMYFUNCTION("""COMPUTED_VALUE"""),5712.0)</f>
        <v>5712</v>
      </c>
      <c r="E54" s="15">
        <f>IFERROR(__xludf.DUMMYFUNCTION("""COMPUTED_VALUE"""),5406.0)</f>
        <v>5406</v>
      </c>
      <c r="F54" s="15">
        <f>IFERROR(__xludf.DUMMYFUNCTION("""COMPUTED_VALUE"""),4028.0)</f>
        <v>4028</v>
      </c>
      <c r="G54" s="15">
        <f>IFERROR(__xludf.DUMMYFUNCTION("""COMPUTED_VALUE"""),1732.0)</f>
        <v>1732</v>
      </c>
      <c r="H54" s="15" t="str">
        <f>IFERROR(__xludf.DUMMYFUNCTION("""COMPUTED_VALUE"""),"*2614*")</f>
        <v>*2614*</v>
      </c>
      <c r="I54" s="15">
        <f>IFERROR(__xludf.DUMMYFUNCTION("""COMPUTED_VALUE"""),127.0)</f>
        <v>127</v>
      </c>
      <c r="J54" s="15">
        <f>IFERROR(__xludf.DUMMYFUNCTION("""COMPUTED_VALUE"""),116.0)</f>
        <v>116</v>
      </c>
    </row>
    <row r="55">
      <c r="A55" s="15" t="str">
        <f>IFERROR(__xludf.DUMMYFUNCTION("""COMPUTED_VALUE"""),"Qualification 54")</f>
        <v>Qualification 54</v>
      </c>
      <c r="B55" s="15" t="str">
        <f>IFERROR(__xludf.DUMMYFUNCTION("""COMPUTED_VALUE"""),"Sat 7/16 - 5:38 PM")</f>
        <v>Sat 7/16 - 5:38 PM</v>
      </c>
      <c r="C55" s="15">
        <f>IFERROR(__xludf.DUMMYFUNCTION("""COMPUTED_VALUE"""),67.0)</f>
        <v>67</v>
      </c>
      <c r="D55" s="15">
        <f>IFERROR(__xludf.DUMMYFUNCTION("""COMPUTED_VALUE"""),5010.0)</f>
        <v>5010</v>
      </c>
      <c r="E55" s="15">
        <f>IFERROR(__xludf.DUMMYFUNCTION("""COMPUTED_VALUE"""),1024.0)</f>
        <v>1024</v>
      </c>
      <c r="F55" s="15">
        <f>IFERROR(__xludf.DUMMYFUNCTION("""COMPUTED_VALUE"""),2363.0)</f>
        <v>2363</v>
      </c>
      <c r="G55" s="15">
        <f>IFERROR(__xludf.DUMMYFUNCTION("""COMPUTED_VALUE"""),2468.0)</f>
        <v>2468</v>
      </c>
      <c r="H55" s="15">
        <f>IFERROR(__xludf.DUMMYFUNCTION("""COMPUTED_VALUE"""),1533.0)</f>
        <v>1533</v>
      </c>
      <c r="I55" s="15">
        <f>IFERROR(__xludf.DUMMYFUNCTION("""COMPUTED_VALUE"""),109.0)</f>
        <v>109</v>
      </c>
      <c r="J55" s="15">
        <f>IFERROR(__xludf.DUMMYFUNCTION("""COMPUTED_VALUE"""),121.0)</f>
        <v>121</v>
      </c>
    </row>
    <row r="56">
      <c r="A56" s="15" t="str">
        <f>IFERROR(__xludf.DUMMYFUNCTION("""COMPUTED_VALUE"""),"Qualification 55")</f>
        <v>Qualification 55</v>
      </c>
      <c r="B56" s="15" t="str">
        <f>IFERROR(__xludf.DUMMYFUNCTION("""COMPUTED_VALUE"""),"Sat 7/16 - 5:45 PM")</f>
        <v>Sat 7/16 - 5:45 PM</v>
      </c>
      <c r="C56" s="15">
        <f>IFERROR(__xludf.DUMMYFUNCTION("""COMPUTED_VALUE"""),2539.0)</f>
        <v>2539</v>
      </c>
      <c r="D56" s="15">
        <f>IFERROR(__xludf.DUMMYFUNCTION("""COMPUTED_VALUE"""),33.0)</f>
        <v>33</v>
      </c>
      <c r="E56" s="15">
        <f>IFERROR(__xludf.DUMMYFUNCTION("""COMPUTED_VALUE"""),2767.0)</f>
        <v>2767</v>
      </c>
      <c r="F56" s="15">
        <f>IFERROR(__xludf.DUMMYFUNCTION("""COMPUTED_VALUE"""),3176.0)</f>
        <v>3176</v>
      </c>
      <c r="G56" s="15">
        <f>IFERROR(__xludf.DUMMYFUNCTION("""COMPUTED_VALUE"""),1706.0)</f>
        <v>1706</v>
      </c>
      <c r="H56" s="15">
        <f>IFERROR(__xludf.DUMMYFUNCTION("""COMPUTED_VALUE"""),4635.0)</f>
        <v>4635</v>
      </c>
      <c r="I56" s="15">
        <f>IFERROR(__xludf.DUMMYFUNCTION("""COMPUTED_VALUE"""),116.0)</f>
        <v>116</v>
      </c>
      <c r="J56" s="15">
        <f>IFERROR(__xludf.DUMMYFUNCTION("""COMPUTED_VALUE"""),96.0)</f>
        <v>96</v>
      </c>
    </row>
    <row r="57">
      <c r="A57" s="15" t="str">
        <f>IFERROR(__xludf.DUMMYFUNCTION("""COMPUTED_VALUE"""),"Qualification 56")</f>
        <v>Qualification 56</v>
      </c>
      <c r="B57" s="15" t="str">
        <f>IFERROR(__xludf.DUMMYFUNCTION("""COMPUTED_VALUE"""),"Sat 7/16 - 5:53 PM")</f>
        <v>Sat 7/16 - 5:53 PM</v>
      </c>
      <c r="C57" s="15">
        <f>IFERROR(__xludf.DUMMYFUNCTION("""COMPUTED_VALUE"""),2338.0)</f>
        <v>2338</v>
      </c>
      <c r="D57" s="15">
        <f>IFERROR(__xludf.DUMMYFUNCTION("""COMPUTED_VALUE"""),234.0)</f>
        <v>234</v>
      </c>
      <c r="E57" s="15">
        <f>IFERROR(__xludf.DUMMYFUNCTION("""COMPUTED_VALUE"""),829.0)</f>
        <v>829</v>
      </c>
      <c r="F57" s="15">
        <f>IFERROR(__xludf.DUMMYFUNCTION("""COMPUTED_VALUE"""),4265.0)</f>
        <v>4265</v>
      </c>
      <c r="G57" s="15">
        <f>IFERROR(__xludf.DUMMYFUNCTION("""COMPUTED_VALUE"""),325.0)</f>
        <v>325</v>
      </c>
      <c r="H57" s="15">
        <f>IFERROR(__xludf.DUMMYFUNCTION("""COMPUTED_VALUE"""),4926.0)</f>
        <v>4926</v>
      </c>
      <c r="I57" s="15">
        <f>IFERROR(__xludf.DUMMYFUNCTION("""COMPUTED_VALUE"""),95.0)</f>
        <v>95</v>
      </c>
      <c r="J57" s="15">
        <f>IFERROR(__xludf.DUMMYFUNCTION("""COMPUTED_VALUE"""),100.0)</f>
        <v>100</v>
      </c>
    </row>
    <row r="58">
      <c r="A58" s="15" t="str">
        <f>IFERROR(__xludf.DUMMYFUNCTION("""COMPUTED_VALUE"""),"Qualification 57")</f>
        <v>Qualification 57</v>
      </c>
      <c r="B58" s="15" t="str">
        <f>IFERROR(__xludf.DUMMYFUNCTION("""COMPUTED_VALUE"""),"Sat 7/16 - 6:00 PM")</f>
        <v>Sat 7/16 - 6:00 PM</v>
      </c>
      <c r="C58" s="15">
        <f>IFERROR(__xludf.DUMMYFUNCTION("""COMPUTED_VALUE"""),27.0)</f>
        <v>27</v>
      </c>
      <c r="D58" s="15">
        <f>IFERROR(__xludf.DUMMYFUNCTION("""COMPUTED_VALUE"""),118.0)</f>
        <v>118</v>
      </c>
      <c r="E58" s="15">
        <f>IFERROR(__xludf.DUMMYFUNCTION("""COMPUTED_VALUE"""),587.0)</f>
        <v>587</v>
      </c>
      <c r="F58" s="15">
        <f>IFERROR(__xludf.DUMMYFUNCTION("""COMPUTED_VALUE"""),624.0)</f>
        <v>624</v>
      </c>
      <c r="G58" s="15">
        <f>IFERROR(__xludf.DUMMYFUNCTION("""COMPUTED_VALUE"""),4143.0)</f>
        <v>4143</v>
      </c>
      <c r="H58" s="15">
        <f>IFERROR(__xludf.DUMMYFUNCTION("""COMPUTED_VALUE"""),3175.0)</f>
        <v>3175</v>
      </c>
      <c r="I58" s="15">
        <f>IFERROR(__xludf.DUMMYFUNCTION("""COMPUTED_VALUE"""),114.0)</f>
        <v>114</v>
      </c>
      <c r="J58" s="15">
        <f>IFERROR(__xludf.DUMMYFUNCTION("""COMPUTED_VALUE"""),111.0)</f>
        <v>111</v>
      </c>
    </row>
    <row r="59">
      <c r="A59" s="15" t="str">
        <f>IFERROR(__xludf.DUMMYFUNCTION("""COMPUTED_VALUE"""),"Qualification 58")</f>
        <v>Qualification 58</v>
      </c>
      <c r="B59" s="15" t="str">
        <f>IFERROR(__xludf.DUMMYFUNCTION("""COMPUTED_VALUE"""),"Sat 7/16 - 6:08 PM")</f>
        <v>Sat 7/16 - 6:08 PM</v>
      </c>
      <c r="C59" s="15">
        <f>IFERROR(__xludf.DUMMYFUNCTION("""COMPUTED_VALUE"""),1732.0)</f>
        <v>1732</v>
      </c>
      <c r="D59" s="15">
        <f>IFERROR(__xludf.DUMMYFUNCTION("""COMPUTED_VALUE"""),5712.0)</f>
        <v>5712</v>
      </c>
      <c r="E59" s="15">
        <f>IFERROR(__xludf.DUMMYFUNCTION("""COMPUTED_VALUE"""),1023.0)</f>
        <v>1023</v>
      </c>
      <c r="F59" s="15">
        <f>IFERROR(__xludf.DUMMYFUNCTION("""COMPUTED_VALUE"""),340.0)</f>
        <v>340</v>
      </c>
      <c r="G59" s="15">
        <f>IFERROR(__xludf.DUMMYFUNCTION("""COMPUTED_VALUE"""),1987.0)</f>
        <v>1987</v>
      </c>
      <c r="H59" s="15">
        <f>IFERROR(__xludf.DUMMYFUNCTION("""COMPUTED_VALUE"""),694.0)</f>
        <v>694</v>
      </c>
      <c r="I59" s="15">
        <f>IFERROR(__xludf.DUMMYFUNCTION("""COMPUTED_VALUE"""),131.0)</f>
        <v>131</v>
      </c>
      <c r="J59" s="15">
        <f>IFERROR(__xludf.DUMMYFUNCTION("""COMPUTED_VALUE"""),149.0)</f>
        <v>149</v>
      </c>
    </row>
    <row r="60">
      <c r="A60" s="15" t="str">
        <f>IFERROR(__xludf.DUMMYFUNCTION("""COMPUTED_VALUE"""),"Qualification 59")</f>
        <v>Qualification 59</v>
      </c>
      <c r="B60" s="15" t="str">
        <f>IFERROR(__xludf.DUMMYFUNCTION("""COMPUTED_VALUE"""),"Sat 7/16 - 6:14 PM")</f>
        <v>Sat 7/16 - 6:14 PM</v>
      </c>
      <c r="C60" s="15">
        <f>IFERROR(__xludf.DUMMYFUNCTION("""COMPUTED_VALUE"""),180.0)</f>
        <v>180</v>
      </c>
      <c r="D60" s="15">
        <f>IFERROR(__xludf.DUMMYFUNCTION("""COMPUTED_VALUE"""),1533.0)</f>
        <v>1533</v>
      </c>
      <c r="E60" s="15">
        <f>IFERROR(__xludf.DUMMYFUNCTION("""COMPUTED_VALUE"""),2056.0)</f>
        <v>2056</v>
      </c>
      <c r="F60" s="15">
        <f>IFERROR(__xludf.DUMMYFUNCTION("""COMPUTED_VALUE"""),1024.0)</f>
        <v>1024</v>
      </c>
      <c r="G60" s="15">
        <f>IFERROR(__xludf.DUMMYFUNCTION("""COMPUTED_VALUE"""),2614.0)</f>
        <v>2614</v>
      </c>
      <c r="H60" s="15">
        <f>IFERROR(__xludf.DUMMYFUNCTION("""COMPUTED_VALUE"""),4499.0)</f>
        <v>4499</v>
      </c>
      <c r="I60" s="15">
        <f>IFERROR(__xludf.DUMMYFUNCTION("""COMPUTED_VALUE"""),177.0)</f>
        <v>177</v>
      </c>
      <c r="J60" s="15">
        <f>IFERROR(__xludf.DUMMYFUNCTION("""COMPUTED_VALUE"""),113.0)</f>
        <v>113</v>
      </c>
    </row>
    <row r="61">
      <c r="A61" s="15" t="str">
        <f>IFERROR(__xludf.DUMMYFUNCTION("""COMPUTED_VALUE"""),"Qualification 60")</f>
        <v>Qualification 60</v>
      </c>
      <c r="B61" s="15" t="str">
        <f>IFERROR(__xludf.DUMMYFUNCTION("""COMPUTED_VALUE"""),"Sat 7/16 - 6:22 PM")</f>
        <v>Sat 7/16 - 6:22 PM</v>
      </c>
      <c r="C61" s="15">
        <f>IFERROR(__xludf.DUMMYFUNCTION("""COMPUTED_VALUE"""),1720.0)</f>
        <v>1720</v>
      </c>
      <c r="D61" s="15">
        <f>IFERROR(__xludf.DUMMYFUNCTION("""COMPUTED_VALUE"""),5484.0)</f>
        <v>5484</v>
      </c>
      <c r="E61" s="15">
        <f>IFERROR(__xludf.DUMMYFUNCTION("""COMPUTED_VALUE"""),3176.0)</f>
        <v>3176</v>
      </c>
      <c r="F61" s="15">
        <f>IFERROR(__xludf.DUMMYFUNCTION("""COMPUTED_VALUE"""),2075.0)</f>
        <v>2075</v>
      </c>
      <c r="G61" s="15">
        <f>IFERROR(__xludf.DUMMYFUNCTION("""COMPUTED_VALUE"""),67.0)</f>
        <v>67</v>
      </c>
      <c r="H61" s="15">
        <f>IFERROR(__xludf.DUMMYFUNCTION("""COMPUTED_VALUE"""),4099.0)</f>
        <v>4099</v>
      </c>
      <c r="I61" s="15">
        <f>IFERROR(__xludf.DUMMYFUNCTION("""COMPUTED_VALUE"""),85.0)</f>
        <v>85</v>
      </c>
      <c r="J61" s="15">
        <f>IFERROR(__xludf.DUMMYFUNCTION("""COMPUTED_VALUE"""),144.0)</f>
        <v>144</v>
      </c>
    </row>
    <row r="62">
      <c r="A62" s="15" t="str">
        <f>IFERROR(__xludf.DUMMYFUNCTION("""COMPUTED_VALUE"""),"Qualification 61")</f>
        <v>Qualification 61</v>
      </c>
      <c r="B62" s="15" t="str">
        <f>IFERROR(__xludf.DUMMYFUNCTION("""COMPUTED_VALUE"""),"Sun 7/17 - 9:14 AM")</f>
        <v>Sun 7/17 - 9:14 AM</v>
      </c>
      <c r="C62" s="15">
        <f>IFERROR(__xludf.DUMMYFUNCTION("""COMPUTED_VALUE"""),1730.0)</f>
        <v>1730</v>
      </c>
      <c r="D62" s="15">
        <f>IFERROR(__xludf.DUMMYFUNCTION("""COMPUTED_VALUE"""),3538.0)</f>
        <v>3538</v>
      </c>
      <c r="E62" s="15">
        <f>IFERROR(__xludf.DUMMYFUNCTION("""COMPUTED_VALUE"""),325.0)</f>
        <v>325</v>
      </c>
      <c r="F62" s="15">
        <f>IFERROR(__xludf.DUMMYFUNCTION("""COMPUTED_VALUE"""),2468.0)</f>
        <v>2468</v>
      </c>
      <c r="G62" s="15">
        <f>IFERROR(__xludf.DUMMYFUNCTION("""COMPUTED_VALUE"""),4635.0)</f>
        <v>4635</v>
      </c>
      <c r="H62" s="15">
        <f>IFERROR(__xludf.DUMMYFUNCTION("""COMPUTED_VALUE"""),33.0)</f>
        <v>33</v>
      </c>
      <c r="I62" s="15">
        <f>IFERROR(__xludf.DUMMYFUNCTION("""COMPUTED_VALUE"""),111.0)</f>
        <v>111</v>
      </c>
      <c r="J62" s="15">
        <f>IFERROR(__xludf.DUMMYFUNCTION("""COMPUTED_VALUE"""),158.0)</f>
        <v>158</v>
      </c>
    </row>
    <row r="63">
      <c r="A63" s="15" t="str">
        <f>IFERROR(__xludf.DUMMYFUNCTION("""COMPUTED_VALUE"""),"Qualification 62")</f>
        <v>Qualification 62</v>
      </c>
      <c r="B63" s="15" t="str">
        <f>IFERROR(__xludf.DUMMYFUNCTION("""COMPUTED_VALUE"""),"Sun 7/17 - 9:21 AM")</f>
        <v>Sun 7/17 - 9:21 AM</v>
      </c>
      <c r="C63" s="15">
        <f>IFERROR(__xludf.DUMMYFUNCTION("""COMPUTED_VALUE"""),7457.0)</f>
        <v>7457</v>
      </c>
      <c r="D63" s="15">
        <f>IFERROR(__xludf.DUMMYFUNCTION("""COMPUTED_VALUE"""),829.0)</f>
        <v>829</v>
      </c>
      <c r="E63" s="15">
        <f>IFERROR(__xludf.DUMMYFUNCTION("""COMPUTED_VALUE"""),3357.0)</f>
        <v>3357</v>
      </c>
      <c r="F63" s="15">
        <f>IFERROR(__xludf.DUMMYFUNCTION("""COMPUTED_VALUE"""),3940.0)</f>
        <v>3940</v>
      </c>
      <c r="G63" s="15">
        <f>IFERROR(__xludf.DUMMYFUNCTION("""COMPUTED_VALUE"""),2539.0)</f>
        <v>2539</v>
      </c>
      <c r="H63" s="15">
        <f>IFERROR(__xludf.DUMMYFUNCTION("""COMPUTED_VALUE"""),5010.0)</f>
        <v>5010</v>
      </c>
      <c r="I63" s="15">
        <f>IFERROR(__xludf.DUMMYFUNCTION("""COMPUTED_VALUE"""),89.0)</f>
        <v>89</v>
      </c>
      <c r="J63" s="15">
        <f>IFERROR(__xludf.DUMMYFUNCTION("""COMPUTED_VALUE"""),112.0)</f>
        <v>112</v>
      </c>
    </row>
    <row r="64">
      <c r="A64" s="15" t="str">
        <f>IFERROR(__xludf.DUMMYFUNCTION("""COMPUTED_VALUE"""),"Qualification 63")</f>
        <v>Qualification 63</v>
      </c>
      <c r="B64" s="15" t="str">
        <f>IFERROR(__xludf.DUMMYFUNCTION("""COMPUTED_VALUE"""),"Sun 7/17 - 9:29 AM")</f>
        <v>Sun 7/17 - 9:29 AM</v>
      </c>
      <c r="C64" s="15">
        <f>IFERROR(__xludf.DUMMYFUNCTION("""COMPUTED_VALUE"""),503.0)</f>
        <v>503</v>
      </c>
      <c r="D64" s="15">
        <f>IFERROR(__xludf.DUMMYFUNCTION("""COMPUTED_VALUE"""),4028.0)</f>
        <v>4028</v>
      </c>
      <c r="E64" s="15">
        <f>IFERROR(__xludf.DUMMYFUNCTION("""COMPUTED_VALUE"""),4926.0)</f>
        <v>4926</v>
      </c>
      <c r="F64" s="15">
        <f>IFERROR(__xludf.DUMMYFUNCTION("""COMPUTED_VALUE"""),195.0)</f>
        <v>195</v>
      </c>
      <c r="G64" s="15">
        <f>IFERROR(__xludf.DUMMYFUNCTION("""COMPUTED_VALUE"""),4265.0)</f>
        <v>4265</v>
      </c>
      <c r="H64" s="15">
        <f>IFERROR(__xludf.DUMMYFUNCTION("""COMPUTED_VALUE"""),1706.0)</f>
        <v>1706</v>
      </c>
      <c r="I64" s="15">
        <f>IFERROR(__xludf.DUMMYFUNCTION("""COMPUTED_VALUE"""),122.0)</f>
        <v>122</v>
      </c>
      <c r="J64" s="15">
        <f>IFERROR(__xludf.DUMMYFUNCTION("""COMPUTED_VALUE"""),123.0)</f>
        <v>123</v>
      </c>
    </row>
    <row r="65">
      <c r="A65" s="15" t="str">
        <f>IFERROR(__xludf.DUMMYFUNCTION("""COMPUTED_VALUE"""),"Qualification 64")</f>
        <v>Qualification 64</v>
      </c>
      <c r="B65" s="15" t="str">
        <f>IFERROR(__xludf.DUMMYFUNCTION("""COMPUTED_VALUE"""),"Sun 7/17 - 9:36 AM")</f>
        <v>Sun 7/17 - 9:36 AM</v>
      </c>
      <c r="C65" s="15">
        <f>IFERROR(__xludf.DUMMYFUNCTION("""COMPUTED_VALUE"""),2767.0)</f>
        <v>2767</v>
      </c>
      <c r="D65" s="15" t="str">
        <f>IFERROR(__xludf.DUMMYFUNCTION("""COMPUTED_VALUE"""),"*2338*")</f>
        <v>*2338*</v>
      </c>
      <c r="E65" s="15">
        <f>IFERROR(__xludf.DUMMYFUNCTION("""COMPUTED_VALUE"""),1339.0)</f>
        <v>1339</v>
      </c>
      <c r="F65" s="15">
        <f>IFERROR(__xludf.DUMMYFUNCTION("""COMPUTED_VALUE"""),234.0)</f>
        <v>234</v>
      </c>
      <c r="G65" s="15">
        <f>IFERROR(__xludf.DUMMYFUNCTION("""COMPUTED_VALUE"""),5406.0)</f>
        <v>5406</v>
      </c>
      <c r="H65" s="15">
        <f>IFERROR(__xludf.DUMMYFUNCTION("""COMPUTED_VALUE"""),2363.0)</f>
        <v>2363</v>
      </c>
      <c r="I65" s="15">
        <f>IFERROR(__xludf.DUMMYFUNCTION("""COMPUTED_VALUE"""),141.0)</f>
        <v>141</v>
      </c>
      <c r="J65" s="15">
        <f>IFERROR(__xludf.DUMMYFUNCTION("""COMPUTED_VALUE"""),112.0)</f>
        <v>112</v>
      </c>
    </row>
    <row r="66">
      <c r="A66" s="15" t="str">
        <f>IFERROR(__xludf.DUMMYFUNCTION("""COMPUTED_VALUE"""),"Qualification 65")</f>
        <v>Qualification 65</v>
      </c>
      <c r="B66" s="15" t="str">
        <f>IFERROR(__xludf.DUMMYFUNCTION("""COMPUTED_VALUE"""),"Sun 7/17 - 9:46 AM")</f>
        <v>Sun 7/17 - 9:46 AM</v>
      </c>
      <c r="C66" s="15">
        <f>IFERROR(__xludf.DUMMYFUNCTION("""COMPUTED_VALUE"""),2056.0)</f>
        <v>2056</v>
      </c>
      <c r="D66" s="15">
        <f>IFERROR(__xludf.DUMMYFUNCTION("""COMPUTED_VALUE"""),27.0)</f>
        <v>27</v>
      </c>
      <c r="E66" s="15">
        <f>IFERROR(__xludf.DUMMYFUNCTION("""COMPUTED_VALUE"""),1023.0)</f>
        <v>1023</v>
      </c>
      <c r="F66" s="15">
        <f>IFERROR(__xludf.DUMMYFUNCTION("""COMPUTED_VALUE"""),118.0)</f>
        <v>118</v>
      </c>
      <c r="G66" s="15">
        <f>IFERROR(__xludf.DUMMYFUNCTION("""COMPUTED_VALUE"""),3176.0)</f>
        <v>3176</v>
      </c>
      <c r="H66" s="15">
        <f>IFERROR(__xludf.DUMMYFUNCTION("""COMPUTED_VALUE"""),67.0)</f>
        <v>67</v>
      </c>
      <c r="I66" s="15">
        <f>IFERROR(__xludf.DUMMYFUNCTION("""COMPUTED_VALUE"""),156.0)</f>
        <v>156</v>
      </c>
      <c r="J66" s="15">
        <f>IFERROR(__xludf.DUMMYFUNCTION("""COMPUTED_VALUE"""),135.0)</f>
        <v>135</v>
      </c>
    </row>
    <row r="67">
      <c r="A67" s="15" t="str">
        <f>IFERROR(__xludf.DUMMYFUNCTION("""COMPUTED_VALUE"""),"Qualification 66")</f>
        <v>Qualification 66</v>
      </c>
      <c r="B67" s="15" t="str">
        <f>IFERROR(__xludf.DUMMYFUNCTION("""COMPUTED_VALUE"""),"Sun 7/17 - 9:53 AM")</f>
        <v>Sun 7/17 - 9:53 AM</v>
      </c>
      <c r="C67" s="15">
        <f>IFERROR(__xludf.DUMMYFUNCTION("""COMPUTED_VALUE"""),33.0)</f>
        <v>33</v>
      </c>
      <c r="D67" s="15">
        <f>IFERROR(__xludf.DUMMYFUNCTION("""COMPUTED_VALUE"""),3175.0)</f>
        <v>3175</v>
      </c>
      <c r="E67" s="15">
        <f>IFERROR(__xludf.DUMMYFUNCTION("""COMPUTED_VALUE"""),1720.0)</f>
        <v>1720</v>
      </c>
      <c r="F67" s="15">
        <f>IFERROR(__xludf.DUMMYFUNCTION("""COMPUTED_VALUE"""),5484.0)</f>
        <v>5484</v>
      </c>
      <c r="G67" s="15">
        <f>IFERROR(__xludf.DUMMYFUNCTION("""COMPUTED_VALUE"""),1024.0)</f>
        <v>1024</v>
      </c>
      <c r="H67" s="15">
        <f>IFERROR(__xludf.DUMMYFUNCTION("""COMPUTED_VALUE"""),5712.0)</f>
        <v>5712</v>
      </c>
      <c r="I67" s="15">
        <f>IFERROR(__xludf.DUMMYFUNCTION("""COMPUTED_VALUE"""),119.0)</f>
        <v>119</v>
      </c>
      <c r="J67" s="15">
        <f>IFERROR(__xludf.DUMMYFUNCTION("""COMPUTED_VALUE"""),114.0)</f>
        <v>114</v>
      </c>
    </row>
    <row r="68">
      <c r="A68" s="15" t="str">
        <f>IFERROR(__xludf.DUMMYFUNCTION("""COMPUTED_VALUE"""),"Qualification 67")</f>
        <v>Qualification 67</v>
      </c>
      <c r="B68" s="15" t="str">
        <f>IFERROR(__xludf.DUMMYFUNCTION("""COMPUTED_VALUE"""),"Sun 7/17 - 10:02 AM")</f>
        <v>Sun 7/17 - 10:02 AM</v>
      </c>
      <c r="C68" s="15">
        <f>IFERROR(__xludf.DUMMYFUNCTION("""COMPUTED_VALUE"""),1533.0)</f>
        <v>1533</v>
      </c>
      <c r="D68" s="15">
        <f>IFERROR(__xludf.DUMMYFUNCTION("""COMPUTED_VALUE"""),624.0)</f>
        <v>624</v>
      </c>
      <c r="E68" s="15">
        <f>IFERROR(__xludf.DUMMYFUNCTION("""COMPUTED_VALUE"""),1730.0)</f>
        <v>1730</v>
      </c>
      <c r="F68" s="15">
        <f>IFERROR(__xludf.DUMMYFUNCTION("""COMPUTED_VALUE"""),3538.0)</f>
        <v>3538</v>
      </c>
      <c r="G68" s="15">
        <f>IFERROR(__xludf.DUMMYFUNCTION("""COMPUTED_VALUE"""),1732.0)</f>
        <v>1732</v>
      </c>
      <c r="H68" s="15">
        <f>IFERROR(__xludf.DUMMYFUNCTION("""COMPUTED_VALUE"""),829.0)</f>
        <v>829</v>
      </c>
      <c r="I68" s="15">
        <f>IFERROR(__xludf.DUMMYFUNCTION("""COMPUTED_VALUE"""),107.0)</f>
        <v>107</v>
      </c>
      <c r="J68" s="15">
        <f>IFERROR(__xludf.DUMMYFUNCTION("""COMPUTED_VALUE"""),147.0)</f>
        <v>147</v>
      </c>
    </row>
    <row r="69">
      <c r="A69" s="15" t="str">
        <f>IFERROR(__xludf.DUMMYFUNCTION("""COMPUTED_VALUE"""),"Qualification 68")</f>
        <v>Qualification 68</v>
      </c>
      <c r="B69" s="15" t="str">
        <f>IFERROR(__xludf.DUMMYFUNCTION("""COMPUTED_VALUE"""),"Sun 7/17 - 10:09 AM")</f>
        <v>Sun 7/17 - 10:09 AM</v>
      </c>
      <c r="C69" s="15">
        <f>IFERROR(__xludf.DUMMYFUNCTION("""COMPUTED_VALUE"""),3357.0)</f>
        <v>3357</v>
      </c>
      <c r="D69" s="15">
        <f>IFERROR(__xludf.DUMMYFUNCTION("""COMPUTED_VALUE"""),2468.0)</f>
        <v>2468</v>
      </c>
      <c r="E69" s="15">
        <f>IFERROR(__xludf.DUMMYFUNCTION("""COMPUTED_VALUE"""),4265.0)</f>
        <v>4265</v>
      </c>
      <c r="F69" s="15">
        <f>IFERROR(__xludf.DUMMYFUNCTION("""COMPUTED_VALUE"""),1706.0)</f>
        <v>1706</v>
      </c>
      <c r="G69" s="15">
        <f>IFERROR(__xludf.DUMMYFUNCTION("""COMPUTED_VALUE"""),503.0)</f>
        <v>503</v>
      </c>
      <c r="H69" s="15">
        <f>IFERROR(__xludf.DUMMYFUNCTION("""COMPUTED_VALUE"""),340.0)</f>
        <v>340</v>
      </c>
      <c r="I69" s="15">
        <f>IFERROR(__xludf.DUMMYFUNCTION("""COMPUTED_VALUE"""),128.0)</f>
        <v>128</v>
      </c>
      <c r="J69" s="15">
        <f>IFERROR(__xludf.DUMMYFUNCTION("""COMPUTED_VALUE"""),140.0)</f>
        <v>140</v>
      </c>
    </row>
    <row r="70">
      <c r="A70" s="15" t="str">
        <f>IFERROR(__xludf.DUMMYFUNCTION("""COMPUTED_VALUE"""),"Qualification 69")</f>
        <v>Qualification 69</v>
      </c>
      <c r="B70" s="15" t="str">
        <f>IFERROR(__xludf.DUMMYFUNCTION("""COMPUTED_VALUE"""),"Sun 7/17 - 10:16 AM")</f>
        <v>Sun 7/17 - 10:16 AM</v>
      </c>
      <c r="C70" s="15">
        <f>IFERROR(__xludf.DUMMYFUNCTION("""COMPUTED_VALUE"""),1339.0)</f>
        <v>1339</v>
      </c>
      <c r="D70" s="15">
        <f>IFERROR(__xludf.DUMMYFUNCTION("""COMPUTED_VALUE"""),4635.0)</f>
        <v>4635</v>
      </c>
      <c r="E70" s="15">
        <f>IFERROR(__xludf.DUMMYFUNCTION("""COMPUTED_VALUE"""),5406.0)</f>
        <v>5406</v>
      </c>
      <c r="F70" s="15">
        <f>IFERROR(__xludf.DUMMYFUNCTION("""COMPUTED_VALUE"""),4926.0)</f>
        <v>4926</v>
      </c>
      <c r="G70" s="15">
        <f>IFERROR(__xludf.DUMMYFUNCTION("""COMPUTED_VALUE"""),4499.0)</f>
        <v>4499</v>
      </c>
      <c r="H70" s="15">
        <f>IFERROR(__xludf.DUMMYFUNCTION("""COMPUTED_VALUE"""),3940.0)</f>
        <v>3940</v>
      </c>
      <c r="I70" s="15">
        <f>IFERROR(__xludf.DUMMYFUNCTION("""COMPUTED_VALUE"""),140.0)</f>
        <v>140</v>
      </c>
      <c r="J70" s="15">
        <f>IFERROR(__xludf.DUMMYFUNCTION("""COMPUTED_VALUE"""),121.0)</f>
        <v>121</v>
      </c>
    </row>
    <row r="71">
      <c r="A71" s="15" t="str">
        <f>IFERROR(__xludf.DUMMYFUNCTION("""COMPUTED_VALUE"""),"Qualification 70")</f>
        <v>Qualification 70</v>
      </c>
      <c r="B71" s="15" t="str">
        <f>IFERROR(__xludf.DUMMYFUNCTION("""COMPUTED_VALUE"""),"Sun 7/17 - 10:24 AM")</f>
        <v>Sun 7/17 - 10:24 AM</v>
      </c>
      <c r="C71" s="15">
        <f>IFERROR(__xludf.DUMMYFUNCTION("""COMPUTED_VALUE"""),325.0)</f>
        <v>325</v>
      </c>
      <c r="D71" s="15">
        <f>IFERROR(__xludf.DUMMYFUNCTION("""COMPUTED_VALUE"""),2338.0)</f>
        <v>2338</v>
      </c>
      <c r="E71" s="15">
        <f>IFERROR(__xludf.DUMMYFUNCTION("""COMPUTED_VALUE"""),2614.0)</f>
        <v>2614</v>
      </c>
      <c r="F71" s="15">
        <f>IFERROR(__xludf.DUMMYFUNCTION("""COMPUTED_VALUE"""),7457.0)</f>
        <v>7457</v>
      </c>
      <c r="G71" s="15">
        <f>IFERROR(__xludf.DUMMYFUNCTION("""COMPUTED_VALUE"""),694.0)</f>
        <v>694</v>
      </c>
      <c r="H71" s="15">
        <f>IFERROR(__xludf.DUMMYFUNCTION("""COMPUTED_VALUE"""),4028.0)</f>
        <v>4028</v>
      </c>
      <c r="I71" s="15">
        <f>IFERROR(__xludf.DUMMYFUNCTION("""COMPUTED_VALUE"""),75.0)</f>
        <v>75</v>
      </c>
      <c r="J71" s="15">
        <f>IFERROR(__xludf.DUMMYFUNCTION("""COMPUTED_VALUE"""),116.0)</f>
        <v>116</v>
      </c>
    </row>
    <row r="72">
      <c r="A72" s="15" t="str">
        <f>IFERROR(__xludf.DUMMYFUNCTION("""COMPUTED_VALUE"""),"Qualification 71")</f>
        <v>Qualification 71</v>
      </c>
      <c r="B72" s="15" t="str">
        <f>IFERROR(__xludf.DUMMYFUNCTION("""COMPUTED_VALUE"""),"Sun 7/17 - 10:36 AM")</f>
        <v>Sun 7/17 - 10:36 AM</v>
      </c>
      <c r="C72" s="15">
        <f>IFERROR(__xludf.DUMMYFUNCTION("""COMPUTED_VALUE"""),2363.0)</f>
        <v>2363</v>
      </c>
      <c r="D72" s="15">
        <f>IFERROR(__xludf.DUMMYFUNCTION("""COMPUTED_VALUE"""),4143.0)</f>
        <v>4143</v>
      </c>
      <c r="E72" s="15">
        <f>IFERROR(__xludf.DUMMYFUNCTION("""COMPUTED_VALUE"""),195.0)</f>
        <v>195</v>
      </c>
      <c r="F72" s="15">
        <f>IFERROR(__xludf.DUMMYFUNCTION("""COMPUTED_VALUE"""),2075.0)</f>
        <v>2075</v>
      </c>
      <c r="G72" s="15">
        <f>IFERROR(__xludf.DUMMYFUNCTION("""COMPUTED_VALUE"""),234.0)</f>
        <v>234</v>
      </c>
      <c r="H72" s="15">
        <f>IFERROR(__xludf.DUMMYFUNCTION("""COMPUTED_VALUE"""),2539.0)</f>
        <v>2539</v>
      </c>
      <c r="I72" s="15">
        <f>IFERROR(__xludf.DUMMYFUNCTION("""COMPUTED_VALUE"""),130.0)</f>
        <v>130</v>
      </c>
      <c r="J72" s="15">
        <f>IFERROR(__xludf.DUMMYFUNCTION("""COMPUTED_VALUE"""),125.0)</f>
        <v>125</v>
      </c>
    </row>
    <row r="73">
      <c r="A73" s="15" t="str">
        <f>IFERROR(__xludf.DUMMYFUNCTION("""COMPUTED_VALUE"""),"Qualification 72")</f>
        <v>Qualification 72</v>
      </c>
      <c r="B73" s="15" t="str">
        <f>IFERROR(__xludf.DUMMYFUNCTION("""COMPUTED_VALUE"""),"Sun 7/17 - 10:45 AM")</f>
        <v>Sun 7/17 - 10:45 AM</v>
      </c>
      <c r="C73" s="15">
        <f>IFERROR(__xludf.DUMMYFUNCTION("""COMPUTED_VALUE"""),587.0)</f>
        <v>587</v>
      </c>
      <c r="D73" s="15">
        <f>IFERROR(__xludf.DUMMYFUNCTION("""COMPUTED_VALUE"""),4099.0)</f>
        <v>4099</v>
      </c>
      <c r="E73" s="15">
        <f>IFERROR(__xludf.DUMMYFUNCTION("""COMPUTED_VALUE"""),5010.0)</f>
        <v>5010</v>
      </c>
      <c r="F73" s="15">
        <f>IFERROR(__xludf.DUMMYFUNCTION("""COMPUTED_VALUE"""),2767.0)</f>
        <v>2767</v>
      </c>
      <c r="G73" s="15">
        <f>IFERROR(__xludf.DUMMYFUNCTION("""COMPUTED_VALUE"""),180.0)</f>
        <v>180</v>
      </c>
      <c r="H73" s="15">
        <f>IFERROR(__xludf.DUMMYFUNCTION("""COMPUTED_VALUE"""),1987.0)</f>
        <v>1987</v>
      </c>
      <c r="I73" s="15">
        <f>IFERROR(__xludf.DUMMYFUNCTION("""COMPUTED_VALUE"""),78.0)</f>
        <v>78</v>
      </c>
      <c r="J73" s="15">
        <f>IFERROR(__xludf.DUMMYFUNCTION("""COMPUTED_VALUE"""),127.0)</f>
        <v>127</v>
      </c>
    </row>
    <row r="74">
      <c r="A74" s="15" t="str">
        <f>IFERROR(__xludf.DUMMYFUNCTION("""COMPUTED_VALUE"""),"Qualification 73")</f>
        <v>Qualification 73</v>
      </c>
      <c r="B74" s="15" t="str">
        <f>IFERROR(__xludf.DUMMYFUNCTION("""COMPUTED_VALUE"""),"Sun 7/17 - 10:55 AM")</f>
        <v>Sun 7/17 - 10:55 AM</v>
      </c>
      <c r="C74" s="15">
        <f>IFERROR(__xludf.DUMMYFUNCTION("""COMPUTED_VALUE"""),829.0)</f>
        <v>829</v>
      </c>
      <c r="D74" s="15">
        <f>IFERROR(__xludf.DUMMYFUNCTION("""COMPUTED_VALUE"""),1720.0)</f>
        <v>1720</v>
      </c>
      <c r="E74" s="15">
        <f>IFERROR(__xludf.DUMMYFUNCTION("""COMPUTED_VALUE"""),67.0)</f>
        <v>67</v>
      </c>
      <c r="F74" s="15">
        <f>IFERROR(__xludf.DUMMYFUNCTION("""COMPUTED_VALUE"""),5712.0)</f>
        <v>5712</v>
      </c>
      <c r="G74" s="15">
        <f>IFERROR(__xludf.DUMMYFUNCTION("""COMPUTED_VALUE"""),340.0)</f>
        <v>340</v>
      </c>
      <c r="H74" s="15">
        <f>IFERROR(__xludf.DUMMYFUNCTION("""COMPUTED_VALUE"""),3538.0)</f>
        <v>3538</v>
      </c>
      <c r="I74" s="15">
        <f>IFERROR(__xludf.DUMMYFUNCTION("""COMPUTED_VALUE"""),97.0)</f>
        <v>97</v>
      </c>
      <c r="J74" s="15">
        <f>IFERROR(__xludf.DUMMYFUNCTION("""COMPUTED_VALUE"""),137.0)</f>
        <v>137</v>
      </c>
    </row>
    <row r="75">
      <c r="A75" s="15" t="str">
        <f>IFERROR(__xludf.DUMMYFUNCTION("""COMPUTED_VALUE"""),"Qualification 74")</f>
        <v>Qualification 74</v>
      </c>
      <c r="B75" s="15" t="str">
        <f>IFERROR(__xludf.DUMMYFUNCTION("""COMPUTED_VALUE"""),"Sun 7/17 - 11:03 AM")</f>
        <v>Sun 7/17 - 11:03 AM</v>
      </c>
      <c r="C75" s="15">
        <f>IFERROR(__xludf.DUMMYFUNCTION("""COMPUTED_VALUE"""),1024.0)</f>
        <v>1024</v>
      </c>
      <c r="D75" s="15">
        <f>IFERROR(__xludf.DUMMYFUNCTION("""COMPUTED_VALUE"""),33.0)</f>
        <v>33</v>
      </c>
      <c r="E75" s="15">
        <f>IFERROR(__xludf.DUMMYFUNCTION("""COMPUTED_VALUE"""),624.0)</f>
        <v>624</v>
      </c>
      <c r="F75" s="15">
        <f>IFERROR(__xludf.DUMMYFUNCTION("""COMPUTED_VALUE"""),5406.0)</f>
        <v>5406</v>
      </c>
      <c r="G75" s="15">
        <f>IFERROR(__xludf.DUMMYFUNCTION("""COMPUTED_VALUE"""),4265.0)</f>
        <v>4265</v>
      </c>
      <c r="H75" s="15">
        <f>IFERROR(__xludf.DUMMYFUNCTION("""COMPUTED_VALUE"""),4499.0)</f>
        <v>4499</v>
      </c>
      <c r="I75" s="15">
        <f>IFERROR(__xludf.DUMMYFUNCTION("""COMPUTED_VALUE"""),124.0)</f>
        <v>124</v>
      </c>
      <c r="J75" s="15">
        <f>IFERROR(__xludf.DUMMYFUNCTION("""COMPUTED_VALUE"""),145.0)</f>
        <v>145</v>
      </c>
    </row>
    <row r="76">
      <c r="A76" s="15" t="str">
        <f>IFERROR(__xludf.DUMMYFUNCTION("""COMPUTED_VALUE"""),"Qualification 75")</f>
        <v>Qualification 75</v>
      </c>
      <c r="B76" s="15" t="str">
        <f>IFERROR(__xludf.DUMMYFUNCTION("""COMPUTED_VALUE"""),"Sun 7/17 - 11:10 AM")</f>
        <v>Sun 7/17 - 11:10 AM</v>
      </c>
      <c r="C76" s="15">
        <f>IFERROR(__xludf.DUMMYFUNCTION("""COMPUTED_VALUE"""),4028.0)</f>
        <v>4028</v>
      </c>
      <c r="D76" s="15">
        <f>IFERROR(__xludf.DUMMYFUNCTION("""COMPUTED_VALUE"""),1730.0)</f>
        <v>1730</v>
      </c>
      <c r="E76" s="15">
        <f>IFERROR(__xludf.DUMMYFUNCTION("""COMPUTED_VALUE"""),2468.0)</f>
        <v>2468</v>
      </c>
      <c r="F76" s="15">
        <f>IFERROR(__xludf.DUMMYFUNCTION("""COMPUTED_VALUE"""),3175.0)</f>
        <v>3175</v>
      </c>
      <c r="G76" s="15">
        <f>IFERROR(__xludf.DUMMYFUNCTION("""COMPUTED_VALUE"""),3176.0)</f>
        <v>3176</v>
      </c>
      <c r="H76" s="15">
        <f>IFERROR(__xludf.DUMMYFUNCTION("""COMPUTED_VALUE"""),3940.0)</f>
        <v>3940</v>
      </c>
      <c r="I76" s="15">
        <f>IFERROR(__xludf.DUMMYFUNCTION("""COMPUTED_VALUE"""),105.0)</f>
        <v>105</v>
      </c>
      <c r="J76" s="15">
        <f>IFERROR(__xludf.DUMMYFUNCTION("""COMPUTED_VALUE"""),107.0)</f>
        <v>107</v>
      </c>
    </row>
    <row r="77">
      <c r="A77" s="15" t="str">
        <f>IFERROR(__xludf.DUMMYFUNCTION("""COMPUTED_VALUE"""),"Qualification 76")</f>
        <v>Qualification 76</v>
      </c>
      <c r="B77" s="15" t="str">
        <f>IFERROR(__xludf.DUMMYFUNCTION("""COMPUTED_VALUE"""),"Sun 7/17 - 11:17 AM")</f>
        <v>Sun 7/17 - 11:17 AM</v>
      </c>
      <c r="C77" s="15">
        <f>IFERROR(__xludf.DUMMYFUNCTION("""COMPUTED_VALUE"""),1533.0)</f>
        <v>1533</v>
      </c>
      <c r="D77" s="15">
        <f>IFERROR(__xludf.DUMMYFUNCTION("""COMPUTED_VALUE"""),1706.0)</f>
        <v>1706</v>
      </c>
      <c r="E77" s="15">
        <f>IFERROR(__xludf.DUMMYFUNCTION("""COMPUTED_VALUE"""),234.0)</f>
        <v>234</v>
      </c>
      <c r="F77" s="15">
        <f>IFERROR(__xludf.DUMMYFUNCTION("""COMPUTED_VALUE"""),694.0)</f>
        <v>694</v>
      </c>
      <c r="G77" s="15">
        <f>IFERROR(__xludf.DUMMYFUNCTION("""COMPUTED_VALUE"""),1339.0)</f>
        <v>1339</v>
      </c>
      <c r="H77" s="15">
        <f>IFERROR(__xludf.DUMMYFUNCTION("""COMPUTED_VALUE"""),27.0)</f>
        <v>27</v>
      </c>
      <c r="I77" s="15">
        <f>IFERROR(__xludf.DUMMYFUNCTION("""COMPUTED_VALUE"""),146.0)</f>
        <v>146</v>
      </c>
      <c r="J77" s="15">
        <f>IFERROR(__xludf.DUMMYFUNCTION("""COMPUTED_VALUE"""),118.0)</f>
        <v>118</v>
      </c>
    </row>
    <row r="78">
      <c r="A78" s="15" t="str">
        <f>IFERROR(__xludf.DUMMYFUNCTION("""COMPUTED_VALUE"""),"Qualification 77")</f>
        <v>Qualification 77</v>
      </c>
      <c r="B78" s="15" t="str">
        <f>IFERROR(__xludf.DUMMYFUNCTION("""COMPUTED_VALUE"""),"Sun 7/17 - 12:09 PM")</f>
        <v>Sun 7/17 - 12:09 PM</v>
      </c>
      <c r="C78" s="15">
        <f>IFERROR(__xludf.DUMMYFUNCTION("""COMPUTED_VALUE"""),2363.0)</f>
        <v>2363</v>
      </c>
      <c r="D78" s="15">
        <f>IFERROR(__xludf.DUMMYFUNCTION("""COMPUTED_VALUE"""),587.0)</f>
        <v>587</v>
      </c>
      <c r="E78" s="15">
        <f>IFERROR(__xludf.DUMMYFUNCTION("""COMPUTED_VALUE"""),4926.0)</f>
        <v>4926</v>
      </c>
      <c r="F78" s="15">
        <f>IFERROR(__xludf.DUMMYFUNCTION("""COMPUTED_VALUE"""),325.0)</f>
        <v>325</v>
      </c>
      <c r="G78" s="15">
        <f>IFERROR(__xludf.DUMMYFUNCTION("""COMPUTED_VALUE"""),7457.0)</f>
        <v>7457</v>
      </c>
      <c r="H78" s="15">
        <f>IFERROR(__xludf.DUMMYFUNCTION("""COMPUTED_VALUE"""),4099.0)</f>
        <v>4099</v>
      </c>
      <c r="I78" s="15">
        <f>IFERROR(__xludf.DUMMYFUNCTION("""COMPUTED_VALUE"""),125.0)</f>
        <v>125</v>
      </c>
      <c r="J78" s="15">
        <f>IFERROR(__xludf.DUMMYFUNCTION("""COMPUTED_VALUE"""),87.0)</f>
        <v>87</v>
      </c>
    </row>
    <row r="79">
      <c r="A79" s="15" t="str">
        <f>IFERROR(__xludf.DUMMYFUNCTION("""COMPUTED_VALUE"""),"Qualification 78")</f>
        <v>Qualification 78</v>
      </c>
      <c r="B79" s="15" t="str">
        <f>IFERROR(__xludf.DUMMYFUNCTION("""COMPUTED_VALUE"""),"Sun 7/17 - 11:39 AM")</f>
        <v>Sun 7/17 - 11:39 AM</v>
      </c>
      <c r="C79" s="15">
        <f>IFERROR(__xludf.DUMMYFUNCTION("""COMPUTED_VALUE"""),1023.0)</f>
        <v>1023</v>
      </c>
      <c r="D79" s="15">
        <f>IFERROR(__xludf.DUMMYFUNCTION("""COMPUTED_VALUE"""),2539.0)</f>
        <v>2539</v>
      </c>
      <c r="E79" s="15">
        <f>IFERROR(__xludf.DUMMYFUNCTION("""COMPUTED_VALUE"""),5484.0)</f>
        <v>5484</v>
      </c>
      <c r="F79" s="15">
        <f>IFERROR(__xludf.DUMMYFUNCTION("""COMPUTED_VALUE"""),5010.0)</f>
        <v>5010</v>
      </c>
      <c r="G79" s="15">
        <f>IFERROR(__xludf.DUMMYFUNCTION("""COMPUTED_VALUE"""),503.0)</f>
        <v>503</v>
      </c>
      <c r="H79" s="15">
        <f>IFERROR(__xludf.DUMMYFUNCTION("""COMPUTED_VALUE"""),2056.0)</f>
        <v>2056</v>
      </c>
      <c r="I79" s="15">
        <f>IFERROR(__xludf.DUMMYFUNCTION("""COMPUTED_VALUE"""),108.0)</f>
        <v>108</v>
      </c>
      <c r="J79" s="15">
        <f>IFERROR(__xludf.DUMMYFUNCTION("""COMPUTED_VALUE"""),109.0)</f>
        <v>109</v>
      </c>
    </row>
    <row r="80">
      <c r="A80" s="15" t="str">
        <f>IFERROR(__xludf.DUMMYFUNCTION("""COMPUTED_VALUE"""),"Qualification 79")</f>
        <v>Qualification 79</v>
      </c>
      <c r="B80" s="15" t="str">
        <f>IFERROR(__xludf.DUMMYFUNCTION("""COMPUTED_VALUE"""),"Sun 7/17 - 11:49 AM")</f>
        <v>Sun 7/17 - 11:49 AM</v>
      </c>
      <c r="C80" s="15">
        <f>IFERROR(__xludf.DUMMYFUNCTION("""COMPUTED_VALUE"""),180.0)</f>
        <v>180</v>
      </c>
      <c r="D80" s="15">
        <f>IFERROR(__xludf.DUMMYFUNCTION("""COMPUTED_VALUE"""),3357.0)</f>
        <v>3357</v>
      </c>
      <c r="E80" s="15">
        <f>IFERROR(__xludf.DUMMYFUNCTION("""COMPUTED_VALUE"""),195.0)</f>
        <v>195</v>
      </c>
      <c r="F80" s="15">
        <f>IFERROR(__xludf.DUMMYFUNCTION("""COMPUTED_VALUE"""),1732.0)</f>
        <v>1732</v>
      </c>
      <c r="G80" s="15">
        <f>IFERROR(__xludf.DUMMYFUNCTION("""COMPUTED_VALUE"""),118.0)</f>
        <v>118</v>
      </c>
      <c r="H80" s="15">
        <f>IFERROR(__xludf.DUMMYFUNCTION("""COMPUTED_VALUE"""),2767.0)</f>
        <v>2767</v>
      </c>
      <c r="I80" s="15">
        <f>IFERROR(__xludf.DUMMYFUNCTION("""COMPUTED_VALUE"""),136.0)</f>
        <v>136</v>
      </c>
      <c r="J80" s="15">
        <f>IFERROR(__xludf.DUMMYFUNCTION("""COMPUTED_VALUE"""),150.0)</f>
        <v>150</v>
      </c>
    </row>
    <row r="81">
      <c r="A81" s="15" t="str">
        <f>IFERROR(__xludf.DUMMYFUNCTION("""COMPUTED_VALUE"""),"Qualification 80")</f>
        <v>Qualification 80</v>
      </c>
      <c r="B81" s="15" t="str">
        <f>IFERROR(__xludf.DUMMYFUNCTION("""COMPUTED_VALUE"""),"Sun 7/17 - 11:59 AM")</f>
        <v>Sun 7/17 - 11:59 AM</v>
      </c>
      <c r="C81" s="15">
        <f>IFERROR(__xludf.DUMMYFUNCTION("""COMPUTED_VALUE"""),2614.0)</f>
        <v>2614</v>
      </c>
      <c r="D81" s="15">
        <f>IFERROR(__xludf.DUMMYFUNCTION("""COMPUTED_VALUE"""),4635.0)</f>
        <v>4635</v>
      </c>
      <c r="E81" s="15">
        <f>IFERROR(__xludf.DUMMYFUNCTION("""COMPUTED_VALUE"""),1987.0)</f>
        <v>1987</v>
      </c>
      <c r="F81" s="15">
        <f>IFERROR(__xludf.DUMMYFUNCTION("""COMPUTED_VALUE"""),4143.0)</f>
        <v>4143</v>
      </c>
      <c r="G81" s="15">
        <f>IFERROR(__xludf.DUMMYFUNCTION("""COMPUTED_VALUE"""),2338.0)</f>
        <v>2338</v>
      </c>
      <c r="H81" s="15">
        <f>IFERROR(__xludf.DUMMYFUNCTION("""COMPUTED_VALUE"""),2075.0)</f>
        <v>2075</v>
      </c>
      <c r="I81" s="15">
        <f>IFERROR(__xludf.DUMMYFUNCTION("""COMPUTED_VALUE"""),115.0)</f>
        <v>115</v>
      </c>
      <c r="J81" s="15">
        <f>IFERROR(__xludf.DUMMYFUNCTION("""COMPUTED_VALUE"""),122.0)</f>
        <v>122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0.75"/>
  </cols>
  <sheetData>
    <row r="1">
      <c r="B1" s="18" t="s">
        <v>619</v>
      </c>
      <c r="C1" s="18" t="s">
        <v>620</v>
      </c>
      <c r="E1" s="18" t="s">
        <v>586</v>
      </c>
      <c r="F1" s="18" t="s">
        <v>621</v>
      </c>
      <c r="G1" s="18" t="s">
        <v>622</v>
      </c>
      <c r="H1" s="18" t="s">
        <v>623</v>
      </c>
      <c r="J1" s="18" t="s">
        <v>579</v>
      </c>
      <c r="K1" s="18" t="s">
        <v>1</v>
      </c>
    </row>
    <row r="2">
      <c r="B2" s="15">
        <f>RawTotals!A2</f>
        <v>1023</v>
      </c>
      <c r="C2" s="214">
        <f>Picklist!D2</f>
        <v>1</v>
      </c>
      <c r="E2" s="143" t="str">
        <f>Picklist!B2</f>
        <v/>
      </c>
      <c r="F2" s="143">
        <f t="shared" ref="F2:F75" si="1">IF(ISBLANK(E2),C2,E2)</f>
        <v>1</v>
      </c>
      <c r="G2" s="18">
        <v>2.0</v>
      </c>
      <c r="H2" s="143">
        <f t="shared" ref="H2:H75" si="2">IF(F2=F3,(IF(F3&lt;=F2,G2)),F2)</f>
        <v>1</v>
      </c>
      <c r="I2" s="15">
        <f t="shared" ref="I2:I75" si="3">B2</f>
        <v>1023</v>
      </c>
      <c r="J2" s="143">
        <f t="array" ref="J2:K1001">SORT(H2:I1001)</f>
        <v>0.5</v>
      </c>
      <c r="K2" s="15">
        <v>180.0</v>
      </c>
    </row>
    <row r="3">
      <c r="B3" s="15">
        <f>RawTotals!A3</f>
        <v>2056</v>
      </c>
      <c r="C3" s="214">
        <f>Picklist!D3</f>
        <v>2</v>
      </c>
      <c r="E3" s="143" t="str">
        <f>Picklist!B3</f>
        <v/>
      </c>
      <c r="F3" s="143">
        <f t="shared" si="1"/>
        <v>2</v>
      </c>
      <c r="G3" s="18">
        <v>3.0</v>
      </c>
      <c r="H3" s="143">
        <f t="shared" si="2"/>
        <v>2</v>
      </c>
      <c r="I3" s="15">
        <f t="shared" si="3"/>
        <v>2056</v>
      </c>
      <c r="J3" s="143">
        <v>0.5</v>
      </c>
      <c r="K3" s="15">
        <v>3538.0</v>
      </c>
    </row>
    <row r="4">
      <c r="B4" s="15">
        <f>RawTotals!A4</f>
        <v>1339</v>
      </c>
      <c r="C4" s="214">
        <f>Picklist!D4</f>
        <v>3</v>
      </c>
      <c r="E4" s="143">
        <f>Picklist!B4</f>
        <v>1.1</v>
      </c>
      <c r="F4" s="143">
        <f t="shared" si="1"/>
        <v>1.1</v>
      </c>
      <c r="G4" s="18">
        <v>4.0</v>
      </c>
      <c r="H4" s="143">
        <f t="shared" si="2"/>
        <v>1.1</v>
      </c>
      <c r="I4" s="15">
        <f t="shared" si="3"/>
        <v>1339</v>
      </c>
      <c r="J4" s="143">
        <v>0.6</v>
      </c>
      <c r="K4" s="15">
        <v>4028.0</v>
      </c>
    </row>
    <row r="5">
      <c r="B5" s="15">
        <f>RawTotals!A5</f>
        <v>3538</v>
      </c>
      <c r="C5" s="214">
        <f>Picklist!D5</f>
        <v>4</v>
      </c>
      <c r="E5" s="143">
        <f>Picklist!B5</f>
        <v>0.5</v>
      </c>
      <c r="F5" s="143">
        <f t="shared" si="1"/>
        <v>0.5</v>
      </c>
      <c r="G5" s="18">
        <v>5.0</v>
      </c>
      <c r="H5" s="143">
        <f t="shared" si="2"/>
        <v>0.5</v>
      </c>
      <c r="I5" s="15">
        <f t="shared" si="3"/>
        <v>3538</v>
      </c>
      <c r="J5" s="143">
        <v>0.7</v>
      </c>
      <c r="K5" s="15">
        <v>340.0</v>
      </c>
    </row>
    <row r="6">
      <c r="B6" s="15">
        <f>RawTotals!A6</f>
        <v>340</v>
      </c>
      <c r="C6" s="214">
        <f>Picklist!D6</f>
        <v>5</v>
      </c>
      <c r="E6" s="143">
        <f>Picklist!B6</f>
        <v>0.7</v>
      </c>
      <c r="F6" s="143">
        <f t="shared" si="1"/>
        <v>0.7</v>
      </c>
      <c r="G6" s="18">
        <v>6.0</v>
      </c>
      <c r="H6" s="143">
        <f t="shared" si="2"/>
        <v>0.7</v>
      </c>
      <c r="I6" s="15">
        <f t="shared" si="3"/>
        <v>340</v>
      </c>
      <c r="J6" s="143">
        <v>1.0</v>
      </c>
      <c r="K6" s="15">
        <v>1023.0</v>
      </c>
    </row>
    <row r="7">
      <c r="B7" s="15">
        <f>RawTotals!A7</f>
        <v>180</v>
      </c>
      <c r="C7" s="214">
        <f>Picklist!D7</f>
        <v>6</v>
      </c>
      <c r="E7" s="143">
        <f>Picklist!B7</f>
        <v>0.5</v>
      </c>
      <c r="F7" s="143">
        <f t="shared" si="1"/>
        <v>0.5</v>
      </c>
      <c r="G7" s="18">
        <v>7.0</v>
      </c>
      <c r="H7" s="143">
        <f t="shared" si="2"/>
        <v>0.5</v>
      </c>
      <c r="I7" s="15">
        <f t="shared" si="3"/>
        <v>180</v>
      </c>
      <c r="J7" s="143">
        <v>1.1</v>
      </c>
      <c r="K7" s="15">
        <v>1339.0</v>
      </c>
    </row>
    <row r="8">
      <c r="B8" s="15">
        <f>RawTotals!A8</f>
        <v>4028</v>
      </c>
      <c r="C8" s="214">
        <f>Picklist!D8</f>
        <v>7</v>
      </c>
      <c r="E8" s="143">
        <f>Picklist!B8</f>
        <v>0.6</v>
      </c>
      <c r="F8" s="143">
        <f t="shared" si="1"/>
        <v>0.6</v>
      </c>
      <c r="G8" s="18">
        <v>8.0</v>
      </c>
      <c r="H8" s="143">
        <f t="shared" si="2"/>
        <v>0.6</v>
      </c>
      <c r="I8" s="15">
        <f t="shared" si="3"/>
        <v>4028</v>
      </c>
      <c r="J8" s="143">
        <v>2.0</v>
      </c>
      <c r="K8" s="15">
        <v>2056.0</v>
      </c>
    </row>
    <row r="9">
      <c r="B9" s="15">
        <f>RawTotals!A9</f>
        <v>2767</v>
      </c>
      <c r="C9" s="214">
        <f>Picklist!D9</f>
        <v>8</v>
      </c>
      <c r="E9" s="143" t="str">
        <f>Picklist!B9</f>
        <v/>
      </c>
      <c r="F9" s="143">
        <f t="shared" si="1"/>
        <v>8</v>
      </c>
      <c r="G9" s="18">
        <v>9.0</v>
      </c>
      <c r="H9" s="143">
        <f t="shared" si="2"/>
        <v>8</v>
      </c>
      <c r="I9" s="15">
        <f t="shared" si="3"/>
        <v>2767</v>
      </c>
      <c r="J9" s="143">
        <v>7.5</v>
      </c>
      <c r="K9" s="15">
        <v>1533.0</v>
      </c>
    </row>
    <row r="10">
      <c r="B10" s="15">
        <f>RawTotals!A10</f>
        <v>5712</v>
      </c>
      <c r="C10" s="214">
        <f>Picklist!D10</f>
        <v>9</v>
      </c>
      <c r="E10" s="143">
        <f>Picklist!B10</f>
        <v>28</v>
      </c>
      <c r="F10" s="143">
        <f t="shared" si="1"/>
        <v>28</v>
      </c>
      <c r="G10" s="18">
        <v>10.0</v>
      </c>
      <c r="H10" s="143">
        <f t="shared" si="2"/>
        <v>28</v>
      </c>
      <c r="I10" s="15">
        <f t="shared" si="3"/>
        <v>5712</v>
      </c>
      <c r="J10" s="143">
        <v>7.5</v>
      </c>
      <c r="K10" s="15">
        <v>4499.0</v>
      </c>
    </row>
    <row r="11">
      <c r="B11" s="15">
        <f>RawTotals!A11</f>
        <v>4499</v>
      </c>
      <c r="C11" s="214">
        <f>Picklist!D11</f>
        <v>10</v>
      </c>
      <c r="E11" s="143">
        <f>Picklist!B11</f>
        <v>7.5</v>
      </c>
      <c r="F11" s="143">
        <f t="shared" si="1"/>
        <v>7.5</v>
      </c>
      <c r="G11" s="18">
        <v>11.0</v>
      </c>
      <c r="H11" s="143">
        <f t="shared" si="2"/>
        <v>7.5</v>
      </c>
      <c r="I11" s="15">
        <f t="shared" si="3"/>
        <v>4499</v>
      </c>
      <c r="J11" s="143">
        <v>8.0</v>
      </c>
      <c r="K11" s="15">
        <v>2767.0</v>
      </c>
    </row>
    <row r="12">
      <c r="B12" s="15">
        <f>RawTotals!A12</f>
        <v>2338</v>
      </c>
      <c r="C12" s="214">
        <f>Picklist!D12</f>
        <v>11</v>
      </c>
      <c r="E12" s="143" t="str">
        <f>Picklist!B12</f>
        <v/>
      </c>
      <c r="F12" s="143">
        <f t="shared" si="1"/>
        <v>11</v>
      </c>
      <c r="G12" s="18">
        <v>12.0</v>
      </c>
      <c r="H12" s="143">
        <f t="shared" si="2"/>
        <v>11</v>
      </c>
      <c r="I12" s="15">
        <f t="shared" si="3"/>
        <v>2338</v>
      </c>
      <c r="J12" s="143">
        <v>11.0</v>
      </c>
      <c r="K12" s="15">
        <v>2338.0</v>
      </c>
    </row>
    <row r="13">
      <c r="B13" s="15">
        <f>RawTotals!A13</f>
        <v>694</v>
      </c>
      <c r="C13" s="214">
        <f>Picklist!D13</f>
        <v>12</v>
      </c>
      <c r="E13" s="143" t="str">
        <f>Picklist!B13</f>
        <v/>
      </c>
      <c r="F13" s="143">
        <f t="shared" si="1"/>
        <v>12</v>
      </c>
      <c r="G13" s="18">
        <v>13.0</v>
      </c>
      <c r="H13" s="143">
        <f t="shared" si="2"/>
        <v>12</v>
      </c>
      <c r="I13" s="15">
        <f t="shared" si="3"/>
        <v>694</v>
      </c>
      <c r="J13" s="143">
        <v>11.5</v>
      </c>
      <c r="K13" s="15">
        <v>67.0</v>
      </c>
    </row>
    <row r="14">
      <c r="B14" s="15">
        <f>RawTotals!A14</f>
        <v>4143</v>
      </c>
      <c r="C14" s="214">
        <f>Picklist!D14</f>
        <v>13</v>
      </c>
      <c r="E14" s="143" t="str">
        <f>Picklist!B14</f>
        <v/>
      </c>
      <c r="F14" s="143">
        <f t="shared" si="1"/>
        <v>13</v>
      </c>
      <c r="G14" s="18">
        <v>14.0</v>
      </c>
      <c r="H14" s="143">
        <f t="shared" si="2"/>
        <v>13</v>
      </c>
      <c r="I14" s="15">
        <f t="shared" si="3"/>
        <v>4143</v>
      </c>
      <c r="J14" s="143">
        <v>11.9</v>
      </c>
      <c r="K14" s="15">
        <v>27.0</v>
      </c>
    </row>
    <row r="15">
      <c r="B15" s="15">
        <f>RawTotals!A15</f>
        <v>67</v>
      </c>
      <c r="C15" s="214">
        <f>Picklist!D15</f>
        <v>14</v>
      </c>
      <c r="E15" s="143">
        <f>Picklist!B15</f>
        <v>11.5</v>
      </c>
      <c r="F15" s="143">
        <f t="shared" si="1"/>
        <v>11.5</v>
      </c>
      <c r="G15" s="18">
        <v>15.0</v>
      </c>
      <c r="H15" s="143">
        <f t="shared" si="2"/>
        <v>11.5</v>
      </c>
      <c r="I15" s="15">
        <f t="shared" si="3"/>
        <v>67</v>
      </c>
      <c r="J15" s="143">
        <v>11.9</v>
      </c>
      <c r="K15" s="15">
        <v>4265.0</v>
      </c>
    </row>
    <row r="16">
      <c r="B16" s="15">
        <f>RawTotals!A16</f>
        <v>27</v>
      </c>
      <c r="C16" s="214">
        <f>Picklist!D16</f>
        <v>15</v>
      </c>
      <c r="E16" s="143">
        <f>Picklist!B16</f>
        <v>11.9</v>
      </c>
      <c r="F16" s="143">
        <f t="shared" si="1"/>
        <v>11.9</v>
      </c>
      <c r="G16" s="18">
        <v>16.0</v>
      </c>
      <c r="H16" s="143">
        <f t="shared" si="2"/>
        <v>11.9</v>
      </c>
      <c r="I16" s="15">
        <f t="shared" si="3"/>
        <v>27</v>
      </c>
      <c r="J16" s="143">
        <v>12.0</v>
      </c>
      <c r="K16" s="15">
        <v>694.0</v>
      </c>
    </row>
    <row r="17">
      <c r="B17" s="15">
        <f>RawTotals!A17</f>
        <v>118</v>
      </c>
      <c r="C17" s="214">
        <f>Picklist!D17</f>
        <v>16</v>
      </c>
      <c r="E17" s="143" t="str">
        <f>Picklist!B17</f>
        <v/>
      </c>
      <c r="F17" s="143">
        <f t="shared" si="1"/>
        <v>16</v>
      </c>
      <c r="G17" s="18">
        <v>17.0</v>
      </c>
      <c r="H17" s="143">
        <f t="shared" si="2"/>
        <v>16</v>
      </c>
      <c r="I17" s="15">
        <f t="shared" si="3"/>
        <v>118</v>
      </c>
      <c r="J17" s="143">
        <v>13.0</v>
      </c>
      <c r="K17" s="15">
        <v>4143.0</v>
      </c>
    </row>
    <row r="18">
      <c r="B18" s="15">
        <f>RawTotals!A18</f>
        <v>587</v>
      </c>
      <c r="C18" s="214">
        <f>Picklist!D18</f>
        <v>17</v>
      </c>
      <c r="E18" s="143" t="str">
        <f>Picklist!B18</f>
        <v/>
      </c>
      <c r="F18" s="143">
        <f t="shared" si="1"/>
        <v>17</v>
      </c>
      <c r="G18" s="18">
        <v>18.0</v>
      </c>
      <c r="H18" s="143">
        <f t="shared" si="2"/>
        <v>17</v>
      </c>
      <c r="I18" s="15">
        <f t="shared" si="3"/>
        <v>587</v>
      </c>
      <c r="J18" s="143">
        <v>15.5</v>
      </c>
      <c r="K18" s="15">
        <v>2539.0</v>
      </c>
    </row>
    <row r="19">
      <c r="B19" s="15">
        <f>RawTotals!A19</f>
        <v>195</v>
      </c>
      <c r="C19" s="214">
        <f>Picklist!D19</f>
        <v>18</v>
      </c>
      <c r="E19" s="143">
        <f>Picklist!B19</f>
        <v>16.1</v>
      </c>
      <c r="F19" s="143">
        <f t="shared" si="1"/>
        <v>16.1</v>
      </c>
      <c r="G19" s="18">
        <v>19.0</v>
      </c>
      <c r="H19" s="143">
        <f t="shared" si="2"/>
        <v>16.1</v>
      </c>
      <c r="I19" s="15">
        <f t="shared" si="3"/>
        <v>195</v>
      </c>
      <c r="J19" s="143">
        <v>16.0</v>
      </c>
      <c r="K19" s="15">
        <v>118.0</v>
      </c>
    </row>
    <row r="20">
      <c r="B20" s="15">
        <f>RawTotals!A20</f>
        <v>2468</v>
      </c>
      <c r="C20" s="214">
        <f>Picklist!D20</f>
        <v>19</v>
      </c>
      <c r="E20" s="143" t="str">
        <f>Picklist!B20</f>
        <v/>
      </c>
      <c r="F20" s="143">
        <f t="shared" si="1"/>
        <v>19</v>
      </c>
      <c r="G20" s="18">
        <v>20.0</v>
      </c>
      <c r="H20" s="143">
        <f t="shared" si="2"/>
        <v>19</v>
      </c>
      <c r="I20" s="15">
        <f t="shared" si="3"/>
        <v>2468</v>
      </c>
      <c r="J20" s="143">
        <v>16.1</v>
      </c>
      <c r="K20" s="15">
        <v>195.0</v>
      </c>
    </row>
    <row r="21">
      <c r="B21" s="15">
        <f>RawTotals!A21</f>
        <v>1706</v>
      </c>
      <c r="C21" s="214">
        <f>Picklist!D21</f>
        <v>20</v>
      </c>
      <c r="E21" s="143" t="str">
        <f>Picklist!B21</f>
        <v/>
      </c>
      <c r="F21" s="143">
        <f t="shared" si="1"/>
        <v>20</v>
      </c>
      <c r="G21" s="18">
        <v>21.0</v>
      </c>
      <c r="H21" s="143">
        <f t="shared" si="2"/>
        <v>20</v>
      </c>
      <c r="I21" s="15">
        <f t="shared" si="3"/>
        <v>1706</v>
      </c>
      <c r="J21" s="143">
        <v>16.9</v>
      </c>
      <c r="K21" s="15">
        <v>2363.0</v>
      </c>
    </row>
    <row r="22">
      <c r="B22" s="15">
        <f>RawTotals!A22</f>
        <v>3357</v>
      </c>
      <c r="C22" s="214">
        <f>Picklist!D22</f>
        <v>21</v>
      </c>
      <c r="E22" s="143">
        <f>Picklist!B22</f>
        <v>19.1</v>
      </c>
      <c r="F22" s="143">
        <f t="shared" si="1"/>
        <v>19.1</v>
      </c>
      <c r="G22" s="18">
        <v>22.0</v>
      </c>
      <c r="H22" s="143">
        <f t="shared" si="2"/>
        <v>19.1</v>
      </c>
      <c r="I22" s="15">
        <f t="shared" si="3"/>
        <v>3357</v>
      </c>
      <c r="J22" s="143">
        <v>17.0</v>
      </c>
      <c r="K22" s="15">
        <v>587.0</v>
      </c>
    </row>
    <row r="23">
      <c r="B23" s="15">
        <f>RawTotals!A23</f>
        <v>2539</v>
      </c>
      <c r="C23" s="214">
        <f>Picklist!D23</f>
        <v>22</v>
      </c>
      <c r="E23" s="143">
        <f>Picklist!B23</f>
        <v>15.5</v>
      </c>
      <c r="F23" s="143">
        <f t="shared" si="1"/>
        <v>15.5</v>
      </c>
      <c r="G23" s="18">
        <v>23.0</v>
      </c>
      <c r="H23" s="143">
        <f t="shared" si="2"/>
        <v>15.5</v>
      </c>
      <c r="I23" s="15">
        <f t="shared" si="3"/>
        <v>2539</v>
      </c>
      <c r="J23" s="143">
        <v>19.0</v>
      </c>
      <c r="K23" s="15">
        <v>2468.0</v>
      </c>
    </row>
    <row r="24">
      <c r="B24" s="15">
        <f>RawTotals!A24</f>
        <v>3940</v>
      </c>
      <c r="C24" s="214">
        <f>Picklist!D24</f>
        <v>23</v>
      </c>
      <c r="E24" s="143" t="str">
        <f>Picklist!B24</f>
        <v/>
      </c>
      <c r="F24" s="143">
        <f t="shared" si="1"/>
        <v>23</v>
      </c>
      <c r="G24" s="18">
        <v>24.0</v>
      </c>
      <c r="H24" s="143">
        <f t="shared" si="2"/>
        <v>23</v>
      </c>
      <c r="I24" s="15">
        <f t="shared" si="3"/>
        <v>3940</v>
      </c>
      <c r="J24" s="143">
        <v>19.1</v>
      </c>
      <c r="K24" s="15">
        <v>3357.0</v>
      </c>
    </row>
    <row r="25">
      <c r="B25" s="15">
        <f>RawTotals!A25</f>
        <v>4635</v>
      </c>
      <c r="C25" s="214">
        <f>Picklist!D25</f>
        <v>24</v>
      </c>
      <c r="E25" s="143">
        <f>Picklist!B25</f>
        <v>19.5</v>
      </c>
      <c r="F25" s="143">
        <f t="shared" si="1"/>
        <v>19.5</v>
      </c>
      <c r="G25" s="18">
        <v>25.0</v>
      </c>
      <c r="H25" s="143">
        <f t="shared" si="2"/>
        <v>19.5</v>
      </c>
      <c r="I25" s="15">
        <f t="shared" si="3"/>
        <v>4635</v>
      </c>
      <c r="J25" s="143">
        <v>19.5</v>
      </c>
      <c r="K25" s="15">
        <v>4635.0</v>
      </c>
    </row>
    <row r="26">
      <c r="B26" s="15">
        <f>RawTotals!A26</f>
        <v>1533</v>
      </c>
      <c r="C26" s="214">
        <f>Picklist!D26</f>
        <v>25</v>
      </c>
      <c r="E26" s="143">
        <f>Picklist!B26</f>
        <v>7.5</v>
      </c>
      <c r="F26" s="143">
        <f t="shared" si="1"/>
        <v>7.5</v>
      </c>
      <c r="G26" s="18">
        <v>26.0</v>
      </c>
      <c r="H26" s="143">
        <f t="shared" si="2"/>
        <v>7.5</v>
      </c>
      <c r="I26" s="15">
        <f t="shared" si="3"/>
        <v>1533</v>
      </c>
      <c r="J26" s="143">
        <v>19.6</v>
      </c>
      <c r="K26" s="15">
        <v>1987.0</v>
      </c>
    </row>
    <row r="27">
      <c r="B27" s="15">
        <f>RawTotals!A27</f>
        <v>33</v>
      </c>
      <c r="C27" s="214">
        <f>Picklist!D27</f>
        <v>26</v>
      </c>
      <c r="E27" s="143" t="str">
        <f>Picklist!B27</f>
        <v/>
      </c>
      <c r="F27" s="143">
        <f t="shared" si="1"/>
        <v>26</v>
      </c>
      <c r="G27" s="18">
        <v>27.0</v>
      </c>
      <c r="H27" s="143">
        <f t="shared" si="2"/>
        <v>26</v>
      </c>
      <c r="I27" s="15">
        <f t="shared" si="3"/>
        <v>33</v>
      </c>
      <c r="J27" s="143">
        <v>19.7</v>
      </c>
      <c r="K27" s="15">
        <v>7457.0</v>
      </c>
    </row>
    <row r="28">
      <c r="B28" s="15">
        <f>RawTotals!A28</f>
        <v>624</v>
      </c>
      <c r="C28" s="214">
        <f>Picklist!D28</f>
        <v>27</v>
      </c>
      <c r="E28" s="143" t="str">
        <f>Picklist!B28</f>
        <v/>
      </c>
      <c r="F28" s="143">
        <f t="shared" si="1"/>
        <v>27</v>
      </c>
      <c r="G28" s="18">
        <v>28.0</v>
      </c>
      <c r="H28" s="143">
        <f t="shared" si="2"/>
        <v>27</v>
      </c>
      <c r="I28" s="15">
        <f t="shared" si="3"/>
        <v>624</v>
      </c>
      <c r="J28" s="143">
        <v>19.8</v>
      </c>
      <c r="K28" s="15">
        <v>503.0</v>
      </c>
    </row>
    <row r="29">
      <c r="B29" s="15">
        <f>RawTotals!A29</f>
        <v>829</v>
      </c>
      <c r="C29" s="214">
        <f>Picklist!D29</f>
        <v>28</v>
      </c>
      <c r="E29" s="143" t="str">
        <f>Picklist!B29</f>
        <v/>
      </c>
      <c r="F29" s="143">
        <f t="shared" si="1"/>
        <v>28</v>
      </c>
      <c r="G29" s="18">
        <v>29.0</v>
      </c>
      <c r="H29" s="143">
        <f t="shared" si="2"/>
        <v>28</v>
      </c>
      <c r="I29" s="15">
        <f t="shared" si="3"/>
        <v>829</v>
      </c>
      <c r="J29" s="143">
        <v>19.9</v>
      </c>
      <c r="K29" s="15">
        <v>1024.0</v>
      </c>
    </row>
    <row r="30">
      <c r="B30" s="15">
        <f>RawTotals!A30</f>
        <v>7457</v>
      </c>
      <c r="C30" s="214">
        <f>Picklist!D30</f>
        <v>29</v>
      </c>
      <c r="E30" s="143">
        <f>Picklist!B30</f>
        <v>19.7</v>
      </c>
      <c r="F30" s="143">
        <f t="shared" si="1"/>
        <v>19.7</v>
      </c>
      <c r="G30" s="18">
        <v>30.0</v>
      </c>
      <c r="H30" s="143">
        <f t="shared" si="2"/>
        <v>19.7</v>
      </c>
      <c r="I30" s="15">
        <f t="shared" si="3"/>
        <v>7457</v>
      </c>
      <c r="J30" s="143">
        <v>20.0</v>
      </c>
      <c r="K30" s="15">
        <v>1706.0</v>
      </c>
    </row>
    <row r="31">
      <c r="B31" s="15">
        <f>RawTotals!A31</f>
        <v>1730</v>
      </c>
      <c r="C31" s="214">
        <f>Picklist!D31</f>
        <v>30</v>
      </c>
      <c r="E31" s="143" t="str">
        <f>Picklist!B31</f>
        <v/>
      </c>
      <c r="F31" s="143">
        <f t="shared" si="1"/>
        <v>30</v>
      </c>
      <c r="G31" s="18">
        <v>31.0</v>
      </c>
      <c r="H31" s="143">
        <f t="shared" si="2"/>
        <v>30</v>
      </c>
      <c r="I31" s="15">
        <f t="shared" si="3"/>
        <v>1730</v>
      </c>
      <c r="J31" s="143">
        <v>23.0</v>
      </c>
      <c r="K31" s="15">
        <v>3940.0</v>
      </c>
    </row>
    <row r="32">
      <c r="B32" s="15">
        <f>RawTotals!A32</f>
        <v>2363</v>
      </c>
      <c r="C32" s="214">
        <f>Picklist!D32</f>
        <v>31</v>
      </c>
      <c r="E32" s="143">
        <f>Picklist!B32</f>
        <v>16.9</v>
      </c>
      <c r="F32" s="143">
        <f t="shared" si="1"/>
        <v>16.9</v>
      </c>
      <c r="G32" s="18">
        <v>32.0</v>
      </c>
      <c r="H32" s="143">
        <f t="shared" si="2"/>
        <v>16.9</v>
      </c>
      <c r="I32" s="15">
        <f t="shared" si="3"/>
        <v>2363</v>
      </c>
      <c r="J32" s="143">
        <v>26.0</v>
      </c>
      <c r="K32" s="15">
        <v>33.0</v>
      </c>
    </row>
    <row r="33">
      <c r="B33" s="15">
        <f>RawTotals!A33</f>
        <v>1024</v>
      </c>
      <c r="C33" s="214">
        <f>Picklist!D33</f>
        <v>32</v>
      </c>
      <c r="E33" s="143">
        <f>Picklist!B33</f>
        <v>19.9</v>
      </c>
      <c r="F33" s="143">
        <f t="shared" si="1"/>
        <v>19.9</v>
      </c>
      <c r="G33" s="18">
        <v>33.0</v>
      </c>
      <c r="H33" s="143">
        <f t="shared" si="2"/>
        <v>19.9</v>
      </c>
      <c r="I33" s="15">
        <f t="shared" si="3"/>
        <v>1024</v>
      </c>
      <c r="J33" s="143">
        <v>27.0</v>
      </c>
      <c r="K33" s="15">
        <v>624.0</v>
      </c>
    </row>
    <row r="34">
      <c r="B34" s="15">
        <f>RawTotals!A34</f>
        <v>4926</v>
      </c>
      <c r="C34" s="214">
        <f>Picklist!D34</f>
        <v>33</v>
      </c>
      <c r="E34" s="143" t="str">
        <f>Picklist!B34</f>
        <v/>
      </c>
      <c r="F34" s="143">
        <f t="shared" si="1"/>
        <v>33</v>
      </c>
      <c r="G34" s="18">
        <v>34.0</v>
      </c>
      <c r="H34" s="143">
        <f t="shared" si="2"/>
        <v>33</v>
      </c>
      <c r="I34" s="15">
        <f t="shared" si="3"/>
        <v>4926</v>
      </c>
      <c r="J34" s="143">
        <v>28.0</v>
      </c>
      <c r="K34" s="15">
        <v>829.0</v>
      </c>
    </row>
    <row r="35">
      <c r="B35" s="15">
        <f>RawTotals!A35</f>
        <v>5484</v>
      </c>
      <c r="C35" s="214">
        <f>Picklist!D35</f>
        <v>34</v>
      </c>
      <c r="E35" s="143" t="str">
        <f>Picklist!B35</f>
        <v/>
      </c>
      <c r="F35" s="143">
        <f t="shared" si="1"/>
        <v>34</v>
      </c>
      <c r="G35" s="18">
        <v>35.0</v>
      </c>
      <c r="H35" s="143">
        <f t="shared" si="2"/>
        <v>34</v>
      </c>
      <c r="I35" s="15">
        <f t="shared" si="3"/>
        <v>5484</v>
      </c>
      <c r="J35" s="143">
        <v>28.0</v>
      </c>
      <c r="K35" s="15">
        <v>5712.0</v>
      </c>
    </row>
    <row r="36">
      <c r="B36" s="15">
        <f>RawTotals!A36</f>
        <v>503</v>
      </c>
      <c r="C36" s="214">
        <f>Picklist!D36</f>
        <v>35</v>
      </c>
      <c r="E36" s="143">
        <f>Picklist!B36</f>
        <v>19.8</v>
      </c>
      <c r="F36" s="143">
        <f t="shared" si="1"/>
        <v>19.8</v>
      </c>
      <c r="G36" s="18">
        <v>36.0</v>
      </c>
      <c r="H36" s="143">
        <f t="shared" si="2"/>
        <v>19.8</v>
      </c>
      <c r="I36" s="15">
        <f t="shared" si="3"/>
        <v>503</v>
      </c>
      <c r="J36" s="143">
        <v>30.0</v>
      </c>
      <c r="K36" s="15">
        <v>1730.0</v>
      </c>
    </row>
    <row r="37">
      <c r="B37" s="15">
        <f>RawTotals!A37</f>
        <v>2075</v>
      </c>
      <c r="C37" s="214">
        <f>Picklist!D37</f>
        <v>36</v>
      </c>
      <c r="E37" s="143" t="str">
        <f>Picklist!B37</f>
        <v/>
      </c>
      <c r="F37" s="143">
        <f t="shared" si="1"/>
        <v>36</v>
      </c>
      <c r="G37" s="18">
        <v>37.0</v>
      </c>
      <c r="H37" s="143">
        <f t="shared" si="2"/>
        <v>36</v>
      </c>
      <c r="I37" s="15">
        <f t="shared" si="3"/>
        <v>2075</v>
      </c>
      <c r="J37" s="143">
        <v>33.0</v>
      </c>
      <c r="K37" s="15">
        <v>4926.0</v>
      </c>
    </row>
    <row r="38">
      <c r="B38" s="15">
        <f>RawTotals!A38</f>
        <v>1987</v>
      </c>
      <c r="C38" s="214">
        <f>Picklist!D38</f>
        <v>37</v>
      </c>
      <c r="E38" s="143">
        <f>Picklist!B38</f>
        <v>19.6</v>
      </c>
      <c r="F38" s="143">
        <f t="shared" si="1"/>
        <v>19.6</v>
      </c>
      <c r="G38" s="18">
        <v>38.0</v>
      </c>
      <c r="H38" s="143">
        <f t="shared" si="2"/>
        <v>19.6</v>
      </c>
      <c r="I38" s="15">
        <f t="shared" si="3"/>
        <v>1987</v>
      </c>
      <c r="J38" s="143">
        <v>34.0</v>
      </c>
      <c r="K38" s="15">
        <v>5484.0</v>
      </c>
    </row>
    <row r="39">
      <c r="B39" s="15">
        <f>RawTotals!A39</f>
        <v>5406</v>
      </c>
      <c r="C39" s="214">
        <f>Picklist!D39</f>
        <v>38</v>
      </c>
      <c r="E39" s="143" t="str">
        <f>Picklist!B39</f>
        <v/>
      </c>
      <c r="F39" s="143">
        <f t="shared" si="1"/>
        <v>38</v>
      </c>
      <c r="G39" s="18">
        <v>39.0</v>
      </c>
      <c r="H39" s="143">
        <f t="shared" si="2"/>
        <v>38</v>
      </c>
      <c r="I39" s="15">
        <f t="shared" si="3"/>
        <v>5406</v>
      </c>
      <c r="J39" s="143">
        <v>36.0</v>
      </c>
      <c r="K39" s="15">
        <v>2075.0</v>
      </c>
    </row>
    <row r="40">
      <c r="B40" s="15">
        <f>RawTotals!A40</f>
        <v>1732</v>
      </c>
      <c r="C40" s="214">
        <f>Picklist!D40</f>
        <v>39</v>
      </c>
      <c r="E40" s="143" t="str">
        <f>Picklist!B40</f>
        <v/>
      </c>
      <c r="F40" s="143">
        <f t="shared" si="1"/>
        <v>39</v>
      </c>
      <c r="G40" s="18">
        <v>40.0</v>
      </c>
      <c r="H40" s="143">
        <f t="shared" si="2"/>
        <v>39</v>
      </c>
      <c r="I40" s="15">
        <f t="shared" si="3"/>
        <v>1732</v>
      </c>
      <c r="J40" s="143">
        <v>38.0</v>
      </c>
      <c r="K40" s="15">
        <v>5406.0</v>
      </c>
    </row>
    <row r="41">
      <c r="B41" s="15">
        <f>RawTotals!A41</f>
        <v>4265</v>
      </c>
      <c r="C41" s="214">
        <f>Picklist!D41</f>
        <v>40</v>
      </c>
      <c r="E41" s="143">
        <f>Picklist!B41</f>
        <v>11.9</v>
      </c>
      <c r="F41" s="143">
        <f t="shared" si="1"/>
        <v>11.9</v>
      </c>
      <c r="G41" s="18">
        <v>41.0</v>
      </c>
      <c r="H41" s="143">
        <f t="shared" si="2"/>
        <v>11.9</v>
      </c>
      <c r="I41" s="15">
        <f t="shared" si="3"/>
        <v>4265</v>
      </c>
      <c r="J41" s="143">
        <v>39.0</v>
      </c>
      <c r="K41" s="15">
        <v>1732.0</v>
      </c>
    </row>
    <row r="42">
      <c r="B42" s="15">
        <f>RawTotals!A42</f>
        <v>4099</v>
      </c>
      <c r="C42" s="214">
        <f>Picklist!D42</f>
        <v>41</v>
      </c>
      <c r="E42" s="143" t="str">
        <f>Picklist!B42</f>
        <v/>
      </c>
      <c r="F42" s="143">
        <f t="shared" si="1"/>
        <v>41</v>
      </c>
      <c r="G42" s="18">
        <v>42.0</v>
      </c>
      <c r="H42" s="143">
        <f t="shared" si="2"/>
        <v>41</v>
      </c>
      <c r="I42" s="15">
        <f t="shared" si="3"/>
        <v>4099</v>
      </c>
      <c r="J42" s="143">
        <v>41.0</v>
      </c>
      <c r="K42" s="15">
        <v>4099.0</v>
      </c>
    </row>
    <row r="43">
      <c r="B43" s="15">
        <f>RawTotals!A43</f>
        <v>5010</v>
      </c>
      <c r="C43" s="214">
        <f>Picklist!D43</f>
        <v>42</v>
      </c>
      <c r="E43" s="143" t="str">
        <f>Picklist!B43</f>
        <v/>
      </c>
      <c r="F43" s="143">
        <f t="shared" si="1"/>
        <v>42</v>
      </c>
      <c r="G43" s="18">
        <v>43.0</v>
      </c>
      <c r="H43" s="143">
        <f t="shared" si="2"/>
        <v>42</v>
      </c>
      <c r="I43" s="15">
        <f t="shared" si="3"/>
        <v>5010</v>
      </c>
      <c r="J43" s="143">
        <v>42.0</v>
      </c>
      <c r="K43" s="15">
        <v>5010.0</v>
      </c>
    </row>
    <row r="44">
      <c r="B44" s="15">
        <f>RawTotals!A44</f>
        <v>234</v>
      </c>
      <c r="C44" s="214">
        <f>Picklist!D44</f>
        <v>43</v>
      </c>
      <c r="E44" s="143" t="str">
        <f>Picklist!B44</f>
        <v/>
      </c>
      <c r="F44" s="143">
        <f t="shared" si="1"/>
        <v>43</v>
      </c>
      <c r="G44" s="18">
        <v>44.0</v>
      </c>
      <c r="H44" s="143">
        <f t="shared" si="2"/>
        <v>43</v>
      </c>
      <c r="I44" s="15">
        <f t="shared" si="3"/>
        <v>234</v>
      </c>
      <c r="J44" s="143">
        <v>43.0</v>
      </c>
      <c r="K44" s="15">
        <v>234.0</v>
      </c>
    </row>
    <row r="45">
      <c r="B45" s="15">
        <f>RawTotals!A45</f>
        <v>3176</v>
      </c>
      <c r="C45" s="214">
        <f>Picklist!D45</f>
        <v>44</v>
      </c>
      <c r="E45" s="143" t="str">
        <f>Picklist!B45</f>
        <v/>
      </c>
      <c r="F45" s="143">
        <f t="shared" si="1"/>
        <v>44</v>
      </c>
      <c r="G45" s="18">
        <v>45.0</v>
      </c>
      <c r="H45" s="143">
        <f t="shared" si="2"/>
        <v>44</v>
      </c>
      <c r="I45" s="15">
        <f t="shared" si="3"/>
        <v>3176</v>
      </c>
      <c r="J45" s="143">
        <v>44.0</v>
      </c>
      <c r="K45" s="15">
        <v>3176.0</v>
      </c>
    </row>
    <row r="46">
      <c r="B46" s="15">
        <f>RawTotals!A46</f>
        <v>1720</v>
      </c>
      <c r="C46" s="214">
        <f>Picklist!D46</f>
        <v>45</v>
      </c>
      <c r="E46" s="143" t="str">
        <f>Picklist!B46</f>
        <v/>
      </c>
      <c r="F46" s="143">
        <f t="shared" si="1"/>
        <v>45</v>
      </c>
      <c r="G46" s="18">
        <v>46.0</v>
      </c>
      <c r="H46" s="143">
        <f t="shared" si="2"/>
        <v>45</v>
      </c>
      <c r="I46" s="15">
        <f t="shared" si="3"/>
        <v>1720</v>
      </c>
      <c r="J46" s="143">
        <v>45.0</v>
      </c>
      <c r="K46" s="15">
        <v>1720.0</v>
      </c>
    </row>
    <row r="47">
      <c r="B47" s="15">
        <f>RawTotals!A47</f>
        <v>2614</v>
      </c>
      <c r="C47" s="214">
        <f>Picklist!D47</f>
        <v>46</v>
      </c>
      <c r="E47" s="143" t="str">
        <f>Picklist!B47</f>
        <v/>
      </c>
      <c r="F47" s="143">
        <f t="shared" si="1"/>
        <v>46</v>
      </c>
      <c r="G47" s="18">
        <v>47.0</v>
      </c>
      <c r="H47" s="143">
        <f t="shared" si="2"/>
        <v>46</v>
      </c>
      <c r="I47" s="15">
        <f t="shared" si="3"/>
        <v>2614</v>
      </c>
      <c r="J47" s="143">
        <v>46.0</v>
      </c>
      <c r="K47" s="15">
        <v>2614.0</v>
      </c>
    </row>
    <row r="48">
      <c r="B48" s="15">
        <f>RawTotals!A48</f>
        <v>3175</v>
      </c>
      <c r="C48" s="214">
        <f>Picklist!D48</f>
        <v>47</v>
      </c>
      <c r="E48" s="143" t="str">
        <f>Picklist!B48</f>
        <v/>
      </c>
      <c r="F48" s="143">
        <f t="shared" si="1"/>
        <v>47</v>
      </c>
      <c r="G48" s="18">
        <v>48.0</v>
      </c>
      <c r="H48" s="143">
        <f t="shared" si="2"/>
        <v>47</v>
      </c>
      <c r="I48" s="15">
        <f t="shared" si="3"/>
        <v>3175</v>
      </c>
      <c r="J48" s="143">
        <v>47.0</v>
      </c>
      <c r="K48" s="15">
        <v>3175.0</v>
      </c>
    </row>
    <row r="49">
      <c r="B49" s="15">
        <f>RawTotals!A49</f>
        <v>325</v>
      </c>
      <c r="C49" s="214">
        <f>Picklist!D49</f>
        <v>48</v>
      </c>
      <c r="E49" s="143" t="str">
        <f>Picklist!B49</f>
        <v/>
      </c>
      <c r="F49" s="143">
        <f t="shared" si="1"/>
        <v>48</v>
      </c>
      <c r="G49" s="18">
        <v>49.0</v>
      </c>
      <c r="H49" s="143">
        <f t="shared" si="2"/>
        <v>48</v>
      </c>
      <c r="I49" s="15">
        <f t="shared" si="3"/>
        <v>325</v>
      </c>
      <c r="J49" s="143">
        <v>48.0</v>
      </c>
      <c r="K49" s="15">
        <v>325.0</v>
      </c>
    </row>
    <row r="50">
      <c r="B50" s="15" t="str">
        <f>RawTotals!A50</f>
        <v/>
      </c>
      <c r="C50" s="214">
        <f>Picklist!D50</f>
        <v>49</v>
      </c>
      <c r="E50" s="143" t="str">
        <f>Picklist!B50</f>
        <v/>
      </c>
      <c r="F50" s="143">
        <f t="shared" si="1"/>
        <v>49</v>
      </c>
      <c r="G50" s="18">
        <v>50.0</v>
      </c>
      <c r="H50" s="143">
        <f t="shared" si="2"/>
        <v>49</v>
      </c>
      <c r="I50" s="15" t="str">
        <f t="shared" si="3"/>
        <v/>
      </c>
      <c r="J50" s="143">
        <v>49.0</v>
      </c>
      <c r="K50" s="15"/>
    </row>
    <row r="51">
      <c r="B51" s="15" t="str">
        <f>RawTotals!A51</f>
        <v/>
      </c>
      <c r="C51" s="214">
        <f>Picklist!D51</f>
        <v>50</v>
      </c>
      <c r="E51" s="143" t="str">
        <f>Picklist!B51</f>
        <v/>
      </c>
      <c r="F51" s="143">
        <f t="shared" si="1"/>
        <v>50</v>
      </c>
      <c r="G51" s="18">
        <v>51.0</v>
      </c>
      <c r="H51" s="143">
        <f t="shared" si="2"/>
        <v>50</v>
      </c>
      <c r="I51" s="15" t="str">
        <f t="shared" si="3"/>
        <v/>
      </c>
      <c r="J51" s="143">
        <v>50.0</v>
      </c>
      <c r="K51" s="15"/>
    </row>
    <row r="52">
      <c r="B52" s="15" t="str">
        <f>RawTotals!A52</f>
        <v/>
      </c>
      <c r="C52" s="214">
        <f>Picklist!D52</f>
        <v>51</v>
      </c>
      <c r="E52" s="143" t="str">
        <f>Picklist!B52</f>
        <v/>
      </c>
      <c r="F52" s="143">
        <f t="shared" si="1"/>
        <v>51</v>
      </c>
      <c r="G52" s="18">
        <v>52.0</v>
      </c>
      <c r="H52" s="143">
        <f t="shared" si="2"/>
        <v>51</v>
      </c>
      <c r="I52" s="15" t="str">
        <f t="shared" si="3"/>
        <v/>
      </c>
      <c r="J52" s="143">
        <v>51.0</v>
      </c>
      <c r="K52" s="15"/>
    </row>
    <row r="53">
      <c r="B53" s="15" t="str">
        <f>RawTotals!A53</f>
        <v/>
      </c>
      <c r="C53" s="214">
        <f>Picklist!D53</f>
        <v>52</v>
      </c>
      <c r="E53" s="143" t="str">
        <f>Picklist!B53</f>
        <v/>
      </c>
      <c r="F53" s="143">
        <f t="shared" si="1"/>
        <v>52</v>
      </c>
      <c r="G53" s="18">
        <v>53.0</v>
      </c>
      <c r="H53" s="143">
        <f t="shared" si="2"/>
        <v>52</v>
      </c>
      <c r="I53" s="15" t="str">
        <f t="shared" si="3"/>
        <v/>
      </c>
      <c r="J53" s="143">
        <v>52.0</v>
      </c>
      <c r="K53" s="15"/>
    </row>
    <row r="54">
      <c r="B54" s="15" t="str">
        <f>RawTotals!A54</f>
        <v/>
      </c>
      <c r="C54" s="214">
        <f>Picklist!D54</f>
        <v>53</v>
      </c>
      <c r="E54" s="143" t="str">
        <f>Picklist!B54</f>
        <v/>
      </c>
      <c r="F54" s="143">
        <f t="shared" si="1"/>
        <v>53</v>
      </c>
      <c r="G54" s="18">
        <v>54.0</v>
      </c>
      <c r="H54" s="143">
        <f t="shared" si="2"/>
        <v>53</v>
      </c>
      <c r="I54" s="15" t="str">
        <f t="shared" si="3"/>
        <v/>
      </c>
      <c r="J54" s="143">
        <v>53.0</v>
      </c>
      <c r="K54" s="15"/>
    </row>
    <row r="55">
      <c r="B55" s="15" t="str">
        <f>RawTotals!A55</f>
        <v/>
      </c>
      <c r="C55" s="214">
        <f>Picklist!D55</f>
        <v>54</v>
      </c>
      <c r="E55" s="143" t="str">
        <f>Picklist!B55</f>
        <v/>
      </c>
      <c r="F55" s="143">
        <f t="shared" si="1"/>
        <v>54</v>
      </c>
      <c r="G55" s="18">
        <v>55.0</v>
      </c>
      <c r="H55" s="143">
        <f t="shared" si="2"/>
        <v>54</v>
      </c>
      <c r="I55" s="15" t="str">
        <f t="shared" si="3"/>
        <v/>
      </c>
      <c r="J55" s="143">
        <v>54.0</v>
      </c>
      <c r="K55" s="15"/>
    </row>
    <row r="56">
      <c r="B56" s="15" t="str">
        <f>RawTotals!A56</f>
        <v/>
      </c>
      <c r="C56" s="214">
        <f>Picklist!D56</f>
        <v>55</v>
      </c>
      <c r="E56" s="143" t="str">
        <f>Picklist!B56</f>
        <v/>
      </c>
      <c r="F56" s="143">
        <f t="shared" si="1"/>
        <v>55</v>
      </c>
      <c r="G56" s="18">
        <v>56.0</v>
      </c>
      <c r="H56" s="143">
        <f t="shared" si="2"/>
        <v>55</v>
      </c>
      <c r="I56" s="15" t="str">
        <f t="shared" si="3"/>
        <v/>
      </c>
      <c r="J56" s="143">
        <v>55.0</v>
      </c>
      <c r="K56" s="15"/>
    </row>
    <row r="57">
      <c r="B57" s="15" t="str">
        <f>RawTotals!A57</f>
        <v/>
      </c>
      <c r="C57" s="214">
        <f>Picklist!D57</f>
        <v>56</v>
      </c>
      <c r="E57" s="143" t="str">
        <f>Picklist!B57</f>
        <v/>
      </c>
      <c r="F57" s="143">
        <f t="shared" si="1"/>
        <v>56</v>
      </c>
      <c r="G57" s="18">
        <v>57.0</v>
      </c>
      <c r="H57" s="143">
        <f t="shared" si="2"/>
        <v>56</v>
      </c>
      <c r="I57" s="15" t="str">
        <f t="shared" si="3"/>
        <v/>
      </c>
      <c r="J57" s="143">
        <v>56.0</v>
      </c>
      <c r="K57" s="15"/>
    </row>
    <row r="58">
      <c r="B58" s="15" t="str">
        <f>RawTotals!A58</f>
        <v/>
      </c>
      <c r="C58" s="214">
        <f>Picklist!D58</f>
        <v>57</v>
      </c>
      <c r="E58" s="143" t="str">
        <f>Picklist!B58</f>
        <v/>
      </c>
      <c r="F58" s="143">
        <f t="shared" si="1"/>
        <v>57</v>
      </c>
      <c r="G58" s="18">
        <v>58.0</v>
      </c>
      <c r="H58" s="143">
        <f t="shared" si="2"/>
        <v>57</v>
      </c>
      <c r="I58" s="15" t="str">
        <f t="shared" si="3"/>
        <v/>
      </c>
      <c r="J58" s="143">
        <v>57.0</v>
      </c>
      <c r="K58" s="15"/>
    </row>
    <row r="59">
      <c r="B59" s="15" t="str">
        <f>RawTotals!A59</f>
        <v/>
      </c>
      <c r="C59" s="214">
        <f>Picklist!D59</f>
        <v>58</v>
      </c>
      <c r="E59" s="143" t="str">
        <f>Picklist!B59</f>
        <v/>
      </c>
      <c r="F59" s="143">
        <f t="shared" si="1"/>
        <v>58</v>
      </c>
      <c r="G59" s="18">
        <v>59.0</v>
      </c>
      <c r="H59" s="143">
        <f t="shared" si="2"/>
        <v>58</v>
      </c>
      <c r="I59" s="15" t="str">
        <f t="shared" si="3"/>
        <v/>
      </c>
      <c r="J59" s="143">
        <v>58.0</v>
      </c>
      <c r="K59" s="15"/>
    </row>
    <row r="60">
      <c r="B60" s="15" t="str">
        <f>RawTotals!A60</f>
        <v/>
      </c>
      <c r="C60" s="214">
        <f>Picklist!D60</f>
        <v>59</v>
      </c>
      <c r="E60" s="143" t="str">
        <f>Picklist!B60</f>
        <v/>
      </c>
      <c r="F60" s="143">
        <f t="shared" si="1"/>
        <v>59</v>
      </c>
      <c r="G60" s="18">
        <v>60.0</v>
      </c>
      <c r="H60" s="143">
        <f t="shared" si="2"/>
        <v>59</v>
      </c>
      <c r="I60" s="15" t="str">
        <f t="shared" si="3"/>
        <v/>
      </c>
      <c r="J60" s="143">
        <v>59.0</v>
      </c>
      <c r="K60" s="15"/>
    </row>
    <row r="61">
      <c r="B61" s="15" t="str">
        <f>RawTotals!A61</f>
        <v/>
      </c>
      <c r="C61" s="214">
        <f>Picklist!D61</f>
        <v>60</v>
      </c>
      <c r="E61" s="143" t="str">
        <f>Picklist!B61</f>
        <v/>
      </c>
      <c r="F61" s="143">
        <f t="shared" si="1"/>
        <v>60</v>
      </c>
      <c r="G61" s="18">
        <v>61.0</v>
      </c>
      <c r="H61" s="143">
        <f t="shared" si="2"/>
        <v>60</v>
      </c>
      <c r="I61" s="15" t="str">
        <f t="shared" si="3"/>
        <v/>
      </c>
      <c r="J61" s="143">
        <v>60.0</v>
      </c>
      <c r="K61" s="15"/>
    </row>
    <row r="62">
      <c r="B62" s="15" t="str">
        <f>RawTotals!A62</f>
        <v/>
      </c>
      <c r="C62" s="214">
        <f>Picklist!D62</f>
        <v>61</v>
      </c>
      <c r="E62" s="143" t="str">
        <f>Picklist!B62</f>
        <v/>
      </c>
      <c r="F62" s="143">
        <f t="shared" si="1"/>
        <v>61</v>
      </c>
      <c r="G62" s="18">
        <v>62.0</v>
      </c>
      <c r="H62" s="143">
        <f t="shared" si="2"/>
        <v>61</v>
      </c>
      <c r="I62" s="15" t="str">
        <f t="shared" si="3"/>
        <v/>
      </c>
      <c r="J62" s="143">
        <v>61.0</v>
      </c>
      <c r="K62" s="15"/>
    </row>
    <row r="63">
      <c r="B63" s="15" t="str">
        <f>RawTotals!A63</f>
        <v/>
      </c>
      <c r="C63" s="214">
        <f>Picklist!D63</f>
        <v>62</v>
      </c>
      <c r="E63" s="143" t="str">
        <f>Picklist!B63</f>
        <v/>
      </c>
      <c r="F63" s="143">
        <f t="shared" si="1"/>
        <v>62</v>
      </c>
      <c r="G63" s="18">
        <v>63.0</v>
      </c>
      <c r="H63" s="143">
        <f t="shared" si="2"/>
        <v>62</v>
      </c>
      <c r="I63" s="15" t="str">
        <f t="shared" si="3"/>
        <v/>
      </c>
      <c r="J63" s="143">
        <v>62.0</v>
      </c>
      <c r="K63" s="15"/>
    </row>
    <row r="64">
      <c r="B64" s="15" t="str">
        <f>RawTotals!A64</f>
        <v/>
      </c>
      <c r="C64" s="214">
        <f>Picklist!D64</f>
        <v>63</v>
      </c>
      <c r="E64" s="143" t="str">
        <f>Picklist!B64</f>
        <v/>
      </c>
      <c r="F64" s="143">
        <f t="shared" si="1"/>
        <v>63</v>
      </c>
      <c r="G64" s="18">
        <v>64.0</v>
      </c>
      <c r="H64" s="143">
        <f t="shared" si="2"/>
        <v>63</v>
      </c>
      <c r="I64" s="15" t="str">
        <f t="shared" si="3"/>
        <v/>
      </c>
      <c r="J64" s="143">
        <v>63.0</v>
      </c>
      <c r="K64" s="15"/>
    </row>
    <row r="65">
      <c r="B65" s="15" t="str">
        <f>RawTotals!A65</f>
        <v/>
      </c>
      <c r="C65" s="214">
        <f>Picklist!D65</f>
        <v>64</v>
      </c>
      <c r="E65" s="143" t="str">
        <f>Picklist!B65</f>
        <v/>
      </c>
      <c r="F65" s="143">
        <f t="shared" si="1"/>
        <v>64</v>
      </c>
      <c r="G65" s="18">
        <v>65.0</v>
      </c>
      <c r="H65" s="143">
        <f t="shared" si="2"/>
        <v>64</v>
      </c>
      <c r="I65" s="15" t="str">
        <f t="shared" si="3"/>
        <v/>
      </c>
      <c r="J65" s="143">
        <v>64.0</v>
      </c>
      <c r="K65" s="15"/>
    </row>
    <row r="66">
      <c r="B66" s="15" t="str">
        <f>RawTotals!A66</f>
        <v/>
      </c>
      <c r="C66" s="214">
        <f>Picklist!D66</f>
        <v>65</v>
      </c>
      <c r="E66" s="143" t="str">
        <f>Picklist!B66</f>
        <v/>
      </c>
      <c r="F66" s="143">
        <f t="shared" si="1"/>
        <v>65</v>
      </c>
      <c r="G66" s="18">
        <v>66.0</v>
      </c>
      <c r="H66" s="143">
        <f t="shared" si="2"/>
        <v>65</v>
      </c>
      <c r="I66" s="15" t="str">
        <f t="shared" si="3"/>
        <v/>
      </c>
      <c r="J66" s="143">
        <v>65.0</v>
      </c>
      <c r="K66" s="15"/>
    </row>
    <row r="67">
      <c r="B67" s="15" t="str">
        <f>RawTotals!A67</f>
        <v/>
      </c>
      <c r="C67" s="214">
        <f>Picklist!D67</f>
        <v>66</v>
      </c>
      <c r="E67" s="143" t="str">
        <f>Picklist!B67</f>
        <v/>
      </c>
      <c r="F67" s="143">
        <f t="shared" si="1"/>
        <v>66</v>
      </c>
      <c r="G67" s="18">
        <v>67.0</v>
      </c>
      <c r="H67" s="143">
        <f t="shared" si="2"/>
        <v>66</v>
      </c>
      <c r="I67" s="15" t="str">
        <f t="shared" si="3"/>
        <v/>
      </c>
      <c r="J67" s="143">
        <v>66.0</v>
      </c>
      <c r="K67" s="15"/>
    </row>
    <row r="68">
      <c r="B68" s="15" t="str">
        <f>RawTotals!A68</f>
        <v/>
      </c>
      <c r="C68" s="214">
        <f>Picklist!D68</f>
        <v>67</v>
      </c>
      <c r="E68" s="143" t="str">
        <f>Picklist!B68</f>
        <v/>
      </c>
      <c r="F68" s="143">
        <f t="shared" si="1"/>
        <v>67</v>
      </c>
      <c r="G68" s="18">
        <v>68.0</v>
      </c>
      <c r="H68" s="143">
        <f t="shared" si="2"/>
        <v>67</v>
      </c>
      <c r="I68" s="15" t="str">
        <f t="shared" si="3"/>
        <v/>
      </c>
      <c r="J68" s="143">
        <v>67.0</v>
      </c>
      <c r="K68" s="15"/>
    </row>
    <row r="69">
      <c r="B69" s="15" t="str">
        <f>RawTotals!A69</f>
        <v/>
      </c>
      <c r="C69" s="214">
        <f>Picklist!D69</f>
        <v>68</v>
      </c>
      <c r="E69" s="143" t="str">
        <f>Picklist!B69</f>
        <v/>
      </c>
      <c r="F69" s="143">
        <f t="shared" si="1"/>
        <v>68</v>
      </c>
      <c r="G69" s="18">
        <v>69.0</v>
      </c>
      <c r="H69" s="143">
        <f t="shared" si="2"/>
        <v>68</v>
      </c>
      <c r="I69" s="15" t="str">
        <f t="shared" si="3"/>
        <v/>
      </c>
      <c r="J69" s="143">
        <v>68.0</v>
      </c>
      <c r="K69" s="15"/>
    </row>
    <row r="70">
      <c r="B70" s="15" t="str">
        <f>RawTotals!A70</f>
        <v/>
      </c>
      <c r="C70" s="214">
        <f>Picklist!D70</f>
        <v>69</v>
      </c>
      <c r="E70" s="143" t="str">
        <f>Picklist!B70</f>
        <v/>
      </c>
      <c r="F70" s="143">
        <f t="shared" si="1"/>
        <v>69</v>
      </c>
      <c r="G70" s="18">
        <v>70.0</v>
      </c>
      <c r="H70" s="143">
        <f t="shared" si="2"/>
        <v>69</v>
      </c>
      <c r="I70" s="15" t="str">
        <f t="shared" si="3"/>
        <v/>
      </c>
      <c r="J70" s="143">
        <v>69.0</v>
      </c>
      <c r="K70" s="15"/>
    </row>
    <row r="71">
      <c r="B71" s="15" t="str">
        <f>RawTotals!A71</f>
        <v/>
      </c>
      <c r="C71" s="214">
        <f>Picklist!D71</f>
        <v>70</v>
      </c>
      <c r="E71" s="143" t="str">
        <f>Picklist!B71</f>
        <v/>
      </c>
      <c r="F71" s="143">
        <f t="shared" si="1"/>
        <v>70</v>
      </c>
      <c r="G71" s="18">
        <v>71.0</v>
      </c>
      <c r="H71" s="143">
        <f t="shared" si="2"/>
        <v>70</v>
      </c>
      <c r="I71" s="15" t="str">
        <f t="shared" si="3"/>
        <v/>
      </c>
      <c r="J71" s="143">
        <v>70.0</v>
      </c>
      <c r="K71" s="15"/>
    </row>
    <row r="72">
      <c r="B72" s="15" t="str">
        <f>RawTotals!A72</f>
        <v/>
      </c>
      <c r="C72" s="214">
        <f>Picklist!D72</f>
        <v>71</v>
      </c>
      <c r="E72" s="143" t="str">
        <f>Picklist!B72</f>
        <v/>
      </c>
      <c r="F72" s="143">
        <f t="shared" si="1"/>
        <v>71</v>
      </c>
      <c r="G72" s="18">
        <v>72.0</v>
      </c>
      <c r="H72" s="143">
        <f t="shared" si="2"/>
        <v>71</v>
      </c>
      <c r="I72" s="15" t="str">
        <f t="shared" si="3"/>
        <v/>
      </c>
      <c r="J72" s="143">
        <v>71.0</v>
      </c>
      <c r="K72" s="15"/>
    </row>
    <row r="73">
      <c r="B73" s="15" t="str">
        <f>RawTotals!A73</f>
        <v/>
      </c>
      <c r="C73" s="214">
        <f>Picklist!D73</f>
        <v>72</v>
      </c>
      <c r="E73" s="143" t="str">
        <f>Picklist!B73</f>
        <v/>
      </c>
      <c r="F73" s="143">
        <f t="shared" si="1"/>
        <v>72</v>
      </c>
      <c r="G73" s="18">
        <v>73.0</v>
      </c>
      <c r="H73" s="143">
        <f t="shared" si="2"/>
        <v>72</v>
      </c>
      <c r="I73" s="15" t="str">
        <f t="shared" si="3"/>
        <v/>
      </c>
      <c r="J73" s="143">
        <v>72.0</v>
      </c>
      <c r="K73" s="15"/>
    </row>
    <row r="74">
      <c r="B74" s="15" t="str">
        <f>RawTotals!A74</f>
        <v/>
      </c>
      <c r="C74" s="214">
        <f>Picklist!D74</f>
        <v>73</v>
      </c>
      <c r="E74" s="143" t="str">
        <f>Picklist!B74</f>
        <v/>
      </c>
      <c r="F74" s="143">
        <f t="shared" si="1"/>
        <v>73</v>
      </c>
      <c r="G74" s="18">
        <v>74.0</v>
      </c>
      <c r="H74" s="143">
        <f t="shared" si="2"/>
        <v>73</v>
      </c>
      <c r="I74" s="15" t="str">
        <f t="shared" si="3"/>
        <v/>
      </c>
      <c r="J74" s="143">
        <v>73.0</v>
      </c>
      <c r="K74" s="15"/>
    </row>
    <row r="75">
      <c r="B75" s="15" t="str">
        <f>RawTotals!A75</f>
        <v/>
      </c>
      <c r="C75" s="214">
        <f>Picklist!D75</f>
        <v>74</v>
      </c>
      <c r="E75" s="143" t="str">
        <f>Picklist!B75</f>
        <v/>
      </c>
      <c r="F75" s="143">
        <f t="shared" si="1"/>
        <v>74</v>
      </c>
      <c r="G75" s="18">
        <v>75.0</v>
      </c>
      <c r="H75" s="143">
        <f t="shared" si="2"/>
        <v>74</v>
      </c>
      <c r="I75" s="15" t="str">
        <f t="shared" si="3"/>
        <v/>
      </c>
      <c r="J75" s="143">
        <v>74.0</v>
      </c>
      <c r="K75" s="15"/>
    </row>
    <row r="76">
      <c r="B76" s="15" t="str">
        <f>RawTotals!A76</f>
        <v/>
      </c>
      <c r="J76" s="15"/>
      <c r="K76" s="15"/>
    </row>
    <row r="77">
      <c r="J77" s="15"/>
      <c r="K77" s="15"/>
    </row>
    <row r="78">
      <c r="J78" s="15"/>
      <c r="K78" s="15"/>
    </row>
    <row r="79">
      <c r="J79" s="15"/>
      <c r="K79" s="15"/>
    </row>
    <row r="80">
      <c r="J80" s="15"/>
      <c r="K80" s="15"/>
    </row>
    <row r="81">
      <c r="J81" s="15"/>
      <c r="K81" s="15"/>
    </row>
    <row r="82">
      <c r="J82" s="15"/>
      <c r="K82" s="15"/>
    </row>
    <row r="83">
      <c r="J83" s="15"/>
      <c r="K83" s="15"/>
    </row>
    <row r="84">
      <c r="J84" s="15"/>
      <c r="K84" s="15"/>
    </row>
    <row r="85">
      <c r="J85" s="15"/>
      <c r="K85" s="15"/>
    </row>
    <row r="86">
      <c r="J86" s="15"/>
      <c r="K86" s="15"/>
    </row>
    <row r="87">
      <c r="J87" s="15"/>
      <c r="K87" s="15"/>
    </row>
    <row r="88">
      <c r="J88" s="15"/>
      <c r="K88" s="15"/>
    </row>
    <row r="89">
      <c r="J89" s="15"/>
      <c r="K89" s="15"/>
    </row>
    <row r="90">
      <c r="J90" s="15"/>
      <c r="K90" s="15"/>
    </row>
    <row r="91">
      <c r="J91" s="15"/>
      <c r="K91" s="15"/>
    </row>
    <row r="92">
      <c r="J92" s="15"/>
      <c r="K92" s="15"/>
    </row>
    <row r="93">
      <c r="J93" s="15"/>
      <c r="K93" s="15"/>
    </row>
    <row r="94">
      <c r="J94" s="15"/>
      <c r="K94" s="15"/>
    </row>
    <row r="95">
      <c r="J95" s="15"/>
      <c r="K95" s="15"/>
    </row>
    <row r="96">
      <c r="J96" s="15"/>
      <c r="K96" s="15"/>
    </row>
    <row r="97">
      <c r="J97" s="15"/>
      <c r="K97" s="15"/>
    </row>
    <row r="98">
      <c r="J98" s="15"/>
      <c r="K98" s="15"/>
    </row>
    <row r="99">
      <c r="J99" s="15"/>
      <c r="K99" s="15"/>
    </row>
    <row r="100">
      <c r="J100" s="15"/>
      <c r="K100" s="15"/>
    </row>
    <row r="101">
      <c r="J101" s="15"/>
      <c r="K101" s="15"/>
    </row>
    <row r="102">
      <c r="J102" s="15"/>
      <c r="K102" s="15"/>
    </row>
    <row r="103">
      <c r="J103" s="15"/>
      <c r="K103" s="15"/>
    </row>
    <row r="104">
      <c r="J104" s="15"/>
      <c r="K104" s="15"/>
    </row>
    <row r="105">
      <c r="J105" s="15"/>
      <c r="K105" s="15"/>
    </row>
    <row r="106">
      <c r="J106" s="15"/>
      <c r="K106" s="15"/>
    </row>
    <row r="107">
      <c r="J107" s="15"/>
      <c r="K107" s="15"/>
    </row>
    <row r="108">
      <c r="J108" s="15"/>
      <c r="K108" s="15"/>
    </row>
    <row r="109">
      <c r="J109" s="15"/>
      <c r="K109" s="15"/>
    </row>
    <row r="110">
      <c r="J110" s="15"/>
      <c r="K110" s="15"/>
    </row>
    <row r="111">
      <c r="J111" s="15"/>
      <c r="K111" s="15"/>
    </row>
    <row r="112">
      <c r="J112" s="15"/>
      <c r="K112" s="15"/>
    </row>
    <row r="113">
      <c r="J113" s="15"/>
      <c r="K113" s="15"/>
    </row>
    <row r="114">
      <c r="J114" s="15"/>
      <c r="K114" s="15"/>
    </row>
    <row r="115">
      <c r="J115" s="15"/>
      <c r="K115" s="15"/>
    </row>
    <row r="116">
      <c r="J116" s="15"/>
      <c r="K116" s="15"/>
    </row>
    <row r="117">
      <c r="J117" s="15"/>
      <c r="K117" s="15"/>
    </row>
    <row r="118">
      <c r="J118" s="15"/>
      <c r="K118" s="15"/>
    </row>
    <row r="119">
      <c r="J119" s="15"/>
      <c r="K119" s="15"/>
    </row>
    <row r="120">
      <c r="J120" s="15"/>
      <c r="K120" s="15"/>
    </row>
    <row r="121">
      <c r="J121" s="15"/>
      <c r="K121" s="15"/>
    </row>
    <row r="122">
      <c r="J122" s="15"/>
      <c r="K122" s="15"/>
    </row>
    <row r="123">
      <c r="J123" s="15"/>
      <c r="K123" s="15"/>
    </row>
    <row r="124">
      <c r="J124" s="15"/>
      <c r="K124" s="15"/>
    </row>
    <row r="125">
      <c r="J125" s="15"/>
      <c r="K125" s="15"/>
    </row>
    <row r="126">
      <c r="J126" s="15"/>
      <c r="K126" s="15"/>
    </row>
    <row r="127">
      <c r="J127" s="15"/>
      <c r="K127" s="15"/>
    </row>
    <row r="128">
      <c r="J128" s="15"/>
      <c r="K128" s="15"/>
    </row>
    <row r="129">
      <c r="J129" s="15"/>
      <c r="K129" s="15"/>
    </row>
    <row r="130">
      <c r="J130" s="15"/>
      <c r="K130" s="15"/>
    </row>
    <row r="131">
      <c r="J131" s="15"/>
      <c r="K131" s="15"/>
    </row>
    <row r="132">
      <c r="J132" s="15"/>
      <c r="K132" s="15"/>
    </row>
    <row r="133">
      <c r="J133" s="15"/>
      <c r="K133" s="15"/>
    </row>
    <row r="134">
      <c r="J134" s="15"/>
      <c r="K134" s="15"/>
    </row>
    <row r="135">
      <c r="J135" s="15"/>
      <c r="K135" s="15"/>
    </row>
    <row r="136">
      <c r="J136" s="15"/>
      <c r="K136" s="15"/>
    </row>
    <row r="137">
      <c r="J137" s="15"/>
      <c r="K137" s="15"/>
    </row>
    <row r="138">
      <c r="J138" s="15"/>
      <c r="K138" s="15"/>
    </row>
    <row r="139">
      <c r="J139" s="15"/>
      <c r="K139" s="15"/>
    </row>
    <row r="140">
      <c r="J140" s="15"/>
      <c r="K140" s="15"/>
    </row>
    <row r="141">
      <c r="J141" s="15"/>
      <c r="K141" s="15"/>
    </row>
    <row r="142">
      <c r="J142" s="15"/>
      <c r="K142" s="15"/>
    </row>
    <row r="143">
      <c r="J143" s="15"/>
      <c r="K143" s="15"/>
    </row>
    <row r="144">
      <c r="J144" s="15"/>
      <c r="K144" s="15"/>
    </row>
    <row r="145">
      <c r="J145" s="15"/>
      <c r="K145" s="15"/>
    </row>
    <row r="146">
      <c r="J146" s="15"/>
      <c r="K146" s="15"/>
    </row>
    <row r="147">
      <c r="J147" s="15"/>
      <c r="K147" s="15"/>
    </row>
    <row r="148">
      <c r="J148" s="15"/>
      <c r="K148" s="15"/>
    </row>
    <row r="149">
      <c r="J149" s="15"/>
      <c r="K149" s="15"/>
    </row>
    <row r="150">
      <c r="J150" s="15"/>
      <c r="K150" s="15"/>
    </row>
    <row r="151">
      <c r="J151" s="15"/>
      <c r="K151" s="15"/>
    </row>
    <row r="152">
      <c r="J152" s="15"/>
      <c r="K152" s="15"/>
    </row>
    <row r="153">
      <c r="J153" s="15"/>
      <c r="K153" s="15"/>
    </row>
    <row r="154">
      <c r="J154" s="15"/>
      <c r="K154" s="15"/>
    </row>
    <row r="155">
      <c r="J155" s="15"/>
      <c r="K155" s="15"/>
    </row>
    <row r="156">
      <c r="J156" s="15"/>
      <c r="K156" s="15"/>
    </row>
    <row r="157">
      <c r="J157" s="15"/>
      <c r="K157" s="15"/>
    </row>
    <row r="158">
      <c r="J158" s="15"/>
      <c r="K158" s="15"/>
    </row>
    <row r="159">
      <c r="J159" s="15"/>
      <c r="K159" s="15"/>
    </row>
    <row r="160">
      <c r="J160" s="15"/>
      <c r="K160" s="15"/>
    </row>
    <row r="161">
      <c r="J161" s="15"/>
      <c r="K161" s="15"/>
    </row>
    <row r="162">
      <c r="J162" s="15"/>
      <c r="K162" s="15"/>
    </row>
    <row r="163">
      <c r="J163" s="15"/>
      <c r="K163" s="15"/>
    </row>
    <row r="164">
      <c r="J164" s="15"/>
      <c r="K164" s="15"/>
    </row>
    <row r="165">
      <c r="J165" s="15"/>
      <c r="K165" s="15"/>
    </row>
    <row r="166">
      <c r="J166" s="15"/>
      <c r="K166" s="15"/>
    </row>
    <row r="167">
      <c r="J167" s="15"/>
      <c r="K167" s="15"/>
    </row>
    <row r="168">
      <c r="J168" s="15"/>
      <c r="K168" s="15"/>
    </row>
    <row r="169">
      <c r="J169" s="15"/>
      <c r="K169" s="15"/>
    </row>
    <row r="170">
      <c r="J170" s="15"/>
      <c r="K170" s="15"/>
    </row>
    <row r="171">
      <c r="J171" s="15"/>
      <c r="K171" s="15"/>
    </row>
    <row r="172">
      <c r="J172" s="15"/>
      <c r="K172" s="15"/>
    </row>
    <row r="173">
      <c r="J173" s="15"/>
      <c r="K173" s="15"/>
    </row>
    <row r="174">
      <c r="J174" s="15"/>
      <c r="K174" s="15"/>
    </row>
    <row r="175">
      <c r="J175" s="15"/>
      <c r="K175" s="15"/>
    </row>
    <row r="176">
      <c r="J176" s="15"/>
      <c r="K176" s="15"/>
    </row>
    <row r="177">
      <c r="J177" s="15"/>
      <c r="K177" s="15"/>
    </row>
    <row r="178">
      <c r="J178" s="15"/>
      <c r="K178" s="15"/>
    </row>
    <row r="179">
      <c r="J179" s="15"/>
      <c r="K179" s="15"/>
    </row>
    <row r="180">
      <c r="J180" s="15"/>
      <c r="K180" s="15"/>
    </row>
    <row r="181">
      <c r="J181" s="15"/>
      <c r="K181" s="15"/>
    </row>
    <row r="182">
      <c r="J182" s="15"/>
      <c r="K182" s="15"/>
    </row>
    <row r="183">
      <c r="J183" s="15"/>
      <c r="K183" s="15"/>
    </row>
    <row r="184">
      <c r="J184" s="15"/>
      <c r="K184" s="15"/>
    </row>
    <row r="185">
      <c r="J185" s="15"/>
      <c r="K185" s="15"/>
    </row>
    <row r="186">
      <c r="J186" s="15"/>
      <c r="K186" s="15"/>
    </row>
    <row r="187">
      <c r="J187" s="15"/>
      <c r="K187" s="15"/>
    </row>
    <row r="188">
      <c r="J188" s="15"/>
      <c r="K188" s="15"/>
    </row>
    <row r="189">
      <c r="J189" s="15"/>
      <c r="K189" s="15"/>
    </row>
    <row r="190">
      <c r="J190" s="15"/>
      <c r="K190" s="15"/>
    </row>
    <row r="191">
      <c r="J191" s="15"/>
      <c r="K191" s="15"/>
    </row>
    <row r="192">
      <c r="J192" s="15"/>
      <c r="K192" s="15"/>
    </row>
    <row r="193">
      <c r="J193" s="15"/>
      <c r="K193" s="15"/>
    </row>
    <row r="194">
      <c r="J194" s="15"/>
      <c r="K194" s="15"/>
    </row>
    <row r="195">
      <c r="J195" s="15"/>
      <c r="K195" s="15"/>
    </row>
    <row r="196">
      <c r="J196" s="15"/>
      <c r="K196" s="15"/>
    </row>
    <row r="197">
      <c r="J197" s="15"/>
      <c r="K197" s="15"/>
    </row>
    <row r="198">
      <c r="J198" s="15"/>
      <c r="K198" s="15"/>
    </row>
    <row r="199">
      <c r="J199" s="15"/>
      <c r="K199" s="15"/>
    </row>
    <row r="200">
      <c r="J200" s="15"/>
      <c r="K200" s="15"/>
    </row>
    <row r="201">
      <c r="J201" s="15"/>
      <c r="K201" s="15"/>
    </row>
    <row r="202">
      <c r="J202" s="15"/>
      <c r="K202" s="15"/>
    </row>
    <row r="203">
      <c r="J203" s="15"/>
      <c r="K203" s="15"/>
    </row>
    <row r="204">
      <c r="J204" s="15"/>
      <c r="K204" s="15"/>
    </row>
    <row r="205">
      <c r="J205" s="15"/>
      <c r="K205" s="15"/>
    </row>
    <row r="206">
      <c r="J206" s="15"/>
      <c r="K206" s="15"/>
    </row>
    <row r="207">
      <c r="J207" s="15"/>
      <c r="K207" s="15"/>
    </row>
    <row r="208">
      <c r="J208" s="15"/>
      <c r="K208" s="15"/>
    </row>
    <row r="209">
      <c r="J209" s="15"/>
      <c r="K209" s="15"/>
    </row>
    <row r="210">
      <c r="J210" s="15"/>
      <c r="K210" s="15"/>
    </row>
    <row r="211">
      <c r="J211" s="15"/>
      <c r="K211" s="15"/>
    </row>
    <row r="212">
      <c r="J212" s="15"/>
      <c r="K212" s="15"/>
    </row>
    <row r="213">
      <c r="J213" s="15"/>
      <c r="K213" s="15"/>
    </row>
    <row r="214">
      <c r="J214" s="15"/>
      <c r="K214" s="15"/>
    </row>
    <row r="215">
      <c r="J215" s="15"/>
      <c r="K215" s="15"/>
    </row>
    <row r="216">
      <c r="J216" s="15"/>
      <c r="K216" s="15"/>
    </row>
    <row r="217">
      <c r="J217" s="15"/>
      <c r="K217" s="15"/>
    </row>
    <row r="218">
      <c r="J218" s="15"/>
      <c r="K218" s="15"/>
    </row>
    <row r="219">
      <c r="J219" s="15"/>
      <c r="K219" s="15"/>
    </row>
    <row r="220">
      <c r="J220" s="15"/>
      <c r="K220" s="15"/>
    </row>
    <row r="221">
      <c r="J221" s="15"/>
      <c r="K221" s="15"/>
    </row>
    <row r="222">
      <c r="J222" s="15"/>
      <c r="K222" s="15"/>
    </row>
    <row r="223">
      <c r="J223" s="15"/>
      <c r="K223" s="15"/>
    </row>
    <row r="224">
      <c r="J224" s="15"/>
      <c r="K224" s="15"/>
    </row>
    <row r="225">
      <c r="J225" s="15"/>
      <c r="K225" s="15"/>
    </row>
    <row r="226">
      <c r="J226" s="15"/>
      <c r="K226" s="15"/>
    </row>
    <row r="227">
      <c r="J227" s="15"/>
      <c r="K227" s="15"/>
    </row>
    <row r="228">
      <c r="J228" s="15"/>
      <c r="K228" s="15"/>
    </row>
    <row r="229">
      <c r="J229" s="15"/>
      <c r="K229" s="15"/>
    </row>
    <row r="230">
      <c r="J230" s="15"/>
      <c r="K230" s="15"/>
    </row>
    <row r="231">
      <c r="J231" s="15"/>
      <c r="K231" s="15"/>
    </row>
    <row r="232">
      <c r="J232" s="15"/>
      <c r="K232" s="15"/>
    </row>
    <row r="233">
      <c r="J233" s="15"/>
      <c r="K233" s="15"/>
    </row>
    <row r="234">
      <c r="J234" s="15"/>
      <c r="K234" s="15"/>
    </row>
    <row r="235">
      <c r="J235" s="15"/>
      <c r="K235" s="15"/>
    </row>
    <row r="236">
      <c r="J236" s="15"/>
      <c r="K236" s="15"/>
    </row>
    <row r="237">
      <c r="J237" s="15"/>
      <c r="K237" s="15"/>
    </row>
    <row r="238">
      <c r="J238" s="15"/>
      <c r="K238" s="15"/>
    </row>
    <row r="239">
      <c r="J239" s="15"/>
      <c r="K239" s="15"/>
    </row>
    <row r="240">
      <c r="J240" s="15"/>
      <c r="K240" s="15"/>
    </row>
    <row r="241">
      <c r="J241" s="15"/>
      <c r="K241" s="15"/>
    </row>
    <row r="242">
      <c r="J242" s="15"/>
      <c r="K242" s="15"/>
    </row>
    <row r="243">
      <c r="J243" s="15"/>
      <c r="K243" s="15"/>
    </row>
    <row r="244">
      <c r="J244" s="15"/>
      <c r="K244" s="15"/>
    </row>
    <row r="245">
      <c r="J245" s="15"/>
      <c r="K245" s="15"/>
    </row>
    <row r="246">
      <c r="J246" s="15"/>
      <c r="K246" s="15"/>
    </row>
    <row r="247">
      <c r="J247" s="15"/>
      <c r="K247" s="15"/>
    </row>
    <row r="248">
      <c r="J248" s="15"/>
      <c r="K248" s="15"/>
    </row>
    <row r="249">
      <c r="J249" s="15"/>
      <c r="K249" s="15"/>
    </row>
    <row r="250">
      <c r="J250" s="15"/>
      <c r="K250" s="15"/>
    </row>
    <row r="251">
      <c r="J251" s="15"/>
      <c r="K251" s="15"/>
    </row>
    <row r="252">
      <c r="J252" s="15"/>
      <c r="K252" s="15"/>
    </row>
    <row r="253">
      <c r="J253" s="15"/>
      <c r="K253" s="15"/>
    </row>
    <row r="254">
      <c r="J254" s="15"/>
      <c r="K254" s="15"/>
    </row>
    <row r="255">
      <c r="J255" s="15"/>
      <c r="K255" s="15"/>
    </row>
    <row r="256">
      <c r="J256" s="15"/>
      <c r="K256" s="15"/>
    </row>
    <row r="257">
      <c r="J257" s="15"/>
      <c r="K257" s="15"/>
    </row>
    <row r="258">
      <c r="J258" s="15"/>
      <c r="K258" s="15"/>
    </row>
    <row r="259">
      <c r="J259" s="15"/>
      <c r="K259" s="15"/>
    </row>
    <row r="260">
      <c r="J260" s="15"/>
      <c r="K260" s="15"/>
    </row>
    <row r="261">
      <c r="J261" s="15"/>
      <c r="K261" s="15"/>
    </row>
    <row r="262">
      <c r="J262" s="15"/>
      <c r="K262" s="15"/>
    </row>
    <row r="263">
      <c r="J263" s="15"/>
      <c r="K263" s="15"/>
    </row>
    <row r="264">
      <c r="J264" s="15"/>
      <c r="K264" s="15"/>
    </row>
    <row r="265">
      <c r="J265" s="15"/>
      <c r="K265" s="15"/>
    </row>
    <row r="266">
      <c r="J266" s="15"/>
      <c r="K266" s="15"/>
    </row>
    <row r="267">
      <c r="J267" s="15"/>
      <c r="K267" s="15"/>
    </row>
    <row r="268">
      <c r="J268" s="15"/>
      <c r="K268" s="15"/>
    </row>
    <row r="269">
      <c r="J269" s="15"/>
      <c r="K269" s="15"/>
    </row>
    <row r="270">
      <c r="J270" s="15"/>
      <c r="K270" s="15"/>
    </row>
    <row r="271">
      <c r="J271" s="15"/>
      <c r="K271" s="15"/>
    </row>
    <row r="272">
      <c r="J272" s="15"/>
      <c r="K272" s="15"/>
    </row>
    <row r="273">
      <c r="J273" s="15"/>
      <c r="K273" s="15"/>
    </row>
    <row r="274">
      <c r="J274" s="15"/>
      <c r="K274" s="15"/>
    </row>
    <row r="275">
      <c r="J275" s="15"/>
      <c r="K275" s="15"/>
    </row>
    <row r="276">
      <c r="J276" s="15"/>
      <c r="K276" s="15"/>
    </row>
    <row r="277">
      <c r="J277" s="15"/>
      <c r="K277" s="15"/>
    </row>
    <row r="278">
      <c r="J278" s="15"/>
      <c r="K278" s="15"/>
    </row>
    <row r="279">
      <c r="J279" s="15"/>
      <c r="K279" s="15"/>
    </row>
    <row r="280">
      <c r="J280" s="15"/>
      <c r="K280" s="15"/>
    </row>
    <row r="281">
      <c r="J281" s="15"/>
      <c r="K281" s="15"/>
    </row>
    <row r="282">
      <c r="J282" s="15"/>
      <c r="K282" s="15"/>
    </row>
    <row r="283">
      <c r="J283" s="15"/>
      <c r="K283" s="15"/>
    </row>
    <row r="284">
      <c r="J284" s="15"/>
      <c r="K284" s="15"/>
    </row>
    <row r="285">
      <c r="J285" s="15"/>
      <c r="K285" s="15"/>
    </row>
    <row r="286">
      <c r="J286" s="15"/>
      <c r="K286" s="15"/>
    </row>
    <row r="287">
      <c r="J287" s="15"/>
      <c r="K287" s="15"/>
    </row>
    <row r="288">
      <c r="J288" s="15"/>
      <c r="K288" s="15"/>
    </row>
    <row r="289">
      <c r="J289" s="15"/>
      <c r="K289" s="15"/>
    </row>
    <row r="290">
      <c r="J290" s="15"/>
      <c r="K290" s="15"/>
    </row>
    <row r="291">
      <c r="J291" s="15"/>
      <c r="K291" s="15"/>
    </row>
    <row r="292">
      <c r="J292" s="15"/>
      <c r="K292" s="15"/>
    </row>
    <row r="293">
      <c r="J293" s="15"/>
      <c r="K293" s="15"/>
    </row>
    <row r="294">
      <c r="J294" s="15"/>
      <c r="K294" s="15"/>
    </row>
    <row r="295">
      <c r="J295" s="15"/>
      <c r="K295" s="15"/>
    </row>
    <row r="296">
      <c r="J296" s="15"/>
      <c r="K296" s="15"/>
    </row>
    <row r="297">
      <c r="J297" s="15"/>
      <c r="K297" s="15"/>
    </row>
    <row r="298">
      <c r="J298" s="15"/>
      <c r="K298" s="15"/>
    </row>
    <row r="299">
      <c r="J299" s="15"/>
      <c r="K299" s="15"/>
    </row>
    <row r="300">
      <c r="J300" s="15"/>
      <c r="K300" s="15"/>
    </row>
    <row r="301">
      <c r="J301" s="15"/>
      <c r="K301" s="15"/>
    </row>
    <row r="302">
      <c r="J302" s="15"/>
      <c r="K302" s="15"/>
    </row>
    <row r="303">
      <c r="J303" s="15"/>
      <c r="K303" s="15"/>
    </row>
    <row r="304">
      <c r="J304" s="15"/>
      <c r="K304" s="15"/>
    </row>
    <row r="305">
      <c r="J305" s="15"/>
      <c r="K305" s="15"/>
    </row>
    <row r="306">
      <c r="J306" s="15"/>
      <c r="K306" s="15"/>
    </row>
    <row r="307">
      <c r="J307" s="15"/>
      <c r="K307" s="15"/>
    </row>
    <row r="308">
      <c r="J308" s="15"/>
      <c r="K308" s="15"/>
    </row>
    <row r="309">
      <c r="J309" s="15"/>
      <c r="K309" s="15"/>
    </row>
    <row r="310">
      <c r="J310" s="15"/>
      <c r="K310" s="15"/>
    </row>
    <row r="311">
      <c r="J311" s="15"/>
      <c r="K311" s="15"/>
    </row>
    <row r="312">
      <c r="J312" s="15"/>
      <c r="K312" s="15"/>
    </row>
    <row r="313">
      <c r="J313" s="15"/>
      <c r="K313" s="15"/>
    </row>
    <row r="314">
      <c r="J314" s="15"/>
      <c r="K314" s="15"/>
    </row>
    <row r="315">
      <c r="J315" s="15"/>
      <c r="K315" s="15"/>
    </row>
    <row r="316">
      <c r="J316" s="15"/>
      <c r="K316" s="15"/>
    </row>
    <row r="317">
      <c r="J317" s="15"/>
      <c r="K317" s="15"/>
    </row>
    <row r="318">
      <c r="J318" s="15"/>
      <c r="K318" s="15"/>
    </row>
    <row r="319">
      <c r="J319" s="15"/>
      <c r="K319" s="15"/>
    </row>
    <row r="320">
      <c r="J320" s="15"/>
      <c r="K320" s="15"/>
    </row>
    <row r="321">
      <c r="J321" s="15"/>
      <c r="K321" s="15"/>
    </row>
    <row r="322">
      <c r="J322" s="15"/>
      <c r="K322" s="15"/>
    </row>
    <row r="323">
      <c r="J323" s="15"/>
      <c r="K323" s="15"/>
    </row>
    <row r="324">
      <c r="J324" s="15"/>
      <c r="K324" s="15"/>
    </row>
    <row r="325">
      <c r="J325" s="15"/>
      <c r="K325" s="15"/>
    </row>
    <row r="326">
      <c r="J326" s="15"/>
      <c r="K326" s="15"/>
    </row>
    <row r="327">
      <c r="J327" s="15"/>
      <c r="K327" s="15"/>
    </row>
    <row r="328">
      <c r="J328" s="15"/>
      <c r="K328" s="15"/>
    </row>
    <row r="329">
      <c r="J329" s="15"/>
      <c r="K329" s="15"/>
    </row>
    <row r="330">
      <c r="J330" s="15"/>
      <c r="K330" s="15"/>
    </row>
    <row r="331">
      <c r="J331" s="15"/>
      <c r="K331" s="15"/>
    </row>
    <row r="332">
      <c r="J332" s="15"/>
      <c r="K332" s="15"/>
    </row>
    <row r="333">
      <c r="J333" s="15"/>
      <c r="K333" s="15"/>
    </row>
    <row r="334">
      <c r="J334" s="15"/>
      <c r="K334" s="15"/>
    </row>
    <row r="335">
      <c r="J335" s="15"/>
      <c r="K335" s="15"/>
    </row>
    <row r="336">
      <c r="J336" s="15"/>
      <c r="K336" s="15"/>
    </row>
    <row r="337">
      <c r="J337" s="15"/>
      <c r="K337" s="15"/>
    </row>
    <row r="338">
      <c r="J338" s="15"/>
      <c r="K338" s="15"/>
    </row>
    <row r="339">
      <c r="J339" s="15"/>
      <c r="K339" s="15"/>
    </row>
    <row r="340">
      <c r="J340" s="15"/>
      <c r="K340" s="15"/>
    </row>
    <row r="341">
      <c r="J341" s="15"/>
      <c r="K341" s="15"/>
    </row>
    <row r="342">
      <c r="J342" s="15"/>
      <c r="K342" s="15"/>
    </row>
    <row r="343">
      <c r="J343" s="15"/>
      <c r="K343" s="15"/>
    </row>
    <row r="344">
      <c r="J344" s="15"/>
      <c r="K344" s="15"/>
    </row>
    <row r="345">
      <c r="J345" s="15"/>
      <c r="K345" s="15"/>
    </row>
    <row r="346">
      <c r="J346" s="15"/>
      <c r="K346" s="15"/>
    </row>
    <row r="347">
      <c r="J347" s="15"/>
      <c r="K347" s="15"/>
    </row>
    <row r="348">
      <c r="J348" s="15"/>
      <c r="K348" s="15"/>
    </row>
    <row r="349">
      <c r="J349" s="15"/>
      <c r="K349" s="15"/>
    </row>
    <row r="350">
      <c r="J350" s="15"/>
      <c r="K350" s="15"/>
    </row>
    <row r="351">
      <c r="J351" s="15"/>
      <c r="K351" s="15"/>
    </row>
    <row r="352">
      <c r="J352" s="15"/>
      <c r="K352" s="15"/>
    </row>
    <row r="353">
      <c r="J353" s="15"/>
      <c r="K353" s="15"/>
    </row>
    <row r="354">
      <c r="J354" s="15"/>
      <c r="K354" s="15"/>
    </row>
    <row r="355">
      <c r="J355" s="15"/>
      <c r="K355" s="15"/>
    </row>
    <row r="356">
      <c r="J356" s="15"/>
      <c r="K356" s="15"/>
    </row>
    <row r="357">
      <c r="J357" s="15"/>
      <c r="K357" s="15"/>
    </row>
    <row r="358">
      <c r="J358" s="15"/>
      <c r="K358" s="15"/>
    </row>
    <row r="359">
      <c r="J359" s="15"/>
      <c r="K359" s="15"/>
    </row>
    <row r="360">
      <c r="J360" s="15"/>
      <c r="K360" s="15"/>
    </row>
    <row r="361">
      <c r="J361" s="15"/>
      <c r="K361" s="15"/>
    </row>
    <row r="362">
      <c r="J362" s="15"/>
      <c r="K362" s="15"/>
    </row>
    <row r="363">
      <c r="J363" s="15"/>
      <c r="K363" s="15"/>
    </row>
    <row r="364">
      <c r="J364" s="15"/>
      <c r="K364" s="15"/>
    </row>
    <row r="365">
      <c r="J365" s="15"/>
      <c r="K365" s="15"/>
    </row>
    <row r="366">
      <c r="J366" s="15"/>
      <c r="K366" s="15"/>
    </row>
    <row r="367">
      <c r="J367" s="15"/>
      <c r="K367" s="15"/>
    </row>
    <row r="368">
      <c r="J368" s="15"/>
      <c r="K368" s="15"/>
    </row>
    <row r="369">
      <c r="J369" s="15"/>
      <c r="K369" s="15"/>
    </row>
    <row r="370">
      <c r="J370" s="15"/>
      <c r="K370" s="15"/>
    </row>
    <row r="371">
      <c r="J371" s="15"/>
      <c r="K371" s="15"/>
    </row>
    <row r="372">
      <c r="J372" s="15"/>
      <c r="K372" s="15"/>
    </row>
    <row r="373">
      <c r="J373" s="15"/>
      <c r="K373" s="15"/>
    </row>
    <row r="374">
      <c r="J374" s="15"/>
      <c r="K374" s="15"/>
    </row>
    <row r="375">
      <c r="J375" s="15"/>
      <c r="K375" s="15"/>
    </row>
    <row r="376">
      <c r="J376" s="15"/>
      <c r="K376" s="15"/>
    </row>
    <row r="377">
      <c r="J377" s="15"/>
      <c r="K377" s="15"/>
    </row>
    <row r="378">
      <c r="J378" s="15"/>
      <c r="K378" s="15"/>
    </row>
    <row r="379">
      <c r="J379" s="15"/>
      <c r="K379" s="15"/>
    </row>
    <row r="380">
      <c r="J380" s="15"/>
      <c r="K380" s="15"/>
    </row>
    <row r="381">
      <c r="J381" s="15"/>
      <c r="K381" s="15"/>
    </row>
    <row r="382">
      <c r="J382" s="15"/>
      <c r="K382" s="15"/>
    </row>
    <row r="383">
      <c r="J383" s="15"/>
      <c r="K383" s="15"/>
    </row>
    <row r="384">
      <c r="J384" s="15"/>
      <c r="K384" s="15"/>
    </row>
    <row r="385">
      <c r="J385" s="15"/>
      <c r="K385" s="15"/>
    </row>
    <row r="386">
      <c r="J386" s="15"/>
      <c r="K386" s="15"/>
    </row>
    <row r="387">
      <c r="J387" s="15"/>
      <c r="K387" s="15"/>
    </row>
    <row r="388">
      <c r="J388" s="15"/>
      <c r="K388" s="15"/>
    </row>
    <row r="389">
      <c r="J389" s="15"/>
      <c r="K389" s="15"/>
    </row>
    <row r="390">
      <c r="J390" s="15"/>
      <c r="K390" s="15"/>
    </row>
    <row r="391">
      <c r="J391" s="15"/>
      <c r="K391" s="15"/>
    </row>
    <row r="392">
      <c r="J392" s="15"/>
      <c r="K392" s="15"/>
    </row>
    <row r="393">
      <c r="J393" s="15"/>
      <c r="K393" s="15"/>
    </row>
    <row r="394">
      <c r="J394" s="15"/>
      <c r="K394" s="15"/>
    </row>
    <row r="395">
      <c r="J395" s="15"/>
      <c r="K395" s="15"/>
    </row>
    <row r="396">
      <c r="J396" s="15"/>
      <c r="K396" s="15"/>
    </row>
    <row r="397">
      <c r="J397" s="15"/>
      <c r="K397" s="15"/>
    </row>
    <row r="398">
      <c r="J398" s="15"/>
      <c r="K398" s="15"/>
    </row>
    <row r="399">
      <c r="J399" s="15"/>
      <c r="K399" s="15"/>
    </row>
    <row r="400">
      <c r="J400" s="15"/>
      <c r="K400" s="15"/>
    </row>
    <row r="401">
      <c r="J401" s="15"/>
      <c r="K401" s="15"/>
    </row>
    <row r="402">
      <c r="J402" s="15"/>
      <c r="K402" s="15"/>
    </row>
    <row r="403">
      <c r="J403" s="15"/>
      <c r="K403" s="15"/>
    </row>
    <row r="404">
      <c r="J404" s="15"/>
      <c r="K404" s="15"/>
    </row>
    <row r="405">
      <c r="J405" s="15"/>
      <c r="K405" s="15"/>
    </row>
    <row r="406">
      <c r="J406" s="15"/>
      <c r="K406" s="15"/>
    </row>
    <row r="407">
      <c r="J407" s="15"/>
      <c r="K407" s="15"/>
    </row>
    <row r="408">
      <c r="J408" s="15"/>
      <c r="K408" s="15"/>
    </row>
    <row r="409">
      <c r="J409" s="15"/>
      <c r="K409" s="15"/>
    </row>
    <row r="410">
      <c r="J410" s="15"/>
      <c r="K410" s="15"/>
    </row>
    <row r="411">
      <c r="J411" s="15"/>
      <c r="K411" s="15"/>
    </row>
    <row r="412">
      <c r="J412" s="15"/>
      <c r="K412" s="15"/>
    </row>
    <row r="413">
      <c r="J413" s="15"/>
      <c r="K413" s="15"/>
    </row>
    <row r="414">
      <c r="J414" s="15"/>
      <c r="K414" s="15"/>
    </row>
    <row r="415">
      <c r="J415" s="15"/>
      <c r="K415" s="15"/>
    </row>
    <row r="416">
      <c r="J416" s="15"/>
      <c r="K416" s="15"/>
    </row>
    <row r="417">
      <c r="J417" s="15"/>
      <c r="K417" s="15"/>
    </row>
    <row r="418">
      <c r="J418" s="15"/>
      <c r="K418" s="15"/>
    </row>
    <row r="419">
      <c r="J419" s="15"/>
      <c r="K419" s="15"/>
    </row>
    <row r="420">
      <c r="J420" s="15"/>
      <c r="K420" s="15"/>
    </row>
    <row r="421">
      <c r="J421" s="15"/>
      <c r="K421" s="15"/>
    </row>
    <row r="422">
      <c r="J422" s="15"/>
      <c r="K422" s="15"/>
    </row>
    <row r="423">
      <c r="J423" s="15"/>
      <c r="K423" s="15"/>
    </row>
    <row r="424">
      <c r="J424" s="15"/>
      <c r="K424" s="15"/>
    </row>
    <row r="425">
      <c r="J425" s="15"/>
      <c r="K425" s="15"/>
    </row>
    <row r="426">
      <c r="J426" s="15"/>
      <c r="K426" s="15"/>
    </row>
    <row r="427">
      <c r="J427" s="15"/>
      <c r="K427" s="15"/>
    </row>
    <row r="428">
      <c r="J428" s="15"/>
      <c r="K428" s="15"/>
    </row>
    <row r="429">
      <c r="J429" s="15"/>
      <c r="K429" s="15"/>
    </row>
    <row r="430">
      <c r="J430" s="15"/>
      <c r="K430" s="15"/>
    </row>
    <row r="431">
      <c r="J431" s="15"/>
      <c r="K431" s="15"/>
    </row>
    <row r="432">
      <c r="J432" s="15"/>
      <c r="K432" s="15"/>
    </row>
    <row r="433">
      <c r="J433" s="15"/>
      <c r="K433" s="15"/>
    </row>
    <row r="434">
      <c r="J434" s="15"/>
      <c r="K434" s="15"/>
    </row>
    <row r="435">
      <c r="J435" s="15"/>
      <c r="K435" s="15"/>
    </row>
    <row r="436">
      <c r="J436" s="15"/>
      <c r="K436" s="15"/>
    </row>
    <row r="437">
      <c r="J437" s="15"/>
      <c r="K437" s="15"/>
    </row>
    <row r="438">
      <c r="J438" s="15"/>
      <c r="K438" s="15"/>
    </row>
    <row r="439">
      <c r="J439" s="15"/>
      <c r="K439" s="15"/>
    </row>
    <row r="440">
      <c r="J440" s="15"/>
      <c r="K440" s="15"/>
    </row>
    <row r="441">
      <c r="J441" s="15"/>
      <c r="K441" s="15"/>
    </row>
    <row r="442">
      <c r="J442" s="15"/>
      <c r="K442" s="15"/>
    </row>
    <row r="443">
      <c r="J443" s="15"/>
      <c r="K443" s="15"/>
    </row>
    <row r="444">
      <c r="J444" s="15"/>
      <c r="K444" s="15"/>
    </row>
    <row r="445">
      <c r="J445" s="15"/>
      <c r="K445" s="15"/>
    </row>
    <row r="446">
      <c r="J446" s="15"/>
      <c r="K446" s="15"/>
    </row>
    <row r="447">
      <c r="J447" s="15"/>
      <c r="K447" s="15"/>
    </row>
    <row r="448">
      <c r="J448" s="15"/>
      <c r="K448" s="15"/>
    </row>
    <row r="449">
      <c r="J449" s="15"/>
      <c r="K449" s="15"/>
    </row>
    <row r="450">
      <c r="J450" s="15"/>
      <c r="K450" s="15"/>
    </row>
    <row r="451">
      <c r="J451" s="15"/>
      <c r="K451" s="15"/>
    </row>
    <row r="452">
      <c r="J452" s="15"/>
      <c r="K452" s="15"/>
    </row>
    <row r="453">
      <c r="J453" s="15"/>
      <c r="K453" s="15"/>
    </row>
    <row r="454">
      <c r="J454" s="15"/>
      <c r="K454" s="15"/>
    </row>
    <row r="455">
      <c r="J455" s="15"/>
      <c r="K455" s="15"/>
    </row>
    <row r="456">
      <c r="J456" s="15"/>
      <c r="K456" s="15"/>
    </row>
    <row r="457">
      <c r="J457" s="15"/>
      <c r="K457" s="15"/>
    </row>
    <row r="458">
      <c r="J458" s="15"/>
      <c r="K458" s="15"/>
    </row>
    <row r="459">
      <c r="J459" s="15"/>
      <c r="K459" s="15"/>
    </row>
    <row r="460">
      <c r="J460" s="15"/>
      <c r="K460" s="15"/>
    </row>
    <row r="461">
      <c r="J461" s="15"/>
      <c r="K461" s="15"/>
    </row>
    <row r="462">
      <c r="J462" s="15"/>
      <c r="K462" s="15"/>
    </row>
    <row r="463">
      <c r="J463" s="15"/>
      <c r="K463" s="15"/>
    </row>
    <row r="464">
      <c r="J464" s="15"/>
      <c r="K464" s="15"/>
    </row>
    <row r="465">
      <c r="J465" s="15"/>
      <c r="K465" s="15"/>
    </row>
    <row r="466">
      <c r="J466" s="15"/>
      <c r="K466" s="15"/>
    </row>
    <row r="467">
      <c r="J467" s="15"/>
      <c r="K467" s="15"/>
    </row>
    <row r="468">
      <c r="J468" s="15"/>
      <c r="K468" s="15"/>
    </row>
    <row r="469">
      <c r="J469" s="15"/>
      <c r="K469" s="15"/>
    </row>
    <row r="470">
      <c r="J470" s="15"/>
      <c r="K470" s="15"/>
    </row>
    <row r="471">
      <c r="J471" s="15"/>
      <c r="K471" s="15"/>
    </row>
    <row r="472">
      <c r="J472" s="15"/>
      <c r="K472" s="15"/>
    </row>
    <row r="473">
      <c r="J473" s="15"/>
      <c r="K473" s="15"/>
    </row>
    <row r="474">
      <c r="J474" s="15"/>
      <c r="K474" s="15"/>
    </row>
    <row r="475">
      <c r="J475" s="15"/>
      <c r="K475" s="15"/>
    </row>
    <row r="476">
      <c r="J476" s="15"/>
      <c r="K476" s="15"/>
    </row>
    <row r="477">
      <c r="J477" s="15"/>
      <c r="K477" s="15"/>
    </row>
    <row r="478">
      <c r="J478" s="15"/>
      <c r="K478" s="15"/>
    </row>
    <row r="479">
      <c r="J479" s="15"/>
      <c r="K479" s="15"/>
    </row>
    <row r="480">
      <c r="J480" s="15"/>
      <c r="K480" s="15"/>
    </row>
    <row r="481">
      <c r="J481" s="15"/>
      <c r="K481" s="15"/>
    </row>
    <row r="482">
      <c r="J482" s="15"/>
      <c r="K482" s="15"/>
    </row>
    <row r="483">
      <c r="J483" s="15"/>
      <c r="K483" s="15"/>
    </row>
    <row r="484">
      <c r="J484" s="15"/>
      <c r="K484" s="15"/>
    </row>
    <row r="485">
      <c r="J485" s="15"/>
      <c r="K485" s="15"/>
    </row>
    <row r="486">
      <c r="J486" s="15"/>
      <c r="K486" s="15"/>
    </row>
    <row r="487">
      <c r="J487" s="15"/>
      <c r="K487" s="15"/>
    </row>
    <row r="488">
      <c r="J488" s="15"/>
      <c r="K488" s="15"/>
    </row>
    <row r="489">
      <c r="J489" s="15"/>
      <c r="K489" s="15"/>
    </row>
    <row r="490">
      <c r="J490" s="15"/>
      <c r="K490" s="15"/>
    </row>
    <row r="491">
      <c r="J491" s="15"/>
      <c r="K491" s="15"/>
    </row>
    <row r="492">
      <c r="J492" s="15"/>
      <c r="K492" s="15"/>
    </row>
    <row r="493">
      <c r="J493" s="15"/>
      <c r="K493" s="15"/>
    </row>
    <row r="494">
      <c r="J494" s="15"/>
      <c r="K494" s="15"/>
    </row>
    <row r="495">
      <c r="J495" s="15"/>
      <c r="K495" s="15"/>
    </row>
    <row r="496">
      <c r="J496" s="15"/>
      <c r="K496" s="15"/>
    </row>
    <row r="497">
      <c r="J497" s="15"/>
      <c r="K497" s="15"/>
    </row>
    <row r="498">
      <c r="J498" s="15"/>
      <c r="K498" s="15"/>
    </row>
    <row r="499">
      <c r="J499" s="15"/>
      <c r="K499" s="15"/>
    </row>
    <row r="500">
      <c r="J500" s="15"/>
      <c r="K500" s="15"/>
    </row>
    <row r="501">
      <c r="J501" s="15"/>
      <c r="K501" s="15"/>
    </row>
    <row r="502">
      <c r="J502" s="15"/>
      <c r="K502" s="15"/>
    </row>
    <row r="503">
      <c r="J503" s="15"/>
      <c r="K503" s="15"/>
    </row>
    <row r="504">
      <c r="J504" s="15"/>
      <c r="K504" s="15"/>
    </row>
    <row r="505">
      <c r="J505" s="15"/>
      <c r="K505" s="15"/>
    </row>
    <row r="506">
      <c r="J506" s="15"/>
      <c r="K506" s="15"/>
    </row>
    <row r="507">
      <c r="J507" s="15"/>
      <c r="K507" s="15"/>
    </row>
    <row r="508">
      <c r="J508" s="15"/>
      <c r="K508" s="15"/>
    </row>
    <row r="509">
      <c r="J509" s="15"/>
      <c r="K509" s="15"/>
    </row>
    <row r="510">
      <c r="J510" s="15"/>
      <c r="K510" s="15"/>
    </row>
    <row r="511">
      <c r="J511" s="15"/>
      <c r="K511" s="15"/>
    </row>
    <row r="512">
      <c r="J512" s="15"/>
      <c r="K512" s="15"/>
    </row>
    <row r="513">
      <c r="J513" s="15"/>
      <c r="K513" s="15"/>
    </row>
    <row r="514">
      <c r="J514" s="15"/>
      <c r="K514" s="15"/>
    </row>
    <row r="515">
      <c r="J515" s="15"/>
      <c r="K515" s="15"/>
    </row>
    <row r="516">
      <c r="J516" s="15"/>
      <c r="K516" s="15"/>
    </row>
    <row r="517">
      <c r="J517" s="15"/>
      <c r="K517" s="15"/>
    </row>
    <row r="518">
      <c r="J518" s="15"/>
      <c r="K518" s="15"/>
    </row>
    <row r="519">
      <c r="J519" s="15"/>
      <c r="K519" s="15"/>
    </row>
    <row r="520">
      <c r="J520" s="15"/>
      <c r="K520" s="15"/>
    </row>
    <row r="521">
      <c r="J521" s="15"/>
      <c r="K521" s="15"/>
    </row>
    <row r="522">
      <c r="J522" s="15"/>
      <c r="K522" s="15"/>
    </row>
    <row r="523">
      <c r="J523" s="15"/>
      <c r="K523" s="15"/>
    </row>
    <row r="524">
      <c r="J524" s="15"/>
      <c r="K524" s="15"/>
    </row>
    <row r="525">
      <c r="J525" s="15"/>
      <c r="K525" s="15"/>
    </row>
    <row r="526">
      <c r="J526" s="15"/>
      <c r="K526" s="15"/>
    </row>
    <row r="527">
      <c r="J527" s="15"/>
      <c r="K527" s="15"/>
    </row>
    <row r="528">
      <c r="J528" s="15"/>
      <c r="K528" s="15"/>
    </row>
    <row r="529">
      <c r="J529" s="15"/>
      <c r="K529" s="15"/>
    </row>
    <row r="530">
      <c r="J530" s="15"/>
      <c r="K530" s="15"/>
    </row>
    <row r="531">
      <c r="J531" s="15"/>
      <c r="K531" s="15"/>
    </row>
    <row r="532">
      <c r="J532" s="15"/>
      <c r="K532" s="15"/>
    </row>
    <row r="533">
      <c r="J533" s="15"/>
      <c r="K533" s="15"/>
    </row>
    <row r="534">
      <c r="J534" s="15"/>
      <c r="K534" s="15"/>
    </row>
    <row r="535">
      <c r="J535" s="15"/>
      <c r="K535" s="15"/>
    </row>
    <row r="536">
      <c r="J536" s="15"/>
      <c r="K536" s="15"/>
    </row>
    <row r="537">
      <c r="J537" s="15"/>
      <c r="K537" s="15"/>
    </row>
    <row r="538">
      <c r="J538" s="15"/>
      <c r="K538" s="15"/>
    </row>
    <row r="539">
      <c r="J539" s="15"/>
      <c r="K539" s="15"/>
    </row>
    <row r="540">
      <c r="J540" s="15"/>
      <c r="K540" s="15"/>
    </row>
    <row r="541">
      <c r="J541" s="15"/>
      <c r="K541" s="15"/>
    </row>
    <row r="542">
      <c r="J542" s="15"/>
      <c r="K542" s="15"/>
    </row>
    <row r="543">
      <c r="J543" s="15"/>
      <c r="K543" s="15"/>
    </row>
    <row r="544">
      <c r="J544" s="15"/>
      <c r="K544" s="15"/>
    </row>
    <row r="545">
      <c r="J545" s="15"/>
      <c r="K545" s="15"/>
    </row>
    <row r="546">
      <c r="J546" s="15"/>
      <c r="K546" s="15"/>
    </row>
    <row r="547">
      <c r="J547" s="15"/>
      <c r="K547" s="15"/>
    </row>
    <row r="548">
      <c r="J548" s="15"/>
      <c r="K548" s="15"/>
    </row>
    <row r="549">
      <c r="J549" s="15"/>
      <c r="K549" s="15"/>
    </row>
    <row r="550">
      <c r="J550" s="15"/>
      <c r="K550" s="15"/>
    </row>
    <row r="551">
      <c r="J551" s="15"/>
      <c r="K551" s="15"/>
    </row>
    <row r="552">
      <c r="J552" s="15"/>
      <c r="K552" s="15"/>
    </row>
    <row r="553">
      <c r="J553" s="15"/>
      <c r="K553" s="15"/>
    </row>
    <row r="554">
      <c r="J554" s="15"/>
      <c r="K554" s="15"/>
    </row>
    <row r="555">
      <c r="J555" s="15"/>
      <c r="K555" s="15"/>
    </row>
    <row r="556">
      <c r="J556" s="15"/>
      <c r="K556" s="15"/>
    </row>
    <row r="557">
      <c r="J557" s="15"/>
      <c r="K557" s="15"/>
    </row>
    <row r="558">
      <c r="J558" s="15"/>
      <c r="K558" s="15"/>
    </row>
    <row r="559">
      <c r="J559" s="15"/>
      <c r="K559" s="15"/>
    </row>
    <row r="560">
      <c r="J560" s="15"/>
      <c r="K560" s="15"/>
    </row>
    <row r="561">
      <c r="J561" s="15"/>
      <c r="K561" s="15"/>
    </row>
    <row r="562">
      <c r="J562" s="15"/>
      <c r="K562" s="15"/>
    </row>
    <row r="563">
      <c r="J563" s="15"/>
      <c r="K563" s="15"/>
    </row>
    <row r="564">
      <c r="J564" s="15"/>
      <c r="K564" s="15"/>
    </row>
    <row r="565">
      <c r="J565" s="15"/>
      <c r="K565" s="15"/>
    </row>
    <row r="566">
      <c r="J566" s="15"/>
      <c r="K566" s="15"/>
    </row>
    <row r="567">
      <c r="J567" s="15"/>
      <c r="K567" s="15"/>
    </row>
    <row r="568">
      <c r="J568" s="15"/>
      <c r="K568" s="15"/>
    </row>
    <row r="569">
      <c r="J569" s="15"/>
      <c r="K569" s="15"/>
    </row>
    <row r="570">
      <c r="J570" s="15"/>
      <c r="K570" s="15"/>
    </row>
    <row r="571">
      <c r="J571" s="15"/>
      <c r="K571" s="15"/>
    </row>
    <row r="572">
      <c r="J572" s="15"/>
      <c r="K572" s="15"/>
    </row>
    <row r="573">
      <c r="J573" s="15"/>
      <c r="K573" s="15"/>
    </row>
    <row r="574">
      <c r="J574" s="15"/>
      <c r="K574" s="15"/>
    </row>
    <row r="575">
      <c r="J575" s="15"/>
      <c r="K575" s="15"/>
    </row>
    <row r="576">
      <c r="J576" s="15"/>
      <c r="K576" s="15"/>
    </row>
    <row r="577">
      <c r="J577" s="15"/>
      <c r="K577" s="15"/>
    </row>
    <row r="578">
      <c r="J578" s="15"/>
      <c r="K578" s="15"/>
    </row>
    <row r="579">
      <c r="J579" s="15"/>
      <c r="K579" s="15"/>
    </row>
    <row r="580">
      <c r="J580" s="15"/>
      <c r="K580" s="15"/>
    </row>
    <row r="581">
      <c r="J581" s="15"/>
      <c r="K581" s="15"/>
    </row>
    <row r="582">
      <c r="J582" s="15"/>
      <c r="K582" s="15"/>
    </row>
    <row r="583">
      <c r="J583" s="15"/>
      <c r="K583" s="15"/>
    </row>
    <row r="584">
      <c r="J584" s="15"/>
      <c r="K584" s="15"/>
    </row>
    <row r="585">
      <c r="J585" s="15"/>
      <c r="K585" s="15"/>
    </row>
    <row r="586">
      <c r="J586" s="15"/>
      <c r="K586" s="15"/>
    </row>
    <row r="587">
      <c r="J587" s="15"/>
      <c r="K587" s="15"/>
    </row>
    <row r="588">
      <c r="J588" s="15"/>
      <c r="K588" s="15"/>
    </row>
    <row r="589">
      <c r="J589" s="15"/>
      <c r="K589" s="15"/>
    </row>
    <row r="590">
      <c r="J590" s="15"/>
      <c r="K590" s="15"/>
    </row>
    <row r="591">
      <c r="J591" s="15"/>
      <c r="K591" s="15"/>
    </row>
    <row r="592">
      <c r="J592" s="15"/>
      <c r="K592" s="15"/>
    </row>
    <row r="593">
      <c r="J593" s="15"/>
      <c r="K593" s="15"/>
    </row>
    <row r="594">
      <c r="J594" s="15"/>
      <c r="K594" s="15"/>
    </row>
    <row r="595">
      <c r="J595" s="15"/>
      <c r="K595" s="15"/>
    </row>
    <row r="596">
      <c r="J596" s="15"/>
      <c r="K596" s="15"/>
    </row>
    <row r="597">
      <c r="J597" s="15"/>
      <c r="K597" s="15"/>
    </row>
    <row r="598">
      <c r="J598" s="15"/>
      <c r="K598" s="15"/>
    </row>
    <row r="599">
      <c r="J599" s="15"/>
      <c r="K599" s="15"/>
    </row>
    <row r="600">
      <c r="J600" s="15"/>
      <c r="K600" s="15"/>
    </row>
    <row r="601">
      <c r="J601" s="15"/>
      <c r="K601" s="15"/>
    </row>
    <row r="602">
      <c r="J602" s="15"/>
      <c r="K602" s="15"/>
    </row>
    <row r="603">
      <c r="J603" s="15"/>
      <c r="K603" s="15"/>
    </row>
    <row r="604">
      <c r="J604" s="15"/>
      <c r="K604" s="15"/>
    </row>
    <row r="605">
      <c r="J605" s="15"/>
      <c r="K605" s="15"/>
    </row>
    <row r="606">
      <c r="J606" s="15"/>
      <c r="K606" s="15"/>
    </row>
    <row r="607">
      <c r="J607" s="15"/>
      <c r="K607" s="15"/>
    </row>
    <row r="608">
      <c r="J608" s="15"/>
      <c r="K608" s="15"/>
    </row>
    <row r="609">
      <c r="J609" s="15"/>
      <c r="K609" s="15"/>
    </row>
    <row r="610">
      <c r="J610" s="15"/>
      <c r="K610" s="15"/>
    </row>
    <row r="611">
      <c r="J611" s="15"/>
      <c r="K611" s="15"/>
    </row>
    <row r="612">
      <c r="J612" s="15"/>
      <c r="K612" s="15"/>
    </row>
    <row r="613">
      <c r="J613" s="15"/>
      <c r="K613" s="15"/>
    </row>
    <row r="614">
      <c r="J614" s="15"/>
      <c r="K614" s="15"/>
    </row>
    <row r="615">
      <c r="J615" s="15"/>
      <c r="K615" s="15"/>
    </row>
    <row r="616">
      <c r="J616" s="15"/>
      <c r="K616" s="15"/>
    </row>
    <row r="617">
      <c r="J617" s="15"/>
      <c r="K617" s="15"/>
    </row>
    <row r="618">
      <c r="J618" s="15"/>
      <c r="K618" s="15"/>
    </row>
    <row r="619">
      <c r="J619" s="15"/>
      <c r="K619" s="15"/>
    </row>
    <row r="620">
      <c r="J620" s="15"/>
      <c r="K620" s="15"/>
    </row>
    <row r="621">
      <c r="J621" s="15"/>
      <c r="K621" s="15"/>
    </row>
    <row r="622">
      <c r="J622" s="15"/>
      <c r="K622" s="15"/>
    </row>
    <row r="623">
      <c r="J623" s="15"/>
      <c r="K623" s="15"/>
    </row>
    <row r="624">
      <c r="J624" s="15"/>
      <c r="K624" s="15"/>
    </row>
    <row r="625">
      <c r="J625" s="15"/>
      <c r="K625" s="15"/>
    </row>
    <row r="626">
      <c r="J626" s="15"/>
      <c r="K626" s="15"/>
    </row>
    <row r="627">
      <c r="J627" s="15"/>
      <c r="K627" s="15"/>
    </row>
    <row r="628">
      <c r="J628" s="15"/>
      <c r="K628" s="15"/>
    </row>
    <row r="629">
      <c r="J629" s="15"/>
      <c r="K629" s="15"/>
    </row>
    <row r="630">
      <c r="J630" s="15"/>
      <c r="K630" s="15"/>
    </row>
    <row r="631">
      <c r="J631" s="15"/>
      <c r="K631" s="15"/>
    </row>
    <row r="632">
      <c r="J632" s="15"/>
      <c r="K632" s="15"/>
    </row>
    <row r="633">
      <c r="J633" s="15"/>
      <c r="K633" s="15"/>
    </row>
    <row r="634">
      <c r="J634" s="15"/>
      <c r="K634" s="15"/>
    </row>
    <row r="635">
      <c r="J635" s="15"/>
      <c r="K635" s="15"/>
    </row>
    <row r="636">
      <c r="J636" s="15"/>
      <c r="K636" s="15"/>
    </row>
    <row r="637">
      <c r="J637" s="15"/>
      <c r="K637" s="15"/>
    </row>
    <row r="638">
      <c r="J638" s="15"/>
      <c r="K638" s="15"/>
    </row>
    <row r="639">
      <c r="J639" s="15"/>
      <c r="K639" s="15"/>
    </row>
    <row r="640">
      <c r="J640" s="15"/>
      <c r="K640" s="15"/>
    </row>
    <row r="641">
      <c r="J641" s="15"/>
      <c r="K641" s="15"/>
    </row>
    <row r="642">
      <c r="J642" s="15"/>
      <c r="K642" s="15"/>
    </row>
    <row r="643">
      <c r="J643" s="15"/>
      <c r="K643" s="15"/>
    </row>
    <row r="644">
      <c r="J644" s="15"/>
      <c r="K644" s="15"/>
    </row>
    <row r="645">
      <c r="J645" s="15"/>
      <c r="K645" s="15"/>
    </row>
    <row r="646">
      <c r="J646" s="15"/>
      <c r="K646" s="15"/>
    </row>
    <row r="647">
      <c r="J647" s="15"/>
      <c r="K647" s="15"/>
    </row>
    <row r="648">
      <c r="J648" s="15"/>
      <c r="K648" s="15"/>
    </row>
    <row r="649">
      <c r="J649" s="15"/>
      <c r="K649" s="15"/>
    </row>
    <row r="650">
      <c r="J650" s="15"/>
      <c r="K650" s="15"/>
    </row>
    <row r="651">
      <c r="J651" s="15"/>
      <c r="K651" s="15"/>
    </row>
    <row r="652">
      <c r="J652" s="15"/>
      <c r="K652" s="15"/>
    </row>
    <row r="653">
      <c r="J653" s="15"/>
      <c r="K653" s="15"/>
    </row>
    <row r="654">
      <c r="J654" s="15"/>
      <c r="K654" s="15"/>
    </row>
    <row r="655">
      <c r="J655" s="15"/>
      <c r="K655" s="15"/>
    </row>
    <row r="656">
      <c r="J656" s="15"/>
      <c r="K656" s="15"/>
    </row>
    <row r="657">
      <c r="J657" s="15"/>
      <c r="K657" s="15"/>
    </row>
    <row r="658">
      <c r="J658" s="15"/>
      <c r="K658" s="15"/>
    </row>
    <row r="659">
      <c r="J659" s="15"/>
      <c r="K659" s="15"/>
    </row>
    <row r="660">
      <c r="J660" s="15"/>
      <c r="K660" s="15"/>
    </row>
    <row r="661">
      <c r="J661" s="15"/>
      <c r="K661" s="15"/>
    </row>
    <row r="662">
      <c r="J662" s="15"/>
      <c r="K662" s="15"/>
    </row>
    <row r="663">
      <c r="J663" s="15"/>
      <c r="K663" s="15"/>
    </row>
    <row r="664">
      <c r="J664" s="15"/>
      <c r="K664" s="15"/>
    </row>
    <row r="665">
      <c r="J665" s="15"/>
      <c r="K665" s="15"/>
    </row>
    <row r="666">
      <c r="J666" s="15"/>
      <c r="K666" s="15"/>
    </row>
    <row r="667">
      <c r="J667" s="15"/>
      <c r="K667" s="15"/>
    </row>
    <row r="668">
      <c r="J668" s="15"/>
      <c r="K668" s="15"/>
    </row>
    <row r="669">
      <c r="J669" s="15"/>
      <c r="K669" s="15"/>
    </row>
    <row r="670">
      <c r="J670" s="15"/>
      <c r="K670" s="15"/>
    </row>
    <row r="671">
      <c r="J671" s="15"/>
      <c r="K671" s="15"/>
    </row>
    <row r="672">
      <c r="J672" s="15"/>
      <c r="K672" s="15"/>
    </row>
    <row r="673">
      <c r="J673" s="15"/>
      <c r="K673" s="15"/>
    </row>
    <row r="674">
      <c r="J674" s="15"/>
      <c r="K674" s="15"/>
    </row>
    <row r="675">
      <c r="J675" s="15"/>
      <c r="K675" s="15"/>
    </row>
    <row r="676">
      <c r="J676" s="15"/>
      <c r="K676" s="15"/>
    </row>
    <row r="677">
      <c r="J677" s="15"/>
      <c r="K677" s="15"/>
    </row>
    <row r="678">
      <c r="J678" s="15"/>
      <c r="K678" s="15"/>
    </row>
    <row r="679">
      <c r="J679" s="15"/>
      <c r="K679" s="15"/>
    </row>
    <row r="680">
      <c r="J680" s="15"/>
      <c r="K680" s="15"/>
    </row>
    <row r="681">
      <c r="J681" s="15"/>
      <c r="K681" s="15"/>
    </row>
    <row r="682">
      <c r="J682" s="15"/>
      <c r="K682" s="15"/>
    </row>
    <row r="683">
      <c r="J683" s="15"/>
      <c r="K683" s="15"/>
    </row>
    <row r="684">
      <c r="J684" s="15"/>
      <c r="K684" s="15"/>
    </row>
    <row r="685">
      <c r="J685" s="15"/>
      <c r="K685" s="15"/>
    </row>
    <row r="686">
      <c r="J686" s="15"/>
      <c r="K686" s="15"/>
    </row>
    <row r="687">
      <c r="J687" s="15"/>
      <c r="K687" s="15"/>
    </row>
    <row r="688">
      <c r="J688" s="15"/>
      <c r="K688" s="15"/>
    </row>
    <row r="689">
      <c r="J689" s="15"/>
      <c r="K689" s="15"/>
    </row>
    <row r="690">
      <c r="J690" s="15"/>
      <c r="K690" s="15"/>
    </row>
    <row r="691">
      <c r="J691" s="15"/>
      <c r="K691" s="15"/>
    </row>
    <row r="692">
      <c r="J692" s="15"/>
      <c r="K692" s="15"/>
    </row>
    <row r="693">
      <c r="J693" s="15"/>
      <c r="K693" s="15"/>
    </row>
    <row r="694">
      <c r="J694" s="15"/>
      <c r="K694" s="15"/>
    </row>
    <row r="695">
      <c r="J695" s="15"/>
      <c r="K695" s="15"/>
    </row>
    <row r="696">
      <c r="J696" s="15"/>
      <c r="K696" s="15"/>
    </row>
    <row r="697">
      <c r="J697" s="15"/>
      <c r="K697" s="15"/>
    </row>
    <row r="698">
      <c r="J698" s="15"/>
      <c r="K698" s="15"/>
    </row>
    <row r="699">
      <c r="J699" s="15"/>
      <c r="K699" s="15"/>
    </row>
    <row r="700">
      <c r="J700" s="15"/>
      <c r="K700" s="15"/>
    </row>
    <row r="701">
      <c r="J701" s="15"/>
      <c r="K701" s="15"/>
    </row>
    <row r="702">
      <c r="J702" s="15"/>
      <c r="K702" s="15"/>
    </row>
    <row r="703">
      <c r="J703" s="15"/>
      <c r="K703" s="15"/>
    </row>
    <row r="704">
      <c r="J704" s="15"/>
      <c r="K704" s="15"/>
    </row>
    <row r="705">
      <c r="J705" s="15"/>
      <c r="K705" s="15"/>
    </row>
    <row r="706">
      <c r="J706" s="15"/>
      <c r="K706" s="15"/>
    </row>
    <row r="707">
      <c r="J707" s="15"/>
      <c r="K707" s="15"/>
    </row>
    <row r="708">
      <c r="J708" s="15"/>
      <c r="K708" s="15"/>
    </row>
    <row r="709">
      <c r="J709" s="15"/>
      <c r="K709" s="15"/>
    </row>
    <row r="710">
      <c r="J710" s="15"/>
      <c r="K710" s="15"/>
    </row>
    <row r="711">
      <c r="J711" s="15"/>
      <c r="K711" s="15"/>
    </row>
    <row r="712">
      <c r="J712" s="15"/>
      <c r="K712" s="15"/>
    </row>
    <row r="713">
      <c r="J713" s="15"/>
      <c r="K713" s="15"/>
    </row>
    <row r="714">
      <c r="J714" s="15"/>
      <c r="K714" s="15"/>
    </row>
    <row r="715">
      <c r="J715" s="15"/>
      <c r="K715" s="15"/>
    </row>
    <row r="716">
      <c r="J716" s="15"/>
      <c r="K716" s="15"/>
    </row>
    <row r="717">
      <c r="J717" s="15"/>
      <c r="K717" s="15"/>
    </row>
    <row r="718">
      <c r="J718" s="15"/>
      <c r="K718" s="15"/>
    </row>
    <row r="719">
      <c r="J719" s="15"/>
      <c r="K719" s="15"/>
    </row>
    <row r="720">
      <c r="J720" s="15"/>
      <c r="K720" s="15"/>
    </row>
    <row r="721">
      <c r="J721" s="15"/>
      <c r="K721" s="15"/>
    </row>
    <row r="722">
      <c r="J722" s="15"/>
      <c r="K722" s="15"/>
    </row>
    <row r="723">
      <c r="J723" s="15"/>
      <c r="K723" s="15"/>
    </row>
    <row r="724">
      <c r="J724" s="15"/>
      <c r="K724" s="15"/>
    </row>
    <row r="725">
      <c r="J725" s="15"/>
      <c r="K725" s="15"/>
    </row>
    <row r="726">
      <c r="J726" s="15"/>
      <c r="K726" s="15"/>
    </row>
    <row r="727">
      <c r="J727" s="15"/>
      <c r="K727" s="15"/>
    </row>
    <row r="728">
      <c r="J728" s="15"/>
      <c r="K728" s="15"/>
    </row>
    <row r="729">
      <c r="J729" s="15"/>
      <c r="K729" s="15"/>
    </row>
    <row r="730">
      <c r="J730" s="15"/>
      <c r="K730" s="15"/>
    </row>
    <row r="731">
      <c r="J731" s="15"/>
      <c r="K731" s="15"/>
    </row>
    <row r="732">
      <c r="J732" s="15"/>
      <c r="K732" s="15"/>
    </row>
    <row r="733">
      <c r="J733" s="15"/>
      <c r="K733" s="15"/>
    </row>
    <row r="734">
      <c r="J734" s="15"/>
      <c r="K734" s="15"/>
    </row>
    <row r="735">
      <c r="J735" s="15"/>
      <c r="K735" s="15"/>
    </row>
    <row r="736">
      <c r="J736" s="15"/>
      <c r="K736" s="15"/>
    </row>
    <row r="737">
      <c r="J737" s="15"/>
      <c r="K737" s="15"/>
    </row>
    <row r="738">
      <c r="J738" s="15"/>
      <c r="K738" s="15"/>
    </row>
    <row r="739">
      <c r="J739" s="15"/>
      <c r="K739" s="15"/>
    </row>
    <row r="740">
      <c r="J740" s="15"/>
      <c r="K740" s="15"/>
    </row>
    <row r="741">
      <c r="J741" s="15"/>
      <c r="K741" s="15"/>
    </row>
    <row r="742">
      <c r="J742" s="15"/>
      <c r="K742" s="15"/>
    </row>
    <row r="743">
      <c r="J743" s="15"/>
      <c r="K743" s="15"/>
    </row>
    <row r="744">
      <c r="J744" s="15"/>
      <c r="K744" s="15"/>
    </row>
    <row r="745">
      <c r="J745" s="15"/>
      <c r="K745" s="15"/>
    </row>
    <row r="746">
      <c r="J746" s="15"/>
      <c r="K746" s="15"/>
    </row>
    <row r="747">
      <c r="J747" s="15"/>
      <c r="K747" s="15"/>
    </row>
    <row r="748">
      <c r="J748" s="15"/>
      <c r="K748" s="15"/>
    </row>
    <row r="749">
      <c r="J749" s="15"/>
      <c r="K749" s="15"/>
    </row>
    <row r="750">
      <c r="J750" s="15"/>
      <c r="K750" s="15"/>
    </row>
    <row r="751">
      <c r="J751" s="15"/>
      <c r="K751" s="15"/>
    </row>
    <row r="752">
      <c r="J752" s="15"/>
      <c r="K752" s="15"/>
    </row>
    <row r="753">
      <c r="J753" s="15"/>
      <c r="K753" s="15"/>
    </row>
    <row r="754">
      <c r="J754" s="15"/>
      <c r="K754" s="15"/>
    </row>
    <row r="755">
      <c r="J755" s="15"/>
      <c r="K755" s="15"/>
    </row>
    <row r="756">
      <c r="J756" s="15"/>
      <c r="K756" s="15"/>
    </row>
    <row r="757">
      <c r="J757" s="15"/>
      <c r="K757" s="15"/>
    </row>
    <row r="758">
      <c r="J758" s="15"/>
      <c r="K758" s="15"/>
    </row>
    <row r="759">
      <c r="J759" s="15"/>
      <c r="K759" s="15"/>
    </row>
    <row r="760">
      <c r="J760" s="15"/>
      <c r="K760" s="15"/>
    </row>
    <row r="761">
      <c r="J761" s="15"/>
      <c r="K761" s="15"/>
    </row>
    <row r="762">
      <c r="J762" s="15"/>
      <c r="K762" s="15"/>
    </row>
    <row r="763">
      <c r="J763" s="15"/>
      <c r="K763" s="15"/>
    </row>
    <row r="764">
      <c r="J764" s="15"/>
      <c r="K764" s="15"/>
    </row>
    <row r="765">
      <c r="J765" s="15"/>
      <c r="K765" s="15"/>
    </row>
    <row r="766">
      <c r="J766" s="15"/>
      <c r="K766" s="15"/>
    </row>
    <row r="767">
      <c r="J767" s="15"/>
      <c r="K767" s="15"/>
    </row>
    <row r="768">
      <c r="J768" s="15"/>
      <c r="K768" s="15"/>
    </row>
    <row r="769">
      <c r="J769" s="15"/>
      <c r="K769" s="15"/>
    </row>
    <row r="770">
      <c r="J770" s="15"/>
      <c r="K770" s="15"/>
    </row>
    <row r="771">
      <c r="J771" s="15"/>
      <c r="K771" s="15"/>
    </row>
    <row r="772">
      <c r="J772" s="15"/>
      <c r="K772" s="15"/>
    </row>
    <row r="773">
      <c r="J773" s="15"/>
      <c r="K773" s="15"/>
    </row>
    <row r="774">
      <c r="J774" s="15"/>
      <c r="K774" s="15"/>
    </row>
    <row r="775">
      <c r="J775" s="15"/>
      <c r="K775" s="15"/>
    </row>
    <row r="776">
      <c r="J776" s="15"/>
      <c r="K776" s="15"/>
    </row>
    <row r="777">
      <c r="J777" s="15"/>
      <c r="K777" s="15"/>
    </row>
    <row r="778">
      <c r="J778" s="15"/>
      <c r="K778" s="15"/>
    </row>
    <row r="779">
      <c r="J779" s="15"/>
      <c r="K779" s="15"/>
    </row>
    <row r="780">
      <c r="J780" s="15"/>
      <c r="K780" s="15"/>
    </row>
    <row r="781">
      <c r="J781" s="15"/>
      <c r="K781" s="15"/>
    </row>
    <row r="782">
      <c r="J782" s="15"/>
      <c r="K782" s="15"/>
    </row>
    <row r="783">
      <c r="J783" s="15"/>
      <c r="K783" s="15"/>
    </row>
    <row r="784">
      <c r="J784" s="15"/>
      <c r="K784" s="15"/>
    </row>
    <row r="785">
      <c r="J785" s="15"/>
      <c r="K785" s="15"/>
    </row>
    <row r="786">
      <c r="J786" s="15"/>
      <c r="K786" s="15"/>
    </row>
    <row r="787">
      <c r="J787" s="15"/>
      <c r="K787" s="15"/>
    </row>
    <row r="788">
      <c r="J788" s="15"/>
      <c r="K788" s="15"/>
    </row>
    <row r="789">
      <c r="J789" s="15"/>
      <c r="K789" s="15"/>
    </row>
    <row r="790">
      <c r="J790" s="15"/>
      <c r="K790" s="15"/>
    </row>
    <row r="791">
      <c r="J791" s="15"/>
      <c r="K791" s="15"/>
    </row>
    <row r="792">
      <c r="J792" s="15"/>
      <c r="K792" s="15"/>
    </row>
    <row r="793">
      <c r="J793" s="15"/>
      <c r="K793" s="15"/>
    </row>
    <row r="794">
      <c r="J794" s="15"/>
      <c r="K794" s="15"/>
    </row>
    <row r="795">
      <c r="J795" s="15"/>
      <c r="K795" s="15"/>
    </row>
    <row r="796">
      <c r="J796" s="15"/>
      <c r="K796" s="15"/>
    </row>
    <row r="797">
      <c r="J797" s="15"/>
      <c r="K797" s="15"/>
    </row>
    <row r="798">
      <c r="J798" s="15"/>
      <c r="K798" s="15"/>
    </row>
    <row r="799">
      <c r="J799" s="15"/>
      <c r="K799" s="15"/>
    </row>
    <row r="800">
      <c r="J800" s="15"/>
      <c r="K800" s="15"/>
    </row>
    <row r="801">
      <c r="J801" s="15"/>
      <c r="K801" s="15"/>
    </row>
    <row r="802">
      <c r="J802" s="15"/>
      <c r="K802" s="15"/>
    </row>
    <row r="803">
      <c r="J803" s="15"/>
      <c r="K803" s="15"/>
    </row>
    <row r="804">
      <c r="J804" s="15"/>
      <c r="K804" s="15"/>
    </row>
    <row r="805">
      <c r="J805" s="15"/>
      <c r="K805" s="15"/>
    </row>
    <row r="806">
      <c r="J806" s="15"/>
      <c r="K806" s="15"/>
    </row>
    <row r="807">
      <c r="J807" s="15"/>
      <c r="K807" s="15"/>
    </row>
    <row r="808">
      <c r="J808" s="15"/>
      <c r="K808" s="15"/>
    </row>
    <row r="809">
      <c r="J809" s="15"/>
      <c r="K809" s="15"/>
    </row>
    <row r="810">
      <c r="J810" s="15"/>
      <c r="K810" s="15"/>
    </row>
    <row r="811">
      <c r="J811" s="15"/>
      <c r="K811" s="15"/>
    </row>
    <row r="812">
      <c r="J812" s="15"/>
      <c r="K812" s="15"/>
    </row>
    <row r="813">
      <c r="J813" s="15"/>
      <c r="K813" s="15"/>
    </row>
    <row r="814">
      <c r="J814" s="15"/>
      <c r="K814" s="15"/>
    </row>
    <row r="815">
      <c r="J815" s="15"/>
      <c r="K815" s="15"/>
    </row>
    <row r="816">
      <c r="J816" s="15"/>
      <c r="K816" s="15"/>
    </row>
    <row r="817">
      <c r="J817" s="15"/>
      <c r="K817" s="15"/>
    </row>
    <row r="818">
      <c r="J818" s="15"/>
      <c r="K818" s="15"/>
    </row>
    <row r="819">
      <c r="J819" s="15"/>
      <c r="K819" s="15"/>
    </row>
    <row r="820">
      <c r="J820" s="15"/>
      <c r="K820" s="15"/>
    </row>
    <row r="821">
      <c r="J821" s="15"/>
      <c r="K821" s="15"/>
    </row>
    <row r="822">
      <c r="J822" s="15"/>
      <c r="K822" s="15"/>
    </row>
    <row r="823">
      <c r="J823" s="15"/>
      <c r="K823" s="15"/>
    </row>
    <row r="824">
      <c r="J824" s="15"/>
      <c r="K824" s="15"/>
    </row>
    <row r="825">
      <c r="J825" s="15"/>
      <c r="K825" s="15"/>
    </row>
    <row r="826">
      <c r="J826" s="15"/>
      <c r="K826" s="15"/>
    </row>
    <row r="827">
      <c r="J827" s="15"/>
      <c r="K827" s="15"/>
    </row>
    <row r="828">
      <c r="J828" s="15"/>
      <c r="K828" s="15"/>
    </row>
    <row r="829">
      <c r="J829" s="15"/>
      <c r="K829" s="15"/>
    </row>
    <row r="830">
      <c r="J830" s="15"/>
      <c r="K830" s="15"/>
    </row>
    <row r="831">
      <c r="J831" s="15"/>
      <c r="K831" s="15"/>
    </row>
    <row r="832">
      <c r="J832" s="15"/>
      <c r="K832" s="15"/>
    </row>
    <row r="833">
      <c r="J833" s="15"/>
      <c r="K833" s="15"/>
    </row>
    <row r="834">
      <c r="J834" s="15"/>
      <c r="K834" s="15"/>
    </row>
    <row r="835">
      <c r="J835" s="15"/>
      <c r="K835" s="15"/>
    </row>
    <row r="836">
      <c r="J836" s="15"/>
      <c r="K836" s="15"/>
    </row>
    <row r="837">
      <c r="J837" s="15"/>
      <c r="K837" s="15"/>
    </row>
    <row r="838">
      <c r="J838" s="15"/>
      <c r="K838" s="15"/>
    </row>
    <row r="839">
      <c r="J839" s="15"/>
      <c r="K839" s="15"/>
    </row>
    <row r="840">
      <c r="J840" s="15"/>
      <c r="K840" s="15"/>
    </row>
    <row r="841">
      <c r="J841" s="15"/>
      <c r="K841" s="15"/>
    </row>
    <row r="842">
      <c r="J842" s="15"/>
      <c r="K842" s="15"/>
    </row>
    <row r="843">
      <c r="J843" s="15"/>
      <c r="K843" s="15"/>
    </row>
    <row r="844">
      <c r="J844" s="15"/>
      <c r="K844" s="15"/>
    </row>
    <row r="845">
      <c r="J845" s="15"/>
      <c r="K845" s="15"/>
    </row>
    <row r="846">
      <c r="J846" s="15"/>
      <c r="K846" s="15"/>
    </row>
    <row r="847">
      <c r="J847" s="15"/>
      <c r="K847" s="15"/>
    </row>
    <row r="848">
      <c r="J848" s="15"/>
      <c r="K848" s="15"/>
    </row>
    <row r="849">
      <c r="J849" s="15"/>
      <c r="K849" s="15"/>
    </row>
    <row r="850">
      <c r="J850" s="15"/>
      <c r="K850" s="15"/>
    </row>
    <row r="851">
      <c r="J851" s="15"/>
      <c r="K851" s="15"/>
    </row>
    <row r="852">
      <c r="J852" s="15"/>
      <c r="K852" s="15"/>
    </row>
    <row r="853">
      <c r="J853" s="15"/>
      <c r="K853" s="15"/>
    </row>
    <row r="854">
      <c r="J854" s="15"/>
      <c r="K854" s="15"/>
    </row>
    <row r="855">
      <c r="J855" s="15"/>
      <c r="K855" s="15"/>
    </row>
    <row r="856">
      <c r="J856" s="15"/>
      <c r="K856" s="15"/>
    </row>
    <row r="857">
      <c r="J857" s="15"/>
      <c r="K857" s="15"/>
    </row>
    <row r="858">
      <c r="J858" s="15"/>
      <c r="K858" s="15"/>
    </row>
    <row r="859">
      <c r="J859" s="15"/>
      <c r="K859" s="15"/>
    </row>
    <row r="860">
      <c r="J860" s="15"/>
      <c r="K860" s="15"/>
    </row>
    <row r="861">
      <c r="J861" s="15"/>
      <c r="K861" s="15"/>
    </row>
    <row r="862">
      <c r="J862" s="15"/>
      <c r="K862" s="15"/>
    </row>
    <row r="863">
      <c r="J863" s="15"/>
      <c r="K863" s="15"/>
    </row>
    <row r="864">
      <c r="J864" s="15"/>
      <c r="K864" s="15"/>
    </row>
    <row r="865">
      <c r="J865" s="15"/>
      <c r="K865" s="15"/>
    </row>
    <row r="866">
      <c r="J866" s="15"/>
      <c r="K866" s="15"/>
    </row>
    <row r="867">
      <c r="J867" s="15"/>
      <c r="K867" s="15"/>
    </row>
    <row r="868">
      <c r="J868" s="15"/>
      <c r="K868" s="15"/>
    </row>
    <row r="869">
      <c r="J869" s="15"/>
      <c r="K869" s="15"/>
    </row>
    <row r="870">
      <c r="J870" s="15"/>
      <c r="K870" s="15"/>
    </row>
    <row r="871">
      <c r="J871" s="15"/>
      <c r="K871" s="15"/>
    </row>
    <row r="872">
      <c r="J872" s="15"/>
      <c r="K872" s="15"/>
    </row>
    <row r="873">
      <c r="J873" s="15"/>
      <c r="K873" s="15"/>
    </row>
    <row r="874">
      <c r="J874" s="15"/>
      <c r="K874" s="15"/>
    </row>
    <row r="875">
      <c r="J875" s="15"/>
      <c r="K875" s="15"/>
    </row>
    <row r="876">
      <c r="J876" s="15"/>
      <c r="K876" s="15"/>
    </row>
    <row r="877">
      <c r="J877" s="15"/>
      <c r="K877" s="15"/>
    </row>
    <row r="878">
      <c r="J878" s="15"/>
      <c r="K878" s="15"/>
    </row>
    <row r="879">
      <c r="J879" s="15"/>
      <c r="K879" s="15"/>
    </row>
    <row r="880">
      <c r="J880" s="15"/>
      <c r="K880" s="15"/>
    </row>
    <row r="881">
      <c r="J881" s="15"/>
      <c r="K881" s="15"/>
    </row>
    <row r="882">
      <c r="J882" s="15"/>
      <c r="K882" s="15"/>
    </row>
    <row r="883">
      <c r="J883" s="15"/>
      <c r="K883" s="15"/>
    </row>
    <row r="884">
      <c r="J884" s="15"/>
      <c r="K884" s="15"/>
    </row>
    <row r="885">
      <c r="J885" s="15"/>
      <c r="K885" s="15"/>
    </row>
    <row r="886">
      <c r="J886" s="15"/>
      <c r="K886" s="15"/>
    </row>
    <row r="887">
      <c r="J887" s="15"/>
      <c r="K887" s="15"/>
    </row>
    <row r="888">
      <c r="J888" s="15"/>
      <c r="K888" s="15"/>
    </row>
    <row r="889">
      <c r="J889" s="15"/>
      <c r="K889" s="15"/>
    </row>
    <row r="890">
      <c r="J890" s="15"/>
      <c r="K890" s="15"/>
    </row>
    <row r="891">
      <c r="J891" s="15"/>
      <c r="K891" s="15"/>
    </row>
    <row r="892">
      <c r="J892" s="15"/>
      <c r="K892" s="15"/>
    </row>
    <row r="893">
      <c r="J893" s="15"/>
      <c r="K893" s="15"/>
    </row>
    <row r="894">
      <c r="J894" s="15"/>
      <c r="K894" s="15"/>
    </row>
    <row r="895">
      <c r="J895" s="15"/>
      <c r="K895" s="15"/>
    </row>
    <row r="896">
      <c r="J896" s="15"/>
      <c r="K896" s="15"/>
    </row>
    <row r="897">
      <c r="J897" s="15"/>
      <c r="K897" s="15"/>
    </row>
    <row r="898">
      <c r="J898" s="15"/>
      <c r="K898" s="15"/>
    </row>
    <row r="899">
      <c r="J899" s="15"/>
      <c r="K899" s="15"/>
    </row>
    <row r="900">
      <c r="J900" s="15"/>
      <c r="K900" s="15"/>
    </row>
    <row r="901">
      <c r="J901" s="15"/>
      <c r="K901" s="15"/>
    </row>
    <row r="902">
      <c r="J902" s="15"/>
      <c r="K902" s="15"/>
    </row>
    <row r="903">
      <c r="J903" s="15"/>
      <c r="K903" s="15"/>
    </row>
    <row r="904">
      <c r="J904" s="15"/>
      <c r="K904" s="15"/>
    </row>
    <row r="905">
      <c r="J905" s="15"/>
      <c r="K905" s="15"/>
    </row>
    <row r="906">
      <c r="J906" s="15"/>
      <c r="K906" s="15"/>
    </row>
    <row r="907">
      <c r="J907" s="15"/>
      <c r="K907" s="15"/>
    </row>
    <row r="908">
      <c r="J908" s="15"/>
      <c r="K908" s="15"/>
    </row>
    <row r="909">
      <c r="J909" s="15"/>
      <c r="K909" s="15"/>
    </row>
    <row r="910">
      <c r="J910" s="15"/>
      <c r="K910" s="15"/>
    </row>
    <row r="911">
      <c r="J911" s="15"/>
      <c r="K911" s="15"/>
    </row>
    <row r="912">
      <c r="J912" s="15"/>
      <c r="K912" s="15"/>
    </row>
    <row r="913">
      <c r="J913" s="15"/>
      <c r="K913" s="15"/>
    </row>
    <row r="914">
      <c r="J914" s="15"/>
      <c r="K914" s="15"/>
    </row>
    <row r="915">
      <c r="J915" s="15"/>
      <c r="K915" s="15"/>
    </row>
    <row r="916">
      <c r="J916" s="15"/>
      <c r="K916" s="15"/>
    </row>
    <row r="917">
      <c r="J917" s="15"/>
      <c r="K917" s="15"/>
    </row>
    <row r="918">
      <c r="J918" s="15"/>
      <c r="K918" s="15"/>
    </row>
    <row r="919">
      <c r="J919" s="15"/>
      <c r="K919" s="15"/>
    </row>
    <row r="920">
      <c r="J920" s="15"/>
      <c r="K920" s="15"/>
    </row>
    <row r="921">
      <c r="J921" s="15"/>
      <c r="K921" s="15"/>
    </row>
    <row r="922">
      <c r="J922" s="15"/>
      <c r="K922" s="15"/>
    </row>
    <row r="923">
      <c r="J923" s="15"/>
      <c r="K923" s="15"/>
    </row>
    <row r="924">
      <c r="J924" s="15"/>
      <c r="K924" s="15"/>
    </row>
    <row r="925">
      <c r="J925" s="15"/>
      <c r="K925" s="15"/>
    </row>
    <row r="926">
      <c r="J926" s="15"/>
      <c r="K926" s="15"/>
    </row>
    <row r="927">
      <c r="J927" s="15"/>
      <c r="K927" s="15"/>
    </row>
    <row r="928">
      <c r="J928" s="15"/>
      <c r="K928" s="15"/>
    </row>
    <row r="929">
      <c r="J929" s="15"/>
      <c r="K929" s="15"/>
    </row>
    <row r="930">
      <c r="J930" s="15"/>
      <c r="K930" s="15"/>
    </row>
    <row r="931">
      <c r="J931" s="15"/>
      <c r="K931" s="15"/>
    </row>
    <row r="932">
      <c r="J932" s="15"/>
      <c r="K932" s="15"/>
    </row>
    <row r="933">
      <c r="J933" s="15"/>
      <c r="K933" s="15"/>
    </row>
    <row r="934">
      <c r="J934" s="15"/>
      <c r="K934" s="15"/>
    </row>
    <row r="935">
      <c r="J935" s="15"/>
      <c r="K935" s="15"/>
    </row>
    <row r="936">
      <c r="J936" s="15"/>
      <c r="K936" s="15"/>
    </row>
    <row r="937">
      <c r="J937" s="15"/>
      <c r="K937" s="15"/>
    </row>
    <row r="938">
      <c r="J938" s="15"/>
      <c r="K938" s="15"/>
    </row>
    <row r="939">
      <c r="J939" s="15"/>
      <c r="K939" s="15"/>
    </row>
    <row r="940">
      <c r="J940" s="15"/>
      <c r="K940" s="15"/>
    </row>
    <row r="941">
      <c r="J941" s="15"/>
      <c r="K941" s="15"/>
    </row>
    <row r="942">
      <c r="J942" s="15"/>
      <c r="K942" s="15"/>
    </row>
    <row r="943">
      <c r="J943" s="15"/>
      <c r="K943" s="15"/>
    </row>
    <row r="944">
      <c r="J944" s="15"/>
      <c r="K944" s="15"/>
    </row>
    <row r="945">
      <c r="J945" s="15"/>
      <c r="K945" s="15"/>
    </row>
    <row r="946">
      <c r="J946" s="15"/>
      <c r="K946" s="15"/>
    </row>
    <row r="947">
      <c r="J947" s="15"/>
      <c r="K947" s="15"/>
    </row>
    <row r="948">
      <c r="J948" s="15"/>
      <c r="K948" s="15"/>
    </row>
    <row r="949">
      <c r="J949" s="15"/>
      <c r="K949" s="15"/>
    </row>
    <row r="950">
      <c r="J950" s="15"/>
      <c r="K950" s="15"/>
    </row>
    <row r="951">
      <c r="J951" s="15"/>
      <c r="K951" s="15"/>
    </row>
    <row r="952">
      <c r="J952" s="15"/>
      <c r="K952" s="15"/>
    </row>
    <row r="953">
      <c r="J953" s="15"/>
      <c r="K953" s="15"/>
    </row>
    <row r="954">
      <c r="J954" s="15"/>
      <c r="K954" s="15"/>
    </row>
    <row r="955">
      <c r="J955" s="15"/>
      <c r="K955" s="15"/>
    </row>
    <row r="956">
      <c r="J956" s="15"/>
      <c r="K956" s="15"/>
    </row>
    <row r="957">
      <c r="J957" s="15"/>
      <c r="K957" s="15"/>
    </row>
    <row r="958">
      <c r="J958" s="15"/>
      <c r="K958" s="15"/>
    </row>
    <row r="959">
      <c r="J959" s="15"/>
      <c r="K959" s="15"/>
    </row>
    <row r="960">
      <c r="J960" s="15"/>
      <c r="K960" s="15"/>
    </row>
    <row r="961">
      <c r="J961" s="15"/>
      <c r="K961" s="15"/>
    </row>
    <row r="962">
      <c r="J962" s="15"/>
      <c r="K962" s="15"/>
    </row>
    <row r="963">
      <c r="J963" s="15"/>
      <c r="K963" s="15"/>
    </row>
    <row r="964">
      <c r="J964" s="15"/>
      <c r="K964" s="15"/>
    </row>
    <row r="965">
      <c r="J965" s="15"/>
      <c r="K965" s="15"/>
    </row>
    <row r="966">
      <c r="J966" s="15"/>
      <c r="K966" s="15"/>
    </row>
    <row r="967">
      <c r="J967" s="15"/>
      <c r="K967" s="15"/>
    </row>
    <row r="968">
      <c r="J968" s="15"/>
      <c r="K968" s="15"/>
    </row>
    <row r="969">
      <c r="J969" s="15"/>
      <c r="K969" s="15"/>
    </row>
    <row r="970">
      <c r="J970" s="15"/>
      <c r="K970" s="15"/>
    </row>
    <row r="971">
      <c r="J971" s="15"/>
      <c r="K971" s="15"/>
    </row>
    <row r="972">
      <c r="J972" s="15"/>
      <c r="K972" s="15"/>
    </row>
    <row r="973">
      <c r="J973" s="15"/>
      <c r="K973" s="15"/>
    </row>
    <row r="974">
      <c r="J974" s="15"/>
      <c r="K974" s="15"/>
    </row>
    <row r="975">
      <c r="J975" s="15"/>
      <c r="K975" s="15"/>
    </row>
    <row r="976">
      <c r="J976" s="15"/>
      <c r="K976" s="15"/>
    </row>
    <row r="977">
      <c r="J977" s="15"/>
      <c r="K977" s="15"/>
    </row>
    <row r="978">
      <c r="J978" s="15"/>
      <c r="K978" s="15"/>
    </row>
    <row r="979">
      <c r="J979" s="15"/>
      <c r="K979" s="15"/>
    </row>
    <row r="980">
      <c r="J980" s="15"/>
      <c r="K980" s="15"/>
    </row>
    <row r="981">
      <c r="J981" s="15"/>
      <c r="K981" s="15"/>
    </row>
    <row r="982">
      <c r="J982" s="15"/>
      <c r="K982" s="15"/>
    </row>
    <row r="983">
      <c r="J983" s="15"/>
      <c r="K983" s="15"/>
    </row>
    <row r="984">
      <c r="J984" s="15"/>
      <c r="K984" s="15"/>
    </row>
    <row r="985">
      <c r="J985" s="15"/>
      <c r="K985" s="15"/>
    </row>
    <row r="986">
      <c r="J986" s="15"/>
      <c r="K986" s="15"/>
    </row>
    <row r="987">
      <c r="J987" s="15"/>
      <c r="K987" s="15"/>
    </row>
    <row r="988">
      <c r="J988" s="15"/>
      <c r="K988" s="15"/>
    </row>
    <row r="989">
      <c r="J989" s="15"/>
      <c r="K989" s="15"/>
    </row>
    <row r="990">
      <c r="J990" s="15"/>
      <c r="K990" s="15"/>
    </row>
    <row r="991">
      <c r="J991" s="15"/>
      <c r="K991" s="15"/>
    </row>
    <row r="992">
      <c r="J992" s="15"/>
      <c r="K992" s="15"/>
    </row>
    <row r="993">
      <c r="J993" s="15"/>
      <c r="K993" s="15"/>
    </row>
    <row r="994">
      <c r="J994" s="15"/>
      <c r="K994" s="15"/>
    </row>
    <row r="995">
      <c r="J995" s="15"/>
      <c r="K995" s="15"/>
    </row>
    <row r="996">
      <c r="J996" s="15"/>
      <c r="K996" s="15"/>
    </row>
    <row r="997">
      <c r="J997" s="15"/>
      <c r="K997" s="15"/>
    </row>
    <row r="998">
      <c r="J998" s="15"/>
      <c r="K998" s="15"/>
    </row>
    <row r="999">
      <c r="J999" s="15"/>
      <c r="K999" s="15"/>
    </row>
    <row r="1000">
      <c r="J1000" s="15"/>
      <c r="K1000" s="15"/>
    </row>
    <row r="1001">
      <c r="J1001" s="15"/>
      <c r="K1001" s="1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4.75"/>
  </cols>
  <sheetData>
    <row r="1">
      <c r="A1" s="215" t="s">
        <v>624</v>
      </c>
      <c r="B1" s="215" t="s">
        <v>581</v>
      </c>
      <c r="C1" s="215" t="s">
        <v>625</v>
      </c>
    </row>
    <row r="2">
      <c r="C2" s="195"/>
    </row>
    <row r="3">
      <c r="C3" s="195"/>
    </row>
    <row r="4">
      <c r="C4" s="195"/>
    </row>
    <row r="5">
      <c r="C5" s="195"/>
    </row>
    <row r="6">
      <c r="C6" s="195"/>
    </row>
    <row r="7">
      <c r="C7" s="195"/>
    </row>
    <row r="8">
      <c r="C8" s="195"/>
    </row>
    <row r="9">
      <c r="C9" s="195"/>
    </row>
    <row r="10">
      <c r="C10" s="195"/>
    </row>
    <row r="11">
      <c r="C11" s="195"/>
    </row>
    <row r="12">
      <c r="C12" s="195"/>
    </row>
    <row r="13">
      <c r="C13" s="195"/>
    </row>
    <row r="14">
      <c r="C14" s="195"/>
    </row>
    <row r="15">
      <c r="C15" s="195"/>
    </row>
    <row r="16">
      <c r="C16" s="19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75"/>
    <col customWidth="1" min="2" max="2" width="15.38"/>
    <col customWidth="1" min="3" max="3" width="11.0"/>
    <col customWidth="1" min="4" max="4" width="12.88"/>
    <col customWidth="1" min="5" max="5" width="15.75"/>
    <col customWidth="1" min="6" max="6" width="16.63"/>
    <col customWidth="1" min="7" max="7" width="66.88"/>
    <col customWidth="1" min="8" max="8" width="134.25"/>
  </cols>
  <sheetData>
    <row r="1">
      <c r="A1" s="216" t="s">
        <v>1</v>
      </c>
      <c r="B1" s="217" t="s">
        <v>559</v>
      </c>
      <c r="C1" s="217" t="s">
        <v>520</v>
      </c>
      <c r="D1" s="217" t="s">
        <v>626</v>
      </c>
      <c r="E1" s="217" t="s">
        <v>627</v>
      </c>
      <c r="F1" s="217" t="s">
        <v>628</v>
      </c>
      <c r="G1" s="218" t="s">
        <v>604</v>
      </c>
      <c r="H1" s="219" t="s">
        <v>540</v>
      </c>
    </row>
    <row r="2">
      <c r="A2" s="220">
        <f>RawTotals!A2</f>
        <v>1023</v>
      </c>
      <c r="B2" s="75" t="str">
        <f>IFERROR(__xludf.DUMMYFUNCTION("IFERROR(FILTER('Pit Scouting Responses'!F:F,'Pit Scouting Responses'!B:B=A2),"""")"),"swerve")</f>
        <v>swerve</v>
      </c>
      <c r="C2" s="85">
        <f>IF(ISBLANK(A2),"",SUMIF(RawTotals!A$2:A1000, A2, RawTotals!O$2:O1000))</f>
        <v>0.8296296296</v>
      </c>
      <c r="D2" s="221">
        <f>IF(ISBLANK(A2),"",SUMIF(RawTotals!A$2:A1000, A2, RawTotals!D$2:D1000) + SUMIF(RawTotals!A$2:A1000, A2, RawTotals!M$2:M1000))</f>
        <v>14</v>
      </c>
      <c r="E2" s="221">
        <f>IF(ISBLANK(A2),"",SUMIF(RawTotals!A$2:A1000, A2, RawTotals!C$2:C1000) + SUMIF(RawTotals!A$2:A1000, A2, RawTotals!L$2:L1000))</f>
        <v>0</v>
      </c>
      <c r="F2" s="194" t="str">
        <f>IFERROR(__xludf.DUMMYFUNCTION("IFERROR(FILTER('Pit Scouting Responses'!G:G,'Pit Scouting Responses'!C:C=A2),"""")"),"")</f>
        <v/>
      </c>
      <c r="G2" s="222" t="str">
        <f>IFERROR(__xludf.DUMMYFUNCTION("IFERROR(FILTER('Pit Scouting Responses'!D:D,'Pit Scouting Responses'!C:C=A2),"""")"),"")</f>
        <v/>
      </c>
      <c r="H2" s="223" t="str">
        <f>RawTotals!AI2</f>
        <v/>
      </c>
    </row>
    <row r="3">
      <c r="A3" s="220">
        <f>RawTotals!A3</f>
        <v>2056</v>
      </c>
      <c r="B3" s="75" t="str">
        <f>IFERROR(__xludf.DUMMYFUNCTION("IFERROR(FILTER('Pit Scouting Responses'!F:F,'Pit Scouting Responses'!B:B=A3),"""")"),"")</f>
        <v/>
      </c>
      <c r="C3" s="85">
        <f>IF(ISBLANK(A3),"",SUMIF(RawTotals!A$2:A1000, A3, RawTotals!O$2:O1000))</f>
        <v>0.8901734104</v>
      </c>
      <c r="D3" s="221">
        <f>IF(ISBLANK(A3),"",SUMIF(RawTotals!A$2:A1000, A3, RawTotals!D$2:D1000) + SUMIF(RawTotals!A$2:A1000, A3, RawTotals!M$2:M1000))</f>
        <v>19.25</v>
      </c>
      <c r="E3" s="221">
        <f>IF(ISBLANK(A3),"",SUMIF(RawTotals!A$2:A1000, A3, RawTotals!C$2:C1000) + SUMIF(RawTotals!A$2:A1000, A3, RawTotals!L$2:L1000))</f>
        <v>0</v>
      </c>
      <c r="F3" s="194" t="str">
        <f>IFERROR(__xludf.DUMMYFUNCTION("IFERROR(FILTER('Pit Scouting Responses'!G:G,'Pit Scouting Responses'!C:C=A3),"""")"),"")</f>
        <v/>
      </c>
      <c r="G3" s="222" t="str">
        <f>IFERROR(__xludf.DUMMYFUNCTION("IFERROR(FILTER('Pit Scouting Responses'!D:D,'Pit Scouting Responses'!C:C=A3),"""")"),"")</f>
        <v/>
      </c>
      <c r="H3" s="223" t="str">
        <f>RawTotals!AI3</f>
        <v>very good scorer. shoots 3 ball bursts, move and shoot during auto</v>
      </c>
    </row>
    <row r="4">
      <c r="A4" s="224">
        <f>RawTotals!A4</f>
        <v>1339</v>
      </c>
      <c r="B4" s="75" t="str">
        <f>IFERROR(__xludf.DUMMYFUNCTION("IFERROR(FILTER('Pit Scouting Responses'!F:F,'Pit Scouting Responses'!B:B=A4),"""")"),"")</f>
        <v/>
      </c>
      <c r="C4" s="85">
        <f>IF(ISBLANK(A4),"",SUMIF(RawTotals!A$2:A1000, A4, RawTotals!O$2:O1000))</f>
        <v>0.880952381</v>
      </c>
      <c r="D4" s="221">
        <f>IF(ISBLANK(A4),"",SUMIF(RawTotals!A$2:A1000, A4, RawTotals!D$2:D1000) + SUMIF(RawTotals!A$2:A1000, A4, RawTotals!M$2:M1000))</f>
        <v>15.85714286</v>
      </c>
      <c r="E4" s="221">
        <f>IF(ISBLANK(A4),"",SUMIF(RawTotals!A$2:A1000, A4, RawTotals!C$2:C1000) + SUMIF(RawTotals!A$2:A1000, A4, RawTotals!L$2:L1000))</f>
        <v>0</v>
      </c>
      <c r="F4" s="225" t="str">
        <f>IFERROR(__xludf.DUMMYFUNCTION("IFERROR(FILTER('Pit Scouting Responses'!G:G,'Pit Scouting Responses'!C:C=A4),"""")"),"")</f>
        <v/>
      </c>
      <c r="G4" s="226" t="str">
        <f>IFERROR(__xludf.DUMMYFUNCTION("IFERROR(FILTER('Pit Scouting Responses'!D:D,'Pit Scouting Responses'!C:C=A4),"""")"),"")</f>
        <v/>
      </c>
      <c r="H4" s="223" t="str">
        <f>RawTotals!AI4</f>
        <v>fast and smooth intake, 18 sec traverse climb, fast intake, consistent. i like them.</v>
      </c>
    </row>
    <row r="5">
      <c r="A5" s="224">
        <f>RawTotals!A5</f>
        <v>3538</v>
      </c>
      <c r="B5" s="75" t="str">
        <f>IFERROR(__xludf.DUMMYFUNCTION("IFERROR(FILTER('Pit Scouting Responses'!F:F,'Pit Scouting Responses'!B:B=A5),"""")"),"")</f>
        <v/>
      </c>
      <c r="C5" s="85">
        <f>IF(ISBLANK(A5),"",SUMIF(RawTotals!A$2:A1000, A5, RawTotals!O$2:O1000))</f>
        <v>0.8157894737</v>
      </c>
      <c r="D5" s="221">
        <f>IF(ISBLANK(A5),"",SUMIF(RawTotals!A$2:A1000, A5, RawTotals!D$2:D1000) + SUMIF(RawTotals!A$2:A1000, A5, RawTotals!M$2:M1000))</f>
        <v>15.5</v>
      </c>
      <c r="E5" s="221">
        <f>IF(ISBLANK(A5),"",SUMIF(RawTotals!A$2:A1000, A5, RawTotals!C$2:C1000) + SUMIF(RawTotals!A$2:A1000, A5, RawTotals!L$2:L1000))</f>
        <v>0</v>
      </c>
      <c r="F5" s="225" t="str">
        <f>IFERROR(__xludf.DUMMYFUNCTION("IFERROR(FILTER('Pit Scouting Responses'!G:G,'Pit Scouting Responses'!C:C=A5),"""")"),"")</f>
        <v/>
      </c>
      <c r="G5" s="226" t="str">
        <f>IFERROR(__xludf.DUMMYFUNCTION("IFERROR(FILTER('Pit Scouting Responses'!D:D,'Pit Scouting Responses'!C:C=A5),"""")"),"")</f>
        <v/>
      </c>
      <c r="H5" s="223" t="str">
        <f>RawTotals!AI5</f>
        <v>often did one ball cycles, accuarate shootEr close and far missed shots due to aggressive defense</v>
      </c>
    </row>
    <row r="6">
      <c r="A6" s="224">
        <f>RawTotals!A6</f>
        <v>340</v>
      </c>
      <c r="B6" s="75" t="str">
        <f>IFERROR(__xludf.DUMMYFUNCTION("IFERROR(FILTER('Pit Scouting Responses'!F:F,'Pit Scouting Responses'!B:B=A6),"""")"),"swerve")</f>
        <v>swerve</v>
      </c>
      <c r="C6" s="85">
        <f>IF(ISBLANK(A6),"",SUMIF(RawTotals!A$2:A1000, A6, RawTotals!O$2:O1000))</f>
        <v>0.9482758621</v>
      </c>
      <c r="D6" s="221">
        <f>IF(ISBLANK(A6),"",SUMIF(RawTotals!A$2:A1000, A6, RawTotals!D$2:D1000) + SUMIF(RawTotals!A$2:A1000, A6, RawTotals!M$2:M1000))</f>
        <v>13.75</v>
      </c>
      <c r="E6" s="221">
        <f>IF(ISBLANK(A6),"",SUMIF(RawTotals!A$2:A1000, A6, RawTotals!C$2:C1000) + SUMIF(RawTotals!A$2:A1000, A6, RawTotals!L$2:L1000))</f>
        <v>0</v>
      </c>
      <c r="F6" s="225" t="str">
        <f>IFERROR(__xludf.DUMMYFUNCTION("IFERROR(FILTER('Pit Scouting Responses'!G:G,'Pit Scouting Responses'!C:C=A6),"""")"),"")</f>
        <v/>
      </c>
      <c r="G6" s="226" t="str">
        <f>IFERROR(__xludf.DUMMYFUNCTION("IFERROR(FILTER('Pit Scouting Responses'!D:D,'Pit Scouting Responses'!C:C=A6),"""")"),"")</f>
        <v/>
      </c>
      <c r="H6" s="223" t="str">
        <f>RawTotals!AI6</f>
        <v>incapacitated halfway through, disconnected at the 30 sec. mark</v>
      </c>
    </row>
    <row r="7">
      <c r="A7" s="224">
        <f>RawTotals!A7</f>
        <v>180</v>
      </c>
      <c r="B7" s="75" t="str">
        <f>IFERROR(__xludf.DUMMYFUNCTION("IFERROR(FILTER('Pit Scouting Responses'!F:F,'Pit Scouting Responses'!B:B=A7),"""")"),"swerve")</f>
        <v>swerve</v>
      </c>
      <c r="C7" s="85">
        <f>IF(ISBLANK(A7),"",SUMIF(RawTotals!A$2:A1000, A7, RawTotals!O$2:O1000))</f>
        <v>0.9347826087</v>
      </c>
      <c r="D7" s="221">
        <f>IF(ISBLANK(A7),"",SUMIF(RawTotals!A$2:A1000, A7, RawTotals!D$2:D1000) + SUMIF(RawTotals!A$2:A1000, A7, RawTotals!M$2:M1000))</f>
        <v>21.5</v>
      </c>
      <c r="E7" s="221">
        <f>IF(ISBLANK(A7),"",SUMIF(RawTotals!A$2:A1000, A7, RawTotals!C$2:C1000) + SUMIF(RawTotals!A$2:A1000, A7, RawTotals!L$2:L1000))</f>
        <v>0</v>
      </c>
      <c r="F7" s="225" t="str">
        <f>IFERROR(__xludf.DUMMYFUNCTION("IFERROR(FILTER('Pit Scouting Responses'!G:G,'Pit Scouting Responses'!C:C=A7),"""")"),"")</f>
        <v/>
      </c>
      <c r="G7" s="226" t="str">
        <f>IFERROR(__xludf.DUMMYFUNCTION("IFERROR(FILTER('Pit Scouting Responses'!D:D,'Pit Scouting Responses'!C:C=A7),"""")"),"")</f>
        <v/>
      </c>
      <c r="H7" s="223" t="str">
        <f>RawTotals!AI7</f>
        <v>Froze for 25 ish seconds., slow, single balls but accurate and fast cycle tIme. climbed quickly and then dropped down before 5 second limit</v>
      </c>
    </row>
    <row r="8">
      <c r="A8" s="224">
        <f>RawTotals!A8</f>
        <v>4028</v>
      </c>
      <c r="B8" s="75" t="str">
        <f>IFERROR(__xludf.DUMMYFUNCTION("IFERROR(FILTER('Pit Scouting Responses'!F:F,'Pit Scouting Responses'!B:B=A8),"""")"),"swerve")</f>
        <v>swerve</v>
      </c>
      <c r="C8" s="85">
        <f>IF(ISBLANK(A8),"",SUMIF(RawTotals!A$2:A1000, A8, RawTotals!O$2:O1000))</f>
        <v>0.9246575342</v>
      </c>
      <c r="D8" s="221">
        <f>IF(ISBLANK(A8),"",SUMIF(RawTotals!A$2:A1000, A8, RawTotals!D$2:D1000) + SUMIF(RawTotals!A$2:A1000, A8, RawTotals!M$2:M1000))</f>
        <v>19.28571429</v>
      </c>
      <c r="E8" s="221">
        <f>IF(ISBLANK(A8),"",SUMIF(RawTotals!A$2:A1000, A8, RawTotals!C$2:C1000) + SUMIF(RawTotals!A$2:A1000, A8, RawTotals!L$2:L1000))</f>
        <v>0</v>
      </c>
      <c r="F8" s="225" t="str">
        <f>IFERROR(__xludf.DUMMYFUNCTION("IFERROR(FILTER('Pit Scouting Responses'!G:G,'Pit Scouting Responses'!C:C=A8),"""")"),"")</f>
        <v/>
      </c>
      <c r="G8" s="226" t="str">
        <f>IFERROR(__xludf.DUMMYFUNCTION("IFERROR(FILTER('Pit Scouting Responses'!D:D,'Pit Scouting Responses'!C:C=A8),"""")"),"")</f>
        <v/>
      </c>
      <c r="H8" s="223" t="str">
        <f>RawTotals!AI8</f>
        <v>Struggled with climb, had to realign twice and still bareky made it up. Quick shots but shaky intake</v>
      </c>
    </row>
    <row r="9">
      <c r="A9" s="224">
        <f>RawTotals!A9</f>
        <v>2767</v>
      </c>
      <c r="B9" s="75" t="str">
        <f>IFERROR(__xludf.DUMMYFUNCTION("IFERROR(FILTER('Pit Scouting Responses'!F:F,'Pit Scouting Responses'!B:B=A9),"""")"),"")</f>
        <v/>
      </c>
      <c r="C9" s="85">
        <f>IF(ISBLANK(A9),"",SUMIF(RawTotals!A$2:A1000, A9, RawTotals!O$2:O1000))</f>
        <v>0.9417475728</v>
      </c>
      <c r="D9" s="221">
        <f>IF(ISBLANK(A9),"",SUMIF(RawTotals!A$2:A1000, A9, RawTotals!D$2:D1000) + SUMIF(RawTotals!A$2:A1000, A9, RawTotals!M$2:M1000))</f>
        <v>13.57142857</v>
      </c>
      <c r="E9" s="221">
        <f>IF(ISBLANK(A9),"",SUMIF(RawTotals!A$2:A1000, A9, RawTotals!C$2:C1000) + SUMIF(RawTotals!A$2:A1000, A9, RawTotals!L$2:L1000))</f>
        <v>0.2857142857</v>
      </c>
      <c r="F9" s="225" t="str">
        <f>IFERROR(__xludf.DUMMYFUNCTION("IFERROR(FILTER('Pit Scouting Responses'!G:G,'Pit Scouting Responses'!C:C=A9),"""")"),"")</f>
        <v/>
      </c>
      <c r="G9" s="226" t="str">
        <f>IFERROR(__xludf.DUMMYFUNCTION("IFERROR(FILTER('Pit Scouting Responses'!D:D,'Pit Scouting Responses'!C:C=A9),"""")"),"")</f>
        <v/>
      </c>
      <c r="H9" s="223" t="str">
        <f>RawTotals!AI9</f>
        <v/>
      </c>
    </row>
    <row r="10">
      <c r="A10" s="224">
        <f>RawTotals!A10</f>
        <v>5712</v>
      </c>
      <c r="B10" s="75" t="str">
        <f>IFERROR(__xludf.DUMMYFUNCTION("IFERROR(FILTER('Pit Scouting Responses'!F:F,'Pit Scouting Responses'!B:B=A10),"""")"),"Swerve")</f>
        <v>Swerve</v>
      </c>
      <c r="C10" s="85">
        <f>IF(ISBLANK(A10),"",SUMIF(RawTotals!A$2:A1000, A10, RawTotals!O$2:O1000))</f>
        <v>0.875</v>
      </c>
      <c r="D10" s="221">
        <f>IF(ISBLANK(A10),"",SUMIF(RawTotals!A$2:A1000, A10, RawTotals!D$2:D1000) + SUMIF(RawTotals!A$2:A1000, A10, RawTotals!M$2:M1000))</f>
        <v>13</v>
      </c>
      <c r="E10" s="221">
        <f>IF(ISBLANK(A10),"",SUMIF(RawTotals!A$2:A1000, A10, RawTotals!C$2:C1000) + SUMIF(RawTotals!A$2:A1000, A10, RawTotals!L$2:L1000))</f>
        <v>0.125</v>
      </c>
      <c r="F10" s="225" t="str">
        <f>IFERROR(__xludf.DUMMYFUNCTION("IFERROR(FILTER('Pit Scouting Responses'!G:G,'Pit Scouting Responses'!C:C=A10),"""")"),"")</f>
        <v/>
      </c>
      <c r="G10" s="226" t="str">
        <f>IFERROR(__xludf.DUMMYFUNCTION("IFERROR(FILTER('Pit Scouting Responses'!D:D,'Pit Scouting Responses'!C:C=A10),"""")"),"")</f>
        <v/>
      </c>
      <c r="H10" s="223" t="str">
        <f>RawTotals!AI10</f>
        <v>Didn't attempt climb, completely overshot auto, Slow turning, quick climb once lined up properly</v>
      </c>
    </row>
    <row r="11">
      <c r="A11" s="224">
        <f>RawTotals!A11</f>
        <v>4499</v>
      </c>
      <c r="B11" s="75" t="str">
        <f>IFERROR(__xludf.DUMMYFUNCTION("IFERROR(FILTER('Pit Scouting Responses'!F:F,'Pit Scouting Responses'!B:B=A11),"""")"),"swerve")</f>
        <v>swerve</v>
      </c>
      <c r="C11" s="85">
        <f>IF(ISBLANK(A11),"",SUMIF(RawTotals!A$2:A1000, A11, RawTotals!O$2:O1000))</f>
        <v>0.9528301887</v>
      </c>
      <c r="D11" s="221">
        <f>IF(ISBLANK(A11),"",SUMIF(RawTotals!A$2:A1000, A11, RawTotals!D$2:D1000) + SUMIF(RawTotals!A$2:A1000, A11, RawTotals!M$2:M1000))</f>
        <v>12.625</v>
      </c>
      <c r="E11" s="221">
        <f>IF(ISBLANK(A11),"",SUMIF(RawTotals!A$2:A1000, A11, RawTotals!C$2:C1000) + SUMIF(RawTotals!A$2:A1000, A11, RawTotals!L$2:L1000))</f>
        <v>0</v>
      </c>
      <c r="F11" s="225" t="str">
        <f>IFERROR(__xludf.DUMMYFUNCTION("IFERROR(FILTER('Pit Scouting Responses'!G:G,'Pit Scouting Responses'!C:C=A11),"""")"),"")</f>
        <v/>
      </c>
      <c r="G11" s="226" t="str">
        <f>IFERROR(__xludf.DUMMYFUNCTION("IFERROR(FILTER('Pit Scouting Responses'!D:D,'Pit Scouting Responses'!C:C=A11),"""")"),"")</f>
        <v/>
      </c>
      <c r="H11" s="223" t="str">
        <f>RawTotals!AI11</f>
        <v>climbed 15 seconds early, lot of opposing defense</v>
      </c>
    </row>
    <row r="12">
      <c r="A12" s="224">
        <f>RawTotals!A12</f>
        <v>2338</v>
      </c>
      <c r="B12" s="75" t="str">
        <f>IFERROR(__xludf.DUMMYFUNCTION("IFERROR(FILTER('Pit Scouting Responses'!F:F,'Pit Scouting Responses'!B:B=A12),"""")"),"Tank")</f>
        <v>Tank</v>
      </c>
      <c r="C12" s="85">
        <f>IF(ISBLANK(A12),"",SUMIF(RawTotals!A$2:A1000, A12, RawTotals!O$2:O1000))</f>
        <v>0.9255319149</v>
      </c>
      <c r="D12" s="221">
        <f>IF(ISBLANK(A12),"",SUMIF(RawTotals!A$2:A1000, A12, RawTotals!D$2:D1000) + SUMIF(RawTotals!A$2:A1000, A12, RawTotals!M$2:M1000))</f>
        <v>12.42857143</v>
      </c>
      <c r="E12" s="221">
        <f>IF(ISBLANK(A12),"",SUMIF(RawTotals!A$2:A1000, A12, RawTotals!C$2:C1000) + SUMIF(RawTotals!A$2:A1000, A12, RawTotals!L$2:L1000))</f>
        <v>0</v>
      </c>
      <c r="F12" s="225" t="str">
        <f>IFERROR(__xludf.DUMMYFUNCTION("IFERROR(FILTER('Pit Scouting Responses'!G:G,'Pit Scouting Responses'!C:C=A12),"""")"),"")</f>
        <v/>
      </c>
      <c r="G12" s="226" t="str">
        <f>IFERROR(__xludf.DUMMYFUNCTION("IFERROR(FILTER('Pit Scouting Responses'!D:D,'Pit Scouting Responses'!C:C=A12),"""")"),"")</f>
        <v/>
      </c>
      <c r="H12" s="223" t="str">
        <f>RawTotals!AI12</f>
        <v>very accurate shooter, played defense most the match</v>
      </c>
    </row>
    <row r="13">
      <c r="A13" s="224">
        <f>RawTotals!A13</f>
        <v>694</v>
      </c>
      <c r="B13" s="75" t="str">
        <f>IFERROR(__xludf.DUMMYFUNCTION("IFERROR(FILTER('Pit Scouting Responses'!F:F,'Pit Scouting Responses'!B:B=A13),"""")"),"Tank")</f>
        <v>Tank</v>
      </c>
      <c r="C13" s="85">
        <f>IF(ISBLANK(A13),"",SUMIF(RawTotals!A$2:A1000, A13, RawTotals!O$2:O1000))</f>
        <v>0.9380530973</v>
      </c>
      <c r="D13" s="221">
        <f>IF(ISBLANK(A13),"",SUMIF(RawTotals!A$2:A1000, A13, RawTotals!D$2:D1000) + SUMIF(RawTotals!A$2:A1000, A13, RawTotals!M$2:M1000))</f>
        <v>13.25</v>
      </c>
      <c r="E13" s="221">
        <f>IF(ISBLANK(A13),"",SUMIF(RawTotals!A$2:A1000, A13, RawTotals!C$2:C1000) + SUMIF(RawTotals!A$2:A1000, A13, RawTotals!L$2:L1000))</f>
        <v>0</v>
      </c>
      <c r="F13" s="225" t="str">
        <f>IFERROR(__xludf.DUMMYFUNCTION("IFERROR(FILTER('Pit Scouting Responses'!G:G,'Pit Scouting Responses'!C:C=A13),"""")"),"")</f>
        <v/>
      </c>
      <c r="G13" s="226" t="str">
        <f>IFERROR(__xludf.DUMMYFUNCTION("IFERROR(FILTER('Pit Scouting Responses'!D:D,'Pit Scouting Responses'!C:C=A13),"""")"),"")</f>
        <v/>
      </c>
      <c r="H13" s="223" t="str">
        <f>RawTotals!AI13</f>
        <v>attempted traversal</v>
      </c>
    </row>
    <row r="14">
      <c r="A14" s="224">
        <f>RawTotals!A14</f>
        <v>4143</v>
      </c>
      <c r="B14" s="75" t="str">
        <f>IFERROR(__xludf.DUMMYFUNCTION("IFERROR(FILTER('Pit Scouting Responses'!F:F,'Pit Scouting Responses'!B:B=A14),"""")"),"")</f>
        <v/>
      </c>
      <c r="C14" s="85">
        <f>IF(ISBLANK(A14),"",SUMIF(RawTotals!A$2:A1000, A14, RawTotals!O$2:O1000))</f>
        <v>0.9296875</v>
      </c>
      <c r="D14" s="221">
        <f>IF(ISBLANK(A14),"",SUMIF(RawTotals!A$2:A1000, A14, RawTotals!D$2:D1000) + SUMIF(RawTotals!A$2:A1000, A14, RawTotals!M$2:M1000))</f>
        <v>14.875</v>
      </c>
      <c r="E14" s="221">
        <f>IF(ISBLANK(A14),"",SUMIF(RawTotals!A$2:A1000, A14, RawTotals!C$2:C1000) + SUMIF(RawTotals!A$2:A1000, A14, RawTotals!L$2:L1000))</f>
        <v>0</v>
      </c>
      <c r="F14" s="225" t="str">
        <f>IFERROR(__xludf.DUMMYFUNCTION("IFERROR(FILTER('Pit Scouting Responses'!G:G,'Pit Scouting Responses'!C:C=A14),"""")"),"")</f>
        <v/>
      </c>
      <c r="G14" s="226" t="str">
        <f>IFERROR(__xludf.DUMMYFUNCTION("IFERROR(FILTER('Pit Scouting Responses'!D:D,'Pit Scouting Responses'!C:C=A14),"""")"),"")</f>
        <v/>
      </c>
      <c r="H14" s="223" t="str">
        <f>RawTotals!AI14</f>
        <v>intake is iffy at sn angle, played 2+1 auto, didnt perform during auto</v>
      </c>
    </row>
    <row r="15">
      <c r="A15" s="224">
        <f>RawTotals!A15</f>
        <v>67</v>
      </c>
      <c r="B15" s="75" t="str">
        <f>IFERROR(__xludf.DUMMYFUNCTION("IFERROR(FILTER('Pit Scouting Responses'!F:F,'Pit Scouting Responses'!B:B=A15),"""")"),"swerve")</f>
        <v>swerve</v>
      </c>
      <c r="C15" s="85">
        <f>IF(ISBLANK(A15),"",SUMIF(RawTotals!A$2:A1000, A15, RawTotals!O$2:O1000))</f>
        <v>0.9291338583</v>
      </c>
      <c r="D15" s="221">
        <f>IF(ISBLANK(A15),"",SUMIF(RawTotals!A$2:A1000, A15, RawTotals!D$2:D1000) + SUMIF(RawTotals!A$2:A1000, A15, RawTotals!M$2:M1000))</f>
        <v>16.85714286</v>
      </c>
      <c r="E15" s="221">
        <f>IF(ISBLANK(A15),"",SUMIF(RawTotals!A$2:A1000, A15, RawTotals!C$2:C1000) + SUMIF(RawTotals!A$2:A1000, A15, RawTotals!L$2:L1000))</f>
        <v>0</v>
      </c>
      <c r="F15" s="225" t="str">
        <f>IFERROR(__xludf.DUMMYFUNCTION("IFERROR(FILTER('Pit Scouting Responses'!G:G,'Pit Scouting Responses'!C:C=A15),"""")"),"")</f>
        <v/>
      </c>
      <c r="G15" s="226" t="str">
        <f>IFERROR(__xludf.DUMMYFUNCTION("IFERROR(FILTER('Pit Scouting Responses'!D:D,'Pit Scouting Responses'!C:C=A15),"""")"),"")</f>
        <v/>
      </c>
      <c r="H15" s="223" t="str">
        <f>RawTotals!AI15</f>
        <v>fast climb</v>
      </c>
    </row>
    <row r="16">
      <c r="A16" s="224">
        <f>RawTotals!A16</f>
        <v>27</v>
      </c>
      <c r="B16" s="75" t="str">
        <f>IFERROR(__xludf.DUMMYFUNCTION("IFERROR(FILTER('Pit Scouting Responses'!F:F,'Pit Scouting Responses'!B:B=A16),"""")"),"swerve")</f>
        <v>swerve</v>
      </c>
      <c r="C16" s="85">
        <f>IF(ISBLANK(A16),"",SUMIF(RawTotals!A$2:A1000, A16, RawTotals!O$2:O1000))</f>
        <v>0.8407079646</v>
      </c>
      <c r="D16" s="221">
        <f>IF(ISBLANK(A16),"",SUMIF(RawTotals!A$2:A1000, A16, RawTotals!D$2:D1000) + SUMIF(RawTotals!A$2:A1000, A16, RawTotals!M$2:M1000))</f>
        <v>11.875</v>
      </c>
      <c r="E16" s="221">
        <f>IF(ISBLANK(A16),"",SUMIF(RawTotals!A$2:A1000, A16, RawTotals!C$2:C1000) + SUMIF(RawTotals!A$2:A1000, A16, RawTotals!L$2:L1000))</f>
        <v>0</v>
      </c>
      <c r="F16" s="225" t="str">
        <f>IFERROR(__xludf.DUMMYFUNCTION("IFERROR(FILTER('Pit Scouting Responses'!G:G,'Pit Scouting Responses'!C:C=A16),"""")"),"")</f>
        <v/>
      </c>
      <c r="G16" s="226" t="str">
        <f>IFERROR(__xludf.DUMMYFUNCTION("IFERROR(FILTER('Pit Scouting Responses'!D:D,'Pit Scouting Responses'!C:C=A16),"""")"),"")</f>
        <v/>
      </c>
      <c r="H16" s="223" t="str">
        <f>RawTotals!AI16</f>
        <v>put ine red cargo into hanger during auto, very efficient, but slow on intake due to driver, quick traversal climb, intakw has issues picking up balls at an angke, 20 sec climb to traversal</v>
      </c>
    </row>
    <row r="17">
      <c r="A17" s="224">
        <f>RawTotals!A17</f>
        <v>118</v>
      </c>
      <c r="B17" s="75" t="str">
        <f>IFERROR(__xludf.DUMMYFUNCTION("IFERROR(FILTER('Pit Scouting Responses'!F:F,'Pit Scouting Responses'!B:B=A17),"""")"),"swerve")</f>
        <v>swerve</v>
      </c>
      <c r="C17" s="85">
        <f>IF(ISBLANK(A17),"",SUMIF(RawTotals!A$2:A1000, A17, RawTotals!O$2:O1000))</f>
        <v>0.8898305085</v>
      </c>
      <c r="D17" s="221">
        <f>IF(ISBLANK(A17),"",SUMIF(RawTotals!A$2:A1000, A17, RawTotals!D$2:D1000) + SUMIF(RawTotals!A$2:A1000, A17, RawTotals!M$2:M1000))</f>
        <v>13.125</v>
      </c>
      <c r="E17" s="221">
        <f>IF(ISBLANK(A17),"",SUMIF(RawTotals!A$2:A1000, A17, RawTotals!C$2:C1000) + SUMIF(RawTotals!A$2:A1000, A17, RawTotals!L$2:L1000))</f>
        <v>0</v>
      </c>
      <c r="F17" s="225" t="str">
        <f>IFERROR(__xludf.DUMMYFUNCTION("IFERROR(FILTER('Pit Scouting Responses'!G:G,'Pit Scouting Responses'!C:C=A17),"""")"),"")</f>
        <v/>
      </c>
      <c r="G17" s="226" t="str">
        <f>IFERROR(__xludf.DUMMYFUNCTION("IFERROR(FILTER('Pit Scouting Responses'!D:D,'Pit Scouting Responses'!C:C=A17),"""")"),"")</f>
        <v/>
      </c>
      <c r="H17" s="223" t="str">
        <f>RawTotals!AI17</f>
        <v>very fast climb, kind of shaky whdn moving around the field</v>
      </c>
    </row>
    <row r="18">
      <c r="A18" s="224">
        <f>RawTotals!A18</f>
        <v>587</v>
      </c>
      <c r="B18" s="75" t="str">
        <f>IFERROR(__xludf.DUMMYFUNCTION("IFERROR(FILTER('Pit Scouting Responses'!F:F,'Pit Scouting Responses'!B:B=A18),"""")"),"Swerve")</f>
        <v>Swerve</v>
      </c>
      <c r="C18" s="85">
        <f>IF(ISBLANK(A18),"",SUMIF(RawTotals!A$2:A1000, A18, RawTotals!O$2:O1000))</f>
        <v>0.712962963</v>
      </c>
      <c r="D18" s="221">
        <f>IF(ISBLANK(A18),"",SUMIF(RawTotals!A$2:A1000, A18, RawTotals!D$2:D1000) + SUMIF(RawTotals!A$2:A1000, A18, RawTotals!M$2:M1000))</f>
        <v>9.25</v>
      </c>
      <c r="E18" s="221">
        <f>IF(ISBLANK(A18),"",SUMIF(RawTotals!A$2:A1000, A18, RawTotals!C$2:C1000) + SUMIF(RawTotals!A$2:A1000, A18, RawTotals!L$2:L1000))</f>
        <v>0.375</v>
      </c>
      <c r="F18" s="225" t="str">
        <f>IFERROR(__xludf.DUMMYFUNCTION("IFERROR(FILTER('Pit Scouting Responses'!G:G,'Pit Scouting Responses'!C:C=A18),"""")"),"")</f>
        <v/>
      </c>
      <c r="G18" s="226" t="str">
        <f>IFERROR(__xludf.DUMMYFUNCTION("IFERROR(FILTER('Pit Scouting Responses'!D:D,'Pit Scouting Responses'!C:C=A18),"""")"),"")</f>
        <v/>
      </c>
      <c r="H18" s="223" t="str">
        <f>RawTotals!AI18</f>
        <v>crashed early stopped picking up balls and played defrnse. almost tipped over, their climber was very smooth</v>
      </c>
    </row>
    <row r="19">
      <c r="A19" s="224">
        <f>RawTotals!A19</f>
        <v>195</v>
      </c>
      <c r="B19" s="75" t="str">
        <f>IFERROR(__xludf.DUMMYFUNCTION("IFERROR(FILTER('Pit Scouting Responses'!F:F,'Pit Scouting Responses'!B:B=A19),"""")"),"Tank")</f>
        <v>Tank</v>
      </c>
      <c r="C19" s="85">
        <f>IF(ISBLANK(A19),"",SUMIF(RawTotals!A$2:A1000, A19, RawTotals!O$2:O1000))</f>
        <v>0.8</v>
      </c>
      <c r="D19" s="221">
        <f>IF(ISBLANK(A19),"",SUMIF(RawTotals!A$2:A1000, A19, RawTotals!D$2:D1000) + SUMIF(RawTotals!A$2:A1000, A19, RawTotals!M$2:M1000))</f>
        <v>10.28571429</v>
      </c>
      <c r="E19" s="221">
        <f>IF(ISBLANK(A19),"",SUMIF(RawTotals!A$2:A1000, A19, RawTotals!C$2:C1000) + SUMIF(RawTotals!A$2:A1000, A19, RawTotals!L$2:L1000))</f>
        <v>0</v>
      </c>
      <c r="F19" s="225" t="str">
        <f>IFERROR(__xludf.DUMMYFUNCTION("IFERROR(FILTER('Pit Scouting Responses'!G:G,'Pit Scouting Responses'!C:C=A19),"""")"),"")</f>
        <v/>
      </c>
      <c r="G19" s="226" t="str">
        <f>IFERROR(__xludf.DUMMYFUNCTION("IFERROR(FILTER('Pit Scouting Responses'!D:D,'Pit Scouting Responses'!C:C=A19),"""")"),"")</f>
        <v/>
      </c>
      <c r="H19" s="223" t="str">
        <f>RawTotals!AI19</f>
        <v>spent most of the match damaging their intake, fell on first climb attemot and barely stayed on 2nd.</v>
      </c>
    </row>
    <row r="20">
      <c r="A20" s="224">
        <f>RawTotals!A20</f>
        <v>2468</v>
      </c>
      <c r="B20" s="75" t="str">
        <f>IFERROR(__xludf.DUMMYFUNCTION("IFERROR(FILTER('Pit Scouting Responses'!F:F,'Pit Scouting Responses'!B:B=A20),"""")"),"")</f>
        <v/>
      </c>
      <c r="C20" s="85">
        <f>IF(ISBLANK(A20),"",SUMIF(RawTotals!A$2:A1000, A20, RawTotals!O$2:O1000))</f>
        <v>0.8875</v>
      </c>
      <c r="D20" s="221">
        <f>IF(ISBLANK(A20),"",SUMIF(RawTotals!A$2:A1000, A20, RawTotals!D$2:D1000) + SUMIF(RawTotals!A$2:A1000, A20, RawTotals!M$2:M1000))</f>
        <v>10.14285714</v>
      </c>
      <c r="E20" s="221">
        <f>IF(ISBLANK(A20),"",SUMIF(RawTotals!A$2:A1000, A20, RawTotals!C$2:C1000) + SUMIF(RawTotals!A$2:A1000, A20, RawTotals!L$2:L1000))</f>
        <v>0</v>
      </c>
      <c r="F20" s="225" t="str">
        <f>IFERROR(__xludf.DUMMYFUNCTION("IFERROR(FILTER('Pit Scouting Responses'!G:G,'Pit Scouting Responses'!C:C=A20),"""")"),"")</f>
        <v/>
      </c>
      <c r="G20" s="226" t="str">
        <f>IFERROR(__xludf.DUMMYFUNCTION("IFERROR(FILTER('Pit Scouting Responses'!D:D,'Pit Scouting Responses'!C:C=A20),"""")"),"")</f>
        <v/>
      </c>
      <c r="H20" s="223" t="str">
        <f>RawTotals!AI20</f>
        <v>didnt really try to pick up more than one ball at a time, also only really shot one at a time, they were ballin</v>
      </c>
    </row>
    <row r="21">
      <c r="A21" s="224">
        <f>RawTotals!A21</f>
        <v>1706</v>
      </c>
      <c r="B21" s="75" t="str">
        <f>IFERROR(__xludf.DUMMYFUNCTION("IFERROR(FILTER('Pit Scouting Responses'!F:F,'Pit Scouting Responses'!B:B=A21),"""")"),"")</f>
        <v/>
      </c>
      <c r="C21" s="85">
        <f>IF(ISBLANK(A21),"",SUMIF(RawTotals!A$2:A1000, A21, RawTotals!O$2:O1000))</f>
        <v>0.8596491228</v>
      </c>
      <c r="D21" s="221">
        <f>IF(ISBLANK(A21),"",SUMIF(RawTotals!A$2:A1000, A21, RawTotals!D$2:D1000) + SUMIF(RawTotals!A$2:A1000, A21, RawTotals!M$2:M1000))</f>
        <v>21</v>
      </c>
      <c r="E21" s="221">
        <f>IF(ISBLANK(A21),"",SUMIF(RawTotals!A$2:A1000, A21, RawTotals!C$2:C1000) + SUMIF(RawTotals!A$2:A1000, A21, RawTotals!L$2:L1000))</f>
        <v>0</v>
      </c>
      <c r="F21" s="225" t="str">
        <f>IFERROR(__xludf.DUMMYFUNCTION("IFERROR(FILTER('Pit Scouting Responses'!G:G,'Pit Scouting Responses'!C:C=A21),"""")"),"")</f>
        <v/>
      </c>
      <c r="G21" s="226" t="str">
        <f>IFERROR(__xludf.DUMMYFUNCTION("IFERROR(FILTER('Pit Scouting Responses'!D:D,'Pit Scouting Responses'!C:C=A21),"""")"),"")</f>
        <v/>
      </c>
      <c r="H21" s="223" t="str">
        <f>RawTotals!AI21</f>
        <v/>
      </c>
    </row>
    <row r="22">
      <c r="A22" s="224">
        <f>RawTotals!A22</f>
        <v>3357</v>
      </c>
      <c r="B22" s="75" t="str">
        <f>IFERROR(__xludf.DUMMYFUNCTION("IFERROR(FILTER('Pit Scouting Responses'!F:F,'Pit Scouting Responses'!B:B=A22),"""")"),"")</f>
        <v/>
      </c>
      <c r="C22" s="85">
        <f>IF(ISBLANK(A22),"",SUMIF(RawTotals!A$2:A1000, A22, RawTotals!O$2:O1000))</f>
        <v>0.8051948052</v>
      </c>
      <c r="D22" s="221">
        <f>IF(ISBLANK(A22),"",SUMIF(RawTotals!A$2:A1000, A22, RawTotals!D$2:D1000) + SUMIF(RawTotals!A$2:A1000, A22, RawTotals!M$2:M1000))</f>
        <v>8.714285714</v>
      </c>
      <c r="E22" s="221">
        <f>IF(ISBLANK(A22),"",SUMIF(RawTotals!A$2:A1000, A22, RawTotals!C$2:C1000) + SUMIF(RawTotals!A$2:A1000, A22, RawTotals!L$2:L1000))</f>
        <v>0.1428571429</v>
      </c>
      <c r="F22" s="225" t="str">
        <f>IFERROR(__xludf.DUMMYFUNCTION("IFERROR(FILTER('Pit Scouting Responses'!G:G,'Pit Scouting Responses'!C:C=A22),"""")"),"")</f>
        <v/>
      </c>
      <c r="G22" s="226" t="str">
        <f>IFERROR(__xludf.DUMMYFUNCTION("IFERROR(FILTER('Pit Scouting Responses'!D:D,'Pit Scouting Responses'!C:C=A22),"""")"),"")</f>
        <v/>
      </c>
      <c r="H22" s="223" t="str">
        <f>RawTotals!AI22</f>
        <v>Attempted traverse but ran out of time. Struggled against defense. Can shoot from anywhere on tge field, very vulnerable to being pinned for the whole match</v>
      </c>
    </row>
    <row r="23">
      <c r="A23" s="224">
        <f>RawTotals!A23</f>
        <v>2539</v>
      </c>
      <c r="B23" s="75" t="str">
        <f>IFERROR(__xludf.DUMMYFUNCTION("IFERROR(FILTER('Pit Scouting Responses'!F:F,'Pit Scouting Responses'!B:B=A23),"""")"),"Swerve")</f>
        <v>Swerve</v>
      </c>
      <c r="C23" s="85">
        <f>IF(ISBLANK(A23),"",SUMIF(RawTotals!A$2:A1000, A23, RawTotals!O$2:O1000))</f>
        <v>0.862745098</v>
      </c>
      <c r="D23" s="221">
        <f>IF(ISBLANK(A23),"",SUMIF(RawTotals!A$2:A1000, A23, RawTotals!D$2:D1000) + SUMIF(RawTotals!A$2:A1000, A23, RawTotals!M$2:M1000))</f>
        <v>6.285714286</v>
      </c>
      <c r="E23" s="221">
        <f>IF(ISBLANK(A23),"",SUMIF(RawTotals!A$2:A1000, A23, RawTotals!C$2:C1000) + SUMIF(RawTotals!A$2:A1000, A23, RawTotals!L$2:L1000))</f>
        <v>0</v>
      </c>
      <c r="F23" s="225" t="str">
        <f>IFERROR(__xludf.DUMMYFUNCTION("IFERROR(FILTER('Pit Scouting Responses'!G:G,'Pit Scouting Responses'!C:C=A23),"""")"),"")</f>
        <v/>
      </c>
      <c r="G23" s="226" t="str">
        <f>IFERROR(__xludf.DUMMYFUNCTION("IFERROR(FILTER('Pit Scouting Responses'!D:D,'Pit Scouting Responses'!C:C=A23),"""")"),"")</f>
        <v/>
      </c>
      <c r="H23" s="223" t="str">
        <f>RawTotals!AI23</f>
        <v>defended mostly, played defense, played defense, defense</v>
      </c>
    </row>
    <row r="24">
      <c r="A24" s="224">
        <f>RawTotals!A24</f>
        <v>3940</v>
      </c>
      <c r="B24" s="75" t="str">
        <f>IFERROR(__xludf.DUMMYFUNCTION("IFERROR(FILTER('Pit Scouting Responses'!F:F,'Pit Scouting Responses'!B:B=A24),"""")"),"Tank")</f>
        <v>Tank</v>
      </c>
      <c r="C24" s="85">
        <f>IF(ISBLANK(A24),"",SUMIF(RawTotals!A$2:A1000, A24, RawTotals!O$2:O1000))</f>
        <v>0.9038461538</v>
      </c>
      <c r="D24" s="221">
        <f>IF(ISBLANK(A24),"",SUMIF(RawTotals!A$2:A1000, A24, RawTotals!D$2:D1000) + SUMIF(RawTotals!A$2:A1000, A24, RawTotals!M$2:M1000))</f>
        <v>6.714285714</v>
      </c>
      <c r="E24" s="221">
        <f>IF(ISBLANK(A24),"",SUMIF(RawTotals!A$2:A1000, A24, RawTotals!C$2:C1000) + SUMIF(RawTotals!A$2:A1000, A24, RawTotals!L$2:L1000))</f>
        <v>0</v>
      </c>
      <c r="F24" s="225" t="str">
        <f>IFERROR(__xludf.DUMMYFUNCTION("IFERROR(FILTER('Pit Scouting Responses'!G:G,'Pit Scouting Responses'!C:C=A24),"""")"),"")</f>
        <v/>
      </c>
      <c r="G24" s="226" t="str">
        <f>IFERROR(__xludf.DUMMYFUNCTION("IFERROR(FILTER('Pit Scouting Responses'!D:D,'Pit Scouting Responses'!C:C=A24),"""")"),"")</f>
        <v/>
      </c>
      <c r="H24" s="223" t="str">
        <f>RawTotals!AI24</f>
        <v/>
      </c>
    </row>
    <row r="25">
      <c r="A25" s="224">
        <f>RawTotals!A25</f>
        <v>4635</v>
      </c>
      <c r="B25" s="75" t="str">
        <f>IFERROR(__xludf.DUMMYFUNCTION("IFERROR(FILTER('Pit Scouting Responses'!F:F,'Pit Scouting Responses'!B:B=A25),"""")"),"")</f>
        <v/>
      </c>
      <c r="C25" s="85">
        <f>IF(ISBLANK(A25),"",SUMIF(RawTotals!A$2:A1000, A25, RawTotals!O$2:O1000))</f>
        <v>0.7945205479</v>
      </c>
      <c r="D25" s="221">
        <f>IF(ISBLANK(A25),"",SUMIF(RawTotals!A$2:A1000, A25, RawTotals!D$2:D1000) + SUMIF(RawTotals!A$2:A1000, A25, RawTotals!M$2:M1000))</f>
        <v>16.57142857</v>
      </c>
      <c r="E25" s="221">
        <f>IF(ISBLANK(A25),"",SUMIF(RawTotals!A$2:A1000, A25, RawTotals!C$2:C1000) + SUMIF(RawTotals!A$2:A1000, A25, RawTotals!L$2:L1000))</f>
        <v>0</v>
      </c>
      <c r="F25" s="225" t="str">
        <f>IFERROR(__xludf.DUMMYFUNCTION("IFERROR(FILTER('Pit Scouting Responses'!G:G,'Pit Scouting Responses'!C:C=A25),"""")"),"")</f>
        <v/>
      </c>
      <c r="G25" s="226" t="str">
        <f>IFERROR(__xludf.DUMMYFUNCTION("IFERROR(FILTER('Pit Scouting Responses'!D:D,'Pit Scouting Responses'!C:C=A25),"""")"),"")</f>
        <v/>
      </c>
      <c r="H25" s="223" t="str">
        <f>RawTotals!AI25</f>
        <v>Second hook of climber didn't connect, and it was too much strain for one hook by itself.</v>
      </c>
    </row>
    <row r="26">
      <c r="A26" s="224">
        <f>RawTotals!A26</f>
        <v>1533</v>
      </c>
      <c r="B26" s="75" t="str">
        <f>IFERROR(__xludf.DUMMYFUNCTION("IFERROR(FILTER('Pit Scouting Responses'!F:F,'Pit Scouting Responses'!B:B=A26),"""")"),"")</f>
        <v/>
      </c>
      <c r="C26" s="85">
        <f>IF(ISBLANK(A26),"",SUMIF(RawTotals!A$2:A1000, A26, RawTotals!O$2:O1000))</f>
        <v>0.7652173913</v>
      </c>
      <c r="D26" s="221">
        <f>IF(ISBLANK(A26),"",SUMIF(RawTotals!A$2:A1000, A26, RawTotals!D$2:D1000) + SUMIF(RawTotals!A$2:A1000, A26, RawTotals!M$2:M1000))</f>
        <v>11</v>
      </c>
      <c r="E26" s="221">
        <f>IF(ISBLANK(A26),"",SUMIF(RawTotals!A$2:A1000, A26, RawTotals!C$2:C1000) + SUMIF(RawTotals!A$2:A1000, A26, RawTotals!L$2:L1000))</f>
        <v>0</v>
      </c>
      <c r="F26" s="225" t="str">
        <f>IFERROR(__xludf.DUMMYFUNCTION("IFERROR(FILTER('Pit Scouting Responses'!G:G,'Pit Scouting Responses'!C:C=A26),"""")"),"")</f>
        <v/>
      </c>
      <c r="G26" s="226" t="str">
        <f>IFERROR(__xludf.DUMMYFUNCTION("IFERROR(FILTER('Pit Scouting Responses'!D:D,'Pit Scouting Responses'!C:C=A26),"""")"),"")</f>
        <v/>
      </c>
      <c r="H26" s="223" t="str">
        <f>RawTotals!AI26</f>
        <v>very fast and effective, did good in both sides of the field</v>
      </c>
    </row>
    <row r="27">
      <c r="A27" s="224">
        <f>RawTotals!A27</f>
        <v>33</v>
      </c>
      <c r="B27" s="75" t="str">
        <f>IFERROR(__xludf.DUMMYFUNCTION("IFERROR(FILTER('Pit Scouting Responses'!F:F,'Pit Scouting Responses'!B:B=A27),"""")"),"swerve")</f>
        <v>swerve</v>
      </c>
      <c r="C27" s="85">
        <f>IF(ISBLANK(A27),"",SUMIF(RawTotals!A$2:A1000, A27, RawTotals!O$2:O1000))</f>
        <v>0.8731343284</v>
      </c>
      <c r="D27" s="221">
        <f>IF(ISBLANK(A27),"",SUMIF(RawTotals!A$2:A1000, A27, RawTotals!D$2:D1000) + SUMIF(RawTotals!A$2:A1000, A27, RawTotals!M$2:M1000))</f>
        <v>16.57142857</v>
      </c>
      <c r="E27" s="221">
        <f>IF(ISBLANK(A27),"",SUMIF(RawTotals!A$2:A1000, A27, RawTotals!C$2:C1000) + SUMIF(RawTotals!A$2:A1000, A27, RawTotals!L$2:L1000))</f>
        <v>0.1428571429</v>
      </c>
      <c r="F27" s="225" t="str">
        <f>IFERROR(__xludf.DUMMYFUNCTION("IFERROR(FILTER('Pit Scouting Responses'!G:G,'Pit Scouting Responses'!C:C=A27),"""")"),"")</f>
        <v/>
      </c>
      <c r="G27" s="226" t="str">
        <f>IFERROR(__xludf.DUMMYFUNCTION("IFERROR(FILTER('Pit Scouting Responses'!D:D,'Pit Scouting Responses'!C:C=A27),"""")"),"")</f>
        <v/>
      </c>
      <c r="H27" s="223" t="str">
        <f>RawTotals!AI27</f>
        <v>Quick fire rate even with mild defense against them. Strong team</v>
      </c>
    </row>
    <row r="28">
      <c r="A28" s="224">
        <f>RawTotals!A28</f>
        <v>624</v>
      </c>
      <c r="B28" s="75" t="str">
        <f>IFERROR(__xludf.DUMMYFUNCTION("IFERROR(FILTER('Pit Scouting Responses'!F:F,'Pit Scouting Responses'!B:B=A28),"""")"),"")</f>
        <v/>
      </c>
      <c r="C28" s="85">
        <f>IF(ISBLANK(A28),"",SUMIF(RawTotals!A$2:A1000, A28, RawTotals!O$2:O1000))</f>
        <v>0.8395061728</v>
      </c>
      <c r="D28" s="221">
        <f>IF(ISBLANK(A28),"",SUMIF(RawTotals!A$2:A1000, A28, RawTotals!D$2:D1000) + SUMIF(RawTotals!A$2:A1000, A28, RawTotals!M$2:M1000))</f>
        <v>16.625</v>
      </c>
      <c r="E28" s="221">
        <f>IF(ISBLANK(A28),"",SUMIF(RawTotals!A$2:A1000, A28, RawTotals!C$2:C1000) + SUMIF(RawTotals!A$2:A1000, A28, RawTotals!L$2:L1000))</f>
        <v>0.375</v>
      </c>
      <c r="F28" s="225" t="str">
        <f>IFERROR(__xludf.DUMMYFUNCTION("IFERROR(FILTER('Pit Scouting Responses'!G:G,'Pit Scouting Responses'!C:C=A28),"""")"),"")</f>
        <v/>
      </c>
      <c r="G28" s="226" t="str">
        <f>IFERROR(__xludf.DUMMYFUNCTION("IFERROR(FILTER('Pit Scouting Responses'!D:D,'Pit Scouting Responses'!C:C=A28),"""")"),"")</f>
        <v/>
      </c>
      <c r="H28" s="223" t="str">
        <f>RawTotals!AI28</f>
        <v>it got flipped, climber barely works, suddenly began throwing balls to the moon 1\2 way through</v>
      </c>
    </row>
    <row r="29">
      <c r="A29" s="224">
        <f>RawTotals!A29</f>
        <v>829</v>
      </c>
      <c r="B29" s="75" t="str">
        <f>IFERROR(__xludf.DUMMYFUNCTION("IFERROR(FILTER('Pit Scouting Responses'!F:F,'Pit Scouting Responses'!B:B=A29),"""")"),"")</f>
        <v/>
      </c>
      <c r="C29" s="85">
        <f>IF(ISBLANK(A29),"",SUMIF(RawTotals!A$2:A1000, A29, RawTotals!O$2:O1000))</f>
        <v>0.8625</v>
      </c>
      <c r="D29" s="221">
        <f>IF(ISBLANK(A29),"",SUMIF(RawTotals!A$2:A1000, A29, RawTotals!D$2:D1000) + SUMIF(RawTotals!A$2:A1000, A29, RawTotals!M$2:M1000))</f>
        <v>9.571428571</v>
      </c>
      <c r="E29" s="221">
        <f>IF(ISBLANK(A29),"",SUMIF(RawTotals!A$2:A1000, A29, RawTotals!C$2:C1000) + SUMIF(RawTotals!A$2:A1000, A29, RawTotals!L$2:L1000))</f>
        <v>0.2857142857</v>
      </c>
      <c r="F29" s="225" t="str">
        <f>IFERROR(__xludf.DUMMYFUNCTION("IFERROR(FILTER('Pit Scouting Responses'!G:G,'Pit Scouting Responses'!C:C=A29),"""")"),"")</f>
        <v/>
      </c>
      <c r="G29" s="226" t="str">
        <f>IFERROR(__xludf.DUMMYFUNCTION("IFERROR(FILTER('Pit Scouting Responses'!D:D,'Pit Scouting Responses'!C:C=A29),"""")"),"")</f>
        <v/>
      </c>
      <c r="H29" s="223" t="str">
        <f>RawTotals!AI29</f>
        <v>1 side unhooked when climbing due to massive swinging. Robot stayed on high bar though, Something happened in the middle as the power behind the shots was lost so the cargo wasn't getting enough height. They also lined up to climb but then never extended their climber and left the hanger shortly after.</v>
      </c>
    </row>
    <row r="30">
      <c r="A30" s="224">
        <f>RawTotals!A30</f>
        <v>7457</v>
      </c>
      <c r="B30" s="75" t="str">
        <f>IFERROR(__xludf.DUMMYFUNCTION("IFERROR(FILTER('Pit Scouting Responses'!F:F,'Pit Scouting Responses'!B:B=A30),"""")"),"")</f>
        <v/>
      </c>
      <c r="C30" s="85">
        <f>IF(ISBLANK(A30),"",SUMIF(RawTotals!A$2:A1000, A30, RawTotals!O$2:O1000))</f>
        <v>0.8604651163</v>
      </c>
      <c r="D30" s="221">
        <f>IF(ISBLANK(A30),"",SUMIF(RawTotals!A$2:A1000, A30, RawTotals!D$2:D1000) + SUMIF(RawTotals!A$2:A1000, A30, RawTotals!M$2:M1000))</f>
        <v>10.57142857</v>
      </c>
      <c r="E30" s="221">
        <f>IF(ISBLANK(A30),"",SUMIF(RawTotals!A$2:A1000, A30, RawTotals!C$2:C1000) + SUMIF(RawTotals!A$2:A1000, A30, RawTotals!L$2:L1000))</f>
        <v>0</v>
      </c>
      <c r="F30" s="225" t="str">
        <f>IFERROR(__xludf.DUMMYFUNCTION("IFERROR(FILTER('Pit Scouting Responses'!G:G,'Pit Scouting Responses'!C:C=A30),"""")"),"")</f>
        <v/>
      </c>
      <c r="G30" s="226" t="str">
        <f>IFERROR(__xludf.DUMMYFUNCTION("IFERROR(FILTER('Pit Scouting Responses'!D:D,'Pit Scouting Responses'!C:C=A30),"""")"),"")</f>
        <v/>
      </c>
      <c r="H30" s="223" t="str">
        <f>RawTotals!AI30</f>
        <v>went to climb a little before 30 but didnt move past mid, very slow. easy to play defense against, defended for a majority of the game</v>
      </c>
    </row>
    <row r="31">
      <c r="A31" s="224">
        <f>RawTotals!A31</f>
        <v>1730</v>
      </c>
      <c r="B31" s="75" t="str">
        <f>IFERROR(__xludf.DUMMYFUNCTION("IFERROR(FILTER('Pit Scouting Responses'!F:F,'Pit Scouting Responses'!B:B=A31),"""")"),"swerve")</f>
        <v>swerve</v>
      </c>
      <c r="C31" s="85">
        <f>IF(ISBLANK(A31),"",SUMIF(RawTotals!A$2:A1000, A31, RawTotals!O$2:O1000))</f>
        <v>0.75</v>
      </c>
      <c r="D31" s="221">
        <f>IF(ISBLANK(A31),"",SUMIF(RawTotals!A$2:A1000, A31, RawTotals!D$2:D1000) + SUMIF(RawTotals!A$2:A1000, A31, RawTotals!M$2:M1000))</f>
        <v>8.857142857</v>
      </c>
      <c r="E31" s="221">
        <f>IF(ISBLANK(A31),"",SUMIF(RawTotals!A$2:A1000, A31, RawTotals!C$2:C1000) + SUMIF(RawTotals!A$2:A1000, A31, RawTotals!L$2:L1000))</f>
        <v>0.1428571429</v>
      </c>
      <c r="F31" s="225" t="str">
        <f>IFERROR(__xludf.DUMMYFUNCTION("IFERROR(FILTER('Pit Scouting Responses'!G:G,'Pit Scouting Responses'!C:C=A31),"""")"),"")</f>
        <v/>
      </c>
      <c r="G31" s="226" t="str">
        <f>IFERROR(__xludf.DUMMYFUNCTION("IFERROR(FILTER('Pit Scouting Responses'!D:D,'Pit Scouting Responses'!C:C=A31),"""")"),"")</f>
        <v/>
      </c>
      <c r="H31" s="223" t="str">
        <f>RawTotals!AI31</f>
        <v>got stuck on low bar, too slow on climb, defended</v>
      </c>
    </row>
    <row r="32">
      <c r="A32" s="224">
        <f>RawTotals!A32</f>
        <v>2363</v>
      </c>
      <c r="B32" s="75" t="str">
        <f>IFERROR(__xludf.DUMMYFUNCTION("IFERROR(FILTER('Pit Scouting Responses'!F:F,'Pit Scouting Responses'!B:B=A32),"""")"),"")</f>
        <v/>
      </c>
      <c r="C32" s="85">
        <f>IF(ISBLANK(A32),"",SUMIF(RawTotals!A$2:A1000, A32, RawTotals!O$2:O1000))</f>
        <v>0.8267716535</v>
      </c>
      <c r="D32" s="221">
        <f>IF(ISBLANK(A32),"",SUMIF(RawTotals!A$2:A1000, A32, RawTotals!D$2:D1000) + SUMIF(RawTotals!A$2:A1000, A32, RawTotals!M$2:M1000))</f>
        <v>15</v>
      </c>
      <c r="E32" s="221">
        <f>IF(ISBLANK(A32),"",SUMIF(RawTotals!A$2:A1000, A32, RawTotals!C$2:C1000) + SUMIF(RawTotals!A$2:A1000, A32, RawTotals!L$2:L1000))</f>
        <v>0</v>
      </c>
      <c r="F32" s="225" t="str">
        <f>IFERROR(__xludf.DUMMYFUNCTION("IFERROR(FILTER('Pit Scouting Responses'!G:G,'Pit Scouting Responses'!C:C=A32),"""")"),"")</f>
        <v/>
      </c>
      <c r="G32" s="226" t="str">
        <f>IFERROR(__xludf.DUMMYFUNCTION("IFERROR(FILTER('Pit Scouting Responses'!D:D,'Pit Scouting Responses'!C:C=A32),"""")"),"")</f>
        <v/>
      </c>
      <c r="H32" s="223" t="str">
        <f>RawTotals!AI32</f>
        <v>Good intake and shooter, Climber misaligned with the bar so robot didnt leave ground</v>
      </c>
    </row>
    <row r="33">
      <c r="A33" s="224">
        <f>RawTotals!A33</f>
        <v>1024</v>
      </c>
      <c r="B33" s="75" t="str">
        <f>IFERROR(__xludf.DUMMYFUNCTION("IFERROR(FILTER('Pit Scouting Responses'!F:F,'Pit Scouting Responses'!B:B=A33),"""")"),"Tank")</f>
        <v>Tank</v>
      </c>
      <c r="C33" s="85">
        <f>IF(ISBLANK(A33),"",SUMIF(RawTotals!A$2:A1000, A33, RawTotals!O$2:O1000))</f>
        <v>0.8095238095</v>
      </c>
      <c r="D33" s="221">
        <f>IF(ISBLANK(A33),"",SUMIF(RawTotals!A$2:A1000, A33, RawTotals!D$2:D1000) + SUMIF(RawTotals!A$2:A1000, A33, RawTotals!M$2:M1000))</f>
        <v>6.125</v>
      </c>
      <c r="E33" s="221">
        <f>IF(ISBLANK(A33),"",SUMIF(RawTotals!A$2:A1000, A33, RawTotals!C$2:C1000) + SUMIF(RawTotals!A$2:A1000, A33, RawTotals!L$2:L1000))</f>
        <v>0.25</v>
      </c>
      <c r="F33" s="225" t="str">
        <f>IFERROR(__xludf.DUMMYFUNCTION("IFERROR(FILTER('Pit Scouting Responses'!G:G,'Pit Scouting Responses'!C:C=A33),"""")"),"")</f>
        <v/>
      </c>
      <c r="G33" s="226" t="str">
        <f>IFERROR(__xludf.DUMMYFUNCTION("IFERROR(FILTER('Pit Scouting Responses'!D:D,'Pit Scouting Responses'!C:C=A33),"""")"),"")</f>
        <v/>
      </c>
      <c r="H33" s="223" t="str">
        <f>RawTotals!AI33</f>
        <v>played defense entire time, Fell off the middle rung once. Climbed again. Played decent defense., takes a long time to climb compared to other traversals</v>
      </c>
    </row>
    <row r="34">
      <c r="A34" s="224">
        <f>RawTotals!A34</f>
        <v>4926</v>
      </c>
      <c r="B34" s="75" t="str">
        <f>IFERROR(__xludf.DUMMYFUNCTION("IFERROR(FILTER('Pit Scouting Responses'!F:F,'Pit Scouting Responses'!B:B=A34),"""")"),"Tank")</f>
        <v>Tank</v>
      </c>
      <c r="C34" s="85">
        <f>IF(ISBLANK(A34),"",SUMIF(RawTotals!A$2:A1000, A34, RawTotals!O$2:O1000))</f>
        <v>0.8245614035</v>
      </c>
      <c r="D34" s="221">
        <f>IF(ISBLANK(A34),"",SUMIF(RawTotals!A$2:A1000, A34, RawTotals!D$2:D1000) + SUMIF(RawTotals!A$2:A1000, A34, RawTotals!M$2:M1000))</f>
        <v>6.714285714</v>
      </c>
      <c r="E34" s="221">
        <f>IF(ISBLANK(A34),"",SUMIF(RawTotals!A$2:A1000, A34, RawTotals!C$2:C1000) + SUMIF(RawTotals!A$2:A1000, A34, RawTotals!L$2:L1000))</f>
        <v>0</v>
      </c>
      <c r="F34" s="225" t="str">
        <f>IFERROR(__xludf.DUMMYFUNCTION("IFERROR(FILTER('Pit Scouting Responses'!G:G,'Pit Scouting Responses'!C:C=A34),"""")"),"")</f>
        <v/>
      </c>
      <c r="G34" s="226" t="str">
        <f>IFERROR(__xludf.DUMMYFUNCTION("IFERROR(FILTER('Pit Scouting Responses'!D:D,'Pit Scouting Responses'!C:C=A34),"""")"),"")</f>
        <v/>
      </c>
      <c r="H34" s="223" t="str">
        <f>RawTotals!AI34</f>
        <v>Near the half of the match, the bot started to go to defense.</v>
      </c>
    </row>
    <row r="35">
      <c r="A35" s="224">
        <f>RawTotals!A35</f>
        <v>5484</v>
      </c>
      <c r="B35" s="75" t="str">
        <f>IFERROR(__xludf.DUMMYFUNCTION("IFERROR(FILTER('Pit Scouting Responses'!F:F,'Pit Scouting Responses'!B:B=A35),"""")"),"")</f>
        <v/>
      </c>
      <c r="C35" s="85">
        <f>IF(ISBLANK(A35),"",SUMIF(RawTotals!A$2:A1000, A35, RawTotals!O$2:O1000))</f>
        <v>0.8974358974</v>
      </c>
      <c r="D35" s="221">
        <f>IF(ISBLANK(A35),"",SUMIF(RawTotals!A$2:A1000, A35, RawTotals!D$2:D1000) + SUMIF(RawTotals!A$2:A1000, A35, RawTotals!M$2:M1000))</f>
        <v>4.375</v>
      </c>
      <c r="E35" s="221">
        <f>IF(ISBLANK(A35),"",SUMIF(RawTotals!A$2:A1000, A35, RawTotals!C$2:C1000) + SUMIF(RawTotals!A$2:A1000, A35, RawTotals!L$2:L1000))</f>
        <v>0</v>
      </c>
      <c r="F35" s="225" t="str">
        <f>IFERROR(__xludf.DUMMYFUNCTION("IFERROR(FILTER('Pit Scouting Responses'!G:G,'Pit Scouting Responses'!C:C=A35),"""")"),"")</f>
        <v/>
      </c>
      <c r="G35" s="226" t="str">
        <f>IFERROR(__xludf.DUMMYFUNCTION("IFERROR(FILTER('Pit Scouting Responses'!D:D,'Pit Scouting Responses'!C:C=A35),"""")"),"")</f>
        <v/>
      </c>
      <c r="H35" s="223" t="str">
        <f>RawTotals!AI35</f>
        <v>Played defense, defense held blue ball entire match. fell off during climb but reclimbed to middle rung</v>
      </c>
    </row>
    <row r="36">
      <c r="A36" s="224">
        <f>RawTotals!A36</f>
        <v>503</v>
      </c>
      <c r="B36" s="75" t="str">
        <f>IFERROR(__xludf.DUMMYFUNCTION("IFERROR(FILTER('Pit Scouting Responses'!F:F,'Pit Scouting Responses'!B:B=A36),"""")"),"swerve")</f>
        <v>swerve</v>
      </c>
      <c r="C36" s="85">
        <f>IF(ISBLANK(A36),"",SUMIF(RawTotals!A$2:A1000, A36, RawTotals!O$2:O1000))</f>
        <v>0.6590909091</v>
      </c>
      <c r="D36" s="221">
        <f>IF(ISBLANK(A36),"",SUMIF(RawTotals!A$2:A1000, A36, RawTotals!D$2:D1000) + SUMIF(RawTotals!A$2:A1000, A36, RawTotals!M$2:M1000))</f>
        <v>8.285714286</v>
      </c>
      <c r="E36" s="221">
        <f>IF(ISBLANK(A36),"",SUMIF(RawTotals!A$2:A1000, A36, RawTotals!C$2:C1000) + SUMIF(RawTotals!A$2:A1000, A36, RawTotals!L$2:L1000))</f>
        <v>0</v>
      </c>
      <c r="F36" s="225" t="str">
        <f>IFERROR(__xludf.DUMMYFUNCTION("IFERROR(FILTER('Pit Scouting Responses'!G:G,'Pit Scouting Responses'!C:C=A36),"""")"),"")</f>
        <v/>
      </c>
      <c r="G36" s="226" t="str">
        <f>IFERROR(__xludf.DUMMYFUNCTION("IFERROR(FILTER('Pit Scouting Responses'!D:D,'Pit Scouting Responses'!C:C=A36),"""")"),"")</f>
        <v/>
      </c>
      <c r="H36" s="223" t="str">
        <f>RawTotals!AI36</f>
        <v>defended, started climb at 14 sec</v>
      </c>
    </row>
    <row r="37">
      <c r="A37" s="224">
        <f>RawTotals!A37</f>
        <v>2075</v>
      </c>
      <c r="B37" s="75" t="str">
        <f>IFERROR(__xludf.DUMMYFUNCTION("IFERROR(FILTER('Pit Scouting Responses'!F:F,'Pit Scouting Responses'!B:B=A37),"""")"),"Tank")</f>
        <v>Tank</v>
      </c>
      <c r="C37" s="85">
        <f>IF(ISBLANK(A37),"",SUMIF(RawTotals!A$2:A1000, A37, RawTotals!O$2:O1000))</f>
        <v>0.8308823529</v>
      </c>
      <c r="D37" s="221">
        <f>IF(ISBLANK(A37),"",SUMIF(RawTotals!A$2:A1000, A37, RawTotals!D$2:D1000) + SUMIF(RawTotals!A$2:A1000, A37, RawTotals!M$2:M1000))</f>
        <v>14.125</v>
      </c>
      <c r="E37" s="221">
        <f>IF(ISBLANK(A37),"",SUMIF(RawTotals!A$2:A1000, A37, RawTotals!C$2:C1000) + SUMIF(RawTotals!A$2:A1000, A37, RawTotals!L$2:L1000))</f>
        <v>0</v>
      </c>
      <c r="F37" s="225" t="str">
        <f>IFERROR(__xludf.DUMMYFUNCTION("IFERROR(FILTER('Pit Scouting Responses'!G:G,'Pit Scouting Responses'!C:C=A37),"""")"),"")</f>
        <v/>
      </c>
      <c r="G37" s="226" t="str">
        <f>IFERROR(__xludf.DUMMYFUNCTION("IFERROR(FILTER('Pit Scouting Responses'!D:D,'Pit Scouting Responses'!C:C=A37),"""")"),"")</f>
        <v/>
      </c>
      <c r="H37" s="223" t="str">
        <f>RawTotals!AI37</f>
        <v>the missed shot in auto was the human player not rolling cargo in time, Was defended while shooting. Too slow on climb. Tried to intake a ball a teammate was in the process of intaking, played well while getting defended</v>
      </c>
    </row>
    <row r="38">
      <c r="A38" s="224">
        <f>RawTotals!A38</f>
        <v>1987</v>
      </c>
      <c r="B38" s="75" t="str">
        <f>IFERROR(__xludf.DUMMYFUNCTION("IFERROR(FILTER('Pit Scouting Responses'!F:F,'Pit Scouting Responses'!B:B=A38),"""")"),"swerve")</f>
        <v>swerve</v>
      </c>
      <c r="C38" s="85">
        <f>IF(ISBLANK(A38),"",SUMIF(RawTotals!A$2:A1000, A38, RawTotals!O$2:O1000))</f>
        <v>0.9108910891</v>
      </c>
      <c r="D38" s="221">
        <f>IF(ISBLANK(A38),"",SUMIF(RawTotals!A$2:A1000, A38, RawTotals!D$2:D1000) + SUMIF(RawTotals!A$2:A1000, A38, RawTotals!M$2:M1000))</f>
        <v>11.5</v>
      </c>
      <c r="E38" s="221">
        <f>IF(ISBLANK(A38),"",SUMIF(RawTotals!A$2:A1000, A38, RawTotals!C$2:C1000) + SUMIF(RawTotals!A$2:A1000, A38, RawTotals!L$2:L1000))</f>
        <v>0</v>
      </c>
      <c r="F38" s="225" t="str">
        <f>IFERROR(__xludf.DUMMYFUNCTION("IFERROR(FILTER('Pit Scouting Responses'!G:G,'Pit Scouting Responses'!C:C=A38),"""")"),"")</f>
        <v/>
      </c>
      <c r="G38" s="226" t="str">
        <f>IFERROR(__xludf.DUMMYFUNCTION("IFERROR(FILTER('Pit Scouting Responses'!D:D,'Pit Scouting Responses'!C:C=A38),"""")"),"")</f>
        <v/>
      </c>
      <c r="H38" s="223" t="str">
        <f>RawTotals!AI38</f>
        <v>2 black semitransparent pieces fell off during the match., had plenty of time to climb but must have grabbed wrong because it just gave up, minor brownout at the end, but normal otherwise, switched to defense. intake error maybe</v>
      </c>
    </row>
    <row r="39">
      <c r="A39" s="224">
        <f>RawTotals!A39</f>
        <v>5406</v>
      </c>
      <c r="B39" s="75" t="str">
        <f>IFERROR(__xludf.DUMMYFUNCTION("IFERROR(FILTER('Pit Scouting Responses'!F:F,'Pit Scouting Responses'!B:B=A39),"""")"),"")</f>
        <v/>
      </c>
      <c r="C39" s="85">
        <f>IF(ISBLANK(A39),"",SUMIF(RawTotals!A$2:A1000, A39, RawTotals!O$2:O1000))</f>
        <v>0.8450704225</v>
      </c>
      <c r="D39" s="221">
        <f>IF(ISBLANK(A39),"",SUMIF(RawTotals!A$2:A1000, A39, RawTotals!D$2:D1000) + SUMIF(RawTotals!A$2:A1000, A39, RawTotals!M$2:M1000))</f>
        <v>8.571428571</v>
      </c>
      <c r="E39" s="221">
        <f>IF(ISBLANK(A39),"",SUMIF(RawTotals!A$2:A1000, A39, RawTotals!C$2:C1000) + SUMIF(RawTotals!A$2:A1000, A39, RawTotals!L$2:L1000))</f>
        <v>0</v>
      </c>
      <c r="F39" s="225" t="str">
        <f>IFERROR(__xludf.DUMMYFUNCTION("IFERROR(FILTER('Pit Scouting Responses'!G:G,'Pit Scouting Responses'!C:C=A39),"""")"),"")</f>
        <v/>
      </c>
      <c r="G39" s="226" t="str">
        <f>IFERROR(__xludf.DUMMYFUNCTION("IFERROR(FILTER('Pit Scouting Responses'!D:D,'Pit Scouting Responses'!C:C=A39),"""")"),"")</f>
        <v/>
      </c>
      <c r="H39" s="223" t="str">
        <f>RawTotals!AI39</f>
        <v>windmill climber, intake unreliable as balls kept slipping out, decided to play defense last minute but robot died halfway through the gams, 10 second traversal, tipped over mid game, kept getting pinned</v>
      </c>
    </row>
    <row r="40">
      <c r="A40" s="224">
        <f>RawTotals!A40</f>
        <v>1732</v>
      </c>
      <c r="B40" s="75" t="str">
        <f>IFERROR(__xludf.DUMMYFUNCTION("IFERROR(FILTER('Pit Scouting Responses'!F:F,'Pit Scouting Responses'!B:B=A40),"""")"),"swerve")</f>
        <v>swerve</v>
      </c>
      <c r="C40" s="85">
        <f>IF(ISBLANK(A40),"",SUMIF(RawTotals!A$2:A1000, A40, RawTotals!O$2:O1000))</f>
        <v>0.8174603175</v>
      </c>
      <c r="D40" s="221">
        <f>IF(ISBLANK(A40),"",SUMIF(RawTotals!A$2:A1000, A40, RawTotals!D$2:D1000) + SUMIF(RawTotals!A$2:A1000, A40, RawTotals!M$2:M1000))</f>
        <v>12.875</v>
      </c>
      <c r="E40" s="221">
        <f>IF(ISBLANK(A40),"",SUMIF(RawTotals!A$2:A1000, A40, RawTotals!C$2:C1000) + SUMIF(RawTotals!A$2:A1000, A40, RawTotals!L$2:L1000))</f>
        <v>0</v>
      </c>
      <c r="F40" s="225" t="str">
        <f>IFERROR(__xludf.DUMMYFUNCTION("IFERROR(FILTER('Pit Scouting Responses'!G:G,'Pit Scouting Responses'!C:C=A40),"""")"),"")</f>
        <v/>
      </c>
      <c r="G40" s="226" t="str">
        <f>IFERROR(__xludf.DUMMYFUNCTION("IFERROR(FILTER('Pit Scouting Responses'!D:D,'Pit Scouting Responses'!C:C=A40),"""")"),"")</f>
        <v/>
      </c>
      <c r="H40" s="223" t="str">
        <f>RawTotals!AI40</f>
        <v>defense prevented most shots, they did good, though 4028 was going crazy</v>
      </c>
    </row>
    <row r="41">
      <c r="A41" s="224">
        <f>RawTotals!A41</f>
        <v>4265</v>
      </c>
      <c r="B41" s="75" t="str">
        <f>IFERROR(__xludf.DUMMYFUNCTION("IFERROR(FILTER('Pit Scouting Responses'!F:F,'Pit Scouting Responses'!B:B=A41),"""")"),"swerve")</f>
        <v>swerve</v>
      </c>
      <c r="C41" s="85">
        <f>IF(ISBLANK(A41),"",SUMIF(RawTotals!A$2:A1000, A41, RawTotals!O$2:O1000))</f>
        <v>0.8272727273</v>
      </c>
      <c r="D41" s="221">
        <f>IF(ISBLANK(A41),"",SUMIF(RawTotals!A$2:A1000, A41, RawTotals!D$2:D1000) + SUMIF(RawTotals!A$2:A1000, A41, RawTotals!M$2:M1000))</f>
        <v>13</v>
      </c>
      <c r="E41" s="221">
        <f>IF(ISBLANK(A41),"",SUMIF(RawTotals!A$2:A1000, A41, RawTotals!C$2:C1000) + SUMIF(RawTotals!A$2:A1000, A41, RawTotals!L$2:L1000))</f>
        <v>0</v>
      </c>
      <c r="F41" s="225" t="str">
        <f>IFERROR(__xludf.DUMMYFUNCTION("IFERROR(FILTER('Pit Scouting Responses'!G:G,'Pit Scouting Responses'!C:C=A41),"""")"),"")</f>
        <v/>
      </c>
      <c r="G41" s="226" t="str">
        <f>IFERROR(__xludf.DUMMYFUNCTION("IFERROR(FILTER('Pit Scouting Responses'!D:D,'Pit Scouting Responses'!C:C=A41),"""")"),"")</f>
        <v/>
      </c>
      <c r="H41" s="223" t="str">
        <f>RawTotals!AI41</f>
        <v/>
      </c>
    </row>
    <row r="42">
      <c r="A42" s="224">
        <f>RawTotals!A42</f>
        <v>4099</v>
      </c>
      <c r="B42" s="75" t="str">
        <f>IFERROR(__xludf.DUMMYFUNCTION("IFERROR(FILTER('Pit Scouting Responses'!F:F,'Pit Scouting Responses'!B:B=A42),"""")"),"swerve")</f>
        <v>swerve</v>
      </c>
      <c r="C42" s="85">
        <f>IF(ISBLANK(A42),"",SUMIF(RawTotals!A$2:A1000, A42, RawTotals!O$2:O1000))</f>
        <v>0.8181818182</v>
      </c>
      <c r="D42" s="221">
        <f>IF(ISBLANK(A42),"",SUMIF(RawTotals!A$2:A1000, A42, RawTotals!D$2:D1000) + SUMIF(RawTotals!A$2:A1000, A42, RawTotals!M$2:M1000))</f>
        <v>1.285714286</v>
      </c>
      <c r="E42" s="221">
        <f>IF(ISBLANK(A42),"",SUMIF(RawTotals!A$2:A1000, A42, RawTotals!C$2:C1000) + SUMIF(RawTotals!A$2:A1000, A42, RawTotals!L$2:L1000))</f>
        <v>0</v>
      </c>
      <c r="F42" s="225" t="str">
        <f>IFERROR(__xludf.DUMMYFUNCTION("IFERROR(FILTER('Pit Scouting Responses'!G:G,'Pit Scouting Responses'!C:C=A42),"""")"),"")</f>
        <v/>
      </c>
      <c r="G42" s="226" t="str">
        <f>IFERROR(__xludf.DUMMYFUNCTION("IFERROR(FILTER('Pit Scouting Responses'!D:D,'Pit Scouting Responses'!C:C=A42),"""")"),"")</f>
        <v/>
      </c>
      <c r="H42" s="223" t="str">
        <f>RawTotals!AI42</f>
        <v>on defense, likely due to shooter problems, keeping teo red balls off the field, fast climb, Decent defense., played skillful defense no offense, played defense</v>
      </c>
    </row>
    <row r="43">
      <c r="A43" s="224">
        <f>RawTotals!A43</f>
        <v>5010</v>
      </c>
      <c r="B43" s="75" t="str">
        <f>IFERROR(__xludf.DUMMYFUNCTION("IFERROR(FILTER('Pit Scouting Responses'!F:F,'Pit Scouting Responses'!B:B=A43),"""")"),"Tank")</f>
        <v>Tank</v>
      </c>
      <c r="C43" s="85">
        <f>IF(ISBLANK(A43),"",SUMIF(RawTotals!A$2:A1000, A43, RawTotals!O$2:O1000))</f>
        <v>0.8636363636</v>
      </c>
      <c r="D43" s="221">
        <f>IF(ISBLANK(A43),"",SUMIF(RawTotals!A$2:A1000, A43, RawTotals!D$2:D1000) + SUMIF(RawTotals!A$2:A1000, A43, RawTotals!M$2:M1000))</f>
        <v>2.714285714</v>
      </c>
      <c r="E43" s="221">
        <f>IF(ISBLANK(A43),"",SUMIF(RawTotals!A$2:A1000, A43, RawTotals!C$2:C1000) + SUMIF(RawTotals!A$2:A1000, A43, RawTotals!L$2:L1000))</f>
        <v>0</v>
      </c>
      <c r="F43" s="225" t="str">
        <f>IFERROR(__xludf.DUMMYFUNCTION("IFERROR(FILTER('Pit Scouting Responses'!G:G,'Pit Scouting Responses'!C:C=A43),"""")"),"")</f>
        <v/>
      </c>
      <c r="G43" s="226" t="str">
        <f>IFERROR(__xludf.DUMMYFUNCTION("IFERROR(FILTER('Pit Scouting Responses'!D:D,'Pit Scouting Responses'!C:C=A43),"""")"),"")</f>
        <v/>
      </c>
      <c r="H43" s="223" t="str">
        <f>RawTotals!AI43</f>
        <v>just pushed people around and were generally shaky, defensive, likely due to shooter difficulties, they kept breaking down, played defense</v>
      </c>
    </row>
    <row r="44">
      <c r="A44" s="224">
        <f>RawTotals!A44</f>
        <v>234</v>
      </c>
      <c r="B44" s="75" t="str">
        <f>IFERROR(__xludf.DUMMYFUNCTION("IFERROR(FILTER('Pit Scouting Responses'!F:F,'Pit Scouting Responses'!B:B=A44),"""")"),"Tank")</f>
        <v>Tank</v>
      </c>
      <c r="C44" s="85">
        <f>IF(ISBLANK(A44),"",SUMIF(RawTotals!A$2:A1000, A44, RawTotals!O$2:O1000))</f>
        <v>0.7142857143</v>
      </c>
      <c r="D44" s="221">
        <f>IF(ISBLANK(A44),"",SUMIF(RawTotals!A$2:A1000, A44, RawTotals!D$2:D1000) + SUMIF(RawTotals!A$2:A1000, A44, RawTotals!M$2:M1000))</f>
        <v>2.142857143</v>
      </c>
      <c r="E44" s="221">
        <f>IF(ISBLANK(A44),"",SUMIF(RawTotals!A$2:A1000, A44, RawTotals!C$2:C1000) + SUMIF(RawTotals!A$2:A1000, A44, RawTotals!L$2:L1000))</f>
        <v>0</v>
      </c>
      <c r="F44" s="225" t="str">
        <f>IFERROR(__xludf.DUMMYFUNCTION("IFERROR(FILTER('Pit Scouting Responses'!G:G,'Pit Scouting Responses'!C:C=A44),"""")"),"")</f>
        <v/>
      </c>
      <c r="G44" s="226" t="str">
        <f>IFERROR(__xludf.DUMMYFUNCTION("IFERROR(FILTER('Pit Scouting Responses'!D:D,'Pit Scouting Responses'!C:C=A44),"""")"),"")</f>
        <v/>
      </c>
      <c r="H44" s="223" t="str">
        <f>RawTotals!AI44</f>
        <v>auto is just taxi, played defense, used mostly as defence, played defense, played defense</v>
      </c>
    </row>
    <row r="45">
      <c r="A45" s="224">
        <f>RawTotals!A45</f>
        <v>3176</v>
      </c>
      <c r="B45" s="75" t="str">
        <f>IFERROR(__xludf.DUMMYFUNCTION("IFERROR(FILTER('Pit Scouting Responses'!F:F,'Pit Scouting Responses'!B:B=A45),"""")"),"swerve")</f>
        <v>swerve</v>
      </c>
      <c r="C45" s="85">
        <f>IF(ISBLANK(A45),"",SUMIF(RawTotals!A$2:A1000, A45, RawTotals!O$2:O1000))</f>
        <v>0.8405797101</v>
      </c>
      <c r="D45" s="221">
        <f>IF(ISBLANK(A45),"",SUMIF(RawTotals!A$2:A1000, A45, RawTotals!D$2:D1000) + SUMIF(RawTotals!A$2:A1000, A45, RawTotals!M$2:M1000))</f>
        <v>7</v>
      </c>
      <c r="E45" s="221">
        <f>IF(ISBLANK(A45),"",SUMIF(RawTotals!A$2:A1000, A45, RawTotals!C$2:C1000) + SUMIF(RawTotals!A$2:A1000, A45, RawTotals!L$2:L1000))</f>
        <v>0.25</v>
      </c>
      <c r="F45" s="225" t="str">
        <f>IFERROR(__xludf.DUMMYFUNCTION("IFERROR(FILTER('Pit Scouting Responses'!G:G,'Pit Scouting Responses'!C:C=A45),"""")"),"")</f>
        <v/>
      </c>
      <c r="G45" s="226" t="str">
        <f>IFERROR(__xludf.DUMMYFUNCTION("IFERROR(FILTER('Pit Scouting Responses'!D:D,'Pit Scouting Responses'!C:C=A45),"""")"),"")</f>
        <v/>
      </c>
      <c r="H45" s="223" t="str">
        <f>RawTotals!AI45</f>
        <v>robot was not able to climb due to technical difficulties, only played defense, got a pinning foul this match, looks loke manual aim</v>
      </c>
    </row>
    <row r="46">
      <c r="A46" s="224">
        <f>RawTotals!A46</f>
        <v>1720</v>
      </c>
      <c r="B46" s="75" t="str">
        <f>IFERROR(__xludf.DUMMYFUNCTION("IFERROR(FILTER('Pit Scouting Responses'!F:F,'Pit Scouting Responses'!B:B=A46),"""")"),"swerve")</f>
        <v>swerve</v>
      </c>
      <c r="C46" s="85">
        <f>IF(ISBLANK(A46),"",SUMIF(RawTotals!A$2:A1000, A46, RawTotals!O$2:O1000))</f>
        <v>0.8727272727</v>
      </c>
      <c r="D46" s="221">
        <f>IF(ISBLANK(A46),"",SUMIF(RawTotals!A$2:A1000, A46, RawTotals!D$2:D1000) + SUMIF(RawTotals!A$2:A1000, A46, RawTotals!M$2:M1000))</f>
        <v>6.571428571</v>
      </c>
      <c r="E46" s="221">
        <f>IF(ISBLANK(A46),"",SUMIF(RawTotals!A$2:A1000, A46, RawTotals!C$2:C1000) + SUMIF(RawTotals!A$2:A1000, A46, RawTotals!L$2:L1000))</f>
        <v>0.2857142857</v>
      </c>
      <c r="F46" s="225" t="str">
        <f>IFERROR(__xludf.DUMMYFUNCTION("IFERROR(FILTER('Pit Scouting Responses'!G:G,'Pit Scouting Responses'!C:C=A46),"""")"),"")</f>
        <v/>
      </c>
      <c r="G46" s="226" t="str">
        <f>IFERROR(__xludf.DUMMYFUNCTION("IFERROR(FILTER('Pit Scouting Responses'!D:D,'Pit Scouting Responses'!C:C=A46),"""")"),"")</f>
        <v/>
      </c>
      <c r="H46" s="223" t="str">
        <f>RawTotals!AI46</f>
        <v>played defense but didn't really stop anything, Interesting climber., Disabled</v>
      </c>
    </row>
    <row r="47">
      <c r="A47" s="224">
        <f>RawTotals!A47</f>
        <v>2614</v>
      </c>
      <c r="B47" s="75" t="str">
        <f>IFERROR(__xludf.DUMMYFUNCTION("IFERROR(FILTER('Pit Scouting Responses'!F:F,'Pit Scouting Responses'!B:B=A47),"""")"),"Swerve")</f>
        <v>Swerve</v>
      </c>
      <c r="C47" s="85">
        <f>IF(ISBLANK(A47),"",SUMIF(RawTotals!A$2:A1000, A47, RawTotals!O$2:O1000))</f>
        <v>0.8225806452</v>
      </c>
      <c r="D47" s="221">
        <f>IF(ISBLANK(A47),"",SUMIF(RawTotals!A$2:A1000, A47, RawTotals!D$2:D1000) + SUMIF(RawTotals!A$2:A1000, A47, RawTotals!M$2:M1000))</f>
        <v>6.25</v>
      </c>
      <c r="E47" s="221">
        <f>IF(ISBLANK(A47),"",SUMIF(RawTotals!A$2:A1000, A47, RawTotals!C$2:C1000) + SUMIF(RawTotals!A$2:A1000, A47, RawTotals!L$2:L1000))</f>
        <v>0.125</v>
      </c>
      <c r="F47" s="225" t="str">
        <f>IFERROR(__xludf.DUMMYFUNCTION("IFERROR(FILTER('Pit Scouting Responses'!G:G,'Pit Scouting Responses'!C:C=A47),"""")"),"")</f>
        <v/>
      </c>
      <c r="G47" s="226" t="str">
        <f>IFERROR(__xludf.DUMMYFUNCTION("IFERROR(FILTER('Pit Scouting Responses'!D:D,'Pit Scouting Responses'!C:C=A47),"""")"),"")</f>
        <v/>
      </c>
      <c r="H47" s="223" t="str">
        <f>RawTotals!AI47</f>
        <v>hook came off of bar otherwise they woyld have gone higher, slower than average, must be stationary to shoot and can only hold one ball at a time.</v>
      </c>
    </row>
    <row r="48">
      <c r="A48" s="224">
        <f>RawTotals!A48</f>
        <v>3175</v>
      </c>
      <c r="B48" s="75" t="str">
        <f>IFERROR(__xludf.DUMMYFUNCTION("IFERROR(FILTER('Pit Scouting Responses'!F:F,'Pit Scouting Responses'!B:B=A48),"""")"),"Swerve")</f>
        <v>Swerve</v>
      </c>
      <c r="C48" s="85">
        <f>IF(ISBLANK(A48),"",SUMIF(RawTotals!A$2:A1000, A48, RawTotals!O$2:O1000))</f>
        <v>0.8421052632</v>
      </c>
      <c r="D48" s="221">
        <f>IF(ISBLANK(A48),"",SUMIF(RawTotals!A$2:A1000, A48, RawTotals!D$2:D1000) + SUMIF(RawTotals!A$2:A1000, A48, RawTotals!M$2:M1000))</f>
        <v>6</v>
      </c>
      <c r="E48" s="221">
        <f>IF(ISBLANK(A48),"",SUMIF(RawTotals!A$2:A1000, A48, RawTotals!C$2:C1000) + SUMIF(RawTotals!A$2:A1000, A48, RawTotals!L$2:L1000))</f>
        <v>0</v>
      </c>
      <c r="F48" s="225" t="str">
        <f>IFERROR(__xludf.DUMMYFUNCTION("IFERROR(FILTER('Pit Scouting Responses'!G:G,'Pit Scouting Responses'!C:C=A48),"""")"),"")</f>
        <v/>
      </c>
      <c r="G48" s="226" t="str">
        <f>IFERROR(__xludf.DUMMYFUNCTION("IFERROR(FILTER('Pit Scouting Responses'!D:D,'Pit Scouting Responses'!C:C=A48),"""")"),"")</f>
        <v/>
      </c>
      <c r="H48" s="223" t="str">
        <f>RawTotals!AI48</f>
        <v>There appeared to be something wrong with the game firing mechanism at the end, hook (one) on high bar but bumper on floor, they played defense and disabled 2767 with only 4 points penalty, Decent defense.</v>
      </c>
    </row>
    <row r="49">
      <c r="A49" s="224">
        <f>RawTotals!A49</f>
        <v>325</v>
      </c>
      <c r="B49" s="75" t="str">
        <f>IFERROR(__xludf.DUMMYFUNCTION("IFERROR(FILTER('Pit Scouting Responses'!F:F,'Pit Scouting Responses'!B:B=A49),"""")"),"swerve")</f>
        <v>swerve</v>
      </c>
      <c r="C49" s="85">
        <f>IF(ISBLANK(A49),"",SUMIF(RawTotals!A$2:A1000, A49, RawTotals!O$2:O1000))</f>
        <v>0.8571428571</v>
      </c>
      <c r="D49" s="221">
        <f>IF(ISBLANK(A49),"",SUMIF(RawTotals!A$2:A1000, A49, RawTotals!D$2:D1000) + SUMIF(RawTotals!A$2:A1000, A49, RawTotals!M$2:M1000))</f>
        <v>1.714285714</v>
      </c>
      <c r="E49" s="221">
        <f>IF(ISBLANK(A49),"",SUMIF(RawTotals!A$2:A1000, A49, RawTotals!C$2:C1000) + SUMIF(RawTotals!A$2:A1000, A49, RawTotals!L$2:L1000))</f>
        <v>0</v>
      </c>
      <c r="F49" s="225" t="str">
        <f>IFERROR(__xludf.DUMMYFUNCTION("IFERROR(FILTER('Pit Scouting Responses'!G:G,'Pit Scouting Responses'!C:C=A49),"""")"),"")</f>
        <v/>
      </c>
      <c r="G49" s="226" t="str">
        <f>IFERROR(__xludf.DUMMYFUNCTION("IFERROR(FILTER('Pit Scouting Responses'!D:D,'Pit Scouting Responses'!C:C=A49),"""")"),"")</f>
        <v/>
      </c>
      <c r="H49" s="223" t="str">
        <f>RawTotals!AI49</f>
        <v>i think they played defense, defensive, mostly defensive and attempted to climb but ran out of time., defense, held 2 blue cargo emtire match. played defense against team 118 entire match, no battery i think</v>
      </c>
    </row>
    <row r="50">
      <c r="A50" s="224" t="str">
        <f>RawTotals!A50</f>
        <v/>
      </c>
      <c r="B50" s="75" t="str">
        <f>IFERROR(__xludf.DUMMYFUNCTION("IFERROR(FILTER('Pit Scouting Responses'!J:J,'Pit Scouting Responses'!C:C=A50),"""")"),"")</f>
        <v/>
      </c>
      <c r="C50" s="85" t="str">
        <f>IF(ISBLANK(A50),"",SUMIF(RawTotals!A$2:A1000, A50, RawTotals!O$2:O1000))</f>
        <v/>
      </c>
      <c r="D50" s="221" t="str">
        <f>IF(ISBLANK(A50),"",SUMIF(RawTotals!A$2:A1000, A50, RawTotals!D$2:D1000) + SUMIF(RawTotals!A$2:A1000, A50, RawTotals!M$2:M1000))</f>
        <v/>
      </c>
      <c r="E50" s="221" t="str">
        <f>IF(ISBLANK(A50),"",SUMIF(RawTotals!A$2:A1000, A50, RawTotals!C$2:C1000) + SUMIF(RawTotals!A$2:A1000, A50, RawTotals!L$2:L1000))</f>
        <v/>
      </c>
      <c r="F50" s="225" t="str">
        <f>IFERROR(__xludf.DUMMYFUNCTION("IFERROR(FILTER('Pit Scouting Responses'!G:G,'Pit Scouting Responses'!C:C=A50),"""")"),"")</f>
        <v/>
      </c>
      <c r="G50" s="226" t="str">
        <f>IFERROR(__xludf.DUMMYFUNCTION("IFERROR(FILTER('Pit Scouting Responses'!D:D,'Pit Scouting Responses'!C:C=A50),"""")"),"")</f>
        <v/>
      </c>
      <c r="H50" s="223" t="str">
        <f>RawTotals!AI50</f>
        <v/>
      </c>
    </row>
    <row r="51">
      <c r="A51" s="224" t="str">
        <f>RawTotals!A51</f>
        <v/>
      </c>
      <c r="B51" s="75" t="str">
        <f>IFERROR(__xludf.DUMMYFUNCTION("IFERROR(FILTER('Pit Scouting Responses'!J:J,'Pit Scouting Responses'!C:C=A51),"""")"),"")</f>
        <v/>
      </c>
      <c r="C51" s="85" t="str">
        <f>IF(ISBLANK(A51),"",SUMIF(RawTotals!A$2:A1000, A51, RawTotals!O$2:O1000))</f>
        <v/>
      </c>
      <c r="D51" s="221" t="str">
        <f>IF(ISBLANK(A51),"",SUMIF(RawTotals!A$2:A1000, A51, RawTotals!D$2:D1000) + SUMIF(RawTotals!A$2:A1000, A51, RawTotals!M$2:M1000))</f>
        <v/>
      </c>
      <c r="E51" s="221" t="str">
        <f>IF(ISBLANK(A51),"",SUMIF(RawTotals!A$2:A1000, A51, RawTotals!C$2:C1000) + SUMIF(RawTotals!A$2:A1000, A51, RawTotals!L$2:L1000))</f>
        <v/>
      </c>
      <c r="F51" s="225" t="str">
        <f>IFERROR(__xludf.DUMMYFUNCTION("IFERROR(FILTER('Pit Scouting Responses'!G:G,'Pit Scouting Responses'!C:C=A51),"""")"),"")</f>
        <v/>
      </c>
      <c r="G51" s="226" t="str">
        <f>IFERROR(__xludf.DUMMYFUNCTION("IFERROR(FILTER('Pit Scouting Responses'!D:D,'Pit Scouting Responses'!C:C=A51),"""")"),"")</f>
        <v/>
      </c>
      <c r="H51" s="223" t="str">
        <f>RawTotals!AI51</f>
        <v/>
      </c>
    </row>
    <row r="52">
      <c r="A52" s="224" t="str">
        <f>RawTotals!A52</f>
        <v/>
      </c>
      <c r="B52" s="75" t="str">
        <f>IFERROR(__xludf.DUMMYFUNCTION("IFERROR(FILTER('Pit Scouting Responses'!J:J,'Pit Scouting Responses'!C:C=A52),"""")"),"")</f>
        <v/>
      </c>
      <c r="C52" s="85" t="str">
        <f>IF(ISBLANK(A52),"",SUMIF(RawTotals!A$2:A1000, A52, RawTotals!O$2:O1000))</f>
        <v/>
      </c>
      <c r="D52" s="221" t="str">
        <f>IF(ISBLANK(A52),"",SUMIF(RawTotals!A$2:A1000, A52, RawTotals!D$2:D1000) + SUMIF(RawTotals!A$2:A1000, A52, RawTotals!M$2:M1000))</f>
        <v/>
      </c>
      <c r="E52" s="221" t="str">
        <f>IF(ISBLANK(A52),"",SUMIF(RawTotals!A$2:A1000, A52, RawTotals!C$2:C1000) + SUMIF(RawTotals!A$2:A1000, A52, RawTotals!L$2:L1000))</f>
        <v/>
      </c>
      <c r="F52" s="225" t="str">
        <f>IFERROR(__xludf.DUMMYFUNCTION("IFERROR(FILTER('Pit Scouting Responses'!G:G,'Pit Scouting Responses'!C:C=A52),"""")"),"")</f>
        <v/>
      </c>
      <c r="G52" s="226" t="str">
        <f>IFERROR(__xludf.DUMMYFUNCTION("IFERROR(FILTER('Pit Scouting Responses'!D:D,'Pit Scouting Responses'!C:C=A52),"""")"),"")</f>
        <v/>
      </c>
      <c r="H52" s="223" t="str">
        <f>RawTotals!AI52</f>
        <v/>
      </c>
    </row>
    <row r="53">
      <c r="A53" s="224" t="str">
        <f>RawTotals!A53</f>
        <v/>
      </c>
      <c r="B53" s="75" t="str">
        <f>IFERROR(__xludf.DUMMYFUNCTION("IFERROR(FILTER('Pit Scouting Responses'!J:J,'Pit Scouting Responses'!C:C=A53),"""")"),"")</f>
        <v/>
      </c>
      <c r="C53" s="85" t="str">
        <f>IF(ISBLANK(A53),"",SUMIF(RawTotals!A$2:A1000, A53, RawTotals!O$2:O1000))</f>
        <v/>
      </c>
      <c r="D53" s="221" t="str">
        <f>IF(ISBLANK(A53),"",SUMIF(RawTotals!A$2:A1000, A53, RawTotals!D$2:D1000) + SUMIF(RawTotals!A$2:A1000, A53, RawTotals!M$2:M1000))</f>
        <v/>
      </c>
      <c r="E53" s="221" t="str">
        <f>IF(ISBLANK(A53),"",SUMIF(RawTotals!A$2:A1000, A53, RawTotals!C$2:C1000) + SUMIF(RawTotals!A$2:A1000, A53, RawTotals!L$2:L1000))</f>
        <v/>
      </c>
      <c r="F53" s="225" t="str">
        <f>IFERROR(__xludf.DUMMYFUNCTION("IFERROR(FILTER('Pit Scouting Responses'!G:G,'Pit Scouting Responses'!C:C=A53),"""")"),"")</f>
        <v/>
      </c>
      <c r="G53" s="226" t="str">
        <f>IFERROR(__xludf.DUMMYFUNCTION("IFERROR(FILTER('Pit Scouting Responses'!D:D,'Pit Scouting Responses'!C:C=A53),"""")"),"")</f>
        <v/>
      </c>
      <c r="H53" s="223" t="str">
        <f>RawTotals!AI53</f>
        <v/>
      </c>
    </row>
    <row r="54">
      <c r="A54" s="224" t="str">
        <f>RawTotals!A54</f>
        <v/>
      </c>
      <c r="B54" s="75" t="str">
        <f>IFERROR(__xludf.DUMMYFUNCTION("IFERROR(FILTER('Pit Scouting Responses'!J:J,'Pit Scouting Responses'!C:C=A54),"""")"),"")</f>
        <v/>
      </c>
      <c r="C54" s="85" t="str">
        <f>IF(ISBLANK(A54),"",SUMIF(RawTotals!A$2:A1000, A54, RawTotals!O$2:O1000))</f>
        <v/>
      </c>
      <c r="D54" s="221" t="str">
        <f>IF(ISBLANK(A54),"",SUMIF(RawTotals!A$2:A1000, A54, RawTotals!D$2:D1000) + SUMIF(RawTotals!A$2:A1000, A54, RawTotals!M$2:M1000))</f>
        <v/>
      </c>
      <c r="E54" s="221" t="str">
        <f>IF(ISBLANK(A54),"",SUMIF(RawTotals!A$2:A1000, A54, RawTotals!C$2:C1000) + SUMIF(RawTotals!A$2:A1000, A54, RawTotals!L$2:L1000))</f>
        <v/>
      </c>
      <c r="F54" s="225" t="str">
        <f>IFERROR(__xludf.DUMMYFUNCTION("IFERROR(FILTER('Pit Scouting Responses'!G:G,'Pit Scouting Responses'!C:C=A54),"""")"),"")</f>
        <v/>
      </c>
      <c r="G54" s="226" t="str">
        <f>IFERROR(__xludf.DUMMYFUNCTION("IFERROR(FILTER('Pit Scouting Responses'!D:D,'Pit Scouting Responses'!C:C=A54),"""")"),"")</f>
        <v/>
      </c>
      <c r="H54" s="223" t="str">
        <f>RawTotals!AI54</f>
        <v/>
      </c>
    </row>
    <row r="55">
      <c r="A55" s="224" t="str">
        <f>RawTotals!A55</f>
        <v/>
      </c>
      <c r="B55" s="75" t="str">
        <f>IFERROR(__xludf.DUMMYFUNCTION("IFERROR(FILTER('Pit Scouting Responses'!J:J,'Pit Scouting Responses'!C:C=A55),"""")"),"")</f>
        <v/>
      </c>
      <c r="C55" s="85" t="str">
        <f>IF(ISBLANK(A55),"",SUMIF(RawTotals!A$2:A1000, A55, RawTotals!O$2:O1000))</f>
        <v/>
      </c>
      <c r="D55" s="221" t="str">
        <f>IF(ISBLANK(A55),"",SUMIF(RawTotals!A$2:A1000, A55, RawTotals!D$2:D1000) + SUMIF(RawTotals!A$2:A1000, A55, RawTotals!M$2:M1000))</f>
        <v/>
      </c>
      <c r="E55" s="221" t="str">
        <f>IF(ISBLANK(A55),"",SUMIF(RawTotals!A$2:A1000, A55, RawTotals!C$2:C1000) + SUMIF(RawTotals!A$2:A1000, A55, RawTotals!L$2:L1000))</f>
        <v/>
      </c>
      <c r="F55" s="225" t="str">
        <f>IFERROR(__xludf.DUMMYFUNCTION("IFERROR(FILTER('Pit Scouting Responses'!G:G,'Pit Scouting Responses'!C:C=A55),"""")"),"")</f>
        <v/>
      </c>
      <c r="G55" s="226" t="str">
        <f>IFERROR(__xludf.DUMMYFUNCTION("IFERROR(FILTER('Pit Scouting Responses'!D:D,'Pit Scouting Responses'!C:C=A55),"""")"),"")</f>
        <v/>
      </c>
      <c r="H55" s="223" t="str">
        <f>RawTotals!AI55</f>
        <v/>
      </c>
    </row>
    <row r="56">
      <c r="A56" s="224" t="str">
        <f>RawTotals!A56</f>
        <v/>
      </c>
      <c r="B56" s="75" t="str">
        <f>IFERROR(__xludf.DUMMYFUNCTION("IFERROR(FILTER('Pit Scouting Responses'!J:J,'Pit Scouting Responses'!C:C=A56),"""")"),"")</f>
        <v/>
      </c>
      <c r="C56" s="85" t="str">
        <f>IF(ISBLANK(A56),"",SUMIF(RawTotals!A$2:A1000, A56, RawTotals!O$2:O1000))</f>
        <v/>
      </c>
      <c r="D56" s="221" t="str">
        <f>IF(ISBLANK(A56),"",SUMIF(RawTotals!A$2:A1000, A56, RawTotals!D$2:D1000) + SUMIF(RawTotals!A$2:A1000, A56, RawTotals!M$2:M1000))</f>
        <v/>
      </c>
      <c r="E56" s="221" t="str">
        <f>IF(ISBLANK(A56),"",SUMIF(RawTotals!A$2:A1000, A56, RawTotals!C$2:C1000) + SUMIF(RawTotals!A$2:A1000, A56, RawTotals!L$2:L1000))</f>
        <v/>
      </c>
      <c r="F56" s="225" t="str">
        <f>IFERROR(__xludf.DUMMYFUNCTION("IFERROR(FILTER('Pit Scouting Responses'!G:G,'Pit Scouting Responses'!C:C=A56),"""")"),"")</f>
        <v/>
      </c>
      <c r="G56" s="226" t="str">
        <f>IFERROR(__xludf.DUMMYFUNCTION("IFERROR(FILTER('Pit Scouting Responses'!D:D,'Pit Scouting Responses'!C:C=A56),"""")"),"")</f>
        <v/>
      </c>
      <c r="H56" s="223" t="str">
        <f>RawTotals!AI56</f>
        <v/>
      </c>
    </row>
    <row r="57">
      <c r="A57" s="224" t="str">
        <f>RawTotals!A57</f>
        <v/>
      </c>
      <c r="B57" s="75" t="str">
        <f>IFERROR(__xludf.DUMMYFUNCTION("IFERROR(FILTER('Pit Scouting Responses'!J:J,'Pit Scouting Responses'!C:C=A57),"""")"),"")</f>
        <v/>
      </c>
      <c r="C57" s="85" t="str">
        <f>IF(ISBLANK(A57),"",SUMIF(RawTotals!A$2:A1000, A57, RawTotals!O$2:O1000))</f>
        <v/>
      </c>
      <c r="D57" s="221" t="str">
        <f>IF(ISBLANK(A57),"",SUMIF(RawTotals!A$2:A1000, A57, RawTotals!D$2:D1000) + SUMIF(RawTotals!A$2:A1000, A57, RawTotals!M$2:M1000))</f>
        <v/>
      </c>
      <c r="E57" s="221" t="str">
        <f>IF(ISBLANK(A57),"",SUMIF(RawTotals!A$2:A1000, A57, RawTotals!C$2:C1000) + SUMIF(RawTotals!A$2:A1000, A57, RawTotals!L$2:L1000))</f>
        <v/>
      </c>
      <c r="F57" s="225" t="str">
        <f>IFERROR(__xludf.DUMMYFUNCTION("IFERROR(FILTER('Pit Scouting Responses'!G:G,'Pit Scouting Responses'!C:C=A57),"""")"),"")</f>
        <v/>
      </c>
      <c r="G57" s="226" t="str">
        <f>IFERROR(__xludf.DUMMYFUNCTION("IFERROR(FILTER('Pit Scouting Responses'!D:D,'Pit Scouting Responses'!C:C=A57),"""")"),"")</f>
        <v/>
      </c>
      <c r="H57" s="223" t="str">
        <f>RawTotals!AI57</f>
        <v/>
      </c>
    </row>
    <row r="58">
      <c r="A58" s="224" t="str">
        <f>RawTotals!A58</f>
        <v/>
      </c>
      <c r="B58" s="75" t="str">
        <f>IFERROR(__xludf.DUMMYFUNCTION("IFERROR(FILTER('Pit Scouting Responses'!J:J,'Pit Scouting Responses'!C:C=A58),"""")"),"")</f>
        <v/>
      </c>
      <c r="C58" s="85" t="str">
        <f>IF(ISBLANK(A58),"",SUMIF(RawTotals!A$2:A1000, A58, RawTotals!O$2:O1000))</f>
        <v/>
      </c>
      <c r="D58" s="221" t="str">
        <f>IF(ISBLANK(A58),"",SUMIF(RawTotals!A$2:A1000, A58, RawTotals!D$2:D1000) + SUMIF(RawTotals!A$2:A1000, A58, RawTotals!M$2:M1000))</f>
        <v/>
      </c>
      <c r="E58" s="221" t="str">
        <f>IF(ISBLANK(A58),"",SUMIF(RawTotals!A$2:A1000, A58, RawTotals!C$2:C1000) + SUMIF(RawTotals!A$2:A1000, A58, RawTotals!L$2:L1000))</f>
        <v/>
      </c>
      <c r="F58" s="225" t="str">
        <f>IFERROR(__xludf.DUMMYFUNCTION("IFERROR(FILTER('Pit Scouting Responses'!G:G,'Pit Scouting Responses'!C:C=A58),"""")"),"")</f>
        <v/>
      </c>
      <c r="G58" s="226" t="str">
        <f>IFERROR(__xludf.DUMMYFUNCTION("IFERROR(FILTER('Pit Scouting Responses'!D:D,'Pit Scouting Responses'!C:C=A58),"""")"),"")</f>
        <v/>
      </c>
      <c r="H58" s="223" t="str">
        <f>RawTotals!AI58</f>
        <v/>
      </c>
    </row>
    <row r="59">
      <c r="A59" s="224" t="str">
        <f>RawTotals!A59</f>
        <v/>
      </c>
      <c r="B59" s="75" t="str">
        <f>IFERROR(__xludf.DUMMYFUNCTION("IFERROR(FILTER('Pit Scouting Responses'!J:J,'Pit Scouting Responses'!C:C=A59),"""")"),"")</f>
        <v/>
      </c>
      <c r="C59" s="85" t="str">
        <f>IF(ISBLANK(A59),"",SUMIF(RawTotals!A$2:A1000, A59, RawTotals!O$2:O1000))</f>
        <v/>
      </c>
      <c r="D59" s="221" t="str">
        <f>IF(ISBLANK(A59),"",SUMIF(RawTotals!A$2:A1000, A59, RawTotals!D$2:D1000) + SUMIF(RawTotals!A$2:A1000, A59, RawTotals!M$2:M1000))</f>
        <v/>
      </c>
      <c r="E59" s="221" t="str">
        <f>IF(ISBLANK(A59),"",SUMIF(RawTotals!A$2:A1000, A59, RawTotals!C$2:C1000) + SUMIF(RawTotals!A$2:A1000, A59, RawTotals!L$2:L1000))</f>
        <v/>
      </c>
      <c r="F59" s="225" t="str">
        <f>IFERROR(__xludf.DUMMYFUNCTION("IFERROR(FILTER('Pit Scouting Responses'!G:G,'Pit Scouting Responses'!C:C=A59),"""")"),"")</f>
        <v/>
      </c>
      <c r="G59" s="226" t="str">
        <f>IFERROR(__xludf.DUMMYFUNCTION("IFERROR(FILTER('Pit Scouting Responses'!D:D,'Pit Scouting Responses'!C:C=A59),"""")"),"")</f>
        <v/>
      </c>
      <c r="H59" s="223" t="str">
        <f>RawTotals!AI59</f>
        <v/>
      </c>
    </row>
    <row r="60">
      <c r="A60" s="224" t="str">
        <f>RawTotals!A60</f>
        <v/>
      </c>
      <c r="B60" s="75" t="str">
        <f>IFERROR(__xludf.DUMMYFUNCTION("IFERROR(FILTER('Pit Scouting Responses'!J:J,'Pit Scouting Responses'!C:C=A60),"""")"),"")</f>
        <v/>
      </c>
      <c r="C60" s="85" t="str">
        <f>IF(ISBLANK(A60),"",SUMIF(RawTotals!A$2:A1000, A60, RawTotals!O$2:O1000))</f>
        <v/>
      </c>
      <c r="D60" s="221" t="str">
        <f>IF(ISBLANK(A60),"",SUMIF(RawTotals!A$2:A1000, A60, RawTotals!D$2:D1000) + SUMIF(RawTotals!A$2:A1000, A60, RawTotals!M$2:M1000))</f>
        <v/>
      </c>
      <c r="E60" s="221" t="str">
        <f>IF(ISBLANK(A60),"",SUMIF(RawTotals!A$2:A1000, A60, RawTotals!C$2:C1000) + SUMIF(RawTotals!A$2:A1000, A60, RawTotals!L$2:L1000))</f>
        <v/>
      </c>
      <c r="F60" s="225" t="str">
        <f>IFERROR(__xludf.DUMMYFUNCTION("IFERROR(FILTER('Pit Scouting Responses'!G:G,'Pit Scouting Responses'!C:C=A60),"""")"),"")</f>
        <v/>
      </c>
      <c r="G60" s="226" t="str">
        <f>IFERROR(__xludf.DUMMYFUNCTION("IFERROR(FILTER('Pit Scouting Responses'!D:D,'Pit Scouting Responses'!C:C=A60),"""")"),"")</f>
        <v/>
      </c>
      <c r="H60" s="223" t="str">
        <f>RawTotals!AI60</f>
        <v/>
      </c>
    </row>
    <row r="61">
      <c r="A61" s="224" t="str">
        <f>RawTotals!A61</f>
        <v/>
      </c>
      <c r="B61" s="75" t="str">
        <f>IFERROR(__xludf.DUMMYFUNCTION("IFERROR(FILTER('Pit Scouting Responses'!J:J,'Pit Scouting Responses'!C:C=A61),"""")"),"")</f>
        <v/>
      </c>
      <c r="C61" s="85" t="str">
        <f>IF(ISBLANK(A61),"",SUMIF(RawTotals!A$2:A1000, A61, RawTotals!O$2:O1000))</f>
        <v/>
      </c>
      <c r="D61" s="221" t="str">
        <f>IF(ISBLANK(A61),"",SUMIF(RawTotals!A$2:A1000, A61, RawTotals!D$2:D1000) + SUMIF(RawTotals!A$2:A1000, A61, RawTotals!M$2:M1000))</f>
        <v/>
      </c>
      <c r="E61" s="221" t="str">
        <f>IF(ISBLANK(A61),"",SUMIF(RawTotals!A$2:A1000, A61, RawTotals!C$2:C1000) + SUMIF(RawTotals!A$2:A1000, A61, RawTotals!L$2:L1000))</f>
        <v/>
      </c>
      <c r="F61" s="225" t="str">
        <f>IFERROR(__xludf.DUMMYFUNCTION("IFERROR(FILTER('Pit Scouting Responses'!G:G,'Pit Scouting Responses'!C:C=A61),"""")"),"")</f>
        <v/>
      </c>
      <c r="G61" s="226" t="str">
        <f>IFERROR(__xludf.DUMMYFUNCTION("IFERROR(FILTER('Pit Scouting Responses'!D:D,'Pit Scouting Responses'!C:C=A61),"""")"),"")</f>
        <v/>
      </c>
      <c r="H61" s="223" t="str">
        <f>RawTotals!AI61</f>
        <v/>
      </c>
    </row>
    <row r="62">
      <c r="A62" s="224" t="str">
        <f>RawTotals!A62</f>
        <v/>
      </c>
      <c r="B62" s="75" t="str">
        <f>IFERROR(__xludf.DUMMYFUNCTION("IFERROR(FILTER('Pit Scouting Responses'!J:J,'Pit Scouting Responses'!C:C=A62),"""")"),"")</f>
        <v/>
      </c>
      <c r="C62" s="85" t="str">
        <f>IF(ISBLANK(A62),"",SUMIF(RawTotals!A$2:A1000, A62, RawTotals!O$2:O1000))</f>
        <v/>
      </c>
      <c r="D62" s="221" t="str">
        <f>IF(ISBLANK(A62),"",SUMIF(RawTotals!A$2:A1000, A62, RawTotals!D$2:D1000) + SUMIF(RawTotals!A$2:A1000, A62, RawTotals!M$2:M1000))</f>
        <v/>
      </c>
      <c r="E62" s="221" t="str">
        <f>IF(ISBLANK(A62),"",SUMIF(RawTotals!A$2:A1000, A62, RawTotals!C$2:C1000) + SUMIF(RawTotals!A$2:A1000, A62, RawTotals!L$2:L1000))</f>
        <v/>
      </c>
      <c r="F62" s="225" t="str">
        <f>IFERROR(__xludf.DUMMYFUNCTION("IFERROR(FILTER('Pit Scouting Responses'!G:G,'Pit Scouting Responses'!C:C=A62),"""")"),"")</f>
        <v/>
      </c>
      <c r="G62" s="226" t="str">
        <f>IFERROR(__xludf.DUMMYFUNCTION("IFERROR(FILTER('Pit Scouting Responses'!D:D,'Pit Scouting Responses'!C:C=A62),"""")"),"")</f>
        <v/>
      </c>
      <c r="H62" s="223" t="str">
        <f>RawTotals!AI62</f>
        <v/>
      </c>
    </row>
    <row r="63">
      <c r="A63" s="224" t="str">
        <f>RawTotals!A63</f>
        <v/>
      </c>
      <c r="B63" s="75" t="str">
        <f>IFERROR(__xludf.DUMMYFUNCTION("IFERROR(FILTER('Pit Scouting Responses'!J:J,'Pit Scouting Responses'!C:C=A63),"""")"),"")</f>
        <v/>
      </c>
      <c r="C63" s="85" t="str">
        <f>IF(ISBLANK(A63),"",SUMIF(RawTotals!A$2:A1000, A63, RawTotals!O$2:O1000))</f>
        <v/>
      </c>
      <c r="D63" s="221" t="str">
        <f>IF(ISBLANK(A63),"",SUMIF(RawTotals!A$2:A1000, A63, RawTotals!D$2:D1000) + SUMIF(RawTotals!A$2:A1000, A63, RawTotals!M$2:M1000))</f>
        <v/>
      </c>
      <c r="E63" s="221" t="str">
        <f>IF(ISBLANK(A63),"",SUMIF(RawTotals!A$2:A1000, A63, RawTotals!C$2:C1000) + SUMIF(RawTotals!A$2:A1000, A63, RawTotals!L$2:L1000))</f>
        <v/>
      </c>
      <c r="F63" s="225" t="str">
        <f>IFERROR(__xludf.DUMMYFUNCTION("IFERROR(FILTER('Pit Scouting Responses'!G:G,'Pit Scouting Responses'!C:C=A63),"""")"),"")</f>
        <v/>
      </c>
      <c r="G63" s="226" t="str">
        <f>IFERROR(__xludf.DUMMYFUNCTION("IFERROR(FILTER('Pit Scouting Responses'!D:D,'Pit Scouting Responses'!C:C=A63),"""")"),"")</f>
        <v/>
      </c>
      <c r="H63" s="223" t="str">
        <f>RawTotals!AI63</f>
        <v/>
      </c>
    </row>
    <row r="64">
      <c r="A64" s="224" t="str">
        <f>RawTotals!A64</f>
        <v/>
      </c>
      <c r="B64" s="75" t="str">
        <f>IFERROR(__xludf.DUMMYFUNCTION("IFERROR(FILTER('Pit Scouting Responses'!J:J,'Pit Scouting Responses'!C:C=A64),"""")"),"")</f>
        <v/>
      </c>
      <c r="C64" s="85" t="str">
        <f>IF(ISBLANK(A64),"",SUMIF(RawTotals!A$2:A1000, A64, RawTotals!O$2:O1000))</f>
        <v/>
      </c>
      <c r="D64" s="221" t="str">
        <f>IF(ISBLANK(A64),"",SUMIF(RawTotals!A$2:A1000, A64, RawTotals!D$2:D1000) + SUMIF(RawTotals!A$2:A1000, A64, RawTotals!M$2:M1000))</f>
        <v/>
      </c>
      <c r="E64" s="221" t="str">
        <f>IF(ISBLANK(A64),"",SUMIF(RawTotals!A$2:A1000, A64, RawTotals!C$2:C1000) + SUMIF(RawTotals!A$2:A1000, A64, RawTotals!L$2:L1000))</f>
        <v/>
      </c>
      <c r="F64" s="225" t="str">
        <f>IFERROR(__xludf.DUMMYFUNCTION("IFERROR(FILTER('Pit Scouting Responses'!G:G,'Pit Scouting Responses'!C:C=A64),"""")"),"")</f>
        <v/>
      </c>
      <c r="G64" s="226" t="str">
        <f>IFERROR(__xludf.DUMMYFUNCTION("IFERROR(FILTER('Pit Scouting Responses'!D:D,'Pit Scouting Responses'!C:C=A64),"""")"),"")</f>
        <v/>
      </c>
      <c r="H64" s="223" t="str">
        <f>RawTotals!AI64</f>
        <v/>
      </c>
    </row>
    <row r="65">
      <c r="A65" s="224" t="str">
        <f>RawTotals!A65</f>
        <v/>
      </c>
      <c r="B65" s="75" t="str">
        <f>IFERROR(__xludf.DUMMYFUNCTION("IFERROR(FILTER('Pit Scouting Responses'!J:J,'Pit Scouting Responses'!C:C=A65),"""")"),"")</f>
        <v/>
      </c>
      <c r="C65" s="85" t="str">
        <f>IF(ISBLANK(A65),"",SUMIF(RawTotals!A$2:A1000, A65, RawTotals!O$2:O1000))</f>
        <v/>
      </c>
      <c r="D65" s="221" t="str">
        <f>IF(ISBLANK(A65),"",SUMIF(RawTotals!A$2:A1000, A65, RawTotals!D$2:D1000) + SUMIF(RawTotals!A$2:A1000, A65, RawTotals!M$2:M1000))</f>
        <v/>
      </c>
      <c r="E65" s="221" t="str">
        <f>IF(ISBLANK(A65),"",SUMIF(RawTotals!A$2:A1000, A65, RawTotals!C$2:C1000) + SUMIF(RawTotals!A$2:A1000, A65, RawTotals!L$2:L1000))</f>
        <v/>
      </c>
      <c r="F65" s="225" t="str">
        <f>IFERROR(__xludf.DUMMYFUNCTION("IFERROR(FILTER('Pit Scouting Responses'!G:G,'Pit Scouting Responses'!C:C=A65),"""")"),"")</f>
        <v/>
      </c>
      <c r="G65" s="226" t="str">
        <f>IFERROR(__xludf.DUMMYFUNCTION("IFERROR(FILTER('Pit Scouting Responses'!D:D,'Pit Scouting Responses'!C:C=A65),"""")"),"")</f>
        <v/>
      </c>
      <c r="H65" s="223" t="str">
        <f>RawTotals!AI65</f>
        <v/>
      </c>
    </row>
    <row r="66">
      <c r="A66" s="224" t="str">
        <f>RawTotals!A66</f>
        <v/>
      </c>
      <c r="B66" s="75" t="str">
        <f>IFERROR(__xludf.DUMMYFUNCTION("IFERROR(FILTER('Pit Scouting Responses'!J:J,'Pit Scouting Responses'!C:C=A66),"""")"),"")</f>
        <v/>
      </c>
      <c r="C66" s="85" t="str">
        <f>IF(ISBLANK(A66),"",SUMIF(RawTotals!A$2:A1000, A66, RawTotals!O$2:O1000))</f>
        <v/>
      </c>
      <c r="D66" s="221" t="str">
        <f>IF(ISBLANK(A66),"",SUMIF(RawTotals!A$2:A1000, A66, RawTotals!D$2:D1000) + SUMIF(RawTotals!A$2:A1000, A66, RawTotals!M$2:M1000))</f>
        <v/>
      </c>
      <c r="E66" s="221" t="str">
        <f>IF(ISBLANK(A66),"",SUMIF(RawTotals!A$2:A1000, A66, RawTotals!C$2:C1000) + SUMIF(RawTotals!A$2:A1000, A66, RawTotals!L$2:L1000))</f>
        <v/>
      </c>
      <c r="F66" s="225" t="str">
        <f>IFERROR(__xludf.DUMMYFUNCTION("IFERROR(FILTER('Pit Scouting Responses'!G:G,'Pit Scouting Responses'!C:C=A66),"""")"),"")</f>
        <v/>
      </c>
      <c r="G66" s="226" t="str">
        <f>IFERROR(__xludf.DUMMYFUNCTION("IFERROR(FILTER('Pit Scouting Responses'!D:D,'Pit Scouting Responses'!C:C=A66),"""")"),"")</f>
        <v/>
      </c>
      <c r="H66" s="223" t="str">
        <f>RawTotals!AI66</f>
        <v/>
      </c>
    </row>
    <row r="67">
      <c r="A67" s="224" t="str">
        <f>RawTotals!A67</f>
        <v/>
      </c>
      <c r="B67" s="75" t="str">
        <f>IFERROR(__xludf.DUMMYFUNCTION("IFERROR(FILTER('Pit Scouting Responses'!J:J,'Pit Scouting Responses'!C:C=A67),"""")"),"")</f>
        <v/>
      </c>
      <c r="C67" s="85" t="str">
        <f>IF(ISBLANK(A67),"",SUMIF(RawTotals!A$2:A1000, A67, RawTotals!O$2:O1000))</f>
        <v/>
      </c>
      <c r="D67" s="221" t="str">
        <f>IF(ISBLANK(A67),"",SUMIF(RawTotals!A$2:A1000, A67, RawTotals!D$2:D1000) + SUMIF(RawTotals!A$2:A1000, A67, RawTotals!M$2:M1000))</f>
        <v/>
      </c>
      <c r="E67" s="221" t="str">
        <f>IF(ISBLANK(A67),"",SUMIF(RawTotals!A$2:A1000, A67, RawTotals!C$2:C1000) + SUMIF(RawTotals!A$2:A1000, A67, RawTotals!L$2:L1000))</f>
        <v/>
      </c>
      <c r="F67" s="225" t="str">
        <f>IFERROR(__xludf.DUMMYFUNCTION("IFERROR(FILTER('Pit Scouting Responses'!G:G,'Pit Scouting Responses'!C:C=A67),"""")"),"")</f>
        <v/>
      </c>
      <c r="G67" s="226" t="str">
        <f>IFERROR(__xludf.DUMMYFUNCTION("IFERROR(FILTER('Pit Scouting Responses'!D:D,'Pit Scouting Responses'!C:C=A67),"""")"),"")</f>
        <v/>
      </c>
      <c r="H67" s="223" t="str">
        <f>RawTotals!AI67</f>
        <v/>
      </c>
    </row>
    <row r="68">
      <c r="A68" s="224" t="str">
        <f>RawTotals!A68</f>
        <v/>
      </c>
      <c r="B68" s="75" t="str">
        <f>IFERROR(__xludf.DUMMYFUNCTION("IFERROR(FILTER('Pit Scouting Responses'!J:J,'Pit Scouting Responses'!C:C=A68),"""")"),"")</f>
        <v/>
      </c>
      <c r="C68" s="85" t="str">
        <f>IF(ISBLANK(A68),"",SUMIF(RawTotals!A$2:A1000, A68, RawTotals!O$2:O1000))</f>
        <v/>
      </c>
      <c r="D68" s="221" t="str">
        <f>IF(ISBLANK(A68),"",SUMIF(RawTotals!A$2:A1000, A68, RawTotals!D$2:D1000) + SUMIF(RawTotals!A$2:A1000, A68, RawTotals!M$2:M1000))</f>
        <v/>
      </c>
      <c r="E68" s="221" t="str">
        <f>IF(ISBLANK(A68),"",SUMIF(RawTotals!A$2:A1000, A68, RawTotals!C$2:C1000) + SUMIF(RawTotals!A$2:A1000, A68, RawTotals!L$2:L1000))</f>
        <v/>
      </c>
      <c r="F68" s="225" t="str">
        <f>IFERROR(__xludf.DUMMYFUNCTION("IFERROR(FILTER('Pit Scouting Responses'!G:G,'Pit Scouting Responses'!C:C=A68),"""")"),"")</f>
        <v/>
      </c>
      <c r="G68" s="226" t="str">
        <f>IFERROR(__xludf.DUMMYFUNCTION("IFERROR(FILTER('Pit Scouting Responses'!D:D,'Pit Scouting Responses'!C:C=A68),"""")"),"")</f>
        <v/>
      </c>
      <c r="H68" s="223" t="str">
        <f>RawTotals!AI68</f>
        <v/>
      </c>
    </row>
    <row r="69">
      <c r="A69" s="224" t="str">
        <f>RawTotals!A69</f>
        <v/>
      </c>
      <c r="B69" s="75" t="str">
        <f>IFERROR(__xludf.DUMMYFUNCTION("IFERROR(FILTER('Pit Scouting Responses'!J:J,'Pit Scouting Responses'!C:C=A69),"""")"),"")</f>
        <v/>
      </c>
      <c r="C69" s="85" t="str">
        <f>IF(ISBLANK(A69),"",SUMIF(RawTotals!A$2:A1000, A69, RawTotals!O$2:O1000))</f>
        <v/>
      </c>
      <c r="D69" s="221" t="str">
        <f>IF(ISBLANK(A69),"",SUMIF(RawTotals!A$2:A1000, A69, RawTotals!D$2:D1000) + SUMIF(RawTotals!A$2:A1000, A69, RawTotals!M$2:M1000))</f>
        <v/>
      </c>
      <c r="E69" s="221" t="str">
        <f>IF(ISBLANK(A69),"",SUMIF(RawTotals!A$2:A1000, A69, RawTotals!C$2:C1000) + SUMIF(RawTotals!A$2:A1000, A69, RawTotals!L$2:L1000))</f>
        <v/>
      </c>
      <c r="F69" s="225" t="str">
        <f>IFERROR(__xludf.DUMMYFUNCTION("IFERROR(FILTER('Pit Scouting Responses'!G:G,'Pit Scouting Responses'!C:C=A69),"""")"),"")</f>
        <v/>
      </c>
      <c r="G69" s="226" t="str">
        <f>IFERROR(__xludf.DUMMYFUNCTION("IFERROR(FILTER('Pit Scouting Responses'!D:D,'Pit Scouting Responses'!C:C=A69),"""")"),"")</f>
        <v/>
      </c>
      <c r="H69" s="223" t="str">
        <f>RawTotals!AI69</f>
        <v/>
      </c>
    </row>
    <row r="70">
      <c r="A70" s="224" t="str">
        <f>RawTotals!A70</f>
        <v/>
      </c>
      <c r="B70" s="75" t="str">
        <f>IFERROR(__xludf.DUMMYFUNCTION("IFERROR(FILTER('Pit Scouting Responses'!J:J,'Pit Scouting Responses'!C:C=A70),"""")"),"")</f>
        <v/>
      </c>
      <c r="C70" s="85" t="str">
        <f>IF(ISBLANK(A70),"",SUMIF(RawTotals!A$2:A1000, A70, RawTotals!O$2:O1000))</f>
        <v/>
      </c>
      <c r="D70" s="221" t="str">
        <f>IF(ISBLANK(A70),"",SUMIF(RawTotals!A$2:A1000, A70, RawTotals!D$2:D1000) + SUMIF(RawTotals!A$2:A1000, A70, RawTotals!M$2:M1000))</f>
        <v/>
      </c>
      <c r="E70" s="221" t="str">
        <f>IF(ISBLANK(A70),"",SUMIF(RawTotals!A$2:A1000, A70, RawTotals!C$2:C1000) + SUMIF(RawTotals!A$2:A1000, A70, RawTotals!L$2:L1000))</f>
        <v/>
      </c>
      <c r="F70" s="225" t="str">
        <f>IFERROR(__xludf.DUMMYFUNCTION("IFERROR(FILTER('Pit Scouting Responses'!G:G,'Pit Scouting Responses'!C:C=A70),"""")"),"")</f>
        <v/>
      </c>
      <c r="G70" s="226" t="str">
        <f>IFERROR(__xludf.DUMMYFUNCTION("IFERROR(FILTER('Pit Scouting Responses'!D:D,'Pit Scouting Responses'!C:C=A70),"""")"),"")</f>
        <v/>
      </c>
      <c r="H70" s="223" t="str">
        <f>RawTotals!AI70</f>
        <v/>
      </c>
    </row>
    <row r="71">
      <c r="A71" s="224" t="str">
        <f>RawTotals!A71</f>
        <v/>
      </c>
      <c r="B71" s="75" t="str">
        <f>IFERROR(__xludf.DUMMYFUNCTION("IFERROR(FILTER('Pit Scouting Responses'!J:J,'Pit Scouting Responses'!C:C=A71),"""")"),"")</f>
        <v/>
      </c>
      <c r="C71" s="85" t="str">
        <f>IF(ISBLANK(A71),"",SUMIF(RawTotals!A$2:A1000, A71, RawTotals!O$2:O1000))</f>
        <v/>
      </c>
      <c r="D71" s="221" t="str">
        <f>IF(ISBLANK(A71),"",SUMIF(RawTotals!A$2:A1000, A71, RawTotals!D$2:D1000) + SUMIF(RawTotals!A$2:A1000, A71, RawTotals!M$2:M1000))</f>
        <v/>
      </c>
      <c r="E71" s="221" t="str">
        <f>IF(ISBLANK(A71),"",SUMIF(RawTotals!A$2:A1000, A71, RawTotals!C$2:C1000) + SUMIF(RawTotals!A$2:A1000, A71, RawTotals!L$2:L1000))</f>
        <v/>
      </c>
      <c r="F71" s="225" t="str">
        <f>IFERROR(__xludf.DUMMYFUNCTION("IFERROR(FILTER('Pit Scouting Responses'!G:G,'Pit Scouting Responses'!C:C=A71),"""")"),"")</f>
        <v/>
      </c>
      <c r="G71" s="226" t="str">
        <f>IFERROR(__xludf.DUMMYFUNCTION("IFERROR(FILTER('Pit Scouting Responses'!D:D,'Pit Scouting Responses'!C:C=A71),"""")"),"")</f>
        <v/>
      </c>
      <c r="H71" s="223" t="str">
        <f>RawTotals!AI71</f>
        <v/>
      </c>
    </row>
    <row r="72">
      <c r="A72" s="224" t="str">
        <f>RawTotals!A72</f>
        <v/>
      </c>
      <c r="B72" s="75" t="str">
        <f>IFERROR(__xludf.DUMMYFUNCTION("IFERROR(FILTER('Pit Scouting Responses'!J:J,'Pit Scouting Responses'!C:C=A72),"""")"),"")</f>
        <v/>
      </c>
      <c r="C72" s="85" t="str">
        <f>IF(ISBLANK(A72),"",SUMIF(RawTotals!A$2:A1000, A72, RawTotals!O$2:O1000))</f>
        <v/>
      </c>
      <c r="D72" s="221" t="str">
        <f>IF(ISBLANK(A72),"",SUMIF(RawTotals!A$2:A1000, A72, RawTotals!D$2:D1000) + SUMIF(RawTotals!A$2:A1000, A72, RawTotals!M$2:M1000))</f>
        <v/>
      </c>
      <c r="E72" s="221" t="str">
        <f>IF(ISBLANK(A72),"",SUMIF(RawTotals!A$2:A1000, A72, RawTotals!C$2:C1000) + SUMIF(RawTotals!A$2:A1000, A72, RawTotals!L$2:L1000))</f>
        <v/>
      </c>
      <c r="F72" s="225" t="str">
        <f>IFERROR(__xludf.DUMMYFUNCTION("IFERROR(FILTER('Pit Scouting Responses'!G:G,'Pit Scouting Responses'!C:C=A72),"""")"),"")</f>
        <v/>
      </c>
      <c r="G72" s="226" t="str">
        <f>IFERROR(__xludf.DUMMYFUNCTION("IFERROR(FILTER('Pit Scouting Responses'!D:D,'Pit Scouting Responses'!C:C=A72),"""")"),"")</f>
        <v/>
      </c>
      <c r="H72" s="223" t="str">
        <f>RawTotals!AI72</f>
        <v/>
      </c>
    </row>
    <row r="73">
      <c r="A73" s="224" t="str">
        <f>RawTotals!A73</f>
        <v/>
      </c>
      <c r="B73" s="75" t="str">
        <f>IFERROR(__xludf.DUMMYFUNCTION("IFERROR(FILTER('Pit Scouting Responses'!J:J,'Pit Scouting Responses'!C:C=A73),"""")"),"")</f>
        <v/>
      </c>
      <c r="C73" s="85" t="str">
        <f>IF(ISBLANK(A73),"",SUMIF(RawTotals!A$2:A1000, A73, RawTotals!O$2:O1000))</f>
        <v/>
      </c>
      <c r="D73" s="221" t="str">
        <f>IF(ISBLANK(A73),"",SUMIF(RawTotals!A$2:A1000, A73, RawTotals!D$2:D1000) + SUMIF(RawTotals!A$2:A1000, A73, RawTotals!M$2:M1000))</f>
        <v/>
      </c>
      <c r="E73" s="221" t="str">
        <f>IF(ISBLANK(A73),"",SUMIF(RawTotals!A$2:A1000, A73, RawTotals!C$2:C1000) + SUMIF(RawTotals!A$2:A1000, A73, RawTotals!L$2:L1000))</f>
        <v/>
      </c>
      <c r="F73" s="225" t="str">
        <f>IFERROR(__xludf.DUMMYFUNCTION("IFERROR(FILTER('Pit Scouting Responses'!G:G,'Pit Scouting Responses'!C:C=A73),"""")"),"")</f>
        <v/>
      </c>
      <c r="G73" s="226" t="str">
        <f>IFERROR(__xludf.DUMMYFUNCTION("IFERROR(FILTER('Pit Scouting Responses'!D:D,'Pit Scouting Responses'!C:C=A73),"""")"),"")</f>
        <v/>
      </c>
      <c r="H73" s="223" t="str">
        <f>RawTotals!AI73</f>
        <v/>
      </c>
    </row>
    <row r="74">
      <c r="A74" s="224" t="str">
        <f>RawTotals!A74</f>
        <v/>
      </c>
      <c r="B74" s="75" t="str">
        <f>IFERROR(__xludf.DUMMYFUNCTION("IFERROR(FILTER('Pit Scouting Responses'!J:J,'Pit Scouting Responses'!C:C=A74),"""")"),"")</f>
        <v/>
      </c>
      <c r="C74" s="85" t="str">
        <f>IF(ISBLANK(A74),"",SUMIF(RawTotals!A$2:A1000, A74, RawTotals!O$2:O1000))</f>
        <v/>
      </c>
      <c r="D74" s="221" t="str">
        <f>IF(ISBLANK(A74),"",SUMIF(RawTotals!A$2:A1000, A74, RawTotals!D$2:D1000) + SUMIF(RawTotals!A$2:A1000, A74, RawTotals!M$2:M1000))</f>
        <v/>
      </c>
      <c r="E74" s="221" t="str">
        <f>IF(ISBLANK(A74),"",SUMIF(RawTotals!A$2:A1000, A74, RawTotals!C$2:C1000) + SUMIF(RawTotals!A$2:A1000, A74, RawTotals!L$2:L1000))</f>
        <v/>
      </c>
      <c r="F74" s="225" t="str">
        <f>IFERROR(__xludf.DUMMYFUNCTION("IFERROR(FILTER('Pit Scouting Responses'!G:G,'Pit Scouting Responses'!C:C=A74),"""")"),"")</f>
        <v/>
      </c>
      <c r="G74" s="226" t="str">
        <f>IFERROR(__xludf.DUMMYFUNCTION("IFERROR(FILTER('Pit Scouting Responses'!D:D,'Pit Scouting Responses'!C:C=A74),"""")"),"")</f>
        <v/>
      </c>
      <c r="H74" s="223" t="str">
        <f>RawTotals!AI74</f>
        <v/>
      </c>
    </row>
    <row r="75">
      <c r="A75" s="224" t="str">
        <f>RawTotals!A75</f>
        <v/>
      </c>
      <c r="B75" s="75" t="str">
        <f>IFERROR(__xludf.DUMMYFUNCTION("IFERROR(FILTER('Pit Scouting Responses'!J:J,'Pit Scouting Responses'!C:C=A75),"""")"),"")</f>
        <v/>
      </c>
      <c r="C75" s="85" t="str">
        <f>IF(ISBLANK(A75),"",SUMIF(RawTotals!A$2:A1000, A75, RawTotals!O$2:O1000))</f>
        <v/>
      </c>
      <c r="D75" s="221" t="str">
        <f>IF(ISBLANK(A75),"",SUMIF(RawTotals!A$2:A1000, A75, RawTotals!D$2:D1000) + SUMIF(RawTotals!A$2:A1000, A75, RawTotals!M$2:M1000))</f>
        <v/>
      </c>
      <c r="E75" s="221" t="str">
        <f>IF(ISBLANK(A75),"",SUMIF(RawTotals!A$2:A1000, A75, RawTotals!C$2:C1000) + SUMIF(RawTotals!A$2:A1000, A75, RawTotals!L$2:L1000))</f>
        <v/>
      </c>
      <c r="F75" s="225" t="str">
        <f>IFERROR(__xludf.DUMMYFUNCTION("IFERROR(FILTER('Pit Scouting Responses'!G:G,'Pit Scouting Responses'!C:C=A75),"""")"),"")</f>
        <v/>
      </c>
      <c r="G75" s="226" t="str">
        <f>IFERROR(__xludf.DUMMYFUNCTION("IFERROR(FILTER('Pit Scouting Responses'!D:D,'Pit Scouting Responses'!C:C=A75),"""")"),"")</f>
        <v/>
      </c>
      <c r="H75" s="223" t="str">
        <f>RawTotals!AI75</f>
        <v/>
      </c>
    </row>
    <row r="76">
      <c r="A76" s="224" t="str">
        <f>RawTotals!A76</f>
        <v/>
      </c>
      <c r="B76" s="75" t="str">
        <f>IFERROR(__xludf.DUMMYFUNCTION("IFERROR(FILTER('Pit Scouting Responses'!J:J,'Pit Scouting Responses'!C:C=A76),"""")"),"")</f>
        <v/>
      </c>
      <c r="C76" s="85" t="str">
        <f>IF(ISBLANK(A76),"",SUMIF(RawTotals!A$2:A1000, A76, RawTotals!O$2:O1000))</f>
        <v/>
      </c>
      <c r="D76" s="221" t="str">
        <f>IF(ISBLANK(A76),"",SUMIF(RawTotals!A$2:A1000, A76, RawTotals!D$2:D1000) + SUMIF(RawTotals!A$2:A1000, A76, RawTotals!M$2:M1000))</f>
        <v/>
      </c>
      <c r="E76" s="221" t="str">
        <f>IF(ISBLANK(A76),"",SUMIF(RawTotals!A$2:A1000, A76, RawTotals!C$2:C1000) + SUMIF(RawTotals!A$2:A1000, A76, RawTotals!L$2:L1000))</f>
        <v/>
      </c>
      <c r="F76" s="225" t="str">
        <f>IFERROR(__xludf.DUMMYFUNCTION("IFERROR(FILTER('Pit Scouting Responses'!G:G,'Pit Scouting Responses'!C:C=A76),"""")"),"")</f>
        <v/>
      </c>
      <c r="G76" s="226" t="str">
        <f>IFERROR(__xludf.DUMMYFUNCTION("IFERROR(FILTER('Pit Scouting Responses'!D:D,'Pit Scouting Responses'!C:C=A76),"""")"),"")</f>
        <v/>
      </c>
      <c r="H76" s="223" t="str">
        <f>RawTotals!AI76</f>
        <v/>
      </c>
    </row>
    <row r="77">
      <c r="A77" s="224" t="str">
        <f>RawTotals!A77</f>
        <v/>
      </c>
      <c r="B77" s="75" t="str">
        <f>IFERROR(__xludf.DUMMYFUNCTION("IFERROR(FILTER('Pit Scouting Responses'!J:J,'Pit Scouting Responses'!C:C=A77),"""")"),"")</f>
        <v/>
      </c>
      <c r="C77" s="85" t="str">
        <f>IF(ISBLANK(A77),"",SUMIF(RawTotals!A$2:A1000, A77, RawTotals!O$2:O1000))</f>
        <v/>
      </c>
      <c r="D77" s="221" t="str">
        <f>IF(ISBLANK(A77),"",SUMIF(RawTotals!A$2:A1000, A77, RawTotals!D$2:D1000) + SUMIF(RawTotals!A$2:A1000, A77, RawTotals!M$2:M1000))</f>
        <v/>
      </c>
      <c r="E77" s="221" t="str">
        <f>IF(ISBLANK(A77),"",SUMIF(RawTotals!A$2:A1000, A77, RawTotals!C$2:C1000) + SUMIF(RawTotals!A$2:A1000, A77, RawTotals!L$2:L1000))</f>
        <v/>
      </c>
      <c r="F77" s="225" t="str">
        <f>IFERROR(__xludf.DUMMYFUNCTION("IFERROR(FILTER('Pit Scouting Responses'!G:G,'Pit Scouting Responses'!C:C=A77),"""")"),"")</f>
        <v/>
      </c>
      <c r="G77" s="226" t="str">
        <f>IFERROR(__xludf.DUMMYFUNCTION("IFERROR(FILTER('Pit Scouting Responses'!D:D,'Pit Scouting Responses'!C:C=A77),"""")"),"")</f>
        <v/>
      </c>
      <c r="H77" s="223" t="str">
        <f>RawTotals!AI77</f>
        <v/>
      </c>
    </row>
    <row r="78">
      <c r="A78" s="224" t="str">
        <f>RawTotals!A78</f>
        <v/>
      </c>
      <c r="B78" s="75" t="str">
        <f>IFERROR(__xludf.DUMMYFUNCTION("IFERROR(FILTER('Pit Scouting Responses'!J:J,'Pit Scouting Responses'!C:C=A78),"""")"),"")</f>
        <v/>
      </c>
      <c r="C78" s="85" t="str">
        <f>IF(ISBLANK(A78),"",SUMIF(RawTotals!A$2:A1000, A78, RawTotals!O$2:O1000))</f>
        <v/>
      </c>
      <c r="D78" s="221" t="str">
        <f>IF(ISBLANK(A78),"",SUMIF(RawTotals!A$2:A1000, A78, RawTotals!D$2:D1000) + SUMIF(RawTotals!A$2:A1000, A78, RawTotals!M$2:M1000))</f>
        <v/>
      </c>
      <c r="E78" s="221" t="str">
        <f>IF(ISBLANK(A78),"",SUMIF(RawTotals!A$2:A1000, A78, RawTotals!C$2:C1000) + SUMIF(RawTotals!A$2:A1000, A78, RawTotals!L$2:L1000))</f>
        <v/>
      </c>
      <c r="F78" s="225" t="str">
        <f>IFERROR(__xludf.DUMMYFUNCTION("IFERROR(FILTER('Pit Scouting Responses'!G:G,'Pit Scouting Responses'!C:C=A78),"""")"),"")</f>
        <v/>
      </c>
      <c r="G78" s="226" t="str">
        <f>IFERROR(__xludf.DUMMYFUNCTION("IFERROR(FILTER('Pit Scouting Responses'!D:D,'Pit Scouting Responses'!C:C=A78),"""")"),"")</f>
        <v/>
      </c>
      <c r="H78" s="223" t="str">
        <f>RawTotals!AI78</f>
        <v/>
      </c>
    </row>
    <row r="79">
      <c r="A79" s="224" t="str">
        <f>RawTotals!A79</f>
        <v/>
      </c>
      <c r="B79" s="75" t="str">
        <f>IFERROR(__xludf.DUMMYFUNCTION("IFERROR(FILTER('Pit Scouting Responses'!J:J,'Pit Scouting Responses'!C:C=A79),"""")"),"")</f>
        <v/>
      </c>
      <c r="C79" s="85" t="str">
        <f>IF(ISBLANK(A79),"",SUMIF(RawTotals!A$2:A1000, A79, RawTotals!O$2:O1000))</f>
        <v/>
      </c>
      <c r="D79" s="221" t="str">
        <f>IF(ISBLANK(A79),"",SUMIF(RawTotals!A$2:A1000, A79, RawTotals!D$2:D1000) + SUMIF(RawTotals!A$2:A1000, A79, RawTotals!M$2:M1000))</f>
        <v/>
      </c>
      <c r="E79" s="221" t="str">
        <f>IF(ISBLANK(A79),"",SUMIF(RawTotals!A$2:A1000, A79, RawTotals!C$2:C1000) + SUMIF(RawTotals!A$2:A1000, A79, RawTotals!L$2:L1000))</f>
        <v/>
      </c>
      <c r="F79" s="225" t="str">
        <f>IFERROR(__xludf.DUMMYFUNCTION("IFERROR(FILTER('Pit Scouting Responses'!G:G,'Pit Scouting Responses'!C:C=A79),"""")"),"")</f>
        <v/>
      </c>
      <c r="G79" s="226" t="str">
        <f>IFERROR(__xludf.DUMMYFUNCTION("IFERROR(FILTER('Pit Scouting Responses'!D:D,'Pit Scouting Responses'!C:C=A79),"""")"),"")</f>
        <v/>
      </c>
      <c r="H79" s="223" t="str">
        <f>RawTotals!AI79</f>
        <v/>
      </c>
    </row>
    <row r="80">
      <c r="A80" s="224" t="str">
        <f>RawTotals!A80</f>
        <v/>
      </c>
      <c r="B80" s="75" t="str">
        <f>IFERROR(__xludf.DUMMYFUNCTION("IFERROR(FILTER('Pit Scouting Responses'!J:J,'Pit Scouting Responses'!C:C=A80),"""")"),"")</f>
        <v/>
      </c>
      <c r="C80" s="85" t="str">
        <f>IF(ISBLANK(A80),"",SUMIF(RawTotals!A$2:A1000, A80, RawTotals!O$2:O1000))</f>
        <v/>
      </c>
      <c r="D80" s="221" t="str">
        <f>IF(ISBLANK(A80),"",SUMIF(RawTotals!A$2:A1000, A80, RawTotals!D$2:D1000) + SUMIF(RawTotals!A$2:A1000, A80, RawTotals!M$2:M1000))</f>
        <v/>
      </c>
      <c r="E80" s="221" t="str">
        <f>IF(ISBLANK(A80),"",SUMIF(RawTotals!A$2:A1000, A80, RawTotals!C$2:C1000) + SUMIF(RawTotals!A$2:A1000, A80, RawTotals!L$2:L1000))</f>
        <v/>
      </c>
      <c r="F80" s="225" t="str">
        <f>IFERROR(__xludf.DUMMYFUNCTION("IFERROR(FILTER('Pit Scouting Responses'!G:G,'Pit Scouting Responses'!C:C=A80),"""")"),"")</f>
        <v/>
      </c>
      <c r="G80" s="226" t="str">
        <f>IFERROR(__xludf.DUMMYFUNCTION("IFERROR(FILTER('Pit Scouting Responses'!D:D,'Pit Scouting Responses'!C:C=A80),"""")"),"")</f>
        <v/>
      </c>
      <c r="H80" s="223" t="str">
        <f>RawTotals!AI80</f>
        <v/>
      </c>
    </row>
    <row r="81">
      <c r="A81" s="224" t="str">
        <f>RawTotals!A81</f>
        <v/>
      </c>
      <c r="B81" s="75" t="str">
        <f>IFERROR(__xludf.DUMMYFUNCTION("IFERROR(FILTER('Pit Scouting Responses'!J:J,'Pit Scouting Responses'!C:C=A81),"""")"),"")</f>
        <v/>
      </c>
      <c r="C81" s="85" t="str">
        <f>IF(ISBLANK(A81),"",SUMIF(RawTotals!A$2:A1000, A81, RawTotals!O$2:O1000))</f>
        <v/>
      </c>
      <c r="D81" s="221" t="str">
        <f>IF(ISBLANK(A81),"",SUMIF(RawTotals!A$2:A1000, A81, RawTotals!D$2:D1000) + SUMIF(RawTotals!A$2:A1000, A81, RawTotals!M$2:M1000))</f>
        <v/>
      </c>
      <c r="E81" s="221" t="str">
        <f>IF(ISBLANK(A81),"",SUMIF(RawTotals!A$2:A1000, A81, RawTotals!C$2:C1000) + SUMIF(RawTotals!A$2:A1000, A81, RawTotals!L$2:L1000))</f>
        <v/>
      </c>
      <c r="F81" s="225" t="str">
        <f>IFERROR(__xludf.DUMMYFUNCTION("IFERROR(FILTER('Pit Scouting Responses'!G:G,'Pit Scouting Responses'!C:C=A81),"""")"),"")</f>
        <v/>
      </c>
      <c r="G81" s="226" t="str">
        <f>IFERROR(__xludf.DUMMYFUNCTION("IFERROR(FILTER('Pit Scouting Responses'!D:D,'Pit Scouting Responses'!C:C=A81),"""")"),"")</f>
        <v/>
      </c>
      <c r="H81" s="223" t="str">
        <f>RawTotals!AI81</f>
        <v/>
      </c>
    </row>
    <row r="82">
      <c r="A82" s="224" t="str">
        <f>RawTotals!A82</f>
        <v/>
      </c>
      <c r="B82" s="75" t="str">
        <f>IFERROR(__xludf.DUMMYFUNCTION("IFERROR(FILTER('Pit Scouting Responses'!J:J,'Pit Scouting Responses'!C:C=A82),"""")"),"")</f>
        <v/>
      </c>
      <c r="C82" s="85" t="str">
        <f>IF(ISBLANK(A82),"",SUMIF(RawTotals!A$2:A1000, A82, RawTotals!O$2:O1000))</f>
        <v/>
      </c>
      <c r="D82" s="221" t="str">
        <f>IF(ISBLANK(A82),"",SUMIF(RawTotals!A$2:A1000, A82, RawTotals!D$2:D1000) + SUMIF(RawTotals!A$2:A1000, A82, RawTotals!M$2:M1000))</f>
        <v/>
      </c>
      <c r="E82" s="221" t="str">
        <f>IF(ISBLANK(A82),"",SUMIF(RawTotals!A$2:A1000, A82, RawTotals!C$2:C1000) + SUMIF(RawTotals!A$2:A1000, A82, RawTotals!L$2:L1000))</f>
        <v/>
      </c>
      <c r="F82" s="225" t="str">
        <f>IFERROR(__xludf.DUMMYFUNCTION("IFERROR(FILTER('Pit Scouting Responses'!G:G,'Pit Scouting Responses'!C:C=A82),"""")"),"")</f>
        <v/>
      </c>
      <c r="G82" s="226" t="str">
        <f>IFERROR(__xludf.DUMMYFUNCTION("IFERROR(FILTER('Pit Scouting Responses'!D:D,'Pit Scouting Responses'!C:C=A82),"""")"),"")</f>
        <v/>
      </c>
      <c r="H82" s="223" t="str">
        <f>RawTotals!AI82</f>
        <v/>
      </c>
    </row>
    <row r="83">
      <c r="A83" s="224" t="str">
        <f>RawTotals!A83</f>
        <v/>
      </c>
      <c r="B83" s="75" t="str">
        <f>IFERROR(__xludf.DUMMYFUNCTION("IFERROR(FILTER('Pit Scouting Responses'!J:J,'Pit Scouting Responses'!C:C=A83),"""")"),"")</f>
        <v/>
      </c>
      <c r="C83" s="85" t="str">
        <f>IF(ISBLANK(A83),"",SUMIF(RawTotals!A$2:A1000, A83, RawTotals!O$2:O1000))</f>
        <v/>
      </c>
      <c r="D83" s="221" t="str">
        <f>IF(ISBLANK(A83),"",SUMIF(RawTotals!A$2:A1000, A83, RawTotals!D$2:D1000) + SUMIF(RawTotals!A$2:A1000, A83, RawTotals!M$2:M1000))</f>
        <v/>
      </c>
      <c r="E83" s="221" t="str">
        <f>IF(ISBLANK(A83),"",SUMIF(RawTotals!A$2:A1000, A83, RawTotals!C$2:C1000) + SUMIF(RawTotals!A$2:A1000, A83, RawTotals!L$2:L1000))</f>
        <v/>
      </c>
      <c r="F83" s="225" t="str">
        <f>IFERROR(__xludf.DUMMYFUNCTION("IFERROR(FILTER('Pit Scouting Responses'!G:G,'Pit Scouting Responses'!C:C=A83),"""")"),"")</f>
        <v/>
      </c>
      <c r="G83" s="226" t="str">
        <f>IFERROR(__xludf.DUMMYFUNCTION("IFERROR(FILTER('Pit Scouting Responses'!D:D,'Pit Scouting Responses'!C:C=A83),"""")"),"")</f>
        <v/>
      </c>
      <c r="H83" s="223" t="str">
        <f>RawTotals!AI83</f>
        <v/>
      </c>
    </row>
    <row r="84">
      <c r="A84" s="224" t="str">
        <f>RawTotals!A84</f>
        <v/>
      </c>
      <c r="B84" s="75" t="str">
        <f>IFERROR(__xludf.DUMMYFUNCTION("IFERROR(FILTER('Pit Scouting Responses'!J:J,'Pit Scouting Responses'!C:C=A84),"""")"),"")</f>
        <v/>
      </c>
      <c r="C84" s="85" t="str">
        <f>IF(ISBLANK(A84),"",SUMIF(RawTotals!A$2:A1000, A84, RawTotals!O$2:O1000))</f>
        <v/>
      </c>
      <c r="D84" s="221" t="str">
        <f>IF(ISBLANK(A84),"",SUMIF(RawTotals!A$2:A1000, A84, RawTotals!D$2:D1000) + SUMIF(RawTotals!A$2:A1000, A84, RawTotals!M$2:M1000))</f>
        <v/>
      </c>
      <c r="E84" s="221" t="str">
        <f>IF(ISBLANK(A84),"",SUMIF(RawTotals!A$2:A1000, A84, RawTotals!C$2:C1000) + SUMIF(RawTotals!A$2:A1000, A84, RawTotals!L$2:L1000))</f>
        <v/>
      </c>
      <c r="F84" s="225" t="str">
        <f>IFERROR(__xludf.DUMMYFUNCTION("IFERROR(FILTER('Pit Scouting Responses'!G:G,'Pit Scouting Responses'!C:C=A84),"""")"),"")</f>
        <v/>
      </c>
      <c r="G84" s="226" t="str">
        <f>IFERROR(__xludf.DUMMYFUNCTION("IFERROR(FILTER('Pit Scouting Responses'!D:D,'Pit Scouting Responses'!C:C=A84),"""")"),"")</f>
        <v/>
      </c>
      <c r="H84" s="223" t="str">
        <f>RawTotals!AI84</f>
        <v/>
      </c>
    </row>
    <row r="85">
      <c r="A85" s="224" t="str">
        <f>RawTotals!A85</f>
        <v/>
      </c>
      <c r="B85" s="75" t="str">
        <f>IFERROR(__xludf.DUMMYFUNCTION("IFERROR(FILTER('Pit Scouting Responses'!J:J,'Pit Scouting Responses'!C:C=A85),"""")"),"")</f>
        <v/>
      </c>
      <c r="C85" s="85" t="str">
        <f>IF(ISBLANK(A85),"",SUMIF(RawTotals!A$2:A1000, A85, RawTotals!O$2:O1000))</f>
        <v/>
      </c>
      <c r="D85" s="221" t="str">
        <f>IF(ISBLANK(A85),"",SUMIF(RawTotals!A$2:A1000, A85, RawTotals!D$2:D1000) + SUMIF(RawTotals!A$2:A1000, A85, RawTotals!M$2:M1000))</f>
        <v/>
      </c>
      <c r="E85" s="221" t="str">
        <f>IF(ISBLANK(A85),"",SUMIF(RawTotals!A$2:A1000, A85, RawTotals!C$2:C1000) + SUMIF(RawTotals!A$2:A1000, A85, RawTotals!L$2:L1000))</f>
        <v/>
      </c>
      <c r="F85" s="225" t="str">
        <f>IFERROR(__xludf.DUMMYFUNCTION("IFERROR(FILTER('Pit Scouting Responses'!G:G,'Pit Scouting Responses'!C:C=A85),"""")"),"")</f>
        <v/>
      </c>
      <c r="G85" s="226" t="str">
        <f>IFERROR(__xludf.DUMMYFUNCTION("IFERROR(FILTER('Pit Scouting Responses'!D:D,'Pit Scouting Responses'!C:C=A85),"""")"),"")</f>
        <v/>
      </c>
      <c r="H85" s="223" t="str">
        <f>RawTotals!AI85</f>
        <v/>
      </c>
    </row>
    <row r="86">
      <c r="A86" s="224" t="str">
        <f>RawTotals!A86</f>
        <v/>
      </c>
      <c r="B86" s="75" t="str">
        <f>IFERROR(__xludf.DUMMYFUNCTION("IFERROR(FILTER('Pit Scouting Responses'!J:J,'Pit Scouting Responses'!C:C=A86),"""")"),"")</f>
        <v/>
      </c>
      <c r="C86" s="85" t="str">
        <f>IF(ISBLANK(A86),"",SUMIF(RawTotals!A$2:A1000, A86, RawTotals!O$2:O1000))</f>
        <v/>
      </c>
      <c r="D86" s="221" t="str">
        <f>IF(ISBLANK(A86),"",SUMIF(RawTotals!A$2:A1000, A86, RawTotals!D$2:D1000) + SUMIF(RawTotals!A$2:A1000, A86, RawTotals!M$2:M1000))</f>
        <v/>
      </c>
      <c r="E86" s="221" t="str">
        <f>IF(ISBLANK(A86),"",SUMIF(RawTotals!A$2:A1000, A86, RawTotals!C$2:C1000) + SUMIF(RawTotals!A$2:A1000, A86, RawTotals!L$2:L1000))</f>
        <v/>
      </c>
      <c r="F86" s="225" t="str">
        <f>IFERROR(__xludf.DUMMYFUNCTION("IFERROR(FILTER('Pit Scouting Responses'!G:G,'Pit Scouting Responses'!C:C=A86),"""")"),"")</f>
        <v/>
      </c>
      <c r="G86" s="226" t="str">
        <f>IFERROR(__xludf.DUMMYFUNCTION("IFERROR(FILTER('Pit Scouting Responses'!D:D,'Pit Scouting Responses'!C:C=A86),"""")"),"")</f>
        <v/>
      </c>
      <c r="H86" s="223" t="str">
        <f>RawTotals!AI86</f>
        <v/>
      </c>
    </row>
    <row r="87">
      <c r="A87" s="224" t="str">
        <f>RawTotals!A87</f>
        <v/>
      </c>
      <c r="B87" s="75" t="str">
        <f>IFERROR(__xludf.DUMMYFUNCTION("IFERROR(FILTER('Pit Scouting Responses'!J:J,'Pit Scouting Responses'!C:C=A87),"""")"),"")</f>
        <v/>
      </c>
      <c r="C87" s="85" t="str">
        <f>IF(ISBLANK(A87),"",SUMIF(RawTotals!A$2:A1000, A87, RawTotals!O$2:O1000))</f>
        <v/>
      </c>
      <c r="D87" s="221" t="str">
        <f>IF(ISBLANK(A87),"",SUMIF(RawTotals!A$2:A1000, A87, RawTotals!D$2:D1000) + SUMIF(RawTotals!A$2:A1000, A87, RawTotals!M$2:M1000))</f>
        <v/>
      </c>
      <c r="E87" s="221" t="str">
        <f>IF(ISBLANK(A87),"",SUMIF(RawTotals!A$2:A1000, A87, RawTotals!C$2:C1000) + SUMIF(RawTotals!A$2:A1000, A87, RawTotals!L$2:L1000))</f>
        <v/>
      </c>
      <c r="F87" s="225" t="str">
        <f>IFERROR(__xludf.DUMMYFUNCTION("IFERROR(FILTER('Pit Scouting Responses'!G:G,'Pit Scouting Responses'!C:C=A87),"""")"),"")</f>
        <v/>
      </c>
      <c r="G87" s="226" t="str">
        <f>IFERROR(__xludf.DUMMYFUNCTION("IFERROR(FILTER('Pit Scouting Responses'!D:D,'Pit Scouting Responses'!C:C=A87),"""")"),"")</f>
        <v/>
      </c>
      <c r="H87" s="223" t="str">
        <f>RawTotals!AI87</f>
        <v/>
      </c>
    </row>
    <row r="88">
      <c r="A88" s="224" t="str">
        <f>RawTotals!A88</f>
        <v/>
      </c>
      <c r="B88" s="75" t="str">
        <f>IFERROR(__xludf.DUMMYFUNCTION("IFERROR(FILTER('Pit Scouting Responses'!J:J,'Pit Scouting Responses'!C:C=A88),"""")"),"")</f>
        <v/>
      </c>
      <c r="C88" s="85" t="str">
        <f>IF(ISBLANK(A88),"",SUMIF(RawTotals!A$2:A1000, A88, RawTotals!O$2:O1000))</f>
        <v/>
      </c>
      <c r="D88" s="221" t="str">
        <f>IF(ISBLANK(A88),"",SUMIF(RawTotals!A$2:A1000, A88, RawTotals!D$2:D1000) + SUMIF(RawTotals!A$2:A1000, A88, RawTotals!M$2:M1000))</f>
        <v/>
      </c>
      <c r="E88" s="221" t="str">
        <f>IF(ISBLANK(A88),"",SUMIF(RawTotals!A$2:A1000, A88, RawTotals!C$2:C1000) + SUMIF(RawTotals!A$2:A1000, A88, RawTotals!L$2:L1000))</f>
        <v/>
      </c>
      <c r="F88" s="225" t="str">
        <f>IFERROR(__xludf.DUMMYFUNCTION("IFERROR(FILTER('Pit Scouting Responses'!G:G,'Pit Scouting Responses'!C:C=A88),"""")"),"")</f>
        <v/>
      </c>
      <c r="G88" s="226" t="str">
        <f>IFERROR(__xludf.DUMMYFUNCTION("IFERROR(FILTER('Pit Scouting Responses'!D:D,'Pit Scouting Responses'!C:C=A88),"""")"),"")</f>
        <v/>
      </c>
      <c r="H88" s="223" t="str">
        <f>RawTotals!AI88</f>
        <v/>
      </c>
    </row>
    <row r="89">
      <c r="A89" s="224" t="str">
        <f>RawTotals!A89</f>
        <v/>
      </c>
      <c r="B89" s="75" t="str">
        <f>IFERROR(__xludf.DUMMYFUNCTION("IFERROR(FILTER('Pit Scouting Responses'!J:J,'Pit Scouting Responses'!C:C=A89),"""")"),"")</f>
        <v/>
      </c>
      <c r="C89" s="85" t="str">
        <f>IF(ISBLANK(A89),"",SUMIF(RawTotals!A$2:A1000, A89, RawTotals!O$2:O1000))</f>
        <v/>
      </c>
      <c r="D89" s="221" t="str">
        <f>IF(ISBLANK(A89),"",SUMIF(RawTotals!A$2:A1000, A89, RawTotals!D$2:D1000) + SUMIF(RawTotals!A$2:A1000, A89, RawTotals!M$2:M1000))</f>
        <v/>
      </c>
      <c r="E89" s="221" t="str">
        <f>IF(ISBLANK(A89),"",SUMIF(RawTotals!A$2:A1000, A89, RawTotals!C$2:C1000) + SUMIF(RawTotals!A$2:A1000, A89, RawTotals!L$2:L1000))</f>
        <v/>
      </c>
      <c r="F89" s="225" t="str">
        <f>IFERROR(__xludf.DUMMYFUNCTION("IFERROR(FILTER('Pit Scouting Responses'!G:G,'Pit Scouting Responses'!C:C=A89),"""")"),"")</f>
        <v/>
      </c>
      <c r="G89" s="226" t="str">
        <f>IFERROR(__xludf.DUMMYFUNCTION("IFERROR(FILTER('Pit Scouting Responses'!D:D,'Pit Scouting Responses'!C:C=A89),"""")"),"")</f>
        <v/>
      </c>
      <c r="H89" s="223" t="str">
        <f>RawTotals!AI89</f>
        <v/>
      </c>
    </row>
    <row r="90">
      <c r="A90" s="224" t="str">
        <f>RawTotals!A90</f>
        <v/>
      </c>
      <c r="B90" s="75" t="str">
        <f>IFERROR(__xludf.DUMMYFUNCTION("IFERROR(FILTER('Pit Scouting Responses'!J:J,'Pit Scouting Responses'!C:C=A90),"""")"),"")</f>
        <v/>
      </c>
      <c r="C90" s="85" t="str">
        <f>IF(ISBLANK(A90),"",SUMIF(RawTotals!A$2:A1000, A90, RawTotals!O$2:O1000))</f>
        <v/>
      </c>
      <c r="D90" s="221" t="str">
        <f>IF(ISBLANK(A90),"",SUMIF(RawTotals!A$2:A1000, A90, RawTotals!D$2:D1000) + SUMIF(RawTotals!A$2:A1000, A90, RawTotals!M$2:M1000))</f>
        <v/>
      </c>
      <c r="E90" s="221" t="str">
        <f>IF(ISBLANK(A90),"",SUMIF(RawTotals!A$2:A1000, A90, RawTotals!C$2:C1000) + SUMIF(RawTotals!A$2:A1000, A90, RawTotals!L$2:L1000))</f>
        <v/>
      </c>
      <c r="F90" s="225" t="str">
        <f>IFERROR(__xludf.DUMMYFUNCTION("IFERROR(FILTER('Pit Scouting Responses'!G:G,'Pit Scouting Responses'!C:C=A90),"""")"),"")</f>
        <v/>
      </c>
      <c r="G90" s="226" t="str">
        <f>IFERROR(__xludf.DUMMYFUNCTION("IFERROR(FILTER('Pit Scouting Responses'!D:D,'Pit Scouting Responses'!C:C=A90),"""")"),"")</f>
        <v/>
      </c>
      <c r="H90" s="223" t="str">
        <f>RawTotals!AI90</f>
        <v/>
      </c>
    </row>
    <row r="91">
      <c r="A91" s="224" t="str">
        <f>RawTotals!A91</f>
        <v/>
      </c>
      <c r="B91" s="75" t="str">
        <f>IFERROR(__xludf.DUMMYFUNCTION("IFERROR(FILTER('Pit Scouting Responses'!J:J,'Pit Scouting Responses'!C:C=A91),"""")"),"")</f>
        <v/>
      </c>
      <c r="C91" s="85" t="str">
        <f>IF(ISBLANK(A91),"",SUMIF(RawTotals!A$2:A1000, A91, RawTotals!O$2:O1000))</f>
        <v/>
      </c>
      <c r="D91" s="221" t="str">
        <f>IF(ISBLANK(A91),"",SUMIF(RawTotals!A$2:A1000, A91, RawTotals!D$2:D1000) + SUMIF(RawTotals!A$2:A1000, A91, RawTotals!M$2:M1000))</f>
        <v/>
      </c>
      <c r="E91" s="221" t="str">
        <f>IF(ISBLANK(A91),"",SUMIF(RawTotals!A$2:A1000, A91, RawTotals!C$2:C1000) + SUMIF(RawTotals!A$2:A1000, A91, RawTotals!L$2:L1000))</f>
        <v/>
      </c>
      <c r="F91" s="225" t="str">
        <f>IFERROR(__xludf.DUMMYFUNCTION("IFERROR(FILTER('Pit Scouting Responses'!G:G,'Pit Scouting Responses'!C:C=A91),"""")"),"")</f>
        <v/>
      </c>
      <c r="G91" s="226" t="str">
        <f>IFERROR(__xludf.DUMMYFUNCTION("IFERROR(FILTER('Pit Scouting Responses'!D:D,'Pit Scouting Responses'!C:C=A91),"""")"),"")</f>
        <v/>
      </c>
      <c r="H91" s="223" t="str">
        <f>RawTotals!AI91</f>
        <v/>
      </c>
    </row>
    <row r="92">
      <c r="A92" s="224" t="str">
        <f>RawTotals!A92</f>
        <v/>
      </c>
      <c r="B92" s="75" t="str">
        <f>IFERROR(__xludf.DUMMYFUNCTION("IFERROR(FILTER('Pit Scouting Responses'!J:J,'Pit Scouting Responses'!C:C=A92),"""")"),"")</f>
        <v/>
      </c>
      <c r="C92" s="85" t="str">
        <f>IF(ISBLANK(A92),"",SUMIF(RawTotals!A$2:A1000, A92, RawTotals!O$2:O1000))</f>
        <v/>
      </c>
      <c r="D92" s="221" t="str">
        <f>IF(ISBLANK(A92),"",SUMIF(RawTotals!A$2:A1000, A92, RawTotals!D$2:D1000) + SUMIF(RawTotals!A$2:A1000, A92, RawTotals!M$2:M1000))</f>
        <v/>
      </c>
      <c r="E92" s="221" t="str">
        <f>IF(ISBLANK(A92),"",SUMIF(RawTotals!A$2:A1000, A92, RawTotals!C$2:C1000) + SUMIF(RawTotals!A$2:A1000, A92, RawTotals!L$2:L1000))</f>
        <v/>
      </c>
      <c r="F92" s="225" t="str">
        <f>IFERROR(__xludf.DUMMYFUNCTION("IFERROR(FILTER('Pit Scouting Responses'!G:G,'Pit Scouting Responses'!C:C=A92),"""")"),"")</f>
        <v/>
      </c>
      <c r="G92" s="226" t="str">
        <f>IFERROR(__xludf.DUMMYFUNCTION("IFERROR(FILTER('Pit Scouting Responses'!D:D,'Pit Scouting Responses'!C:C=A92),"""")"),"")</f>
        <v/>
      </c>
      <c r="H92" s="223" t="str">
        <f>RawTotals!AI92</f>
        <v/>
      </c>
    </row>
    <row r="93">
      <c r="A93" s="224" t="str">
        <f>RawTotals!A93</f>
        <v/>
      </c>
      <c r="B93" s="75" t="str">
        <f>IFERROR(__xludf.DUMMYFUNCTION("IFERROR(FILTER('Pit Scouting Responses'!J:J,'Pit Scouting Responses'!C:C=A93),"""")"),"")</f>
        <v/>
      </c>
      <c r="C93" s="85" t="str">
        <f>IF(ISBLANK(A93),"",SUMIF(RawTotals!A$2:A1000, A93, RawTotals!O$2:O1000))</f>
        <v/>
      </c>
      <c r="D93" s="221" t="str">
        <f>IF(ISBLANK(A93),"",SUMIF(RawTotals!A$2:A1000, A93, RawTotals!D$2:D1000) + SUMIF(RawTotals!A$2:A1000, A93, RawTotals!M$2:M1000))</f>
        <v/>
      </c>
      <c r="E93" s="221" t="str">
        <f>IF(ISBLANK(A93),"",SUMIF(RawTotals!A$2:A1000, A93, RawTotals!C$2:C1000) + SUMIF(RawTotals!A$2:A1000, A93, RawTotals!L$2:L1000))</f>
        <v/>
      </c>
      <c r="F93" s="225" t="str">
        <f>IFERROR(__xludf.DUMMYFUNCTION("IFERROR(FILTER('Pit Scouting Responses'!G:G,'Pit Scouting Responses'!C:C=A93),"""")"),"")</f>
        <v/>
      </c>
      <c r="G93" s="226" t="str">
        <f>IFERROR(__xludf.DUMMYFUNCTION("IFERROR(FILTER('Pit Scouting Responses'!D:D,'Pit Scouting Responses'!C:C=A93),"""")"),"")</f>
        <v/>
      </c>
      <c r="H93" s="223" t="str">
        <f>RawTotals!AI93</f>
        <v/>
      </c>
    </row>
    <row r="94">
      <c r="A94" s="224" t="str">
        <f>RawTotals!A94</f>
        <v/>
      </c>
      <c r="B94" s="75" t="str">
        <f>IFERROR(__xludf.DUMMYFUNCTION("IFERROR(FILTER('Pit Scouting Responses'!J:J,'Pit Scouting Responses'!C:C=A94),"""")"),"")</f>
        <v/>
      </c>
      <c r="C94" s="85" t="str">
        <f>IF(ISBLANK(A94),"",SUMIF(RawTotals!A$2:A1000, A94, RawTotals!O$2:O1000))</f>
        <v/>
      </c>
      <c r="D94" s="221" t="str">
        <f>IF(ISBLANK(A94),"",SUMIF(RawTotals!A$2:A1000, A94, RawTotals!D$2:D1000) + SUMIF(RawTotals!A$2:A1000, A94, RawTotals!M$2:M1000))</f>
        <v/>
      </c>
      <c r="E94" s="221" t="str">
        <f>IF(ISBLANK(A94),"",SUMIF(RawTotals!A$2:A1000, A94, RawTotals!C$2:C1000) + SUMIF(RawTotals!A$2:A1000, A94, RawTotals!L$2:L1000))</f>
        <v/>
      </c>
      <c r="F94" s="225" t="str">
        <f>IFERROR(__xludf.DUMMYFUNCTION("IFERROR(FILTER('Pit Scouting Responses'!G:G,'Pit Scouting Responses'!C:C=A94),"""")"),"")</f>
        <v/>
      </c>
      <c r="G94" s="226" t="str">
        <f>IFERROR(__xludf.DUMMYFUNCTION("IFERROR(FILTER('Pit Scouting Responses'!D:D,'Pit Scouting Responses'!C:C=A94),"""")"),"")</f>
        <v/>
      </c>
      <c r="H94" s="223" t="str">
        <f>RawTotals!AI94</f>
        <v/>
      </c>
    </row>
    <row r="95">
      <c r="A95" s="224" t="str">
        <f>RawTotals!A95</f>
        <v/>
      </c>
      <c r="B95" s="75" t="str">
        <f>IFERROR(__xludf.DUMMYFUNCTION("IFERROR(FILTER('Pit Scouting Responses'!J:J,'Pit Scouting Responses'!C:C=A95),"""")"),"")</f>
        <v/>
      </c>
      <c r="C95" s="85" t="str">
        <f>IF(ISBLANK(A95),"",SUMIF(RawTotals!A$2:A1000, A95, RawTotals!O$2:O1000))</f>
        <v/>
      </c>
      <c r="D95" s="221" t="str">
        <f>IF(ISBLANK(A95),"",SUMIF(RawTotals!A$2:A1000, A95, RawTotals!D$2:D1000) + SUMIF(RawTotals!A$2:A1000, A95, RawTotals!M$2:M1000))</f>
        <v/>
      </c>
      <c r="E95" s="221" t="str">
        <f>IF(ISBLANK(A95),"",SUMIF(RawTotals!A$2:A1000, A95, RawTotals!C$2:C1000) + SUMIF(RawTotals!A$2:A1000, A95, RawTotals!L$2:L1000))</f>
        <v/>
      </c>
      <c r="F95" s="225" t="str">
        <f>IFERROR(__xludf.DUMMYFUNCTION("IFERROR(FILTER('Pit Scouting Responses'!G:G,'Pit Scouting Responses'!C:C=A95),"""")"),"")</f>
        <v/>
      </c>
      <c r="G95" s="226" t="str">
        <f>IFERROR(__xludf.DUMMYFUNCTION("IFERROR(FILTER('Pit Scouting Responses'!D:D,'Pit Scouting Responses'!C:C=A95),"""")"),"")</f>
        <v/>
      </c>
      <c r="H95" s="223" t="str">
        <f>RawTotals!AI95</f>
        <v/>
      </c>
    </row>
    <row r="96">
      <c r="A96" s="224" t="str">
        <f>RawTotals!A96</f>
        <v/>
      </c>
      <c r="B96" s="75" t="str">
        <f>IFERROR(__xludf.DUMMYFUNCTION("IFERROR(FILTER('Pit Scouting Responses'!J:J,'Pit Scouting Responses'!C:C=A96),"""")"),"")</f>
        <v/>
      </c>
      <c r="C96" s="85" t="str">
        <f>IF(ISBLANK(A96),"",SUMIF(RawTotals!A$2:A1000, A96, RawTotals!O$2:O1000))</f>
        <v/>
      </c>
      <c r="D96" s="221" t="str">
        <f>IF(ISBLANK(A96),"",SUMIF(RawTotals!A$2:A1000, A96, RawTotals!D$2:D1000) + SUMIF(RawTotals!A$2:A1000, A96, RawTotals!M$2:M1000))</f>
        <v/>
      </c>
      <c r="E96" s="221" t="str">
        <f>IF(ISBLANK(A96),"",SUMIF(RawTotals!A$2:A1000, A96, RawTotals!C$2:C1000) + SUMIF(RawTotals!A$2:A1000, A96, RawTotals!L$2:L1000))</f>
        <v/>
      </c>
      <c r="F96" s="225" t="str">
        <f>IFERROR(__xludf.DUMMYFUNCTION("IFERROR(FILTER('Pit Scouting Responses'!G:G,'Pit Scouting Responses'!C:C=A96),"""")"),"")</f>
        <v/>
      </c>
      <c r="G96" s="226" t="str">
        <f>IFERROR(__xludf.DUMMYFUNCTION("IFERROR(FILTER('Pit Scouting Responses'!D:D,'Pit Scouting Responses'!C:C=A96),"""")"),"")</f>
        <v/>
      </c>
      <c r="H96" s="223" t="str">
        <f>RawTotals!AI96</f>
        <v/>
      </c>
    </row>
    <row r="97">
      <c r="A97" s="224" t="str">
        <f>RawTotals!A97</f>
        <v/>
      </c>
      <c r="B97" s="75" t="str">
        <f>IFERROR(__xludf.DUMMYFUNCTION("IFERROR(FILTER('Pit Scouting Responses'!J:J,'Pit Scouting Responses'!C:C=A97),"""")"),"")</f>
        <v/>
      </c>
      <c r="C97" s="85" t="str">
        <f>IF(ISBLANK(A97),"",SUMIF(RawTotals!A$2:A1000, A97, RawTotals!O$2:O1000))</f>
        <v/>
      </c>
      <c r="D97" s="221" t="str">
        <f>IF(ISBLANK(A97),"",SUMIF(RawTotals!A$2:A1000, A97, RawTotals!D$2:D1000) + SUMIF(RawTotals!A$2:A1000, A97, RawTotals!M$2:M1000))</f>
        <v/>
      </c>
      <c r="E97" s="221" t="str">
        <f>IF(ISBLANK(A97),"",SUMIF(RawTotals!A$2:A1000, A97, RawTotals!C$2:C1000) + SUMIF(RawTotals!A$2:A1000, A97, RawTotals!L$2:L1000))</f>
        <v/>
      </c>
      <c r="F97" s="225" t="str">
        <f>IFERROR(__xludf.DUMMYFUNCTION("IFERROR(FILTER('Pit Scouting Responses'!G:G,'Pit Scouting Responses'!C:C=A97),"""")"),"")</f>
        <v/>
      </c>
      <c r="G97" s="226" t="str">
        <f>IFERROR(__xludf.DUMMYFUNCTION("IFERROR(FILTER('Pit Scouting Responses'!D:D,'Pit Scouting Responses'!C:C=A97),"""")"),"")</f>
        <v/>
      </c>
      <c r="H97" s="223" t="str">
        <f>RawTotals!AI97</f>
        <v/>
      </c>
    </row>
    <row r="98">
      <c r="A98" s="224" t="str">
        <f>RawTotals!A98</f>
        <v/>
      </c>
      <c r="B98" s="75" t="str">
        <f>IFERROR(__xludf.DUMMYFUNCTION("IFERROR(FILTER('Pit Scouting Responses'!J:J,'Pit Scouting Responses'!C:C=A98),"""")"),"")</f>
        <v/>
      </c>
      <c r="C98" s="85" t="str">
        <f>IF(ISBLANK(A98),"",SUMIF(RawTotals!A$2:A1000, A98, RawTotals!O$2:O1000))</f>
        <v/>
      </c>
      <c r="D98" s="221" t="str">
        <f>IF(ISBLANK(A98),"",SUMIF(RawTotals!A$2:A1000, A98, RawTotals!D$2:D1000) + SUMIF(RawTotals!A$2:A1000, A98, RawTotals!M$2:M1000))</f>
        <v/>
      </c>
      <c r="E98" s="221" t="str">
        <f>IF(ISBLANK(A98),"",SUMIF(RawTotals!A$2:A1000, A98, RawTotals!C$2:C1000) + SUMIF(RawTotals!A$2:A1000, A98, RawTotals!L$2:L1000))</f>
        <v/>
      </c>
      <c r="F98" s="225" t="str">
        <f>IFERROR(__xludf.DUMMYFUNCTION("IFERROR(FILTER('Pit Scouting Responses'!G:G,'Pit Scouting Responses'!C:C=A98),"""")"),"")</f>
        <v/>
      </c>
      <c r="G98" s="226" t="str">
        <f>IFERROR(__xludf.DUMMYFUNCTION("IFERROR(FILTER('Pit Scouting Responses'!D:D,'Pit Scouting Responses'!C:C=A98),"""")"),"")</f>
        <v/>
      </c>
      <c r="H98" s="223" t="str">
        <f>RawTotals!AI98</f>
        <v/>
      </c>
    </row>
    <row r="99">
      <c r="A99" s="224" t="str">
        <f>RawTotals!A99</f>
        <v/>
      </c>
      <c r="B99" s="75" t="str">
        <f>IFERROR(__xludf.DUMMYFUNCTION("IFERROR(FILTER('Pit Scouting Responses'!J:J,'Pit Scouting Responses'!C:C=A99),"""")"),"")</f>
        <v/>
      </c>
      <c r="C99" s="85" t="str">
        <f>IF(ISBLANK(A99),"",SUMIF(RawTotals!A$2:A1000, A99, RawTotals!O$2:O1000))</f>
        <v/>
      </c>
      <c r="D99" s="221" t="str">
        <f>IF(ISBLANK(A99),"",SUMIF(RawTotals!A$2:A1000, A99, RawTotals!D$2:D1000) + SUMIF(RawTotals!A$2:A1000, A99, RawTotals!M$2:M1000))</f>
        <v/>
      </c>
      <c r="E99" s="221" t="str">
        <f>IF(ISBLANK(A99),"",SUMIF(RawTotals!A$2:A1000, A99, RawTotals!C$2:C1000) + SUMIF(RawTotals!A$2:A1000, A99, RawTotals!L$2:L1000))</f>
        <v/>
      </c>
      <c r="F99" s="225" t="str">
        <f>IFERROR(__xludf.DUMMYFUNCTION("IFERROR(FILTER('Pit Scouting Responses'!G:G,'Pit Scouting Responses'!C:C=A99),"""")"),"")</f>
        <v/>
      </c>
      <c r="G99" s="226" t="str">
        <f>IFERROR(__xludf.DUMMYFUNCTION("IFERROR(FILTER('Pit Scouting Responses'!D:D,'Pit Scouting Responses'!C:C=A99),"""")"),"")</f>
        <v/>
      </c>
      <c r="H99" s="223" t="str">
        <f>RawTotals!AI99</f>
        <v/>
      </c>
    </row>
    <row r="100">
      <c r="A100" s="224" t="str">
        <f>RawTotals!A100</f>
        <v/>
      </c>
      <c r="B100" s="75" t="str">
        <f>IFERROR(__xludf.DUMMYFUNCTION("IFERROR(FILTER('Pit Scouting Responses'!J:J,'Pit Scouting Responses'!C:C=A100),"""")"),"")</f>
        <v/>
      </c>
      <c r="C100" s="85" t="str">
        <f>IF(ISBLANK(A100),"",SUMIF(RawTotals!A$2:A1000, A100, RawTotals!O$2:O1000))</f>
        <v/>
      </c>
      <c r="D100" s="221" t="str">
        <f>IF(ISBLANK(A100),"",SUMIF(RawTotals!A$2:A1000, A100, RawTotals!D$2:D1000) + SUMIF(RawTotals!A$2:A1000, A100, RawTotals!M$2:M1000))</f>
        <v/>
      </c>
      <c r="E100" s="221" t="str">
        <f>IF(ISBLANK(A100),"",SUMIF(RawTotals!A$2:A1000, A100, RawTotals!C$2:C1000) + SUMIF(RawTotals!A$2:A1000, A100, RawTotals!L$2:L1000))</f>
        <v/>
      </c>
      <c r="F100" s="225" t="str">
        <f>IFERROR(__xludf.DUMMYFUNCTION("IFERROR(FILTER('Pit Scouting Responses'!G:G,'Pit Scouting Responses'!C:C=A100),"""")"),"")</f>
        <v/>
      </c>
      <c r="G100" s="226" t="str">
        <f>IFERROR(__xludf.DUMMYFUNCTION("IFERROR(FILTER('Pit Scouting Responses'!D:D,'Pit Scouting Responses'!C:C=A100),"""")"),"")</f>
        <v/>
      </c>
      <c r="H100" s="223" t="str">
        <f>RawTotals!AI100</f>
        <v/>
      </c>
    </row>
    <row r="101">
      <c r="A101" s="224" t="str">
        <f>RawTotals!A101</f>
        <v/>
      </c>
      <c r="B101" s="75" t="str">
        <f>IFERROR(__xludf.DUMMYFUNCTION("IFERROR(FILTER('Pit Scouting Responses'!J:J,'Pit Scouting Responses'!C:C=A101),"""")"),"")</f>
        <v/>
      </c>
      <c r="C101" s="85" t="str">
        <f>IF(ISBLANK(A101),"",SUMIF(RawTotals!A$2:A1000, A101, RawTotals!O$2:O1000))</f>
        <v/>
      </c>
      <c r="D101" s="221" t="str">
        <f>IF(ISBLANK(A101),"",SUMIF(RawTotals!A$2:A1000, A101, RawTotals!D$2:D1000) + SUMIF(RawTotals!A$2:A1000, A101, RawTotals!M$2:M1000))</f>
        <v/>
      </c>
      <c r="E101" s="221" t="str">
        <f>IF(ISBLANK(A101),"",SUMIF(RawTotals!A$2:A1000, A101, RawTotals!C$2:C1000) + SUMIF(RawTotals!A$2:A1000, A101, RawTotals!L$2:L1000))</f>
        <v/>
      </c>
      <c r="F101" s="225" t="str">
        <f>IFERROR(__xludf.DUMMYFUNCTION("IFERROR(FILTER('Pit Scouting Responses'!G:G,'Pit Scouting Responses'!C:C=A101),"""")"),"")</f>
        <v/>
      </c>
      <c r="G101" s="226" t="str">
        <f>IFERROR(__xludf.DUMMYFUNCTION("IFERROR(FILTER('Pit Scouting Responses'!D:D,'Pit Scouting Responses'!C:C=A101),"""")"),"")</f>
        <v/>
      </c>
      <c r="H101" s="223" t="str">
        <f>RawTotals!AI101</f>
        <v/>
      </c>
    </row>
    <row r="102">
      <c r="A102" s="224" t="str">
        <f>RawTotals!A102</f>
        <v/>
      </c>
      <c r="B102" s="75" t="str">
        <f>IFERROR(__xludf.DUMMYFUNCTION("IFERROR(FILTER('Pit Scouting Responses'!J:J,'Pit Scouting Responses'!C:C=A102),"""")"),"")</f>
        <v/>
      </c>
      <c r="C102" s="85" t="str">
        <f>IF(ISBLANK(A102),"",SUMIF(RawTotals!A$2:A1000, A102, RawTotals!O$2:O1000))</f>
        <v/>
      </c>
      <c r="D102" s="221" t="str">
        <f>IF(ISBLANK(A102),"",SUMIF(RawTotals!A$2:A1000, A102, RawTotals!D$2:D1000) + SUMIF(RawTotals!A$2:A1000, A102, RawTotals!M$2:M1000))</f>
        <v/>
      </c>
      <c r="E102" s="221" t="str">
        <f>IF(ISBLANK(A102),"",SUMIF(RawTotals!A$2:A1000, A102, RawTotals!C$2:C1000) + SUMIF(RawTotals!A$2:A1000, A102, RawTotals!L$2:L1000))</f>
        <v/>
      </c>
      <c r="F102" s="225" t="str">
        <f>IFERROR(__xludf.DUMMYFUNCTION("IFERROR(FILTER('Pit Scouting Responses'!G:G,'Pit Scouting Responses'!C:C=A102),"""")"),"")</f>
        <v/>
      </c>
      <c r="G102" s="226" t="str">
        <f>IFERROR(__xludf.DUMMYFUNCTION("IFERROR(FILTER('Pit Scouting Responses'!D:D,'Pit Scouting Responses'!C:C=A102),"""")"),"")</f>
        <v/>
      </c>
      <c r="H102" s="223" t="str">
        <f>RawTotals!AI102</f>
        <v/>
      </c>
    </row>
    <row r="103">
      <c r="A103" s="224" t="str">
        <f>RawTotals!A103</f>
        <v/>
      </c>
      <c r="B103" s="75" t="str">
        <f>IFERROR(__xludf.DUMMYFUNCTION("IFERROR(FILTER('Pit Scouting Responses'!J:J,'Pit Scouting Responses'!C:C=A103),"""")"),"")</f>
        <v/>
      </c>
      <c r="C103" s="85" t="str">
        <f>IF(ISBLANK(A103),"",SUMIF(RawTotals!A$2:A1000, A103, RawTotals!O$2:O1000))</f>
        <v/>
      </c>
      <c r="D103" s="221" t="str">
        <f>IF(ISBLANK(A103),"",SUMIF(RawTotals!A$2:A1000, A103, RawTotals!D$2:D1000) + SUMIF(RawTotals!A$2:A1000, A103, RawTotals!M$2:M1000))</f>
        <v/>
      </c>
      <c r="E103" s="221" t="str">
        <f>IF(ISBLANK(A103),"",SUMIF(RawTotals!A$2:A1000, A103, RawTotals!C$2:C1000) + SUMIF(RawTotals!A$2:A1000, A103, RawTotals!L$2:L1000))</f>
        <v/>
      </c>
      <c r="F103" s="225" t="str">
        <f>IFERROR(__xludf.DUMMYFUNCTION("IFERROR(FILTER('Pit Scouting Responses'!G:G,'Pit Scouting Responses'!C:C=A103),"""")"),"")</f>
        <v/>
      </c>
      <c r="G103" s="226" t="str">
        <f>IFERROR(__xludf.DUMMYFUNCTION("IFERROR(FILTER('Pit Scouting Responses'!D:D,'Pit Scouting Responses'!C:C=A103),"""")"),"")</f>
        <v/>
      </c>
      <c r="H103" s="223" t="str">
        <f>RawTotals!AI103</f>
        <v/>
      </c>
    </row>
    <row r="104">
      <c r="A104" s="224" t="str">
        <f>RawTotals!A104</f>
        <v/>
      </c>
      <c r="B104" s="75" t="str">
        <f>IFERROR(__xludf.DUMMYFUNCTION("IFERROR(FILTER('Pit Scouting Responses'!J:J,'Pit Scouting Responses'!C:C=A104),"""")"),"")</f>
        <v/>
      </c>
      <c r="C104" s="85" t="str">
        <f>IF(ISBLANK(A104),"",SUMIF(RawTotals!A$2:A1000, A104, RawTotals!O$2:O1000))</f>
        <v/>
      </c>
      <c r="D104" s="221" t="str">
        <f>IF(ISBLANK(A104),"",SUMIF(RawTotals!A$2:A1000, A104, RawTotals!D$2:D1000) + SUMIF(RawTotals!A$2:A1000, A104, RawTotals!M$2:M1000))</f>
        <v/>
      </c>
      <c r="E104" s="221" t="str">
        <f>IF(ISBLANK(A104),"",SUMIF(RawTotals!A$2:A1000, A104, RawTotals!C$2:C1000) + SUMIF(RawTotals!A$2:A1000, A104, RawTotals!L$2:L1000))</f>
        <v/>
      </c>
      <c r="F104" s="225" t="str">
        <f>IFERROR(__xludf.DUMMYFUNCTION("IFERROR(FILTER('Pit Scouting Responses'!G:G,'Pit Scouting Responses'!C:C=A104),"""")"),"")</f>
        <v/>
      </c>
      <c r="G104" s="226" t="str">
        <f>IFERROR(__xludf.DUMMYFUNCTION("IFERROR(FILTER('Pit Scouting Responses'!D:D,'Pit Scouting Responses'!C:C=A104),"""")"),"")</f>
        <v/>
      </c>
      <c r="H104" s="223" t="str">
        <f>RawTotals!AI104</f>
        <v/>
      </c>
    </row>
    <row r="105">
      <c r="A105" s="224" t="str">
        <f>RawTotals!A105</f>
        <v/>
      </c>
      <c r="B105" s="75" t="str">
        <f>IFERROR(__xludf.DUMMYFUNCTION("IFERROR(FILTER('Pit Scouting Responses'!J:J,'Pit Scouting Responses'!C:C=A105),"""")"),"")</f>
        <v/>
      </c>
      <c r="C105" s="85" t="str">
        <f>IF(ISBLANK(A105),"",SUMIF(RawTotals!A$2:A1000, A105, RawTotals!O$2:O1000))</f>
        <v/>
      </c>
      <c r="D105" s="221" t="str">
        <f>IF(ISBLANK(A105),"",SUMIF(RawTotals!A$2:A1000, A105, RawTotals!D$2:D1000) + SUMIF(RawTotals!A$2:A1000, A105, RawTotals!M$2:M1000))</f>
        <v/>
      </c>
      <c r="E105" s="221" t="str">
        <f>IF(ISBLANK(A105),"",SUMIF(RawTotals!A$2:A1000, A105, RawTotals!C$2:C1000) + SUMIF(RawTotals!A$2:A1000, A105, RawTotals!L$2:L1000))</f>
        <v/>
      </c>
      <c r="F105" s="225" t="str">
        <f>IFERROR(__xludf.DUMMYFUNCTION("IFERROR(FILTER('Pit Scouting Responses'!G:G,'Pit Scouting Responses'!C:C=A105),"""")"),"")</f>
        <v/>
      </c>
      <c r="G105" s="226" t="str">
        <f>IFERROR(__xludf.DUMMYFUNCTION("IFERROR(FILTER('Pit Scouting Responses'!D:D,'Pit Scouting Responses'!C:C=A105),"""")"),"")</f>
        <v/>
      </c>
      <c r="H105" s="223" t="str">
        <f>RawTotals!AI105</f>
        <v/>
      </c>
    </row>
    <row r="106">
      <c r="A106" s="224" t="str">
        <f>RawTotals!A106</f>
        <v/>
      </c>
      <c r="B106" s="75" t="str">
        <f>IFERROR(__xludf.DUMMYFUNCTION("IFERROR(FILTER('Pit Scouting Responses'!J:J,'Pit Scouting Responses'!C:C=A106),"""")"),"")</f>
        <v/>
      </c>
      <c r="C106" s="85" t="str">
        <f>IF(ISBLANK(A106),"",SUMIF(RawTotals!A$2:A1000, A106, RawTotals!O$2:O1000))</f>
        <v/>
      </c>
      <c r="D106" s="221" t="str">
        <f>IF(ISBLANK(A106),"",SUMIF(RawTotals!A$2:A1000, A106, RawTotals!D$2:D1000) + SUMIF(RawTotals!A$2:A1000, A106, RawTotals!M$2:M1000))</f>
        <v/>
      </c>
      <c r="E106" s="221" t="str">
        <f>IF(ISBLANK(A106),"",SUMIF(RawTotals!A$2:A1000, A106, RawTotals!C$2:C1000) + SUMIF(RawTotals!A$2:A1000, A106, RawTotals!L$2:L1000))</f>
        <v/>
      </c>
      <c r="F106" s="225" t="str">
        <f>IFERROR(__xludf.DUMMYFUNCTION("IFERROR(FILTER('Pit Scouting Responses'!G:G,'Pit Scouting Responses'!C:C=A106),"""")"),"")</f>
        <v/>
      </c>
      <c r="G106" s="226" t="str">
        <f>IFERROR(__xludf.DUMMYFUNCTION("IFERROR(FILTER('Pit Scouting Responses'!D:D,'Pit Scouting Responses'!C:C=A106),"""")"),"")</f>
        <v/>
      </c>
      <c r="H106" s="223" t="str">
        <f>RawTotals!AI106</f>
        <v/>
      </c>
    </row>
    <row r="107">
      <c r="A107" s="224" t="str">
        <f>RawTotals!A107</f>
        <v/>
      </c>
      <c r="B107" s="75" t="str">
        <f>IFERROR(__xludf.DUMMYFUNCTION("IFERROR(FILTER('Pit Scouting Responses'!J:J,'Pit Scouting Responses'!C:C=A107),"""")"),"")</f>
        <v/>
      </c>
      <c r="C107" s="85" t="str">
        <f>IF(ISBLANK(A107),"",SUMIF(RawTotals!A$2:A1000, A107, RawTotals!O$2:O1000))</f>
        <v/>
      </c>
      <c r="D107" s="221" t="str">
        <f>IF(ISBLANK(A107),"",SUMIF(RawTotals!A$2:A1000, A107, RawTotals!D$2:D1000) + SUMIF(RawTotals!A$2:A1000, A107, RawTotals!M$2:M1000))</f>
        <v/>
      </c>
      <c r="E107" s="221" t="str">
        <f>IF(ISBLANK(A107),"",SUMIF(RawTotals!A$2:A1000, A107, RawTotals!C$2:C1000) + SUMIF(RawTotals!A$2:A1000, A107, RawTotals!L$2:L1000))</f>
        <v/>
      </c>
      <c r="F107" s="225" t="str">
        <f>IFERROR(__xludf.DUMMYFUNCTION("IFERROR(FILTER('Pit Scouting Responses'!G:G,'Pit Scouting Responses'!C:C=A107),"""")"),"")</f>
        <v/>
      </c>
      <c r="G107" s="226" t="str">
        <f>IFERROR(__xludf.DUMMYFUNCTION("IFERROR(FILTER('Pit Scouting Responses'!D:D,'Pit Scouting Responses'!C:C=A107),"""")"),"")</f>
        <v/>
      </c>
      <c r="H107" s="223" t="str">
        <f>RawTotals!AI107</f>
        <v/>
      </c>
    </row>
    <row r="108">
      <c r="A108" s="224" t="str">
        <f>RawTotals!A108</f>
        <v/>
      </c>
      <c r="B108" s="75" t="str">
        <f>IFERROR(__xludf.DUMMYFUNCTION("IFERROR(FILTER('Pit Scouting Responses'!J:J,'Pit Scouting Responses'!C:C=A108),"""")"),"")</f>
        <v/>
      </c>
      <c r="C108" s="85" t="str">
        <f>IF(ISBLANK(A108),"",SUMIF(RawTotals!A$2:A1000, A108, RawTotals!O$2:O1000))</f>
        <v/>
      </c>
      <c r="D108" s="221" t="str">
        <f>IF(ISBLANK(A108),"",SUMIF(RawTotals!A$2:A1000, A108, RawTotals!D$2:D1000) + SUMIF(RawTotals!A$2:A1000, A108, RawTotals!M$2:M1000))</f>
        <v/>
      </c>
      <c r="E108" s="221" t="str">
        <f>IF(ISBLANK(A108),"",SUMIF(RawTotals!A$2:A1000, A108, RawTotals!C$2:C1000) + SUMIF(RawTotals!A$2:A1000, A108, RawTotals!L$2:L1000))</f>
        <v/>
      </c>
      <c r="F108" s="225" t="str">
        <f>IFERROR(__xludf.DUMMYFUNCTION("IFERROR(FILTER('Pit Scouting Responses'!G:G,'Pit Scouting Responses'!C:C=A108),"""")"),"")</f>
        <v/>
      </c>
      <c r="G108" s="226" t="str">
        <f>IFERROR(__xludf.DUMMYFUNCTION("IFERROR(FILTER('Pit Scouting Responses'!D:D,'Pit Scouting Responses'!C:C=A108),"""")"),"")</f>
        <v/>
      </c>
      <c r="H108" s="223" t="str">
        <f>RawTotals!AI108</f>
        <v/>
      </c>
    </row>
    <row r="109">
      <c r="A109" s="224" t="str">
        <f>RawTotals!A109</f>
        <v/>
      </c>
      <c r="B109" s="75" t="str">
        <f>IFERROR(__xludf.DUMMYFUNCTION("IFERROR(FILTER('Pit Scouting Responses'!J:J,'Pit Scouting Responses'!C:C=A109),"""")"),"")</f>
        <v/>
      </c>
      <c r="C109" s="85" t="str">
        <f>IF(ISBLANK(A109),"",SUMIF(RawTotals!A$2:A1000, A109, RawTotals!O$2:O1000))</f>
        <v/>
      </c>
      <c r="D109" s="221" t="str">
        <f>IF(ISBLANK(A109),"",SUMIF(RawTotals!A$2:A1000, A109, RawTotals!D$2:D1000) + SUMIF(RawTotals!A$2:A1000, A109, RawTotals!M$2:M1000))</f>
        <v/>
      </c>
      <c r="E109" s="221" t="str">
        <f>IF(ISBLANK(A109),"",SUMIF(RawTotals!A$2:A1000, A109, RawTotals!C$2:C1000) + SUMIF(RawTotals!A$2:A1000, A109, RawTotals!L$2:L1000))</f>
        <v/>
      </c>
      <c r="F109" s="225" t="str">
        <f>IFERROR(__xludf.DUMMYFUNCTION("IFERROR(FILTER('Pit Scouting Responses'!G:G,'Pit Scouting Responses'!C:C=A109),"""")"),"")</f>
        <v/>
      </c>
      <c r="G109" s="226" t="str">
        <f>IFERROR(__xludf.DUMMYFUNCTION("IFERROR(FILTER('Pit Scouting Responses'!D:D,'Pit Scouting Responses'!C:C=A109),"""")"),"")</f>
        <v/>
      </c>
      <c r="H109" s="223" t="str">
        <f>RawTotals!AI109</f>
        <v/>
      </c>
    </row>
    <row r="110">
      <c r="A110" s="224" t="str">
        <f>RawTotals!A110</f>
        <v/>
      </c>
      <c r="B110" s="75" t="str">
        <f>IFERROR(__xludf.DUMMYFUNCTION("IFERROR(FILTER('Pit Scouting Responses'!J:J,'Pit Scouting Responses'!C:C=A110),"""")"),"")</f>
        <v/>
      </c>
      <c r="C110" s="85" t="str">
        <f>IF(ISBLANK(A110),"",SUMIF(RawTotals!A$2:A1000, A110, RawTotals!O$2:O1000))</f>
        <v/>
      </c>
      <c r="D110" s="221" t="str">
        <f>IF(ISBLANK(A110),"",SUMIF(RawTotals!A$2:A1000, A110, RawTotals!D$2:D1000) + SUMIF(RawTotals!A$2:A1000, A110, RawTotals!M$2:M1000))</f>
        <v/>
      </c>
      <c r="E110" s="221" t="str">
        <f>IF(ISBLANK(A110),"",SUMIF(RawTotals!A$2:A1000, A110, RawTotals!C$2:C1000) + SUMIF(RawTotals!A$2:A1000, A110, RawTotals!L$2:L1000))</f>
        <v/>
      </c>
      <c r="F110" s="225" t="str">
        <f>IFERROR(__xludf.DUMMYFUNCTION("IFERROR(FILTER('Pit Scouting Responses'!G:G,'Pit Scouting Responses'!C:C=A110),"""")"),"")</f>
        <v/>
      </c>
      <c r="G110" s="226" t="str">
        <f>IFERROR(__xludf.DUMMYFUNCTION("IFERROR(FILTER('Pit Scouting Responses'!D:D,'Pit Scouting Responses'!C:C=A110),"""")"),"")</f>
        <v/>
      </c>
      <c r="H110" s="223" t="str">
        <f>RawTotals!AI110</f>
        <v/>
      </c>
    </row>
    <row r="111">
      <c r="A111" s="224" t="str">
        <f>RawTotals!A111</f>
        <v/>
      </c>
      <c r="B111" s="75" t="str">
        <f>IFERROR(__xludf.DUMMYFUNCTION("IFERROR(FILTER('Pit Scouting Responses'!J:J,'Pit Scouting Responses'!C:C=A111),"""")"),"")</f>
        <v/>
      </c>
      <c r="C111" s="85" t="str">
        <f>IF(ISBLANK(A111),"",SUMIF(RawTotals!A$2:A1000, A111, RawTotals!O$2:O1000))</f>
        <v/>
      </c>
      <c r="D111" s="221" t="str">
        <f>IF(ISBLANK(A111),"",SUMIF(RawTotals!A$2:A1000, A111, RawTotals!D$2:D1000) + SUMIF(RawTotals!A$2:A1000, A111, RawTotals!M$2:M1000))</f>
        <v/>
      </c>
      <c r="E111" s="221" t="str">
        <f>IF(ISBLANK(A111),"",SUMIF(RawTotals!A$2:A1000, A111, RawTotals!C$2:C1000) + SUMIF(RawTotals!A$2:A1000, A111, RawTotals!L$2:L1000))</f>
        <v/>
      </c>
      <c r="F111" s="225" t="str">
        <f>IFERROR(__xludf.DUMMYFUNCTION("IFERROR(FILTER('Pit Scouting Responses'!G:G,'Pit Scouting Responses'!C:C=A111),"""")"),"")</f>
        <v/>
      </c>
      <c r="G111" s="226" t="str">
        <f>IFERROR(__xludf.DUMMYFUNCTION("IFERROR(FILTER('Pit Scouting Responses'!D:D,'Pit Scouting Responses'!C:C=A111),"""")"),"")</f>
        <v/>
      </c>
      <c r="H111" s="223" t="str">
        <f>RawTotals!AI111</f>
        <v/>
      </c>
    </row>
    <row r="112">
      <c r="A112" s="224" t="str">
        <f>RawTotals!A112</f>
        <v/>
      </c>
      <c r="B112" s="75" t="str">
        <f>IFERROR(__xludf.DUMMYFUNCTION("IFERROR(FILTER('Pit Scouting Responses'!J:J,'Pit Scouting Responses'!C:C=A112),"""")"),"")</f>
        <v/>
      </c>
      <c r="C112" s="85" t="str">
        <f>IF(ISBLANK(A112),"",SUMIF(RawTotals!A$2:A1000, A112, RawTotals!O$2:O1000))</f>
        <v/>
      </c>
      <c r="D112" s="221" t="str">
        <f>IF(ISBLANK(A112),"",SUMIF(RawTotals!A$2:A1000, A112, RawTotals!D$2:D1000) + SUMIF(RawTotals!A$2:A1000, A112, RawTotals!M$2:M1000))</f>
        <v/>
      </c>
      <c r="E112" s="221" t="str">
        <f>IF(ISBLANK(A112),"",SUMIF(RawTotals!A$2:A1000, A112, RawTotals!C$2:C1000) + SUMIF(RawTotals!A$2:A1000, A112, RawTotals!L$2:L1000))</f>
        <v/>
      </c>
      <c r="F112" s="225" t="str">
        <f>IFERROR(__xludf.DUMMYFUNCTION("IFERROR(FILTER('Pit Scouting Responses'!G:G,'Pit Scouting Responses'!C:C=A112),"""")"),"")</f>
        <v/>
      </c>
      <c r="G112" s="226" t="str">
        <f>IFERROR(__xludf.DUMMYFUNCTION("IFERROR(FILTER('Pit Scouting Responses'!D:D,'Pit Scouting Responses'!C:C=A112),"""")"),"")</f>
        <v/>
      </c>
      <c r="H112" s="223" t="str">
        <f>RawTotals!AI112</f>
        <v/>
      </c>
    </row>
    <row r="113">
      <c r="A113" s="224" t="str">
        <f>RawTotals!A113</f>
        <v/>
      </c>
      <c r="B113" s="75" t="str">
        <f>IFERROR(__xludf.DUMMYFUNCTION("IFERROR(FILTER('Pit Scouting Responses'!J:J,'Pit Scouting Responses'!C:C=A113),"""")"),"")</f>
        <v/>
      </c>
      <c r="C113" s="85" t="str">
        <f>IF(ISBLANK(A113),"",SUMIF(RawTotals!A$2:A1000, A113, RawTotals!O$2:O1000))</f>
        <v/>
      </c>
      <c r="D113" s="221" t="str">
        <f>IF(ISBLANK(A113),"",SUMIF(RawTotals!A$2:A1000, A113, RawTotals!D$2:D1000) + SUMIF(RawTotals!A$2:A1000, A113, RawTotals!M$2:M1000))</f>
        <v/>
      </c>
      <c r="E113" s="221" t="str">
        <f>IF(ISBLANK(A113),"",SUMIF(RawTotals!A$2:A1000, A113, RawTotals!C$2:C1000) + SUMIF(RawTotals!A$2:A1000, A113, RawTotals!L$2:L1000))</f>
        <v/>
      </c>
      <c r="F113" s="225" t="str">
        <f>IFERROR(__xludf.DUMMYFUNCTION("IFERROR(FILTER('Pit Scouting Responses'!G:G,'Pit Scouting Responses'!C:C=A113),"""")"),"")</f>
        <v/>
      </c>
      <c r="G113" s="226" t="str">
        <f>IFERROR(__xludf.DUMMYFUNCTION("IFERROR(FILTER('Pit Scouting Responses'!D:D,'Pit Scouting Responses'!C:C=A113),"""")"),"")</f>
        <v/>
      </c>
      <c r="H113" s="223" t="str">
        <f>RawTotals!AI113</f>
        <v/>
      </c>
    </row>
    <row r="114">
      <c r="A114" s="224" t="str">
        <f>RawTotals!A114</f>
        <v/>
      </c>
      <c r="B114" s="75" t="str">
        <f>IFERROR(__xludf.DUMMYFUNCTION("IFERROR(FILTER('Pit Scouting Responses'!J:J,'Pit Scouting Responses'!C:C=A114),"""")"),"")</f>
        <v/>
      </c>
      <c r="C114" s="85" t="str">
        <f>IF(ISBLANK(A114),"",SUMIF(RawTotals!A$2:A1000, A114, RawTotals!O$2:O1000))</f>
        <v/>
      </c>
      <c r="D114" s="221" t="str">
        <f>IF(ISBLANK(A114),"",SUMIF(RawTotals!A$2:A1000, A114, RawTotals!D$2:D1000) + SUMIF(RawTotals!A$2:A1000, A114, RawTotals!M$2:M1000))</f>
        <v/>
      </c>
      <c r="E114" s="221" t="str">
        <f>IF(ISBLANK(A114),"",SUMIF(RawTotals!A$2:A1000, A114, RawTotals!C$2:C1000) + SUMIF(RawTotals!A$2:A1000, A114, RawTotals!L$2:L1000))</f>
        <v/>
      </c>
      <c r="F114" s="225" t="str">
        <f>IFERROR(__xludf.DUMMYFUNCTION("IFERROR(FILTER('Pit Scouting Responses'!G:G,'Pit Scouting Responses'!C:C=A114),"""")"),"")</f>
        <v/>
      </c>
      <c r="G114" s="226" t="str">
        <f>IFERROR(__xludf.DUMMYFUNCTION("IFERROR(FILTER('Pit Scouting Responses'!D:D,'Pit Scouting Responses'!C:C=A114),"""")"),"")</f>
        <v/>
      </c>
      <c r="H114" s="223" t="str">
        <f>RawTotals!AI114</f>
        <v/>
      </c>
    </row>
    <row r="115">
      <c r="A115" s="224" t="str">
        <f>RawTotals!A115</f>
        <v/>
      </c>
      <c r="B115" s="75" t="str">
        <f>IFERROR(__xludf.DUMMYFUNCTION("IFERROR(FILTER('Pit Scouting Responses'!J:J,'Pit Scouting Responses'!C:C=A115),"""")"),"")</f>
        <v/>
      </c>
      <c r="C115" s="85" t="str">
        <f>IF(ISBLANK(A115),"",SUMIF(RawTotals!A$2:A1000, A115, RawTotals!O$2:O1000))</f>
        <v/>
      </c>
      <c r="D115" s="221" t="str">
        <f>IF(ISBLANK(A115),"",SUMIF(RawTotals!A$2:A1000, A115, RawTotals!D$2:D1000) + SUMIF(RawTotals!A$2:A1000, A115, RawTotals!M$2:M1000))</f>
        <v/>
      </c>
      <c r="E115" s="221" t="str">
        <f>IF(ISBLANK(A115),"",SUMIF(RawTotals!A$2:A1000, A115, RawTotals!C$2:C1000) + SUMIF(RawTotals!A$2:A1000, A115, RawTotals!L$2:L1000))</f>
        <v/>
      </c>
      <c r="F115" s="225" t="str">
        <f>IFERROR(__xludf.DUMMYFUNCTION("IFERROR(FILTER('Pit Scouting Responses'!G:G,'Pit Scouting Responses'!C:C=A115),"""")"),"")</f>
        <v/>
      </c>
      <c r="G115" s="226" t="str">
        <f>IFERROR(__xludf.DUMMYFUNCTION("IFERROR(FILTER('Pit Scouting Responses'!D:D,'Pit Scouting Responses'!C:C=A115),"""")"),"")</f>
        <v/>
      </c>
      <c r="H115" s="223" t="str">
        <f>RawTotals!AI115</f>
        <v/>
      </c>
    </row>
    <row r="116">
      <c r="A116" s="224" t="str">
        <f>RawTotals!A116</f>
        <v/>
      </c>
      <c r="B116" s="75" t="str">
        <f>IFERROR(__xludf.DUMMYFUNCTION("IFERROR(FILTER('Pit Scouting Responses'!J:J,'Pit Scouting Responses'!C:C=A116),"""")"),"")</f>
        <v/>
      </c>
      <c r="C116" s="85" t="str">
        <f>IF(ISBLANK(A116),"",SUMIF(RawTotals!A$2:A1000, A116, RawTotals!O$2:O1000))</f>
        <v/>
      </c>
      <c r="D116" s="221" t="str">
        <f>IF(ISBLANK(A116),"",SUMIF(RawTotals!A$2:A1000, A116, RawTotals!D$2:D1000) + SUMIF(RawTotals!A$2:A1000, A116, RawTotals!M$2:M1000))</f>
        <v/>
      </c>
      <c r="E116" s="221" t="str">
        <f>IF(ISBLANK(A116),"",SUMIF(RawTotals!A$2:A1000, A116, RawTotals!C$2:C1000) + SUMIF(RawTotals!A$2:A1000, A116, RawTotals!L$2:L1000))</f>
        <v/>
      </c>
      <c r="F116" s="225" t="str">
        <f>IFERROR(__xludf.DUMMYFUNCTION("IFERROR(FILTER('Pit Scouting Responses'!G:G,'Pit Scouting Responses'!C:C=A116),"""")"),"")</f>
        <v/>
      </c>
      <c r="G116" s="226" t="str">
        <f>IFERROR(__xludf.DUMMYFUNCTION("IFERROR(FILTER('Pit Scouting Responses'!D:D,'Pit Scouting Responses'!C:C=A116),"""")"),"")</f>
        <v/>
      </c>
      <c r="H116" s="223" t="str">
        <f>RawTotals!AI116</f>
        <v/>
      </c>
    </row>
    <row r="117">
      <c r="A117" s="224" t="str">
        <f>RawTotals!A117</f>
        <v/>
      </c>
      <c r="B117" s="75" t="str">
        <f>IFERROR(__xludf.DUMMYFUNCTION("IFERROR(FILTER('Pit Scouting Responses'!J:J,'Pit Scouting Responses'!C:C=A117),"""")"),"")</f>
        <v/>
      </c>
      <c r="C117" s="85" t="str">
        <f>IF(ISBLANK(A117),"",SUMIF(RawTotals!A$2:A1000, A117, RawTotals!O$2:O1000))</f>
        <v/>
      </c>
      <c r="D117" s="221" t="str">
        <f>IF(ISBLANK(A117),"",SUMIF(RawTotals!A$2:A1000, A117, RawTotals!D$2:D1000) + SUMIF(RawTotals!A$2:A1000, A117, RawTotals!M$2:M1000))</f>
        <v/>
      </c>
      <c r="E117" s="221" t="str">
        <f>IF(ISBLANK(A117),"",SUMIF(RawTotals!A$2:A1000, A117, RawTotals!C$2:C1000) + SUMIF(RawTotals!A$2:A1000, A117, RawTotals!L$2:L1000))</f>
        <v/>
      </c>
      <c r="F117" s="225" t="str">
        <f>IFERROR(__xludf.DUMMYFUNCTION("IFERROR(FILTER('Pit Scouting Responses'!G:G,'Pit Scouting Responses'!C:C=A117),"""")"),"")</f>
        <v/>
      </c>
      <c r="G117" s="226" t="str">
        <f>IFERROR(__xludf.DUMMYFUNCTION("IFERROR(FILTER('Pit Scouting Responses'!D:D,'Pit Scouting Responses'!C:C=A117),"""")"),"")</f>
        <v/>
      </c>
      <c r="H117" s="223" t="str">
        <f>RawTotals!AI117</f>
        <v/>
      </c>
    </row>
    <row r="118">
      <c r="A118" s="224" t="str">
        <f>RawTotals!A118</f>
        <v/>
      </c>
      <c r="B118" s="75" t="str">
        <f>IFERROR(__xludf.DUMMYFUNCTION("IFERROR(FILTER('Pit Scouting Responses'!J:J,'Pit Scouting Responses'!C:C=A118),"""")"),"")</f>
        <v/>
      </c>
      <c r="C118" s="85" t="str">
        <f>IF(ISBLANK(A118),"",SUMIF(RawTotals!A$2:A1000, A118, RawTotals!O$2:O1000))</f>
        <v/>
      </c>
      <c r="D118" s="221" t="str">
        <f>IF(ISBLANK(A118),"",SUMIF(RawTotals!A$2:A1000, A118, RawTotals!D$2:D1000) + SUMIF(RawTotals!A$2:A1000, A118, RawTotals!M$2:M1000))</f>
        <v/>
      </c>
      <c r="E118" s="221" t="str">
        <f>IF(ISBLANK(A118),"",SUMIF(RawTotals!A$2:A1000, A118, RawTotals!C$2:C1000) + SUMIF(RawTotals!A$2:A1000, A118, RawTotals!L$2:L1000))</f>
        <v/>
      </c>
      <c r="F118" s="225" t="str">
        <f>IFERROR(__xludf.DUMMYFUNCTION("IFERROR(FILTER('Pit Scouting Responses'!G:G,'Pit Scouting Responses'!C:C=A118),"""")"),"")</f>
        <v/>
      </c>
      <c r="G118" s="226" t="str">
        <f>IFERROR(__xludf.DUMMYFUNCTION("IFERROR(FILTER('Pit Scouting Responses'!D:D,'Pit Scouting Responses'!C:C=A118),"""")"),"")</f>
        <v/>
      </c>
      <c r="H118" s="223" t="str">
        <f>RawTotals!AI118</f>
        <v/>
      </c>
    </row>
    <row r="119">
      <c r="A119" s="224" t="str">
        <f>RawTotals!A119</f>
        <v/>
      </c>
      <c r="B119" s="75" t="str">
        <f>IFERROR(__xludf.DUMMYFUNCTION("IFERROR(FILTER('Pit Scouting Responses'!J:J,'Pit Scouting Responses'!C:C=A119),"""")"),"")</f>
        <v/>
      </c>
      <c r="C119" s="85" t="str">
        <f>IF(ISBLANK(A119),"",SUMIF(RawTotals!A$2:A1000, A119, RawTotals!O$2:O1000))</f>
        <v/>
      </c>
      <c r="D119" s="221" t="str">
        <f>IF(ISBLANK(A119),"",SUMIF(RawTotals!A$2:A1000, A119, RawTotals!D$2:D1000) + SUMIF(RawTotals!A$2:A1000, A119, RawTotals!M$2:M1000))</f>
        <v/>
      </c>
      <c r="E119" s="221" t="str">
        <f>IF(ISBLANK(A119),"",SUMIF(RawTotals!A$2:A1000, A119, RawTotals!C$2:C1000) + SUMIF(RawTotals!A$2:A1000, A119, RawTotals!L$2:L1000))</f>
        <v/>
      </c>
      <c r="F119" s="225" t="str">
        <f>IFERROR(__xludf.DUMMYFUNCTION("IFERROR(FILTER('Pit Scouting Responses'!G:G,'Pit Scouting Responses'!C:C=A119),"""")"),"")</f>
        <v/>
      </c>
      <c r="G119" s="226" t="str">
        <f>IFERROR(__xludf.DUMMYFUNCTION("IFERROR(FILTER('Pit Scouting Responses'!D:D,'Pit Scouting Responses'!C:C=A119),"""")"),"")</f>
        <v/>
      </c>
      <c r="H119" s="223" t="str">
        <f>RawTotals!AI119</f>
        <v/>
      </c>
    </row>
    <row r="120">
      <c r="A120" s="224" t="str">
        <f>RawTotals!A120</f>
        <v/>
      </c>
      <c r="B120" s="75" t="str">
        <f>IFERROR(__xludf.DUMMYFUNCTION("IFERROR(FILTER('Pit Scouting Responses'!J:J,'Pit Scouting Responses'!C:C=A120),"""")"),"")</f>
        <v/>
      </c>
      <c r="C120" s="85" t="str">
        <f>IF(ISBLANK(A120),"",SUMIF(RawTotals!A$2:A1000, A120, RawTotals!O$2:O1000))</f>
        <v/>
      </c>
      <c r="D120" s="221" t="str">
        <f>IF(ISBLANK(A120),"",SUMIF(RawTotals!A$2:A1000, A120, RawTotals!D$2:D1000) + SUMIF(RawTotals!A$2:A1000, A120, RawTotals!M$2:M1000))</f>
        <v/>
      </c>
      <c r="E120" s="221" t="str">
        <f>IF(ISBLANK(A120),"",SUMIF(RawTotals!A$2:A1000, A120, RawTotals!C$2:C1000) + SUMIF(RawTotals!A$2:A1000, A120, RawTotals!L$2:L1000))</f>
        <v/>
      </c>
      <c r="F120" s="225" t="str">
        <f>IFERROR(__xludf.DUMMYFUNCTION("IFERROR(FILTER('Pit Scouting Responses'!G:G,'Pit Scouting Responses'!C:C=A120),"""")"),"")</f>
        <v/>
      </c>
      <c r="G120" s="226" t="str">
        <f>IFERROR(__xludf.DUMMYFUNCTION("IFERROR(FILTER('Pit Scouting Responses'!D:D,'Pit Scouting Responses'!C:C=A120),"""")"),"")</f>
        <v/>
      </c>
      <c r="H120" s="223" t="str">
        <f>RawTotals!AI120</f>
        <v/>
      </c>
    </row>
    <row r="121">
      <c r="A121" s="224" t="str">
        <f>RawTotals!A121</f>
        <v/>
      </c>
      <c r="B121" s="75" t="str">
        <f>IFERROR(__xludf.DUMMYFUNCTION("IFERROR(FILTER('Pit Scouting Responses'!J:J,'Pit Scouting Responses'!C:C=A121),"""")"),"")</f>
        <v/>
      </c>
      <c r="C121" s="85" t="str">
        <f>IF(ISBLANK(A121),"",SUMIF(RawTotals!A$2:A1000, A121, RawTotals!O$2:O1000))</f>
        <v/>
      </c>
      <c r="D121" s="221" t="str">
        <f>IF(ISBLANK(A121),"",SUMIF(RawTotals!A$2:A1000, A121, RawTotals!D$2:D1000) + SUMIF(RawTotals!A$2:A1000, A121, RawTotals!M$2:M1000))</f>
        <v/>
      </c>
      <c r="E121" s="221" t="str">
        <f>IF(ISBLANK(A121),"",SUMIF(RawTotals!A$2:A1000, A121, RawTotals!C$2:C1000) + SUMIF(RawTotals!A$2:A1000, A121, RawTotals!L$2:L1000))</f>
        <v/>
      </c>
      <c r="F121" s="225" t="str">
        <f>IFERROR(__xludf.DUMMYFUNCTION("IFERROR(FILTER('Pit Scouting Responses'!G:G,'Pit Scouting Responses'!C:C=A121),"""")"),"")</f>
        <v/>
      </c>
      <c r="G121" s="226" t="str">
        <f>IFERROR(__xludf.DUMMYFUNCTION("IFERROR(FILTER('Pit Scouting Responses'!D:D,'Pit Scouting Responses'!C:C=A121),"""")"),"")</f>
        <v/>
      </c>
      <c r="H121" s="223" t="str">
        <f>RawTotals!AI121</f>
        <v/>
      </c>
    </row>
    <row r="122">
      <c r="A122" s="224" t="str">
        <f>RawTotals!A122</f>
        <v/>
      </c>
      <c r="B122" s="75" t="str">
        <f>IFERROR(__xludf.DUMMYFUNCTION("IFERROR(FILTER('Pit Scouting Responses'!J:J,'Pit Scouting Responses'!C:C=A122),"""")"),"")</f>
        <v/>
      </c>
      <c r="C122" s="85" t="str">
        <f>IF(ISBLANK(A122),"",SUMIF(RawTotals!A$2:A1000, A122, RawTotals!O$2:O1000))</f>
        <v/>
      </c>
      <c r="D122" s="221" t="str">
        <f>IF(ISBLANK(A122),"",SUMIF(RawTotals!A$2:A1000, A122, RawTotals!D$2:D1000) + SUMIF(RawTotals!A$2:A1000, A122, RawTotals!M$2:M1000))</f>
        <v/>
      </c>
      <c r="E122" s="221" t="str">
        <f>IF(ISBLANK(A122),"",SUMIF(RawTotals!A$2:A1000, A122, RawTotals!C$2:C1000) + SUMIF(RawTotals!A$2:A1000, A122, RawTotals!L$2:L1000))</f>
        <v/>
      </c>
      <c r="F122" s="225" t="str">
        <f>IFERROR(__xludf.DUMMYFUNCTION("IFERROR(FILTER('Pit Scouting Responses'!G:G,'Pit Scouting Responses'!C:C=A122),"""")"),"")</f>
        <v/>
      </c>
      <c r="G122" s="226" t="str">
        <f>IFERROR(__xludf.DUMMYFUNCTION("IFERROR(FILTER('Pit Scouting Responses'!D:D,'Pit Scouting Responses'!C:C=A122),"""")"),"")</f>
        <v/>
      </c>
      <c r="H122" s="223" t="str">
        <f>RawTotals!AI122</f>
        <v/>
      </c>
    </row>
    <row r="123">
      <c r="A123" s="224" t="str">
        <f>RawTotals!A123</f>
        <v/>
      </c>
      <c r="B123" s="75" t="str">
        <f>IFERROR(__xludf.DUMMYFUNCTION("IFERROR(FILTER('Pit Scouting Responses'!J:J,'Pit Scouting Responses'!C:C=A123),"""")"),"")</f>
        <v/>
      </c>
      <c r="C123" s="85" t="str">
        <f>IF(ISBLANK(A123),"",SUMIF(RawTotals!A$2:A1000, A123, RawTotals!O$2:O1000))</f>
        <v/>
      </c>
      <c r="D123" s="221" t="str">
        <f>IF(ISBLANK(A123),"",SUMIF(RawTotals!A$2:A1000, A123, RawTotals!D$2:D1000) + SUMIF(RawTotals!A$2:A1000, A123, RawTotals!M$2:M1000))</f>
        <v/>
      </c>
      <c r="E123" s="221" t="str">
        <f>IF(ISBLANK(A123),"",SUMIF(RawTotals!A$2:A1000, A123, RawTotals!C$2:C1000) + SUMIF(RawTotals!A$2:A1000, A123, RawTotals!L$2:L1000))</f>
        <v/>
      </c>
      <c r="F123" s="225" t="str">
        <f>IFERROR(__xludf.DUMMYFUNCTION("IFERROR(FILTER('Pit Scouting Responses'!G:G,'Pit Scouting Responses'!C:C=A123),"""")"),"")</f>
        <v/>
      </c>
      <c r="G123" s="226" t="str">
        <f>IFERROR(__xludf.DUMMYFUNCTION("IFERROR(FILTER('Pit Scouting Responses'!D:D,'Pit Scouting Responses'!C:C=A123),"""")"),"")</f>
        <v/>
      </c>
      <c r="H123" s="223" t="str">
        <f>RawTotals!AI123</f>
        <v/>
      </c>
    </row>
    <row r="124">
      <c r="A124" s="224" t="str">
        <f>RawTotals!A124</f>
        <v/>
      </c>
      <c r="B124" s="75" t="str">
        <f>IFERROR(__xludf.DUMMYFUNCTION("IFERROR(FILTER('Pit Scouting Responses'!J:J,'Pit Scouting Responses'!C:C=A124),"""")"),"")</f>
        <v/>
      </c>
      <c r="C124" s="85" t="str">
        <f>IF(ISBLANK(A124),"",SUMIF(RawTotals!A$2:A1000, A124, RawTotals!O$2:O1000))</f>
        <v/>
      </c>
      <c r="D124" s="221" t="str">
        <f>IF(ISBLANK(A124),"",SUMIF(RawTotals!A$2:A1000, A124, RawTotals!D$2:D1000) + SUMIF(RawTotals!A$2:A1000, A124, RawTotals!M$2:M1000))</f>
        <v/>
      </c>
      <c r="E124" s="221" t="str">
        <f>IF(ISBLANK(A124),"",SUMIF(RawTotals!A$2:A1000, A124, RawTotals!C$2:C1000) + SUMIF(RawTotals!A$2:A1000, A124, RawTotals!L$2:L1000))</f>
        <v/>
      </c>
      <c r="F124" s="225" t="str">
        <f>IFERROR(__xludf.DUMMYFUNCTION("IFERROR(FILTER('Pit Scouting Responses'!G:G,'Pit Scouting Responses'!C:C=A124),"""")"),"")</f>
        <v/>
      </c>
      <c r="G124" s="226" t="str">
        <f>IFERROR(__xludf.DUMMYFUNCTION("IFERROR(FILTER('Pit Scouting Responses'!D:D,'Pit Scouting Responses'!C:C=A124),"""")"),"")</f>
        <v/>
      </c>
      <c r="H124" s="223" t="str">
        <f>RawTotals!AI124</f>
        <v/>
      </c>
    </row>
    <row r="125">
      <c r="A125" s="224" t="str">
        <f>RawTotals!A125</f>
        <v/>
      </c>
      <c r="B125" s="75" t="str">
        <f>IFERROR(__xludf.DUMMYFUNCTION("IFERROR(FILTER('Pit Scouting Responses'!J:J,'Pit Scouting Responses'!C:C=A125),"""")"),"")</f>
        <v/>
      </c>
      <c r="C125" s="85" t="str">
        <f>IF(ISBLANK(A125),"",SUMIF(RawTotals!A$2:A1000, A125, RawTotals!O$2:O1000))</f>
        <v/>
      </c>
      <c r="D125" s="221" t="str">
        <f>IF(ISBLANK(A125),"",SUMIF(RawTotals!A$2:A1000, A125, RawTotals!D$2:D1000) + SUMIF(RawTotals!A$2:A1000, A125, RawTotals!M$2:M1000))</f>
        <v/>
      </c>
      <c r="E125" s="221" t="str">
        <f>IF(ISBLANK(A125),"",SUMIF(RawTotals!A$2:A1000, A125, RawTotals!C$2:C1000) + SUMIF(RawTotals!A$2:A1000, A125, RawTotals!L$2:L1000))</f>
        <v/>
      </c>
      <c r="F125" s="225" t="str">
        <f>IFERROR(__xludf.DUMMYFUNCTION("IFERROR(FILTER('Pit Scouting Responses'!G:G,'Pit Scouting Responses'!C:C=A125),"""")"),"")</f>
        <v/>
      </c>
      <c r="G125" s="226" t="str">
        <f>IFERROR(__xludf.DUMMYFUNCTION("IFERROR(FILTER('Pit Scouting Responses'!D:D,'Pit Scouting Responses'!C:C=A125),"""")"),"")</f>
        <v/>
      </c>
      <c r="H125" s="223" t="str">
        <f>RawTotals!AI125</f>
        <v/>
      </c>
    </row>
    <row r="126">
      <c r="A126" s="224" t="str">
        <f>RawTotals!A126</f>
        <v/>
      </c>
      <c r="B126" s="75" t="str">
        <f>IFERROR(__xludf.DUMMYFUNCTION("IFERROR(FILTER('Pit Scouting Responses'!J:J,'Pit Scouting Responses'!C:C=A126),"""")"),"")</f>
        <v/>
      </c>
      <c r="C126" s="85" t="str">
        <f>IF(ISBLANK(A126),"",SUMIF(RawTotals!A$2:A1000, A126, RawTotals!O$2:O1000))</f>
        <v/>
      </c>
      <c r="D126" s="221" t="str">
        <f>IF(ISBLANK(A126),"",SUMIF(RawTotals!A$2:A1000, A126, RawTotals!D$2:D1000) + SUMIF(RawTotals!A$2:A1000, A126, RawTotals!M$2:M1000))</f>
        <v/>
      </c>
      <c r="E126" s="221" t="str">
        <f>IF(ISBLANK(A126),"",SUMIF(RawTotals!A$2:A1000, A126, RawTotals!C$2:C1000) + SUMIF(RawTotals!A$2:A1000, A126, RawTotals!L$2:L1000))</f>
        <v/>
      </c>
      <c r="F126" s="225" t="str">
        <f>IFERROR(__xludf.DUMMYFUNCTION("IFERROR(FILTER('Pit Scouting Responses'!G:G,'Pit Scouting Responses'!C:C=A126),"""")"),"")</f>
        <v/>
      </c>
      <c r="G126" s="226" t="str">
        <f>IFERROR(__xludf.DUMMYFUNCTION("IFERROR(FILTER('Pit Scouting Responses'!D:D,'Pit Scouting Responses'!C:C=A126),"""")"),"")</f>
        <v/>
      </c>
      <c r="H126" s="223" t="str">
        <f>RawTotals!AI126</f>
        <v/>
      </c>
    </row>
    <row r="127">
      <c r="A127" s="224" t="str">
        <f>RawTotals!A127</f>
        <v/>
      </c>
      <c r="B127" s="75" t="str">
        <f>IFERROR(__xludf.DUMMYFUNCTION("IFERROR(FILTER('Pit Scouting Responses'!J:J,'Pit Scouting Responses'!C:C=A127),"""")"),"")</f>
        <v/>
      </c>
      <c r="C127" s="85" t="str">
        <f>IF(ISBLANK(A127),"",SUMIF(RawTotals!A$2:A1000, A127, RawTotals!O$2:O1000))</f>
        <v/>
      </c>
      <c r="D127" s="221" t="str">
        <f>IF(ISBLANK(A127),"",SUMIF(RawTotals!A$2:A1000, A127, RawTotals!D$2:D1000) + SUMIF(RawTotals!A$2:A1000, A127, RawTotals!M$2:M1000))</f>
        <v/>
      </c>
      <c r="E127" s="221" t="str">
        <f>IF(ISBLANK(A127),"",SUMIF(RawTotals!A$2:A1000, A127, RawTotals!C$2:C1000) + SUMIF(RawTotals!A$2:A1000, A127, RawTotals!L$2:L1000))</f>
        <v/>
      </c>
      <c r="F127" s="225" t="str">
        <f>IFERROR(__xludf.DUMMYFUNCTION("IFERROR(FILTER('Pit Scouting Responses'!G:G,'Pit Scouting Responses'!C:C=A127),"""")"),"")</f>
        <v/>
      </c>
      <c r="G127" s="226" t="str">
        <f>IFERROR(__xludf.DUMMYFUNCTION("IFERROR(FILTER('Pit Scouting Responses'!D:D,'Pit Scouting Responses'!C:C=A127),"""")"),"")</f>
        <v/>
      </c>
      <c r="H127" s="223" t="str">
        <f>RawTotals!AI127</f>
        <v/>
      </c>
    </row>
    <row r="128">
      <c r="A128" s="224" t="str">
        <f>RawTotals!A128</f>
        <v/>
      </c>
      <c r="B128" s="75" t="str">
        <f>IFERROR(__xludf.DUMMYFUNCTION("IFERROR(FILTER('Pit Scouting Responses'!J:J,'Pit Scouting Responses'!C:C=A128),"""")"),"")</f>
        <v/>
      </c>
      <c r="C128" s="85" t="str">
        <f>IF(ISBLANK(A128),"",SUMIF(RawTotals!A$2:A1000, A128, RawTotals!O$2:O1000))</f>
        <v/>
      </c>
      <c r="D128" s="221" t="str">
        <f>IF(ISBLANK(A128),"",SUMIF(RawTotals!A$2:A1000, A128, RawTotals!D$2:D1000) + SUMIF(RawTotals!A$2:A1000, A128, RawTotals!M$2:M1000))</f>
        <v/>
      </c>
      <c r="E128" s="221" t="str">
        <f>IF(ISBLANK(A128),"",SUMIF(RawTotals!A$2:A1000, A128, RawTotals!C$2:C1000) + SUMIF(RawTotals!A$2:A1000, A128, RawTotals!L$2:L1000))</f>
        <v/>
      </c>
      <c r="F128" s="225" t="str">
        <f>IFERROR(__xludf.DUMMYFUNCTION("IFERROR(FILTER('Pit Scouting Responses'!G:G,'Pit Scouting Responses'!C:C=A128),"""")"),"")</f>
        <v/>
      </c>
      <c r="G128" s="226" t="str">
        <f>IFERROR(__xludf.DUMMYFUNCTION("IFERROR(FILTER('Pit Scouting Responses'!D:D,'Pit Scouting Responses'!C:C=A128),"""")"),"")</f>
        <v/>
      </c>
      <c r="H128" s="223" t="str">
        <f>RawTotals!AI128</f>
        <v/>
      </c>
    </row>
    <row r="129">
      <c r="A129" s="224" t="str">
        <f>RawTotals!A129</f>
        <v/>
      </c>
      <c r="B129" s="75" t="str">
        <f>IFERROR(__xludf.DUMMYFUNCTION("IFERROR(FILTER('Pit Scouting Responses'!J:J,'Pit Scouting Responses'!C:C=A129),"""")"),"")</f>
        <v/>
      </c>
      <c r="C129" s="85" t="str">
        <f>IF(ISBLANK(A129),"",SUMIF(RawTotals!A$2:A1000, A129, RawTotals!O$2:O1000))</f>
        <v/>
      </c>
      <c r="D129" s="221" t="str">
        <f>IF(ISBLANK(A129),"",SUMIF(RawTotals!A$2:A1000, A129, RawTotals!D$2:D1000) + SUMIF(RawTotals!A$2:A1000, A129, RawTotals!M$2:M1000))</f>
        <v/>
      </c>
      <c r="E129" s="221" t="str">
        <f>IF(ISBLANK(A129),"",SUMIF(RawTotals!A$2:A1000, A129, RawTotals!C$2:C1000) + SUMIF(RawTotals!A$2:A1000, A129, RawTotals!L$2:L1000))</f>
        <v/>
      </c>
      <c r="F129" s="225" t="str">
        <f>IFERROR(__xludf.DUMMYFUNCTION("IFERROR(FILTER('Pit Scouting Responses'!G:G,'Pit Scouting Responses'!C:C=A129),"""")"),"")</f>
        <v/>
      </c>
      <c r="G129" s="226" t="str">
        <f>IFERROR(__xludf.DUMMYFUNCTION("IFERROR(FILTER('Pit Scouting Responses'!D:D,'Pit Scouting Responses'!C:C=A129),"""")"),"")</f>
        <v/>
      </c>
      <c r="H129" s="223" t="str">
        <f>RawTotals!AI129</f>
        <v/>
      </c>
    </row>
    <row r="130">
      <c r="A130" s="224" t="str">
        <f>RawTotals!A130</f>
        <v/>
      </c>
      <c r="B130" s="75" t="str">
        <f>IFERROR(__xludf.DUMMYFUNCTION("IFERROR(FILTER('Pit Scouting Responses'!J:J,'Pit Scouting Responses'!C:C=A130),"""")"),"")</f>
        <v/>
      </c>
      <c r="C130" s="85" t="str">
        <f>IF(ISBLANK(A130),"",SUMIF(RawTotals!A$2:A1000, A130, RawTotals!O$2:O1000))</f>
        <v/>
      </c>
      <c r="D130" s="221" t="str">
        <f>IF(ISBLANK(A130),"",SUMIF(RawTotals!A$2:A1000, A130, RawTotals!D$2:D1000) + SUMIF(RawTotals!A$2:A1000, A130, RawTotals!M$2:M1000))</f>
        <v/>
      </c>
      <c r="E130" s="221" t="str">
        <f>IF(ISBLANK(A130),"",SUMIF(RawTotals!A$2:A1000, A130, RawTotals!C$2:C1000) + SUMIF(RawTotals!A$2:A1000, A130, RawTotals!L$2:L1000))</f>
        <v/>
      </c>
      <c r="F130" s="225" t="str">
        <f>IFERROR(__xludf.DUMMYFUNCTION("IFERROR(FILTER('Pit Scouting Responses'!G:G,'Pit Scouting Responses'!C:C=A130),"""")"),"")</f>
        <v/>
      </c>
      <c r="G130" s="226" t="str">
        <f>IFERROR(__xludf.DUMMYFUNCTION("IFERROR(FILTER('Pit Scouting Responses'!D:D,'Pit Scouting Responses'!C:C=A130),"""")"),"")</f>
        <v/>
      </c>
      <c r="H130" s="223" t="str">
        <f>RawTotals!AI130</f>
        <v/>
      </c>
    </row>
    <row r="131">
      <c r="A131" s="224" t="str">
        <f>RawTotals!A131</f>
        <v/>
      </c>
      <c r="B131" s="75" t="str">
        <f>IFERROR(__xludf.DUMMYFUNCTION("IFERROR(FILTER('Pit Scouting Responses'!J:J,'Pit Scouting Responses'!C:C=A131),"""")"),"")</f>
        <v/>
      </c>
      <c r="C131" s="85" t="str">
        <f>IF(ISBLANK(A131),"",SUMIF(RawTotals!A$2:A1000, A131, RawTotals!O$2:O1000))</f>
        <v/>
      </c>
      <c r="D131" s="221" t="str">
        <f>IF(ISBLANK(A131),"",SUMIF(RawTotals!A$2:A1000, A131, RawTotals!D$2:D1000) + SUMIF(RawTotals!A$2:A1000, A131, RawTotals!M$2:M1000))</f>
        <v/>
      </c>
      <c r="E131" s="221" t="str">
        <f>IF(ISBLANK(A131),"",SUMIF(RawTotals!A$2:A1000, A131, RawTotals!C$2:C1000) + SUMIF(RawTotals!A$2:A1000, A131, RawTotals!L$2:L1000))</f>
        <v/>
      </c>
      <c r="F131" s="225" t="str">
        <f>IFERROR(__xludf.DUMMYFUNCTION("IFERROR(FILTER('Pit Scouting Responses'!G:G,'Pit Scouting Responses'!C:C=A131),"""")"),"")</f>
        <v/>
      </c>
      <c r="G131" s="226" t="str">
        <f>IFERROR(__xludf.DUMMYFUNCTION("IFERROR(FILTER('Pit Scouting Responses'!D:D,'Pit Scouting Responses'!C:C=A131),"""")"),"")</f>
        <v/>
      </c>
      <c r="H131" s="223" t="str">
        <f>RawTotals!AI131</f>
        <v/>
      </c>
    </row>
    <row r="132">
      <c r="A132" s="224" t="str">
        <f>RawTotals!A132</f>
        <v/>
      </c>
      <c r="B132" s="75" t="str">
        <f>IFERROR(__xludf.DUMMYFUNCTION("IFERROR(FILTER('Pit Scouting Responses'!J:J,'Pit Scouting Responses'!C:C=A132),"""")"),"")</f>
        <v/>
      </c>
      <c r="C132" s="85" t="str">
        <f>IF(ISBLANK(A132),"",SUMIF(RawTotals!A$2:A1000, A132, RawTotals!O$2:O1000))</f>
        <v/>
      </c>
      <c r="D132" s="221" t="str">
        <f>IF(ISBLANK(A132),"",SUMIF(RawTotals!A$2:A1000, A132, RawTotals!D$2:D1000) + SUMIF(RawTotals!A$2:A1000, A132, RawTotals!M$2:M1000))</f>
        <v/>
      </c>
      <c r="E132" s="221" t="str">
        <f>IF(ISBLANK(A132),"",SUMIF(RawTotals!A$2:A1000, A132, RawTotals!C$2:C1000) + SUMIF(RawTotals!A$2:A1000, A132, RawTotals!L$2:L1000))</f>
        <v/>
      </c>
      <c r="F132" s="225" t="str">
        <f>IFERROR(__xludf.DUMMYFUNCTION("IFERROR(FILTER('Pit Scouting Responses'!G:G,'Pit Scouting Responses'!C:C=A132),"""")"),"")</f>
        <v/>
      </c>
      <c r="G132" s="226" t="str">
        <f>IFERROR(__xludf.DUMMYFUNCTION("IFERROR(FILTER('Pit Scouting Responses'!D:D,'Pit Scouting Responses'!C:C=A132),"""")"),"")</f>
        <v/>
      </c>
      <c r="H132" s="223" t="str">
        <f>RawTotals!AI132</f>
        <v/>
      </c>
    </row>
    <row r="133">
      <c r="A133" s="224" t="str">
        <f>RawTotals!A133</f>
        <v/>
      </c>
      <c r="B133" s="75" t="str">
        <f>IFERROR(__xludf.DUMMYFUNCTION("IFERROR(FILTER('Pit Scouting Responses'!J:J,'Pit Scouting Responses'!C:C=A133),"""")"),"")</f>
        <v/>
      </c>
      <c r="C133" s="85" t="str">
        <f>IF(ISBLANK(A133),"",SUMIF(RawTotals!A$2:A1000, A133, RawTotals!O$2:O1000))</f>
        <v/>
      </c>
      <c r="D133" s="221" t="str">
        <f>IF(ISBLANK(A133),"",SUMIF(RawTotals!A$2:A1000, A133, RawTotals!D$2:D1000) + SUMIF(RawTotals!A$2:A1000, A133, RawTotals!M$2:M1000))</f>
        <v/>
      </c>
      <c r="E133" s="221" t="str">
        <f>IF(ISBLANK(A133),"",SUMIF(RawTotals!A$2:A1000, A133, RawTotals!C$2:C1000) + SUMIF(RawTotals!A$2:A1000, A133, RawTotals!L$2:L1000))</f>
        <v/>
      </c>
      <c r="F133" s="225" t="str">
        <f>IFERROR(__xludf.DUMMYFUNCTION("IFERROR(FILTER('Pit Scouting Responses'!G:G,'Pit Scouting Responses'!C:C=A133),"""")"),"")</f>
        <v/>
      </c>
      <c r="G133" s="226" t="str">
        <f>IFERROR(__xludf.DUMMYFUNCTION("IFERROR(FILTER('Pit Scouting Responses'!D:D,'Pit Scouting Responses'!C:C=A133),"""")"),"")</f>
        <v/>
      </c>
      <c r="H133" s="223" t="str">
        <f>RawTotals!AI133</f>
        <v/>
      </c>
    </row>
    <row r="134">
      <c r="A134" s="224" t="str">
        <f>RawTotals!A134</f>
        <v/>
      </c>
      <c r="B134" s="75" t="str">
        <f>IFERROR(__xludf.DUMMYFUNCTION("IFERROR(FILTER('Pit Scouting Responses'!J:J,'Pit Scouting Responses'!C:C=A134),"""")"),"")</f>
        <v/>
      </c>
      <c r="C134" s="85" t="str">
        <f>IF(ISBLANK(A134),"",SUMIF(RawTotals!A$2:A1000, A134, RawTotals!O$2:O1000))</f>
        <v/>
      </c>
      <c r="D134" s="221" t="str">
        <f>IF(ISBLANK(A134),"",SUMIF(RawTotals!A$2:A1000, A134, RawTotals!D$2:D1000) + SUMIF(RawTotals!A$2:A1000, A134, RawTotals!M$2:M1000))</f>
        <v/>
      </c>
      <c r="E134" s="221" t="str">
        <f>IF(ISBLANK(A134),"",SUMIF(RawTotals!A$2:A1000, A134, RawTotals!C$2:C1000) + SUMIF(RawTotals!A$2:A1000, A134, RawTotals!L$2:L1000))</f>
        <v/>
      </c>
      <c r="F134" s="225" t="str">
        <f>IFERROR(__xludf.DUMMYFUNCTION("IFERROR(FILTER('Pit Scouting Responses'!G:G,'Pit Scouting Responses'!C:C=A134),"""")"),"")</f>
        <v/>
      </c>
      <c r="G134" s="226" t="str">
        <f>IFERROR(__xludf.DUMMYFUNCTION("IFERROR(FILTER('Pit Scouting Responses'!D:D,'Pit Scouting Responses'!C:C=A134),"""")"),"")</f>
        <v/>
      </c>
      <c r="H134" s="223" t="str">
        <f>RawTotals!AI134</f>
        <v/>
      </c>
    </row>
    <row r="135">
      <c r="A135" s="224" t="str">
        <f>RawTotals!A135</f>
        <v/>
      </c>
      <c r="B135" s="75" t="str">
        <f>IFERROR(__xludf.DUMMYFUNCTION("IFERROR(FILTER('Pit Scouting Responses'!J:J,'Pit Scouting Responses'!C:C=A135),"""")"),"")</f>
        <v/>
      </c>
      <c r="C135" s="85" t="str">
        <f>IF(ISBLANK(A135),"",SUMIF(RawTotals!A$2:A1000, A135, RawTotals!O$2:O1000))</f>
        <v/>
      </c>
      <c r="D135" s="221" t="str">
        <f>IF(ISBLANK(A135),"",SUMIF(RawTotals!A$2:A1000, A135, RawTotals!D$2:D1000) + SUMIF(RawTotals!A$2:A1000, A135, RawTotals!M$2:M1000))</f>
        <v/>
      </c>
      <c r="E135" s="221" t="str">
        <f>IF(ISBLANK(A135),"",SUMIF(RawTotals!A$2:A1000, A135, RawTotals!C$2:C1000) + SUMIF(RawTotals!A$2:A1000, A135, RawTotals!L$2:L1000))</f>
        <v/>
      </c>
      <c r="F135" s="225" t="str">
        <f>IFERROR(__xludf.DUMMYFUNCTION("IFERROR(FILTER('Pit Scouting Responses'!G:G,'Pit Scouting Responses'!C:C=A135),"""")"),"")</f>
        <v/>
      </c>
      <c r="G135" s="226" t="str">
        <f>IFERROR(__xludf.DUMMYFUNCTION("IFERROR(FILTER('Pit Scouting Responses'!D:D,'Pit Scouting Responses'!C:C=A135),"""")"),"")</f>
        <v/>
      </c>
      <c r="H135" s="223" t="str">
        <f>RawTotals!AI135</f>
        <v/>
      </c>
    </row>
    <row r="136">
      <c r="A136" s="224" t="str">
        <f>RawTotals!A136</f>
        <v/>
      </c>
      <c r="B136" s="75" t="str">
        <f>IFERROR(__xludf.DUMMYFUNCTION("IFERROR(FILTER('Pit Scouting Responses'!J:J,'Pit Scouting Responses'!C:C=A136),"""")"),"")</f>
        <v/>
      </c>
      <c r="C136" s="85" t="str">
        <f>IF(ISBLANK(A136),"",SUMIF(RawTotals!A$2:A1000, A136, RawTotals!O$2:O1000))</f>
        <v/>
      </c>
      <c r="D136" s="221" t="str">
        <f>IF(ISBLANK(A136),"",SUMIF(RawTotals!A$2:A1000, A136, RawTotals!D$2:D1000) + SUMIF(RawTotals!A$2:A1000, A136, RawTotals!M$2:M1000))</f>
        <v/>
      </c>
      <c r="E136" s="221" t="str">
        <f>IF(ISBLANK(A136),"",SUMIF(RawTotals!A$2:A1000, A136, RawTotals!C$2:C1000) + SUMIF(RawTotals!A$2:A1000, A136, RawTotals!L$2:L1000))</f>
        <v/>
      </c>
      <c r="F136" s="225" t="str">
        <f>IFERROR(__xludf.DUMMYFUNCTION("IFERROR(FILTER('Pit Scouting Responses'!G:G,'Pit Scouting Responses'!C:C=A136),"""")"),"")</f>
        <v/>
      </c>
      <c r="G136" s="226" t="str">
        <f>IFERROR(__xludf.DUMMYFUNCTION("IFERROR(FILTER('Pit Scouting Responses'!D:D,'Pit Scouting Responses'!C:C=A136),"""")"),"")</f>
        <v/>
      </c>
      <c r="H136" s="223" t="str">
        <f>RawTotals!AI136</f>
        <v/>
      </c>
    </row>
    <row r="137">
      <c r="A137" s="224" t="str">
        <f>RawTotals!A137</f>
        <v/>
      </c>
      <c r="B137" s="75" t="str">
        <f>IFERROR(__xludf.DUMMYFUNCTION("IFERROR(FILTER('Pit Scouting Responses'!J:J,'Pit Scouting Responses'!C:C=A137),"""")"),"")</f>
        <v/>
      </c>
      <c r="C137" s="85" t="str">
        <f>IF(ISBLANK(A137),"",SUMIF(RawTotals!A$2:A1000, A137, RawTotals!O$2:O1000))</f>
        <v/>
      </c>
      <c r="D137" s="221" t="str">
        <f>IF(ISBLANK(A137),"",SUMIF(RawTotals!A$2:A1000, A137, RawTotals!D$2:D1000) + SUMIF(RawTotals!A$2:A1000, A137, RawTotals!M$2:M1000))</f>
        <v/>
      </c>
      <c r="E137" s="221" t="str">
        <f>IF(ISBLANK(A137),"",SUMIF(RawTotals!A$2:A1000, A137, RawTotals!C$2:C1000) + SUMIF(RawTotals!A$2:A1000, A137, RawTotals!L$2:L1000))</f>
        <v/>
      </c>
      <c r="F137" s="225" t="str">
        <f>IFERROR(__xludf.DUMMYFUNCTION("IFERROR(FILTER('Pit Scouting Responses'!G:G,'Pit Scouting Responses'!C:C=A137),"""")"),"")</f>
        <v/>
      </c>
      <c r="G137" s="226" t="str">
        <f>IFERROR(__xludf.DUMMYFUNCTION("IFERROR(FILTER('Pit Scouting Responses'!D:D,'Pit Scouting Responses'!C:C=A137),"""")"),"")</f>
        <v/>
      </c>
      <c r="H137" s="223" t="str">
        <f>RawTotals!AI137</f>
        <v/>
      </c>
    </row>
    <row r="138">
      <c r="A138" s="224" t="str">
        <f>RawTotals!A138</f>
        <v/>
      </c>
      <c r="B138" s="75" t="str">
        <f>IFERROR(__xludf.DUMMYFUNCTION("IFERROR(FILTER('Pit Scouting Responses'!J:J,'Pit Scouting Responses'!C:C=A138),"""")"),"")</f>
        <v/>
      </c>
      <c r="C138" s="85" t="str">
        <f>IF(ISBLANK(A138),"",SUMIF(RawTotals!A$2:A1000, A138, RawTotals!O$2:O1000))</f>
        <v/>
      </c>
      <c r="D138" s="221" t="str">
        <f>IF(ISBLANK(A138),"",SUMIF(RawTotals!A$2:A1000, A138, RawTotals!D$2:D1000) + SUMIF(RawTotals!A$2:A1000, A138, RawTotals!M$2:M1000))</f>
        <v/>
      </c>
      <c r="E138" s="221" t="str">
        <f>IF(ISBLANK(A138),"",SUMIF(RawTotals!A$2:A1000, A138, RawTotals!C$2:C1000) + SUMIF(RawTotals!A$2:A1000, A138, RawTotals!L$2:L1000))</f>
        <v/>
      </c>
      <c r="F138" s="225" t="str">
        <f>IFERROR(__xludf.DUMMYFUNCTION("IFERROR(FILTER('Pit Scouting Responses'!G:G,'Pit Scouting Responses'!C:C=A138),"""")"),"")</f>
        <v/>
      </c>
      <c r="G138" s="226" t="str">
        <f>IFERROR(__xludf.DUMMYFUNCTION("IFERROR(FILTER('Pit Scouting Responses'!D:D,'Pit Scouting Responses'!C:C=A138),"""")"),"")</f>
        <v/>
      </c>
      <c r="H138" s="223" t="str">
        <f>RawTotals!AI138</f>
        <v/>
      </c>
    </row>
    <row r="139">
      <c r="A139" s="224" t="str">
        <f>RawTotals!A139</f>
        <v/>
      </c>
      <c r="B139" s="75" t="str">
        <f>IFERROR(__xludf.DUMMYFUNCTION("IFERROR(FILTER('Pit Scouting Responses'!J:J,'Pit Scouting Responses'!C:C=A139),"""")"),"")</f>
        <v/>
      </c>
      <c r="C139" s="85" t="str">
        <f>IF(ISBLANK(A139),"",SUMIF(RawTotals!A$2:A1000, A139, RawTotals!O$2:O1000))</f>
        <v/>
      </c>
      <c r="D139" s="221" t="str">
        <f>IF(ISBLANK(A139),"",SUMIF(RawTotals!A$2:A1000, A139, RawTotals!D$2:D1000) + SUMIF(RawTotals!A$2:A1000, A139, RawTotals!M$2:M1000))</f>
        <v/>
      </c>
      <c r="E139" s="221" t="str">
        <f>IF(ISBLANK(A139),"",SUMIF(RawTotals!A$2:A1000, A139, RawTotals!C$2:C1000) + SUMIF(RawTotals!A$2:A1000, A139, RawTotals!L$2:L1000))</f>
        <v/>
      </c>
      <c r="F139" s="225" t="str">
        <f>IFERROR(__xludf.DUMMYFUNCTION("IFERROR(FILTER('Pit Scouting Responses'!G:G,'Pit Scouting Responses'!C:C=A139),"""")"),"")</f>
        <v/>
      </c>
      <c r="G139" s="226" t="str">
        <f>IFERROR(__xludf.DUMMYFUNCTION("IFERROR(FILTER('Pit Scouting Responses'!D:D,'Pit Scouting Responses'!C:C=A139),"""")"),"")</f>
        <v/>
      </c>
      <c r="H139" s="223" t="str">
        <f>RawTotals!AI139</f>
        <v/>
      </c>
    </row>
    <row r="140">
      <c r="A140" s="224" t="str">
        <f>RawTotals!A140</f>
        <v/>
      </c>
      <c r="B140" s="75" t="str">
        <f>IFERROR(__xludf.DUMMYFUNCTION("IFERROR(FILTER('Pit Scouting Responses'!J:J,'Pit Scouting Responses'!C:C=A140),"""")"),"")</f>
        <v/>
      </c>
      <c r="C140" s="85" t="str">
        <f>IF(ISBLANK(A140),"",SUMIF(RawTotals!A$2:A1000, A140, RawTotals!O$2:O1000))</f>
        <v/>
      </c>
      <c r="D140" s="221" t="str">
        <f>IF(ISBLANK(A140),"",SUMIF(RawTotals!A$2:A1000, A140, RawTotals!D$2:D1000) + SUMIF(RawTotals!A$2:A1000, A140, RawTotals!M$2:M1000))</f>
        <v/>
      </c>
      <c r="E140" s="221" t="str">
        <f>IF(ISBLANK(A140),"",SUMIF(RawTotals!A$2:A1000, A140, RawTotals!C$2:C1000) + SUMIF(RawTotals!A$2:A1000, A140, RawTotals!L$2:L1000))</f>
        <v/>
      </c>
      <c r="F140" s="225" t="str">
        <f>IFERROR(__xludf.DUMMYFUNCTION("IFERROR(FILTER('Pit Scouting Responses'!G:G,'Pit Scouting Responses'!C:C=A140),"""")"),"")</f>
        <v/>
      </c>
      <c r="G140" s="226" t="str">
        <f>IFERROR(__xludf.DUMMYFUNCTION("IFERROR(FILTER('Pit Scouting Responses'!D:D,'Pit Scouting Responses'!C:C=A140),"""")"),"")</f>
        <v/>
      </c>
      <c r="H140" s="223" t="str">
        <f>RawTotals!AI140</f>
        <v/>
      </c>
    </row>
    <row r="141">
      <c r="A141" s="224" t="str">
        <f>RawTotals!A141</f>
        <v/>
      </c>
      <c r="B141" s="75" t="str">
        <f>IFERROR(__xludf.DUMMYFUNCTION("IFERROR(FILTER('Pit Scouting Responses'!J:J,'Pit Scouting Responses'!C:C=A141),"""")"),"")</f>
        <v/>
      </c>
      <c r="C141" s="85" t="str">
        <f>IF(ISBLANK(A141),"",SUMIF(RawTotals!A$2:A1000, A141, RawTotals!O$2:O1000))</f>
        <v/>
      </c>
      <c r="D141" s="221" t="str">
        <f>IF(ISBLANK(A141),"",SUMIF(RawTotals!A$2:A1000, A141, RawTotals!D$2:D1000) + SUMIF(RawTotals!A$2:A1000, A141, RawTotals!M$2:M1000))</f>
        <v/>
      </c>
      <c r="E141" s="221" t="str">
        <f>IF(ISBLANK(A141),"",SUMIF(RawTotals!A$2:A1000, A141, RawTotals!C$2:C1000) + SUMIF(RawTotals!A$2:A1000, A141, RawTotals!L$2:L1000))</f>
        <v/>
      </c>
      <c r="F141" s="225" t="str">
        <f>IFERROR(__xludf.DUMMYFUNCTION("IFERROR(FILTER('Pit Scouting Responses'!G:G,'Pit Scouting Responses'!C:C=A141),"""")"),"")</f>
        <v/>
      </c>
      <c r="G141" s="226" t="str">
        <f>IFERROR(__xludf.DUMMYFUNCTION("IFERROR(FILTER('Pit Scouting Responses'!D:D,'Pit Scouting Responses'!C:C=A141),"""")"),"")</f>
        <v/>
      </c>
      <c r="H141" s="223" t="str">
        <f>RawTotals!AI141</f>
        <v/>
      </c>
    </row>
    <row r="142">
      <c r="A142" s="224" t="str">
        <f>RawTotals!A142</f>
        <v/>
      </c>
      <c r="B142" s="75" t="str">
        <f>IFERROR(__xludf.DUMMYFUNCTION("IFERROR(FILTER('Pit Scouting Responses'!J:J,'Pit Scouting Responses'!C:C=A142),"""")"),"")</f>
        <v/>
      </c>
      <c r="C142" s="85" t="str">
        <f>IF(ISBLANK(A142),"",SUMIF(RawTotals!A$2:A1000, A142, RawTotals!O$2:O1000))</f>
        <v/>
      </c>
      <c r="D142" s="221" t="str">
        <f>IF(ISBLANK(A142),"",SUMIF(RawTotals!A$2:A1000, A142, RawTotals!D$2:D1000) + SUMIF(RawTotals!A$2:A1000, A142, RawTotals!M$2:M1000))</f>
        <v/>
      </c>
      <c r="E142" s="221" t="str">
        <f>IF(ISBLANK(A142),"",SUMIF(RawTotals!A$2:A1000, A142, RawTotals!C$2:C1000) + SUMIF(RawTotals!A$2:A1000, A142, RawTotals!L$2:L1000))</f>
        <v/>
      </c>
      <c r="F142" s="225" t="str">
        <f>IFERROR(__xludf.DUMMYFUNCTION("IFERROR(FILTER('Pit Scouting Responses'!G:G,'Pit Scouting Responses'!C:C=A142),"""")"),"")</f>
        <v/>
      </c>
      <c r="G142" s="226" t="str">
        <f>IFERROR(__xludf.DUMMYFUNCTION("IFERROR(FILTER('Pit Scouting Responses'!D:D,'Pit Scouting Responses'!C:C=A142),"""")"),"")</f>
        <v/>
      </c>
      <c r="H142" s="223" t="str">
        <f>RawTotals!AI142</f>
        <v/>
      </c>
    </row>
    <row r="143">
      <c r="A143" s="224" t="str">
        <f>RawTotals!A143</f>
        <v/>
      </c>
      <c r="B143" s="75" t="str">
        <f>IFERROR(__xludf.DUMMYFUNCTION("IFERROR(FILTER('Pit Scouting Responses'!J:J,'Pit Scouting Responses'!C:C=A143),"""")"),"")</f>
        <v/>
      </c>
      <c r="C143" s="85" t="str">
        <f>IF(ISBLANK(A143),"",SUMIF(RawTotals!A$2:A1000, A143, RawTotals!O$2:O1000))</f>
        <v/>
      </c>
      <c r="D143" s="221" t="str">
        <f>IF(ISBLANK(A143),"",SUMIF(RawTotals!A$2:A1000, A143, RawTotals!D$2:D1000) + SUMIF(RawTotals!A$2:A1000, A143, RawTotals!M$2:M1000))</f>
        <v/>
      </c>
      <c r="E143" s="221" t="str">
        <f>IF(ISBLANK(A143),"",SUMIF(RawTotals!A$2:A1000, A143, RawTotals!C$2:C1000) + SUMIF(RawTotals!A$2:A1000, A143, RawTotals!L$2:L1000))</f>
        <v/>
      </c>
      <c r="F143" s="225" t="str">
        <f>IFERROR(__xludf.DUMMYFUNCTION("IFERROR(FILTER('Pit Scouting Responses'!G:G,'Pit Scouting Responses'!C:C=A143),"""")"),"")</f>
        <v/>
      </c>
      <c r="G143" s="226" t="str">
        <f>IFERROR(__xludf.DUMMYFUNCTION("IFERROR(FILTER('Pit Scouting Responses'!D:D,'Pit Scouting Responses'!C:C=A143),"""")"),"")</f>
        <v/>
      </c>
      <c r="H143" s="223" t="str">
        <f>RawTotals!AI143</f>
        <v/>
      </c>
    </row>
    <row r="144">
      <c r="A144" s="224" t="str">
        <f>RawTotals!A144</f>
        <v/>
      </c>
      <c r="B144" s="75" t="str">
        <f>IFERROR(__xludf.DUMMYFUNCTION("IFERROR(FILTER('Pit Scouting Responses'!J:J,'Pit Scouting Responses'!C:C=A144),"""")"),"")</f>
        <v/>
      </c>
      <c r="C144" s="85" t="str">
        <f>IF(ISBLANK(A144),"",SUMIF(RawTotals!A$2:A1000, A144, RawTotals!O$2:O1000))</f>
        <v/>
      </c>
      <c r="D144" s="221" t="str">
        <f>IF(ISBLANK(A144),"",SUMIF(RawTotals!A$2:A1000, A144, RawTotals!D$2:D1000) + SUMIF(RawTotals!A$2:A1000, A144, RawTotals!M$2:M1000))</f>
        <v/>
      </c>
      <c r="E144" s="221" t="str">
        <f>IF(ISBLANK(A144),"",SUMIF(RawTotals!A$2:A1000, A144, RawTotals!C$2:C1000) + SUMIF(RawTotals!A$2:A1000, A144, RawTotals!L$2:L1000))</f>
        <v/>
      </c>
      <c r="F144" s="225" t="str">
        <f>IFERROR(__xludf.DUMMYFUNCTION("IFERROR(FILTER('Pit Scouting Responses'!G:G,'Pit Scouting Responses'!C:C=A144),"""")"),"")</f>
        <v/>
      </c>
      <c r="G144" s="226" t="str">
        <f>IFERROR(__xludf.DUMMYFUNCTION("IFERROR(FILTER('Pit Scouting Responses'!D:D,'Pit Scouting Responses'!C:C=A144),"""")"),"")</f>
        <v/>
      </c>
      <c r="H144" s="223" t="str">
        <f>RawTotals!AI144</f>
        <v/>
      </c>
    </row>
    <row r="145">
      <c r="A145" s="224" t="str">
        <f>RawTotals!A145</f>
        <v/>
      </c>
      <c r="B145" s="75" t="str">
        <f>IFERROR(__xludf.DUMMYFUNCTION("IFERROR(FILTER('Pit Scouting Responses'!J:J,'Pit Scouting Responses'!C:C=A145),"""")"),"")</f>
        <v/>
      </c>
      <c r="C145" s="85" t="str">
        <f>IF(ISBLANK(A145),"",SUMIF(RawTotals!A$2:A1000, A145, RawTotals!O$2:O1000))</f>
        <v/>
      </c>
      <c r="D145" s="221" t="str">
        <f>IF(ISBLANK(A145),"",SUMIF(RawTotals!A$2:A1000, A145, RawTotals!D$2:D1000) + SUMIF(RawTotals!A$2:A1000, A145, RawTotals!M$2:M1000))</f>
        <v/>
      </c>
      <c r="E145" s="221" t="str">
        <f>IF(ISBLANK(A145),"",SUMIF(RawTotals!A$2:A1000, A145, RawTotals!C$2:C1000) + SUMIF(RawTotals!A$2:A1000, A145, RawTotals!L$2:L1000))</f>
        <v/>
      </c>
      <c r="F145" s="225" t="str">
        <f>IFERROR(__xludf.DUMMYFUNCTION("IFERROR(FILTER('Pit Scouting Responses'!G:G,'Pit Scouting Responses'!C:C=A145),"""")"),"")</f>
        <v/>
      </c>
      <c r="G145" s="226" t="str">
        <f>IFERROR(__xludf.DUMMYFUNCTION("IFERROR(FILTER('Pit Scouting Responses'!D:D,'Pit Scouting Responses'!C:C=A145),"""")"),"")</f>
        <v/>
      </c>
      <c r="H145" s="223" t="str">
        <f>RawTotals!AI145</f>
        <v/>
      </c>
    </row>
    <row r="146">
      <c r="A146" s="224" t="str">
        <f>RawTotals!A146</f>
        <v/>
      </c>
      <c r="B146" s="75" t="str">
        <f>IFERROR(__xludf.DUMMYFUNCTION("IFERROR(FILTER('Pit Scouting Responses'!J:J,'Pit Scouting Responses'!C:C=A146),"""")"),"")</f>
        <v/>
      </c>
      <c r="C146" s="85" t="str">
        <f>IF(ISBLANK(A146),"",SUMIF(RawTotals!A$2:A1000, A146, RawTotals!O$2:O1000))</f>
        <v/>
      </c>
      <c r="D146" s="221" t="str">
        <f>IF(ISBLANK(A146),"",SUMIF(RawTotals!A$2:A1000, A146, RawTotals!D$2:D1000) + SUMIF(RawTotals!A$2:A1000, A146, RawTotals!M$2:M1000))</f>
        <v/>
      </c>
      <c r="E146" s="221" t="str">
        <f>IF(ISBLANK(A146),"",SUMIF(RawTotals!A$2:A1000, A146, RawTotals!C$2:C1000) + SUMIF(RawTotals!A$2:A1000, A146, RawTotals!L$2:L1000))</f>
        <v/>
      </c>
      <c r="F146" s="225" t="str">
        <f>IFERROR(__xludf.DUMMYFUNCTION("IFERROR(FILTER('Pit Scouting Responses'!G:G,'Pit Scouting Responses'!C:C=A146),"""")"),"")</f>
        <v/>
      </c>
      <c r="G146" s="226" t="str">
        <f>IFERROR(__xludf.DUMMYFUNCTION("IFERROR(FILTER('Pit Scouting Responses'!D:D,'Pit Scouting Responses'!C:C=A146),"""")"),"")</f>
        <v/>
      </c>
      <c r="H146" s="223" t="str">
        <f>RawTotals!AI146</f>
        <v/>
      </c>
    </row>
    <row r="147">
      <c r="A147" s="224" t="str">
        <f>RawTotals!A147</f>
        <v/>
      </c>
      <c r="B147" s="75" t="str">
        <f>IFERROR(__xludf.DUMMYFUNCTION("IFERROR(FILTER('Pit Scouting Responses'!J:J,'Pit Scouting Responses'!C:C=A147),"""")"),"")</f>
        <v/>
      </c>
      <c r="C147" s="85" t="str">
        <f>IF(ISBLANK(A147),"",SUMIF(RawTotals!A$2:A1000, A147, RawTotals!O$2:O1000))</f>
        <v/>
      </c>
      <c r="D147" s="221" t="str">
        <f>IF(ISBLANK(A147),"",SUMIF(RawTotals!A$2:A1000, A147, RawTotals!D$2:D1000) + SUMIF(RawTotals!A$2:A1000, A147, RawTotals!M$2:M1000))</f>
        <v/>
      </c>
      <c r="E147" s="221" t="str">
        <f>IF(ISBLANK(A147),"",SUMIF(RawTotals!A$2:A1000, A147, RawTotals!C$2:C1000) + SUMIF(RawTotals!A$2:A1000, A147, RawTotals!L$2:L1000))</f>
        <v/>
      </c>
      <c r="F147" s="225" t="str">
        <f>IFERROR(__xludf.DUMMYFUNCTION("IFERROR(FILTER('Pit Scouting Responses'!G:G,'Pit Scouting Responses'!C:C=A147),"""")"),"")</f>
        <v/>
      </c>
      <c r="G147" s="226" t="str">
        <f>IFERROR(__xludf.DUMMYFUNCTION("IFERROR(FILTER('Pit Scouting Responses'!D:D,'Pit Scouting Responses'!C:C=A147),"""")"),"")</f>
        <v/>
      </c>
      <c r="H147" s="223" t="str">
        <f>RawTotals!AI147</f>
        <v/>
      </c>
    </row>
    <row r="148">
      <c r="A148" s="224" t="str">
        <f>RawTotals!A148</f>
        <v/>
      </c>
      <c r="B148" s="75" t="str">
        <f>IFERROR(__xludf.DUMMYFUNCTION("IFERROR(FILTER('Pit Scouting Responses'!J:J,'Pit Scouting Responses'!C:C=A148),"""")"),"")</f>
        <v/>
      </c>
      <c r="C148" s="85" t="str">
        <f>IF(ISBLANK(A148),"",SUMIF(RawTotals!A$2:A1000, A148, RawTotals!O$2:O1000))</f>
        <v/>
      </c>
      <c r="D148" s="221" t="str">
        <f>IF(ISBLANK(A148),"",SUMIF(RawTotals!A$2:A1000, A148, RawTotals!D$2:D1000) + SUMIF(RawTotals!A$2:A1000, A148, RawTotals!M$2:M1000))</f>
        <v/>
      </c>
      <c r="E148" s="221" t="str">
        <f>IF(ISBLANK(A148),"",SUMIF(RawTotals!A$2:A1000, A148, RawTotals!C$2:C1000) + SUMIF(RawTotals!A$2:A1000, A148, RawTotals!L$2:L1000))</f>
        <v/>
      </c>
      <c r="F148" s="225" t="str">
        <f>IFERROR(__xludf.DUMMYFUNCTION("IFERROR(FILTER('Pit Scouting Responses'!G:G,'Pit Scouting Responses'!C:C=A148),"""")"),"")</f>
        <v/>
      </c>
      <c r="G148" s="226" t="str">
        <f>IFERROR(__xludf.DUMMYFUNCTION("IFERROR(FILTER('Pit Scouting Responses'!D:D,'Pit Scouting Responses'!C:C=A148),"""")"),"")</f>
        <v/>
      </c>
      <c r="H148" s="223" t="str">
        <f>RawTotals!AI148</f>
        <v/>
      </c>
    </row>
    <row r="149">
      <c r="A149" s="224" t="str">
        <f>RawTotals!A149</f>
        <v/>
      </c>
      <c r="B149" s="75" t="str">
        <f>IFERROR(__xludf.DUMMYFUNCTION("IFERROR(FILTER('Pit Scouting Responses'!J:J,'Pit Scouting Responses'!C:C=A149),"""")"),"")</f>
        <v/>
      </c>
      <c r="C149" s="85" t="str">
        <f>IF(ISBLANK(A149),"",SUMIF(RawTotals!A$2:A1000, A149, RawTotals!O$2:O1000))</f>
        <v/>
      </c>
      <c r="D149" s="221" t="str">
        <f>IF(ISBLANK(A149),"",SUMIF(RawTotals!A$2:A1000, A149, RawTotals!D$2:D1000) + SUMIF(RawTotals!A$2:A1000, A149, RawTotals!M$2:M1000))</f>
        <v/>
      </c>
      <c r="E149" s="221" t="str">
        <f>IF(ISBLANK(A149),"",SUMIF(RawTotals!A$2:A1000, A149, RawTotals!C$2:C1000) + SUMIF(RawTotals!A$2:A1000, A149, RawTotals!L$2:L1000))</f>
        <v/>
      </c>
      <c r="F149" s="225" t="str">
        <f>IFERROR(__xludf.DUMMYFUNCTION("IFERROR(FILTER('Pit Scouting Responses'!G:G,'Pit Scouting Responses'!C:C=A149),"""")"),"")</f>
        <v/>
      </c>
      <c r="G149" s="226" t="str">
        <f>IFERROR(__xludf.DUMMYFUNCTION("IFERROR(FILTER('Pit Scouting Responses'!D:D,'Pit Scouting Responses'!C:C=A149),"""")"),"")</f>
        <v/>
      </c>
      <c r="H149" s="223" t="str">
        <f>RawTotals!AI149</f>
        <v/>
      </c>
    </row>
    <row r="150">
      <c r="A150" s="224" t="str">
        <f>RawTotals!A150</f>
        <v/>
      </c>
      <c r="B150" s="75" t="str">
        <f>IFERROR(__xludf.DUMMYFUNCTION("IFERROR(FILTER('Pit Scouting Responses'!J:J,'Pit Scouting Responses'!C:C=A150),"""")"),"")</f>
        <v/>
      </c>
      <c r="C150" s="85" t="str">
        <f>IF(ISBLANK(A150),"",SUMIF(RawTotals!A$2:A1000, A150, RawTotals!O$2:O1000))</f>
        <v/>
      </c>
      <c r="D150" s="221" t="str">
        <f>IF(ISBLANK(A150),"",SUMIF(RawTotals!A$2:A1000, A150, RawTotals!D$2:D1000) + SUMIF(RawTotals!A$2:A1000, A150, RawTotals!M$2:M1000))</f>
        <v/>
      </c>
      <c r="E150" s="221" t="str">
        <f>IF(ISBLANK(A150),"",SUMIF(RawTotals!A$2:A1000, A150, RawTotals!C$2:C1000) + SUMIF(RawTotals!A$2:A1000, A150, RawTotals!L$2:L1000))</f>
        <v/>
      </c>
      <c r="F150" s="225" t="str">
        <f>IFERROR(__xludf.DUMMYFUNCTION("IFERROR(FILTER('Pit Scouting Responses'!G:G,'Pit Scouting Responses'!C:C=A150),"""")"),"")</f>
        <v/>
      </c>
      <c r="G150" s="226" t="str">
        <f>IFERROR(__xludf.DUMMYFUNCTION("IFERROR(FILTER('Pit Scouting Responses'!D:D,'Pit Scouting Responses'!C:C=A150),"""")"),"")</f>
        <v/>
      </c>
      <c r="H150" s="223" t="str">
        <f>RawTotals!AI150</f>
        <v/>
      </c>
    </row>
    <row r="151">
      <c r="A151" s="224" t="str">
        <f>RawTotals!A151</f>
        <v/>
      </c>
      <c r="B151" s="75" t="str">
        <f>IFERROR(__xludf.DUMMYFUNCTION("IFERROR(FILTER('Pit Scouting Responses'!J:J,'Pit Scouting Responses'!C:C=A151),"""")"),"")</f>
        <v/>
      </c>
      <c r="C151" s="85" t="str">
        <f>IF(ISBLANK(A151),"",SUMIF(RawTotals!A$2:A1000, A151, RawTotals!O$2:O1000))</f>
        <v/>
      </c>
      <c r="D151" s="221" t="str">
        <f>IF(ISBLANK(A151),"",SUMIF(RawTotals!A$2:A1000, A151, RawTotals!D$2:D1000) + SUMIF(RawTotals!A$2:A1000, A151, RawTotals!M$2:M1000))</f>
        <v/>
      </c>
      <c r="E151" s="221" t="str">
        <f>IF(ISBLANK(A151),"",SUMIF(RawTotals!A$2:A1000, A151, RawTotals!C$2:C1000) + SUMIF(RawTotals!A$2:A1000, A151, RawTotals!L$2:L1000))</f>
        <v/>
      </c>
      <c r="F151" s="225" t="str">
        <f>IFERROR(__xludf.DUMMYFUNCTION("IFERROR(FILTER('Pit Scouting Responses'!G:G,'Pit Scouting Responses'!C:C=A151),"""")"),"")</f>
        <v/>
      </c>
      <c r="G151" s="226" t="str">
        <f>IFERROR(__xludf.DUMMYFUNCTION("IFERROR(FILTER('Pit Scouting Responses'!D:D,'Pit Scouting Responses'!C:C=A151),"""")"),"")</f>
        <v/>
      </c>
      <c r="H151" s="223" t="str">
        <f>RawTotals!AI151</f>
        <v/>
      </c>
    </row>
    <row r="152">
      <c r="A152" s="224" t="str">
        <f>RawTotals!A152</f>
        <v/>
      </c>
      <c r="B152" s="75" t="str">
        <f>IFERROR(__xludf.DUMMYFUNCTION("IFERROR(FILTER('Pit Scouting Responses'!J:J,'Pit Scouting Responses'!C:C=A152),"""")"),"")</f>
        <v/>
      </c>
      <c r="C152" s="85" t="str">
        <f>IF(ISBLANK(A152),"",SUMIF(RawTotals!A$2:A1000, A152, RawTotals!O$2:O1000))</f>
        <v/>
      </c>
      <c r="D152" s="221" t="str">
        <f>IF(ISBLANK(A152),"",SUMIF(RawTotals!A$2:A1000, A152, RawTotals!D$2:D1000) + SUMIF(RawTotals!A$2:A1000, A152, RawTotals!M$2:M1000))</f>
        <v/>
      </c>
      <c r="E152" s="221" t="str">
        <f>IF(ISBLANK(A152),"",SUMIF(RawTotals!A$2:A1000, A152, RawTotals!C$2:C1000) + SUMIF(RawTotals!A$2:A1000, A152, RawTotals!L$2:L1000))</f>
        <v/>
      </c>
      <c r="F152" s="225" t="str">
        <f>IFERROR(__xludf.DUMMYFUNCTION("IFERROR(FILTER('Pit Scouting Responses'!G:G,'Pit Scouting Responses'!C:C=A152),"""")"),"")</f>
        <v/>
      </c>
      <c r="G152" s="226" t="str">
        <f>IFERROR(__xludf.DUMMYFUNCTION("IFERROR(FILTER('Pit Scouting Responses'!D:D,'Pit Scouting Responses'!C:C=A152),"""")"),"")</f>
        <v/>
      </c>
      <c r="H152" s="223" t="str">
        <f>RawTotals!AI152</f>
        <v/>
      </c>
    </row>
    <row r="153">
      <c r="A153" s="224" t="str">
        <f>RawTotals!A153</f>
        <v/>
      </c>
      <c r="B153" s="75" t="str">
        <f>IFERROR(__xludf.DUMMYFUNCTION("IFERROR(FILTER('Pit Scouting Responses'!J:J,'Pit Scouting Responses'!C:C=A153),"""")"),"")</f>
        <v/>
      </c>
      <c r="C153" s="85" t="str">
        <f>IF(ISBLANK(A153),"",SUMIF(RawTotals!A$2:A1000, A153, RawTotals!O$2:O1000))</f>
        <v/>
      </c>
      <c r="D153" s="221" t="str">
        <f>IF(ISBLANK(A153),"",SUMIF(RawTotals!A$2:A1000, A153, RawTotals!D$2:D1000) + SUMIF(RawTotals!A$2:A1000, A153, RawTotals!M$2:M1000))</f>
        <v/>
      </c>
      <c r="E153" s="221" t="str">
        <f>IF(ISBLANK(A153),"",SUMIF(RawTotals!A$2:A1000, A153, RawTotals!C$2:C1000) + SUMIF(RawTotals!A$2:A1000, A153, RawTotals!L$2:L1000))</f>
        <v/>
      </c>
      <c r="F153" s="225" t="str">
        <f>IFERROR(__xludf.DUMMYFUNCTION("IFERROR(FILTER('Pit Scouting Responses'!G:G,'Pit Scouting Responses'!C:C=A153),"""")"),"")</f>
        <v/>
      </c>
      <c r="G153" s="226" t="str">
        <f>IFERROR(__xludf.DUMMYFUNCTION("IFERROR(FILTER('Pit Scouting Responses'!D:D,'Pit Scouting Responses'!C:C=A153),"""")"),"")</f>
        <v/>
      </c>
      <c r="H153" s="223" t="str">
        <f>RawTotals!AI153</f>
        <v/>
      </c>
    </row>
    <row r="154">
      <c r="A154" s="224" t="str">
        <f>RawTotals!A154</f>
        <v/>
      </c>
      <c r="B154" s="75" t="str">
        <f>IFERROR(__xludf.DUMMYFUNCTION("IFERROR(FILTER('Pit Scouting Responses'!J:J,'Pit Scouting Responses'!C:C=A154),"""")"),"")</f>
        <v/>
      </c>
      <c r="C154" s="85" t="str">
        <f>IF(ISBLANK(A154),"",SUMIF(RawTotals!A$2:A1000, A154, RawTotals!O$2:O1000))</f>
        <v/>
      </c>
      <c r="D154" s="221" t="str">
        <f>IF(ISBLANK(A154),"",SUMIF(RawTotals!A$2:A1000, A154, RawTotals!D$2:D1000) + SUMIF(RawTotals!A$2:A1000, A154, RawTotals!M$2:M1000))</f>
        <v/>
      </c>
      <c r="E154" s="221" t="str">
        <f>IF(ISBLANK(A154),"",SUMIF(RawTotals!A$2:A1000, A154, RawTotals!C$2:C1000) + SUMIF(RawTotals!A$2:A1000, A154, RawTotals!L$2:L1000))</f>
        <v/>
      </c>
      <c r="F154" s="225" t="str">
        <f>IFERROR(__xludf.DUMMYFUNCTION("IFERROR(FILTER('Pit Scouting Responses'!G:G,'Pit Scouting Responses'!C:C=A154),"""")"),"")</f>
        <v/>
      </c>
      <c r="G154" s="226" t="str">
        <f>IFERROR(__xludf.DUMMYFUNCTION("IFERROR(FILTER('Pit Scouting Responses'!D:D,'Pit Scouting Responses'!C:C=A154),"""")"),"")</f>
        <v/>
      </c>
      <c r="H154" s="223" t="str">
        <f>RawTotals!AI154</f>
        <v/>
      </c>
    </row>
    <row r="155">
      <c r="A155" s="224" t="str">
        <f>RawTotals!A155</f>
        <v/>
      </c>
      <c r="B155" s="75" t="str">
        <f>IFERROR(__xludf.DUMMYFUNCTION("IFERROR(FILTER('Pit Scouting Responses'!J:J,'Pit Scouting Responses'!C:C=A155),"""")"),"")</f>
        <v/>
      </c>
      <c r="C155" s="85" t="str">
        <f>IF(ISBLANK(A155),"",SUMIF(RawTotals!A$2:A1000, A155, RawTotals!O$2:O1000))</f>
        <v/>
      </c>
      <c r="D155" s="221" t="str">
        <f>IF(ISBLANK(A155),"",SUMIF(RawTotals!A$2:A1000, A155, RawTotals!D$2:D1000) + SUMIF(RawTotals!A$2:A1000, A155, RawTotals!M$2:M1000))</f>
        <v/>
      </c>
      <c r="E155" s="221" t="str">
        <f>IF(ISBLANK(A155),"",SUMIF(RawTotals!A$2:A1000, A155, RawTotals!C$2:C1000) + SUMIF(RawTotals!A$2:A1000, A155, RawTotals!L$2:L1000))</f>
        <v/>
      </c>
      <c r="F155" s="225" t="str">
        <f>IFERROR(__xludf.DUMMYFUNCTION("IFERROR(FILTER('Pit Scouting Responses'!G:G,'Pit Scouting Responses'!C:C=A155),"""")"),"")</f>
        <v/>
      </c>
      <c r="G155" s="226" t="str">
        <f>IFERROR(__xludf.DUMMYFUNCTION("IFERROR(FILTER('Pit Scouting Responses'!D:D,'Pit Scouting Responses'!C:C=A155),"""")"),"")</f>
        <v/>
      </c>
      <c r="H155" s="223" t="str">
        <f>RawTotals!AI155</f>
        <v/>
      </c>
    </row>
    <row r="156">
      <c r="A156" s="224" t="str">
        <f>RawTotals!A156</f>
        <v/>
      </c>
      <c r="B156" s="75" t="str">
        <f>IFERROR(__xludf.DUMMYFUNCTION("IFERROR(FILTER('Pit Scouting Responses'!J:J,'Pit Scouting Responses'!C:C=A156),"""")"),"")</f>
        <v/>
      </c>
      <c r="C156" s="85" t="str">
        <f>IF(ISBLANK(A156),"",SUMIF(RawTotals!A$2:A1000, A156, RawTotals!O$2:O1000))</f>
        <v/>
      </c>
      <c r="D156" s="221" t="str">
        <f>IF(ISBLANK(A156),"",SUMIF(RawTotals!A$2:A1000, A156, RawTotals!D$2:D1000) + SUMIF(RawTotals!A$2:A1000, A156, RawTotals!M$2:M1000))</f>
        <v/>
      </c>
      <c r="E156" s="221" t="str">
        <f>IF(ISBLANK(A156),"",SUMIF(RawTotals!A$2:A1000, A156, RawTotals!C$2:C1000) + SUMIF(RawTotals!A$2:A1000, A156, RawTotals!L$2:L1000))</f>
        <v/>
      </c>
      <c r="F156" s="225" t="str">
        <f>IFERROR(__xludf.DUMMYFUNCTION("IFERROR(FILTER('Pit Scouting Responses'!G:G,'Pit Scouting Responses'!C:C=A156),"""")"),"")</f>
        <v/>
      </c>
      <c r="G156" s="226" t="str">
        <f>IFERROR(__xludf.DUMMYFUNCTION("IFERROR(FILTER('Pit Scouting Responses'!D:D,'Pit Scouting Responses'!C:C=A156),"""")"),"")</f>
        <v/>
      </c>
      <c r="H156" s="223" t="str">
        <f>RawTotals!AI156</f>
        <v/>
      </c>
    </row>
    <row r="157">
      <c r="A157" s="224" t="str">
        <f>RawTotals!A157</f>
        <v/>
      </c>
      <c r="B157" s="75" t="str">
        <f>IFERROR(__xludf.DUMMYFUNCTION("IFERROR(FILTER('Pit Scouting Responses'!J:J,'Pit Scouting Responses'!C:C=A157),"""")"),"")</f>
        <v/>
      </c>
      <c r="C157" s="85" t="str">
        <f>IF(ISBLANK(A157),"",SUMIF(RawTotals!A$2:A1000, A157, RawTotals!O$2:O1000))</f>
        <v/>
      </c>
      <c r="D157" s="221" t="str">
        <f>IF(ISBLANK(A157),"",SUMIF(RawTotals!A$2:A1000, A157, RawTotals!D$2:D1000) + SUMIF(RawTotals!A$2:A1000, A157, RawTotals!M$2:M1000))</f>
        <v/>
      </c>
      <c r="E157" s="221" t="str">
        <f>IF(ISBLANK(A157),"",SUMIF(RawTotals!A$2:A1000, A157, RawTotals!C$2:C1000) + SUMIF(RawTotals!A$2:A1000, A157, RawTotals!L$2:L1000))</f>
        <v/>
      </c>
      <c r="F157" s="225" t="str">
        <f>IFERROR(__xludf.DUMMYFUNCTION("IFERROR(FILTER('Pit Scouting Responses'!G:G,'Pit Scouting Responses'!C:C=A157),"""")"),"")</f>
        <v/>
      </c>
      <c r="G157" s="226" t="str">
        <f>IFERROR(__xludf.DUMMYFUNCTION("IFERROR(FILTER('Pit Scouting Responses'!D:D,'Pit Scouting Responses'!C:C=A157),"""")"),"")</f>
        <v/>
      </c>
      <c r="H157" s="223" t="str">
        <f>RawTotals!AI157</f>
        <v/>
      </c>
    </row>
    <row r="158">
      <c r="A158" s="224" t="str">
        <f>RawTotals!A158</f>
        <v/>
      </c>
      <c r="B158" s="75" t="str">
        <f>IFERROR(__xludf.DUMMYFUNCTION("IFERROR(FILTER('Pit Scouting Responses'!J:J,'Pit Scouting Responses'!C:C=A158),"""")"),"")</f>
        <v/>
      </c>
      <c r="C158" s="85" t="str">
        <f>IF(ISBLANK(A158),"",SUMIF(RawTotals!A$2:A1000, A158, RawTotals!O$2:O1000))</f>
        <v/>
      </c>
      <c r="D158" s="221" t="str">
        <f>IF(ISBLANK(A158),"",SUMIF(RawTotals!A$2:A1000, A158, RawTotals!D$2:D1000) + SUMIF(RawTotals!A$2:A1000, A158, RawTotals!M$2:M1000))</f>
        <v/>
      </c>
      <c r="E158" s="221" t="str">
        <f>IF(ISBLANK(A158),"",SUMIF(RawTotals!A$2:A1000, A158, RawTotals!C$2:C1000) + SUMIF(RawTotals!A$2:A1000, A158, RawTotals!L$2:L1000))</f>
        <v/>
      </c>
      <c r="F158" s="225" t="str">
        <f>IFERROR(__xludf.DUMMYFUNCTION("IFERROR(FILTER('Pit Scouting Responses'!G:G,'Pit Scouting Responses'!C:C=A158),"""")"),"")</f>
        <v/>
      </c>
      <c r="G158" s="226" t="str">
        <f>IFERROR(__xludf.DUMMYFUNCTION("IFERROR(FILTER('Pit Scouting Responses'!D:D,'Pit Scouting Responses'!C:C=A158),"""")"),"")</f>
        <v/>
      </c>
      <c r="H158" s="223" t="str">
        <f>RawTotals!AI158</f>
        <v/>
      </c>
    </row>
    <row r="159">
      <c r="A159" s="224" t="str">
        <f>RawTotals!A159</f>
        <v/>
      </c>
      <c r="B159" s="75" t="str">
        <f>IFERROR(__xludf.DUMMYFUNCTION("IFERROR(FILTER('Pit Scouting Responses'!J:J,'Pit Scouting Responses'!C:C=A159),"""")"),"")</f>
        <v/>
      </c>
      <c r="C159" s="85" t="str">
        <f>IF(ISBLANK(A159),"",SUMIF(RawTotals!A$2:A1000, A159, RawTotals!O$2:O1000))</f>
        <v/>
      </c>
      <c r="D159" s="221" t="str">
        <f>IF(ISBLANK(A159),"",SUMIF(RawTotals!A$2:A1000, A159, RawTotals!D$2:D1000) + SUMIF(RawTotals!A$2:A1000, A159, RawTotals!M$2:M1000))</f>
        <v/>
      </c>
      <c r="E159" s="221" t="str">
        <f>IF(ISBLANK(A159),"",SUMIF(RawTotals!A$2:A1000, A159, RawTotals!C$2:C1000) + SUMIF(RawTotals!A$2:A1000, A159, RawTotals!L$2:L1000))</f>
        <v/>
      </c>
      <c r="F159" s="225" t="str">
        <f>IFERROR(__xludf.DUMMYFUNCTION("IFERROR(FILTER('Pit Scouting Responses'!G:G,'Pit Scouting Responses'!C:C=A159),"""")"),"")</f>
        <v/>
      </c>
      <c r="G159" s="226" t="str">
        <f>IFERROR(__xludf.DUMMYFUNCTION("IFERROR(FILTER('Pit Scouting Responses'!D:D,'Pit Scouting Responses'!C:C=A159),"""")"),"")</f>
        <v/>
      </c>
      <c r="H159" s="223" t="str">
        <f>RawTotals!AI159</f>
        <v/>
      </c>
    </row>
    <row r="160">
      <c r="A160" s="224" t="str">
        <f>RawTotals!A160</f>
        <v/>
      </c>
      <c r="B160" s="75" t="str">
        <f>IFERROR(__xludf.DUMMYFUNCTION("IFERROR(FILTER('Pit Scouting Responses'!J:J,'Pit Scouting Responses'!C:C=A160),"""")"),"")</f>
        <v/>
      </c>
      <c r="C160" s="85" t="str">
        <f>IF(ISBLANK(A160),"",SUMIF(RawTotals!A$2:A1000, A160, RawTotals!O$2:O1000))</f>
        <v/>
      </c>
      <c r="D160" s="221" t="str">
        <f>IF(ISBLANK(A160),"",SUMIF(RawTotals!A$2:A1000, A160, RawTotals!D$2:D1000) + SUMIF(RawTotals!A$2:A1000, A160, RawTotals!M$2:M1000))</f>
        <v/>
      </c>
      <c r="E160" s="221" t="str">
        <f>IF(ISBLANK(A160),"",SUMIF(RawTotals!A$2:A1000, A160, RawTotals!C$2:C1000) + SUMIF(RawTotals!A$2:A1000, A160, RawTotals!L$2:L1000))</f>
        <v/>
      </c>
      <c r="F160" s="225" t="str">
        <f>IFERROR(__xludf.DUMMYFUNCTION("IFERROR(FILTER('Pit Scouting Responses'!G:G,'Pit Scouting Responses'!C:C=A160),"""")"),"")</f>
        <v/>
      </c>
      <c r="G160" s="226" t="str">
        <f>IFERROR(__xludf.DUMMYFUNCTION("IFERROR(FILTER('Pit Scouting Responses'!D:D,'Pit Scouting Responses'!C:C=A160),"""")"),"")</f>
        <v/>
      </c>
      <c r="H160" s="223" t="str">
        <f>RawTotals!AI160</f>
        <v/>
      </c>
    </row>
    <row r="161">
      <c r="A161" s="224" t="str">
        <f>RawTotals!A161</f>
        <v/>
      </c>
      <c r="B161" s="75" t="str">
        <f>IFERROR(__xludf.DUMMYFUNCTION("IFERROR(FILTER('Pit Scouting Responses'!J:J,'Pit Scouting Responses'!C:C=A161),"""")"),"")</f>
        <v/>
      </c>
      <c r="C161" s="85" t="str">
        <f>IF(ISBLANK(A161),"",SUMIF(RawTotals!A$2:A1000, A161, RawTotals!O$2:O1000))</f>
        <v/>
      </c>
      <c r="D161" s="221" t="str">
        <f>IF(ISBLANK(A161),"",SUMIF(RawTotals!A$2:A1000, A161, RawTotals!D$2:D1000) + SUMIF(RawTotals!A$2:A1000, A161, RawTotals!M$2:M1000))</f>
        <v/>
      </c>
      <c r="E161" s="221" t="str">
        <f>IF(ISBLANK(A161),"",SUMIF(RawTotals!A$2:A1000, A161, RawTotals!C$2:C1000) + SUMIF(RawTotals!A$2:A1000, A161, RawTotals!L$2:L1000))</f>
        <v/>
      </c>
      <c r="F161" s="225" t="str">
        <f>IFERROR(__xludf.DUMMYFUNCTION("IFERROR(FILTER('Pit Scouting Responses'!G:G,'Pit Scouting Responses'!C:C=A161),"""")"),"")</f>
        <v/>
      </c>
      <c r="G161" s="226" t="str">
        <f>IFERROR(__xludf.DUMMYFUNCTION("IFERROR(FILTER('Pit Scouting Responses'!D:D,'Pit Scouting Responses'!C:C=A161),"""")"),"")</f>
        <v/>
      </c>
      <c r="H161" s="223" t="str">
        <f>RawTotals!AI161</f>
        <v/>
      </c>
    </row>
    <row r="162">
      <c r="A162" s="224" t="str">
        <f>RawTotals!A162</f>
        <v/>
      </c>
      <c r="B162" s="75" t="str">
        <f>IFERROR(__xludf.DUMMYFUNCTION("IFERROR(FILTER('Pit Scouting Responses'!J:J,'Pit Scouting Responses'!C:C=A162),"""")"),"")</f>
        <v/>
      </c>
      <c r="C162" s="85" t="str">
        <f>IF(ISBLANK(A162),"",SUMIF(RawTotals!A$2:A1000, A162, RawTotals!O$2:O1000))</f>
        <v/>
      </c>
      <c r="D162" s="221" t="str">
        <f>IF(ISBLANK(A162),"",SUMIF(RawTotals!A$2:A1000, A162, RawTotals!D$2:D1000) + SUMIF(RawTotals!A$2:A1000, A162, RawTotals!M$2:M1000))</f>
        <v/>
      </c>
      <c r="E162" s="221" t="str">
        <f>IF(ISBLANK(A162),"",SUMIF(RawTotals!A$2:A1000, A162, RawTotals!C$2:C1000) + SUMIF(RawTotals!A$2:A1000, A162, RawTotals!L$2:L1000))</f>
        <v/>
      </c>
      <c r="F162" s="225" t="str">
        <f>IFERROR(__xludf.DUMMYFUNCTION("IFERROR(FILTER('Pit Scouting Responses'!G:G,'Pit Scouting Responses'!C:C=A162),"""")"),"")</f>
        <v/>
      </c>
      <c r="G162" s="226" t="str">
        <f>IFERROR(__xludf.DUMMYFUNCTION("IFERROR(FILTER('Pit Scouting Responses'!D:D,'Pit Scouting Responses'!C:C=A162),"""")"),"")</f>
        <v/>
      </c>
      <c r="H162" s="223" t="str">
        <f>RawTotals!AI162</f>
        <v/>
      </c>
    </row>
    <row r="163">
      <c r="A163" s="224" t="str">
        <f>RawTotals!A163</f>
        <v/>
      </c>
      <c r="B163" s="75" t="str">
        <f>IFERROR(__xludf.DUMMYFUNCTION("IFERROR(FILTER('Pit Scouting Responses'!J:J,'Pit Scouting Responses'!C:C=A163),"""")"),"")</f>
        <v/>
      </c>
      <c r="C163" s="85" t="str">
        <f>IF(ISBLANK(A163),"",SUMIF(RawTotals!A$2:A1000, A163, RawTotals!O$2:O1000))</f>
        <v/>
      </c>
      <c r="D163" s="221" t="str">
        <f>IF(ISBLANK(A163),"",SUMIF(RawTotals!A$2:A1000, A163, RawTotals!D$2:D1000) + SUMIF(RawTotals!A$2:A1000, A163, RawTotals!M$2:M1000))</f>
        <v/>
      </c>
      <c r="E163" s="221" t="str">
        <f>IF(ISBLANK(A163),"",SUMIF(RawTotals!A$2:A1000, A163, RawTotals!C$2:C1000) + SUMIF(RawTotals!A$2:A1000, A163, RawTotals!L$2:L1000))</f>
        <v/>
      </c>
      <c r="F163" s="225" t="str">
        <f>IFERROR(__xludf.DUMMYFUNCTION("IFERROR(FILTER('Pit Scouting Responses'!G:G,'Pit Scouting Responses'!C:C=A163),"""")"),"")</f>
        <v/>
      </c>
      <c r="G163" s="226" t="str">
        <f>IFERROR(__xludf.DUMMYFUNCTION("IFERROR(FILTER('Pit Scouting Responses'!D:D,'Pit Scouting Responses'!C:C=A163),"""")"),"")</f>
        <v/>
      </c>
      <c r="H163" s="223" t="str">
        <f>RawTotals!AI163</f>
        <v/>
      </c>
    </row>
    <row r="164">
      <c r="A164" s="224" t="str">
        <f>RawTotals!A164</f>
        <v/>
      </c>
      <c r="B164" s="75" t="str">
        <f>IFERROR(__xludf.DUMMYFUNCTION("IFERROR(FILTER('Pit Scouting Responses'!J:J,'Pit Scouting Responses'!C:C=A164),"""")"),"")</f>
        <v/>
      </c>
      <c r="C164" s="85" t="str">
        <f>IF(ISBLANK(A164),"",SUMIF(RawTotals!A$2:A1000, A164, RawTotals!O$2:O1000))</f>
        <v/>
      </c>
      <c r="D164" s="221" t="str">
        <f>IF(ISBLANK(A164),"",SUMIF(RawTotals!A$2:A1000, A164, RawTotals!D$2:D1000) + SUMIF(RawTotals!A$2:A1000, A164, RawTotals!M$2:M1000))</f>
        <v/>
      </c>
      <c r="E164" s="221" t="str">
        <f>IF(ISBLANK(A164),"",SUMIF(RawTotals!A$2:A1000, A164, RawTotals!C$2:C1000) + SUMIF(RawTotals!A$2:A1000, A164, RawTotals!L$2:L1000))</f>
        <v/>
      </c>
      <c r="F164" s="225" t="str">
        <f>IFERROR(__xludf.DUMMYFUNCTION("IFERROR(FILTER('Pit Scouting Responses'!G:G,'Pit Scouting Responses'!C:C=A164),"""")"),"")</f>
        <v/>
      </c>
      <c r="G164" s="226" t="str">
        <f>IFERROR(__xludf.DUMMYFUNCTION("IFERROR(FILTER('Pit Scouting Responses'!D:D,'Pit Scouting Responses'!C:C=A164),"""")"),"")</f>
        <v/>
      </c>
      <c r="H164" s="223" t="str">
        <f>RawTotals!AI164</f>
        <v/>
      </c>
    </row>
    <row r="165">
      <c r="A165" s="224" t="str">
        <f>RawTotals!A165</f>
        <v/>
      </c>
      <c r="B165" s="75" t="str">
        <f>IFERROR(__xludf.DUMMYFUNCTION("IFERROR(FILTER('Pit Scouting Responses'!J:J,'Pit Scouting Responses'!C:C=A165),"""")"),"")</f>
        <v/>
      </c>
      <c r="C165" s="85" t="str">
        <f>IF(ISBLANK(A165),"",SUMIF(RawTotals!A$2:A1000, A165, RawTotals!O$2:O1000))</f>
        <v/>
      </c>
      <c r="D165" s="221" t="str">
        <f>IF(ISBLANK(A165),"",SUMIF(RawTotals!A$2:A1000, A165, RawTotals!D$2:D1000) + SUMIF(RawTotals!A$2:A1000, A165, RawTotals!M$2:M1000))</f>
        <v/>
      </c>
      <c r="E165" s="221" t="str">
        <f>IF(ISBLANK(A165),"",SUMIF(RawTotals!A$2:A1000, A165, RawTotals!C$2:C1000) + SUMIF(RawTotals!A$2:A1000, A165, RawTotals!L$2:L1000))</f>
        <v/>
      </c>
      <c r="F165" s="225" t="str">
        <f>IFERROR(__xludf.DUMMYFUNCTION("IFERROR(FILTER('Pit Scouting Responses'!G:G,'Pit Scouting Responses'!C:C=A165),"""")"),"")</f>
        <v/>
      </c>
      <c r="G165" s="226" t="str">
        <f>IFERROR(__xludf.DUMMYFUNCTION("IFERROR(FILTER('Pit Scouting Responses'!D:D,'Pit Scouting Responses'!C:C=A165),"""")"),"")</f>
        <v/>
      </c>
      <c r="H165" s="223" t="str">
        <f>RawTotals!AI165</f>
        <v/>
      </c>
    </row>
    <row r="166">
      <c r="A166" s="224" t="str">
        <f>RawTotals!A166</f>
        <v/>
      </c>
      <c r="B166" s="75" t="str">
        <f>IFERROR(__xludf.DUMMYFUNCTION("IFERROR(FILTER('Pit Scouting Responses'!J:J,'Pit Scouting Responses'!C:C=A166),"""")"),"")</f>
        <v/>
      </c>
      <c r="C166" s="85" t="str">
        <f>IF(ISBLANK(A166),"",SUMIF(RawTotals!A$2:A1000, A166, RawTotals!O$2:O1000))</f>
        <v/>
      </c>
      <c r="D166" s="221" t="str">
        <f>IF(ISBLANK(A166),"",SUMIF(RawTotals!A$2:A1000, A166, RawTotals!D$2:D1000) + SUMIF(RawTotals!A$2:A1000, A166, RawTotals!M$2:M1000))</f>
        <v/>
      </c>
      <c r="E166" s="221" t="str">
        <f>IF(ISBLANK(A166),"",SUMIF(RawTotals!A$2:A1000, A166, RawTotals!C$2:C1000) + SUMIF(RawTotals!A$2:A1000, A166, RawTotals!L$2:L1000))</f>
        <v/>
      </c>
      <c r="F166" s="225" t="str">
        <f>IFERROR(__xludf.DUMMYFUNCTION("IFERROR(FILTER('Pit Scouting Responses'!G:G,'Pit Scouting Responses'!C:C=A166),"""")"),"")</f>
        <v/>
      </c>
      <c r="G166" s="226" t="str">
        <f>IFERROR(__xludf.DUMMYFUNCTION("IFERROR(FILTER('Pit Scouting Responses'!D:D,'Pit Scouting Responses'!C:C=A166),"""")"),"")</f>
        <v/>
      </c>
      <c r="H166" s="223" t="str">
        <f>RawTotals!AI166</f>
        <v/>
      </c>
    </row>
    <row r="167">
      <c r="A167" s="224" t="str">
        <f>RawTotals!A167</f>
        <v/>
      </c>
      <c r="B167" s="75" t="str">
        <f>IFERROR(__xludf.DUMMYFUNCTION("IFERROR(FILTER('Pit Scouting Responses'!J:J,'Pit Scouting Responses'!C:C=A167),"""")"),"")</f>
        <v/>
      </c>
      <c r="C167" s="85" t="str">
        <f>IF(ISBLANK(A167),"",SUMIF(RawTotals!A$2:A1000, A167, RawTotals!O$2:O1000))</f>
        <v/>
      </c>
      <c r="D167" s="221" t="str">
        <f>IF(ISBLANK(A167),"",SUMIF(RawTotals!A$2:A1000, A167, RawTotals!D$2:D1000) + SUMIF(RawTotals!A$2:A1000, A167, RawTotals!M$2:M1000))</f>
        <v/>
      </c>
      <c r="E167" s="221" t="str">
        <f>IF(ISBLANK(A167),"",SUMIF(RawTotals!A$2:A1000, A167, RawTotals!C$2:C1000) + SUMIF(RawTotals!A$2:A1000, A167, RawTotals!L$2:L1000))</f>
        <v/>
      </c>
      <c r="F167" s="225" t="str">
        <f>IFERROR(__xludf.DUMMYFUNCTION("IFERROR(FILTER('Pit Scouting Responses'!G:G,'Pit Scouting Responses'!C:C=A167),"""")"),"")</f>
        <v/>
      </c>
      <c r="G167" s="226" t="str">
        <f>IFERROR(__xludf.DUMMYFUNCTION("IFERROR(FILTER('Pit Scouting Responses'!D:D,'Pit Scouting Responses'!C:C=A167),"""")"),"")</f>
        <v/>
      </c>
      <c r="H167" s="223" t="str">
        <f>RawTotals!AI167</f>
        <v/>
      </c>
    </row>
    <row r="168">
      <c r="A168" s="224" t="str">
        <f>RawTotals!A168</f>
        <v/>
      </c>
      <c r="B168" s="75" t="str">
        <f>IFERROR(__xludf.DUMMYFUNCTION("IFERROR(FILTER('Pit Scouting Responses'!J:J,'Pit Scouting Responses'!C:C=A168),"""")"),"")</f>
        <v/>
      </c>
      <c r="C168" s="85" t="str">
        <f>IF(ISBLANK(A168),"",SUMIF(RawTotals!A$2:A1000, A168, RawTotals!O$2:O1000))</f>
        <v/>
      </c>
      <c r="D168" s="221" t="str">
        <f>IF(ISBLANK(A168),"",SUMIF(RawTotals!A$2:A1000, A168, RawTotals!D$2:D1000) + SUMIF(RawTotals!A$2:A1000, A168, RawTotals!M$2:M1000))</f>
        <v/>
      </c>
      <c r="E168" s="221" t="str">
        <f>IF(ISBLANK(A168),"",SUMIF(RawTotals!A$2:A1000, A168, RawTotals!C$2:C1000) + SUMIF(RawTotals!A$2:A1000, A168, RawTotals!L$2:L1000))</f>
        <v/>
      </c>
      <c r="F168" s="225" t="str">
        <f>IFERROR(__xludf.DUMMYFUNCTION("IFERROR(FILTER('Pit Scouting Responses'!G:G,'Pit Scouting Responses'!C:C=A168),"""")"),"")</f>
        <v/>
      </c>
      <c r="G168" s="226" t="str">
        <f>IFERROR(__xludf.DUMMYFUNCTION("IFERROR(FILTER('Pit Scouting Responses'!D:D,'Pit Scouting Responses'!C:C=A168),"""")"),"")</f>
        <v/>
      </c>
      <c r="H168" s="223" t="str">
        <f>RawTotals!AI168</f>
        <v/>
      </c>
    </row>
    <row r="169">
      <c r="A169" s="224" t="str">
        <f>RawTotals!A169</f>
        <v/>
      </c>
      <c r="B169" s="75" t="str">
        <f>IFERROR(__xludf.DUMMYFUNCTION("IFERROR(FILTER('Pit Scouting Responses'!J:J,'Pit Scouting Responses'!C:C=A169),"""")"),"")</f>
        <v/>
      </c>
      <c r="C169" s="85" t="str">
        <f>IF(ISBLANK(A169),"",SUMIF(RawTotals!A$2:A1000, A169, RawTotals!O$2:O1000))</f>
        <v/>
      </c>
      <c r="D169" s="221" t="str">
        <f>IF(ISBLANK(A169),"",SUMIF(RawTotals!A$2:A1000, A169, RawTotals!D$2:D1000) + SUMIF(RawTotals!A$2:A1000, A169, RawTotals!M$2:M1000))</f>
        <v/>
      </c>
      <c r="E169" s="221" t="str">
        <f>IF(ISBLANK(A169),"",SUMIF(RawTotals!A$2:A1000, A169, RawTotals!C$2:C1000) + SUMIF(RawTotals!A$2:A1000, A169, RawTotals!L$2:L1000))</f>
        <v/>
      </c>
      <c r="F169" s="225" t="str">
        <f>IFERROR(__xludf.DUMMYFUNCTION("IFERROR(FILTER('Pit Scouting Responses'!G:G,'Pit Scouting Responses'!C:C=A169),"""")"),"")</f>
        <v/>
      </c>
      <c r="G169" s="226" t="str">
        <f>IFERROR(__xludf.DUMMYFUNCTION("IFERROR(FILTER('Pit Scouting Responses'!D:D,'Pit Scouting Responses'!C:C=A169),"""")"),"")</f>
        <v/>
      </c>
      <c r="H169" s="223" t="str">
        <f>RawTotals!AI169</f>
        <v/>
      </c>
    </row>
    <row r="170">
      <c r="A170" s="224" t="str">
        <f>RawTotals!A170</f>
        <v/>
      </c>
      <c r="B170" s="75" t="str">
        <f>IFERROR(__xludf.DUMMYFUNCTION("IFERROR(FILTER('Pit Scouting Responses'!J:J,'Pit Scouting Responses'!C:C=A170),"""")"),"")</f>
        <v/>
      </c>
      <c r="C170" s="85" t="str">
        <f>IF(ISBLANK(A170),"",SUMIF(RawTotals!A$2:A1000, A170, RawTotals!O$2:O1000))</f>
        <v/>
      </c>
      <c r="D170" s="221" t="str">
        <f>IF(ISBLANK(A170),"",SUMIF(RawTotals!A$2:A1000, A170, RawTotals!D$2:D1000) + SUMIF(RawTotals!A$2:A1000, A170, RawTotals!M$2:M1000))</f>
        <v/>
      </c>
      <c r="E170" s="221" t="str">
        <f>IF(ISBLANK(A170),"",SUMIF(RawTotals!A$2:A1000, A170, RawTotals!C$2:C1000) + SUMIF(RawTotals!A$2:A1000, A170, RawTotals!L$2:L1000))</f>
        <v/>
      </c>
      <c r="F170" s="225" t="str">
        <f>IFERROR(__xludf.DUMMYFUNCTION("IFERROR(FILTER('Pit Scouting Responses'!G:G,'Pit Scouting Responses'!C:C=A170),"""")"),"")</f>
        <v/>
      </c>
      <c r="G170" s="226" t="str">
        <f>IFERROR(__xludf.DUMMYFUNCTION("IFERROR(FILTER('Pit Scouting Responses'!D:D,'Pit Scouting Responses'!C:C=A170),"""")"),"")</f>
        <v/>
      </c>
      <c r="H170" s="223" t="str">
        <f>RawTotals!AI170</f>
        <v/>
      </c>
    </row>
    <row r="171">
      <c r="A171" s="224" t="str">
        <f>RawTotals!A171</f>
        <v/>
      </c>
      <c r="B171" s="75" t="str">
        <f>IFERROR(__xludf.DUMMYFUNCTION("IFERROR(FILTER('Pit Scouting Responses'!J:J,'Pit Scouting Responses'!C:C=A171),"""")"),"")</f>
        <v/>
      </c>
      <c r="C171" s="85" t="str">
        <f>IF(ISBLANK(A171),"",SUMIF(RawTotals!A$2:A1000, A171, RawTotals!O$2:O1000))</f>
        <v/>
      </c>
      <c r="D171" s="221" t="str">
        <f>IF(ISBLANK(A171),"",SUMIF(RawTotals!A$2:A1000, A171, RawTotals!D$2:D1000) + SUMIF(RawTotals!A$2:A1000, A171, RawTotals!M$2:M1000))</f>
        <v/>
      </c>
      <c r="E171" s="221" t="str">
        <f>IF(ISBLANK(A171),"",SUMIF(RawTotals!A$2:A1000, A171, RawTotals!C$2:C1000) + SUMIF(RawTotals!A$2:A1000, A171, RawTotals!L$2:L1000))</f>
        <v/>
      </c>
      <c r="F171" s="225" t="str">
        <f>IFERROR(__xludf.DUMMYFUNCTION("IFERROR(FILTER('Pit Scouting Responses'!G:G,'Pit Scouting Responses'!C:C=A171),"""")"),"")</f>
        <v/>
      </c>
      <c r="G171" s="226" t="str">
        <f>IFERROR(__xludf.DUMMYFUNCTION("IFERROR(FILTER('Pit Scouting Responses'!D:D,'Pit Scouting Responses'!C:C=A171),"""")"),"")</f>
        <v/>
      </c>
      <c r="H171" s="223" t="str">
        <f>RawTotals!AI171</f>
        <v/>
      </c>
    </row>
    <row r="172">
      <c r="A172" s="224" t="str">
        <f>RawTotals!A172</f>
        <v/>
      </c>
      <c r="B172" s="75" t="str">
        <f>IFERROR(__xludf.DUMMYFUNCTION("IFERROR(FILTER('Pit Scouting Responses'!J:J,'Pit Scouting Responses'!C:C=A172),"""")"),"")</f>
        <v/>
      </c>
      <c r="C172" s="85" t="str">
        <f>IF(ISBLANK(A172),"",SUMIF(RawTotals!A$2:A1000, A172, RawTotals!O$2:O1000))</f>
        <v/>
      </c>
      <c r="D172" s="221" t="str">
        <f>IF(ISBLANK(A172),"",SUMIF(RawTotals!A$2:A1000, A172, RawTotals!D$2:D1000) + SUMIF(RawTotals!A$2:A1000, A172, RawTotals!M$2:M1000))</f>
        <v/>
      </c>
      <c r="E172" s="221" t="str">
        <f>IF(ISBLANK(A172),"",SUMIF(RawTotals!A$2:A1000, A172, RawTotals!C$2:C1000) + SUMIF(RawTotals!A$2:A1000, A172, RawTotals!L$2:L1000))</f>
        <v/>
      </c>
      <c r="F172" s="225" t="str">
        <f>IFERROR(__xludf.DUMMYFUNCTION("IFERROR(FILTER('Pit Scouting Responses'!G:G,'Pit Scouting Responses'!C:C=A172),"""")"),"")</f>
        <v/>
      </c>
      <c r="G172" s="226" t="str">
        <f>IFERROR(__xludf.DUMMYFUNCTION("IFERROR(FILTER('Pit Scouting Responses'!D:D,'Pit Scouting Responses'!C:C=A172),"""")"),"")</f>
        <v/>
      </c>
      <c r="H172" s="223" t="str">
        <f>RawTotals!AI172</f>
        <v/>
      </c>
    </row>
    <row r="173">
      <c r="A173" s="224" t="str">
        <f>RawTotals!A173</f>
        <v/>
      </c>
      <c r="B173" s="75" t="str">
        <f>IFERROR(__xludf.DUMMYFUNCTION("IFERROR(FILTER('Pit Scouting Responses'!J:J,'Pit Scouting Responses'!C:C=A173),"""")"),"")</f>
        <v/>
      </c>
      <c r="C173" s="85" t="str">
        <f>IF(ISBLANK(A173),"",SUMIF(RawTotals!A$2:A1000, A173, RawTotals!O$2:O1000))</f>
        <v/>
      </c>
      <c r="D173" s="221" t="str">
        <f>IF(ISBLANK(A173),"",SUMIF(RawTotals!A$2:A1000, A173, RawTotals!D$2:D1000) + SUMIF(RawTotals!A$2:A1000, A173, RawTotals!M$2:M1000))</f>
        <v/>
      </c>
      <c r="E173" s="221" t="str">
        <f>IF(ISBLANK(A173),"",SUMIF(RawTotals!A$2:A1000, A173, RawTotals!C$2:C1000) + SUMIF(RawTotals!A$2:A1000, A173, RawTotals!L$2:L1000))</f>
        <v/>
      </c>
      <c r="F173" s="225" t="str">
        <f>IFERROR(__xludf.DUMMYFUNCTION("IFERROR(FILTER('Pit Scouting Responses'!G:G,'Pit Scouting Responses'!C:C=A173),"""")"),"")</f>
        <v/>
      </c>
      <c r="G173" s="226" t="str">
        <f>IFERROR(__xludf.DUMMYFUNCTION("IFERROR(FILTER('Pit Scouting Responses'!D:D,'Pit Scouting Responses'!C:C=A173),"""")"),"")</f>
        <v/>
      </c>
      <c r="H173" s="223" t="str">
        <f>RawTotals!AI173</f>
        <v/>
      </c>
    </row>
    <row r="174">
      <c r="A174" s="224" t="str">
        <f>RawTotals!A174</f>
        <v/>
      </c>
      <c r="B174" s="75" t="str">
        <f>IFERROR(__xludf.DUMMYFUNCTION("IFERROR(FILTER('Pit Scouting Responses'!J:J,'Pit Scouting Responses'!C:C=A174),"""")"),"")</f>
        <v/>
      </c>
      <c r="C174" s="85" t="str">
        <f>IF(ISBLANK(A174),"",SUMIF(RawTotals!A$2:A1000, A174, RawTotals!O$2:O1000))</f>
        <v/>
      </c>
      <c r="D174" s="221" t="str">
        <f>IF(ISBLANK(A174),"",SUMIF(RawTotals!A$2:A1000, A174, RawTotals!D$2:D1000) + SUMIF(RawTotals!A$2:A1000, A174, RawTotals!M$2:M1000))</f>
        <v/>
      </c>
      <c r="E174" s="221" t="str">
        <f>IF(ISBLANK(A174),"",SUMIF(RawTotals!A$2:A1000, A174, RawTotals!C$2:C1000) + SUMIF(RawTotals!A$2:A1000, A174, RawTotals!L$2:L1000))</f>
        <v/>
      </c>
      <c r="F174" s="225" t="str">
        <f>IFERROR(__xludf.DUMMYFUNCTION("IFERROR(FILTER('Pit Scouting Responses'!G:G,'Pit Scouting Responses'!C:C=A174),"""")"),"")</f>
        <v/>
      </c>
      <c r="G174" s="226" t="str">
        <f>IFERROR(__xludf.DUMMYFUNCTION("IFERROR(FILTER('Pit Scouting Responses'!D:D,'Pit Scouting Responses'!C:C=A174),"""")"),"")</f>
        <v/>
      </c>
      <c r="H174" s="223" t="str">
        <f>RawTotals!AI174</f>
        <v/>
      </c>
    </row>
    <row r="175">
      <c r="A175" s="224" t="str">
        <f>RawTotals!A175</f>
        <v/>
      </c>
      <c r="B175" s="75" t="str">
        <f>IFERROR(__xludf.DUMMYFUNCTION("IFERROR(FILTER('Pit Scouting Responses'!J:J,'Pit Scouting Responses'!C:C=A175),"""")"),"")</f>
        <v/>
      </c>
      <c r="C175" s="85" t="str">
        <f>IF(ISBLANK(A175),"",SUMIF(RawTotals!A$2:A1000, A175, RawTotals!O$2:O1000))</f>
        <v/>
      </c>
      <c r="D175" s="221" t="str">
        <f>IF(ISBLANK(A175),"",SUMIF(RawTotals!A$2:A1000, A175, RawTotals!D$2:D1000) + SUMIF(RawTotals!A$2:A1000, A175, RawTotals!M$2:M1000))</f>
        <v/>
      </c>
      <c r="E175" s="221" t="str">
        <f>IF(ISBLANK(A175),"",SUMIF(RawTotals!A$2:A1000, A175, RawTotals!C$2:C1000) + SUMIF(RawTotals!A$2:A1000, A175, RawTotals!L$2:L1000))</f>
        <v/>
      </c>
      <c r="F175" s="225" t="str">
        <f>IFERROR(__xludf.DUMMYFUNCTION("IFERROR(FILTER('Pit Scouting Responses'!G:G,'Pit Scouting Responses'!C:C=A175),"""")"),"")</f>
        <v/>
      </c>
      <c r="G175" s="226" t="str">
        <f>IFERROR(__xludf.DUMMYFUNCTION("IFERROR(FILTER('Pit Scouting Responses'!D:D,'Pit Scouting Responses'!C:C=A175),"""")"),"")</f>
        <v/>
      </c>
      <c r="H175" s="223" t="str">
        <f>RawTotals!AI175</f>
        <v/>
      </c>
    </row>
    <row r="176">
      <c r="A176" s="224" t="str">
        <f>RawTotals!A176</f>
        <v/>
      </c>
      <c r="B176" s="75" t="str">
        <f>IFERROR(__xludf.DUMMYFUNCTION("IFERROR(FILTER('Pit Scouting Responses'!J:J,'Pit Scouting Responses'!C:C=A176),"""")"),"")</f>
        <v/>
      </c>
      <c r="C176" s="85" t="str">
        <f>IF(ISBLANK(A176),"",SUMIF(RawTotals!A$2:A1000, A176, RawTotals!O$2:O1000))</f>
        <v/>
      </c>
      <c r="D176" s="221" t="str">
        <f>IF(ISBLANK(A176),"",SUMIF(RawTotals!A$2:A1000, A176, RawTotals!D$2:D1000) + SUMIF(RawTotals!A$2:A1000, A176, RawTotals!M$2:M1000))</f>
        <v/>
      </c>
      <c r="E176" s="221" t="str">
        <f>IF(ISBLANK(A176),"",SUMIF(RawTotals!A$2:A1000, A176, RawTotals!C$2:C1000) + SUMIF(RawTotals!A$2:A1000, A176, RawTotals!L$2:L1000))</f>
        <v/>
      </c>
      <c r="F176" s="225" t="str">
        <f>IFERROR(__xludf.DUMMYFUNCTION("IFERROR(FILTER('Pit Scouting Responses'!G:G,'Pit Scouting Responses'!C:C=A176),"""")"),"")</f>
        <v/>
      </c>
      <c r="G176" s="226" t="str">
        <f>IFERROR(__xludf.DUMMYFUNCTION("IFERROR(FILTER('Pit Scouting Responses'!D:D,'Pit Scouting Responses'!C:C=A176),"""")"),"")</f>
        <v/>
      </c>
      <c r="H176" s="223" t="str">
        <f>RawTotals!AI176</f>
        <v/>
      </c>
    </row>
    <row r="177">
      <c r="A177" s="224" t="str">
        <f>RawTotals!A177</f>
        <v/>
      </c>
      <c r="B177" s="75" t="str">
        <f>IFERROR(__xludf.DUMMYFUNCTION("IFERROR(FILTER('Pit Scouting Responses'!J:J,'Pit Scouting Responses'!C:C=A177),"""")"),"")</f>
        <v/>
      </c>
      <c r="C177" s="85" t="str">
        <f>IF(ISBLANK(A177),"",SUMIF(RawTotals!A$2:A1000, A177, RawTotals!O$2:O1000))</f>
        <v/>
      </c>
      <c r="D177" s="221" t="str">
        <f>IF(ISBLANK(A177),"",SUMIF(RawTotals!A$2:A1000, A177, RawTotals!D$2:D1000) + SUMIF(RawTotals!A$2:A1000, A177, RawTotals!M$2:M1000))</f>
        <v/>
      </c>
      <c r="E177" s="221" t="str">
        <f>IF(ISBLANK(A177),"",SUMIF(RawTotals!A$2:A1000, A177, RawTotals!C$2:C1000) + SUMIF(RawTotals!A$2:A1000, A177, RawTotals!L$2:L1000))</f>
        <v/>
      </c>
      <c r="F177" s="225" t="str">
        <f>IFERROR(__xludf.DUMMYFUNCTION("IFERROR(FILTER('Pit Scouting Responses'!G:G,'Pit Scouting Responses'!C:C=A177),"""")"),"")</f>
        <v/>
      </c>
      <c r="G177" s="226" t="str">
        <f>IFERROR(__xludf.DUMMYFUNCTION("IFERROR(FILTER('Pit Scouting Responses'!D:D,'Pit Scouting Responses'!C:C=A177),"""")"),"")</f>
        <v/>
      </c>
      <c r="H177" s="223" t="str">
        <f>RawTotals!AI177</f>
        <v/>
      </c>
    </row>
    <row r="178">
      <c r="A178" s="224" t="str">
        <f>RawTotals!A178</f>
        <v/>
      </c>
      <c r="B178" s="75" t="str">
        <f>IFERROR(__xludf.DUMMYFUNCTION("IFERROR(FILTER('Pit Scouting Responses'!J:J,'Pit Scouting Responses'!C:C=A178),"""")"),"")</f>
        <v/>
      </c>
      <c r="C178" s="85" t="str">
        <f>IF(ISBLANK(A178),"",SUMIF(RawTotals!A$2:A1000, A178, RawTotals!O$2:O1000))</f>
        <v/>
      </c>
      <c r="D178" s="221" t="str">
        <f>IF(ISBLANK(A178),"",SUMIF(RawTotals!A$2:A1000, A178, RawTotals!D$2:D1000) + SUMIF(RawTotals!A$2:A1000, A178, RawTotals!M$2:M1000))</f>
        <v/>
      </c>
      <c r="E178" s="221" t="str">
        <f>IF(ISBLANK(A178),"",SUMIF(RawTotals!A$2:A1000, A178, RawTotals!C$2:C1000) + SUMIF(RawTotals!A$2:A1000, A178, RawTotals!L$2:L1000))</f>
        <v/>
      </c>
      <c r="F178" s="225" t="str">
        <f>IFERROR(__xludf.DUMMYFUNCTION("IFERROR(FILTER('Pit Scouting Responses'!G:G,'Pit Scouting Responses'!C:C=A178),"""")"),"")</f>
        <v/>
      </c>
      <c r="G178" s="226" t="str">
        <f>IFERROR(__xludf.DUMMYFUNCTION("IFERROR(FILTER('Pit Scouting Responses'!D:D,'Pit Scouting Responses'!C:C=A178),"""")"),"")</f>
        <v/>
      </c>
      <c r="H178" s="223" t="str">
        <f>RawTotals!AI178</f>
        <v/>
      </c>
    </row>
    <row r="179">
      <c r="A179" s="224" t="str">
        <f>RawTotals!A179</f>
        <v/>
      </c>
      <c r="B179" s="75" t="str">
        <f>IFERROR(__xludf.DUMMYFUNCTION("IFERROR(FILTER('Pit Scouting Responses'!J:J,'Pit Scouting Responses'!C:C=A179),"""")"),"")</f>
        <v/>
      </c>
      <c r="C179" s="85" t="str">
        <f>IF(ISBLANK(A179),"",SUMIF(RawTotals!A$2:A1000, A179, RawTotals!O$2:O1000))</f>
        <v/>
      </c>
      <c r="D179" s="221" t="str">
        <f>IF(ISBLANK(A179),"",SUMIF(RawTotals!A$2:A1000, A179, RawTotals!D$2:D1000) + SUMIF(RawTotals!A$2:A1000, A179, RawTotals!M$2:M1000))</f>
        <v/>
      </c>
      <c r="E179" s="221" t="str">
        <f>IF(ISBLANK(A179),"",SUMIF(RawTotals!A$2:A1000, A179, RawTotals!C$2:C1000) + SUMIF(RawTotals!A$2:A1000, A179, RawTotals!L$2:L1000))</f>
        <v/>
      </c>
      <c r="F179" s="225" t="str">
        <f>IFERROR(__xludf.DUMMYFUNCTION("IFERROR(FILTER('Pit Scouting Responses'!G:G,'Pit Scouting Responses'!C:C=A179),"""")"),"")</f>
        <v/>
      </c>
      <c r="G179" s="226" t="str">
        <f>IFERROR(__xludf.DUMMYFUNCTION("IFERROR(FILTER('Pit Scouting Responses'!D:D,'Pit Scouting Responses'!C:C=A179),"""")"),"")</f>
        <v/>
      </c>
      <c r="H179" s="223" t="str">
        <f>RawTotals!AI179</f>
        <v/>
      </c>
    </row>
    <row r="180">
      <c r="A180" s="224" t="str">
        <f>RawTotals!A180</f>
        <v/>
      </c>
      <c r="B180" s="75" t="str">
        <f>IFERROR(__xludf.DUMMYFUNCTION("IFERROR(FILTER('Pit Scouting Responses'!J:J,'Pit Scouting Responses'!C:C=A180),"""")"),"")</f>
        <v/>
      </c>
      <c r="C180" s="85" t="str">
        <f>IF(ISBLANK(A180),"",SUMIF(RawTotals!A$2:A1000, A180, RawTotals!O$2:O1000))</f>
        <v/>
      </c>
      <c r="D180" s="221" t="str">
        <f>IF(ISBLANK(A180),"",SUMIF(RawTotals!A$2:A1000, A180, RawTotals!D$2:D1000) + SUMIF(RawTotals!A$2:A1000, A180, RawTotals!M$2:M1000))</f>
        <v/>
      </c>
      <c r="E180" s="221" t="str">
        <f>IF(ISBLANK(A180),"",SUMIF(RawTotals!A$2:A1000, A180, RawTotals!C$2:C1000) + SUMIF(RawTotals!A$2:A1000, A180, RawTotals!L$2:L1000))</f>
        <v/>
      </c>
      <c r="F180" s="225" t="str">
        <f>IFERROR(__xludf.DUMMYFUNCTION("IFERROR(FILTER('Pit Scouting Responses'!G:G,'Pit Scouting Responses'!C:C=A180),"""")"),"")</f>
        <v/>
      </c>
      <c r="G180" s="226" t="str">
        <f>IFERROR(__xludf.DUMMYFUNCTION("IFERROR(FILTER('Pit Scouting Responses'!D:D,'Pit Scouting Responses'!C:C=A180),"""")"),"")</f>
        <v/>
      </c>
      <c r="H180" s="223" t="str">
        <f>RawTotals!AI180</f>
        <v/>
      </c>
    </row>
    <row r="181">
      <c r="A181" s="224" t="str">
        <f>RawTotals!A181</f>
        <v/>
      </c>
      <c r="B181" s="75" t="str">
        <f>IFERROR(__xludf.DUMMYFUNCTION("IFERROR(FILTER('Pit Scouting Responses'!J:J,'Pit Scouting Responses'!C:C=A181),"""")"),"")</f>
        <v/>
      </c>
      <c r="C181" s="85" t="str">
        <f>IF(ISBLANK(A181),"",SUMIF(RawTotals!A$2:A1000, A181, RawTotals!O$2:O1000))</f>
        <v/>
      </c>
      <c r="D181" s="221" t="str">
        <f>IF(ISBLANK(A181),"",SUMIF(RawTotals!A$2:A1000, A181, RawTotals!D$2:D1000) + SUMIF(RawTotals!A$2:A1000, A181, RawTotals!M$2:M1000))</f>
        <v/>
      </c>
      <c r="E181" s="221" t="str">
        <f>IF(ISBLANK(A181),"",SUMIF(RawTotals!A$2:A1000, A181, RawTotals!C$2:C1000) + SUMIF(RawTotals!A$2:A1000, A181, RawTotals!L$2:L1000))</f>
        <v/>
      </c>
      <c r="F181" s="225" t="str">
        <f>IFERROR(__xludf.DUMMYFUNCTION("IFERROR(FILTER('Pit Scouting Responses'!G:G,'Pit Scouting Responses'!C:C=A181),"""")"),"")</f>
        <v/>
      </c>
      <c r="G181" s="226" t="str">
        <f>IFERROR(__xludf.DUMMYFUNCTION("IFERROR(FILTER('Pit Scouting Responses'!D:D,'Pit Scouting Responses'!C:C=A181),"""")"),"")</f>
        <v/>
      </c>
      <c r="H181" s="223" t="str">
        <f>RawTotals!AI181</f>
        <v/>
      </c>
    </row>
    <row r="182">
      <c r="A182" s="224" t="str">
        <f>RawTotals!A182</f>
        <v/>
      </c>
      <c r="B182" s="75" t="str">
        <f>IFERROR(__xludf.DUMMYFUNCTION("IFERROR(FILTER('Pit Scouting Responses'!J:J,'Pit Scouting Responses'!C:C=A182),"""")"),"")</f>
        <v/>
      </c>
      <c r="C182" s="85" t="str">
        <f>IF(ISBLANK(A182),"",SUMIF(RawTotals!A$2:A1000, A182, RawTotals!O$2:O1000))</f>
        <v/>
      </c>
      <c r="D182" s="221" t="str">
        <f>IF(ISBLANK(A182),"",SUMIF(RawTotals!A$2:A1000, A182, RawTotals!D$2:D1000) + SUMIF(RawTotals!A$2:A1000, A182, RawTotals!M$2:M1000))</f>
        <v/>
      </c>
      <c r="E182" s="221" t="str">
        <f>IF(ISBLANK(A182),"",SUMIF(RawTotals!A$2:A1000, A182, RawTotals!C$2:C1000) + SUMIF(RawTotals!A$2:A1000, A182, RawTotals!L$2:L1000))</f>
        <v/>
      </c>
      <c r="F182" s="225" t="str">
        <f>IFERROR(__xludf.DUMMYFUNCTION("IFERROR(FILTER('Pit Scouting Responses'!G:G,'Pit Scouting Responses'!C:C=A182),"""")"),"")</f>
        <v/>
      </c>
      <c r="G182" s="226" t="str">
        <f>IFERROR(__xludf.DUMMYFUNCTION("IFERROR(FILTER('Pit Scouting Responses'!D:D,'Pit Scouting Responses'!C:C=A182),"""")"),"")</f>
        <v/>
      </c>
      <c r="H182" s="223" t="str">
        <f>RawTotals!AI182</f>
        <v/>
      </c>
    </row>
    <row r="183">
      <c r="A183" s="224" t="str">
        <f>RawTotals!A183</f>
        <v/>
      </c>
      <c r="B183" s="75" t="str">
        <f>IFERROR(__xludf.DUMMYFUNCTION("IFERROR(FILTER('Pit Scouting Responses'!J:J,'Pit Scouting Responses'!C:C=A183),"""")"),"")</f>
        <v/>
      </c>
      <c r="C183" s="85" t="str">
        <f>IF(ISBLANK(A183),"",SUMIF(RawTotals!A$2:A1000, A183, RawTotals!O$2:O1000))</f>
        <v/>
      </c>
      <c r="D183" s="221" t="str">
        <f>IF(ISBLANK(A183),"",SUMIF(RawTotals!A$2:A1000, A183, RawTotals!D$2:D1000) + SUMIF(RawTotals!A$2:A1000, A183, RawTotals!M$2:M1000))</f>
        <v/>
      </c>
      <c r="E183" s="221" t="str">
        <f>IF(ISBLANK(A183),"",SUMIF(RawTotals!A$2:A1000, A183, RawTotals!C$2:C1000) + SUMIF(RawTotals!A$2:A1000, A183, RawTotals!L$2:L1000))</f>
        <v/>
      </c>
      <c r="F183" s="225" t="str">
        <f>IFERROR(__xludf.DUMMYFUNCTION("IFERROR(FILTER('Pit Scouting Responses'!G:G,'Pit Scouting Responses'!C:C=A183),"""")"),"")</f>
        <v/>
      </c>
      <c r="G183" s="226" t="str">
        <f>IFERROR(__xludf.DUMMYFUNCTION("IFERROR(FILTER('Pit Scouting Responses'!D:D,'Pit Scouting Responses'!C:C=A183),"""")"),"")</f>
        <v/>
      </c>
      <c r="H183" s="223" t="str">
        <f>RawTotals!AI183</f>
        <v/>
      </c>
    </row>
    <row r="184">
      <c r="A184" s="224" t="str">
        <f>RawTotals!A184</f>
        <v/>
      </c>
      <c r="B184" s="75" t="str">
        <f>IFERROR(__xludf.DUMMYFUNCTION("IFERROR(FILTER('Pit Scouting Responses'!J:J,'Pit Scouting Responses'!C:C=A184),"""")"),"")</f>
        <v/>
      </c>
      <c r="C184" s="85" t="str">
        <f>IF(ISBLANK(A184),"",SUMIF(RawTotals!A$2:A1000, A184, RawTotals!O$2:O1000))</f>
        <v/>
      </c>
      <c r="D184" s="221" t="str">
        <f>IF(ISBLANK(A184),"",SUMIF(RawTotals!A$2:A1000, A184, RawTotals!D$2:D1000) + SUMIF(RawTotals!A$2:A1000, A184, RawTotals!M$2:M1000))</f>
        <v/>
      </c>
      <c r="E184" s="221" t="str">
        <f>IF(ISBLANK(A184),"",SUMIF(RawTotals!A$2:A1000, A184, RawTotals!C$2:C1000) + SUMIF(RawTotals!A$2:A1000, A184, RawTotals!L$2:L1000))</f>
        <v/>
      </c>
      <c r="F184" s="225" t="str">
        <f>IFERROR(__xludf.DUMMYFUNCTION("IFERROR(FILTER('Pit Scouting Responses'!G:G,'Pit Scouting Responses'!C:C=A184),"""")"),"")</f>
        <v/>
      </c>
      <c r="G184" s="226" t="str">
        <f>IFERROR(__xludf.DUMMYFUNCTION("IFERROR(FILTER('Pit Scouting Responses'!D:D,'Pit Scouting Responses'!C:C=A184),"""")"),"")</f>
        <v/>
      </c>
      <c r="H184" s="223" t="str">
        <f>RawTotals!AI184</f>
        <v/>
      </c>
    </row>
    <row r="185">
      <c r="A185" s="224" t="str">
        <f>RawTotals!A185</f>
        <v/>
      </c>
      <c r="B185" s="75" t="str">
        <f>IFERROR(__xludf.DUMMYFUNCTION("IFERROR(FILTER('Pit Scouting Responses'!J:J,'Pit Scouting Responses'!C:C=A185),"""")"),"")</f>
        <v/>
      </c>
      <c r="C185" s="85" t="str">
        <f>IF(ISBLANK(A185),"",SUMIF(RawTotals!A$2:A1000, A185, RawTotals!O$2:O1000))</f>
        <v/>
      </c>
      <c r="D185" s="221" t="str">
        <f>IF(ISBLANK(A185),"",SUMIF(RawTotals!A$2:A1000, A185, RawTotals!D$2:D1000) + SUMIF(RawTotals!A$2:A1000, A185, RawTotals!M$2:M1000))</f>
        <v/>
      </c>
      <c r="E185" s="221" t="str">
        <f>IF(ISBLANK(A185),"",SUMIF(RawTotals!A$2:A1000, A185, RawTotals!C$2:C1000) + SUMIF(RawTotals!A$2:A1000, A185, RawTotals!L$2:L1000))</f>
        <v/>
      </c>
      <c r="F185" s="225" t="str">
        <f>IFERROR(__xludf.DUMMYFUNCTION("IFERROR(FILTER('Pit Scouting Responses'!G:G,'Pit Scouting Responses'!C:C=A185),"""")"),"")</f>
        <v/>
      </c>
      <c r="G185" s="226" t="str">
        <f>IFERROR(__xludf.DUMMYFUNCTION("IFERROR(FILTER('Pit Scouting Responses'!D:D,'Pit Scouting Responses'!C:C=A185),"""")"),"")</f>
        <v/>
      </c>
      <c r="H185" s="223" t="str">
        <f>RawTotals!AI185</f>
        <v/>
      </c>
    </row>
    <row r="186">
      <c r="A186" s="224" t="str">
        <f>RawTotals!A186</f>
        <v/>
      </c>
      <c r="B186" s="75" t="str">
        <f>IFERROR(__xludf.DUMMYFUNCTION("IFERROR(FILTER('Pit Scouting Responses'!J:J,'Pit Scouting Responses'!C:C=A186),"""")"),"")</f>
        <v/>
      </c>
      <c r="C186" s="85" t="str">
        <f>IF(ISBLANK(A186),"",SUMIF(RawTotals!A$2:A1000, A186, RawTotals!O$2:O1000))</f>
        <v/>
      </c>
      <c r="D186" s="221" t="str">
        <f>IF(ISBLANK(A186),"",SUMIF(RawTotals!A$2:A1000, A186, RawTotals!D$2:D1000) + SUMIF(RawTotals!A$2:A1000, A186, RawTotals!M$2:M1000))</f>
        <v/>
      </c>
      <c r="E186" s="221" t="str">
        <f>IF(ISBLANK(A186),"",SUMIF(RawTotals!A$2:A1000, A186, RawTotals!C$2:C1000) + SUMIF(RawTotals!A$2:A1000, A186, RawTotals!L$2:L1000))</f>
        <v/>
      </c>
      <c r="F186" s="225" t="str">
        <f>IFERROR(__xludf.DUMMYFUNCTION("IFERROR(FILTER('Pit Scouting Responses'!G:G,'Pit Scouting Responses'!C:C=A186),"""")"),"")</f>
        <v/>
      </c>
      <c r="G186" s="226" t="str">
        <f>IFERROR(__xludf.DUMMYFUNCTION("IFERROR(FILTER('Pit Scouting Responses'!D:D,'Pit Scouting Responses'!C:C=A186),"""")"),"")</f>
        <v/>
      </c>
      <c r="H186" s="223" t="str">
        <f>RawTotals!AI186</f>
        <v/>
      </c>
    </row>
    <row r="187">
      <c r="A187" s="224" t="str">
        <f>RawTotals!A187</f>
        <v/>
      </c>
      <c r="B187" s="75" t="str">
        <f>IFERROR(__xludf.DUMMYFUNCTION("IFERROR(FILTER('Pit Scouting Responses'!J:J,'Pit Scouting Responses'!C:C=A187),"""")"),"")</f>
        <v/>
      </c>
      <c r="C187" s="85" t="str">
        <f>IF(ISBLANK(A187),"",SUMIF(RawTotals!A$2:A1000, A187, RawTotals!O$2:O1000))</f>
        <v/>
      </c>
      <c r="D187" s="221" t="str">
        <f>IF(ISBLANK(A187),"",SUMIF(RawTotals!A$2:A1000, A187, RawTotals!D$2:D1000) + SUMIF(RawTotals!A$2:A1000, A187, RawTotals!M$2:M1000))</f>
        <v/>
      </c>
      <c r="E187" s="221" t="str">
        <f>IF(ISBLANK(A187),"",SUMIF(RawTotals!A$2:A1000, A187, RawTotals!C$2:C1000) + SUMIF(RawTotals!A$2:A1000, A187, RawTotals!L$2:L1000))</f>
        <v/>
      </c>
      <c r="F187" s="225" t="str">
        <f>IFERROR(__xludf.DUMMYFUNCTION("IFERROR(FILTER('Pit Scouting Responses'!G:G,'Pit Scouting Responses'!C:C=A187),"""")"),"")</f>
        <v/>
      </c>
      <c r="G187" s="226" t="str">
        <f>IFERROR(__xludf.DUMMYFUNCTION("IFERROR(FILTER('Pit Scouting Responses'!D:D,'Pit Scouting Responses'!C:C=A187),"""")"),"")</f>
        <v/>
      </c>
      <c r="H187" s="223" t="str">
        <f>RawTotals!AI187</f>
        <v/>
      </c>
    </row>
    <row r="188">
      <c r="A188" s="224" t="str">
        <f>RawTotals!A188</f>
        <v/>
      </c>
      <c r="B188" s="75" t="str">
        <f>IFERROR(__xludf.DUMMYFUNCTION("IFERROR(FILTER('Pit Scouting Responses'!J:J,'Pit Scouting Responses'!C:C=A188),"""")"),"")</f>
        <v/>
      </c>
      <c r="C188" s="85" t="str">
        <f>IF(ISBLANK(A188),"",SUMIF(RawTotals!A$2:A1000, A188, RawTotals!O$2:O1000))</f>
        <v/>
      </c>
      <c r="D188" s="221" t="str">
        <f>IF(ISBLANK(A188),"",SUMIF(RawTotals!A$2:A1000, A188, RawTotals!D$2:D1000) + SUMIF(RawTotals!A$2:A1000, A188, RawTotals!M$2:M1000))</f>
        <v/>
      </c>
      <c r="E188" s="221" t="str">
        <f>IF(ISBLANK(A188),"",SUMIF(RawTotals!A$2:A1000, A188, RawTotals!C$2:C1000) + SUMIF(RawTotals!A$2:A1000, A188, RawTotals!L$2:L1000))</f>
        <v/>
      </c>
      <c r="F188" s="225" t="str">
        <f>IFERROR(__xludf.DUMMYFUNCTION("IFERROR(FILTER('Pit Scouting Responses'!G:G,'Pit Scouting Responses'!C:C=A188),"""")"),"")</f>
        <v/>
      </c>
      <c r="G188" s="226" t="str">
        <f>IFERROR(__xludf.DUMMYFUNCTION("IFERROR(FILTER('Pit Scouting Responses'!D:D,'Pit Scouting Responses'!C:C=A188),"""")"),"")</f>
        <v/>
      </c>
      <c r="H188" s="223" t="str">
        <f>RawTotals!AI188</f>
        <v/>
      </c>
    </row>
    <row r="189">
      <c r="A189" s="224" t="str">
        <f>RawTotals!A189</f>
        <v/>
      </c>
      <c r="B189" s="75" t="str">
        <f>IFERROR(__xludf.DUMMYFUNCTION("IFERROR(FILTER('Pit Scouting Responses'!J:J,'Pit Scouting Responses'!C:C=A189),"""")"),"")</f>
        <v/>
      </c>
      <c r="C189" s="85" t="str">
        <f>IF(ISBLANK(A189),"",SUMIF(RawTotals!A$2:A1000, A189, RawTotals!O$2:O1000))</f>
        <v/>
      </c>
      <c r="D189" s="221" t="str">
        <f>IF(ISBLANK(A189),"",SUMIF(RawTotals!A$2:A1000, A189, RawTotals!D$2:D1000) + SUMIF(RawTotals!A$2:A1000, A189, RawTotals!M$2:M1000))</f>
        <v/>
      </c>
      <c r="E189" s="221" t="str">
        <f>IF(ISBLANK(A189),"",SUMIF(RawTotals!A$2:A1000, A189, RawTotals!C$2:C1000) + SUMIF(RawTotals!A$2:A1000, A189, RawTotals!L$2:L1000))</f>
        <v/>
      </c>
      <c r="F189" s="225" t="str">
        <f>IFERROR(__xludf.DUMMYFUNCTION("IFERROR(FILTER('Pit Scouting Responses'!G:G,'Pit Scouting Responses'!C:C=A189),"""")"),"")</f>
        <v/>
      </c>
      <c r="G189" s="226" t="str">
        <f>IFERROR(__xludf.DUMMYFUNCTION("IFERROR(FILTER('Pit Scouting Responses'!D:D,'Pit Scouting Responses'!C:C=A189),"""")"),"")</f>
        <v/>
      </c>
      <c r="H189" s="223" t="str">
        <f>RawTotals!AI189</f>
        <v/>
      </c>
    </row>
    <row r="190">
      <c r="A190" s="224" t="str">
        <f>RawTotals!A190</f>
        <v/>
      </c>
      <c r="B190" s="75" t="str">
        <f>IFERROR(__xludf.DUMMYFUNCTION("IFERROR(FILTER('Pit Scouting Responses'!J:J,'Pit Scouting Responses'!C:C=A190),"""")"),"")</f>
        <v/>
      </c>
      <c r="C190" s="85" t="str">
        <f>IF(ISBLANK(A190),"",SUMIF(RawTotals!A$2:A1000, A190, RawTotals!O$2:O1000))</f>
        <v/>
      </c>
      <c r="D190" s="221" t="str">
        <f>IF(ISBLANK(A190),"",SUMIF(RawTotals!A$2:A1000, A190, RawTotals!D$2:D1000) + SUMIF(RawTotals!A$2:A1000, A190, RawTotals!M$2:M1000))</f>
        <v/>
      </c>
      <c r="E190" s="221" t="str">
        <f>IF(ISBLANK(A190),"",SUMIF(RawTotals!A$2:A1000, A190, RawTotals!C$2:C1000) + SUMIF(RawTotals!A$2:A1000, A190, RawTotals!L$2:L1000))</f>
        <v/>
      </c>
      <c r="F190" s="225" t="str">
        <f>IFERROR(__xludf.DUMMYFUNCTION("IFERROR(FILTER('Pit Scouting Responses'!G:G,'Pit Scouting Responses'!C:C=A190),"""")"),"")</f>
        <v/>
      </c>
      <c r="G190" s="226" t="str">
        <f>IFERROR(__xludf.DUMMYFUNCTION("IFERROR(FILTER('Pit Scouting Responses'!D:D,'Pit Scouting Responses'!C:C=A190),"""")"),"")</f>
        <v/>
      </c>
      <c r="H190" s="223" t="str">
        <f>RawTotals!AI190</f>
        <v/>
      </c>
    </row>
    <row r="191">
      <c r="A191" s="224" t="str">
        <f>RawTotals!A191</f>
        <v/>
      </c>
      <c r="B191" s="75" t="str">
        <f>IFERROR(__xludf.DUMMYFUNCTION("IFERROR(FILTER('Pit Scouting Responses'!J:J,'Pit Scouting Responses'!C:C=A191),"""")"),"")</f>
        <v/>
      </c>
      <c r="C191" s="85" t="str">
        <f>IF(ISBLANK(A191),"",SUMIF(RawTotals!A$2:A1000, A191, RawTotals!O$2:O1000))</f>
        <v/>
      </c>
      <c r="D191" s="221" t="str">
        <f>IF(ISBLANK(A191),"",SUMIF(RawTotals!A$2:A1000, A191, RawTotals!D$2:D1000) + SUMIF(RawTotals!A$2:A1000, A191, RawTotals!M$2:M1000))</f>
        <v/>
      </c>
      <c r="E191" s="221" t="str">
        <f>IF(ISBLANK(A191),"",SUMIF(RawTotals!A$2:A1000, A191, RawTotals!C$2:C1000) + SUMIF(RawTotals!A$2:A1000, A191, RawTotals!L$2:L1000))</f>
        <v/>
      </c>
      <c r="F191" s="225" t="str">
        <f>IFERROR(__xludf.DUMMYFUNCTION("IFERROR(FILTER('Pit Scouting Responses'!G:G,'Pit Scouting Responses'!C:C=A191),"""")"),"")</f>
        <v/>
      </c>
      <c r="G191" s="226" t="str">
        <f>IFERROR(__xludf.DUMMYFUNCTION("IFERROR(FILTER('Pit Scouting Responses'!D:D,'Pit Scouting Responses'!C:C=A191),"""")"),"")</f>
        <v/>
      </c>
      <c r="H191" s="223" t="str">
        <f>RawTotals!AI191</f>
        <v/>
      </c>
    </row>
    <row r="192">
      <c r="A192" s="224" t="str">
        <f>RawTotals!A192</f>
        <v/>
      </c>
      <c r="B192" s="75" t="str">
        <f>IFERROR(__xludf.DUMMYFUNCTION("IFERROR(FILTER('Pit Scouting Responses'!J:J,'Pit Scouting Responses'!C:C=A192),"""")"),"")</f>
        <v/>
      </c>
      <c r="C192" s="85" t="str">
        <f>IF(ISBLANK(A192),"",SUMIF(RawTotals!A$2:A1000, A192, RawTotals!O$2:O1000))</f>
        <v/>
      </c>
      <c r="D192" s="221" t="str">
        <f>IF(ISBLANK(A192),"",SUMIF(RawTotals!A$2:A1000, A192, RawTotals!D$2:D1000) + SUMIF(RawTotals!A$2:A1000, A192, RawTotals!M$2:M1000))</f>
        <v/>
      </c>
      <c r="E192" s="221" t="str">
        <f>IF(ISBLANK(A192),"",SUMIF(RawTotals!A$2:A1000, A192, RawTotals!C$2:C1000) + SUMIF(RawTotals!A$2:A1000, A192, RawTotals!L$2:L1000))</f>
        <v/>
      </c>
      <c r="F192" s="225" t="str">
        <f>IFERROR(__xludf.DUMMYFUNCTION("IFERROR(FILTER('Pit Scouting Responses'!G:G,'Pit Scouting Responses'!C:C=A192),"""")"),"")</f>
        <v/>
      </c>
      <c r="G192" s="226" t="str">
        <f>IFERROR(__xludf.DUMMYFUNCTION("IFERROR(FILTER('Pit Scouting Responses'!D:D,'Pit Scouting Responses'!C:C=A192),"""")"),"")</f>
        <v/>
      </c>
      <c r="H192" s="223" t="str">
        <f>RawTotals!AI192</f>
        <v/>
      </c>
    </row>
    <row r="193">
      <c r="A193" s="224" t="str">
        <f>RawTotals!A193</f>
        <v/>
      </c>
      <c r="B193" s="75" t="str">
        <f>IFERROR(__xludf.DUMMYFUNCTION("IFERROR(FILTER('Pit Scouting Responses'!J:J,'Pit Scouting Responses'!C:C=A193),"""")"),"")</f>
        <v/>
      </c>
      <c r="C193" s="85" t="str">
        <f>IF(ISBLANK(A193),"",SUMIF(RawTotals!A$2:A1000, A193, RawTotals!O$2:O1000))</f>
        <v/>
      </c>
      <c r="D193" s="221" t="str">
        <f>IF(ISBLANK(A193),"",SUMIF(RawTotals!A$2:A1000, A193, RawTotals!D$2:D1000) + SUMIF(RawTotals!A$2:A1000, A193, RawTotals!M$2:M1000))</f>
        <v/>
      </c>
      <c r="E193" s="221" t="str">
        <f>IF(ISBLANK(A193),"",SUMIF(RawTotals!A$2:A1000, A193, RawTotals!C$2:C1000) + SUMIF(RawTotals!A$2:A1000, A193, RawTotals!L$2:L1000))</f>
        <v/>
      </c>
      <c r="F193" s="225" t="str">
        <f>IFERROR(__xludf.DUMMYFUNCTION("IFERROR(FILTER('Pit Scouting Responses'!G:G,'Pit Scouting Responses'!C:C=A193),"""")"),"")</f>
        <v/>
      </c>
      <c r="G193" s="226" t="str">
        <f>IFERROR(__xludf.DUMMYFUNCTION("IFERROR(FILTER('Pit Scouting Responses'!D:D,'Pit Scouting Responses'!C:C=A193),"""")"),"")</f>
        <v/>
      </c>
      <c r="H193" s="223" t="str">
        <f>RawTotals!AI193</f>
        <v/>
      </c>
    </row>
    <row r="194">
      <c r="A194" s="224" t="str">
        <f>RawTotals!A194</f>
        <v/>
      </c>
      <c r="B194" s="75" t="str">
        <f>IFERROR(__xludf.DUMMYFUNCTION("IFERROR(FILTER('Pit Scouting Responses'!J:J,'Pit Scouting Responses'!C:C=A194),"""")"),"")</f>
        <v/>
      </c>
      <c r="C194" s="85" t="str">
        <f>IF(ISBLANK(A194),"",SUMIF(RawTotals!A$2:A1000, A194, RawTotals!O$2:O1000))</f>
        <v/>
      </c>
      <c r="D194" s="221" t="str">
        <f>IF(ISBLANK(A194),"",SUMIF(RawTotals!A$2:A1000, A194, RawTotals!D$2:D1000) + SUMIF(RawTotals!A$2:A1000, A194, RawTotals!M$2:M1000))</f>
        <v/>
      </c>
      <c r="E194" s="221" t="str">
        <f>IF(ISBLANK(A194),"",SUMIF(RawTotals!A$2:A1000, A194, RawTotals!C$2:C1000) + SUMIF(RawTotals!A$2:A1000, A194, RawTotals!L$2:L1000))</f>
        <v/>
      </c>
      <c r="F194" s="225" t="str">
        <f>IFERROR(__xludf.DUMMYFUNCTION("IFERROR(FILTER('Pit Scouting Responses'!G:G,'Pit Scouting Responses'!C:C=A194),"""")"),"")</f>
        <v/>
      </c>
      <c r="G194" s="226" t="str">
        <f>IFERROR(__xludf.DUMMYFUNCTION("IFERROR(FILTER('Pit Scouting Responses'!D:D,'Pit Scouting Responses'!C:C=A194),"""")"),"")</f>
        <v/>
      </c>
      <c r="H194" s="223" t="str">
        <f>RawTotals!AI194</f>
        <v/>
      </c>
    </row>
    <row r="195">
      <c r="A195" s="224" t="str">
        <f>RawTotals!A195</f>
        <v/>
      </c>
      <c r="B195" s="75" t="str">
        <f>IFERROR(__xludf.DUMMYFUNCTION("IFERROR(FILTER('Pit Scouting Responses'!J:J,'Pit Scouting Responses'!C:C=A195),"""")"),"")</f>
        <v/>
      </c>
      <c r="C195" s="85" t="str">
        <f>IF(ISBLANK(A195),"",SUMIF(RawTotals!A$2:A1000, A195, RawTotals!O$2:O1000))</f>
        <v/>
      </c>
      <c r="D195" s="221" t="str">
        <f>IF(ISBLANK(A195),"",SUMIF(RawTotals!A$2:A1000, A195, RawTotals!D$2:D1000) + SUMIF(RawTotals!A$2:A1000, A195, RawTotals!M$2:M1000))</f>
        <v/>
      </c>
      <c r="E195" s="221" t="str">
        <f>IF(ISBLANK(A195),"",SUMIF(RawTotals!A$2:A1000, A195, RawTotals!C$2:C1000) + SUMIF(RawTotals!A$2:A1000, A195, RawTotals!L$2:L1000))</f>
        <v/>
      </c>
      <c r="F195" s="225" t="str">
        <f>IFERROR(__xludf.DUMMYFUNCTION("IFERROR(FILTER('Pit Scouting Responses'!G:G,'Pit Scouting Responses'!C:C=A195),"""")"),"")</f>
        <v/>
      </c>
      <c r="G195" s="226" t="str">
        <f>IFERROR(__xludf.DUMMYFUNCTION("IFERROR(FILTER('Pit Scouting Responses'!D:D,'Pit Scouting Responses'!C:C=A195),"""")"),"")</f>
        <v/>
      </c>
      <c r="H195" s="223" t="str">
        <f>RawTotals!AI195</f>
        <v/>
      </c>
    </row>
    <row r="196">
      <c r="A196" s="224" t="str">
        <f>RawTotals!A196</f>
        <v/>
      </c>
      <c r="B196" s="75" t="str">
        <f>IFERROR(__xludf.DUMMYFUNCTION("IFERROR(FILTER('Pit Scouting Responses'!J:J,'Pit Scouting Responses'!C:C=A196),"""")"),"")</f>
        <v/>
      </c>
      <c r="C196" s="85" t="str">
        <f>IF(ISBLANK(A196),"",SUMIF(RawTotals!A$2:A1000, A196, RawTotals!O$2:O1000))</f>
        <v/>
      </c>
      <c r="D196" s="221" t="str">
        <f>IF(ISBLANK(A196),"",SUMIF(RawTotals!A$2:A1000, A196, RawTotals!D$2:D1000) + SUMIF(RawTotals!A$2:A1000, A196, RawTotals!M$2:M1000))</f>
        <v/>
      </c>
      <c r="E196" s="221" t="str">
        <f>IF(ISBLANK(A196),"",SUMIF(RawTotals!A$2:A1000, A196, RawTotals!C$2:C1000) + SUMIF(RawTotals!A$2:A1000, A196, RawTotals!L$2:L1000))</f>
        <v/>
      </c>
      <c r="F196" s="225" t="str">
        <f>IFERROR(__xludf.DUMMYFUNCTION("IFERROR(FILTER('Pit Scouting Responses'!G:G,'Pit Scouting Responses'!C:C=A196),"""")"),"")</f>
        <v/>
      </c>
      <c r="G196" s="226" t="str">
        <f>IFERROR(__xludf.DUMMYFUNCTION("IFERROR(FILTER('Pit Scouting Responses'!D:D,'Pit Scouting Responses'!C:C=A196),"""")"),"")</f>
        <v/>
      </c>
      <c r="H196" s="223" t="str">
        <f>RawTotals!AI196</f>
        <v/>
      </c>
    </row>
    <row r="197">
      <c r="A197" s="224" t="str">
        <f>RawTotals!A197</f>
        <v/>
      </c>
      <c r="B197" s="75" t="str">
        <f>IFERROR(__xludf.DUMMYFUNCTION("IFERROR(FILTER('Pit Scouting Responses'!J:J,'Pit Scouting Responses'!C:C=A197),"""")"),"")</f>
        <v/>
      </c>
      <c r="C197" s="85" t="str">
        <f>IF(ISBLANK(A197),"",SUMIF(RawTotals!A$2:A1000, A197, RawTotals!O$2:O1000))</f>
        <v/>
      </c>
      <c r="D197" s="221" t="str">
        <f>IF(ISBLANK(A197),"",SUMIF(RawTotals!A$2:A1000, A197, RawTotals!D$2:D1000) + SUMIF(RawTotals!A$2:A1000, A197, RawTotals!M$2:M1000))</f>
        <v/>
      </c>
      <c r="E197" s="221" t="str">
        <f>IF(ISBLANK(A197),"",SUMIF(RawTotals!A$2:A1000, A197, RawTotals!C$2:C1000) + SUMIF(RawTotals!A$2:A1000, A197, RawTotals!L$2:L1000))</f>
        <v/>
      </c>
      <c r="F197" s="225" t="str">
        <f>IFERROR(__xludf.DUMMYFUNCTION("IFERROR(FILTER('Pit Scouting Responses'!G:G,'Pit Scouting Responses'!C:C=A197),"""")"),"")</f>
        <v/>
      </c>
      <c r="G197" s="226" t="str">
        <f>IFERROR(__xludf.DUMMYFUNCTION("IFERROR(FILTER('Pit Scouting Responses'!D:D,'Pit Scouting Responses'!C:C=A197),"""")"),"")</f>
        <v/>
      </c>
      <c r="H197" s="223" t="str">
        <f>RawTotals!AI197</f>
        <v/>
      </c>
    </row>
    <row r="198">
      <c r="A198" s="224" t="str">
        <f>RawTotals!A198</f>
        <v/>
      </c>
      <c r="B198" s="75" t="str">
        <f>IFERROR(__xludf.DUMMYFUNCTION("IFERROR(FILTER('Pit Scouting Responses'!J:J,'Pit Scouting Responses'!C:C=A198),"""")"),"")</f>
        <v/>
      </c>
      <c r="C198" s="85" t="str">
        <f>IF(ISBLANK(A198),"",SUMIF(RawTotals!A$2:A1000, A198, RawTotals!O$2:O1000))</f>
        <v/>
      </c>
      <c r="D198" s="221" t="str">
        <f>IF(ISBLANK(A198),"",SUMIF(RawTotals!A$2:A1000, A198, RawTotals!D$2:D1000) + SUMIF(RawTotals!A$2:A1000, A198, RawTotals!M$2:M1000))</f>
        <v/>
      </c>
      <c r="E198" s="221" t="str">
        <f>IF(ISBLANK(A198),"",SUMIF(RawTotals!A$2:A1000, A198, RawTotals!C$2:C1000) + SUMIF(RawTotals!A$2:A1000, A198, RawTotals!L$2:L1000))</f>
        <v/>
      </c>
      <c r="F198" s="225" t="str">
        <f>IFERROR(__xludf.DUMMYFUNCTION("IFERROR(FILTER('Pit Scouting Responses'!G:G,'Pit Scouting Responses'!C:C=A198),"""")"),"")</f>
        <v/>
      </c>
      <c r="G198" s="226" t="str">
        <f>IFERROR(__xludf.DUMMYFUNCTION("IFERROR(FILTER('Pit Scouting Responses'!D:D,'Pit Scouting Responses'!C:C=A198),"""")"),"")</f>
        <v/>
      </c>
      <c r="H198" s="223" t="str">
        <f>RawTotals!AI198</f>
        <v/>
      </c>
    </row>
    <row r="199">
      <c r="A199" s="224" t="str">
        <f>RawTotals!A199</f>
        <v/>
      </c>
      <c r="B199" s="75" t="str">
        <f>IFERROR(__xludf.DUMMYFUNCTION("IFERROR(FILTER('Pit Scouting Responses'!J:J,'Pit Scouting Responses'!C:C=A199),"""")"),"")</f>
        <v/>
      </c>
      <c r="C199" s="85" t="str">
        <f>IF(ISBLANK(A199),"",SUMIF(RawTotals!A$2:A1000, A199, RawTotals!O$2:O1000))</f>
        <v/>
      </c>
      <c r="D199" s="221" t="str">
        <f>IF(ISBLANK(A199),"",SUMIF(RawTotals!A$2:A1000, A199, RawTotals!D$2:D1000) + SUMIF(RawTotals!A$2:A1000, A199, RawTotals!M$2:M1000))</f>
        <v/>
      </c>
      <c r="E199" s="221" t="str">
        <f>IF(ISBLANK(A199),"",SUMIF(RawTotals!A$2:A1000, A199, RawTotals!C$2:C1000) + SUMIF(RawTotals!A$2:A1000, A199, RawTotals!L$2:L1000))</f>
        <v/>
      </c>
      <c r="F199" s="225" t="str">
        <f>IFERROR(__xludf.DUMMYFUNCTION("IFERROR(FILTER('Pit Scouting Responses'!G:G,'Pit Scouting Responses'!C:C=A199),"""")"),"")</f>
        <v/>
      </c>
      <c r="G199" s="226" t="str">
        <f>IFERROR(__xludf.DUMMYFUNCTION("IFERROR(FILTER('Pit Scouting Responses'!D:D,'Pit Scouting Responses'!C:C=A199),"""")"),"")</f>
        <v/>
      </c>
      <c r="H199" s="223" t="str">
        <f>RawTotals!AI199</f>
        <v/>
      </c>
    </row>
    <row r="200">
      <c r="A200" s="224" t="str">
        <f>RawTotals!A200</f>
        <v/>
      </c>
      <c r="B200" s="75" t="str">
        <f>IFERROR(__xludf.DUMMYFUNCTION("IFERROR(FILTER('Pit Scouting Responses'!J:J,'Pit Scouting Responses'!C:C=A200),"""")"),"")</f>
        <v/>
      </c>
      <c r="C200" s="85" t="str">
        <f>IF(ISBLANK(A200),"",SUMIF(RawTotals!A$2:A1000, A200, RawTotals!O$2:O1000))</f>
        <v/>
      </c>
      <c r="D200" s="221" t="str">
        <f>IF(ISBLANK(A200),"",SUMIF(RawTotals!A$2:A1000, A200, RawTotals!D$2:D1000) + SUMIF(RawTotals!A$2:A1000, A200, RawTotals!M$2:M1000))</f>
        <v/>
      </c>
      <c r="E200" s="221" t="str">
        <f>IF(ISBLANK(A200),"",SUMIF(RawTotals!A$2:A1000, A200, RawTotals!C$2:C1000) + SUMIF(RawTotals!A$2:A1000, A200, RawTotals!L$2:L1000))</f>
        <v/>
      </c>
      <c r="F200" s="225" t="str">
        <f>IFERROR(__xludf.DUMMYFUNCTION("IFERROR(FILTER('Pit Scouting Responses'!G:G,'Pit Scouting Responses'!C:C=A200),"""")"),"")</f>
        <v/>
      </c>
      <c r="G200" s="226" t="str">
        <f>IFERROR(__xludf.DUMMYFUNCTION("IFERROR(FILTER('Pit Scouting Responses'!D:D,'Pit Scouting Responses'!C:C=A200),"""")"),"")</f>
        <v/>
      </c>
      <c r="H200" s="223" t="str">
        <f>RawTotals!AI200</f>
        <v/>
      </c>
    </row>
    <row r="201">
      <c r="A201" s="224" t="str">
        <f>RawTotals!A201</f>
        <v/>
      </c>
      <c r="B201" s="75" t="str">
        <f>IFERROR(__xludf.DUMMYFUNCTION("IFERROR(FILTER('Pit Scouting Responses'!J:J,'Pit Scouting Responses'!C:C=A201),"""")"),"")</f>
        <v/>
      </c>
      <c r="C201" s="85" t="str">
        <f>IF(ISBLANK(A201),"",SUMIF(RawTotals!A$2:A1000, A201, RawTotals!O$2:O1000))</f>
        <v/>
      </c>
      <c r="D201" s="221" t="str">
        <f>IF(ISBLANK(A201),"",SUMIF(RawTotals!A$2:A1000, A201, RawTotals!D$2:D1000) + SUMIF(RawTotals!A$2:A1000, A201, RawTotals!M$2:M1000))</f>
        <v/>
      </c>
      <c r="E201" s="221" t="str">
        <f>IF(ISBLANK(A201),"",SUMIF(RawTotals!A$2:A1000, A201, RawTotals!C$2:C1000) + SUMIF(RawTotals!A$2:A1000, A201, RawTotals!L$2:L1000))</f>
        <v/>
      </c>
      <c r="F201" s="225" t="str">
        <f>IFERROR(__xludf.DUMMYFUNCTION("IFERROR(FILTER('Pit Scouting Responses'!G:G,'Pit Scouting Responses'!C:C=A201),"""")"),"")</f>
        <v/>
      </c>
      <c r="G201" s="226" t="str">
        <f>IFERROR(__xludf.DUMMYFUNCTION("IFERROR(FILTER('Pit Scouting Responses'!D:D,'Pit Scouting Responses'!C:C=A201),"""")"),"")</f>
        <v/>
      </c>
      <c r="H201" s="223" t="str">
        <f>RawTotals!AI201</f>
        <v/>
      </c>
    </row>
    <row r="202">
      <c r="A202" s="224" t="str">
        <f>RawTotals!A202</f>
        <v/>
      </c>
      <c r="B202" s="75" t="str">
        <f>IFERROR(__xludf.DUMMYFUNCTION("IFERROR(FILTER('Pit Scouting Responses'!J:J,'Pit Scouting Responses'!C:C=A202),"""")"),"")</f>
        <v/>
      </c>
      <c r="C202" s="85" t="str">
        <f>IF(ISBLANK(A202),"",SUMIF(RawTotals!A$2:A1000, A202, RawTotals!O$2:O1000))</f>
        <v/>
      </c>
      <c r="D202" s="221" t="str">
        <f>IF(ISBLANK(A202),"",SUMIF(RawTotals!A$2:A1000, A202, RawTotals!D$2:D1000) + SUMIF(RawTotals!A$2:A1000, A202, RawTotals!M$2:M1000))</f>
        <v/>
      </c>
      <c r="E202" s="221" t="str">
        <f>IF(ISBLANK(A202),"",SUMIF(RawTotals!A$2:A1000, A202, RawTotals!C$2:C1000) + SUMIF(RawTotals!A$2:A1000, A202, RawTotals!L$2:L1000))</f>
        <v/>
      </c>
      <c r="F202" s="225" t="str">
        <f>IFERROR(__xludf.DUMMYFUNCTION("IFERROR(FILTER('Pit Scouting Responses'!G:G,'Pit Scouting Responses'!C:C=A202),"""")"),"")</f>
        <v/>
      </c>
      <c r="G202" s="226" t="str">
        <f>IFERROR(__xludf.DUMMYFUNCTION("IFERROR(FILTER('Pit Scouting Responses'!D:D,'Pit Scouting Responses'!C:C=A202),"""")"),"")</f>
        <v/>
      </c>
      <c r="H202" s="223" t="str">
        <f>RawTotals!AI202</f>
        <v/>
      </c>
    </row>
    <row r="203">
      <c r="A203" s="224" t="str">
        <f>RawTotals!A203</f>
        <v/>
      </c>
      <c r="B203" s="75" t="str">
        <f>IFERROR(__xludf.DUMMYFUNCTION("IFERROR(FILTER('Pit Scouting Responses'!J:J,'Pit Scouting Responses'!C:C=A203),"""")"),"")</f>
        <v/>
      </c>
      <c r="C203" s="85" t="str">
        <f>IF(ISBLANK(A203),"",SUMIF(RawTotals!A$2:A1000, A203, RawTotals!O$2:O1000))</f>
        <v/>
      </c>
      <c r="D203" s="221" t="str">
        <f>IF(ISBLANK(A203),"",SUMIF(RawTotals!A$2:A1000, A203, RawTotals!D$2:D1000) + SUMIF(RawTotals!A$2:A1000, A203, RawTotals!M$2:M1000))</f>
        <v/>
      </c>
      <c r="E203" s="221" t="str">
        <f>IF(ISBLANK(A203),"",SUMIF(RawTotals!A$2:A1000, A203, RawTotals!C$2:C1000) + SUMIF(RawTotals!A$2:A1000, A203, RawTotals!L$2:L1000))</f>
        <v/>
      </c>
      <c r="F203" s="225" t="str">
        <f>IFERROR(__xludf.DUMMYFUNCTION("IFERROR(FILTER('Pit Scouting Responses'!G:G,'Pit Scouting Responses'!C:C=A203),"""")"),"")</f>
        <v/>
      </c>
      <c r="G203" s="226" t="str">
        <f>IFERROR(__xludf.DUMMYFUNCTION("IFERROR(FILTER('Pit Scouting Responses'!D:D,'Pit Scouting Responses'!C:C=A203),"""")"),"")</f>
        <v/>
      </c>
      <c r="H203" s="223" t="str">
        <f>RawTotals!AI203</f>
        <v/>
      </c>
    </row>
    <row r="204">
      <c r="A204" s="224" t="str">
        <f>RawTotals!A204</f>
        <v/>
      </c>
      <c r="B204" s="75" t="str">
        <f>IFERROR(__xludf.DUMMYFUNCTION("IFERROR(FILTER('Pit Scouting Responses'!J:J,'Pit Scouting Responses'!C:C=A204),"""")"),"")</f>
        <v/>
      </c>
      <c r="C204" s="85" t="str">
        <f>IF(ISBLANK(A204),"",SUMIF(RawTotals!A$2:A1000, A204, RawTotals!O$2:O1000))</f>
        <v/>
      </c>
      <c r="D204" s="221" t="str">
        <f>IF(ISBLANK(A204),"",SUMIF(RawTotals!A$2:A1000, A204, RawTotals!D$2:D1000) + SUMIF(RawTotals!A$2:A1000, A204, RawTotals!M$2:M1000))</f>
        <v/>
      </c>
      <c r="E204" s="221" t="str">
        <f>IF(ISBLANK(A204),"",SUMIF(RawTotals!A$2:A1000, A204, RawTotals!C$2:C1000) + SUMIF(RawTotals!A$2:A1000, A204, RawTotals!L$2:L1000))</f>
        <v/>
      </c>
      <c r="F204" s="225" t="str">
        <f>IFERROR(__xludf.DUMMYFUNCTION("IFERROR(FILTER('Pit Scouting Responses'!G:G,'Pit Scouting Responses'!C:C=A204),"""")"),"")</f>
        <v/>
      </c>
      <c r="G204" s="226" t="str">
        <f>IFERROR(__xludf.DUMMYFUNCTION("IFERROR(FILTER('Pit Scouting Responses'!D:D,'Pit Scouting Responses'!C:C=A204),"""")"),"")</f>
        <v/>
      </c>
      <c r="H204" s="223" t="str">
        <f>RawTotals!AI204</f>
        <v/>
      </c>
    </row>
    <row r="205">
      <c r="A205" s="224" t="str">
        <f>RawTotals!A205</f>
        <v/>
      </c>
      <c r="B205" s="75" t="str">
        <f>IFERROR(__xludf.DUMMYFUNCTION("IFERROR(FILTER('Pit Scouting Responses'!J:J,'Pit Scouting Responses'!C:C=A205),"""")"),"")</f>
        <v/>
      </c>
      <c r="C205" s="85" t="str">
        <f>IF(ISBLANK(A205),"",SUMIF(RawTotals!A$2:A1000, A205, RawTotals!O$2:O1000))</f>
        <v/>
      </c>
      <c r="D205" s="221" t="str">
        <f>IF(ISBLANK(A205),"",SUMIF(RawTotals!A$2:A1000, A205, RawTotals!D$2:D1000) + SUMIF(RawTotals!A$2:A1000, A205, RawTotals!M$2:M1000))</f>
        <v/>
      </c>
      <c r="E205" s="221" t="str">
        <f>IF(ISBLANK(A205),"",SUMIF(RawTotals!A$2:A1000, A205, RawTotals!C$2:C1000) + SUMIF(RawTotals!A$2:A1000, A205, RawTotals!L$2:L1000))</f>
        <v/>
      </c>
      <c r="F205" s="225" t="str">
        <f>IFERROR(__xludf.DUMMYFUNCTION("IFERROR(FILTER('Pit Scouting Responses'!G:G,'Pit Scouting Responses'!C:C=A205),"""")"),"")</f>
        <v/>
      </c>
      <c r="G205" s="226" t="str">
        <f>IFERROR(__xludf.DUMMYFUNCTION("IFERROR(FILTER('Pit Scouting Responses'!D:D,'Pit Scouting Responses'!C:C=A205),"""")"),"")</f>
        <v/>
      </c>
      <c r="H205" s="223" t="str">
        <f>RawTotals!AI205</f>
        <v/>
      </c>
    </row>
    <row r="206">
      <c r="A206" s="224" t="str">
        <f>RawTotals!A206</f>
        <v/>
      </c>
      <c r="B206" s="75" t="str">
        <f>IFERROR(__xludf.DUMMYFUNCTION("IFERROR(FILTER('Pit Scouting Responses'!J:J,'Pit Scouting Responses'!C:C=A206),"""")"),"")</f>
        <v/>
      </c>
      <c r="C206" s="85" t="str">
        <f>IF(ISBLANK(A206),"",SUMIF(RawTotals!A$2:A1000, A206, RawTotals!O$2:O1000))</f>
        <v/>
      </c>
      <c r="D206" s="221" t="str">
        <f>IF(ISBLANK(A206),"",SUMIF(RawTotals!A$2:A1000, A206, RawTotals!D$2:D1000) + SUMIF(RawTotals!A$2:A1000, A206, RawTotals!M$2:M1000))</f>
        <v/>
      </c>
      <c r="E206" s="221" t="str">
        <f>IF(ISBLANK(A206),"",SUMIF(RawTotals!A$2:A1000, A206, RawTotals!C$2:C1000) + SUMIF(RawTotals!A$2:A1000, A206, RawTotals!L$2:L1000))</f>
        <v/>
      </c>
      <c r="F206" s="225" t="str">
        <f>IFERROR(__xludf.DUMMYFUNCTION("IFERROR(FILTER('Pit Scouting Responses'!G:G,'Pit Scouting Responses'!C:C=A206),"""")"),"")</f>
        <v/>
      </c>
      <c r="G206" s="226" t="str">
        <f>IFERROR(__xludf.DUMMYFUNCTION("IFERROR(FILTER('Pit Scouting Responses'!D:D,'Pit Scouting Responses'!C:C=A206),"""")"),"")</f>
        <v/>
      </c>
      <c r="H206" s="223" t="str">
        <f>RawTotals!AI206</f>
        <v/>
      </c>
    </row>
    <row r="207">
      <c r="A207" s="224" t="str">
        <f>RawTotals!A207</f>
        <v/>
      </c>
      <c r="B207" s="75" t="str">
        <f>IFERROR(__xludf.DUMMYFUNCTION("IFERROR(FILTER('Pit Scouting Responses'!J:J,'Pit Scouting Responses'!C:C=A207),"""")"),"")</f>
        <v/>
      </c>
      <c r="C207" s="85" t="str">
        <f>IF(ISBLANK(A207),"",SUMIF(RawTotals!A$2:A1000, A207, RawTotals!O$2:O1000))</f>
        <v/>
      </c>
      <c r="D207" s="221" t="str">
        <f>IF(ISBLANK(A207),"",SUMIF(RawTotals!A$2:A1000, A207, RawTotals!D$2:D1000) + SUMIF(RawTotals!A$2:A1000, A207, RawTotals!M$2:M1000))</f>
        <v/>
      </c>
      <c r="E207" s="221" t="str">
        <f>IF(ISBLANK(A207),"",SUMIF(RawTotals!A$2:A1000, A207, RawTotals!C$2:C1000) + SUMIF(RawTotals!A$2:A1000, A207, RawTotals!L$2:L1000))</f>
        <v/>
      </c>
      <c r="F207" s="225" t="str">
        <f>IFERROR(__xludf.DUMMYFUNCTION("IFERROR(FILTER('Pit Scouting Responses'!G:G,'Pit Scouting Responses'!C:C=A207),"""")"),"")</f>
        <v/>
      </c>
      <c r="G207" s="226" t="str">
        <f>IFERROR(__xludf.DUMMYFUNCTION("IFERROR(FILTER('Pit Scouting Responses'!D:D,'Pit Scouting Responses'!C:C=A207),"""")"),"")</f>
        <v/>
      </c>
      <c r="H207" s="223" t="str">
        <f>RawTotals!AI207</f>
        <v/>
      </c>
    </row>
    <row r="208">
      <c r="A208" s="224" t="str">
        <f>RawTotals!A208</f>
        <v/>
      </c>
      <c r="B208" s="75" t="str">
        <f>IFERROR(__xludf.DUMMYFUNCTION("IFERROR(FILTER('Pit Scouting Responses'!J:J,'Pit Scouting Responses'!C:C=A208),"""")"),"")</f>
        <v/>
      </c>
      <c r="C208" s="85" t="str">
        <f>IF(ISBLANK(A208),"",SUMIF(RawTotals!A$2:A1000, A208, RawTotals!O$2:O1000))</f>
        <v/>
      </c>
      <c r="D208" s="221" t="str">
        <f>IF(ISBLANK(A208),"",SUMIF(RawTotals!A$2:A1000, A208, RawTotals!D$2:D1000) + SUMIF(RawTotals!A$2:A1000, A208, RawTotals!M$2:M1000))</f>
        <v/>
      </c>
      <c r="E208" s="221" t="str">
        <f>IF(ISBLANK(A208),"",SUMIF(RawTotals!A$2:A1000, A208, RawTotals!C$2:C1000) + SUMIF(RawTotals!A$2:A1000, A208, RawTotals!L$2:L1000))</f>
        <v/>
      </c>
      <c r="F208" s="225" t="str">
        <f>IFERROR(__xludf.DUMMYFUNCTION("IFERROR(FILTER('Pit Scouting Responses'!G:G,'Pit Scouting Responses'!C:C=A208),"""")"),"")</f>
        <v/>
      </c>
      <c r="G208" s="226" t="str">
        <f>IFERROR(__xludf.DUMMYFUNCTION("IFERROR(FILTER('Pit Scouting Responses'!D:D,'Pit Scouting Responses'!C:C=A208),"""")"),"")</f>
        <v/>
      </c>
      <c r="H208" s="223" t="str">
        <f>RawTotals!AI208</f>
        <v/>
      </c>
    </row>
    <row r="209">
      <c r="A209" s="224" t="str">
        <f>RawTotals!A209</f>
        <v/>
      </c>
      <c r="B209" s="75" t="str">
        <f>IFERROR(__xludf.DUMMYFUNCTION("IFERROR(FILTER('Pit Scouting Responses'!J:J,'Pit Scouting Responses'!C:C=A209),"""")"),"")</f>
        <v/>
      </c>
      <c r="C209" s="85" t="str">
        <f>IF(ISBLANK(A209),"",SUMIF(RawTotals!A$2:A1000, A209, RawTotals!O$2:O1000))</f>
        <v/>
      </c>
      <c r="D209" s="221" t="str">
        <f>IF(ISBLANK(A209),"",SUMIF(RawTotals!A$2:A1000, A209, RawTotals!D$2:D1000) + SUMIF(RawTotals!A$2:A1000, A209, RawTotals!M$2:M1000))</f>
        <v/>
      </c>
      <c r="E209" s="221" t="str">
        <f>IF(ISBLANK(A209),"",SUMIF(RawTotals!A$2:A1000, A209, RawTotals!C$2:C1000) + SUMIF(RawTotals!A$2:A1000, A209, RawTotals!L$2:L1000))</f>
        <v/>
      </c>
      <c r="F209" s="225" t="str">
        <f>IFERROR(__xludf.DUMMYFUNCTION("IFERROR(FILTER('Pit Scouting Responses'!G:G,'Pit Scouting Responses'!C:C=A209),"""")"),"")</f>
        <v/>
      </c>
      <c r="G209" s="226" t="str">
        <f>IFERROR(__xludf.DUMMYFUNCTION("IFERROR(FILTER('Pit Scouting Responses'!D:D,'Pit Scouting Responses'!C:C=A209),"""")"),"")</f>
        <v/>
      </c>
      <c r="H209" s="223" t="str">
        <f>RawTotals!AI209</f>
        <v/>
      </c>
    </row>
    <row r="210">
      <c r="A210" s="224" t="str">
        <f>RawTotals!A210</f>
        <v/>
      </c>
      <c r="B210" s="75" t="str">
        <f>IFERROR(__xludf.DUMMYFUNCTION("IFERROR(FILTER('Pit Scouting Responses'!J:J,'Pit Scouting Responses'!C:C=A210),"""")"),"")</f>
        <v/>
      </c>
      <c r="C210" s="85" t="str">
        <f>IF(ISBLANK(A210),"",SUMIF(RawTotals!A$2:A1000, A210, RawTotals!O$2:O1000))</f>
        <v/>
      </c>
      <c r="D210" s="221" t="str">
        <f>IF(ISBLANK(A210),"",SUMIF(RawTotals!A$2:A1000, A210, RawTotals!D$2:D1000) + SUMIF(RawTotals!A$2:A1000, A210, RawTotals!M$2:M1000))</f>
        <v/>
      </c>
      <c r="E210" s="221" t="str">
        <f>IF(ISBLANK(A210),"",SUMIF(RawTotals!A$2:A1000, A210, RawTotals!C$2:C1000) + SUMIF(RawTotals!A$2:A1000, A210, RawTotals!L$2:L1000))</f>
        <v/>
      </c>
      <c r="F210" s="225" t="str">
        <f>IFERROR(__xludf.DUMMYFUNCTION("IFERROR(FILTER('Pit Scouting Responses'!G:G,'Pit Scouting Responses'!C:C=A210),"""")"),"")</f>
        <v/>
      </c>
      <c r="G210" s="226" t="str">
        <f>IFERROR(__xludf.DUMMYFUNCTION("IFERROR(FILTER('Pit Scouting Responses'!D:D,'Pit Scouting Responses'!C:C=A210),"""")"),"")</f>
        <v/>
      </c>
      <c r="H210" s="223" t="str">
        <f>RawTotals!AI210</f>
        <v/>
      </c>
    </row>
    <row r="211">
      <c r="A211" s="224" t="str">
        <f>RawTotals!A211</f>
        <v/>
      </c>
      <c r="B211" s="75" t="str">
        <f>IFERROR(__xludf.DUMMYFUNCTION("IFERROR(FILTER('Pit Scouting Responses'!J:J,'Pit Scouting Responses'!C:C=A211),"""")"),"")</f>
        <v/>
      </c>
      <c r="C211" s="85" t="str">
        <f>IF(ISBLANK(A211),"",SUMIF(RawTotals!A$2:A1000, A211, RawTotals!O$2:O1000))</f>
        <v/>
      </c>
      <c r="D211" s="221" t="str">
        <f>IF(ISBLANK(A211),"",SUMIF(RawTotals!A$2:A1000, A211, RawTotals!D$2:D1000) + SUMIF(RawTotals!A$2:A1000, A211, RawTotals!M$2:M1000))</f>
        <v/>
      </c>
      <c r="E211" s="221" t="str">
        <f>IF(ISBLANK(A211),"",SUMIF(RawTotals!A$2:A1000, A211, RawTotals!C$2:C1000) + SUMIF(RawTotals!A$2:A1000, A211, RawTotals!L$2:L1000))</f>
        <v/>
      </c>
      <c r="F211" s="225" t="str">
        <f>IFERROR(__xludf.DUMMYFUNCTION("IFERROR(FILTER('Pit Scouting Responses'!G:G,'Pit Scouting Responses'!C:C=A211),"""")"),"")</f>
        <v/>
      </c>
      <c r="G211" s="226" t="str">
        <f>IFERROR(__xludf.DUMMYFUNCTION("IFERROR(FILTER('Pit Scouting Responses'!D:D,'Pit Scouting Responses'!C:C=A211),"""")"),"")</f>
        <v/>
      </c>
      <c r="H211" s="223" t="str">
        <f>RawTotals!AI211</f>
        <v/>
      </c>
    </row>
    <row r="212">
      <c r="A212" s="224" t="str">
        <f>RawTotals!A212</f>
        <v/>
      </c>
      <c r="B212" s="75" t="str">
        <f>IFERROR(__xludf.DUMMYFUNCTION("IFERROR(FILTER('Pit Scouting Responses'!J:J,'Pit Scouting Responses'!C:C=A212),"""")"),"")</f>
        <v/>
      </c>
      <c r="C212" s="85" t="str">
        <f>IF(ISBLANK(A212),"",SUMIF(RawTotals!A$2:A1000, A212, RawTotals!O$2:O1000))</f>
        <v/>
      </c>
      <c r="D212" s="221" t="str">
        <f>IF(ISBLANK(A212),"",SUMIF(RawTotals!A$2:A1000, A212, RawTotals!D$2:D1000) + SUMIF(RawTotals!A$2:A1000, A212, RawTotals!M$2:M1000))</f>
        <v/>
      </c>
      <c r="E212" s="221" t="str">
        <f>IF(ISBLANK(A212),"",SUMIF(RawTotals!A$2:A1000, A212, RawTotals!C$2:C1000) + SUMIF(RawTotals!A$2:A1000, A212, RawTotals!L$2:L1000))</f>
        <v/>
      </c>
      <c r="F212" s="225" t="str">
        <f>IFERROR(__xludf.DUMMYFUNCTION("IFERROR(FILTER('Pit Scouting Responses'!G:G,'Pit Scouting Responses'!C:C=A212),"""")"),"")</f>
        <v/>
      </c>
      <c r="G212" s="226" t="str">
        <f>IFERROR(__xludf.DUMMYFUNCTION("IFERROR(FILTER('Pit Scouting Responses'!D:D,'Pit Scouting Responses'!C:C=A212),"""")"),"")</f>
        <v/>
      </c>
      <c r="H212" s="223" t="str">
        <f>RawTotals!AI212</f>
        <v/>
      </c>
    </row>
    <row r="213">
      <c r="A213" s="224" t="str">
        <f>RawTotals!A213</f>
        <v/>
      </c>
      <c r="B213" s="75" t="str">
        <f>IFERROR(__xludf.DUMMYFUNCTION("IFERROR(FILTER('Pit Scouting Responses'!J:J,'Pit Scouting Responses'!C:C=A213),"""")"),"")</f>
        <v/>
      </c>
      <c r="C213" s="85" t="str">
        <f>IF(ISBLANK(A213),"",SUMIF(RawTotals!A$2:A1000, A213, RawTotals!O$2:O1000))</f>
        <v/>
      </c>
      <c r="D213" s="221" t="str">
        <f>IF(ISBLANK(A213),"",SUMIF(RawTotals!A$2:A1000, A213, RawTotals!D$2:D1000) + SUMIF(RawTotals!A$2:A1000, A213, RawTotals!M$2:M1000))</f>
        <v/>
      </c>
      <c r="E213" s="221" t="str">
        <f>IF(ISBLANK(A213),"",SUMIF(RawTotals!A$2:A1000, A213, RawTotals!C$2:C1000) + SUMIF(RawTotals!A$2:A1000, A213, RawTotals!L$2:L1000))</f>
        <v/>
      </c>
      <c r="F213" s="225" t="str">
        <f>IFERROR(__xludf.DUMMYFUNCTION("IFERROR(FILTER('Pit Scouting Responses'!G:G,'Pit Scouting Responses'!C:C=A213),"""")"),"")</f>
        <v/>
      </c>
      <c r="G213" s="226" t="str">
        <f>IFERROR(__xludf.DUMMYFUNCTION("IFERROR(FILTER('Pit Scouting Responses'!D:D,'Pit Scouting Responses'!C:C=A213),"""")"),"")</f>
        <v/>
      </c>
      <c r="H213" s="223" t="str">
        <f>RawTotals!AI213</f>
        <v/>
      </c>
    </row>
    <row r="214">
      <c r="A214" s="224" t="str">
        <f>RawTotals!A214</f>
        <v/>
      </c>
      <c r="B214" s="75" t="str">
        <f>IFERROR(__xludf.DUMMYFUNCTION("IFERROR(FILTER('Pit Scouting Responses'!J:J,'Pit Scouting Responses'!C:C=A214),"""")"),"")</f>
        <v/>
      </c>
      <c r="C214" s="85" t="str">
        <f>IF(ISBLANK(A214),"",SUMIF(RawTotals!A$2:A1000, A214, RawTotals!O$2:O1000))</f>
        <v/>
      </c>
      <c r="D214" s="221" t="str">
        <f>IF(ISBLANK(A214),"",SUMIF(RawTotals!A$2:A1000, A214, RawTotals!D$2:D1000) + SUMIF(RawTotals!A$2:A1000, A214, RawTotals!M$2:M1000))</f>
        <v/>
      </c>
      <c r="E214" s="221" t="str">
        <f>IF(ISBLANK(A214),"",SUMIF(RawTotals!A$2:A1000, A214, RawTotals!C$2:C1000) + SUMIF(RawTotals!A$2:A1000, A214, RawTotals!L$2:L1000))</f>
        <v/>
      </c>
      <c r="F214" s="225" t="str">
        <f>IFERROR(__xludf.DUMMYFUNCTION("IFERROR(FILTER('Pit Scouting Responses'!G:G,'Pit Scouting Responses'!C:C=A214),"""")"),"")</f>
        <v/>
      </c>
      <c r="G214" s="226" t="str">
        <f>IFERROR(__xludf.DUMMYFUNCTION("IFERROR(FILTER('Pit Scouting Responses'!D:D,'Pit Scouting Responses'!C:C=A214),"""")"),"")</f>
        <v/>
      </c>
      <c r="H214" s="223" t="str">
        <f>RawTotals!AI214</f>
        <v/>
      </c>
    </row>
    <row r="215">
      <c r="A215" s="224" t="str">
        <f>RawTotals!A215</f>
        <v/>
      </c>
      <c r="B215" s="75" t="str">
        <f>IFERROR(__xludf.DUMMYFUNCTION("IFERROR(FILTER('Pit Scouting Responses'!J:J,'Pit Scouting Responses'!C:C=A215),"""")"),"")</f>
        <v/>
      </c>
      <c r="C215" s="85" t="str">
        <f>IF(ISBLANK(A215),"",SUMIF(RawTotals!A$2:A1000, A215, RawTotals!O$2:O1000))</f>
        <v/>
      </c>
      <c r="D215" s="221" t="str">
        <f>IF(ISBLANK(A215),"",SUMIF(RawTotals!A$2:A1000, A215, RawTotals!D$2:D1000) + SUMIF(RawTotals!A$2:A1000, A215, RawTotals!M$2:M1000))</f>
        <v/>
      </c>
      <c r="E215" s="221" t="str">
        <f>IF(ISBLANK(A215),"",SUMIF(RawTotals!A$2:A1000, A215, RawTotals!C$2:C1000) + SUMIF(RawTotals!A$2:A1000, A215, RawTotals!L$2:L1000))</f>
        <v/>
      </c>
      <c r="F215" s="225" t="str">
        <f>IFERROR(__xludf.DUMMYFUNCTION("IFERROR(FILTER('Pit Scouting Responses'!G:G,'Pit Scouting Responses'!C:C=A215),"""")"),"")</f>
        <v/>
      </c>
      <c r="G215" s="226" t="str">
        <f>IFERROR(__xludf.DUMMYFUNCTION("IFERROR(FILTER('Pit Scouting Responses'!D:D,'Pit Scouting Responses'!C:C=A215),"""")"),"")</f>
        <v/>
      </c>
      <c r="H215" s="223" t="str">
        <f>RawTotals!AI215</f>
        <v/>
      </c>
    </row>
    <row r="216">
      <c r="A216" s="224" t="str">
        <f>RawTotals!A216</f>
        <v/>
      </c>
      <c r="B216" s="75" t="str">
        <f>IFERROR(__xludf.DUMMYFUNCTION("IFERROR(FILTER('Pit Scouting Responses'!J:J,'Pit Scouting Responses'!C:C=A216),"""")"),"")</f>
        <v/>
      </c>
      <c r="C216" s="85" t="str">
        <f>IF(ISBLANK(A216),"",SUMIF(RawTotals!A$2:A1000, A216, RawTotals!O$2:O1000))</f>
        <v/>
      </c>
      <c r="D216" s="221" t="str">
        <f>IF(ISBLANK(A216),"",SUMIF(RawTotals!A$2:A1000, A216, RawTotals!D$2:D1000) + SUMIF(RawTotals!A$2:A1000, A216, RawTotals!M$2:M1000))</f>
        <v/>
      </c>
      <c r="E216" s="221" t="str">
        <f>IF(ISBLANK(A216),"",SUMIF(RawTotals!A$2:A1000, A216, RawTotals!C$2:C1000) + SUMIF(RawTotals!A$2:A1000, A216, RawTotals!L$2:L1000))</f>
        <v/>
      </c>
      <c r="F216" s="225" t="str">
        <f>IFERROR(__xludf.DUMMYFUNCTION("IFERROR(FILTER('Pit Scouting Responses'!G:G,'Pit Scouting Responses'!C:C=A216),"""")"),"")</f>
        <v/>
      </c>
      <c r="G216" s="226" t="str">
        <f>IFERROR(__xludf.DUMMYFUNCTION("IFERROR(FILTER('Pit Scouting Responses'!D:D,'Pit Scouting Responses'!C:C=A216),"""")"),"")</f>
        <v/>
      </c>
      <c r="H216" s="223" t="str">
        <f>RawTotals!AI216</f>
        <v/>
      </c>
    </row>
    <row r="217">
      <c r="A217" s="224" t="str">
        <f>RawTotals!A217</f>
        <v/>
      </c>
      <c r="B217" s="75" t="str">
        <f>IFERROR(__xludf.DUMMYFUNCTION("IFERROR(FILTER('Pit Scouting Responses'!J:J,'Pit Scouting Responses'!C:C=A217),"""")"),"")</f>
        <v/>
      </c>
      <c r="C217" s="85" t="str">
        <f>IF(ISBLANK(A217),"",SUMIF(RawTotals!A$2:A1000, A217, RawTotals!O$2:O1000))</f>
        <v/>
      </c>
      <c r="D217" s="221" t="str">
        <f>IF(ISBLANK(A217),"",SUMIF(RawTotals!A$2:A1000, A217, RawTotals!D$2:D1000) + SUMIF(RawTotals!A$2:A1000, A217, RawTotals!M$2:M1000))</f>
        <v/>
      </c>
      <c r="E217" s="221" t="str">
        <f>IF(ISBLANK(A217),"",SUMIF(RawTotals!A$2:A1000, A217, RawTotals!C$2:C1000) + SUMIF(RawTotals!A$2:A1000, A217, RawTotals!L$2:L1000))</f>
        <v/>
      </c>
      <c r="F217" s="225" t="str">
        <f>IFERROR(__xludf.DUMMYFUNCTION("IFERROR(FILTER('Pit Scouting Responses'!G:G,'Pit Scouting Responses'!C:C=A217),"""")"),"")</f>
        <v/>
      </c>
      <c r="G217" s="226" t="str">
        <f>IFERROR(__xludf.DUMMYFUNCTION("IFERROR(FILTER('Pit Scouting Responses'!D:D,'Pit Scouting Responses'!C:C=A217),"""")"),"")</f>
        <v/>
      </c>
      <c r="H217" s="223" t="str">
        <f>RawTotals!AI217</f>
        <v/>
      </c>
    </row>
    <row r="218">
      <c r="A218" s="224" t="str">
        <f>RawTotals!A218</f>
        <v/>
      </c>
      <c r="B218" s="75" t="str">
        <f>IFERROR(__xludf.DUMMYFUNCTION("IFERROR(FILTER('Pit Scouting Responses'!J:J,'Pit Scouting Responses'!C:C=A218),"""")"),"")</f>
        <v/>
      </c>
      <c r="C218" s="85" t="str">
        <f>IF(ISBLANK(A218),"",SUMIF(RawTotals!A$2:A1000, A218, RawTotals!O$2:O1000))</f>
        <v/>
      </c>
      <c r="D218" s="221" t="str">
        <f>IF(ISBLANK(A218),"",SUMIF(RawTotals!A$2:A1000, A218, RawTotals!D$2:D1000) + SUMIF(RawTotals!A$2:A1000, A218, RawTotals!M$2:M1000))</f>
        <v/>
      </c>
      <c r="E218" s="221" t="str">
        <f>IF(ISBLANK(A218),"",SUMIF(RawTotals!A$2:A1000, A218, RawTotals!C$2:C1000) + SUMIF(RawTotals!A$2:A1000, A218, RawTotals!L$2:L1000))</f>
        <v/>
      </c>
      <c r="F218" s="225" t="str">
        <f>IFERROR(__xludf.DUMMYFUNCTION("IFERROR(FILTER('Pit Scouting Responses'!G:G,'Pit Scouting Responses'!C:C=A218),"""")"),"")</f>
        <v/>
      </c>
      <c r="G218" s="226" t="str">
        <f>IFERROR(__xludf.DUMMYFUNCTION("IFERROR(FILTER('Pit Scouting Responses'!D:D,'Pit Scouting Responses'!C:C=A218),"""")"),"")</f>
        <v/>
      </c>
      <c r="H218" s="223" t="str">
        <f>RawTotals!AI218</f>
        <v/>
      </c>
    </row>
    <row r="219">
      <c r="A219" s="224" t="str">
        <f>RawTotals!A219</f>
        <v/>
      </c>
      <c r="B219" s="75" t="str">
        <f>IFERROR(__xludf.DUMMYFUNCTION("IFERROR(FILTER('Pit Scouting Responses'!J:J,'Pit Scouting Responses'!C:C=A219),"""")"),"")</f>
        <v/>
      </c>
      <c r="C219" s="85" t="str">
        <f>IF(ISBLANK(A219),"",SUMIF(RawTotals!A$2:A1000, A219, RawTotals!O$2:O1000))</f>
        <v/>
      </c>
      <c r="D219" s="221" t="str">
        <f>IF(ISBLANK(A219),"",SUMIF(RawTotals!A$2:A1000, A219, RawTotals!D$2:D1000) + SUMIF(RawTotals!A$2:A1000, A219, RawTotals!M$2:M1000))</f>
        <v/>
      </c>
      <c r="E219" s="221" t="str">
        <f>IF(ISBLANK(A219),"",SUMIF(RawTotals!A$2:A1000, A219, RawTotals!C$2:C1000) + SUMIF(RawTotals!A$2:A1000, A219, RawTotals!L$2:L1000))</f>
        <v/>
      </c>
      <c r="F219" s="225" t="str">
        <f>IFERROR(__xludf.DUMMYFUNCTION("IFERROR(FILTER('Pit Scouting Responses'!G:G,'Pit Scouting Responses'!C:C=A219),"""")"),"")</f>
        <v/>
      </c>
      <c r="G219" s="226" t="str">
        <f>IFERROR(__xludf.DUMMYFUNCTION("IFERROR(FILTER('Pit Scouting Responses'!D:D,'Pit Scouting Responses'!C:C=A219),"""")"),"")</f>
        <v/>
      </c>
      <c r="H219" s="223" t="str">
        <f>RawTotals!AI219</f>
        <v/>
      </c>
    </row>
    <row r="220">
      <c r="A220" s="224" t="str">
        <f>RawTotals!A220</f>
        <v/>
      </c>
      <c r="B220" s="75" t="str">
        <f>IFERROR(__xludf.DUMMYFUNCTION("IFERROR(FILTER('Pit Scouting Responses'!J:J,'Pit Scouting Responses'!C:C=A220),"""")"),"")</f>
        <v/>
      </c>
      <c r="C220" s="85" t="str">
        <f>IF(ISBLANK(A220),"",SUMIF(RawTotals!A$2:A1000, A220, RawTotals!O$2:O1000))</f>
        <v/>
      </c>
      <c r="D220" s="221" t="str">
        <f>IF(ISBLANK(A220),"",SUMIF(RawTotals!A$2:A1000, A220, RawTotals!D$2:D1000) + SUMIF(RawTotals!A$2:A1000, A220, RawTotals!M$2:M1000))</f>
        <v/>
      </c>
      <c r="E220" s="221" t="str">
        <f>IF(ISBLANK(A220),"",SUMIF(RawTotals!A$2:A1000, A220, RawTotals!C$2:C1000) + SUMIF(RawTotals!A$2:A1000, A220, RawTotals!L$2:L1000))</f>
        <v/>
      </c>
      <c r="F220" s="225" t="str">
        <f>IFERROR(__xludf.DUMMYFUNCTION("IFERROR(FILTER('Pit Scouting Responses'!G:G,'Pit Scouting Responses'!C:C=A220),"""")"),"")</f>
        <v/>
      </c>
      <c r="G220" s="226" t="str">
        <f>IFERROR(__xludf.DUMMYFUNCTION("IFERROR(FILTER('Pit Scouting Responses'!D:D,'Pit Scouting Responses'!C:C=A220),"""")"),"")</f>
        <v/>
      </c>
      <c r="H220" s="223" t="str">
        <f>RawTotals!AI220</f>
        <v/>
      </c>
    </row>
    <row r="221">
      <c r="A221" s="224" t="str">
        <f>RawTotals!A221</f>
        <v/>
      </c>
      <c r="B221" s="75" t="str">
        <f>IFERROR(__xludf.DUMMYFUNCTION("IFERROR(FILTER('Pit Scouting Responses'!J:J,'Pit Scouting Responses'!C:C=A221),"""")"),"")</f>
        <v/>
      </c>
      <c r="C221" s="85" t="str">
        <f>IF(ISBLANK(A221),"",SUMIF(RawTotals!A$2:A1000, A221, RawTotals!O$2:O1000))</f>
        <v/>
      </c>
      <c r="D221" s="221" t="str">
        <f>IF(ISBLANK(A221),"",SUMIF(RawTotals!A$2:A1000, A221, RawTotals!D$2:D1000) + SUMIF(RawTotals!A$2:A1000, A221, RawTotals!M$2:M1000))</f>
        <v/>
      </c>
      <c r="E221" s="221" t="str">
        <f>IF(ISBLANK(A221),"",SUMIF(RawTotals!A$2:A1000, A221, RawTotals!C$2:C1000) + SUMIF(RawTotals!A$2:A1000, A221, RawTotals!L$2:L1000))</f>
        <v/>
      </c>
      <c r="F221" s="225" t="str">
        <f>IFERROR(__xludf.DUMMYFUNCTION("IFERROR(FILTER('Pit Scouting Responses'!G:G,'Pit Scouting Responses'!C:C=A221),"""")"),"")</f>
        <v/>
      </c>
      <c r="G221" s="226" t="str">
        <f>IFERROR(__xludf.DUMMYFUNCTION("IFERROR(FILTER('Pit Scouting Responses'!D:D,'Pit Scouting Responses'!C:C=A221),"""")"),"")</f>
        <v/>
      </c>
      <c r="H221" s="223" t="str">
        <f>RawTotals!AI221</f>
        <v/>
      </c>
    </row>
    <row r="222">
      <c r="A222" s="224" t="str">
        <f>RawTotals!A222</f>
        <v/>
      </c>
      <c r="B222" s="75" t="str">
        <f>IFERROR(__xludf.DUMMYFUNCTION("IFERROR(FILTER('Pit Scouting Responses'!J:J,'Pit Scouting Responses'!C:C=A222),"""")"),"")</f>
        <v/>
      </c>
      <c r="C222" s="85" t="str">
        <f>IF(ISBLANK(A222),"",SUMIF(RawTotals!A$2:A1000, A222, RawTotals!O$2:O1000))</f>
        <v/>
      </c>
      <c r="D222" s="221" t="str">
        <f>IF(ISBLANK(A222),"",SUMIF(RawTotals!A$2:A1000, A222, RawTotals!D$2:D1000) + SUMIF(RawTotals!A$2:A1000, A222, RawTotals!M$2:M1000))</f>
        <v/>
      </c>
      <c r="E222" s="221" t="str">
        <f>IF(ISBLANK(A222),"",SUMIF(RawTotals!A$2:A1000, A222, RawTotals!C$2:C1000) + SUMIF(RawTotals!A$2:A1000, A222, RawTotals!L$2:L1000))</f>
        <v/>
      </c>
      <c r="F222" s="225" t="str">
        <f>IFERROR(__xludf.DUMMYFUNCTION("IFERROR(FILTER('Pit Scouting Responses'!G:G,'Pit Scouting Responses'!C:C=A222),"""")"),"")</f>
        <v/>
      </c>
      <c r="G222" s="226" t="str">
        <f>IFERROR(__xludf.DUMMYFUNCTION("IFERROR(FILTER('Pit Scouting Responses'!D:D,'Pit Scouting Responses'!C:C=A222),"""")"),"")</f>
        <v/>
      </c>
      <c r="H222" s="223" t="str">
        <f>RawTotals!AI222</f>
        <v/>
      </c>
    </row>
    <row r="223">
      <c r="A223" s="224" t="str">
        <f>RawTotals!A223</f>
        <v/>
      </c>
      <c r="B223" s="75" t="str">
        <f>IFERROR(__xludf.DUMMYFUNCTION("IFERROR(FILTER('Pit Scouting Responses'!J:J,'Pit Scouting Responses'!C:C=A223),"""")"),"")</f>
        <v/>
      </c>
      <c r="C223" s="85" t="str">
        <f>IF(ISBLANK(A223),"",SUMIF(RawTotals!A$2:A1000, A223, RawTotals!O$2:O1000))</f>
        <v/>
      </c>
      <c r="D223" s="221" t="str">
        <f>IF(ISBLANK(A223),"",SUMIF(RawTotals!A$2:A1000, A223, RawTotals!D$2:D1000) + SUMIF(RawTotals!A$2:A1000, A223, RawTotals!M$2:M1000))</f>
        <v/>
      </c>
      <c r="E223" s="221" t="str">
        <f>IF(ISBLANK(A223),"",SUMIF(RawTotals!A$2:A1000, A223, RawTotals!C$2:C1000) + SUMIF(RawTotals!A$2:A1000, A223, RawTotals!L$2:L1000))</f>
        <v/>
      </c>
      <c r="F223" s="225" t="str">
        <f>IFERROR(__xludf.DUMMYFUNCTION("IFERROR(FILTER('Pit Scouting Responses'!G:G,'Pit Scouting Responses'!C:C=A223),"""")"),"")</f>
        <v/>
      </c>
      <c r="G223" s="226" t="str">
        <f>IFERROR(__xludf.DUMMYFUNCTION("IFERROR(FILTER('Pit Scouting Responses'!D:D,'Pit Scouting Responses'!C:C=A223),"""")"),"")</f>
        <v/>
      </c>
      <c r="H223" s="223" t="str">
        <f>RawTotals!AI223</f>
        <v/>
      </c>
    </row>
    <row r="224">
      <c r="A224" s="224" t="str">
        <f>RawTotals!A224</f>
        <v/>
      </c>
      <c r="B224" s="75" t="str">
        <f>IFERROR(__xludf.DUMMYFUNCTION("IFERROR(FILTER('Pit Scouting Responses'!J:J,'Pit Scouting Responses'!C:C=A224),"""")"),"")</f>
        <v/>
      </c>
      <c r="C224" s="85" t="str">
        <f>IF(ISBLANK(A224),"",SUMIF(RawTotals!A$2:A1000, A224, RawTotals!O$2:O1000))</f>
        <v/>
      </c>
      <c r="D224" s="221" t="str">
        <f>IF(ISBLANK(A224),"",SUMIF(RawTotals!A$2:A1000, A224, RawTotals!D$2:D1000) + SUMIF(RawTotals!A$2:A1000, A224, RawTotals!M$2:M1000))</f>
        <v/>
      </c>
      <c r="E224" s="221" t="str">
        <f>IF(ISBLANK(A224),"",SUMIF(RawTotals!A$2:A1000, A224, RawTotals!C$2:C1000) + SUMIF(RawTotals!A$2:A1000, A224, RawTotals!L$2:L1000))</f>
        <v/>
      </c>
      <c r="F224" s="225" t="str">
        <f>IFERROR(__xludf.DUMMYFUNCTION("IFERROR(FILTER('Pit Scouting Responses'!G:G,'Pit Scouting Responses'!C:C=A224),"""")"),"")</f>
        <v/>
      </c>
      <c r="G224" s="226" t="str">
        <f>IFERROR(__xludf.DUMMYFUNCTION("IFERROR(FILTER('Pit Scouting Responses'!D:D,'Pit Scouting Responses'!C:C=A224),"""")"),"")</f>
        <v/>
      </c>
      <c r="H224" s="223" t="str">
        <f>RawTotals!AI224</f>
        <v/>
      </c>
    </row>
    <row r="225">
      <c r="A225" s="224" t="str">
        <f>RawTotals!A225</f>
        <v/>
      </c>
      <c r="B225" s="75" t="str">
        <f>IFERROR(__xludf.DUMMYFUNCTION("IFERROR(FILTER('Pit Scouting Responses'!J:J,'Pit Scouting Responses'!C:C=A225),"""")"),"")</f>
        <v/>
      </c>
      <c r="C225" s="85" t="str">
        <f>IF(ISBLANK(A225),"",SUMIF(RawTotals!A$2:A1000, A225, RawTotals!O$2:O1000))</f>
        <v/>
      </c>
      <c r="D225" s="221" t="str">
        <f>IF(ISBLANK(A225),"",SUMIF(RawTotals!A$2:A1000, A225, RawTotals!D$2:D1000) + SUMIF(RawTotals!A$2:A1000, A225, RawTotals!M$2:M1000))</f>
        <v/>
      </c>
      <c r="E225" s="221" t="str">
        <f>IF(ISBLANK(A225),"",SUMIF(RawTotals!A$2:A1000, A225, RawTotals!C$2:C1000) + SUMIF(RawTotals!A$2:A1000, A225, RawTotals!L$2:L1000))</f>
        <v/>
      </c>
      <c r="F225" s="225" t="str">
        <f>IFERROR(__xludf.DUMMYFUNCTION("IFERROR(FILTER('Pit Scouting Responses'!G:G,'Pit Scouting Responses'!C:C=A225),"""")"),"")</f>
        <v/>
      </c>
      <c r="G225" s="226" t="str">
        <f>IFERROR(__xludf.DUMMYFUNCTION("IFERROR(FILTER('Pit Scouting Responses'!D:D,'Pit Scouting Responses'!C:C=A225),"""")"),"")</f>
        <v/>
      </c>
      <c r="H225" s="223" t="str">
        <f>RawTotals!AI225</f>
        <v/>
      </c>
    </row>
    <row r="226">
      <c r="A226" s="224" t="str">
        <f>RawTotals!A226</f>
        <v/>
      </c>
      <c r="B226" s="75" t="str">
        <f>IFERROR(__xludf.DUMMYFUNCTION("IFERROR(FILTER('Pit Scouting Responses'!J:J,'Pit Scouting Responses'!C:C=A226),"""")"),"")</f>
        <v/>
      </c>
      <c r="C226" s="85" t="str">
        <f>IF(ISBLANK(A226),"",SUMIF(RawTotals!A$2:A1000, A226, RawTotals!O$2:O1000))</f>
        <v/>
      </c>
      <c r="D226" s="221" t="str">
        <f>IF(ISBLANK(A226),"",SUMIF(RawTotals!A$2:A1000, A226, RawTotals!D$2:D1000) + SUMIF(RawTotals!A$2:A1000, A226, RawTotals!M$2:M1000))</f>
        <v/>
      </c>
      <c r="E226" s="221" t="str">
        <f>IF(ISBLANK(A226),"",SUMIF(RawTotals!A$2:A1000, A226, RawTotals!C$2:C1000) + SUMIF(RawTotals!A$2:A1000, A226, RawTotals!L$2:L1000))</f>
        <v/>
      </c>
      <c r="F226" s="225" t="str">
        <f>IFERROR(__xludf.DUMMYFUNCTION("IFERROR(FILTER('Pit Scouting Responses'!G:G,'Pit Scouting Responses'!C:C=A226),"""")"),"")</f>
        <v/>
      </c>
      <c r="G226" s="226" t="str">
        <f>IFERROR(__xludf.DUMMYFUNCTION("IFERROR(FILTER('Pit Scouting Responses'!D:D,'Pit Scouting Responses'!C:C=A226),"""")"),"")</f>
        <v/>
      </c>
      <c r="H226" s="223" t="str">
        <f>RawTotals!AI226</f>
        <v/>
      </c>
    </row>
    <row r="227">
      <c r="A227" s="224" t="str">
        <f>RawTotals!A227</f>
        <v/>
      </c>
      <c r="B227" s="75" t="str">
        <f>IFERROR(__xludf.DUMMYFUNCTION("IFERROR(FILTER('Pit Scouting Responses'!J:J,'Pit Scouting Responses'!C:C=A227),"""")"),"")</f>
        <v/>
      </c>
      <c r="C227" s="85" t="str">
        <f>IF(ISBLANK(A227),"",SUMIF(RawTotals!A$2:A1000, A227, RawTotals!O$2:O1000))</f>
        <v/>
      </c>
      <c r="D227" s="221" t="str">
        <f>IF(ISBLANK(A227),"",SUMIF(RawTotals!A$2:A1000, A227, RawTotals!D$2:D1000) + SUMIF(RawTotals!A$2:A1000, A227, RawTotals!M$2:M1000))</f>
        <v/>
      </c>
      <c r="E227" s="221" t="str">
        <f>IF(ISBLANK(A227),"",SUMIF(RawTotals!A$2:A1000, A227, RawTotals!C$2:C1000) + SUMIF(RawTotals!A$2:A1000, A227, RawTotals!L$2:L1000))</f>
        <v/>
      </c>
      <c r="F227" s="225" t="str">
        <f>IFERROR(__xludf.DUMMYFUNCTION("IFERROR(FILTER('Pit Scouting Responses'!G:G,'Pit Scouting Responses'!C:C=A227),"""")"),"")</f>
        <v/>
      </c>
      <c r="G227" s="226" t="str">
        <f>IFERROR(__xludf.DUMMYFUNCTION("IFERROR(FILTER('Pit Scouting Responses'!D:D,'Pit Scouting Responses'!C:C=A227),"""")"),"")</f>
        <v/>
      </c>
      <c r="H227" s="223" t="str">
        <f>RawTotals!AI227</f>
        <v/>
      </c>
    </row>
    <row r="228">
      <c r="A228" s="224" t="str">
        <f>RawTotals!A228</f>
        <v/>
      </c>
      <c r="B228" s="75" t="str">
        <f>IFERROR(__xludf.DUMMYFUNCTION("IFERROR(FILTER('Pit Scouting Responses'!J:J,'Pit Scouting Responses'!C:C=A228),"""")"),"")</f>
        <v/>
      </c>
      <c r="C228" s="85" t="str">
        <f>IF(ISBLANK(A228),"",SUMIF(RawTotals!A$2:A1000, A228, RawTotals!O$2:O1000))</f>
        <v/>
      </c>
      <c r="D228" s="221" t="str">
        <f>IF(ISBLANK(A228),"",SUMIF(RawTotals!A$2:A1000, A228, RawTotals!D$2:D1000) + SUMIF(RawTotals!A$2:A1000, A228, RawTotals!M$2:M1000))</f>
        <v/>
      </c>
      <c r="E228" s="221" t="str">
        <f>IF(ISBLANK(A228),"",SUMIF(RawTotals!A$2:A1000, A228, RawTotals!C$2:C1000) + SUMIF(RawTotals!A$2:A1000, A228, RawTotals!L$2:L1000))</f>
        <v/>
      </c>
      <c r="F228" s="225" t="str">
        <f>IFERROR(__xludf.DUMMYFUNCTION("IFERROR(FILTER('Pit Scouting Responses'!G:G,'Pit Scouting Responses'!C:C=A228),"""")"),"")</f>
        <v/>
      </c>
      <c r="G228" s="226" t="str">
        <f>IFERROR(__xludf.DUMMYFUNCTION("IFERROR(FILTER('Pit Scouting Responses'!D:D,'Pit Scouting Responses'!C:C=A228),"""")"),"")</f>
        <v/>
      </c>
      <c r="H228" s="223" t="str">
        <f>RawTotals!AI228</f>
        <v/>
      </c>
    </row>
    <row r="229">
      <c r="A229" s="224" t="str">
        <f>RawTotals!A229</f>
        <v/>
      </c>
      <c r="B229" s="75" t="str">
        <f>IFERROR(__xludf.DUMMYFUNCTION("IFERROR(FILTER('Pit Scouting Responses'!J:J,'Pit Scouting Responses'!C:C=A229),"""")"),"")</f>
        <v/>
      </c>
      <c r="C229" s="85" t="str">
        <f>IF(ISBLANK(A229),"",SUMIF(RawTotals!A$2:A1000, A229, RawTotals!O$2:O1000))</f>
        <v/>
      </c>
      <c r="D229" s="221" t="str">
        <f>IF(ISBLANK(A229),"",SUMIF(RawTotals!A$2:A1000, A229, RawTotals!D$2:D1000) + SUMIF(RawTotals!A$2:A1000, A229, RawTotals!M$2:M1000))</f>
        <v/>
      </c>
      <c r="E229" s="221" t="str">
        <f>IF(ISBLANK(A229),"",SUMIF(RawTotals!A$2:A1000, A229, RawTotals!C$2:C1000) + SUMIF(RawTotals!A$2:A1000, A229, RawTotals!L$2:L1000))</f>
        <v/>
      </c>
      <c r="F229" s="225" t="str">
        <f>IFERROR(__xludf.DUMMYFUNCTION("IFERROR(FILTER('Pit Scouting Responses'!G:G,'Pit Scouting Responses'!C:C=A229),"""")"),"")</f>
        <v/>
      </c>
      <c r="G229" s="226" t="str">
        <f>IFERROR(__xludf.DUMMYFUNCTION("IFERROR(FILTER('Pit Scouting Responses'!D:D,'Pit Scouting Responses'!C:C=A229),"""")"),"")</f>
        <v/>
      </c>
      <c r="H229" s="223" t="str">
        <f>RawTotals!AI229</f>
        <v/>
      </c>
    </row>
    <row r="230">
      <c r="A230" s="224" t="str">
        <f>RawTotals!A230</f>
        <v/>
      </c>
      <c r="B230" s="75" t="str">
        <f>IFERROR(__xludf.DUMMYFUNCTION("IFERROR(FILTER('Pit Scouting Responses'!J:J,'Pit Scouting Responses'!C:C=A230),"""")"),"")</f>
        <v/>
      </c>
      <c r="C230" s="85" t="str">
        <f>IF(ISBLANK(A230),"",SUMIF(RawTotals!A$2:A1000, A230, RawTotals!O$2:O1000))</f>
        <v/>
      </c>
      <c r="D230" s="221" t="str">
        <f>IF(ISBLANK(A230),"",SUMIF(RawTotals!A$2:A1000, A230, RawTotals!D$2:D1000) + SUMIF(RawTotals!A$2:A1000, A230, RawTotals!M$2:M1000))</f>
        <v/>
      </c>
      <c r="E230" s="221" t="str">
        <f>IF(ISBLANK(A230),"",SUMIF(RawTotals!A$2:A1000, A230, RawTotals!C$2:C1000) + SUMIF(RawTotals!A$2:A1000, A230, RawTotals!L$2:L1000))</f>
        <v/>
      </c>
      <c r="F230" s="225" t="str">
        <f>IFERROR(__xludf.DUMMYFUNCTION("IFERROR(FILTER('Pit Scouting Responses'!G:G,'Pit Scouting Responses'!C:C=A230),"""")"),"")</f>
        <v/>
      </c>
      <c r="G230" s="226" t="str">
        <f>IFERROR(__xludf.DUMMYFUNCTION("IFERROR(FILTER('Pit Scouting Responses'!D:D,'Pit Scouting Responses'!C:C=A230),"""")"),"")</f>
        <v/>
      </c>
      <c r="H230" s="223" t="str">
        <f>RawTotals!AI230</f>
        <v/>
      </c>
    </row>
    <row r="231">
      <c r="A231" s="224" t="str">
        <f>RawTotals!A231</f>
        <v/>
      </c>
      <c r="B231" s="75" t="str">
        <f>IFERROR(__xludf.DUMMYFUNCTION("IFERROR(FILTER('Pit Scouting Responses'!J:J,'Pit Scouting Responses'!C:C=A231),"""")"),"")</f>
        <v/>
      </c>
      <c r="C231" s="85" t="str">
        <f>IF(ISBLANK(A231),"",SUMIF(RawTotals!A$2:A1000, A231, RawTotals!O$2:O1000))</f>
        <v/>
      </c>
      <c r="D231" s="221" t="str">
        <f>IF(ISBLANK(A231),"",SUMIF(RawTotals!A$2:A1000, A231, RawTotals!D$2:D1000) + SUMIF(RawTotals!A$2:A1000, A231, RawTotals!M$2:M1000))</f>
        <v/>
      </c>
      <c r="E231" s="221" t="str">
        <f>IF(ISBLANK(A231),"",SUMIF(RawTotals!A$2:A1000, A231, RawTotals!C$2:C1000) + SUMIF(RawTotals!A$2:A1000, A231, RawTotals!L$2:L1000))</f>
        <v/>
      </c>
      <c r="F231" s="225" t="str">
        <f>IFERROR(__xludf.DUMMYFUNCTION("IFERROR(FILTER('Pit Scouting Responses'!G:G,'Pit Scouting Responses'!C:C=A231),"""")"),"")</f>
        <v/>
      </c>
      <c r="G231" s="226" t="str">
        <f>IFERROR(__xludf.DUMMYFUNCTION("IFERROR(FILTER('Pit Scouting Responses'!D:D,'Pit Scouting Responses'!C:C=A231),"""")"),"")</f>
        <v/>
      </c>
      <c r="H231" s="223" t="str">
        <f>RawTotals!AI231</f>
        <v/>
      </c>
    </row>
    <row r="232">
      <c r="A232" s="224" t="str">
        <f>RawTotals!A232</f>
        <v/>
      </c>
      <c r="B232" s="75" t="str">
        <f>IFERROR(__xludf.DUMMYFUNCTION("IFERROR(FILTER('Pit Scouting Responses'!J:J,'Pit Scouting Responses'!C:C=A232),"""")"),"")</f>
        <v/>
      </c>
      <c r="C232" s="85" t="str">
        <f>IF(ISBLANK(A232),"",SUMIF(RawTotals!A$2:A1000, A232, RawTotals!O$2:O1000))</f>
        <v/>
      </c>
      <c r="D232" s="221" t="str">
        <f>IF(ISBLANK(A232),"",SUMIF(RawTotals!A$2:A1000, A232, RawTotals!D$2:D1000) + SUMIF(RawTotals!A$2:A1000, A232, RawTotals!M$2:M1000))</f>
        <v/>
      </c>
      <c r="E232" s="221" t="str">
        <f>IF(ISBLANK(A232),"",SUMIF(RawTotals!A$2:A1000, A232, RawTotals!C$2:C1000) + SUMIF(RawTotals!A$2:A1000, A232, RawTotals!L$2:L1000))</f>
        <v/>
      </c>
      <c r="F232" s="225" t="str">
        <f>IFERROR(__xludf.DUMMYFUNCTION("IFERROR(FILTER('Pit Scouting Responses'!G:G,'Pit Scouting Responses'!C:C=A232),"""")"),"")</f>
        <v/>
      </c>
      <c r="G232" s="226" t="str">
        <f>IFERROR(__xludf.DUMMYFUNCTION("IFERROR(FILTER('Pit Scouting Responses'!D:D,'Pit Scouting Responses'!C:C=A232),"""")"),"")</f>
        <v/>
      </c>
      <c r="H232" s="223" t="str">
        <f>RawTotals!AI232</f>
        <v/>
      </c>
    </row>
    <row r="233">
      <c r="A233" s="224" t="str">
        <f>RawTotals!A233</f>
        <v/>
      </c>
      <c r="B233" s="75" t="str">
        <f>IFERROR(__xludf.DUMMYFUNCTION("IFERROR(FILTER('Pit Scouting Responses'!J:J,'Pit Scouting Responses'!C:C=A233),"""")"),"")</f>
        <v/>
      </c>
      <c r="C233" s="85" t="str">
        <f>IF(ISBLANK(A233),"",SUMIF(RawTotals!A$2:A1000, A233, RawTotals!O$2:O1000))</f>
        <v/>
      </c>
      <c r="D233" s="221" t="str">
        <f>IF(ISBLANK(A233),"",SUMIF(RawTotals!A$2:A1000, A233, RawTotals!D$2:D1000) + SUMIF(RawTotals!A$2:A1000, A233, RawTotals!M$2:M1000))</f>
        <v/>
      </c>
      <c r="E233" s="221" t="str">
        <f>IF(ISBLANK(A233),"",SUMIF(RawTotals!A$2:A1000, A233, RawTotals!C$2:C1000) + SUMIF(RawTotals!A$2:A1000, A233, RawTotals!L$2:L1000))</f>
        <v/>
      </c>
      <c r="F233" s="225" t="str">
        <f>IFERROR(__xludf.DUMMYFUNCTION("IFERROR(FILTER('Pit Scouting Responses'!G:G,'Pit Scouting Responses'!C:C=A233),"""")"),"")</f>
        <v/>
      </c>
      <c r="G233" s="226" t="str">
        <f>IFERROR(__xludf.DUMMYFUNCTION("IFERROR(FILTER('Pit Scouting Responses'!D:D,'Pit Scouting Responses'!C:C=A233),"""")"),"")</f>
        <v/>
      </c>
      <c r="H233" s="223" t="str">
        <f>RawTotals!AI233</f>
        <v/>
      </c>
    </row>
    <row r="234">
      <c r="A234" s="224" t="str">
        <f>RawTotals!A234</f>
        <v/>
      </c>
      <c r="B234" s="75" t="str">
        <f>IFERROR(__xludf.DUMMYFUNCTION("IFERROR(FILTER('Pit Scouting Responses'!J:J,'Pit Scouting Responses'!C:C=A234),"""")"),"")</f>
        <v/>
      </c>
      <c r="C234" s="85" t="str">
        <f>IF(ISBLANK(A234),"",SUMIF(RawTotals!A$2:A1000, A234, RawTotals!O$2:O1000))</f>
        <v/>
      </c>
      <c r="D234" s="221" t="str">
        <f>IF(ISBLANK(A234),"",SUMIF(RawTotals!A$2:A1000, A234, RawTotals!D$2:D1000) + SUMIF(RawTotals!A$2:A1000, A234, RawTotals!M$2:M1000))</f>
        <v/>
      </c>
      <c r="E234" s="221" t="str">
        <f>IF(ISBLANK(A234),"",SUMIF(RawTotals!A$2:A1000, A234, RawTotals!C$2:C1000) + SUMIF(RawTotals!A$2:A1000, A234, RawTotals!L$2:L1000))</f>
        <v/>
      </c>
      <c r="F234" s="225" t="str">
        <f>IFERROR(__xludf.DUMMYFUNCTION("IFERROR(FILTER('Pit Scouting Responses'!G:G,'Pit Scouting Responses'!C:C=A234),"""")"),"")</f>
        <v/>
      </c>
      <c r="G234" s="226" t="str">
        <f>IFERROR(__xludf.DUMMYFUNCTION("IFERROR(FILTER('Pit Scouting Responses'!D:D,'Pit Scouting Responses'!C:C=A234),"""")"),"")</f>
        <v/>
      </c>
      <c r="H234" s="223" t="str">
        <f>RawTotals!AI234</f>
        <v/>
      </c>
    </row>
    <row r="235">
      <c r="A235" s="224" t="str">
        <f>RawTotals!A235</f>
        <v/>
      </c>
      <c r="B235" s="75" t="str">
        <f>IFERROR(__xludf.DUMMYFUNCTION("IFERROR(FILTER('Pit Scouting Responses'!J:J,'Pit Scouting Responses'!C:C=A235),"""")"),"")</f>
        <v/>
      </c>
      <c r="C235" s="85" t="str">
        <f>IF(ISBLANK(A235),"",SUMIF(RawTotals!A$2:A1000, A235, RawTotals!O$2:O1000))</f>
        <v/>
      </c>
      <c r="D235" s="221" t="str">
        <f>IF(ISBLANK(A235),"",SUMIF(RawTotals!A$2:A1000, A235, RawTotals!D$2:D1000) + SUMIF(RawTotals!A$2:A1000, A235, RawTotals!M$2:M1000))</f>
        <v/>
      </c>
      <c r="E235" s="221" t="str">
        <f>IF(ISBLANK(A235),"",SUMIF(RawTotals!A$2:A1000, A235, RawTotals!C$2:C1000) + SUMIF(RawTotals!A$2:A1000, A235, RawTotals!L$2:L1000))</f>
        <v/>
      </c>
      <c r="F235" s="225" t="str">
        <f>IFERROR(__xludf.DUMMYFUNCTION("IFERROR(FILTER('Pit Scouting Responses'!G:G,'Pit Scouting Responses'!C:C=A235),"""")"),"")</f>
        <v/>
      </c>
      <c r="G235" s="226" t="str">
        <f>IFERROR(__xludf.DUMMYFUNCTION("IFERROR(FILTER('Pit Scouting Responses'!D:D,'Pit Scouting Responses'!C:C=A235),"""")"),"")</f>
        <v/>
      </c>
      <c r="H235" s="223" t="str">
        <f>RawTotals!AI235</f>
        <v/>
      </c>
    </row>
    <row r="236">
      <c r="A236" s="224" t="str">
        <f>RawTotals!A236</f>
        <v/>
      </c>
      <c r="B236" s="75" t="str">
        <f>IFERROR(__xludf.DUMMYFUNCTION("IFERROR(FILTER('Pit Scouting Responses'!J:J,'Pit Scouting Responses'!C:C=A236),"""")"),"")</f>
        <v/>
      </c>
      <c r="C236" s="85" t="str">
        <f>IF(ISBLANK(A236),"",SUMIF(RawTotals!A$2:A1000, A236, RawTotals!O$2:O1000))</f>
        <v/>
      </c>
      <c r="D236" s="221" t="str">
        <f>IF(ISBLANK(A236),"",SUMIF(RawTotals!A$2:A1000, A236, RawTotals!D$2:D1000) + SUMIF(RawTotals!A$2:A1000, A236, RawTotals!M$2:M1000))</f>
        <v/>
      </c>
      <c r="E236" s="221" t="str">
        <f>IF(ISBLANK(A236),"",SUMIF(RawTotals!A$2:A1000, A236, RawTotals!C$2:C1000) + SUMIF(RawTotals!A$2:A1000, A236, RawTotals!L$2:L1000))</f>
        <v/>
      </c>
      <c r="F236" s="225" t="str">
        <f>IFERROR(__xludf.DUMMYFUNCTION("IFERROR(FILTER('Pit Scouting Responses'!G:G,'Pit Scouting Responses'!C:C=A236),"""")"),"")</f>
        <v/>
      </c>
      <c r="G236" s="226" t="str">
        <f>IFERROR(__xludf.DUMMYFUNCTION("IFERROR(FILTER('Pit Scouting Responses'!D:D,'Pit Scouting Responses'!C:C=A236),"""")"),"")</f>
        <v/>
      </c>
      <c r="H236" s="223" t="str">
        <f>RawTotals!AI236</f>
        <v/>
      </c>
    </row>
    <row r="237">
      <c r="A237" s="224" t="str">
        <f>RawTotals!A237</f>
        <v/>
      </c>
      <c r="B237" s="75" t="str">
        <f>IFERROR(__xludf.DUMMYFUNCTION("IFERROR(FILTER('Pit Scouting Responses'!J:J,'Pit Scouting Responses'!C:C=A237),"""")"),"")</f>
        <v/>
      </c>
      <c r="C237" s="85" t="str">
        <f>IF(ISBLANK(A237),"",SUMIF(RawTotals!A$2:A1000, A237, RawTotals!O$2:O1000))</f>
        <v/>
      </c>
      <c r="D237" s="221" t="str">
        <f>IF(ISBLANK(A237),"",SUMIF(RawTotals!A$2:A1000, A237, RawTotals!D$2:D1000) + SUMIF(RawTotals!A$2:A1000, A237, RawTotals!M$2:M1000))</f>
        <v/>
      </c>
      <c r="E237" s="221" t="str">
        <f>IF(ISBLANK(A237),"",SUMIF(RawTotals!A$2:A1000, A237, RawTotals!C$2:C1000) + SUMIF(RawTotals!A$2:A1000, A237, RawTotals!L$2:L1000))</f>
        <v/>
      </c>
      <c r="F237" s="225" t="str">
        <f>IFERROR(__xludf.DUMMYFUNCTION("IFERROR(FILTER('Pit Scouting Responses'!G:G,'Pit Scouting Responses'!C:C=A237),"""")"),"")</f>
        <v/>
      </c>
      <c r="G237" s="226" t="str">
        <f>IFERROR(__xludf.DUMMYFUNCTION("IFERROR(FILTER('Pit Scouting Responses'!D:D,'Pit Scouting Responses'!C:C=A237),"""")"),"")</f>
        <v/>
      </c>
      <c r="H237" s="223" t="str">
        <f>RawTotals!AI237</f>
        <v/>
      </c>
    </row>
    <row r="238">
      <c r="A238" s="224" t="str">
        <f>RawTotals!A238</f>
        <v/>
      </c>
      <c r="B238" s="75" t="str">
        <f>IFERROR(__xludf.DUMMYFUNCTION("IFERROR(FILTER('Pit Scouting Responses'!J:J,'Pit Scouting Responses'!C:C=A238),"""")"),"")</f>
        <v/>
      </c>
      <c r="C238" s="85" t="str">
        <f>IF(ISBLANK(A238),"",SUMIF(RawTotals!A$2:A1000, A238, RawTotals!O$2:O1000))</f>
        <v/>
      </c>
      <c r="D238" s="221" t="str">
        <f>IF(ISBLANK(A238),"",SUMIF(RawTotals!A$2:A1000, A238, RawTotals!D$2:D1000) + SUMIF(RawTotals!A$2:A1000, A238, RawTotals!M$2:M1000))</f>
        <v/>
      </c>
      <c r="E238" s="221" t="str">
        <f>IF(ISBLANK(A238),"",SUMIF(RawTotals!A$2:A1000, A238, RawTotals!C$2:C1000) + SUMIF(RawTotals!A$2:A1000, A238, RawTotals!L$2:L1000))</f>
        <v/>
      </c>
      <c r="F238" s="225" t="str">
        <f>IFERROR(__xludf.DUMMYFUNCTION("IFERROR(FILTER('Pit Scouting Responses'!G:G,'Pit Scouting Responses'!C:C=A238),"""")"),"")</f>
        <v/>
      </c>
      <c r="G238" s="226" t="str">
        <f>IFERROR(__xludf.DUMMYFUNCTION("IFERROR(FILTER('Pit Scouting Responses'!D:D,'Pit Scouting Responses'!C:C=A238),"""")"),"")</f>
        <v/>
      </c>
      <c r="H238" s="223" t="str">
        <f>RawTotals!AI238</f>
        <v/>
      </c>
    </row>
    <row r="239">
      <c r="A239" s="224" t="str">
        <f>RawTotals!A239</f>
        <v/>
      </c>
      <c r="B239" s="75" t="str">
        <f>IFERROR(__xludf.DUMMYFUNCTION("IFERROR(FILTER('Pit Scouting Responses'!J:J,'Pit Scouting Responses'!C:C=A239),"""")"),"")</f>
        <v/>
      </c>
      <c r="C239" s="85" t="str">
        <f>IF(ISBLANK(A239),"",SUMIF(RawTotals!A$2:A1000, A239, RawTotals!O$2:O1000))</f>
        <v/>
      </c>
      <c r="D239" s="221" t="str">
        <f>IF(ISBLANK(A239),"",SUMIF(RawTotals!A$2:A1000, A239, RawTotals!D$2:D1000) + SUMIF(RawTotals!A$2:A1000, A239, RawTotals!M$2:M1000))</f>
        <v/>
      </c>
      <c r="E239" s="221" t="str">
        <f>IF(ISBLANK(A239),"",SUMIF(RawTotals!A$2:A1000, A239, RawTotals!C$2:C1000) + SUMIF(RawTotals!A$2:A1000, A239, RawTotals!L$2:L1000))</f>
        <v/>
      </c>
      <c r="F239" s="225" t="str">
        <f>IFERROR(__xludf.DUMMYFUNCTION("IFERROR(FILTER('Pit Scouting Responses'!G:G,'Pit Scouting Responses'!C:C=A239),"""")"),"")</f>
        <v/>
      </c>
      <c r="G239" s="226" t="str">
        <f>IFERROR(__xludf.DUMMYFUNCTION("IFERROR(FILTER('Pit Scouting Responses'!D:D,'Pit Scouting Responses'!C:C=A239),"""")"),"")</f>
        <v/>
      </c>
      <c r="H239" s="223" t="str">
        <f>RawTotals!AI239</f>
        <v/>
      </c>
    </row>
    <row r="240">
      <c r="A240" s="224" t="str">
        <f>RawTotals!A240</f>
        <v/>
      </c>
      <c r="B240" s="75" t="str">
        <f>IFERROR(__xludf.DUMMYFUNCTION("IFERROR(FILTER('Pit Scouting Responses'!J:J,'Pit Scouting Responses'!C:C=A240),"""")"),"")</f>
        <v/>
      </c>
      <c r="C240" s="85" t="str">
        <f>IF(ISBLANK(A240),"",SUMIF(RawTotals!A$2:A1000, A240, RawTotals!O$2:O1000))</f>
        <v/>
      </c>
      <c r="D240" s="221" t="str">
        <f>IF(ISBLANK(A240),"",SUMIF(RawTotals!A$2:A1000, A240, RawTotals!D$2:D1000) + SUMIF(RawTotals!A$2:A1000, A240, RawTotals!M$2:M1000))</f>
        <v/>
      </c>
      <c r="E240" s="221" t="str">
        <f>IF(ISBLANK(A240),"",SUMIF(RawTotals!A$2:A1000, A240, RawTotals!C$2:C1000) + SUMIF(RawTotals!A$2:A1000, A240, RawTotals!L$2:L1000))</f>
        <v/>
      </c>
      <c r="F240" s="225" t="str">
        <f>IFERROR(__xludf.DUMMYFUNCTION("IFERROR(FILTER('Pit Scouting Responses'!G:G,'Pit Scouting Responses'!C:C=A240),"""")"),"")</f>
        <v/>
      </c>
      <c r="G240" s="226" t="str">
        <f>IFERROR(__xludf.DUMMYFUNCTION("IFERROR(FILTER('Pit Scouting Responses'!D:D,'Pit Scouting Responses'!C:C=A240),"""")"),"")</f>
        <v/>
      </c>
      <c r="H240" s="223" t="str">
        <f>RawTotals!AI240</f>
        <v/>
      </c>
    </row>
    <row r="241">
      <c r="A241" s="224" t="str">
        <f>RawTotals!A241</f>
        <v/>
      </c>
      <c r="B241" s="75" t="str">
        <f>IFERROR(__xludf.DUMMYFUNCTION("IFERROR(FILTER('Pit Scouting Responses'!J:J,'Pit Scouting Responses'!C:C=A241),"""")"),"")</f>
        <v/>
      </c>
      <c r="C241" s="85" t="str">
        <f>IF(ISBLANK(A241),"",SUMIF(RawTotals!A$2:A1000, A241, RawTotals!O$2:O1000))</f>
        <v/>
      </c>
      <c r="D241" s="221" t="str">
        <f>IF(ISBLANK(A241),"",SUMIF(RawTotals!A$2:A1000, A241, RawTotals!D$2:D1000) + SUMIF(RawTotals!A$2:A1000, A241, RawTotals!M$2:M1000))</f>
        <v/>
      </c>
      <c r="E241" s="221" t="str">
        <f>IF(ISBLANK(A241),"",SUMIF(RawTotals!A$2:A1000, A241, RawTotals!C$2:C1000) + SUMIF(RawTotals!A$2:A1000, A241, RawTotals!L$2:L1000))</f>
        <v/>
      </c>
      <c r="F241" s="225" t="str">
        <f>IFERROR(__xludf.DUMMYFUNCTION("IFERROR(FILTER('Pit Scouting Responses'!G:G,'Pit Scouting Responses'!C:C=A241),"""")"),"")</f>
        <v/>
      </c>
      <c r="G241" s="226" t="str">
        <f>IFERROR(__xludf.DUMMYFUNCTION("IFERROR(FILTER('Pit Scouting Responses'!D:D,'Pit Scouting Responses'!C:C=A241),"""")"),"")</f>
        <v/>
      </c>
      <c r="H241" s="223" t="str">
        <f>RawTotals!AI241</f>
        <v/>
      </c>
    </row>
    <row r="242">
      <c r="A242" s="224" t="str">
        <f>RawTotals!A242</f>
        <v/>
      </c>
      <c r="B242" s="75" t="str">
        <f>IFERROR(__xludf.DUMMYFUNCTION("IFERROR(FILTER('Pit Scouting Responses'!J:J,'Pit Scouting Responses'!C:C=A242),"""")"),"")</f>
        <v/>
      </c>
      <c r="C242" s="85" t="str">
        <f>IF(ISBLANK(A242),"",SUMIF(RawTotals!A$2:A1000, A242, RawTotals!O$2:O1000))</f>
        <v/>
      </c>
      <c r="D242" s="221" t="str">
        <f>IF(ISBLANK(A242),"",SUMIF(RawTotals!A$2:A1000, A242, RawTotals!D$2:D1000) + SUMIF(RawTotals!A$2:A1000, A242, RawTotals!M$2:M1000))</f>
        <v/>
      </c>
      <c r="E242" s="221" t="str">
        <f>IF(ISBLANK(A242),"",SUMIF(RawTotals!A$2:A1000, A242, RawTotals!C$2:C1000) + SUMIF(RawTotals!A$2:A1000, A242, RawTotals!L$2:L1000))</f>
        <v/>
      </c>
      <c r="F242" s="225" t="str">
        <f>IFERROR(__xludf.DUMMYFUNCTION("IFERROR(FILTER('Pit Scouting Responses'!G:G,'Pit Scouting Responses'!C:C=A242),"""")"),"")</f>
        <v/>
      </c>
      <c r="G242" s="226" t="str">
        <f>IFERROR(__xludf.DUMMYFUNCTION("IFERROR(FILTER('Pit Scouting Responses'!D:D,'Pit Scouting Responses'!C:C=A242),"""")"),"")</f>
        <v/>
      </c>
      <c r="H242" s="223" t="str">
        <f>RawTotals!AI242</f>
        <v/>
      </c>
    </row>
    <row r="243">
      <c r="A243" s="224" t="str">
        <f>RawTotals!A243</f>
        <v/>
      </c>
      <c r="B243" s="75" t="str">
        <f>IFERROR(__xludf.DUMMYFUNCTION("IFERROR(FILTER('Pit Scouting Responses'!J:J,'Pit Scouting Responses'!C:C=A243),"""")"),"")</f>
        <v/>
      </c>
      <c r="C243" s="85" t="str">
        <f>IF(ISBLANK(A243),"",SUMIF(RawTotals!A$2:A1000, A243, RawTotals!O$2:O1000))</f>
        <v/>
      </c>
      <c r="D243" s="221" t="str">
        <f>IF(ISBLANK(A243),"",SUMIF(RawTotals!A$2:A1000, A243, RawTotals!D$2:D1000) + SUMIF(RawTotals!A$2:A1000, A243, RawTotals!M$2:M1000))</f>
        <v/>
      </c>
      <c r="E243" s="221" t="str">
        <f>IF(ISBLANK(A243),"",SUMIF(RawTotals!A$2:A1000, A243, RawTotals!C$2:C1000) + SUMIF(RawTotals!A$2:A1000, A243, RawTotals!L$2:L1000))</f>
        <v/>
      </c>
      <c r="F243" s="225" t="str">
        <f>IFERROR(__xludf.DUMMYFUNCTION("IFERROR(FILTER('Pit Scouting Responses'!G:G,'Pit Scouting Responses'!C:C=A243),"""")"),"")</f>
        <v/>
      </c>
      <c r="G243" s="226" t="str">
        <f>IFERROR(__xludf.DUMMYFUNCTION("IFERROR(FILTER('Pit Scouting Responses'!D:D,'Pit Scouting Responses'!C:C=A243),"""")"),"")</f>
        <v/>
      </c>
      <c r="H243" s="223" t="str">
        <f>RawTotals!AI243</f>
        <v/>
      </c>
    </row>
    <row r="244">
      <c r="A244" s="224" t="str">
        <f>RawTotals!A244</f>
        <v/>
      </c>
      <c r="B244" s="75" t="str">
        <f>IFERROR(__xludf.DUMMYFUNCTION("IFERROR(FILTER('Pit Scouting Responses'!J:J,'Pit Scouting Responses'!C:C=A244),"""")"),"")</f>
        <v/>
      </c>
      <c r="C244" s="85" t="str">
        <f>IF(ISBLANK(A244),"",SUMIF(RawTotals!A$2:A1000, A244, RawTotals!O$2:O1000))</f>
        <v/>
      </c>
      <c r="D244" s="221" t="str">
        <f>IF(ISBLANK(A244),"",SUMIF(RawTotals!A$2:A1000, A244, RawTotals!D$2:D1000) + SUMIF(RawTotals!A$2:A1000, A244, RawTotals!M$2:M1000))</f>
        <v/>
      </c>
      <c r="E244" s="221" t="str">
        <f>IF(ISBLANK(A244),"",SUMIF(RawTotals!A$2:A1000, A244, RawTotals!C$2:C1000) + SUMIF(RawTotals!A$2:A1000, A244, RawTotals!L$2:L1000))</f>
        <v/>
      </c>
      <c r="F244" s="225" t="str">
        <f>IFERROR(__xludf.DUMMYFUNCTION("IFERROR(FILTER('Pit Scouting Responses'!G:G,'Pit Scouting Responses'!C:C=A244),"""")"),"")</f>
        <v/>
      </c>
      <c r="G244" s="226" t="str">
        <f>IFERROR(__xludf.DUMMYFUNCTION("IFERROR(FILTER('Pit Scouting Responses'!D:D,'Pit Scouting Responses'!C:C=A244),"""")"),"")</f>
        <v/>
      </c>
      <c r="H244" s="223" t="str">
        <f>RawTotals!AI244</f>
        <v/>
      </c>
    </row>
    <row r="245">
      <c r="A245" s="224" t="str">
        <f>RawTotals!A245</f>
        <v/>
      </c>
      <c r="B245" s="75" t="str">
        <f>IFERROR(__xludf.DUMMYFUNCTION("IFERROR(FILTER('Pit Scouting Responses'!J:J,'Pit Scouting Responses'!C:C=A245),"""")"),"")</f>
        <v/>
      </c>
      <c r="C245" s="85" t="str">
        <f>IF(ISBLANK(A245),"",SUMIF(RawTotals!A$2:A1000, A245, RawTotals!O$2:O1000))</f>
        <v/>
      </c>
      <c r="D245" s="221" t="str">
        <f>IF(ISBLANK(A245),"",SUMIF(RawTotals!A$2:A1000, A245, RawTotals!D$2:D1000) + SUMIF(RawTotals!A$2:A1000, A245, RawTotals!M$2:M1000))</f>
        <v/>
      </c>
      <c r="E245" s="221" t="str">
        <f>IF(ISBLANK(A245),"",SUMIF(RawTotals!A$2:A1000, A245, RawTotals!C$2:C1000) + SUMIF(RawTotals!A$2:A1000, A245, RawTotals!L$2:L1000))</f>
        <v/>
      </c>
      <c r="F245" s="225" t="str">
        <f>IFERROR(__xludf.DUMMYFUNCTION("IFERROR(FILTER('Pit Scouting Responses'!G:G,'Pit Scouting Responses'!C:C=A245),"""")"),"")</f>
        <v/>
      </c>
      <c r="G245" s="226" t="str">
        <f>IFERROR(__xludf.DUMMYFUNCTION("IFERROR(FILTER('Pit Scouting Responses'!D:D,'Pit Scouting Responses'!C:C=A245),"""")"),"")</f>
        <v/>
      </c>
      <c r="H245" s="223" t="str">
        <f>RawTotals!AI245</f>
        <v/>
      </c>
    </row>
    <row r="246">
      <c r="A246" s="224" t="str">
        <f>RawTotals!A246</f>
        <v/>
      </c>
      <c r="B246" s="75" t="str">
        <f>IFERROR(__xludf.DUMMYFUNCTION("IFERROR(FILTER('Pit Scouting Responses'!J:J,'Pit Scouting Responses'!C:C=A246),"""")"),"")</f>
        <v/>
      </c>
      <c r="C246" s="85" t="str">
        <f>IF(ISBLANK(A246),"",SUMIF(RawTotals!A$2:A1000, A246, RawTotals!O$2:O1000))</f>
        <v/>
      </c>
      <c r="D246" s="221" t="str">
        <f>IF(ISBLANK(A246),"",SUMIF(RawTotals!A$2:A1000, A246, RawTotals!D$2:D1000) + SUMIF(RawTotals!A$2:A1000, A246, RawTotals!M$2:M1000))</f>
        <v/>
      </c>
      <c r="E246" s="221" t="str">
        <f>IF(ISBLANK(A246),"",SUMIF(RawTotals!A$2:A1000, A246, RawTotals!C$2:C1000) + SUMIF(RawTotals!A$2:A1000, A246, RawTotals!L$2:L1000))</f>
        <v/>
      </c>
      <c r="F246" s="225" t="str">
        <f>IFERROR(__xludf.DUMMYFUNCTION("IFERROR(FILTER('Pit Scouting Responses'!G:G,'Pit Scouting Responses'!C:C=A246),"""")"),"")</f>
        <v/>
      </c>
      <c r="G246" s="226" t="str">
        <f>IFERROR(__xludf.DUMMYFUNCTION("IFERROR(FILTER('Pit Scouting Responses'!D:D,'Pit Scouting Responses'!C:C=A246),"""")"),"")</f>
        <v/>
      </c>
      <c r="H246" s="223" t="str">
        <f>RawTotals!AI246</f>
        <v/>
      </c>
    </row>
    <row r="247">
      <c r="A247" s="224" t="str">
        <f>RawTotals!A247</f>
        <v/>
      </c>
      <c r="B247" s="75" t="str">
        <f>IFERROR(__xludf.DUMMYFUNCTION("IFERROR(FILTER('Pit Scouting Responses'!J:J,'Pit Scouting Responses'!C:C=A247),"""")"),"")</f>
        <v/>
      </c>
      <c r="C247" s="85" t="str">
        <f>IF(ISBLANK(A247),"",SUMIF(RawTotals!A$2:A1000, A247, RawTotals!O$2:O1000))</f>
        <v/>
      </c>
      <c r="D247" s="221" t="str">
        <f>IF(ISBLANK(A247),"",SUMIF(RawTotals!A$2:A1000, A247, RawTotals!D$2:D1000) + SUMIF(RawTotals!A$2:A1000, A247, RawTotals!M$2:M1000))</f>
        <v/>
      </c>
      <c r="E247" s="221" t="str">
        <f>IF(ISBLANK(A247),"",SUMIF(RawTotals!A$2:A1000, A247, RawTotals!C$2:C1000) + SUMIF(RawTotals!A$2:A1000, A247, RawTotals!L$2:L1000))</f>
        <v/>
      </c>
      <c r="F247" s="225" t="str">
        <f>IFERROR(__xludf.DUMMYFUNCTION("IFERROR(FILTER('Pit Scouting Responses'!G:G,'Pit Scouting Responses'!C:C=A247),"""")"),"")</f>
        <v/>
      </c>
      <c r="G247" s="226" t="str">
        <f>IFERROR(__xludf.DUMMYFUNCTION("IFERROR(FILTER('Pit Scouting Responses'!D:D,'Pit Scouting Responses'!C:C=A247),"""")"),"")</f>
        <v/>
      </c>
      <c r="H247" s="223" t="str">
        <f>RawTotals!AI247</f>
        <v/>
      </c>
    </row>
    <row r="248">
      <c r="A248" s="224" t="str">
        <f>RawTotals!A248</f>
        <v/>
      </c>
      <c r="B248" s="75" t="str">
        <f>IFERROR(__xludf.DUMMYFUNCTION("IFERROR(FILTER('Pit Scouting Responses'!J:J,'Pit Scouting Responses'!C:C=A248),"""")"),"")</f>
        <v/>
      </c>
      <c r="C248" s="85" t="str">
        <f>IF(ISBLANK(A248),"",SUMIF(RawTotals!A$2:A1000, A248, RawTotals!O$2:O1000))</f>
        <v/>
      </c>
      <c r="D248" s="221" t="str">
        <f>IF(ISBLANK(A248),"",SUMIF(RawTotals!A$2:A1000, A248, RawTotals!D$2:D1000) + SUMIF(RawTotals!A$2:A1000, A248, RawTotals!M$2:M1000))</f>
        <v/>
      </c>
      <c r="E248" s="221" t="str">
        <f>IF(ISBLANK(A248),"",SUMIF(RawTotals!A$2:A1000, A248, RawTotals!C$2:C1000) + SUMIF(RawTotals!A$2:A1000, A248, RawTotals!L$2:L1000))</f>
        <v/>
      </c>
      <c r="F248" s="225" t="str">
        <f>IFERROR(__xludf.DUMMYFUNCTION("IFERROR(FILTER('Pit Scouting Responses'!G:G,'Pit Scouting Responses'!C:C=A248),"""")"),"")</f>
        <v/>
      </c>
      <c r="G248" s="226" t="str">
        <f>IFERROR(__xludf.DUMMYFUNCTION("IFERROR(FILTER('Pit Scouting Responses'!D:D,'Pit Scouting Responses'!C:C=A248),"""")"),"")</f>
        <v/>
      </c>
      <c r="H248" s="223" t="str">
        <f>RawTotals!AI248</f>
        <v/>
      </c>
    </row>
    <row r="249">
      <c r="A249" s="224" t="str">
        <f>RawTotals!A249</f>
        <v/>
      </c>
      <c r="B249" s="75" t="str">
        <f>IFERROR(__xludf.DUMMYFUNCTION("IFERROR(FILTER('Pit Scouting Responses'!J:J,'Pit Scouting Responses'!C:C=A249),"""")"),"")</f>
        <v/>
      </c>
      <c r="C249" s="85" t="str">
        <f>IF(ISBLANK(A249),"",SUMIF(RawTotals!A$2:A1000, A249, RawTotals!O$2:O1000))</f>
        <v/>
      </c>
      <c r="D249" s="221" t="str">
        <f>IF(ISBLANK(A249),"",SUMIF(RawTotals!A$2:A1000, A249, RawTotals!D$2:D1000) + SUMIF(RawTotals!A$2:A1000, A249, RawTotals!M$2:M1000))</f>
        <v/>
      </c>
      <c r="E249" s="221" t="str">
        <f>IF(ISBLANK(A249),"",SUMIF(RawTotals!A$2:A1000, A249, RawTotals!C$2:C1000) + SUMIF(RawTotals!A$2:A1000, A249, RawTotals!L$2:L1000))</f>
        <v/>
      </c>
      <c r="F249" s="225" t="str">
        <f>IFERROR(__xludf.DUMMYFUNCTION("IFERROR(FILTER('Pit Scouting Responses'!G:G,'Pit Scouting Responses'!C:C=A249),"""")"),"")</f>
        <v/>
      </c>
      <c r="G249" s="226" t="str">
        <f>IFERROR(__xludf.DUMMYFUNCTION("IFERROR(FILTER('Pit Scouting Responses'!D:D,'Pit Scouting Responses'!C:C=A249),"""")"),"")</f>
        <v/>
      </c>
      <c r="H249" s="223" t="str">
        <f>RawTotals!AI249</f>
        <v/>
      </c>
    </row>
    <row r="250">
      <c r="A250" s="224" t="str">
        <f>RawTotals!A250</f>
        <v/>
      </c>
      <c r="B250" s="75" t="str">
        <f>IFERROR(__xludf.DUMMYFUNCTION("IFERROR(FILTER('Pit Scouting Responses'!J:J,'Pit Scouting Responses'!C:C=A250),"""")"),"")</f>
        <v/>
      </c>
      <c r="C250" s="85" t="str">
        <f>IF(ISBLANK(A250),"",SUMIF(RawTotals!A$2:A1000, A250, RawTotals!O$2:O1000))</f>
        <v/>
      </c>
      <c r="D250" s="221" t="str">
        <f>IF(ISBLANK(A250),"",SUMIF(RawTotals!A$2:A1000, A250, RawTotals!D$2:D1000) + SUMIF(RawTotals!A$2:A1000, A250, RawTotals!M$2:M1000))</f>
        <v/>
      </c>
      <c r="E250" s="221" t="str">
        <f>IF(ISBLANK(A250),"",SUMIF(RawTotals!A$2:A1000, A250, RawTotals!C$2:C1000) + SUMIF(RawTotals!A$2:A1000, A250, RawTotals!L$2:L1000))</f>
        <v/>
      </c>
      <c r="F250" s="225" t="str">
        <f>IFERROR(__xludf.DUMMYFUNCTION("IFERROR(FILTER('Pit Scouting Responses'!G:G,'Pit Scouting Responses'!C:C=A250),"""")"),"")</f>
        <v/>
      </c>
      <c r="G250" s="226" t="str">
        <f>IFERROR(__xludf.DUMMYFUNCTION("IFERROR(FILTER('Pit Scouting Responses'!D:D,'Pit Scouting Responses'!C:C=A250),"""")"),"")</f>
        <v/>
      </c>
      <c r="H250" s="223" t="str">
        <f>RawTotals!AI250</f>
        <v/>
      </c>
    </row>
    <row r="251">
      <c r="A251" s="224" t="str">
        <f>RawTotals!A251</f>
        <v/>
      </c>
      <c r="B251" s="75" t="str">
        <f>IFERROR(__xludf.DUMMYFUNCTION("IFERROR(FILTER('Pit Scouting Responses'!J:J,'Pit Scouting Responses'!C:C=A251),"""")"),"")</f>
        <v/>
      </c>
      <c r="C251" s="85" t="str">
        <f>IF(ISBLANK(A251),"",SUMIF(RawTotals!A$2:A1000, A251, RawTotals!O$2:O1000))</f>
        <v/>
      </c>
      <c r="D251" s="221" t="str">
        <f>IF(ISBLANK(A251),"",SUMIF(RawTotals!A$2:A1000, A251, RawTotals!D$2:D1000) + SUMIF(RawTotals!A$2:A1000, A251, RawTotals!M$2:M1000))</f>
        <v/>
      </c>
      <c r="E251" s="221" t="str">
        <f>IF(ISBLANK(A251),"",SUMIF(RawTotals!A$2:A1000, A251, RawTotals!C$2:C1000) + SUMIF(RawTotals!A$2:A1000, A251, RawTotals!L$2:L1000))</f>
        <v/>
      </c>
      <c r="F251" s="225" t="str">
        <f>IFERROR(__xludf.DUMMYFUNCTION("IFERROR(FILTER('Pit Scouting Responses'!G:G,'Pit Scouting Responses'!C:C=A251),"""")"),"")</f>
        <v/>
      </c>
      <c r="G251" s="226" t="str">
        <f>IFERROR(__xludf.DUMMYFUNCTION("IFERROR(FILTER('Pit Scouting Responses'!D:D,'Pit Scouting Responses'!C:C=A251),"""")"),"")</f>
        <v/>
      </c>
      <c r="H251" s="223" t="str">
        <f>RawTotals!AI251</f>
        <v/>
      </c>
    </row>
    <row r="252">
      <c r="A252" s="224" t="str">
        <f>RawTotals!A252</f>
        <v/>
      </c>
      <c r="B252" s="75" t="str">
        <f>IFERROR(__xludf.DUMMYFUNCTION("IFERROR(FILTER('Pit Scouting Responses'!J:J,'Pit Scouting Responses'!C:C=A252),"""")"),"")</f>
        <v/>
      </c>
      <c r="C252" s="85" t="str">
        <f>IF(ISBLANK(A252),"",SUMIF(RawTotals!A$2:A1000, A252, RawTotals!O$2:O1000))</f>
        <v/>
      </c>
      <c r="D252" s="221" t="str">
        <f>IF(ISBLANK(A252),"",SUMIF(RawTotals!A$2:A1000, A252, RawTotals!D$2:D1000) + SUMIF(RawTotals!A$2:A1000, A252, RawTotals!M$2:M1000))</f>
        <v/>
      </c>
      <c r="E252" s="221" t="str">
        <f>IF(ISBLANK(A252),"",SUMIF(RawTotals!A$2:A1000, A252, RawTotals!C$2:C1000) + SUMIF(RawTotals!A$2:A1000, A252, RawTotals!L$2:L1000))</f>
        <v/>
      </c>
      <c r="F252" s="225" t="str">
        <f>IFERROR(__xludf.DUMMYFUNCTION("IFERROR(FILTER('Pit Scouting Responses'!G:G,'Pit Scouting Responses'!C:C=A252),"""")"),"")</f>
        <v/>
      </c>
      <c r="G252" s="226" t="str">
        <f>IFERROR(__xludf.DUMMYFUNCTION("IFERROR(FILTER('Pit Scouting Responses'!D:D,'Pit Scouting Responses'!C:C=A252),"""")"),"")</f>
        <v/>
      </c>
      <c r="H252" s="223" t="str">
        <f>RawTotals!AI252</f>
        <v/>
      </c>
    </row>
    <row r="253">
      <c r="A253" s="224" t="str">
        <f>RawTotals!A253</f>
        <v/>
      </c>
      <c r="B253" s="75" t="str">
        <f>IFERROR(__xludf.DUMMYFUNCTION("IFERROR(FILTER('Pit Scouting Responses'!J:J,'Pit Scouting Responses'!C:C=A253),"""")"),"")</f>
        <v/>
      </c>
      <c r="C253" s="85" t="str">
        <f>IF(ISBLANK(A253),"",SUMIF(RawTotals!A$2:A1000, A253, RawTotals!O$2:O1000))</f>
        <v/>
      </c>
      <c r="D253" s="221" t="str">
        <f>IF(ISBLANK(A253),"",SUMIF(RawTotals!A$2:A1000, A253, RawTotals!D$2:D1000) + SUMIF(RawTotals!A$2:A1000, A253, RawTotals!M$2:M1000))</f>
        <v/>
      </c>
      <c r="E253" s="221" t="str">
        <f>IF(ISBLANK(A253),"",SUMIF(RawTotals!A$2:A1000, A253, RawTotals!C$2:C1000) + SUMIF(RawTotals!A$2:A1000, A253, RawTotals!L$2:L1000))</f>
        <v/>
      </c>
      <c r="F253" s="225" t="str">
        <f>IFERROR(__xludf.DUMMYFUNCTION("IFERROR(FILTER('Pit Scouting Responses'!G:G,'Pit Scouting Responses'!C:C=A253),"""")"),"")</f>
        <v/>
      </c>
      <c r="G253" s="226" t="str">
        <f>IFERROR(__xludf.DUMMYFUNCTION("IFERROR(FILTER('Pit Scouting Responses'!D:D,'Pit Scouting Responses'!C:C=A253),"""")"),"")</f>
        <v/>
      </c>
      <c r="H253" s="223" t="str">
        <f>RawTotals!AI253</f>
        <v/>
      </c>
    </row>
    <row r="254">
      <c r="A254" s="224" t="str">
        <f>RawTotals!A254</f>
        <v/>
      </c>
      <c r="B254" s="75" t="str">
        <f>IFERROR(__xludf.DUMMYFUNCTION("IFERROR(FILTER('Pit Scouting Responses'!J:J,'Pit Scouting Responses'!C:C=A254),"""")"),"")</f>
        <v/>
      </c>
      <c r="C254" s="85" t="str">
        <f>IF(ISBLANK(A254),"",SUMIF(RawTotals!A$2:A1000, A254, RawTotals!O$2:O1000))</f>
        <v/>
      </c>
      <c r="D254" s="221" t="str">
        <f>IF(ISBLANK(A254),"",SUMIF(RawTotals!A$2:A1000, A254, RawTotals!D$2:D1000) + SUMIF(RawTotals!A$2:A1000, A254, RawTotals!M$2:M1000))</f>
        <v/>
      </c>
      <c r="E254" s="221" t="str">
        <f>IF(ISBLANK(A254),"",SUMIF(RawTotals!A$2:A1000, A254, RawTotals!C$2:C1000) + SUMIF(RawTotals!A$2:A1000, A254, RawTotals!L$2:L1000))</f>
        <v/>
      </c>
      <c r="F254" s="225" t="str">
        <f>IFERROR(__xludf.DUMMYFUNCTION("IFERROR(FILTER('Pit Scouting Responses'!G:G,'Pit Scouting Responses'!C:C=A254),"""")"),"")</f>
        <v/>
      </c>
      <c r="G254" s="226" t="str">
        <f>IFERROR(__xludf.DUMMYFUNCTION("IFERROR(FILTER('Pit Scouting Responses'!D:D,'Pit Scouting Responses'!C:C=A254),"""")"),"")</f>
        <v/>
      </c>
      <c r="H254" s="223" t="str">
        <f>RawTotals!AI254</f>
        <v/>
      </c>
    </row>
    <row r="255">
      <c r="A255" s="224" t="str">
        <f>RawTotals!A255</f>
        <v/>
      </c>
      <c r="B255" s="75" t="str">
        <f>IFERROR(__xludf.DUMMYFUNCTION("IFERROR(FILTER('Pit Scouting Responses'!J:J,'Pit Scouting Responses'!C:C=A255),"""")"),"")</f>
        <v/>
      </c>
      <c r="C255" s="85" t="str">
        <f>IF(ISBLANK(A255),"",SUMIF(RawTotals!A$2:A1000, A255, RawTotals!O$2:O1000))</f>
        <v/>
      </c>
      <c r="D255" s="221" t="str">
        <f>IF(ISBLANK(A255),"",SUMIF(RawTotals!A$2:A1000, A255, RawTotals!D$2:D1000) + SUMIF(RawTotals!A$2:A1000, A255, RawTotals!M$2:M1000))</f>
        <v/>
      </c>
      <c r="E255" s="221" t="str">
        <f>IF(ISBLANK(A255),"",SUMIF(RawTotals!A$2:A1000, A255, RawTotals!C$2:C1000) + SUMIF(RawTotals!A$2:A1000, A255, RawTotals!L$2:L1000))</f>
        <v/>
      </c>
      <c r="F255" s="225" t="str">
        <f>IFERROR(__xludf.DUMMYFUNCTION("IFERROR(FILTER('Pit Scouting Responses'!G:G,'Pit Scouting Responses'!C:C=A255),"""")"),"")</f>
        <v/>
      </c>
      <c r="G255" s="226" t="str">
        <f>IFERROR(__xludf.DUMMYFUNCTION("IFERROR(FILTER('Pit Scouting Responses'!D:D,'Pit Scouting Responses'!C:C=A255),"""")"),"")</f>
        <v/>
      </c>
      <c r="H255" s="223" t="str">
        <f>RawTotals!AI255</f>
        <v/>
      </c>
    </row>
    <row r="256">
      <c r="A256" s="224" t="str">
        <f>RawTotals!A256</f>
        <v/>
      </c>
      <c r="B256" s="75" t="str">
        <f>IFERROR(__xludf.DUMMYFUNCTION("IFERROR(FILTER('Pit Scouting Responses'!J:J,'Pit Scouting Responses'!C:C=A256),"""")"),"")</f>
        <v/>
      </c>
      <c r="C256" s="85" t="str">
        <f>IF(ISBLANK(A256),"",SUMIF(RawTotals!A$2:A1000, A256, RawTotals!O$2:O1000))</f>
        <v/>
      </c>
      <c r="D256" s="221" t="str">
        <f>IF(ISBLANK(A256),"",SUMIF(RawTotals!A$2:A1000, A256, RawTotals!D$2:D1000) + SUMIF(RawTotals!A$2:A1000, A256, RawTotals!M$2:M1000))</f>
        <v/>
      </c>
      <c r="E256" s="221" t="str">
        <f>IF(ISBLANK(A256),"",SUMIF(RawTotals!A$2:A1000, A256, RawTotals!C$2:C1000) + SUMIF(RawTotals!A$2:A1000, A256, RawTotals!L$2:L1000))</f>
        <v/>
      </c>
      <c r="F256" s="225" t="str">
        <f>IFERROR(__xludf.DUMMYFUNCTION("IFERROR(FILTER('Pit Scouting Responses'!G:G,'Pit Scouting Responses'!C:C=A256),"""")"),"")</f>
        <v/>
      </c>
      <c r="G256" s="226" t="str">
        <f>IFERROR(__xludf.DUMMYFUNCTION("IFERROR(FILTER('Pit Scouting Responses'!D:D,'Pit Scouting Responses'!C:C=A256),"""")"),"")</f>
        <v/>
      </c>
      <c r="H256" s="223" t="str">
        <f>RawTotals!AI256</f>
        <v/>
      </c>
    </row>
    <row r="257">
      <c r="A257" s="224" t="str">
        <f>RawTotals!A257</f>
        <v/>
      </c>
      <c r="B257" s="75" t="str">
        <f>IFERROR(__xludf.DUMMYFUNCTION("IFERROR(FILTER('Pit Scouting Responses'!J:J,'Pit Scouting Responses'!C:C=A257),"""")"),"")</f>
        <v/>
      </c>
      <c r="C257" s="85" t="str">
        <f>IF(ISBLANK(A257),"",SUMIF(RawTotals!A$2:A1000, A257, RawTotals!O$2:O1000))</f>
        <v/>
      </c>
      <c r="D257" s="221" t="str">
        <f>IF(ISBLANK(A257),"",SUMIF(RawTotals!A$2:A1000, A257, RawTotals!D$2:D1000) + SUMIF(RawTotals!A$2:A1000, A257, RawTotals!M$2:M1000))</f>
        <v/>
      </c>
      <c r="E257" s="221" t="str">
        <f>IF(ISBLANK(A257),"",SUMIF(RawTotals!A$2:A1000, A257, RawTotals!C$2:C1000) + SUMIF(RawTotals!A$2:A1000, A257, RawTotals!L$2:L1000))</f>
        <v/>
      </c>
      <c r="F257" s="225" t="str">
        <f>IFERROR(__xludf.DUMMYFUNCTION("IFERROR(FILTER('Pit Scouting Responses'!G:G,'Pit Scouting Responses'!C:C=A257),"""")"),"")</f>
        <v/>
      </c>
      <c r="G257" s="226" t="str">
        <f>IFERROR(__xludf.DUMMYFUNCTION("IFERROR(FILTER('Pit Scouting Responses'!D:D,'Pit Scouting Responses'!C:C=A257),"""")"),"")</f>
        <v/>
      </c>
      <c r="H257" s="223" t="str">
        <f>RawTotals!AI257</f>
        <v/>
      </c>
    </row>
    <row r="258">
      <c r="A258" s="224" t="str">
        <f>RawTotals!A258</f>
        <v/>
      </c>
      <c r="B258" s="75" t="str">
        <f>IFERROR(__xludf.DUMMYFUNCTION("IFERROR(FILTER('Pit Scouting Responses'!J:J,'Pit Scouting Responses'!C:C=A258),"""")"),"")</f>
        <v/>
      </c>
      <c r="C258" s="85" t="str">
        <f>IF(ISBLANK(A258),"",SUMIF(RawTotals!A$2:A1000, A258, RawTotals!O$2:O1000))</f>
        <v/>
      </c>
      <c r="D258" s="221" t="str">
        <f>IF(ISBLANK(A258),"",SUMIF(RawTotals!A$2:A1000, A258, RawTotals!D$2:D1000) + SUMIF(RawTotals!A$2:A1000, A258, RawTotals!M$2:M1000))</f>
        <v/>
      </c>
      <c r="E258" s="221" t="str">
        <f>IF(ISBLANK(A258),"",SUMIF(RawTotals!A$2:A1000, A258, RawTotals!C$2:C1000) + SUMIF(RawTotals!A$2:A1000, A258, RawTotals!L$2:L1000))</f>
        <v/>
      </c>
      <c r="F258" s="225" t="str">
        <f>IFERROR(__xludf.DUMMYFUNCTION("IFERROR(FILTER('Pit Scouting Responses'!G:G,'Pit Scouting Responses'!C:C=A258),"""")"),"")</f>
        <v/>
      </c>
      <c r="G258" s="226" t="str">
        <f>IFERROR(__xludf.DUMMYFUNCTION("IFERROR(FILTER('Pit Scouting Responses'!D:D,'Pit Scouting Responses'!C:C=A258),"""")"),"")</f>
        <v/>
      </c>
      <c r="H258" s="223" t="str">
        <f>RawTotals!AI258</f>
        <v/>
      </c>
    </row>
    <row r="259">
      <c r="A259" s="224" t="str">
        <f>RawTotals!A259</f>
        <v/>
      </c>
      <c r="B259" s="75" t="str">
        <f>IFERROR(__xludf.DUMMYFUNCTION("IFERROR(FILTER('Pit Scouting Responses'!J:J,'Pit Scouting Responses'!C:C=A259),"""")"),"")</f>
        <v/>
      </c>
      <c r="C259" s="85" t="str">
        <f>IF(ISBLANK(A259),"",SUMIF(RawTotals!A$2:A1000, A259, RawTotals!O$2:O1000))</f>
        <v/>
      </c>
      <c r="D259" s="221" t="str">
        <f>IF(ISBLANK(A259),"",SUMIF(RawTotals!A$2:A1000, A259, RawTotals!D$2:D1000) + SUMIF(RawTotals!A$2:A1000, A259, RawTotals!M$2:M1000))</f>
        <v/>
      </c>
      <c r="E259" s="221" t="str">
        <f>IF(ISBLANK(A259),"",SUMIF(RawTotals!A$2:A1000, A259, RawTotals!C$2:C1000) + SUMIF(RawTotals!A$2:A1000, A259, RawTotals!L$2:L1000))</f>
        <v/>
      </c>
      <c r="F259" s="225" t="str">
        <f>IFERROR(__xludf.DUMMYFUNCTION("IFERROR(FILTER('Pit Scouting Responses'!G:G,'Pit Scouting Responses'!C:C=A259),"""")"),"")</f>
        <v/>
      </c>
      <c r="G259" s="226" t="str">
        <f>IFERROR(__xludf.DUMMYFUNCTION("IFERROR(FILTER('Pit Scouting Responses'!D:D,'Pit Scouting Responses'!C:C=A259),"""")"),"")</f>
        <v/>
      </c>
      <c r="H259" s="223" t="str">
        <f>RawTotals!AI259</f>
        <v/>
      </c>
    </row>
    <row r="260">
      <c r="A260" s="224" t="str">
        <f>RawTotals!A260</f>
        <v/>
      </c>
      <c r="B260" s="75" t="str">
        <f>IFERROR(__xludf.DUMMYFUNCTION("IFERROR(FILTER('Pit Scouting Responses'!J:J,'Pit Scouting Responses'!C:C=A260),"""")"),"")</f>
        <v/>
      </c>
      <c r="C260" s="85" t="str">
        <f>IF(ISBLANK(A260),"",SUMIF(RawTotals!A$2:A1000, A260, RawTotals!O$2:O1000))</f>
        <v/>
      </c>
      <c r="D260" s="221" t="str">
        <f>IF(ISBLANK(A260),"",SUMIF(RawTotals!A$2:A1000, A260, RawTotals!D$2:D1000) + SUMIF(RawTotals!A$2:A1000, A260, RawTotals!M$2:M1000))</f>
        <v/>
      </c>
      <c r="E260" s="221" t="str">
        <f>IF(ISBLANK(A260),"",SUMIF(RawTotals!A$2:A1000, A260, RawTotals!C$2:C1000) + SUMIF(RawTotals!A$2:A1000, A260, RawTotals!L$2:L1000))</f>
        <v/>
      </c>
      <c r="F260" s="225" t="str">
        <f>IFERROR(__xludf.DUMMYFUNCTION("IFERROR(FILTER('Pit Scouting Responses'!G:G,'Pit Scouting Responses'!C:C=A260),"""")"),"")</f>
        <v/>
      </c>
      <c r="G260" s="226" t="str">
        <f>IFERROR(__xludf.DUMMYFUNCTION("IFERROR(FILTER('Pit Scouting Responses'!D:D,'Pit Scouting Responses'!C:C=A260),"""")"),"")</f>
        <v/>
      </c>
      <c r="H260" s="223" t="str">
        <f>RawTotals!AI260</f>
        <v/>
      </c>
    </row>
    <row r="261">
      <c r="A261" s="224" t="str">
        <f>RawTotals!A261</f>
        <v/>
      </c>
      <c r="B261" s="75" t="str">
        <f>IFERROR(__xludf.DUMMYFUNCTION("IFERROR(FILTER('Pit Scouting Responses'!J:J,'Pit Scouting Responses'!C:C=A261),"""")"),"")</f>
        <v/>
      </c>
      <c r="C261" s="85" t="str">
        <f>IF(ISBLANK(A261),"",SUMIF(RawTotals!A$2:A1000, A261, RawTotals!O$2:O1000))</f>
        <v/>
      </c>
      <c r="D261" s="221" t="str">
        <f>IF(ISBLANK(A261),"",SUMIF(RawTotals!A$2:A1000, A261, RawTotals!D$2:D1000) + SUMIF(RawTotals!A$2:A1000, A261, RawTotals!M$2:M1000))</f>
        <v/>
      </c>
      <c r="E261" s="221" t="str">
        <f>IF(ISBLANK(A261),"",SUMIF(RawTotals!A$2:A1000, A261, RawTotals!C$2:C1000) + SUMIF(RawTotals!A$2:A1000, A261, RawTotals!L$2:L1000))</f>
        <v/>
      </c>
      <c r="F261" s="225" t="str">
        <f>IFERROR(__xludf.DUMMYFUNCTION("IFERROR(FILTER('Pit Scouting Responses'!G:G,'Pit Scouting Responses'!C:C=A261),"""")"),"")</f>
        <v/>
      </c>
      <c r="G261" s="226" t="str">
        <f>IFERROR(__xludf.DUMMYFUNCTION("IFERROR(FILTER('Pit Scouting Responses'!D:D,'Pit Scouting Responses'!C:C=A261),"""")"),"")</f>
        <v/>
      </c>
      <c r="H261" s="223" t="str">
        <f>RawTotals!AI261</f>
        <v/>
      </c>
    </row>
    <row r="262">
      <c r="A262" s="224" t="str">
        <f>RawTotals!A262</f>
        <v/>
      </c>
      <c r="B262" s="75" t="str">
        <f>IFERROR(__xludf.DUMMYFUNCTION("IFERROR(FILTER('Pit Scouting Responses'!J:J,'Pit Scouting Responses'!C:C=A262),"""")"),"")</f>
        <v/>
      </c>
      <c r="C262" s="85" t="str">
        <f>IF(ISBLANK(A262),"",SUMIF(RawTotals!A$2:A1000, A262, RawTotals!O$2:O1000))</f>
        <v/>
      </c>
      <c r="D262" s="221" t="str">
        <f>IF(ISBLANK(A262),"",SUMIF(RawTotals!A$2:A1000, A262, RawTotals!D$2:D1000) + SUMIF(RawTotals!A$2:A1000, A262, RawTotals!M$2:M1000))</f>
        <v/>
      </c>
      <c r="E262" s="221" t="str">
        <f>IF(ISBLANK(A262),"",SUMIF(RawTotals!A$2:A1000, A262, RawTotals!C$2:C1000) + SUMIF(RawTotals!A$2:A1000, A262, RawTotals!L$2:L1000))</f>
        <v/>
      </c>
      <c r="F262" s="225" t="str">
        <f>IFERROR(__xludf.DUMMYFUNCTION("IFERROR(FILTER('Pit Scouting Responses'!G:G,'Pit Scouting Responses'!C:C=A262),"""")"),"")</f>
        <v/>
      </c>
      <c r="G262" s="226" t="str">
        <f>IFERROR(__xludf.DUMMYFUNCTION("IFERROR(FILTER('Pit Scouting Responses'!D:D,'Pit Scouting Responses'!C:C=A262),"""")"),"")</f>
        <v/>
      </c>
      <c r="H262" s="223" t="str">
        <f>RawTotals!AI262</f>
        <v/>
      </c>
    </row>
    <row r="263">
      <c r="A263" s="224" t="str">
        <f>RawTotals!A263</f>
        <v/>
      </c>
      <c r="B263" s="75" t="str">
        <f>IFERROR(__xludf.DUMMYFUNCTION("IFERROR(FILTER('Pit Scouting Responses'!J:J,'Pit Scouting Responses'!C:C=A263),"""")"),"")</f>
        <v/>
      </c>
      <c r="C263" s="85" t="str">
        <f>IF(ISBLANK(A263),"",SUMIF(RawTotals!A$2:A1000, A263, RawTotals!O$2:O1000))</f>
        <v/>
      </c>
      <c r="D263" s="221" t="str">
        <f>IF(ISBLANK(A263),"",SUMIF(RawTotals!A$2:A1000, A263, RawTotals!D$2:D1000) + SUMIF(RawTotals!A$2:A1000, A263, RawTotals!M$2:M1000))</f>
        <v/>
      </c>
      <c r="E263" s="221" t="str">
        <f>IF(ISBLANK(A263),"",SUMIF(RawTotals!A$2:A1000, A263, RawTotals!C$2:C1000) + SUMIF(RawTotals!A$2:A1000, A263, RawTotals!L$2:L1000))</f>
        <v/>
      </c>
      <c r="F263" s="225" t="str">
        <f>IFERROR(__xludf.DUMMYFUNCTION("IFERROR(FILTER('Pit Scouting Responses'!G:G,'Pit Scouting Responses'!C:C=A263),"""")"),"")</f>
        <v/>
      </c>
      <c r="G263" s="226" t="str">
        <f>IFERROR(__xludf.DUMMYFUNCTION("IFERROR(FILTER('Pit Scouting Responses'!D:D,'Pit Scouting Responses'!C:C=A263),"""")"),"")</f>
        <v/>
      </c>
      <c r="H263" s="223" t="str">
        <f>RawTotals!AI263</f>
        <v/>
      </c>
    </row>
    <row r="264">
      <c r="A264" s="224" t="str">
        <f>RawTotals!A264</f>
        <v/>
      </c>
      <c r="B264" s="75" t="str">
        <f>IFERROR(__xludf.DUMMYFUNCTION("IFERROR(FILTER('Pit Scouting Responses'!J:J,'Pit Scouting Responses'!C:C=A264),"""")"),"")</f>
        <v/>
      </c>
      <c r="C264" s="85" t="str">
        <f>IF(ISBLANK(A264),"",SUMIF(RawTotals!A$2:A1000, A264, RawTotals!O$2:O1000))</f>
        <v/>
      </c>
      <c r="D264" s="221" t="str">
        <f>IF(ISBLANK(A264),"",SUMIF(RawTotals!A$2:A1000, A264, RawTotals!D$2:D1000) + SUMIF(RawTotals!A$2:A1000, A264, RawTotals!M$2:M1000))</f>
        <v/>
      </c>
      <c r="E264" s="221" t="str">
        <f>IF(ISBLANK(A264),"",SUMIF(RawTotals!A$2:A1000, A264, RawTotals!C$2:C1000) + SUMIF(RawTotals!A$2:A1000, A264, RawTotals!L$2:L1000))</f>
        <v/>
      </c>
      <c r="F264" s="225" t="str">
        <f>IFERROR(__xludf.DUMMYFUNCTION("IFERROR(FILTER('Pit Scouting Responses'!G:G,'Pit Scouting Responses'!C:C=A264),"""")"),"")</f>
        <v/>
      </c>
      <c r="G264" s="226" t="str">
        <f>IFERROR(__xludf.DUMMYFUNCTION("IFERROR(FILTER('Pit Scouting Responses'!D:D,'Pit Scouting Responses'!C:C=A264),"""")"),"")</f>
        <v/>
      </c>
      <c r="H264" s="223" t="str">
        <f>RawTotals!AI264</f>
        <v/>
      </c>
    </row>
    <row r="265">
      <c r="A265" s="224" t="str">
        <f>RawTotals!A265</f>
        <v/>
      </c>
      <c r="B265" s="75" t="str">
        <f>IFERROR(__xludf.DUMMYFUNCTION("IFERROR(FILTER('Pit Scouting Responses'!J:J,'Pit Scouting Responses'!C:C=A265),"""")"),"")</f>
        <v/>
      </c>
      <c r="C265" s="85" t="str">
        <f>IF(ISBLANK(A265),"",SUMIF(RawTotals!A$2:A1000, A265, RawTotals!O$2:O1000))</f>
        <v/>
      </c>
      <c r="D265" s="221" t="str">
        <f>IF(ISBLANK(A265),"",SUMIF(RawTotals!A$2:A1000, A265, RawTotals!D$2:D1000) + SUMIF(RawTotals!A$2:A1000, A265, RawTotals!M$2:M1000))</f>
        <v/>
      </c>
      <c r="E265" s="221" t="str">
        <f>IF(ISBLANK(A265),"",SUMIF(RawTotals!A$2:A1000, A265, RawTotals!C$2:C1000) + SUMIF(RawTotals!A$2:A1000, A265, RawTotals!L$2:L1000))</f>
        <v/>
      </c>
      <c r="F265" s="225" t="str">
        <f>IFERROR(__xludf.DUMMYFUNCTION("IFERROR(FILTER('Pit Scouting Responses'!G:G,'Pit Scouting Responses'!C:C=A265),"""")"),"")</f>
        <v/>
      </c>
      <c r="G265" s="226" t="str">
        <f>IFERROR(__xludf.DUMMYFUNCTION("IFERROR(FILTER('Pit Scouting Responses'!D:D,'Pit Scouting Responses'!C:C=A265),"""")"),"")</f>
        <v/>
      </c>
      <c r="H265" s="223" t="str">
        <f>RawTotals!AI265</f>
        <v/>
      </c>
    </row>
    <row r="266">
      <c r="A266" s="224" t="str">
        <f>RawTotals!A266</f>
        <v/>
      </c>
      <c r="B266" s="75" t="str">
        <f>IFERROR(__xludf.DUMMYFUNCTION("IFERROR(FILTER('Pit Scouting Responses'!J:J,'Pit Scouting Responses'!C:C=A266),"""")"),"")</f>
        <v/>
      </c>
      <c r="C266" s="85" t="str">
        <f>IF(ISBLANK(A266),"",SUMIF(RawTotals!A$2:A1000, A266, RawTotals!O$2:O1000))</f>
        <v/>
      </c>
      <c r="D266" s="221" t="str">
        <f>IF(ISBLANK(A266),"",SUMIF(RawTotals!A$2:A1000, A266, RawTotals!D$2:D1000) + SUMIF(RawTotals!A$2:A1000, A266, RawTotals!M$2:M1000))</f>
        <v/>
      </c>
      <c r="E266" s="221" t="str">
        <f>IF(ISBLANK(A266),"",SUMIF(RawTotals!A$2:A1000, A266, RawTotals!C$2:C1000) + SUMIF(RawTotals!A$2:A1000, A266, RawTotals!L$2:L1000))</f>
        <v/>
      </c>
      <c r="F266" s="225" t="str">
        <f>IFERROR(__xludf.DUMMYFUNCTION("IFERROR(FILTER('Pit Scouting Responses'!G:G,'Pit Scouting Responses'!C:C=A266),"""")"),"")</f>
        <v/>
      </c>
      <c r="G266" s="226" t="str">
        <f>IFERROR(__xludf.DUMMYFUNCTION("IFERROR(FILTER('Pit Scouting Responses'!D:D,'Pit Scouting Responses'!C:C=A266),"""")"),"")</f>
        <v/>
      </c>
      <c r="H266" s="223" t="str">
        <f>RawTotals!AI266</f>
        <v/>
      </c>
    </row>
    <row r="267">
      <c r="A267" s="224" t="str">
        <f>RawTotals!A267</f>
        <v/>
      </c>
      <c r="B267" s="75" t="str">
        <f>IFERROR(__xludf.DUMMYFUNCTION("IFERROR(FILTER('Pit Scouting Responses'!J:J,'Pit Scouting Responses'!C:C=A267),"""")"),"")</f>
        <v/>
      </c>
      <c r="C267" s="85" t="str">
        <f>IF(ISBLANK(A267),"",SUMIF(RawTotals!A$2:A1000, A267, RawTotals!O$2:O1000))</f>
        <v/>
      </c>
      <c r="D267" s="221" t="str">
        <f>IF(ISBLANK(A267),"",SUMIF(RawTotals!A$2:A1000, A267, RawTotals!D$2:D1000) + SUMIF(RawTotals!A$2:A1000, A267, RawTotals!M$2:M1000))</f>
        <v/>
      </c>
      <c r="E267" s="221" t="str">
        <f>IF(ISBLANK(A267),"",SUMIF(RawTotals!A$2:A1000, A267, RawTotals!C$2:C1000) + SUMIF(RawTotals!A$2:A1000, A267, RawTotals!L$2:L1000))</f>
        <v/>
      </c>
      <c r="F267" s="225" t="str">
        <f>IFERROR(__xludf.DUMMYFUNCTION("IFERROR(FILTER('Pit Scouting Responses'!G:G,'Pit Scouting Responses'!C:C=A267),"""")"),"")</f>
        <v/>
      </c>
      <c r="G267" s="226" t="str">
        <f>IFERROR(__xludf.DUMMYFUNCTION("IFERROR(FILTER('Pit Scouting Responses'!D:D,'Pit Scouting Responses'!C:C=A267),"""")"),"")</f>
        <v/>
      </c>
      <c r="H267" s="223" t="str">
        <f>RawTotals!AI267</f>
        <v/>
      </c>
    </row>
    <row r="268">
      <c r="A268" s="224" t="str">
        <f>RawTotals!A268</f>
        <v/>
      </c>
      <c r="B268" s="75" t="str">
        <f>IFERROR(__xludf.DUMMYFUNCTION("IFERROR(FILTER('Pit Scouting Responses'!J:J,'Pit Scouting Responses'!C:C=A268),"""")"),"")</f>
        <v/>
      </c>
      <c r="C268" s="85" t="str">
        <f>IF(ISBLANK(A268),"",SUMIF(RawTotals!A$2:A1000, A268, RawTotals!O$2:O1000))</f>
        <v/>
      </c>
      <c r="D268" s="221" t="str">
        <f>IF(ISBLANK(A268),"",SUMIF(RawTotals!A$2:A1000, A268, RawTotals!D$2:D1000) + SUMIF(RawTotals!A$2:A1000, A268, RawTotals!M$2:M1000))</f>
        <v/>
      </c>
      <c r="E268" s="221" t="str">
        <f>IF(ISBLANK(A268),"",SUMIF(RawTotals!A$2:A1000, A268, RawTotals!C$2:C1000) + SUMIF(RawTotals!A$2:A1000, A268, RawTotals!L$2:L1000))</f>
        <v/>
      </c>
      <c r="F268" s="225" t="str">
        <f>IFERROR(__xludf.DUMMYFUNCTION("IFERROR(FILTER('Pit Scouting Responses'!G:G,'Pit Scouting Responses'!C:C=A268),"""")"),"")</f>
        <v/>
      </c>
      <c r="G268" s="226" t="str">
        <f>IFERROR(__xludf.DUMMYFUNCTION("IFERROR(FILTER('Pit Scouting Responses'!D:D,'Pit Scouting Responses'!C:C=A268),"""")"),"")</f>
        <v/>
      </c>
      <c r="H268" s="223" t="str">
        <f>RawTotals!AI268</f>
        <v/>
      </c>
    </row>
    <row r="269">
      <c r="A269" s="224" t="str">
        <f>RawTotals!A269</f>
        <v/>
      </c>
      <c r="B269" s="75" t="str">
        <f>IFERROR(__xludf.DUMMYFUNCTION("IFERROR(FILTER('Pit Scouting Responses'!J:J,'Pit Scouting Responses'!C:C=A269),"""")"),"")</f>
        <v/>
      </c>
      <c r="C269" s="85" t="str">
        <f>IF(ISBLANK(A269),"",SUMIF(RawTotals!A$2:A1000, A269, RawTotals!O$2:O1000))</f>
        <v/>
      </c>
      <c r="D269" s="221" t="str">
        <f>IF(ISBLANK(A269),"",SUMIF(RawTotals!A$2:A1000, A269, RawTotals!D$2:D1000) + SUMIF(RawTotals!A$2:A1000, A269, RawTotals!M$2:M1000))</f>
        <v/>
      </c>
      <c r="E269" s="221" t="str">
        <f>IF(ISBLANK(A269),"",SUMIF(RawTotals!A$2:A1000, A269, RawTotals!C$2:C1000) + SUMIF(RawTotals!A$2:A1000, A269, RawTotals!L$2:L1000))</f>
        <v/>
      </c>
      <c r="F269" s="225" t="str">
        <f>IFERROR(__xludf.DUMMYFUNCTION("IFERROR(FILTER('Pit Scouting Responses'!G:G,'Pit Scouting Responses'!C:C=A269),"""")"),"")</f>
        <v/>
      </c>
      <c r="G269" s="226" t="str">
        <f>IFERROR(__xludf.DUMMYFUNCTION("IFERROR(FILTER('Pit Scouting Responses'!D:D,'Pit Scouting Responses'!C:C=A269),"""")"),"")</f>
        <v/>
      </c>
      <c r="H269" s="223" t="str">
        <f>RawTotals!AI269</f>
        <v/>
      </c>
    </row>
    <row r="270">
      <c r="A270" s="224" t="str">
        <f>RawTotals!A270</f>
        <v/>
      </c>
      <c r="B270" s="75" t="str">
        <f>IFERROR(__xludf.DUMMYFUNCTION("IFERROR(FILTER('Pit Scouting Responses'!J:J,'Pit Scouting Responses'!C:C=A270),"""")"),"")</f>
        <v/>
      </c>
      <c r="C270" s="85" t="str">
        <f>IF(ISBLANK(A270),"",SUMIF(RawTotals!A$2:A1000, A270, RawTotals!O$2:O1000))</f>
        <v/>
      </c>
      <c r="D270" s="221" t="str">
        <f>IF(ISBLANK(A270),"",SUMIF(RawTotals!A$2:A1000, A270, RawTotals!D$2:D1000) + SUMIF(RawTotals!A$2:A1000, A270, RawTotals!M$2:M1000))</f>
        <v/>
      </c>
      <c r="E270" s="221" t="str">
        <f>IF(ISBLANK(A270),"",SUMIF(RawTotals!A$2:A1000, A270, RawTotals!C$2:C1000) + SUMIF(RawTotals!A$2:A1000, A270, RawTotals!L$2:L1000))</f>
        <v/>
      </c>
      <c r="F270" s="225" t="str">
        <f>IFERROR(__xludf.DUMMYFUNCTION("IFERROR(FILTER('Pit Scouting Responses'!G:G,'Pit Scouting Responses'!C:C=A270),"""")"),"")</f>
        <v/>
      </c>
      <c r="G270" s="226" t="str">
        <f>IFERROR(__xludf.DUMMYFUNCTION("IFERROR(FILTER('Pit Scouting Responses'!D:D,'Pit Scouting Responses'!C:C=A270),"""")"),"")</f>
        <v/>
      </c>
      <c r="H270" s="223" t="str">
        <f>RawTotals!AI270</f>
        <v/>
      </c>
    </row>
    <row r="271">
      <c r="A271" s="224" t="str">
        <f>RawTotals!A271</f>
        <v/>
      </c>
      <c r="B271" s="75" t="str">
        <f>IFERROR(__xludf.DUMMYFUNCTION("IFERROR(FILTER('Pit Scouting Responses'!J:J,'Pit Scouting Responses'!C:C=A271),"""")"),"")</f>
        <v/>
      </c>
      <c r="C271" s="85" t="str">
        <f>IF(ISBLANK(A271),"",SUMIF(RawTotals!A$2:A1000, A271, RawTotals!O$2:O1000))</f>
        <v/>
      </c>
      <c r="D271" s="221" t="str">
        <f>IF(ISBLANK(A271),"",SUMIF(RawTotals!A$2:A1000, A271, RawTotals!D$2:D1000) + SUMIF(RawTotals!A$2:A1000, A271, RawTotals!M$2:M1000))</f>
        <v/>
      </c>
      <c r="E271" s="221" t="str">
        <f>IF(ISBLANK(A271),"",SUMIF(RawTotals!A$2:A1000, A271, RawTotals!C$2:C1000) + SUMIF(RawTotals!A$2:A1000, A271, RawTotals!L$2:L1000))</f>
        <v/>
      </c>
      <c r="F271" s="225" t="str">
        <f>IFERROR(__xludf.DUMMYFUNCTION("IFERROR(FILTER('Pit Scouting Responses'!G:G,'Pit Scouting Responses'!C:C=A271),"""")"),"")</f>
        <v/>
      </c>
      <c r="G271" s="226" t="str">
        <f>IFERROR(__xludf.DUMMYFUNCTION("IFERROR(FILTER('Pit Scouting Responses'!D:D,'Pit Scouting Responses'!C:C=A271),"""")"),"")</f>
        <v/>
      </c>
      <c r="H271" s="223" t="str">
        <f>RawTotals!AI271</f>
        <v/>
      </c>
    </row>
    <row r="272">
      <c r="A272" s="224" t="str">
        <f>RawTotals!A272</f>
        <v/>
      </c>
      <c r="B272" s="75" t="str">
        <f>IFERROR(__xludf.DUMMYFUNCTION("IFERROR(FILTER('Pit Scouting Responses'!J:J,'Pit Scouting Responses'!C:C=A272),"""")"),"")</f>
        <v/>
      </c>
      <c r="C272" s="85" t="str">
        <f>IF(ISBLANK(A272),"",SUMIF(RawTotals!A$2:A1000, A272, RawTotals!O$2:O1000))</f>
        <v/>
      </c>
      <c r="D272" s="221" t="str">
        <f>IF(ISBLANK(A272),"",SUMIF(RawTotals!A$2:A1000, A272, RawTotals!D$2:D1000) + SUMIF(RawTotals!A$2:A1000, A272, RawTotals!M$2:M1000))</f>
        <v/>
      </c>
      <c r="E272" s="221" t="str">
        <f>IF(ISBLANK(A272),"",SUMIF(RawTotals!A$2:A1000, A272, RawTotals!C$2:C1000) + SUMIF(RawTotals!A$2:A1000, A272, RawTotals!L$2:L1000))</f>
        <v/>
      </c>
      <c r="F272" s="225" t="str">
        <f>IFERROR(__xludf.DUMMYFUNCTION("IFERROR(FILTER('Pit Scouting Responses'!G:G,'Pit Scouting Responses'!C:C=A272),"""")"),"")</f>
        <v/>
      </c>
      <c r="G272" s="226" t="str">
        <f>IFERROR(__xludf.DUMMYFUNCTION("IFERROR(FILTER('Pit Scouting Responses'!D:D,'Pit Scouting Responses'!C:C=A272),"""")"),"")</f>
        <v/>
      </c>
      <c r="H272" s="223" t="str">
        <f>RawTotals!AI272</f>
        <v/>
      </c>
    </row>
    <row r="273">
      <c r="A273" s="224" t="str">
        <f>RawTotals!A273</f>
        <v/>
      </c>
      <c r="B273" s="75" t="str">
        <f>IFERROR(__xludf.DUMMYFUNCTION("IFERROR(FILTER('Pit Scouting Responses'!J:J,'Pit Scouting Responses'!C:C=A273),"""")"),"")</f>
        <v/>
      </c>
      <c r="C273" s="85" t="str">
        <f>IF(ISBLANK(A273),"",SUMIF(RawTotals!A$2:A1000, A273, RawTotals!O$2:O1000))</f>
        <v/>
      </c>
      <c r="D273" s="221" t="str">
        <f>IF(ISBLANK(A273),"",SUMIF(RawTotals!A$2:A1000, A273, RawTotals!D$2:D1000) + SUMIF(RawTotals!A$2:A1000, A273, RawTotals!M$2:M1000))</f>
        <v/>
      </c>
      <c r="E273" s="221" t="str">
        <f>IF(ISBLANK(A273),"",SUMIF(RawTotals!A$2:A1000, A273, RawTotals!C$2:C1000) + SUMIF(RawTotals!A$2:A1000, A273, RawTotals!L$2:L1000))</f>
        <v/>
      </c>
      <c r="F273" s="225" t="str">
        <f>IFERROR(__xludf.DUMMYFUNCTION("IFERROR(FILTER('Pit Scouting Responses'!G:G,'Pit Scouting Responses'!C:C=A273),"""")"),"")</f>
        <v/>
      </c>
      <c r="G273" s="226" t="str">
        <f>IFERROR(__xludf.DUMMYFUNCTION("IFERROR(FILTER('Pit Scouting Responses'!D:D,'Pit Scouting Responses'!C:C=A273),"""")"),"")</f>
        <v/>
      </c>
      <c r="H273" s="223" t="str">
        <f>RawTotals!AI273</f>
        <v/>
      </c>
    </row>
    <row r="274">
      <c r="A274" s="224" t="str">
        <f>RawTotals!A274</f>
        <v/>
      </c>
      <c r="B274" s="75" t="str">
        <f>IFERROR(__xludf.DUMMYFUNCTION("IFERROR(FILTER('Pit Scouting Responses'!J:J,'Pit Scouting Responses'!C:C=A274),"""")"),"")</f>
        <v/>
      </c>
      <c r="C274" s="85" t="str">
        <f>IF(ISBLANK(A274),"",SUMIF(RawTotals!A$2:A1000, A274, RawTotals!O$2:O1000))</f>
        <v/>
      </c>
      <c r="D274" s="221" t="str">
        <f>IF(ISBLANK(A274),"",SUMIF(RawTotals!A$2:A1000, A274, RawTotals!D$2:D1000) + SUMIF(RawTotals!A$2:A1000, A274, RawTotals!M$2:M1000))</f>
        <v/>
      </c>
      <c r="E274" s="221" t="str">
        <f>IF(ISBLANK(A274),"",SUMIF(RawTotals!A$2:A1000, A274, RawTotals!C$2:C1000) + SUMIF(RawTotals!A$2:A1000, A274, RawTotals!L$2:L1000))</f>
        <v/>
      </c>
      <c r="F274" s="225" t="str">
        <f>IFERROR(__xludf.DUMMYFUNCTION("IFERROR(FILTER('Pit Scouting Responses'!G:G,'Pit Scouting Responses'!C:C=A274),"""")"),"")</f>
        <v/>
      </c>
      <c r="G274" s="226" t="str">
        <f>IFERROR(__xludf.DUMMYFUNCTION("IFERROR(FILTER('Pit Scouting Responses'!D:D,'Pit Scouting Responses'!C:C=A274),"""")"),"")</f>
        <v/>
      </c>
      <c r="H274" s="223" t="str">
        <f>RawTotals!AI274</f>
        <v/>
      </c>
    </row>
    <row r="275">
      <c r="A275" s="224" t="str">
        <f>RawTotals!A275</f>
        <v/>
      </c>
      <c r="B275" s="75" t="str">
        <f>IFERROR(__xludf.DUMMYFUNCTION("IFERROR(FILTER('Pit Scouting Responses'!J:J,'Pit Scouting Responses'!C:C=A275),"""")"),"")</f>
        <v/>
      </c>
      <c r="C275" s="85" t="str">
        <f>IF(ISBLANK(A275),"",SUMIF(RawTotals!A$2:A1000, A275, RawTotals!O$2:O1000))</f>
        <v/>
      </c>
      <c r="D275" s="221" t="str">
        <f>IF(ISBLANK(A275),"",SUMIF(RawTotals!A$2:A1000, A275, RawTotals!D$2:D1000) + SUMIF(RawTotals!A$2:A1000, A275, RawTotals!M$2:M1000))</f>
        <v/>
      </c>
      <c r="E275" s="221" t="str">
        <f>IF(ISBLANK(A275),"",SUMIF(RawTotals!A$2:A1000, A275, RawTotals!C$2:C1000) + SUMIF(RawTotals!A$2:A1000, A275, RawTotals!L$2:L1000))</f>
        <v/>
      </c>
      <c r="F275" s="225" t="str">
        <f>IFERROR(__xludf.DUMMYFUNCTION("IFERROR(FILTER('Pit Scouting Responses'!G:G,'Pit Scouting Responses'!C:C=A275),"""")"),"")</f>
        <v/>
      </c>
      <c r="G275" s="226" t="str">
        <f>IFERROR(__xludf.DUMMYFUNCTION("IFERROR(FILTER('Pit Scouting Responses'!D:D,'Pit Scouting Responses'!C:C=A275),"""")"),"")</f>
        <v/>
      </c>
      <c r="H275" s="223" t="str">
        <f>RawTotals!AI275</f>
        <v/>
      </c>
    </row>
    <row r="276">
      <c r="A276" s="224" t="str">
        <f>RawTotals!A276</f>
        <v/>
      </c>
      <c r="B276" s="75" t="str">
        <f>IFERROR(__xludf.DUMMYFUNCTION("IFERROR(FILTER('Pit Scouting Responses'!J:J,'Pit Scouting Responses'!C:C=A276),"""")"),"")</f>
        <v/>
      </c>
      <c r="C276" s="85" t="str">
        <f>IF(ISBLANK(A276),"",SUMIF(RawTotals!A$2:A1000, A276, RawTotals!O$2:O1000))</f>
        <v/>
      </c>
      <c r="D276" s="221" t="str">
        <f>IF(ISBLANK(A276),"",SUMIF(RawTotals!A$2:A1000, A276, RawTotals!D$2:D1000) + SUMIF(RawTotals!A$2:A1000, A276, RawTotals!M$2:M1000))</f>
        <v/>
      </c>
      <c r="E276" s="221" t="str">
        <f>IF(ISBLANK(A276),"",SUMIF(RawTotals!A$2:A1000, A276, RawTotals!C$2:C1000) + SUMIF(RawTotals!A$2:A1000, A276, RawTotals!L$2:L1000))</f>
        <v/>
      </c>
      <c r="F276" s="225" t="str">
        <f>IFERROR(__xludf.DUMMYFUNCTION("IFERROR(FILTER('Pit Scouting Responses'!G:G,'Pit Scouting Responses'!C:C=A276),"""")"),"")</f>
        <v/>
      </c>
      <c r="G276" s="226" t="str">
        <f>IFERROR(__xludf.DUMMYFUNCTION("IFERROR(FILTER('Pit Scouting Responses'!D:D,'Pit Scouting Responses'!C:C=A276),"""")"),"")</f>
        <v/>
      </c>
      <c r="H276" s="223" t="str">
        <f>RawTotals!AI276</f>
        <v/>
      </c>
    </row>
    <row r="277">
      <c r="A277" s="224" t="str">
        <f>RawTotals!A277</f>
        <v/>
      </c>
      <c r="B277" s="75" t="str">
        <f>IFERROR(__xludf.DUMMYFUNCTION("IFERROR(FILTER('Pit Scouting Responses'!J:J,'Pit Scouting Responses'!C:C=A277),"""")"),"")</f>
        <v/>
      </c>
      <c r="C277" s="85" t="str">
        <f>IF(ISBLANK(A277),"",SUMIF(RawTotals!A$2:A1000, A277, RawTotals!O$2:O1000))</f>
        <v/>
      </c>
      <c r="D277" s="221" t="str">
        <f>IF(ISBLANK(A277),"",SUMIF(RawTotals!A$2:A1000, A277, RawTotals!D$2:D1000) + SUMIF(RawTotals!A$2:A1000, A277, RawTotals!M$2:M1000))</f>
        <v/>
      </c>
      <c r="E277" s="221" t="str">
        <f>IF(ISBLANK(A277),"",SUMIF(RawTotals!A$2:A1000, A277, RawTotals!C$2:C1000) + SUMIF(RawTotals!A$2:A1000, A277, RawTotals!L$2:L1000))</f>
        <v/>
      </c>
      <c r="F277" s="225" t="str">
        <f>IFERROR(__xludf.DUMMYFUNCTION("IFERROR(FILTER('Pit Scouting Responses'!G:G,'Pit Scouting Responses'!C:C=A277),"""")"),"")</f>
        <v/>
      </c>
      <c r="G277" s="226" t="str">
        <f>IFERROR(__xludf.DUMMYFUNCTION("IFERROR(FILTER('Pit Scouting Responses'!D:D,'Pit Scouting Responses'!C:C=A277),"""")"),"")</f>
        <v/>
      </c>
      <c r="H277" s="223" t="str">
        <f>RawTotals!AI277</f>
        <v/>
      </c>
    </row>
    <row r="278">
      <c r="A278" s="224" t="str">
        <f>RawTotals!A278</f>
        <v/>
      </c>
      <c r="B278" s="75" t="str">
        <f>IFERROR(__xludf.DUMMYFUNCTION("IFERROR(FILTER('Pit Scouting Responses'!J:J,'Pit Scouting Responses'!C:C=A278),"""")"),"")</f>
        <v/>
      </c>
      <c r="C278" s="85" t="str">
        <f>IF(ISBLANK(A278),"",SUMIF(RawTotals!A$2:A1000, A278, RawTotals!O$2:O1000))</f>
        <v/>
      </c>
      <c r="D278" s="221" t="str">
        <f>IF(ISBLANK(A278),"",SUMIF(RawTotals!A$2:A1000, A278, RawTotals!D$2:D1000) + SUMIF(RawTotals!A$2:A1000, A278, RawTotals!M$2:M1000))</f>
        <v/>
      </c>
      <c r="E278" s="221" t="str">
        <f>IF(ISBLANK(A278),"",SUMIF(RawTotals!A$2:A1000, A278, RawTotals!C$2:C1000) + SUMIF(RawTotals!A$2:A1000, A278, RawTotals!L$2:L1000))</f>
        <v/>
      </c>
      <c r="F278" s="225" t="str">
        <f>IFERROR(__xludf.DUMMYFUNCTION("IFERROR(FILTER('Pit Scouting Responses'!G:G,'Pit Scouting Responses'!C:C=A278),"""")"),"")</f>
        <v/>
      </c>
      <c r="G278" s="226" t="str">
        <f>IFERROR(__xludf.DUMMYFUNCTION("IFERROR(FILTER('Pit Scouting Responses'!D:D,'Pit Scouting Responses'!C:C=A278),"""")"),"")</f>
        <v/>
      </c>
      <c r="H278" s="223" t="str">
        <f>RawTotals!AI278</f>
        <v/>
      </c>
    </row>
    <row r="279">
      <c r="A279" s="224" t="str">
        <f>RawTotals!A279</f>
        <v/>
      </c>
      <c r="B279" s="75" t="str">
        <f>IFERROR(__xludf.DUMMYFUNCTION("IFERROR(FILTER('Pit Scouting Responses'!J:J,'Pit Scouting Responses'!C:C=A279),"""")"),"")</f>
        <v/>
      </c>
      <c r="C279" s="85" t="str">
        <f>IF(ISBLANK(A279),"",SUMIF(RawTotals!A$2:A1000, A279, RawTotals!O$2:O1000))</f>
        <v/>
      </c>
      <c r="D279" s="221" t="str">
        <f>IF(ISBLANK(A279),"",SUMIF(RawTotals!A$2:A1000, A279, RawTotals!D$2:D1000) + SUMIF(RawTotals!A$2:A1000, A279, RawTotals!M$2:M1000))</f>
        <v/>
      </c>
      <c r="E279" s="221" t="str">
        <f>IF(ISBLANK(A279),"",SUMIF(RawTotals!A$2:A1000, A279, RawTotals!C$2:C1000) + SUMIF(RawTotals!A$2:A1000, A279, RawTotals!L$2:L1000))</f>
        <v/>
      </c>
      <c r="F279" s="225" t="str">
        <f>IFERROR(__xludf.DUMMYFUNCTION("IFERROR(FILTER('Pit Scouting Responses'!G:G,'Pit Scouting Responses'!C:C=A279),"""")"),"")</f>
        <v/>
      </c>
      <c r="G279" s="226" t="str">
        <f>IFERROR(__xludf.DUMMYFUNCTION("IFERROR(FILTER('Pit Scouting Responses'!D:D,'Pit Scouting Responses'!C:C=A279),"""")"),"")</f>
        <v/>
      </c>
      <c r="H279" s="223" t="str">
        <f>RawTotals!AI279</f>
        <v/>
      </c>
    </row>
    <row r="280">
      <c r="A280" s="224" t="str">
        <f>RawTotals!A280</f>
        <v/>
      </c>
      <c r="B280" s="75" t="str">
        <f>IFERROR(__xludf.DUMMYFUNCTION("IFERROR(FILTER('Pit Scouting Responses'!J:J,'Pit Scouting Responses'!C:C=A280),"""")"),"")</f>
        <v/>
      </c>
      <c r="C280" s="85" t="str">
        <f>IF(ISBLANK(A280),"",SUMIF(RawTotals!A$2:A1000, A280, RawTotals!O$2:O1000))</f>
        <v/>
      </c>
      <c r="D280" s="221" t="str">
        <f>IF(ISBLANK(A280),"",SUMIF(RawTotals!A$2:A1000, A280, RawTotals!D$2:D1000) + SUMIF(RawTotals!A$2:A1000, A280, RawTotals!M$2:M1000))</f>
        <v/>
      </c>
      <c r="E280" s="221" t="str">
        <f>IF(ISBLANK(A280),"",SUMIF(RawTotals!A$2:A1000, A280, RawTotals!C$2:C1000) + SUMIF(RawTotals!A$2:A1000, A280, RawTotals!L$2:L1000))</f>
        <v/>
      </c>
      <c r="F280" s="225" t="str">
        <f>IFERROR(__xludf.DUMMYFUNCTION("IFERROR(FILTER('Pit Scouting Responses'!G:G,'Pit Scouting Responses'!C:C=A280),"""")"),"")</f>
        <v/>
      </c>
      <c r="G280" s="226" t="str">
        <f>IFERROR(__xludf.DUMMYFUNCTION("IFERROR(FILTER('Pit Scouting Responses'!D:D,'Pit Scouting Responses'!C:C=A280),"""")"),"")</f>
        <v/>
      </c>
      <c r="H280" s="223" t="str">
        <f>RawTotals!AI280</f>
        <v/>
      </c>
    </row>
    <row r="281">
      <c r="A281" s="224" t="str">
        <f>RawTotals!A281</f>
        <v/>
      </c>
      <c r="B281" s="75" t="str">
        <f>IFERROR(__xludf.DUMMYFUNCTION("IFERROR(FILTER('Pit Scouting Responses'!J:J,'Pit Scouting Responses'!C:C=A281),"""")"),"")</f>
        <v/>
      </c>
      <c r="C281" s="85" t="str">
        <f>IF(ISBLANK(A281),"",SUMIF(RawTotals!A$2:A1000, A281, RawTotals!O$2:O1000))</f>
        <v/>
      </c>
      <c r="D281" s="221" t="str">
        <f>IF(ISBLANK(A281),"",SUMIF(RawTotals!A$2:A1000, A281, RawTotals!D$2:D1000) + SUMIF(RawTotals!A$2:A1000, A281, RawTotals!M$2:M1000))</f>
        <v/>
      </c>
      <c r="E281" s="221" t="str">
        <f>IF(ISBLANK(A281),"",SUMIF(RawTotals!A$2:A1000, A281, RawTotals!C$2:C1000) + SUMIF(RawTotals!A$2:A1000, A281, RawTotals!L$2:L1000))</f>
        <v/>
      </c>
      <c r="F281" s="225" t="str">
        <f>IFERROR(__xludf.DUMMYFUNCTION("IFERROR(FILTER('Pit Scouting Responses'!G:G,'Pit Scouting Responses'!C:C=A281),"""")"),"")</f>
        <v/>
      </c>
      <c r="G281" s="226" t="str">
        <f>IFERROR(__xludf.DUMMYFUNCTION("IFERROR(FILTER('Pit Scouting Responses'!D:D,'Pit Scouting Responses'!C:C=A281),"""")"),"")</f>
        <v/>
      </c>
      <c r="H281" s="223" t="str">
        <f>RawTotals!AI281</f>
        <v/>
      </c>
    </row>
    <row r="282">
      <c r="A282" s="224" t="str">
        <f>RawTotals!A282</f>
        <v/>
      </c>
      <c r="B282" s="75" t="str">
        <f>IFERROR(__xludf.DUMMYFUNCTION("IFERROR(FILTER('Pit Scouting Responses'!J:J,'Pit Scouting Responses'!C:C=A282),"""")"),"")</f>
        <v/>
      </c>
      <c r="C282" s="85" t="str">
        <f>IF(ISBLANK(A282),"",SUMIF(RawTotals!A$2:A1000, A282, RawTotals!O$2:O1000))</f>
        <v/>
      </c>
      <c r="D282" s="221" t="str">
        <f>IF(ISBLANK(A282),"",SUMIF(RawTotals!A$2:A1000, A282, RawTotals!D$2:D1000) + SUMIF(RawTotals!A$2:A1000, A282, RawTotals!M$2:M1000))</f>
        <v/>
      </c>
      <c r="E282" s="221" t="str">
        <f>IF(ISBLANK(A282),"",SUMIF(RawTotals!A$2:A1000, A282, RawTotals!C$2:C1000) + SUMIF(RawTotals!A$2:A1000, A282, RawTotals!L$2:L1000))</f>
        <v/>
      </c>
      <c r="F282" s="225" t="str">
        <f>IFERROR(__xludf.DUMMYFUNCTION("IFERROR(FILTER('Pit Scouting Responses'!G:G,'Pit Scouting Responses'!C:C=A282),"""")"),"")</f>
        <v/>
      </c>
      <c r="G282" s="226" t="str">
        <f>IFERROR(__xludf.DUMMYFUNCTION("IFERROR(FILTER('Pit Scouting Responses'!D:D,'Pit Scouting Responses'!C:C=A282),"""")"),"")</f>
        <v/>
      </c>
      <c r="H282" s="223" t="str">
        <f>RawTotals!AI282</f>
        <v/>
      </c>
    </row>
    <row r="283">
      <c r="A283" s="224" t="str">
        <f>RawTotals!A283</f>
        <v/>
      </c>
      <c r="B283" s="75" t="str">
        <f>IFERROR(__xludf.DUMMYFUNCTION("IFERROR(FILTER('Pit Scouting Responses'!J:J,'Pit Scouting Responses'!C:C=A283),"""")"),"")</f>
        <v/>
      </c>
      <c r="C283" s="85" t="str">
        <f>IF(ISBLANK(A283),"",SUMIF(RawTotals!A$2:A1000, A283, RawTotals!O$2:O1000))</f>
        <v/>
      </c>
      <c r="D283" s="221" t="str">
        <f>IF(ISBLANK(A283),"",SUMIF(RawTotals!A$2:A1000, A283, RawTotals!D$2:D1000) + SUMIF(RawTotals!A$2:A1000, A283, RawTotals!M$2:M1000))</f>
        <v/>
      </c>
      <c r="E283" s="221" t="str">
        <f>IF(ISBLANK(A283),"",SUMIF(RawTotals!A$2:A1000, A283, RawTotals!C$2:C1000) + SUMIF(RawTotals!A$2:A1000, A283, RawTotals!L$2:L1000))</f>
        <v/>
      </c>
      <c r="F283" s="225" t="str">
        <f>IFERROR(__xludf.DUMMYFUNCTION("IFERROR(FILTER('Pit Scouting Responses'!G:G,'Pit Scouting Responses'!C:C=A283),"""")"),"")</f>
        <v/>
      </c>
      <c r="G283" s="226" t="str">
        <f>IFERROR(__xludf.DUMMYFUNCTION("IFERROR(FILTER('Pit Scouting Responses'!D:D,'Pit Scouting Responses'!C:C=A283),"""")"),"")</f>
        <v/>
      </c>
      <c r="H283" s="223" t="str">
        <f>RawTotals!AI283</f>
        <v/>
      </c>
    </row>
    <row r="284">
      <c r="A284" s="224" t="str">
        <f>RawTotals!A284</f>
        <v/>
      </c>
      <c r="B284" s="75" t="str">
        <f>IFERROR(__xludf.DUMMYFUNCTION("IFERROR(FILTER('Pit Scouting Responses'!J:J,'Pit Scouting Responses'!C:C=A284),"""")"),"")</f>
        <v/>
      </c>
      <c r="C284" s="85" t="str">
        <f>IF(ISBLANK(A284),"",SUMIF(RawTotals!A$2:A1000, A284, RawTotals!O$2:O1000))</f>
        <v/>
      </c>
      <c r="D284" s="221" t="str">
        <f>IF(ISBLANK(A284),"",SUMIF(RawTotals!A$2:A1000, A284, RawTotals!D$2:D1000) + SUMIF(RawTotals!A$2:A1000, A284, RawTotals!M$2:M1000))</f>
        <v/>
      </c>
      <c r="E284" s="221" t="str">
        <f>IF(ISBLANK(A284),"",SUMIF(RawTotals!A$2:A1000, A284, RawTotals!C$2:C1000) + SUMIF(RawTotals!A$2:A1000, A284, RawTotals!L$2:L1000))</f>
        <v/>
      </c>
      <c r="F284" s="225" t="str">
        <f>IFERROR(__xludf.DUMMYFUNCTION("IFERROR(FILTER('Pit Scouting Responses'!G:G,'Pit Scouting Responses'!C:C=A284),"""")"),"")</f>
        <v/>
      </c>
      <c r="G284" s="226" t="str">
        <f>IFERROR(__xludf.DUMMYFUNCTION("IFERROR(FILTER('Pit Scouting Responses'!D:D,'Pit Scouting Responses'!C:C=A284),"""")"),"")</f>
        <v/>
      </c>
      <c r="H284" s="223" t="str">
        <f>RawTotals!AI284</f>
        <v/>
      </c>
    </row>
    <row r="285">
      <c r="A285" s="224" t="str">
        <f>RawTotals!A285</f>
        <v/>
      </c>
      <c r="B285" s="75" t="str">
        <f>IFERROR(__xludf.DUMMYFUNCTION("IFERROR(FILTER('Pit Scouting Responses'!J:J,'Pit Scouting Responses'!C:C=A285),"""")"),"")</f>
        <v/>
      </c>
      <c r="C285" s="85" t="str">
        <f>IF(ISBLANK(A285),"",SUMIF(RawTotals!A$2:A1000, A285, RawTotals!O$2:O1000))</f>
        <v/>
      </c>
      <c r="D285" s="221" t="str">
        <f>IF(ISBLANK(A285),"",SUMIF(RawTotals!A$2:A1000, A285, RawTotals!D$2:D1000) + SUMIF(RawTotals!A$2:A1000, A285, RawTotals!M$2:M1000))</f>
        <v/>
      </c>
      <c r="E285" s="221" t="str">
        <f>IF(ISBLANK(A285),"",SUMIF(RawTotals!A$2:A1000, A285, RawTotals!C$2:C1000) + SUMIF(RawTotals!A$2:A1000, A285, RawTotals!L$2:L1000))</f>
        <v/>
      </c>
      <c r="F285" s="225" t="str">
        <f>IFERROR(__xludf.DUMMYFUNCTION("IFERROR(FILTER('Pit Scouting Responses'!G:G,'Pit Scouting Responses'!C:C=A285),"""")"),"")</f>
        <v/>
      </c>
      <c r="G285" s="226" t="str">
        <f>IFERROR(__xludf.DUMMYFUNCTION("IFERROR(FILTER('Pit Scouting Responses'!D:D,'Pit Scouting Responses'!C:C=A285),"""")"),"")</f>
        <v/>
      </c>
      <c r="H285" s="223" t="str">
        <f>RawTotals!AI285</f>
        <v/>
      </c>
    </row>
    <row r="286">
      <c r="A286" s="224" t="str">
        <f>RawTotals!A286</f>
        <v/>
      </c>
      <c r="B286" s="75" t="str">
        <f>IFERROR(__xludf.DUMMYFUNCTION("IFERROR(FILTER('Pit Scouting Responses'!J:J,'Pit Scouting Responses'!C:C=A286),"""")"),"")</f>
        <v/>
      </c>
      <c r="C286" s="85" t="str">
        <f>IF(ISBLANK(A286),"",SUMIF(RawTotals!A$2:A1000, A286, RawTotals!O$2:O1000))</f>
        <v/>
      </c>
      <c r="D286" s="221" t="str">
        <f>IF(ISBLANK(A286),"",SUMIF(RawTotals!A$2:A1000, A286, RawTotals!D$2:D1000) + SUMIF(RawTotals!A$2:A1000, A286, RawTotals!M$2:M1000))</f>
        <v/>
      </c>
      <c r="E286" s="221" t="str">
        <f>IF(ISBLANK(A286),"",SUMIF(RawTotals!A$2:A1000, A286, RawTotals!C$2:C1000) + SUMIF(RawTotals!A$2:A1000, A286, RawTotals!L$2:L1000))</f>
        <v/>
      </c>
      <c r="F286" s="225" t="str">
        <f>IFERROR(__xludf.DUMMYFUNCTION("IFERROR(FILTER('Pit Scouting Responses'!G:G,'Pit Scouting Responses'!C:C=A286),"""")"),"")</f>
        <v/>
      </c>
      <c r="G286" s="226" t="str">
        <f>IFERROR(__xludf.DUMMYFUNCTION("IFERROR(FILTER('Pit Scouting Responses'!D:D,'Pit Scouting Responses'!C:C=A286),"""")"),"")</f>
        <v/>
      </c>
      <c r="H286" s="223" t="str">
        <f>RawTotals!AI286</f>
        <v/>
      </c>
    </row>
    <row r="287">
      <c r="A287" s="224" t="str">
        <f>RawTotals!A287</f>
        <v/>
      </c>
      <c r="B287" s="75" t="str">
        <f>IFERROR(__xludf.DUMMYFUNCTION("IFERROR(FILTER('Pit Scouting Responses'!J:J,'Pit Scouting Responses'!C:C=A287),"""")"),"")</f>
        <v/>
      </c>
      <c r="C287" s="85" t="str">
        <f>IF(ISBLANK(A287),"",SUMIF(RawTotals!A$2:A1000, A287, RawTotals!O$2:O1000))</f>
        <v/>
      </c>
      <c r="D287" s="221" t="str">
        <f>IF(ISBLANK(A287),"",SUMIF(RawTotals!A$2:A1000, A287, RawTotals!D$2:D1000) + SUMIF(RawTotals!A$2:A1000, A287, RawTotals!M$2:M1000))</f>
        <v/>
      </c>
      <c r="E287" s="221" t="str">
        <f>IF(ISBLANK(A287),"",SUMIF(RawTotals!A$2:A1000, A287, RawTotals!C$2:C1000) + SUMIF(RawTotals!A$2:A1000, A287, RawTotals!L$2:L1000))</f>
        <v/>
      </c>
      <c r="F287" s="225" t="str">
        <f>IFERROR(__xludf.DUMMYFUNCTION("IFERROR(FILTER('Pit Scouting Responses'!G:G,'Pit Scouting Responses'!C:C=A287),"""")"),"")</f>
        <v/>
      </c>
      <c r="G287" s="226" t="str">
        <f>IFERROR(__xludf.DUMMYFUNCTION("IFERROR(FILTER('Pit Scouting Responses'!D:D,'Pit Scouting Responses'!C:C=A287),"""")"),"")</f>
        <v/>
      </c>
      <c r="H287" s="223" t="str">
        <f>RawTotals!AI287</f>
        <v/>
      </c>
    </row>
    <row r="288">
      <c r="A288" s="224" t="str">
        <f>RawTotals!A288</f>
        <v/>
      </c>
      <c r="B288" s="75" t="str">
        <f>IFERROR(__xludf.DUMMYFUNCTION("IFERROR(FILTER('Pit Scouting Responses'!J:J,'Pit Scouting Responses'!C:C=A288),"""")"),"")</f>
        <v/>
      </c>
      <c r="C288" s="85" t="str">
        <f>IF(ISBLANK(A288),"",SUMIF(RawTotals!A$2:A1000, A288, RawTotals!O$2:O1000))</f>
        <v/>
      </c>
      <c r="D288" s="221" t="str">
        <f>IF(ISBLANK(A288),"",SUMIF(RawTotals!A$2:A1000, A288, RawTotals!D$2:D1000) + SUMIF(RawTotals!A$2:A1000, A288, RawTotals!M$2:M1000))</f>
        <v/>
      </c>
      <c r="E288" s="221" t="str">
        <f>IF(ISBLANK(A288),"",SUMIF(RawTotals!A$2:A1000, A288, RawTotals!C$2:C1000) + SUMIF(RawTotals!A$2:A1000, A288, RawTotals!L$2:L1000))</f>
        <v/>
      </c>
      <c r="F288" s="225" t="str">
        <f>IFERROR(__xludf.DUMMYFUNCTION("IFERROR(FILTER('Pit Scouting Responses'!G:G,'Pit Scouting Responses'!C:C=A288),"""")"),"")</f>
        <v/>
      </c>
      <c r="G288" s="226" t="str">
        <f>IFERROR(__xludf.DUMMYFUNCTION("IFERROR(FILTER('Pit Scouting Responses'!D:D,'Pit Scouting Responses'!C:C=A288),"""")"),"")</f>
        <v/>
      </c>
      <c r="H288" s="223" t="str">
        <f>RawTotals!AI288</f>
        <v/>
      </c>
    </row>
    <row r="289">
      <c r="A289" s="224" t="str">
        <f>RawTotals!A289</f>
        <v/>
      </c>
      <c r="B289" s="75" t="str">
        <f>IFERROR(__xludf.DUMMYFUNCTION("IFERROR(FILTER('Pit Scouting Responses'!J:J,'Pit Scouting Responses'!C:C=A289),"""")"),"")</f>
        <v/>
      </c>
      <c r="C289" s="85" t="str">
        <f>IF(ISBLANK(A289),"",SUMIF(RawTotals!A$2:A1000, A289, RawTotals!O$2:O1000))</f>
        <v/>
      </c>
      <c r="D289" s="221" t="str">
        <f>IF(ISBLANK(A289),"",SUMIF(RawTotals!A$2:A1000, A289, RawTotals!D$2:D1000) + SUMIF(RawTotals!A$2:A1000, A289, RawTotals!M$2:M1000))</f>
        <v/>
      </c>
      <c r="E289" s="221" t="str">
        <f>IF(ISBLANK(A289),"",SUMIF(RawTotals!A$2:A1000, A289, RawTotals!C$2:C1000) + SUMIF(RawTotals!A$2:A1000, A289, RawTotals!L$2:L1000))</f>
        <v/>
      </c>
      <c r="F289" s="225" t="str">
        <f>IFERROR(__xludf.DUMMYFUNCTION("IFERROR(FILTER('Pit Scouting Responses'!G:G,'Pit Scouting Responses'!C:C=A289),"""")"),"")</f>
        <v/>
      </c>
      <c r="G289" s="226" t="str">
        <f>IFERROR(__xludf.DUMMYFUNCTION("IFERROR(FILTER('Pit Scouting Responses'!D:D,'Pit Scouting Responses'!C:C=A289),"""")"),"")</f>
        <v/>
      </c>
      <c r="H289" s="223" t="str">
        <f>RawTotals!AI289</f>
        <v/>
      </c>
    </row>
    <row r="290">
      <c r="A290" s="224" t="str">
        <f>RawTotals!A290</f>
        <v/>
      </c>
      <c r="B290" s="75" t="str">
        <f>IFERROR(__xludf.DUMMYFUNCTION("IFERROR(FILTER('Pit Scouting Responses'!J:J,'Pit Scouting Responses'!C:C=A290),"""")"),"")</f>
        <v/>
      </c>
      <c r="C290" s="85" t="str">
        <f>IF(ISBLANK(A290),"",SUMIF(RawTotals!A$2:A1000, A290, RawTotals!O$2:O1000))</f>
        <v/>
      </c>
      <c r="D290" s="221" t="str">
        <f>IF(ISBLANK(A290),"",SUMIF(RawTotals!A$2:A1000, A290, RawTotals!D$2:D1000) + SUMIF(RawTotals!A$2:A1000, A290, RawTotals!M$2:M1000))</f>
        <v/>
      </c>
      <c r="E290" s="221" t="str">
        <f>IF(ISBLANK(A290),"",SUMIF(RawTotals!A$2:A1000, A290, RawTotals!C$2:C1000) + SUMIF(RawTotals!A$2:A1000, A290, RawTotals!L$2:L1000))</f>
        <v/>
      </c>
      <c r="F290" s="225" t="str">
        <f>IFERROR(__xludf.DUMMYFUNCTION("IFERROR(FILTER('Pit Scouting Responses'!G:G,'Pit Scouting Responses'!C:C=A290),"""")"),"")</f>
        <v/>
      </c>
      <c r="G290" s="226" t="str">
        <f>IFERROR(__xludf.DUMMYFUNCTION("IFERROR(FILTER('Pit Scouting Responses'!D:D,'Pit Scouting Responses'!C:C=A290),"""")"),"")</f>
        <v/>
      </c>
      <c r="H290" s="223" t="str">
        <f>RawTotals!AI290</f>
        <v/>
      </c>
    </row>
    <row r="291">
      <c r="A291" s="224" t="str">
        <f>RawTotals!A291</f>
        <v/>
      </c>
      <c r="B291" s="75" t="str">
        <f>IFERROR(__xludf.DUMMYFUNCTION("IFERROR(FILTER('Pit Scouting Responses'!J:J,'Pit Scouting Responses'!C:C=A291),"""")"),"")</f>
        <v/>
      </c>
      <c r="C291" s="85" t="str">
        <f>IF(ISBLANK(A291),"",SUMIF(RawTotals!A$2:A1000, A291, RawTotals!O$2:O1000))</f>
        <v/>
      </c>
      <c r="D291" s="221" t="str">
        <f>IF(ISBLANK(A291),"",SUMIF(RawTotals!A$2:A1000, A291, RawTotals!D$2:D1000) + SUMIF(RawTotals!A$2:A1000, A291, RawTotals!M$2:M1000))</f>
        <v/>
      </c>
      <c r="E291" s="221" t="str">
        <f>IF(ISBLANK(A291),"",SUMIF(RawTotals!A$2:A1000, A291, RawTotals!C$2:C1000) + SUMIF(RawTotals!A$2:A1000, A291, RawTotals!L$2:L1000))</f>
        <v/>
      </c>
      <c r="F291" s="225" t="str">
        <f>IFERROR(__xludf.DUMMYFUNCTION("IFERROR(FILTER('Pit Scouting Responses'!G:G,'Pit Scouting Responses'!C:C=A291),"""")"),"")</f>
        <v/>
      </c>
      <c r="G291" s="226" t="str">
        <f>IFERROR(__xludf.DUMMYFUNCTION("IFERROR(FILTER('Pit Scouting Responses'!D:D,'Pit Scouting Responses'!C:C=A291),"""")"),"")</f>
        <v/>
      </c>
      <c r="H291" s="223" t="str">
        <f>RawTotals!AI291</f>
        <v/>
      </c>
    </row>
    <row r="292">
      <c r="A292" s="224" t="str">
        <f>RawTotals!A292</f>
        <v/>
      </c>
      <c r="B292" s="75" t="str">
        <f>IFERROR(__xludf.DUMMYFUNCTION("IFERROR(FILTER('Pit Scouting Responses'!J:J,'Pit Scouting Responses'!C:C=A292),"""")"),"")</f>
        <v/>
      </c>
      <c r="C292" s="85" t="str">
        <f>IF(ISBLANK(A292),"",SUMIF(RawTotals!A$2:A1000, A292, RawTotals!O$2:O1000))</f>
        <v/>
      </c>
      <c r="D292" s="221" t="str">
        <f>IF(ISBLANK(A292),"",SUMIF(RawTotals!A$2:A1000, A292, RawTotals!D$2:D1000) + SUMIF(RawTotals!A$2:A1000, A292, RawTotals!M$2:M1000))</f>
        <v/>
      </c>
      <c r="E292" s="221" t="str">
        <f>IF(ISBLANK(A292),"",SUMIF(RawTotals!A$2:A1000, A292, RawTotals!C$2:C1000) + SUMIF(RawTotals!A$2:A1000, A292, RawTotals!L$2:L1000))</f>
        <v/>
      </c>
      <c r="F292" s="225" t="str">
        <f>IFERROR(__xludf.DUMMYFUNCTION("IFERROR(FILTER('Pit Scouting Responses'!G:G,'Pit Scouting Responses'!C:C=A292),"""")"),"")</f>
        <v/>
      </c>
      <c r="G292" s="226" t="str">
        <f>IFERROR(__xludf.DUMMYFUNCTION("IFERROR(FILTER('Pit Scouting Responses'!D:D,'Pit Scouting Responses'!C:C=A292),"""")"),"")</f>
        <v/>
      </c>
      <c r="H292" s="223" t="str">
        <f>RawTotals!AI292</f>
        <v/>
      </c>
    </row>
    <row r="293">
      <c r="A293" s="224" t="str">
        <f>RawTotals!A293</f>
        <v/>
      </c>
      <c r="B293" s="75" t="str">
        <f>IFERROR(__xludf.DUMMYFUNCTION("IFERROR(FILTER('Pit Scouting Responses'!J:J,'Pit Scouting Responses'!C:C=A293),"""")"),"")</f>
        <v/>
      </c>
      <c r="C293" s="85" t="str">
        <f>IF(ISBLANK(A293),"",SUMIF(RawTotals!A$2:A1000, A293, RawTotals!O$2:O1000))</f>
        <v/>
      </c>
      <c r="D293" s="221" t="str">
        <f>IF(ISBLANK(A293),"",SUMIF(RawTotals!A$2:A1000, A293, RawTotals!D$2:D1000) + SUMIF(RawTotals!A$2:A1000, A293, RawTotals!M$2:M1000))</f>
        <v/>
      </c>
      <c r="E293" s="221" t="str">
        <f>IF(ISBLANK(A293),"",SUMIF(RawTotals!A$2:A1000, A293, RawTotals!C$2:C1000) + SUMIF(RawTotals!A$2:A1000, A293, RawTotals!L$2:L1000))</f>
        <v/>
      </c>
      <c r="F293" s="225" t="str">
        <f>IFERROR(__xludf.DUMMYFUNCTION("IFERROR(FILTER('Pit Scouting Responses'!G:G,'Pit Scouting Responses'!C:C=A293),"""")"),"")</f>
        <v/>
      </c>
      <c r="G293" s="226" t="str">
        <f>IFERROR(__xludf.DUMMYFUNCTION("IFERROR(FILTER('Pit Scouting Responses'!D:D,'Pit Scouting Responses'!C:C=A293),"""")"),"")</f>
        <v/>
      </c>
      <c r="H293" s="223" t="str">
        <f>RawTotals!AI293</f>
        <v/>
      </c>
    </row>
    <row r="294">
      <c r="A294" s="224" t="str">
        <f>RawTotals!A294</f>
        <v/>
      </c>
      <c r="B294" s="75" t="str">
        <f>IFERROR(__xludf.DUMMYFUNCTION("IFERROR(FILTER('Pit Scouting Responses'!J:J,'Pit Scouting Responses'!C:C=A294),"""")"),"")</f>
        <v/>
      </c>
      <c r="C294" s="85" t="str">
        <f>IF(ISBLANK(A294),"",SUMIF(RawTotals!A$2:A1000, A294, RawTotals!O$2:O1000))</f>
        <v/>
      </c>
      <c r="D294" s="221" t="str">
        <f>IF(ISBLANK(A294),"",SUMIF(RawTotals!A$2:A1000, A294, RawTotals!D$2:D1000) + SUMIF(RawTotals!A$2:A1000, A294, RawTotals!M$2:M1000))</f>
        <v/>
      </c>
      <c r="E294" s="221" t="str">
        <f>IF(ISBLANK(A294),"",SUMIF(RawTotals!A$2:A1000, A294, RawTotals!C$2:C1000) + SUMIF(RawTotals!A$2:A1000, A294, RawTotals!L$2:L1000))</f>
        <v/>
      </c>
      <c r="F294" s="225" t="str">
        <f>IFERROR(__xludf.DUMMYFUNCTION("IFERROR(FILTER('Pit Scouting Responses'!G:G,'Pit Scouting Responses'!C:C=A294),"""")"),"")</f>
        <v/>
      </c>
      <c r="G294" s="226" t="str">
        <f>IFERROR(__xludf.DUMMYFUNCTION("IFERROR(FILTER('Pit Scouting Responses'!D:D,'Pit Scouting Responses'!C:C=A294),"""")"),"")</f>
        <v/>
      </c>
      <c r="H294" s="223" t="str">
        <f>RawTotals!AI294</f>
        <v/>
      </c>
    </row>
    <row r="295">
      <c r="A295" s="224" t="str">
        <f>RawTotals!A295</f>
        <v/>
      </c>
      <c r="B295" s="75" t="str">
        <f>IFERROR(__xludf.DUMMYFUNCTION("IFERROR(FILTER('Pit Scouting Responses'!J:J,'Pit Scouting Responses'!C:C=A295),"""")"),"")</f>
        <v/>
      </c>
      <c r="C295" s="85" t="str">
        <f>IF(ISBLANK(A295),"",SUMIF(RawTotals!A$2:A1000, A295, RawTotals!O$2:O1000))</f>
        <v/>
      </c>
      <c r="D295" s="221" t="str">
        <f>IF(ISBLANK(A295),"",SUMIF(RawTotals!A$2:A1000, A295, RawTotals!D$2:D1000) + SUMIF(RawTotals!A$2:A1000, A295, RawTotals!M$2:M1000))</f>
        <v/>
      </c>
      <c r="E295" s="221" t="str">
        <f>IF(ISBLANK(A295),"",SUMIF(RawTotals!A$2:A1000, A295, RawTotals!C$2:C1000) + SUMIF(RawTotals!A$2:A1000, A295, RawTotals!L$2:L1000))</f>
        <v/>
      </c>
      <c r="F295" s="225" t="str">
        <f>IFERROR(__xludf.DUMMYFUNCTION("IFERROR(FILTER('Pit Scouting Responses'!G:G,'Pit Scouting Responses'!C:C=A295),"""")"),"")</f>
        <v/>
      </c>
      <c r="G295" s="226" t="str">
        <f>IFERROR(__xludf.DUMMYFUNCTION("IFERROR(FILTER('Pit Scouting Responses'!D:D,'Pit Scouting Responses'!C:C=A295),"""")"),"")</f>
        <v/>
      </c>
      <c r="H295" s="223" t="str">
        <f>RawTotals!AI295</f>
        <v/>
      </c>
    </row>
    <row r="296">
      <c r="A296" s="224" t="str">
        <f>RawTotals!A296</f>
        <v/>
      </c>
      <c r="B296" s="75" t="str">
        <f>IFERROR(__xludf.DUMMYFUNCTION("IFERROR(FILTER('Pit Scouting Responses'!J:J,'Pit Scouting Responses'!C:C=A296),"""")"),"")</f>
        <v/>
      </c>
      <c r="C296" s="85" t="str">
        <f>IF(ISBLANK(A296),"",SUMIF(RawTotals!A$2:A1000, A296, RawTotals!O$2:O1000))</f>
        <v/>
      </c>
      <c r="D296" s="221" t="str">
        <f>IF(ISBLANK(A296),"",SUMIF(RawTotals!A$2:A1000, A296, RawTotals!D$2:D1000) + SUMIF(RawTotals!A$2:A1000, A296, RawTotals!M$2:M1000))</f>
        <v/>
      </c>
      <c r="E296" s="221" t="str">
        <f>IF(ISBLANK(A296),"",SUMIF(RawTotals!A$2:A1000, A296, RawTotals!C$2:C1000) + SUMIF(RawTotals!A$2:A1000, A296, RawTotals!L$2:L1000))</f>
        <v/>
      </c>
      <c r="F296" s="225" t="str">
        <f>IFERROR(__xludf.DUMMYFUNCTION("IFERROR(FILTER('Pit Scouting Responses'!G:G,'Pit Scouting Responses'!C:C=A296),"""")"),"")</f>
        <v/>
      </c>
      <c r="G296" s="226" t="str">
        <f>IFERROR(__xludf.DUMMYFUNCTION("IFERROR(FILTER('Pit Scouting Responses'!D:D,'Pit Scouting Responses'!C:C=A296),"""")"),"")</f>
        <v/>
      </c>
      <c r="H296" s="223" t="str">
        <f>RawTotals!AI296</f>
        <v/>
      </c>
    </row>
    <row r="297">
      <c r="A297" s="224" t="str">
        <f>RawTotals!A297</f>
        <v/>
      </c>
      <c r="B297" s="75" t="str">
        <f>IFERROR(__xludf.DUMMYFUNCTION("IFERROR(FILTER('Pit Scouting Responses'!J:J,'Pit Scouting Responses'!C:C=A297),"""")"),"")</f>
        <v/>
      </c>
      <c r="C297" s="85" t="str">
        <f>IF(ISBLANK(A297),"",SUMIF(RawTotals!A$2:A1000, A297, RawTotals!O$2:O1000))</f>
        <v/>
      </c>
      <c r="D297" s="221" t="str">
        <f>IF(ISBLANK(A297),"",SUMIF(RawTotals!A$2:A1000, A297, RawTotals!D$2:D1000) + SUMIF(RawTotals!A$2:A1000, A297, RawTotals!M$2:M1000))</f>
        <v/>
      </c>
      <c r="E297" s="221" t="str">
        <f>IF(ISBLANK(A297),"",SUMIF(RawTotals!A$2:A1000, A297, RawTotals!C$2:C1000) + SUMIF(RawTotals!A$2:A1000, A297, RawTotals!L$2:L1000))</f>
        <v/>
      </c>
      <c r="F297" s="225" t="str">
        <f>IFERROR(__xludf.DUMMYFUNCTION("IFERROR(FILTER('Pit Scouting Responses'!G:G,'Pit Scouting Responses'!C:C=A297),"""")"),"")</f>
        <v/>
      </c>
      <c r="G297" s="226" t="str">
        <f>IFERROR(__xludf.DUMMYFUNCTION("IFERROR(FILTER('Pit Scouting Responses'!D:D,'Pit Scouting Responses'!C:C=A297),"""")"),"")</f>
        <v/>
      </c>
      <c r="H297" s="223" t="str">
        <f>RawTotals!AI297</f>
        <v/>
      </c>
    </row>
    <row r="298">
      <c r="A298" s="224" t="str">
        <f>RawTotals!A298</f>
        <v/>
      </c>
      <c r="B298" s="75" t="str">
        <f>IFERROR(__xludf.DUMMYFUNCTION("IFERROR(FILTER('Pit Scouting Responses'!J:J,'Pit Scouting Responses'!C:C=A298),"""")"),"")</f>
        <v/>
      </c>
      <c r="C298" s="85" t="str">
        <f>IF(ISBLANK(A298),"",SUMIF(RawTotals!A$2:A1000, A298, RawTotals!O$2:O1000))</f>
        <v/>
      </c>
      <c r="D298" s="221" t="str">
        <f>IF(ISBLANK(A298),"",SUMIF(RawTotals!A$2:A1000, A298, RawTotals!D$2:D1000) + SUMIF(RawTotals!A$2:A1000, A298, RawTotals!M$2:M1000))</f>
        <v/>
      </c>
      <c r="E298" s="221" t="str">
        <f>IF(ISBLANK(A298),"",SUMIF(RawTotals!A$2:A1000, A298, RawTotals!C$2:C1000) + SUMIF(RawTotals!A$2:A1000, A298, RawTotals!L$2:L1000))</f>
        <v/>
      </c>
      <c r="F298" s="225" t="str">
        <f>IFERROR(__xludf.DUMMYFUNCTION("IFERROR(FILTER('Pit Scouting Responses'!G:G,'Pit Scouting Responses'!C:C=A298),"""")"),"")</f>
        <v/>
      </c>
      <c r="G298" s="226" t="str">
        <f>IFERROR(__xludf.DUMMYFUNCTION("IFERROR(FILTER('Pit Scouting Responses'!D:D,'Pit Scouting Responses'!C:C=A298),"""")"),"")</f>
        <v/>
      </c>
      <c r="H298" s="223" t="str">
        <f>RawTotals!AI298</f>
        <v/>
      </c>
    </row>
    <row r="299">
      <c r="A299" s="224" t="str">
        <f>RawTotals!A299</f>
        <v/>
      </c>
      <c r="B299" s="75" t="str">
        <f>IFERROR(__xludf.DUMMYFUNCTION("IFERROR(FILTER('Pit Scouting Responses'!J:J,'Pit Scouting Responses'!C:C=A299),"""")"),"")</f>
        <v/>
      </c>
      <c r="C299" s="85" t="str">
        <f>IF(ISBLANK(A299),"",SUMIF(RawTotals!A$2:A1000, A299, RawTotals!O$2:O1000))</f>
        <v/>
      </c>
      <c r="D299" s="221" t="str">
        <f>IF(ISBLANK(A299),"",SUMIF(RawTotals!A$2:A1000, A299, RawTotals!D$2:D1000) + SUMIF(RawTotals!A$2:A1000, A299, RawTotals!M$2:M1000))</f>
        <v/>
      </c>
      <c r="E299" s="221" t="str">
        <f>IF(ISBLANK(A299),"",SUMIF(RawTotals!A$2:A1000, A299, RawTotals!C$2:C1000) + SUMIF(RawTotals!A$2:A1000, A299, RawTotals!L$2:L1000))</f>
        <v/>
      </c>
      <c r="F299" s="225" t="str">
        <f>IFERROR(__xludf.DUMMYFUNCTION("IFERROR(FILTER('Pit Scouting Responses'!G:G,'Pit Scouting Responses'!C:C=A299),"""")"),"")</f>
        <v/>
      </c>
      <c r="G299" s="226" t="str">
        <f>IFERROR(__xludf.DUMMYFUNCTION("IFERROR(FILTER('Pit Scouting Responses'!D:D,'Pit Scouting Responses'!C:C=A299),"""")"),"")</f>
        <v/>
      </c>
      <c r="H299" s="223" t="str">
        <f>RawTotals!AI299</f>
        <v/>
      </c>
    </row>
    <row r="300">
      <c r="A300" s="224" t="str">
        <f>RawTotals!A300</f>
        <v/>
      </c>
      <c r="B300" s="75" t="str">
        <f>IFERROR(__xludf.DUMMYFUNCTION("IFERROR(FILTER('Pit Scouting Responses'!J:J,'Pit Scouting Responses'!C:C=A300),"""")"),"")</f>
        <v/>
      </c>
      <c r="C300" s="85" t="str">
        <f>IF(ISBLANK(A300),"",SUMIF(RawTotals!A$2:A1000, A300, RawTotals!O$2:O1000))</f>
        <v/>
      </c>
      <c r="D300" s="221" t="str">
        <f>IF(ISBLANK(A300),"",SUMIF(RawTotals!A$2:A1000, A300, RawTotals!D$2:D1000) + SUMIF(RawTotals!A$2:A1000, A300, RawTotals!M$2:M1000))</f>
        <v/>
      </c>
      <c r="E300" s="221" t="str">
        <f>IF(ISBLANK(A300),"",SUMIF(RawTotals!A$2:A1000, A300, RawTotals!C$2:C1000) + SUMIF(RawTotals!A$2:A1000, A300, RawTotals!L$2:L1000))</f>
        <v/>
      </c>
      <c r="F300" s="225" t="str">
        <f>IFERROR(__xludf.DUMMYFUNCTION("IFERROR(FILTER('Pit Scouting Responses'!G:G,'Pit Scouting Responses'!C:C=A300),"""")"),"")</f>
        <v/>
      </c>
      <c r="G300" s="226" t="str">
        <f>IFERROR(__xludf.DUMMYFUNCTION("IFERROR(FILTER('Pit Scouting Responses'!D:D,'Pit Scouting Responses'!C:C=A300),"""")"),"")</f>
        <v/>
      </c>
      <c r="H300" s="223" t="str">
        <f>RawTotals!AI300</f>
        <v/>
      </c>
    </row>
    <row r="301">
      <c r="A301" s="224" t="str">
        <f>RawTotals!A301</f>
        <v/>
      </c>
      <c r="B301" s="75" t="str">
        <f>IFERROR(__xludf.DUMMYFUNCTION("IFERROR(FILTER('Pit Scouting Responses'!J:J,'Pit Scouting Responses'!C:C=A301),"""")"),"")</f>
        <v/>
      </c>
      <c r="C301" s="85" t="str">
        <f>IF(ISBLANK(A301),"",SUMIF(RawTotals!A$2:A1000, A301, RawTotals!O$2:O1000))</f>
        <v/>
      </c>
      <c r="D301" s="221" t="str">
        <f>IF(ISBLANK(A301),"",SUMIF(RawTotals!A$2:A1000, A301, RawTotals!D$2:D1000) + SUMIF(RawTotals!A$2:A1000, A301, RawTotals!M$2:M1000))</f>
        <v/>
      </c>
      <c r="E301" s="221" t="str">
        <f>IF(ISBLANK(A301),"",SUMIF(RawTotals!A$2:A1000, A301, RawTotals!C$2:C1000) + SUMIF(RawTotals!A$2:A1000, A301, RawTotals!L$2:L1000))</f>
        <v/>
      </c>
      <c r="F301" s="225" t="str">
        <f>IFERROR(__xludf.DUMMYFUNCTION("IFERROR(FILTER('Pit Scouting Responses'!G:G,'Pit Scouting Responses'!C:C=A301),"""")"),"")</f>
        <v/>
      </c>
      <c r="G301" s="226" t="str">
        <f>IFERROR(__xludf.DUMMYFUNCTION("IFERROR(FILTER('Pit Scouting Responses'!D:D,'Pit Scouting Responses'!C:C=A301),"""")"),"")</f>
        <v/>
      </c>
      <c r="H301" s="223" t="str">
        <f>RawTotals!AI301</f>
        <v/>
      </c>
    </row>
    <row r="302">
      <c r="A302" s="224" t="str">
        <f>RawTotals!A302</f>
        <v/>
      </c>
      <c r="B302" s="75" t="str">
        <f>IFERROR(__xludf.DUMMYFUNCTION("IFERROR(FILTER('Pit Scouting Responses'!J:J,'Pit Scouting Responses'!C:C=A302),"""")"),"")</f>
        <v/>
      </c>
      <c r="C302" s="85" t="str">
        <f>IF(ISBLANK(A302),"",SUMIF(RawTotals!A$2:A1000, A302, RawTotals!O$2:O1000))</f>
        <v/>
      </c>
      <c r="D302" s="221" t="str">
        <f>IF(ISBLANK(A302),"",SUMIF(RawTotals!A$2:A1000, A302, RawTotals!D$2:D1000) + SUMIF(RawTotals!A$2:A1000, A302, RawTotals!M$2:M1000))</f>
        <v/>
      </c>
      <c r="E302" s="221" t="str">
        <f>IF(ISBLANK(A302),"",SUMIF(RawTotals!A$2:A1000, A302, RawTotals!C$2:C1000) + SUMIF(RawTotals!A$2:A1000, A302, RawTotals!L$2:L1000))</f>
        <v/>
      </c>
      <c r="F302" s="225" t="str">
        <f>IFERROR(__xludf.DUMMYFUNCTION("IFERROR(FILTER('Pit Scouting Responses'!G:G,'Pit Scouting Responses'!C:C=A302),"""")"),"")</f>
        <v/>
      </c>
      <c r="G302" s="226" t="str">
        <f>IFERROR(__xludf.DUMMYFUNCTION("IFERROR(FILTER('Pit Scouting Responses'!D:D,'Pit Scouting Responses'!C:C=A302),"""")"),"")</f>
        <v/>
      </c>
      <c r="H302" s="223" t="str">
        <f>RawTotals!AI302</f>
        <v/>
      </c>
    </row>
    <row r="303">
      <c r="A303" s="224" t="str">
        <f>RawTotals!A303</f>
        <v/>
      </c>
      <c r="B303" s="75" t="str">
        <f>IFERROR(__xludf.DUMMYFUNCTION("IFERROR(FILTER('Pit Scouting Responses'!J:J,'Pit Scouting Responses'!C:C=A303),"""")"),"")</f>
        <v/>
      </c>
      <c r="C303" s="85" t="str">
        <f>IF(ISBLANK(A303),"",SUMIF(RawTotals!A$2:A1000, A303, RawTotals!O$2:O1000))</f>
        <v/>
      </c>
      <c r="D303" s="221" t="str">
        <f>IF(ISBLANK(A303),"",SUMIF(RawTotals!A$2:A1000, A303, RawTotals!D$2:D1000) + SUMIF(RawTotals!A$2:A1000, A303, RawTotals!M$2:M1000))</f>
        <v/>
      </c>
      <c r="E303" s="221" t="str">
        <f>IF(ISBLANK(A303),"",SUMIF(RawTotals!A$2:A1000, A303, RawTotals!C$2:C1000) + SUMIF(RawTotals!A$2:A1000, A303, RawTotals!L$2:L1000))</f>
        <v/>
      </c>
      <c r="F303" s="225" t="str">
        <f>IFERROR(__xludf.DUMMYFUNCTION("IFERROR(FILTER('Pit Scouting Responses'!G:G,'Pit Scouting Responses'!C:C=A303),"""")"),"")</f>
        <v/>
      </c>
      <c r="G303" s="226" t="str">
        <f>IFERROR(__xludf.DUMMYFUNCTION("IFERROR(FILTER('Pit Scouting Responses'!D:D,'Pit Scouting Responses'!C:C=A303),"""")"),"")</f>
        <v/>
      </c>
      <c r="H303" s="223" t="str">
        <f>RawTotals!AI303</f>
        <v/>
      </c>
    </row>
    <row r="304">
      <c r="A304" s="224" t="str">
        <f>RawTotals!A304</f>
        <v/>
      </c>
      <c r="B304" s="75" t="str">
        <f>IFERROR(__xludf.DUMMYFUNCTION("IFERROR(FILTER('Pit Scouting Responses'!J:J,'Pit Scouting Responses'!C:C=A304),"""")"),"")</f>
        <v/>
      </c>
      <c r="C304" s="85" t="str">
        <f>IF(ISBLANK(A304),"",SUMIF(RawTotals!A$2:A1000, A304, RawTotals!O$2:O1000))</f>
        <v/>
      </c>
      <c r="D304" s="221" t="str">
        <f>IF(ISBLANK(A304),"",SUMIF(RawTotals!A$2:A1000, A304, RawTotals!D$2:D1000) + SUMIF(RawTotals!A$2:A1000, A304, RawTotals!M$2:M1000))</f>
        <v/>
      </c>
      <c r="E304" s="221" t="str">
        <f>IF(ISBLANK(A304),"",SUMIF(RawTotals!A$2:A1000, A304, RawTotals!C$2:C1000) + SUMIF(RawTotals!A$2:A1000, A304, RawTotals!L$2:L1000))</f>
        <v/>
      </c>
      <c r="F304" s="225" t="str">
        <f>IFERROR(__xludf.DUMMYFUNCTION("IFERROR(FILTER('Pit Scouting Responses'!G:G,'Pit Scouting Responses'!C:C=A304),"""")"),"")</f>
        <v/>
      </c>
      <c r="G304" s="226" t="str">
        <f>IFERROR(__xludf.DUMMYFUNCTION("IFERROR(FILTER('Pit Scouting Responses'!D:D,'Pit Scouting Responses'!C:C=A304),"""")"),"")</f>
        <v/>
      </c>
      <c r="H304" s="223" t="str">
        <f>RawTotals!AI304</f>
        <v/>
      </c>
    </row>
    <row r="305">
      <c r="A305" s="224" t="str">
        <f>RawTotals!A305</f>
        <v/>
      </c>
      <c r="B305" s="75" t="str">
        <f>IFERROR(__xludf.DUMMYFUNCTION("IFERROR(FILTER('Pit Scouting Responses'!J:J,'Pit Scouting Responses'!C:C=A305),"""")"),"")</f>
        <v/>
      </c>
      <c r="C305" s="85" t="str">
        <f>IF(ISBLANK(A305),"",SUMIF(RawTotals!A$2:A1000, A305, RawTotals!O$2:O1000))</f>
        <v/>
      </c>
      <c r="D305" s="221" t="str">
        <f>IF(ISBLANK(A305),"",SUMIF(RawTotals!A$2:A1000, A305, RawTotals!D$2:D1000) + SUMIF(RawTotals!A$2:A1000, A305, RawTotals!M$2:M1000))</f>
        <v/>
      </c>
      <c r="E305" s="221" t="str">
        <f>IF(ISBLANK(A305),"",SUMIF(RawTotals!A$2:A1000, A305, RawTotals!C$2:C1000) + SUMIF(RawTotals!A$2:A1000, A305, RawTotals!L$2:L1000))</f>
        <v/>
      </c>
      <c r="F305" s="225" t="str">
        <f>IFERROR(__xludf.DUMMYFUNCTION("IFERROR(FILTER('Pit Scouting Responses'!G:G,'Pit Scouting Responses'!C:C=A305),"""")"),"")</f>
        <v/>
      </c>
      <c r="G305" s="226" t="str">
        <f>IFERROR(__xludf.DUMMYFUNCTION("IFERROR(FILTER('Pit Scouting Responses'!D:D,'Pit Scouting Responses'!C:C=A305),"""")"),"")</f>
        <v/>
      </c>
      <c r="H305" s="223" t="str">
        <f>RawTotals!AI305</f>
        <v/>
      </c>
    </row>
    <row r="306">
      <c r="A306" s="224" t="str">
        <f>RawTotals!A306</f>
        <v/>
      </c>
      <c r="B306" s="75" t="str">
        <f>IFERROR(__xludf.DUMMYFUNCTION("IFERROR(FILTER('Pit Scouting Responses'!J:J,'Pit Scouting Responses'!C:C=A306),"""")"),"")</f>
        <v/>
      </c>
      <c r="C306" s="85" t="str">
        <f>IF(ISBLANK(A306),"",SUMIF(RawTotals!A$2:A1000, A306, RawTotals!O$2:O1000))</f>
        <v/>
      </c>
      <c r="D306" s="221" t="str">
        <f>IF(ISBLANK(A306),"",SUMIF(RawTotals!A$2:A1000, A306, RawTotals!D$2:D1000) + SUMIF(RawTotals!A$2:A1000, A306, RawTotals!M$2:M1000))</f>
        <v/>
      </c>
      <c r="E306" s="221" t="str">
        <f>IF(ISBLANK(A306),"",SUMIF(RawTotals!A$2:A1000, A306, RawTotals!C$2:C1000) + SUMIF(RawTotals!A$2:A1000, A306, RawTotals!L$2:L1000))</f>
        <v/>
      </c>
      <c r="F306" s="225" t="str">
        <f>IFERROR(__xludf.DUMMYFUNCTION("IFERROR(FILTER('Pit Scouting Responses'!G:G,'Pit Scouting Responses'!C:C=A306),"""")"),"")</f>
        <v/>
      </c>
      <c r="G306" s="226" t="str">
        <f>IFERROR(__xludf.DUMMYFUNCTION("IFERROR(FILTER('Pit Scouting Responses'!D:D,'Pit Scouting Responses'!C:C=A306),"""")"),"")</f>
        <v/>
      </c>
      <c r="H306" s="223" t="str">
        <f>RawTotals!AI306</f>
        <v/>
      </c>
    </row>
    <row r="307">
      <c r="A307" s="224" t="str">
        <f>RawTotals!A307</f>
        <v/>
      </c>
      <c r="B307" s="75" t="str">
        <f>IFERROR(__xludf.DUMMYFUNCTION("IFERROR(FILTER('Pit Scouting Responses'!J:J,'Pit Scouting Responses'!C:C=A307),"""")"),"")</f>
        <v/>
      </c>
      <c r="C307" s="85" t="str">
        <f>IF(ISBLANK(A307),"",SUMIF(RawTotals!A$2:A1000, A307, RawTotals!O$2:O1000))</f>
        <v/>
      </c>
      <c r="D307" s="221" t="str">
        <f>IF(ISBLANK(A307),"",SUMIF(RawTotals!A$2:A1000, A307, RawTotals!D$2:D1000) + SUMIF(RawTotals!A$2:A1000, A307, RawTotals!M$2:M1000))</f>
        <v/>
      </c>
      <c r="E307" s="221" t="str">
        <f>IF(ISBLANK(A307),"",SUMIF(RawTotals!A$2:A1000, A307, RawTotals!C$2:C1000) + SUMIF(RawTotals!A$2:A1000, A307, RawTotals!L$2:L1000))</f>
        <v/>
      </c>
      <c r="F307" s="225" t="str">
        <f>IFERROR(__xludf.DUMMYFUNCTION("IFERROR(FILTER('Pit Scouting Responses'!G:G,'Pit Scouting Responses'!C:C=A307),"""")"),"")</f>
        <v/>
      </c>
      <c r="G307" s="226" t="str">
        <f>IFERROR(__xludf.DUMMYFUNCTION("IFERROR(FILTER('Pit Scouting Responses'!D:D,'Pit Scouting Responses'!C:C=A307),"""")"),"")</f>
        <v/>
      </c>
      <c r="H307" s="223" t="str">
        <f>RawTotals!AI307</f>
        <v/>
      </c>
    </row>
    <row r="308">
      <c r="A308" s="224" t="str">
        <f>RawTotals!A308</f>
        <v/>
      </c>
      <c r="B308" s="75" t="str">
        <f>IFERROR(__xludf.DUMMYFUNCTION("IFERROR(FILTER('Pit Scouting Responses'!J:J,'Pit Scouting Responses'!C:C=A308),"""")"),"")</f>
        <v/>
      </c>
      <c r="C308" s="85" t="str">
        <f>IF(ISBLANK(A308),"",SUMIF(RawTotals!A$2:A1000, A308, RawTotals!O$2:O1000))</f>
        <v/>
      </c>
      <c r="D308" s="221" t="str">
        <f>IF(ISBLANK(A308),"",SUMIF(RawTotals!A$2:A1000, A308, RawTotals!D$2:D1000) + SUMIF(RawTotals!A$2:A1000, A308, RawTotals!M$2:M1000))</f>
        <v/>
      </c>
      <c r="E308" s="221" t="str">
        <f>IF(ISBLANK(A308),"",SUMIF(RawTotals!A$2:A1000, A308, RawTotals!C$2:C1000) + SUMIF(RawTotals!A$2:A1000, A308, RawTotals!L$2:L1000))</f>
        <v/>
      </c>
      <c r="F308" s="225" t="str">
        <f>IFERROR(__xludf.DUMMYFUNCTION("IFERROR(FILTER('Pit Scouting Responses'!G:G,'Pit Scouting Responses'!C:C=A308),"""")"),"")</f>
        <v/>
      </c>
      <c r="G308" s="226" t="str">
        <f>IFERROR(__xludf.DUMMYFUNCTION("IFERROR(FILTER('Pit Scouting Responses'!D:D,'Pit Scouting Responses'!C:C=A308),"""")"),"")</f>
        <v/>
      </c>
      <c r="H308" s="223" t="str">
        <f>RawTotals!AI308</f>
        <v/>
      </c>
    </row>
    <row r="309">
      <c r="A309" s="224" t="str">
        <f>RawTotals!A309</f>
        <v/>
      </c>
      <c r="B309" s="75" t="str">
        <f>IFERROR(__xludf.DUMMYFUNCTION("IFERROR(FILTER('Pit Scouting Responses'!J:J,'Pit Scouting Responses'!C:C=A309),"""")"),"")</f>
        <v/>
      </c>
      <c r="C309" s="85" t="str">
        <f>IF(ISBLANK(A309),"",SUMIF(RawTotals!A$2:A1000, A309, RawTotals!O$2:O1000))</f>
        <v/>
      </c>
      <c r="D309" s="221" t="str">
        <f>IF(ISBLANK(A309),"",SUMIF(RawTotals!A$2:A1000, A309, RawTotals!D$2:D1000) + SUMIF(RawTotals!A$2:A1000, A309, RawTotals!M$2:M1000))</f>
        <v/>
      </c>
      <c r="E309" s="221" t="str">
        <f>IF(ISBLANK(A309),"",SUMIF(RawTotals!A$2:A1000, A309, RawTotals!C$2:C1000) + SUMIF(RawTotals!A$2:A1000, A309, RawTotals!L$2:L1000))</f>
        <v/>
      </c>
      <c r="F309" s="225" t="str">
        <f>IFERROR(__xludf.DUMMYFUNCTION("IFERROR(FILTER('Pit Scouting Responses'!G:G,'Pit Scouting Responses'!C:C=A309),"""")"),"")</f>
        <v/>
      </c>
      <c r="G309" s="226" t="str">
        <f>IFERROR(__xludf.DUMMYFUNCTION("IFERROR(FILTER('Pit Scouting Responses'!D:D,'Pit Scouting Responses'!C:C=A309),"""")"),"")</f>
        <v/>
      </c>
      <c r="H309" s="223" t="str">
        <f>RawTotals!AI309</f>
        <v/>
      </c>
    </row>
    <row r="310">
      <c r="A310" s="224" t="str">
        <f>RawTotals!A310</f>
        <v/>
      </c>
      <c r="B310" s="75" t="str">
        <f>IFERROR(__xludf.DUMMYFUNCTION("IFERROR(FILTER('Pit Scouting Responses'!J:J,'Pit Scouting Responses'!C:C=A310),"""")"),"")</f>
        <v/>
      </c>
      <c r="C310" s="85" t="str">
        <f>IF(ISBLANK(A310),"",SUMIF(RawTotals!A$2:A1000, A310, RawTotals!O$2:O1000))</f>
        <v/>
      </c>
      <c r="D310" s="221" t="str">
        <f>IF(ISBLANK(A310),"",SUMIF(RawTotals!A$2:A1000, A310, RawTotals!D$2:D1000) + SUMIF(RawTotals!A$2:A1000, A310, RawTotals!M$2:M1000))</f>
        <v/>
      </c>
      <c r="E310" s="221" t="str">
        <f>IF(ISBLANK(A310),"",SUMIF(RawTotals!A$2:A1000, A310, RawTotals!C$2:C1000) + SUMIF(RawTotals!A$2:A1000, A310, RawTotals!L$2:L1000))</f>
        <v/>
      </c>
      <c r="F310" s="225" t="str">
        <f>IFERROR(__xludf.DUMMYFUNCTION("IFERROR(FILTER('Pit Scouting Responses'!G:G,'Pit Scouting Responses'!C:C=A310),"""")"),"")</f>
        <v/>
      </c>
      <c r="G310" s="226" t="str">
        <f>IFERROR(__xludf.DUMMYFUNCTION("IFERROR(FILTER('Pit Scouting Responses'!D:D,'Pit Scouting Responses'!C:C=A310),"""")"),"")</f>
        <v/>
      </c>
      <c r="H310" s="223" t="str">
        <f>RawTotals!AI310</f>
        <v/>
      </c>
    </row>
    <row r="311">
      <c r="A311" s="224" t="str">
        <f>RawTotals!A311</f>
        <v/>
      </c>
      <c r="B311" s="75" t="str">
        <f>IFERROR(__xludf.DUMMYFUNCTION("IFERROR(FILTER('Pit Scouting Responses'!J:J,'Pit Scouting Responses'!C:C=A311),"""")"),"")</f>
        <v/>
      </c>
      <c r="C311" s="85" t="str">
        <f>IF(ISBLANK(A311),"",SUMIF(RawTotals!A$2:A1000, A311, RawTotals!O$2:O1000))</f>
        <v/>
      </c>
      <c r="D311" s="221" t="str">
        <f>IF(ISBLANK(A311),"",SUMIF(RawTotals!A$2:A1000, A311, RawTotals!D$2:D1000) + SUMIF(RawTotals!A$2:A1000, A311, RawTotals!M$2:M1000))</f>
        <v/>
      </c>
      <c r="E311" s="221" t="str">
        <f>IF(ISBLANK(A311),"",SUMIF(RawTotals!A$2:A1000, A311, RawTotals!C$2:C1000) + SUMIF(RawTotals!A$2:A1000, A311, RawTotals!L$2:L1000))</f>
        <v/>
      </c>
      <c r="F311" s="225" t="str">
        <f>IFERROR(__xludf.DUMMYFUNCTION("IFERROR(FILTER('Pit Scouting Responses'!G:G,'Pit Scouting Responses'!C:C=A311),"""")"),"")</f>
        <v/>
      </c>
      <c r="G311" s="226" t="str">
        <f>IFERROR(__xludf.DUMMYFUNCTION("IFERROR(FILTER('Pit Scouting Responses'!D:D,'Pit Scouting Responses'!C:C=A311),"""")"),"")</f>
        <v/>
      </c>
      <c r="H311" s="223" t="str">
        <f>RawTotals!AI311</f>
        <v/>
      </c>
    </row>
    <row r="312">
      <c r="A312" s="224" t="str">
        <f>RawTotals!A312</f>
        <v/>
      </c>
      <c r="B312" s="75" t="str">
        <f>IFERROR(__xludf.DUMMYFUNCTION("IFERROR(FILTER('Pit Scouting Responses'!J:J,'Pit Scouting Responses'!C:C=A312),"""")"),"")</f>
        <v/>
      </c>
      <c r="C312" s="85" t="str">
        <f>IF(ISBLANK(A312),"",SUMIF(RawTotals!A$2:A1000, A312, RawTotals!O$2:O1000))</f>
        <v/>
      </c>
      <c r="D312" s="221" t="str">
        <f>IF(ISBLANK(A312),"",SUMIF(RawTotals!A$2:A1000, A312, RawTotals!D$2:D1000) + SUMIF(RawTotals!A$2:A1000, A312, RawTotals!M$2:M1000))</f>
        <v/>
      </c>
      <c r="E312" s="221" t="str">
        <f>IF(ISBLANK(A312),"",SUMIF(RawTotals!A$2:A1000, A312, RawTotals!C$2:C1000) + SUMIF(RawTotals!A$2:A1000, A312, RawTotals!L$2:L1000))</f>
        <v/>
      </c>
      <c r="F312" s="225" t="str">
        <f>IFERROR(__xludf.DUMMYFUNCTION("IFERROR(FILTER('Pit Scouting Responses'!G:G,'Pit Scouting Responses'!C:C=A312),"""")"),"")</f>
        <v/>
      </c>
      <c r="G312" s="226" t="str">
        <f>IFERROR(__xludf.DUMMYFUNCTION("IFERROR(FILTER('Pit Scouting Responses'!D:D,'Pit Scouting Responses'!C:C=A312),"""")"),"")</f>
        <v/>
      </c>
      <c r="H312" s="223" t="str">
        <f>RawTotals!AI312</f>
        <v/>
      </c>
    </row>
    <row r="313">
      <c r="A313" s="224" t="str">
        <f>RawTotals!A313</f>
        <v/>
      </c>
      <c r="B313" s="75" t="str">
        <f>IFERROR(__xludf.DUMMYFUNCTION("IFERROR(FILTER('Pit Scouting Responses'!J:J,'Pit Scouting Responses'!C:C=A313),"""")"),"")</f>
        <v/>
      </c>
      <c r="C313" s="85" t="str">
        <f>IF(ISBLANK(A313),"",SUMIF(RawTotals!A$2:A1000, A313, RawTotals!O$2:O1000))</f>
        <v/>
      </c>
      <c r="D313" s="221" t="str">
        <f>IF(ISBLANK(A313),"",SUMIF(RawTotals!A$2:A1000, A313, RawTotals!D$2:D1000) + SUMIF(RawTotals!A$2:A1000, A313, RawTotals!M$2:M1000))</f>
        <v/>
      </c>
      <c r="E313" s="221" t="str">
        <f>IF(ISBLANK(A313),"",SUMIF(RawTotals!A$2:A1000, A313, RawTotals!C$2:C1000) + SUMIF(RawTotals!A$2:A1000, A313, RawTotals!L$2:L1000))</f>
        <v/>
      </c>
      <c r="F313" s="225" t="str">
        <f>IFERROR(__xludf.DUMMYFUNCTION("IFERROR(FILTER('Pit Scouting Responses'!G:G,'Pit Scouting Responses'!C:C=A313),"""")"),"")</f>
        <v/>
      </c>
      <c r="G313" s="226" t="str">
        <f>IFERROR(__xludf.DUMMYFUNCTION("IFERROR(FILTER('Pit Scouting Responses'!D:D,'Pit Scouting Responses'!C:C=A313),"""")"),"")</f>
        <v/>
      </c>
      <c r="H313" s="223" t="str">
        <f>RawTotals!AI313</f>
        <v/>
      </c>
    </row>
    <row r="314">
      <c r="A314" s="224" t="str">
        <f>RawTotals!A314</f>
        <v/>
      </c>
      <c r="B314" s="75" t="str">
        <f>IFERROR(__xludf.DUMMYFUNCTION("IFERROR(FILTER('Pit Scouting Responses'!J:J,'Pit Scouting Responses'!C:C=A314),"""")"),"")</f>
        <v/>
      </c>
      <c r="C314" s="85" t="str">
        <f>IF(ISBLANK(A314),"",SUMIF(RawTotals!A$2:A1000, A314, RawTotals!O$2:O1000))</f>
        <v/>
      </c>
      <c r="D314" s="221" t="str">
        <f>IF(ISBLANK(A314),"",SUMIF(RawTotals!A$2:A1000, A314, RawTotals!D$2:D1000) + SUMIF(RawTotals!A$2:A1000, A314, RawTotals!M$2:M1000))</f>
        <v/>
      </c>
      <c r="E314" s="221" t="str">
        <f>IF(ISBLANK(A314),"",SUMIF(RawTotals!A$2:A1000, A314, RawTotals!C$2:C1000) + SUMIF(RawTotals!A$2:A1000, A314, RawTotals!L$2:L1000))</f>
        <v/>
      </c>
      <c r="F314" s="225" t="str">
        <f>IFERROR(__xludf.DUMMYFUNCTION("IFERROR(FILTER('Pit Scouting Responses'!G:G,'Pit Scouting Responses'!C:C=A314),"""")"),"")</f>
        <v/>
      </c>
      <c r="G314" s="226" t="str">
        <f>IFERROR(__xludf.DUMMYFUNCTION("IFERROR(FILTER('Pit Scouting Responses'!D:D,'Pit Scouting Responses'!C:C=A314),"""")"),"")</f>
        <v/>
      </c>
      <c r="H314" s="223" t="str">
        <f>RawTotals!AI314</f>
        <v/>
      </c>
    </row>
    <row r="315">
      <c r="A315" s="224" t="str">
        <f>RawTotals!A315</f>
        <v/>
      </c>
      <c r="B315" s="75" t="str">
        <f>IFERROR(__xludf.DUMMYFUNCTION("IFERROR(FILTER('Pit Scouting Responses'!J:J,'Pit Scouting Responses'!C:C=A315),"""")"),"")</f>
        <v/>
      </c>
      <c r="C315" s="85" t="str">
        <f>IF(ISBLANK(A315),"",SUMIF(RawTotals!A$2:A1000, A315, RawTotals!O$2:O1000))</f>
        <v/>
      </c>
      <c r="D315" s="221" t="str">
        <f>IF(ISBLANK(A315),"",SUMIF(RawTotals!A$2:A1000, A315, RawTotals!D$2:D1000) + SUMIF(RawTotals!A$2:A1000, A315, RawTotals!M$2:M1000))</f>
        <v/>
      </c>
      <c r="E315" s="221" t="str">
        <f>IF(ISBLANK(A315),"",SUMIF(RawTotals!A$2:A1000, A315, RawTotals!C$2:C1000) + SUMIF(RawTotals!A$2:A1000, A315, RawTotals!L$2:L1000))</f>
        <v/>
      </c>
      <c r="F315" s="225" t="str">
        <f>IFERROR(__xludf.DUMMYFUNCTION("IFERROR(FILTER('Pit Scouting Responses'!G:G,'Pit Scouting Responses'!C:C=A315),"""")"),"")</f>
        <v/>
      </c>
      <c r="G315" s="226" t="str">
        <f>IFERROR(__xludf.DUMMYFUNCTION("IFERROR(FILTER('Pit Scouting Responses'!D:D,'Pit Scouting Responses'!C:C=A315),"""")"),"")</f>
        <v/>
      </c>
      <c r="H315" s="223" t="str">
        <f>RawTotals!AI315</f>
        <v/>
      </c>
    </row>
    <row r="316">
      <c r="A316" s="224" t="str">
        <f>RawTotals!A316</f>
        <v/>
      </c>
      <c r="B316" s="75" t="str">
        <f>IFERROR(__xludf.DUMMYFUNCTION("IFERROR(FILTER('Pit Scouting Responses'!J:J,'Pit Scouting Responses'!C:C=A316),"""")"),"")</f>
        <v/>
      </c>
      <c r="C316" s="85" t="str">
        <f>IF(ISBLANK(A316),"",SUMIF(RawTotals!A$2:A1000, A316, RawTotals!O$2:O1000))</f>
        <v/>
      </c>
      <c r="D316" s="221" t="str">
        <f>IF(ISBLANK(A316),"",SUMIF(RawTotals!A$2:A1000, A316, RawTotals!D$2:D1000) + SUMIF(RawTotals!A$2:A1000, A316, RawTotals!M$2:M1000))</f>
        <v/>
      </c>
      <c r="E316" s="221" t="str">
        <f>IF(ISBLANK(A316),"",SUMIF(RawTotals!A$2:A1000, A316, RawTotals!C$2:C1000) + SUMIF(RawTotals!A$2:A1000, A316, RawTotals!L$2:L1000))</f>
        <v/>
      </c>
      <c r="F316" s="225" t="str">
        <f>IFERROR(__xludf.DUMMYFUNCTION("IFERROR(FILTER('Pit Scouting Responses'!G:G,'Pit Scouting Responses'!C:C=A316),"""")"),"")</f>
        <v/>
      </c>
      <c r="G316" s="226" t="str">
        <f>IFERROR(__xludf.DUMMYFUNCTION("IFERROR(FILTER('Pit Scouting Responses'!D:D,'Pit Scouting Responses'!C:C=A316),"""")"),"")</f>
        <v/>
      </c>
      <c r="H316" s="223" t="str">
        <f>RawTotals!AI316</f>
        <v/>
      </c>
    </row>
    <row r="317">
      <c r="A317" s="224" t="str">
        <f>RawTotals!A317</f>
        <v/>
      </c>
      <c r="B317" s="75" t="str">
        <f>IFERROR(__xludf.DUMMYFUNCTION("IFERROR(FILTER('Pit Scouting Responses'!J:J,'Pit Scouting Responses'!C:C=A317),"""")"),"")</f>
        <v/>
      </c>
      <c r="C317" s="85" t="str">
        <f>IF(ISBLANK(A317),"",SUMIF(RawTotals!A$2:A1000, A317, RawTotals!O$2:O1000))</f>
        <v/>
      </c>
      <c r="D317" s="221" t="str">
        <f>IF(ISBLANK(A317),"",SUMIF(RawTotals!A$2:A1000, A317, RawTotals!D$2:D1000) + SUMIF(RawTotals!A$2:A1000, A317, RawTotals!M$2:M1000))</f>
        <v/>
      </c>
      <c r="E317" s="221" t="str">
        <f>IF(ISBLANK(A317),"",SUMIF(RawTotals!A$2:A1000, A317, RawTotals!C$2:C1000) + SUMIF(RawTotals!A$2:A1000, A317, RawTotals!L$2:L1000))</f>
        <v/>
      </c>
      <c r="F317" s="225" t="str">
        <f>IFERROR(__xludf.DUMMYFUNCTION("IFERROR(FILTER('Pit Scouting Responses'!G:G,'Pit Scouting Responses'!C:C=A317),"""")"),"")</f>
        <v/>
      </c>
      <c r="G317" s="226" t="str">
        <f>IFERROR(__xludf.DUMMYFUNCTION("IFERROR(FILTER('Pit Scouting Responses'!D:D,'Pit Scouting Responses'!C:C=A317),"""")"),"")</f>
        <v/>
      </c>
      <c r="H317" s="223" t="str">
        <f>RawTotals!AI317</f>
        <v/>
      </c>
    </row>
    <row r="318">
      <c r="A318" s="224" t="str">
        <f>RawTotals!A318</f>
        <v/>
      </c>
      <c r="B318" s="75" t="str">
        <f>IFERROR(__xludf.DUMMYFUNCTION("IFERROR(FILTER('Pit Scouting Responses'!J:J,'Pit Scouting Responses'!C:C=A318),"""")"),"")</f>
        <v/>
      </c>
      <c r="C318" s="85" t="str">
        <f>IF(ISBLANK(A318),"",SUMIF(RawTotals!A$2:A1000, A318, RawTotals!O$2:O1000))</f>
        <v/>
      </c>
      <c r="D318" s="221" t="str">
        <f>IF(ISBLANK(A318),"",SUMIF(RawTotals!A$2:A1000, A318, RawTotals!D$2:D1000) + SUMIF(RawTotals!A$2:A1000, A318, RawTotals!M$2:M1000))</f>
        <v/>
      </c>
      <c r="E318" s="221" t="str">
        <f>IF(ISBLANK(A318),"",SUMIF(RawTotals!A$2:A1000, A318, RawTotals!C$2:C1000) + SUMIF(RawTotals!A$2:A1000, A318, RawTotals!L$2:L1000))</f>
        <v/>
      </c>
      <c r="F318" s="225" t="str">
        <f>IFERROR(__xludf.DUMMYFUNCTION("IFERROR(FILTER('Pit Scouting Responses'!G:G,'Pit Scouting Responses'!C:C=A318),"""")"),"")</f>
        <v/>
      </c>
      <c r="G318" s="226" t="str">
        <f>IFERROR(__xludf.DUMMYFUNCTION("IFERROR(FILTER('Pit Scouting Responses'!D:D,'Pit Scouting Responses'!C:C=A318),"""")"),"")</f>
        <v/>
      </c>
      <c r="H318" s="223" t="str">
        <f>RawTotals!AI318</f>
        <v/>
      </c>
    </row>
    <row r="319">
      <c r="A319" s="224" t="str">
        <f>RawTotals!A319</f>
        <v/>
      </c>
      <c r="B319" s="75" t="str">
        <f>IFERROR(__xludf.DUMMYFUNCTION("IFERROR(FILTER('Pit Scouting Responses'!J:J,'Pit Scouting Responses'!C:C=A319),"""")"),"")</f>
        <v/>
      </c>
      <c r="C319" s="85" t="str">
        <f>IF(ISBLANK(A319),"",SUMIF(RawTotals!A$2:A1000, A319, RawTotals!O$2:O1000))</f>
        <v/>
      </c>
      <c r="D319" s="221" t="str">
        <f>IF(ISBLANK(A319),"",SUMIF(RawTotals!A$2:A1000, A319, RawTotals!D$2:D1000) + SUMIF(RawTotals!A$2:A1000, A319, RawTotals!M$2:M1000))</f>
        <v/>
      </c>
      <c r="E319" s="221" t="str">
        <f>IF(ISBLANK(A319),"",SUMIF(RawTotals!A$2:A1000, A319, RawTotals!C$2:C1000) + SUMIF(RawTotals!A$2:A1000, A319, RawTotals!L$2:L1000))</f>
        <v/>
      </c>
      <c r="F319" s="225" t="str">
        <f>IFERROR(__xludf.DUMMYFUNCTION("IFERROR(FILTER('Pit Scouting Responses'!G:G,'Pit Scouting Responses'!C:C=A319),"""")"),"")</f>
        <v/>
      </c>
      <c r="G319" s="226" t="str">
        <f>IFERROR(__xludf.DUMMYFUNCTION("IFERROR(FILTER('Pit Scouting Responses'!D:D,'Pit Scouting Responses'!C:C=A319),"""")"),"")</f>
        <v/>
      </c>
      <c r="H319" s="223" t="str">
        <f>RawTotals!AI319</f>
        <v/>
      </c>
    </row>
    <row r="320">
      <c r="A320" s="224" t="str">
        <f>RawTotals!A320</f>
        <v/>
      </c>
      <c r="B320" s="75" t="str">
        <f>IFERROR(__xludf.DUMMYFUNCTION("IFERROR(FILTER('Pit Scouting Responses'!J:J,'Pit Scouting Responses'!C:C=A320),"""")"),"")</f>
        <v/>
      </c>
      <c r="C320" s="85" t="str">
        <f>IF(ISBLANK(A320),"",SUMIF(RawTotals!A$2:A1000, A320, RawTotals!O$2:O1000))</f>
        <v/>
      </c>
      <c r="D320" s="221" t="str">
        <f>IF(ISBLANK(A320),"",SUMIF(RawTotals!A$2:A1000, A320, RawTotals!D$2:D1000) + SUMIF(RawTotals!A$2:A1000, A320, RawTotals!M$2:M1000))</f>
        <v/>
      </c>
      <c r="E320" s="221" t="str">
        <f>IF(ISBLANK(A320),"",SUMIF(RawTotals!A$2:A1000, A320, RawTotals!C$2:C1000) + SUMIF(RawTotals!A$2:A1000, A320, RawTotals!L$2:L1000))</f>
        <v/>
      </c>
      <c r="F320" s="225" t="str">
        <f>IFERROR(__xludf.DUMMYFUNCTION("IFERROR(FILTER('Pit Scouting Responses'!G:G,'Pit Scouting Responses'!C:C=A320),"""")"),"")</f>
        <v/>
      </c>
      <c r="G320" s="226" t="str">
        <f>IFERROR(__xludf.DUMMYFUNCTION("IFERROR(FILTER('Pit Scouting Responses'!D:D,'Pit Scouting Responses'!C:C=A320),"""")"),"")</f>
        <v/>
      </c>
      <c r="H320" s="223" t="str">
        <f>RawTotals!AI320</f>
        <v/>
      </c>
    </row>
    <row r="321">
      <c r="A321" s="224" t="str">
        <f>RawTotals!A321</f>
        <v/>
      </c>
      <c r="B321" s="75" t="str">
        <f>IFERROR(__xludf.DUMMYFUNCTION("IFERROR(FILTER('Pit Scouting Responses'!J:J,'Pit Scouting Responses'!C:C=A321),"""")"),"")</f>
        <v/>
      </c>
      <c r="C321" s="85" t="str">
        <f>IF(ISBLANK(A321),"",SUMIF(RawTotals!A$2:A1000, A321, RawTotals!O$2:O1000))</f>
        <v/>
      </c>
      <c r="D321" s="221" t="str">
        <f>IF(ISBLANK(A321),"",SUMIF(RawTotals!A$2:A1000, A321, RawTotals!D$2:D1000) + SUMIF(RawTotals!A$2:A1000, A321, RawTotals!M$2:M1000))</f>
        <v/>
      </c>
      <c r="E321" s="221" t="str">
        <f>IF(ISBLANK(A321),"",SUMIF(RawTotals!A$2:A1000, A321, RawTotals!C$2:C1000) + SUMIF(RawTotals!A$2:A1000, A321, RawTotals!L$2:L1000))</f>
        <v/>
      </c>
      <c r="F321" s="225" t="str">
        <f>IFERROR(__xludf.DUMMYFUNCTION("IFERROR(FILTER('Pit Scouting Responses'!G:G,'Pit Scouting Responses'!C:C=A321),"""")"),"")</f>
        <v/>
      </c>
      <c r="G321" s="226" t="str">
        <f>IFERROR(__xludf.DUMMYFUNCTION("IFERROR(FILTER('Pit Scouting Responses'!D:D,'Pit Scouting Responses'!C:C=A321),"""")"),"")</f>
        <v/>
      </c>
      <c r="H321" s="223" t="str">
        <f>RawTotals!AI321</f>
        <v/>
      </c>
    </row>
    <row r="322">
      <c r="A322" s="224" t="str">
        <f>RawTotals!A322</f>
        <v/>
      </c>
      <c r="B322" s="75" t="str">
        <f>IFERROR(__xludf.DUMMYFUNCTION("IFERROR(FILTER('Pit Scouting Responses'!J:J,'Pit Scouting Responses'!C:C=A322),"""")"),"")</f>
        <v/>
      </c>
      <c r="C322" s="85" t="str">
        <f>IF(ISBLANK(A322),"",SUMIF(RawTotals!A$2:A1000, A322, RawTotals!O$2:O1000))</f>
        <v/>
      </c>
      <c r="D322" s="221" t="str">
        <f>IF(ISBLANK(A322),"",SUMIF(RawTotals!A$2:A1000, A322, RawTotals!D$2:D1000) + SUMIF(RawTotals!A$2:A1000, A322, RawTotals!M$2:M1000))</f>
        <v/>
      </c>
      <c r="E322" s="221" t="str">
        <f>IF(ISBLANK(A322),"",SUMIF(RawTotals!A$2:A1000, A322, RawTotals!C$2:C1000) + SUMIF(RawTotals!A$2:A1000, A322, RawTotals!L$2:L1000))</f>
        <v/>
      </c>
      <c r="F322" s="225" t="str">
        <f>IFERROR(__xludf.DUMMYFUNCTION("IFERROR(FILTER('Pit Scouting Responses'!G:G,'Pit Scouting Responses'!C:C=A322),"""")"),"")</f>
        <v/>
      </c>
      <c r="G322" s="226" t="str">
        <f>IFERROR(__xludf.DUMMYFUNCTION("IFERROR(FILTER('Pit Scouting Responses'!D:D,'Pit Scouting Responses'!C:C=A322),"""")"),"")</f>
        <v/>
      </c>
      <c r="H322" s="223" t="str">
        <f>RawTotals!AI322</f>
        <v/>
      </c>
    </row>
    <row r="323">
      <c r="A323" s="224" t="str">
        <f>RawTotals!A323</f>
        <v/>
      </c>
      <c r="B323" s="75" t="str">
        <f>IFERROR(__xludf.DUMMYFUNCTION("IFERROR(FILTER('Pit Scouting Responses'!J:J,'Pit Scouting Responses'!C:C=A323),"""")"),"")</f>
        <v/>
      </c>
      <c r="C323" s="85" t="str">
        <f>IF(ISBLANK(A323),"",SUMIF(RawTotals!A$2:A1000, A323, RawTotals!O$2:O1000))</f>
        <v/>
      </c>
      <c r="D323" s="221" t="str">
        <f>IF(ISBLANK(A323),"",SUMIF(RawTotals!A$2:A1000, A323, RawTotals!D$2:D1000) + SUMIF(RawTotals!A$2:A1000, A323, RawTotals!M$2:M1000))</f>
        <v/>
      </c>
      <c r="E323" s="221" t="str">
        <f>IF(ISBLANK(A323),"",SUMIF(RawTotals!A$2:A1000, A323, RawTotals!C$2:C1000) + SUMIF(RawTotals!A$2:A1000, A323, RawTotals!L$2:L1000))</f>
        <v/>
      </c>
      <c r="F323" s="225" t="str">
        <f>IFERROR(__xludf.DUMMYFUNCTION("IFERROR(FILTER('Pit Scouting Responses'!G:G,'Pit Scouting Responses'!C:C=A323),"""")"),"")</f>
        <v/>
      </c>
      <c r="G323" s="226" t="str">
        <f>IFERROR(__xludf.DUMMYFUNCTION("IFERROR(FILTER('Pit Scouting Responses'!D:D,'Pit Scouting Responses'!C:C=A323),"""")"),"")</f>
        <v/>
      </c>
      <c r="H323" s="223" t="str">
        <f>RawTotals!AI323</f>
        <v/>
      </c>
    </row>
    <row r="324">
      <c r="A324" s="224" t="str">
        <f>RawTotals!A324</f>
        <v/>
      </c>
      <c r="B324" s="75" t="str">
        <f>IFERROR(__xludf.DUMMYFUNCTION("IFERROR(FILTER('Pit Scouting Responses'!J:J,'Pit Scouting Responses'!C:C=A324),"""")"),"")</f>
        <v/>
      </c>
      <c r="C324" s="85" t="str">
        <f>IF(ISBLANK(A324),"",SUMIF(RawTotals!A$2:A1000, A324, RawTotals!O$2:O1000))</f>
        <v/>
      </c>
      <c r="D324" s="221" t="str">
        <f>IF(ISBLANK(A324),"",SUMIF(RawTotals!A$2:A1000, A324, RawTotals!D$2:D1000) + SUMIF(RawTotals!A$2:A1000, A324, RawTotals!M$2:M1000))</f>
        <v/>
      </c>
      <c r="E324" s="221" t="str">
        <f>IF(ISBLANK(A324),"",SUMIF(RawTotals!A$2:A1000, A324, RawTotals!C$2:C1000) + SUMIF(RawTotals!A$2:A1000, A324, RawTotals!L$2:L1000))</f>
        <v/>
      </c>
      <c r="F324" s="225" t="str">
        <f>IFERROR(__xludf.DUMMYFUNCTION("IFERROR(FILTER('Pit Scouting Responses'!G:G,'Pit Scouting Responses'!C:C=A324),"""")"),"")</f>
        <v/>
      </c>
      <c r="G324" s="226" t="str">
        <f>IFERROR(__xludf.DUMMYFUNCTION("IFERROR(FILTER('Pit Scouting Responses'!D:D,'Pit Scouting Responses'!C:C=A324),"""")"),"")</f>
        <v/>
      </c>
      <c r="H324" s="223" t="str">
        <f>RawTotals!AI324</f>
        <v/>
      </c>
    </row>
    <row r="325">
      <c r="A325" s="224" t="str">
        <f>RawTotals!A325</f>
        <v/>
      </c>
      <c r="B325" s="75" t="str">
        <f>IFERROR(__xludf.DUMMYFUNCTION("IFERROR(FILTER('Pit Scouting Responses'!J:J,'Pit Scouting Responses'!C:C=A325),"""")"),"")</f>
        <v/>
      </c>
      <c r="C325" s="85" t="str">
        <f>IF(ISBLANK(A325),"",SUMIF(RawTotals!A$2:A1000, A325, RawTotals!O$2:O1000))</f>
        <v/>
      </c>
      <c r="D325" s="221" t="str">
        <f>IF(ISBLANK(A325),"",SUMIF(RawTotals!A$2:A1000, A325, RawTotals!D$2:D1000) + SUMIF(RawTotals!A$2:A1000, A325, RawTotals!M$2:M1000))</f>
        <v/>
      </c>
      <c r="E325" s="221" t="str">
        <f>IF(ISBLANK(A325),"",SUMIF(RawTotals!A$2:A1000, A325, RawTotals!C$2:C1000) + SUMIF(RawTotals!A$2:A1000, A325, RawTotals!L$2:L1000))</f>
        <v/>
      </c>
      <c r="F325" s="225" t="str">
        <f>IFERROR(__xludf.DUMMYFUNCTION("IFERROR(FILTER('Pit Scouting Responses'!G:G,'Pit Scouting Responses'!C:C=A325),"""")"),"")</f>
        <v/>
      </c>
      <c r="G325" s="226" t="str">
        <f>IFERROR(__xludf.DUMMYFUNCTION("IFERROR(FILTER('Pit Scouting Responses'!D:D,'Pit Scouting Responses'!C:C=A325),"""")"),"")</f>
        <v/>
      </c>
      <c r="H325" s="223" t="str">
        <f>RawTotals!AI325</f>
        <v/>
      </c>
    </row>
    <row r="326">
      <c r="A326" s="224" t="str">
        <f>RawTotals!A326</f>
        <v/>
      </c>
      <c r="B326" s="75" t="str">
        <f>IFERROR(__xludf.DUMMYFUNCTION("IFERROR(FILTER('Pit Scouting Responses'!J:J,'Pit Scouting Responses'!C:C=A326),"""")"),"")</f>
        <v/>
      </c>
      <c r="C326" s="85" t="str">
        <f>IF(ISBLANK(A326),"",SUMIF(RawTotals!A$2:A1000, A326, RawTotals!O$2:O1000))</f>
        <v/>
      </c>
      <c r="D326" s="221" t="str">
        <f>IF(ISBLANK(A326),"",SUMIF(RawTotals!A$2:A1000, A326, RawTotals!D$2:D1000) + SUMIF(RawTotals!A$2:A1000, A326, RawTotals!M$2:M1000))</f>
        <v/>
      </c>
      <c r="E326" s="221" t="str">
        <f>IF(ISBLANK(A326),"",SUMIF(RawTotals!A$2:A1000, A326, RawTotals!C$2:C1000) + SUMIF(RawTotals!A$2:A1000, A326, RawTotals!L$2:L1000))</f>
        <v/>
      </c>
      <c r="F326" s="225" t="str">
        <f>IFERROR(__xludf.DUMMYFUNCTION("IFERROR(FILTER('Pit Scouting Responses'!G:G,'Pit Scouting Responses'!C:C=A326),"""")"),"")</f>
        <v/>
      </c>
      <c r="G326" s="226" t="str">
        <f>IFERROR(__xludf.DUMMYFUNCTION("IFERROR(FILTER('Pit Scouting Responses'!D:D,'Pit Scouting Responses'!C:C=A326),"""")"),"")</f>
        <v/>
      </c>
      <c r="H326" s="223" t="str">
        <f>RawTotals!AI326</f>
        <v/>
      </c>
    </row>
    <row r="327">
      <c r="A327" s="224" t="str">
        <f>RawTotals!A327</f>
        <v/>
      </c>
      <c r="B327" s="75" t="str">
        <f>IFERROR(__xludf.DUMMYFUNCTION("IFERROR(FILTER('Pit Scouting Responses'!J:J,'Pit Scouting Responses'!C:C=A327),"""")"),"")</f>
        <v/>
      </c>
      <c r="C327" s="85" t="str">
        <f>IF(ISBLANK(A327),"",SUMIF(RawTotals!A$2:A1000, A327, RawTotals!O$2:O1000))</f>
        <v/>
      </c>
      <c r="D327" s="221" t="str">
        <f>IF(ISBLANK(A327),"",SUMIF(RawTotals!A$2:A1000, A327, RawTotals!D$2:D1000) + SUMIF(RawTotals!A$2:A1000, A327, RawTotals!M$2:M1000))</f>
        <v/>
      </c>
      <c r="E327" s="221" t="str">
        <f>IF(ISBLANK(A327),"",SUMIF(RawTotals!A$2:A1000, A327, RawTotals!C$2:C1000) + SUMIF(RawTotals!A$2:A1000, A327, RawTotals!L$2:L1000))</f>
        <v/>
      </c>
      <c r="F327" s="225" t="str">
        <f>IFERROR(__xludf.DUMMYFUNCTION("IFERROR(FILTER('Pit Scouting Responses'!G:G,'Pit Scouting Responses'!C:C=A327),"""")"),"")</f>
        <v/>
      </c>
      <c r="G327" s="226" t="str">
        <f>IFERROR(__xludf.DUMMYFUNCTION("IFERROR(FILTER('Pit Scouting Responses'!D:D,'Pit Scouting Responses'!C:C=A327),"""")"),"")</f>
        <v/>
      </c>
      <c r="H327" s="223" t="str">
        <f>RawTotals!AI327</f>
        <v/>
      </c>
    </row>
    <row r="328">
      <c r="A328" s="224" t="str">
        <f>RawTotals!A328</f>
        <v/>
      </c>
      <c r="B328" s="75" t="str">
        <f>IFERROR(__xludf.DUMMYFUNCTION("IFERROR(FILTER('Pit Scouting Responses'!J:J,'Pit Scouting Responses'!C:C=A328),"""")"),"")</f>
        <v/>
      </c>
      <c r="C328" s="85" t="str">
        <f>IF(ISBLANK(A328),"",SUMIF(RawTotals!A$2:A1000, A328, RawTotals!O$2:O1000))</f>
        <v/>
      </c>
      <c r="D328" s="221" t="str">
        <f>IF(ISBLANK(A328),"",SUMIF(RawTotals!A$2:A1000, A328, RawTotals!D$2:D1000) + SUMIF(RawTotals!A$2:A1000, A328, RawTotals!M$2:M1000))</f>
        <v/>
      </c>
      <c r="E328" s="221" t="str">
        <f>IF(ISBLANK(A328),"",SUMIF(RawTotals!A$2:A1000, A328, RawTotals!C$2:C1000) + SUMIF(RawTotals!A$2:A1000, A328, RawTotals!L$2:L1000))</f>
        <v/>
      </c>
      <c r="F328" s="225" t="str">
        <f>IFERROR(__xludf.DUMMYFUNCTION("IFERROR(FILTER('Pit Scouting Responses'!G:G,'Pit Scouting Responses'!C:C=A328),"""")"),"")</f>
        <v/>
      </c>
      <c r="G328" s="226" t="str">
        <f>IFERROR(__xludf.DUMMYFUNCTION("IFERROR(FILTER('Pit Scouting Responses'!D:D,'Pit Scouting Responses'!C:C=A328),"""")"),"")</f>
        <v/>
      </c>
      <c r="H328" s="223" t="str">
        <f>RawTotals!AI328</f>
        <v/>
      </c>
    </row>
    <row r="329">
      <c r="A329" s="224" t="str">
        <f>RawTotals!A329</f>
        <v/>
      </c>
      <c r="B329" s="75" t="str">
        <f>IFERROR(__xludf.DUMMYFUNCTION("IFERROR(FILTER('Pit Scouting Responses'!J:J,'Pit Scouting Responses'!C:C=A329),"""")"),"")</f>
        <v/>
      </c>
      <c r="C329" s="85" t="str">
        <f>IF(ISBLANK(A329),"",SUMIF(RawTotals!A$2:A1000, A329, RawTotals!O$2:O1000))</f>
        <v/>
      </c>
      <c r="D329" s="221" t="str">
        <f>IF(ISBLANK(A329),"",SUMIF(RawTotals!A$2:A1000, A329, RawTotals!D$2:D1000) + SUMIF(RawTotals!A$2:A1000, A329, RawTotals!M$2:M1000))</f>
        <v/>
      </c>
      <c r="E329" s="221" t="str">
        <f>IF(ISBLANK(A329),"",SUMIF(RawTotals!A$2:A1000, A329, RawTotals!C$2:C1000) + SUMIF(RawTotals!A$2:A1000, A329, RawTotals!L$2:L1000))</f>
        <v/>
      </c>
      <c r="F329" s="225" t="str">
        <f>IFERROR(__xludf.DUMMYFUNCTION("IFERROR(FILTER('Pit Scouting Responses'!G:G,'Pit Scouting Responses'!C:C=A329),"""")"),"")</f>
        <v/>
      </c>
      <c r="G329" s="226" t="str">
        <f>IFERROR(__xludf.DUMMYFUNCTION("IFERROR(FILTER('Pit Scouting Responses'!D:D,'Pit Scouting Responses'!C:C=A329),"""")"),"")</f>
        <v/>
      </c>
      <c r="H329" s="223" t="str">
        <f>RawTotals!AI329</f>
        <v/>
      </c>
    </row>
    <row r="330">
      <c r="A330" s="224" t="str">
        <f>RawTotals!A330</f>
        <v/>
      </c>
      <c r="B330" s="75" t="str">
        <f>IFERROR(__xludf.DUMMYFUNCTION("IFERROR(FILTER('Pit Scouting Responses'!J:J,'Pit Scouting Responses'!C:C=A330),"""")"),"")</f>
        <v/>
      </c>
      <c r="C330" s="85" t="str">
        <f>IF(ISBLANK(A330),"",SUMIF(RawTotals!A$2:A1000, A330, RawTotals!O$2:O1000))</f>
        <v/>
      </c>
      <c r="D330" s="221" t="str">
        <f>IF(ISBLANK(A330),"",SUMIF(RawTotals!A$2:A1000, A330, RawTotals!D$2:D1000) + SUMIF(RawTotals!A$2:A1000, A330, RawTotals!M$2:M1000))</f>
        <v/>
      </c>
      <c r="E330" s="221" t="str">
        <f>IF(ISBLANK(A330),"",SUMIF(RawTotals!A$2:A1000, A330, RawTotals!C$2:C1000) + SUMIF(RawTotals!A$2:A1000, A330, RawTotals!L$2:L1000))</f>
        <v/>
      </c>
      <c r="F330" s="225" t="str">
        <f>IFERROR(__xludf.DUMMYFUNCTION("IFERROR(FILTER('Pit Scouting Responses'!G:G,'Pit Scouting Responses'!C:C=A330),"""")"),"")</f>
        <v/>
      </c>
      <c r="G330" s="226" t="str">
        <f>IFERROR(__xludf.DUMMYFUNCTION("IFERROR(FILTER('Pit Scouting Responses'!D:D,'Pit Scouting Responses'!C:C=A330),"""")"),"")</f>
        <v/>
      </c>
      <c r="H330" s="223" t="str">
        <f>RawTotals!AI330</f>
        <v/>
      </c>
    </row>
    <row r="331">
      <c r="A331" s="224" t="str">
        <f>RawTotals!A331</f>
        <v/>
      </c>
      <c r="B331" s="75" t="str">
        <f>IFERROR(__xludf.DUMMYFUNCTION("IFERROR(FILTER('Pit Scouting Responses'!J:J,'Pit Scouting Responses'!C:C=A331),"""")"),"")</f>
        <v/>
      </c>
      <c r="C331" s="85" t="str">
        <f>IF(ISBLANK(A331),"",SUMIF(RawTotals!A$2:A1000, A331, RawTotals!O$2:O1000))</f>
        <v/>
      </c>
      <c r="D331" s="221" t="str">
        <f>IF(ISBLANK(A331),"",SUMIF(RawTotals!A$2:A1000, A331, RawTotals!D$2:D1000) + SUMIF(RawTotals!A$2:A1000, A331, RawTotals!M$2:M1000))</f>
        <v/>
      </c>
      <c r="E331" s="221" t="str">
        <f>IF(ISBLANK(A331),"",SUMIF(RawTotals!A$2:A1000, A331, RawTotals!C$2:C1000) + SUMIF(RawTotals!A$2:A1000, A331, RawTotals!L$2:L1000))</f>
        <v/>
      </c>
      <c r="F331" s="225" t="str">
        <f>IFERROR(__xludf.DUMMYFUNCTION("IFERROR(FILTER('Pit Scouting Responses'!G:G,'Pit Scouting Responses'!C:C=A331),"""")"),"")</f>
        <v/>
      </c>
      <c r="G331" s="226" t="str">
        <f>IFERROR(__xludf.DUMMYFUNCTION("IFERROR(FILTER('Pit Scouting Responses'!D:D,'Pit Scouting Responses'!C:C=A331),"""")"),"")</f>
        <v/>
      </c>
      <c r="H331" s="223" t="str">
        <f>RawTotals!AI331</f>
        <v/>
      </c>
    </row>
    <row r="332">
      <c r="A332" s="224" t="str">
        <f>RawTotals!A332</f>
        <v/>
      </c>
      <c r="B332" s="75" t="str">
        <f>IFERROR(__xludf.DUMMYFUNCTION("IFERROR(FILTER('Pit Scouting Responses'!J:J,'Pit Scouting Responses'!C:C=A332),"""")"),"")</f>
        <v/>
      </c>
      <c r="C332" s="85" t="str">
        <f>IF(ISBLANK(A332),"",SUMIF(RawTotals!A$2:A1000, A332, RawTotals!O$2:O1000))</f>
        <v/>
      </c>
      <c r="D332" s="221" t="str">
        <f>IF(ISBLANK(A332),"",SUMIF(RawTotals!A$2:A1000, A332, RawTotals!D$2:D1000) + SUMIF(RawTotals!A$2:A1000, A332, RawTotals!M$2:M1000))</f>
        <v/>
      </c>
      <c r="E332" s="221" t="str">
        <f>IF(ISBLANK(A332),"",SUMIF(RawTotals!A$2:A1000, A332, RawTotals!C$2:C1000) + SUMIF(RawTotals!A$2:A1000, A332, RawTotals!L$2:L1000))</f>
        <v/>
      </c>
      <c r="F332" s="225" t="str">
        <f>IFERROR(__xludf.DUMMYFUNCTION("IFERROR(FILTER('Pit Scouting Responses'!G:G,'Pit Scouting Responses'!C:C=A332),"""")"),"")</f>
        <v/>
      </c>
      <c r="G332" s="226" t="str">
        <f>IFERROR(__xludf.DUMMYFUNCTION("IFERROR(FILTER('Pit Scouting Responses'!D:D,'Pit Scouting Responses'!C:C=A332),"""")"),"")</f>
        <v/>
      </c>
      <c r="H332" s="223" t="str">
        <f>RawTotals!AI332</f>
        <v/>
      </c>
    </row>
    <row r="333">
      <c r="A333" s="224" t="str">
        <f>RawTotals!A333</f>
        <v/>
      </c>
      <c r="B333" s="75" t="str">
        <f>IFERROR(__xludf.DUMMYFUNCTION("IFERROR(FILTER('Pit Scouting Responses'!J:J,'Pit Scouting Responses'!C:C=A333),"""")"),"")</f>
        <v/>
      </c>
      <c r="C333" s="85" t="str">
        <f>IF(ISBLANK(A333),"",SUMIF(RawTotals!A$2:A1000, A333, RawTotals!O$2:O1000))</f>
        <v/>
      </c>
      <c r="D333" s="221" t="str">
        <f>IF(ISBLANK(A333),"",SUMIF(RawTotals!A$2:A1000, A333, RawTotals!D$2:D1000) + SUMIF(RawTotals!A$2:A1000, A333, RawTotals!M$2:M1000))</f>
        <v/>
      </c>
      <c r="E333" s="221" t="str">
        <f>IF(ISBLANK(A333),"",SUMIF(RawTotals!A$2:A1000, A333, RawTotals!C$2:C1000) + SUMIF(RawTotals!A$2:A1000, A333, RawTotals!L$2:L1000))</f>
        <v/>
      </c>
      <c r="F333" s="225" t="str">
        <f>IFERROR(__xludf.DUMMYFUNCTION("IFERROR(FILTER('Pit Scouting Responses'!G:G,'Pit Scouting Responses'!C:C=A333),"""")"),"")</f>
        <v/>
      </c>
      <c r="G333" s="226" t="str">
        <f>IFERROR(__xludf.DUMMYFUNCTION("IFERROR(FILTER('Pit Scouting Responses'!D:D,'Pit Scouting Responses'!C:C=A333),"""")"),"")</f>
        <v/>
      </c>
      <c r="H333" s="223" t="str">
        <f>RawTotals!AI333</f>
        <v/>
      </c>
    </row>
    <row r="334">
      <c r="A334" s="224" t="str">
        <f>RawTotals!A334</f>
        <v/>
      </c>
      <c r="B334" s="75" t="str">
        <f>IFERROR(__xludf.DUMMYFUNCTION("IFERROR(FILTER('Pit Scouting Responses'!J:J,'Pit Scouting Responses'!C:C=A334),"""")"),"")</f>
        <v/>
      </c>
      <c r="C334" s="85" t="str">
        <f>IF(ISBLANK(A334),"",SUMIF(RawTotals!A$2:A1000, A334, RawTotals!O$2:O1000))</f>
        <v/>
      </c>
      <c r="D334" s="221" t="str">
        <f>IF(ISBLANK(A334),"",SUMIF(RawTotals!A$2:A1000, A334, RawTotals!D$2:D1000) + SUMIF(RawTotals!A$2:A1000, A334, RawTotals!M$2:M1000))</f>
        <v/>
      </c>
      <c r="E334" s="221" t="str">
        <f>IF(ISBLANK(A334),"",SUMIF(RawTotals!A$2:A1000, A334, RawTotals!C$2:C1000) + SUMIF(RawTotals!A$2:A1000, A334, RawTotals!L$2:L1000))</f>
        <v/>
      </c>
      <c r="F334" s="225" t="str">
        <f>IFERROR(__xludf.DUMMYFUNCTION("IFERROR(FILTER('Pit Scouting Responses'!G:G,'Pit Scouting Responses'!C:C=A334),"""")"),"")</f>
        <v/>
      </c>
      <c r="G334" s="226" t="str">
        <f>IFERROR(__xludf.DUMMYFUNCTION("IFERROR(FILTER('Pit Scouting Responses'!D:D,'Pit Scouting Responses'!C:C=A334),"""")"),"")</f>
        <v/>
      </c>
      <c r="H334" s="223" t="str">
        <f>RawTotals!AI334</f>
        <v/>
      </c>
    </row>
    <row r="335">
      <c r="A335" s="224" t="str">
        <f>RawTotals!A335</f>
        <v/>
      </c>
      <c r="B335" s="75" t="str">
        <f>IFERROR(__xludf.DUMMYFUNCTION("IFERROR(FILTER('Pit Scouting Responses'!J:J,'Pit Scouting Responses'!C:C=A335),"""")"),"")</f>
        <v/>
      </c>
      <c r="C335" s="85" t="str">
        <f>IF(ISBLANK(A335),"",SUMIF(RawTotals!A$2:A1000, A335, RawTotals!O$2:O1000))</f>
        <v/>
      </c>
      <c r="D335" s="221" t="str">
        <f>IF(ISBLANK(A335),"",SUMIF(RawTotals!A$2:A1000, A335, RawTotals!D$2:D1000) + SUMIF(RawTotals!A$2:A1000, A335, RawTotals!M$2:M1000))</f>
        <v/>
      </c>
      <c r="E335" s="221" t="str">
        <f>IF(ISBLANK(A335),"",SUMIF(RawTotals!A$2:A1000, A335, RawTotals!C$2:C1000) + SUMIF(RawTotals!A$2:A1000, A335, RawTotals!L$2:L1000))</f>
        <v/>
      </c>
      <c r="F335" s="225" t="str">
        <f>IFERROR(__xludf.DUMMYFUNCTION("IFERROR(FILTER('Pit Scouting Responses'!G:G,'Pit Scouting Responses'!C:C=A335),"""")"),"")</f>
        <v/>
      </c>
      <c r="G335" s="226" t="str">
        <f>IFERROR(__xludf.DUMMYFUNCTION("IFERROR(FILTER('Pit Scouting Responses'!D:D,'Pit Scouting Responses'!C:C=A335),"""")"),"")</f>
        <v/>
      </c>
      <c r="H335" s="223" t="str">
        <f>RawTotals!AI335</f>
        <v/>
      </c>
    </row>
    <row r="336">
      <c r="A336" s="224" t="str">
        <f>RawTotals!A336</f>
        <v/>
      </c>
      <c r="B336" s="75" t="str">
        <f>IFERROR(__xludf.DUMMYFUNCTION("IFERROR(FILTER('Pit Scouting Responses'!J:J,'Pit Scouting Responses'!C:C=A336),"""")"),"")</f>
        <v/>
      </c>
      <c r="C336" s="85" t="str">
        <f>IF(ISBLANK(A336),"",SUMIF(RawTotals!A$2:A1000, A336, RawTotals!O$2:O1000))</f>
        <v/>
      </c>
      <c r="D336" s="221" t="str">
        <f>IF(ISBLANK(A336),"",SUMIF(RawTotals!A$2:A1000, A336, RawTotals!D$2:D1000) + SUMIF(RawTotals!A$2:A1000, A336, RawTotals!M$2:M1000))</f>
        <v/>
      </c>
      <c r="E336" s="221" t="str">
        <f>IF(ISBLANK(A336),"",SUMIF(RawTotals!A$2:A1000, A336, RawTotals!C$2:C1000) + SUMIF(RawTotals!A$2:A1000, A336, RawTotals!L$2:L1000))</f>
        <v/>
      </c>
      <c r="F336" s="225" t="str">
        <f>IFERROR(__xludf.DUMMYFUNCTION("IFERROR(FILTER('Pit Scouting Responses'!G:G,'Pit Scouting Responses'!C:C=A336),"""")"),"")</f>
        <v/>
      </c>
      <c r="G336" s="226" t="str">
        <f>IFERROR(__xludf.DUMMYFUNCTION("IFERROR(FILTER('Pit Scouting Responses'!D:D,'Pit Scouting Responses'!C:C=A336),"""")"),"")</f>
        <v/>
      </c>
      <c r="H336" s="223" t="str">
        <f>RawTotals!AI336</f>
        <v/>
      </c>
    </row>
    <row r="337">
      <c r="A337" s="224" t="str">
        <f>RawTotals!A337</f>
        <v/>
      </c>
      <c r="B337" s="75" t="str">
        <f>IFERROR(__xludf.DUMMYFUNCTION("IFERROR(FILTER('Pit Scouting Responses'!J:J,'Pit Scouting Responses'!C:C=A337),"""")"),"")</f>
        <v/>
      </c>
      <c r="C337" s="85" t="str">
        <f>IF(ISBLANK(A337),"",SUMIF(RawTotals!A$2:A1000, A337, RawTotals!O$2:O1000))</f>
        <v/>
      </c>
      <c r="D337" s="221" t="str">
        <f>IF(ISBLANK(A337),"",SUMIF(RawTotals!A$2:A1000, A337, RawTotals!D$2:D1000) + SUMIF(RawTotals!A$2:A1000, A337, RawTotals!M$2:M1000))</f>
        <v/>
      </c>
      <c r="E337" s="221" t="str">
        <f>IF(ISBLANK(A337),"",SUMIF(RawTotals!A$2:A1000, A337, RawTotals!C$2:C1000) + SUMIF(RawTotals!A$2:A1000, A337, RawTotals!L$2:L1000))</f>
        <v/>
      </c>
      <c r="F337" s="225" t="str">
        <f>IFERROR(__xludf.DUMMYFUNCTION("IFERROR(FILTER('Pit Scouting Responses'!G:G,'Pit Scouting Responses'!C:C=A337),"""")"),"")</f>
        <v/>
      </c>
      <c r="G337" s="226" t="str">
        <f>IFERROR(__xludf.DUMMYFUNCTION("IFERROR(FILTER('Pit Scouting Responses'!D:D,'Pit Scouting Responses'!C:C=A337),"""")"),"")</f>
        <v/>
      </c>
      <c r="H337" s="223" t="str">
        <f>RawTotals!AI337</f>
        <v/>
      </c>
    </row>
    <row r="338">
      <c r="A338" s="224" t="str">
        <f>RawTotals!A338</f>
        <v/>
      </c>
      <c r="B338" s="75" t="str">
        <f>IFERROR(__xludf.DUMMYFUNCTION("IFERROR(FILTER('Pit Scouting Responses'!J:J,'Pit Scouting Responses'!C:C=A338),"""")"),"")</f>
        <v/>
      </c>
      <c r="C338" s="85" t="str">
        <f>IF(ISBLANK(A338),"",SUMIF(RawTotals!A$2:A1000, A338, RawTotals!O$2:O1000))</f>
        <v/>
      </c>
      <c r="D338" s="221" t="str">
        <f>IF(ISBLANK(A338),"",SUMIF(RawTotals!A$2:A1000, A338, RawTotals!D$2:D1000) + SUMIF(RawTotals!A$2:A1000, A338, RawTotals!M$2:M1000))</f>
        <v/>
      </c>
      <c r="E338" s="221" t="str">
        <f>IF(ISBLANK(A338),"",SUMIF(RawTotals!A$2:A1000, A338, RawTotals!C$2:C1000) + SUMIF(RawTotals!A$2:A1000, A338, RawTotals!L$2:L1000))</f>
        <v/>
      </c>
      <c r="F338" s="225" t="str">
        <f>IFERROR(__xludf.DUMMYFUNCTION("IFERROR(FILTER('Pit Scouting Responses'!G:G,'Pit Scouting Responses'!C:C=A338),"""")"),"")</f>
        <v/>
      </c>
      <c r="G338" s="226" t="str">
        <f>IFERROR(__xludf.DUMMYFUNCTION("IFERROR(FILTER('Pit Scouting Responses'!D:D,'Pit Scouting Responses'!C:C=A338),"""")"),"")</f>
        <v/>
      </c>
      <c r="H338" s="223" t="str">
        <f>RawTotals!AI338</f>
        <v/>
      </c>
    </row>
    <row r="339">
      <c r="A339" s="224" t="str">
        <f>RawTotals!A339</f>
        <v/>
      </c>
      <c r="B339" s="75" t="str">
        <f>IFERROR(__xludf.DUMMYFUNCTION("IFERROR(FILTER('Pit Scouting Responses'!J:J,'Pit Scouting Responses'!C:C=A339),"""")"),"")</f>
        <v/>
      </c>
      <c r="C339" s="85" t="str">
        <f>IF(ISBLANK(A339),"",SUMIF(RawTotals!A$2:A1000, A339, RawTotals!O$2:O1000))</f>
        <v/>
      </c>
      <c r="D339" s="221" t="str">
        <f>IF(ISBLANK(A339),"",SUMIF(RawTotals!A$2:A1000, A339, RawTotals!D$2:D1000) + SUMIF(RawTotals!A$2:A1000, A339, RawTotals!M$2:M1000))</f>
        <v/>
      </c>
      <c r="E339" s="221" t="str">
        <f>IF(ISBLANK(A339),"",SUMIF(RawTotals!A$2:A1000, A339, RawTotals!C$2:C1000) + SUMIF(RawTotals!A$2:A1000, A339, RawTotals!L$2:L1000))</f>
        <v/>
      </c>
      <c r="F339" s="225" t="str">
        <f>IFERROR(__xludf.DUMMYFUNCTION("IFERROR(FILTER('Pit Scouting Responses'!G:G,'Pit Scouting Responses'!C:C=A339),"""")"),"")</f>
        <v/>
      </c>
      <c r="G339" s="226" t="str">
        <f>IFERROR(__xludf.DUMMYFUNCTION("IFERROR(FILTER('Pit Scouting Responses'!D:D,'Pit Scouting Responses'!C:C=A339),"""")"),"")</f>
        <v/>
      </c>
      <c r="H339" s="223" t="str">
        <f>RawTotals!AI339</f>
        <v/>
      </c>
    </row>
    <row r="340">
      <c r="A340" s="224" t="str">
        <f>RawTotals!A340</f>
        <v/>
      </c>
      <c r="B340" s="75" t="str">
        <f>IFERROR(__xludf.DUMMYFUNCTION("IFERROR(FILTER('Pit Scouting Responses'!J:J,'Pit Scouting Responses'!C:C=A340),"""")"),"")</f>
        <v/>
      </c>
      <c r="C340" s="85" t="str">
        <f>IF(ISBLANK(A340),"",SUMIF(RawTotals!A$2:A1000, A340, RawTotals!O$2:O1000))</f>
        <v/>
      </c>
      <c r="D340" s="221" t="str">
        <f>IF(ISBLANK(A340),"",SUMIF(RawTotals!A$2:A1000, A340, RawTotals!D$2:D1000) + SUMIF(RawTotals!A$2:A1000, A340, RawTotals!M$2:M1000))</f>
        <v/>
      </c>
      <c r="E340" s="221" t="str">
        <f>IF(ISBLANK(A340),"",SUMIF(RawTotals!A$2:A1000, A340, RawTotals!C$2:C1000) + SUMIF(RawTotals!A$2:A1000, A340, RawTotals!L$2:L1000))</f>
        <v/>
      </c>
      <c r="F340" s="225" t="str">
        <f>IFERROR(__xludf.DUMMYFUNCTION("IFERROR(FILTER('Pit Scouting Responses'!G:G,'Pit Scouting Responses'!C:C=A340),"""")"),"")</f>
        <v/>
      </c>
      <c r="G340" s="226" t="str">
        <f>IFERROR(__xludf.DUMMYFUNCTION("IFERROR(FILTER('Pit Scouting Responses'!D:D,'Pit Scouting Responses'!C:C=A340),"""")"),"")</f>
        <v/>
      </c>
      <c r="H340" s="223" t="str">
        <f>RawTotals!AI340</f>
        <v/>
      </c>
    </row>
    <row r="341">
      <c r="A341" s="224" t="str">
        <f>RawTotals!A341</f>
        <v/>
      </c>
      <c r="B341" s="75" t="str">
        <f>IFERROR(__xludf.DUMMYFUNCTION("IFERROR(FILTER('Pit Scouting Responses'!J:J,'Pit Scouting Responses'!C:C=A341),"""")"),"")</f>
        <v/>
      </c>
      <c r="C341" s="85" t="str">
        <f>IF(ISBLANK(A341),"",SUMIF(RawTotals!A$2:A1000, A341, RawTotals!O$2:O1000))</f>
        <v/>
      </c>
      <c r="D341" s="221" t="str">
        <f>IF(ISBLANK(A341),"",SUMIF(RawTotals!A$2:A1000, A341, RawTotals!D$2:D1000) + SUMIF(RawTotals!A$2:A1000, A341, RawTotals!M$2:M1000))</f>
        <v/>
      </c>
      <c r="E341" s="221" t="str">
        <f>IF(ISBLANK(A341),"",SUMIF(RawTotals!A$2:A1000, A341, RawTotals!C$2:C1000) + SUMIF(RawTotals!A$2:A1000, A341, RawTotals!L$2:L1000))</f>
        <v/>
      </c>
      <c r="F341" s="225" t="str">
        <f>IFERROR(__xludf.DUMMYFUNCTION("IFERROR(FILTER('Pit Scouting Responses'!G:G,'Pit Scouting Responses'!C:C=A341),"""")"),"")</f>
        <v/>
      </c>
      <c r="G341" s="226" t="str">
        <f>IFERROR(__xludf.DUMMYFUNCTION("IFERROR(FILTER('Pit Scouting Responses'!D:D,'Pit Scouting Responses'!C:C=A341),"""")"),"")</f>
        <v/>
      </c>
      <c r="H341" s="223" t="str">
        <f>RawTotals!AI341</f>
        <v/>
      </c>
    </row>
    <row r="342">
      <c r="A342" s="224" t="str">
        <f>RawTotals!A342</f>
        <v/>
      </c>
      <c r="B342" s="75" t="str">
        <f>IFERROR(__xludf.DUMMYFUNCTION("IFERROR(FILTER('Pit Scouting Responses'!J:J,'Pit Scouting Responses'!C:C=A342),"""")"),"")</f>
        <v/>
      </c>
      <c r="C342" s="85" t="str">
        <f>IF(ISBLANK(A342),"",SUMIF(RawTotals!A$2:A1000, A342, RawTotals!O$2:O1000))</f>
        <v/>
      </c>
      <c r="D342" s="221" t="str">
        <f>IF(ISBLANK(A342),"",SUMIF(RawTotals!A$2:A1000, A342, RawTotals!D$2:D1000) + SUMIF(RawTotals!A$2:A1000, A342, RawTotals!M$2:M1000))</f>
        <v/>
      </c>
      <c r="E342" s="221" t="str">
        <f>IF(ISBLANK(A342),"",SUMIF(RawTotals!A$2:A1000, A342, RawTotals!C$2:C1000) + SUMIF(RawTotals!A$2:A1000, A342, RawTotals!L$2:L1000))</f>
        <v/>
      </c>
      <c r="F342" s="225" t="str">
        <f>IFERROR(__xludf.DUMMYFUNCTION("IFERROR(FILTER('Pit Scouting Responses'!G:G,'Pit Scouting Responses'!C:C=A342),"""")"),"")</f>
        <v/>
      </c>
      <c r="G342" s="226" t="str">
        <f>IFERROR(__xludf.DUMMYFUNCTION("IFERROR(FILTER('Pit Scouting Responses'!D:D,'Pit Scouting Responses'!C:C=A342),"""")"),"")</f>
        <v/>
      </c>
      <c r="H342" s="223" t="str">
        <f>RawTotals!AI342</f>
        <v/>
      </c>
    </row>
    <row r="343">
      <c r="A343" s="224" t="str">
        <f>RawTotals!A343</f>
        <v/>
      </c>
      <c r="B343" s="75" t="str">
        <f>IFERROR(__xludf.DUMMYFUNCTION("IFERROR(FILTER('Pit Scouting Responses'!J:J,'Pit Scouting Responses'!C:C=A343),"""")"),"")</f>
        <v/>
      </c>
      <c r="C343" s="85" t="str">
        <f>IF(ISBLANK(A343),"",SUMIF(RawTotals!A$2:A1000, A343, RawTotals!O$2:O1000))</f>
        <v/>
      </c>
      <c r="D343" s="221" t="str">
        <f>IF(ISBLANK(A343),"",SUMIF(RawTotals!A$2:A1000, A343, RawTotals!D$2:D1000) + SUMIF(RawTotals!A$2:A1000, A343, RawTotals!M$2:M1000))</f>
        <v/>
      </c>
      <c r="E343" s="221" t="str">
        <f>IF(ISBLANK(A343),"",SUMIF(RawTotals!A$2:A1000, A343, RawTotals!C$2:C1000) + SUMIF(RawTotals!A$2:A1000, A343, RawTotals!L$2:L1000))</f>
        <v/>
      </c>
      <c r="F343" s="225" t="str">
        <f>IFERROR(__xludf.DUMMYFUNCTION("IFERROR(FILTER('Pit Scouting Responses'!G:G,'Pit Scouting Responses'!C:C=A343),"""")"),"")</f>
        <v/>
      </c>
      <c r="G343" s="226" t="str">
        <f>IFERROR(__xludf.DUMMYFUNCTION("IFERROR(FILTER('Pit Scouting Responses'!D:D,'Pit Scouting Responses'!C:C=A343),"""")"),"")</f>
        <v/>
      </c>
      <c r="H343" s="223" t="str">
        <f>RawTotals!AI343</f>
        <v/>
      </c>
    </row>
    <row r="344">
      <c r="A344" s="224" t="str">
        <f>RawTotals!A344</f>
        <v/>
      </c>
      <c r="B344" s="75" t="str">
        <f>IFERROR(__xludf.DUMMYFUNCTION("IFERROR(FILTER('Pit Scouting Responses'!J:J,'Pit Scouting Responses'!C:C=A344),"""")"),"")</f>
        <v/>
      </c>
      <c r="C344" s="85" t="str">
        <f>IF(ISBLANK(A344),"",SUMIF(RawTotals!A$2:A1000, A344, RawTotals!O$2:O1000))</f>
        <v/>
      </c>
      <c r="D344" s="221" t="str">
        <f>IF(ISBLANK(A344),"",SUMIF(RawTotals!A$2:A1000, A344, RawTotals!D$2:D1000) + SUMIF(RawTotals!A$2:A1000, A344, RawTotals!M$2:M1000))</f>
        <v/>
      </c>
      <c r="E344" s="221" t="str">
        <f>IF(ISBLANK(A344),"",SUMIF(RawTotals!A$2:A1000, A344, RawTotals!C$2:C1000) + SUMIF(RawTotals!A$2:A1000, A344, RawTotals!L$2:L1000))</f>
        <v/>
      </c>
      <c r="F344" s="225" t="str">
        <f>IFERROR(__xludf.DUMMYFUNCTION("IFERROR(FILTER('Pit Scouting Responses'!G:G,'Pit Scouting Responses'!C:C=A344),"""")"),"")</f>
        <v/>
      </c>
      <c r="G344" s="226" t="str">
        <f>IFERROR(__xludf.DUMMYFUNCTION("IFERROR(FILTER('Pit Scouting Responses'!D:D,'Pit Scouting Responses'!C:C=A344),"""")"),"")</f>
        <v/>
      </c>
      <c r="H344" s="223" t="str">
        <f>RawTotals!AI344</f>
        <v/>
      </c>
    </row>
    <row r="345">
      <c r="A345" s="224" t="str">
        <f>RawTotals!A345</f>
        <v/>
      </c>
      <c r="B345" s="75" t="str">
        <f>IFERROR(__xludf.DUMMYFUNCTION("IFERROR(FILTER('Pit Scouting Responses'!J:J,'Pit Scouting Responses'!C:C=A345),"""")"),"")</f>
        <v/>
      </c>
      <c r="C345" s="85" t="str">
        <f>IF(ISBLANK(A345),"",SUMIF(RawTotals!A$2:A1000, A345, RawTotals!O$2:O1000))</f>
        <v/>
      </c>
      <c r="D345" s="221" t="str">
        <f>IF(ISBLANK(A345),"",SUMIF(RawTotals!A$2:A1000, A345, RawTotals!D$2:D1000) + SUMIF(RawTotals!A$2:A1000, A345, RawTotals!M$2:M1000))</f>
        <v/>
      </c>
      <c r="E345" s="221" t="str">
        <f>IF(ISBLANK(A345),"",SUMIF(RawTotals!A$2:A1000, A345, RawTotals!C$2:C1000) + SUMIF(RawTotals!A$2:A1000, A345, RawTotals!L$2:L1000))</f>
        <v/>
      </c>
      <c r="F345" s="225" t="str">
        <f>IFERROR(__xludf.DUMMYFUNCTION("IFERROR(FILTER('Pit Scouting Responses'!G:G,'Pit Scouting Responses'!C:C=A345),"""")"),"")</f>
        <v/>
      </c>
      <c r="G345" s="226" t="str">
        <f>IFERROR(__xludf.DUMMYFUNCTION("IFERROR(FILTER('Pit Scouting Responses'!D:D,'Pit Scouting Responses'!C:C=A345),"""")"),"")</f>
        <v/>
      </c>
      <c r="H345" s="223" t="str">
        <f>RawTotals!AI345</f>
        <v/>
      </c>
    </row>
    <row r="346">
      <c r="A346" s="224" t="str">
        <f>RawTotals!A346</f>
        <v/>
      </c>
      <c r="B346" s="75" t="str">
        <f>IFERROR(__xludf.DUMMYFUNCTION("IFERROR(FILTER('Pit Scouting Responses'!J:J,'Pit Scouting Responses'!C:C=A346),"""")"),"")</f>
        <v/>
      </c>
      <c r="C346" s="85" t="str">
        <f>IF(ISBLANK(A346),"",SUMIF(RawTotals!A$2:A1000, A346, RawTotals!O$2:O1000))</f>
        <v/>
      </c>
      <c r="D346" s="221" t="str">
        <f>IF(ISBLANK(A346),"",SUMIF(RawTotals!A$2:A1000, A346, RawTotals!D$2:D1000) + SUMIF(RawTotals!A$2:A1000, A346, RawTotals!M$2:M1000))</f>
        <v/>
      </c>
      <c r="E346" s="221" t="str">
        <f>IF(ISBLANK(A346),"",SUMIF(RawTotals!A$2:A1000, A346, RawTotals!C$2:C1000) + SUMIF(RawTotals!A$2:A1000, A346, RawTotals!L$2:L1000))</f>
        <v/>
      </c>
      <c r="F346" s="225" t="str">
        <f>IFERROR(__xludf.DUMMYFUNCTION("IFERROR(FILTER('Pit Scouting Responses'!G:G,'Pit Scouting Responses'!C:C=A346),"""")"),"")</f>
        <v/>
      </c>
      <c r="G346" s="226" t="str">
        <f>IFERROR(__xludf.DUMMYFUNCTION("IFERROR(FILTER('Pit Scouting Responses'!D:D,'Pit Scouting Responses'!C:C=A346),"""")"),"")</f>
        <v/>
      </c>
      <c r="H346" s="223" t="str">
        <f>RawTotals!AI346</f>
        <v/>
      </c>
    </row>
    <row r="347">
      <c r="A347" s="224" t="str">
        <f>RawTotals!A347</f>
        <v/>
      </c>
      <c r="B347" s="75" t="str">
        <f>IFERROR(__xludf.DUMMYFUNCTION("IFERROR(FILTER('Pit Scouting Responses'!J:J,'Pit Scouting Responses'!C:C=A347),"""")"),"")</f>
        <v/>
      </c>
      <c r="C347" s="85" t="str">
        <f>IF(ISBLANK(A347),"",SUMIF(RawTotals!A$2:A1000, A347, RawTotals!O$2:O1000))</f>
        <v/>
      </c>
      <c r="D347" s="221" t="str">
        <f>IF(ISBLANK(A347),"",SUMIF(RawTotals!A$2:A1000, A347, RawTotals!D$2:D1000) + SUMIF(RawTotals!A$2:A1000, A347, RawTotals!M$2:M1000))</f>
        <v/>
      </c>
      <c r="E347" s="221" t="str">
        <f>IF(ISBLANK(A347),"",SUMIF(RawTotals!A$2:A1000, A347, RawTotals!C$2:C1000) + SUMIF(RawTotals!A$2:A1000, A347, RawTotals!L$2:L1000))</f>
        <v/>
      </c>
      <c r="F347" s="225" t="str">
        <f>IFERROR(__xludf.DUMMYFUNCTION("IFERROR(FILTER('Pit Scouting Responses'!G:G,'Pit Scouting Responses'!C:C=A347),"""")"),"")</f>
        <v/>
      </c>
      <c r="G347" s="226" t="str">
        <f>IFERROR(__xludf.DUMMYFUNCTION("IFERROR(FILTER('Pit Scouting Responses'!D:D,'Pit Scouting Responses'!C:C=A347),"""")"),"")</f>
        <v/>
      </c>
      <c r="H347" s="223" t="str">
        <f>RawTotals!AI347</f>
        <v/>
      </c>
    </row>
    <row r="348">
      <c r="A348" s="224" t="str">
        <f>RawTotals!A348</f>
        <v/>
      </c>
      <c r="B348" s="75" t="str">
        <f>IFERROR(__xludf.DUMMYFUNCTION("IFERROR(FILTER('Pit Scouting Responses'!J:J,'Pit Scouting Responses'!C:C=A348),"""")"),"")</f>
        <v/>
      </c>
      <c r="C348" s="85" t="str">
        <f>IF(ISBLANK(A348),"",SUMIF(RawTotals!A$2:A1000, A348, RawTotals!O$2:O1000))</f>
        <v/>
      </c>
      <c r="D348" s="221" t="str">
        <f>IF(ISBLANK(A348),"",SUMIF(RawTotals!A$2:A1000, A348, RawTotals!D$2:D1000) + SUMIF(RawTotals!A$2:A1000, A348, RawTotals!M$2:M1000))</f>
        <v/>
      </c>
      <c r="E348" s="221" t="str">
        <f>IF(ISBLANK(A348),"",SUMIF(RawTotals!A$2:A1000, A348, RawTotals!C$2:C1000) + SUMIF(RawTotals!A$2:A1000, A348, RawTotals!L$2:L1000))</f>
        <v/>
      </c>
      <c r="F348" s="225" t="str">
        <f>IFERROR(__xludf.DUMMYFUNCTION("IFERROR(FILTER('Pit Scouting Responses'!G:G,'Pit Scouting Responses'!C:C=A348),"""")"),"")</f>
        <v/>
      </c>
      <c r="G348" s="226" t="str">
        <f>IFERROR(__xludf.DUMMYFUNCTION("IFERROR(FILTER('Pit Scouting Responses'!D:D,'Pit Scouting Responses'!C:C=A348),"""")"),"")</f>
        <v/>
      </c>
      <c r="H348" s="223" t="str">
        <f>RawTotals!AI348</f>
        <v/>
      </c>
    </row>
    <row r="349">
      <c r="A349" s="224" t="str">
        <f>RawTotals!A349</f>
        <v/>
      </c>
      <c r="B349" s="75" t="str">
        <f>IFERROR(__xludf.DUMMYFUNCTION("IFERROR(FILTER('Pit Scouting Responses'!J:J,'Pit Scouting Responses'!C:C=A349),"""")"),"")</f>
        <v/>
      </c>
      <c r="C349" s="85" t="str">
        <f>IF(ISBLANK(A349),"",SUMIF(RawTotals!A$2:A1000, A349, RawTotals!O$2:O1000))</f>
        <v/>
      </c>
      <c r="D349" s="221" t="str">
        <f>IF(ISBLANK(A349),"",SUMIF(RawTotals!A$2:A1000, A349, RawTotals!D$2:D1000) + SUMIF(RawTotals!A$2:A1000, A349, RawTotals!M$2:M1000))</f>
        <v/>
      </c>
      <c r="E349" s="221" t="str">
        <f>IF(ISBLANK(A349),"",SUMIF(RawTotals!A$2:A1000, A349, RawTotals!C$2:C1000) + SUMIF(RawTotals!A$2:A1000, A349, RawTotals!L$2:L1000))</f>
        <v/>
      </c>
      <c r="F349" s="225" t="str">
        <f>IFERROR(__xludf.DUMMYFUNCTION("IFERROR(FILTER('Pit Scouting Responses'!G:G,'Pit Scouting Responses'!C:C=A349),"""")"),"")</f>
        <v/>
      </c>
      <c r="G349" s="226" t="str">
        <f>IFERROR(__xludf.DUMMYFUNCTION("IFERROR(FILTER('Pit Scouting Responses'!D:D,'Pit Scouting Responses'!C:C=A349),"""")"),"")</f>
        <v/>
      </c>
      <c r="H349" s="223" t="str">
        <f>RawTotals!AI349</f>
        <v/>
      </c>
    </row>
    <row r="350">
      <c r="A350" s="224" t="str">
        <f>RawTotals!A350</f>
        <v/>
      </c>
      <c r="B350" s="75" t="str">
        <f>IFERROR(__xludf.DUMMYFUNCTION("IFERROR(FILTER('Pit Scouting Responses'!J:J,'Pit Scouting Responses'!C:C=A350),"""")"),"")</f>
        <v/>
      </c>
      <c r="C350" s="85" t="str">
        <f>IF(ISBLANK(A350),"",SUMIF(RawTotals!A$2:A1000, A350, RawTotals!O$2:O1000))</f>
        <v/>
      </c>
      <c r="D350" s="221" t="str">
        <f>IF(ISBLANK(A350),"",SUMIF(RawTotals!A$2:A1000, A350, RawTotals!D$2:D1000) + SUMIF(RawTotals!A$2:A1000, A350, RawTotals!M$2:M1000))</f>
        <v/>
      </c>
      <c r="E350" s="221" t="str">
        <f>IF(ISBLANK(A350),"",SUMIF(RawTotals!A$2:A1000, A350, RawTotals!C$2:C1000) + SUMIF(RawTotals!A$2:A1000, A350, RawTotals!L$2:L1000))</f>
        <v/>
      </c>
      <c r="F350" s="225" t="str">
        <f>IFERROR(__xludf.DUMMYFUNCTION("IFERROR(FILTER('Pit Scouting Responses'!G:G,'Pit Scouting Responses'!C:C=A350),"""")"),"")</f>
        <v/>
      </c>
      <c r="G350" s="226" t="str">
        <f>IFERROR(__xludf.DUMMYFUNCTION("IFERROR(FILTER('Pit Scouting Responses'!D:D,'Pit Scouting Responses'!C:C=A350),"""")"),"")</f>
        <v/>
      </c>
      <c r="H350" s="223" t="str">
        <f>RawTotals!AI350</f>
        <v/>
      </c>
    </row>
    <row r="351">
      <c r="A351" s="224" t="str">
        <f>RawTotals!A351</f>
        <v/>
      </c>
      <c r="B351" s="75" t="str">
        <f>IFERROR(__xludf.DUMMYFUNCTION("IFERROR(FILTER('Pit Scouting Responses'!J:J,'Pit Scouting Responses'!C:C=A351),"""")"),"")</f>
        <v/>
      </c>
      <c r="C351" s="85" t="str">
        <f>IF(ISBLANK(A351),"",SUMIF(RawTotals!A$2:A1000, A351, RawTotals!O$2:O1000))</f>
        <v/>
      </c>
      <c r="D351" s="221" t="str">
        <f>IF(ISBLANK(A351),"",SUMIF(RawTotals!A$2:A1000, A351, RawTotals!D$2:D1000) + SUMIF(RawTotals!A$2:A1000, A351, RawTotals!M$2:M1000))</f>
        <v/>
      </c>
      <c r="E351" s="221" t="str">
        <f>IF(ISBLANK(A351),"",SUMIF(RawTotals!A$2:A1000, A351, RawTotals!C$2:C1000) + SUMIF(RawTotals!A$2:A1000, A351, RawTotals!L$2:L1000))</f>
        <v/>
      </c>
      <c r="F351" s="225" t="str">
        <f>IFERROR(__xludf.DUMMYFUNCTION("IFERROR(FILTER('Pit Scouting Responses'!G:G,'Pit Scouting Responses'!C:C=A351),"""")"),"")</f>
        <v/>
      </c>
      <c r="G351" s="226" t="str">
        <f>IFERROR(__xludf.DUMMYFUNCTION("IFERROR(FILTER('Pit Scouting Responses'!D:D,'Pit Scouting Responses'!C:C=A351),"""")"),"")</f>
        <v/>
      </c>
      <c r="H351" s="223" t="str">
        <f>RawTotals!AI351</f>
        <v/>
      </c>
    </row>
    <row r="352">
      <c r="A352" s="224" t="str">
        <f>RawTotals!A352</f>
        <v/>
      </c>
      <c r="B352" s="75" t="str">
        <f>IFERROR(__xludf.DUMMYFUNCTION("IFERROR(FILTER('Pit Scouting Responses'!J:J,'Pit Scouting Responses'!C:C=A352),"""")"),"")</f>
        <v/>
      </c>
      <c r="C352" s="85" t="str">
        <f>IF(ISBLANK(A352),"",SUMIF(RawTotals!A$2:A1000, A352, RawTotals!O$2:O1000))</f>
        <v/>
      </c>
      <c r="D352" s="221" t="str">
        <f>IF(ISBLANK(A352),"",SUMIF(RawTotals!A$2:A1000, A352, RawTotals!D$2:D1000) + SUMIF(RawTotals!A$2:A1000, A352, RawTotals!M$2:M1000))</f>
        <v/>
      </c>
      <c r="E352" s="221" t="str">
        <f>IF(ISBLANK(A352),"",SUMIF(RawTotals!A$2:A1000, A352, RawTotals!C$2:C1000) + SUMIF(RawTotals!A$2:A1000, A352, RawTotals!L$2:L1000))</f>
        <v/>
      </c>
      <c r="F352" s="225" t="str">
        <f>IFERROR(__xludf.DUMMYFUNCTION("IFERROR(FILTER('Pit Scouting Responses'!G:G,'Pit Scouting Responses'!C:C=A352),"""")"),"")</f>
        <v/>
      </c>
      <c r="G352" s="226" t="str">
        <f>IFERROR(__xludf.DUMMYFUNCTION("IFERROR(FILTER('Pit Scouting Responses'!D:D,'Pit Scouting Responses'!C:C=A352),"""")"),"")</f>
        <v/>
      </c>
      <c r="H352" s="223" t="str">
        <f>RawTotals!AI352</f>
        <v/>
      </c>
    </row>
    <row r="353">
      <c r="A353" s="224" t="str">
        <f>RawTotals!A353</f>
        <v/>
      </c>
      <c r="B353" s="75" t="str">
        <f>IFERROR(__xludf.DUMMYFUNCTION("IFERROR(FILTER('Pit Scouting Responses'!J:J,'Pit Scouting Responses'!C:C=A353),"""")"),"")</f>
        <v/>
      </c>
      <c r="C353" s="85" t="str">
        <f>IF(ISBLANK(A353),"",SUMIF(RawTotals!A$2:A1000, A353, RawTotals!O$2:O1000))</f>
        <v/>
      </c>
      <c r="D353" s="221" t="str">
        <f>IF(ISBLANK(A353),"",SUMIF(RawTotals!A$2:A1000, A353, RawTotals!D$2:D1000) + SUMIF(RawTotals!A$2:A1000, A353, RawTotals!M$2:M1000))</f>
        <v/>
      </c>
      <c r="E353" s="221" t="str">
        <f>IF(ISBLANK(A353),"",SUMIF(RawTotals!A$2:A1000, A353, RawTotals!C$2:C1000) + SUMIF(RawTotals!A$2:A1000, A353, RawTotals!L$2:L1000))</f>
        <v/>
      </c>
      <c r="F353" s="225" t="str">
        <f>IFERROR(__xludf.DUMMYFUNCTION("IFERROR(FILTER('Pit Scouting Responses'!G:G,'Pit Scouting Responses'!C:C=A353),"""")"),"")</f>
        <v/>
      </c>
      <c r="G353" s="226" t="str">
        <f>IFERROR(__xludf.DUMMYFUNCTION("IFERROR(FILTER('Pit Scouting Responses'!D:D,'Pit Scouting Responses'!C:C=A353),"""")"),"")</f>
        <v/>
      </c>
      <c r="H353" s="223" t="str">
        <f>RawTotals!AI353</f>
        <v/>
      </c>
    </row>
    <row r="354">
      <c r="A354" s="224" t="str">
        <f>RawTotals!A354</f>
        <v/>
      </c>
      <c r="B354" s="75" t="str">
        <f>IFERROR(__xludf.DUMMYFUNCTION("IFERROR(FILTER('Pit Scouting Responses'!J:J,'Pit Scouting Responses'!C:C=A354),"""")"),"")</f>
        <v/>
      </c>
      <c r="C354" s="85" t="str">
        <f>IF(ISBLANK(A354),"",SUMIF(RawTotals!A$2:A1000, A354, RawTotals!O$2:O1000))</f>
        <v/>
      </c>
      <c r="D354" s="221" t="str">
        <f>IF(ISBLANK(A354),"",SUMIF(RawTotals!A$2:A1000, A354, RawTotals!D$2:D1000) + SUMIF(RawTotals!A$2:A1000, A354, RawTotals!M$2:M1000))</f>
        <v/>
      </c>
      <c r="E354" s="221" t="str">
        <f>IF(ISBLANK(A354),"",SUMIF(RawTotals!A$2:A1000, A354, RawTotals!C$2:C1000) + SUMIF(RawTotals!A$2:A1000, A354, RawTotals!L$2:L1000))</f>
        <v/>
      </c>
      <c r="F354" s="225" t="str">
        <f>IFERROR(__xludf.DUMMYFUNCTION("IFERROR(FILTER('Pit Scouting Responses'!G:G,'Pit Scouting Responses'!C:C=A354),"""")"),"")</f>
        <v/>
      </c>
      <c r="G354" s="226" t="str">
        <f>IFERROR(__xludf.DUMMYFUNCTION("IFERROR(FILTER('Pit Scouting Responses'!D:D,'Pit Scouting Responses'!C:C=A354),"""")"),"")</f>
        <v/>
      </c>
      <c r="H354" s="223" t="str">
        <f>RawTotals!AI354</f>
        <v/>
      </c>
    </row>
    <row r="355">
      <c r="A355" s="224" t="str">
        <f>RawTotals!A355</f>
        <v/>
      </c>
      <c r="B355" s="75" t="str">
        <f>IFERROR(__xludf.DUMMYFUNCTION("IFERROR(FILTER('Pit Scouting Responses'!J:J,'Pit Scouting Responses'!C:C=A355),"""")"),"")</f>
        <v/>
      </c>
      <c r="C355" s="85" t="str">
        <f>IF(ISBLANK(A355),"",SUMIF(RawTotals!A$2:A1000, A355, RawTotals!O$2:O1000))</f>
        <v/>
      </c>
      <c r="D355" s="221" t="str">
        <f>IF(ISBLANK(A355),"",SUMIF(RawTotals!A$2:A1000, A355, RawTotals!D$2:D1000) + SUMIF(RawTotals!A$2:A1000, A355, RawTotals!M$2:M1000))</f>
        <v/>
      </c>
      <c r="E355" s="221" t="str">
        <f>IF(ISBLANK(A355),"",SUMIF(RawTotals!A$2:A1000, A355, RawTotals!C$2:C1000) + SUMIF(RawTotals!A$2:A1000, A355, RawTotals!L$2:L1000))</f>
        <v/>
      </c>
      <c r="F355" s="225" t="str">
        <f>IFERROR(__xludf.DUMMYFUNCTION("IFERROR(FILTER('Pit Scouting Responses'!G:G,'Pit Scouting Responses'!C:C=A355),"""")"),"")</f>
        <v/>
      </c>
      <c r="G355" s="226" t="str">
        <f>IFERROR(__xludf.DUMMYFUNCTION("IFERROR(FILTER('Pit Scouting Responses'!D:D,'Pit Scouting Responses'!C:C=A355),"""")"),"")</f>
        <v/>
      </c>
      <c r="H355" s="223" t="str">
        <f>RawTotals!AI355</f>
        <v/>
      </c>
    </row>
    <row r="356">
      <c r="A356" s="224" t="str">
        <f>RawTotals!A356</f>
        <v/>
      </c>
      <c r="B356" s="75" t="str">
        <f>IFERROR(__xludf.DUMMYFUNCTION("IFERROR(FILTER('Pit Scouting Responses'!J:J,'Pit Scouting Responses'!C:C=A356),"""")"),"")</f>
        <v/>
      </c>
      <c r="C356" s="85" t="str">
        <f>IF(ISBLANK(A356),"",SUMIF(RawTotals!A$2:A1000, A356, RawTotals!O$2:O1000))</f>
        <v/>
      </c>
      <c r="D356" s="221" t="str">
        <f>IF(ISBLANK(A356),"",SUMIF(RawTotals!A$2:A1000, A356, RawTotals!D$2:D1000) + SUMIF(RawTotals!A$2:A1000, A356, RawTotals!M$2:M1000))</f>
        <v/>
      </c>
      <c r="E356" s="221" t="str">
        <f>IF(ISBLANK(A356),"",SUMIF(RawTotals!A$2:A1000, A356, RawTotals!C$2:C1000) + SUMIF(RawTotals!A$2:A1000, A356, RawTotals!L$2:L1000))</f>
        <v/>
      </c>
      <c r="F356" s="225" t="str">
        <f>IFERROR(__xludf.DUMMYFUNCTION("IFERROR(FILTER('Pit Scouting Responses'!G:G,'Pit Scouting Responses'!C:C=A356),"""")"),"")</f>
        <v/>
      </c>
      <c r="G356" s="226" t="str">
        <f>IFERROR(__xludf.DUMMYFUNCTION("IFERROR(FILTER('Pit Scouting Responses'!D:D,'Pit Scouting Responses'!C:C=A356),"""")"),"")</f>
        <v/>
      </c>
      <c r="H356" s="223" t="str">
        <f>RawTotals!AI356</f>
        <v/>
      </c>
    </row>
    <row r="357">
      <c r="A357" s="224" t="str">
        <f>RawTotals!A357</f>
        <v/>
      </c>
      <c r="B357" s="75" t="str">
        <f>IFERROR(__xludf.DUMMYFUNCTION("IFERROR(FILTER('Pit Scouting Responses'!J:J,'Pit Scouting Responses'!C:C=A357),"""")"),"")</f>
        <v/>
      </c>
      <c r="C357" s="85" t="str">
        <f>IF(ISBLANK(A357),"",SUMIF(RawTotals!A$2:A1000, A357, RawTotals!O$2:O1000))</f>
        <v/>
      </c>
      <c r="D357" s="221" t="str">
        <f>IF(ISBLANK(A357),"",SUMIF(RawTotals!A$2:A1000, A357, RawTotals!D$2:D1000) + SUMIF(RawTotals!A$2:A1000, A357, RawTotals!M$2:M1000))</f>
        <v/>
      </c>
      <c r="E357" s="221" t="str">
        <f>IF(ISBLANK(A357),"",SUMIF(RawTotals!A$2:A1000, A357, RawTotals!C$2:C1000) + SUMIF(RawTotals!A$2:A1000, A357, RawTotals!L$2:L1000))</f>
        <v/>
      </c>
      <c r="F357" s="225" t="str">
        <f>IFERROR(__xludf.DUMMYFUNCTION("IFERROR(FILTER('Pit Scouting Responses'!G:G,'Pit Scouting Responses'!C:C=A357),"""")"),"")</f>
        <v/>
      </c>
      <c r="G357" s="226" t="str">
        <f>IFERROR(__xludf.DUMMYFUNCTION("IFERROR(FILTER('Pit Scouting Responses'!D:D,'Pit Scouting Responses'!C:C=A357),"""")"),"")</f>
        <v/>
      </c>
      <c r="H357" s="223" t="str">
        <f>RawTotals!AI357</f>
        <v/>
      </c>
    </row>
    <row r="358">
      <c r="A358" s="224" t="str">
        <f>RawTotals!A358</f>
        <v/>
      </c>
      <c r="B358" s="75" t="str">
        <f>IFERROR(__xludf.DUMMYFUNCTION("IFERROR(FILTER('Pit Scouting Responses'!J:J,'Pit Scouting Responses'!C:C=A358),"""")"),"")</f>
        <v/>
      </c>
      <c r="C358" s="85" t="str">
        <f>IF(ISBLANK(A358),"",SUMIF(RawTotals!A$2:A1000, A358, RawTotals!O$2:O1000))</f>
        <v/>
      </c>
      <c r="D358" s="221" t="str">
        <f>IF(ISBLANK(A358),"",SUMIF(RawTotals!A$2:A1000, A358, RawTotals!D$2:D1000) + SUMIF(RawTotals!A$2:A1000, A358, RawTotals!M$2:M1000))</f>
        <v/>
      </c>
      <c r="E358" s="221" t="str">
        <f>IF(ISBLANK(A358),"",SUMIF(RawTotals!A$2:A1000, A358, RawTotals!C$2:C1000) + SUMIF(RawTotals!A$2:A1000, A358, RawTotals!L$2:L1000))</f>
        <v/>
      </c>
      <c r="F358" s="225" t="str">
        <f>IFERROR(__xludf.DUMMYFUNCTION("IFERROR(FILTER('Pit Scouting Responses'!G:G,'Pit Scouting Responses'!C:C=A358),"""")"),"")</f>
        <v/>
      </c>
      <c r="G358" s="226" t="str">
        <f>IFERROR(__xludf.DUMMYFUNCTION("IFERROR(FILTER('Pit Scouting Responses'!D:D,'Pit Scouting Responses'!C:C=A358),"""")"),"")</f>
        <v/>
      </c>
      <c r="H358" s="223" t="str">
        <f>RawTotals!AI358</f>
        <v/>
      </c>
    </row>
    <row r="359">
      <c r="A359" s="224" t="str">
        <f>RawTotals!A359</f>
        <v/>
      </c>
      <c r="B359" s="75" t="str">
        <f>IFERROR(__xludf.DUMMYFUNCTION("IFERROR(FILTER('Pit Scouting Responses'!J:J,'Pit Scouting Responses'!C:C=A359),"""")"),"")</f>
        <v/>
      </c>
      <c r="C359" s="85" t="str">
        <f>IF(ISBLANK(A359),"",SUMIF(RawTotals!A$2:A1000, A359, RawTotals!O$2:O1000))</f>
        <v/>
      </c>
      <c r="D359" s="221" t="str">
        <f>IF(ISBLANK(A359),"",SUMIF(RawTotals!A$2:A1000, A359, RawTotals!D$2:D1000) + SUMIF(RawTotals!A$2:A1000, A359, RawTotals!M$2:M1000))</f>
        <v/>
      </c>
      <c r="E359" s="221" t="str">
        <f>IF(ISBLANK(A359),"",SUMIF(RawTotals!A$2:A1000, A359, RawTotals!C$2:C1000) + SUMIF(RawTotals!A$2:A1000, A359, RawTotals!L$2:L1000))</f>
        <v/>
      </c>
      <c r="F359" s="225" t="str">
        <f>IFERROR(__xludf.DUMMYFUNCTION("IFERROR(FILTER('Pit Scouting Responses'!G:G,'Pit Scouting Responses'!C:C=A359),"""")"),"")</f>
        <v/>
      </c>
      <c r="G359" s="226" t="str">
        <f>IFERROR(__xludf.DUMMYFUNCTION("IFERROR(FILTER('Pit Scouting Responses'!D:D,'Pit Scouting Responses'!C:C=A359),"""")"),"")</f>
        <v/>
      </c>
      <c r="H359" s="223" t="str">
        <f>RawTotals!AI359</f>
        <v/>
      </c>
    </row>
    <row r="360">
      <c r="A360" s="224" t="str">
        <f>RawTotals!A360</f>
        <v/>
      </c>
      <c r="B360" s="75" t="str">
        <f>IFERROR(__xludf.DUMMYFUNCTION("IFERROR(FILTER('Pit Scouting Responses'!J:J,'Pit Scouting Responses'!C:C=A360),"""")"),"")</f>
        <v/>
      </c>
      <c r="C360" s="85" t="str">
        <f>IF(ISBLANK(A360),"",SUMIF(RawTotals!A$2:A1000, A360, RawTotals!O$2:O1000))</f>
        <v/>
      </c>
      <c r="D360" s="221" t="str">
        <f>IF(ISBLANK(A360),"",SUMIF(RawTotals!A$2:A1000, A360, RawTotals!D$2:D1000) + SUMIF(RawTotals!A$2:A1000, A360, RawTotals!M$2:M1000))</f>
        <v/>
      </c>
      <c r="E360" s="221" t="str">
        <f>IF(ISBLANK(A360),"",SUMIF(RawTotals!A$2:A1000, A360, RawTotals!C$2:C1000) + SUMIF(RawTotals!A$2:A1000, A360, RawTotals!L$2:L1000))</f>
        <v/>
      </c>
      <c r="F360" s="225" t="str">
        <f>IFERROR(__xludf.DUMMYFUNCTION("IFERROR(FILTER('Pit Scouting Responses'!G:G,'Pit Scouting Responses'!C:C=A360),"""")"),"")</f>
        <v/>
      </c>
      <c r="G360" s="226" t="str">
        <f>IFERROR(__xludf.DUMMYFUNCTION("IFERROR(FILTER('Pit Scouting Responses'!D:D,'Pit Scouting Responses'!C:C=A360),"""")"),"")</f>
        <v/>
      </c>
      <c r="H360" s="223" t="str">
        <f>RawTotals!AI360</f>
        <v/>
      </c>
    </row>
    <row r="361">
      <c r="A361" s="224" t="str">
        <f>RawTotals!A361</f>
        <v/>
      </c>
      <c r="B361" s="75" t="str">
        <f>IFERROR(__xludf.DUMMYFUNCTION("IFERROR(FILTER('Pit Scouting Responses'!J:J,'Pit Scouting Responses'!C:C=A361),"""")"),"")</f>
        <v/>
      </c>
      <c r="C361" s="85" t="str">
        <f>IF(ISBLANK(A361),"",SUMIF(RawTotals!A$2:A1000, A361, RawTotals!O$2:O1000))</f>
        <v/>
      </c>
      <c r="D361" s="221" t="str">
        <f>IF(ISBLANK(A361),"",SUMIF(RawTotals!A$2:A1000, A361, RawTotals!D$2:D1000) + SUMIF(RawTotals!A$2:A1000, A361, RawTotals!M$2:M1000))</f>
        <v/>
      </c>
      <c r="E361" s="221" t="str">
        <f>IF(ISBLANK(A361),"",SUMIF(RawTotals!A$2:A1000, A361, RawTotals!C$2:C1000) + SUMIF(RawTotals!A$2:A1000, A361, RawTotals!L$2:L1000))</f>
        <v/>
      </c>
      <c r="F361" s="225" t="str">
        <f>IFERROR(__xludf.DUMMYFUNCTION("IFERROR(FILTER('Pit Scouting Responses'!G:G,'Pit Scouting Responses'!C:C=A361),"""")"),"")</f>
        <v/>
      </c>
      <c r="G361" s="226" t="str">
        <f>IFERROR(__xludf.DUMMYFUNCTION("IFERROR(FILTER('Pit Scouting Responses'!D:D,'Pit Scouting Responses'!C:C=A361),"""")"),"")</f>
        <v/>
      </c>
      <c r="H361" s="223" t="str">
        <f>RawTotals!AI361</f>
        <v/>
      </c>
    </row>
    <row r="362">
      <c r="A362" s="224" t="str">
        <f>RawTotals!A362</f>
        <v/>
      </c>
      <c r="B362" s="75" t="str">
        <f>IFERROR(__xludf.DUMMYFUNCTION("IFERROR(FILTER('Pit Scouting Responses'!J:J,'Pit Scouting Responses'!C:C=A362),"""")"),"")</f>
        <v/>
      </c>
      <c r="C362" s="85" t="str">
        <f>IF(ISBLANK(A362),"",SUMIF(RawTotals!A$2:A1000, A362, RawTotals!O$2:O1000))</f>
        <v/>
      </c>
      <c r="D362" s="221" t="str">
        <f>IF(ISBLANK(A362),"",SUMIF(RawTotals!A$2:A1000, A362, RawTotals!D$2:D1000) + SUMIF(RawTotals!A$2:A1000, A362, RawTotals!M$2:M1000))</f>
        <v/>
      </c>
      <c r="E362" s="221" t="str">
        <f>IF(ISBLANK(A362),"",SUMIF(RawTotals!A$2:A1000, A362, RawTotals!C$2:C1000) + SUMIF(RawTotals!A$2:A1000, A362, RawTotals!L$2:L1000))</f>
        <v/>
      </c>
      <c r="F362" s="225" t="str">
        <f>IFERROR(__xludf.DUMMYFUNCTION("IFERROR(FILTER('Pit Scouting Responses'!G:G,'Pit Scouting Responses'!C:C=A362),"""")"),"")</f>
        <v/>
      </c>
      <c r="G362" s="226" t="str">
        <f>IFERROR(__xludf.DUMMYFUNCTION("IFERROR(FILTER('Pit Scouting Responses'!D:D,'Pit Scouting Responses'!C:C=A362),"""")"),"")</f>
        <v/>
      </c>
      <c r="H362" s="223" t="str">
        <f>RawTotals!AI362</f>
        <v/>
      </c>
    </row>
    <row r="363">
      <c r="A363" s="224" t="str">
        <f>RawTotals!A363</f>
        <v/>
      </c>
      <c r="B363" s="75" t="str">
        <f>IFERROR(__xludf.DUMMYFUNCTION("IFERROR(FILTER('Pit Scouting Responses'!J:J,'Pit Scouting Responses'!C:C=A363),"""")"),"")</f>
        <v/>
      </c>
      <c r="C363" s="85" t="str">
        <f>IF(ISBLANK(A363),"",SUMIF(RawTotals!A$2:A1000, A363, RawTotals!O$2:O1000))</f>
        <v/>
      </c>
      <c r="D363" s="221" t="str">
        <f>IF(ISBLANK(A363),"",SUMIF(RawTotals!A$2:A1000, A363, RawTotals!D$2:D1000) + SUMIF(RawTotals!A$2:A1000, A363, RawTotals!M$2:M1000))</f>
        <v/>
      </c>
      <c r="E363" s="221" t="str">
        <f>IF(ISBLANK(A363),"",SUMIF(RawTotals!A$2:A1000, A363, RawTotals!C$2:C1000) + SUMIF(RawTotals!A$2:A1000, A363, RawTotals!L$2:L1000))</f>
        <v/>
      </c>
      <c r="F363" s="225" t="str">
        <f>IFERROR(__xludf.DUMMYFUNCTION("IFERROR(FILTER('Pit Scouting Responses'!G:G,'Pit Scouting Responses'!C:C=A363),"""")"),"")</f>
        <v/>
      </c>
      <c r="G363" s="226" t="str">
        <f>IFERROR(__xludf.DUMMYFUNCTION("IFERROR(FILTER('Pit Scouting Responses'!D:D,'Pit Scouting Responses'!C:C=A363),"""")"),"")</f>
        <v/>
      </c>
      <c r="H363" s="223" t="str">
        <f>RawTotals!AI363</f>
        <v/>
      </c>
    </row>
    <row r="364">
      <c r="A364" s="224" t="str">
        <f>RawTotals!A364</f>
        <v/>
      </c>
      <c r="B364" s="75" t="str">
        <f>IFERROR(__xludf.DUMMYFUNCTION("IFERROR(FILTER('Pit Scouting Responses'!J:J,'Pit Scouting Responses'!C:C=A364),"""")"),"")</f>
        <v/>
      </c>
      <c r="C364" s="85" t="str">
        <f>IF(ISBLANK(A364),"",SUMIF(RawTotals!A$2:A1000, A364, RawTotals!O$2:O1000))</f>
        <v/>
      </c>
      <c r="D364" s="221" t="str">
        <f>IF(ISBLANK(A364),"",SUMIF(RawTotals!A$2:A1000, A364, RawTotals!D$2:D1000) + SUMIF(RawTotals!A$2:A1000, A364, RawTotals!M$2:M1000))</f>
        <v/>
      </c>
      <c r="E364" s="221" t="str">
        <f>IF(ISBLANK(A364),"",SUMIF(RawTotals!A$2:A1000, A364, RawTotals!C$2:C1000) + SUMIF(RawTotals!A$2:A1000, A364, RawTotals!L$2:L1000))</f>
        <v/>
      </c>
      <c r="F364" s="225" t="str">
        <f>IFERROR(__xludf.DUMMYFUNCTION("IFERROR(FILTER('Pit Scouting Responses'!G:G,'Pit Scouting Responses'!C:C=A364),"""")"),"")</f>
        <v/>
      </c>
      <c r="G364" s="226" t="str">
        <f>IFERROR(__xludf.DUMMYFUNCTION("IFERROR(FILTER('Pit Scouting Responses'!D:D,'Pit Scouting Responses'!C:C=A364),"""")"),"")</f>
        <v/>
      </c>
      <c r="H364" s="223" t="str">
        <f>RawTotals!AI364</f>
        <v/>
      </c>
    </row>
    <row r="365">
      <c r="A365" s="224" t="str">
        <f>RawTotals!A365</f>
        <v/>
      </c>
      <c r="B365" s="75" t="str">
        <f>IFERROR(__xludf.DUMMYFUNCTION("IFERROR(FILTER('Pit Scouting Responses'!J:J,'Pit Scouting Responses'!C:C=A365),"""")"),"")</f>
        <v/>
      </c>
      <c r="C365" s="85" t="str">
        <f>IF(ISBLANK(A365),"",SUMIF(RawTotals!A$2:A1000, A365, RawTotals!O$2:O1000))</f>
        <v/>
      </c>
      <c r="D365" s="221" t="str">
        <f>IF(ISBLANK(A365),"",SUMIF(RawTotals!A$2:A1000, A365, RawTotals!D$2:D1000) + SUMIF(RawTotals!A$2:A1000, A365, RawTotals!M$2:M1000))</f>
        <v/>
      </c>
      <c r="E365" s="221" t="str">
        <f>IF(ISBLANK(A365),"",SUMIF(RawTotals!A$2:A1000, A365, RawTotals!C$2:C1000) + SUMIF(RawTotals!A$2:A1000, A365, RawTotals!L$2:L1000))</f>
        <v/>
      </c>
      <c r="F365" s="225" t="str">
        <f>IFERROR(__xludf.DUMMYFUNCTION("IFERROR(FILTER('Pit Scouting Responses'!G:G,'Pit Scouting Responses'!C:C=A365),"""")"),"")</f>
        <v/>
      </c>
      <c r="G365" s="226" t="str">
        <f>IFERROR(__xludf.DUMMYFUNCTION("IFERROR(FILTER('Pit Scouting Responses'!D:D,'Pit Scouting Responses'!C:C=A365),"""")"),"")</f>
        <v/>
      </c>
      <c r="H365" s="223" t="str">
        <f>RawTotals!AI365</f>
        <v/>
      </c>
    </row>
    <row r="366">
      <c r="A366" s="224" t="str">
        <f>RawTotals!A366</f>
        <v/>
      </c>
      <c r="B366" s="75" t="str">
        <f>IFERROR(__xludf.DUMMYFUNCTION("IFERROR(FILTER('Pit Scouting Responses'!J:J,'Pit Scouting Responses'!C:C=A366),"""")"),"")</f>
        <v/>
      </c>
      <c r="C366" s="85" t="str">
        <f>IF(ISBLANK(A366),"",SUMIF(RawTotals!A$2:A1000, A366, RawTotals!O$2:O1000))</f>
        <v/>
      </c>
      <c r="D366" s="221" t="str">
        <f>IF(ISBLANK(A366),"",SUMIF(RawTotals!A$2:A1000, A366, RawTotals!D$2:D1000) + SUMIF(RawTotals!A$2:A1000, A366, RawTotals!M$2:M1000))</f>
        <v/>
      </c>
      <c r="E366" s="221" t="str">
        <f>IF(ISBLANK(A366),"",SUMIF(RawTotals!A$2:A1000, A366, RawTotals!C$2:C1000) + SUMIF(RawTotals!A$2:A1000, A366, RawTotals!L$2:L1000))</f>
        <v/>
      </c>
      <c r="F366" s="225" t="str">
        <f>IFERROR(__xludf.DUMMYFUNCTION("IFERROR(FILTER('Pit Scouting Responses'!G:G,'Pit Scouting Responses'!C:C=A366),"""")"),"")</f>
        <v/>
      </c>
      <c r="G366" s="226" t="str">
        <f>IFERROR(__xludf.DUMMYFUNCTION("IFERROR(FILTER('Pit Scouting Responses'!D:D,'Pit Scouting Responses'!C:C=A366),"""")"),"")</f>
        <v/>
      </c>
      <c r="H366" s="223" t="str">
        <f>RawTotals!AI366</f>
        <v/>
      </c>
    </row>
    <row r="367">
      <c r="A367" s="224" t="str">
        <f>RawTotals!A367</f>
        <v/>
      </c>
      <c r="B367" s="75" t="str">
        <f>IFERROR(__xludf.DUMMYFUNCTION("IFERROR(FILTER('Pit Scouting Responses'!J:J,'Pit Scouting Responses'!C:C=A367),"""")"),"")</f>
        <v/>
      </c>
      <c r="C367" s="85" t="str">
        <f>IF(ISBLANK(A367),"",SUMIF(RawTotals!A$2:A1000, A367, RawTotals!O$2:O1000))</f>
        <v/>
      </c>
      <c r="D367" s="221" t="str">
        <f>IF(ISBLANK(A367),"",SUMIF(RawTotals!A$2:A1000, A367, RawTotals!D$2:D1000) + SUMIF(RawTotals!A$2:A1000, A367, RawTotals!M$2:M1000))</f>
        <v/>
      </c>
      <c r="E367" s="221" t="str">
        <f>IF(ISBLANK(A367),"",SUMIF(RawTotals!A$2:A1000, A367, RawTotals!C$2:C1000) + SUMIF(RawTotals!A$2:A1000, A367, RawTotals!L$2:L1000))</f>
        <v/>
      </c>
      <c r="F367" s="225" t="str">
        <f>IFERROR(__xludf.DUMMYFUNCTION("IFERROR(FILTER('Pit Scouting Responses'!G:G,'Pit Scouting Responses'!C:C=A367),"""")"),"")</f>
        <v/>
      </c>
      <c r="G367" s="226" t="str">
        <f>IFERROR(__xludf.DUMMYFUNCTION("IFERROR(FILTER('Pit Scouting Responses'!D:D,'Pit Scouting Responses'!C:C=A367),"""")"),"")</f>
        <v/>
      </c>
      <c r="H367" s="223" t="str">
        <f>RawTotals!AI367</f>
        <v/>
      </c>
    </row>
    <row r="368">
      <c r="A368" s="224" t="str">
        <f>RawTotals!A368</f>
        <v/>
      </c>
      <c r="B368" s="75" t="str">
        <f>IFERROR(__xludf.DUMMYFUNCTION("IFERROR(FILTER('Pit Scouting Responses'!J:J,'Pit Scouting Responses'!C:C=A368),"""")"),"")</f>
        <v/>
      </c>
      <c r="C368" s="85" t="str">
        <f>IF(ISBLANK(A368),"",SUMIF(RawTotals!A$2:A1000, A368, RawTotals!O$2:O1000))</f>
        <v/>
      </c>
      <c r="D368" s="221" t="str">
        <f>IF(ISBLANK(A368),"",SUMIF(RawTotals!A$2:A1000, A368, RawTotals!D$2:D1000) + SUMIF(RawTotals!A$2:A1000, A368, RawTotals!M$2:M1000))</f>
        <v/>
      </c>
      <c r="E368" s="221" t="str">
        <f>IF(ISBLANK(A368),"",SUMIF(RawTotals!A$2:A1000, A368, RawTotals!C$2:C1000) + SUMIF(RawTotals!A$2:A1000, A368, RawTotals!L$2:L1000))</f>
        <v/>
      </c>
      <c r="F368" s="225" t="str">
        <f>IFERROR(__xludf.DUMMYFUNCTION("IFERROR(FILTER('Pit Scouting Responses'!G:G,'Pit Scouting Responses'!C:C=A368),"""")"),"")</f>
        <v/>
      </c>
      <c r="G368" s="226" t="str">
        <f>IFERROR(__xludf.DUMMYFUNCTION("IFERROR(FILTER('Pit Scouting Responses'!D:D,'Pit Scouting Responses'!C:C=A368),"""")"),"")</f>
        <v/>
      </c>
      <c r="H368" s="223" t="str">
        <f>RawTotals!AI368</f>
        <v/>
      </c>
    </row>
    <row r="369">
      <c r="A369" s="224" t="str">
        <f>RawTotals!A369</f>
        <v/>
      </c>
      <c r="B369" s="75" t="str">
        <f>IFERROR(__xludf.DUMMYFUNCTION("IFERROR(FILTER('Pit Scouting Responses'!J:J,'Pit Scouting Responses'!C:C=A369),"""")"),"")</f>
        <v/>
      </c>
      <c r="C369" s="85" t="str">
        <f>IF(ISBLANK(A369),"",SUMIF(RawTotals!A$2:A1000, A369, RawTotals!O$2:O1000))</f>
        <v/>
      </c>
      <c r="D369" s="221" t="str">
        <f>IF(ISBLANK(A369),"",SUMIF(RawTotals!A$2:A1000, A369, RawTotals!D$2:D1000) + SUMIF(RawTotals!A$2:A1000, A369, RawTotals!M$2:M1000))</f>
        <v/>
      </c>
      <c r="E369" s="221" t="str">
        <f>IF(ISBLANK(A369),"",SUMIF(RawTotals!A$2:A1000, A369, RawTotals!C$2:C1000) + SUMIF(RawTotals!A$2:A1000, A369, RawTotals!L$2:L1000))</f>
        <v/>
      </c>
      <c r="F369" s="225" t="str">
        <f>IFERROR(__xludf.DUMMYFUNCTION("IFERROR(FILTER('Pit Scouting Responses'!G:G,'Pit Scouting Responses'!C:C=A369),"""")"),"")</f>
        <v/>
      </c>
      <c r="G369" s="226" t="str">
        <f>IFERROR(__xludf.DUMMYFUNCTION("IFERROR(FILTER('Pit Scouting Responses'!D:D,'Pit Scouting Responses'!C:C=A369),"""")"),"")</f>
        <v/>
      </c>
      <c r="H369" s="223" t="str">
        <f>RawTotals!AI369</f>
        <v/>
      </c>
    </row>
    <row r="370">
      <c r="A370" s="224" t="str">
        <f>RawTotals!A370</f>
        <v/>
      </c>
      <c r="B370" s="75" t="str">
        <f>IFERROR(__xludf.DUMMYFUNCTION("IFERROR(FILTER('Pit Scouting Responses'!J:J,'Pit Scouting Responses'!C:C=A370),"""")"),"")</f>
        <v/>
      </c>
      <c r="C370" s="85" t="str">
        <f>IF(ISBLANK(A370),"",SUMIF(RawTotals!A$2:A1000, A370, RawTotals!O$2:O1000))</f>
        <v/>
      </c>
      <c r="D370" s="221" t="str">
        <f>IF(ISBLANK(A370),"",SUMIF(RawTotals!A$2:A1000, A370, RawTotals!D$2:D1000) + SUMIF(RawTotals!A$2:A1000, A370, RawTotals!M$2:M1000))</f>
        <v/>
      </c>
      <c r="E370" s="221" t="str">
        <f>IF(ISBLANK(A370),"",SUMIF(RawTotals!A$2:A1000, A370, RawTotals!C$2:C1000) + SUMIF(RawTotals!A$2:A1000, A370, RawTotals!L$2:L1000))</f>
        <v/>
      </c>
      <c r="F370" s="225" t="str">
        <f>IFERROR(__xludf.DUMMYFUNCTION("IFERROR(FILTER('Pit Scouting Responses'!G:G,'Pit Scouting Responses'!C:C=A370),"""")"),"")</f>
        <v/>
      </c>
      <c r="G370" s="226" t="str">
        <f>IFERROR(__xludf.DUMMYFUNCTION("IFERROR(FILTER('Pit Scouting Responses'!D:D,'Pit Scouting Responses'!C:C=A370),"""")"),"")</f>
        <v/>
      </c>
      <c r="H370" s="223" t="str">
        <f>RawTotals!AI370</f>
        <v/>
      </c>
    </row>
    <row r="371">
      <c r="A371" s="224" t="str">
        <f>RawTotals!A371</f>
        <v/>
      </c>
      <c r="B371" s="75" t="str">
        <f>IFERROR(__xludf.DUMMYFUNCTION("IFERROR(FILTER('Pit Scouting Responses'!J:J,'Pit Scouting Responses'!C:C=A371),"""")"),"")</f>
        <v/>
      </c>
      <c r="C371" s="85" t="str">
        <f>IF(ISBLANK(A371),"",SUMIF(RawTotals!A$2:A1000, A371, RawTotals!O$2:O1000))</f>
        <v/>
      </c>
      <c r="D371" s="221" t="str">
        <f>IF(ISBLANK(A371),"",SUMIF(RawTotals!A$2:A1000, A371, RawTotals!D$2:D1000) + SUMIF(RawTotals!A$2:A1000, A371, RawTotals!M$2:M1000))</f>
        <v/>
      </c>
      <c r="E371" s="221" t="str">
        <f>IF(ISBLANK(A371),"",SUMIF(RawTotals!A$2:A1000, A371, RawTotals!C$2:C1000) + SUMIF(RawTotals!A$2:A1000, A371, RawTotals!L$2:L1000))</f>
        <v/>
      </c>
      <c r="F371" s="225" t="str">
        <f>IFERROR(__xludf.DUMMYFUNCTION("IFERROR(FILTER('Pit Scouting Responses'!G:G,'Pit Scouting Responses'!C:C=A371),"""")"),"")</f>
        <v/>
      </c>
      <c r="G371" s="226" t="str">
        <f>IFERROR(__xludf.DUMMYFUNCTION("IFERROR(FILTER('Pit Scouting Responses'!D:D,'Pit Scouting Responses'!C:C=A371),"""")"),"")</f>
        <v/>
      </c>
      <c r="H371" s="223" t="str">
        <f>RawTotals!AI371</f>
        <v/>
      </c>
    </row>
    <row r="372">
      <c r="A372" s="224" t="str">
        <f>RawTotals!A372</f>
        <v/>
      </c>
      <c r="B372" s="75" t="str">
        <f>IFERROR(__xludf.DUMMYFUNCTION("IFERROR(FILTER('Pit Scouting Responses'!J:J,'Pit Scouting Responses'!C:C=A372),"""")"),"")</f>
        <v/>
      </c>
      <c r="C372" s="85" t="str">
        <f>IF(ISBLANK(A372),"",SUMIF(RawTotals!A$2:A1000, A372, RawTotals!O$2:O1000))</f>
        <v/>
      </c>
      <c r="D372" s="221" t="str">
        <f>IF(ISBLANK(A372),"",SUMIF(RawTotals!A$2:A1000, A372, RawTotals!D$2:D1000) + SUMIF(RawTotals!A$2:A1000, A372, RawTotals!M$2:M1000))</f>
        <v/>
      </c>
      <c r="E372" s="221" t="str">
        <f>IF(ISBLANK(A372),"",SUMIF(RawTotals!A$2:A1000, A372, RawTotals!C$2:C1000) + SUMIF(RawTotals!A$2:A1000, A372, RawTotals!L$2:L1000))</f>
        <v/>
      </c>
      <c r="F372" s="225" t="str">
        <f>IFERROR(__xludf.DUMMYFUNCTION("IFERROR(FILTER('Pit Scouting Responses'!G:G,'Pit Scouting Responses'!C:C=A372),"""")"),"")</f>
        <v/>
      </c>
      <c r="G372" s="226" t="str">
        <f>IFERROR(__xludf.DUMMYFUNCTION("IFERROR(FILTER('Pit Scouting Responses'!D:D,'Pit Scouting Responses'!C:C=A372),"""")"),"")</f>
        <v/>
      </c>
      <c r="H372" s="223" t="str">
        <f>RawTotals!AI372</f>
        <v/>
      </c>
    </row>
    <row r="373">
      <c r="A373" s="224" t="str">
        <f>RawTotals!A373</f>
        <v/>
      </c>
      <c r="B373" s="75" t="str">
        <f>IFERROR(__xludf.DUMMYFUNCTION("IFERROR(FILTER('Pit Scouting Responses'!J:J,'Pit Scouting Responses'!C:C=A373),"""")"),"")</f>
        <v/>
      </c>
      <c r="C373" s="85" t="str">
        <f>IF(ISBLANK(A373),"",SUMIF(RawTotals!A$2:A1000, A373, RawTotals!O$2:O1000))</f>
        <v/>
      </c>
      <c r="D373" s="221" t="str">
        <f>IF(ISBLANK(A373),"",SUMIF(RawTotals!A$2:A1000, A373, RawTotals!D$2:D1000) + SUMIF(RawTotals!A$2:A1000, A373, RawTotals!M$2:M1000))</f>
        <v/>
      </c>
      <c r="E373" s="221" t="str">
        <f>IF(ISBLANK(A373),"",SUMIF(RawTotals!A$2:A1000, A373, RawTotals!C$2:C1000) + SUMIF(RawTotals!A$2:A1000, A373, RawTotals!L$2:L1000))</f>
        <v/>
      </c>
      <c r="F373" s="225" t="str">
        <f>IFERROR(__xludf.DUMMYFUNCTION("IFERROR(FILTER('Pit Scouting Responses'!G:G,'Pit Scouting Responses'!C:C=A373),"""")"),"")</f>
        <v/>
      </c>
      <c r="G373" s="226" t="str">
        <f>IFERROR(__xludf.DUMMYFUNCTION("IFERROR(FILTER('Pit Scouting Responses'!D:D,'Pit Scouting Responses'!C:C=A373),"""")"),"")</f>
        <v/>
      </c>
      <c r="H373" s="223" t="str">
        <f>RawTotals!AI373</f>
        <v/>
      </c>
    </row>
    <row r="374">
      <c r="A374" s="224" t="str">
        <f>RawTotals!A374</f>
        <v/>
      </c>
      <c r="B374" s="75" t="str">
        <f>IFERROR(__xludf.DUMMYFUNCTION("IFERROR(FILTER('Pit Scouting Responses'!J:J,'Pit Scouting Responses'!C:C=A374),"""")"),"")</f>
        <v/>
      </c>
      <c r="C374" s="85" t="str">
        <f>IF(ISBLANK(A374),"",SUMIF(RawTotals!A$2:A1000, A374, RawTotals!O$2:O1000))</f>
        <v/>
      </c>
      <c r="D374" s="221" t="str">
        <f>IF(ISBLANK(A374),"",SUMIF(RawTotals!A$2:A1000, A374, RawTotals!D$2:D1000) + SUMIF(RawTotals!A$2:A1000, A374, RawTotals!M$2:M1000))</f>
        <v/>
      </c>
      <c r="E374" s="221" t="str">
        <f>IF(ISBLANK(A374),"",SUMIF(RawTotals!A$2:A1000, A374, RawTotals!C$2:C1000) + SUMIF(RawTotals!A$2:A1000, A374, RawTotals!L$2:L1000))</f>
        <v/>
      </c>
      <c r="F374" s="225" t="str">
        <f>IFERROR(__xludf.DUMMYFUNCTION("IFERROR(FILTER('Pit Scouting Responses'!G:G,'Pit Scouting Responses'!C:C=A374),"""")"),"")</f>
        <v/>
      </c>
      <c r="G374" s="226" t="str">
        <f>IFERROR(__xludf.DUMMYFUNCTION("IFERROR(FILTER('Pit Scouting Responses'!D:D,'Pit Scouting Responses'!C:C=A374),"""")"),"")</f>
        <v/>
      </c>
      <c r="H374" s="223" t="str">
        <f>RawTotals!AI374</f>
        <v/>
      </c>
    </row>
    <row r="375">
      <c r="A375" s="224" t="str">
        <f>RawTotals!A375</f>
        <v/>
      </c>
      <c r="B375" s="75" t="str">
        <f>IFERROR(__xludf.DUMMYFUNCTION("IFERROR(FILTER('Pit Scouting Responses'!J:J,'Pit Scouting Responses'!C:C=A375),"""")"),"")</f>
        <v/>
      </c>
      <c r="C375" s="85" t="str">
        <f>IF(ISBLANK(A375),"",SUMIF(RawTotals!A$2:A1000, A375, RawTotals!O$2:O1000))</f>
        <v/>
      </c>
      <c r="D375" s="221" t="str">
        <f>IF(ISBLANK(A375),"",SUMIF(RawTotals!A$2:A1000, A375, RawTotals!D$2:D1000) + SUMIF(RawTotals!A$2:A1000, A375, RawTotals!M$2:M1000))</f>
        <v/>
      </c>
      <c r="E375" s="221" t="str">
        <f>IF(ISBLANK(A375),"",SUMIF(RawTotals!A$2:A1000, A375, RawTotals!C$2:C1000) + SUMIF(RawTotals!A$2:A1000, A375, RawTotals!L$2:L1000))</f>
        <v/>
      </c>
      <c r="F375" s="225" t="str">
        <f>IFERROR(__xludf.DUMMYFUNCTION("IFERROR(FILTER('Pit Scouting Responses'!G:G,'Pit Scouting Responses'!C:C=A375),"""")"),"")</f>
        <v/>
      </c>
      <c r="G375" s="226" t="str">
        <f>IFERROR(__xludf.DUMMYFUNCTION("IFERROR(FILTER('Pit Scouting Responses'!D:D,'Pit Scouting Responses'!C:C=A375),"""")"),"")</f>
        <v/>
      </c>
      <c r="H375" s="223" t="str">
        <f>RawTotals!AI375</f>
        <v/>
      </c>
    </row>
    <row r="376">
      <c r="A376" s="224" t="str">
        <f>RawTotals!A376</f>
        <v/>
      </c>
      <c r="B376" s="75" t="str">
        <f>IFERROR(__xludf.DUMMYFUNCTION("IFERROR(FILTER('Pit Scouting Responses'!J:J,'Pit Scouting Responses'!C:C=A376),"""")"),"")</f>
        <v/>
      </c>
      <c r="C376" s="85" t="str">
        <f>IF(ISBLANK(A376),"",SUMIF(RawTotals!A$2:A1000, A376, RawTotals!O$2:O1000))</f>
        <v/>
      </c>
      <c r="D376" s="221" t="str">
        <f>IF(ISBLANK(A376),"",SUMIF(RawTotals!A$2:A1000, A376, RawTotals!D$2:D1000) + SUMIF(RawTotals!A$2:A1000, A376, RawTotals!M$2:M1000))</f>
        <v/>
      </c>
      <c r="E376" s="221" t="str">
        <f>IF(ISBLANK(A376),"",SUMIF(RawTotals!A$2:A1000, A376, RawTotals!C$2:C1000) + SUMIF(RawTotals!A$2:A1000, A376, RawTotals!L$2:L1000))</f>
        <v/>
      </c>
      <c r="F376" s="225" t="str">
        <f>IFERROR(__xludf.DUMMYFUNCTION("IFERROR(FILTER('Pit Scouting Responses'!G:G,'Pit Scouting Responses'!C:C=A376),"""")"),"")</f>
        <v/>
      </c>
      <c r="G376" s="226" t="str">
        <f>IFERROR(__xludf.DUMMYFUNCTION("IFERROR(FILTER('Pit Scouting Responses'!D:D,'Pit Scouting Responses'!C:C=A376),"""")"),"")</f>
        <v/>
      </c>
      <c r="H376" s="223" t="str">
        <f>RawTotals!AI376</f>
        <v/>
      </c>
    </row>
    <row r="377">
      <c r="A377" s="224" t="str">
        <f>RawTotals!A377</f>
        <v/>
      </c>
      <c r="B377" s="75" t="str">
        <f>IFERROR(__xludf.DUMMYFUNCTION("IFERROR(FILTER('Pit Scouting Responses'!J:J,'Pit Scouting Responses'!C:C=A377),"""")"),"")</f>
        <v/>
      </c>
      <c r="C377" s="85" t="str">
        <f>IF(ISBLANK(A377),"",SUMIF(RawTotals!A$2:A1000, A377, RawTotals!O$2:O1000))</f>
        <v/>
      </c>
      <c r="D377" s="221" t="str">
        <f>IF(ISBLANK(A377),"",SUMIF(RawTotals!A$2:A1000, A377, RawTotals!D$2:D1000) + SUMIF(RawTotals!A$2:A1000, A377, RawTotals!M$2:M1000))</f>
        <v/>
      </c>
      <c r="E377" s="221" t="str">
        <f>IF(ISBLANK(A377),"",SUMIF(RawTotals!A$2:A1000, A377, RawTotals!C$2:C1000) + SUMIF(RawTotals!A$2:A1000, A377, RawTotals!L$2:L1000))</f>
        <v/>
      </c>
      <c r="F377" s="225" t="str">
        <f>IFERROR(__xludf.DUMMYFUNCTION("IFERROR(FILTER('Pit Scouting Responses'!G:G,'Pit Scouting Responses'!C:C=A377),"""")"),"")</f>
        <v/>
      </c>
      <c r="G377" s="226" t="str">
        <f>IFERROR(__xludf.DUMMYFUNCTION("IFERROR(FILTER('Pit Scouting Responses'!D:D,'Pit Scouting Responses'!C:C=A377),"""")"),"")</f>
        <v/>
      </c>
      <c r="H377" s="223" t="str">
        <f>RawTotals!AI377</f>
        <v/>
      </c>
    </row>
    <row r="378">
      <c r="A378" s="224" t="str">
        <f>RawTotals!A378</f>
        <v/>
      </c>
      <c r="B378" s="75" t="str">
        <f>IFERROR(__xludf.DUMMYFUNCTION("IFERROR(FILTER('Pit Scouting Responses'!J:J,'Pit Scouting Responses'!C:C=A378),"""")"),"")</f>
        <v/>
      </c>
      <c r="C378" s="85" t="str">
        <f>IF(ISBLANK(A378),"",SUMIF(RawTotals!A$2:A1000, A378, RawTotals!O$2:O1000))</f>
        <v/>
      </c>
      <c r="D378" s="221" t="str">
        <f>IF(ISBLANK(A378),"",SUMIF(RawTotals!A$2:A1000, A378, RawTotals!D$2:D1000) + SUMIF(RawTotals!A$2:A1000, A378, RawTotals!M$2:M1000))</f>
        <v/>
      </c>
      <c r="E378" s="221" t="str">
        <f>IF(ISBLANK(A378),"",SUMIF(RawTotals!A$2:A1000, A378, RawTotals!C$2:C1000) + SUMIF(RawTotals!A$2:A1000, A378, RawTotals!L$2:L1000))</f>
        <v/>
      </c>
      <c r="F378" s="225" t="str">
        <f>IFERROR(__xludf.DUMMYFUNCTION("IFERROR(FILTER('Pit Scouting Responses'!G:G,'Pit Scouting Responses'!C:C=A378),"""")"),"")</f>
        <v/>
      </c>
      <c r="G378" s="226" t="str">
        <f>IFERROR(__xludf.DUMMYFUNCTION("IFERROR(FILTER('Pit Scouting Responses'!D:D,'Pit Scouting Responses'!C:C=A378),"""")"),"")</f>
        <v/>
      </c>
      <c r="H378" s="223" t="str">
        <f>RawTotals!AI378</f>
        <v/>
      </c>
    </row>
    <row r="379">
      <c r="A379" s="224" t="str">
        <f>RawTotals!A379</f>
        <v/>
      </c>
      <c r="B379" s="75" t="str">
        <f>IFERROR(__xludf.DUMMYFUNCTION("IFERROR(FILTER('Pit Scouting Responses'!J:J,'Pit Scouting Responses'!C:C=A379),"""")"),"")</f>
        <v/>
      </c>
      <c r="C379" s="85" t="str">
        <f>IF(ISBLANK(A379),"",SUMIF(RawTotals!A$2:A1000, A379, RawTotals!O$2:O1000))</f>
        <v/>
      </c>
      <c r="D379" s="221" t="str">
        <f>IF(ISBLANK(A379),"",SUMIF(RawTotals!A$2:A1000, A379, RawTotals!D$2:D1000) + SUMIF(RawTotals!A$2:A1000, A379, RawTotals!M$2:M1000))</f>
        <v/>
      </c>
      <c r="E379" s="221" t="str">
        <f>IF(ISBLANK(A379),"",SUMIF(RawTotals!A$2:A1000, A379, RawTotals!C$2:C1000) + SUMIF(RawTotals!A$2:A1000, A379, RawTotals!L$2:L1000))</f>
        <v/>
      </c>
      <c r="F379" s="225" t="str">
        <f>IFERROR(__xludf.DUMMYFUNCTION("IFERROR(FILTER('Pit Scouting Responses'!G:G,'Pit Scouting Responses'!C:C=A379),"""")"),"")</f>
        <v/>
      </c>
      <c r="G379" s="226" t="str">
        <f>IFERROR(__xludf.DUMMYFUNCTION("IFERROR(FILTER('Pit Scouting Responses'!D:D,'Pit Scouting Responses'!C:C=A379),"""")"),"")</f>
        <v/>
      </c>
      <c r="H379" s="223" t="str">
        <f>RawTotals!AI379</f>
        <v/>
      </c>
    </row>
    <row r="380">
      <c r="A380" s="224" t="str">
        <f>RawTotals!A380</f>
        <v/>
      </c>
      <c r="B380" s="75" t="str">
        <f>IFERROR(__xludf.DUMMYFUNCTION("IFERROR(FILTER('Pit Scouting Responses'!J:J,'Pit Scouting Responses'!C:C=A380),"""")"),"")</f>
        <v/>
      </c>
      <c r="C380" s="85" t="str">
        <f>IF(ISBLANK(A380),"",SUMIF(RawTotals!A$2:A1000, A380, RawTotals!O$2:O1000))</f>
        <v/>
      </c>
      <c r="D380" s="221" t="str">
        <f>IF(ISBLANK(A380),"",SUMIF(RawTotals!A$2:A1000, A380, RawTotals!D$2:D1000) + SUMIF(RawTotals!A$2:A1000, A380, RawTotals!M$2:M1000))</f>
        <v/>
      </c>
      <c r="E380" s="221" t="str">
        <f>IF(ISBLANK(A380),"",SUMIF(RawTotals!A$2:A1000, A380, RawTotals!C$2:C1000) + SUMIF(RawTotals!A$2:A1000, A380, RawTotals!L$2:L1000))</f>
        <v/>
      </c>
      <c r="F380" s="225" t="str">
        <f>IFERROR(__xludf.DUMMYFUNCTION("IFERROR(FILTER('Pit Scouting Responses'!G:G,'Pit Scouting Responses'!C:C=A380),"""")"),"")</f>
        <v/>
      </c>
      <c r="G380" s="226" t="str">
        <f>IFERROR(__xludf.DUMMYFUNCTION("IFERROR(FILTER('Pit Scouting Responses'!D:D,'Pit Scouting Responses'!C:C=A380),"""")"),"")</f>
        <v/>
      </c>
      <c r="H380" s="223" t="str">
        <f>RawTotals!AI380</f>
        <v/>
      </c>
    </row>
    <row r="381">
      <c r="A381" s="224" t="str">
        <f>RawTotals!A381</f>
        <v/>
      </c>
      <c r="B381" s="75" t="str">
        <f>IFERROR(__xludf.DUMMYFUNCTION("IFERROR(FILTER('Pit Scouting Responses'!J:J,'Pit Scouting Responses'!C:C=A381),"""")"),"")</f>
        <v/>
      </c>
      <c r="C381" s="85" t="str">
        <f>IF(ISBLANK(A381),"",SUMIF(RawTotals!A$2:A1000, A381, RawTotals!O$2:O1000))</f>
        <v/>
      </c>
      <c r="D381" s="221" t="str">
        <f>IF(ISBLANK(A381),"",SUMIF(RawTotals!A$2:A1000, A381, RawTotals!D$2:D1000) + SUMIF(RawTotals!A$2:A1000, A381, RawTotals!M$2:M1000))</f>
        <v/>
      </c>
      <c r="E381" s="221" t="str">
        <f>IF(ISBLANK(A381),"",SUMIF(RawTotals!A$2:A1000, A381, RawTotals!C$2:C1000) + SUMIF(RawTotals!A$2:A1000, A381, RawTotals!L$2:L1000))</f>
        <v/>
      </c>
      <c r="F381" s="225" t="str">
        <f>IFERROR(__xludf.DUMMYFUNCTION("IFERROR(FILTER('Pit Scouting Responses'!G:G,'Pit Scouting Responses'!C:C=A381),"""")"),"")</f>
        <v/>
      </c>
      <c r="G381" s="226" t="str">
        <f>IFERROR(__xludf.DUMMYFUNCTION("IFERROR(FILTER('Pit Scouting Responses'!D:D,'Pit Scouting Responses'!C:C=A381),"""")"),"")</f>
        <v/>
      </c>
      <c r="H381" s="223" t="str">
        <f>RawTotals!AI381</f>
        <v/>
      </c>
    </row>
    <row r="382">
      <c r="A382" s="224" t="str">
        <f>RawTotals!A382</f>
        <v/>
      </c>
      <c r="B382" s="75" t="str">
        <f>IFERROR(__xludf.DUMMYFUNCTION("IFERROR(FILTER('Pit Scouting Responses'!J:J,'Pit Scouting Responses'!C:C=A382),"""")"),"")</f>
        <v/>
      </c>
      <c r="C382" s="85" t="str">
        <f>IF(ISBLANK(A382),"",SUMIF(RawTotals!A$2:A1000, A382, RawTotals!O$2:O1000))</f>
        <v/>
      </c>
      <c r="D382" s="221" t="str">
        <f>IF(ISBLANK(A382),"",SUMIF(RawTotals!A$2:A1000, A382, RawTotals!D$2:D1000) + SUMIF(RawTotals!A$2:A1000, A382, RawTotals!M$2:M1000))</f>
        <v/>
      </c>
      <c r="E382" s="221" t="str">
        <f>IF(ISBLANK(A382),"",SUMIF(RawTotals!A$2:A1000, A382, RawTotals!C$2:C1000) + SUMIF(RawTotals!A$2:A1000, A382, RawTotals!L$2:L1000))</f>
        <v/>
      </c>
      <c r="F382" s="225" t="str">
        <f>IFERROR(__xludf.DUMMYFUNCTION("IFERROR(FILTER('Pit Scouting Responses'!G:G,'Pit Scouting Responses'!C:C=A382),"""")"),"")</f>
        <v/>
      </c>
      <c r="G382" s="226" t="str">
        <f>IFERROR(__xludf.DUMMYFUNCTION("IFERROR(FILTER('Pit Scouting Responses'!D:D,'Pit Scouting Responses'!C:C=A382),"""")"),"")</f>
        <v/>
      </c>
      <c r="H382" s="223" t="str">
        <f>RawTotals!AI382</f>
        <v/>
      </c>
    </row>
    <row r="383">
      <c r="A383" s="224" t="str">
        <f>RawTotals!A383</f>
        <v/>
      </c>
      <c r="B383" s="75" t="str">
        <f>IFERROR(__xludf.DUMMYFUNCTION("IFERROR(FILTER('Pit Scouting Responses'!J:J,'Pit Scouting Responses'!C:C=A383),"""")"),"")</f>
        <v/>
      </c>
      <c r="C383" s="85" t="str">
        <f>IF(ISBLANK(A383),"",SUMIF(RawTotals!A$2:A1000, A383, RawTotals!O$2:O1000))</f>
        <v/>
      </c>
      <c r="D383" s="221" t="str">
        <f>IF(ISBLANK(A383),"",SUMIF(RawTotals!A$2:A1000, A383, RawTotals!D$2:D1000) + SUMIF(RawTotals!A$2:A1000, A383, RawTotals!M$2:M1000))</f>
        <v/>
      </c>
      <c r="E383" s="221" t="str">
        <f>IF(ISBLANK(A383),"",SUMIF(RawTotals!A$2:A1000, A383, RawTotals!C$2:C1000) + SUMIF(RawTotals!A$2:A1000, A383, RawTotals!L$2:L1000))</f>
        <v/>
      </c>
      <c r="F383" s="225" t="str">
        <f>IFERROR(__xludf.DUMMYFUNCTION("IFERROR(FILTER('Pit Scouting Responses'!G:G,'Pit Scouting Responses'!C:C=A383),"""")"),"")</f>
        <v/>
      </c>
      <c r="G383" s="226" t="str">
        <f>IFERROR(__xludf.DUMMYFUNCTION("IFERROR(FILTER('Pit Scouting Responses'!D:D,'Pit Scouting Responses'!C:C=A383),"""")"),"")</f>
        <v/>
      </c>
      <c r="H383" s="223" t="str">
        <f>RawTotals!AI383</f>
        <v/>
      </c>
    </row>
    <row r="384">
      <c r="A384" s="224" t="str">
        <f>RawTotals!A384</f>
        <v/>
      </c>
      <c r="B384" s="75" t="str">
        <f>IFERROR(__xludf.DUMMYFUNCTION("IFERROR(FILTER('Pit Scouting Responses'!J:J,'Pit Scouting Responses'!C:C=A384),"""")"),"")</f>
        <v/>
      </c>
      <c r="C384" s="85" t="str">
        <f>IF(ISBLANK(A384),"",SUMIF(RawTotals!A$2:A1000, A384, RawTotals!O$2:O1000))</f>
        <v/>
      </c>
      <c r="D384" s="221" t="str">
        <f>IF(ISBLANK(A384),"",SUMIF(RawTotals!A$2:A1000, A384, RawTotals!D$2:D1000) + SUMIF(RawTotals!A$2:A1000, A384, RawTotals!M$2:M1000))</f>
        <v/>
      </c>
      <c r="E384" s="221" t="str">
        <f>IF(ISBLANK(A384),"",SUMIF(RawTotals!A$2:A1000, A384, RawTotals!C$2:C1000) + SUMIF(RawTotals!A$2:A1000, A384, RawTotals!L$2:L1000))</f>
        <v/>
      </c>
      <c r="F384" s="225" t="str">
        <f>IFERROR(__xludf.DUMMYFUNCTION("IFERROR(FILTER('Pit Scouting Responses'!G:G,'Pit Scouting Responses'!C:C=A384),"""")"),"")</f>
        <v/>
      </c>
      <c r="G384" s="226" t="str">
        <f>IFERROR(__xludf.DUMMYFUNCTION("IFERROR(FILTER('Pit Scouting Responses'!D:D,'Pit Scouting Responses'!C:C=A384),"""")"),"")</f>
        <v/>
      </c>
      <c r="H384" s="223" t="str">
        <f>RawTotals!AI384</f>
        <v/>
      </c>
    </row>
    <row r="385">
      <c r="A385" s="224" t="str">
        <f>RawTotals!A385</f>
        <v/>
      </c>
      <c r="B385" s="75" t="str">
        <f>IFERROR(__xludf.DUMMYFUNCTION("IFERROR(FILTER('Pit Scouting Responses'!J:J,'Pit Scouting Responses'!C:C=A385),"""")"),"")</f>
        <v/>
      </c>
      <c r="C385" s="85" t="str">
        <f>IF(ISBLANK(A385),"",SUMIF(RawTotals!A$2:A1000, A385, RawTotals!O$2:O1000))</f>
        <v/>
      </c>
      <c r="D385" s="221" t="str">
        <f>IF(ISBLANK(A385),"",SUMIF(RawTotals!A$2:A1000, A385, RawTotals!D$2:D1000) + SUMIF(RawTotals!A$2:A1000, A385, RawTotals!M$2:M1000))</f>
        <v/>
      </c>
      <c r="E385" s="221" t="str">
        <f>IF(ISBLANK(A385),"",SUMIF(RawTotals!A$2:A1000, A385, RawTotals!C$2:C1000) + SUMIF(RawTotals!A$2:A1000, A385, RawTotals!L$2:L1000))</f>
        <v/>
      </c>
      <c r="F385" s="225" t="str">
        <f>IFERROR(__xludf.DUMMYFUNCTION("IFERROR(FILTER('Pit Scouting Responses'!G:G,'Pit Scouting Responses'!C:C=A385),"""")"),"")</f>
        <v/>
      </c>
      <c r="G385" s="226" t="str">
        <f>IFERROR(__xludf.DUMMYFUNCTION("IFERROR(FILTER('Pit Scouting Responses'!D:D,'Pit Scouting Responses'!C:C=A385),"""")"),"")</f>
        <v/>
      </c>
      <c r="H385" s="223" t="str">
        <f>RawTotals!AI385</f>
        <v/>
      </c>
    </row>
    <row r="386">
      <c r="A386" s="224" t="str">
        <f>RawTotals!A386</f>
        <v/>
      </c>
      <c r="B386" s="75" t="str">
        <f>IFERROR(__xludf.DUMMYFUNCTION("IFERROR(FILTER('Pit Scouting Responses'!J:J,'Pit Scouting Responses'!C:C=A386),"""")"),"")</f>
        <v/>
      </c>
      <c r="C386" s="85" t="str">
        <f>IF(ISBLANK(A386),"",SUMIF(RawTotals!A$2:A1000, A386, RawTotals!O$2:O1000))</f>
        <v/>
      </c>
      <c r="D386" s="221" t="str">
        <f>IF(ISBLANK(A386),"",SUMIF(RawTotals!A$2:A1000, A386, RawTotals!D$2:D1000) + SUMIF(RawTotals!A$2:A1000, A386, RawTotals!M$2:M1000))</f>
        <v/>
      </c>
      <c r="E386" s="221" t="str">
        <f>IF(ISBLANK(A386),"",SUMIF(RawTotals!A$2:A1000, A386, RawTotals!C$2:C1000) + SUMIF(RawTotals!A$2:A1000, A386, RawTotals!L$2:L1000))</f>
        <v/>
      </c>
      <c r="F386" s="225" t="str">
        <f>IFERROR(__xludf.DUMMYFUNCTION("IFERROR(FILTER('Pit Scouting Responses'!G:G,'Pit Scouting Responses'!C:C=A386),"""")"),"")</f>
        <v/>
      </c>
      <c r="G386" s="226" t="str">
        <f>IFERROR(__xludf.DUMMYFUNCTION("IFERROR(FILTER('Pit Scouting Responses'!D:D,'Pit Scouting Responses'!C:C=A386),"""")"),"")</f>
        <v/>
      </c>
      <c r="H386" s="223" t="str">
        <f>RawTotals!AI386</f>
        <v/>
      </c>
    </row>
    <row r="387">
      <c r="A387" s="224" t="str">
        <f>RawTotals!A387</f>
        <v/>
      </c>
      <c r="B387" s="75" t="str">
        <f>IFERROR(__xludf.DUMMYFUNCTION("IFERROR(FILTER('Pit Scouting Responses'!J:J,'Pit Scouting Responses'!C:C=A387),"""")"),"")</f>
        <v/>
      </c>
      <c r="C387" s="85" t="str">
        <f>IF(ISBLANK(A387),"",SUMIF(RawTotals!A$2:A1000, A387, RawTotals!O$2:O1000))</f>
        <v/>
      </c>
      <c r="D387" s="221" t="str">
        <f>IF(ISBLANK(A387),"",SUMIF(RawTotals!A$2:A1000, A387, RawTotals!D$2:D1000) + SUMIF(RawTotals!A$2:A1000, A387, RawTotals!M$2:M1000))</f>
        <v/>
      </c>
      <c r="E387" s="221" t="str">
        <f>IF(ISBLANK(A387),"",SUMIF(RawTotals!A$2:A1000, A387, RawTotals!C$2:C1000) + SUMIF(RawTotals!A$2:A1000, A387, RawTotals!L$2:L1000))</f>
        <v/>
      </c>
      <c r="F387" s="225" t="str">
        <f>IFERROR(__xludf.DUMMYFUNCTION("IFERROR(FILTER('Pit Scouting Responses'!G:G,'Pit Scouting Responses'!C:C=A387),"""")"),"")</f>
        <v/>
      </c>
      <c r="G387" s="226" t="str">
        <f>IFERROR(__xludf.DUMMYFUNCTION("IFERROR(FILTER('Pit Scouting Responses'!D:D,'Pit Scouting Responses'!C:C=A387),"""")"),"")</f>
        <v/>
      </c>
      <c r="H387" s="223" t="str">
        <f>RawTotals!AI387</f>
        <v/>
      </c>
    </row>
    <row r="388">
      <c r="A388" s="224" t="str">
        <f>RawTotals!A388</f>
        <v/>
      </c>
      <c r="B388" s="75" t="str">
        <f>IFERROR(__xludf.DUMMYFUNCTION("IFERROR(FILTER('Pit Scouting Responses'!J:J,'Pit Scouting Responses'!C:C=A388),"""")"),"")</f>
        <v/>
      </c>
      <c r="C388" s="85" t="str">
        <f>IF(ISBLANK(A388),"",SUMIF(RawTotals!A$2:A1000, A388, RawTotals!O$2:O1000))</f>
        <v/>
      </c>
      <c r="D388" s="221" t="str">
        <f>IF(ISBLANK(A388),"",SUMIF(RawTotals!A$2:A1000, A388, RawTotals!D$2:D1000) + SUMIF(RawTotals!A$2:A1000, A388, RawTotals!M$2:M1000))</f>
        <v/>
      </c>
      <c r="E388" s="221" t="str">
        <f>IF(ISBLANK(A388),"",SUMIF(RawTotals!A$2:A1000, A388, RawTotals!C$2:C1000) + SUMIF(RawTotals!A$2:A1000, A388, RawTotals!L$2:L1000))</f>
        <v/>
      </c>
      <c r="F388" s="225" t="str">
        <f>IFERROR(__xludf.DUMMYFUNCTION("IFERROR(FILTER('Pit Scouting Responses'!G:G,'Pit Scouting Responses'!C:C=A388),"""")"),"")</f>
        <v/>
      </c>
      <c r="G388" s="226" t="str">
        <f>IFERROR(__xludf.DUMMYFUNCTION("IFERROR(FILTER('Pit Scouting Responses'!D:D,'Pit Scouting Responses'!C:C=A388),"""")"),"")</f>
        <v/>
      </c>
      <c r="H388" s="223" t="str">
        <f>RawTotals!AI388</f>
        <v/>
      </c>
    </row>
    <row r="389">
      <c r="A389" s="224" t="str">
        <f>RawTotals!A389</f>
        <v/>
      </c>
      <c r="B389" s="75" t="str">
        <f>IFERROR(__xludf.DUMMYFUNCTION("IFERROR(FILTER('Pit Scouting Responses'!J:J,'Pit Scouting Responses'!C:C=A389),"""")"),"")</f>
        <v/>
      </c>
      <c r="C389" s="85" t="str">
        <f>IF(ISBLANK(A389),"",SUMIF(RawTotals!A$2:A1000, A389, RawTotals!O$2:O1000))</f>
        <v/>
      </c>
      <c r="D389" s="221" t="str">
        <f>IF(ISBLANK(A389),"",SUMIF(RawTotals!A$2:A1000, A389, RawTotals!D$2:D1000) + SUMIF(RawTotals!A$2:A1000, A389, RawTotals!M$2:M1000))</f>
        <v/>
      </c>
      <c r="E389" s="221" t="str">
        <f>IF(ISBLANK(A389),"",SUMIF(RawTotals!A$2:A1000, A389, RawTotals!C$2:C1000) + SUMIF(RawTotals!A$2:A1000, A389, RawTotals!L$2:L1000))</f>
        <v/>
      </c>
      <c r="F389" s="225" t="str">
        <f>IFERROR(__xludf.DUMMYFUNCTION("IFERROR(FILTER('Pit Scouting Responses'!G:G,'Pit Scouting Responses'!C:C=A389),"""")"),"")</f>
        <v/>
      </c>
      <c r="G389" s="226" t="str">
        <f>IFERROR(__xludf.DUMMYFUNCTION("IFERROR(FILTER('Pit Scouting Responses'!D:D,'Pit Scouting Responses'!C:C=A389),"""")"),"")</f>
        <v/>
      </c>
      <c r="H389" s="223" t="str">
        <f>RawTotals!AI389</f>
        <v/>
      </c>
    </row>
    <row r="390">
      <c r="A390" s="224" t="str">
        <f>RawTotals!A390</f>
        <v/>
      </c>
      <c r="B390" s="75" t="str">
        <f>IFERROR(__xludf.DUMMYFUNCTION("IFERROR(FILTER('Pit Scouting Responses'!J:J,'Pit Scouting Responses'!C:C=A390),"""")"),"")</f>
        <v/>
      </c>
      <c r="C390" s="85" t="str">
        <f>IF(ISBLANK(A390),"",SUMIF(RawTotals!A$2:A1000, A390, RawTotals!O$2:O1000))</f>
        <v/>
      </c>
      <c r="D390" s="221" t="str">
        <f>IF(ISBLANK(A390),"",SUMIF(RawTotals!A$2:A1000, A390, RawTotals!D$2:D1000) + SUMIF(RawTotals!A$2:A1000, A390, RawTotals!M$2:M1000))</f>
        <v/>
      </c>
      <c r="E390" s="221" t="str">
        <f>IF(ISBLANK(A390),"",SUMIF(RawTotals!A$2:A1000, A390, RawTotals!C$2:C1000) + SUMIF(RawTotals!A$2:A1000, A390, RawTotals!L$2:L1000))</f>
        <v/>
      </c>
      <c r="F390" s="225" t="str">
        <f>IFERROR(__xludf.DUMMYFUNCTION("IFERROR(FILTER('Pit Scouting Responses'!G:G,'Pit Scouting Responses'!C:C=A390),"""")"),"")</f>
        <v/>
      </c>
      <c r="G390" s="226" t="str">
        <f>IFERROR(__xludf.DUMMYFUNCTION("IFERROR(FILTER('Pit Scouting Responses'!D:D,'Pit Scouting Responses'!C:C=A390),"""")"),"")</f>
        <v/>
      </c>
      <c r="H390" s="223" t="str">
        <f>RawTotals!AI390</f>
        <v/>
      </c>
    </row>
    <row r="391">
      <c r="A391" s="224" t="str">
        <f>RawTotals!A391</f>
        <v/>
      </c>
      <c r="B391" s="75" t="str">
        <f>IFERROR(__xludf.DUMMYFUNCTION("IFERROR(FILTER('Pit Scouting Responses'!J:J,'Pit Scouting Responses'!C:C=A391),"""")"),"")</f>
        <v/>
      </c>
      <c r="C391" s="85" t="str">
        <f>IF(ISBLANK(A391),"",SUMIF(RawTotals!A$2:A1000, A391, RawTotals!O$2:O1000))</f>
        <v/>
      </c>
      <c r="D391" s="221" t="str">
        <f>IF(ISBLANK(A391),"",SUMIF(RawTotals!A$2:A1000, A391, RawTotals!D$2:D1000) + SUMIF(RawTotals!A$2:A1000, A391, RawTotals!M$2:M1000))</f>
        <v/>
      </c>
      <c r="E391" s="221" t="str">
        <f>IF(ISBLANK(A391),"",SUMIF(RawTotals!A$2:A1000, A391, RawTotals!C$2:C1000) + SUMIF(RawTotals!A$2:A1000, A391, RawTotals!L$2:L1000))</f>
        <v/>
      </c>
      <c r="F391" s="225" t="str">
        <f>IFERROR(__xludf.DUMMYFUNCTION("IFERROR(FILTER('Pit Scouting Responses'!G:G,'Pit Scouting Responses'!C:C=A391),"""")"),"")</f>
        <v/>
      </c>
      <c r="G391" s="226" t="str">
        <f>IFERROR(__xludf.DUMMYFUNCTION("IFERROR(FILTER('Pit Scouting Responses'!D:D,'Pit Scouting Responses'!C:C=A391),"""")"),"")</f>
        <v/>
      </c>
      <c r="H391" s="223" t="str">
        <f>RawTotals!AI391</f>
        <v/>
      </c>
    </row>
    <row r="392">
      <c r="A392" s="224" t="str">
        <f>RawTotals!A392</f>
        <v/>
      </c>
      <c r="B392" s="75" t="str">
        <f>IFERROR(__xludf.DUMMYFUNCTION("IFERROR(FILTER('Pit Scouting Responses'!J:J,'Pit Scouting Responses'!C:C=A392),"""")"),"")</f>
        <v/>
      </c>
      <c r="C392" s="85" t="str">
        <f>IF(ISBLANK(A392),"",SUMIF(RawTotals!A$2:A1000, A392, RawTotals!O$2:O1000))</f>
        <v/>
      </c>
      <c r="D392" s="221" t="str">
        <f>IF(ISBLANK(A392),"",SUMIF(RawTotals!A$2:A1000, A392, RawTotals!D$2:D1000) + SUMIF(RawTotals!A$2:A1000, A392, RawTotals!M$2:M1000))</f>
        <v/>
      </c>
      <c r="E392" s="221" t="str">
        <f>IF(ISBLANK(A392),"",SUMIF(RawTotals!A$2:A1000, A392, RawTotals!C$2:C1000) + SUMIF(RawTotals!A$2:A1000, A392, RawTotals!L$2:L1000))</f>
        <v/>
      </c>
      <c r="F392" s="225" t="str">
        <f>IFERROR(__xludf.DUMMYFUNCTION("IFERROR(FILTER('Pit Scouting Responses'!G:G,'Pit Scouting Responses'!C:C=A392),"""")"),"")</f>
        <v/>
      </c>
      <c r="G392" s="226" t="str">
        <f>IFERROR(__xludf.DUMMYFUNCTION("IFERROR(FILTER('Pit Scouting Responses'!D:D,'Pit Scouting Responses'!C:C=A392),"""")"),"")</f>
        <v/>
      </c>
      <c r="H392" s="223" t="str">
        <f>RawTotals!AI392</f>
        <v/>
      </c>
    </row>
    <row r="393">
      <c r="A393" s="224" t="str">
        <f>RawTotals!A393</f>
        <v/>
      </c>
      <c r="B393" s="75" t="str">
        <f>IFERROR(__xludf.DUMMYFUNCTION("IFERROR(FILTER('Pit Scouting Responses'!J:J,'Pit Scouting Responses'!C:C=A393),"""")"),"")</f>
        <v/>
      </c>
      <c r="C393" s="85" t="str">
        <f>IF(ISBLANK(A393),"",SUMIF(RawTotals!A$2:A1000, A393, RawTotals!O$2:O1000))</f>
        <v/>
      </c>
      <c r="D393" s="221" t="str">
        <f>IF(ISBLANK(A393),"",SUMIF(RawTotals!A$2:A1000, A393, RawTotals!D$2:D1000) + SUMIF(RawTotals!A$2:A1000, A393, RawTotals!M$2:M1000))</f>
        <v/>
      </c>
      <c r="E393" s="221" t="str">
        <f>IF(ISBLANK(A393),"",SUMIF(RawTotals!A$2:A1000, A393, RawTotals!C$2:C1000) + SUMIF(RawTotals!A$2:A1000, A393, RawTotals!L$2:L1000))</f>
        <v/>
      </c>
      <c r="F393" s="225" t="str">
        <f>IFERROR(__xludf.DUMMYFUNCTION("IFERROR(FILTER('Pit Scouting Responses'!G:G,'Pit Scouting Responses'!C:C=A393),"""")"),"")</f>
        <v/>
      </c>
      <c r="G393" s="226" t="str">
        <f>IFERROR(__xludf.DUMMYFUNCTION("IFERROR(FILTER('Pit Scouting Responses'!D:D,'Pit Scouting Responses'!C:C=A393),"""")"),"")</f>
        <v/>
      </c>
      <c r="H393" s="223" t="str">
        <f>RawTotals!AI393</f>
        <v/>
      </c>
    </row>
    <row r="394">
      <c r="A394" s="224" t="str">
        <f>RawTotals!A394</f>
        <v/>
      </c>
      <c r="B394" s="75" t="str">
        <f>IFERROR(__xludf.DUMMYFUNCTION("IFERROR(FILTER('Pit Scouting Responses'!J:J,'Pit Scouting Responses'!C:C=A394),"""")"),"")</f>
        <v/>
      </c>
      <c r="C394" s="85" t="str">
        <f>IF(ISBLANK(A394),"",SUMIF(RawTotals!A$2:A1000, A394, RawTotals!O$2:O1000))</f>
        <v/>
      </c>
      <c r="D394" s="221" t="str">
        <f>IF(ISBLANK(A394),"",SUMIF(RawTotals!A$2:A1000, A394, RawTotals!D$2:D1000) + SUMIF(RawTotals!A$2:A1000, A394, RawTotals!M$2:M1000))</f>
        <v/>
      </c>
      <c r="E394" s="221" t="str">
        <f>IF(ISBLANK(A394),"",SUMIF(RawTotals!A$2:A1000, A394, RawTotals!C$2:C1000) + SUMIF(RawTotals!A$2:A1000, A394, RawTotals!L$2:L1000))</f>
        <v/>
      </c>
      <c r="F394" s="225" t="str">
        <f>IFERROR(__xludf.DUMMYFUNCTION("IFERROR(FILTER('Pit Scouting Responses'!G:G,'Pit Scouting Responses'!C:C=A394),"""")"),"")</f>
        <v/>
      </c>
      <c r="G394" s="226" t="str">
        <f>IFERROR(__xludf.DUMMYFUNCTION("IFERROR(FILTER('Pit Scouting Responses'!D:D,'Pit Scouting Responses'!C:C=A394),"""")"),"")</f>
        <v/>
      </c>
      <c r="H394" s="223" t="str">
        <f>RawTotals!AI394</f>
        <v/>
      </c>
    </row>
    <row r="395">
      <c r="A395" s="224" t="str">
        <f>RawTotals!A395</f>
        <v/>
      </c>
      <c r="B395" s="75" t="str">
        <f>IFERROR(__xludf.DUMMYFUNCTION("IFERROR(FILTER('Pit Scouting Responses'!J:J,'Pit Scouting Responses'!C:C=A395),"""")"),"")</f>
        <v/>
      </c>
      <c r="C395" s="85" t="str">
        <f>IF(ISBLANK(A395),"",SUMIF(RawTotals!A$2:A1000, A395, RawTotals!O$2:O1000))</f>
        <v/>
      </c>
      <c r="D395" s="221" t="str">
        <f>IF(ISBLANK(A395),"",SUMIF(RawTotals!A$2:A1000, A395, RawTotals!D$2:D1000) + SUMIF(RawTotals!A$2:A1000, A395, RawTotals!M$2:M1000))</f>
        <v/>
      </c>
      <c r="E395" s="221" t="str">
        <f>IF(ISBLANK(A395),"",SUMIF(RawTotals!A$2:A1000, A395, RawTotals!C$2:C1000) + SUMIF(RawTotals!A$2:A1000, A395, RawTotals!L$2:L1000))</f>
        <v/>
      </c>
      <c r="F395" s="225" t="str">
        <f>IFERROR(__xludf.DUMMYFUNCTION("IFERROR(FILTER('Pit Scouting Responses'!G:G,'Pit Scouting Responses'!C:C=A395),"""")"),"")</f>
        <v/>
      </c>
      <c r="G395" s="226" t="str">
        <f>IFERROR(__xludf.DUMMYFUNCTION("IFERROR(FILTER('Pit Scouting Responses'!D:D,'Pit Scouting Responses'!C:C=A395),"""")"),"")</f>
        <v/>
      </c>
      <c r="H395" s="223" t="str">
        <f>RawTotals!AI395</f>
        <v/>
      </c>
    </row>
    <row r="396">
      <c r="A396" s="224" t="str">
        <f>RawTotals!A396</f>
        <v/>
      </c>
      <c r="B396" s="75" t="str">
        <f>IFERROR(__xludf.DUMMYFUNCTION("IFERROR(FILTER('Pit Scouting Responses'!J:J,'Pit Scouting Responses'!C:C=A396),"""")"),"")</f>
        <v/>
      </c>
      <c r="C396" s="85" t="str">
        <f>IF(ISBLANK(A396),"",SUMIF(RawTotals!A$2:A1000, A396, RawTotals!O$2:O1000))</f>
        <v/>
      </c>
      <c r="D396" s="221" t="str">
        <f>IF(ISBLANK(A396),"",SUMIF(RawTotals!A$2:A1000, A396, RawTotals!D$2:D1000) + SUMIF(RawTotals!A$2:A1000, A396, RawTotals!M$2:M1000))</f>
        <v/>
      </c>
      <c r="E396" s="221" t="str">
        <f>IF(ISBLANK(A396),"",SUMIF(RawTotals!A$2:A1000, A396, RawTotals!C$2:C1000) + SUMIF(RawTotals!A$2:A1000, A396, RawTotals!L$2:L1000))</f>
        <v/>
      </c>
      <c r="F396" s="225" t="str">
        <f>IFERROR(__xludf.DUMMYFUNCTION("IFERROR(FILTER('Pit Scouting Responses'!G:G,'Pit Scouting Responses'!C:C=A396),"""")"),"")</f>
        <v/>
      </c>
      <c r="G396" s="226" t="str">
        <f>IFERROR(__xludf.DUMMYFUNCTION("IFERROR(FILTER('Pit Scouting Responses'!D:D,'Pit Scouting Responses'!C:C=A396),"""")"),"")</f>
        <v/>
      </c>
      <c r="H396" s="223" t="str">
        <f>RawTotals!AI396</f>
        <v/>
      </c>
    </row>
    <row r="397">
      <c r="A397" s="224" t="str">
        <f>RawTotals!A397</f>
        <v/>
      </c>
      <c r="B397" s="75" t="str">
        <f>IFERROR(__xludf.DUMMYFUNCTION("IFERROR(FILTER('Pit Scouting Responses'!J:J,'Pit Scouting Responses'!C:C=A397),"""")"),"")</f>
        <v/>
      </c>
      <c r="C397" s="85" t="str">
        <f>IF(ISBLANK(A397),"",SUMIF(RawTotals!A$2:A1000, A397, RawTotals!O$2:O1000))</f>
        <v/>
      </c>
      <c r="D397" s="221" t="str">
        <f>IF(ISBLANK(A397),"",SUMIF(RawTotals!A$2:A1000, A397, RawTotals!D$2:D1000) + SUMIF(RawTotals!A$2:A1000, A397, RawTotals!M$2:M1000))</f>
        <v/>
      </c>
      <c r="E397" s="221" t="str">
        <f>IF(ISBLANK(A397),"",SUMIF(RawTotals!A$2:A1000, A397, RawTotals!C$2:C1000) + SUMIF(RawTotals!A$2:A1000, A397, RawTotals!L$2:L1000))</f>
        <v/>
      </c>
      <c r="F397" s="225" t="str">
        <f>IFERROR(__xludf.DUMMYFUNCTION("IFERROR(FILTER('Pit Scouting Responses'!G:G,'Pit Scouting Responses'!C:C=A397),"""")"),"")</f>
        <v/>
      </c>
      <c r="G397" s="226" t="str">
        <f>IFERROR(__xludf.DUMMYFUNCTION("IFERROR(FILTER('Pit Scouting Responses'!D:D,'Pit Scouting Responses'!C:C=A397),"""")"),"")</f>
        <v/>
      </c>
      <c r="H397" s="223" t="str">
        <f>RawTotals!AI397</f>
        <v/>
      </c>
    </row>
    <row r="398">
      <c r="A398" s="224" t="str">
        <f>RawTotals!A398</f>
        <v/>
      </c>
      <c r="B398" s="75" t="str">
        <f>IFERROR(__xludf.DUMMYFUNCTION("IFERROR(FILTER('Pit Scouting Responses'!J:J,'Pit Scouting Responses'!C:C=A398),"""")"),"")</f>
        <v/>
      </c>
      <c r="C398" s="85" t="str">
        <f>IF(ISBLANK(A398),"",SUMIF(RawTotals!A$2:A1000, A398, RawTotals!O$2:O1000))</f>
        <v/>
      </c>
      <c r="D398" s="221" t="str">
        <f>IF(ISBLANK(A398),"",SUMIF(RawTotals!A$2:A1000, A398, RawTotals!D$2:D1000) + SUMIF(RawTotals!A$2:A1000, A398, RawTotals!M$2:M1000))</f>
        <v/>
      </c>
      <c r="E398" s="221" t="str">
        <f>IF(ISBLANK(A398),"",SUMIF(RawTotals!A$2:A1000, A398, RawTotals!C$2:C1000) + SUMIF(RawTotals!A$2:A1000, A398, RawTotals!L$2:L1000))</f>
        <v/>
      </c>
      <c r="F398" s="225" t="str">
        <f>IFERROR(__xludf.DUMMYFUNCTION("IFERROR(FILTER('Pit Scouting Responses'!G:G,'Pit Scouting Responses'!C:C=A398),"""")"),"")</f>
        <v/>
      </c>
      <c r="G398" s="226" t="str">
        <f>IFERROR(__xludf.DUMMYFUNCTION("IFERROR(FILTER('Pit Scouting Responses'!D:D,'Pit Scouting Responses'!C:C=A398),"""")"),"")</f>
        <v/>
      </c>
      <c r="H398" s="223" t="str">
        <f>RawTotals!AI398</f>
        <v/>
      </c>
    </row>
    <row r="399">
      <c r="A399" s="224" t="str">
        <f>RawTotals!A399</f>
        <v/>
      </c>
      <c r="B399" s="75" t="str">
        <f>IFERROR(__xludf.DUMMYFUNCTION("IFERROR(FILTER('Pit Scouting Responses'!J:J,'Pit Scouting Responses'!C:C=A399),"""")"),"")</f>
        <v/>
      </c>
      <c r="C399" s="85" t="str">
        <f>IF(ISBLANK(A399),"",SUMIF(RawTotals!A$2:A1000, A399, RawTotals!O$2:O1000))</f>
        <v/>
      </c>
      <c r="D399" s="221" t="str">
        <f>IF(ISBLANK(A399),"",SUMIF(RawTotals!A$2:A1000, A399, RawTotals!D$2:D1000) + SUMIF(RawTotals!A$2:A1000, A399, RawTotals!M$2:M1000))</f>
        <v/>
      </c>
      <c r="E399" s="221" t="str">
        <f>IF(ISBLANK(A399),"",SUMIF(RawTotals!A$2:A1000, A399, RawTotals!C$2:C1000) + SUMIF(RawTotals!A$2:A1000, A399, RawTotals!L$2:L1000))</f>
        <v/>
      </c>
      <c r="F399" s="225" t="str">
        <f>IFERROR(__xludf.DUMMYFUNCTION("IFERROR(FILTER('Pit Scouting Responses'!G:G,'Pit Scouting Responses'!C:C=A399),"""")"),"")</f>
        <v/>
      </c>
      <c r="G399" s="226" t="str">
        <f>IFERROR(__xludf.DUMMYFUNCTION("IFERROR(FILTER('Pit Scouting Responses'!D:D,'Pit Scouting Responses'!C:C=A399),"""")"),"")</f>
        <v/>
      </c>
      <c r="H399" s="223" t="str">
        <f>RawTotals!AI399</f>
        <v/>
      </c>
    </row>
    <row r="400">
      <c r="A400" s="224" t="str">
        <f>RawTotals!A400</f>
        <v/>
      </c>
      <c r="B400" s="75" t="str">
        <f>IFERROR(__xludf.DUMMYFUNCTION("IFERROR(FILTER('Pit Scouting Responses'!J:J,'Pit Scouting Responses'!C:C=A400),"""")"),"")</f>
        <v/>
      </c>
      <c r="C400" s="85" t="str">
        <f>IF(ISBLANK(A400),"",SUMIF(RawTotals!A$2:A1000, A400, RawTotals!O$2:O1000))</f>
        <v/>
      </c>
      <c r="D400" s="221" t="str">
        <f>IF(ISBLANK(A400),"",SUMIF(RawTotals!A$2:A1000, A400, RawTotals!D$2:D1000) + SUMIF(RawTotals!A$2:A1000, A400, RawTotals!M$2:M1000))</f>
        <v/>
      </c>
      <c r="E400" s="221" t="str">
        <f>IF(ISBLANK(A400),"",SUMIF(RawTotals!A$2:A1000, A400, RawTotals!C$2:C1000) + SUMIF(RawTotals!A$2:A1000, A400, RawTotals!L$2:L1000))</f>
        <v/>
      </c>
      <c r="F400" s="225" t="str">
        <f>IFERROR(__xludf.DUMMYFUNCTION("IFERROR(FILTER('Pit Scouting Responses'!G:G,'Pit Scouting Responses'!C:C=A400),"""")"),"")</f>
        <v/>
      </c>
      <c r="G400" s="226" t="str">
        <f>IFERROR(__xludf.DUMMYFUNCTION("IFERROR(FILTER('Pit Scouting Responses'!D:D,'Pit Scouting Responses'!C:C=A400),"""")"),"")</f>
        <v/>
      </c>
      <c r="H400" s="223" t="str">
        <f>RawTotals!AI400</f>
        <v/>
      </c>
    </row>
    <row r="401">
      <c r="A401" s="224" t="str">
        <f>RawTotals!A401</f>
        <v/>
      </c>
      <c r="B401" s="75" t="str">
        <f>IFERROR(__xludf.DUMMYFUNCTION("IFERROR(FILTER('Pit Scouting Responses'!J:J,'Pit Scouting Responses'!C:C=A401),"""")"),"")</f>
        <v/>
      </c>
      <c r="C401" s="85" t="str">
        <f>IF(ISBLANK(A401),"",SUMIF(RawTotals!A$2:A1000, A401, RawTotals!O$2:O1000))</f>
        <v/>
      </c>
      <c r="D401" s="221" t="str">
        <f>IF(ISBLANK(A401),"",SUMIF(RawTotals!A$2:A1000, A401, RawTotals!D$2:D1000) + SUMIF(RawTotals!A$2:A1000, A401, RawTotals!M$2:M1000))</f>
        <v/>
      </c>
      <c r="E401" s="221" t="str">
        <f>IF(ISBLANK(A401),"",SUMIF(RawTotals!A$2:A1000, A401, RawTotals!C$2:C1000) + SUMIF(RawTotals!A$2:A1000, A401, RawTotals!L$2:L1000))</f>
        <v/>
      </c>
      <c r="F401" s="225" t="str">
        <f>IFERROR(__xludf.DUMMYFUNCTION("IFERROR(FILTER('Pit Scouting Responses'!G:G,'Pit Scouting Responses'!C:C=A401),"""")"),"")</f>
        <v/>
      </c>
      <c r="G401" s="226" t="str">
        <f>IFERROR(__xludf.DUMMYFUNCTION("IFERROR(FILTER('Pit Scouting Responses'!D:D,'Pit Scouting Responses'!C:C=A401),"""")"),"")</f>
        <v/>
      </c>
      <c r="H401" s="223" t="str">
        <f>RawTotals!AI401</f>
        <v/>
      </c>
    </row>
    <row r="402">
      <c r="A402" s="224" t="str">
        <f>RawTotals!A402</f>
        <v/>
      </c>
      <c r="B402" s="75" t="str">
        <f>IFERROR(__xludf.DUMMYFUNCTION("IFERROR(FILTER('Pit Scouting Responses'!J:J,'Pit Scouting Responses'!C:C=A402),"""")"),"")</f>
        <v/>
      </c>
      <c r="C402" s="85" t="str">
        <f>IF(ISBLANK(A402),"",SUMIF(RawTotals!A$2:A1000, A402, RawTotals!O$2:O1000))</f>
        <v/>
      </c>
      <c r="D402" s="221" t="str">
        <f>IF(ISBLANK(A402),"",SUMIF(RawTotals!A$2:A1000, A402, RawTotals!D$2:D1000) + SUMIF(RawTotals!A$2:A1000, A402, RawTotals!M$2:M1000))</f>
        <v/>
      </c>
      <c r="E402" s="221" t="str">
        <f>IF(ISBLANK(A402),"",SUMIF(RawTotals!A$2:A1000, A402, RawTotals!C$2:C1000) + SUMIF(RawTotals!A$2:A1000, A402, RawTotals!L$2:L1000))</f>
        <v/>
      </c>
      <c r="F402" s="225" t="str">
        <f>IFERROR(__xludf.DUMMYFUNCTION("IFERROR(FILTER('Pit Scouting Responses'!G:G,'Pit Scouting Responses'!C:C=A402),"""")"),"")</f>
        <v/>
      </c>
      <c r="G402" s="226" t="str">
        <f>IFERROR(__xludf.DUMMYFUNCTION("IFERROR(FILTER('Pit Scouting Responses'!D:D,'Pit Scouting Responses'!C:C=A402),"""")"),"")</f>
        <v/>
      </c>
      <c r="H402" s="223" t="str">
        <f>RawTotals!AI402</f>
        <v/>
      </c>
    </row>
    <row r="403">
      <c r="A403" s="224" t="str">
        <f>RawTotals!A403</f>
        <v/>
      </c>
      <c r="B403" s="75" t="str">
        <f>IFERROR(__xludf.DUMMYFUNCTION("IFERROR(FILTER('Pit Scouting Responses'!J:J,'Pit Scouting Responses'!C:C=A403),"""")"),"")</f>
        <v/>
      </c>
      <c r="C403" s="85" t="str">
        <f>IF(ISBLANK(A403),"",SUMIF(RawTotals!A$2:A1000, A403, RawTotals!O$2:O1000))</f>
        <v/>
      </c>
      <c r="D403" s="221" t="str">
        <f>IF(ISBLANK(A403),"",SUMIF(RawTotals!A$2:A1000, A403, RawTotals!D$2:D1000) + SUMIF(RawTotals!A$2:A1000, A403, RawTotals!M$2:M1000))</f>
        <v/>
      </c>
      <c r="E403" s="221" t="str">
        <f>IF(ISBLANK(A403),"",SUMIF(RawTotals!A$2:A1000, A403, RawTotals!C$2:C1000) + SUMIF(RawTotals!A$2:A1000, A403, RawTotals!L$2:L1000))</f>
        <v/>
      </c>
      <c r="F403" s="225" t="str">
        <f>IFERROR(__xludf.DUMMYFUNCTION("IFERROR(FILTER('Pit Scouting Responses'!G:G,'Pit Scouting Responses'!C:C=A403),"""")"),"")</f>
        <v/>
      </c>
      <c r="G403" s="226" t="str">
        <f>IFERROR(__xludf.DUMMYFUNCTION("IFERROR(FILTER('Pit Scouting Responses'!D:D,'Pit Scouting Responses'!C:C=A403),"""")"),"")</f>
        <v/>
      </c>
      <c r="H403" s="223" t="str">
        <f>RawTotals!AI403</f>
        <v/>
      </c>
    </row>
    <row r="404">
      <c r="A404" s="224" t="str">
        <f>RawTotals!A404</f>
        <v/>
      </c>
      <c r="B404" s="75" t="str">
        <f>IFERROR(__xludf.DUMMYFUNCTION("IFERROR(FILTER('Pit Scouting Responses'!J:J,'Pit Scouting Responses'!C:C=A404),"""")"),"")</f>
        <v/>
      </c>
      <c r="C404" s="85" t="str">
        <f>IF(ISBLANK(A404),"",SUMIF(RawTotals!A$2:A1000, A404, RawTotals!O$2:O1000))</f>
        <v/>
      </c>
      <c r="D404" s="221" t="str">
        <f>IF(ISBLANK(A404),"",SUMIF(RawTotals!A$2:A1000, A404, RawTotals!D$2:D1000) + SUMIF(RawTotals!A$2:A1000, A404, RawTotals!M$2:M1000))</f>
        <v/>
      </c>
      <c r="E404" s="221" t="str">
        <f>IF(ISBLANK(A404),"",SUMIF(RawTotals!A$2:A1000, A404, RawTotals!C$2:C1000) + SUMIF(RawTotals!A$2:A1000, A404, RawTotals!L$2:L1000))</f>
        <v/>
      </c>
      <c r="F404" s="225" t="str">
        <f>IFERROR(__xludf.DUMMYFUNCTION("IFERROR(FILTER('Pit Scouting Responses'!G:G,'Pit Scouting Responses'!C:C=A404),"""")"),"")</f>
        <v/>
      </c>
      <c r="G404" s="226" t="str">
        <f>IFERROR(__xludf.DUMMYFUNCTION("IFERROR(FILTER('Pit Scouting Responses'!D:D,'Pit Scouting Responses'!C:C=A404),"""")"),"")</f>
        <v/>
      </c>
      <c r="H404" s="223" t="str">
        <f>RawTotals!AI404</f>
        <v/>
      </c>
    </row>
    <row r="405">
      <c r="A405" s="224" t="str">
        <f>RawTotals!A405</f>
        <v/>
      </c>
      <c r="B405" s="75" t="str">
        <f>IFERROR(__xludf.DUMMYFUNCTION("IFERROR(FILTER('Pit Scouting Responses'!J:J,'Pit Scouting Responses'!C:C=A405),"""")"),"")</f>
        <v/>
      </c>
      <c r="C405" s="85" t="str">
        <f>IF(ISBLANK(A405),"",SUMIF(RawTotals!A$2:A1000, A405, RawTotals!O$2:O1000))</f>
        <v/>
      </c>
      <c r="D405" s="221" t="str">
        <f>IF(ISBLANK(A405),"",SUMIF(RawTotals!A$2:A1000, A405, RawTotals!D$2:D1000) + SUMIF(RawTotals!A$2:A1000, A405, RawTotals!M$2:M1000))</f>
        <v/>
      </c>
      <c r="E405" s="221" t="str">
        <f>IF(ISBLANK(A405),"",SUMIF(RawTotals!A$2:A1000, A405, RawTotals!C$2:C1000) + SUMIF(RawTotals!A$2:A1000, A405, RawTotals!L$2:L1000))</f>
        <v/>
      </c>
      <c r="F405" s="225" t="str">
        <f>IFERROR(__xludf.DUMMYFUNCTION("IFERROR(FILTER('Pit Scouting Responses'!G:G,'Pit Scouting Responses'!C:C=A405),"""")"),"")</f>
        <v/>
      </c>
      <c r="G405" s="226" t="str">
        <f>IFERROR(__xludf.DUMMYFUNCTION("IFERROR(FILTER('Pit Scouting Responses'!D:D,'Pit Scouting Responses'!C:C=A405),"""")"),"")</f>
        <v/>
      </c>
      <c r="H405" s="223" t="str">
        <f>RawTotals!AI405</f>
        <v/>
      </c>
    </row>
    <row r="406">
      <c r="A406" s="224" t="str">
        <f>RawTotals!A406</f>
        <v/>
      </c>
      <c r="B406" s="75" t="str">
        <f>IFERROR(__xludf.DUMMYFUNCTION("IFERROR(FILTER('Pit Scouting Responses'!J:J,'Pit Scouting Responses'!C:C=A406),"""")"),"")</f>
        <v/>
      </c>
      <c r="C406" s="85" t="str">
        <f>IF(ISBLANK(A406),"",SUMIF(RawTotals!A$2:A1000, A406, RawTotals!O$2:O1000))</f>
        <v/>
      </c>
      <c r="D406" s="221" t="str">
        <f>IF(ISBLANK(A406),"",SUMIF(RawTotals!A$2:A1000, A406, RawTotals!D$2:D1000) + SUMIF(RawTotals!A$2:A1000, A406, RawTotals!M$2:M1000))</f>
        <v/>
      </c>
      <c r="E406" s="221" t="str">
        <f>IF(ISBLANK(A406),"",SUMIF(RawTotals!A$2:A1000, A406, RawTotals!C$2:C1000) + SUMIF(RawTotals!A$2:A1000, A406, RawTotals!L$2:L1000))</f>
        <v/>
      </c>
      <c r="F406" s="225" t="str">
        <f>IFERROR(__xludf.DUMMYFUNCTION("IFERROR(FILTER('Pit Scouting Responses'!G:G,'Pit Scouting Responses'!C:C=A406),"""")"),"")</f>
        <v/>
      </c>
      <c r="G406" s="226" t="str">
        <f>IFERROR(__xludf.DUMMYFUNCTION("IFERROR(FILTER('Pit Scouting Responses'!D:D,'Pit Scouting Responses'!C:C=A406),"""")"),"")</f>
        <v/>
      </c>
      <c r="H406" s="223" t="str">
        <f>RawTotals!AI406</f>
        <v/>
      </c>
    </row>
    <row r="407">
      <c r="A407" s="224" t="str">
        <f>RawTotals!A407</f>
        <v/>
      </c>
      <c r="B407" s="75" t="str">
        <f>IFERROR(__xludf.DUMMYFUNCTION("IFERROR(FILTER('Pit Scouting Responses'!J:J,'Pit Scouting Responses'!C:C=A407),"""")"),"")</f>
        <v/>
      </c>
      <c r="C407" s="85" t="str">
        <f>IF(ISBLANK(A407),"",SUMIF(RawTotals!A$2:A1000, A407, RawTotals!O$2:O1000))</f>
        <v/>
      </c>
      <c r="D407" s="221" t="str">
        <f>IF(ISBLANK(A407),"",SUMIF(RawTotals!A$2:A1000, A407, RawTotals!D$2:D1000) + SUMIF(RawTotals!A$2:A1000, A407, RawTotals!M$2:M1000))</f>
        <v/>
      </c>
      <c r="E407" s="221" t="str">
        <f>IF(ISBLANK(A407),"",SUMIF(RawTotals!A$2:A1000, A407, RawTotals!C$2:C1000) + SUMIF(RawTotals!A$2:A1000, A407, RawTotals!L$2:L1000))</f>
        <v/>
      </c>
      <c r="F407" s="225" t="str">
        <f>IFERROR(__xludf.DUMMYFUNCTION("IFERROR(FILTER('Pit Scouting Responses'!G:G,'Pit Scouting Responses'!C:C=A407),"""")"),"")</f>
        <v/>
      </c>
      <c r="G407" s="226" t="str">
        <f>IFERROR(__xludf.DUMMYFUNCTION("IFERROR(FILTER('Pit Scouting Responses'!D:D,'Pit Scouting Responses'!C:C=A407),"""")"),"")</f>
        <v/>
      </c>
      <c r="H407" s="223" t="str">
        <f>RawTotals!AI407</f>
        <v/>
      </c>
    </row>
    <row r="408">
      <c r="A408" s="224" t="str">
        <f>RawTotals!A408</f>
        <v/>
      </c>
      <c r="B408" s="75" t="str">
        <f>IFERROR(__xludf.DUMMYFUNCTION("IFERROR(FILTER('Pit Scouting Responses'!J:J,'Pit Scouting Responses'!C:C=A408),"""")"),"")</f>
        <v/>
      </c>
      <c r="C408" s="85" t="str">
        <f>IF(ISBLANK(A408),"",SUMIF(RawTotals!A$2:A1000, A408, RawTotals!O$2:O1000))</f>
        <v/>
      </c>
      <c r="D408" s="221" t="str">
        <f>IF(ISBLANK(A408),"",SUMIF(RawTotals!A$2:A1000, A408, RawTotals!D$2:D1000) + SUMIF(RawTotals!A$2:A1000, A408, RawTotals!M$2:M1000))</f>
        <v/>
      </c>
      <c r="E408" s="221" t="str">
        <f>IF(ISBLANK(A408),"",SUMIF(RawTotals!A$2:A1000, A408, RawTotals!C$2:C1000) + SUMIF(RawTotals!A$2:A1000, A408, RawTotals!L$2:L1000))</f>
        <v/>
      </c>
      <c r="F408" s="225" t="str">
        <f>IFERROR(__xludf.DUMMYFUNCTION("IFERROR(FILTER('Pit Scouting Responses'!G:G,'Pit Scouting Responses'!C:C=A408),"""")"),"")</f>
        <v/>
      </c>
      <c r="G408" s="226" t="str">
        <f>IFERROR(__xludf.DUMMYFUNCTION("IFERROR(FILTER('Pit Scouting Responses'!D:D,'Pit Scouting Responses'!C:C=A408),"""")"),"")</f>
        <v/>
      </c>
      <c r="H408" s="223" t="str">
        <f>RawTotals!AI408</f>
        <v/>
      </c>
    </row>
    <row r="409">
      <c r="A409" s="224" t="str">
        <f>RawTotals!A409</f>
        <v/>
      </c>
      <c r="B409" s="75" t="str">
        <f>IFERROR(__xludf.DUMMYFUNCTION("IFERROR(FILTER('Pit Scouting Responses'!J:J,'Pit Scouting Responses'!C:C=A409),"""")"),"")</f>
        <v/>
      </c>
      <c r="C409" s="85" t="str">
        <f>IF(ISBLANK(A409),"",SUMIF(RawTotals!A$2:A1000, A409, RawTotals!O$2:O1000))</f>
        <v/>
      </c>
      <c r="D409" s="221" t="str">
        <f>IF(ISBLANK(A409),"",SUMIF(RawTotals!A$2:A1000, A409, RawTotals!D$2:D1000) + SUMIF(RawTotals!A$2:A1000, A409, RawTotals!M$2:M1000))</f>
        <v/>
      </c>
      <c r="E409" s="221" t="str">
        <f>IF(ISBLANK(A409),"",SUMIF(RawTotals!A$2:A1000, A409, RawTotals!C$2:C1000) + SUMIF(RawTotals!A$2:A1000, A409, RawTotals!L$2:L1000))</f>
        <v/>
      </c>
      <c r="F409" s="225" t="str">
        <f>IFERROR(__xludf.DUMMYFUNCTION("IFERROR(FILTER('Pit Scouting Responses'!G:G,'Pit Scouting Responses'!C:C=A409),"""")"),"")</f>
        <v/>
      </c>
      <c r="G409" s="226" t="str">
        <f>IFERROR(__xludf.DUMMYFUNCTION("IFERROR(FILTER('Pit Scouting Responses'!D:D,'Pit Scouting Responses'!C:C=A409),"""")"),"")</f>
        <v/>
      </c>
      <c r="H409" s="223" t="str">
        <f>RawTotals!AI409</f>
        <v/>
      </c>
    </row>
    <row r="410">
      <c r="A410" s="224" t="str">
        <f>RawTotals!A410</f>
        <v/>
      </c>
      <c r="B410" s="75" t="str">
        <f>IFERROR(__xludf.DUMMYFUNCTION("IFERROR(FILTER('Pit Scouting Responses'!J:J,'Pit Scouting Responses'!C:C=A410),"""")"),"")</f>
        <v/>
      </c>
      <c r="C410" s="85" t="str">
        <f>IF(ISBLANK(A410),"",SUMIF(RawTotals!A$2:A1000, A410, RawTotals!O$2:O1000))</f>
        <v/>
      </c>
      <c r="D410" s="221" t="str">
        <f>IF(ISBLANK(A410),"",SUMIF(RawTotals!A$2:A1000, A410, RawTotals!D$2:D1000) + SUMIF(RawTotals!A$2:A1000, A410, RawTotals!M$2:M1000))</f>
        <v/>
      </c>
      <c r="E410" s="221" t="str">
        <f>IF(ISBLANK(A410),"",SUMIF(RawTotals!A$2:A1000, A410, RawTotals!C$2:C1000) + SUMIF(RawTotals!A$2:A1000, A410, RawTotals!L$2:L1000))</f>
        <v/>
      </c>
      <c r="F410" s="225" t="str">
        <f>IFERROR(__xludf.DUMMYFUNCTION("IFERROR(FILTER('Pit Scouting Responses'!G:G,'Pit Scouting Responses'!C:C=A410),"""")"),"")</f>
        <v/>
      </c>
      <c r="G410" s="226" t="str">
        <f>IFERROR(__xludf.DUMMYFUNCTION("IFERROR(FILTER('Pit Scouting Responses'!D:D,'Pit Scouting Responses'!C:C=A410),"""")"),"")</f>
        <v/>
      </c>
      <c r="H410" s="223" t="str">
        <f>RawTotals!AI410</f>
        <v/>
      </c>
    </row>
    <row r="411">
      <c r="A411" s="224" t="str">
        <f>RawTotals!A411</f>
        <v/>
      </c>
      <c r="B411" s="75" t="str">
        <f>IFERROR(__xludf.DUMMYFUNCTION("IFERROR(FILTER('Pit Scouting Responses'!J:J,'Pit Scouting Responses'!C:C=A411),"""")"),"")</f>
        <v/>
      </c>
      <c r="C411" s="85" t="str">
        <f>IF(ISBLANK(A411),"",SUMIF(RawTotals!A$2:A1000, A411, RawTotals!O$2:O1000))</f>
        <v/>
      </c>
      <c r="D411" s="221" t="str">
        <f>IF(ISBLANK(A411),"",SUMIF(RawTotals!A$2:A1000, A411, RawTotals!D$2:D1000) + SUMIF(RawTotals!A$2:A1000, A411, RawTotals!M$2:M1000))</f>
        <v/>
      </c>
      <c r="E411" s="221" t="str">
        <f>IF(ISBLANK(A411),"",SUMIF(RawTotals!A$2:A1000, A411, RawTotals!C$2:C1000) + SUMIF(RawTotals!A$2:A1000, A411, RawTotals!L$2:L1000))</f>
        <v/>
      </c>
      <c r="F411" s="225" t="str">
        <f>IFERROR(__xludf.DUMMYFUNCTION("IFERROR(FILTER('Pit Scouting Responses'!G:G,'Pit Scouting Responses'!C:C=A411),"""")"),"")</f>
        <v/>
      </c>
      <c r="G411" s="226" t="str">
        <f>IFERROR(__xludf.DUMMYFUNCTION("IFERROR(FILTER('Pit Scouting Responses'!D:D,'Pit Scouting Responses'!C:C=A411),"""")"),"")</f>
        <v/>
      </c>
      <c r="H411" s="223" t="str">
        <f>RawTotals!AI411</f>
        <v/>
      </c>
    </row>
    <row r="412">
      <c r="A412" s="224" t="str">
        <f>RawTotals!A412</f>
        <v/>
      </c>
      <c r="B412" s="75" t="str">
        <f>IFERROR(__xludf.DUMMYFUNCTION("IFERROR(FILTER('Pit Scouting Responses'!J:J,'Pit Scouting Responses'!C:C=A412),"""")"),"")</f>
        <v/>
      </c>
      <c r="C412" s="85" t="str">
        <f>IF(ISBLANK(A412),"",SUMIF(RawTotals!A$2:A1000, A412, RawTotals!O$2:O1000))</f>
        <v/>
      </c>
      <c r="D412" s="221" t="str">
        <f>IF(ISBLANK(A412),"",SUMIF(RawTotals!A$2:A1000, A412, RawTotals!D$2:D1000) + SUMIF(RawTotals!A$2:A1000, A412, RawTotals!M$2:M1000))</f>
        <v/>
      </c>
      <c r="E412" s="221" t="str">
        <f>IF(ISBLANK(A412),"",SUMIF(RawTotals!A$2:A1000, A412, RawTotals!C$2:C1000) + SUMIF(RawTotals!A$2:A1000, A412, RawTotals!L$2:L1000))</f>
        <v/>
      </c>
      <c r="F412" s="225" t="str">
        <f>IFERROR(__xludf.DUMMYFUNCTION("IFERROR(FILTER('Pit Scouting Responses'!G:G,'Pit Scouting Responses'!C:C=A412),"""")"),"")</f>
        <v/>
      </c>
      <c r="G412" s="226" t="str">
        <f>IFERROR(__xludf.DUMMYFUNCTION("IFERROR(FILTER('Pit Scouting Responses'!D:D,'Pit Scouting Responses'!C:C=A412),"""")"),"")</f>
        <v/>
      </c>
      <c r="H412" s="223" t="str">
        <f>RawTotals!AI412</f>
        <v/>
      </c>
    </row>
    <row r="413">
      <c r="A413" s="224" t="str">
        <f>RawTotals!A413</f>
        <v/>
      </c>
      <c r="B413" s="75" t="str">
        <f>IFERROR(__xludf.DUMMYFUNCTION("IFERROR(FILTER('Pit Scouting Responses'!J:J,'Pit Scouting Responses'!C:C=A413),"""")"),"")</f>
        <v/>
      </c>
      <c r="C413" s="85" t="str">
        <f>IF(ISBLANK(A413),"",SUMIF(RawTotals!A$2:A1000, A413, RawTotals!O$2:O1000))</f>
        <v/>
      </c>
      <c r="D413" s="221" t="str">
        <f>IF(ISBLANK(A413),"",SUMIF(RawTotals!A$2:A1000, A413, RawTotals!D$2:D1000) + SUMIF(RawTotals!A$2:A1000, A413, RawTotals!M$2:M1000))</f>
        <v/>
      </c>
      <c r="E413" s="221" t="str">
        <f>IF(ISBLANK(A413),"",SUMIF(RawTotals!A$2:A1000, A413, RawTotals!C$2:C1000) + SUMIF(RawTotals!A$2:A1000, A413, RawTotals!L$2:L1000))</f>
        <v/>
      </c>
      <c r="F413" s="225" t="str">
        <f>IFERROR(__xludf.DUMMYFUNCTION("IFERROR(FILTER('Pit Scouting Responses'!G:G,'Pit Scouting Responses'!C:C=A413),"""")"),"")</f>
        <v/>
      </c>
      <c r="G413" s="226" t="str">
        <f>IFERROR(__xludf.DUMMYFUNCTION("IFERROR(FILTER('Pit Scouting Responses'!D:D,'Pit Scouting Responses'!C:C=A413),"""")"),"")</f>
        <v/>
      </c>
      <c r="H413" s="223" t="str">
        <f>RawTotals!AI413</f>
        <v/>
      </c>
    </row>
    <row r="414">
      <c r="A414" s="224" t="str">
        <f>RawTotals!A414</f>
        <v/>
      </c>
      <c r="B414" s="75" t="str">
        <f>IFERROR(__xludf.DUMMYFUNCTION("IFERROR(FILTER('Pit Scouting Responses'!J:J,'Pit Scouting Responses'!C:C=A414),"""")"),"")</f>
        <v/>
      </c>
      <c r="C414" s="85" t="str">
        <f>IF(ISBLANK(A414),"",SUMIF(RawTotals!A$2:A1000, A414, RawTotals!O$2:O1000))</f>
        <v/>
      </c>
      <c r="D414" s="221" t="str">
        <f>IF(ISBLANK(A414),"",SUMIF(RawTotals!A$2:A1000, A414, RawTotals!D$2:D1000) + SUMIF(RawTotals!A$2:A1000, A414, RawTotals!M$2:M1000))</f>
        <v/>
      </c>
      <c r="E414" s="221" t="str">
        <f>IF(ISBLANK(A414),"",SUMIF(RawTotals!A$2:A1000, A414, RawTotals!C$2:C1000) + SUMIF(RawTotals!A$2:A1000, A414, RawTotals!L$2:L1000))</f>
        <v/>
      </c>
      <c r="F414" s="225" t="str">
        <f>IFERROR(__xludf.DUMMYFUNCTION("IFERROR(FILTER('Pit Scouting Responses'!G:G,'Pit Scouting Responses'!C:C=A414),"""")"),"")</f>
        <v/>
      </c>
      <c r="G414" s="226" t="str">
        <f>IFERROR(__xludf.DUMMYFUNCTION("IFERROR(FILTER('Pit Scouting Responses'!D:D,'Pit Scouting Responses'!C:C=A414),"""")"),"")</f>
        <v/>
      </c>
      <c r="H414" s="223" t="str">
        <f>RawTotals!AI414</f>
        <v/>
      </c>
    </row>
    <row r="415">
      <c r="A415" s="224" t="str">
        <f>RawTotals!A415</f>
        <v/>
      </c>
      <c r="B415" s="75" t="str">
        <f>IFERROR(__xludf.DUMMYFUNCTION("IFERROR(FILTER('Pit Scouting Responses'!J:J,'Pit Scouting Responses'!C:C=A415),"""")"),"")</f>
        <v/>
      </c>
      <c r="C415" s="85" t="str">
        <f>IF(ISBLANK(A415),"",SUMIF(RawTotals!A$2:A1000, A415, RawTotals!O$2:O1000))</f>
        <v/>
      </c>
      <c r="D415" s="221" t="str">
        <f>IF(ISBLANK(A415),"",SUMIF(RawTotals!A$2:A1000, A415, RawTotals!D$2:D1000) + SUMIF(RawTotals!A$2:A1000, A415, RawTotals!M$2:M1000))</f>
        <v/>
      </c>
      <c r="E415" s="221" t="str">
        <f>IF(ISBLANK(A415),"",SUMIF(RawTotals!A$2:A1000, A415, RawTotals!C$2:C1000) + SUMIF(RawTotals!A$2:A1000, A415, RawTotals!L$2:L1000))</f>
        <v/>
      </c>
      <c r="F415" s="225" t="str">
        <f>IFERROR(__xludf.DUMMYFUNCTION("IFERROR(FILTER('Pit Scouting Responses'!G:G,'Pit Scouting Responses'!C:C=A415),"""")"),"")</f>
        <v/>
      </c>
      <c r="G415" s="226" t="str">
        <f>IFERROR(__xludf.DUMMYFUNCTION("IFERROR(FILTER('Pit Scouting Responses'!D:D,'Pit Scouting Responses'!C:C=A415),"""")"),"")</f>
        <v/>
      </c>
      <c r="H415" s="223" t="str">
        <f>RawTotals!AI415</f>
        <v/>
      </c>
    </row>
    <row r="416">
      <c r="A416" s="224" t="str">
        <f>RawTotals!A416</f>
        <v/>
      </c>
      <c r="B416" s="75" t="str">
        <f>IFERROR(__xludf.DUMMYFUNCTION("IFERROR(FILTER('Pit Scouting Responses'!J:J,'Pit Scouting Responses'!C:C=A416),"""")"),"")</f>
        <v/>
      </c>
      <c r="C416" s="85" t="str">
        <f>IF(ISBLANK(A416),"",SUMIF(RawTotals!A$2:A1000, A416, RawTotals!O$2:O1000))</f>
        <v/>
      </c>
      <c r="D416" s="221" t="str">
        <f>IF(ISBLANK(A416),"",SUMIF(RawTotals!A$2:A1000, A416, RawTotals!D$2:D1000) + SUMIF(RawTotals!A$2:A1000, A416, RawTotals!M$2:M1000))</f>
        <v/>
      </c>
      <c r="E416" s="221" t="str">
        <f>IF(ISBLANK(A416),"",SUMIF(RawTotals!A$2:A1000, A416, RawTotals!C$2:C1000) + SUMIF(RawTotals!A$2:A1000, A416, RawTotals!L$2:L1000))</f>
        <v/>
      </c>
      <c r="F416" s="225" t="str">
        <f>IFERROR(__xludf.DUMMYFUNCTION("IFERROR(FILTER('Pit Scouting Responses'!G:G,'Pit Scouting Responses'!C:C=A416),"""")"),"")</f>
        <v/>
      </c>
      <c r="G416" s="226" t="str">
        <f>IFERROR(__xludf.DUMMYFUNCTION("IFERROR(FILTER('Pit Scouting Responses'!D:D,'Pit Scouting Responses'!C:C=A416),"""")"),"")</f>
        <v/>
      </c>
      <c r="H416" s="223" t="str">
        <f>RawTotals!AI416</f>
        <v/>
      </c>
    </row>
    <row r="417">
      <c r="A417" s="224" t="str">
        <f>RawTotals!A417</f>
        <v/>
      </c>
      <c r="B417" s="75" t="str">
        <f>IFERROR(__xludf.DUMMYFUNCTION("IFERROR(FILTER('Pit Scouting Responses'!J:J,'Pit Scouting Responses'!C:C=A417),"""")"),"")</f>
        <v/>
      </c>
      <c r="C417" s="85" t="str">
        <f>IF(ISBLANK(A417),"",SUMIF(RawTotals!A$2:A1000, A417, RawTotals!O$2:O1000))</f>
        <v/>
      </c>
      <c r="D417" s="221" t="str">
        <f>IF(ISBLANK(A417),"",SUMIF(RawTotals!A$2:A1000, A417, RawTotals!D$2:D1000) + SUMIF(RawTotals!A$2:A1000, A417, RawTotals!M$2:M1000))</f>
        <v/>
      </c>
      <c r="E417" s="221" t="str">
        <f>IF(ISBLANK(A417),"",SUMIF(RawTotals!A$2:A1000, A417, RawTotals!C$2:C1000) + SUMIF(RawTotals!A$2:A1000, A417, RawTotals!L$2:L1000))</f>
        <v/>
      </c>
      <c r="F417" s="225" t="str">
        <f>IFERROR(__xludf.DUMMYFUNCTION("IFERROR(FILTER('Pit Scouting Responses'!G:G,'Pit Scouting Responses'!C:C=A417),"""")"),"")</f>
        <v/>
      </c>
      <c r="G417" s="226" t="str">
        <f>IFERROR(__xludf.DUMMYFUNCTION("IFERROR(FILTER('Pit Scouting Responses'!D:D,'Pit Scouting Responses'!C:C=A417),"""")"),"")</f>
        <v/>
      </c>
      <c r="H417" s="223" t="str">
        <f>RawTotals!AI417</f>
        <v/>
      </c>
    </row>
    <row r="418">
      <c r="A418" s="224" t="str">
        <f>RawTotals!A418</f>
        <v/>
      </c>
      <c r="B418" s="75" t="str">
        <f>IFERROR(__xludf.DUMMYFUNCTION("IFERROR(FILTER('Pit Scouting Responses'!J:J,'Pit Scouting Responses'!C:C=A418),"""")"),"")</f>
        <v/>
      </c>
      <c r="C418" s="85" t="str">
        <f>IF(ISBLANK(A418),"",SUMIF(RawTotals!A$2:A1000, A418, RawTotals!O$2:O1000))</f>
        <v/>
      </c>
      <c r="D418" s="221" t="str">
        <f>IF(ISBLANK(A418),"",SUMIF(RawTotals!A$2:A1000, A418, RawTotals!D$2:D1000) + SUMIF(RawTotals!A$2:A1000, A418, RawTotals!M$2:M1000))</f>
        <v/>
      </c>
      <c r="E418" s="221" t="str">
        <f>IF(ISBLANK(A418),"",SUMIF(RawTotals!A$2:A1000, A418, RawTotals!C$2:C1000) + SUMIF(RawTotals!A$2:A1000, A418, RawTotals!L$2:L1000))</f>
        <v/>
      </c>
      <c r="F418" s="225" t="str">
        <f>IFERROR(__xludf.DUMMYFUNCTION("IFERROR(FILTER('Pit Scouting Responses'!G:G,'Pit Scouting Responses'!C:C=A418),"""")"),"")</f>
        <v/>
      </c>
      <c r="G418" s="226" t="str">
        <f>IFERROR(__xludf.DUMMYFUNCTION("IFERROR(FILTER('Pit Scouting Responses'!D:D,'Pit Scouting Responses'!C:C=A418),"""")"),"")</f>
        <v/>
      </c>
      <c r="H418" s="223" t="str">
        <f>RawTotals!AI418</f>
        <v/>
      </c>
    </row>
    <row r="419">
      <c r="A419" s="224" t="str">
        <f>RawTotals!A419</f>
        <v/>
      </c>
      <c r="B419" s="75" t="str">
        <f>IFERROR(__xludf.DUMMYFUNCTION("IFERROR(FILTER('Pit Scouting Responses'!J:J,'Pit Scouting Responses'!C:C=A419),"""")"),"")</f>
        <v/>
      </c>
      <c r="C419" s="85" t="str">
        <f>IF(ISBLANK(A419),"",SUMIF(RawTotals!A$2:A1000, A419, RawTotals!O$2:O1000))</f>
        <v/>
      </c>
      <c r="D419" s="221" t="str">
        <f>IF(ISBLANK(A419),"",SUMIF(RawTotals!A$2:A1000, A419, RawTotals!D$2:D1000) + SUMIF(RawTotals!A$2:A1000, A419, RawTotals!M$2:M1000))</f>
        <v/>
      </c>
      <c r="E419" s="221" t="str">
        <f>IF(ISBLANK(A419),"",SUMIF(RawTotals!A$2:A1000, A419, RawTotals!C$2:C1000) + SUMIF(RawTotals!A$2:A1000, A419, RawTotals!L$2:L1000))</f>
        <v/>
      </c>
      <c r="F419" s="225" t="str">
        <f>IFERROR(__xludf.DUMMYFUNCTION("IFERROR(FILTER('Pit Scouting Responses'!G:G,'Pit Scouting Responses'!C:C=A419),"""")"),"")</f>
        <v/>
      </c>
      <c r="G419" s="226" t="str">
        <f>IFERROR(__xludf.DUMMYFUNCTION("IFERROR(FILTER('Pit Scouting Responses'!D:D,'Pit Scouting Responses'!C:C=A419),"""")"),"")</f>
        <v/>
      </c>
      <c r="H419" s="223" t="str">
        <f>RawTotals!AI419</f>
        <v/>
      </c>
    </row>
    <row r="420">
      <c r="A420" s="224" t="str">
        <f>RawTotals!A420</f>
        <v/>
      </c>
      <c r="B420" s="75" t="str">
        <f>IFERROR(__xludf.DUMMYFUNCTION("IFERROR(FILTER('Pit Scouting Responses'!J:J,'Pit Scouting Responses'!C:C=A420),"""")"),"")</f>
        <v/>
      </c>
      <c r="C420" s="85" t="str">
        <f>IF(ISBLANK(A420),"",SUMIF(RawTotals!A$2:A1000, A420, RawTotals!O$2:O1000))</f>
        <v/>
      </c>
      <c r="D420" s="221" t="str">
        <f>IF(ISBLANK(A420),"",SUMIF(RawTotals!A$2:A1000, A420, RawTotals!D$2:D1000) + SUMIF(RawTotals!A$2:A1000, A420, RawTotals!M$2:M1000))</f>
        <v/>
      </c>
      <c r="E420" s="221" t="str">
        <f>IF(ISBLANK(A420),"",SUMIF(RawTotals!A$2:A1000, A420, RawTotals!C$2:C1000) + SUMIF(RawTotals!A$2:A1000, A420, RawTotals!L$2:L1000))</f>
        <v/>
      </c>
      <c r="F420" s="225" t="str">
        <f>IFERROR(__xludf.DUMMYFUNCTION("IFERROR(FILTER('Pit Scouting Responses'!G:G,'Pit Scouting Responses'!C:C=A420),"""")"),"")</f>
        <v/>
      </c>
      <c r="G420" s="226" t="str">
        <f>IFERROR(__xludf.DUMMYFUNCTION("IFERROR(FILTER('Pit Scouting Responses'!D:D,'Pit Scouting Responses'!C:C=A420),"""")"),"")</f>
        <v/>
      </c>
      <c r="H420" s="223" t="str">
        <f>RawTotals!AI420</f>
        <v/>
      </c>
    </row>
    <row r="421">
      <c r="A421" s="224" t="str">
        <f>RawTotals!A421</f>
        <v/>
      </c>
      <c r="B421" s="75" t="str">
        <f>IFERROR(__xludf.DUMMYFUNCTION("IFERROR(FILTER('Pit Scouting Responses'!J:J,'Pit Scouting Responses'!C:C=A421),"""")"),"")</f>
        <v/>
      </c>
      <c r="C421" s="85" t="str">
        <f>IF(ISBLANK(A421),"",SUMIF(RawTotals!A$2:A1000, A421, RawTotals!O$2:O1000))</f>
        <v/>
      </c>
      <c r="D421" s="221" t="str">
        <f>IF(ISBLANK(A421),"",SUMIF(RawTotals!A$2:A1000, A421, RawTotals!D$2:D1000) + SUMIF(RawTotals!A$2:A1000, A421, RawTotals!M$2:M1000))</f>
        <v/>
      </c>
      <c r="E421" s="221" t="str">
        <f>IF(ISBLANK(A421),"",SUMIF(RawTotals!A$2:A1000, A421, RawTotals!C$2:C1000) + SUMIF(RawTotals!A$2:A1000, A421, RawTotals!L$2:L1000))</f>
        <v/>
      </c>
      <c r="F421" s="225" t="str">
        <f>IFERROR(__xludf.DUMMYFUNCTION("IFERROR(FILTER('Pit Scouting Responses'!G:G,'Pit Scouting Responses'!C:C=A421),"""")"),"")</f>
        <v/>
      </c>
      <c r="G421" s="226" t="str">
        <f>IFERROR(__xludf.DUMMYFUNCTION("IFERROR(FILTER('Pit Scouting Responses'!D:D,'Pit Scouting Responses'!C:C=A421),"""")"),"")</f>
        <v/>
      </c>
      <c r="H421" s="223" t="str">
        <f>RawTotals!AI421</f>
        <v/>
      </c>
    </row>
    <row r="422">
      <c r="A422" s="224" t="str">
        <f>RawTotals!A422</f>
        <v/>
      </c>
      <c r="B422" s="75" t="str">
        <f>IFERROR(__xludf.DUMMYFUNCTION("IFERROR(FILTER('Pit Scouting Responses'!J:J,'Pit Scouting Responses'!C:C=A422),"""")"),"")</f>
        <v/>
      </c>
      <c r="C422" s="85" t="str">
        <f>IF(ISBLANK(A422),"",SUMIF(RawTotals!A$2:A1000, A422, RawTotals!O$2:O1000))</f>
        <v/>
      </c>
      <c r="D422" s="221" t="str">
        <f>IF(ISBLANK(A422),"",SUMIF(RawTotals!A$2:A1000, A422, RawTotals!D$2:D1000) + SUMIF(RawTotals!A$2:A1000, A422, RawTotals!M$2:M1000))</f>
        <v/>
      </c>
      <c r="E422" s="221" t="str">
        <f>IF(ISBLANK(A422),"",SUMIF(RawTotals!A$2:A1000, A422, RawTotals!C$2:C1000) + SUMIF(RawTotals!A$2:A1000, A422, RawTotals!L$2:L1000))</f>
        <v/>
      </c>
      <c r="F422" s="225" t="str">
        <f>IFERROR(__xludf.DUMMYFUNCTION("IFERROR(FILTER('Pit Scouting Responses'!G:G,'Pit Scouting Responses'!C:C=A422),"""")"),"")</f>
        <v/>
      </c>
      <c r="G422" s="226" t="str">
        <f>IFERROR(__xludf.DUMMYFUNCTION("IFERROR(FILTER('Pit Scouting Responses'!D:D,'Pit Scouting Responses'!C:C=A422),"""")"),"")</f>
        <v/>
      </c>
      <c r="H422" s="223" t="str">
        <f>RawTotals!AI422</f>
        <v/>
      </c>
    </row>
    <row r="423">
      <c r="A423" s="224" t="str">
        <f>RawTotals!A423</f>
        <v/>
      </c>
      <c r="B423" s="75" t="str">
        <f>IFERROR(__xludf.DUMMYFUNCTION("IFERROR(FILTER('Pit Scouting Responses'!J:J,'Pit Scouting Responses'!C:C=A423),"""")"),"")</f>
        <v/>
      </c>
      <c r="C423" s="85" t="str">
        <f>IF(ISBLANK(A423),"",SUMIF(RawTotals!A$2:A1000, A423, RawTotals!O$2:O1000))</f>
        <v/>
      </c>
      <c r="D423" s="221" t="str">
        <f>IF(ISBLANK(A423),"",SUMIF(RawTotals!A$2:A1000, A423, RawTotals!D$2:D1000) + SUMIF(RawTotals!A$2:A1000, A423, RawTotals!M$2:M1000))</f>
        <v/>
      </c>
      <c r="E423" s="221" t="str">
        <f>IF(ISBLANK(A423),"",SUMIF(RawTotals!A$2:A1000, A423, RawTotals!C$2:C1000) + SUMIF(RawTotals!A$2:A1000, A423, RawTotals!L$2:L1000))</f>
        <v/>
      </c>
      <c r="F423" s="225" t="str">
        <f>IFERROR(__xludf.DUMMYFUNCTION("IFERROR(FILTER('Pit Scouting Responses'!G:G,'Pit Scouting Responses'!C:C=A423),"""")"),"")</f>
        <v/>
      </c>
      <c r="G423" s="226" t="str">
        <f>IFERROR(__xludf.DUMMYFUNCTION("IFERROR(FILTER('Pit Scouting Responses'!D:D,'Pit Scouting Responses'!C:C=A423),"""")"),"")</f>
        <v/>
      </c>
      <c r="H423" s="223" t="str">
        <f>RawTotals!AI423</f>
        <v/>
      </c>
    </row>
    <row r="424">
      <c r="A424" s="224" t="str">
        <f>RawTotals!A424</f>
        <v/>
      </c>
      <c r="B424" s="75" t="str">
        <f>IFERROR(__xludf.DUMMYFUNCTION("IFERROR(FILTER('Pit Scouting Responses'!J:J,'Pit Scouting Responses'!C:C=A424),"""")"),"")</f>
        <v/>
      </c>
      <c r="C424" s="85" t="str">
        <f>IF(ISBLANK(A424),"",SUMIF(RawTotals!A$2:A1000, A424, RawTotals!O$2:O1000))</f>
        <v/>
      </c>
      <c r="D424" s="221" t="str">
        <f>IF(ISBLANK(A424),"",SUMIF(RawTotals!A$2:A1000, A424, RawTotals!D$2:D1000) + SUMIF(RawTotals!A$2:A1000, A424, RawTotals!M$2:M1000))</f>
        <v/>
      </c>
      <c r="E424" s="221" t="str">
        <f>IF(ISBLANK(A424),"",SUMIF(RawTotals!A$2:A1000, A424, RawTotals!C$2:C1000) + SUMIF(RawTotals!A$2:A1000, A424, RawTotals!L$2:L1000))</f>
        <v/>
      </c>
      <c r="F424" s="225" t="str">
        <f>IFERROR(__xludf.DUMMYFUNCTION("IFERROR(FILTER('Pit Scouting Responses'!G:G,'Pit Scouting Responses'!C:C=A424),"""")"),"")</f>
        <v/>
      </c>
      <c r="G424" s="226" t="str">
        <f>IFERROR(__xludf.DUMMYFUNCTION("IFERROR(FILTER('Pit Scouting Responses'!D:D,'Pit Scouting Responses'!C:C=A424),"""")"),"")</f>
        <v/>
      </c>
      <c r="H424" s="223" t="str">
        <f>RawTotals!AI424</f>
        <v/>
      </c>
    </row>
    <row r="425">
      <c r="A425" s="224" t="str">
        <f>RawTotals!A425</f>
        <v/>
      </c>
      <c r="B425" s="75" t="str">
        <f>IFERROR(__xludf.DUMMYFUNCTION("IFERROR(FILTER('Pit Scouting Responses'!J:J,'Pit Scouting Responses'!C:C=A425),"""")"),"")</f>
        <v/>
      </c>
      <c r="C425" s="85" t="str">
        <f>IF(ISBLANK(A425),"",SUMIF(RawTotals!A$2:A1000, A425, RawTotals!O$2:O1000))</f>
        <v/>
      </c>
      <c r="D425" s="221" t="str">
        <f>IF(ISBLANK(A425),"",SUMIF(RawTotals!A$2:A1000, A425, RawTotals!D$2:D1000) + SUMIF(RawTotals!A$2:A1000, A425, RawTotals!M$2:M1000))</f>
        <v/>
      </c>
      <c r="E425" s="221" t="str">
        <f>IF(ISBLANK(A425),"",SUMIF(RawTotals!A$2:A1000, A425, RawTotals!C$2:C1000) + SUMIF(RawTotals!A$2:A1000, A425, RawTotals!L$2:L1000))</f>
        <v/>
      </c>
      <c r="F425" s="225" t="str">
        <f>IFERROR(__xludf.DUMMYFUNCTION("IFERROR(FILTER('Pit Scouting Responses'!G:G,'Pit Scouting Responses'!C:C=A425),"""")"),"")</f>
        <v/>
      </c>
      <c r="G425" s="226" t="str">
        <f>IFERROR(__xludf.DUMMYFUNCTION("IFERROR(FILTER('Pit Scouting Responses'!D:D,'Pit Scouting Responses'!C:C=A425),"""")"),"")</f>
        <v/>
      </c>
      <c r="H425" s="223" t="str">
        <f>RawTotals!AI425</f>
        <v/>
      </c>
    </row>
    <row r="426">
      <c r="A426" s="224" t="str">
        <f>RawTotals!A426</f>
        <v/>
      </c>
      <c r="B426" s="75" t="str">
        <f>IFERROR(__xludf.DUMMYFUNCTION("IFERROR(FILTER('Pit Scouting Responses'!J:J,'Pit Scouting Responses'!C:C=A426),"""")"),"")</f>
        <v/>
      </c>
      <c r="C426" s="85" t="str">
        <f>IF(ISBLANK(A426),"",SUMIF(RawTotals!A$2:A1000, A426, RawTotals!O$2:O1000))</f>
        <v/>
      </c>
      <c r="D426" s="221" t="str">
        <f>IF(ISBLANK(A426),"",SUMIF(RawTotals!A$2:A1000, A426, RawTotals!D$2:D1000) + SUMIF(RawTotals!A$2:A1000, A426, RawTotals!M$2:M1000))</f>
        <v/>
      </c>
      <c r="E426" s="221" t="str">
        <f>IF(ISBLANK(A426),"",SUMIF(RawTotals!A$2:A1000, A426, RawTotals!C$2:C1000) + SUMIF(RawTotals!A$2:A1000, A426, RawTotals!L$2:L1000))</f>
        <v/>
      </c>
      <c r="F426" s="225" t="str">
        <f>IFERROR(__xludf.DUMMYFUNCTION("IFERROR(FILTER('Pit Scouting Responses'!G:G,'Pit Scouting Responses'!C:C=A426),"""")"),"")</f>
        <v/>
      </c>
      <c r="G426" s="226" t="str">
        <f>IFERROR(__xludf.DUMMYFUNCTION("IFERROR(FILTER('Pit Scouting Responses'!D:D,'Pit Scouting Responses'!C:C=A426),"""")"),"")</f>
        <v/>
      </c>
      <c r="H426" s="223" t="str">
        <f>RawTotals!AI426</f>
        <v/>
      </c>
    </row>
    <row r="427">
      <c r="A427" s="224" t="str">
        <f>RawTotals!A427</f>
        <v/>
      </c>
      <c r="B427" s="75" t="str">
        <f>IFERROR(__xludf.DUMMYFUNCTION("IFERROR(FILTER('Pit Scouting Responses'!J:J,'Pit Scouting Responses'!C:C=A427),"""")"),"")</f>
        <v/>
      </c>
      <c r="C427" s="85" t="str">
        <f>IF(ISBLANK(A427),"",SUMIF(RawTotals!A$2:A1000, A427, RawTotals!O$2:O1000))</f>
        <v/>
      </c>
      <c r="D427" s="221" t="str">
        <f>IF(ISBLANK(A427),"",SUMIF(RawTotals!A$2:A1000, A427, RawTotals!D$2:D1000) + SUMIF(RawTotals!A$2:A1000, A427, RawTotals!M$2:M1000))</f>
        <v/>
      </c>
      <c r="E427" s="221" t="str">
        <f>IF(ISBLANK(A427),"",SUMIF(RawTotals!A$2:A1000, A427, RawTotals!C$2:C1000) + SUMIF(RawTotals!A$2:A1000, A427, RawTotals!L$2:L1000))</f>
        <v/>
      </c>
      <c r="F427" s="225" t="str">
        <f>IFERROR(__xludf.DUMMYFUNCTION("IFERROR(FILTER('Pit Scouting Responses'!G:G,'Pit Scouting Responses'!C:C=A427),"""")"),"")</f>
        <v/>
      </c>
      <c r="G427" s="226" t="str">
        <f>IFERROR(__xludf.DUMMYFUNCTION("IFERROR(FILTER('Pit Scouting Responses'!D:D,'Pit Scouting Responses'!C:C=A427),"""")"),"")</f>
        <v/>
      </c>
      <c r="H427" s="223" t="str">
        <f>RawTotals!AI427</f>
        <v/>
      </c>
    </row>
    <row r="428">
      <c r="A428" s="224" t="str">
        <f>RawTotals!A428</f>
        <v/>
      </c>
      <c r="B428" s="75" t="str">
        <f>IFERROR(__xludf.DUMMYFUNCTION("IFERROR(FILTER('Pit Scouting Responses'!J:J,'Pit Scouting Responses'!C:C=A428),"""")"),"")</f>
        <v/>
      </c>
      <c r="C428" s="85" t="str">
        <f>IF(ISBLANK(A428),"",SUMIF(RawTotals!A$2:A1000, A428, RawTotals!O$2:O1000))</f>
        <v/>
      </c>
      <c r="D428" s="221" t="str">
        <f>IF(ISBLANK(A428),"",SUMIF(RawTotals!A$2:A1000, A428, RawTotals!D$2:D1000) + SUMIF(RawTotals!A$2:A1000, A428, RawTotals!M$2:M1000))</f>
        <v/>
      </c>
      <c r="E428" s="221" t="str">
        <f>IF(ISBLANK(A428),"",SUMIF(RawTotals!A$2:A1000, A428, RawTotals!C$2:C1000) + SUMIF(RawTotals!A$2:A1000, A428, RawTotals!L$2:L1000))</f>
        <v/>
      </c>
      <c r="F428" s="225" t="str">
        <f>IFERROR(__xludf.DUMMYFUNCTION("IFERROR(FILTER('Pit Scouting Responses'!G:G,'Pit Scouting Responses'!C:C=A428),"""")"),"")</f>
        <v/>
      </c>
      <c r="G428" s="226" t="str">
        <f>IFERROR(__xludf.DUMMYFUNCTION("IFERROR(FILTER('Pit Scouting Responses'!D:D,'Pit Scouting Responses'!C:C=A428),"""")"),"")</f>
        <v/>
      </c>
      <c r="H428" s="223" t="str">
        <f>RawTotals!AI428</f>
        <v/>
      </c>
    </row>
    <row r="429">
      <c r="A429" s="224" t="str">
        <f>RawTotals!A429</f>
        <v/>
      </c>
      <c r="B429" s="75" t="str">
        <f>IFERROR(__xludf.DUMMYFUNCTION("IFERROR(FILTER('Pit Scouting Responses'!J:J,'Pit Scouting Responses'!C:C=A429),"""")"),"")</f>
        <v/>
      </c>
      <c r="C429" s="85" t="str">
        <f>IF(ISBLANK(A429),"",SUMIF(RawTotals!A$2:A1000, A429, RawTotals!O$2:O1000))</f>
        <v/>
      </c>
      <c r="D429" s="221" t="str">
        <f>IF(ISBLANK(A429),"",SUMIF(RawTotals!A$2:A1000, A429, RawTotals!D$2:D1000) + SUMIF(RawTotals!A$2:A1000, A429, RawTotals!M$2:M1000))</f>
        <v/>
      </c>
      <c r="E429" s="221" t="str">
        <f>IF(ISBLANK(A429),"",SUMIF(RawTotals!A$2:A1000, A429, RawTotals!C$2:C1000) + SUMIF(RawTotals!A$2:A1000, A429, RawTotals!L$2:L1000))</f>
        <v/>
      </c>
      <c r="F429" s="225" t="str">
        <f>IFERROR(__xludf.DUMMYFUNCTION("IFERROR(FILTER('Pit Scouting Responses'!G:G,'Pit Scouting Responses'!C:C=A429),"""")"),"")</f>
        <v/>
      </c>
      <c r="G429" s="226" t="str">
        <f>IFERROR(__xludf.DUMMYFUNCTION("IFERROR(FILTER('Pit Scouting Responses'!D:D,'Pit Scouting Responses'!C:C=A429),"""")"),"")</f>
        <v/>
      </c>
      <c r="H429" s="223" t="str">
        <f>RawTotals!AI429</f>
        <v/>
      </c>
    </row>
    <row r="430">
      <c r="A430" s="224" t="str">
        <f>RawTotals!A430</f>
        <v/>
      </c>
      <c r="B430" s="75" t="str">
        <f>IFERROR(__xludf.DUMMYFUNCTION("IFERROR(FILTER('Pit Scouting Responses'!J:J,'Pit Scouting Responses'!C:C=A430),"""")"),"")</f>
        <v/>
      </c>
      <c r="C430" s="85" t="str">
        <f>IF(ISBLANK(A430),"",SUMIF(RawTotals!A$2:A1000, A430, RawTotals!O$2:O1000))</f>
        <v/>
      </c>
      <c r="D430" s="221" t="str">
        <f>IF(ISBLANK(A430),"",SUMIF(RawTotals!A$2:A1000, A430, RawTotals!D$2:D1000) + SUMIF(RawTotals!A$2:A1000, A430, RawTotals!M$2:M1000))</f>
        <v/>
      </c>
      <c r="E430" s="221" t="str">
        <f>IF(ISBLANK(A430),"",SUMIF(RawTotals!A$2:A1000, A430, RawTotals!C$2:C1000) + SUMIF(RawTotals!A$2:A1000, A430, RawTotals!L$2:L1000))</f>
        <v/>
      </c>
      <c r="F430" s="225" t="str">
        <f>IFERROR(__xludf.DUMMYFUNCTION("IFERROR(FILTER('Pit Scouting Responses'!G:G,'Pit Scouting Responses'!C:C=A430),"""")"),"")</f>
        <v/>
      </c>
      <c r="G430" s="226" t="str">
        <f>IFERROR(__xludf.DUMMYFUNCTION("IFERROR(FILTER('Pit Scouting Responses'!D:D,'Pit Scouting Responses'!C:C=A430),"""")"),"")</f>
        <v/>
      </c>
      <c r="H430" s="223" t="str">
        <f>RawTotals!AI430</f>
        <v/>
      </c>
    </row>
    <row r="431">
      <c r="A431" s="224" t="str">
        <f>RawTotals!A431</f>
        <v/>
      </c>
      <c r="B431" s="75" t="str">
        <f>IFERROR(__xludf.DUMMYFUNCTION("IFERROR(FILTER('Pit Scouting Responses'!J:J,'Pit Scouting Responses'!C:C=A431),"""")"),"")</f>
        <v/>
      </c>
      <c r="C431" s="85" t="str">
        <f>IF(ISBLANK(A431),"",SUMIF(RawTotals!A$2:A1000, A431, RawTotals!O$2:O1000))</f>
        <v/>
      </c>
      <c r="D431" s="221" t="str">
        <f>IF(ISBLANK(A431),"",SUMIF(RawTotals!A$2:A1000, A431, RawTotals!D$2:D1000) + SUMIF(RawTotals!A$2:A1000, A431, RawTotals!M$2:M1000))</f>
        <v/>
      </c>
      <c r="E431" s="221" t="str">
        <f>IF(ISBLANK(A431),"",SUMIF(RawTotals!A$2:A1000, A431, RawTotals!C$2:C1000) + SUMIF(RawTotals!A$2:A1000, A431, RawTotals!L$2:L1000))</f>
        <v/>
      </c>
      <c r="F431" s="225" t="str">
        <f>IFERROR(__xludf.DUMMYFUNCTION("IFERROR(FILTER('Pit Scouting Responses'!G:G,'Pit Scouting Responses'!C:C=A431),"""")"),"")</f>
        <v/>
      </c>
      <c r="G431" s="226" t="str">
        <f>IFERROR(__xludf.DUMMYFUNCTION("IFERROR(FILTER('Pit Scouting Responses'!D:D,'Pit Scouting Responses'!C:C=A431),"""")"),"")</f>
        <v/>
      </c>
      <c r="H431" s="223" t="str">
        <f>RawTotals!AI431</f>
        <v/>
      </c>
    </row>
    <row r="432">
      <c r="A432" s="224" t="str">
        <f>RawTotals!A432</f>
        <v/>
      </c>
      <c r="B432" s="75" t="str">
        <f>IFERROR(__xludf.DUMMYFUNCTION("IFERROR(FILTER('Pit Scouting Responses'!J:J,'Pit Scouting Responses'!C:C=A432),"""")"),"")</f>
        <v/>
      </c>
      <c r="C432" s="85" t="str">
        <f>IF(ISBLANK(A432),"",SUMIF(RawTotals!A$2:A1000, A432, RawTotals!O$2:O1000))</f>
        <v/>
      </c>
      <c r="D432" s="221" t="str">
        <f>IF(ISBLANK(A432),"",SUMIF(RawTotals!A$2:A1000, A432, RawTotals!D$2:D1000) + SUMIF(RawTotals!A$2:A1000, A432, RawTotals!M$2:M1000))</f>
        <v/>
      </c>
      <c r="E432" s="221" t="str">
        <f>IF(ISBLANK(A432),"",SUMIF(RawTotals!A$2:A1000, A432, RawTotals!C$2:C1000) + SUMIF(RawTotals!A$2:A1000, A432, RawTotals!L$2:L1000))</f>
        <v/>
      </c>
      <c r="F432" s="225" t="str">
        <f>IFERROR(__xludf.DUMMYFUNCTION("IFERROR(FILTER('Pit Scouting Responses'!G:G,'Pit Scouting Responses'!C:C=A432),"""")"),"")</f>
        <v/>
      </c>
      <c r="G432" s="226" t="str">
        <f>IFERROR(__xludf.DUMMYFUNCTION("IFERROR(FILTER('Pit Scouting Responses'!D:D,'Pit Scouting Responses'!C:C=A432),"""")"),"")</f>
        <v/>
      </c>
      <c r="H432" s="223" t="str">
        <f>RawTotals!AI432</f>
        <v/>
      </c>
    </row>
    <row r="433">
      <c r="A433" s="224" t="str">
        <f>RawTotals!A433</f>
        <v/>
      </c>
      <c r="B433" s="75" t="str">
        <f>IFERROR(__xludf.DUMMYFUNCTION("IFERROR(FILTER('Pit Scouting Responses'!J:J,'Pit Scouting Responses'!C:C=A433),"""")"),"")</f>
        <v/>
      </c>
      <c r="C433" s="85" t="str">
        <f>IF(ISBLANK(A433),"",SUMIF(RawTotals!A$2:A1000, A433, RawTotals!O$2:O1000))</f>
        <v/>
      </c>
      <c r="D433" s="221" t="str">
        <f>IF(ISBLANK(A433),"",SUMIF(RawTotals!A$2:A1000, A433, RawTotals!D$2:D1000) + SUMIF(RawTotals!A$2:A1000, A433, RawTotals!M$2:M1000))</f>
        <v/>
      </c>
      <c r="E433" s="221" t="str">
        <f>IF(ISBLANK(A433),"",SUMIF(RawTotals!A$2:A1000, A433, RawTotals!C$2:C1000) + SUMIF(RawTotals!A$2:A1000, A433, RawTotals!L$2:L1000))</f>
        <v/>
      </c>
      <c r="F433" s="225" t="str">
        <f>IFERROR(__xludf.DUMMYFUNCTION("IFERROR(FILTER('Pit Scouting Responses'!G:G,'Pit Scouting Responses'!C:C=A433),"""")"),"")</f>
        <v/>
      </c>
      <c r="G433" s="226" t="str">
        <f>IFERROR(__xludf.DUMMYFUNCTION("IFERROR(FILTER('Pit Scouting Responses'!D:D,'Pit Scouting Responses'!C:C=A433),"""")"),"")</f>
        <v/>
      </c>
      <c r="H433" s="223" t="str">
        <f>RawTotals!AI433</f>
        <v/>
      </c>
    </row>
    <row r="434">
      <c r="A434" s="224" t="str">
        <f>RawTotals!A434</f>
        <v/>
      </c>
      <c r="B434" s="75" t="str">
        <f>IFERROR(__xludf.DUMMYFUNCTION("IFERROR(FILTER('Pit Scouting Responses'!J:J,'Pit Scouting Responses'!C:C=A434),"""")"),"")</f>
        <v/>
      </c>
      <c r="C434" s="85" t="str">
        <f>IF(ISBLANK(A434),"",SUMIF(RawTotals!A$2:A1000, A434, RawTotals!O$2:O1000))</f>
        <v/>
      </c>
      <c r="D434" s="221" t="str">
        <f>IF(ISBLANK(A434),"",SUMIF(RawTotals!A$2:A1000, A434, RawTotals!D$2:D1000) + SUMIF(RawTotals!A$2:A1000, A434, RawTotals!M$2:M1000))</f>
        <v/>
      </c>
      <c r="E434" s="221" t="str">
        <f>IF(ISBLANK(A434),"",SUMIF(RawTotals!A$2:A1000, A434, RawTotals!C$2:C1000) + SUMIF(RawTotals!A$2:A1000, A434, RawTotals!L$2:L1000))</f>
        <v/>
      </c>
      <c r="F434" s="225" t="str">
        <f>IFERROR(__xludf.DUMMYFUNCTION("IFERROR(FILTER('Pit Scouting Responses'!G:G,'Pit Scouting Responses'!C:C=A434),"""")"),"")</f>
        <v/>
      </c>
      <c r="G434" s="226" t="str">
        <f>IFERROR(__xludf.DUMMYFUNCTION("IFERROR(FILTER('Pit Scouting Responses'!D:D,'Pit Scouting Responses'!C:C=A434),"""")"),"")</f>
        <v/>
      </c>
      <c r="H434" s="223" t="str">
        <f>RawTotals!AI434</f>
        <v/>
      </c>
    </row>
    <row r="435">
      <c r="A435" s="224" t="str">
        <f>RawTotals!A435</f>
        <v/>
      </c>
      <c r="B435" s="75" t="str">
        <f>IFERROR(__xludf.DUMMYFUNCTION("IFERROR(FILTER('Pit Scouting Responses'!J:J,'Pit Scouting Responses'!C:C=A435),"""")"),"")</f>
        <v/>
      </c>
      <c r="C435" s="85" t="str">
        <f>IF(ISBLANK(A435),"",SUMIF(RawTotals!A$2:A1000, A435, RawTotals!O$2:O1000))</f>
        <v/>
      </c>
      <c r="D435" s="221" t="str">
        <f>IF(ISBLANK(A435),"",SUMIF(RawTotals!A$2:A1000, A435, RawTotals!D$2:D1000) + SUMIF(RawTotals!A$2:A1000, A435, RawTotals!M$2:M1000))</f>
        <v/>
      </c>
      <c r="E435" s="221" t="str">
        <f>IF(ISBLANK(A435),"",SUMIF(RawTotals!A$2:A1000, A435, RawTotals!C$2:C1000) + SUMIF(RawTotals!A$2:A1000, A435, RawTotals!L$2:L1000))</f>
        <v/>
      </c>
      <c r="F435" s="225" t="str">
        <f>IFERROR(__xludf.DUMMYFUNCTION("IFERROR(FILTER('Pit Scouting Responses'!G:G,'Pit Scouting Responses'!C:C=A435),"""")"),"")</f>
        <v/>
      </c>
      <c r="G435" s="226" t="str">
        <f>IFERROR(__xludf.DUMMYFUNCTION("IFERROR(FILTER('Pit Scouting Responses'!D:D,'Pit Scouting Responses'!C:C=A435),"""")"),"")</f>
        <v/>
      </c>
      <c r="H435" s="223" t="str">
        <f>RawTotals!AI435</f>
        <v/>
      </c>
    </row>
    <row r="436">
      <c r="A436" s="224" t="str">
        <f>RawTotals!A436</f>
        <v/>
      </c>
      <c r="B436" s="75" t="str">
        <f>IFERROR(__xludf.DUMMYFUNCTION("IFERROR(FILTER('Pit Scouting Responses'!J:J,'Pit Scouting Responses'!C:C=A436),"""")"),"")</f>
        <v/>
      </c>
      <c r="C436" s="85" t="str">
        <f>IF(ISBLANK(A436),"",SUMIF(RawTotals!A$2:A1000, A436, RawTotals!O$2:O1000))</f>
        <v/>
      </c>
      <c r="D436" s="221" t="str">
        <f>IF(ISBLANK(A436),"",SUMIF(RawTotals!A$2:A1000, A436, RawTotals!D$2:D1000) + SUMIF(RawTotals!A$2:A1000, A436, RawTotals!M$2:M1000))</f>
        <v/>
      </c>
      <c r="E436" s="221" t="str">
        <f>IF(ISBLANK(A436),"",SUMIF(RawTotals!A$2:A1000, A436, RawTotals!C$2:C1000) + SUMIF(RawTotals!A$2:A1000, A436, RawTotals!L$2:L1000))</f>
        <v/>
      </c>
      <c r="F436" s="225" t="str">
        <f>IFERROR(__xludf.DUMMYFUNCTION("IFERROR(FILTER('Pit Scouting Responses'!G:G,'Pit Scouting Responses'!C:C=A436),"""")"),"")</f>
        <v/>
      </c>
      <c r="G436" s="226" t="str">
        <f>IFERROR(__xludf.DUMMYFUNCTION("IFERROR(FILTER('Pit Scouting Responses'!D:D,'Pit Scouting Responses'!C:C=A436),"""")"),"")</f>
        <v/>
      </c>
      <c r="H436" s="223" t="str">
        <f>RawTotals!AI436</f>
        <v/>
      </c>
    </row>
    <row r="437">
      <c r="A437" s="224" t="str">
        <f>RawTotals!A437</f>
        <v/>
      </c>
      <c r="B437" s="75" t="str">
        <f>IFERROR(__xludf.DUMMYFUNCTION("IFERROR(FILTER('Pit Scouting Responses'!J:J,'Pit Scouting Responses'!C:C=A437),"""")"),"")</f>
        <v/>
      </c>
      <c r="C437" s="85" t="str">
        <f>IF(ISBLANK(A437),"",SUMIF(RawTotals!A$2:A1000, A437, RawTotals!O$2:O1000))</f>
        <v/>
      </c>
      <c r="D437" s="221" t="str">
        <f>IF(ISBLANK(A437),"",SUMIF(RawTotals!A$2:A1000, A437, RawTotals!D$2:D1000) + SUMIF(RawTotals!A$2:A1000, A437, RawTotals!M$2:M1000))</f>
        <v/>
      </c>
      <c r="E437" s="221" t="str">
        <f>IF(ISBLANK(A437),"",SUMIF(RawTotals!A$2:A1000, A437, RawTotals!C$2:C1000) + SUMIF(RawTotals!A$2:A1000, A437, RawTotals!L$2:L1000))</f>
        <v/>
      </c>
      <c r="F437" s="225" t="str">
        <f>IFERROR(__xludf.DUMMYFUNCTION("IFERROR(FILTER('Pit Scouting Responses'!G:G,'Pit Scouting Responses'!C:C=A437),"""")"),"")</f>
        <v/>
      </c>
      <c r="G437" s="226" t="str">
        <f>IFERROR(__xludf.DUMMYFUNCTION("IFERROR(FILTER('Pit Scouting Responses'!D:D,'Pit Scouting Responses'!C:C=A437),"""")"),"")</f>
        <v/>
      </c>
      <c r="H437" s="223" t="str">
        <f>RawTotals!AI437</f>
        <v/>
      </c>
    </row>
    <row r="438">
      <c r="A438" s="224" t="str">
        <f>RawTotals!A438</f>
        <v/>
      </c>
      <c r="B438" s="75" t="str">
        <f>IFERROR(__xludf.DUMMYFUNCTION("IFERROR(FILTER('Pit Scouting Responses'!J:J,'Pit Scouting Responses'!C:C=A438),"""")"),"")</f>
        <v/>
      </c>
      <c r="C438" s="85" t="str">
        <f>IF(ISBLANK(A438),"",SUMIF(RawTotals!A$2:A1000, A438, RawTotals!O$2:O1000))</f>
        <v/>
      </c>
      <c r="D438" s="221" t="str">
        <f>IF(ISBLANK(A438),"",SUMIF(RawTotals!A$2:A1000, A438, RawTotals!D$2:D1000) + SUMIF(RawTotals!A$2:A1000, A438, RawTotals!M$2:M1000))</f>
        <v/>
      </c>
      <c r="E438" s="221" t="str">
        <f>IF(ISBLANK(A438),"",SUMIF(RawTotals!A$2:A1000, A438, RawTotals!C$2:C1000) + SUMIF(RawTotals!A$2:A1000, A438, RawTotals!L$2:L1000))</f>
        <v/>
      </c>
      <c r="F438" s="225" t="str">
        <f>IFERROR(__xludf.DUMMYFUNCTION("IFERROR(FILTER('Pit Scouting Responses'!G:G,'Pit Scouting Responses'!C:C=A438),"""")"),"")</f>
        <v/>
      </c>
      <c r="G438" s="226" t="str">
        <f>IFERROR(__xludf.DUMMYFUNCTION("IFERROR(FILTER('Pit Scouting Responses'!D:D,'Pit Scouting Responses'!C:C=A438),"""")"),"")</f>
        <v/>
      </c>
      <c r="H438" s="223" t="str">
        <f>RawTotals!AI438</f>
        <v/>
      </c>
    </row>
    <row r="439">
      <c r="A439" s="224" t="str">
        <f>RawTotals!A439</f>
        <v/>
      </c>
      <c r="B439" s="75" t="str">
        <f>IFERROR(__xludf.DUMMYFUNCTION("IFERROR(FILTER('Pit Scouting Responses'!J:J,'Pit Scouting Responses'!C:C=A439),"""")"),"")</f>
        <v/>
      </c>
      <c r="C439" s="85" t="str">
        <f>IF(ISBLANK(A439),"",SUMIF(RawTotals!A$2:A1000, A439, RawTotals!O$2:O1000))</f>
        <v/>
      </c>
      <c r="D439" s="221" t="str">
        <f>IF(ISBLANK(A439),"",SUMIF(RawTotals!A$2:A1000, A439, RawTotals!D$2:D1000) + SUMIF(RawTotals!A$2:A1000, A439, RawTotals!M$2:M1000))</f>
        <v/>
      </c>
      <c r="E439" s="221" t="str">
        <f>IF(ISBLANK(A439),"",SUMIF(RawTotals!A$2:A1000, A439, RawTotals!C$2:C1000) + SUMIF(RawTotals!A$2:A1000, A439, RawTotals!L$2:L1000))</f>
        <v/>
      </c>
      <c r="F439" s="225" t="str">
        <f>IFERROR(__xludf.DUMMYFUNCTION("IFERROR(FILTER('Pit Scouting Responses'!G:G,'Pit Scouting Responses'!C:C=A439),"""")"),"")</f>
        <v/>
      </c>
      <c r="G439" s="226" t="str">
        <f>IFERROR(__xludf.DUMMYFUNCTION("IFERROR(FILTER('Pit Scouting Responses'!D:D,'Pit Scouting Responses'!C:C=A439),"""")"),"")</f>
        <v/>
      </c>
      <c r="H439" s="223" t="str">
        <f>RawTotals!AI439</f>
        <v/>
      </c>
    </row>
    <row r="440">
      <c r="A440" s="224" t="str">
        <f>RawTotals!A440</f>
        <v/>
      </c>
      <c r="B440" s="75" t="str">
        <f>IFERROR(__xludf.DUMMYFUNCTION("IFERROR(FILTER('Pit Scouting Responses'!J:J,'Pit Scouting Responses'!C:C=A440),"""")"),"")</f>
        <v/>
      </c>
      <c r="C440" s="85" t="str">
        <f>IF(ISBLANK(A440),"",SUMIF(RawTotals!A$2:A1000, A440, RawTotals!O$2:O1000))</f>
        <v/>
      </c>
      <c r="D440" s="221" t="str">
        <f>IF(ISBLANK(A440),"",SUMIF(RawTotals!A$2:A1000, A440, RawTotals!D$2:D1000) + SUMIF(RawTotals!A$2:A1000, A440, RawTotals!M$2:M1000))</f>
        <v/>
      </c>
      <c r="E440" s="221" t="str">
        <f>IF(ISBLANK(A440),"",SUMIF(RawTotals!A$2:A1000, A440, RawTotals!C$2:C1000) + SUMIF(RawTotals!A$2:A1000, A440, RawTotals!L$2:L1000))</f>
        <v/>
      </c>
      <c r="F440" s="225" t="str">
        <f>IFERROR(__xludf.DUMMYFUNCTION("IFERROR(FILTER('Pit Scouting Responses'!G:G,'Pit Scouting Responses'!C:C=A440),"""")"),"")</f>
        <v/>
      </c>
      <c r="G440" s="226" t="str">
        <f>IFERROR(__xludf.DUMMYFUNCTION("IFERROR(FILTER('Pit Scouting Responses'!D:D,'Pit Scouting Responses'!C:C=A440),"""")"),"")</f>
        <v/>
      </c>
      <c r="H440" s="223" t="str">
        <f>RawTotals!AI440</f>
        <v/>
      </c>
    </row>
    <row r="441">
      <c r="A441" s="224" t="str">
        <f>RawTotals!A441</f>
        <v/>
      </c>
      <c r="B441" s="75" t="str">
        <f>IFERROR(__xludf.DUMMYFUNCTION("IFERROR(FILTER('Pit Scouting Responses'!J:J,'Pit Scouting Responses'!C:C=A441),"""")"),"")</f>
        <v/>
      </c>
      <c r="C441" s="85" t="str">
        <f>IF(ISBLANK(A441),"",SUMIF(RawTotals!A$2:A1000, A441, RawTotals!O$2:O1000))</f>
        <v/>
      </c>
      <c r="D441" s="221" t="str">
        <f>IF(ISBLANK(A441),"",SUMIF(RawTotals!A$2:A1000, A441, RawTotals!D$2:D1000) + SUMIF(RawTotals!A$2:A1000, A441, RawTotals!M$2:M1000))</f>
        <v/>
      </c>
      <c r="E441" s="221" t="str">
        <f>IF(ISBLANK(A441),"",SUMIF(RawTotals!A$2:A1000, A441, RawTotals!C$2:C1000) + SUMIF(RawTotals!A$2:A1000, A441, RawTotals!L$2:L1000))</f>
        <v/>
      </c>
      <c r="F441" s="225" t="str">
        <f>IFERROR(__xludf.DUMMYFUNCTION("IFERROR(FILTER('Pit Scouting Responses'!G:G,'Pit Scouting Responses'!C:C=A441),"""")"),"")</f>
        <v/>
      </c>
      <c r="G441" s="226" t="str">
        <f>IFERROR(__xludf.DUMMYFUNCTION("IFERROR(FILTER('Pit Scouting Responses'!D:D,'Pit Scouting Responses'!C:C=A441),"""")"),"")</f>
        <v/>
      </c>
      <c r="H441" s="223" t="str">
        <f>RawTotals!AI441</f>
        <v/>
      </c>
    </row>
    <row r="442">
      <c r="A442" s="224" t="str">
        <f>RawTotals!A442</f>
        <v/>
      </c>
      <c r="B442" s="75" t="str">
        <f>IFERROR(__xludf.DUMMYFUNCTION("IFERROR(FILTER('Pit Scouting Responses'!J:J,'Pit Scouting Responses'!C:C=A442),"""")"),"")</f>
        <v/>
      </c>
      <c r="C442" s="85" t="str">
        <f>IF(ISBLANK(A442),"",SUMIF(RawTotals!A$2:A1000, A442, RawTotals!O$2:O1000))</f>
        <v/>
      </c>
      <c r="D442" s="221" t="str">
        <f>IF(ISBLANK(A442),"",SUMIF(RawTotals!A$2:A1000, A442, RawTotals!D$2:D1000) + SUMIF(RawTotals!A$2:A1000, A442, RawTotals!M$2:M1000))</f>
        <v/>
      </c>
      <c r="E442" s="221" t="str">
        <f>IF(ISBLANK(A442),"",SUMIF(RawTotals!A$2:A1000, A442, RawTotals!C$2:C1000) + SUMIF(RawTotals!A$2:A1000, A442, RawTotals!L$2:L1000))</f>
        <v/>
      </c>
      <c r="F442" s="225" t="str">
        <f>IFERROR(__xludf.DUMMYFUNCTION("IFERROR(FILTER('Pit Scouting Responses'!G:G,'Pit Scouting Responses'!C:C=A442),"""")"),"")</f>
        <v/>
      </c>
      <c r="G442" s="226" t="str">
        <f>IFERROR(__xludf.DUMMYFUNCTION("IFERROR(FILTER('Pit Scouting Responses'!D:D,'Pit Scouting Responses'!C:C=A442),"""")"),"")</f>
        <v/>
      </c>
      <c r="H442" s="223" t="str">
        <f>RawTotals!AI442</f>
        <v/>
      </c>
    </row>
    <row r="443">
      <c r="A443" s="224" t="str">
        <f>RawTotals!A443</f>
        <v/>
      </c>
      <c r="B443" s="75" t="str">
        <f>IFERROR(__xludf.DUMMYFUNCTION("IFERROR(FILTER('Pit Scouting Responses'!J:J,'Pit Scouting Responses'!C:C=A443),"""")"),"")</f>
        <v/>
      </c>
      <c r="C443" s="85" t="str">
        <f>IF(ISBLANK(A443),"",SUMIF(RawTotals!A$2:A1000, A443, RawTotals!O$2:O1000))</f>
        <v/>
      </c>
      <c r="D443" s="221" t="str">
        <f>IF(ISBLANK(A443),"",SUMIF(RawTotals!A$2:A1000, A443, RawTotals!D$2:D1000) + SUMIF(RawTotals!A$2:A1000, A443, RawTotals!M$2:M1000))</f>
        <v/>
      </c>
      <c r="E443" s="221" t="str">
        <f>IF(ISBLANK(A443),"",SUMIF(RawTotals!A$2:A1000, A443, RawTotals!C$2:C1000) + SUMIF(RawTotals!A$2:A1000, A443, RawTotals!L$2:L1000))</f>
        <v/>
      </c>
      <c r="F443" s="225" t="str">
        <f>IFERROR(__xludf.DUMMYFUNCTION("IFERROR(FILTER('Pit Scouting Responses'!G:G,'Pit Scouting Responses'!C:C=A443),"""")"),"")</f>
        <v/>
      </c>
      <c r="G443" s="226" t="str">
        <f>IFERROR(__xludf.DUMMYFUNCTION("IFERROR(FILTER('Pit Scouting Responses'!D:D,'Pit Scouting Responses'!C:C=A443),"""")"),"")</f>
        <v/>
      </c>
      <c r="H443" s="223" t="str">
        <f>RawTotals!AI443</f>
        <v/>
      </c>
    </row>
    <row r="444">
      <c r="A444" s="224" t="str">
        <f>RawTotals!A444</f>
        <v/>
      </c>
      <c r="B444" s="75" t="str">
        <f>IFERROR(__xludf.DUMMYFUNCTION("IFERROR(FILTER('Pit Scouting Responses'!J:J,'Pit Scouting Responses'!C:C=A444),"""")"),"")</f>
        <v/>
      </c>
      <c r="C444" s="85" t="str">
        <f>IF(ISBLANK(A444),"",SUMIF(RawTotals!A$2:A1000, A444, RawTotals!O$2:O1000))</f>
        <v/>
      </c>
      <c r="D444" s="221" t="str">
        <f>IF(ISBLANK(A444),"",SUMIF(RawTotals!A$2:A1000, A444, RawTotals!D$2:D1000) + SUMIF(RawTotals!A$2:A1000, A444, RawTotals!M$2:M1000))</f>
        <v/>
      </c>
      <c r="E444" s="221" t="str">
        <f>IF(ISBLANK(A444),"",SUMIF(RawTotals!A$2:A1000, A444, RawTotals!C$2:C1000) + SUMIF(RawTotals!A$2:A1000, A444, RawTotals!L$2:L1000))</f>
        <v/>
      </c>
      <c r="F444" s="225" t="str">
        <f>IFERROR(__xludf.DUMMYFUNCTION("IFERROR(FILTER('Pit Scouting Responses'!G:G,'Pit Scouting Responses'!C:C=A444),"""")"),"")</f>
        <v/>
      </c>
      <c r="G444" s="226" t="str">
        <f>IFERROR(__xludf.DUMMYFUNCTION("IFERROR(FILTER('Pit Scouting Responses'!D:D,'Pit Scouting Responses'!C:C=A444),"""")"),"")</f>
        <v/>
      </c>
      <c r="H444" s="223" t="str">
        <f>RawTotals!AI444</f>
        <v/>
      </c>
    </row>
    <row r="445">
      <c r="A445" s="224" t="str">
        <f>RawTotals!A445</f>
        <v/>
      </c>
      <c r="B445" s="75" t="str">
        <f>IFERROR(__xludf.DUMMYFUNCTION("IFERROR(FILTER('Pit Scouting Responses'!J:J,'Pit Scouting Responses'!C:C=A445),"""")"),"")</f>
        <v/>
      </c>
      <c r="C445" s="85" t="str">
        <f>IF(ISBLANK(A445),"",SUMIF(RawTotals!A$2:A1000, A445, RawTotals!O$2:O1000))</f>
        <v/>
      </c>
      <c r="D445" s="221" t="str">
        <f>IF(ISBLANK(A445),"",SUMIF(RawTotals!A$2:A1000, A445, RawTotals!D$2:D1000) + SUMIF(RawTotals!A$2:A1000, A445, RawTotals!M$2:M1000))</f>
        <v/>
      </c>
      <c r="E445" s="221" t="str">
        <f>IF(ISBLANK(A445),"",SUMIF(RawTotals!A$2:A1000, A445, RawTotals!C$2:C1000) + SUMIF(RawTotals!A$2:A1000, A445, RawTotals!L$2:L1000))</f>
        <v/>
      </c>
      <c r="F445" s="225" t="str">
        <f>IFERROR(__xludf.DUMMYFUNCTION("IFERROR(FILTER('Pit Scouting Responses'!G:G,'Pit Scouting Responses'!C:C=A445),"""")"),"")</f>
        <v/>
      </c>
      <c r="G445" s="226" t="str">
        <f>IFERROR(__xludf.DUMMYFUNCTION("IFERROR(FILTER('Pit Scouting Responses'!D:D,'Pit Scouting Responses'!C:C=A445),"""")"),"")</f>
        <v/>
      </c>
      <c r="H445" s="223" t="str">
        <f>RawTotals!AI445</f>
        <v/>
      </c>
    </row>
    <row r="446">
      <c r="A446" s="224" t="str">
        <f>RawTotals!A446</f>
        <v/>
      </c>
      <c r="B446" s="75" t="str">
        <f>IFERROR(__xludf.DUMMYFUNCTION("IFERROR(FILTER('Pit Scouting Responses'!J:J,'Pit Scouting Responses'!C:C=A446),"""")"),"")</f>
        <v/>
      </c>
      <c r="C446" s="85" t="str">
        <f>IF(ISBLANK(A446),"",SUMIF(RawTotals!A$2:A1000, A446, RawTotals!O$2:O1000))</f>
        <v/>
      </c>
      <c r="D446" s="221" t="str">
        <f>IF(ISBLANK(A446),"",SUMIF(RawTotals!A$2:A1000, A446, RawTotals!D$2:D1000) + SUMIF(RawTotals!A$2:A1000, A446, RawTotals!M$2:M1000))</f>
        <v/>
      </c>
      <c r="E446" s="221" t="str">
        <f>IF(ISBLANK(A446),"",SUMIF(RawTotals!A$2:A1000, A446, RawTotals!C$2:C1000) + SUMIF(RawTotals!A$2:A1000, A446, RawTotals!L$2:L1000))</f>
        <v/>
      </c>
      <c r="F446" s="225" t="str">
        <f>IFERROR(__xludf.DUMMYFUNCTION("IFERROR(FILTER('Pit Scouting Responses'!G:G,'Pit Scouting Responses'!C:C=A446),"""")"),"")</f>
        <v/>
      </c>
      <c r="G446" s="226" t="str">
        <f>IFERROR(__xludf.DUMMYFUNCTION("IFERROR(FILTER('Pit Scouting Responses'!D:D,'Pit Scouting Responses'!C:C=A446),"""")"),"")</f>
        <v/>
      </c>
      <c r="H446" s="223" t="str">
        <f>RawTotals!AI446</f>
        <v/>
      </c>
    </row>
    <row r="447">
      <c r="A447" s="224" t="str">
        <f>RawTotals!A447</f>
        <v/>
      </c>
      <c r="B447" s="75" t="str">
        <f>IFERROR(__xludf.DUMMYFUNCTION("IFERROR(FILTER('Pit Scouting Responses'!J:J,'Pit Scouting Responses'!C:C=A447),"""")"),"")</f>
        <v/>
      </c>
      <c r="C447" s="85" t="str">
        <f>IF(ISBLANK(A447),"",SUMIF(RawTotals!A$2:A1000, A447, RawTotals!O$2:O1000))</f>
        <v/>
      </c>
      <c r="D447" s="221" t="str">
        <f>IF(ISBLANK(A447),"",SUMIF(RawTotals!A$2:A1000, A447, RawTotals!D$2:D1000) + SUMIF(RawTotals!A$2:A1000, A447, RawTotals!M$2:M1000))</f>
        <v/>
      </c>
      <c r="E447" s="221" t="str">
        <f>IF(ISBLANK(A447),"",SUMIF(RawTotals!A$2:A1000, A447, RawTotals!C$2:C1000) + SUMIF(RawTotals!A$2:A1000, A447, RawTotals!L$2:L1000))</f>
        <v/>
      </c>
      <c r="F447" s="225" t="str">
        <f>IFERROR(__xludf.DUMMYFUNCTION("IFERROR(FILTER('Pit Scouting Responses'!G:G,'Pit Scouting Responses'!C:C=A447),"""")"),"")</f>
        <v/>
      </c>
      <c r="G447" s="226" t="str">
        <f>IFERROR(__xludf.DUMMYFUNCTION("IFERROR(FILTER('Pit Scouting Responses'!D:D,'Pit Scouting Responses'!C:C=A447),"""")"),"")</f>
        <v/>
      </c>
      <c r="H447" s="223" t="str">
        <f>RawTotals!AI447</f>
        <v/>
      </c>
    </row>
    <row r="448">
      <c r="A448" s="224" t="str">
        <f>RawTotals!A448</f>
        <v/>
      </c>
      <c r="B448" s="75" t="str">
        <f>IFERROR(__xludf.DUMMYFUNCTION("IFERROR(FILTER('Pit Scouting Responses'!J:J,'Pit Scouting Responses'!C:C=A448),"""")"),"")</f>
        <v/>
      </c>
      <c r="C448" s="85" t="str">
        <f>IF(ISBLANK(A448),"",SUMIF(RawTotals!A$2:A1000, A448, RawTotals!O$2:O1000))</f>
        <v/>
      </c>
      <c r="D448" s="221" t="str">
        <f>IF(ISBLANK(A448),"",SUMIF(RawTotals!A$2:A1000, A448, RawTotals!D$2:D1000) + SUMIF(RawTotals!A$2:A1000, A448, RawTotals!M$2:M1000))</f>
        <v/>
      </c>
      <c r="E448" s="221" t="str">
        <f>IF(ISBLANK(A448),"",SUMIF(RawTotals!A$2:A1000, A448, RawTotals!C$2:C1000) + SUMIF(RawTotals!A$2:A1000, A448, RawTotals!L$2:L1000))</f>
        <v/>
      </c>
      <c r="F448" s="225" t="str">
        <f>IFERROR(__xludf.DUMMYFUNCTION("IFERROR(FILTER('Pit Scouting Responses'!G:G,'Pit Scouting Responses'!C:C=A448),"""")"),"")</f>
        <v/>
      </c>
      <c r="G448" s="226" t="str">
        <f>IFERROR(__xludf.DUMMYFUNCTION("IFERROR(FILTER('Pit Scouting Responses'!D:D,'Pit Scouting Responses'!C:C=A448),"""")"),"")</f>
        <v/>
      </c>
      <c r="H448" s="223" t="str">
        <f>RawTotals!AI448</f>
        <v/>
      </c>
    </row>
    <row r="449">
      <c r="A449" s="224" t="str">
        <f>RawTotals!A449</f>
        <v/>
      </c>
      <c r="B449" s="75" t="str">
        <f>IFERROR(__xludf.DUMMYFUNCTION("IFERROR(FILTER('Pit Scouting Responses'!J:J,'Pit Scouting Responses'!C:C=A449),"""")"),"")</f>
        <v/>
      </c>
      <c r="C449" s="85" t="str">
        <f>IF(ISBLANK(A449),"",SUMIF(RawTotals!A$2:A1000, A449, RawTotals!O$2:O1000))</f>
        <v/>
      </c>
      <c r="D449" s="221" t="str">
        <f>IF(ISBLANK(A449),"",SUMIF(RawTotals!A$2:A1000, A449, RawTotals!D$2:D1000) + SUMIF(RawTotals!A$2:A1000, A449, RawTotals!M$2:M1000))</f>
        <v/>
      </c>
      <c r="E449" s="221" t="str">
        <f>IF(ISBLANK(A449),"",SUMIF(RawTotals!A$2:A1000, A449, RawTotals!C$2:C1000) + SUMIF(RawTotals!A$2:A1000, A449, RawTotals!L$2:L1000))</f>
        <v/>
      </c>
      <c r="F449" s="225" t="str">
        <f>IFERROR(__xludf.DUMMYFUNCTION("IFERROR(FILTER('Pit Scouting Responses'!G:G,'Pit Scouting Responses'!C:C=A449),"""")"),"")</f>
        <v/>
      </c>
      <c r="G449" s="226" t="str">
        <f>IFERROR(__xludf.DUMMYFUNCTION("IFERROR(FILTER('Pit Scouting Responses'!D:D,'Pit Scouting Responses'!C:C=A449),"""")"),"")</f>
        <v/>
      </c>
      <c r="H449" s="223" t="str">
        <f>RawTotals!AI449</f>
        <v/>
      </c>
    </row>
    <row r="450">
      <c r="A450" s="224" t="str">
        <f>RawTotals!A450</f>
        <v/>
      </c>
      <c r="B450" s="75" t="str">
        <f>IFERROR(__xludf.DUMMYFUNCTION("IFERROR(FILTER('Pit Scouting Responses'!J:J,'Pit Scouting Responses'!C:C=A450),"""")"),"")</f>
        <v/>
      </c>
      <c r="C450" s="85" t="str">
        <f>IF(ISBLANK(A450),"",SUMIF(RawTotals!A$2:A1000, A450, RawTotals!O$2:O1000))</f>
        <v/>
      </c>
      <c r="D450" s="221" t="str">
        <f>IF(ISBLANK(A450),"",SUMIF(RawTotals!A$2:A1000, A450, RawTotals!D$2:D1000) + SUMIF(RawTotals!A$2:A1000, A450, RawTotals!M$2:M1000))</f>
        <v/>
      </c>
      <c r="E450" s="221" t="str">
        <f>IF(ISBLANK(A450),"",SUMIF(RawTotals!A$2:A1000, A450, RawTotals!C$2:C1000) + SUMIF(RawTotals!A$2:A1000, A450, RawTotals!L$2:L1000))</f>
        <v/>
      </c>
      <c r="F450" s="225" t="str">
        <f>IFERROR(__xludf.DUMMYFUNCTION("IFERROR(FILTER('Pit Scouting Responses'!G:G,'Pit Scouting Responses'!C:C=A450),"""")"),"")</f>
        <v/>
      </c>
      <c r="G450" s="226" t="str">
        <f>IFERROR(__xludf.DUMMYFUNCTION("IFERROR(FILTER('Pit Scouting Responses'!D:D,'Pit Scouting Responses'!C:C=A450),"""")"),"")</f>
        <v/>
      </c>
      <c r="H450" s="223" t="str">
        <f>RawTotals!AI450</f>
        <v/>
      </c>
    </row>
    <row r="451">
      <c r="A451" s="224" t="str">
        <f>RawTotals!A451</f>
        <v/>
      </c>
      <c r="B451" s="75" t="str">
        <f>IFERROR(__xludf.DUMMYFUNCTION("IFERROR(FILTER('Pit Scouting Responses'!J:J,'Pit Scouting Responses'!C:C=A451),"""")"),"")</f>
        <v/>
      </c>
      <c r="C451" s="85" t="str">
        <f>IF(ISBLANK(A451),"",SUMIF(RawTotals!A$2:A1000, A451, RawTotals!O$2:O1000))</f>
        <v/>
      </c>
      <c r="D451" s="221" t="str">
        <f>IF(ISBLANK(A451),"",SUMIF(RawTotals!A$2:A1000, A451, RawTotals!D$2:D1000) + SUMIF(RawTotals!A$2:A1000, A451, RawTotals!M$2:M1000))</f>
        <v/>
      </c>
      <c r="E451" s="221" t="str">
        <f>IF(ISBLANK(A451),"",SUMIF(RawTotals!A$2:A1000, A451, RawTotals!C$2:C1000) + SUMIF(RawTotals!A$2:A1000, A451, RawTotals!L$2:L1000))</f>
        <v/>
      </c>
      <c r="F451" s="225" t="str">
        <f>IFERROR(__xludf.DUMMYFUNCTION("IFERROR(FILTER('Pit Scouting Responses'!G:G,'Pit Scouting Responses'!C:C=A451),"""")"),"")</f>
        <v/>
      </c>
      <c r="G451" s="226" t="str">
        <f>IFERROR(__xludf.DUMMYFUNCTION("IFERROR(FILTER('Pit Scouting Responses'!D:D,'Pit Scouting Responses'!C:C=A451),"""")"),"")</f>
        <v/>
      </c>
      <c r="H451" s="223" t="str">
        <f>RawTotals!AI451</f>
        <v/>
      </c>
    </row>
    <row r="452">
      <c r="A452" s="224" t="str">
        <f>RawTotals!A452</f>
        <v/>
      </c>
      <c r="B452" s="75" t="str">
        <f>IFERROR(__xludf.DUMMYFUNCTION("IFERROR(FILTER('Pit Scouting Responses'!J:J,'Pit Scouting Responses'!C:C=A452),"""")"),"")</f>
        <v/>
      </c>
      <c r="C452" s="85" t="str">
        <f>IF(ISBLANK(A452),"",SUMIF(RawTotals!A$2:A1000, A452, RawTotals!O$2:O1000))</f>
        <v/>
      </c>
      <c r="D452" s="221" t="str">
        <f>IF(ISBLANK(A452),"",SUMIF(RawTotals!A$2:A1000, A452, RawTotals!D$2:D1000) + SUMIF(RawTotals!A$2:A1000, A452, RawTotals!M$2:M1000))</f>
        <v/>
      </c>
      <c r="E452" s="221" t="str">
        <f>IF(ISBLANK(A452),"",SUMIF(RawTotals!A$2:A1000, A452, RawTotals!C$2:C1000) + SUMIF(RawTotals!A$2:A1000, A452, RawTotals!L$2:L1000))</f>
        <v/>
      </c>
      <c r="F452" s="225" t="str">
        <f>IFERROR(__xludf.DUMMYFUNCTION("IFERROR(FILTER('Pit Scouting Responses'!G:G,'Pit Scouting Responses'!C:C=A452),"""")"),"")</f>
        <v/>
      </c>
      <c r="G452" s="226" t="str">
        <f>IFERROR(__xludf.DUMMYFUNCTION("IFERROR(FILTER('Pit Scouting Responses'!D:D,'Pit Scouting Responses'!C:C=A452),"""")"),"")</f>
        <v/>
      </c>
      <c r="H452" s="223" t="str">
        <f>RawTotals!AI452</f>
        <v/>
      </c>
    </row>
    <row r="453">
      <c r="A453" s="224" t="str">
        <f>RawTotals!A453</f>
        <v/>
      </c>
      <c r="B453" s="75" t="str">
        <f>IFERROR(__xludf.DUMMYFUNCTION("IFERROR(FILTER('Pit Scouting Responses'!J:J,'Pit Scouting Responses'!C:C=A453),"""")"),"")</f>
        <v/>
      </c>
      <c r="C453" s="85" t="str">
        <f>IF(ISBLANK(A453),"",SUMIF(RawTotals!A$2:A1000, A453, RawTotals!O$2:O1000))</f>
        <v/>
      </c>
      <c r="D453" s="221" t="str">
        <f>IF(ISBLANK(A453),"",SUMIF(RawTotals!A$2:A1000, A453, RawTotals!D$2:D1000) + SUMIF(RawTotals!A$2:A1000, A453, RawTotals!M$2:M1000))</f>
        <v/>
      </c>
      <c r="E453" s="221" t="str">
        <f>IF(ISBLANK(A453),"",SUMIF(RawTotals!A$2:A1000, A453, RawTotals!C$2:C1000) + SUMIF(RawTotals!A$2:A1000, A453, RawTotals!L$2:L1000))</f>
        <v/>
      </c>
      <c r="F453" s="225" t="str">
        <f>IFERROR(__xludf.DUMMYFUNCTION("IFERROR(FILTER('Pit Scouting Responses'!G:G,'Pit Scouting Responses'!C:C=A453),"""")"),"")</f>
        <v/>
      </c>
      <c r="G453" s="226" t="str">
        <f>IFERROR(__xludf.DUMMYFUNCTION("IFERROR(FILTER('Pit Scouting Responses'!D:D,'Pit Scouting Responses'!C:C=A453),"""")"),"")</f>
        <v/>
      </c>
      <c r="H453" s="223" t="str">
        <f>RawTotals!AI453</f>
        <v/>
      </c>
    </row>
    <row r="454">
      <c r="A454" s="224" t="str">
        <f>RawTotals!A454</f>
        <v/>
      </c>
      <c r="B454" s="75" t="str">
        <f>IFERROR(__xludf.DUMMYFUNCTION("IFERROR(FILTER('Pit Scouting Responses'!J:J,'Pit Scouting Responses'!C:C=A454),"""")"),"")</f>
        <v/>
      </c>
      <c r="C454" s="85" t="str">
        <f>IF(ISBLANK(A454),"",SUMIF(RawTotals!A$2:A1000, A454, RawTotals!O$2:O1000))</f>
        <v/>
      </c>
      <c r="D454" s="221" t="str">
        <f>IF(ISBLANK(A454),"",SUMIF(RawTotals!A$2:A1000, A454, RawTotals!D$2:D1000) + SUMIF(RawTotals!A$2:A1000, A454, RawTotals!M$2:M1000))</f>
        <v/>
      </c>
      <c r="E454" s="221" t="str">
        <f>IF(ISBLANK(A454),"",SUMIF(RawTotals!A$2:A1000, A454, RawTotals!C$2:C1000) + SUMIF(RawTotals!A$2:A1000, A454, RawTotals!L$2:L1000))</f>
        <v/>
      </c>
      <c r="F454" s="225" t="str">
        <f>IFERROR(__xludf.DUMMYFUNCTION("IFERROR(FILTER('Pit Scouting Responses'!G:G,'Pit Scouting Responses'!C:C=A454),"""")"),"")</f>
        <v/>
      </c>
      <c r="G454" s="226" t="str">
        <f>IFERROR(__xludf.DUMMYFUNCTION("IFERROR(FILTER('Pit Scouting Responses'!D:D,'Pit Scouting Responses'!C:C=A454),"""")"),"")</f>
        <v/>
      </c>
      <c r="H454" s="223" t="str">
        <f>RawTotals!AI454</f>
        <v/>
      </c>
    </row>
    <row r="455">
      <c r="A455" s="224" t="str">
        <f>RawTotals!A455</f>
        <v/>
      </c>
      <c r="B455" s="75" t="str">
        <f>IFERROR(__xludf.DUMMYFUNCTION("IFERROR(FILTER('Pit Scouting Responses'!J:J,'Pit Scouting Responses'!C:C=A455),"""")"),"")</f>
        <v/>
      </c>
      <c r="C455" s="85" t="str">
        <f>IF(ISBLANK(A455),"",SUMIF(RawTotals!A$2:A1000, A455, RawTotals!O$2:O1000))</f>
        <v/>
      </c>
      <c r="D455" s="221" t="str">
        <f>IF(ISBLANK(A455),"",SUMIF(RawTotals!A$2:A1000, A455, RawTotals!D$2:D1000) + SUMIF(RawTotals!A$2:A1000, A455, RawTotals!M$2:M1000))</f>
        <v/>
      </c>
      <c r="E455" s="221" t="str">
        <f>IF(ISBLANK(A455),"",SUMIF(RawTotals!A$2:A1000, A455, RawTotals!C$2:C1000) + SUMIF(RawTotals!A$2:A1000, A455, RawTotals!L$2:L1000))</f>
        <v/>
      </c>
      <c r="F455" s="225" t="str">
        <f>IFERROR(__xludf.DUMMYFUNCTION("IFERROR(FILTER('Pit Scouting Responses'!G:G,'Pit Scouting Responses'!C:C=A455),"""")"),"")</f>
        <v/>
      </c>
      <c r="G455" s="226" t="str">
        <f>IFERROR(__xludf.DUMMYFUNCTION("IFERROR(FILTER('Pit Scouting Responses'!D:D,'Pit Scouting Responses'!C:C=A455),"""")"),"")</f>
        <v/>
      </c>
      <c r="H455" s="223" t="str">
        <f>RawTotals!AI455</f>
        <v/>
      </c>
    </row>
    <row r="456">
      <c r="A456" s="224" t="str">
        <f>RawTotals!A456</f>
        <v/>
      </c>
      <c r="B456" s="75" t="str">
        <f>IFERROR(__xludf.DUMMYFUNCTION("IFERROR(FILTER('Pit Scouting Responses'!J:J,'Pit Scouting Responses'!C:C=A456),"""")"),"")</f>
        <v/>
      </c>
      <c r="C456" s="85" t="str">
        <f>IF(ISBLANK(A456),"",SUMIF(RawTotals!A$2:A1000, A456, RawTotals!O$2:O1000))</f>
        <v/>
      </c>
      <c r="D456" s="221" t="str">
        <f>IF(ISBLANK(A456),"",SUMIF(RawTotals!A$2:A1000, A456, RawTotals!D$2:D1000) + SUMIF(RawTotals!A$2:A1000, A456, RawTotals!M$2:M1000))</f>
        <v/>
      </c>
      <c r="E456" s="221" t="str">
        <f>IF(ISBLANK(A456),"",SUMIF(RawTotals!A$2:A1000, A456, RawTotals!C$2:C1000) + SUMIF(RawTotals!A$2:A1000, A456, RawTotals!L$2:L1000))</f>
        <v/>
      </c>
      <c r="F456" s="225" t="str">
        <f>IFERROR(__xludf.DUMMYFUNCTION("IFERROR(FILTER('Pit Scouting Responses'!G:G,'Pit Scouting Responses'!C:C=A456),"""")"),"")</f>
        <v/>
      </c>
      <c r="G456" s="226" t="str">
        <f>IFERROR(__xludf.DUMMYFUNCTION("IFERROR(FILTER('Pit Scouting Responses'!D:D,'Pit Scouting Responses'!C:C=A456),"""")"),"")</f>
        <v/>
      </c>
      <c r="H456" s="223" t="str">
        <f>RawTotals!AI456</f>
        <v/>
      </c>
    </row>
    <row r="457">
      <c r="A457" s="224" t="str">
        <f>RawTotals!A457</f>
        <v/>
      </c>
      <c r="B457" s="75" t="str">
        <f>IFERROR(__xludf.DUMMYFUNCTION("IFERROR(FILTER('Pit Scouting Responses'!J:J,'Pit Scouting Responses'!C:C=A457),"""")"),"")</f>
        <v/>
      </c>
      <c r="C457" s="85" t="str">
        <f>IF(ISBLANK(A457),"",SUMIF(RawTotals!A$2:A1000, A457, RawTotals!O$2:O1000))</f>
        <v/>
      </c>
      <c r="D457" s="221" t="str">
        <f>IF(ISBLANK(A457),"",SUMIF(RawTotals!A$2:A1000, A457, RawTotals!D$2:D1000) + SUMIF(RawTotals!A$2:A1000, A457, RawTotals!M$2:M1000))</f>
        <v/>
      </c>
      <c r="E457" s="221" t="str">
        <f>IF(ISBLANK(A457),"",SUMIF(RawTotals!A$2:A1000, A457, RawTotals!C$2:C1000) + SUMIF(RawTotals!A$2:A1000, A457, RawTotals!L$2:L1000))</f>
        <v/>
      </c>
      <c r="F457" s="225" t="str">
        <f>IFERROR(__xludf.DUMMYFUNCTION("IFERROR(FILTER('Pit Scouting Responses'!G:G,'Pit Scouting Responses'!C:C=A457),"""")"),"")</f>
        <v/>
      </c>
      <c r="G457" s="226" t="str">
        <f>IFERROR(__xludf.DUMMYFUNCTION("IFERROR(FILTER('Pit Scouting Responses'!D:D,'Pit Scouting Responses'!C:C=A457),"""")"),"")</f>
        <v/>
      </c>
      <c r="H457" s="223" t="str">
        <f>RawTotals!AI457</f>
        <v/>
      </c>
    </row>
    <row r="458">
      <c r="A458" s="224" t="str">
        <f>RawTotals!A458</f>
        <v/>
      </c>
      <c r="B458" s="75" t="str">
        <f>IFERROR(__xludf.DUMMYFUNCTION("IFERROR(FILTER('Pit Scouting Responses'!J:J,'Pit Scouting Responses'!C:C=A458),"""")"),"")</f>
        <v/>
      </c>
      <c r="C458" s="85" t="str">
        <f>IF(ISBLANK(A458),"",SUMIF(RawTotals!A$2:A1000, A458, RawTotals!O$2:O1000))</f>
        <v/>
      </c>
      <c r="D458" s="221" t="str">
        <f>IF(ISBLANK(A458),"",SUMIF(RawTotals!A$2:A1000, A458, RawTotals!D$2:D1000) + SUMIF(RawTotals!A$2:A1000, A458, RawTotals!M$2:M1000))</f>
        <v/>
      </c>
      <c r="E458" s="221" t="str">
        <f>IF(ISBLANK(A458),"",SUMIF(RawTotals!A$2:A1000, A458, RawTotals!C$2:C1000) + SUMIF(RawTotals!A$2:A1000, A458, RawTotals!L$2:L1000))</f>
        <v/>
      </c>
      <c r="F458" s="225" t="str">
        <f>IFERROR(__xludf.DUMMYFUNCTION("IFERROR(FILTER('Pit Scouting Responses'!G:G,'Pit Scouting Responses'!C:C=A458),"""")"),"")</f>
        <v/>
      </c>
      <c r="G458" s="226" t="str">
        <f>IFERROR(__xludf.DUMMYFUNCTION("IFERROR(FILTER('Pit Scouting Responses'!D:D,'Pit Scouting Responses'!C:C=A458),"""")"),"")</f>
        <v/>
      </c>
      <c r="H458" s="223" t="str">
        <f>RawTotals!AI458</f>
        <v/>
      </c>
    </row>
    <row r="459">
      <c r="A459" s="224" t="str">
        <f>RawTotals!A459</f>
        <v/>
      </c>
      <c r="B459" s="75" t="str">
        <f>IFERROR(__xludf.DUMMYFUNCTION("IFERROR(FILTER('Pit Scouting Responses'!J:J,'Pit Scouting Responses'!C:C=A459),"""")"),"")</f>
        <v/>
      </c>
      <c r="C459" s="85" t="str">
        <f>IF(ISBLANK(A459),"",SUMIF(RawTotals!A$2:A1000, A459, RawTotals!O$2:O1000))</f>
        <v/>
      </c>
      <c r="D459" s="221" t="str">
        <f>IF(ISBLANK(A459),"",SUMIF(RawTotals!A$2:A1000, A459, RawTotals!D$2:D1000) + SUMIF(RawTotals!A$2:A1000, A459, RawTotals!M$2:M1000))</f>
        <v/>
      </c>
      <c r="E459" s="221" t="str">
        <f>IF(ISBLANK(A459),"",SUMIF(RawTotals!A$2:A1000, A459, RawTotals!C$2:C1000) + SUMIF(RawTotals!A$2:A1000, A459, RawTotals!L$2:L1000))</f>
        <v/>
      </c>
      <c r="F459" s="225" t="str">
        <f>IFERROR(__xludf.DUMMYFUNCTION("IFERROR(FILTER('Pit Scouting Responses'!G:G,'Pit Scouting Responses'!C:C=A459),"""")"),"")</f>
        <v/>
      </c>
      <c r="G459" s="226" t="str">
        <f>IFERROR(__xludf.DUMMYFUNCTION("IFERROR(FILTER('Pit Scouting Responses'!D:D,'Pit Scouting Responses'!C:C=A459),"""")"),"")</f>
        <v/>
      </c>
      <c r="H459" s="223" t="str">
        <f>RawTotals!AI459</f>
        <v/>
      </c>
    </row>
    <row r="460">
      <c r="A460" s="224" t="str">
        <f>RawTotals!A460</f>
        <v/>
      </c>
      <c r="B460" s="75" t="str">
        <f>IFERROR(__xludf.DUMMYFUNCTION("IFERROR(FILTER('Pit Scouting Responses'!J:J,'Pit Scouting Responses'!C:C=A460),"""")"),"")</f>
        <v/>
      </c>
      <c r="C460" s="85" t="str">
        <f>IF(ISBLANK(A460),"",SUMIF(RawTotals!A$2:A1000, A460, RawTotals!O$2:O1000))</f>
        <v/>
      </c>
      <c r="D460" s="221" t="str">
        <f>IF(ISBLANK(A460),"",SUMIF(RawTotals!A$2:A1000, A460, RawTotals!D$2:D1000) + SUMIF(RawTotals!A$2:A1000, A460, RawTotals!M$2:M1000))</f>
        <v/>
      </c>
      <c r="E460" s="221" t="str">
        <f>IF(ISBLANK(A460),"",SUMIF(RawTotals!A$2:A1000, A460, RawTotals!C$2:C1000) + SUMIF(RawTotals!A$2:A1000, A460, RawTotals!L$2:L1000))</f>
        <v/>
      </c>
      <c r="F460" s="225" t="str">
        <f>IFERROR(__xludf.DUMMYFUNCTION("IFERROR(FILTER('Pit Scouting Responses'!G:G,'Pit Scouting Responses'!C:C=A460),"""")"),"")</f>
        <v/>
      </c>
      <c r="G460" s="226" t="str">
        <f>IFERROR(__xludf.DUMMYFUNCTION("IFERROR(FILTER('Pit Scouting Responses'!D:D,'Pit Scouting Responses'!C:C=A460),"""")"),"")</f>
        <v/>
      </c>
      <c r="H460" s="223" t="str">
        <f>RawTotals!AI460</f>
        <v/>
      </c>
    </row>
    <row r="461">
      <c r="A461" s="224" t="str">
        <f>RawTotals!A461</f>
        <v/>
      </c>
      <c r="B461" s="75" t="str">
        <f>IFERROR(__xludf.DUMMYFUNCTION("IFERROR(FILTER('Pit Scouting Responses'!J:J,'Pit Scouting Responses'!C:C=A461),"""")"),"")</f>
        <v/>
      </c>
      <c r="C461" s="85" t="str">
        <f>IF(ISBLANK(A461),"",SUMIF(RawTotals!A$2:A1000, A461, RawTotals!O$2:O1000))</f>
        <v/>
      </c>
      <c r="D461" s="221" t="str">
        <f>IF(ISBLANK(A461),"",SUMIF(RawTotals!A$2:A1000, A461, RawTotals!D$2:D1000) + SUMIF(RawTotals!A$2:A1000, A461, RawTotals!M$2:M1000))</f>
        <v/>
      </c>
      <c r="E461" s="221" t="str">
        <f>IF(ISBLANK(A461),"",SUMIF(RawTotals!A$2:A1000, A461, RawTotals!C$2:C1000) + SUMIF(RawTotals!A$2:A1000, A461, RawTotals!L$2:L1000))</f>
        <v/>
      </c>
      <c r="F461" s="225" t="str">
        <f>IFERROR(__xludf.DUMMYFUNCTION("IFERROR(FILTER('Pit Scouting Responses'!G:G,'Pit Scouting Responses'!C:C=A461),"""")"),"")</f>
        <v/>
      </c>
      <c r="G461" s="226" t="str">
        <f>IFERROR(__xludf.DUMMYFUNCTION("IFERROR(FILTER('Pit Scouting Responses'!D:D,'Pit Scouting Responses'!C:C=A461),"""")"),"")</f>
        <v/>
      </c>
      <c r="H461" s="223" t="str">
        <f>RawTotals!AI461</f>
        <v/>
      </c>
    </row>
    <row r="462">
      <c r="A462" s="224" t="str">
        <f>RawTotals!A462</f>
        <v/>
      </c>
      <c r="B462" s="75" t="str">
        <f>IFERROR(__xludf.DUMMYFUNCTION("IFERROR(FILTER('Pit Scouting Responses'!J:J,'Pit Scouting Responses'!C:C=A462),"""")"),"")</f>
        <v/>
      </c>
      <c r="C462" s="85" t="str">
        <f>IF(ISBLANK(A462),"",SUMIF(RawTotals!A$2:A1000, A462, RawTotals!O$2:O1000))</f>
        <v/>
      </c>
      <c r="D462" s="221" t="str">
        <f>IF(ISBLANK(A462),"",SUMIF(RawTotals!A$2:A1000, A462, RawTotals!D$2:D1000) + SUMIF(RawTotals!A$2:A1000, A462, RawTotals!M$2:M1000))</f>
        <v/>
      </c>
      <c r="E462" s="221" t="str">
        <f>IF(ISBLANK(A462),"",SUMIF(RawTotals!A$2:A1000, A462, RawTotals!C$2:C1000) + SUMIF(RawTotals!A$2:A1000, A462, RawTotals!L$2:L1000))</f>
        <v/>
      </c>
      <c r="F462" s="225" t="str">
        <f>IFERROR(__xludf.DUMMYFUNCTION("IFERROR(FILTER('Pit Scouting Responses'!G:G,'Pit Scouting Responses'!C:C=A462),"""")"),"")</f>
        <v/>
      </c>
      <c r="G462" s="226" t="str">
        <f>IFERROR(__xludf.DUMMYFUNCTION("IFERROR(FILTER('Pit Scouting Responses'!D:D,'Pit Scouting Responses'!C:C=A462),"""")"),"")</f>
        <v/>
      </c>
      <c r="H462" s="223" t="str">
        <f>RawTotals!AI462</f>
        <v/>
      </c>
    </row>
    <row r="463">
      <c r="A463" s="224" t="str">
        <f>RawTotals!A463</f>
        <v/>
      </c>
      <c r="B463" s="75" t="str">
        <f>IFERROR(__xludf.DUMMYFUNCTION("IFERROR(FILTER('Pit Scouting Responses'!J:J,'Pit Scouting Responses'!C:C=A463),"""")"),"")</f>
        <v/>
      </c>
      <c r="C463" s="85" t="str">
        <f>IF(ISBLANK(A463),"",SUMIF(RawTotals!A$2:A1000, A463, RawTotals!O$2:O1000))</f>
        <v/>
      </c>
      <c r="D463" s="221" t="str">
        <f>IF(ISBLANK(A463),"",SUMIF(RawTotals!A$2:A1000, A463, RawTotals!D$2:D1000) + SUMIF(RawTotals!A$2:A1000, A463, RawTotals!M$2:M1000))</f>
        <v/>
      </c>
      <c r="E463" s="221" t="str">
        <f>IF(ISBLANK(A463),"",SUMIF(RawTotals!A$2:A1000, A463, RawTotals!C$2:C1000) + SUMIF(RawTotals!A$2:A1000, A463, RawTotals!L$2:L1000))</f>
        <v/>
      </c>
      <c r="F463" s="225" t="str">
        <f>IFERROR(__xludf.DUMMYFUNCTION("IFERROR(FILTER('Pit Scouting Responses'!G:G,'Pit Scouting Responses'!C:C=A463),"""")"),"")</f>
        <v/>
      </c>
      <c r="G463" s="226" t="str">
        <f>IFERROR(__xludf.DUMMYFUNCTION("IFERROR(FILTER('Pit Scouting Responses'!D:D,'Pit Scouting Responses'!C:C=A463),"""")"),"")</f>
        <v/>
      </c>
      <c r="H463" s="223" t="str">
        <f>RawTotals!AI463</f>
        <v/>
      </c>
    </row>
    <row r="464">
      <c r="A464" s="224" t="str">
        <f>RawTotals!A464</f>
        <v/>
      </c>
      <c r="B464" s="75" t="str">
        <f>IFERROR(__xludf.DUMMYFUNCTION("IFERROR(FILTER('Pit Scouting Responses'!J:J,'Pit Scouting Responses'!C:C=A464),"""")"),"")</f>
        <v/>
      </c>
      <c r="C464" s="85" t="str">
        <f>IF(ISBLANK(A464),"",SUMIF(RawTotals!A$2:A1000, A464, RawTotals!O$2:O1000))</f>
        <v/>
      </c>
      <c r="D464" s="221" t="str">
        <f>IF(ISBLANK(A464),"",SUMIF(RawTotals!A$2:A1000, A464, RawTotals!D$2:D1000) + SUMIF(RawTotals!A$2:A1000, A464, RawTotals!M$2:M1000))</f>
        <v/>
      </c>
      <c r="E464" s="221" t="str">
        <f>IF(ISBLANK(A464),"",SUMIF(RawTotals!A$2:A1000, A464, RawTotals!C$2:C1000) + SUMIF(RawTotals!A$2:A1000, A464, RawTotals!L$2:L1000))</f>
        <v/>
      </c>
      <c r="F464" s="225" t="str">
        <f>IFERROR(__xludf.DUMMYFUNCTION("IFERROR(FILTER('Pit Scouting Responses'!G:G,'Pit Scouting Responses'!C:C=A464),"""")"),"")</f>
        <v/>
      </c>
      <c r="G464" s="226" t="str">
        <f>IFERROR(__xludf.DUMMYFUNCTION("IFERROR(FILTER('Pit Scouting Responses'!D:D,'Pit Scouting Responses'!C:C=A464),"""")"),"")</f>
        <v/>
      </c>
      <c r="H464" s="223" t="str">
        <f>RawTotals!AI464</f>
        <v/>
      </c>
    </row>
    <row r="465">
      <c r="A465" s="224" t="str">
        <f>RawTotals!A465</f>
        <v/>
      </c>
      <c r="B465" s="75" t="str">
        <f>IFERROR(__xludf.DUMMYFUNCTION("IFERROR(FILTER('Pit Scouting Responses'!J:J,'Pit Scouting Responses'!C:C=A465),"""")"),"")</f>
        <v/>
      </c>
      <c r="C465" s="85" t="str">
        <f>IF(ISBLANK(A465),"",SUMIF(RawTotals!A$2:A1000, A465, RawTotals!O$2:O1000))</f>
        <v/>
      </c>
      <c r="D465" s="221" t="str">
        <f>IF(ISBLANK(A465),"",SUMIF(RawTotals!A$2:A1000, A465, RawTotals!D$2:D1000) + SUMIF(RawTotals!A$2:A1000, A465, RawTotals!M$2:M1000))</f>
        <v/>
      </c>
      <c r="E465" s="221" t="str">
        <f>IF(ISBLANK(A465),"",SUMIF(RawTotals!A$2:A1000, A465, RawTotals!C$2:C1000) + SUMIF(RawTotals!A$2:A1000, A465, RawTotals!L$2:L1000))</f>
        <v/>
      </c>
      <c r="F465" s="225" t="str">
        <f>IFERROR(__xludf.DUMMYFUNCTION("IFERROR(FILTER('Pit Scouting Responses'!G:G,'Pit Scouting Responses'!C:C=A465),"""")"),"")</f>
        <v/>
      </c>
      <c r="G465" s="226" t="str">
        <f>IFERROR(__xludf.DUMMYFUNCTION("IFERROR(FILTER('Pit Scouting Responses'!D:D,'Pit Scouting Responses'!C:C=A465),"""")"),"")</f>
        <v/>
      </c>
      <c r="H465" s="223" t="str">
        <f>RawTotals!AI465</f>
        <v/>
      </c>
    </row>
    <row r="466">
      <c r="A466" s="224" t="str">
        <f>RawTotals!A466</f>
        <v/>
      </c>
      <c r="B466" s="75" t="str">
        <f>IFERROR(__xludf.DUMMYFUNCTION("IFERROR(FILTER('Pit Scouting Responses'!J:J,'Pit Scouting Responses'!C:C=A466),"""")"),"")</f>
        <v/>
      </c>
      <c r="C466" s="85" t="str">
        <f>IF(ISBLANK(A466),"",SUMIF(RawTotals!A$2:A1000, A466, RawTotals!O$2:O1000))</f>
        <v/>
      </c>
      <c r="D466" s="221" t="str">
        <f>IF(ISBLANK(A466),"",SUMIF(RawTotals!A$2:A1000, A466, RawTotals!D$2:D1000) + SUMIF(RawTotals!A$2:A1000, A466, RawTotals!M$2:M1000))</f>
        <v/>
      </c>
      <c r="E466" s="221" t="str">
        <f>IF(ISBLANK(A466),"",SUMIF(RawTotals!A$2:A1000, A466, RawTotals!C$2:C1000) + SUMIF(RawTotals!A$2:A1000, A466, RawTotals!L$2:L1000))</f>
        <v/>
      </c>
      <c r="F466" s="225" t="str">
        <f>IFERROR(__xludf.DUMMYFUNCTION("IFERROR(FILTER('Pit Scouting Responses'!G:G,'Pit Scouting Responses'!C:C=A466),"""")"),"")</f>
        <v/>
      </c>
      <c r="G466" s="226" t="str">
        <f>IFERROR(__xludf.DUMMYFUNCTION("IFERROR(FILTER('Pit Scouting Responses'!D:D,'Pit Scouting Responses'!C:C=A466),"""")"),"")</f>
        <v/>
      </c>
      <c r="H466" s="223" t="str">
        <f>RawTotals!AI466</f>
        <v/>
      </c>
    </row>
    <row r="467">
      <c r="A467" s="224" t="str">
        <f>RawTotals!A467</f>
        <v/>
      </c>
      <c r="B467" s="75" t="str">
        <f>IFERROR(__xludf.DUMMYFUNCTION("IFERROR(FILTER('Pit Scouting Responses'!J:J,'Pit Scouting Responses'!C:C=A467),"""")"),"")</f>
        <v/>
      </c>
      <c r="C467" s="85" t="str">
        <f>IF(ISBLANK(A467),"",SUMIF(RawTotals!A$2:A1000, A467, RawTotals!O$2:O1000))</f>
        <v/>
      </c>
      <c r="D467" s="221" t="str">
        <f>IF(ISBLANK(A467),"",SUMIF(RawTotals!A$2:A1000, A467, RawTotals!D$2:D1000) + SUMIF(RawTotals!A$2:A1000, A467, RawTotals!M$2:M1000))</f>
        <v/>
      </c>
      <c r="E467" s="221" t="str">
        <f>IF(ISBLANK(A467),"",SUMIF(RawTotals!A$2:A1000, A467, RawTotals!C$2:C1000) + SUMIF(RawTotals!A$2:A1000, A467, RawTotals!L$2:L1000))</f>
        <v/>
      </c>
      <c r="F467" s="225" t="str">
        <f>IFERROR(__xludf.DUMMYFUNCTION("IFERROR(FILTER('Pit Scouting Responses'!G:G,'Pit Scouting Responses'!C:C=A467),"""")"),"")</f>
        <v/>
      </c>
      <c r="G467" s="226" t="str">
        <f>IFERROR(__xludf.DUMMYFUNCTION("IFERROR(FILTER('Pit Scouting Responses'!D:D,'Pit Scouting Responses'!C:C=A467),"""")"),"")</f>
        <v/>
      </c>
      <c r="H467" s="223" t="str">
        <f>RawTotals!AI467</f>
        <v/>
      </c>
    </row>
    <row r="468">
      <c r="A468" s="224" t="str">
        <f>RawTotals!A468</f>
        <v/>
      </c>
      <c r="B468" s="75" t="str">
        <f>IFERROR(__xludf.DUMMYFUNCTION("IFERROR(FILTER('Pit Scouting Responses'!J:J,'Pit Scouting Responses'!C:C=A468),"""")"),"")</f>
        <v/>
      </c>
      <c r="C468" s="85" t="str">
        <f>IF(ISBLANK(A468),"",SUMIF(RawTotals!A$2:A1000, A468, RawTotals!O$2:O1000))</f>
        <v/>
      </c>
      <c r="D468" s="221" t="str">
        <f>IF(ISBLANK(A468),"",SUMIF(RawTotals!A$2:A1000, A468, RawTotals!D$2:D1000) + SUMIF(RawTotals!A$2:A1000, A468, RawTotals!M$2:M1000))</f>
        <v/>
      </c>
      <c r="E468" s="221" t="str">
        <f>IF(ISBLANK(A468),"",SUMIF(RawTotals!A$2:A1000, A468, RawTotals!C$2:C1000) + SUMIF(RawTotals!A$2:A1000, A468, RawTotals!L$2:L1000))</f>
        <v/>
      </c>
      <c r="F468" s="225" t="str">
        <f>IFERROR(__xludf.DUMMYFUNCTION("IFERROR(FILTER('Pit Scouting Responses'!G:G,'Pit Scouting Responses'!C:C=A468),"""")"),"")</f>
        <v/>
      </c>
      <c r="G468" s="226" t="str">
        <f>IFERROR(__xludf.DUMMYFUNCTION("IFERROR(FILTER('Pit Scouting Responses'!D:D,'Pit Scouting Responses'!C:C=A468),"""")"),"")</f>
        <v/>
      </c>
      <c r="H468" s="223" t="str">
        <f>RawTotals!AI468</f>
        <v/>
      </c>
    </row>
    <row r="469">
      <c r="A469" s="224" t="str">
        <f>RawTotals!A469</f>
        <v/>
      </c>
      <c r="B469" s="75" t="str">
        <f>IFERROR(__xludf.DUMMYFUNCTION("IFERROR(FILTER('Pit Scouting Responses'!J:J,'Pit Scouting Responses'!C:C=A469),"""")"),"")</f>
        <v/>
      </c>
      <c r="C469" s="85" t="str">
        <f>IF(ISBLANK(A469),"",SUMIF(RawTotals!A$2:A1000, A469, RawTotals!O$2:O1000))</f>
        <v/>
      </c>
      <c r="D469" s="221" t="str">
        <f>IF(ISBLANK(A469),"",SUMIF(RawTotals!A$2:A1000, A469, RawTotals!D$2:D1000) + SUMIF(RawTotals!A$2:A1000, A469, RawTotals!M$2:M1000))</f>
        <v/>
      </c>
      <c r="E469" s="221" t="str">
        <f>IF(ISBLANK(A469),"",SUMIF(RawTotals!A$2:A1000, A469, RawTotals!C$2:C1000) + SUMIF(RawTotals!A$2:A1000, A469, RawTotals!L$2:L1000))</f>
        <v/>
      </c>
      <c r="F469" s="225" t="str">
        <f>IFERROR(__xludf.DUMMYFUNCTION("IFERROR(FILTER('Pit Scouting Responses'!G:G,'Pit Scouting Responses'!C:C=A469),"""")"),"")</f>
        <v/>
      </c>
      <c r="G469" s="226" t="str">
        <f>IFERROR(__xludf.DUMMYFUNCTION("IFERROR(FILTER('Pit Scouting Responses'!D:D,'Pit Scouting Responses'!C:C=A469),"""")"),"")</f>
        <v/>
      </c>
      <c r="H469" s="223" t="str">
        <f>RawTotals!AI469</f>
        <v/>
      </c>
    </row>
    <row r="470">
      <c r="A470" s="224" t="str">
        <f>RawTotals!A470</f>
        <v/>
      </c>
      <c r="B470" s="75" t="str">
        <f>IFERROR(__xludf.DUMMYFUNCTION("IFERROR(FILTER('Pit Scouting Responses'!J:J,'Pit Scouting Responses'!C:C=A470),"""")"),"")</f>
        <v/>
      </c>
      <c r="C470" s="85" t="str">
        <f>IF(ISBLANK(A470),"",SUMIF(RawTotals!A$2:A1000, A470, RawTotals!O$2:O1000))</f>
        <v/>
      </c>
      <c r="D470" s="221" t="str">
        <f>IF(ISBLANK(A470),"",SUMIF(RawTotals!A$2:A1000, A470, RawTotals!D$2:D1000) + SUMIF(RawTotals!A$2:A1000, A470, RawTotals!M$2:M1000))</f>
        <v/>
      </c>
      <c r="E470" s="221" t="str">
        <f>IF(ISBLANK(A470),"",SUMIF(RawTotals!A$2:A1000, A470, RawTotals!C$2:C1000) + SUMIF(RawTotals!A$2:A1000, A470, RawTotals!L$2:L1000))</f>
        <v/>
      </c>
      <c r="F470" s="225" t="str">
        <f>IFERROR(__xludf.DUMMYFUNCTION("IFERROR(FILTER('Pit Scouting Responses'!G:G,'Pit Scouting Responses'!C:C=A470),"""")"),"")</f>
        <v/>
      </c>
      <c r="G470" s="226" t="str">
        <f>IFERROR(__xludf.DUMMYFUNCTION("IFERROR(FILTER('Pit Scouting Responses'!D:D,'Pit Scouting Responses'!C:C=A470),"""")"),"")</f>
        <v/>
      </c>
      <c r="H470" s="223" t="str">
        <f>RawTotals!AI470</f>
        <v/>
      </c>
    </row>
    <row r="471">
      <c r="A471" s="224" t="str">
        <f>RawTotals!A471</f>
        <v/>
      </c>
      <c r="B471" s="75" t="str">
        <f>IFERROR(__xludf.DUMMYFUNCTION("IFERROR(FILTER('Pit Scouting Responses'!J:J,'Pit Scouting Responses'!C:C=A471),"""")"),"")</f>
        <v/>
      </c>
      <c r="C471" s="85" t="str">
        <f>IF(ISBLANK(A471),"",SUMIF(RawTotals!A$2:A1000, A471, RawTotals!O$2:O1000))</f>
        <v/>
      </c>
      <c r="D471" s="221" t="str">
        <f>IF(ISBLANK(A471),"",SUMIF(RawTotals!A$2:A1000, A471, RawTotals!D$2:D1000) + SUMIF(RawTotals!A$2:A1000, A471, RawTotals!M$2:M1000))</f>
        <v/>
      </c>
      <c r="E471" s="221" t="str">
        <f>IF(ISBLANK(A471),"",SUMIF(RawTotals!A$2:A1000, A471, RawTotals!C$2:C1000) + SUMIF(RawTotals!A$2:A1000, A471, RawTotals!L$2:L1000))</f>
        <v/>
      </c>
      <c r="F471" s="225" t="str">
        <f>IFERROR(__xludf.DUMMYFUNCTION("IFERROR(FILTER('Pit Scouting Responses'!G:G,'Pit Scouting Responses'!C:C=A471),"""")"),"")</f>
        <v/>
      </c>
      <c r="G471" s="226" t="str">
        <f>IFERROR(__xludf.DUMMYFUNCTION("IFERROR(FILTER('Pit Scouting Responses'!D:D,'Pit Scouting Responses'!C:C=A471),"""")"),"")</f>
        <v/>
      </c>
      <c r="H471" s="223" t="str">
        <f>RawTotals!AI471</f>
        <v/>
      </c>
    </row>
    <row r="472">
      <c r="A472" s="224" t="str">
        <f>RawTotals!A472</f>
        <v/>
      </c>
      <c r="B472" s="75" t="str">
        <f>IFERROR(__xludf.DUMMYFUNCTION("IFERROR(FILTER('Pit Scouting Responses'!J:J,'Pit Scouting Responses'!C:C=A472),"""")"),"")</f>
        <v/>
      </c>
      <c r="C472" s="85" t="str">
        <f>IF(ISBLANK(A472),"",SUMIF(RawTotals!A$2:A1000, A472, RawTotals!O$2:O1000))</f>
        <v/>
      </c>
      <c r="D472" s="221" t="str">
        <f>IF(ISBLANK(A472),"",SUMIF(RawTotals!A$2:A1000, A472, RawTotals!D$2:D1000) + SUMIF(RawTotals!A$2:A1000, A472, RawTotals!M$2:M1000))</f>
        <v/>
      </c>
      <c r="E472" s="221" t="str">
        <f>IF(ISBLANK(A472),"",SUMIF(RawTotals!A$2:A1000, A472, RawTotals!C$2:C1000) + SUMIF(RawTotals!A$2:A1000, A472, RawTotals!L$2:L1000))</f>
        <v/>
      </c>
      <c r="F472" s="225" t="str">
        <f>IFERROR(__xludf.DUMMYFUNCTION("IFERROR(FILTER('Pit Scouting Responses'!G:G,'Pit Scouting Responses'!C:C=A472),"""")"),"")</f>
        <v/>
      </c>
      <c r="G472" s="226" t="str">
        <f>IFERROR(__xludf.DUMMYFUNCTION("IFERROR(FILTER('Pit Scouting Responses'!D:D,'Pit Scouting Responses'!C:C=A472),"""")"),"")</f>
        <v/>
      </c>
      <c r="H472" s="223" t="str">
        <f>RawTotals!AI472</f>
        <v/>
      </c>
    </row>
    <row r="473">
      <c r="A473" s="224" t="str">
        <f>RawTotals!A473</f>
        <v/>
      </c>
      <c r="B473" s="75" t="str">
        <f>IFERROR(__xludf.DUMMYFUNCTION("IFERROR(FILTER('Pit Scouting Responses'!J:J,'Pit Scouting Responses'!C:C=A473),"""")"),"")</f>
        <v/>
      </c>
      <c r="C473" s="85" t="str">
        <f>IF(ISBLANK(A473),"",SUMIF(RawTotals!A$2:A1000, A473, RawTotals!O$2:O1000))</f>
        <v/>
      </c>
      <c r="D473" s="221" t="str">
        <f>IF(ISBLANK(A473),"",SUMIF(RawTotals!A$2:A1000, A473, RawTotals!D$2:D1000) + SUMIF(RawTotals!A$2:A1000, A473, RawTotals!M$2:M1000))</f>
        <v/>
      </c>
      <c r="E473" s="221" t="str">
        <f>IF(ISBLANK(A473),"",SUMIF(RawTotals!A$2:A1000, A473, RawTotals!C$2:C1000) + SUMIF(RawTotals!A$2:A1000, A473, RawTotals!L$2:L1000))</f>
        <v/>
      </c>
      <c r="F473" s="225" t="str">
        <f>IFERROR(__xludf.DUMMYFUNCTION("IFERROR(FILTER('Pit Scouting Responses'!G:G,'Pit Scouting Responses'!C:C=A473),"""")"),"")</f>
        <v/>
      </c>
      <c r="G473" s="226" t="str">
        <f>IFERROR(__xludf.DUMMYFUNCTION("IFERROR(FILTER('Pit Scouting Responses'!D:D,'Pit Scouting Responses'!C:C=A473),"""")"),"")</f>
        <v/>
      </c>
      <c r="H473" s="223" t="str">
        <f>RawTotals!AI473</f>
        <v/>
      </c>
    </row>
    <row r="474">
      <c r="A474" s="224" t="str">
        <f>RawTotals!A474</f>
        <v/>
      </c>
      <c r="B474" s="75" t="str">
        <f>IFERROR(__xludf.DUMMYFUNCTION("IFERROR(FILTER('Pit Scouting Responses'!J:J,'Pit Scouting Responses'!C:C=A474),"""")"),"")</f>
        <v/>
      </c>
      <c r="C474" s="85" t="str">
        <f>IF(ISBLANK(A474),"",SUMIF(RawTotals!A$2:A1000, A474, RawTotals!O$2:O1000))</f>
        <v/>
      </c>
      <c r="D474" s="221" t="str">
        <f>IF(ISBLANK(A474),"",SUMIF(RawTotals!A$2:A1000, A474, RawTotals!D$2:D1000) + SUMIF(RawTotals!A$2:A1000, A474, RawTotals!M$2:M1000))</f>
        <v/>
      </c>
      <c r="E474" s="221" t="str">
        <f>IF(ISBLANK(A474),"",SUMIF(RawTotals!A$2:A1000, A474, RawTotals!C$2:C1000) + SUMIF(RawTotals!A$2:A1000, A474, RawTotals!L$2:L1000))</f>
        <v/>
      </c>
      <c r="F474" s="225" t="str">
        <f>IFERROR(__xludf.DUMMYFUNCTION("IFERROR(FILTER('Pit Scouting Responses'!G:G,'Pit Scouting Responses'!C:C=A474),"""")"),"")</f>
        <v/>
      </c>
      <c r="G474" s="226" t="str">
        <f>IFERROR(__xludf.DUMMYFUNCTION("IFERROR(FILTER('Pit Scouting Responses'!D:D,'Pit Scouting Responses'!C:C=A474),"""")"),"")</f>
        <v/>
      </c>
      <c r="H474" s="223" t="str">
        <f>RawTotals!AI474</f>
        <v/>
      </c>
    </row>
    <row r="475">
      <c r="A475" s="224" t="str">
        <f>RawTotals!A475</f>
        <v/>
      </c>
      <c r="B475" s="75" t="str">
        <f>IFERROR(__xludf.DUMMYFUNCTION("IFERROR(FILTER('Pit Scouting Responses'!J:J,'Pit Scouting Responses'!C:C=A475),"""")"),"")</f>
        <v/>
      </c>
      <c r="C475" s="85" t="str">
        <f>IF(ISBLANK(A475),"",SUMIF(RawTotals!A$2:A1000, A475, RawTotals!O$2:O1000))</f>
        <v/>
      </c>
      <c r="D475" s="221" t="str">
        <f>IF(ISBLANK(A475),"",SUMIF(RawTotals!A$2:A1000, A475, RawTotals!D$2:D1000) + SUMIF(RawTotals!A$2:A1000, A475, RawTotals!M$2:M1000))</f>
        <v/>
      </c>
      <c r="E475" s="221" t="str">
        <f>IF(ISBLANK(A475),"",SUMIF(RawTotals!A$2:A1000, A475, RawTotals!C$2:C1000) + SUMIF(RawTotals!A$2:A1000, A475, RawTotals!L$2:L1000))</f>
        <v/>
      </c>
      <c r="F475" s="225" t="str">
        <f>IFERROR(__xludf.DUMMYFUNCTION("IFERROR(FILTER('Pit Scouting Responses'!G:G,'Pit Scouting Responses'!C:C=A475),"""")"),"")</f>
        <v/>
      </c>
      <c r="G475" s="226" t="str">
        <f>IFERROR(__xludf.DUMMYFUNCTION("IFERROR(FILTER('Pit Scouting Responses'!D:D,'Pit Scouting Responses'!C:C=A475),"""")"),"")</f>
        <v/>
      </c>
      <c r="H475" s="223" t="str">
        <f>RawTotals!AI475</f>
        <v/>
      </c>
    </row>
    <row r="476">
      <c r="A476" s="224" t="str">
        <f>RawTotals!A476</f>
        <v/>
      </c>
      <c r="B476" s="75" t="str">
        <f>IFERROR(__xludf.DUMMYFUNCTION("IFERROR(FILTER('Pit Scouting Responses'!J:J,'Pit Scouting Responses'!C:C=A476),"""")"),"")</f>
        <v/>
      </c>
      <c r="C476" s="85" t="str">
        <f>IF(ISBLANK(A476),"",SUMIF(RawTotals!A$2:A1000, A476, RawTotals!O$2:O1000))</f>
        <v/>
      </c>
      <c r="D476" s="221" t="str">
        <f>IF(ISBLANK(A476),"",SUMIF(RawTotals!A$2:A1000, A476, RawTotals!D$2:D1000) + SUMIF(RawTotals!A$2:A1000, A476, RawTotals!M$2:M1000))</f>
        <v/>
      </c>
      <c r="E476" s="221" t="str">
        <f>IF(ISBLANK(A476),"",SUMIF(RawTotals!A$2:A1000, A476, RawTotals!C$2:C1000) + SUMIF(RawTotals!A$2:A1000, A476, RawTotals!L$2:L1000))</f>
        <v/>
      </c>
      <c r="F476" s="225" t="str">
        <f>IFERROR(__xludf.DUMMYFUNCTION("IFERROR(FILTER('Pit Scouting Responses'!G:G,'Pit Scouting Responses'!C:C=A476),"""")"),"")</f>
        <v/>
      </c>
      <c r="G476" s="226" t="str">
        <f>IFERROR(__xludf.DUMMYFUNCTION("IFERROR(FILTER('Pit Scouting Responses'!D:D,'Pit Scouting Responses'!C:C=A476),"""")"),"")</f>
        <v/>
      </c>
      <c r="H476" s="223" t="str">
        <f>RawTotals!AI476</f>
        <v/>
      </c>
    </row>
    <row r="477">
      <c r="A477" s="224" t="str">
        <f>RawTotals!A477</f>
        <v/>
      </c>
      <c r="B477" s="75" t="str">
        <f>IFERROR(__xludf.DUMMYFUNCTION("IFERROR(FILTER('Pit Scouting Responses'!J:J,'Pit Scouting Responses'!C:C=A477),"""")"),"")</f>
        <v/>
      </c>
      <c r="C477" s="85" t="str">
        <f>IF(ISBLANK(A477),"",SUMIF(RawTotals!A$2:A1000, A477, RawTotals!O$2:O1000))</f>
        <v/>
      </c>
      <c r="D477" s="221" t="str">
        <f>IF(ISBLANK(A477),"",SUMIF(RawTotals!A$2:A1000, A477, RawTotals!D$2:D1000) + SUMIF(RawTotals!A$2:A1000, A477, RawTotals!M$2:M1000))</f>
        <v/>
      </c>
      <c r="E477" s="221" t="str">
        <f>IF(ISBLANK(A477),"",SUMIF(RawTotals!A$2:A1000, A477, RawTotals!C$2:C1000) + SUMIF(RawTotals!A$2:A1000, A477, RawTotals!L$2:L1000))</f>
        <v/>
      </c>
      <c r="F477" s="225" t="str">
        <f>IFERROR(__xludf.DUMMYFUNCTION("IFERROR(FILTER('Pit Scouting Responses'!G:G,'Pit Scouting Responses'!C:C=A477),"""")"),"")</f>
        <v/>
      </c>
      <c r="G477" s="226" t="str">
        <f>IFERROR(__xludf.DUMMYFUNCTION("IFERROR(FILTER('Pit Scouting Responses'!D:D,'Pit Scouting Responses'!C:C=A477),"""")"),"")</f>
        <v/>
      </c>
      <c r="H477" s="223" t="str">
        <f>RawTotals!AI477</f>
        <v/>
      </c>
    </row>
    <row r="478">
      <c r="A478" s="224" t="str">
        <f>RawTotals!A478</f>
        <v/>
      </c>
      <c r="B478" s="75" t="str">
        <f>IFERROR(__xludf.DUMMYFUNCTION("IFERROR(FILTER('Pit Scouting Responses'!J:J,'Pit Scouting Responses'!C:C=A478),"""")"),"")</f>
        <v/>
      </c>
      <c r="C478" s="85" t="str">
        <f>IF(ISBLANK(A478),"",SUMIF(RawTotals!A$2:A1000, A478, RawTotals!O$2:O1000))</f>
        <v/>
      </c>
      <c r="D478" s="221" t="str">
        <f>IF(ISBLANK(A478),"",SUMIF(RawTotals!A$2:A1000, A478, RawTotals!D$2:D1000) + SUMIF(RawTotals!A$2:A1000, A478, RawTotals!M$2:M1000))</f>
        <v/>
      </c>
      <c r="E478" s="221" t="str">
        <f>IF(ISBLANK(A478),"",SUMIF(RawTotals!A$2:A1000, A478, RawTotals!C$2:C1000) + SUMIF(RawTotals!A$2:A1000, A478, RawTotals!L$2:L1000))</f>
        <v/>
      </c>
      <c r="F478" s="225" t="str">
        <f>IFERROR(__xludf.DUMMYFUNCTION("IFERROR(FILTER('Pit Scouting Responses'!G:G,'Pit Scouting Responses'!C:C=A478),"""")"),"")</f>
        <v/>
      </c>
      <c r="G478" s="226" t="str">
        <f>IFERROR(__xludf.DUMMYFUNCTION("IFERROR(FILTER('Pit Scouting Responses'!D:D,'Pit Scouting Responses'!C:C=A478),"""")"),"")</f>
        <v/>
      </c>
      <c r="H478" s="223" t="str">
        <f>RawTotals!AI478</f>
        <v/>
      </c>
    </row>
    <row r="479">
      <c r="A479" s="224" t="str">
        <f>RawTotals!A479</f>
        <v/>
      </c>
      <c r="B479" s="75" t="str">
        <f>IFERROR(__xludf.DUMMYFUNCTION("IFERROR(FILTER('Pit Scouting Responses'!J:J,'Pit Scouting Responses'!C:C=A479),"""")"),"")</f>
        <v/>
      </c>
      <c r="C479" s="85" t="str">
        <f>IF(ISBLANK(A479),"",SUMIF(RawTotals!A$2:A1000, A479, RawTotals!O$2:O1000))</f>
        <v/>
      </c>
      <c r="D479" s="221" t="str">
        <f>IF(ISBLANK(A479),"",SUMIF(RawTotals!A$2:A1000, A479, RawTotals!D$2:D1000) + SUMIF(RawTotals!A$2:A1000, A479, RawTotals!M$2:M1000))</f>
        <v/>
      </c>
      <c r="E479" s="221" t="str">
        <f>IF(ISBLANK(A479),"",SUMIF(RawTotals!A$2:A1000, A479, RawTotals!C$2:C1000) + SUMIF(RawTotals!A$2:A1000, A479, RawTotals!L$2:L1000))</f>
        <v/>
      </c>
      <c r="F479" s="225" t="str">
        <f>IFERROR(__xludf.DUMMYFUNCTION("IFERROR(FILTER('Pit Scouting Responses'!G:G,'Pit Scouting Responses'!C:C=A479),"""")"),"")</f>
        <v/>
      </c>
      <c r="G479" s="226" t="str">
        <f>IFERROR(__xludf.DUMMYFUNCTION("IFERROR(FILTER('Pit Scouting Responses'!D:D,'Pit Scouting Responses'!C:C=A479),"""")"),"")</f>
        <v/>
      </c>
      <c r="H479" s="223" t="str">
        <f>RawTotals!AI479</f>
        <v/>
      </c>
    </row>
    <row r="480">
      <c r="A480" s="224" t="str">
        <f>RawTotals!A480</f>
        <v/>
      </c>
      <c r="B480" s="75" t="str">
        <f>IFERROR(__xludf.DUMMYFUNCTION("IFERROR(FILTER('Pit Scouting Responses'!J:J,'Pit Scouting Responses'!C:C=A480),"""")"),"")</f>
        <v/>
      </c>
      <c r="C480" s="85" t="str">
        <f>IF(ISBLANK(A480),"",SUMIF(RawTotals!A$2:A1000, A480, RawTotals!O$2:O1000))</f>
        <v/>
      </c>
      <c r="D480" s="221" t="str">
        <f>IF(ISBLANK(A480),"",SUMIF(RawTotals!A$2:A1000, A480, RawTotals!D$2:D1000) + SUMIF(RawTotals!A$2:A1000, A480, RawTotals!M$2:M1000))</f>
        <v/>
      </c>
      <c r="E480" s="221" t="str">
        <f>IF(ISBLANK(A480),"",SUMIF(RawTotals!A$2:A1000, A480, RawTotals!C$2:C1000) + SUMIF(RawTotals!A$2:A1000, A480, RawTotals!L$2:L1000))</f>
        <v/>
      </c>
      <c r="F480" s="225" t="str">
        <f>IFERROR(__xludf.DUMMYFUNCTION("IFERROR(FILTER('Pit Scouting Responses'!G:G,'Pit Scouting Responses'!C:C=A480),"""")"),"")</f>
        <v/>
      </c>
      <c r="G480" s="226" t="str">
        <f>IFERROR(__xludf.DUMMYFUNCTION("IFERROR(FILTER('Pit Scouting Responses'!D:D,'Pit Scouting Responses'!C:C=A480),"""")"),"")</f>
        <v/>
      </c>
      <c r="H480" s="223" t="str">
        <f>RawTotals!AI480</f>
        <v/>
      </c>
    </row>
    <row r="481">
      <c r="A481" s="224" t="str">
        <f>RawTotals!A481</f>
        <v/>
      </c>
      <c r="B481" s="75" t="str">
        <f>IFERROR(__xludf.DUMMYFUNCTION("IFERROR(FILTER('Pit Scouting Responses'!J:J,'Pit Scouting Responses'!C:C=A481),"""")"),"")</f>
        <v/>
      </c>
      <c r="C481" s="85" t="str">
        <f>IF(ISBLANK(A481),"",SUMIF(RawTotals!A$2:A1000, A481, RawTotals!O$2:O1000))</f>
        <v/>
      </c>
      <c r="D481" s="221" t="str">
        <f>IF(ISBLANK(A481),"",SUMIF(RawTotals!A$2:A1000, A481, RawTotals!D$2:D1000) + SUMIF(RawTotals!A$2:A1000, A481, RawTotals!M$2:M1000))</f>
        <v/>
      </c>
      <c r="E481" s="221" t="str">
        <f>IF(ISBLANK(A481),"",SUMIF(RawTotals!A$2:A1000, A481, RawTotals!C$2:C1000) + SUMIF(RawTotals!A$2:A1000, A481, RawTotals!L$2:L1000))</f>
        <v/>
      </c>
      <c r="F481" s="225" t="str">
        <f>IFERROR(__xludf.DUMMYFUNCTION("IFERROR(FILTER('Pit Scouting Responses'!G:G,'Pit Scouting Responses'!C:C=A481),"""")"),"")</f>
        <v/>
      </c>
      <c r="G481" s="226" t="str">
        <f>IFERROR(__xludf.DUMMYFUNCTION("IFERROR(FILTER('Pit Scouting Responses'!D:D,'Pit Scouting Responses'!C:C=A481),"""")"),"")</f>
        <v/>
      </c>
      <c r="H481" s="223" t="str">
        <f>RawTotals!AI481</f>
        <v/>
      </c>
    </row>
    <row r="482">
      <c r="A482" s="224" t="str">
        <f>RawTotals!A482</f>
        <v/>
      </c>
      <c r="B482" s="75" t="str">
        <f>IFERROR(__xludf.DUMMYFUNCTION("IFERROR(FILTER('Pit Scouting Responses'!J:J,'Pit Scouting Responses'!C:C=A482),"""")"),"")</f>
        <v/>
      </c>
      <c r="C482" s="85" t="str">
        <f>IF(ISBLANK(A482),"",SUMIF(RawTotals!A$2:A1000, A482, RawTotals!O$2:O1000))</f>
        <v/>
      </c>
      <c r="D482" s="221" t="str">
        <f>IF(ISBLANK(A482),"",SUMIF(RawTotals!A$2:A1000, A482, RawTotals!D$2:D1000) + SUMIF(RawTotals!A$2:A1000, A482, RawTotals!M$2:M1000))</f>
        <v/>
      </c>
      <c r="E482" s="221" t="str">
        <f>IF(ISBLANK(A482),"",SUMIF(RawTotals!A$2:A1000, A482, RawTotals!C$2:C1000) + SUMIF(RawTotals!A$2:A1000, A482, RawTotals!L$2:L1000))</f>
        <v/>
      </c>
      <c r="F482" s="225" t="str">
        <f>IFERROR(__xludf.DUMMYFUNCTION("IFERROR(FILTER('Pit Scouting Responses'!G:G,'Pit Scouting Responses'!C:C=A482),"""")"),"")</f>
        <v/>
      </c>
      <c r="G482" s="226" t="str">
        <f>IFERROR(__xludf.DUMMYFUNCTION("IFERROR(FILTER('Pit Scouting Responses'!D:D,'Pit Scouting Responses'!C:C=A482),"""")"),"")</f>
        <v/>
      </c>
      <c r="H482" s="223" t="str">
        <f>RawTotals!AI482</f>
        <v/>
      </c>
    </row>
    <row r="483">
      <c r="A483" s="224" t="str">
        <f>RawTotals!A483</f>
        <v/>
      </c>
      <c r="B483" s="75" t="str">
        <f>IFERROR(__xludf.DUMMYFUNCTION("IFERROR(FILTER('Pit Scouting Responses'!J:J,'Pit Scouting Responses'!C:C=A483),"""")"),"")</f>
        <v/>
      </c>
      <c r="C483" s="85" t="str">
        <f>IF(ISBLANK(A483),"",SUMIF(RawTotals!A$2:A1000, A483, RawTotals!O$2:O1000))</f>
        <v/>
      </c>
      <c r="D483" s="221" t="str">
        <f>IF(ISBLANK(A483),"",SUMIF(RawTotals!A$2:A1000, A483, RawTotals!D$2:D1000) + SUMIF(RawTotals!A$2:A1000, A483, RawTotals!M$2:M1000))</f>
        <v/>
      </c>
      <c r="E483" s="221" t="str">
        <f>IF(ISBLANK(A483),"",SUMIF(RawTotals!A$2:A1000, A483, RawTotals!C$2:C1000) + SUMIF(RawTotals!A$2:A1000, A483, RawTotals!L$2:L1000))</f>
        <v/>
      </c>
      <c r="F483" s="225" t="str">
        <f>IFERROR(__xludf.DUMMYFUNCTION("IFERROR(FILTER('Pit Scouting Responses'!G:G,'Pit Scouting Responses'!C:C=A483),"""")"),"")</f>
        <v/>
      </c>
      <c r="G483" s="226" t="str">
        <f>IFERROR(__xludf.DUMMYFUNCTION("IFERROR(FILTER('Pit Scouting Responses'!D:D,'Pit Scouting Responses'!C:C=A483),"""")"),"")</f>
        <v/>
      </c>
      <c r="H483" s="223" t="str">
        <f>RawTotals!AI483</f>
        <v/>
      </c>
    </row>
    <row r="484">
      <c r="A484" s="224" t="str">
        <f>RawTotals!A484</f>
        <v/>
      </c>
      <c r="B484" s="75" t="str">
        <f>IFERROR(__xludf.DUMMYFUNCTION("IFERROR(FILTER('Pit Scouting Responses'!J:J,'Pit Scouting Responses'!C:C=A484),"""")"),"")</f>
        <v/>
      </c>
      <c r="C484" s="85" t="str">
        <f>IF(ISBLANK(A484),"",SUMIF(RawTotals!A$2:A1000, A484, RawTotals!O$2:O1000))</f>
        <v/>
      </c>
      <c r="D484" s="221" t="str">
        <f>IF(ISBLANK(A484),"",SUMIF(RawTotals!A$2:A1000, A484, RawTotals!D$2:D1000) + SUMIF(RawTotals!A$2:A1000, A484, RawTotals!M$2:M1000))</f>
        <v/>
      </c>
      <c r="E484" s="221" t="str">
        <f>IF(ISBLANK(A484),"",SUMIF(RawTotals!A$2:A1000, A484, RawTotals!C$2:C1000) + SUMIF(RawTotals!A$2:A1000, A484, RawTotals!L$2:L1000))</f>
        <v/>
      </c>
      <c r="F484" s="225" t="str">
        <f>IFERROR(__xludf.DUMMYFUNCTION("IFERROR(FILTER('Pit Scouting Responses'!G:G,'Pit Scouting Responses'!C:C=A484),"""")"),"")</f>
        <v/>
      </c>
      <c r="G484" s="226" t="str">
        <f>IFERROR(__xludf.DUMMYFUNCTION("IFERROR(FILTER('Pit Scouting Responses'!D:D,'Pit Scouting Responses'!C:C=A484),"""")"),"")</f>
        <v/>
      </c>
      <c r="H484" s="223" t="str">
        <f>RawTotals!AI484</f>
        <v/>
      </c>
    </row>
    <row r="485">
      <c r="A485" s="224" t="str">
        <f>RawTotals!A485</f>
        <v/>
      </c>
      <c r="B485" s="75" t="str">
        <f>IFERROR(__xludf.DUMMYFUNCTION("IFERROR(FILTER('Pit Scouting Responses'!J:J,'Pit Scouting Responses'!C:C=A485),"""")"),"")</f>
        <v/>
      </c>
      <c r="C485" s="85" t="str">
        <f>IF(ISBLANK(A485),"",SUMIF(RawTotals!A$2:A1000, A485, RawTotals!O$2:O1000))</f>
        <v/>
      </c>
      <c r="D485" s="221" t="str">
        <f>IF(ISBLANK(A485),"",SUMIF(RawTotals!A$2:A1000, A485, RawTotals!D$2:D1000) + SUMIF(RawTotals!A$2:A1000, A485, RawTotals!M$2:M1000))</f>
        <v/>
      </c>
      <c r="E485" s="221" t="str">
        <f>IF(ISBLANK(A485),"",SUMIF(RawTotals!A$2:A1000, A485, RawTotals!C$2:C1000) + SUMIF(RawTotals!A$2:A1000, A485, RawTotals!L$2:L1000))</f>
        <v/>
      </c>
      <c r="F485" s="225" t="str">
        <f>IFERROR(__xludf.DUMMYFUNCTION("IFERROR(FILTER('Pit Scouting Responses'!G:G,'Pit Scouting Responses'!C:C=A485),"""")"),"")</f>
        <v/>
      </c>
      <c r="G485" s="226" t="str">
        <f>IFERROR(__xludf.DUMMYFUNCTION("IFERROR(FILTER('Pit Scouting Responses'!D:D,'Pit Scouting Responses'!C:C=A485),"""")"),"")</f>
        <v/>
      </c>
      <c r="H485" s="223" t="str">
        <f>RawTotals!AI485</f>
        <v/>
      </c>
    </row>
    <row r="486">
      <c r="A486" s="224" t="str">
        <f>RawTotals!A486</f>
        <v/>
      </c>
      <c r="B486" s="75" t="str">
        <f>IFERROR(__xludf.DUMMYFUNCTION("IFERROR(FILTER('Pit Scouting Responses'!J:J,'Pit Scouting Responses'!C:C=A486),"""")"),"")</f>
        <v/>
      </c>
      <c r="C486" s="85" t="str">
        <f>IF(ISBLANK(A486),"",SUMIF(RawTotals!A$2:A1000, A486, RawTotals!O$2:O1000))</f>
        <v/>
      </c>
      <c r="D486" s="221" t="str">
        <f>IF(ISBLANK(A486),"",SUMIF(RawTotals!A$2:A1000, A486, RawTotals!D$2:D1000) + SUMIF(RawTotals!A$2:A1000, A486, RawTotals!M$2:M1000))</f>
        <v/>
      </c>
      <c r="E486" s="221" t="str">
        <f>IF(ISBLANK(A486),"",SUMIF(RawTotals!A$2:A1000, A486, RawTotals!C$2:C1000) + SUMIF(RawTotals!A$2:A1000, A486, RawTotals!L$2:L1000))</f>
        <v/>
      </c>
      <c r="F486" s="225" t="str">
        <f>IFERROR(__xludf.DUMMYFUNCTION("IFERROR(FILTER('Pit Scouting Responses'!G:G,'Pit Scouting Responses'!C:C=A486),"""")"),"")</f>
        <v/>
      </c>
      <c r="G486" s="226" t="str">
        <f>IFERROR(__xludf.DUMMYFUNCTION("IFERROR(FILTER('Pit Scouting Responses'!D:D,'Pit Scouting Responses'!C:C=A486),"""")"),"")</f>
        <v/>
      </c>
      <c r="H486" s="223" t="str">
        <f>RawTotals!AI486</f>
        <v/>
      </c>
    </row>
    <row r="487">
      <c r="A487" s="224" t="str">
        <f>RawTotals!A487</f>
        <v/>
      </c>
      <c r="B487" s="75" t="str">
        <f>IFERROR(__xludf.DUMMYFUNCTION("IFERROR(FILTER('Pit Scouting Responses'!J:J,'Pit Scouting Responses'!C:C=A487),"""")"),"")</f>
        <v/>
      </c>
      <c r="C487" s="85" t="str">
        <f>IF(ISBLANK(A487),"",SUMIF(RawTotals!A$2:A1000, A487, RawTotals!O$2:O1000))</f>
        <v/>
      </c>
      <c r="D487" s="221" t="str">
        <f>IF(ISBLANK(A487),"",SUMIF(RawTotals!A$2:A1000, A487, RawTotals!D$2:D1000) + SUMIF(RawTotals!A$2:A1000, A487, RawTotals!M$2:M1000))</f>
        <v/>
      </c>
      <c r="E487" s="221" t="str">
        <f>IF(ISBLANK(A487),"",SUMIF(RawTotals!A$2:A1000, A487, RawTotals!C$2:C1000) + SUMIF(RawTotals!A$2:A1000, A487, RawTotals!L$2:L1000))</f>
        <v/>
      </c>
      <c r="F487" s="225" t="str">
        <f>IFERROR(__xludf.DUMMYFUNCTION("IFERROR(FILTER('Pit Scouting Responses'!G:G,'Pit Scouting Responses'!C:C=A487),"""")"),"")</f>
        <v/>
      </c>
      <c r="G487" s="226" t="str">
        <f>IFERROR(__xludf.DUMMYFUNCTION("IFERROR(FILTER('Pit Scouting Responses'!D:D,'Pit Scouting Responses'!C:C=A487),"""")"),"")</f>
        <v/>
      </c>
      <c r="H487" s="223" t="str">
        <f>RawTotals!AI487</f>
        <v/>
      </c>
    </row>
    <row r="488">
      <c r="A488" s="224" t="str">
        <f>RawTotals!A488</f>
        <v/>
      </c>
      <c r="B488" s="75" t="str">
        <f>IFERROR(__xludf.DUMMYFUNCTION("IFERROR(FILTER('Pit Scouting Responses'!J:J,'Pit Scouting Responses'!C:C=A488),"""")"),"")</f>
        <v/>
      </c>
      <c r="C488" s="85" t="str">
        <f>IF(ISBLANK(A488),"",SUMIF(RawTotals!A$2:A1000, A488, RawTotals!O$2:O1000))</f>
        <v/>
      </c>
      <c r="D488" s="221" t="str">
        <f>IF(ISBLANK(A488),"",SUMIF(RawTotals!A$2:A1000, A488, RawTotals!D$2:D1000) + SUMIF(RawTotals!A$2:A1000, A488, RawTotals!M$2:M1000))</f>
        <v/>
      </c>
      <c r="E488" s="221" t="str">
        <f>IF(ISBLANK(A488),"",SUMIF(RawTotals!A$2:A1000, A488, RawTotals!C$2:C1000) + SUMIF(RawTotals!A$2:A1000, A488, RawTotals!L$2:L1000))</f>
        <v/>
      </c>
      <c r="F488" s="225" t="str">
        <f>IFERROR(__xludf.DUMMYFUNCTION("IFERROR(FILTER('Pit Scouting Responses'!G:G,'Pit Scouting Responses'!C:C=A488),"""")"),"")</f>
        <v/>
      </c>
      <c r="G488" s="226" t="str">
        <f>IFERROR(__xludf.DUMMYFUNCTION("IFERROR(FILTER('Pit Scouting Responses'!D:D,'Pit Scouting Responses'!C:C=A488),"""")"),"")</f>
        <v/>
      </c>
      <c r="H488" s="223" t="str">
        <f>RawTotals!AI488</f>
        <v/>
      </c>
    </row>
    <row r="489">
      <c r="A489" s="224" t="str">
        <f>RawTotals!A489</f>
        <v/>
      </c>
      <c r="B489" s="75" t="str">
        <f>IFERROR(__xludf.DUMMYFUNCTION("IFERROR(FILTER('Pit Scouting Responses'!J:J,'Pit Scouting Responses'!C:C=A489),"""")"),"")</f>
        <v/>
      </c>
      <c r="C489" s="85" t="str">
        <f>IF(ISBLANK(A489),"",SUMIF(RawTotals!A$2:A1000, A489, RawTotals!O$2:O1000))</f>
        <v/>
      </c>
      <c r="D489" s="221" t="str">
        <f>IF(ISBLANK(A489),"",SUMIF(RawTotals!A$2:A1000, A489, RawTotals!D$2:D1000) + SUMIF(RawTotals!A$2:A1000, A489, RawTotals!M$2:M1000))</f>
        <v/>
      </c>
      <c r="E489" s="221" t="str">
        <f>IF(ISBLANK(A489),"",SUMIF(RawTotals!A$2:A1000, A489, RawTotals!C$2:C1000) + SUMIF(RawTotals!A$2:A1000, A489, RawTotals!L$2:L1000))</f>
        <v/>
      </c>
      <c r="F489" s="225" t="str">
        <f>IFERROR(__xludf.DUMMYFUNCTION("IFERROR(FILTER('Pit Scouting Responses'!G:G,'Pit Scouting Responses'!C:C=A489),"""")"),"")</f>
        <v/>
      </c>
      <c r="G489" s="226" t="str">
        <f>IFERROR(__xludf.DUMMYFUNCTION("IFERROR(FILTER('Pit Scouting Responses'!D:D,'Pit Scouting Responses'!C:C=A489),"""")"),"")</f>
        <v/>
      </c>
      <c r="H489" s="223" t="str">
        <f>RawTotals!AI489</f>
        <v/>
      </c>
    </row>
    <row r="490">
      <c r="A490" s="224" t="str">
        <f>RawTotals!A490</f>
        <v/>
      </c>
      <c r="B490" s="75" t="str">
        <f>IFERROR(__xludf.DUMMYFUNCTION("IFERROR(FILTER('Pit Scouting Responses'!J:J,'Pit Scouting Responses'!C:C=A490),"""")"),"")</f>
        <v/>
      </c>
      <c r="C490" s="85" t="str">
        <f>IF(ISBLANK(A490),"",SUMIF(RawTotals!A$2:A1000, A490, RawTotals!O$2:O1000))</f>
        <v/>
      </c>
      <c r="D490" s="221" t="str">
        <f>IF(ISBLANK(A490),"",SUMIF(RawTotals!A$2:A1000, A490, RawTotals!D$2:D1000) + SUMIF(RawTotals!A$2:A1000, A490, RawTotals!M$2:M1000))</f>
        <v/>
      </c>
      <c r="E490" s="221" t="str">
        <f>IF(ISBLANK(A490),"",SUMIF(RawTotals!A$2:A1000, A490, RawTotals!C$2:C1000) + SUMIF(RawTotals!A$2:A1000, A490, RawTotals!L$2:L1000))</f>
        <v/>
      </c>
      <c r="F490" s="225" t="str">
        <f>IFERROR(__xludf.DUMMYFUNCTION("IFERROR(FILTER('Pit Scouting Responses'!G:G,'Pit Scouting Responses'!C:C=A490),"""")"),"")</f>
        <v/>
      </c>
      <c r="G490" s="226" t="str">
        <f>IFERROR(__xludf.DUMMYFUNCTION("IFERROR(FILTER('Pit Scouting Responses'!D:D,'Pit Scouting Responses'!C:C=A490),"""")"),"")</f>
        <v/>
      </c>
      <c r="H490" s="223" t="str">
        <f>RawTotals!AI490</f>
        <v/>
      </c>
    </row>
    <row r="491">
      <c r="A491" s="224" t="str">
        <f>RawTotals!A491</f>
        <v/>
      </c>
      <c r="B491" s="75" t="str">
        <f>IFERROR(__xludf.DUMMYFUNCTION("IFERROR(FILTER('Pit Scouting Responses'!J:J,'Pit Scouting Responses'!C:C=A491),"""")"),"")</f>
        <v/>
      </c>
      <c r="C491" s="85" t="str">
        <f>IF(ISBLANK(A491),"",SUMIF(RawTotals!A$2:A1000, A491, RawTotals!O$2:O1000))</f>
        <v/>
      </c>
      <c r="D491" s="221" t="str">
        <f>IF(ISBLANK(A491),"",SUMIF(RawTotals!A$2:A1000, A491, RawTotals!D$2:D1000) + SUMIF(RawTotals!A$2:A1000, A491, RawTotals!M$2:M1000))</f>
        <v/>
      </c>
      <c r="E491" s="221" t="str">
        <f>IF(ISBLANK(A491),"",SUMIF(RawTotals!A$2:A1000, A491, RawTotals!C$2:C1000) + SUMIF(RawTotals!A$2:A1000, A491, RawTotals!L$2:L1000))</f>
        <v/>
      </c>
      <c r="F491" s="225" t="str">
        <f>IFERROR(__xludf.DUMMYFUNCTION("IFERROR(FILTER('Pit Scouting Responses'!G:G,'Pit Scouting Responses'!C:C=A491),"""")"),"")</f>
        <v/>
      </c>
      <c r="G491" s="226" t="str">
        <f>IFERROR(__xludf.DUMMYFUNCTION("IFERROR(FILTER('Pit Scouting Responses'!D:D,'Pit Scouting Responses'!C:C=A491),"""")"),"")</f>
        <v/>
      </c>
      <c r="H491" s="223" t="str">
        <f>RawTotals!AI491</f>
        <v/>
      </c>
    </row>
    <row r="492">
      <c r="A492" s="224" t="str">
        <f>RawTotals!A492</f>
        <v/>
      </c>
      <c r="B492" s="75" t="str">
        <f>IFERROR(__xludf.DUMMYFUNCTION("IFERROR(FILTER('Pit Scouting Responses'!J:J,'Pit Scouting Responses'!C:C=A492),"""")"),"")</f>
        <v/>
      </c>
      <c r="C492" s="85" t="str">
        <f>IF(ISBLANK(A492),"",SUMIF(RawTotals!A$2:A1000, A492, RawTotals!O$2:O1000))</f>
        <v/>
      </c>
      <c r="D492" s="221" t="str">
        <f>IF(ISBLANK(A492),"",SUMIF(RawTotals!A$2:A1000, A492, RawTotals!D$2:D1000) + SUMIF(RawTotals!A$2:A1000, A492, RawTotals!M$2:M1000))</f>
        <v/>
      </c>
      <c r="E492" s="221" t="str">
        <f>IF(ISBLANK(A492),"",SUMIF(RawTotals!A$2:A1000, A492, RawTotals!C$2:C1000) + SUMIF(RawTotals!A$2:A1000, A492, RawTotals!L$2:L1000))</f>
        <v/>
      </c>
      <c r="F492" s="225" t="str">
        <f>IFERROR(__xludf.DUMMYFUNCTION("IFERROR(FILTER('Pit Scouting Responses'!G:G,'Pit Scouting Responses'!C:C=A492),"""")"),"")</f>
        <v/>
      </c>
      <c r="G492" s="226" t="str">
        <f>IFERROR(__xludf.DUMMYFUNCTION("IFERROR(FILTER('Pit Scouting Responses'!D:D,'Pit Scouting Responses'!C:C=A492),"""")"),"")</f>
        <v/>
      </c>
      <c r="H492" s="223" t="str">
        <f>RawTotals!AI492</f>
        <v/>
      </c>
    </row>
    <row r="493">
      <c r="A493" s="224" t="str">
        <f>RawTotals!A493</f>
        <v/>
      </c>
      <c r="B493" s="75" t="str">
        <f>IFERROR(__xludf.DUMMYFUNCTION("IFERROR(FILTER('Pit Scouting Responses'!J:J,'Pit Scouting Responses'!C:C=A493),"""")"),"")</f>
        <v/>
      </c>
      <c r="C493" s="85" t="str">
        <f>IF(ISBLANK(A493),"",SUMIF(RawTotals!A$2:A1000, A493, RawTotals!O$2:O1000))</f>
        <v/>
      </c>
      <c r="D493" s="221" t="str">
        <f>IF(ISBLANK(A493),"",SUMIF(RawTotals!A$2:A1000, A493, RawTotals!D$2:D1000) + SUMIF(RawTotals!A$2:A1000, A493, RawTotals!M$2:M1000))</f>
        <v/>
      </c>
      <c r="E493" s="221" t="str">
        <f>IF(ISBLANK(A493),"",SUMIF(RawTotals!A$2:A1000, A493, RawTotals!C$2:C1000) + SUMIF(RawTotals!A$2:A1000, A493, RawTotals!L$2:L1000))</f>
        <v/>
      </c>
      <c r="F493" s="225" t="str">
        <f>IFERROR(__xludf.DUMMYFUNCTION("IFERROR(FILTER('Pit Scouting Responses'!G:G,'Pit Scouting Responses'!C:C=A493),"""")"),"")</f>
        <v/>
      </c>
      <c r="G493" s="226" t="str">
        <f>IFERROR(__xludf.DUMMYFUNCTION("IFERROR(FILTER('Pit Scouting Responses'!D:D,'Pit Scouting Responses'!C:C=A493),"""")"),"")</f>
        <v/>
      </c>
      <c r="H493" s="223" t="str">
        <f>RawTotals!AI493</f>
        <v/>
      </c>
    </row>
    <row r="494">
      <c r="A494" s="224" t="str">
        <f>RawTotals!A494</f>
        <v/>
      </c>
      <c r="B494" s="75" t="str">
        <f>IFERROR(__xludf.DUMMYFUNCTION("IFERROR(FILTER('Pit Scouting Responses'!J:J,'Pit Scouting Responses'!C:C=A494),"""")"),"")</f>
        <v/>
      </c>
      <c r="C494" s="85" t="str">
        <f>IF(ISBLANK(A494),"",SUMIF(RawTotals!A$2:A1000, A494, RawTotals!O$2:O1000))</f>
        <v/>
      </c>
      <c r="D494" s="221" t="str">
        <f>IF(ISBLANK(A494),"",SUMIF(RawTotals!A$2:A1000, A494, RawTotals!D$2:D1000) + SUMIF(RawTotals!A$2:A1000, A494, RawTotals!M$2:M1000))</f>
        <v/>
      </c>
      <c r="E494" s="221" t="str">
        <f>IF(ISBLANK(A494),"",SUMIF(RawTotals!A$2:A1000, A494, RawTotals!C$2:C1000) + SUMIF(RawTotals!A$2:A1000, A494, RawTotals!L$2:L1000))</f>
        <v/>
      </c>
      <c r="F494" s="225" t="str">
        <f>IFERROR(__xludf.DUMMYFUNCTION("IFERROR(FILTER('Pit Scouting Responses'!G:G,'Pit Scouting Responses'!C:C=A494),"""")"),"")</f>
        <v/>
      </c>
      <c r="G494" s="226" t="str">
        <f>IFERROR(__xludf.DUMMYFUNCTION("IFERROR(FILTER('Pit Scouting Responses'!D:D,'Pit Scouting Responses'!C:C=A494),"""")"),"")</f>
        <v/>
      </c>
      <c r="H494" s="223" t="str">
        <f>RawTotals!AI494</f>
        <v/>
      </c>
    </row>
    <row r="495">
      <c r="A495" s="224" t="str">
        <f>RawTotals!A495</f>
        <v/>
      </c>
      <c r="B495" s="75" t="str">
        <f>IFERROR(__xludf.DUMMYFUNCTION("IFERROR(FILTER('Pit Scouting Responses'!J:J,'Pit Scouting Responses'!C:C=A495),"""")"),"")</f>
        <v/>
      </c>
      <c r="C495" s="85" t="str">
        <f>IF(ISBLANK(A495),"",SUMIF(RawTotals!A$2:A1000, A495, RawTotals!O$2:O1000))</f>
        <v/>
      </c>
      <c r="D495" s="221" t="str">
        <f>IF(ISBLANK(A495),"",SUMIF(RawTotals!A$2:A1000, A495, RawTotals!D$2:D1000) + SUMIF(RawTotals!A$2:A1000, A495, RawTotals!M$2:M1000))</f>
        <v/>
      </c>
      <c r="E495" s="221" t="str">
        <f>IF(ISBLANK(A495),"",SUMIF(RawTotals!A$2:A1000, A495, RawTotals!C$2:C1000) + SUMIF(RawTotals!A$2:A1000, A495, RawTotals!L$2:L1000))</f>
        <v/>
      </c>
      <c r="F495" s="225" t="str">
        <f>IFERROR(__xludf.DUMMYFUNCTION("IFERROR(FILTER('Pit Scouting Responses'!G:G,'Pit Scouting Responses'!C:C=A495),"""")"),"")</f>
        <v/>
      </c>
      <c r="G495" s="226" t="str">
        <f>IFERROR(__xludf.DUMMYFUNCTION("IFERROR(FILTER('Pit Scouting Responses'!D:D,'Pit Scouting Responses'!C:C=A495),"""")"),"")</f>
        <v/>
      </c>
      <c r="H495" s="223" t="str">
        <f>RawTotals!AI495</f>
        <v/>
      </c>
    </row>
    <row r="496">
      <c r="A496" s="224" t="str">
        <f>RawTotals!A496</f>
        <v/>
      </c>
      <c r="B496" s="75" t="str">
        <f>IFERROR(__xludf.DUMMYFUNCTION("IFERROR(FILTER('Pit Scouting Responses'!J:J,'Pit Scouting Responses'!C:C=A496),"""")"),"")</f>
        <v/>
      </c>
      <c r="C496" s="85" t="str">
        <f>IF(ISBLANK(A496),"",SUMIF(RawTotals!A$2:A1000, A496, RawTotals!O$2:O1000))</f>
        <v/>
      </c>
      <c r="D496" s="221" t="str">
        <f>IF(ISBLANK(A496),"",SUMIF(RawTotals!A$2:A1000, A496, RawTotals!D$2:D1000) + SUMIF(RawTotals!A$2:A1000, A496, RawTotals!M$2:M1000))</f>
        <v/>
      </c>
      <c r="E496" s="221" t="str">
        <f>IF(ISBLANK(A496),"",SUMIF(RawTotals!A$2:A1000, A496, RawTotals!C$2:C1000) + SUMIF(RawTotals!A$2:A1000, A496, RawTotals!L$2:L1000))</f>
        <v/>
      </c>
      <c r="F496" s="225" t="str">
        <f>IFERROR(__xludf.DUMMYFUNCTION("IFERROR(FILTER('Pit Scouting Responses'!G:G,'Pit Scouting Responses'!C:C=A496),"""")"),"")</f>
        <v/>
      </c>
      <c r="G496" s="226" t="str">
        <f>IFERROR(__xludf.DUMMYFUNCTION("IFERROR(FILTER('Pit Scouting Responses'!D:D,'Pit Scouting Responses'!C:C=A496),"""")"),"")</f>
        <v/>
      </c>
      <c r="H496" s="223" t="str">
        <f>RawTotals!AI496</f>
        <v/>
      </c>
    </row>
    <row r="497">
      <c r="A497" s="224" t="str">
        <f>RawTotals!A497</f>
        <v/>
      </c>
      <c r="B497" s="75" t="str">
        <f>IFERROR(__xludf.DUMMYFUNCTION("IFERROR(FILTER('Pit Scouting Responses'!J:J,'Pit Scouting Responses'!C:C=A497),"""")"),"")</f>
        <v/>
      </c>
      <c r="C497" s="85" t="str">
        <f>IF(ISBLANK(A497),"",SUMIF(RawTotals!A$2:A1000, A497, RawTotals!O$2:O1000))</f>
        <v/>
      </c>
      <c r="D497" s="221" t="str">
        <f>IF(ISBLANK(A497),"",SUMIF(RawTotals!A$2:A1000, A497, RawTotals!D$2:D1000) + SUMIF(RawTotals!A$2:A1000, A497, RawTotals!M$2:M1000))</f>
        <v/>
      </c>
      <c r="E497" s="221" t="str">
        <f>IF(ISBLANK(A497),"",SUMIF(RawTotals!A$2:A1000, A497, RawTotals!C$2:C1000) + SUMIF(RawTotals!A$2:A1000, A497, RawTotals!L$2:L1000))</f>
        <v/>
      </c>
      <c r="F497" s="225" t="str">
        <f>IFERROR(__xludf.DUMMYFUNCTION("IFERROR(FILTER('Pit Scouting Responses'!G:G,'Pit Scouting Responses'!C:C=A497),"""")"),"")</f>
        <v/>
      </c>
      <c r="G497" s="226" t="str">
        <f>IFERROR(__xludf.DUMMYFUNCTION("IFERROR(FILTER('Pit Scouting Responses'!D:D,'Pit Scouting Responses'!C:C=A497),"""")"),"")</f>
        <v/>
      </c>
      <c r="H497" s="223" t="str">
        <f>RawTotals!AI497</f>
        <v/>
      </c>
    </row>
    <row r="498">
      <c r="A498" s="224" t="str">
        <f>RawTotals!A498</f>
        <v/>
      </c>
      <c r="B498" s="75" t="str">
        <f>IFERROR(__xludf.DUMMYFUNCTION("IFERROR(FILTER('Pit Scouting Responses'!J:J,'Pit Scouting Responses'!C:C=A498),"""")"),"")</f>
        <v/>
      </c>
      <c r="C498" s="85" t="str">
        <f>IF(ISBLANK(A498),"",SUMIF(RawTotals!A$2:A1000, A498, RawTotals!O$2:O1000))</f>
        <v/>
      </c>
      <c r="D498" s="221" t="str">
        <f>IF(ISBLANK(A498),"",SUMIF(RawTotals!A$2:A1000, A498, RawTotals!D$2:D1000) + SUMIF(RawTotals!A$2:A1000, A498, RawTotals!M$2:M1000))</f>
        <v/>
      </c>
      <c r="E498" s="221" t="str">
        <f>IF(ISBLANK(A498),"",SUMIF(RawTotals!A$2:A1000, A498, RawTotals!C$2:C1000) + SUMIF(RawTotals!A$2:A1000, A498, RawTotals!L$2:L1000))</f>
        <v/>
      </c>
      <c r="F498" s="225" t="str">
        <f>IFERROR(__xludf.DUMMYFUNCTION("IFERROR(FILTER('Pit Scouting Responses'!G:G,'Pit Scouting Responses'!C:C=A498),"""")"),"")</f>
        <v/>
      </c>
      <c r="G498" s="226" t="str">
        <f>IFERROR(__xludf.DUMMYFUNCTION("IFERROR(FILTER('Pit Scouting Responses'!D:D,'Pit Scouting Responses'!C:C=A498),"""")"),"")</f>
        <v/>
      </c>
      <c r="H498" s="223" t="str">
        <f>RawTotals!AI498</f>
        <v/>
      </c>
    </row>
    <row r="499">
      <c r="A499" s="224" t="str">
        <f>RawTotals!A499</f>
        <v/>
      </c>
      <c r="B499" s="75" t="str">
        <f>IFERROR(__xludf.DUMMYFUNCTION("IFERROR(FILTER('Pit Scouting Responses'!J:J,'Pit Scouting Responses'!C:C=A499),"""")"),"")</f>
        <v/>
      </c>
      <c r="C499" s="85" t="str">
        <f>IF(ISBLANK(A499),"",SUMIF(RawTotals!A$2:A1000, A499, RawTotals!O$2:O1000))</f>
        <v/>
      </c>
      <c r="D499" s="221" t="str">
        <f>IF(ISBLANK(A499),"",SUMIF(RawTotals!A$2:A1000, A499, RawTotals!D$2:D1000) + SUMIF(RawTotals!A$2:A1000, A499, RawTotals!M$2:M1000))</f>
        <v/>
      </c>
      <c r="E499" s="221" t="str">
        <f>IF(ISBLANK(A499),"",SUMIF(RawTotals!A$2:A1000, A499, RawTotals!C$2:C1000) + SUMIF(RawTotals!A$2:A1000, A499, RawTotals!L$2:L1000))</f>
        <v/>
      </c>
      <c r="F499" s="225" t="str">
        <f>IFERROR(__xludf.DUMMYFUNCTION("IFERROR(FILTER('Pit Scouting Responses'!G:G,'Pit Scouting Responses'!C:C=A499),"""")"),"")</f>
        <v/>
      </c>
      <c r="G499" s="226" t="str">
        <f>IFERROR(__xludf.DUMMYFUNCTION("IFERROR(FILTER('Pit Scouting Responses'!D:D,'Pit Scouting Responses'!C:C=A499),"""")"),"")</f>
        <v/>
      </c>
      <c r="H499" s="223" t="str">
        <f>RawTotals!AI499</f>
        <v/>
      </c>
    </row>
    <row r="500">
      <c r="A500" s="224" t="str">
        <f>RawTotals!A500</f>
        <v/>
      </c>
      <c r="B500" s="75" t="str">
        <f>IFERROR(__xludf.DUMMYFUNCTION("IFERROR(FILTER('Pit Scouting Responses'!J:J,'Pit Scouting Responses'!C:C=A500),"""")"),"")</f>
        <v/>
      </c>
      <c r="C500" s="85" t="str">
        <f>IF(ISBLANK(A500),"",SUMIF(RawTotals!A$2:A1000, A500, RawTotals!O$2:O1000))</f>
        <v/>
      </c>
      <c r="D500" s="221" t="str">
        <f>IF(ISBLANK(A500),"",SUMIF(RawTotals!A$2:A1000, A500, RawTotals!D$2:D1000) + SUMIF(RawTotals!A$2:A1000, A500, RawTotals!M$2:M1000))</f>
        <v/>
      </c>
      <c r="E500" s="221" t="str">
        <f>IF(ISBLANK(A500),"",SUMIF(RawTotals!A$2:A1000, A500, RawTotals!C$2:C1000) + SUMIF(RawTotals!A$2:A1000, A500, RawTotals!L$2:L1000))</f>
        <v/>
      </c>
      <c r="F500" s="225" t="str">
        <f>IFERROR(__xludf.DUMMYFUNCTION("IFERROR(FILTER('Pit Scouting Responses'!G:G,'Pit Scouting Responses'!C:C=A500),"""")"),"")</f>
        <v/>
      </c>
      <c r="G500" s="226" t="str">
        <f>IFERROR(__xludf.DUMMYFUNCTION("IFERROR(FILTER('Pit Scouting Responses'!D:D,'Pit Scouting Responses'!C:C=A500),"""")"),"")</f>
        <v/>
      </c>
      <c r="H500" s="223" t="str">
        <f>RawTotals!AI500</f>
        <v/>
      </c>
    </row>
    <row r="501">
      <c r="A501" s="224" t="str">
        <f>RawTotals!A501</f>
        <v/>
      </c>
      <c r="B501" s="75" t="str">
        <f>IFERROR(__xludf.DUMMYFUNCTION("IFERROR(FILTER('Pit Scouting Responses'!J:J,'Pit Scouting Responses'!C:C=A501),"""")"),"")</f>
        <v/>
      </c>
      <c r="C501" s="85" t="str">
        <f>IF(ISBLANK(A501),"",SUMIF(RawTotals!A$2:A1000, A501, RawTotals!O$2:O1000))</f>
        <v/>
      </c>
      <c r="D501" s="221" t="str">
        <f>IF(ISBLANK(A501),"",SUMIF(RawTotals!A$2:A1000, A501, RawTotals!D$2:D1000) + SUMIF(RawTotals!A$2:A1000, A501, RawTotals!M$2:M1000))</f>
        <v/>
      </c>
      <c r="E501" s="221" t="str">
        <f>IF(ISBLANK(A501),"",SUMIF(RawTotals!A$2:A1000, A501, RawTotals!C$2:C1000) + SUMIF(RawTotals!A$2:A1000, A501, RawTotals!L$2:L1000))</f>
        <v/>
      </c>
      <c r="F501" s="225" t="str">
        <f>IFERROR(__xludf.DUMMYFUNCTION("IFERROR(FILTER('Pit Scouting Responses'!G:G,'Pit Scouting Responses'!C:C=A501),"""")"),"")</f>
        <v/>
      </c>
      <c r="G501" s="226" t="str">
        <f>IFERROR(__xludf.DUMMYFUNCTION("IFERROR(FILTER('Pit Scouting Responses'!D:D,'Pit Scouting Responses'!C:C=A501),"""")"),"")</f>
        <v/>
      </c>
      <c r="H501" s="223" t="str">
        <f>RawTotals!AI501</f>
        <v/>
      </c>
    </row>
    <row r="502">
      <c r="A502" s="224" t="str">
        <f>RawTotals!A502</f>
        <v/>
      </c>
      <c r="B502" s="75" t="str">
        <f>IFERROR(__xludf.DUMMYFUNCTION("IFERROR(FILTER('Pit Scouting Responses'!J:J,'Pit Scouting Responses'!C:C=A502),"""")"),"")</f>
        <v/>
      </c>
      <c r="C502" s="85" t="str">
        <f>IF(ISBLANK(A502),"",SUMIF(RawTotals!A$2:A1000, A502, RawTotals!O$2:O1000))</f>
        <v/>
      </c>
      <c r="D502" s="221" t="str">
        <f>IF(ISBLANK(A502),"",SUMIF(RawTotals!A$2:A1000, A502, RawTotals!D$2:D1000) + SUMIF(RawTotals!A$2:A1000, A502, RawTotals!M$2:M1000))</f>
        <v/>
      </c>
      <c r="E502" s="221" t="str">
        <f>IF(ISBLANK(A502),"",SUMIF(RawTotals!A$2:A1000, A502, RawTotals!C$2:C1000) + SUMIF(RawTotals!A$2:A1000, A502, RawTotals!L$2:L1000))</f>
        <v/>
      </c>
      <c r="F502" s="225" t="str">
        <f>IFERROR(__xludf.DUMMYFUNCTION("IFERROR(FILTER('Pit Scouting Responses'!G:G,'Pit Scouting Responses'!C:C=A502),"""")"),"")</f>
        <v/>
      </c>
      <c r="G502" s="226" t="str">
        <f>IFERROR(__xludf.DUMMYFUNCTION("IFERROR(FILTER('Pit Scouting Responses'!D:D,'Pit Scouting Responses'!C:C=A502),"""")"),"")</f>
        <v/>
      </c>
      <c r="H502" s="223" t="str">
        <f>RawTotals!AI502</f>
        <v/>
      </c>
    </row>
    <row r="503">
      <c r="A503" s="224" t="str">
        <f>RawTotals!A503</f>
        <v/>
      </c>
      <c r="B503" s="75" t="str">
        <f>IFERROR(__xludf.DUMMYFUNCTION("IFERROR(FILTER('Pit Scouting Responses'!J:J,'Pit Scouting Responses'!C:C=A503),"""")"),"")</f>
        <v/>
      </c>
      <c r="C503" s="85" t="str">
        <f>IF(ISBLANK(A503),"",SUMIF(RawTotals!A$2:A1000, A503, RawTotals!O$2:O1000))</f>
        <v/>
      </c>
      <c r="D503" s="221" t="str">
        <f>IF(ISBLANK(A503),"",SUMIF(RawTotals!A$2:A1000, A503, RawTotals!D$2:D1000) + SUMIF(RawTotals!A$2:A1000, A503, RawTotals!M$2:M1000))</f>
        <v/>
      </c>
      <c r="E503" s="221" t="str">
        <f>IF(ISBLANK(A503),"",SUMIF(RawTotals!A$2:A1000, A503, RawTotals!C$2:C1000) + SUMIF(RawTotals!A$2:A1000, A503, RawTotals!L$2:L1000))</f>
        <v/>
      </c>
      <c r="F503" s="225" t="str">
        <f>IFERROR(__xludf.DUMMYFUNCTION("IFERROR(FILTER('Pit Scouting Responses'!G:G,'Pit Scouting Responses'!C:C=A503),"""")"),"")</f>
        <v/>
      </c>
      <c r="G503" s="226" t="str">
        <f>IFERROR(__xludf.DUMMYFUNCTION("IFERROR(FILTER('Pit Scouting Responses'!D:D,'Pit Scouting Responses'!C:C=A503),"""")"),"")</f>
        <v/>
      </c>
      <c r="H503" s="223" t="str">
        <f>RawTotals!AI503</f>
        <v/>
      </c>
    </row>
    <row r="504">
      <c r="A504" s="224" t="str">
        <f>RawTotals!A504</f>
        <v/>
      </c>
      <c r="B504" s="75" t="str">
        <f>IFERROR(__xludf.DUMMYFUNCTION("IFERROR(FILTER('Pit Scouting Responses'!J:J,'Pit Scouting Responses'!C:C=A504),"""")"),"")</f>
        <v/>
      </c>
      <c r="C504" s="85" t="str">
        <f>IF(ISBLANK(A504),"",SUMIF(RawTotals!A$2:A1000, A504, RawTotals!O$2:O1000))</f>
        <v/>
      </c>
      <c r="D504" s="221" t="str">
        <f>IF(ISBLANK(A504),"",SUMIF(RawTotals!A$2:A1000, A504, RawTotals!D$2:D1000) + SUMIF(RawTotals!A$2:A1000, A504, RawTotals!M$2:M1000))</f>
        <v/>
      </c>
      <c r="E504" s="221" t="str">
        <f>IF(ISBLANK(A504),"",SUMIF(RawTotals!A$2:A1000, A504, RawTotals!C$2:C1000) + SUMIF(RawTotals!A$2:A1000, A504, RawTotals!L$2:L1000))</f>
        <v/>
      </c>
      <c r="F504" s="225" t="str">
        <f>IFERROR(__xludf.DUMMYFUNCTION("IFERROR(FILTER('Pit Scouting Responses'!G:G,'Pit Scouting Responses'!C:C=A504),"""")"),"")</f>
        <v/>
      </c>
      <c r="G504" s="226" t="str">
        <f>IFERROR(__xludf.DUMMYFUNCTION("IFERROR(FILTER('Pit Scouting Responses'!D:D,'Pit Scouting Responses'!C:C=A504),"""")"),"")</f>
        <v/>
      </c>
      <c r="H504" s="223" t="str">
        <f>RawTotals!AI504</f>
        <v/>
      </c>
    </row>
    <row r="505">
      <c r="A505" s="224" t="str">
        <f>RawTotals!A505</f>
        <v/>
      </c>
      <c r="B505" s="75" t="str">
        <f>IFERROR(__xludf.DUMMYFUNCTION("IFERROR(FILTER('Pit Scouting Responses'!J:J,'Pit Scouting Responses'!C:C=A505),"""")"),"")</f>
        <v/>
      </c>
      <c r="C505" s="85" t="str">
        <f>IF(ISBLANK(A505),"",SUMIF(RawTotals!A$2:A1000, A505, RawTotals!O$2:O1000))</f>
        <v/>
      </c>
      <c r="D505" s="221" t="str">
        <f>IF(ISBLANK(A505),"",SUMIF(RawTotals!A$2:A1000, A505, RawTotals!D$2:D1000) + SUMIF(RawTotals!A$2:A1000, A505, RawTotals!M$2:M1000))</f>
        <v/>
      </c>
      <c r="E505" s="221" t="str">
        <f>IF(ISBLANK(A505),"",SUMIF(RawTotals!A$2:A1000, A505, RawTotals!C$2:C1000) + SUMIF(RawTotals!A$2:A1000, A505, RawTotals!L$2:L1000))</f>
        <v/>
      </c>
      <c r="F505" s="225" t="str">
        <f>IFERROR(__xludf.DUMMYFUNCTION("IFERROR(FILTER('Pit Scouting Responses'!G:G,'Pit Scouting Responses'!C:C=A505),"""")"),"")</f>
        <v/>
      </c>
      <c r="G505" s="226" t="str">
        <f>IFERROR(__xludf.DUMMYFUNCTION("IFERROR(FILTER('Pit Scouting Responses'!D:D,'Pit Scouting Responses'!C:C=A505),"""")"),"")</f>
        <v/>
      </c>
      <c r="H505" s="223" t="str">
        <f>RawTotals!AI505</f>
        <v/>
      </c>
    </row>
    <row r="506">
      <c r="A506" s="224" t="str">
        <f>RawTotals!A506</f>
        <v/>
      </c>
      <c r="B506" s="75" t="str">
        <f>IFERROR(__xludf.DUMMYFUNCTION("IFERROR(FILTER('Pit Scouting Responses'!J:J,'Pit Scouting Responses'!C:C=A506),"""")"),"")</f>
        <v/>
      </c>
      <c r="C506" s="85" t="str">
        <f>IF(ISBLANK(A506),"",SUMIF(RawTotals!A$2:A1000, A506, RawTotals!O$2:O1000))</f>
        <v/>
      </c>
      <c r="D506" s="221" t="str">
        <f>IF(ISBLANK(A506),"",SUMIF(RawTotals!A$2:A1000, A506, RawTotals!D$2:D1000) + SUMIF(RawTotals!A$2:A1000, A506, RawTotals!M$2:M1000))</f>
        <v/>
      </c>
      <c r="E506" s="221" t="str">
        <f>IF(ISBLANK(A506),"",SUMIF(RawTotals!A$2:A1000, A506, RawTotals!C$2:C1000) + SUMIF(RawTotals!A$2:A1000, A506, RawTotals!L$2:L1000))</f>
        <v/>
      </c>
      <c r="F506" s="225" t="str">
        <f>IFERROR(__xludf.DUMMYFUNCTION("IFERROR(FILTER('Pit Scouting Responses'!G:G,'Pit Scouting Responses'!C:C=A506),"""")"),"")</f>
        <v/>
      </c>
      <c r="G506" s="226" t="str">
        <f>IFERROR(__xludf.DUMMYFUNCTION("IFERROR(FILTER('Pit Scouting Responses'!D:D,'Pit Scouting Responses'!C:C=A506),"""")"),"")</f>
        <v/>
      </c>
      <c r="H506" s="223" t="str">
        <f>RawTotals!AI506</f>
        <v/>
      </c>
    </row>
    <row r="507">
      <c r="A507" s="224" t="str">
        <f>RawTotals!A507</f>
        <v/>
      </c>
      <c r="B507" s="75" t="str">
        <f>IFERROR(__xludf.DUMMYFUNCTION("IFERROR(FILTER('Pit Scouting Responses'!J:J,'Pit Scouting Responses'!C:C=A507),"""")"),"")</f>
        <v/>
      </c>
      <c r="C507" s="85" t="str">
        <f>IF(ISBLANK(A507),"",SUMIF(RawTotals!A$2:A1000, A507, RawTotals!O$2:O1000))</f>
        <v/>
      </c>
      <c r="D507" s="221" t="str">
        <f>IF(ISBLANK(A507),"",SUMIF(RawTotals!A$2:A1000, A507, RawTotals!D$2:D1000) + SUMIF(RawTotals!A$2:A1000, A507, RawTotals!M$2:M1000))</f>
        <v/>
      </c>
      <c r="E507" s="221" t="str">
        <f>IF(ISBLANK(A507),"",SUMIF(RawTotals!A$2:A1000, A507, RawTotals!C$2:C1000) + SUMIF(RawTotals!A$2:A1000, A507, RawTotals!L$2:L1000))</f>
        <v/>
      </c>
      <c r="F507" s="225" t="str">
        <f>IFERROR(__xludf.DUMMYFUNCTION("IFERROR(FILTER('Pit Scouting Responses'!G:G,'Pit Scouting Responses'!C:C=A507),"""")"),"")</f>
        <v/>
      </c>
      <c r="G507" s="226" t="str">
        <f>IFERROR(__xludf.DUMMYFUNCTION("IFERROR(FILTER('Pit Scouting Responses'!D:D,'Pit Scouting Responses'!C:C=A507),"""")"),"")</f>
        <v/>
      </c>
      <c r="H507" s="223" t="str">
        <f>RawTotals!AI507</f>
        <v/>
      </c>
    </row>
    <row r="508">
      <c r="A508" s="224" t="str">
        <f>RawTotals!A508</f>
        <v/>
      </c>
      <c r="B508" s="75" t="str">
        <f>IFERROR(__xludf.DUMMYFUNCTION("IFERROR(FILTER('Pit Scouting Responses'!J:J,'Pit Scouting Responses'!C:C=A508),"""")"),"")</f>
        <v/>
      </c>
      <c r="C508" s="85" t="str">
        <f>IF(ISBLANK(A508),"",SUMIF(RawTotals!A$2:A1000, A508, RawTotals!O$2:O1000))</f>
        <v/>
      </c>
      <c r="D508" s="221" t="str">
        <f>IF(ISBLANK(A508),"",SUMIF(RawTotals!A$2:A1000, A508, RawTotals!D$2:D1000) + SUMIF(RawTotals!A$2:A1000, A508, RawTotals!M$2:M1000))</f>
        <v/>
      </c>
      <c r="E508" s="221" t="str">
        <f>IF(ISBLANK(A508),"",SUMIF(RawTotals!A$2:A1000, A508, RawTotals!C$2:C1000) + SUMIF(RawTotals!A$2:A1000, A508, RawTotals!L$2:L1000))</f>
        <v/>
      </c>
      <c r="F508" s="225" t="str">
        <f>IFERROR(__xludf.DUMMYFUNCTION("IFERROR(FILTER('Pit Scouting Responses'!G:G,'Pit Scouting Responses'!C:C=A508),"""")"),"")</f>
        <v/>
      </c>
      <c r="G508" s="226" t="str">
        <f>IFERROR(__xludf.DUMMYFUNCTION("IFERROR(FILTER('Pit Scouting Responses'!D:D,'Pit Scouting Responses'!C:C=A508),"""")"),"")</f>
        <v/>
      </c>
      <c r="H508" s="223" t="str">
        <f>RawTotals!AI508</f>
        <v/>
      </c>
    </row>
    <row r="509">
      <c r="A509" s="224" t="str">
        <f>RawTotals!A509</f>
        <v/>
      </c>
      <c r="B509" s="75" t="str">
        <f>IFERROR(__xludf.DUMMYFUNCTION("IFERROR(FILTER('Pit Scouting Responses'!J:J,'Pit Scouting Responses'!C:C=A509),"""")"),"")</f>
        <v/>
      </c>
      <c r="C509" s="85" t="str">
        <f>IF(ISBLANK(A509),"",SUMIF(RawTotals!A$2:A1000, A509, RawTotals!O$2:O1000))</f>
        <v/>
      </c>
      <c r="D509" s="221" t="str">
        <f>IF(ISBLANK(A509),"",SUMIF(RawTotals!A$2:A1000, A509, RawTotals!D$2:D1000) + SUMIF(RawTotals!A$2:A1000, A509, RawTotals!M$2:M1000))</f>
        <v/>
      </c>
      <c r="E509" s="221" t="str">
        <f>IF(ISBLANK(A509),"",SUMIF(RawTotals!A$2:A1000, A509, RawTotals!C$2:C1000) + SUMIF(RawTotals!A$2:A1000, A509, RawTotals!L$2:L1000))</f>
        <v/>
      </c>
      <c r="F509" s="225" t="str">
        <f>IFERROR(__xludf.DUMMYFUNCTION("IFERROR(FILTER('Pit Scouting Responses'!G:G,'Pit Scouting Responses'!C:C=A509),"""")"),"")</f>
        <v/>
      </c>
      <c r="G509" s="226" t="str">
        <f>IFERROR(__xludf.DUMMYFUNCTION("IFERROR(FILTER('Pit Scouting Responses'!D:D,'Pit Scouting Responses'!C:C=A509),"""")"),"")</f>
        <v/>
      </c>
      <c r="H509" s="223" t="str">
        <f>RawTotals!AI509</f>
        <v/>
      </c>
    </row>
    <row r="510">
      <c r="A510" s="224" t="str">
        <f>RawTotals!A510</f>
        <v/>
      </c>
      <c r="B510" s="75" t="str">
        <f>IFERROR(__xludf.DUMMYFUNCTION("IFERROR(FILTER('Pit Scouting Responses'!J:J,'Pit Scouting Responses'!C:C=A510),"""")"),"")</f>
        <v/>
      </c>
      <c r="C510" s="85" t="str">
        <f>IF(ISBLANK(A510),"",SUMIF(RawTotals!A$2:A1000, A510, RawTotals!O$2:O1000))</f>
        <v/>
      </c>
      <c r="D510" s="221" t="str">
        <f>IF(ISBLANK(A510),"",SUMIF(RawTotals!A$2:A1000, A510, RawTotals!D$2:D1000) + SUMIF(RawTotals!A$2:A1000, A510, RawTotals!M$2:M1000))</f>
        <v/>
      </c>
      <c r="E510" s="221" t="str">
        <f>IF(ISBLANK(A510),"",SUMIF(RawTotals!A$2:A1000, A510, RawTotals!C$2:C1000) + SUMIF(RawTotals!A$2:A1000, A510, RawTotals!L$2:L1000))</f>
        <v/>
      </c>
      <c r="F510" s="225" t="str">
        <f>IFERROR(__xludf.DUMMYFUNCTION("IFERROR(FILTER('Pit Scouting Responses'!G:G,'Pit Scouting Responses'!C:C=A510),"""")"),"")</f>
        <v/>
      </c>
      <c r="G510" s="226" t="str">
        <f>IFERROR(__xludf.DUMMYFUNCTION("IFERROR(FILTER('Pit Scouting Responses'!D:D,'Pit Scouting Responses'!C:C=A510),"""")"),"")</f>
        <v/>
      </c>
      <c r="H510" s="223" t="str">
        <f>RawTotals!AI510</f>
        <v/>
      </c>
    </row>
    <row r="511">
      <c r="A511" s="224" t="str">
        <f>RawTotals!A511</f>
        <v/>
      </c>
      <c r="B511" s="75" t="str">
        <f>IFERROR(__xludf.DUMMYFUNCTION("IFERROR(FILTER('Pit Scouting Responses'!J:J,'Pit Scouting Responses'!C:C=A511),"""")"),"")</f>
        <v/>
      </c>
      <c r="C511" s="85" t="str">
        <f>IF(ISBLANK(A511),"",SUMIF(RawTotals!A$2:A1000, A511, RawTotals!O$2:O1000))</f>
        <v/>
      </c>
      <c r="D511" s="221" t="str">
        <f>IF(ISBLANK(A511),"",SUMIF(RawTotals!A$2:A1000, A511, RawTotals!D$2:D1000) + SUMIF(RawTotals!A$2:A1000, A511, RawTotals!M$2:M1000))</f>
        <v/>
      </c>
      <c r="E511" s="221" t="str">
        <f>IF(ISBLANK(A511),"",SUMIF(RawTotals!A$2:A1000, A511, RawTotals!C$2:C1000) + SUMIF(RawTotals!A$2:A1000, A511, RawTotals!L$2:L1000))</f>
        <v/>
      </c>
      <c r="F511" s="225" t="str">
        <f>IFERROR(__xludf.DUMMYFUNCTION("IFERROR(FILTER('Pit Scouting Responses'!G:G,'Pit Scouting Responses'!C:C=A511),"""")"),"")</f>
        <v/>
      </c>
      <c r="G511" s="226" t="str">
        <f>IFERROR(__xludf.DUMMYFUNCTION("IFERROR(FILTER('Pit Scouting Responses'!D:D,'Pit Scouting Responses'!C:C=A511),"""")"),"")</f>
        <v/>
      </c>
      <c r="H511" s="223" t="str">
        <f>RawTotals!AI511</f>
        <v/>
      </c>
    </row>
    <row r="512">
      <c r="A512" s="224" t="str">
        <f>RawTotals!A512</f>
        <v/>
      </c>
      <c r="B512" s="75" t="str">
        <f>IFERROR(__xludf.DUMMYFUNCTION("IFERROR(FILTER('Pit Scouting Responses'!J:J,'Pit Scouting Responses'!C:C=A512),"""")"),"")</f>
        <v/>
      </c>
      <c r="C512" s="85" t="str">
        <f>IF(ISBLANK(A512),"",SUMIF(RawTotals!A$2:A1000, A512, RawTotals!O$2:O1000))</f>
        <v/>
      </c>
      <c r="D512" s="221" t="str">
        <f>IF(ISBLANK(A512),"",SUMIF(RawTotals!A$2:A1000, A512, RawTotals!D$2:D1000) + SUMIF(RawTotals!A$2:A1000, A512, RawTotals!M$2:M1000))</f>
        <v/>
      </c>
      <c r="E512" s="221" t="str">
        <f>IF(ISBLANK(A512),"",SUMIF(RawTotals!A$2:A1000, A512, RawTotals!C$2:C1000) + SUMIF(RawTotals!A$2:A1000, A512, RawTotals!L$2:L1000))</f>
        <v/>
      </c>
      <c r="F512" s="225" t="str">
        <f>IFERROR(__xludf.DUMMYFUNCTION("IFERROR(FILTER('Pit Scouting Responses'!G:G,'Pit Scouting Responses'!C:C=A512),"""")"),"")</f>
        <v/>
      </c>
      <c r="G512" s="226" t="str">
        <f>IFERROR(__xludf.DUMMYFUNCTION("IFERROR(FILTER('Pit Scouting Responses'!D:D,'Pit Scouting Responses'!C:C=A512),"""")"),"")</f>
        <v/>
      </c>
      <c r="H512" s="223" t="str">
        <f>RawTotals!AI512</f>
        <v/>
      </c>
    </row>
    <row r="513">
      <c r="A513" s="224" t="str">
        <f>RawTotals!A513</f>
        <v/>
      </c>
      <c r="B513" s="75" t="str">
        <f>IFERROR(__xludf.DUMMYFUNCTION("IFERROR(FILTER('Pit Scouting Responses'!J:J,'Pit Scouting Responses'!C:C=A513),"""")"),"")</f>
        <v/>
      </c>
      <c r="C513" s="85" t="str">
        <f>IF(ISBLANK(A513),"",SUMIF(RawTotals!A$2:A1000, A513, RawTotals!O$2:O1000))</f>
        <v/>
      </c>
      <c r="D513" s="221" t="str">
        <f>IF(ISBLANK(A513),"",SUMIF(RawTotals!A$2:A1000, A513, RawTotals!D$2:D1000) + SUMIF(RawTotals!A$2:A1000, A513, RawTotals!M$2:M1000))</f>
        <v/>
      </c>
      <c r="E513" s="221" t="str">
        <f>IF(ISBLANK(A513),"",SUMIF(RawTotals!A$2:A1000, A513, RawTotals!C$2:C1000) + SUMIF(RawTotals!A$2:A1000, A513, RawTotals!L$2:L1000))</f>
        <v/>
      </c>
      <c r="F513" s="225" t="str">
        <f>IFERROR(__xludf.DUMMYFUNCTION("IFERROR(FILTER('Pit Scouting Responses'!G:G,'Pit Scouting Responses'!C:C=A513),"""")"),"")</f>
        <v/>
      </c>
      <c r="G513" s="226" t="str">
        <f>IFERROR(__xludf.DUMMYFUNCTION("IFERROR(FILTER('Pit Scouting Responses'!D:D,'Pit Scouting Responses'!C:C=A513),"""")"),"")</f>
        <v/>
      </c>
      <c r="H513" s="223" t="str">
        <f>RawTotals!AI513</f>
        <v/>
      </c>
    </row>
    <row r="514">
      <c r="A514" s="224" t="str">
        <f>RawTotals!A514</f>
        <v/>
      </c>
      <c r="B514" s="75" t="str">
        <f>IFERROR(__xludf.DUMMYFUNCTION("IFERROR(FILTER('Pit Scouting Responses'!J:J,'Pit Scouting Responses'!C:C=A514),"""")"),"")</f>
        <v/>
      </c>
      <c r="C514" s="85" t="str">
        <f>IF(ISBLANK(A514),"",SUMIF(RawTotals!A$2:A1000, A514, RawTotals!O$2:O1000))</f>
        <v/>
      </c>
      <c r="D514" s="221" t="str">
        <f>IF(ISBLANK(A514),"",SUMIF(RawTotals!A$2:A1000, A514, RawTotals!D$2:D1000) + SUMIF(RawTotals!A$2:A1000, A514, RawTotals!M$2:M1000))</f>
        <v/>
      </c>
      <c r="E514" s="221" t="str">
        <f>IF(ISBLANK(A514),"",SUMIF(RawTotals!A$2:A1000, A514, RawTotals!C$2:C1000) + SUMIF(RawTotals!A$2:A1000, A514, RawTotals!L$2:L1000))</f>
        <v/>
      </c>
      <c r="F514" s="225" t="str">
        <f>IFERROR(__xludf.DUMMYFUNCTION("IFERROR(FILTER('Pit Scouting Responses'!G:G,'Pit Scouting Responses'!C:C=A514),"""")"),"")</f>
        <v/>
      </c>
      <c r="G514" s="226" t="str">
        <f>IFERROR(__xludf.DUMMYFUNCTION("IFERROR(FILTER('Pit Scouting Responses'!D:D,'Pit Scouting Responses'!C:C=A514),"""")"),"")</f>
        <v/>
      </c>
      <c r="H514" s="223" t="str">
        <f>RawTotals!AI514</f>
        <v/>
      </c>
    </row>
    <row r="515">
      <c r="A515" s="224" t="str">
        <f>RawTotals!A515</f>
        <v/>
      </c>
      <c r="B515" s="75" t="str">
        <f>IFERROR(__xludf.DUMMYFUNCTION("IFERROR(FILTER('Pit Scouting Responses'!J:J,'Pit Scouting Responses'!C:C=A515),"""")"),"")</f>
        <v/>
      </c>
      <c r="C515" s="85" t="str">
        <f>IF(ISBLANK(A515),"",SUMIF(RawTotals!A$2:A1000, A515, RawTotals!O$2:O1000))</f>
        <v/>
      </c>
      <c r="D515" s="221" t="str">
        <f>IF(ISBLANK(A515),"",SUMIF(RawTotals!A$2:A1000, A515, RawTotals!D$2:D1000) + SUMIF(RawTotals!A$2:A1000, A515, RawTotals!M$2:M1000))</f>
        <v/>
      </c>
      <c r="E515" s="221" t="str">
        <f>IF(ISBLANK(A515),"",SUMIF(RawTotals!A$2:A1000, A515, RawTotals!C$2:C1000) + SUMIF(RawTotals!A$2:A1000, A515, RawTotals!L$2:L1000))</f>
        <v/>
      </c>
      <c r="F515" s="225" t="str">
        <f>IFERROR(__xludf.DUMMYFUNCTION("IFERROR(FILTER('Pit Scouting Responses'!G:G,'Pit Scouting Responses'!C:C=A515),"""")"),"")</f>
        <v/>
      </c>
      <c r="G515" s="226" t="str">
        <f>IFERROR(__xludf.DUMMYFUNCTION("IFERROR(FILTER('Pit Scouting Responses'!D:D,'Pit Scouting Responses'!C:C=A515),"""")"),"")</f>
        <v/>
      </c>
      <c r="H515" s="223" t="str">
        <f>RawTotals!AI515</f>
        <v/>
      </c>
    </row>
    <row r="516">
      <c r="A516" s="224" t="str">
        <f>RawTotals!A516</f>
        <v/>
      </c>
      <c r="B516" s="75" t="str">
        <f>IFERROR(__xludf.DUMMYFUNCTION("IFERROR(FILTER('Pit Scouting Responses'!J:J,'Pit Scouting Responses'!C:C=A516),"""")"),"")</f>
        <v/>
      </c>
      <c r="C516" s="85" t="str">
        <f>IF(ISBLANK(A516),"",SUMIF(RawTotals!A$2:A1000, A516, RawTotals!O$2:O1000))</f>
        <v/>
      </c>
      <c r="D516" s="221" t="str">
        <f>IF(ISBLANK(A516),"",SUMIF(RawTotals!A$2:A1000, A516, RawTotals!D$2:D1000) + SUMIF(RawTotals!A$2:A1000, A516, RawTotals!M$2:M1000))</f>
        <v/>
      </c>
      <c r="E516" s="221" t="str">
        <f>IF(ISBLANK(A516),"",SUMIF(RawTotals!A$2:A1000, A516, RawTotals!C$2:C1000) + SUMIF(RawTotals!A$2:A1000, A516, RawTotals!L$2:L1000))</f>
        <v/>
      </c>
      <c r="F516" s="225" t="str">
        <f>IFERROR(__xludf.DUMMYFUNCTION("IFERROR(FILTER('Pit Scouting Responses'!G:G,'Pit Scouting Responses'!C:C=A516),"""")"),"")</f>
        <v/>
      </c>
      <c r="G516" s="226" t="str">
        <f>IFERROR(__xludf.DUMMYFUNCTION("IFERROR(FILTER('Pit Scouting Responses'!D:D,'Pit Scouting Responses'!C:C=A516),"""")"),"")</f>
        <v/>
      </c>
      <c r="H516" s="223" t="str">
        <f>RawTotals!AI516</f>
        <v/>
      </c>
    </row>
    <row r="517">
      <c r="A517" s="224" t="str">
        <f>RawTotals!A517</f>
        <v/>
      </c>
      <c r="B517" s="75" t="str">
        <f>IFERROR(__xludf.DUMMYFUNCTION("IFERROR(FILTER('Pit Scouting Responses'!J:J,'Pit Scouting Responses'!C:C=A517),"""")"),"")</f>
        <v/>
      </c>
      <c r="C517" s="85" t="str">
        <f>IF(ISBLANK(A517),"",SUMIF(RawTotals!A$2:A1000, A517, RawTotals!O$2:O1000))</f>
        <v/>
      </c>
      <c r="D517" s="221" t="str">
        <f>IF(ISBLANK(A517),"",SUMIF(RawTotals!A$2:A1000, A517, RawTotals!D$2:D1000) + SUMIF(RawTotals!A$2:A1000, A517, RawTotals!M$2:M1000))</f>
        <v/>
      </c>
      <c r="E517" s="221" t="str">
        <f>IF(ISBLANK(A517),"",SUMIF(RawTotals!A$2:A1000, A517, RawTotals!C$2:C1000) + SUMIF(RawTotals!A$2:A1000, A517, RawTotals!L$2:L1000))</f>
        <v/>
      </c>
      <c r="F517" s="225" t="str">
        <f>IFERROR(__xludf.DUMMYFUNCTION("IFERROR(FILTER('Pit Scouting Responses'!G:G,'Pit Scouting Responses'!C:C=A517),"""")"),"")</f>
        <v/>
      </c>
      <c r="G517" s="226" t="str">
        <f>IFERROR(__xludf.DUMMYFUNCTION("IFERROR(FILTER('Pit Scouting Responses'!D:D,'Pit Scouting Responses'!C:C=A517),"""")"),"")</f>
        <v/>
      </c>
      <c r="H517" s="223" t="str">
        <f>RawTotals!AI517</f>
        <v/>
      </c>
    </row>
    <row r="518">
      <c r="A518" s="224" t="str">
        <f>RawTotals!A518</f>
        <v/>
      </c>
      <c r="B518" s="75" t="str">
        <f>IFERROR(__xludf.DUMMYFUNCTION("IFERROR(FILTER('Pit Scouting Responses'!J:J,'Pit Scouting Responses'!C:C=A518),"""")"),"")</f>
        <v/>
      </c>
      <c r="C518" s="85" t="str">
        <f>IF(ISBLANK(A518),"",SUMIF(RawTotals!A$2:A1000, A518, RawTotals!O$2:O1000))</f>
        <v/>
      </c>
      <c r="D518" s="221" t="str">
        <f>IF(ISBLANK(A518),"",SUMIF(RawTotals!A$2:A1000, A518, RawTotals!D$2:D1000) + SUMIF(RawTotals!A$2:A1000, A518, RawTotals!M$2:M1000))</f>
        <v/>
      </c>
      <c r="E518" s="221" t="str">
        <f>IF(ISBLANK(A518),"",SUMIF(RawTotals!A$2:A1000, A518, RawTotals!C$2:C1000) + SUMIF(RawTotals!A$2:A1000, A518, RawTotals!L$2:L1000))</f>
        <v/>
      </c>
      <c r="F518" s="225" t="str">
        <f>IFERROR(__xludf.DUMMYFUNCTION("IFERROR(FILTER('Pit Scouting Responses'!G:G,'Pit Scouting Responses'!C:C=A518),"""")"),"")</f>
        <v/>
      </c>
      <c r="G518" s="226" t="str">
        <f>IFERROR(__xludf.DUMMYFUNCTION("IFERROR(FILTER('Pit Scouting Responses'!D:D,'Pit Scouting Responses'!C:C=A518),"""")"),"")</f>
        <v/>
      </c>
      <c r="H518" s="223" t="str">
        <f>RawTotals!AI518</f>
        <v/>
      </c>
    </row>
    <row r="519">
      <c r="A519" s="224" t="str">
        <f>RawTotals!A519</f>
        <v/>
      </c>
      <c r="B519" s="75" t="str">
        <f>IFERROR(__xludf.DUMMYFUNCTION("IFERROR(FILTER('Pit Scouting Responses'!J:J,'Pit Scouting Responses'!C:C=A519),"""")"),"")</f>
        <v/>
      </c>
      <c r="C519" s="85" t="str">
        <f>IF(ISBLANK(A519),"",SUMIF(RawTotals!A$2:A1000, A519, RawTotals!O$2:O1000))</f>
        <v/>
      </c>
      <c r="D519" s="221" t="str">
        <f>IF(ISBLANK(A519),"",SUMIF(RawTotals!A$2:A1000, A519, RawTotals!D$2:D1000) + SUMIF(RawTotals!A$2:A1000, A519, RawTotals!M$2:M1000))</f>
        <v/>
      </c>
      <c r="E519" s="221" t="str">
        <f>IF(ISBLANK(A519),"",SUMIF(RawTotals!A$2:A1000, A519, RawTotals!C$2:C1000) + SUMIF(RawTotals!A$2:A1000, A519, RawTotals!L$2:L1000))</f>
        <v/>
      </c>
      <c r="F519" s="225" t="str">
        <f>IFERROR(__xludf.DUMMYFUNCTION("IFERROR(FILTER('Pit Scouting Responses'!G:G,'Pit Scouting Responses'!C:C=A519),"""")"),"")</f>
        <v/>
      </c>
      <c r="G519" s="226" t="str">
        <f>IFERROR(__xludf.DUMMYFUNCTION("IFERROR(FILTER('Pit Scouting Responses'!D:D,'Pit Scouting Responses'!C:C=A519),"""")"),"")</f>
        <v/>
      </c>
      <c r="H519" s="223" t="str">
        <f>RawTotals!AI519</f>
        <v/>
      </c>
    </row>
    <row r="520">
      <c r="A520" s="224" t="str">
        <f>RawTotals!A520</f>
        <v/>
      </c>
      <c r="B520" s="75" t="str">
        <f>IFERROR(__xludf.DUMMYFUNCTION("IFERROR(FILTER('Pit Scouting Responses'!J:J,'Pit Scouting Responses'!C:C=A520),"""")"),"")</f>
        <v/>
      </c>
      <c r="C520" s="85" t="str">
        <f>IF(ISBLANK(A520),"",SUMIF(RawTotals!A$2:A1000, A520, RawTotals!O$2:O1000))</f>
        <v/>
      </c>
      <c r="D520" s="221" t="str">
        <f>IF(ISBLANK(A520),"",SUMIF(RawTotals!A$2:A1000, A520, RawTotals!D$2:D1000) + SUMIF(RawTotals!A$2:A1000, A520, RawTotals!M$2:M1000))</f>
        <v/>
      </c>
      <c r="E520" s="221" t="str">
        <f>IF(ISBLANK(A520),"",SUMIF(RawTotals!A$2:A1000, A520, RawTotals!C$2:C1000) + SUMIF(RawTotals!A$2:A1000, A520, RawTotals!L$2:L1000))</f>
        <v/>
      </c>
      <c r="F520" s="225" t="str">
        <f>IFERROR(__xludf.DUMMYFUNCTION("IFERROR(FILTER('Pit Scouting Responses'!G:G,'Pit Scouting Responses'!C:C=A520),"""")"),"")</f>
        <v/>
      </c>
      <c r="G520" s="226" t="str">
        <f>IFERROR(__xludf.DUMMYFUNCTION("IFERROR(FILTER('Pit Scouting Responses'!D:D,'Pit Scouting Responses'!C:C=A520),"""")"),"")</f>
        <v/>
      </c>
      <c r="H520" s="223" t="str">
        <f>RawTotals!AI520</f>
        <v/>
      </c>
    </row>
    <row r="521">
      <c r="A521" s="224" t="str">
        <f>RawTotals!A521</f>
        <v/>
      </c>
      <c r="B521" s="75" t="str">
        <f>IFERROR(__xludf.DUMMYFUNCTION("IFERROR(FILTER('Pit Scouting Responses'!J:J,'Pit Scouting Responses'!C:C=A521),"""")"),"")</f>
        <v/>
      </c>
      <c r="C521" s="85" t="str">
        <f>IF(ISBLANK(A521),"",SUMIF(RawTotals!A$2:A1000, A521, RawTotals!O$2:O1000))</f>
        <v/>
      </c>
      <c r="D521" s="221" t="str">
        <f>IF(ISBLANK(A521),"",SUMIF(RawTotals!A$2:A1000, A521, RawTotals!D$2:D1000) + SUMIF(RawTotals!A$2:A1000, A521, RawTotals!M$2:M1000))</f>
        <v/>
      </c>
      <c r="E521" s="221" t="str">
        <f>IF(ISBLANK(A521),"",SUMIF(RawTotals!A$2:A1000, A521, RawTotals!C$2:C1000) + SUMIF(RawTotals!A$2:A1000, A521, RawTotals!L$2:L1000))</f>
        <v/>
      </c>
      <c r="F521" s="225" t="str">
        <f>IFERROR(__xludf.DUMMYFUNCTION("IFERROR(FILTER('Pit Scouting Responses'!G:G,'Pit Scouting Responses'!C:C=A521),"""")"),"")</f>
        <v/>
      </c>
      <c r="G521" s="226" t="str">
        <f>IFERROR(__xludf.DUMMYFUNCTION("IFERROR(FILTER('Pit Scouting Responses'!D:D,'Pit Scouting Responses'!C:C=A521),"""")"),"")</f>
        <v/>
      </c>
      <c r="H521" s="223" t="str">
        <f>RawTotals!AI521</f>
        <v/>
      </c>
    </row>
    <row r="522">
      <c r="A522" s="224" t="str">
        <f>RawTotals!A522</f>
        <v/>
      </c>
      <c r="B522" s="75" t="str">
        <f>IFERROR(__xludf.DUMMYFUNCTION("IFERROR(FILTER('Pit Scouting Responses'!J:J,'Pit Scouting Responses'!C:C=A522),"""")"),"")</f>
        <v/>
      </c>
      <c r="C522" s="85" t="str">
        <f>IF(ISBLANK(A522),"",SUMIF(RawTotals!A$2:A1000, A522, RawTotals!O$2:O1000))</f>
        <v/>
      </c>
      <c r="D522" s="221" t="str">
        <f>IF(ISBLANK(A522),"",SUMIF(RawTotals!A$2:A1000, A522, RawTotals!D$2:D1000) + SUMIF(RawTotals!A$2:A1000, A522, RawTotals!M$2:M1000))</f>
        <v/>
      </c>
      <c r="E522" s="221" t="str">
        <f>IF(ISBLANK(A522),"",SUMIF(RawTotals!A$2:A1000, A522, RawTotals!C$2:C1000) + SUMIF(RawTotals!A$2:A1000, A522, RawTotals!L$2:L1000))</f>
        <v/>
      </c>
      <c r="F522" s="225" t="str">
        <f>IFERROR(__xludf.DUMMYFUNCTION("IFERROR(FILTER('Pit Scouting Responses'!G:G,'Pit Scouting Responses'!C:C=A522),"""")"),"")</f>
        <v/>
      </c>
      <c r="G522" s="226" t="str">
        <f>IFERROR(__xludf.DUMMYFUNCTION("IFERROR(FILTER('Pit Scouting Responses'!D:D,'Pit Scouting Responses'!C:C=A522),"""")"),"")</f>
        <v/>
      </c>
      <c r="H522" s="223" t="str">
        <f>RawTotals!AI522</f>
        <v/>
      </c>
    </row>
    <row r="523">
      <c r="A523" s="224" t="str">
        <f>RawTotals!A523</f>
        <v/>
      </c>
      <c r="B523" s="75" t="str">
        <f>IFERROR(__xludf.DUMMYFUNCTION("IFERROR(FILTER('Pit Scouting Responses'!J:J,'Pit Scouting Responses'!C:C=A523),"""")"),"")</f>
        <v/>
      </c>
      <c r="C523" s="85" t="str">
        <f>IF(ISBLANK(A523),"",SUMIF(RawTotals!A$2:A1000, A523, RawTotals!O$2:O1000))</f>
        <v/>
      </c>
      <c r="D523" s="221" t="str">
        <f>IF(ISBLANK(A523),"",SUMIF(RawTotals!A$2:A1000, A523, RawTotals!D$2:D1000) + SUMIF(RawTotals!A$2:A1000, A523, RawTotals!M$2:M1000))</f>
        <v/>
      </c>
      <c r="E523" s="221" t="str">
        <f>IF(ISBLANK(A523),"",SUMIF(RawTotals!A$2:A1000, A523, RawTotals!C$2:C1000) + SUMIF(RawTotals!A$2:A1000, A523, RawTotals!L$2:L1000))</f>
        <v/>
      </c>
      <c r="F523" s="225" t="str">
        <f>IFERROR(__xludf.DUMMYFUNCTION("IFERROR(FILTER('Pit Scouting Responses'!G:G,'Pit Scouting Responses'!C:C=A523),"""")"),"")</f>
        <v/>
      </c>
      <c r="G523" s="226" t="str">
        <f>IFERROR(__xludf.DUMMYFUNCTION("IFERROR(FILTER('Pit Scouting Responses'!D:D,'Pit Scouting Responses'!C:C=A523),"""")"),"")</f>
        <v/>
      </c>
      <c r="H523" s="223" t="str">
        <f>RawTotals!AI523</f>
        <v/>
      </c>
    </row>
    <row r="524">
      <c r="A524" s="224" t="str">
        <f>RawTotals!A524</f>
        <v/>
      </c>
      <c r="B524" s="75" t="str">
        <f>IFERROR(__xludf.DUMMYFUNCTION("IFERROR(FILTER('Pit Scouting Responses'!J:J,'Pit Scouting Responses'!C:C=A524),"""")"),"")</f>
        <v/>
      </c>
      <c r="C524" s="85" t="str">
        <f>IF(ISBLANK(A524),"",SUMIF(RawTotals!A$2:A1000, A524, RawTotals!O$2:O1000))</f>
        <v/>
      </c>
      <c r="D524" s="221" t="str">
        <f>IF(ISBLANK(A524),"",SUMIF(RawTotals!A$2:A1000, A524, RawTotals!D$2:D1000) + SUMIF(RawTotals!A$2:A1000, A524, RawTotals!M$2:M1000))</f>
        <v/>
      </c>
      <c r="E524" s="221" t="str">
        <f>IF(ISBLANK(A524),"",SUMIF(RawTotals!A$2:A1000, A524, RawTotals!C$2:C1000) + SUMIF(RawTotals!A$2:A1000, A524, RawTotals!L$2:L1000))</f>
        <v/>
      </c>
      <c r="F524" s="225" t="str">
        <f>IFERROR(__xludf.DUMMYFUNCTION("IFERROR(FILTER('Pit Scouting Responses'!G:G,'Pit Scouting Responses'!C:C=A524),"""")"),"")</f>
        <v/>
      </c>
      <c r="G524" s="226" t="str">
        <f>IFERROR(__xludf.DUMMYFUNCTION("IFERROR(FILTER('Pit Scouting Responses'!D:D,'Pit Scouting Responses'!C:C=A524),"""")"),"")</f>
        <v/>
      </c>
      <c r="H524" s="223" t="str">
        <f>RawTotals!AI524</f>
        <v/>
      </c>
    </row>
    <row r="525">
      <c r="A525" s="224" t="str">
        <f>RawTotals!A525</f>
        <v/>
      </c>
      <c r="B525" s="75" t="str">
        <f>IFERROR(__xludf.DUMMYFUNCTION("IFERROR(FILTER('Pit Scouting Responses'!J:J,'Pit Scouting Responses'!C:C=A525),"""")"),"")</f>
        <v/>
      </c>
      <c r="C525" s="85" t="str">
        <f>IF(ISBLANK(A525),"",SUMIF(RawTotals!A$2:A1000, A525, RawTotals!O$2:O1000))</f>
        <v/>
      </c>
      <c r="D525" s="221" t="str">
        <f>IF(ISBLANK(A525),"",SUMIF(RawTotals!A$2:A1000, A525, RawTotals!D$2:D1000) + SUMIF(RawTotals!A$2:A1000, A525, RawTotals!M$2:M1000))</f>
        <v/>
      </c>
      <c r="E525" s="221" t="str">
        <f>IF(ISBLANK(A525),"",SUMIF(RawTotals!A$2:A1000, A525, RawTotals!C$2:C1000) + SUMIF(RawTotals!A$2:A1000, A525, RawTotals!L$2:L1000))</f>
        <v/>
      </c>
      <c r="F525" s="225" t="str">
        <f>IFERROR(__xludf.DUMMYFUNCTION("IFERROR(FILTER('Pit Scouting Responses'!G:G,'Pit Scouting Responses'!C:C=A525),"""")"),"")</f>
        <v/>
      </c>
      <c r="G525" s="226" t="str">
        <f>IFERROR(__xludf.DUMMYFUNCTION("IFERROR(FILTER('Pit Scouting Responses'!D:D,'Pit Scouting Responses'!C:C=A525),"""")"),"")</f>
        <v/>
      </c>
      <c r="H525" s="223" t="str">
        <f>RawTotals!AI525</f>
        <v/>
      </c>
    </row>
    <row r="526">
      <c r="A526" s="224" t="str">
        <f>RawTotals!A526</f>
        <v/>
      </c>
      <c r="B526" s="75" t="str">
        <f>IFERROR(__xludf.DUMMYFUNCTION("IFERROR(FILTER('Pit Scouting Responses'!J:J,'Pit Scouting Responses'!C:C=A526),"""")"),"")</f>
        <v/>
      </c>
      <c r="C526" s="85" t="str">
        <f>IF(ISBLANK(A526),"",SUMIF(RawTotals!A$2:A1000, A526, RawTotals!O$2:O1000))</f>
        <v/>
      </c>
      <c r="D526" s="221" t="str">
        <f>IF(ISBLANK(A526),"",SUMIF(RawTotals!A$2:A1000, A526, RawTotals!D$2:D1000) + SUMIF(RawTotals!A$2:A1000, A526, RawTotals!M$2:M1000))</f>
        <v/>
      </c>
      <c r="E526" s="221" t="str">
        <f>IF(ISBLANK(A526),"",SUMIF(RawTotals!A$2:A1000, A526, RawTotals!C$2:C1000) + SUMIF(RawTotals!A$2:A1000, A526, RawTotals!L$2:L1000))</f>
        <v/>
      </c>
      <c r="F526" s="225" t="str">
        <f>IFERROR(__xludf.DUMMYFUNCTION("IFERROR(FILTER('Pit Scouting Responses'!G:G,'Pit Scouting Responses'!C:C=A526),"""")"),"")</f>
        <v/>
      </c>
      <c r="G526" s="226" t="str">
        <f>IFERROR(__xludf.DUMMYFUNCTION("IFERROR(FILTER('Pit Scouting Responses'!D:D,'Pit Scouting Responses'!C:C=A526),"""")"),"")</f>
        <v/>
      </c>
      <c r="H526" s="223" t="str">
        <f>RawTotals!AI526</f>
        <v/>
      </c>
    </row>
    <row r="527">
      <c r="A527" s="224" t="str">
        <f>RawTotals!A527</f>
        <v/>
      </c>
      <c r="B527" s="75" t="str">
        <f>IFERROR(__xludf.DUMMYFUNCTION("IFERROR(FILTER('Pit Scouting Responses'!J:J,'Pit Scouting Responses'!C:C=A527),"""")"),"")</f>
        <v/>
      </c>
      <c r="C527" s="85" t="str">
        <f>IF(ISBLANK(A527),"",SUMIF(RawTotals!A$2:A1000, A527, RawTotals!O$2:O1000))</f>
        <v/>
      </c>
      <c r="D527" s="221" t="str">
        <f>IF(ISBLANK(A527),"",SUMIF(RawTotals!A$2:A1000, A527, RawTotals!D$2:D1000) + SUMIF(RawTotals!A$2:A1000, A527, RawTotals!M$2:M1000))</f>
        <v/>
      </c>
      <c r="E527" s="221" t="str">
        <f>IF(ISBLANK(A527),"",SUMIF(RawTotals!A$2:A1000, A527, RawTotals!C$2:C1000) + SUMIF(RawTotals!A$2:A1000, A527, RawTotals!L$2:L1000))</f>
        <v/>
      </c>
      <c r="F527" s="225" t="str">
        <f>IFERROR(__xludf.DUMMYFUNCTION("IFERROR(FILTER('Pit Scouting Responses'!G:G,'Pit Scouting Responses'!C:C=A527),"""")"),"")</f>
        <v/>
      </c>
      <c r="G527" s="226" t="str">
        <f>IFERROR(__xludf.DUMMYFUNCTION("IFERROR(FILTER('Pit Scouting Responses'!D:D,'Pit Scouting Responses'!C:C=A527),"""")"),"")</f>
        <v/>
      </c>
      <c r="H527" s="223" t="str">
        <f>RawTotals!AI527</f>
        <v/>
      </c>
    </row>
    <row r="528">
      <c r="A528" s="224" t="str">
        <f>RawTotals!A528</f>
        <v/>
      </c>
      <c r="B528" s="75" t="str">
        <f>IFERROR(__xludf.DUMMYFUNCTION("IFERROR(FILTER('Pit Scouting Responses'!J:J,'Pit Scouting Responses'!C:C=A528),"""")"),"")</f>
        <v/>
      </c>
      <c r="C528" s="85" t="str">
        <f>IF(ISBLANK(A528),"",SUMIF(RawTotals!A$2:A1000, A528, RawTotals!O$2:O1000))</f>
        <v/>
      </c>
      <c r="D528" s="221" t="str">
        <f>IF(ISBLANK(A528),"",SUMIF(RawTotals!A$2:A1000, A528, RawTotals!D$2:D1000) + SUMIF(RawTotals!A$2:A1000, A528, RawTotals!M$2:M1000))</f>
        <v/>
      </c>
      <c r="E528" s="221" t="str">
        <f>IF(ISBLANK(A528),"",SUMIF(RawTotals!A$2:A1000, A528, RawTotals!C$2:C1000) + SUMIF(RawTotals!A$2:A1000, A528, RawTotals!L$2:L1000))</f>
        <v/>
      </c>
      <c r="F528" s="225" t="str">
        <f>IFERROR(__xludf.DUMMYFUNCTION("IFERROR(FILTER('Pit Scouting Responses'!G:G,'Pit Scouting Responses'!C:C=A528),"""")"),"")</f>
        <v/>
      </c>
      <c r="G528" s="226" t="str">
        <f>IFERROR(__xludf.DUMMYFUNCTION("IFERROR(FILTER('Pit Scouting Responses'!D:D,'Pit Scouting Responses'!C:C=A528),"""")"),"")</f>
        <v/>
      </c>
      <c r="H528" s="223" t="str">
        <f>RawTotals!AI528</f>
        <v/>
      </c>
    </row>
    <row r="529">
      <c r="A529" s="224" t="str">
        <f>RawTotals!A529</f>
        <v/>
      </c>
      <c r="B529" s="75" t="str">
        <f>IFERROR(__xludf.DUMMYFUNCTION("IFERROR(FILTER('Pit Scouting Responses'!J:J,'Pit Scouting Responses'!C:C=A529),"""")"),"")</f>
        <v/>
      </c>
      <c r="C529" s="85" t="str">
        <f>IF(ISBLANK(A529),"",SUMIF(RawTotals!A$2:A1000, A529, RawTotals!O$2:O1000))</f>
        <v/>
      </c>
      <c r="D529" s="221" t="str">
        <f>IF(ISBLANK(A529),"",SUMIF(RawTotals!A$2:A1000, A529, RawTotals!D$2:D1000) + SUMIF(RawTotals!A$2:A1000, A529, RawTotals!M$2:M1000))</f>
        <v/>
      </c>
      <c r="E529" s="221" t="str">
        <f>IF(ISBLANK(A529),"",SUMIF(RawTotals!A$2:A1000, A529, RawTotals!C$2:C1000) + SUMIF(RawTotals!A$2:A1000, A529, RawTotals!L$2:L1000))</f>
        <v/>
      </c>
      <c r="F529" s="225" t="str">
        <f>IFERROR(__xludf.DUMMYFUNCTION("IFERROR(FILTER('Pit Scouting Responses'!G:G,'Pit Scouting Responses'!C:C=A529),"""")"),"")</f>
        <v/>
      </c>
      <c r="G529" s="226" t="str">
        <f>IFERROR(__xludf.DUMMYFUNCTION("IFERROR(FILTER('Pit Scouting Responses'!D:D,'Pit Scouting Responses'!C:C=A529),"""")"),"")</f>
        <v/>
      </c>
      <c r="H529" s="223" t="str">
        <f>RawTotals!AI529</f>
        <v/>
      </c>
    </row>
    <row r="530">
      <c r="A530" s="224" t="str">
        <f>RawTotals!A530</f>
        <v/>
      </c>
      <c r="B530" s="75" t="str">
        <f>IFERROR(__xludf.DUMMYFUNCTION("IFERROR(FILTER('Pit Scouting Responses'!J:J,'Pit Scouting Responses'!C:C=A530),"""")"),"")</f>
        <v/>
      </c>
      <c r="C530" s="85" t="str">
        <f>IF(ISBLANK(A530),"",SUMIF(RawTotals!A$2:A1000, A530, RawTotals!O$2:O1000))</f>
        <v/>
      </c>
      <c r="D530" s="221" t="str">
        <f>IF(ISBLANK(A530),"",SUMIF(RawTotals!A$2:A1000, A530, RawTotals!D$2:D1000) + SUMIF(RawTotals!A$2:A1000, A530, RawTotals!M$2:M1000))</f>
        <v/>
      </c>
      <c r="E530" s="221" t="str">
        <f>IF(ISBLANK(A530),"",SUMIF(RawTotals!A$2:A1000, A530, RawTotals!C$2:C1000) + SUMIF(RawTotals!A$2:A1000, A530, RawTotals!L$2:L1000))</f>
        <v/>
      </c>
      <c r="F530" s="225" t="str">
        <f>IFERROR(__xludf.DUMMYFUNCTION("IFERROR(FILTER('Pit Scouting Responses'!G:G,'Pit Scouting Responses'!C:C=A530),"""")"),"")</f>
        <v/>
      </c>
      <c r="G530" s="226" t="str">
        <f>IFERROR(__xludf.DUMMYFUNCTION("IFERROR(FILTER('Pit Scouting Responses'!D:D,'Pit Scouting Responses'!C:C=A530),"""")"),"")</f>
        <v/>
      </c>
      <c r="H530" s="223" t="str">
        <f>RawTotals!AI530</f>
        <v/>
      </c>
    </row>
    <row r="531">
      <c r="A531" s="224" t="str">
        <f>RawTotals!A531</f>
        <v/>
      </c>
      <c r="B531" s="75" t="str">
        <f>IFERROR(__xludf.DUMMYFUNCTION("IFERROR(FILTER('Pit Scouting Responses'!J:J,'Pit Scouting Responses'!C:C=A531),"""")"),"")</f>
        <v/>
      </c>
      <c r="C531" s="85" t="str">
        <f>IF(ISBLANK(A531),"",SUMIF(RawTotals!A$2:A1000, A531, RawTotals!O$2:O1000))</f>
        <v/>
      </c>
      <c r="D531" s="221" t="str">
        <f>IF(ISBLANK(A531),"",SUMIF(RawTotals!A$2:A1000, A531, RawTotals!D$2:D1000) + SUMIF(RawTotals!A$2:A1000, A531, RawTotals!M$2:M1000))</f>
        <v/>
      </c>
      <c r="E531" s="221" t="str">
        <f>IF(ISBLANK(A531),"",SUMIF(RawTotals!A$2:A1000, A531, RawTotals!C$2:C1000) + SUMIF(RawTotals!A$2:A1000, A531, RawTotals!L$2:L1000))</f>
        <v/>
      </c>
      <c r="F531" s="225" t="str">
        <f>IFERROR(__xludf.DUMMYFUNCTION("IFERROR(FILTER('Pit Scouting Responses'!G:G,'Pit Scouting Responses'!C:C=A531),"""")"),"")</f>
        <v/>
      </c>
      <c r="G531" s="226" t="str">
        <f>IFERROR(__xludf.DUMMYFUNCTION("IFERROR(FILTER('Pit Scouting Responses'!D:D,'Pit Scouting Responses'!C:C=A531),"""")"),"")</f>
        <v/>
      </c>
      <c r="H531" s="223" t="str">
        <f>RawTotals!AI531</f>
        <v/>
      </c>
    </row>
    <row r="532">
      <c r="A532" s="224" t="str">
        <f>RawTotals!A532</f>
        <v/>
      </c>
      <c r="B532" s="75" t="str">
        <f>IFERROR(__xludf.DUMMYFUNCTION("IFERROR(FILTER('Pit Scouting Responses'!J:J,'Pit Scouting Responses'!C:C=A532),"""")"),"")</f>
        <v/>
      </c>
      <c r="C532" s="85" t="str">
        <f>IF(ISBLANK(A532),"",SUMIF(RawTotals!A$2:A1000, A532, RawTotals!O$2:O1000))</f>
        <v/>
      </c>
      <c r="D532" s="221" t="str">
        <f>IF(ISBLANK(A532),"",SUMIF(RawTotals!A$2:A1000, A532, RawTotals!D$2:D1000) + SUMIF(RawTotals!A$2:A1000, A532, RawTotals!M$2:M1000))</f>
        <v/>
      </c>
      <c r="E532" s="221" t="str">
        <f>IF(ISBLANK(A532),"",SUMIF(RawTotals!A$2:A1000, A532, RawTotals!C$2:C1000) + SUMIF(RawTotals!A$2:A1000, A532, RawTotals!L$2:L1000))</f>
        <v/>
      </c>
      <c r="F532" s="225" t="str">
        <f>IFERROR(__xludf.DUMMYFUNCTION("IFERROR(FILTER('Pit Scouting Responses'!G:G,'Pit Scouting Responses'!C:C=A532),"""")"),"")</f>
        <v/>
      </c>
      <c r="G532" s="226" t="str">
        <f>IFERROR(__xludf.DUMMYFUNCTION("IFERROR(FILTER('Pit Scouting Responses'!D:D,'Pit Scouting Responses'!C:C=A532),"""")"),"")</f>
        <v/>
      </c>
      <c r="H532" s="223" t="str">
        <f>RawTotals!AI532</f>
        <v/>
      </c>
    </row>
    <row r="533">
      <c r="A533" s="224" t="str">
        <f>RawTotals!A533</f>
        <v/>
      </c>
      <c r="B533" s="75" t="str">
        <f>IFERROR(__xludf.DUMMYFUNCTION("IFERROR(FILTER('Pit Scouting Responses'!J:J,'Pit Scouting Responses'!C:C=A533),"""")"),"")</f>
        <v/>
      </c>
      <c r="C533" s="85" t="str">
        <f>IF(ISBLANK(A533),"",SUMIF(RawTotals!A$2:A1000, A533, RawTotals!O$2:O1000))</f>
        <v/>
      </c>
      <c r="D533" s="221" t="str">
        <f>IF(ISBLANK(A533),"",SUMIF(RawTotals!A$2:A1000, A533, RawTotals!D$2:D1000) + SUMIF(RawTotals!A$2:A1000, A533, RawTotals!M$2:M1000))</f>
        <v/>
      </c>
      <c r="E533" s="221" t="str">
        <f>IF(ISBLANK(A533),"",SUMIF(RawTotals!A$2:A1000, A533, RawTotals!C$2:C1000) + SUMIF(RawTotals!A$2:A1000, A533, RawTotals!L$2:L1000))</f>
        <v/>
      </c>
      <c r="F533" s="225" t="str">
        <f>IFERROR(__xludf.DUMMYFUNCTION("IFERROR(FILTER('Pit Scouting Responses'!G:G,'Pit Scouting Responses'!C:C=A533),"""")"),"")</f>
        <v/>
      </c>
      <c r="G533" s="226" t="str">
        <f>IFERROR(__xludf.DUMMYFUNCTION("IFERROR(FILTER('Pit Scouting Responses'!D:D,'Pit Scouting Responses'!C:C=A533),"""")"),"")</f>
        <v/>
      </c>
      <c r="H533" s="223" t="str">
        <f>RawTotals!AI533</f>
        <v/>
      </c>
    </row>
    <row r="534">
      <c r="A534" s="224" t="str">
        <f>RawTotals!A534</f>
        <v/>
      </c>
      <c r="B534" s="75" t="str">
        <f>IFERROR(__xludf.DUMMYFUNCTION("IFERROR(FILTER('Pit Scouting Responses'!J:J,'Pit Scouting Responses'!C:C=A534),"""")"),"")</f>
        <v/>
      </c>
      <c r="C534" s="85" t="str">
        <f>IF(ISBLANK(A534),"",SUMIF(RawTotals!A$2:A1000, A534, RawTotals!O$2:O1000))</f>
        <v/>
      </c>
      <c r="D534" s="221" t="str">
        <f>IF(ISBLANK(A534),"",SUMIF(RawTotals!A$2:A1000, A534, RawTotals!D$2:D1000) + SUMIF(RawTotals!A$2:A1000, A534, RawTotals!M$2:M1000))</f>
        <v/>
      </c>
      <c r="E534" s="221" t="str">
        <f>IF(ISBLANK(A534),"",SUMIF(RawTotals!A$2:A1000, A534, RawTotals!C$2:C1000) + SUMIF(RawTotals!A$2:A1000, A534, RawTotals!L$2:L1000))</f>
        <v/>
      </c>
      <c r="F534" s="225" t="str">
        <f>IFERROR(__xludf.DUMMYFUNCTION("IFERROR(FILTER('Pit Scouting Responses'!G:G,'Pit Scouting Responses'!C:C=A534),"""")"),"")</f>
        <v/>
      </c>
      <c r="G534" s="226" t="str">
        <f>IFERROR(__xludf.DUMMYFUNCTION("IFERROR(FILTER('Pit Scouting Responses'!D:D,'Pit Scouting Responses'!C:C=A534),"""")"),"")</f>
        <v/>
      </c>
      <c r="H534" s="223" t="str">
        <f>RawTotals!AI534</f>
        <v/>
      </c>
    </row>
    <row r="535">
      <c r="A535" s="224" t="str">
        <f>RawTotals!A535</f>
        <v/>
      </c>
      <c r="B535" s="75" t="str">
        <f>IFERROR(__xludf.DUMMYFUNCTION("IFERROR(FILTER('Pit Scouting Responses'!J:J,'Pit Scouting Responses'!C:C=A535),"""")"),"")</f>
        <v/>
      </c>
      <c r="C535" s="85" t="str">
        <f>IF(ISBLANK(A535),"",SUMIF(RawTotals!A$2:A1000, A535, RawTotals!O$2:O1000))</f>
        <v/>
      </c>
      <c r="D535" s="221" t="str">
        <f>IF(ISBLANK(A535),"",SUMIF(RawTotals!A$2:A1000, A535, RawTotals!D$2:D1000) + SUMIF(RawTotals!A$2:A1000, A535, RawTotals!M$2:M1000))</f>
        <v/>
      </c>
      <c r="E535" s="221" t="str">
        <f>IF(ISBLANK(A535),"",SUMIF(RawTotals!A$2:A1000, A535, RawTotals!C$2:C1000) + SUMIF(RawTotals!A$2:A1000, A535, RawTotals!L$2:L1000))</f>
        <v/>
      </c>
      <c r="F535" s="225" t="str">
        <f>IFERROR(__xludf.DUMMYFUNCTION("IFERROR(FILTER('Pit Scouting Responses'!G:G,'Pit Scouting Responses'!C:C=A535),"""")"),"")</f>
        <v/>
      </c>
      <c r="G535" s="226" t="str">
        <f>IFERROR(__xludf.DUMMYFUNCTION("IFERROR(FILTER('Pit Scouting Responses'!D:D,'Pit Scouting Responses'!C:C=A535),"""")"),"")</f>
        <v/>
      </c>
      <c r="H535" s="223" t="str">
        <f>RawTotals!AI535</f>
        <v/>
      </c>
    </row>
    <row r="536">
      <c r="A536" s="224" t="str">
        <f>RawTotals!A536</f>
        <v/>
      </c>
      <c r="B536" s="75" t="str">
        <f>IFERROR(__xludf.DUMMYFUNCTION("IFERROR(FILTER('Pit Scouting Responses'!J:J,'Pit Scouting Responses'!C:C=A536),"""")"),"")</f>
        <v/>
      </c>
      <c r="C536" s="85" t="str">
        <f>IF(ISBLANK(A536),"",SUMIF(RawTotals!A$2:A1000, A536, RawTotals!O$2:O1000))</f>
        <v/>
      </c>
      <c r="D536" s="221" t="str">
        <f>IF(ISBLANK(A536),"",SUMIF(RawTotals!A$2:A1000, A536, RawTotals!D$2:D1000) + SUMIF(RawTotals!A$2:A1000, A536, RawTotals!M$2:M1000))</f>
        <v/>
      </c>
      <c r="E536" s="221" t="str">
        <f>IF(ISBLANK(A536),"",SUMIF(RawTotals!A$2:A1000, A536, RawTotals!C$2:C1000) + SUMIF(RawTotals!A$2:A1000, A536, RawTotals!L$2:L1000))</f>
        <v/>
      </c>
      <c r="F536" s="225" t="str">
        <f>IFERROR(__xludf.DUMMYFUNCTION("IFERROR(FILTER('Pit Scouting Responses'!G:G,'Pit Scouting Responses'!C:C=A536),"""")"),"")</f>
        <v/>
      </c>
      <c r="G536" s="226" t="str">
        <f>IFERROR(__xludf.DUMMYFUNCTION("IFERROR(FILTER('Pit Scouting Responses'!D:D,'Pit Scouting Responses'!C:C=A536),"""")"),"")</f>
        <v/>
      </c>
      <c r="H536" s="223" t="str">
        <f>RawTotals!AI536</f>
        <v/>
      </c>
    </row>
    <row r="537">
      <c r="A537" s="224" t="str">
        <f>RawTotals!A537</f>
        <v/>
      </c>
      <c r="B537" s="75" t="str">
        <f>IFERROR(__xludf.DUMMYFUNCTION("IFERROR(FILTER('Pit Scouting Responses'!J:J,'Pit Scouting Responses'!C:C=A537),"""")"),"")</f>
        <v/>
      </c>
      <c r="C537" s="85" t="str">
        <f>IF(ISBLANK(A537),"",SUMIF(RawTotals!A$2:A1000, A537, RawTotals!O$2:O1000))</f>
        <v/>
      </c>
      <c r="D537" s="221" t="str">
        <f>IF(ISBLANK(A537),"",SUMIF(RawTotals!A$2:A1000, A537, RawTotals!D$2:D1000) + SUMIF(RawTotals!A$2:A1000, A537, RawTotals!M$2:M1000))</f>
        <v/>
      </c>
      <c r="E537" s="221" t="str">
        <f>IF(ISBLANK(A537),"",SUMIF(RawTotals!A$2:A1000, A537, RawTotals!C$2:C1000) + SUMIF(RawTotals!A$2:A1000, A537, RawTotals!L$2:L1000))</f>
        <v/>
      </c>
      <c r="F537" s="225" t="str">
        <f>IFERROR(__xludf.DUMMYFUNCTION("IFERROR(FILTER('Pit Scouting Responses'!G:G,'Pit Scouting Responses'!C:C=A537),"""")"),"")</f>
        <v/>
      </c>
      <c r="G537" s="226" t="str">
        <f>IFERROR(__xludf.DUMMYFUNCTION("IFERROR(FILTER('Pit Scouting Responses'!D:D,'Pit Scouting Responses'!C:C=A537),"""")"),"")</f>
        <v/>
      </c>
      <c r="H537" s="223" t="str">
        <f>RawTotals!AI537</f>
        <v/>
      </c>
    </row>
    <row r="538">
      <c r="A538" s="224" t="str">
        <f>RawTotals!A538</f>
        <v/>
      </c>
      <c r="B538" s="75" t="str">
        <f>IFERROR(__xludf.DUMMYFUNCTION("IFERROR(FILTER('Pit Scouting Responses'!J:J,'Pit Scouting Responses'!C:C=A538),"""")"),"")</f>
        <v/>
      </c>
      <c r="C538" s="85" t="str">
        <f>IF(ISBLANK(A538),"",SUMIF(RawTotals!A$2:A1000, A538, RawTotals!O$2:O1000))</f>
        <v/>
      </c>
      <c r="D538" s="221" t="str">
        <f>IF(ISBLANK(A538),"",SUMIF(RawTotals!A$2:A1000, A538, RawTotals!D$2:D1000) + SUMIF(RawTotals!A$2:A1000, A538, RawTotals!M$2:M1000))</f>
        <v/>
      </c>
      <c r="E538" s="221" t="str">
        <f>IF(ISBLANK(A538),"",SUMIF(RawTotals!A$2:A1000, A538, RawTotals!C$2:C1000) + SUMIF(RawTotals!A$2:A1000, A538, RawTotals!L$2:L1000))</f>
        <v/>
      </c>
      <c r="F538" s="225" t="str">
        <f>IFERROR(__xludf.DUMMYFUNCTION("IFERROR(FILTER('Pit Scouting Responses'!G:G,'Pit Scouting Responses'!C:C=A538),"""")"),"")</f>
        <v/>
      </c>
      <c r="G538" s="226" t="str">
        <f>IFERROR(__xludf.DUMMYFUNCTION("IFERROR(FILTER('Pit Scouting Responses'!D:D,'Pit Scouting Responses'!C:C=A538),"""")"),"")</f>
        <v/>
      </c>
      <c r="H538" s="223" t="str">
        <f>RawTotals!AI538</f>
        <v/>
      </c>
    </row>
    <row r="539">
      <c r="A539" s="224" t="str">
        <f>RawTotals!A539</f>
        <v/>
      </c>
      <c r="B539" s="75" t="str">
        <f>IFERROR(__xludf.DUMMYFUNCTION("IFERROR(FILTER('Pit Scouting Responses'!J:J,'Pit Scouting Responses'!C:C=A539),"""")"),"")</f>
        <v/>
      </c>
      <c r="C539" s="85" t="str">
        <f>IF(ISBLANK(A539),"",SUMIF(RawTotals!A$2:A1000, A539, RawTotals!O$2:O1000))</f>
        <v/>
      </c>
      <c r="D539" s="221" t="str">
        <f>IF(ISBLANK(A539),"",SUMIF(RawTotals!A$2:A1000, A539, RawTotals!D$2:D1000) + SUMIF(RawTotals!A$2:A1000, A539, RawTotals!M$2:M1000))</f>
        <v/>
      </c>
      <c r="E539" s="221" t="str">
        <f>IF(ISBLANK(A539),"",SUMIF(RawTotals!A$2:A1000, A539, RawTotals!C$2:C1000) + SUMIF(RawTotals!A$2:A1000, A539, RawTotals!L$2:L1000))</f>
        <v/>
      </c>
      <c r="F539" s="225" t="str">
        <f>IFERROR(__xludf.DUMMYFUNCTION("IFERROR(FILTER('Pit Scouting Responses'!G:G,'Pit Scouting Responses'!C:C=A539),"""")"),"")</f>
        <v/>
      </c>
      <c r="G539" s="226" t="str">
        <f>IFERROR(__xludf.DUMMYFUNCTION("IFERROR(FILTER('Pit Scouting Responses'!D:D,'Pit Scouting Responses'!C:C=A539),"""")"),"")</f>
        <v/>
      </c>
      <c r="H539" s="223" t="str">
        <f>RawTotals!AI539</f>
        <v/>
      </c>
    </row>
    <row r="540">
      <c r="A540" s="224" t="str">
        <f>RawTotals!A540</f>
        <v/>
      </c>
      <c r="B540" s="75" t="str">
        <f>IFERROR(__xludf.DUMMYFUNCTION("IFERROR(FILTER('Pit Scouting Responses'!J:J,'Pit Scouting Responses'!C:C=A540),"""")"),"")</f>
        <v/>
      </c>
      <c r="C540" s="85" t="str">
        <f>IF(ISBLANK(A540),"",SUMIF(RawTotals!A$2:A1000, A540, RawTotals!O$2:O1000))</f>
        <v/>
      </c>
      <c r="D540" s="221" t="str">
        <f>IF(ISBLANK(A540),"",SUMIF(RawTotals!A$2:A1000, A540, RawTotals!D$2:D1000) + SUMIF(RawTotals!A$2:A1000, A540, RawTotals!M$2:M1000))</f>
        <v/>
      </c>
      <c r="E540" s="221" t="str">
        <f>IF(ISBLANK(A540),"",SUMIF(RawTotals!A$2:A1000, A540, RawTotals!C$2:C1000) + SUMIF(RawTotals!A$2:A1000, A540, RawTotals!L$2:L1000))</f>
        <v/>
      </c>
      <c r="F540" s="225" t="str">
        <f>IFERROR(__xludf.DUMMYFUNCTION("IFERROR(FILTER('Pit Scouting Responses'!G:G,'Pit Scouting Responses'!C:C=A540),"""")"),"")</f>
        <v/>
      </c>
      <c r="G540" s="226" t="str">
        <f>IFERROR(__xludf.DUMMYFUNCTION("IFERROR(FILTER('Pit Scouting Responses'!D:D,'Pit Scouting Responses'!C:C=A540),"""")"),"")</f>
        <v/>
      </c>
      <c r="H540" s="223" t="str">
        <f>RawTotals!AI540</f>
        <v/>
      </c>
    </row>
    <row r="541">
      <c r="A541" s="224" t="str">
        <f>RawTotals!A541</f>
        <v/>
      </c>
      <c r="B541" s="75" t="str">
        <f>IFERROR(__xludf.DUMMYFUNCTION("IFERROR(FILTER('Pit Scouting Responses'!J:J,'Pit Scouting Responses'!C:C=A541),"""")"),"")</f>
        <v/>
      </c>
      <c r="C541" s="85" t="str">
        <f>IF(ISBLANK(A541),"",SUMIF(RawTotals!A$2:A1000, A541, RawTotals!O$2:O1000))</f>
        <v/>
      </c>
      <c r="D541" s="221" t="str">
        <f>IF(ISBLANK(A541),"",SUMIF(RawTotals!A$2:A1000, A541, RawTotals!D$2:D1000) + SUMIF(RawTotals!A$2:A1000, A541, RawTotals!M$2:M1000))</f>
        <v/>
      </c>
      <c r="E541" s="221" t="str">
        <f>IF(ISBLANK(A541),"",SUMIF(RawTotals!A$2:A1000, A541, RawTotals!C$2:C1000) + SUMIF(RawTotals!A$2:A1000, A541, RawTotals!L$2:L1000))</f>
        <v/>
      </c>
      <c r="F541" s="225" t="str">
        <f>IFERROR(__xludf.DUMMYFUNCTION("IFERROR(FILTER('Pit Scouting Responses'!G:G,'Pit Scouting Responses'!C:C=A541),"""")"),"")</f>
        <v/>
      </c>
      <c r="G541" s="226" t="str">
        <f>IFERROR(__xludf.DUMMYFUNCTION("IFERROR(FILTER('Pit Scouting Responses'!D:D,'Pit Scouting Responses'!C:C=A541),"""")"),"")</f>
        <v/>
      </c>
      <c r="H541" s="223" t="str">
        <f>RawTotals!AI541</f>
        <v/>
      </c>
    </row>
    <row r="542">
      <c r="A542" s="224" t="str">
        <f>RawTotals!A542</f>
        <v/>
      </c>
      <c r="B542" s="75" t="str">
        <f>IFERROR(__xludf.DUMMYFUNCTION("IFERROR(FILTER('Pit Scouting Responses'!J:J,'Pit Scouting Responses'!C:C=A542),"""")"),"")</f>
        <v/>
      </c>
      <c r="C542" s="85" t="str">
        <f>IF(ISBLANK(A542),"",SUMIF(RawTotals!A$2:A1000, A542, RawTotals!O$2:O1000))</f>
        <v/>
      </c>
      <c r="D542" s="221" t="str">
        <f>IF(ISBLANK(A542),"",SUMIF(RawTotals!A$2:A1000, A542, RawTotals!D$2:D1000) + SUMIF(RawTotals!A$2:A1000, A542, RawTotals!M$2:M1000))</f>
        <v/>
      </c>
      <c r="E542" s="221" t="str">
        <f>IF(ISBLANK(A542),"",SUMIF(RawTotals!A$2:A1000, A542, RawTotals!C$2:C1000) + SUMIF(RawTotals!A$2:A1000, A542, RawTotals!L$2:L1000))</f>
        <v/>
      </c>
      <c r="F542" s="225" t="str">
        <f>IFERROR(__xludf.DUMMYFUNCTION("IFERROR(FILTER('Pit Scouting Responses'!G:G,'Pit Scouting Responses'!C:C=A542),"""")"),"")</f>
        <v/>
      </c>
      <c r="G542" s="226" t="str">
        <f>IFERROR(__xludf.DUMMYFUNCTION("IFERROR(FILTER('Pit Scouting Responses'!D:D,'Pit Scouting Responses'!C:C=A542),"""")"),"")</f>
        <v/>
      </c>
      <c r="H542" s="223" t="str">
        <f>RawTotals!AI542</f>
        <v/>
      </c>
    </row>
    <row r="543">
      <c r="A543" s="224" t="str">
        <f>RawTotals!A543</f>
        <v/>
      </c>
      <c r="B543" s="75" t="str">
        <f>IFERROR(__xludf.DUMMYFUNCTION("IFERROR(FILTER('Pit Scouting Responses'!J:J,'Pit Scouting Responses'!C:C=A543),"""")"),"")</f>
        <v/>
      </c>
      <c r="C543" s="85" t="str">
        <f>IF(ISBLANK(A543),"",SUMIF(RawTotals!A$2:A1000, A543, RawTotals!O$2:O1000))</f>
        <v/>
      </c>
      <c r="D543" s="221" t="str">
        <f>IF(ISBLANK(A543),"",SUMIF(RawTotals!A$2:A1000, A543, RawTotals!D$2:D1000) + SUMIF(RawTotals!A$2:A1000, A543, RawTotals!M$2:M1000))</f>
        <v/>
      </c>
      <c r="E543" s="221" t="str">
        <f>IF(ISBLANK(A543),"",SUMIF(RawTotals!A$2:A1000, A543, RawTotals!C$2:C1000) + SUMIF(RawTotals!A$2:A1000, A543, RawTotals!L$2:L1000))</f>
        <v/>
      </c>
      <c r="F543" s="225" t="str">
        <f>IFERROR(__xludf.DUMMYFUNCTION("IFERROR(FILTER('Pit Scouting Responses'!G:G,'Pit Scouting Responses'!C:C=A543),"""")"),"")</f>
        <v/>
      </c>
      <c r="G543" s="226" t="str">
        <f>IFERROR(__xludf.DUMMYFUNCTION("IFERROR(FILTER('Pit Scouting Responses'!D:D,'Pit Scouting Responses'!C:C=A543),"""")"),"")</f>
        <v/>
      </c>
      <c r="H543" s="223" t="str">
        <f>RawTotals!AI543</f>
        <v/>
      </c>
    </row>
    <row r="544">
      <c r="A544" s="227" t="str">
        <f>RawTotals!A544</f>
        <v/>
      </c>
      <c r="B544" s="228" t="str">
        <f>IFERROR(__xludf.DUMMYFUNCTION("IFERROR(FILTER('Pit Scouting Responses'!J:J,'Pit Scouting Responses'!C:C=A544),"""")"),"")</f>
        <v/>
      </c>
      <c r="C544" s="122" t="str">
        <f>IF(ISBLANK(A544),"",SUMIF(RawTotals!A$2:A1000, A544, RawTotals!O$2:O1000))</f>
        <v/>
      </c>
      <c r="D544" s="229" t="str">
        <f>IF(ISBLANK(A544),"",SUMIF(RawTotals!A$2:A1000, A544, RawTotals!D$2:D1000) + SUMIF(RawTotals!A$2:A1000, A544, RawTotals!M$2:M1000))</f>
        <v/>
      </c>
      <c r="E544" s="229" t="str">
        <f>IF(ISBLANK(A544),"",SUMIF(RawTotals!A$2:A1000, A544, RawTotals!C$2:C1000) + SUMIF(RawTotals!A$2:A1000, A544, RawTotals!L$2:L1000))</f>
        <v/>
      </c>
      <c r="F544" s="230" t="str">
        <f>IFERROR(__xludf.DUMMYFUNCTION("IFERROR(FILTER('Pit Scouting Responses'!G:G,'Pit Scouting Responses'!C:C=A544),"""")"),"")</f>
        <v/>
      </c>
      <c r="G544" s="231" t="str">
        <f>IFERROR(__xludf.DUMMYFUNCTION("IFERROR(FILTER('Pit Scouting Responses'!D:D,'Pit Scouting Responses'!C:C=A544),"""")"),"")</f>
        <v/>
      </c>
      <c r="H544" s="232" t="str">
        <f>RawTotals!AI544</f>
        <v/>
      </c>
    </row>
    <row r="545">
      <c r="B545" s="75"/>
      <c r="F545" s="194"/>
    </row>
    <row r="546">
      <c r="B546" s="75"/>
      <c r="F546" s="194"/>
    </row>
    <row r="547">
      <c r="B547" s="75"/>
      <c r="F547" s="194"/>
    </row>
    <row r="548">
      <c r="B548" s="75"/>
      <c r="F548" s="194"/>
    </row>
    <row r="549">
      <c r="B549" s="75"/>
      <c r="F549" s="194"/>
    </row>
    <row r="550">
      <c r="B550" s="75"/>
      <c r="F550" s="194"/>
    </row>
    <row r="551">
      <c r="B551" s="75"/>
      <c r="F551" s="194"/>
    </row>
    <row r="552">
      <c r="B552" s="75"/>
      <c r="F552" s="194"/>
    </row>
    <row r="553">
      <c r="B553" s="75"/>
      <c r="F553" s="194"/>
    </row>
    <row r="554">
      <c r="B554" s="75"/>
      <c r="F554" s="194"/>
    </row>
    <row r="555">
      <c r="B555" s="75"/>
      <c r="F555" s="194"/>
    </row>
    <row r="556">
      <c r="B556" s="75"/>
      <c r="F556" s="194"/>
    </row>
    <row r="557">
      <c r="B557" s="75"/>
      <c r="F557" s="194"/>
    </row>
    <row r="558">
      <c r="B558" s="75"/>
      <c r="F558" s="194"/>
    </row>
    <row r="559">
      <c r="B559" s="75"/>
      <c r="F559" s="194"/>
    </row>
    <row r="560">
      <c r="B560" s="75"/>
      <c r="F560" s="194"/>
    </row>
    <row r="561">
      <c r="B561" s="75"/>
      <c r="F561" s="194"/>
    </row>
    <row r="562">
      <c r="B562" s="75"/>
      <c r="F562" s="194"/>
    </row>
    <row r="563">
      <c r="B563" s="75"/>
      <c r="F563" s="194"/>
    </row>
    <row r="564">
      <c r="B564" s="75"/>
      <c r="F564" s="194"/>
    </row>
    <row r="565">
      <c r="B565" s="75"/>
      <c r="F565" s="194"/>
    </row>
    <row r="566">
      <c r="B566" s="75"/>
      <c r="F566" s="194"/>
    </row>
    <row r="567">
      <c r="B567" s="75"/>
      <c r="F567" s="194"/>
    </row>
    <row r="568">
      <c r="B568" s="75"/>
      <c r="F568" s="194"/>
    </row>
    <row r="569">
      <c r="B569" s="75"/>
      <c r="F569" s="194"/>
    </row>
    <row r="570">
      <c r="B570" s="75"/>
      <c r="F570" s="194"/>
    </row>
    <row r="571">
      <c r="B571" s="75"/>
      <c r="F571" s="194"/>
    </row>
    <row r="572">
      <c r="B572" s="75"/>
      <c r="F572" s="194"/>
    </row>
    <row r="573">
      <c r="B573" s="75"/>
      <c r="F573" s="194"/>
    </row>
    <row r="574">
      <c r="B574" s="75"/>
      <c r="F574" s="194"/>
    </row>
    <row r="575">
      <c r="B575" s="75"/>
      <c r="F575" s="194"/>
    </row>
    <row r="576">
      <c r="B576" s="75"/>
      <c r="F576" s="194"/>
    </row>
    <row r="577">
      <c r="B577" s="75"/>
      <c r="F577" s="194"/>
    </row>
    <row r="578">
      <c r="B578" s="75"/>
      <c r="F578" s="194"/>
    </row>
    <row r="579">
      <c r="B579" s="75"/>
      <c r="F579" s="194"/>
    </row>
    <row r="580">
      <c r="B580" s="75"/>
      <c r="F580" s="194"/>
    </row>
    <row r="581">
      <c r="B581" s="75"/>
      <c r="F581" s="194"/>
    </row>
    <row r="582">
      <c r="B582" s="75"/>
      <c r="F582" s="194"/>
    </row>
    <row r="583">
      <c r="B583" s="75"/>
      <c r="F583" s="194"/>
    </row>
    <row r="584">
      <c r="B584" s="75"/>
      <c r="F584" s="194"/>
    </row>
    <row r="585">
      <c r="B585" s="75"/>
      <c r="F585" s="194"/>
    </row>
    <row r="586">
      <c r="B586" s="75"/>
      <c r="F586" s="194"/>
    </row>
    <row r="587">
      <c r="B587" s="75"/>
      <c r="F587" s="194"/>
    </row>
    <row r="588">
      <c r="B588" s="75"/>
      <c r="F588" s="194"/>
    </row>
    <row r="589">
      <c r="B589" s="75"/>
      <c r="F589" s="194"/>
    </row>
    <row r="590">
      <c r="B590" s="75"/>
      <c r="F590" s="194"/>
    </row>
    <row r="591">
      <c r="B591" s="75"/>
      <c r="F591" s="194"/>
    </row>
    <row r="592">
      <c r="B592" s="75"/>
      <c r="F592" s="194"/>
    </row>
    <row r="593">
      <c r="B593" s="75"/>
      <c r="F593" s="194"/>
    </row>
    <row r="594">
      <c r="B594" s="75"/>
      <c r="F594" s="194"/>
    </row>
    <row r="595">
      <c r="B595" s="75"/>
      <c r="F595" s="194"/>
    </row>
    <row r="596">
      <c r="B596" s="75"/>
      <c r="F596" s="194"/>
    </row>
    <row r="597">
      <c r="B597" s="75"/>
      <c r="F597" s="194"/>
    </row>
    <row r="598">
      <c r="B598" s="75"/>
      <c r="F598" s="194"/>
    </row>
    <row r="599">
      <c r="B599" s="75"/>
      <c r="F599" s="194"/>
    </row>
    <row r="600">
      <c r="B600" s="75"/>
      <c r="F600" s="194"/>
    </row>
    <row r="601">
      <c r="B601" s="75"/>
      <c r="F601" s="194"/>
    </row>
    <row r="602">
      <c r="B602" s="75"/>
      <c r="F602" s="194"/>
    </row>
    <row r="603">
      <c r="B603" s="75"/>
      <c r="F603" s="194"/>
    </row>
    <row r="604">
      <c r="B604" s="75"/>
      <c r="F604" s="194"/>
    </row>
    <row r="605">
      <c r="B605" s="75"/>
      <c r="F605" s="194"/>
    </row>
    <row r="606">
      <c r="B606" s="75"/>
      <c r="F606" s="194"/>
    </row>
    <row r="607">
      <c r="B607" s="75"/>
      <c r="F607" s="194"/>
    </row>
    <row r="608">
      <c r="B608" s="75"/>
      <c r="F608" s="194"/>
    </row>
    <row r="609">
      <c r="B609" s="75"/>
      <c r="F609" s="194"/>
    </row>
    <row r="610">
      <c r="B610" s="75"/>
      <c r="F610" s="194"/>
    </row>
    <row r="611">
      <c r="B611" s="75"/>
      <c r="F611" s="194"/>
    </row>
    <row r="612">
      <c r="B612" s="75"/>
      <c r="F612" s="194"/>
    </row>
    <row r="613">
      <c r="B613" s="75"/>
      <c r="F613" s="194"/>
    </row>
    <row r="614">
      <c r="B614" s="75"/>
      <c r="F614" s="194"/>
    </row>
    <row r="615">
      <c r="B615" s="75"/>
      <c r="F615" s="194"/>
    </row>
    <row r="616">
      <c r="B616" s="75"/>
      <c r="F616" s="194"/>
    </row>
    <row r="617">
      <c r="B617" s="75"/>
      <c r="F617" s="194"/>
    </row>
    <row r="618">
      <c r="B618" s="75"/>
      <c r="F618" s="194"/>
    </row>
    <row r="619">
      <c r="B619" s="75"/>
      <c r="F619" s="194"/>
    </row>
    <row r="620">
      <c r="B620" s="75"/>
      <c r="F620" s="194"/>
    </row>
    <row r="621">
      <c r="B621" s="75"/>
      <c r="F621" s="194"/>
    </row>
    <row r="622">
      <c r="B622" s="75"/>
      <c r="F622" s="194"/>
    </row>
    <row r="623">
      <c r="B623" s="75"/>
      <c r="F623" s="194"/>
    </row>
    <row r="624">
      <c r="B624" s="75"/>
      <c r="F624" s="194"/>
    </row>
    <row r="625">
      <c r="B625" s="75"/>
      <c r="F625" s="194"/>
    </row>
    <row r="626">
      <c r="B626" s="75"/>
      <c r="F626" s="194"/>
    </row>
    <row r="627">
      <c r="B627" s="75"/>
      <c r="F627" s="194"/>
    </row>
    <row r="628">
      <c r="B628" s="75"/>
      <c r="F628" s="194"/>
    </row>
    <row r="629">
      <c r="B629" s="75"/>
      <c r="F629" s="194"/>
    </row>
    <row r="630">
      <c r="B630" s="75"/>
      <c r="F630" s="194"/>
    </row>
    <row r="631">
      <c r="B631" s="75"/>
      <c r="F631" s="194"/>
    </row>
    <row r="632">
      <c r="B632" s="75"/>
      <c r="F632" s="194"/>
    </row>
    <row r="633">
      <c r="B633" s="75"/>
      <c r="F633" s="194"/>
    </row>
    <row r="634">
      <c r="B634" s="75"/>
      <c r="F634" s="194"/>
    </row>
    <row r="635">
      <c r="B635" s="75"/>
      <c r="F635" s="194"/>
    </row>
    <row r="636">
      <c r="B636" s="75"/>
      <c r="F636" s="194"/>
    </row>
    <row r="637">
      <c r="B637" s="75"/>
      <c r="F637" s="194"/>
    </row>
    <row r="638">
      <c r="B638" s="75"/>
      <c r="F638" s="194"/>
    </row>
    <row r="639">
      <c r="B639" s="75"/>
      <c r="F639" s="194"/>
    </row>
    <row r="640">
      <c r="B640" s="75"/>
      <c r="F640" s="194"/>
    </row>
    <row r="641">
      <c r="B641" s="75"/>
      <c r="F641" s="194"/>
    </row>
    <row r="642">
      <c r="B642" s="75"/>
      <c r="F642" s="194"/>
    </row>
    <row r="643">
      <c r="B643" s="75"/>
      <c r="F643" s="194"/>
    </row>
    <row r="644">
      <c r="B644" s="75"/>
      <c r="F644" s="194"/>
    </row>
    <row r="645">
      <c r="B645" s="75"/>
      <c r="F645" s="194"/>
    </row>
    <row r="646">
      <c r="B646" s="75"/>
      <c r="F646" s="194"/>
    </row>
    <row r="647">
      <c r="B647" s="75"/>
      <c r="F647" s="194"/>
    </row>
    <row r="648">
      <c r="B648" s="75"/>
      <c r="F648" s="194"/>
    </row>
    <row r="649">
      <c r="B649" s="75"/>
      <c r="F649" s="194"/>
    </row>
    <row r="650">
      <c r="B650" s="75"/>
      <c r="F650" s="194"/>
    </row>
    <row r="651">
      <c r="B651" s="75"/>
      <c r="F651" s="194"/>
    </row>
    <row r="652">
      <c r="B652" s="75"/>
      <c r="F652" s="194"/>
    </row>
    <row r="653">
      <c r="B653" s="75"/>
      <c r="F653" s="194"/>
    </row>
    <row r="654">
      <c r="B654" s="75"/>
      <c r="F654" s="194"/>
    </row>
    <row r="655">
      <c r="B655" s="75"/>
      <c r="F655" s="194"/>
    </row>
    <row r="656">
      <c r="B656" s="75"/>
      <c r="F656" s="194"/>
    </row>
    <row r="657">
      <c r="B657" s="75"/>
      <c r="F657" s="194"/>
    </row>
    <row r="658">
      <c r="B658" s="75"/>
      <c r="F658" s="194"/>
    </row>
    <row r="659">
      <c r="B659" s="75"/>
      <c r="F659" s="194"/>
    </row>
    <row r="660">
      <c r="B660" s="75"/>
      <c r="F660" s="194"/>
    </row>
    <row r="661">
      <c r="B661" s="75"/>
      <c r="F661" s="194"/>
    </row>
    <row r="662">
      <c r="B662" s="75"/>
      <c r="F662" s="194"/>
    </row>
    <row r="663">
      <c r="B663" s="75"/>
      <c r="F663" s="194"/>
    </row>
    <row r="664">
      <c r="B664" s="75"/>
      <c r="F664" s="194"/>
    </row>
    <row r="665">
      <c r="B665" s="75"/>
      <c r="F665" s="194"/>
    </row>
    <row r="666">
      <c r="B666" s="75"/>
      <c r="F666" s="194"/>
    </row>
    <row r="667">
      <c r="B667" s="75"/>
      <c r="F667" s="194"/>
    </row>
    <row r="668">
      <c r="B668" s="75"/>
      <c r="F668" s="194"/>
    </row>
    <row r="669">
      <c r="B669" s="75"/>
      <c r="F669" s="194"/>
    </row>
    <row r="670">
      <c r="B670" s="75"/>
      <c r="F670" s="194"/>
    </row>
    <row r="671">
      <c r="B671" s="75"/>
      <c r="F671" s="194"/>
    </row>
    <row r="672">
      <c r="B672" s="75"/>
      <c r="F672" s="194"/>
    </row>
    <row r="673">
      <c r="B673" s="75"/>
      <c r="F673" s="194"/>
    </row>
    <row r="674">
      <c r="B674" s="75"/>
      <c r="F674" s="194"/>
    </row>
    <row r="675">
      <c r="B675" s="75"/>
      <c r="F675" s="194"/>
    </row>
    <row r="676">
      <c r="B676" s="75"/>
      <c r="F676" s="194"/>
    </row>
    <row r="677">
      <c r="B677" s="75"/>
      <c r="F677" s="194"/>
    </row>
    <row r="678">
      <c r="B678" s="75"/>
      <c r="F678" s="194"/>
    </row>
    <row r="679">
      <c r="B679" s="75"/>
      <c r="F679" s="194"/>
    </row>
    <row r="680">
      <c r="B680" s="75"/>
      <c r="F680" s="194"/>
    </row>
    <row r="681">
      <c r="B681" s="75"/>
      <c r="F681" s="194"/>
    </row>
    <row r="682">
      <c r="B682" s="75"/>
      <c r="F682" s="194"/>
    </row>
    <row r="683">
      <c r="B683" s="75"/>
      <c r="F683" s="194"/>
    </row>
    <row r="684">
      <c r="B684" s="75"/>
      <c r="F684" s="194"/>
    </row>
    <row r="685">
      <c r="B685" s="75"/>
      <c r="F685" s="194"/>
    </row>
    <row r="686">
      <c r="B686" s="75"/>
      <c r="F686" s="194"/>
    </row>
    <row r="687">
      <c r="B687" s="75"/>
      <c r="F687" s="194"/>
    </row>
    <row r="688">
      <c r="B688" s="75"/>
      <c r="F688" s="194"/>
    </row>
    <row r="689">
      <c r="B689" s="75"/>
      <c r="F689" s="194"/>
    </row>
    <row r="690">
      <c r="B690" s="75"/>
      <c r="F690" s="194"/>
    </row>
    <row r="691">
      <c r="B691" s="75"/>
      <c r="F691" s="194"/>
    </row>
    <row r="692">
      <c r="B692" s="75"/>
      <c r="F692" s="194"/>
    </row>
    <row r="693">
      <c r="B693" s="75"/>
      <c r="F693" s="194"/>
    </row>
    <row r="694">
      <c r="B694" s="75"/>
      <c r="F694" s="194"/>
    </row>
    <row r="695">
      <c r="B695" s="75"/>
      <c r="F695" s="194"/>
    </row>
    <row r="696">
      <c r="B696" s="75"/>
      <c r="F696" s="194"/>
    </row>
    <row r="697">
      <c r="B697" s="75"/>
      <c r="F697" s="194"/>
    </row>
    <row r="698">
      <c r="B698" s="75"/>
      <c r="F698" s="194"/>
    </row>
    <row r="699">
      <c r="B699" s="75"/>
      <c r="F699" s="194"/>
    </row>
    <row r="700">
      <c r="B700" s="75"/>
      <c r="F700" s="194"/>
    </row>
    <row r="701">
      <c r="B701" s="75"/>
      <c r="F701" s="194"/>
    </row>
    <row r="702">
      <c r="B702" s="75"/>
      <c r="F702" s="194"/>
    </row>
    <row r="703">
      <c r="B703" s="75"/>
      <c r="F703" s="194"/>
    </row>
    <row r="704">
      <c r="B704" s="75"/>
      <c r="F704" s="194"/>
    </row>
    <row r="705">
      <c r="B705" s="75"/>
      <c r="F705" s="194"/>
    </row>
    <row r="706">
      <c r="B706" s="75"/>
      <c r="F706" s="194"/>
    </row>
    <row r="707">
      <c r="B707" s="75"/>
      <c r="F707" s="194"/>
    </row>
    <row r="708">
      <c r="B708" s="75"/>
      <c r="F708" s="194"/>
    </row>
    <row r="709">
      <c r="B709" s="75"/>
      <c r="F709" s="194"/>
    </row>
    <row r="710">
      <c r="B710" s="75"/>
      <c r="F710" s="194"/>
    </row>
    <row r="711">
      <c r="B711" s="75"/>
      <c r="F711" s="194"/>
    </row>
    <row r="712">
      <c r="B712" s="75"/>
      <c r="F712" s="194"/>
    </row>
    <row r="713">
      <c r="B713" s="75"/>
      <c r="F713" s="194"/>
    </row>
    <row r="714">
      <c r="B714" s="75"/>
      <c r="F714" s="194"/>
    </row>
    <row r="715">
      <c r="B715" s="75"/>
      <c r="F715" s="194"/>
    </row>
    <row r="716">
      <c r="B716" s="75"/>
      <c r="F716" s="194"/>
    </row>
    <row r="717">
      <c r="B717" s="75"/>
      <c r="F717" s="194"/>
    </row>
    <row r="718">
      <c r="B718" s="75"/>
      <c r="F718" s="194"/>
    </row>
    <row r="719">
      <c r="B719" s="75"/>
      <c r="F719" s="194"/>
    </row>
    <row r="720">
      <c r="B720" s="75"/>
      <c r="F720" s="194"/>
    </row>
    <row r="721">
      <c r="B721" s="75"/>
      <c r="F721" s="194"/>
    </row>
    <row r="722">
      <c r="B722" s="75"/>
      <c r="F722" s="194"/>
    </row>
    <row r="723">
      <c r="B723" s="75"/>
      <c r="F723" s="194"/>
    </row>
    <row r="724">
      <c r="B724" s="75"/>
      <c r="F724" s="194"/>
    </row>
    <row r="725">
      <c r="B725" s="75"/>
      <c r="F725" s="194"/>
    </row>
    <row r="726">
      <c r="B726" s="75"/>
      <c r="F726" s="194"/>
    </row>
    <row r="727">
      <c r="B727" s="75"/>
      <c r="F727" s="194"/>
    </row>
    <row r="728">
      <c r="B728" s="75"/>
      <c r="F728" s="194"/>
    </row>
    <row r="729">
      <c r="B729" s="75"/>
      <c r="F729" s="194"/>
    </row>
    <row r="730">
      <c r="B730" s="75"/>
      <c r="F730" s="194"/>
    </row>
    <row r="731">
      <c r="B731" s="75"/>
      <c r="F731" s="194"/>
    </row>
    <row r="732">
      <c r="B732" s="75"/>
      <c r="F732" s="194"/>
    </row>
    <row r="733">
      <c r="B733" s="75"/>
      <c r="F733" s="194"/>
    </row>
    <row r="734">
      <c r="B734" s="75"/>
      <c r="F734" s="194"/>
    </row>
    <row r="735">
      <c r="B735" s="75"/>
      <c r="F735" s="194"/>
    </row>
    <row r="736">
      <c r="B736" s="75"/>
      <c r="F736" s="194"/>
    </row>
    <row r="737">
      <c r="B737" s="75"/>
      <c r="F737" s="194"/>
    </row>
    <row r="738">
      <c r="B738" s="75"/>
      <c r="F738" s="194"/>
    </row>
    <row r="739">
      <c r="B739" s="75"/>
      <c r="F739" s="194"/>
    </row>
    <row r="740">
      <c r="B740" s="75"/>
      <c r="F740" s="194"/>
    </row>
    <row r="741">
      <c r="B741" s="75"/>
      <c r="F741" s="194"/>
    </row>
    <row r="742">
      <c r="B742" s="75"/>
      <c r="F742" s="194"/>
    </row>
    <row r="743">
      <c r="B743" s="75"/>
      <c r="F743" s="194"/>
    </row>
    <row r="744">
      <c r="B744" s="75"/>
      <c r="F744" s="194"/>
    </row>
    <row r="745">
      <c r="B745" s="75"/>
      <c r="F745" s="194"/>
    </row>
    <row r="746">
      <c r="B746" s="75"/>
      <c r="F746" s="194"/>
    </row>
    <row r="747">
      <c r="B747" s="75"/>
      <c r="F747" s="194"/>
    </row>
    <row r="748">
      <c r="B748" s="75"/>
      <c r="F748" s="194"/>
    </row>
    <row r="749">
      <c r="B749" s="75"/>
      <c r="F749" s="194"/>
    </row>
    <row r="750">
      <c r="B750" s="75"/>
      <c r="F750" s="194"/>
    </row>
    <row r="751">
      <c r="B751" s="75"/>
      <c r="F751" s="194"/>
    </row>
    <row r="752">
      <c r="B752" s="75"/>
      <c r="F752" s="194"/>
    </row>
    <row r="753">
      <c r="B753" s="75"/>
      <c r="F753" s="194"/>
    </row>
    <row r="754">
      <c r="B754" s="75"/>
      <c r="F754" s="194"/>
    </row>
    <row r="755">
      <c r="B755" s="75"/>
      <c r="F755" s="194"/>
    </row>
    <row r="756">
      <c r="B756" s="75"/>
      <c r="F756" s="194"/>
    </row>
    <row r="757">
      <c r="B757" s="75"/>
      <c r="F757" s="194"/>
    </row>
    <row r="758">
      <c r="B758" s="75"/>
      <c r="F758" s="194"/>
    </row>
    <row r="759">
      <c r="B759" s="75"/>
      <c r="F759" s="194"/>
    </row>
    <row r="760">
      <c r="B760" s="75"/>
      <c r="F760" s="194"/>
    </row>
    <row r="761">
      <c r="B761" s="75"/>
      <c r="F761" s="194"/>
    </row>
    <row r="762">
      <c r="B762" s="75"/>
      <c r="F762" s="194"/>
    </row>
    <row r="763">
      <c r="B763" s="75"/>
      <c r="F763" s="194"/>
    </row>
    <row r="764">
      <c r="B764" s="75"/>
      <c r="F764" s="194"/>
    </row>
    <row r="765">
      <c r="B765" s="75"/>
      <c r="F765" s="194"/>
    </row>
    <row r="766">
      <c r="B766" s="75"/>
      <c r="F766" s="194"/>
    </row>
    <row r="767">
      <c r="B767" s="75"/>
      <c r="F767" s="194"/>
    </row>
    <row r="768">
      <c r="B768" s="75"/>
      <c r="F768" s="194"/>
    </row>
    <row r="769">
      <c r="B769" s="75"/>
      <c r="F769" s="194"/>
    </row>
    <row r="770">
      <c r="B770" s="75"/>
      <c r="F770" s="194"/>
    </row>
    <row r="771">
      <c r="B771" s="75"/>
      <c r="F771" s="194"/>
    </row>
    <row r="772">
      <c r="B772" s="75"/>
      <c r="F772" s="194"/>
    </row>
    <row r="773">
      <c r="B773" s="75"/>
      <c r="F773" s="194"/>
    </row>
    <row r="774">
      <c r="B774" s="75"/>
      <c r="F774" s="194"/>
    </row>
    <row r="775">
      <c r="B775" s="75"/>
      <c r="F775" s="194"/>
    </row>
    <row r="776">
      <c r="B776" s="75"/>
      <c r="F776" s="194"/>
    </row>
    <row r="777">
      <c r="B777" s="75"/>
      <c r="F777" s="194"/>
    </row>
    <row r="778">
      <c r="B778" s="75"/>
      <c r="F778" s="194"/>
    </row>
    <row r="779">
      <c r="B779" s="75"/>
      <c r="F779" s="194"/>
    </row>
    <row r="780">
      <c r="B780" s="75"/>
      <c r="F780" s="194"/>
    </row>
    <row r="781">
      <c r="B781" s="75"/>
      <c r="F781" s="194"/>
    </row>
    <row r="782">
      <c r="B782" s="75"/>
      <c r="F782" s="194"/>
    </row>
    <row r="783">
      <c r="B783" s="75"/>
      <c r="F783" s="194"/>
    </row>
    <row r="784">
      <c r="B784" s="75"/>
      <c r="F784" s="194"/>
    </row>
    <row r="785">
      <c r="B785" s="75"/>
      <c r="F785" s="194"/>
    </row>
    <row r="786">
      <c r="B786" s="75"/>
      <c r="F786" s="194"/>
    </row>
    <row r="787">
      <c r="B787" s="75"/>
      <c r="F787" s="194"/>
    </row>
    <row r="788">
      <c r="B788" s="75"/>
      <c r="F788" s="194"/>
    </row>
    <row r="789">
      <c r="B789" s="75"/>
      <c r="F789" s="194"/>
    </row>
    <row r="790">
      <c r="B790" s="75"/>
      <c r="F790" s="194"/>
    </row>
    <row r="791">
      <c r="B791" s="75"/>
      <c r="F791" s="194"/>
    </row>
    <row r="792">
      <c r="B792" s="75"/>
      <c r="F792" s="194"/>
    </row>
    <row r="793">
      <c r="B793" s="75"/>
      <c r="F793" s="194"/>
    </row>
    <row r="794">
      <c r="B794" s="75"/>
      <c r="F794" s="194"/>
    </row>
    <row r="795">
      <c r="B795" s="75"/>
      <c r="F795" s="194"/>
    </row>
    <row r="796">
      <c r="B796" s="75"/>
      <c r="F796" s="194"/>
    </row>
    <row r="797">
      <c r="B797" s="75"/>
      <c r="F797" s="194"/>
    </row>
    <row r="798">
      <c r="B798" s="75"/>
      <c r="F798" s="194"/>
    </row>
    <row r="799">
      <c r="B799" s="75"/>
      <c r="F799" s="194"/>
    </row>
    <row r="800">
      <c r="B800" s="75"/>
      <c r="F800" s="194"/>
    </row>
    <row r="801">
      <c r="B801" s="75"/>
      <c r="F801" s="194"/>
    </row>
    <row r="802">
      <c r="B802" s="75"/>
      <c r="F802" s="194"/>
    </row>
    <row r="803">
      <c r="B803" s="75"/>
      <c r="F803" s="194"/>
    </row>
    <row r="804">
      <c r="B804" s="75"/>
      <c r="F804" s="194"/>
    </row>
    <row r="805">
      <c r="B805" s="75"/>
      <c r="F805" s="194"/>
    </row>
    <row r="806">
      <c r="B806" s="75"/>
      <c r="F806" s="194"/>
    </row>
    <row r="807">
      <c r="B807" s="75"/>
      <c r="F807" s="194"/>
    </row>
    <row r="808">
      <c r="B808" s="75"/>
      <c r="F808" s="194"/>
    </row>
    <row r="809">
      <c r="B809" s="75"/>
      <c r="F809" s="194"/>
    </row>
    <row r="810">
      <c r="B810" s="75"/>
      <c r="F810" s="194"/>
    </row>
    <row r="811">
      <c r="B811" s="75"/>
      <c r="F811" s="194"/>
    </row>
    <row r="812">
      <c r="B812" s="75"/>
      <c r="F812" s="194"/>
    </row>
    <row r="813">
      <c r="B813" s="75"/>
      <c r="F813" s="194"/>
    </row>
    <row r="814">
      <c r="B814" s="75"/>
      <c r="F814" s="194"/>
    </row>
    <row r="815">
      <c r="B815" s="75"/>
      <c r="F815" s="194"/>
    </row>
    <row r="816">
      <c r="B816" s="75"/>
      <c r="F816" s="194"/>
    </row>
    <row r="817">
      <c r="B817" s="75"/>
      <c r="F817" s="194"/>
    </row>
    <row r="818">
      <c r="B818" s="75"/>
      <c r="F818" s="194"/>
    </row>
    <row r="819">
      <c r="B819" s="75"/>
      <c r="F819" s="194"/>
    </row>
    <row r="820">
      <c r="B820" s="75"/>
      <c r="F820" s="194"/>
    </row>
    <row r="821">
      <c r="B821" s="75"/>
      <c r="F821" s="194"/>
    </row>
    <row r="822">
      <c r="B822" s="75"/>
      <c r="F822" s="194"/>
    </row>
    <row r="823">
      <c r="B823" s="75"/>
      <c r="F823" s="194"/>
    </row>
    <row r="824">
      <c r="B824" s="75"/>
      <c r="F824" s="194"/>
    </row>
    <row r="825">
      <c r="B825" s="75"/>
      <c r="F825" s="194"/>
    </row>
    <row r="826">
      <c r="B826" s="75"/>
      <c r="F826" s="194"/>
    </row>
    <row r="827">
      <c r="B827" s="75"/>
      <c r="F827" s="194"/>
    </row>
    <row r="828">
      <c r="B828" s="75"/>
      <c r="F828" s="194"/>
    </row>
    <row r="829">
      <c r="B829" s="75"/>
      <c r="F829" s="194"/>
    </row>
    <row r="830">
      <c r="B830" s="75"/>
      <c r="F830" s="194"/>
    </row>
    <row r="831">
      <c r="B831" s="75"/>
      <c r="F831" s="194"/>
    </row>
    <row r="832">
      <c r="B832" s="75"/>
      <c r="F832" s="194"/>
    </row>
    <row r="833">
      <c r="B833" s="75"/>
      <c r="F833" s="194"/>
    </row>
    <row r="834">
      <c r="B834" s="75"/>
      <c r="F834" s="194"/>
    </row>
    <row r="835">
      <c r="B835" s="75"/>
      <c r="F835" s="194"/>
    </row>
    <row r="836">
      <c r="B836" s="75"/>
      <c r="F836" s="194"/>
    </row>
    <row r="837">
      <c r="B837" s="75"/>
      <c r="F837" s="194"/>
    </row>
    <row r="838">
      <c r="B838" s="75"/>
      <c r="F838" s="194"/>
    </row>
    <row r="839">
      <c r="B839" s="75"/>
      <c r="F839" s="194"/>
    </row>
    <row r="840">
      <c r="B840" s="75"/>
      <c r="F840" s="194"/>
    </row>
    <row r="841">
      <c r="B841" s="75"/>
      <c r="F841" s="194"/>
    </row>
    <row r="842">
      <c r="B842" s="75"/>
      <c r="F842" s="194"/>
    </row>
    <row r="843">
      <c r="B843" s="75"/>
      <c r="F843" s="194"/>
    </row>
    <row r="844">
      <c r="B844" s="75"/>
      <c r="F844" s="194"/>
    </row>
    <row r="845">
      <c r="B845" s="75"/>
      <c r="F845" s="194"/>
    </row>
    <row r="846">
      <c r="B846" s="75"/>
      <c r="F846" s="194"/>
    </row>
    <row r="847">
      <c r="B847" s="75"/>
      <c r="F847" s="194"/>
    </row>
    <row r="848">
      <c r="B848" s="75"/>
      <c r="F848" s="194"/>
    </row>
    <row r="849">
      <c r="B849" s="75"/>
      <c r="F849" s="194"/>
    </row>
    <row r="850">
      <c r="B850" s="75"/>
      <c r="F850" s="194"/>
    </row>
    <row r="851">
      <c r="B851" s="75"/>
      <c r="F851" s="194"/>
    </row>
    <row r="852">
      <c r="B852" s="75"/>
      <c r="F852" s="194"/>
    </row>
    <row r="853">
      <c r="B853" s="75"/>
      <c r="F853" s="194"/>
    </row>
    <row r="854">
      <c r="B854" s="75"/>
      <c r="F854" s="194"/>
    </row>
    <row r="855">
      <c r="B855" s="75"/>
      <c r="F855" s="194"/>
    </row>
    <row r="856">
      <c r="B856" s="75"/>
      <c r="F856" s="194"/>
    </row>
    <row r="857">
      <c r="B857" s="75"/>
      <c r="F857" s="194"/>
    </row>
    <row r="858">
      <c r="B858" s="75"/>
      <c r="F858" s="194"/>
    </row>
    <row r="859">
      <c r="B859" s="75"/>
      <c r="F859" s="194"/>
    </row>
    <row r="860">
      <c r="B860" s="75"/>
      <c r="F860" s="194"/>
    </row>
    <row r="861">
      <c r="B861" s="75"/>
      <c r="F861" s="194"/>
    </row>
    <row r="862">
      <c r="B862" s="75"/>
      <c r="F862" s="194"/>
    </row>
    <row r="863">
      <c r="B863" s="75"/>
      <c r="F863" s="194"/>
    </row>
    <row r="864">
      <c r="B864" s="75"/>
      <c r="F864" s="194"/>
    </row>
    <row r="865">
      <c r="B865" s="75"/>
      <c r="F865" s="194"/>
    </row>
    <row r="866">
      <c r="B866" s="75"/>
      <c r="F866" s="194"/>
    </row>
    <row r="867">
      <c r="B867" s="75"/>
      <c r="F867" s="194"/>
    </row>
    <row r="868">
      <c r="B868" s="75"/>
      <c r="F868" s="194"/>
    </row>
    <row r="869">
      <c r="B869" s="75"/>
      <c r="F869" s="194"/>
    </row>
    <row r="870">
      <c r="B870" s="75"/>
      <c r="F870" s="194"/>
    </row>
    <row r="871">
      <c r="B871" s="75"/>
      <c r="F871" s="194"/>
    </row>
    <row r="872">
      <c r="B872" s="75"/>
      <c r="F872" s="194"/>
    </row>
    <row r="873">
      <c r="B873" s="75"/>
      <c r="F873" s="194"/>
    </row>
    <row r="874">
      <c r="B874" s="75"/>
      <c r="F874" s="194"/>
    </row>
    <row r="875">
      <c r="B875" s="75"/>
      <c r="F875" s="194"/>
    </row>
    <row r="876">
      <c r="B876" s="75"/>
      <c r="F876" s="194"/>
    </row>
    <row r="877">
      <c r="B877" s="75"/>
      <c r="F877" s="194"/>
    </row>
    <row r="878">
      <c r="B878" s="75"/>
      <c r="F878" s="194"/>
    </row>
    <row r="879">
      <c r="B879" s="75"/>
      <c r="F879" s="194"/>
    </row>
    <row r="880">
      <c r="B880" s="75"/>
      <c r="F880" s="194"/>
    </row>
    <row r="881">
      <c r="B881" s="75"/>
      <c r="F881" s="194"/>
    </row>
    <row r="882">
      <c r="B882" s="75"/>
      <c r="F882" s="194"/>
    </row>
    <row r="883">
      <c r="B883" s="75"/>
      <c r="F883" s="194"/>
    </row>
    <row r="884">
      <c r="B884" s="75"/>
      <c r="F884" s="194"/>
    </row>
    <row r="885">
      <c r="B885" s="75"/>
      <c r="F885" s="194"/>
    </row>
    <row r="886">
      <c r="B886" s="75"/>
      <c r="F886" s="194"/>
    </row>
    <row r="887">
      <c r="B887" s="75"/>
      <c r="F887" s="194"/>
    </row>
    <row r="888">
      <c r="B888" s="75"/>
      <c r="F888" s="194"/>
    </row>
    <row r="889">
      <c r="B889" s="75"/>
      <c r="F889" s="194"/>
    </row>
    <row r="890">
      <c r="B890" s="75"/>
      <c r="F890" s="194"/>
    </row>
    <row r="891">
      <c r="B891" s="75"/>
      <c r="F891" s="194"/>
    </row>
    <row r="892">
      <c r="B892" s="75"/>
      <c r="F892" s="194"/>
    </row>
    <row r="893">
      <c r="B893" s="75"/>
      <c r="F893" s="194"/>
    </row>
    <row r="894">
      <c r="B894" s="75"/>
      <c r="F894" s="194"/>
    </row>
    <row r="895">
      <c r="B895" s="75"/>
      <c r="F895" s="194"/>
    </row>
    <row r="896">
      <c r="B896" s="75"/>
      <c r="F896" s="194"/>
    </row>
    <row r="897">
      <c r="B897" s="75"/>
      <c r="F897" s="194"/>
    </row>
    <row r="898">
      <c r="B898" s="75"/>
      <c r="F898" s="194"/>
    </row>
    <row r="899">
      <c r="B899" s="75"/>
      <c r="F899" s="194"/>
    </row>
    <row r="900">
      <c r="B900" s="75"/>
      <c r="F900" s="194"/>
    </row>
    <row r="901">
      <c r="B901" s="75"/>
      <c r="F901" s="194"/>
    </row>
    <row r="902">
      <c r="B902" s="75"/>
      <c r="F902" s="194"/>
    </row>
    <row r="903">
      <c r="B903" s="75"/>
      <c r="F903" s="194"/>
    </row>
    <row r="904">
      <c r="B904" s="75"/>
      <c r="F904" s="194"/>
    </row>
    <row r="905">
      <c r="B905" s="75"/>
      <c r="F905" s="194"/>
    </row>
    <row r="906">
      <c r="B906" s="75"/>
      <c r="F906" s="194"/>
    </row>
    <row r="907">
      <c r="B907" s="75"/>
      <c r="F907" s="194"/>
    </row>
    <row r="908">
      <c r="B908" s="75"/>
      <c r="F908" s="194"/>
    </row>
    <row r="909">
      <c r="B909" s="75"/>
      <c r="F909" s="194"/>
    </row>
    <row r="910">
      <c r="B910" s="75"/>
      <c r="F910" s="194"/>
    </row>
    <row r="911">
      <c r="B911" s="75"/>
      <c r="F911" s="194"/>
    </row>
    <row r="912">
      <c r="B912" s="75"/>
      <c r="F912" s="194"/>
    </row>
    <row r="913">
      <c r="B913" s="75"/>
      <c r="F913" s="194"/>
    </row>
    <row r="914">
      <c r="B914" s="75"/>
      <c r="F914" s="194"/>
    </row>
    <row r="915">
      <c r="B915" s="75"/>
      <c r="F915" s="194"/>
    </row>
    <row r="916">
      <c r="B916" s="75"/>
      <c r="F916" s="194"/>
    </row>
    <row r="917">
      <c r="B917" s="75"/>
      <c r="F917" s="194"/>
    </row>
    <row r="918">
      <c r="B918" s="75"/>
      <c r="F918" s="194"/>
    </row>
    <row r="919">
      <c r="B919" s="75"/>
      <c r="F919" s="194"/>
    </row>
    <row r="920">
      <c r="B920" s="75"/>
      <c r="F920" s="194"/>
    </row>
    <row r="921">
      <c r="B921" s="75"/>
      <c r="F921" s="194"/>
    </row>
    <row r="922">
      <c r="B922" s="75"/>
      <c r="F922" s="194"/>
    </row>
    <row r="923">
      <c r="B923" s="75"/>
      <c r="F923" s="194"/>
    </row>
    <row r="924">
      <c r="B924" s="75"/>
      <c r="F924" s="194"/>
    </row>
    <row r="925">
      <c r="B925" s="75"/>
      <c r="F925" s="194"/>
    </row>
    <row r="926">
      <c r="B926" s="75"/>
      <c r="F926" s="194"/>
    </row>
    <row r="927">
      <c r="B927" s="75"/>
      <c r="F927" s="194"/>
    </row>
    <row r="928">
      <c r="B928" s="75"/>
      <c r="F928" s="194"/>
    </row>
    <row r="929">
      <c r="B929" s="75"/>
      <c r="F929" s="194"/>
    </row>
    <row r="930">
      <c r="B930" s="75"/>
      <c r="F930" s="194"/>
    </row>
    <row r="931">
      <c r="B931" s="75"/>
      <c r="F931" s="194"/>
    </row>
    <row r="932">
      <c r="B932" s="75"/>
      <c r="F932" s="194"/>
    </row>
    <row r="933">
      <c r="B933" s="75"/>
      <c r="F933" s="194"/>
    </row>
    <row r="934">
      <c r="B934" s="75"/>
      <c r="F934" s="194"/>
    </row>
    <row r="935">
      <c r="B935" s="75"/>
      <c r="F935" s="194"/>
    </row>
    <row r="936">
      <c r="B936" s="75"/>
      <c r="F936" s="194"/>
    </row>
    <row r="937">
      <c r="B937" s="75"/>
      <c r="F937" s="194"/>
    </row>
    <row r="938">
      <c r="B938" s="75"/>
      <c r="F938" s="194"/>
    </row>
    <row r="939">
      <c r="B939" s="75"/>
      <c r="F939" s="194"/>
    </row>
    <row r="940">
      <c r="B940" s="75"/>
      <c r="F940" s="194"/>
    </row>
    <row r="941">
      <c r="B941" s="75"/>
      <c r="F941" s="194"/>
    </row>
    <row r="942">
      <c r="B942" s="75"/>
      <c r="F942" s="194"/>
    </row>
    <row r="943">
      <c r="B943" s="75"/>
      <c r="F943" s="194"/>
    </row>
    <row r="944">
      <c r="B944" s="75"/>
      <c r="F944" s="194"/>
    </row>
    <row r="945">
      <c r="B945" s="75"/>
      <c r="F945" s="194"/>
    </row>
    <row r="946">
      <c r="B946" s="75"/>
      <c r="F946" s="194"/>
    </row>
    <row r="947">
      <c r="B947" s="75"/>
      <c r="F947" s="194"/>
    </row>
    <row r="948">
      <c r="B948" s="75"/>
      <c r="F948" s="194"/>
    </row>
    <row r="949">
      <c r="B949" s="75"/>
      <c r="F949" s="194"/>
    </row>
    <row r="950">
      <c r="B950" s="75"/>
      <c r="F950" s="194"/>
    </row>
    <row r="951">
      <c r="B951" s="75"/>
      <c r="F951" s="194"/>
    </row>
    <row r="952">
      <c r="B952" s="75"/>
      <c r="F952" s="194"/>
    </row>
    <row r="953">
      <c r="B953" s="75"/>
      <c r="F953" s="194"/>
    </row>
    <row r="954">
      <c r="B954" s="75"/>
      <c r="F954" s="194"/>
    </row>
    <row r="955">
      <c r="B955" s="75"/>
      <c r="F955" s="194"/>
    </row>
    <row r="956">
      <c r="B956" s="75"/>
      <c r="F956" s="194"/>
    </row>
    <row r="957">
      <c r="B957" s="75"/>
      <c r="F957" s="194"/>
    </row>
    <row r="958">
      <c r="B958" s="75"/>
      <c r="F958" s="194"/>
    </row>
    <row r="959">
      <c r="B959" s="75"/>
      <c r="F959" s="194"/>
    </row>
    <row r="960">
      <c r="B960" s="75"/>
      <c r="F960" s="194"/>
    </row>
    <row r="961">
      <c r="B961" s="75"/>
      <c r="F961" s="194"/>
    </row>
    <row r="962">
      <c r="B962" s="75"/>
      <c r="F962" s="194"/>
    </row>
    <row r="963">
      <c r="B963" s="75"/>
      <c r="F963" s="194"/>
    </row>
    <row r="964">
      <c r="B964" s="75"/>
      <c r="F964" s="194"/>
    </row>
    <row r="965">
      <c r="B965" s="75"/>
      <c r="F965" s="194"/>
    </row>
    <row r="966">
      <c r="B966" s="75"/>
      <c r="F966" s="194"/>
    </row>
    <row r="967">
      <c r="B967" s="75"/>
      <c r="F967" s="194"/>
    </row>
    <row r="968">
      <c r="B968" s="75"/>
      <c r="F968" s="194"/>
    </row>
    <row r="969">
      <c r="B969" s="75"/>
      <c r="F969" s="194"/>
    </row>
    <row r="970">
      <c r="B970" s="75"/>
      <c r="F970" s="194"/>
    </row>
    <row r="971">
      <c r="B971" s="75"/>
      <c r="F971" s="194"/>
    </row>
    <row r="972">
      <c r="B972" s="75"/>
      <c r="F972" s="194"/>
    </row>
    <row r="973">
      <c r="B973" s="75"/>
      <c r="F973" s="194"/>
    </row>
    <row r="974">
      <c r="B974" s="75"/>
      <c r="F974" s="194"/>
    </row>
    <row r="975">
      <c r="B975" s="75"/>
      <c r="F975" s="194"/>
    </row>
    <row r="976">
      <c r="B976" s="75"/>
      <c r="F976" s="194"/>
    </row>
    <row r="977">
      <c r="B977" s="75"/>
      <c r="F977" s="194"/>
    </row>
    <row r="978">
      <c r="B978" s="75"/>
      <c r="F978" s="194"/>
    </row>
    <row r="979">
      <c r="B979" s="75"/>
      <c r="F979" s="194"/>
    </row>
    <row r="980">
      <c r="B980" s="75"/>
      <c r="F980" s="194"/>
    </row>
    <row r="981">
      <c r="B981" s="75"/>
      <c r="F981" s="194"/>
    </row>
    <row r="982">
      <c r="B982" s="75"/>
      <c r="F982" s="194"/>
    </row>
    <row r="983">
      <c r="B983" s="75"/>
      <c r="F983" s="194"/>
    </row>
    <row r="984">
      <c r="B984" s="75"/>
      <c r="F984" s="194"/>
    </row>
    <row r="985">
      <c r="B985" s="75"/>
      <c r="F985" s="194"/>
    </row>
    <row r="986">
      <c r="B986" s="75"/>
      <c r="F986" s="194"/>
    </row>
    <row r="987">
      <c r="B987" s="75"/>
      <c r="F987" s="194"/>
    </row>
    <row r="988">
      <c r="B988" s="75"/>
      <c r="F988" s="194"/>
    </row>
    <row r="989">
      <c r="B989" s="75"/>
      <c r="F989" s="194"/>
    </row>
    <row r="990">
      <c r="B990" s="75"/>
      <c r="F990" s="194"/>
    </row>
    <row r="991">
      <c r="B991" s="75"/>
      <c r="F991" s="194"/>
    </row>
    <row r="992">
      <c r="B992" s="75"/>
      <c r="F992" s="194"/>
    </row>
    <row r="993">
      <c r="B993" s="75"/>
      <c r="F993" s="194"/>
    </row>
    <row r="994">
      <c r="B994" s="75"/>
      <c r="F994" s="194"/>
    </row>
    <row r="995">
      <c r="B995" s="75"/>
      <c r="F995" s="194"/>
    </row>
    <row r="996">
      <c r="B996" s="75"/>
      <c r="F996" s="194"/>
    </row>
    <row r="997">
      <c r="B997" s="75"/>
      <c r="F997" s="194"/>
    </row>
    <row r="998">
      <c r="B998" s="75"/>
      <c r="F998" s="194"/>
    </row>
    <row r="999">
      <c r="B999" s="75"/>
      <c r="F999" s="194"/>
    </row>
    <row r="1000">
      <c r="B1000" s="75"/>
      <c r="F1000" s="19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8.88"/>
    <col customWidth="1" min="3" max="3" width="23.13"/>
    <col customWidth="1" min="4" max="4" width="33.38"/>
    <col customWidth="1" min="5" max="5" width="30.13"/>
    <col customWidth="1" min="6" max="11" width="18.88"/>
  </cols>
  <sheetData>
    <row r="1">
      <c r="A1" s="15" t="s">
        <v>2</v>
      </c>
      <c r="B1" s="15" t="s">
        <v>624</v>
      </c>
      <c r="C1" s="15" t="s">
        <v>629</v>
      </c>
      <c r="D1" s="15" t="s">
        <v>630</v>
      </c>
      <c r="E1" s="15" t="s">
        <v>631</v>
      </c>
      <c r="F1" s="18" t="s">
        <v>559</v>
      </c>
    </row>
    <row r="2">
      <c r="A2" s="233">
        <v>44758.301729687504</v>
      </c>
      <c r="B2" s="18">
        <v>5712.0</v>
      </c>
      <c r="C2" s="18" t="s">
        <v>632</v>
      </c>
      <c r="D2" s="18" t="s">
        <v>633</v>
      </c>
      <c r="E2" s="18" t="s">
        <v>634</v>
      </c>
      <c r="F2" s="18" t="s">
        <v>635</v>
      </c>
    </row>
    <row r="3">
      <c r="A3" s="233">
        <v>44758.3027858912</v>
      </c>
      <c r="B3" s="18">
        <v>2539.0</v>
      </c>
      <c r="C3" s="18" t="s">
        <v>632</v>
      </c>
      <c r="D3" s="18" t="s">
        <v>636</v>
      </c>
      <c r="E3" s="18" t="s">
        <v>637</v>
      </c>
      <c r="F3" s="18" t="s">
        <v>635</v>
      </c>
    </row>
    <row r="4">
      <c r="A4" s="233">
        <v>44758.30355805556</v>
      </c>
      <c r="B4" s="18">
        <v>2614.0</v>
      </c>
      <c r="C4" s="18" t="s">
        <v>638</v>
      </c>
      <c r="D4" s="18" t="s">
        <v>632</v>
      </c>
      <c r="E4" s="18" t="s">
        <v>639</v>
      </c>
      <c r="F4" s="18" t="s">
        <v>635</v>
      </c>
    </row>
    <row r="5">
      <c r="A5" s="233">
        <v>44758.30384003472</v>
      </c>
      <c r="B5" s="18">
        <v>587.0</v>
      </c>
      <c r="C5" s="18" t="s">
        <v>632</v>
      </c>
      <c r="D5" s="18" t="s">
        <v>640</v>
      </c>
      <c r="F5" s="18" t="s">
        <v>635</v>
      </c>
    </row>
    <row r="6">
      <c r="A6" s="233">
        <v>44758.304202141204</v>
      </c>
      <c r="B6" s="18">
        <v>3940.0</v>
      </c>
      <c r="C6" s="18" t="s">
        <v>632</v>
      </c>
      <c r="D6" s="18" t="s">
        <v>641</v>
      </c>
      <c r="E6" s="18" t="s">
        <v>642</v>
      </c>
      <c r="F6" s="18" t="s">
        <v>643</v>
      </c>
    </row>
    <row r="7">
      <c r="A7" s="233">
        <v>44758.30436605324</v>
      </c>
      <c r="B7" s="18">
        <v>3175.0</v>
      </c>
      <c r="C7" s="18" t="s">
        <v>632</v>
      </c>
      <c r="D7" s="18" t="s">
        <v>644</v>
      </c>
      <c r="E7" s="18" t="s">
        <v>637</v>
      </c>
      <c r="F7" s="18" t="s">
        <v>635</v>
      </c>
    </row>
    <row r="8">
      <c r="A8" s="233">
        <v>44758.304783784726</v>
      </c>
      <c r="B8" s="18">
        <v>503.0</v>
      </c>
      <c r="C8" s="18" t="s">
        <v>632</v>
      </c>
      <c r="D8" s="18" t="s">
        <v>645</v>
      </c>
      <c r="F8" s="18" t="s">
        <v>646</v>
      </c>
    </row>
    <row r="9">
      <c r="A9" s="233">
        <v>44758.30500806713</v>
      </c>
      <c r="B9" s="18">
        <v>4028.0</v>
      </c>
      <c r="C9" s="18" t="s">
        <v>632</v>
      </c>
      <c r="D9" s="18" t="s">
        <v>632</v>
      </c>
      <c r="E9" s="18" t="s">
        <v>647</v>
      </c>
      <c r="F9" s="18" t="s">
        <v>646</v>
      </c>
    </row>
    <row r="10">
      <c r="A10" s="233">
        <v>44758.30519771991</v>
      </c>
      <c r="B10" s="18">
        <v>340.0</v>
      </c>
      <c r="C10" s="18" t="s">
        <v>632</v>
      </c>
      <c r="D10" s="18" t="s">
        <v>648</v>
      </c>
      <c r="F10" s="18" t="s">
        <v>646</v>
      </c>
    </row>
    <row r="11">
      <c r="A11" s="233">
        <v>44758.30545665509</v>
      </c>
      <c r="B11" s="18">
        <v>3176.0</v>
      </c>
      <c r="C11" s="18" t="s">
        <v>632</v>
      </c>
      <c r="D11" s="18" t="s">
        <v>649</v>
      </c>
      <c r="E11" s="18" t="s">
        <v>650</v>
      </c>
      <c r="F11" s="18" t="s">
        <v>646</v>
      </c>
    </row>
    <row r="12">
      <c r="A12" s="233">
        <v>44758.30623145834</v>
      </c>
      <c r="B12" s="18">
        <v>4099.0</v>
      </c>
      <c r="C12" s="18" t="s">
        <v>632</v>
      </c>
      <c r="D12" s="18" t="s">
        <v>632</v>
      </c>
      <c r="E12" s="18" t="s">
        <v>651</v>
      </c>
      <c r="F12" s="18" t="s">
        <v>646</v>
      </c>
    </row>
    <row r="13">
      <c r="A13" s="233">
        <v>44758.306305509264</v>
      </c>
      <c r="B13" s="18">
        <v>1730.0</v>
      </c>
      <c r="C13" s="18" t="s">
        <v>632</v>
      </c>
      <c r="D13" s="18" t="s">
        <v>632</v>
      </c>
      <c r="E13" s="18" t="s">
        <v>650</v>
      </c>
      <c r="F13" s="18" t="s">
        <v>646</v>
      </c>
    </row>
    <row r="14">
      <c r="A14" s="233">
        <v>44758.30774283565</v>
      </c>
      <c r="B14" s="18">
        <v>2687.0</v>
      </c>
      <c r="C14" s="18" t="s">
        <v>632</v>
      </c>
      <c r="D14" s="18" t="s">
        <v>652</v>
      </c>
      <c r="E14" s="18" t="s">
        <v>653</v>
      </c>
      <c r="F14" s="18" t="s">
        <v>646</v>
      </c>
    </row>
    <row r="15">
      <c r="A15" s="233">
        <v>44758.30777594907</v>
      </c>
      <c r="B15" s="18">
        <v>1023.0</v>
      </c>
      <c r="C15" s="18" t="s">
        <v>632</v>
      </c>
      <c r="D15" s="18" t="s">
        <v>654</v>
      </c>
      <c r="F15" s="18" t="s">
        <v>646</v>
      </c>
    </row>
    <row r="16">
      <c r="A16" s="233">
        <v>44758.30836589121</v>
      </c>
      <c r="B16" s="18">
        <v>5010.0</v>
      </c>
      <c r="C16" s="18" t="s">
        <v>632</v>
      </c>
      <c r="D16" s="18" t="s">
        <v>632</v>
      </c>
      <c r="E16" s="18" t="s">
        <v>655</v>
      </c>
      <c r="F16" s="18" t="s">
        <v>643</v>
      </c>
    </row>
    <row r="17">
      <c r="A17" s="233">
        <v>44758.30854960648</v>
      </c>
      <c r="B17" s="18">
        <v>1987.0</v>
      </c>
      <c r="C17" s="18" t="s">
        <v>632</v>
      </c>
      <c r="D17" s="18" t="s">
        <v>656</v>
      </c>
      <c r="E17" s="18" t="s">
        <v>657</v>
      </c>
      <c r="F17" s="18" t="s">
        <v>646</v>
      </c>
    </row>
    <row r="18">
      <c r="A18" s="233">
        <v>44758.30967400463</v>
      </c>
      <c r="B18" s="18">
        <v>2075.0</v>
      </c>
      <c r="C18" s="18" t="s">
        <v>632</v>
      </c>
      <c r="D18" s="18" t="s">
        <v>652</v>
      </c>
      <c r="E18" s="18" t="s">
        <v>650</v>
      </c>
      <c r="F18" s="18" t="s">
        <v>643</v>
      </c>
    </row>
    <row r="19">
      <c r="A19" s="233">
        <v>44758.31256171296</v>
      </c>
      <c r="B19" s="18">
        <v>694.0</v>
      </c>
      <c r="C19" s="18" t="s">
        <v>638</v>
      </c>
      <c r="D19" s="18" t="s">
        <v>658</v>
      </c>
      <c r="E19" s="18" t="s">
        <v>634</v>
      </c>
      <c r="F19" s="18" t="s">
        <v>643</v>
      </c>
    </row>
    <row r="20">
      <c r="A20" s="233">
        <v>44758.31280085648</v>
      </c>
      <c r="B20" s="18">
        <v>27.0</v>
      </c>
      <c r="C20" s="18" t="s">
        <v>638</v>
      </c>
      <c r="D20" s="18" t="s">
        <v>659</v>
      </c>
      <c r="F20" s="18" t="s">
        <v>646</v>
      </c>
    </row>
    <row r="21">
      <c r="A21" s="233">
        <v>44758.31315901621</v>
      </c>
      <c r="B21" s="18">
        <v>1732.0</v>
      </c>
      <c r="C21" s="18" t="s">
        <v>638</v>
      </c>
      <c r="D21" s="18" t="s">
        <v>660</v>
      </c>
      <c r="E21" s="18" t="s">
        <v>661</v>
      </c>
      <c r="F21" s="18" t="s">
        <v>646</v>
      </c>
    </row>
    <row r="22">
      <c r="A22" s="233">
        <v>44758.314667060185</v>
      </c>
      <c r="B22" s="18">
        <v>2338.0</v>
      </c>
      <c r="C22" s="18" t="s">
        <v>632</v>
      </c>
      <c r="D22" s="18" t="s">
        <v>660</v>
      </c>
      <c r="E22" s="18" t="s">
        <v>650</v>
      </c>
      <c r="F22" s="18" t="s">
        <v>643</v>
      </c>
    </row>
    <row r="23">
      <c r="A23" s="233">
        <v>44758.31869100695</v>
      </c>
      <c r="B23" s="18">
        <v>4265.0</v>
      </c>
      <c r="C23" s="18" t="s">
        <v>632</v>
      </c>
      <c r="D23" s="18" t="s">
        <v>633</v>
      </c>
      <c r="E23" s="18" t="s">
        <v>662</v>
      </c>
      <c r="F23" s="18" t="s">
        <v>646</v>
      </c>
    </row>
    <row r="24">
      <c r="A24" s="233">
        <v>44758.32331234954</v>
      </c>
      <c r="B24" s="18">
        <v>118.0</v>
      </c>
      <c r="C24" s="18" t="s">
        <v>638</v>
      </c>
      <c r="D24" s="18" t="s">
        <v>663</v>
      </c>
      <c r="F24" s="18" t="s">
        <v>646</v>
      </c>
    </row>
    <row r="25">
      <c r="A25" s="233">
        <v>44758.32337922454</v>
      </c>
      <c r="B25" s="18">
        <v>325.0</v>
      </c>
      <c r="C25" s="18" t="s">
        <v>638</v>
      </c>
      <c r="D25" s="18" t="s">
        <v>664</v>
      </c>
      <c r="E25" s="18" t="s">
        <v>665</v>
      </c>
      <c r="F25" s="18" t="s">
        <v>646</v>
      </c>
    </row>
    <row r="26">
      <c r="A26" s="233">
        <v>44758.32463402778</v>
      </c>
      <c r="B26" s="18">
        <v>67.0</v>
      </c>
      <c r="C26" s="18" t="s">
        <v>638</v>
      </c>
      <c r="D26" s="18" t="s">
        <v>666</v>
      </c>
      <c r="F26" s="18" t="s">
        <v>646</v>
      </c>
    </row>
    <row r="27">
      <c r="A27" s="233">
        <v>44758.32579540509</v>
      </c>
      <c r="B27" s="18">
        <v>33.0</v>
      </c>
      <c r="C27" s="18" t="s">
        <v>632</v>
      </c>
      <c r="D27" s="18" t="s">
        <v>667</v>
      </c>
      <c r="F27" s="18" t="s">
        <v>646</v>
      </c>
    </row>
    <row r="28">
      <c r="A28" s="233">
        <v>44758.32899163195</v>
      </c>
      <c r="B28" s="18">
        <v>4499.0</v>
      </c>
      <c r="C28" s="18" t="s">
        <v>632</v>
      </c>
      <c r="D28" s="18" t="s">
        <v>634</v>
      </c>
      <c r="E28" s="18" t="s">
        <v>668</v>
      </c>
      <c r="F28" s="18" t="s">
        <v>646</v>
      </c>
    </row>
    <row r="29">
      <c r="A29" s="233">
        <v>44758.33048019676</v>
      </c>
      <c r="B29" s="18">
        <v>180.0</v>
      </c>
      <c r="C29" s="18" t="s">
        <v>632</v>
      </c>
      <c r="D29" s="18" t="s">
        <v>669</v>
      </c>
      <c r="F29" s="18" t="s">
        <v>646</v>
      </c>
    </row>
    <row r="30">
      <c r="A30" s="233">
        <v>44758.34563524305</v>
      </c>
      <c r="B30" s="18">
        <v>1720.0</v>
      </c>
      <c r="C30" s="18" t="s">
        <v>632</v>
      </c>
      <c r="F30" s="18" t="s">
        <v>646</v>
      </c>
    </row>
    <row r="31">
      <c r="A31" s="233">
        <v>44758.34660060186</v>
      </c>
      <c r="B31" s="18">
        <v>195.0</v>
      </c>
      <c r="C31" s="18" t="s">
        <v>632</v>
      </c>
      <c r="E31" s="18" t="s">
        <v>670</v>
      </c>
      <c r="F31" s="18" t="s">
        <v>643</v>
      </c>
    </row>
    <row r="32">
      <c r="A32" s="233">
        <v>44758.349166875</v>
      </c>
      <c r="B32" s="18">
        <v>4926.0</v>
      </c>
      <c r="C32" s="18" t="s">
        <v>632</v>
      </c>
      <c r="F32" s="18" t="s">
        <v>643</v>
      </c>
    </row>
    <row r="33">
      <c r="A33" s="233">
        <v>44758.35100170139</v>
      </c>
      <c r="B33" s="18">
        <v>1024.0</v>
      </c>
      <c r="C33" s="18" t="s">
        <v>632</v>
      </c>
      <c r="D33" s="18" t="s">
        <v>671</v>
      </c>
      <c r="E33" s="18" t="s">
        <v>672</v>
      </c>
      <c r="F33" s="18" t="s">
        <v>643</v>
      </c>
    </row>
    <row r="34">
      <c r="A34" s="233">
        <v>44758.35261726852</v>
      </c>
      <c r="B34" s="18">
        <v>234.0</v>
      </c>
      <c r="E34" s="18" t="s">
        <v>673</v>
      </c>
      <c r="F34" s="18" t="s">
        <v>643</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38"/>
    <col customWidth="1" min="2" max="2" width="12.0"/>
    <col customWidth="1" min="3" max="3" width="12.13"/>
    <col customWidth="1" min="4" max="4" width="12.63"/>
    <col customWidth="1" min="5" max="5" width="7.38"/>
    <col customWidth="1" min="6" max="6" width="10.13"/>
    <col customWidth="1" min="7" max="8" width="9.5"/>
    <col customWidth="1" min="9" max="9" width="10.25"/>
    <col customWidth="1" min="10" max="10" width="5.88"/>
    <col customWidth="1" min="11" max="11" width="8.75"/>
  </cols>
  <sheetData>
    <row r="1">
      <c r="A1" s="194"/>
      <c r="B1" s="149" t="s">
        <v>624</v>
      </c>
      <c r="C1" s="234" t="s">
        <v>538</v>
      </c>
      <c r="D1" s="234" t="s">
        <v>539</v>
      </c>
      <c r="E1" s="234" t="s">
        <v>674</v>
      </c>
      <c r="F1" s="234" t="s">
        <v>589</v>
      </c>
      <c r="G1" s="234" t="s">
        <v>590</v>
      </c>
      <c r="H1" s="234" t="s">
        <v>591</v>
      </c>
      <c r="I1" s="235" t="s">
        <v>592</v>
      </c>
      <c r="J1" s="234" t="s">
        <v>675</v>
      </c>
      <c r="K1" s="236" t="s">
        <v>559</v>
      </c>
      <c r="L1" s="194"/>
      <c r="M1" s="194"/>
      <c r="N1" s="194"/>
      <c r="O1" s="194"/>
      <c r="P1" s="194"/>
      <c r="Q1" s="194"/>
      <c r="R1" s="194"/>
      <c r="S1" s="194"/>
      <c r="T1" s="194"/>
      <c r="U1" s="194"/>
      <c r="V1" s="194"/>
      <c r="W1" s="194"/>
      <c r="X1" s="194"/>
      <c r="Y1" s="194"/>
      <c r="Z1" s="194"/>
    </row>
    <row r="2">
      <c r="A2" s="194"/>
      <c r="B2" s="15">
        <v>1678.0</v>
      </c>
      <c r="C2" s="237">
        <f>SUMIF(RawTotals!A$2:A1000, indirect("B2"), RawTotals!AG$2:AG1000)</f>
        <v>0</v>
      </c>
      <c r="D2" s="237">
        <f>SUMIF(RawTotals!A$2:A1000, indirect("B2"), RawTotals!AH$2:AH1000)</f>
        <v>0</v>
      </c>
      <c r="E2" s="238">
        <f>SUMIF(RawTotals!A$2:A1000, indirect("B2"), RawTotals!J$2:J1000)</f>
        <v>0</v>
      </c>
      <c r="F2" s="237">
        <f>SUMIF(RawTotals!A$2:A1000, indirect("B2"), RawTotals!D$2:D1000)</f>
        <v>0</v>
      </c>
      <c r="G2" s="239">
        <f>SUMIF(RawTotals!A$2:A1000, indirect("B2"), RawTotals!M$2:M1000)</f>
        <v>0</v>
      </c>
      <c r="H2" s="237">
        <f>SUMIF(RawTotals!A$2:A1000, indirect("B2"), RawTotals!AC$2:AC1000)</f>
        <v>0</v>
      </c>
      <c r="I2" s="238">
        <f>SUMIF(RawTotals!A$2:A1000, indirect("B2"), RawTotals!W$2:W1000)</f>
        <v>0</v>
      </c>
      <c r="J2" s="237">
        <f>SUMIF(RawTotals!A$2:A1000, indirect("B2"), RawTotals!Q$2:Q1000)</f>
        <v>0</v>
      </c>
      <c r="K2" s="194"/>
      <c r="L2" s="194"/>
      <c r="M2" s="194"/>
      <c r="N2" s="194"/>
      <c r="O2" s="194"/>
      <c r="P2" s="194"/>
      <c r="Q2" s="194"/>
      <c r="R2" s="194"/>
      <c r="S2" s="194"/>
      <c r="T2" s="194"/>
      <c r="U2" s="194"/>
      <c r="V2" s="194"/>
      <c r="W2" s="194"/>
      <c r="X2" s="194"/>
      <c r="Y2" s="194"/>
      <c r="Z2" s="194"/>
    </row>
    <row r="3">
      <c r="A3" s="194"/>
      <c r="B3" s="15">
        <v>148.0</v>
      </c>
      <c r="C3" s="240">
        <f>SUMIF(RawTotals!A$2:A1000, indirect("B3"), RawTotals!AG$2:AG1000)</f>
        <v>0</v>
      </c>
      <c r="D3" s="241">
        <f>SUMIF(RawTotals!A$2:A1000, indirect("B3"), RawTotals!AH$2:AH1000)</f>
        <v>0</v>
      </c>
      <c r="E3" s="238">
        <f>SUMIF(RawTotals!A$2:A1000, indirect("B3"), RawTotals!J$2:J1000)</f>
        <v>0</v>
      </c>
      <c r="F3" s="242">
        <f>SUMIF(RawTotals!A$2:A1000, indirect("B3"), RawTotals!D$2:D1000)</f>
        <v>0</v>
      </c>
      <c r="G3" s="243">
        <f>SUMIF(RawTotals!A$2:A1000, indirect("B3"), RawTotals!M$2:M1000)</f>
        <v>0</v>
      </c>
      <c r="H3" s="244">
        <f>SUMIF(RawTotals!A$2:A1000, indirect("B3"), RawTotals!AC$2:AC1000)</f>
        <v>0</v>
      </c>
      <c r="I3" s="245">
        <f>SUMIF(RawTotals!A$2:A1000, indirect("B3"), RawTotals!W$2:W1000)</f>
        <v>0</v>
      </c>
      <c r="J3" s="237">
        <f>SUMIF(RawTotals!A$2:A1000, indirect("B3"), RawTotals!Q$2:Q1000)</f>
        <v>0</v>
      </c>
      <c r="K3" s="194"/>
      <c r="L3" s="194"/>
      <c r="M3" s="194"/>
      <c r="N3" s="194"/>
      <c r="O3" s="194"/>
      <c r="P3" s="194"/>
      <c r="Q3" s="194"/>
      <c r="R3" s="194"/>
      <c r="S3" s="194"/>
      <c r="T3" s="194"/>
      <c r="U3" s="194"/>
      <c r="V3" s="194"/>
      <c r="W3" s="194"/>
      <c r="X3" s="194"/>
      <c r="Y3" s="194"/>
      <c r="Z3" s="194"/>
    </row>
    <row r="4">
      <c r="A4" s="194"/>
      <c r="B4" s="15">
        <v>1574.0</v>
      </c>
      <c r="C4" s="246">
        <f>SUMIF(RawTotals!A$2:A1000, indirect("B4"), RawTotals!AG$2:AG1000)</f>
        <v>0</v>
      </c>
      <c r="D4" s="247">
        <f>SUMIF(RawTotals!A$2:A1000, indirect("B4"), RawTotals!AH$2:AH1000)</f>
        <v>0</v>
      </c>
      <c r="E4" s="248">
        <f>SUMIF(RawTotals!A$2:A1000, indirect("B4"), RawTotals!J$2:J1000)</f>
        <v>0</v>
      </c>
      <c r="F4" s="249">
        <f>SUMIF(RawTotals!A$2:A1000, indirect("B4"), RawTotals!D$2:D1000)</f>
        <v>0</v>
      </c>
      <c r="G4" s="247">
        <f>SUMIF(RawTotals!A$2:A1000, indirect("B4"), RawTotals!M$2:M1000)</f>
        <v>0</v>
      </c>
      <c r="H4" s="243">
        <f>SUMIF(RawTotals!A$2:A1000, indirect("B4"), RawTotals!AC$2:AC1000)</f>
        <v>0</v>
      </c>
      <c r="I4" s="245">
        <f>SUMIF(RawTotals!A$2:A1000, indirect("B4"), RawTotals!W$2:W1000)</f>
        <v>0</v>
      </c>
      <c r="J4" s="237">
        <f>SUMIF(RawTotals!A$2:A1000, indirect("B4"), RawTotals!Q$2:Q1000)</f>
        <v>0</v>
      </c>
      <c r="K4" s="194"/>
      <c r="L4" s="194"/>
      <c r="M4" s="194"/>
      <c r="N4" s="194"/>
      <c r="O4" s="194"/>
      <c r="P4" s="194"/>
      <c r="Q4" s="194"/>
      <c r="R4" s="194"/>
      <c r="S4" s="194"/>
      <c r="T4" s="194"/>
      <c r="U4" s="194"/>
      <c r="V4" s="194"/>
      <c r="W4" s="194"/>
      <c r="X4" s="194"/>
      <c r="Y4" s="194"/>
      <c r="Z4" s="194"/>
    </row>
    <row r="5">
      <c r="A5" s="194"/>
      <c r="B5" s="15">
        <v>624.0</v>
      </c>
      <c r="C5" s="250">
        <f>SUMIF(RawTotals!A$2:A1000, indirect("B5"), RawTotals!AG$2:AG1000)</f>
        <v>0.1196833137</v>
      </c>
      <c r="D5" s="251">
        <f>SUMIF(RawTotals!A$2:A1000, indirect("B5"), RawTotals!AH$2:AH1000)</f>
        <v>-0.708406106</v>
      </c>
      <c r="E5" s="252">
        <f>SUMIF(RawTotals!A$2:A1000, indirect("B5"), RawTotals!J$2:J1000)</f>
        <v>1</v>
      </c>
      <c r="F5" s="253">
        <f>SUMIF(RawTotals!A$2:A1000, indirect("B5"), RawTotals!D$2:D1000)</f>
        <v>4.375</v>
      </c>
      <c r="G5" s="240">
        <f>SUMIF(RawTotals!A$2:A1000, indirect("B5"), RawTotals!M$2:M1000)</f>
        <v>12.25</v>
      </c>
      <c r="H5" s="254">
        <f>SUMIF(RawTotals!A$2:A1000, indirect("B5"), RawTotals!AC$2:AC1000)</f>
        <v>17</v>
      </c>
      <c r="I5" s="255">
        <f>SUMIF(RawTotals!A$2:A1000, indirect("B5"), RawTotals!W$2:W1000)</f>
        <v>0.125</v>
      </c>
      <c r="J5" s="256">
        <f>SUMIF(RawTotals!A$2:A1000, indirect("B5"), RawTotals!Q$2:Q1000)</f>
        <v>6.6</v>
      </c>
      <c r="K5" s="194"/>
      <c r="L5" s="194"/>
      <c r="M5" s="194"/>
      <c r="N5" s="194"/>
      <c r="O5" s="194"/>
      <c r="P5" s="194"/>
      <c r="Q5" s="194"/>
      <c r="R5" s="194"/>
      <c r="S5" s="194"/>
      <c r="T5" s="194"/>
      <c r="U5" s="194"/>
      <c r="V5" s="194"/>
      <c r="W5" s="194"/>
      <c r="X5" s="194"/>
      <c r="Y5" s="194"/>
      <c r="Z5" s="194"/>
    </row>
    <row r="6">
      <c r="B6" s="15">
        <v>3538.0</v>
      </c>
      <c r="C6" s="247">
        <f>SUMIF(RawTotals!A$2:A1000, indirect("B6"), RawTotals!AG$2:AG1000)</f>
        <v>7.396380987</v>
      </c>
      <c r="D6" s="250">
        <f>SUMIF(RawTotals!A$2:A1000, indirect("B6"), RawTotals!AH$2:AH1000)</f>
        <v>8.342391748</v>
      </c>
      <c r="E6" s="238">
        <f>SUMIF(RawTotals!A$2:A1000, indirect("B6"), RawTotals!J$2:J1000)</f>
        <v>0.9166666667</v>
      </c>
      <c r="F6" s="257">
        <f>SUMIF(RawTotals!A$2:A1000, indirect("B6"), RawTotals!D$2:D1000)</f>
        <v>2.333333333</v>
      </c>
      <c r="G6" s="258">
        <f>SUMIF(RawTotals!A$2:A1000, indirect("B6"), RawTotals!M$2:M1000)</f>
        <v>13.16666667</v>
      </c>
      <c r="H6" s="259">
        <f>SUMIF(RawTotals!A$2:A1000, indirect("B6"), RawTotals!AC$2:AC1000)</f>
        <v>18</v>
      </c>
      <c r="I6" s="260">
        <f>SUMIF(RawTotals!A$2:A1000, indirect("B6"), RawTotals!W$2:W1000)</f>
        <v>0.8333333333</v>
      </c>
      <c r="J6" s="261">
        <f>SUMIF(RawTotals!A$2:A1000, indirect("B6"), RawTotals!Q$2:Q1000)</f>
        <v>15</v>
      </c>
      <c r="K6" s="194"/>
      <c r="L6" s="194"/>
      <c r="M6" s="194"/>
      <c r="N6" s="194"/>
      <c r="O6" s="194"/>
      <c r="P6" s="194"/>
      <c r="Q6" s="194"/>
      <c r="R6" s="194"/>
      <c r="S6" s="194"/>
      <c r="T6" s="194"/>
      <c r="U6" s="194"/>
      <c r="V6" s="194"/>
      <c r="W6" s="194"/>
      <c r="X6" s="194"/>
      <c r="Y6" s="194"/>
      <c r="Z6" s="194"/>
    </row>
    <row r="7">
      <c r="A7" s="194"/>
      <c r="B7" s="15">
        <v>4911.0</v>
      </c>
      <c r="C7" s="262">
        <f>SUMIF(RawTotals!A$2:A1000, indirect("B7"), RawTotals!AG$2:AG1000)</f>
        <v>0</v>
      </c>
      <c r="D7" s="263">
        <f>SUMIF(RawTotals!A$2:A1000, indirect("B7"), RawTotals!AH$2:AH1000)</f>
        <v>0</v>
      </c>
      <c r="E7" s="264">
        <f>SUMIF(RawTotals!A$2:A1000, indirect("B7"), RawTotals!J$2:J1000)</f>
        <v>0</v>
      </c>
      <c r="F7" s="265">
        <f>SUMIF(RawTotals!A$2:A1000, indirect("B7"), RawTotals!D$2:D1000)</f>
        <v>0</v>
      </c>
      <c r="G7" s="266">
        <f>SUMIF(RawTotals!A$2:A1000, indirect("B7"), RawTotals!M$2:M1000)</f>
        <v>0</v>
      </c>
      <c r="H7" s="254">
        <f>SUMIF(RawTotals!A$2:A1000, indirect("B7"), RawTotals!AC$2:AC1000)</f>
        <v>0</v>
      </c>
      <c r="I7" s="267">
        <f>SUMIF(RawTotals!A$2:A1000, indirect("B7"), RawTotals!W$2:W1000)</f>
        <v>0</v>
      </c>
      <c r="J7" s="237">
        <f>SUMIF(RawTotals!A$2:A1000, indirect("B7"), RawTotals!Q$2:Q1000)</f>
        <v>0</v>
      </c>
      <c r="K7" s="194"/>
      <c r="L7" s="194"/>
      <c r="M7" s="194"/>
      <c r="N7" s="194"/>
      <c r="O7" s="194"/>
      <c r="P7" s="194"/>
      <c r="Q7" s="194"/>
      <c r="R7" s="194"/>
      <c r="S7" s="194"/>
      <c r="T7" s="194"/>
      <c r="U7" s="194"/>
      <c r="V7" s="194"/>
      <c r="W7" s="194"/>
      <c r="X7" s="194"/>
      <c r="Y7" s="194"/>
      <c r="Z7" s="194"/>
    </row>
    <row r="8">
      <c r="B8" s="15">
        <v>302.0</v>
      </c>
      <c r="C8" s="251">
        <f>SUMIF(RawTotals!A$2:A1000, indirect("B8"), RawTotals!AG$2:AG1000)</f>
        <v>0</v>
      </c>
      <c r="D8" s="268">
        <f>SUMIF(RawTotals!A$2:A1000, indirect("B8"), RawTotals!AH$2:AH1000)</f>
        <v>0</v>
      </c>
      <c r="E8" s="269">
        <f>SUMIF(RawTotals!A$2:A1000, indirect("B8"), RawTotals!J$2:J1000)</f>
        <v>0</v>
      </c>
      <c r="F8" s="270">
        <f>SUMIF(RawTotals!A$2:A1000, indirect("B8"), RawTotals!D$2:D1000)</f>
        <v>0</v>
      </c>
      <c r="G8" s="271">
        <f>SUMIF(RawTotals!A$2:A1000, indirect("B8"), RawTotals!M$2:M1000)</f>
        <v>0</v>
      </c>
      <c r="H8" s="254">
        <f>SUMIF(RawTotals!A$2:A1000, indirect("B8"), RawTotals!AC$2:AC1000)</f>
        <v>0</v>
      </c>
      <c r="I8" s="272">
        <f>SUMIF(RawTotals!A$2:A1000, indirect("B8"), RawTotals!W$2:W1000)</f>
        <v>0</v>
      </c>
      <c r="J8" s="237">
        <f>SUMIF(RawTotals!A$2:A1000, indirect("B8"), RawTotals!Q$2:Q1000)</f>
        <v>0</v>
      </c>
      <c r="K8" s="194"/>
      <c r="L8" s="194"/>
      <c r="M8" s="194"/>
      <c r="N8" s="194"/>
      <c r="O8" s="194"/>
      <c r="P8" s="194"/>
      <c r="Q8" s="194"/>
      <c r="R8" s="194"/>
      <c r="S8" s="194"/>
      <c r="T8" s="194"/>
      <c r="U8" s="194"/>
      <c r="V8" s="194"/>
      <c r="W8" s="194"/>
      <c r="X8" s="194"/>
      <c r="Y8" s="194"/>
      <c r="Z8" s="194"/>
    </row>
    <row r="9">
      <c r="A9" s="194"/>
      <c r="B9" s="15">
        <v>4499.0</v>
      </c>
      <c r="C9" s="271">
        <f>SUMIF(RawTotals!A$2:A1000, indirect("B9"), RawTotals!AG$2:AG1000)</f>
        <v>5.490619321</v>
      </c>
      <c r="D9" s="273">
        <f>SUMIF(RawTotals!A$2:A1000, indirect("B9"), RawTotals!AH$2:AH1000)</f>
        <v>6.436630082</v>
      </c>
      <c r="E9" s="238">
        <f>SUMIF(RawTotals!A$2:A1000, indirect("B9"), RawTotals!J$2:J1000)</f>
        <v>0.9375</v>
      </c>
      <c r="F9" s="274">
        <f>SUMIF(RawTotals!A$2:A1000, indirect("B9"), RawTotals!D$2:D1000)</f>
        <v>2.25</v>
      </c>
      <c r="G9" s="275">
        <f>SUMIF(RawTotals!A$2:A1000, indirect("B9"), RawTotals!M$2:M1000)</f>
        <v>10.375</v>
      </c>
      <c r="H9" s="276">
        <f>SUMIF(RawTotals!A$2:A1000, indirect("B9"), RawTotals!AC$2:AC1000)</f>
        <v>17</v>
      </c>
      <c r="I9" s="277">
        <f>SUMIF(RawTotals!A$2:A1000, indirect("B9"), RawTotals!W$2:W1000)</f>
        <v>1</v>
      </c>
      <c r="J9" s="237">
        <f>SUMIF(RawTotals!A$2:A1000, indirect("B9"), RawTotals!Q$2:Q1000)</f>
        <v>15</v>
      </c>
      <c r="K9" s="194"/>
      <c r="L9" s="194"/>
      <c r="M9" s="194"/>
      <c r="N9" s="194"/>
      <c r="O9" s="194"/>
      <c r="P9" s="194"/>
      <c r="Q9" s="194"/>
      <c r="R9" s="194"/>
      <c r="S9" s="194"/>
      <c r="T9" s="194"/>
      <c r="U9" s="194"/>
      <c r="V9" s="194"/>
      <c r="W9" s="194"/>
      <c r="X9" s="194"/>
      <c r="Y9" s="194"/>
      <c r="Z9" s="194"/>
    </row>
    <row r="10">
      <c r="A10" s="194"/>
      <c r="B10" s="15">
        <v>1339.0</v>
      </c>
      <c r="C10" s="278">
        <f>SUMIF(RawTotals!A$2:A1000, indirect("B10"), RawTotals!AG$2:AG1000)</f>
        <v>8.120018218</v>
      </c>
      <c r="D10" s="279">
        <f>SUMIF(RawTotals!A$2:A1000, indirect("B10"), RawTotals!AH$2:AH1000)</f>
        <v>9.066028979</v>
      </c>
      <c r="E10" s="280">
        <f>SUMIF(RawTotals!A$2:A1000, indirect("B10"), RawTotals!J$2:J1000)</f>
        <v>0.9285714286</v>
      </c>
      <c r="F10" s="281">
        <f>SUMIF(RawTotals!A$2:A1000, indirect("B10"), RawTotals!D$2:D1000)</f>
        <v>2</v>
      </c>
      <c r="G10" s="282">
        <f>SUMIF(RawTotals!A$2:A1000, indirect("B10"), RawTotals!M$2:M1000)</f>
        <v>13.85714286</v>
      </c>
      <c r="H10" s="283">
        <f>SUMIF(RawTotals!A$2:A1000, indirect("B10"), RawTotals!AC$2:AC1000)</f>
        <v>19</v>
      </c>
      <c r="I10" s="284">
        <f>SUMIF(RawTotals!A$2:A1000, indirect("B10"), RawTotals!W$2:W1000)</f>
        <v>1</v>
      </c>
      <c r="J10" s="237">
        <f>SUMIF(RawTotals!A$2:A1000, indirect("B10"), RawTotals!Q$2:Q1000)</f>
        <v>15</v>
      </c>
      <c r="K10" s="194"/>
      <c r="L10" s="194"/>
      <c r="M10" s="194"/>
      <c r="N10" s="194"/>
      <c r="O10" s="194"/>
      <c r="P10" s="194"/>
      <c r="Q10" s="194"/>
      <c r="R10" s="194"/>
      <c r="S10" s="194"/>
      <c r="T10" s="194"/>
      <c r="U10" s="194"/>
      <c r="V10" s="194"/>
      <c r="W10" s="194"/>
      <c r="X10" s="194"/>
      <c r="Y10" s="194"/>
      <c r="Z10" s="194"/>
    </row>
    <row r="11">
      <c r="A11" s="194"/>
      <c r="B11" s="15">
        <v>2767.0</v>
      </c>
      <c r="C11" s="285">
        <f>SUMIF(RawTotals!A$2:A1000, indirect("B11"), RawTotals!AG$2:AG1000)</f>
        <v>6.104316804</v>
      </c>
      <c r="D11" s="253">
        <f>SUMIF(RawTotals!A$2:A1000, indirect("B11"), RawTotals!AH$2:AH1000)</f>
        <v>7.050327565</v>
      </c>
      <c r="E11" s="286">
        <f>SUMIF(RawTotals!A$2:A1000, indirect("B11"), RawTotals!J$2:J1000)</f>
        <v>1</v>
      </c>
      <c r="F11" s="254">
        <f>SUMIF(RawTotals!A$2:A1000, indirect("B11"), RawTotals!D$2:D1000)</f>
        <v>2.714285714</v>
      </c>
      <c r="G11" s="287">
        <f>SUMIF(RawTotals!A$2:A1000, indirect("B11"), RawTotals!M$2:M1000)</f>
        <v>10.85714286</v>
      </c>
      <c r="H11" s="288">
        <f>SUMIF(RawTotals!A$2:A1000, indirect("B11"), RawTotals!AC$2:AC1000)</f>
        <v>16</v>
      </c>
      <c r="I11" s="289">
        <f>SUMIF(RawTotals!A$2:A1000, indirect("B11"), RawTotals!W$2:W1000)</f>
        <v>0.8571428571</v>
      </c>
      <c r="J11" s="290">
        <f>SUMIF(RawTotals!A$2:A1000, indirect("B11"), RawTotals!Q$2:Q1000)</f>
        <v>15</v>
      </c>
      <c r="K11" s="194"/>
      <c r="L11" s="194"/>
      <c r="M11" s="194"/>
      <c r="N11" s="194"/>
      <c r="O11" s="194"/>
      <c r="P11" s="194"/>
      <c r="Q11" s="194"/>
      <c r="R11" s="194"/>
      <c r="S11" s="194"/>
      <c r="T11" s="194"/>
      <c r="U11" s="194"/>
      <c r="V11" s="194"/>
      <c r="W11" s="194"/>
      <c r="X11" s="194"/>
      <c r="Y11" s="194"/>
      <c r="Z11" s="194"/>
    </row>
    <row r="12">
      <c r="A12" s="194"/>
      <c r="B12" s="15">
        <v>494.0</v>
      </c>
      <c r="C12" s="291">
        <f>SUMIF(RawTotals!A$2:A1000, indirect("B12"), RawTotals!AG$2:AG1000)</f>
        <v>0</v>
      </c>
      <c r="D12" s="292">
        <f>SUMIF(RawTotals!A$2:A1000, indirect("B12"), RawTotals!AH$2:AH1000)</f>
        <v>0</v>
      </c>
      <c r="E12" s="252">
        <f>SUMIF(RawTotals!A$2:A1000, indirect("B12"), RawTotals!J$2:J1000)</f>
        <v>0</v>
      </c>
      <c r="F12" s="293">
        <f>SUMIF(RawTotals!A$2:A1000, indirect("B12"), RawTotals!D$2:D1000)</f>
        <v>0</v>
      </c>
      <c r="G12" s="294">
        <f>SUMIF(RawTotals!A$2:A1000, indirect("B12"), RawTotals!M$2:M1000)</f>
        <v>0</v>
      </c>
      <c r="H12" s="276">
        <f>SUMIF(RawTotals!A$2:A1000, indirect("B12"), RawTotals!AC$2:AC1000)</f>
        <v>0</v>
      </c>
      <c r="I12" s="295">
        <f>SUMIF(RawTotals!A$2:A1000, indirect("B12"), RawTotals!W$2:W1000)</f>
        <v>0</v>
      </c>
      <c r="J12" s="237">
        <f>SUMIF(RawTotals!A$2:A1000, indirect("B12"), RawTotals!Q$2:Q1000)</f>
        <v>0</v>
      </c>
      <c r="K12" s="194"/>
      <c r="L12" s="194"/>
      <c r="M12" s="194"/>
      <c r="N12" s="194"/>
      <c r="O12" s="194"/>
      <c r="P12" s="194"/>
      <c r="Q12" s="194"/>
      <c r="R12" s="194"/>
      <c r="S12" s="194"/>
      <c r="T12" s="194"/>
      <c r="U12" s="194"/>
      <c r="V12" s="194"/>
      <c r="W12" s="194"/>
      <c r="X12" s="194"/>
      <c r="Y12" s="194"/>
      <c r="Z12" s="194"/>
    </row>
    <row r="13">
      <c r="A13" s="194"/>
      <c r="B13" s="15">
        <v>2052.0</v>
      </c>
      <c r="C13" s="296">
        <f>SUMIF(RawTotals!A$2:A1000, indirect("B13"), RawTotals!AG$2:AG1000)</f>
        <v>0</v>
      </c>
      <c r="D13" s="292">
        <f>SUMIF(RawTotals!A$2:A1000, indirect("B13"), RawTotals!AH$2:AH1000)</f>
        <v>0</v>
      </c>
      <c r="E13" s="248">
        <f>SUMIF(RawTotals!A$2:A1000, indirect("B13"), RawTotals!J$2:J1000)</f>
        <v>0</v>
      </c>
      <c r="F13" s="253">
        <f>SUMIF(RawTotals!A$2:A1000, indirect("B13"), RawTotals!D$2:D1000)</f>
        <v>0</v>
      </c>
      <c r="G13" s="263">
        <f>SUMIF(RawTotals!A$2:A1000, indirect("B13"), RawTotals!M$2:M1000)</f>
        <v>0</v>
      </c>
      <c r="H13" s="276">
        <f>SUMIF(RawTotals!A$2:A1000, indirect("B13"), RawTotals!AC$2:AC1000)</f>
        <v>0</v>
      </c>
      <c r="I13" s="297">
        <f>SUMIF(RawTotals!A$2:A1000, indirect("B13"), RawTotals!W$2:W1000)</f>
        <v>0</v>
      </c>
      <c r="J13" s="298">
        <f>SUMIF(RawTotals!A$2:A1000, indirect("B13"), RawTotals!Q$2:Q1000)</f>
        <v>0</v>
      </c>
      <c r="K13" s="194"/>
      <c r="L13" s="194"/>
      <c r="M13" s="194"/>
      <c r="N13" s="194"/>
      <c r="O13" s="194"/>
      <c r="P13" s="194"/>
      <c r="Q13" s="194"/>
      <c r="R13" s="194"/>
      <c r="S13" s="194"/>
      <c r="T13" s="194"/>
      <c r="U13" s="194"/>
      <c r="V13" s="194"/>
      <c r="W13" s="194"/>
      <c r="X13" s="194"/>
      <c r="Y13" s="194"/>
      <c r="Z13" s="194"/>
    </row>
    <row r="14">
      <c r="A14" s="194"/>
      <c r="B14" s="15">
        <v>2992.0</v>
      </c>
      <c r="C14" s="299">
        <f>SUMIF(RawTotals!A$2:A1000, indirect("B14"), RawTotals!AG$2:AG1000)</f>
        <v>0</v>
      </c>
      <c r="D14" s="300">
        <f>SUMIF(RawTotals!A$2:A1000, indirect("B14"), RawTotals!AH$2:AH1000)</f>
        <v>0</v>
      </c>
      <c r="E14" s="301">
        <f>SUMIF(RawTotals!A$2:A1000, indirect("B14"), RawTotals!J$2:J1000)</f>
        <v>0</v>
      </c>
      <c r="F14" s="302">
        <f>SUMIF(RawTotals!A$2:A1000, indirect("B14"), RawTotals!D$2:D1000)</f>
        <v>0</v>
      </c>
      <c r="G14" s="303">
        <f>SUMIF(RawTotals!A$2:A1000, indirect("B14"), RawTotals!M$2:M1000)</f>
        <v>0</v>
      </c>
      <c r="H14" s="304">
        <f>SUMIF(RawTotals!A$2:A1000, indirect("B14"), RawTotals!AC$2:AC1000)</f>
        <v>0</v>
      </c>
      <c r="I14" s="289">
        <f>SUMIF(RawTotals!A$2:A1000, indirect("B14"), RawTotals!W$2:W1000)</f>
        <v>0</v>
      </c>
      <c r="J14" s="305">
        <f>SUMIF(RawTotals!A$2:A1000, indirect("B14"), RawTotals!Q$2:Q1000)</f>
        <v>0</v>
      </c>
      <c r="K14" s="194"/>
      <c r="L14" s="194"/>
      <c r="M14" s="194"/>
      <c r="N14" s="194"/>
      <c r="O14" s="194"/>
      <c r="P14" s="194"/>
      <c r="Q14" s="194"/>
      <c r="R14" s="194"/>
      <c r="S14" s="194"/>
      <c r="T14" s="194"/>
      <c r="U14" s="194"/>
      <c r="V14" s="194"/>
      <c r="W14" s="194"/>
      <c r="X14" s="194"/>
      <c r="Y14" s="194"/>
      <c r="Z14" s="194"/>
    </row>
    <row r="15">
      <c r="A15" s="194"/>
      <c r="B15" s="15">
        <v>180.0</v>
      </c>
      <c r="C15" s="306">
        <f>SUMIF(RawTotals!A$2:A1000, indirect("B15"), RawTotals!AG$2:AG1000)</f>
        <v>6.412088424</v>
      </c>
      <c r="D15" s="307">
        <f>SUMIF(RawTotals!A$2:A1000, indirect("B15"), RawTotals!AH$2:AH1000)</f>
        <v>5.964163329</v>
      </c>
      <c r="E15" s="301">
        <f>SUMIF(RawTotals!A$2:A1000, indirect("B15"), RawTotals!J$2:J1000)</f>
        <v>0.8541666667</v>
      </c>
      <c r="F15" s="298">
        <f>SUMIF(RawTotals!A$2:A1000, indirect("B15"), RawTotals!D$2:D1000)</f>
        <v>2.875</v>
      </c>
      <c r="G15" s="308">
        <f>SUMIF(RawTotals!A$2:A1000, indirect("B15"), RawTotals!M$2:M1000)</f>
        <v>18.625</v>
      </c>
      <c r="H15" s="251">
        <f>SUMIF(RawTotals!A$2:A1000, indirect("B15"), RawTotals!AC$2:AC1000)</f>
        <v>26</v>
      </c>
      <c r="I15" s="309">
        <f>SUMIF(RawTotals!A$2:A1000, indirect("B15"), RawTotals!W$2:W1000)</f>
        <v>0</v>
      </c>
      <c r="J15" s="253">
        <f>SUMIF(RawTotals!A$2:A1000, indirect("B15"), RawTotals!Q$2:Q1000)</f>
        <v>8.4</v>
      </c>
      <c r="K15" s="194"/>
      <c r="L15" s="194"/>
      <c r="M15" s="194"/>
      <c r="N15" s="194"/>
      <c r="O15" s="194"/>
      <c r="P15" s="194"/>
      <c r="Q15" s="194"/>
      <c r="R15" s="194"/>
      <c r="S15" s="194"/>
      <c r="T15" s="194"/>
      <c r="U15" s="194"/>
      <c r="V15" s="194"/>
      <c r="W15" s="194"/>
      <c r="X15" s="194"/>
      <c r="Y15" s="194"/>
      <c r="Z15" s="194"/>
    </row>
    <row r="16">
      <c r="A16" s="194"/>
      <c r="B16" s="15">
        <v>4522.0</v>
      </c>
      <c r="C16" s="310">
        <f>SUMIF(RawTotals!A$2:A1000, indirect("B16"), RawTotals!AG$2:AG1000)</f>
        <v>0</v>
      </c>
      <c r="D16" s="310">
        <f>SUMIF(RawTotals!A$2:A1000, indirect("B16"), RawTotals!AH$2:AH1000)</f>
        <v>0</v>
      </c>
      <c r="E16" s="311">
        <f>SUMIF(RawTotals!A$2:A1000, indirect("B16"), RawTotals!J$2:J1000)</f>
        <v>0</v>
      </c>
      <c r="F16" s="312">
        <f>SUMIF(RawTotals!A$2:A1000, indirect("B16"), RawTotals!D$2:D1000)</f>
        <v>0</v>
      </c>
      <c r="G16" s="313">
        <f>SUMIF(RawTotals!A$2:A1000, indirect("B16"), RawTotals!M$2:M1000)</f>
        <v>0</v>
      </c>
      <c r="H16" s="314">
        <f>SUMIF(RawTotals!A$2:A1000, indirect("B16"), RawTotals!AC$2:AC1000)</f>
        <v>0</v>
      </c>
      <c r="I16" s="260">
        <f>SUMIF(RawTotals!A$2:A1000, indirect("B16"), RawTotals!W$2:W1000)</f>
        <v>0</v>
      </c>
      <c r="J16" s="261">
        <f>SUMIF(RawTotals!A$2:A1000, indirect("B16"), RawTotals!Q$2:Q1000)</f>
        <v>0</v>
      </c>
      <c r="K16" s="194"/>
      <c r="L16" s="194"/>
      <c r="M16" s="194"/>
      <c r="N16" s="194"/>
      <c r="O16" s="194"/>
      <c r="P16" s="194"/>
      <c r="Q16" s="194"/>
      <c r="R16" s="194"/>
      <c r="S16" s="194"/>
      <c r="T16" s="194"/>
      <c r="U16" s="194"/>
      <c r="V16" s="194"/>
      <c r="W16" s="194"/>
      <c r="X16" s="194"/>
      <c r="Y16" s="194"/>
      <c r="Z16" s="194"/>
    </row>
    <row r="17">
      <c r="A17" s="194"/>
      <c r="B17" s="15">
        <v>525.0</v>
      </c>
      <c r="C17" s="315">
        <f>SUMIF(RawTotals!A$2:A1000, indirect("B17"), RawTotals!AG$2:AG1000)</f>
        <v>0</v>
      </c>
      <c r="D17" s="283">
        <f>SUMIF(RawTotals!A$2:A1000, indirect("B17"), RawTotals!AH$2:AH1000)</f>
        <v>0</v>
      </c>
      <c r="E17" s="316">
        <f>SUMIF(RawTotals!A$2:A1000, indirect("B17"), RawTotals!J$2:J1000)</f>
        <v>0</v>
      </c>
      <c r="F17" s="317">
        <f>SUMIF(RawTotals!A$2:A1000, indirect("B17"), RawTotals!D$2:D1000)</f>
        <v>0</v>
      </c>
      <c r="G17" s="318">
        <f>SUMIF(RawTotals!A$2:A1000, indirect("B17"), RawTotals!M$2:M1000)</f>
        <v>0</v>
      </c>
      <c r="H17" s="319">
        <f>SUMIF(RawTotals!A$2:A1000, indirect("B17"), RawTotals!AC$2:AC1000)</f>
        <v>0</v>
      </c>
      <c r="I17" s="277">
        <f>SUMIF(RawTotals!A$2:A1000, indirect("B17"), RawTotals!W$2:W1000)</f>
        <v>0</v>
      </c>
      <c r="J17" s="237">
        <f>SUMIF(RawTotals!A$2:A1000, indirect("B17"), RawTotals!Q$2:Q1000)</f>
        <v>0</v>
      </c>
      <c r="K17" s="194"/>
      <c r="L17" s="194"/>
      <c r="M17" s="194"/>
      <c r="N17" s="194"/>
      <c r="O17" s="194"/>
      <c r="P17" s="194"/>
      <c r="Q17" s="194"/>
      <c r="R17" s="194"/>
      <c r="S17" s="194"/>
      <c r="T17" s="194"/>
      <c r="U17" s="194"/>
      <c r="V17" s="194"/>
      <c r="W17" s="194"/>
      <c r="X17" s="194"/>
      <c r="Y17" s="194"/>
      <c r="Z17" s="194"/>
    </row>
    <row r="18">
      <c r="A18" s="194"/>
      <c r="B18" s="15">
        <v>5454.0</v>
      </c>
      <c r="C18" s="320">
        <f>SUMIF(RawTotals!A$2:A1000, indirect("B18"), RawTotals!AG$2:AG1000)</f>
        <v>0</v>
      </c>
      <c r="D18" s="303">
        <f>SUMIF(RawTotals!A$2:A1000, indirect("B18"), RawTotals!AH$2:AH1000)</f>
        <v>0</v>
      </c>
      <c r="E18" s="321">
        <f>SUMIF(RawTotals!A$2:A1000, indirect("B18"), RawTotals!J$2:J1000)</f>
        <v>0</v>
      </c>
      <c r="F18" s="322">
        <f>SUMIF(RawTotals!A$2:A1000, indirect("B18"), RawTotals!D$2:D1000)</f>
        <v>0</v>
      </c>
      <c r="G18" s="323">
        <f>SUMIF(RawTotals!A$2:A1000, indirect("B18"), RawTotals!M$2:M1000)</f>
        <v>0</v>
      </c>
      <c r="H18" s="314">
        <f>SUMIF(RawTotals!A$2:A1000, indirect("B18"), RawTotals!AC$2:AC1000)</f>
        <v>0</v>
      </c>
      <c r="I18" s="324">
        <f>SUMIF(RawTotals!A$2:A1000, indirect("B18"), RawTotals!W$2:W1000)</f>
        <v>0</v>
      </c>
      <c r="J18" s="325">
        <f>SUMIF(RawTotals!A$2:A1000, indirect("B18"), RawTotals!Q$2:Q1000)</f>
        <v>0</v>
      </c>
      <c r="K18" s="194"/>
      <c r="L18" s="194"/>
      <c r="M18" s="194"/>
      <c r="N18" s="194"/>
      <c r="O18" s="194"/>
      <c r="P18" s="194"/>
      <c r="Q18" s="194"/>
      <c r="R18" s="194"/>
      <c r="S18" s="194"/>
      <c r="T18" s="194"/>
      <c r="U18" s="194"/>
      <c r="V18" s="194"/>
      <c r="W18" s="194"/>
      <c r="X18" s="194"/>
      <c r="Y18" s="194"/>
      <c r="Z18" s="194"/>
    </row>
    <row r="19">
      <c r="A19" s="194"/>
      <c r="B19" s="15">
        <v>4926.0</v>
      </c>
      <c r="C19" s="326">
        <f>SUMIF(RawTotals!A$2:A1000, indirect("B19"), RawTotals!AG$2:AG1000)</f>
        <v>-0.9326478348</v>
      </c>
      <c r="D19" s="327">
        <f>SUMIF(RawTotals!A$2:A1000, indirect("B19"), RawTotals!AH$2:AH1000)</f>
        <v>-0.1978394762</v>
      </c>
      <c r="E19" s="280">
        <f>SUMIF(RawTotals!A$2:A1000, indirect("B19"), RawTotals!J$2:J1000)</f>
        <v>0.6753246753</v>
      </c>
      <c r="F19" s="293">
        <f>SUMIF(RawTotals!A$2:A1000, indirect("B19"), RawTotals!D$2:D1000)</f>
        <v>1</v>
      </c>
      <c r="G19" s="328">
        <f>SUMIF(RawTotals!A$2:A1000, indirect("B19"), RawTotals!M$2:M1000)</f>
        <v>5.714285714</v>
      </c>
      <c r="H19" s="319">
        <f>SUMIF(RawTotals!A$2:A1000, indirect("B19"), RawTotals!AC$2:AC1000)</f>
        <v>14</v>
      </c>
      <c r="I19" s="267">
        <f>SUMIF(RawTotals!A$2:A1000, indirect("B19"), RawTotals!W$2:W1000)</f>
        <v>0.5714285714</v>
      </c>
      <c r="J19" s="237">
        <f>SUMIF(RawTotals!A$2:A1000, indirect("B19"), RawTotals!Q$2:Q1000)</f>
        <v>14</v>
      </c>
      <c r="K19" s="194"/>
      <c r="L19" s="194"/>
      <c r="M19" s="194"/>
      <c r="N19" s="194"/>
      <c r="O19" s="194"/>
      <c r="P19" s="194"/>
      <c r="Q19" s="194"/>
      <c r="R19" s="194"/>
      <c r="S19" s="194"/>
      <c r="T19" s="194"/>
      <c r="U19" s="194"/>
      <c r="V19" s="194"/>
      <c r="W19" s="194"/>
      <c r="X19" s="194"/>
      <c r="Y19" s="194"/>
      <c r="Z19" s="194"/>
    </row>
    <row r="20">
      <c r="A20" s="194"/>
      <c r="B20" s="15">
        <v>1706.0</v>
      </c>
      <c r="C20" s="329">
        <f>SUMIF(RawTotals!A$2:A1000, indirect("B20"), RawTotals!AG$2:AG1000)</f>
        <v>1.454478513</v>
      </c>
      <c r="D20" s="330">
        <f>SUMIF(RawTotals!A$2:A1000, indirect("B20"), RawTotals!AH$2:AH1000)</f>
        <v>-0.2606609974</v>
      </c>
      <c r="E20" s="238">
        <f>SUMIF(RawTotals!A$2:A1000, indirect("B20"), RawTotals!J$2:J1000)</f>
        <v>1</v>
      </c>
      <c r="F20" s="331">
        <f>SUMIF(RawTotals!A$2:A1000, indirect("B20"), RawTotals!D$2:D1000)</f>
        <v>3.285714286</v>
      </c>
      <c r="G20" s="237">
        <f>SUMIF(RawTotals!A$2:A1000, indirect("B20"), RawTotals!M$2:M1000)</f>
        <v>17.71428571</v>
      </c>
      <c r="H20" s="332">
        <f>SUMIF(RawTotals!A$2:A1000, indirect("B20"), RawTotals!AC$2:AC1000)</f>
        <v>24</v>
      </c>
      <c r="I20" s="333">
        <f>SUMIF(RawTotals!A$2:A1000, indirect("B20"), RawTotals!W$2:W1000)</f>
        <v>0</v>
      </c>
      <c r="J20" s="334">
        <f>SUMIF(RawTotals!A$2:A1000, indirect("B20"), RawTotals!Q$2:Q1000)</f>
        <v>2.4</v>
      </c>
      <c r="K20" s="194"/>
      <c r="L20" s="194"/>
      <c r="M20" s="194"/>
      <c r="N20" s="194"/>
      <c r="O20" s="194"/>
      <c r="P20" s="194"/>
      <c r="Q20" s="194"/>
      <c r="R20" s="194"/>
      <c r="S20" s="194"/>
      <c r="T20" s="194"/>
      <c r="U20" s="194"/>
      <c r="V20" s="194"/>
      <c r="W20" s="194"/>
      <c r="X20" s="194"/>
      <c r="Y20" s="194"/>
      <c r="Z20" s="194"/>
    </row>
    <row r="21">
      <c r="A21" s="194"/>
      <c r="B21" s="15">
        <v>177.0</v>
      </c>
      <c r="C21" s="294">
        <f>SUMIF(RawTotals!A$2:A1000, indirect("B21"), RawTotals!AG$2:AG1000)</f>
        <v>0</v>
      </c>
      <c r="D21" s="276">
        <f>SUMIF(RawTotals!A$2:A1000, indirect("B21"), RawTotals!AH$2:AH1000)</f>
        <v>0</v>
      </c>
      <c r="E21" s="238">
        <f>SUMIF(RawTotals!A$2:A1000, indirect("B21"), RawTotals!J$2:J1000)</f>
        <v>0</v>
      </c>
      <c r="F21" s="335">
        <f>SUMIF(RawTotals!A$2:A1000, indirect("B21"), RawTotals!D$2:D1000)</f>
        <v>0</v>
      </c>
      <c r="G21" s="336">
        <f>SUMIF(RawTotals!A$2:A1000, indirect("B21"), RawTotals!M$2:M1000)</f>
        <v>0</v>
      </c>
      <c r="H21" s="337">
        <f>SUMIF(RawTotals!A$2:A1000, indirect("B21"), RawTotals!AC$2:AC1000)</f>
        <v>0</v>
      </c>
      <c r="I21" s="255">
        <f>SUMIF(RawTotals!A$2:A1000, indirect("B21"), RawTotals!W$2:W1000)</f>
        <v>0</v>
      </c>
      <c r="J21" s="256">
        <f>SUMIF(RawTotals!A$2:A1000, indirect("B21"), RawTotals!Q$2:Q1000)</f>
        <v>0</v>
      </c>
      <c r="K21" s="194"/>
      <c r="L21" s="194"/>
      <c r="M21" s="194"/>
      <c r="N21" s="194"/>
      <c r="O21" s="194"/>
      <c r="P21" s="194"/>
      <c r="Q21" s="194"/>
      <c r="R21" s="194"/>
      <c r="S21" s="194"/>
      <c r="T21" s="194"/>
      <c r="U21" s="194"/>
      <c r="V21" s="194"/>
      <c r="W21" s="194"/>
      <c r="X21" s="194"/>
      <c r="Y21" s="194"/>
      <c r="Z21" s="194"/>
    </row>
    <row r="22">
      <c r="A22" s="194"/>
      <c r="B22" s="15">
        <v>2771.0</v>
      </c>
      <c r="C22" s="283">
        <f>SUMIF(RawTotals!A$2:A1000, indirect("B22"), RawTotals!AG$2:AG1000)</f>
        <v>0</v>
      </c>
      <c r="D22" s="323">
        <f>SUMIF(RawTotals!A$2:A1000, indirect("B22"), RawTotals!AH$2:AH1000)</f>
        <v>0</v>
      </c>
      <c r="E22" s="238">
        <f>SUMIF(RawTotals!A$2:A1000, indirect("B22"), RawTotals!J$2:J1000)</f>
        <v>0</v>
      </c>
      <c r="F22" s="338">
        <f>SUMIF(RawTotals!A$2:A1000, indirect("B22"), RawTotals!D$2:D1000)</f>
        <v>0</v>
      </c>
      <c r="G22" s="339">
        <f>SUMIF(RawTotals!A$2:A1000, indirect("B22"), RawTotals!M$2:M1000)</f>
        <v>0</v>
      </c>
      <c r="H22" s="314">
        <f>SUMIF(RawTotals!A$2:A1000, indirect("B22"), RawTotals!AC$2:AC1000)</f>
        <v>0</v>
      </c>
      <c r="I22" s="272">
        <f>SUMIF(RawTotals!A$2:A1000, indirect("B22"), RawTotals!W$2:W1000)</f>
        <v>0</v>
      </c>
      <c r="J22" s="237">
        <f>SUMIF(RawTotals!A$2:A1000, indirect("B22"), RawTotals!Q$2:Q1000)</f>
        <v>0</v>
      </c>
      <c r="K22" s="194"/>
      <c r="L22" s="194"/>
      <c r="M22" s="194"/>
      <c r="N22" s="194"/>
      <c r="O22" s="194"/>
      <c r="P22" s="194"/>
      <c r="Q22" s="194"/>
      <c r="R22" s="194"/>
      <c r="S22" s="194"/>
      <c r="T22" s="194"/>
      <c r="U22" s="194"/>
      <c r="V22" s="194"/>
      <c r="W22" s="194"/>
      <c r="X22" s="194"/>
      <c r="Y22" s="194"/>
      <c r="Z22" s="194"/>
    </row>
    <row r="23">
      <c r="A23" s="194"/>
      <c r="B23" s="15">
        <v>2252.0</v>
      </c>
      <c r="C23" s="340">
        <f>SUMIF(RawTotals!A$2:A1000, indirect("B23"), RawTotals!AG$2:AG1000)</f>
        <v>0</v>
      </c>
      <c r="D23" s="341">
        <f>SUMIF(RawTotals!A$2:A1000, indirect("B23"), RawTotals!AH$2:AH1000)</f>
        <v>0</v>
      </c>
      <c r="E23" s="238">
        <f>SUMIF(RawTotals!A$2:A1000, indirect("B23"), RawTotals!J$2:J1000)</f>
        <v>0</v>
      </c>
      <c r="F23" s="313">
        <f>SUMIF(RawTotals!A$2:A1000, indirect("B23"), RawTotals!D$2:D1000)</f>
        <v>0</v>
      </c>
      <c r="G23" s="342">
        <f>SUMIF(RawTotals!A$2:A1000, indirect("B23"), RawTotals!M$2:M1000)</f>
        <v>0</v>
      </c>
      <c r="H23" s="319">
        <f>SUMIF(RawTotals!A$2:A1000, indirect("B23"), RawTotals!AC$2:AC1000)</f>
        <v>0</v>
      </c>
      <c r="I23" s="289">
        <f>SUMIF(RawTotals!A$2:A1000, indirect("B23"), RawTotals!W$2:W1000)</f>
        <v>0</v>
      </c>
      <c r="J23" s="343">
        <f>SUMIF(RawTotals!A$2:A1000, indirect("B23"), RawTotals!Q$2:Q1000)</f>
        <v>0</v>
      </c>
      <c r="K23" s="194"/>
      <c r="L23" s="194"/>
      <c r="M23" s="194"/>
      <c r="N23" s="194"/>
      <c r="O23" s="194"/>
      <c r="P23" s="194"/>
      <c r="Q23" s="194"/>
      <c r="R23" s="194"/>
      <c r="S23" s="194"/>
      <c r="T23" s="194"/>
      <c r="U23" s="194"/>
      <c r="V23" s="194"/>
      <c r="W23" s="194"/>
      <c r="X23" s="194"/>
      <c r="Y23" s="194"/>
      <c r="Z23" s="194"/>
    </row>
    <row r="24">
      <c r="A24" s="194"/>
      <c r="B24" s="15">
        <v>1807.0</v>
      </c>
      <c r="C24" s="344">
        <f>SUMIF(RawTotals!A$2:A1000, indirect("B24"), RawTotals!AG$2:AG1000)</f>
        <v>0</v>
      </c>
      <c r="D24" s="345">
        <f>SUMIF(RawTotals!A$2:A1000, indirect("B24"), RawTotals!AH$2:AH1000)</f>
        <v>0</v>
      </c>
      <c r="E24" s="346">
        <f>SUMIF(RawTotals!A$2:A1000, indirect("B24"), RawTotals!J$2:J1000)</f>
        <v>0</v>
      </c>
      <c r="F24" s="335">
        <f>SUMIF(RawTotals!A$2:A1000, indirect("B24"), RawTotals!D$2:D1000)</f>
        <v>0</v>
      </c>
      <c r="G24" s="328">
        <f>SUMIF(RawTotals!A$2:A1000, indirect("B24"), RawTotals!M$2:M1000)</f>
        <v>0</v>
      </c>
      <c r="H24" s="317">
        <f>SUMIF(RawTotals!A$2:A1000, indirect("B24"), RawTotals!AC$2:AC1000)</f>
        <v>0</v>
      </c>
      <c r="I24" s="255">
        <f>SUMIF(RawTotals!A$2:A1000, indirect("B24"), RawTotals!W$2:W1000)</f>
        <v>0</v>
      </c>
      <c r="J24" s="256">
        <f>SUMIF(RawTotals!A$2:A1000, indirect("B24"), RawTotals!Q$2:Q1000)</f>
        <v>0</v>
      </c>
      <c r="K24" s="194"/>
      <c r="L24" s="194"/>
      <c r="M24" s="194"/>
      <c r="N24" s="194"/>
      <c r="O24" s="194"/>
      <c r="P24" s="194"/>
      <c r="Q24" s="194"/>
      <c r="R24" s="194"/>
      <c r="S24" s="194"/>
      <c r="T24" s="194"/>
      <c r="U24" s="194"/>
      <c r="V24" s="194"/>
      <c r="W24" s="194"/>
      <c r="X24" s="194"/>
      <c r="Y24" s="194"/>
      <c r="Z24" s="194"/>
    </row>
    <row r="25">
      <c r="A25" s="194"/>
      <c r="B25" s="15">
        <v>3128.0</v>
      </c>
      <c r="C25" s="347">
        <f>SUMIF(RawTotals!A$2:A1000, indirect("B25"), RawTotals!AG$2:AG1000)</f>
        <v>0</v>
      </c>
      <c r="D25" s="348">
        <f>SUMIF(RawTotals!A$2:A1000, indirect("B25"), RawTotals!AH$2:AH1000)</f>
        <v>0</v>
      </c>
      <c r="E25" s="238">
        <f>SUMIF(RawTotals!A$2:A1000, indirect("B25"), RawTotals!J$2:J1000)</f>
        <v>0</v>
      </c>
      <c r="F25" s="314">
        <f>SUMIF(RawTotals!A$2:A1000, indirect("B25"), RawTotals!D$2:D1000)</f>
        <v>0</v>
      </c>
      <c r="G25" s="349">
        <f>SUMIF(RawTotals!A$2:A1000, indirect("B25"), RawTotals!M$2:M1000)</f>
        <v>0</v>
      </c>
      <c r="H25" s="350">
        <f>SUMIF(RawTotals!A$2:A1000, indirect("B25"), RawTotals!AC$2:AC1000)</f>
        <v>0</v>
      </c>
      <c r="I25" s="351">
        <f>SUMIF(RawTotals!A$2:A1000, indirect("B25"), RawTotals!W$2:W1000)</f>
        <v>0</v>
      </c>
      <c r="J25" s="237">
        <f>SUMIF(RawTotals!A$2:A1000, indirect("B25"), RawTotals!Q$2:Q1000)</f>
        <v>0</v>
      </c>
      <c r="K25" s="194"/>
      <c r="L25" s="194"/>
      <c r="M25" s="194"/>
      <c r="N25" s="194"/>
      <c r="O25" s="194"/>
      <c r="P25" s="194"/>
      <c r="Q25" s="194"/>
      <c r="R25" s="194"/>
      <c r="S25" s="194"/>
      <c r="T25" s="194"/>
      <c r="U25" s="194"/>
      <c r="V25" s="194"/>
      <c r="W25" s="194"/>
      <c r="X25" s="194"/>
      <c r="Y25" s="194"/>
      <c r="Z25" s="194"/>
    </row>
    <row r="26">
      <c r="A26" s="194"/>
      <c r="B26" s="15">
        <v>201.0</v>
      </c>
      <c r="C26" s="352">
        <f>SUMIF(RawTotals!A$2:A1000, indirect("B26"), RawTotals!AG$2:AG1000)</f>
        <v>0</v>
      </c>
      <c r="D26" s="353">
        <f>SUMIF(RawTotals!A$2:A1000, indirect("B26"), RawTotals!AH$2:AH1000)</f>
        <v>0</v>
      </c>
      <c r="E26" s="354">
        <f>SUMIF(RawTotals!A$2:A1000, indirect("B26"), RawTotals!J$2:J1000)</f>
        <v>0</v>
      </c>
      <c r="F26" s="334">
        <f>SUMIF(RawTotals!A$2:A1000, indirect("B26"), RawTotals!D$2:D1000)</f>
        <v>0</v>
      </c>
      <c r="G26" s="355">
        <f>SUMIF(RawTotals!A$2:A1000, indirect("B26"), RawTotals!M$2:M1000)</f>
        <v>0</v>
      </c>
      <c r="H26" s="283">
        <f>SUMIF(RawTotals!A$2:A1000, indirect("B26"), RawTotals!AC$2:AC1000)</f>
        <v>0</v>
      </c>
      <c r="I26" s="297">
        <f>SUMIF(RawTotals!A$2:A1000, indirect("B26"), RawTotals!W$2:W1000)</f>
        <v>0</v>
      </c>
      <c r="J26" s="298">
        <f>SUMIF(RawTotals!A$2:A1000, indirect("B26"), RawTotals!Q$2:Q1000)</f>
        <v>0</v>
      </c>
      <c r="K26" s="194"/>
      <c r="L26" s="194"/>
      <c r="M26" s="194"/>
      <c r="N26" s="194"/>
      <c r="O26" s="194"/>
      <c r="P26" s="194"/>
      <c r="Q26" s="194"/>
      <c r="R26" s="194"/>
      <c r="S26" s="194"/>
      <c r="T26" s="194"/>
      <c r="U26" s="194"/>
      <c r="V26" s="194"/>
      <c r="W26" s="194"/>
      <c r="X26" s="194"/>
      <c r="Y26" s="194"/>
      <c r="Z26" s="194"/>
    </row>
    <row r="27">
      <c r="A27" s="194"/>
      <c r="B27" s="15">
        <v>4201.0</v>
      </c>
      <c r="C27" s="356">
        <f>SUMIF(RawTotals!A$2:A1000, indirect("B27"), RawTotals!AG$2:AG1000)</f>
        <v>0</v>
      </c>
      <c r="D27" s="357">
        <f>SUMIF(RawTotals!A$2:A1000, indirect("B27"), RawTotals!AH$2:AH1000)</f>
        <v>0</v>
      </c>
      <c r="E27" s="358">
        <f>SUMIF(RawTotals!A$2:A1000, indirect("B27"), RawTotals!J$2:J1000)</f>
        <v>0</v>
      </c>
      <c r="F27" s="359">
        <f>SUMIF(RawTotals!A$2:A1000, indirect("B27"), RawTotals!D$2:D1000)</f>
        <v>0</v>
      </c>
      <c r="G27" s="247">
        <f>SUMIF(RawTotals!A$2:A1000, indirect("B27"), RawTotals!M$2:M1000)</f>
        <v>0</v>
      </c>
      <c r="H27" s="243">
        <f>SUMIF(RawTotals!A$2:A1000, indirect("B27"), RawTotals!AC$2:AC1000)</f>
        <v>0</v>
      </c>
      <c r="I27" s="333">
        <f>SUMIF(RawTotals!A$2:A1000, indirect("B27"), RawTotals!W$2:W1000)</f>
        <v>0</v>
      </c>
      <c r="J27" s="336">
        <f>SUMIF(RawTotals!A$2:A1000, indirect("B27"), RawTotals!Q$2:Q1000)</f>
        <v>0</v>
      </c>
      <c r="K27" s="194"/>
      <c r="L27" s="194"/>
      <c r="M27" s="194"/>
      <c r="N27" s="194"/>
      <c r="O27" s="194"/>
      <c r="P27" s="194"/>
      <c r="Q27" s="194"/>
      <c r="R27" s="194"/>
      <c r="S27" s="194"/>
      <c r="T27" s="194"/>
      <c r="U27" s="194"/>
      <c r="V27" s="194"/>
      <c r="W27" s="194"/>
      <c r="X27" s="194"/>
      <c r="Y27" s="194"/>
      <c r="Z27" s="194"/>
    </row>
    <row r="28">
      <c r="A28" s="194"/>
      <c r="B28" s="15">
        <v>2135.0</v>
      </c>
      <c r="C28" s="360">
        <f>SUMIF(RawTotals!A$2:A1000, indirect("B28"), RawTotals!AG$2:AG1000)</f>
        <v>0</v>
      </c>
      <c r="D28" s="303">
        <f>SUMIF(RawTotals!A$2:A1000, indirect("B28"), RawTotals!AH$2:AH1000)</f>
        <v>0</v>
      </c>
      <c r="E28" s="301">
        <f>SUMIF(RawTotals!A$2:A1000, indirect("B28"), RawTotals!J$2:J1000)</f>
        <v>0</v>
      </c>
      <c r="F28" s="322">
        <f>SUMIF(RawTotals!A$2:A1000, indirect("B28"), RawTotals!D$2:D1000)</f>
        <v>0</v>
      </c>
      <c r="G28" s="349">
        <f>SUMIF(RawTotals!A$2:A1000, indirect("B28"), RawTotals!M$2:M1000)</f>
        <v>0</v>
      </c>
      <c r="H28" s="317">
        <f>SUMIF(RawTotals!A$2:A1000, indirect("B28"), RawTotals!AC$2:AC1000)</f>
        <v>0</v>
      </c>
      <c r="I28" s="361">
        <f>SUMIF(RawTotals!A$2:A1000, indirect("B28"), RawTotals!W$2:W1000)</f>
        <v>0</v>
      </c>
      <c r="J28" s="237">
        <f>SUMIF(RawTotals!A$2:A1000, indirect("B28"), RawTotals!Q$2:Q1000)</f>
        <v>0</v>
      </c>
      <c r="K28" s="194"/>
      <c r="L28" s="194"/>
      <c r="M28" s="194"/>
      <c r="N28" s="194"/>
      <c r="O28" s="194"/>
      <c r="P28" s="194"/>
      <c r="Q28" s="194"/>
      <c r="R28" s="194"/>
      <c r="S28" s="194"/>
      <c r="T28" s="194"/>
      <c r="U28" s="194"/>
      <c r="V28" s="194"/>
      <c r="W28" s="194"/>
      <c r="X28" s="194"/>
      <c r="Y28" s="194"/>
      <c r="Z28" s="194"/>
    </row>
    <row r="29">
      <c r="A29" s="194"/>
      <c r="B29" s="15">
        <v>2443.0</v>
      </c>
      <c r="C29" s="362">
        <f>SUMIF(RawTotals!A$2:A1000, indirect("B29"), RawTotals!AG$2:AG1000)</f>
        <v>0</v>
      </c>
      <c r="D29" s="363">
        <f>SUMIF(RawTotals!A$2:A1000, indirect("B29"), RawTotals!AH$2:AH1000)</f>
        <v>0</v>
      </c>
      <c r="E29" s="321">
        <f>SUMIF(RawTotals!A$2:A1000, indirect("B29"), RawTotals!J$2:J1000)</f>
        <v>0</v>
      </c>
      <c r="F29" s="364">
        <f>SUMIF(RawTotals!A$2:A1000, indirect("B29"), RawTotals!D$2:D1000)</f>
        <v>0</v>
      </c>
      <c r="G29" s="365">
        <f>SUMIF(RawTotals!A$2:A1000, indirect("B29"), RawTotals!M$2:M1000)</f>
        <v>0</v>
      </c>
      <c r="H29" s="366">
        <f>SUMIF(RawTotals!A$2:A1000, indirect("B29"), RawTotals!AC$2:AC1000)</f>
        <v>0</v>
      </c>
      <c r="I29" s="367">
        <f>SUMIF(RawTotals!A$2:A1000, indirect("B29"), RawTotals!W$2:W1000)</f>
        <v>0</v>
      </c>
      <c r="J29" s="237">
        <f>SUMIF(RawTotals!A$2:A1000, indirect("B29"), RawTotals!Q$2:Q1000)</f>
        <v>0</v>
      </c>
      <c r="K29" s="194"/>
      <c r="L29" s="194"/>
      <c r="M29" s="194"/>
      <c r="N29" s="194"/>
      <c r="O29" s="194"/>
      <c r="P29" s="194"/>
      <c r="Q29" s="194"/>
      <c r="R29" s="194"/>
      <c r="S29" s="194"/>
      <c r="T29" s="194"/>
      <c r="U29" s="194"/>
      <c r="V29" s="194"/>
      <c r="W29" s="194"/>
      <c r="X29" s="194"/>
      <c r="Y29" s="194"/>
      <c r="Z29" s="194"/>
    </row>
    <row r="30">
      <c r="A30" s="194"/>
      <c r="B30" s="15">
        <v>3478.0</v>
      </c>
      <c r="C30" s="368">
        <f>SUMIF(RawTotals!A$2:A1000, indirect("B30"), RawTotals!AG$2:AG1000)</f>
        <v>0</v>
      </c>
      <c r="D30" s="369">
        <f>SUMIF(RawTotals!A$2:A1000, indirect("B30"), RawTotals!AH$2:AH1000)</f>
        <v>0</v>
      </c>
      <c r="E30" s="370">
        <f>SUMIF(RawTotals!A$2:A1000, indirect("B30"), RawTotals!J$2:J1000)</f>
        <v>0</v>
      </c>
      <c r="F30" s="312">
        <f>SUMIF(RawTotals!A$2:A1000, indirect("B30"), RawTotals!D$2:D1000)</f>
        <v>0</v>
      </c>
      <c r="G30" s="332">
        <f>SUMIF(RawTotals!A$2:A1000, indirect("B30"), RawTotals!M$2:M1000)</f>
        <v>0</v>
      </c>
      <c r="H30" s="243">
        <f>SUMIF(RawTotals!A$2:A1000, indirect("B30"), RawTotals!AC$2:AC1000)</f>
        <v>0</v>
      </c>
      <c r="I30" s="333">
        <f>SUMIF(RawTotals!A$2:A1000, indirect("B30"), RawTotals!W$2:W1000)</f>
        <v>0</v>
      </c>
      <c r="J30" s="371">
        <f>SUMIF(RawTotals!A$2:A1000, indirect("B30"), RawTotals!Q$2:Q1000)</f>
        <v>0</v>
      </c>
      <c r="K30" s="194"/>
      <c r="L30" s="194"/>
      <c r="M30" s="194"/>
      <c r="N30" s="194"/>
      <c r="O30" s="194"/>
      <c r="P30" s="194"/>
      <c r="Q30" s="194"/>
      <c r="R30" s="194"/>
      <c r="S30" s="194"/>
      <c r="T30" s="194"/>
      <c r="U30" s="194"/>
      <c r="V30" s="194"/>
      <c r="W30" s="194"/>
      <c r="X30" s="194"/>
      <c r="Y30" s="194"/>
      <c r="Z30" s="194"/>
    </row>
    <row r="31">
      <c r="A31" s="194"/>
      <c r="B31" s="15">
        <v>3512.0</v>
      </c>
      <c r="C31" s="337">
        <f>SUMIF(RawTotals!A$2:A1000, indirect("B31"), RawTotals!AG$2:AG1000)</f>
        <v>0</v>
      </c>
      <c r="D31" s="372">
        <f>SUMIF(RawTotals!A$2:A1000, indirect("B31"), RawTotals!AH$2:AH1000)</f>
        <v>0</v>
      </c>
      <c r="E31" s="373">
        <f>SUMIF(RawTotals!A$2:A1000, indirect("B31"), RawTotals!J$2:J1000)</f>
        <v>0</v>
      </c>
      <c r="F31" s="374">
        <f>SUMIF(RawTotals!A$2:A1000, indirect("B31"), RawTotals!D$2:D1000)</f>
        <v>0</v>
      </c>
      <c r="G31" s="375">
        <f>SUMIF(RawTotals!A$2:A1000, indirect("B31"), RawTotals!M$2:M1000)</f>
        <v>0</v>
      </c>
      <c r="H31" s="376">
        <f>SUMIF(RawTotals!A$2:A1000, indirect("B31"), RawTotals!AC$2:AC1000)</f>
        <v>0</v>
      </c>
      <c r="I31" s="255">
        <f>SUMIF(RawTotals!A$2:A1000, indirect("B31"), RawTotals!W$2:W1000)</f>
        <v>0</v>
      </c>
      <c r="J31" s="377">
        <f>SUMIF(RawTotals!A$2:A1000, indirect("B31"), RawTotals!Q$2:Q1000)</f>
        <v>0</v>
      </c>
      <c r="K31" s="194"/>
      <c r="L31" s="194"/>
      <c r="M31" s="194"/>
      <c r="N31" s="194"/>
      <c r="O31" s="194"/>
      <c r="P31" s="194"/>
      <c r="Q31" s="194"/>
      <c r="R31" s="194"/>
      <c r="S31" s="194"/>
      <c r="T31" s="194"/>
      <c r="U31" s="194"/>
      <c r="V31" s="194"/>
      <c r="W31" s="194"/>
      <c r="X31" s="194"/>
      <c r="Y31" s="194"/>
      <c r="Z31" s="194"/>
    </row>
    <row r="32">
      <c r="A32" s="194"/>
      <c r="B32" s="15">
        <v>4213.0</v>
      </c>
      <c r="C32" s="378">
        <f>SUMIF(RawTotals!A$2:A1000, indirect("B32"), RawTotals!AG$2:AG1000)</f>
        <v>0</v>
      </c>
      <c r="D32" s="369">
        <f>SUMIF(RawTotals!A$2:A1000, indirect("B32"), RawTotals!AH$2:AH1000)</f>
        <v>0</v>
      </c>
      <c r="E32" s="379">
        <f>SUMIF(RawTotals!A$2:A1000, indirect("B32"), RawTotals!J$2:J1000)</f>
        <v>0</v>
      </c>
      <c r="F32" s="380">
        <f>SUMIF(RawTotals!A$2:A1000, indirect("B32"), RawTotals!D$2:D1000)</f>
        <v>0</v>
      </c>
      <c r="G32" s="381">
        <f>SUMIF(RawTotals!A$2:A1000, indirect("B32"), RawTotals!M$2:M1000)</f>
        <v>0</v>
      </c>
      <c r="H32" s="319">
        <f>SUMIF(RawTotals!A$2:A1000, indirect("B32"), RawTotals!AC$2:AC1000)</f>
        <v>0</v>
      </c>
      <c r="I32" s="255">
        <f>SUMIF(RawTotals!A$2:A1000, indirect("B32"), RawTotals!W$2:W1000)</f>
        <v>0</v>
      </c>
      <c r="J32" s="256">
        <f>SUMIF(RawTotals!A$2:A1000, indirect("B32"), RawTotals!Q$2:Q1000)</f>
        <v>0</v>
      </c>
      <c r="K32" s="194"/>
      <c r="L32" s="194"/>
      <c r="M32" s="194"/>
      <c r="N32" s="194"/>
      <c r="O32" s="194"/>
      <c r="P32" s="194"/>
      <c r="Q32" s="194"/>
      <c r="R32" s="194"/>
      <c r="S32" s="194"/>
      <c r="T32" s="194"/>
      <c r="U32" s="194"/>
      <c r="V32" s="194"/>
      <c r="W32" s="194"/>
      <c r="X32" s="194"/>
      <c r="Y32" s="194"/>
      <c r="Z32" s="194"/>
    </row>
    <row r="33">
      <c r="A33" s="194"/>
      <c r="B33" s="15">
        <v>6420.0</v>
      </c>
      <c r="C33" s="378">
        <f>SUMIF(RawTotals!A$2:A1000, indirect("B33"), RawTotals!AG$2:AG1000)</f>
        <v>0</v>
      </c>
      <c r="D33" s="382">
        <f>SUMIF(RawTotals!A$2:A1000, indirect("B33"), RawTotals!AH$2:AH1000)</f>
        <v>0</v>
      </c>
      <c r="E33" s="383">
        <f>SUMIF(RawTotals!A$2:A1000, indirect("B33"), RawTotals!J$2:J1000)</f>
        <v>0</v>
      </c>
      <c r="F33" s="366">
        <f>SUMIF(RawTotals!A$2:A1000, indirect("B33"), RawTotals!D$2:D1000)</f>
        <v>0</v>
      </c>
      <c r="G33" s="384">
        <f>SUMIF(RawTotals!A$2:A1000, indirect("B33"), RawTotals!M$2:M1000)</f>
        <v>0</v>
      </c>
      <c r="H33" s="385">
        <f>SUMIF(RawTotals!A$2:A1000, indirect("B33"), RawTotals!AC$2:AC1000)</f>
        <v>0</v>
      </c>
      <c r="I33" s="277">
        <f>SUMIF(RawTotals!A$2:A1000, indirect("B33"), RawTotals!W$2:W1000)</f>
        <v>0</v>
      </c>
      <c r="J33" s="237">
        <f>SUMIF(RawTotals!A$2:A1000, indirect("B33"), RawTotals!Q$2:Q1000)</f>
        <v>0</v>
      </c>
      <c r="K33" s="194"/>
      <c r="L33" s="194"/>
      <c r="M33" s="194"/>
      <c r="N33" s="194"/>
      <c r="O33" s="194"/>
      <c r="P33" s="194"/>
      <c r="Q33" s="194"/>
      <c r="R33" s="194"/>
      <c r="S33" s="194"/>
      <c r="T33" s="194"/>
      <c r="U33" s="194"/>
      <c r="V33" s="194"/>
      <c r="W33" s="194"/>
      <c r="X33" s="194"/>
      <c r="Y33" s="194"/>
      <c r="Z33" s="194"/>
    </row>
    <row r="34">
      <c r="A34" s="194"/>
      <c r="B34" s="15">
        <v>2614.0</v>
      </c>
      <c r="C34" s="322">
        <f>SUMIF(RawTotals!A$2:A1000, indirect("B34"), RawTotals!AG$2:AG1000)</f>
        <v>-11.09079301</v>
      </c>
      <c r="D34" s="386">
        <f>SUMIF(RawTotals!A$2:A1000, indirect("B34"), RawTotals!AH$2:AH1000)</f>
        <v>-12.55248963</v>
      </c>
      <c r="E34" s="387">
        <f>SUMIF(RawTotals!A$2:A1000, indirect("B34"), RawTotals!J$2:J1000)</f>
        <v>0.6696428571</v>
      </c>
      <c r="F34" s="388">
        <f>SUMIF(RawTotals!A$2:A1000, indirect("B34"), RawTotals!D$2:D1000)</f>
        <v>1.25</v>
      </c>
      <c r="G34" s="375">
        <f>SUMIF(RawTotals!A$2:A1000, indirect("B34"), RawTotals!M$2:M1000)</f>
        <v>5</v>
      </c>
      <c r="H34" s="314">
        <f>SUMIF(RawTotals!A$2:A1000, indirect("B34"), RawTotals!AC$2:AC1000)</f>
        <v>9</v>
      </c>
      <c r="I34" s="389">
        <f>SUMIF(RawTotals!A$2:A1000, indirect("B34"), RawTotals!W$2:W1000)</f>
        <v>0</v>
      </c>
      <c r="J34" s="390">
        <f>SUMIF(RawTotals!A$2:A1000, indirect("B34"), RawTotals!Q$2:Q1000)</f>
        <v>3.6</v>
      </c>
      <c r="K34" s="194"/>
      <c r="L34" s="194"/>
      <c r="M34" s="194"/>
      <c r="N34" s="194"/>
      <c r="O34" s="194"/>
      <c r="P34" s="194"/>
      <c r="Q34" s="194"/>
      <c r="R34" s="194"/>
      <c r="S34" s="194"/>
      <c r="T34" s="194"/>
      <c r="U34" s="194"/>
      <c r="V34" s="194"/>
      <c r="W34" s="194"/>
      <c r="X34" s="194"/>
      <c r="Y34" s="194"/>
      <c r="Z34" s="194"/>
    </row>
    <row r="35">
      <c r="A35" s="194"/>
      <c r="B35" s="15">
        <v>5505.0</v>
      </c>
      <c r="C35" s="342">
        <f>SUMIF(RawTotals!A$2:A1000, indirect("B35"), RawTotals!AG$2:AG1000)</f>
        <v>0</v>
      </c>
      <c r="D35" s="391">
        <f>SUMIF(RawTotals!A$2:A1000, indirect("B35"), RawTotals!AH$2:AH1000)</f>
        <v>0</v>
      </c>
      <c r="E35" s="392">
        <f>SUMIF(RawTotals!A$2:A1000, indirect("B35"), RawTotals!J$2:J1000)</f>
        <v>0</v>
      </c>
      <c r="F35" s="393">
        <f>SUMIF(RawTotals!A$2:A1000, indirect("B35"), RawTotals!D$2:D1000)</f>
        <v>0</v>
      </c>
      <c r="G35" s="394">
        <f>SUMIF(RawTotals!A$2:A1000, indirect("B35"), RawTotals!M$2:M1000)</f>
        <v>0</v>
      </c>
      <c r="H35" s="366">
        <f>SUMIF(RawTotals!A$2:A1000, indirect("B35"), RawTotals!AC$2:AC1000)</f>
        <v>0</v>
      </c>
      <c r="I35" s="245">
        <f>SUMIF(RawTotals!A$2:A1000, indirect("B35"), RawTotals!W$2:W1000)</f>
        <v>0</v>
      </c>
      <c r="J35" s="237">
        <f>SUMIF(RawTotals!A$2:A1000, indirect("B35"), RawTotals!Q$2:Q1000)</f>
        <v>0</v>
      </c>
      <c r="K35" s="194"/>
      <c r="L35" s="194"/>
      <c r="M35" s="194"/>
      <c r="N35" s="194"/>
      <c r="O35" s="194"/>
      <c r="P35" s="194"/>
      <c r="Q35" s="194"/>
      <c r="R35" s="194"/>
      <c r="S35" s="194"/>
      <c r="T35" s="194"/>
      <c r="U35" s="194"/>
      <c r="V35" s="194"/>
      <c r="W35" s="194"/>
      <c r="X35" s="194"/>
      <c r="Y35" s="194"/>
      <c r="Z35" s="194"/>
    </row>
    <row r="36">
      <c r="A36" s="194"/>
      <c r="B36" s="15">
        <v>2502.0</v>
      </c>
      <c r="C36" s="328">
        <f>SUMIF(RawTotals!A$2:A1000, indirect("B36"), RawTotals!AG$2:AG1000)</f>
        <v>0</v>
      </c>
      <c r="D36" s="337">
        <f>SUMIF(RawTotals!A$2:A1000, indirect("B36"), RawTotals!AH$2:AH1000)</f>
        <v>0</v>
      </c>
      <c r="E36" s="395">
        <f>SUMIF(RawTotals!A$2:A1000, indirect("B36"), RawTotals!J$2:J1000)</f>
        <v>0</v>
      </c>
      <c r="F36" s="336">
        <f>SUMIF(RawTotals!A$2:A1000, indirect("B36"), RawTotals!D$2:D1000)</f>
        <v>0</v>
      </c>
      <c r="G36" s="396">
        <f>SUMIF(RawTotals!A$2:A1000, indirect("B36"), RawTotals!M$2:M1000)</f>
        <v>0</v>
      </c>
      <c r="H36" s="317">
        <f>SUMIF(RawTotals!A$2:A1000, indirect("B36"), RawTotals!AC$2:AC1000)</f>
        <v>0</v>
      </c>
      <c r="I36" s="245">
        <f>SUMIF(RawTotals!A$2:A1000, indirect("B36"), RawTotals!W$2:W1000)</f>
        <v>0</v>
      </c>
      <c r="J36" s="237">
        <f>SUMIF(RawTotals!A$2:A1000, indirect("B36"), RawTotals!Q$2:Q1000)</f>
        <v>0</v>
      </c>
      <c r="K36" s="194"/>
      <c r="L36" s="194"/>
      <c r="M36" s="194"/>
      <c r="N36" s="194"/>
      <c r="O36" s="194"/>
      <c r="P36" s="194"/>
      <c r="Q36" s="194"/>
      <c r="R36" s="194"/>
      <c r="S36" s="194"/>
      <c r="T36" s="194"/>
      <c r="U36" s="194"/>
      <c r="V36" s="194"/>
      <c r="W36" s="194"/>
      <c r="X36" s="194"/>
      <c r="Y36" s="194"/>
      <c r="Z36" s="194"/>
    </row>
    <row r="37">
      <c r="A37" s="194"/>
      <c r="B37" s="15">
        <v>4421.0</v>
      </c>
      <c r="C37" s="265">
        <f>SUMIF(RawTotals!A$2:A1000, indirect("B37"), RawTotals!AG$2:AG1000)</f>
        <v>0</v>
      </c>
      <c r="D37" s="397">
        <f>SUMIF(RawTotals!A$2:A1000, indirect("B37"), RawTotals!AH$2:AH1000)</f>
        <v>0</v>
      </c>
      <c r="E37" s="398">
        <f>SUMIF(RawTotals!A$2:A1000, indirect("B37"), RawTotals!J$2:J1000)</f>
        <v>0</v>
      </c>
      <c r="F37" s="399">
        <f>SUMIF(RawTotals!A$2:A1000, indirect("B37"), RawTotals!D$2:D1000)</f>
        <v>0</v>
      </c>
      <c r="G37" s="400">
        <f>SUMIF(RawTotals!A$2:A1000, indirect("B37"), RawTotals!M$2:M1000)</f>
        <v>0</v>
      </c>
      <c r="H37" s="401">
        <f>SUMIF(RawTotals!A$2:A1000, indirect("B37"), RawTotals!AC$2:AC1000)</f>
        <v>0</v>
      </c>
      <c r="I37" s="402">
        <f>SUMIF(RawTotals!A$2:A1000, indirect("B37"), RawTotals!W$2:W1000)</f>
        <v>0</v>
      </c>
      <c r="J37" s="237">
        <f>SUMIF(RawTotals!A$2:A1000, indirect("B37"), RawTotals!Q$2:Q1000)</f>
        <v>0</v>
      </c>
      <c r="K37" s="194"/>
      <c r="L37" s="194"/>
      <c r="M37" s="194"/>
      <c r="N37" s="194"/>
      <c r="O37" s="194"/>
      <c r="P37" s="194"/>
      <c r="Q37" s="194"/>
      <c r="R37" s="194"/>
      <c r="S37" s="194"/>
      <c r="T37" s="194"/>
      <c r="U37" s="194"/>
      <c r="V37" s="194"/>
      <c r="W37" s="194"/>
      <c r="X37" s="194"/>
      <c r="Y37" s="194"/>
      <c r="Z37" s="194"/>
    </row>
    <row r="38">
      <c r="A38" s="194"/>
      <c r="B38" s="15">
        <v>6998.0</v>
      </c>
      <c r="C38" s="403">
        <f>SUMIF(RawTotals!A$2:A1000, indirect("B38"), RawTotals!AG$2:AG1000)</f>
        <v>0</v>
      </c>
      <c r="D38" s="265">
        <f>SUMIF(RawTotals!A$2:A1000, indirect("B38"), RawTotals!AH$2:AH1000)</f>
        <v>0</v>
      </c>
      <c r="E38" s="404">
        <f>SUMIF(RawTotals!A$2:A1000, indirect("B38"), RawTotals!J$2:J1000)</f>
        <v>0</v>
      </c>
      <c r="F38" s="393">
        <f>SUMIF(RawTotals!A$2:A1000, indirect("B38"), RawTotals!D$2:D1000)</f>
        <v>0</v>
      </c>
      <c r="G38" s="405">
        <f>SUMIF(RawTotals!A$2:A1000, indirect("B38"), RawTotals!M$2:M1000)</f>
        <v>0</v>
      </c>
      <c r="H38" s="385">
        <f>SUMIF(RawTotals!A$2:A1000, indirect("B38"), RawTotals!AC$2:AC1000)</f>
        <v>0</v>
      </c>
      <c r="I38" s="255">
        <f>SUMIF(RawTotals!A$2:A1000, indirect("B38"), RawTotals!W$2:W1000)</f>
        <v>0</v>
      </c>
      <c r="J38" s="256">
        <f>SUMIF(RawTotals!A$2:A1000, indirect("B38"), RawTotals!Q$2:Q1000)</f>
        <v>0</v>
      </c>
      <c r="K38" s="194"/>
      <c r="L38" s="194"/>
      <c r="M38" s="194"/>
      <c r="N38" s="194"/>
      <c r="O38" s="194"/>
      <c r="P38" s="194"/>
      <c r="Q38" s="194"/>
      <c r="R38" s="194"/>
      <c r="S38" s="194"/>
      <c r="T38" s="194"/>
      <c r="U38" s="194"/>
      <c r="V38" s="194"/>
      <c r="W38" s="194"/>
      <c r="X38" s="194"/>
      <c r="Y38" s="194"/>
      <c r="Z38" s="194"/>
    </row>
    <row r="39">
      <c r="A39" s="194"/>
      <c r="B39" s="15">
        <v>11.0</v>
      </c>
      <c r="C39" s="406">
        <f>SUMIF(RawTotals!A$2:A1000, indirect("B39"), RawTotals!AG$2:AG1000)</f>
        <v>0</v>
      </c>
      <c r="D39" s="399">
        <f>SUMIF(RawTotals!A$2:A1000, indirect("B39"), RawTotals!AH$2:AH1000)</f>
        <v>0</v>
      </c>
      <c r="E39" s="301">
        <f>SUMIF(RawTotals!A$2:A1000, indirect("B39"), RawTotals!J$2:J1000)</f>
        <v>0</v>
      </c>
      <c r="F39" s="322">
        <f>SUMIF(RawTotals!A$2:A1000, indirect("B39"), RawTotals!D$2:D1000)</f>
        <v>0</v>
      </c>
      <c r="G39" s="350">
        <f>SUMIF(RawTotals!A$2:A1000, indirect("B39"), RawTotals!M$2:M1000)</f>
        <v>0</v>
      </c>
      <c r="H39" s="317">
        <f>SUMIF(RawTotals!A$2:A1000, indirect("B39"), RawTotals!AC$2:AC1000)</f>
        <v>0</v>
      </c>
      <c r="I39" s="309">
        <f>SUMIF(RawTotals!A$2:A1000, indirect("B39"), RawTotals!W$2:W1000)</f>
        <v>0</v>
      </c>
      <c r="J39" s="253">
        <f>SUMIF(RawTotals!A$2:A1000, indirect("B39"), RawTotals!Q$2:Q1000)</f>
        <v>0</v>
      </c>
      <c r="K39" s="194"/>
      <c r="L39" s="194"/>
      <c r="M39" s="194"/>
      <c r="N39" s="194"/>
      <c r="O39" s="194"/>
      <c r="P39" s="194"/>
      <c r="Q39" s="194"/>
      <c r="R39" s="194"/>
      <c r="S39" s="194"/>
      <c r="T39" s="194"/>
      <c r="U39" s="194"/>
      <c r="V39" s="194"/>
      <c r="W39" s="194"/>
      <c r="X39" s="194"/>
      <c r="Y39" s="194"/>
      <c r="Z39" s="194"/>
    </row>
    <row r="40">
      <c r="A40" s="194"/>
      <c r="B40" s="15">
        <v>7021.0</v>
      </c>
      <c r="C40" s="407">
        <f>SUMIF(RawTotals!A$2:A1000, indirect("B40"), RawTotals!AG$2:AG1000)</f>
        <v>0</v>
      </c>
      <c r="D40" s="393">
        <f>SUMIF(RawTotals!A$2:A1000, indirect("B40"), RawTotals!AH$2:AH1000)</f>
        <v>0</v>
      </c>
      <c r="E40" s="408">
        <f>SUMIF(RawTotals!A$2:A1000, indirect("B40"), RawTotals!J$2:J1000)</f>
        <v>0</v>
      </c>
      <c r="F40" s="409">
        <f>SUMIF(RawTotals!A$2:A1000, indirect("B40"), RawTotals!D$2:D1000)</f>
        <v>0</v>
      </c>
      <c r="G40" s="401">
        <f>SUMIF(RawTotals!A$2:A1000, indirect("B40"), RawTotals!M$2:M1000)</f>
        <v>0</v>
      </c>
      <c r="H40" s="366">
        <f>SUMIF(RawTotals!A$2:A1000, indirect("B40"), RawTotals!AC$2:AC1000)</f>
        <v>0</v>
      </c>
      <c r="I40" s="289">
        <f>SUMIF(RawTotals!A$2:A1000, indirect("B40"), RawTotals!W$2:W1000)</f>
        <v>0</v>
      </c>
      <c r="J40" s="410">
        <f>SUMIF(RawTotals!A$2:A1000, indirect("B40"), RawTotals!Q$2:Q1000)</f>
        <v>0</v>
      </c>
      <c r="K40" s="194"/>
      <c r="L40" s="194"/>
      <c r="M40" s="194"/>
      <c r="N40" s="194"/>
      <c r="O40" s="194"/>
      <c r="P40" s="194"/>
      <c r="Q40" s="194"/>
      <c r="R40" s="194"/>
      <c r="S40" s="194"/>
      <c r="T40" s="194"/>
      <c r="U40" s="194"/>
      <c r="V40" s="194"/>
      <c r="W40" s="194"/>
      <c r="X40" s="194"/>
      <c r="Y40" s="194"/>
      <c r="Z40" s="194"/>
    </row>
    <row r="41">
      <c r="A41" s="194"/>
      <c r="B41" s="15">
        <v>2883.0</v>
      </c>
      <c r="C41" s="411">
        <f>SUMIF(RawTotals!A$2:A1000, indirect("B41"), RawTotals!AG$2:AG1000)</f>
        <v>0</v>
      </c>
      <c r="D41" s="334">
        <f>SUMIF(RawTotals!A$2:A1000, indirect("B41"), RawTotals!AH$2:AH1000)</f>
        <v>0</v>
      </c>
      <c r="E41" s="412">
        <f>SUMIF(RawTotals!A$2:A1000, indirect("B41"), RawTotals!J$2:J1000)</f>
        <v>0</v>
      </c>
      <c r="F41" s="334">
        <f>SUMIF(RawTotals!A$2:A1000, indirect("B41"), RawTotals!D$2:D1000)</f>
        <v>0</v>
      </c>
      <c r="G41" s="384">
        <f>SUMIF(RawTotals!A$2:A1000, indirect("B41"), RawTotals!M$2:M1000)</f>
        <v>0</v>
      </c>
      <c r="H41" s="317">
        <f>SUMIF(RawTotals!A$2:A1000, indirect("B41"), RawTotals!AC$2:AC1000)</f>
        <v>0</v>
      </c>
      <c r="I41" s="413">
        <f>SUMIF(RawTotals!A$2:A1000, indirect("B41"), RawTotals!W$2:W1000)</f>
        <v>0</v>
      </c>
      <c r="J41" s="414">
        <f>SUMIF(RawTotals!A$2:A1000, indirect("B41"), RawTotals!Q$2:Q1000)</f>
        <v>0</v>
      </c>
      <c r="K41" s="194"/>
      <c r="L41" s="194"/>
      <c r="M41" s="194"/>
      <c r="N41" s="194"/>
      <c r="O41" s="194"/>
      <c r="P41" s="194"/>
      <c r="Q41" s="194"/>
      <c r="R41" s="194"/>
      <c r="S41" s="194"/>
      <c r="T41" s="194"/>
      <c r="U41" s="194"/>
      <c r="V41" s="194"/>
      <c r="W41" s="194"/>
      <c r="X41" s="194"/>
      <c r="Y41" s="194"/>
      <c r="Z41" s="194"/>
    </row>
    <row r="42">
      <c r="A42" s="194"/>
      <c r="B42" s="15">
        <v>829.0</v>
      </c>
      <c r="C42" s="415">
        <f>SUMIF(RawTotals!A$2:A1000, indirect("B42"), RawTotals!AG$2:AG1000)</f>
        <v>0.07173569466</v>
      </c>
      <c r="D42" s="334">
        <f>SUMIF(RawTotals!A$2:A1000, indirect("B42"), RawTotals!AH$2:AH1000)</f>
        <v>0.3418987678</v>
      </c>
      <c r="E42" s="416">
        <f>SUMIF(RawTotals!A$2:A1000, indirect("B42"), RawTotals!J$2:J1000)</f>
        <v>0.8785714286</v>
      </c>
      <c r="F42" s="417">
        <f>SUMIF(RawTotals!A$2:A1000, indirect("B42"), RawTotals!D$2:D1000)</f>
        <v>1.571428571</v>
      </c>
      <c r="G42" s="418">
        <f>SUMIF(RawTotals!A$2:A1000, indirect("B42"), RawTotals!M$2:M1000)</f>
        <v>8</v>
      </c>
      <c r="H42" s="419">
        <f>SUMIF(RawTotals!A$2:A1000, indirect("B42"), RawTotals!AC$2:AC1000)</f>
        <v>13</v>
      </c>
      <c r="I42" s="284">
        <f>SUMIF(RawTotals!A$2:A1000, indirect("B42"), RawTotals!W$2:W1000)</f>
        <v>0.4285714286</v>
      </c>
      <c r="J42" s="237">
        <f>SUMIF(RawTotals!A$2:A1000, indirect("B42"), RawTotals!Q$2:Q1000)</f>
        <v>11.8</v>
      </c>
      <c r="K42" s="194"/>
      <c r="L42" s="194"/>
      <c r="M42" s="194"/>
      <c r="N42" s="194"/>
      <c r="O42" s="194"/>
      <c r="P42" s="194"/>
      <c r="Q42" s="194"/>
      <c r="R42" s="194"/>
      <c r="S42" s="194"/>
      <c r="T42" s="194"/>
      <c r="U42" s="194"/>
      <c r="V42" s="194"/>
      <c r="W42" s="194"/>
      <c r="X42" s="194"/>
      <c r="Y42" s="194"/>
      <c r="Z42" s="194"/>
    </row>
    <row r="43">
      <c r="A43" s="194"/>
      <c r="B43" s="15">
        <v>5216.0</v>
      </c>
      <c r="C43" s="394">
        <f>SUMIF(RawTotals!A$2:A1000, indirect("B43"), RawTotals!AG$2:AG1000)</f>
        <v>0</v>
      </c>
      <c r="D43" s="420">
        <f>SUMIF(RawTotals!A$2:A1000, indirect("B43"), RawTotals!AH$2:AH1000)</f>
        <v>0</v>
      </c>
      <c r="E43" s="421">
        <f>SUMIF(RawTotals!A$2:A1000, indirect("B43"), RawTotals!J$2:J1000)</f>
        <v>0</v>
      </c>
      <c r="F43" s="422">
        <f>SUMIF(RawTotals!A$2:A1000, indirect("B43"), RawTotals!D$2:D1000)</f>
        <v>0</v>
      </c>
      <c r="G43" s="344">
        <f>SUMIF(RawTotals!A$2:A1000, indirect("B43"), RawTotals!M$2:M1000)</f>
        <v>0</v>
      </c>
      <c r="H43" s="319">
        <f>SUMIF(RawTotals!A$2:A1000, indirect("B43"), RawTotals!AC$2:AC1000)</f>
        <v>0</v>
      </c>
      <c r="I43" s="423">
        <f>SUMIF(RawTotals!A$2:A1000, indirect("B43"), RawTotals!W$2:W1000)</f>
        <v>0</v>
      </c>
      <c r="J43" s="424">
        <f>SUMIF(RawTotals!A$2:A1000, indirect("B43"), RawTotals!Q$2:Q1000)</f>
        <v>0</v>
      </c>
      <c r="K43" s="194"/>
      <c r="L43" s="194"/>
      <c r="M43" s="194"/>
      <c r="N43" s="194"/>
      <c r="O43" s="194"/>
      <c r="P43" s="194"/>
      <c r="Q43" s="194"/>
      <c r="R43" s="194"/>
      <c r="S43" s="194"/>
      <c r="T43" s="194"/>
      <c r="U43" s="194"/>
      <c r="V43" s="194"/>
      <c r="W43" s="194"/>
      <c r="X43" s="194"/>
      <c r="Y43" s="194"/>
      <c r="Z43" s="194"/>
    </row>
    <row r="44">
      <c r="A44" s="194"/>
      <c r="B44" s="15">
        <v>7617.0</v>
      </c>
      <c r="C44" s="425">
        <f>SUMIF(RawTotals!A$2:A1000, indirect("B44"), RawTotals!AG$2:AG1000)</f>
        <v>0</v>
      </c>
      <c r="D44" s="426">
        <f>SUMIF(RawTotals!A$2:A1000, indirect("B44"), RawTotals!AH$2:AH1000)</f>
        <v>0</v>
      </c>
      <c r="E44" s="427">
        <f>SUMIF(RawTotals!A$2:A1000, indirect("B44"), RawTotals!J$2:J1000)</f>
        <v>0</v>
      </c>
      <c r="F44" s="375">
        <f>SUMIF(RawTotals!A$2:A1000, indirect("B44"), RawTotals!D$2:D1000)</f>
        <v>0</v>
      </c>
      <c r="G44" s="268">
        <f>SUMIF(RawTotals!A$2:A1000, indirect("B44"), RawTotals!M$2:M1000)</f>
        <v>0</v>
      </c>
      <c r="H44" s="276">
        <f>SUMIF(RawTotals!A$2:A1000, indirect("B44"), RawTotals!AC$2:AC1000)</f>
        <v>0</v>
      </c>
      <c r="I44" s="428">
        <f>SUMIF(RawTotals!A$2:A1000, indirect("B44"), RawTotals!W$2:W1000)</f>
        <v>0</v>
      </c>
      <c r="J44" s="429">
        <f>SUMIF(RawTotals!A$2:A1000, indirect("B44"), RawTotals!Q$2:Q1000)</f>
        <v>0</v>
      </c>
      <c r="K44" s="194"/>
      <c r="L44" s="194"/>
      <c r="M44" s="194"/>
      <c r="N44" s="194"/>
      <c r="O44" s="194"/>
      <c r="P44" s="194"/>
      <c r="Q44" s="194"/>
      <c r="R44" s="194"/>
      <c r="S44" s="194"/>
      <c r="T44" s="194"/>
      <c r="U44" s="194"/>
      <c r="V44" s="194"/>
      <c r="W44" s="194"/>
      <c r="X44" s="194"/>
      <c r="Y44" s="194"/>
      <c r="Z44" s="194"/>
    </row>
    <row r="45">
      <c r="A45" s="194"/>
      <c r="B45" s="15">
        <v>6036.0</v>
      </c>
      <c r="C45" s="426">
        <f>SUMIF(RawTotals!A$2:A1000, indirect("B45"), RawTotals!AG$2:AG1000)</f>
        <v>0</v>
      </c>
      <c r="D45" s="430">
        <f>SUMIF(RawTotals!A$2:A1000, indirect("B45"), RawTotals!AH$2:AH1000)</f>
        <v>0</v>
      </c>
      <c r="E45" s="238">
        <f>SUMIF(RawTotals!A$2:A1000, indirect("B45"), RawTotals!J$2:J1000)</f>
        <v>0</v>
      </c>
      <c r="F45" s="431">
        <f>SUMIF(RawTotals!A$2:A1000, indirect("B45"), RawTotals!D$2:D1000)</f>
        <v>0</v>
      </c>
      <c r="G45" s="281">
        <f>SUMIF(RawTotals!A$2:A1000, indirect("B45"), RawTotals!M$2:M1000)</f>
        <v>0</v>
      </c>
      <c r="H45" s="376">
        <f>SUMIF(RawTotals!A$2:A1000, indirect("B45"), RawTotals!AC$2:AC1000)</f>
        <v>0</v>
      </c>
      <c r="I45" s="333">
        <f>SUMIF(RawTotals!A$2:A1000, indirect("B45"), RawTotals!W$2:W1000)</f>
        <v>0</v>
      </c>
      <c r="J45" s="374">
        <f>SUMIF(RawTotals!A$2:A1000, indirect("B45"), RawTotals!Q$2:Q1000)</f>
        <v>0</v>
      </c>
      <c r="K45" s="194"/>
      <c r="L45" s="194"/>
      <c r="M45" s="194"/>
      <c r="N45" s="194"/>
      <c r="O45" s="194"/>
      <c r="P45" s="194"/>
      <c r="Q45" s="194"/>
      <c r="R45" s="194"/>
      <c r="S45" s="194"/>
      <c r="T45" s="194"/>
      <c r="U45" s="194"/>
      <c r="V45" s="194"/>
      <c r="W45" s="194"/>
      <c r="X45" s="194"/>
      <c r="Y45" s="194"/>
      <c r="Z45" s="194"/>
    </row>
    <row r="46">
      <c r="A46" s="194"/>
      <c r="B46" s="15">
        <v>1538.0</v>
      </c>
      <c r="C46" s="426">
        <f>SUMIF(RawTotals!A$2:A1000, indirect("B46"), RawTotals!AG$2:AG1000)</f>
        <v>0</v>
      </c>
      <c r="D46" s="432">
        <f>SUMIF(RawTotals!A$2:A1000, indirect("B46"), RawTotals!AH$2:AH1000)</f>
        <v>0</v>
      </c>
      <c r="E46" s="316">
        <f>SUMIF(RawTotals!A$2:A1000, indirect("B46"), RawTotals!J$2:J1000)</f>
        <v>0</v>
      </c>
      <c r="F46" s="433">
        <f>SUMIF(RawTotals!A$2:A1000, indirect("B46"), RawTotals!D$2:D1000)</f>
        <v>0</v>
      </c>
      <c r="G46" s="384">
        <f>SUMIF(RawTotals!A$2:A1000, indirect("B46"), RawTotals!M$2:M1000)</f>
        <v>0</v>
      </c>
      <c r="H46" s="337">
        <f>SUMIF(RawTotals!A$2:A1000, indirect("B46"), RawTotals!AC$2:AC1000)</f>
        <v>0</v>
      </c>
      <c r="I46" s="333">
        <f>SUMIF(RawTotals!A$2:A1000, indirect("B46"), RawTotals!W$2:W1000)</f>
        <v>0</v>
      </c>
      <c r="J46" s="434">
        <f>SUMIF(RawTotals!A$2:A1000, indirect("B46"), RawTotals!Q$2:Q1000)</f>
        <v>0</v>
      </c>
      <c r="K46" s="194"/>
      <c r="L46" s="194"/>
      <c r="M46" s="194"/>
      <c r="N46" s="194"/>
      <c r="O46" s="194"/>
      <c r="P46" s="194"/>
      <c r="Q46" s="194"/>
      <c r="R46" s="194"/>
      <c r="S46" s="194"/>
      <c r="T46" s="194"/>
      <c r="U46" s="194"/>
      <c r="V46" s="194"/>
      <c r="W46" s="194"/>
      <c r="X46" s="194"/>
      <c r="Y46" s="194"/>
      <c r="Z46" s="194"/>
    </row>
    <row r="47">
      <c r="A47" s="194"/>
      <c r="B47" s="46">
        <v>1111.0</v>
      </c>
      <c r="C47" s="435">
        <f>SUMIF(RawTotals!A$2:A1000, indirect("B47"), RawTotals!AG$2:AG1000)</f>
        <v>0</v>
      </c>
      <c r="D47" s="436">
        <f>SUMIF(RawTotals!A$2:A1000, indirect("B47"), RawTotals!AH$2:AH1000)</f>
        <v>0</v>
      </c>
      <c r="E47" s="238">
        <f>SUMIF(RawTotals!A$2:A1000, indirect("B47"), RawTotals!J$2:J1000)</f>
        <v>0</v>
      </c>
      <c r="F47" s="293">
        <f>SUMIF(RawTotals!A$2:A1000, indirect("B47"), RawTotals!D$2:D1000)</f>
        <v>0</v>
      </c>
      <c r="G47" s="341">
        <f>SUMIF(RawTotals!A$2:A1000, indirect("B47"), RawTotals!M$2:M1000)</f>
        <v>0</v>
      </c>
      <c r="H47" s="276">
        <f>SUMIF(RawTotals!A$2:A1000, indirect("B47"), RawTotals!AC$2:AC1000)</f>
        <v>0</v>
      </c>
      <c r="I47" s="333">
        <f>SUMIF(RawTotals!A$2:A1000, indirect("B47"), RawTotals!W$2:W1000)</f>
        <v>0</v>
      </c>
      <c r="J47" s="437">
        <f>SUMIF(RawTotals!A$2:A1000, indirect("B47"), RawTotals!Q$2:Q1000)</f>
        <v>0</v>
      </c>
      <c r="K47" s="194"/>
      <c r="L47" s="194"/>
      <c r="M47" s="194"/>
      <c r="N47" s="194"/>
      <c r="O47" s="194"/>
      <c r="P47" s="194"/>
      <c r="Q47" s="194"/>
      <c r="R47" s="194"/>
      <c r="S47" s="194"/>
      <c r="T47" s="194"/>
      <c r="U47" s="194"/>
      <c r="V47" s="194"/>
      <c r="W47" s="194"/>
      <c r="X47" s="194"/>
      <c r="Y47" s="194"/>
      <c r="Z47" s="194"/>
    </row>
    <row r="48">
      <c r="A48" s="194"/>
      <c r="B48" s="15">
        <v>2202.0</v>
      </c>
      <c r="C48" s="405">
        <f>SUMIF(RawTotals!A$2:A1000, indirect("B48"), RawTotals!AG$2:AG1000)</f>
        <v>0</v>
      </c>
      <c r="D48" s="438">
        <f>SUMIF(RawTotals!A$2:A1000, indirect("B48"), RawTotals!AH$2:AH1000)</f>
        <v>0</v>
      </c>
      <c r="E48" s="238">
        <f>SUMIF(RawTotals!A$2:A1000, indirect("B48"), RawTotals!J$2:J1000)</f>
        <v>0</v>
      </c>
      <c r="F48" s="328">
        <f>SUMIF(RawTotals!A$2:A1000, indirect("B48"), RawTotals!D$2:D1000)</f>
        <v>0</v>
      </c>
      <c r="G48" s="337">
        <f>SUMIF(RawTotals!A$2:A1000, indirect("B48"), RawTotals!M$2:M1000)</f>
        <v>0</v>
      </c>
      <c r="H48" s="314">
        <f>SUMIF(RawTotals!A$2:A1000, indirect("B48"), RawTotals!AC$2:AC1000)</f>
        <v>0</v>
      </c>
      <c r="I48" s="333">
        <f>SUMIF(RawTotals!A$2:A1000, indirect("B48"), RawTotals!W$2:W1000)</f>
        <v>0</v>
      </c>
      <c r="J48" s="385">
        <f>SUMIF(RawTotals!A$2:A1000, indirect("B48"), RawTotals!Q$2:Q1000)</f>
        <v>0</v>
      </c>
      <c r="K48" s="194"/>
      <c r="L48" s="194"/>
      <c r="M48" s="194"/>
      <c r="N48" s="194"/>
      <c r="O48" s="194"/>
      <c r="P48" s="194"/>
      <c r="Q48" s="194"/>
      <c r="R48" s="194"/>
      <c r="S48" s="194"/>
      <c r="T48" s="194"/>
      <c r="U48" s="194"/>
      <c r="V48" s="194"/>
      <c r="W48" s="194"/>
      <c r="X48" s="194"/>
      <c r="Y48" s="194"/>
      <c r="Z48" s="194"/>
    </row>
    <row r="49">
      <c r="A49" s="194"/>
      <c r="B49" s="15">
        <v>5817.0</v>
      </c>
      <c r="C49" s="439">
        <f>SUMIF(RawTotals!A$2:A1000, indirect("B49"), RawTotals!AG$2:AG1000)</f>
        <v>0</v>
      </c>
      <c r="D49" s="430">
        <f>SUMIF(RawTotals!A$2:A1000, indirect("B49"), RawTotals!AH$2:AH1000)</f>
        <v>0</v>
      </c>
      <c r="E49" s="440">
        <f>SUMIF(RawTotals!A$2:A1000, indirect("B49"), RawTotals!J$2:J1000)</f>
        <v>0</v>
      </c>
      <c r="F49" s="441">
        <f>SUMIF(RawTotals!A$2:A1000, indirect("B49"), RawTotals!D$2:D1000)</f>
        <v>0</v>
      </c>
      <c r="G49" s="442">
        <f>SUMIF(RawTotals!A$2:A1000, indirect("B49"), RawTotals!M$2:M1000)</f>
        <v>0</v>
      </c>
      <c r="H49" s="443">
        <f>SUMIF(RawTotals!A$2:A1000, indirect("B49"), RawTotals!AC$2:AC1000)</f>
        <v>0</v>
      </c>
      <c r="I49" s="297">
        <f>SUMIF(RawTotals!A$2:A1000, indirect("B49"), RawTotals!W$2:W1000)</f>
        <v>0</v>
      </c>
      <c r="J49" s="298">
        <f>SUMIF(RawTotals!A$2:A1000, indirect("B49"), RawTotals!Q$2:Q1000)</f>
        <v>0</v>
      </c>
      <c r="K49" s="194"/>
      <c r="L49" s="194"/>
      <c r="M49" s="194"/>
      <c r="N49" s="194"/>
      <c r="O49" s="194"/>
      <c r="P49" s="194"/>
      <c r="Q49" s="194"/>
      <c r="R49" s="194"/>
      <c r="S49" s="194"/>
      <c r="T49" s="194"/>
      <c r="U49" s="194"/>
      <c r="V49" s="194"/>
      <c r="W49" s="194"/>
      <c r="X49" s="194"/>
      <c r="Y49" s="194"/>
      <c r="Z49" s="194"/>
    </row>
    <row r="50">
      <c r="A50" s="194"/>
      <c r="B50" s="15">
        <v>8159.0</v>
      </c>
      <c r="C50" s="444">
        <f>SUMIF(RawTotals!A$2:A1000, indirect("B50"), RawTotals!AG$2:AG1000)</f>
        <v>0</v>
      </c>
      <c r="D50" s="429">
        <f>SUMIF(RawTotals!A$2:A1000, indirect("B50"), RawTotals!AH$2:AH1000)</f>
        <v>0</v>
      </c>
      <c r="E50" s="445">
        <f>SUMIF(RawTotals!A$2:A1000, indirect("B50"), RawTotals!J$2:J1000)</f>
        <v>0</v>
      </c>
      <c r="F50" s="399">
        <f>SUMIF(RawTotals!A$2:A1000, indirect("B50"), RawTotals!D$2:D1000)</f>
        <v>0</v>
      </c>
      <c r="G50" s="341">
        <f>SUMIF(RawTotals!A$2:A1000, indirect("B50"), RawTotals!M$2:M1000)</f>
        <v>0</v>
      </c>
      <c r="H50" s="283">
        <f>SUMIF(RawTotals!A$2:A1000, indirect("B50"), RawTotals!AC$2:AC1000)</f>
        <v>0</v>
      </c>
      <c r="I50" s="333">
        <f>SUMIF(RawTotals!A$2:A1000, indirect("B50"), RawTotals!W$2:W1000)</f>
        <v>0</v>
      </c>
      <c r="J50" s="437">
        <f>SUMIF(RawTotals!A$2:A1000, indirect("B50"), RawTotals!Q$2:Q1000)</f>
        <v>0</v>
      </c>
      <c r="K50" s="194"/>
      <c r="L50" s="194"/>
      <c r="M50" s="194"/>
      <c r="N50" s="194"/>
      <c r="O50" s="194"/>
      <c r="P50" s="194"/>
      <c r="Q50" s="194"/>
      <c r="R50" s="194"/>
      <c r="S50" s="194"/>
      <c r="T50" s="194"/>
      <c r="U50" s="194"/>
      <c r="V50" s="194"/>
      <c r="W50" s="194"/>
      <c r="X50" s="194"/>
      <c r="Y50" s="194"/>
      <c r="Z50" s="194"/>
    </row>
    <row r="51">
      <c r="A51" s="194"/>
      <c r="B51" s="15">
        <v>3322.0</v>
      </c>
      <c r="C51" s="446">
        <f>SUMIF(RawTotals!A$2:A1000, indirect("B51"), RawTotals!AG$2:AG1000)</f>
        <v>0</v>
      </c>
      <c r="D51" s="447">
        <f>SUMIF(RawTotals!A$2:A1000, indirect("B51"), RawTotals!AH$2:AH1000)</f>
        <v>0</v>
      </c>
      <c r="E51" s="448">
        <f>SUMIF(RawTotals!A$2:A1000, indirect("B51"), RawTotals!J$2:J1000)</f>
        <v>0</v>
      </c>
      <c r="F51" s="449">
        <f>SUMIF(RawTotals!A$2:A1000, indirect("B51"), RawTotals!D$2:D1000)</f>
        <v>0</v>
      </c>
      <c r="G51" s="386">
        <f>SUMIF(RawTotals!A$2:A1000, indirect("B51"), RawTotals!M$2:M1000)</f>
        <v>0</v>
      </c>
      <c r="H51" s="314">
        <f>SUMIF(RawTotals!A$2:A1000, indirect("B51"), RawTotals!AC$2:AC1000)</f>
        <v>0</v>
      </c>
      <c r="I51" s="333">
        <f>SUMIF(RawTotals!A$2:A1000, indirect("B51"), RawTotals!W$2:W1000)</f>
        <v>0</v>
      </c>
      <c r="J51" s="366">
        <f>SUMIF(RawTotals!A$2:A1000, indirect("B51"), RawTotals!Q$2:Q1000)</f>
        <v>0</v>
      </c>
      <c r="K51" s="194"/>
      <c r="L51" s="194"/>
      <c r="M51" s="194"/>
      <c r="N51" s="194"/>
      <c r="O51" s="194"/>
      <c r="P51" s="194"/>
      <c r="Q51" s="194"/>
      <c r="R51" s="194"/>
      <c r="S51" s="194"/>
      <c r="T51" s="194"/>
      <c r="U51" s="194"/>
      <c r="V51" s="194"/>
      <c r="W51" s="194"/>
      <c r="X51" s="194"/>
      <c r="Y51" s="194"/>
      <c r="Z51" s="194"/>
    </row>
    <row r="52">
      <c r="A52" s="194"/>
      <c r="B52" s="15">
        <v>597.0</v>
      </c>
      <c r="C52" s="450">
        <f>SUMIF(RawTotals!A$2:A1000, indirect("B52"), RawTotals!AG$2:AG1000)</f>
        <v>0</v>
      </c>
      <c r="D52" s="380">
        <f>SUMIF(RawTotals!A$2:A1000, indirect("B52"), RawTotals!AH$2:AH1000)</f>
        <v>0</v>
      </c>
      <c r="E52" s="451">
        <f>SUMIF(RawTotals!A$2:A1000, indirect("B52"), RawTotals!J$2:J1000)</f>
        <v>0</v>
      </c>
      <c r="F52" s="452">
        <f>SUMIF(RawTotals!A$2:A1000, indirect("B52"), RawTotals!D$2:D1000)</f>
        <v>0</v>
      </c>
      <c r="G52" s="453">
        <f>SUMIF(RawTotals!A$2:A1000, indirect("B52"), RawTotals!M$2:M1000)</f>
        <v>0</v>
      </c>
      <c r="H52" s="454">
        <f>SUMIF(RawTotals!A$2:A1000, indirect("B52"), RawTotals!AC$2:AC1000)</f>
        <v>0</v>
      </c>
      <c r="I52" s="455">
        <f>SUMIF(RawTotals!A$2:A1000, indirect("B52"), RawTotals!W$2:W1000)</f>
        <v>0</v>
      </c>
      <c r="J52" s="305">
        <f>SUMIF(RawTotals!A$2:A1000, indirect("B52"), RawTotals!Q$2:Q1000)</f>
        <v>0</v>
      </c>
      <c r="K52" s="194"/>
      <c r="L52" s="194"/>
      <c r="M52" s="194"/>
      <c r="N52" s="194"/>
      <c r="O52" s="194"/>
      <c r="P52" s="194"/>
      <c r="Q52" s="194"/>
      <c r="R52" s="194"/>
      <c r="S52" s="194"/>
      <c r="T52" s="194"/>
      <c r="U52" s="194"/>
      <c r="V52" s="194"/>
      <c r="W52" s="194"/>
      <c r="X52" s="194"/>
      <c r="Y52" s="194"/>
      <c r="Z52" s="194"/>
    </row>
    <row r="53">
      <c r="A53" s="194"/>
      <c r="B53" s="15">
        <v>488.0</v>
      </c>
      <c r="C53" s="456">
        <f>SUMIF(RawTotals!A$2:A1000, indirect("B53"), RawTotals!AG$2:AG1000)</f>
        <v>0</v>
      </c>
      <c r="D53" s="457">
        <f>SUMIF(RawTotals!A$2:A1000, indirect("B53"), RawTotals!AH$2:AH1000)</f>
        <v>0</v>
      </c>
      <c r="E53" s="458">
        <f>SUMIF(RawTotals!A$2:A1000, indirect("B53"), RawTotals!J$2:J1000)</f>
        <v>0</v>
      </c>
      <c r="F53" s="437">
        <f>SUMIF(RawTotals!A$2:A1000, indirect("B53"), RawTotals!D$2:D1000)</f>
        <v>0</v>
      </c>
      <c r="G53" s="365">
        <f>SUMIF(RawTotals!A$2:A1000, indirect("B53"), RawTotals!M$2:M1000)</f>
        <v>0</v>
      </c>
      <c r="H53" s="350">
        <f>SUMIF(RawTotals!A$2:A1000, indirect("B53"), RawTotals!AC$2:AC1000)</f>
        <v>0</v>
      </c>
      <c r="I53" s="333">
        <f>SUMIF(RawTotals!A$2:A1000, indirect("B53"), RawTotals!W$2:W1000)</f>
        <v>0</v>
      </c>
      <c r="J53" s="434">
        <f>SUMIF(RawTotals!A$2:A1000, indirect("B53"), RawTotals!Q$2:Q1000)</f>
        <v>0</v>
      </c>
      <c r="K53" s="194"/>
      <c r="L53" s="194"/>
      <c r="M53" s="194"/>
      <c r="N53" s="194"/>
      <c r="O53" s="194"/>
      <c r="P53" s="194"/>
      <c r="Q53" s="194"/>
      <c r="R53" s="194"/>
      <c r="S53" s="194"/>
      <c r="T53" s="194"/>
      <c r="U53" s="194"/>
      <c r="V53" s="194"/>
      <c r="W53" s="194"/>
      <c r="X53" s="194"/>
      <c r="Y53" s="194"/>
      <c r="Z53" s="194"/>
    </row>
    <row r="54">
      <c r="A54" s="194"/>
      <c r="B54" s="15">
        <v>1625.0</v>
      </c>
      <c r="C54" s="459">
        <f>SUMIF(RawTotals!A$2:A1000, indirect("B54"), RawTotals!AG$2:AG1000)</f>
        <v>0</v>
      </c>
      <c r="D54" s="460">
        <f>SUMIF(RawTotals!A$2:A1000, indirect("B54"), RawTotals!AH$2:AH1000)</f>
        <v>0</v>
      </c>
      <c r="E54" s="461">
        <f>SUMIF(RawTotals!A$2:A1000, indirect("B54"), RawTotals!J$2:J1000)</f>
        <v>0</v>
      </c>
      <c r="F54" s="462">
        <f>SUMIF(RawTotals!A$2:A1000, indirect("B54"), RawTotals!D$2:D1000)</f>
        <v>0</v>
      </c>
      <c r="G54" s="350">
        <f>SUMIF(RawTotals!A$2:A1000, indirect("B54"), RawTotals!M$2:M1000)</f>
        <v>0</v>
      </c>
      <c r="H54" s="385">
        <f>SUMIF(RawTotals!A$2:A1000, indirect("B54"), RawTotals!AC$2:AC1000)</f>
        <v>0</v>
      </c>
      <c r="I54" s="309">
        <f>SUMIF(RawTotals!A$2:A1000, indirect("B54"), RawTotals!W$2:W1000)</f>
        <v>0</v>
      </c>
      <c r="J54" s="463">
        <f>SUMIF(RawTotals!A$2:A1000, indirect("B54"), RawTotals!Q$2:Q1000)</f>
        <v>0</v>
      </c>
      <c r="K54" s="194"/>
      <c r="L54" s="194"/>
      <c r="M54" s="194"/>
      <c r="N54" s="194"/>
      <c r="O54" s="194"/>
      <c r="P54" s="194"/>
      <c r="Q54" s="194"/>
      <c r="R54" s="194"/>
      <c r="S54" s="194"/>
      <c r="T54" s="194"/>
      <c r="U54" s="194"/>
      <c r="V54" s="194"/>
      <c r="W54" s="194"/>
      <c r="X54" s="194"/>
      <c r="Y54" s="194"/>
      <c r="Z54" s="194"/>
    </row>
    <row r="55">
      <c r="A55" s="194"/>
      <c r="B55" s="15">
        <v>2832.0</v>
      </c>
      <c r="C55" s="464">
        <f>SUMIF(RawTotals!A$2:A1000, indirect("B55"), RawTotals!AG$2:AG1000)</f>
        <v>0</v>
      </c>
      <c r="D55" s="460">
        <f>SUMIF(RawTotals!A$2:A1000, indirect("B55"), RawTotals!AH$2:AH1000)</f>
        <v>0</v>
      </c>
      <c r="E55" s="248">
        <f>SUMIF(RawTotals!A$2:A1000, indirect("B55"), RawTotals!J$2:J1000)</f>
        <v>0</v>
      </c>
      <c r="F55" s="270">
        <f>SUMIF(RawTotals!A$2:A1000, indirect("B55"), RawTotals!D$2:D1000)</f>
        <v>0</v>
      </c>
      <c r="G55" s="465">
        <f>SUMIF(RawTotals!A$2:A1000, indirect("B55"), RawTotals!M$2:M1000)</f>
        <v>0</v>
      </c>
      <c r="H55" s="366">
        <f>SUMIF(RawTotals!A$2:A1000, indirect("B55"), RawTotals!AC$2:AC1000)</f>
        <v>0</v>
      </c>
      <c r="I55" s="333">
        <f>SUMIF(RawTotals!A$2:A1000, indirect("B55"), RawTotals!W$2:W1000)</f>
        <v>0</v>
      </c>
      <c r="J55" s="466">
        <f>SUMIF(RawTotals!A$2:A1000, indirect("B55"), RawTotals!Q$2:Q1000)</f>
        <v>0</v>
      </c>
      <c r="K55" s="194"/>
      <c r="L55" s="194"/>
      <c r="M55" s="194"/>
      <c r="N55" s="194"/>
      <c r="O55" s="194"/>
      <c r="P55" s="194"/>
      <c r="Q55" s="194"/>
      <c r="R55" s="194"/>
      <c r="S55" s="194"/>
      <c r="T55" s="194"/>
      <c r="U55" s="194"/>
      <c r="V55" s="194"/>
      <c r="W55" s="194"/>
      <c r="X55" s="194"/>
      <c r="Y55" s="194"/>
      <c r="Z55" s="194"/>
    </row>
    <row r="56">
      <c r="A56" s="194"/>
      <c r="B56" s="15">
        <v>6424.0</v>
      </c>
      <c r="C56" s="464">
        <f>SUMIF(RawTotals!A$2:A1000, indirect("B56"), RawTotals!AG$2:AG1000)</f>
        <v>0</v>
      </c>
      <c r="D56" s="467">
        <f>SUMIF(RawTotals!A$2:A1000, indirect("B56"), RawTotals!AH$2:AH1000)</f>
        <v>0</v>
      </c>
      <c r="E56" s="358">
        <f>SUMIF(RawTotals!A$2:A1000, indirect("B56"), RawTotals!J$2:J1000)</f>
        <v>0</v>
      </c>
      <c r="F56" s="350">
        <f>SUMIF(RawTotals!A$2:A1000, indirect("B56"), RawTotals!D$2:D1000)</f>
        <v>0</v>
      </c>
      <c r="G56" s="338">
        <f>SUMIF(RawTotals!A$2:A1000, indirect("B56"), RawTotals!M$2:M1000)</f>
        <v>0</v>
      </c>
      <c r="H56" s="319">
        <f>SUMIF(RawTotals!A$2:A1000, indirect("B56"), RawTotals!AC$2:AC1000)</f>
        <v>0</v>
      </c>
      <c r="I56" s="333">
        <f>SUMIF(RawTotals!A$2:A1000, indirect("B56"), RawTotals!W$2:W1000)</f>
        <v>0</v>
      </c>
      <c r="J56" s="468">
        <f>SUMIF(RawTotals!A$2:A1000, indirect("B56"), RawTotals!Q$2:Q1000)</f>
        <v>0</v>
      </c>
      <c r="K56" s="194"/>
      <c r="L56" s="194"/>
      <c r="M56" s="194"/>
      <c r="N56" s="194"/>
      <c r="O56" s="194"/>
      <c r="P56" s="194"/>
      <c r="Q56" s="194"/>
      <c r="R56" s="194"/>
      <c r="S56" s="194"/>
      <c r="T56" s="194"/>
      <c r="U56" s="194"/>
      <c r="V56" s="194"/>
      <c r="W56" s="194"/>
      <c r="X56" s="194"/>
      <c r="Y56" s="194"/>
      <c r="Z56" s="194"/>
    </row>
    <row r="57">
      <c r="A57" s="194"/>
      <c r="B57" s="15">
        <v>2976.0</v>
      </c>
      <c r="C57" s="469">
        <f>SUMIF(RawTotals!A$2:A1000, indirect("B57"), RawTotals!AG$2:AG1000)</f>
        <v>0</v>
      </c>
      <c r="D57" s="470">
        <f>SUMIF(RawTotals!A$2:A1000, indirect("B57"), RawTotals!AH$2:AH1000)</f>
        <v>0</v>
      </c>
      <c r="E57" s="392">
        <f>SUMIF(RawTotals!A$2:A1000, indirect("B57"), RawTotals!J$2:J1000)</f>
        <v>0</v>
      </c>
      <c r="F57" s="270">
        <f>SUMIF(RawTotals!A$2:A1000, indirect("B57"), RawTotals!D$2:D1000)</f>
        <v>0</v>
      </c>
      <c r="G57" s="437">
        <f>SUMIF(RawTotals!A$2:A1000, indirect("B57"), RawTotals!M$2:M1000)</f>
        <v>0</v>
      </c>
      <c r="H57" s="422">
        <f>SUMIF(RawTotals!A$2:A1000, indirect("B57"), RawTotals!AC$2:AC1000)</f>
        <v>0</v>
      </c>
      <c r="I57" s="333">
        <f>SUMIF(RawTotals!A$2:A1000, indirect("B57"), RawTotals!W$2:W1000)</f>
        <v>0</v>
      </c>
      <c r="J57" s="385">
        <f>SUMIF(RawTotals!A$2:A1000, indirect("B57"), RawTotals!Q$2:Q1000)</f>
        <v>0</v>
      </c>
      <c r="K57" s="194"/>
      <c r="L57" s="194"/>
      <c r="M57" s="194"/>
      <c r="N57" s="194"/>
      <c r="O57" s="194"/>
      <c r="P57" s="194"/>
      <c r="Q57" s="194"/>
      <c r="R57" s="194"/>
      <c r="S57" s="194"/>
      <c r="T57" s="194"/>
      <c r="U57" s="194"/>
      <c r="V57" s="194"/>
      <c r="W57" s="194"/>
      <c r="X57" s="194"/>
      <c r="Y57" s="194"/>
      <c r="Z57" s="194"/>
    </row>
    <row r="58">
      <c r="A58" s="194"/>
      <c r="B58" s="15">
        <v>7848.0</v>
      </c>
      <c r="C58" s="469">
        <f>SUMIF(RawTotals!A$2:A1000, indirect("B58"), RawTotals!AG$2:AG1000)</f>
        <v>0</v>
      </c>
      <c r="D58" s="400">
        <f>SUMIF(RawTotals!A$2:A1000, indirect("B58"), RawTotals!AH$2:AH1000)</f>
        <v>0</v>
      </c>
      <c r="E58" s="301">
        <f>SUMIF(RawTotals!A$2:A1000, indirect("B58"), RawTotals!J$2:J1000)</f>
        <v>0</v>
      </c>
      <c r="F58" s="322">
        <f>SUMIF(RawTotals!A$2:A1000, indirect("B58"), RawTotals!D$2:D1000)</f>
        <v>0</v>
      </c>
      <c r="G58" s="471">
        <f>SUMIF(RawTotals!A$2:A1000, indirect("B58"), RawTotals!M$2:M1000)</f>
        <v>0</v>
      </c>
      <c r="H58" s="317">
        <f>SUMIF(RawTotals!A$2:A1000, indirect("B58"), RawTotals!AC$2:AC1000)</f>
        <v>0</v>
      </c>
      <c r="I58" s="333">
        <f>SUMIF(RawTotals!A$2:A1000, indirect("B58"), RawTotals!W$2:W1000)</f>
        <v>0</v>
      </c>
      <c r="J58" s="472">
        <f>SUMIF(RawTotals!A$2:A1000, indirect("B58"), RawTotals!Q$2:Q1000)</f>
        <v>0</v>
      </c>
      <c r="K58" s="194"/>
      <c r="L58" s="194"/>
      <c r="M58" s="194"/>
      <c r="N58" s="194"/>
      <c r="O58" s="194"/>
      <c r="P58" s="194"/>
      <c r="Q58" s="194"/>
      <c r="R58" s="194"/>
      <c r="S58" s="194"/>
      <c r="T58" s="194"/>
      <c r="U58" s="194"/>
      <c r="V58" s="194"/>
      <c r="W58" s="194"/>
      <c r="X58" s="194"/>
      <c r="Y58" s="194"/>
      <c r="Z58" s="194"/>
    </row>
    <row r="59">
      <c r="A59" s="194"/>
      <c r="B59" s="15">
        <v>4063.0</v>
      </c>
      <c r="C59" s="473">
        <f>SUMIF(RawTotals!A$2:A1000, indirect("B59"), RawTotals!AG$2:AG1000)</f>
        <v>0</v>
      </c>
      <c r="D59" s="474">
        <f>SUMIF(RawTotals!A$2:A1000, indirect("B59"), RawTotals!AH$2:AH1000)</f>
        <v>0</v>
      </c>
      <c r="E59" s="445">
        <f>SUMIF(RawTotals!A$2:A1000, indirect("B59"), RawTotals!J$2:J1000)</f>
        <v>0</v>
      </c>
      <c r="F59" s="475">
        <f>SUMIF(RawTotals!A$2:A1000, indirect("B59"), RawTotals!D$2:D1000)</f>
        <v>0</v>
      </c>
      <c r="G59" s="417">
        <f>SUMIF(RawTotals!A$2:A1000, indirect("B59"), RawTotals!M$2:M1000)</f>
        <v>0</v>
      </c>
      <c r="H59" s="476">
        <f>SUMIF(RawTotals!A$2:A1000, indirect("B59"), RawTotals!AC$2:AC1000)</f>
        <v>0</v>
      </c>
      <c r="I59" s="428">
        <f>SUMIF(RawTotals!A$2:A1000, indirect("B59"), RawTotals!W$2:W1000)</f>
        <v>0</v>
      </c>
      <c r="J59" s="477">
        <f>SUMIF(RawTotals!A$2:A1000, indirect("B59"), RawTotals!Q$2:Q1000)</f>
        <v>0</v>
      </c>
      <c r="K59" s="194"/>
      <c r="L59" s="194"/>
      <c r="M59" s="194"/>
      <c r="N59" s="194"/>
      <c r="O59" s="194"/>
      <c r="P59" s="194"/>
      <c r="Q59" s="194"/>
      <c r="R59" s="194"/>
      <c r="S59" s="194"/>
      <c r="T59" s="194"/>
      <c r="U59" s="194"/>
      <c r="V59" s="194"/>
      <c r="W59" s="194"/>
      <c r="X59" s="194"/>
      <c r="Y59" s="194"/>
      <c r="Z59" s="194"/>
    </row>
    <row r="60">
      <c r="A60" s="194"/>
      <c r="B60" s="15">
        <v>8701.0</v>
      </c>
      <c r="C60" s="478">
        <f>SUMIF(RawTotals!A$2:A1000, indirect("B60"), RawTotals!AG$2:AG1000)</f>
        <v>0</v>
      </c>
      <c r="D60" s="479">
        <f>SUMIF(RawTotals!A$2:A1000, indirect("B60"), RawTotals!AH$2:AH1000)</f>
        <v>0</v>
      </c>
      <c r="E60" s="264">
        <f>SUMIF(RawTotals!A$2:A1000, indirect("B60"), RawTotals!J$2:J1000)</f>
        <v>0</v>
      </c>
      <c r="F60" s="417">
        <f>SUMIF(RawTotals!A$2:A1000, indirect("B60"), RawTotals!D$2:D1000)</f>
        <v>0</v>
      </c>
      <c r="G60" s="480">
        <f>SUMIF(RawTotals!A$2:A1000, indirect("B60"), RawTotals!M$2:M1000)</f>
        <v>0</v>
      </c>
      <c r="H60" s="481">
        <f>SUMIF(RawTotals!A$2:A1000, indirect("B60"), RawTotals!AC$2:AC1000)</f>
        <v>0</v>
      </c>
      <c r="I60" s="482">
        <f>SUMIF(RawTotals!A$2:A1000, indirect("B60"), RawTotals!W$2:W1000)</f>
        <v>0</v>
      </c>
      <c r="J60" s="434">
        <f>SUMIF(RawTotals!A$2:A1000, indirect("B60"), RawTotals!Q$2:Q1000)</f>
        <v>0</v>
      </c>
      <c r="K60" s="194"/>
      <c r="L60" s="194"/>
      <c r="M60" s="194"/>
      <c r="N60" s="194"/>
      <c r="O60" s="194"/>
      <c r="P60" s="194"/>
      <c r="Q60" s="194"/>
      <c r="R60" s="194"/>
      <c r="S60" s="194"/>
      <c r="T60" s="194"/>
      <c r="U60" s="194"/>
      <c r="V60" s="194"/>
      <c r="W60" s="194"/>
      <c r="X60" s="194"/>
      <c r="Y60" s="194"/>
      <c r="Z60" s="194"/>
    </row>
    <row r="61">
      <c r="A61" s="194"/>
      <c r="B61" s="15">
        <v>8825.0</v>
      </c>
      <c r="C61" s="483">
        <f>SUMIF(RawTotals!A$2:A1000, indirect("B61"), RawTotals!AG$2:AG1000)</f>
        <v>0</v>
      </c>
      <c r="D61" s="479">
        <f>SUMIF(RawTotals!A$2:A1000, indirect("B61"), RawTotals!AH$2:AH1000)</f>
        <v>0</v>
      </c>
      <c r="E61" s="280">
        <f>SUMIF(RawTotals!A$2:A1000, indirect("B61"), RawTotals!J$2:J1000)</f>
        <v>0</v>
      </c>
      <c r="F61" s="441">
        <f>SUMIF(RawTotals!A$2:A1000, indirect("B61"), RawTotals!D$2:D1000)</f>
        <v>0</v>
      </c>
      <c r="G61" s="484">
        <f>SUMIF(RawTotals!A$2:A1000, indirect("B61"), RawTotals!M$2:M1000)</f>
        <v>0</v>
      </c>
      <c r="H61" s="485">
        <f>SUMIF(RawTotals!A$2:A1000, indirect("B61"), RawTotals!AC$2:AC1000)</f>
        <v>0</v>
      </c>
      <c r="I61" s="333">
        <f>SUMIF(RawTotals!A$2:A1000, indirect("B61"), RawTotals!W$2:W1000)</f>
        <v>0</v>
      </c>
      <c r="J61" s="385">
        <f>SUMIF(RawTotals!A$2:A1000, indirect("B61"), RawTotals!Q$2:Q1000)</f>
        <v>0</v>
      </c>
      <c r="K61" s="194"/>
      <c r="L61" s="194"/>
      <c r="M61" s="194"/>
      <c r="N61" s="194"/>
      <c r="O61" s="194"/>
      <c r="P61" s="194"/>
      <c r="Q61" s="194"/>
      <c r="R61" s="194"/>
      <c r="S61" s="194"/>
      <c r="T61" s="194"/>
      <c r="U61" s="194"/>
      <c r="V61" s="194"/>
      <c r="W61" s="194"/>
      <c r="X61" s="194"/>
      <c r="Y61" s="194"/>
      <c r="Z61" s="194"/>
    </row>
    <row r="62">
      <c r="A62" s="194"/>
      <c r="B62" s="15">
        <v>8037.0</v>
      </c>
      <c r="C62" s="486">
        <f>SUMIF(RawTotals!A$2:A1000, indirect("B62"), RawTotals!AG$2:AG1000)</f>
        <v>0</v>
      </c>
      <c r="D62" s="487">
        <f>SUMIF(RawTotals!A$2:A1000, indirect("B62"), RawTotals!AH$2:AH1000)</f>
        <v>0</v>
      </c>
      <c r="E62" s="488">
        <f>SUMIF(RawTotals!A$2:A1000, indirect("B62"), RawTotals!J$2:J1000)</f>
        <v>0</v>
      </c>
      <c r="F62" s="467">
        <f>SUMIF(RawTotals!A$2:A1000, indirect("B62"), RawTotals!D$2:D1000)</f>
        <v>0</v>
      </c>
      <c r="G62" s="489">
        <f>SUMIF(RawTotals!A$2:A1000, indirect("B62"), RawTotals!M$2:M1000)</f>
        <v>0</v>
      </c>
      <c r="H62" s="385">
        <f>SUMIF(RawTotals!A$2:A1000, indirect("B62"), RawTotals!AC$2:AC1000)</f>
        <v>0</v>
      </c>
      <c r="I62" s="333">
        <f>SUMIF(RawTotals!A$2:A1000, indirect("B62"), RawTotals!W$2:W1000)</f>
        <v>0</v>
      </c>
      <c r="J62" s="490">
        <f>SUMIF(RawTotals!A$2:A1000, indirect("B62"), RawTotals!Q$2:Q1000)</f>
        <v>0</v>
      </c>
      <c r="K62" s="194"/>
      <c r="L62" s="194"/>
      <c r="M62" s="194"/>
      <c r="N62" s="194"/>
      <c r="O62" s="194"/>
      <c r="P62" s="194"/>
      <c r="Q62" s="194"/>
      <c r="R62" s="194"/>
      <c r="S62" s="194"/>
      <c r="T62" s="194"/>
      <c r="U62" s="194"/>
      <c r="V62" s="194"/>
      <c r="W62" s="194"/>
      <c r="X62" s="194"/>
      <c r="Y62" s="194"/>
      <c r="Z62" s="194"/>
    </row>
    <row r="63">
      <c r="A63" s="194"/>
      <c r="B63" s="15">
        <v>7153.0</v>
      </c>
      <c r="C63" s="491">
        <f>SUMIF(RawTotals!A$2:A1000, indirect("B63"), RawTotals!AG$2:AG1000)</f>
        <v>0</v>
      </c>
      <c r="D63" s="492">
        <f>SUMIF(RawTotals!A$2:A1000, indirect("B63"), RawTotals!AH$2:AH1000)</f>
        <v>0</v>
      </c>
      <c r="E63" s="458">
        <f>SUMIF(RawTotals!A$2:A1000, indirect("B63"), RawTotals!J$2:J1000)</f>
        <v>0</v>
      </c>
      <c r="F63" s="493">
        <f>SUMIF(RawTotals!A$2:A1000, indirect("B63"), RawTotals!D$2:D1000)</f>
        <v>0</v>
      </c>
      <c r="G63" s="494">
        <f>SUMIF(RawTotals!A$2:A1000, indirect("B63"), RawTotals!M$2:M1000)</f>
        <v>0</v>
      </c>
      <c r="H63" s="495">
        <f>SUMIF(RawTotals!A$2:A1000, indirect("B63"), RawTotals!AC$2:AC1000)</f>
        <v>0</v>
      </c>
      <c r="I63" s="333">
        <f>SUMIF(RawTotals!A$2:A1000, indirect("B63"), RawTotals!W$2:W1000)</f>
        <v>0</v>
      </c>
      <c r="J63" s="489">
        <f>SUMIF(RawTotals!A$2:A1000, indirect("B63"), RawTotals!Q$2:Q1000)</f>
        <v>0</v>
      </c>
      <c r="K63" s="194"/>
      <c r="L63" s="194"/>
      <c r="M63" s="194"/>
      <c r="N63" s="194"/>
      <c r="O63" s="194"/>
      <c r="P63" s="194"/>
      <c r="Q63" s="194"/>
      <c r="R63" s="194"/>
      <c r="S63" s="194"/>
      <c r="T63" s="194"/>
      <c r="U63" s="194"/>
      <c r="V63" s="194"/>
      <c r="W63" s="194"/>
      <c r="X63" s="194"/>
      <c r="Y63" s="194"/>
      <c r="Z63" s="194"/>
    </row>
    <row r="64">
      <c r="A64" s="194"/>
      <c r="B64" s="15">
        <v>8745.0</v>
      </c>
      <c r="C64" s="496">
        <f>SUMIF(RawTotals!A$2:A1000, indirect("B64"), RawTotals!AG$2:AG1000)</f>
        <v>0</v>
      </c>
      <c r="D64" s="497">
        <f>SUMIF(RawTotals!A$2:A1000, indirect("B64"), RawTotals!AH$2:AH1000)</f>
        <v>0</v>
      </c>
      <c r="E64" s="498">
        <f>SUMIF(RawTotals!A$2:A1000, indirect("B64"), RawTotals!J$2:J1000)</f>
        <v>0</v>
      </c>
      <c r="F64" s="494">
        <f>SUMIF(RawTotals!A$2:A1000, indirect("B64"), RawTotals!D$2:D1000)</f>
        <v>0</v>
      </c>
      <c r="G64" s="366">
        <f>SUMIF(RawTotals!A$2:A1000, indirect("B64"), RawTotals!M$2:M1000)</f>
        <v>0</v>
      </c>
      <c r="H64" s="385">
        <f>SUMIF(RawTotals!A$2:A1000, indirect("B64"), RawTotals!AC$2:AC1000)</f>
        <v>0</v>
      </c>
      <c r="I64" s="333">
        <f>SUMIF(RawTotals!A$2:A1000, indirect("B64"), RawTotals!W$2:W1000)</f>
        <v>0</v>
      </c>
      <c r="J64" s="499">
        <f>SUMIF(RawTotals!A$2:A1000, indirect("B64"), RawTotals!Q$2:Q1000)</f>
        <v>0</v>
      </c>
      <c r="K64" s="194"/>
      <c r="L64" s="194"/>
      <c r="M64" s="194"/>
      <c r="N64" s="194"/>
      <c r="O64" s="194"/>
      <c r="P64" s="194"/>
      <c r="Q64" s="194"/>
      <c r="R64" s="194"/>
      <c r="S64" s="194"/>
      <c r="T64" s="194"/>
      <c r="U64" s="194"/>
      <c r="V64" s="194"/>
      <c r="W64" s="194"/>
      <c r="X64" s="194"/>
      <c r="Y64" s="194"/>
      <c r="Z64" s="194"/>
    </row>
    <row r="65">
      <c r="A65" s="194"/>
      <c r="B65" s="15">
        <v>1156.0</v>
      </c>
      <c r="C65" s="500">
        <f>SUMIF(RawTotals!A$2:A1000, indirect("B65"), RawTotals!AG$2:AG1000)</f>
        <v>0</v>
      </c>
      <c r="D65" s="501">
        <f>SUMIF(RawTotals!A$2:A1000, indirect("B65"), RawTotals!AH$2:AH1000)</f>
        <v>0</v>
      </c>
      <c r="E65" s="502">
        <f>SUMIF(RawTotals!A$2:A1000, indirect("B65"), RawTotals!J$2:J1000)</f>
        <v>0</v>
      </c>
      <c r="F65" s="407">
        <f>SUMIF(RawTotals!A$2:A1000, indirect("B65"), RawTotals!D$2:D1000)</f>
        <v>0</v>
      </c>
      <c r="G65" s="396">
        <f>SUMIF(RawTotals!A$2:A1000, indirect("B65"), RawTotals!M$2:M1000)</f>
        <v>0</v>
      </c>
      <c r="H65" s="317">
        <f>SUMIF(RawTotals!A$2:A1000, indirect("B65"), RawTotals!AC$2:AC1000)</f>
        <v>0</v>
      </c>
      <c r="I65" s="333">
        <f>SUMIF(RawTotals!A$2:A1000, indirect("B65"), RawTotals!W$2:W1000)</f>
        <v>0</v>
      </c>
      <c r="J65" s="503">
        <f>SUMIF(RawTotals!A$2:A1000, indirect("B65"), RawTotals!Q$2:Q1000)</f>
        <v>0</v>
      </c>
      <c r="K65" s="194"/>
      <c r="L65" s="194"/>
      <c r="M65" s="194"/>
      <c r="N65" s="194"/>
      <c r="O65" s="194"/>
      <c r="P65" s="194"/>
      <c r="Q65" s="194"/>
      <c r="R65" s="194"/>
      <c r="S65" s="194"/>
      <c r="T65" s="194"/>
      <c r="U65" s="194"/>
      <c r="V65" s="194"/>
      <c r="W65" s="194"/>
      <c r="X65" s="194"/>
      <c r="Y65" s="194"/>
      <c r="Z65" s="194"/>
    </row>
    <row r="66">
      <c r="A66" s="194"/>
      <c r="B66" s="15">
        <v>8739.0</v>
      </c>
      <c r="C66" s="504">
        <f>SUMIF(RawTotals!A$2:A1000, indirect("B66"), RawTotals!AG$2:AG1000)</f>
        <v>0</v>
      </c>
      <c r="D66" s="419">
        <f>SUMIF(RawTotals!A$2:A1000, indirect("B66"), RawTotals!AH$2:AH1000)</f>
        <v>0</v>
      </c>
      <c r="E66" s="392">
        <f>SUMIF(RawTotals!A$2:A1000, indirect("B66"), RawTotals!J$2:J1000)</f>
        <v>0</v>
      </c>
      <c r="F66" s="407">
        <f>SUMIF(RawTotals!A$2:A1000, indirect("B66"), RawTotals!D$2:D1000)</f>
        <v>0</v>
      </c>
      <c r="G66" s="265">
        <f>SUMIF(RawTotals!A$2:A1000, indirect("B66"), RawTotals!M$2:M1000)</f>
        <v>0</v>
      </c>
      <c r="H66" s="376">
        <f>SUMIF(RawTotals!A$2:A1000, indirect("B66"), RawTotals!AC$2:AC1000)</f>
        <v>0</v>
      </c>
      <c r="I66" s="333">
        <f>SUMIF(RawTotals!A$2:A1000, indirect("B66"), RawTotals!W$2:W1000)</f>
        <v>0</v>
      </c>
      <c r="J66" s="417">
        <f>SUMIF(RawTotals!A$2:A1000, indirect("B66"), RawTotals!Q$2:Q1000)</f>
        <v>0</v>
      </c>
      <c r="K66" s="194"/>
      <c r="L66" s="194"/>
      <c r="M66" s="194"/>
      <c r="N66" s="194"/>
      <c r="O66" s="194"/>
      <c r="P66" s="194"/>
      <c r="Q66" s="194"/>
      <c r="R66" s="194"/>
      <c r="S66" s="194"/>
      <c r="T66" s="194"/>
      <c r="U66" s="194"/>
      <c r="V66" s="194"/>
      <c r="W66" s="194"/>
      <c r="X66" s="194"/>
      <c r="Y66" s="194"/>
      <c r="Z66" s="194"/>
    </row>
    <row r="67">
      <c r="A67" s="194"/>
      <c r="B67" s="15">
        <v>6135.0</v>
      </c>
      <c r="C67" s="505">
        <f>SUMIF(RawTotals!A$2:A1000, indirect("B67"), RawTotals!AG$2:AG1000)</f>
        <v>0</v>
      </c>
      <c r="D67" s="496">
        <f>SUMIF(RawTotals!A$2:A1000, indirect("B67"), RawTotals!AH$2:AH1000)</f>
        <v>0</v>
      </c>
      <c r="E67" s="506">
        <f>SUMIF(RawTotals!A$2:A1000, indirect("B67"), RawTotals!J$2:J1000)</f>
        <v>0</v>
      </c>
      <c r="F67" s="380">
        <f>SUMIF(RawTotals!A$2:A1000, indirect("B67"), RawTotals!D$2:D1000)</f>
        <v>0</v>
      </c>
      <c r="G67" s="507">
        <f>SUMIF(RawTotals!A$2:A1000, indirect("B67"), RawTotals!M$2:M1000)</f>
        <v>0</v>
      </c>
      <c r="H67" s="401">
        <f>SUMIF(RawTotals!A$2:A1000, indirect("B67"), RawTotals!AC$2:AC1000)</f>
        <v>0</v>
      </c>
      <c r="I67" s="333">
        <f>SUMIF(RawTotals!A$2:A1000, indirect("B67"), RawTotals!W$2:W1000)</f>
        <v>0</v>
      </c>
      <c r="J67" s="508">
        <f>SUMIF(RawTotals!A$2:A1000, indirect("B67"), RawTotals!Q$2:Q1000)</f>
        <v>0</v>
      </c>
      <c r="K67" s="194"/>
      <c r="L67" s="194"/>
      <c r="M67" s="194"/>
      <c r="N67" s="194"/>
      <c r="O67" s="194"/>
      <c r="P67" s="194"/>
      <c r="Q67" s="194"/>
      <c r="R67" s="194"/>
      <c r="S67" s="194"/>
      <c r="T67" s="194"/>
      <c r="U67" s="194"/>
      <c r="V67" s="194"/>
      <c r="W67" s="194"/>
      <c r="X67" s="194"/>
      <c r="Y67" s="194"/>
      <c r="Z67" s="194"/>
    </row>
    <row r="68">
      <c r="A68" s="194"/>
      <c r="B68" s="15">
        <v>8575.0</v>
      </c>
      <c r="C68" s="509">
        <f>SUMIF(RawTotals!A$2:A1000, indirect("B68"), RawTotals!AG$2:AG1000)</f>
        <v>0</v>
      </c>
      <c r="D68" s="419">
        <f>SUMIF(RawTotals!A$2:A1000, indirect("B68"), RawTotals!AH$2:AH1000)</f>
        <v>0</v>
      </c>
      <c r="E68" s="510">
        <f>SUMIF(RawTotals!A$2:A1000, indirect("B68"), RawTotals!J$2:J1000)</f>
        <v>0</v>
      </c>
      <c r="F68" s="508">
        <f>SUMIF(RawTotals!A$2:A1000, indirect("B68"), RawTotals!D$2:D1000)</f>
        <v>0</v>
      </c>
      <c r="G68" s="511">
        <f>SUMIF(RawTotals!A$2:A1000, indirect("B68"), RawTotals!M$2:M1000)</f>
        <v>0</v>
      </c>
      <c r="H68" s="419">
        <f>SUMIF(RawTotals!A$2:A1000, indirect("B68"), RawTotals!AC$2:AC1000)</f>
        <v>0</v>
      </c>
      <c r="I68" s="428">
        <f>SUMIF(RawTotals!A$2:A1000, indirect("B68"), RawTotals!W$2:W1000)</f>
        <v>0</v>
      </c>
      <c r="J68" s="339">
        <f>SUMIF(RawTotals!A$2:A1000, indirect("B68"), RawTotals!Q$2:Q1000)</f>
        <v>0</v>
      </c>
      <c r="K68" s="194"/>
      <c r="L68" s="194"/>
      <c r="M68" s="194"/>
      <c r="N68" s="194"/>
      <c r="O68" s="194"/>
      <c r="P68" s="194"/>
      <c r="Q68" s="194"/>
      <c r="R68" s="194"/>
      <c r="S68" s="194"/>
      <c r="T68" s="194"/>
      <c r="U68" s="194"/>
      <c r="V68" s="194"/>
      <c r="W68" s="194"/>
      <c r="X68" s="194"/>
      <c r="Y68" s="194"/>
      <c r="Z68" s="194"/>
    </row>
    <row r="69">
      <c r="A69" s="194"/>
      <c r="B69" s="15">
        <v>3794.0</v>
      </c>
      <c r="C69" s="454">
        <f>SUMIF(RawTotals!A$2:A1000, indirect("B69"), RawTotals!AG$2:AG1000)</f>
        <v>0</v>
      </c>
      <c r="D69" s="512">
        <f>SUMIF(RawTotals!A$2:A1000, indirect("B69"), RawTotals!AH$2:AH1000)</f>
        <v>0</v>
      </c>
      <c r="E69" s="513">
        <f>SUMIF(RawTotals!A$2:A1000, indirect("B69"), RawTotals!J$2:J1000)</f>
        <v>0</v>
      </c>
      <c r="F69" s="514">
        <f>SUMIF(RawTotals!A$2:A1000, indirect("B69"), RawTotals!D$2:D1000)</f>
        <v>0</v>
      </c>
      <c r="G69" s="480">
        <f>SUMIF(RawTotals!A$2:A1000, indirect("B69"), RawTotals!M$2:M1000)</f>
        <v>0</v>
      </c>
      <c r="H69" s="454">
        <f>SUMIF(RawTotals!A$2:A1000, indirect("B69"), RawTotals!AC$2:AC1000)</f>
        <v>0</v>
      </c>
      <c r="I69" s="333">
        <f>SUMIF(RawTotals!A$2:A1000, indirect("B69"), RawTotals!W$2:W1000)</f>
        <v>0</v>
      </c>
      <c r="J69" s="515">
        <f>SUMIF(RawTotals!A$2:A1000, indirect("B69"), RawTotals!Q$2:Q1000)</f>
        <v>0</v>
      </c>
      <c r="K69" s="194"/>
      <c r="L69" s="194"/>
      <c r="M69" s="194"/>
      <c r="N69" s="194"/>
      <c r="O69" s="194"/>
      <c r="P69" s="194"/>
      <c r="Q69" s="194"/>
      <c r="R69" s="194"/>
      <c r="S69" s="194"/>
      <c r="T69" s="194"/>
      <c r="U69" s="194"/>
      <c r="V69" s="194"/>
      <c r="W69" s="194"/>
      <c r="X69" s="194"/>
      <c r="Y69" s="194"/>
      <c r="Z69" s="194"/>
    </row>
    <row r="70">
      <c r="A70" s="194"/>
      <c r="B70" s="15">
        <v>2839.0</v>
      </c>
      <c r="C70" s="516">
        <f>SUMIF(RawTotals!A$2:A1000, indirect("B70"), RawTotals!AG$2:AG1000)</f>
        <v>0</v>
      </c>
      <c r="D70" s="517">
        <f>SUMIF(RawTotals!A$2:A1000, indirect("B70"), RawTotals!AH$2:AH1000)</f>
        <v>0</v>
      </c>
      <c r="E70" s="518">
        <f>SUMIF(RawTotals!A$2:A1000, indirect("B70"), RawTotals!J$2:J1000)</f>
        <v>0</v>
      </c>
      <c r="F70" s="459">
        <f>SUMIF(RawTotals!A$2:A1000, indirect("B70"), RawTotals!D$2:D1000)</f>
        <v>0</v>
      </c>
      <c r="G70" s="519">
        <f>SUMIF(RawTotals!A$2:A1000, indirect("B70"), RawTotals!M$2:M1000)</f>
        <v>0</v>
      </c>
      <c r="H70" s="443">
        <f>SUMIF(RawTotals!A$2:A1000, indirect("B70"), RawTotals!AC$2:AC1000)</f>
        <v>0</v>
      </c>
      <c r="I70" s="333">
        <f>SUMIF(RawTotals!A$2:A1000, indirect("B70"), RawTotals!W$2:W1000)</f>
        <v>0</v>
      </c>
      <c r="J70" s="472">
        <f>SUMIF(RawTotals!A$2:A1000, indirect("B70"), RawTotals!Q$2:Q1000)</f>
        <v>0</v>
      </c>
      <c r="K70" s="194"/>
      <c r="L70" s="194"/>
      <c r="M70" s="194"/>
      <c r="N70" s="194"/>
      <c r="O70" s="194"/>
      <c r="P70" s="194"/>
      <c r="Q70" s="194"/>
      <c r="R70" s="194"/>
      <c r="S70" s="194"/>
      <c r="T70" s="194"/>
      <c r="U70" s="194"/>
      <c r="V70" s="194"/>
      <c r="W70" s="194"/>
      <c r="X70" s="194"/>
      <c r="Y70" s="194"/>
      <c r="Z70" s="194"/>
    </row>
    <row r="71">
      <c r="A71" s="194"/>
      <c r="B71" s="15">
        <v>5006.0</v>
      </c>
      <c r="C71" s="520">
        <f>SUMIF(RawTotals!A$2:A1000, indirect("B71"), RawTotals!AG$2:AG1000)</f>
        <v>0</v>
      </c>
      <c r="D71" s="521">
        <f>SUMIF(RawTotals!A$2:A1000, indirect("B71"), RawTotals!AH$2:AH1000)</f>
        <v>0</v>
      </c>
      <c r="E71" s="522">
        <f>SUMIF(RawTotals!A$2:A1000, indirect("B71"), RawTotals!J$2:J1000)</f>
        <v>0</v>
      </c>
      <c r="F71" s="418">
        <f>SUMIF(RawTotals!A$2:A1000, indirect("B71"), RawTotals!D$2:D1000)</f>
        <v>0</v>
      </c>
      <c r="G71" s="523">
        <f>SUMIF(RawTotals!A$2:A1000, indirect("B71"), RawTotals!M$2:M1000)</f>
        <v>0</v>
      </c>
      <c r="H71" s="481">
        <f>SUMIF(RawTotals!A$2:A1000, indirect("B71"), RawTotals!AC$2:AC1000)</f>
        <v>0</v>
      </c>
      <c r="I71" s="309">
        <f>SUMIF(RawTotals!A$2:A1000, indirect("B71"), RawTotals!W$2:W1000)</f>
        <v>0</v>
      </c>
      <c r="J71" s="456">
        <f>SUMIF(RawTotals!A$2:A1000, indirect("B71"), RawTotals!Q$2:Q1000)</f>
        <v>0</v>
      </c>
      <c r="K71" s="194"/>
      <c r="L71" s="194"/>
      <c r="M71" s="194"/>
      <c r="N71" s="194"/>
      <c r="O71" s="194"/>
      <c r="P71" s="194"/>
      <c r="Q71" s="194"/>
      <c r="R71" s="194"/>
      <c r="S71" s="194"/>
      <c r="T71" s="194"/>
      <c r="U71" s="194"/>
      <c r="V71" s="194"/>
      <c r="W71" s="194"/>
      <c r="X71" s="194"/>
      <c r="Y71" s="194"/>
      <c r="Z71" s="194"/>
    </row>
    <row r="72">
      <c r="A72" s="194"/>
      <c r="B72" s="15">
        <v>2905.0</v>
      </c>
      <c r="C72" s="524">
        <f>SUMIF(RawTotals!A$2:A1000, indirect("B72"), RawTotals!AG$2:AG1000)</f>
        <v>0</v>
      </c>
      <c r="D72" s="525">
        <f>SUMIF(RawTotals!A$2:A1000, indirect("B72"), RawTotals!AH$2:AH1000)</f>
        <v>0</v>
      </c>
      <c r="E72" s="522">
        <f>SUMIF(RawTotals!A$2:A1000, indirect("B72"), RawTotals!J$2:J1000)</f>
        <v>0</v>
      </c>
      <c r="F72" s="526">
        <f>SUMIF(RawTotals!A$2:A1000, indirect("B72"), RawTotals!D$2:D1000)</f>
        <v>0</v>
      </c>
      <c r="G72" s="417">
        <f>SUMIF(RawTotals!A$2:A1000, indirect("B72"), RawTotals!M$2:M1000)</f>
        <v>0</v>
      </c>
      <c r="H72" s="476">
        <f>SUMIF(RawTotals!A$2:A1000, indirect("B72"), RawTotals!AC$2:AC1000)</f>
        <v>0</v>
      </c>
      <c r="I72" s="333">
        <f>SUMIF(RawTotals!A$2:A1000, indirect("B72"), RawTotals!W$2:W1000)</f>
        <v>0</v>
      </c>
      <c r="J72" s="472">
        <f>SUMIF(RawTotals!A$2:A1000, indirect("B72"), RawTotals!Q$2:Q1000)</f>
        <v>0</v>
      </c>
      <c r="K72" s="194"/>
      <c r="L72" s="194"/>
      <c r="M72" s="194"/>
      <c r="N72" s="194"/>
      <c r="O72" s="194"/>
      <c r="P72" s="194"/>
      <c r="Q72" s="194"/>
      <c r="R72" s="194"/>
      <c r="S72" s="194"/>
      <c r="T72" s="194"/>
      <c r="U72" s="194"/>
      <c r="V72" s="194"/>
      <c r="W72" s="194"/>
      <c r="X72" s="194"/>
      <c r="Y72" s="194"/>
      <c r="Z72" s="194"/>
    </row>
    <row r="73">
      <c r="A73" s="194"/>
      <c r="B73" s="15">
        <v>5806.0</v>
      </c>
      <c r="C73" s="481">
        <f>SUMIF(RawTotals!A$2:A1000, indirect("B73"), RawTotals!AG$2:AG1000)</f>
        <v>0</v>
      </c>
      <c r="D73" s="527">
        <f>SUMIF(RawTotals!A$2:A1000, indirect("B73"), RawTotals!AH$2:AH1000)</f>
        <v>0</v>
      </c>
      <c r="E73" s="528">
        <f>SUMIF(RawTotals!A$2:A1000, indirect("B73"), RawTotals!J$2:J1000)</f>
        <v>0</v>
      </c>
      <c r="F73" s="529">
        <f>SUMIF(RawTotals!A$2:A1000, indirect("B73"), RawTotals!D$2:D1000)</f>
        <v>0</v>
      </c>
      <c r="G73" s="530">
        <f>SUMIF(RawTotals!A$2:A1000, indirect("B73"), RawTotals!M$2:M1000)</f>
        <v>0</v>
      </c>
      <c r="H73" s="531">
        <f>SUMIF(RawTotals!A$2:A1000, indirect("B73"), RawTotals!AC$2:AC1000)</f>
        <v>0</v>
      </c>
      <c r="I73" s="333">
        <f>SUMIF(RawTotals!A$2:A1000, indirect("B73"), RawTotals!W$2:W1000)</f>
        <v>0</v>
      </c>
      <c r="J73" s="503">
        <f>SUMIF(RawTotals!A$2:A1000, indirect("B73"), RawTotals!Q$2:Q1000)</f>
        <v>0</v>
      </c>
      <c r="K73" s="194"/>
      <c r="L73" s="194"/>
      <c r="M73" s="194"/>
      <c r="N73" s="194"/>
      <c r="O73" s="194"/>
      <c r="P73" s="194"/>
      <c r="Q73" s="194"/>
      <c r="R73" s="194"/>
      <c r="S73" s="194"/>
      <c r="T73" s="194"/>
      <c r="U73" s="194"/>
      <c r="V73" s="194"/>
      <c r="W73" s="194"/>
      <c r="X73" s="194"/>
      <c r="Y73" s="194"/>
      <c r="Z73" s="194"/>
    </row>
    <row r="74">
      <c r="A74" s="194"/>
      <c r="B74" s="15">
        <v>8822.0</v>
      </c>
      <c r="C74" s="532">
        <f>SUMIF(RawTotals!A$2:A1000, indirect("B74"), RawTotals!AG$2:AG1000)</f>
        <v>0</v>
      </c>
      <c r="D74" s="533">
        <f>SUMIF(RawTotals!A$2:A1000, indirect("B74"), RawTotals!AH$2:AH1000)</f>
        <v>0</v>
      </c>
      <c r="E74" s="510">
        <f>SUMIF(RawTotals!A$2:A1000, indirect("B74"), RawTotals!J$2:J1000)</f>
        <v>0</v>
      </c>
      <c r="F74" s="534">
        <f>SUMIF(RawTotals!A$2:A1000, indirect("B74"), RawTotals!D$2:D1000)</f>
        <v>0</v>
      </c>
      <c r="G74" s="453">
        <f>SUMIF(RawTotals!A$2:A1000, indirect("B74"), RawTotals!M$2:M1000)</f>
        <v>0</v>
      </c>
      <c r="H74" s="419">
        <f>SUMIF(RawTotals!A$2:A1000, indirect("B74"), RawTotals!AC$2:AC1000)</f>
        <v>0</v>
      </c>
      <c r="I74" s="333">
        <f>SUMIF(RawTotals!A$2:A1000, indirect("B74"), RawTotals!W$2:W1000)</f>
        <v>0</v>
      </c>
      <c r="J74" s="417">
        <f>SUMIF(RawTotals!A$2:A1000, indirect("B74"), RawTotals!Q$2:Q1000)</f>
        <v>0</v>
      </c>
      <c r="K74" s="194"/>
      <c r="L74" s="194"/>
      <c r="M74" s="194"/>
      <c r="N74" s="194"/>
      <c r="O74" s="194"/>
      <c r="P74" s="194"/>
      <c r="Q74" s="194"/>
      <c r="R74" s="194"/>
      <c r="S74" s="194"/>
      <c r="T74" s="194"/>
      <c r="U74" s="194"/>
      <c r="V74" s="194"/>
      <c r="W74" s="194"/>
      <c r="X74" s="194"/>
      <c r="Y74" s="194"/>
      <c r="Z74" s="194"/>
    </row>
    <row r="75">
      <c r="A75" s="194"/>
      <c r="B75" s="15">
        <v>7315.0</v>
      </c>
      <c r="C75" s="417">
        <f>SUMIF(RawTotals!A$2:A1000, indirect("B75"), RawTotals!AG$2:AG1000)</f>
        <v>0</v>
      </c>
      <c r="D75" s="417">
        <f>SUMIF(RawTotals!A$2:A1000, indirect("B75"), RawTotals!AH$2:AH1000)</f>
        <v>0</v>
      </c>
      <c r="E75" s="333">
        <f>SUMIF(RawTotals!A$2:A1000, indirect("B75"), RawTotals!J$2:J1000)</f>
        <v>0</v>
      </c>
      <c r="F75" s="417">
        <f>SUMIF(RawTotals!A$2:A1000, indirect("B75"), RawTotals!D$2:D1000)</f>
        <v>0</v>
      </c>
      <c r="G75" s="417">
        <f>SUMIF(RawTotals!A$2:A1000, indirect("B75"), RawTotals!M$2:M1000)</f>
        <v>0</v>
      </c>
      <c r="H75" s="417">
        <f>SUMIF(RawTotals!A$2:A1000, indirect("B75"), RawTotals!AC$2:AC1000)</f>
        <v>0</v>
      </c>
      <c r="I75" s="333">
        <f>SUMIF(RawTotals!A$2:A1000, indirect("B75"), RawTotals!W$2:W1000)</f>
        <v>0</v>
      </c>
      <c r="J75" s="417">
        <f>SUMIF(RawTotals!A$2:A1000, indirect("B75"), RawTotals!Q$2:Q1000)</f>
        <v>0</v>
      </c>
      <c r="K75" s="194"/>
      <c r="L75" s="194"/>
      <c r="M75" s="194"/>
      <c r="N75" s="194"/>
      <c r="O75" s="194"/>
      <c r="P75" s="194"/>
      <c r="Q75" s="194"/>
      <c r="R75" s="194"/>
      <c r="S75" s="194"/>
      <c r="T75" s="194"/>
      <c r="U75" s="194"/>
      <c r="V75" s="194"/>
      <c r="W75" s="194"/>
      <c r="X75" s="194"/>
      <c r="Y75" s="194"/>
      <c r="Z75" s="194"/>
    </row>
    <row r="76">
      <c r="A76" s="194"/>
      <c r="B76" s="15">
        <v>4592.0</v>
      </c>
      <c r="C76" s="366">
        <f>SUMIF(RawTotals!A$2:A1000, indirect("B76"), RawTotals!AG$2:AG1000)</f>
        <v>0</v>
      </c>
      <c r="D76" s="366">
        <f>SUMIF(RawTotals!A$2:A1000, indirect("B76"), RawTotals!AH$2:AH1000)</f>
        <v>0</v>
      </c>
      <c r="E76" s="333">
        <f>SUMIF(RawTotals!A$2:A1000, indirect("B76"), RawTotals!J$2:J1000)</f>
        <v>0</v>
      </c>
      <c r="F76" s="417">
        <f>SUMIF(RawTotals!A$2:A1000, indirect("B76"), RawTotals!D$2:D1000)</f>
        <v>0</v>
      </c>
      <c r="G76" s="417">
        <f>SUMIF(RawTotals!A$2:A1000, indirect("B76"), RawTotals!M$2:M1000)</f>
        <v>0</v>
      </c>
      <c r="H76" s="417">
        <f>SUMIF(RawTotals!A$2:A1000, indirect("B76"), RawTotals!AC$2:AC1000)</f>
        <v>0</v>
      </c>
      <c r="I76" s="333">
        <f>SUMIF(RawTotals!A$2:A1000, indirect("B76"), RawTotals!W$2:W1000)</f>
        <v>0</v>
      </c>
      <c r="J76" s="417">
        <f>SUMIF(RawTotals!A$2:A1000, indirect("B76"), RawTotals!Q$2:Q1000)</f>
        <v>0</v>
      </c>
      <c r="K76" s="194"/>
      <c r="L76" s="194"/>
      <c r="M76" s="194"/>
      <c r="N76" s="194"/>
      <c r="O76" s="194"/>
      <c r="P76" s="194"/>
      <c r="Q76" s="194"/>
      <c r="R76" s="194"/>
      <c r="S76" s="194"/>
      <c r="T76" s="194"/>
      <c r="U76" s="194"/>
      <c r="V76" s="194"/>
      <c r="W76" s="194"/>
      <c r="X76" s="194"/>
      <c r="Y76" s="194"/>
      <c r="Z76" s="194"/>
    </row>
    <row r="77">
      <c r="A77" s="194"/>
      <c r="B77" s="535"/>
      <c r="C77" s="366">
        <f>SUMIF(RawTotals!A$2:A1000, indirect("B77"), RawTotals!AG$2:AG1000)</f>
        <v>0</v>
      </c>
      <c r="D77" s="366">
        <f>SUMIF(RawTotals!A$2:A1000, indirect("B77"), RawTotals!AH$2:AH1000)</f>
        <v>0</v>
      </c>
      <c r="E77" s="333">
        <f>SUMIF(RawTotals!A$2:A1000, indirect("B77"), RawTotals!J$2:J1000)</f>
        <v>0</v>
      </c>
      <c r="F77" s="417">
        <f>SUMIF(RawTotals!A$2:A1000, indirect("B77"), RawTotals!D$2:D1000)</f>
        <v>0</v>
      </c>
      <c r="G77" s="417">
        <f>SUMIF(RawTotals!A$2:A1000, indirect("B77"), RawTotals!M$2:M1000)</f>
        <v>0</v>
      </c>
      <c r="H77" s="417">
        <f>SUMIF(RawTotals!A$2:A1000, indirect("B77"), RawTotals!AC$2:AC1000)</f>
        <v>0</v>
      </c>
      <c r="I77" s="333">
        <f>SUMIF(RawTotals!A$2:A1000, indirect("B77"), RawTotals!W$2:W1000)</f>
        <v>0</v>
      </c>
      <c r="J77" s="417">
        <f>SUMIF(RawTotals!A$2:A1000, indirect("B77"), RawTotals!Q$2:Q1000)</f>
        <v>0</v>
      </c>
      <c r="K77" s="194"/>
      <c r="L77" s="194"/>
      <c r="M77" s="194"/>
      <c r="N77" s="194"/>
      <c r="O77" s="194"/>
      <c r="P77" s="194"/>
      <c r="Q77" s="194"/>
      <c r="R77" s="194"/>
      <c r="S77" s="194"/>
      <c r="T77" s="194"/>
      <c r="U77" s="194"/>
      <c r="V77" s="194"/>
      <c r="W77" s="194"/>
      <c r="X77" s="194"/>
      <c r="Y77" s="194"/>
      <c r="Z77" s="194"/>
    </row>
    <row r="78">
      <c r="A78" s="194"/>
      <c r="B78" s="535"/>
      <c r="C78" s="366">
        <f>SUMIF(RawTotals!A$2:A1000, indirect("B78"), RawTotals!AG$2:AG1000)</f>
        <v>0</v>
      </c>
      <c r="D78" s="366">
        <f>SUMIF(RawTotals!A$2:A1000, indirect("B78"), RawTotals!AH$2:AH1000)</f>
        <v>0</v>
      </c>
      <c r="E78" s="333">
        <f>SUMIF(RawTotals!A$2:A1000, indirect("B78"), RawTotals!J$2:J1000)</f>
        <v>0</v>
      </c>
      <c r="F78" s="417">
        <f>SUMIF(RawTotals!A$2:A1000, indirect("B78"), RawTotals!D$2:D1000)</f>
        <v>0</v>
      </c>
      <c r="G78" s="417">
        <f>SUMIF(RawTotals!A$2:A1000, indirect("B78"), RawTotals!M$2:M1000)</f>
        <v>0</v>
      </c>
      <c r="H78" s="417">
        <f>SUMIF(RawTotals!A$2:A1000, indirect("B78"), RawTotals!AC$2:AC1000)</f>
        <v>0</v>
      </c>
      <c r="I78" s="333">
        <f>SUMIF(RawTotals!A$2:A1000, indirect("B78"), RawTotals!W$2:W1000)</f>
        <v>0</v>
      </c>
      <c r="J78" s="417">
        <f>SUMIF(RawTotals!A$2:A1000, indirect("B78"), RawTotals!Q$2:Q1000)</f>
        <v>0</v>
      </c>
      <c r="K78" s="194"/>
      <c r="L78" s="194"/>
      <c r="M78" s="194"/>
      <c r="N78" s="194"/>
      <c r="O78" s="194"/>
      <c r="P78" s="194"/>
      <c r="Q78" s="194"/>
      <c r="R78" s="194"/>
      <c r="S78" s="194"/>
      <c r="T78" s="194"/>
      <c r="U78" s="194"/>
      <c r="V78" s="194"/>
      <c r="W78" s="194"/>
      <c r="X78" s="194"/>
      <c r="Y78" s="194"/>
      <c r="Z78" s="194"/>
    </row>
    <row r="79">
      <c r="A79" s="194"/>
      <c r="B79" s="535"/>
      <c r="C79" s="366">
        <f>SUMIF(RawTotals!A$2:A1000, indirect("B79"), RawTotals!AG$2:AG1000)</f>
        <v>0</v>
      </c>
      <c r="D79" s="366">
        <f>SUMIF(RawTotals!A$2:A1000, indirect("B79"), RawTotals!AH$2:AH1000)</f>
        <v>0</v>
      </c>
      <c r="E79" s="333">
        <f>SUMIF(RawTotals!A$2:A1000, indirect("B79"), RawTotals!J$2:J1000)</f>
        <v>0</v>
      </c>
      <c r="F79" s="417">
        <f>SUMIF(RawTotals!A$2:A1000, indirect("B79"), RawTotals!D$2:D1000)</f>
        <v>0</v>
      </c>
      <c r="G79" s="417">
        <f>SUMIF(RawTotals!A$2:A1000, indirect("B79"), RawTotals!M$2:M1000)</f>
        <v>0</v>
      </c>
      <c r="H79" s="417">
        <f>SUMIF(RawTotals!A$2:A1000, indirect("B79"), RawTotals!AC$2:AC1000)</f>
        <v>0</v>
      </c>
      <c r="I79" s="333">
        <f>SUMIF(RawTotals!A$2:A1000, indirect("B79"), RawTotals!W$2:W1000)</f>
        <v>0</v>
      </c>
      <c r="J79" s="417">
        <f>SUMIF(RawTotals!A$2:A1000, indirect("B79"), RawTotals!Q$2:Q1000)</f>
        <v>0</v>
      </c>
      <c r="K79" s="194"/>
      <c r="L79" s="194"/>
      <c r="M79" s="194"/>
      <c r="N79" s="194"/>
      <c r="O79" s="194"/>
      <c r="P79" s="194"/>
      <c r="Q79" s="194"/>
      <c r="R79" s="194"/>
      <c r="S79" s="194"/>
      <c r="T79" s="194"/>
      <c r="U79" s="194"/>
      <c r="V79" s="194"/>
      <c r="W79" s="194"/>
      <c r="X79" s="194"/>
      <c r="Y79" s="194"/>
      <c r="Z79" s="194"/>
    </row>
    <row r="80">
      <c r="A80" s="194"/>
      <c r="B80" s="535"/>
      <c r="C80" s="366">
        <f>SUMIF(RawTotals!A$2:A1000, indirect("B80"), RawTotals!AG$2:AG1000)</f>
        <v>0</v>
      </c>
      <c r="D80" s="366">
        <f>SUMIF(RawTotals!A$2:A1000, indirect("B80"), RawTotals!AH$2:AH1000)</f>
        <v>0</v>
      </c>
      <c r="E80" s="333">
        <f>SUMIF(RawTotals!A$2:A1000, indirect("B80"), RawTotals!J$2:J1000)</f>
        <v>0</v>
      </c>
      <c r="F80" s="417">
        <f>SUMIF(RawTotals!A$2:A1000, indirect("B80"), RawTotals!D$2:D1000)</f>
        <v>0</v>
      </c>
      <c r="G80" s="417">
        <f>SUMIF(RawTotals!A$2:A1000, indirect("B80"), RawTotals!M$2:M1000)</f>
        <v>0</v>
      </c>
      <c r="H80" s="417">
        <f>SUMIF(RawTotals!A$2:A1000, indirect("B80"), RawTotals!AC$2:AC1000)</f>
        <v>0</v>
      </c>
      <c r="I80" s="333">
        <f>SUMIF(RawTotals!A$2:A1000, indirect("B80"), RawTotals!W$2:W1000)</f>
        <v>0</v>
      </c>
      <c r="J80" s="417">
        <f>SUMIF(RawTotals!A$2:A1000, indirect("B80"), RawTotals!Q$2:Q1000)</f>
        <v>0</v>
      </c>
      <c r="K80" s="194"/>
      <c r="L80" s="194"/>
      <c r="M80" s="194"/>
      <c r="N80" s="194"/>
      <c r="O80" s="194"/>
      <c r="P80" s="194"/>
      <c r="Q80" s="194"/>
      <c r="R80" s="194"/>
      <c r="S80" s="194"/>
      <c r="T80" s="194"/>
      <c r="U80" s="194"/>
      <c r="V80" s="194"/>
      <c r="W80" s="194"/>
      <c r="X80" s="194"/>
      <c r="Y80" s="194"/>
      <c r="Z80" s="194"/>
    </row>
    <row r="81">
      <c r="A81" s="194"/>
      <c r="B81" s="535"/>
      <c r="C81" s="366">
        <f>SUMIF(RawTotals!A$2:A1000, indirect("B81"), RawTotals!AG$2:AG1000)</f>
        <v>0</v>
      </c>
      <c r="D81" s="366">
        <f>SUMIF(RawTotals!A$2:A1000, indirect("B81"), RawTotals!AH$2:AH1000)</f>
        <v>0</v>
      </c>
      <c r="E81" s="333">
        <f>SUMIF(RawTotals!A$2:A1000, indirect("B81"), RawTotals!J$2:J1000)</f>
        <v>0</v>
      </c>
      <c r="F81" s="417">
        <f>SUMIF(RawTotals!A$2:A1000, indirect("B81"), RawTotals!D$2:D1000)</f>
        <v>0</v>
      </c>
      <c r="G81" s="417">
        <f>SUMIF(RawTotals!A$2:A1000, indirect("B81"), RawTotals!M$2:M1000)</f>
        <v>0</v>
      </c>
      <c r="H81" s="417">
        <f>SUMIF(RawTotals!A$2:A1000, indirect("B81"), RawTotals!AC$2:AC1000)</f>
        <v>0</v>
      </c>
      <c r="I81" s="333">
        <f>SUMIF(RawTotals!A$2:A1000, indirect("B81"), RawTotals!W$2:W1000)</f>
        <v>0</v>
      </c>
      <c r="J81" s="417">
        <f>SUMIF(RawTotals!A$2:A1000, indirect("B81"), RawTotals!Q$2:Q1000)</f>
        <v>0</v>
      </c>
      <c r="K81" s="194"/>
      <c r="L81" s="194"/>
      <c r="M81" s="194"/>
      <c r="N81" s="194"/>
      <c r="O81" s="194"/>
      <c r="P81" s="194"/>
      <c r="Q81" s="194"/>
      <c r="R81" s="194"/>
      <c r="S81" s="194"/>
      <c r="T81" s="194"/>
      <c r="U81" s="194"/>
      <c r="V81" s="194"/>
      <c r="W81" s="194"/>
      <c r="X81" s="194"/>
      <c r="Y81" s="194"/>
      <c r="Z81" s="194"/>
    </row>
    <row r="82">
      <c r="A82" s="194"/>
      <c r="B82" s="535"/>
      <c r="C82" s="366">
        <f>SUMIF(RawTotals!A$2:A1000, indirect("B82"), RawTotals!AG$2:AG1000)</f>
        <v>0</v>
      </c>
      <c r="D82" s="366">
        <f>SUMIF(RawTotals!A$2:A1000, indirect("B82"), RawTotals!AH$2:AH1000)</f>
        <v>0</v>
      </c>
      <c r="E82" s="333">
        <f>SUMIF(RawTotals!A$2:A1000, indirect("B82"), RawTotals!J$2:J1000)</f>
        <v>0</v>
      </c>
      <c r="F82" s="417">
        <f>SUMIF(RawTotals!A$2:A1000, indirect("B82"), RawTotals!D$2:D1000)</f>
        <v>0</v>
      </c>
      <c r="G82" s="417">
        <f>SUMIF(RawTotals!A$2:A1000, indirect("B82"), RawTotals!M$2:M1000)</f>
        <v>0</v>
      </c>
      <c r="H82" s="417">
        <f>SUMIF(RawTotals!A$2:A1000, indirect("B82"), RawTotals!AC$2:AC1000)</f>
        <v>0</v>
      </c>
      <c r="I82" s="333">
        <f>SUMIF(RawTotals!A$2:A1000, indirect("B82"), RawTotals!W$2:W1000)</f>
        <v>0</v>
      </c>
      <c r="J82" s="417">
        <f>SUMIF(RawTotals!A$2:A1000, indirect("B82"), RawTotals!Q$2:Q1000)</f>
        <v>0</v>
      </c>
      <c r="K82" s="194"/>
      <c r="L82" s="194"/>
      <c r="M82" s="194"/>
      <c r="N82" s="194"/>
      <c r="O82" s="194"/>
      <c r="P82" s="194"/>
      <c r="Q82" s="194"/>
      <c r="R82" s="194"/>
      <c r="S82" s="194"/>
      <c r="T82" s="194"/>
      <c r="U82" s="194"/>
      <c r="V82" s="194"/>
      <c r="W82" s="194"/>
      <c r="X82" s="194"/>
      <c r="Y82" s="194"/>
      <c r="Z82" s="194"/>
    </row>
    <row r="83">
      <c r="A83" s="194"/>
      <c r="B83" s="535"/>
      <c r="C83" s="366">
        <f>SUMIF(RawTotals!A$2:A1000, indirect("B83"), RawTotals!AG$2:AG1000)</f>
        <v>0</v>
      </c>
      <c r="D83" s="366">
        <f>SUMIF(RawTotals!A$2:A1000, indirect("B83"), RawTotals!AH$2:AH1000)</f>
        <v>0</v>
      </c>
      <c r="E83" s="333">
        <f>SUMIF(RawTotals!A$2:A1000, indirect("B83"), RawTotals!J$2:J1000)</f>
        <v>0</v>
      </c>
      <c r="F83" s="417">
        <f>SUMIF(RawTotals!A$2:A1000, indirect("B83"), RawTotals!D$2:D1000)</f>
        <v>0</v>
      </c>
      <c r="G83" s="417">
        <f>SUMIF(RawTotals!A$2:A1000, indirect("B83"), RawTotals!M$2:M1000)</f>
        <v>0</v>
      </c>
      <c r="H83" s="417">
        <f>SUMIF(RawTotals!A$2:A1000, indirect("B83"), RawTotals!AC$2:AC1000)</f>
        <v>0</v>
      </c>
      <c r="I83" s="333">
        <f>SUMIF(RawTotals!A$2:A1000, indirect("B83"), RawTotals!W$2:W1000)</f>
        <v>0</v>
      </c>
      <c r="J83" s="417">
        <f>SUMIF(RawTotals!A$2:A1000, indirect("B83"), RawTotals!Q$2:Q1000)</f>
        <v>0</v>
      </c>
      <c r="K83" s="194"/>
      <c r="L83" s="194"/>
      <c r="M83" s="194"/>
      <c r="N83" s="194"/>
      <c r="O83" s="194"/>
      <c r="P83" s="194"/>
      <c r="Q83" s="194"/>
      <c r="R83" s="194"/>
      <c r="S83" s="194"/>
      <c r="T83" s="194"/>
      <c r="U83" s="194"/>
      <c r="V83" s="194"/>
      <c r="W83" s="194"/>
      <c r="X83" s="194"/>
      <c r="Y83" s="194"/>
      <c r="Z83" s="194"/>
    </row>
    <row r="84">
      <c r="A84" s="194"/>
      <c r="B84" s="535"/>
      <c r="C84" s="366">
        <f>SUMIF(RawTotals!A$2:A1000, indirect("B84"), RawTotals!AG$2:AG1000)</f>
        <v>0</v>
      </c>
      <c r="D84" s="366">
        <f>SUMIF(RawTotals!A$2:A1000, indirect("B84"), RawTotals!AH$2:AH1000)</f>
        <v>0</v>
      </c>
      <c r="E84" s="333">
        <f>SUMIF(RawTotals!A$2:A1000, indirect("B84"), RawTotals!J$2:J1000)</f>
        <v>0</v>
      </c>
      <c r="F84" s="417">
        <f>SUMIF(RawTotals!A$2:A1000, indirect("B84"), RawTotals!D$2:D1000)</f>
        <v>0</v>
      </c>
      <c r="G84" s="417">
        <f>SUMIF(RawTotals!A$2:A1000, indirect("B84"), RawTotals!M$2:M1000)</f>
        <v>0</v>
      </c>
      <c r="H84" s="417">
        <f>SUMIF(RawTotals!A$2:A1000, indirect("B84"), RawTotals!AC$2:AC1000)</f>
        <v>0</v>
      </c>
      <c r="I84" s="333">
        <f>SUMIF(RawTotals!A$2:A1000, indirect("B84"), RawTotals!W$2:W1000)</f>
        <v>0</v>
      </c>
      <c r="J84" s="417">
        <f>SUMIF(RawTotals!A$2:A1000, indirect("B84"), RawTotals!Q$2:Q1000)</f>
        <v>0</v>
      </c>
      <c r="K84" s="194"/>
      <c r="L84" s="194"/>
      <c r="M84" s="194"/>
      <c r="N84" s="194"/>
      <c r="O84" s="194"/>
      <c r="P84" s="194"/>
      <c r="Q84" s="194"/>
      <c r="R84" s="194"/>
      <c r="S84" s="194"/>
      <c r="T84" s="194"/>
      <c r="U84" s="194"/>
      <c r="V84" s="194"/>
      <c r="W84" s="194"/>
      <c r="X84" s="194"/>
      <c r="Y84" s="194"/>
      <c r="Z84" s="194"/>
    </row>
    <row r="85">
      <c r="A85" s="194"/>
      <c r="B85" s="535"/>
      <c r="C85" s="366">
        <f>SUMIF(RawTotals!A$2:A1000, indirect("B85"), RawTotals!AG$2:AG1000)</f>
        <v>0</v>
      </c>
      <c r="D85" s="366">
        <f>SUMIF(RawTotals!A$2:A1000, indirect("B85"), RawTotals!AH$2:AH1000)</f>
        <v>0</v>
      </c>
      <c r="E85" s="333">
        <f>SUMIF(RawTotals!A$2:A1000, indirect("B85"), RawTotals!J$2:J1000)</f>
        <v>0</v>
      </c>
      <c r="F85" s="417">
        <f>SUMIF(RawTotals!A$2:A1000, indirect("B85"), RawTotals!D$2:D1000)</f>
        <v>0</v>
      </c>
      <c r="G85" s="417">
        <f>SUMIF(RawTotals!A$2:A1000, indirect("B85"), RawTotals!M$2:M1000)</f>
        <v>0</v>
      </c>
      <c r="H85" s="417">
        <f>SUMIF(RawTotals!A$2:A1000, indirect("B85"), RawTotals!AC$2:AC1000)</f>
        <v>0</v>
      </c>
      <c r="I85" s="333">
        <f>SUMIF(RawTotals!A$2:A1000, indirect("B85"), RawTotals!W$2:W1000)</f>
        <v>0</v>
      </c>
      <c r="J85" s="417">
        <f>SUMIF(RawTotals!A$2:A1000, indirect("B85"), RawTotals!Q$2:Q1000)</f>
        <v>0</v>
      </c>
      <c r="K85" s="194"/>
      <c r="L85" s="194"/>
      <c r="M85" s="194"/>
      <c r="N85" s="194"/>
      <c r="O85" s="194"/>
      <c r="P85" s="194"/>
      <c r="Q85" s="194"/>
      <c r="R85" s="194"/>
      <c r="S85" s="194"/>
      <c r="T85" s="194"/>
      <c r="U85" s="194"/>
      <c r="V85" s="194"/>
      <c r="W85" s="194"/>
      <c r="X85" s="194"/>
      <c r="Y85" s="194"/>
      <c r="Z85" s="194"/>
    </row>
    <row r="86">
      <c r="A86" s="194"/>
      <c r="B86" s="535"/>
      <c r="C86" s="366">
        <f>SUMIF(RawTotals!A$2:A1000, indirect("B86"), RawTotals!AG$2:AG1000)</f>
        <v>0</v>
      </c>
      <c r="D86" s="366">
        <f>SUMIF(RawTotals!A$2:A1000, indirect("B86"), RawTotals!AH$2:AH1000)</f>
        <v>0</v>
      </c>
      <c r="E86" s="333">
        <f>SUMIF(RawTotals!A$2:A1000, indirect("B86"), RawTotals!J$2:J1000)</f>
        <v>0</v>
      </c>
      <c r="F86" s="417">
        <f>SUMIF(RawTotals!A$2:A1000, indirect("B86"), RawTotals!D$2:D1000)</f>
        <v>0</v>
      </c>
      <c r="G86" s="417">
        <f>SUMIF(RawTotals!A$2:A1000, indirect("B86"), RawTotals!M$2:M1000)</f>
        <v>0</v>
      </c>
      <c r="H86" s="417">
        <f>SUMIF(RawTotals!A$2:A1000, indirect("B86"), RawTotals!AC$2:AC1000)</f>
        <v>0</v>
      </c>
      <c r="I86" s="333">
        <f>SUMIF(RawTotals!A$2:A1000, indirect("B86"), RawTotals!W$2:W1000)</f>
        <v>0</v>
      </c>
      <c r="J86" s="417">
        <f>SUMIF(RawTotals!A$2:A1000, indirect("B86"), RawTotals!Q$2:Q1000)</f>
        <v>0</v>
      </c>
      <c r="K86" s="194"/>
      <c r="L86" s="194"/>
      <c r="M86" s="194"/>
      <c r="N86" s="194"/>
      <c r="O86" s="194"/>
      <c r="P86" s="194"/>
      <c r="Q86" s="194"/>
      <c r="R86" s="194"/>
      <c r="S86" s="194"/>
      <c r="T86" s="194"/>
      <c r="U86" s="194"/>
      <c r="V86" s="194"/>
      <c r="W86" s="194"/>
      <c r="X86" s="194"/>
      <c r="Y86" s="194"/>
      <c r="Z86" s="194"/>
    </row>
    <row r="87">
      <c r="A87" s="194"/>
      <c r="B87" s="535"/>
      <c r="C87" s="366">
        <f>SUMIF(RawTotals!A$2:A1000, indirect("B87"), RawTotals!AG$2:AG1000)</f>
        <v>0</v>
      </c>
      <c r="D87" s="366">
        <f>SUMIF(RawTotals!A$2:A1000, indirect("B87"), RawTotals!AH$2:AH1000)</f>
        <v>0</v>
      </c>
      <c r="E87" s="333">
        <f>SUMIF(RawTotals!A$2:A1000, indirect("B87"), RawTotals!J$2:J1000)</f>
        <v>0</v>
      </c>
      <c r="F87" s="417">
        <f>SUMIF(RawTotals!A$2:A1000, indirect("B87"), RawTotals!D$2:D1000)</f>
        <v>0</v>
      </c>
      <c r="G87" s="417">
        <f>SUMIF(RawTotals!A$2:A1000, indirect("B87"), RawTotals!M$2:M1000)</f>
        <v>0</v>
      </c>
      <c r="H87" s="417">
        <f>SUMIF(RawTotals!A$2:A1000, indirect("B87"), RawTotals!AC$2:AC1000)</f>
        <v>0</v>
      </c>
      <c r="I87" s="333">
        <f>SUMIF(RawTotals!A$2:A1000, indirect("B87"), RawTotals!W$2:W1000)</f>
        <v>0</v>
      </c>
      <c r="J87" s="417">
        <f>SUMIF(RawTotals!A$2:A1000, indirect("B87"), RawTotals!Q$2:Q1000)</f>
        <v>0</v>
      </c>
      <c r="K87" s="194"/>
      <c r="L87" s="194"/>
      <c r="M87" s="194"/>
      <c r="N87" s="194"/>
      <c r="O87" s="194"/>
      <c r="P87" s="194"/>
      <c r="Q87" s="194"/>
      <c r="R87" s="194"/>
      <c r="S87" s="194"/>
      <c r="T87" s="194"/>
      <c r="U87" s="194"/>
      <c r="V87" s="194"/>
      <c r="W87" s="194"/>
      <c r="X87" s="194"/>
      <c r="Y87" s="194"/>
      <c r="Z87" s="194"/>
    </row>
    <row r="88">
      <c r="A88" s="194"/>
      <c r="B88" s="535"/>
      <c r="C88" s="366">
        <f>SUMIF(RawTotals!A$2:A1000, indirect("B88"), RawTotals!AG$2:AG1000)</f>
        <v>0</v>
      </c>
      <c r="D88" s="366">
        <f>SUMIF(RawTotals!A$2:A1000, indirect("B88"), RawTotals!AH$2:AH1000)</f>
        <v>0</v>
      </c>
      <c r="E88" s="333">
        <f>SUMIF(RawTotals!A$2:A1000, indirect("B88"), RawTotals!J$2:J1000)</f>
        <v>0</v>
      </c>
      <c r="F88" s="417">
        <f>SUMIF(RawTotals!A$2:A1000, indirect("B88"), RawTotals!D$2:D1000)</f>
        <v>0</v>
      </c>
      <c r="G88" s="417">
        <f>SUMIF(RawTotals!A$2:A1000, indirect("B88"), RawTotals!M$2:M1000)</f>
        <v>0</v>
      </c>
      <c r="H88" s="417">
        <f>SUMIF(RawTotals!A$2:A1000, indirect("B88"), RawTotals!AC$2:AC1000)</f>
        <v>0</v>
      </c>
      <c r="I88" s="333">
        <f>SUMIF(RawTotals!A$2:A1000, indirect("B88"), RawTotals!W$2:W1000)</f>
        <v>0</v>
      </c>
      <c r="J88" s="417">
        <f>SUMIF(RawTotals!A$2:A1000, indirect("B88"), RawTotals!Q$2:Q1000)</f>
        <v>0</v>
      </c>
      <c r="K88" s="194"/>
      <c r="L88" s="194"/>
      <c r="M88" s="194"/>
      <c r="N88" s="194"/>
      <c r="O88" s="194"/>
      <c r="P88" s="194"/>
      <c r="Q88" s="194"/>
      <c r="R88" s="194"/>
      <c r="S88" s="194"/>
      <c r="T88" s="194"/>
      <c r="U88" s="194"/>
      <c r="V88" s="194"/>
      <c r="W88" s="194"/>
      <c r="X88" s="194"/>
      <c r="Y88" s="194"/>
      <c r="Z88" s="194"/>
    </row>
    <row r="89">
      <c r="A89" s="194"/>
      <c r="B89" s="535"/>
      <c r="C89" s="366">
        <f>SUMIF(RawTotals!A$2:A1000, indirect("B89"), RawTotals!AG$2:AG1000)</f>
        <v>0</v>
      </c>
      <c r="D89" s="366">
        <f>SUMIF(RawTotals!A$2:A1000, indirect("B89"), RawTotals!AH$2:AH1000)</f>
        <v>0</v>
      </c>
      <c r="E89" s="333">
        <f>SUMIF(RawTotals!A$2:A1000, indirect("B89"), RawTotals!J$2:J1000)</f>
        <v>0</v>
      </c>
      <c r="F89" s="417">
        <f>SUMIF(RawTotals!A$2:A1000, indirect("B89"), RawTotals!D$2:D1000)</f>
        <v>0</v>
      </c>
      <c r="G89" s="417">
        <f>SUMIF(RawTotals!A$2:A1000, indirect("B89"), RawTotals!M$2:M1000)</f>
        <v>0</v>
      </c>
      <c r="H89" s="417">
        <f>SUMIF(RawTotals!A$2:A1000, indirect("B89"), RawTotals!AC$2:AC1000)</f>
        <v>0</v>
      </c>
      <c r="I89" s="333">
        <f>SUMIF(RawTotals!A$2:A1000, indirect("B89"), RawTotals!W$2:W1000)</f>
        <v>0</v>
      </c>
      <c r="J89" s="417">
        <f>SUMIF(RawTotals!A$2:A1000, indirect("B89"), RawTotals!Q$2:Q1000)</f>
        <v>0</v>
      </c>
      <c r="K89" s="194"/>
      <c r="L89" s="194"/>
      <c r="M89" s="194"/>
      <c r="N89" s="194"/>
      <c r="O89" s="194"/>
      <c r="P89" s="194"/>
      <c r="Q89" s="194"/>
      <c r="R89" s="194"/>
      <c r="S89" s="194"/>
      <c r="T89" s="194"/>
      <c r="U89" s="194"/>
      <c r="V89" s="194"/>
      <c r="W89" s="194"/>
      <c r="X89" s="194"/>
      <c r="Y89" s="194"/>
      <c r="Z89" s="194"/>
    </row>
    <row r="90">
      <c r="A90" s="194"/>
      <c r="B90" s="535"/>
      <c r="C90" s="366">
        <f>SUMIF(RawTotals!A$2:A1000, indirect("B90"), RawTotals!AG$2:AG1000)</f>
        <v>0</v>
      </c>
      <c r="D90" s="366">
        <f>SUMIF(RawTotals!A$2:A1000, indirect("B90"), RawTotals!AH$2:AH1000)</f>
        <v>0</v>
      </c>
      <c r="E90" s="333">
        <f>SUMIF(RawTotals!A$2:A1000, indirect("B90"), RawTotals!J$2:J1000)</f>
        <v>0</v>
      </c>
      <c r="F90" s="417">
        <f>SUMIF(RawTotals!A$2:A1000, indirect("B90"), RawTotals!D$2:D1000)</f>
        <v>0</v>
      </c>
      <c r="G90" s="417">
        <f>SUMIF(RawTotals!A$2:A1000, indirect("B90"), RawTotals!M$2:M1000)</f>
        <v>0</v>
      </c>
      <c r="H90" s="417">
        <f>SUMIF(RawTotals!A$2:A1000, indirect("B90"), RawTotals!AC$2:AC1000)</f>
        <v>0</v>
      </c>
      <c r="I90" s="333">
        <f>SUMIF(RawTotals!A$2:A1000, indirect("B90"), RawTotals!W$2:W1000)</f>
        <v>0</v>
      </c>
      <c r="J90" s="417">
        <f>SUMIF(RawTotals!A$2:A1000, indirect("B90"), RawTotals!Q$2:Q1000)</f>
        <v>0</v>
      </c>
      <c r="K90" s="194"/>
      <c r="L90" s="194"/>
      <c r="M90" s="194"/>
      <c r="N90" s="194"/>
      <c r="O90" s="194"/>
      <c r="P90" s="194"/>
      <c r="Q90" s="194"/>
      <c r="R90" s="194"/>
      <c r="S90" s="194"/>
      <c r="T90" s="194"/>
      <c r="U90" s="194"/>
      <c r="V90" s="194"/>
      <c r="W90" s="194"/>
      <c r="X90" s="194"/>
      <c r="Y90" s="194"/>
      <c r="Z90" s="194"/>
    </row>
    <row r="91">
      <c r="A91" s="194"/>
      <c r="B91" s="535"/>
      <c r="C91" s="366">
        <f>SUMIF(RawTotals!A$2:A1000, indirect("B91"), RawTotals!AG$2:AG1000)</f>
        <v>0</v>
      </c>
      <c r="D91" s="366">
        <f>SUMIF(RawTotals!A$2:A1000, indirect("B91"), RawTotals!AH$2:AH1000)</f>
        <v>0</v>
      </c>
      <c r="E91" s="333">
        <f>SUMIF(RawTotals!A$2:A1000, indirect("B91"), RawTotals!J$2:J1000)</f>
        <v>0</v>
      </c>
      <c r="F91" s="417">
        <f>SUMIF(RawTotals!A$2:A1000, indirect("B91"), RawTotals!D$2:D1000)</f>
        <v>0</v>
      </c>
      <c r="G91" s="417">
        <f>SUMIF(RawTotals!A$2:A1000, indirect("B91"), RawTotals!M$2:M1000)</f>
        <v>0</v>
      </c>
      <c r="H91" s="417">
        <f>SUMIF(RawTotals!A$2:A1000, indirect("B91"), RawTotals!AC$2:AC1000)</f>
        <v>0</v>
      </c>
      <c r="I91" s="333">
        <f>SUMIF(RawTotals!A$2:A1000, indirect("B91"), RawTotals!W$2:W1000)</f>
        <v>0</v>
      </c>
      <c r="J91" s="417">
        <f>SUMIF(RawTotals!A$2:A1000, indirect("B91"), RawTotals!Q$2:Q1000)</f>
        <v>0</v>
      </c>
      <c r="K91" s="194"/>
      <c r="L91" s="194"/>
      <c r="M91" s="194"/>
      <c r="N91" s="194"/>
      <c r="O91" s="194"/>
      <c r="P91" s="194"/>
      <c r="Q91" s="194"/>
      <c r="R91" s="194"/>
      <c r="S91" s="194"/>
      <c r="T91" s="194"/>
      <c r="U91" s="194"/>
      <c r="V91" s="194"/>
      <c r="W91" s="194"/>
      <c r="X91" s="194"/>
      <c r="Y91" s="194"/>
      <c r="Z91" s="194"/>
    </row>
    <row r="92">
      <c r="A92" s="194"/>
      <c r="B92" s="535"/>
      <c r="C92" s="366">
        <f>SUMIF(RawTotals!A$2:A1000, indirect("B92"), RawTotals!AG$2:AG1000)</f>
        <v>0</v>
      </c>
      <c r="D92" s="366">
        <f>SUMIF(RawTotals!A$2:A1000, indirect("B92"), RawTotals!AH$2:AH1000)</f>
        <v>0</v>
      </c>
      <c r="E92" s="333">
        <f>SUMIF(RawTotals!A$2:A1000, indirect("B92"), RawTotals!J$2:J1000)</f>
        <v>0</v>
      </c>
      <c r="F92" s="417">
        <f>SUMIF(RawTotals!A$2:A1000, indirect("B92"), RawTotals!D$2:D1000)</f>
        <v>0</v>
      </c>
      <c r="G92" s="417">
        <f>SUMIF(RawTotals!A$2:A1000, indirect("B92"), RawTotals!M$2:M1000)</f>
        <v>0</v>
      </c>
      <c r="H92" s="417">
        <f>SUMIF(RawTotals!A$2:A1000, indirect("B92"), RawTotals!AC$2:AC1000)</f>
        <v>0</v>
      </c>
      <c r="I92" s="333">
        <f>SUMIF(RawTotals!A$2:A1000, indirect("B92"), RawTotals!W$2:W1000)</f>
        <v>0</v>
      </c>
      <c r="J92" s="417">
        <f>SUMIF(RawTotals!A$2:A1000, indirect("B92"), RawTotals!Q$2:Q1000)</f>
        <v>0</v>
      </c>
      <c r="K92" s="194"/>
      <c r="L92" s="194"/>
      <c r="M92" s="194"/>
      <c r="N92" s="194"/>
      <c r="O92" s="194"/>
      <c r="P92" s="194"/>
      <c r="Q92" s="194"/>
      <c r="R92" s="194"/>
      <c r="S92" s="194"/>
      <c r="T92" s="194"/>
      <c r="U92" s="194"/>
      <c r="V92" s="194"/>
      <c r="W92" s="194"/>
      <c r="X92" s="194"/>
      <c r="Y92" s="194"/>
      <c r="Z92" s="194"/>
    </row>
    <row r="93">
      <c r="A93" s="194"/>
      <c r="B93" s="535"/>
      <c r="C93" s="366">
        <f>SUMIF(RawTotals!A$2:A1000, indirect("B93"), RawTotals!AG$2:AG1000)</f>
        <v>0</v>
      </c>
      <c r="D93" s="366">
        <f>SUMIF(RawTotals!A$2:A1000, indirect("B93"), RawTotals!AH$2:AH1000)</f>
        <v>0</v>
      </c>
      <c r="E93" s="333">
        <f>SUMIF(RawTotals!A$2:A1000, indirect("B93"), RawTotals!J$2:J1000)</f>
        <v>0</v>
      </c>
      <c r="F93" s="417">
        <f>SUMIF(RawTotals!A$2:A1000, indirect("B93"), RawTotals!D$2:D1000)</f>
        <v>0</v>
      </c>
      <c r="G93" s="417">
        <f>SUMIF(RawTotals!A$2:A1000, indirect("B93"), RawTotals!M$2:M1000)</f>
        <v>0</v>
      </c>
      <c r="H93" s="417">
        <f>SUMIF(RawTotals!A$2:A1000, indirect("B93"), RawTotals!AC$2:AC1000)</f>
        <v>0</v>
      </c>
      <c r="I93" s="333">
        <f>SUMIF(RawTotals!A$2:A1000, indirect("B93"), RawTotals!W$2:W1000)</f>
        <v>0</v>
      </c>
      <c r="J93" s="417">
        <f>SUMIF(RawTotals!A$2:A1000, indirect("B93"), RawTotals!Q$2:Q1000)</f>
        <v>0</v>
      </c>
      <c r="K93" s="194"/>
      <c r="L93" s="194"/>
      <c r="M93" s="194"/>
      <c r="N93" s="194"/>
      <c r="O93" s="194"/>
      <c r="P93" s="194"/>
      <c r="Q93" s="194"/>
      <c r="R93" s="194"/>
      <c r="S93" s="194"/>
      <c r="T93" s="194"/>
      <c r="U93" s="194"/>
      <c r="V93" s="194"/>
      <c r="W93" s="194"/>
      <c r="X93" s="194"/>
      <c r="Y93" s="194"/>
      <c r="Z93" s="194"/>
    </row>
    <row r="94">
      <c r="A94" s="194"/>
      <c r="B94" s="535"/>
      <c r="C94" s="366">
        <f>SUMIF(RawTotals!A$2:A1000, indirect("B94"), RawTotals!AG$2:AG1000)</f>
        <v>0</v>
      </c>
      <c r="D94" s="366">
        <f>SUMIF(RawTotals!A$2:A1000, indirect("B94"), RawTotals!AH$2:AH1000)</f>
        <v>0</v>
      </c>
      <c r="E94" s="333">
        <f>SUMIF(RawTotals!A$2:A1000, indirect("B94"), RawTotals!J$2:J1000)</f>
        <v>0</v>
      </c>
      <c r="F94" s="417">
        <f>SUMIF(RawTotals!A$2:A1000, indirect("B94"), RawTotals!D$2:D1000)</f>
        <v>0</v>
      </c>
      <c r="G94" s="417">
        <f>SUMIF(RawTotals!A$2:A1000, indirect("B94"), RawTotals!M$2:M1000)</f>
        <v>0</v>
      </c>
      <c r="H94" s="417">
        <f>SUMIF(RawTotals!A$2:A1000, indirect("B94"), RawTotals!AC$2:AC1000)</f>
        <v>0</v>
      </c>
      <c r="I94" s="333">
        <f>SUMIF(RawTotals!A$2:A1000, indirect("B94"), RawTotals!W$2:W1000)</f>
        <v>0</v>
      </c>
      <c r="J94" s="417">
        <f>SUMIF(RawTotals!A$2:A1000, indirect("B94"), RawTotals!Q$2:Q1000)</f>
        <v>0</v>
      </c>
      <c r="K94" s="194"/>
      <c r="L94" s="194"/>
      <c r="M94" s="194"/>
      <c r="N94" s="194"/>
      <c r="O94" s="194"/>
      <c r="P94" s="194"/>
      <c r="Q94" s="194"/>
      <c r="R94" s="194"/>
      <c r="S94" s="194"/>
      <c r="T94" s="194"/>
      <c r="U94" s="194"/>
      <c r="V94" s="194"/>
      <c r="W94" s="194"/>
      <c r="X94" s="194"/>
      <c r="Y94" s="194"/>
      <c r="Z94" s="194"/>
    </row>
    <row r="95">
      <c r="A95" s="194"/>
      <c r="B95" s="535"/>
      <c r="C95" s="366">
        <f>SUMIF(RawTotals!A$2:A1000, indirect("B95"), RawTotals!AG$2:AG1000)</f>
        <v>0</v>
      </c>
      <c r="D95" s="366">
        <f>SUMIF(RawTotals!A$2:A1000, indirect("B95"), RawTotals!AH$2:AH1000)</f>
        <v>0</v>
      </c>
      <c r="E95" s="333">
        <f>SUMIF(RawTotals!A$2:A1000, indirect("B95"), RawTotals!J$2:J1000)</f>
        <v>0</v>
      </c>
      <c r="F95" s="417">
        <f>SUMIF(RawTotals!A$2:A1000, indirect("B95"), RawTotals!D$2:D1000)</f>
        <v>0</v>
      </c>
      <c r="G95" s="417">
        <f>SUMIF(RawTotals!A$2:A1000, indirect("B95"), RawTotals!M$2:M1000)</f>
        <v>0</v>
      </c>
      <c r="H95" s="417">
        <f>SUMIF(RawTotals!A$2:A1000, indirect("B95"), RawTotals!AC$2:AC1000)</f>
        <v>0</v>
      </c>
      <c r="I95" s="333">
        <f>SUMIF(RawTotals!A$2:A1000, indirect("B95"), RawTotals!W$2:W1000)</f>
        <v>0</v>
      </c>
      <c r="J95" s="417">
        <f>SUMIF(RawTotals!A$2:A1000, indirect("B95"), RawTotals!Q$2:Q1000)</f>
        <v>0</v>
      </c>
      <c r="K95" s="194"/>
      <c r="L95" s="194"/>
      <c r="M95" s="194"/>
      <c r="N95" s="194"/>
      <c r="O95" s="194"/>
      <c r="P95" s="194"/>
      <c r="Q95" s="194"/>
      <c r="R95" s="194"/>
      <c r="S95" s="194"/>
      <c r="T95" s="194"/>
      <c r="U95" s="194"/>
      <c r="V95" s="194"/>
      <c r="W95" s="194"/>
      <c r="X95" s="194"/>
      <c r="Y95" s="194"/>
      <c r="Z95" s="194"/>
    </row>
    <row r="96">
      <c r="A96" s="194"/>
      <c r="B96" s="535"/>
      <c r="C96" s="366">
        <f>SUMIF(RawTotals!A$2:A1000, indirect("B96"), RawTotals!AG$2:AG1000)</f>
        <v>0</v>
      </c>
      <c r="D96" s="366">
        <f>SUMIF(RawTotals!A$2:A1000, indirect("B96"), RawTotals!AH$2:AH1000)</f>
        <v>0</v>
      </c>
      <c r="E96" s="333">
        <f>SUMIF(RawTotals!A$2:A1000, indirect("B96"), RawTotals!J$2:J1000)</f>
        <v>0</v>
      </c>
      <c r="F96" s="417">
        <f>SUMIF(RawTotals!A$2:A1000, indirect("B96"), RawTotals!D$2:D1000)</f>
        <v>0</v>
      </c>
      <c r="G96" s="417">
        <f>SUMIF(RawTotals!A$2:A1000, indirect("B96"), RawTotals!M$2:M1000)</f>
        <v>0</v>
      </c>
      <c r="H96" s="417">
        <f>SUMIF(RawTotals!A$2:A1000, indirect("B96"), RawTotals!AC$2:AC1000)</f>
        <v>0</v>
      </c>
      <c r="I96" s="333">
        <f>SUMIF(RawTotals!A$2:A1000, indirect("B96"), RawTotals!W$2:W1000)</f>
        <v>0</v>
      </c>
      <c r="J96" s="417">
        <f>SUMIF(RawTotals!A$2:A1000, indirect("B96"), RawTotals!Q$2:Q1000)</f>
        <v>0</v>
      </c>
      <c r="K96" s="194"/>
      <c r="L96" s="194"/>
      <c r="M96" s="194"/>
      <c r="N96" s="194"/>
      <c r="O96" s="194"/>
      <c r="P96" s="194"/>
      <c r="Q96" s="194"/>
      <c r="R96" s="194"/>
      <c r="S96" s="194"/>
      <c r="T96" s="194"/>
      <c r="U96" s="194"/>
      <c r="V96" s="194"/>
      <c r="W96" s="194"/>
      <c r="X96" s="194"/>
      <c r="Y96" s="194"/>
      <c r="Z96" s="194"/>
    </row>
    <row r="97">
      <c r="A97" s="194"/>
      <c r="B97" s="535"/>
      <c r="C97" s="366">
        <f>SUMIF(RawTotals!A$2:A1000, indirect("B97"), RawTotals!AG$2:AG1000)</f>
        <v>0</v>
      </c>
      <c r="D97" s="366">
        <f>SUMIF(RawTotals!A$2:A1000, indirect("B97"), RawTotals!AH$2:AH1000)</f>
        <v>0</v>
      </c>
      <c r="E97" s="333">
        <f>SUMIF(RawTotals!A$2:A1000, indirect("B97"), RawTotals!J$2:J1000)</f>
        <v>0</v>
      </c>
      <c r="F97" s="417">
        <f>SUMIF(RawTotals!A$2:A1000, indirect("B97"), RawTotals!D$2:D1000)</f>
        <v>0</v>
      </c>
      <c r="G97" s="417">
        <f>SUMIF(RawTotals!A$2:A1000, indirect("B97"), RawTotals!M$2:M1000)</f>
        <v>0</v>
      </c>
      <c r="H97" s="417">
        <f>SUMIF(RawTotals!A$2:A1000, indirect("B97"), RawTotals!AC$2:AC1000)</f>
        <v>0</v>
      </c>
      <c r="I97" s="333">
        <f>SUMIF(RawTotals!A$2:A1000, indirect("B97"), RawTotals!W$2:W1000)</f>
        <v>0</v>
      </c>
      <c r="J97" s="417">
        <f>SUMIF(RawTotals!A$2:A1000, indirect("B97"), RawTotals!Q$2:Q1000)</f>
        <v>0</v>
      </c>
      <c r="K97" s="194"/>
      <c r="L97" s="194"/>
      <c r="M97" s="194"/>
      <c r="N97" s="194"/>
      <c r="O97" s="194"/>
      <c r="P97" s="194"/>
      <c r="Q97" s="194"/>
      <c r="R97" s="194"/>
      <c r="S97" s="194"/>
      <c r="T97" s="194"/>
      <c r="U97" s="194"/>
      <c r="V97" s="194"/>
      <c r="W97" s="194"/>
      <c r="X97" s="194"/>
      <c r="Y97" s="194"/>
      <c r="Z97" s="194"/>
    </row>
    <row r="98">
      <c r="A98" s="194"/>
      <c r="B98" s="535"/>
      <c r="C98" s="366">
        <f>SUMIF(RawTotals!A$2:A1000, indirect("B98"), RawTotals!AG$2:AG1000)</f>
        <v>0</v>
      </c>
      <c r="D98" s="366">
        <f>SUMIF(RawTotals!A$2:A1000, indirect("B98"), RawTotals!AH$2:AH1000)</f>
        <v>0</v>
      </c>
      <c r="E98" s="333">
        <f>SUMIF(RawTotals!A$2:A1000, indirect("B98"), RawTotals!J$2:J1000)</f>
        <v>0</v>
      </c>
      <c r="F98" s="417">
        <f>SUMIF(RawTotals!A$2:A1000, indirect("B98"), RawTotals!D$2:D1000)</f>
        <v>0</v>
      </c>
      <c r="G98" s="417">
        <f>SUMIF(RawTotals!A$2:A1000, indirect("B98"), RawTotals!M$2:M1000)</f>
        <v>0</v>
      </c>
      <c r="H98" s="417">
        <f>SUMIF(RawTotals!A$2:A1000, indirect("B98"), RawTotals!AC$2:AC1000)</f>
        <v>0</v>
      </c>
      <c r="I98" s="333">
        <f>SUMIF(RawTotals!A$2:A1000, indirect("B98"), RawTotals!W$2:W1000)</f>
        <v>0</v>
      </c>
      <c r="J98" s="417">
        <f>SUMIF(RawTotals!A$2:A1000, indirect("B98"), RawTotals!Q$2:Q1000)</f>
        <v>0</v>
      </c>
      <c r="K98" s="194"/>
      <c r="L98" s="194"/>
      <c r="M98" s="194"/>
      <c r="N98" s="194"/>
      <c r="O98" s="194"/>
      <c r="P98" s="194"/>
      <c r="Q98" s="194"/>
      <c r="R98" s="194"/>
      <c r="S98" s="194"/>
      <c r="T98" s="194"/>
      <c r="U98" s="194"/>
      <c r="V98" s="194"/>
      <c r="W98" s="194"/>
      <c r="X98" s="194"/>
      <c r="Y98" s="194"/>
      <c r="Z98" s="194"/>
    </row>
    <row r="99">
      <c r="A99" s="194"/>
      <c r="B99" s="535"/>
      <c r="C99" s="366">
        <f>SUMIF(RawTotals!A$2:A1000, indirect("B99"), RawTotals!AG$2:AG1000)</f>
        <v>0</v>
      </c>
      <c r="D99" s="366">
        <f>SUMIF(RawTotals!A$2:A1000, indirect("B99"), RawTotals!AH$2:AH1000)</f>
        <v>0</v>
      </c>
      <c r="E99" s="333">
        <f>SUMIF(RawTotals!A$2:A1000, indirect("B99"), RawTotals!J$2:J1000)</f>
        <v>0</v>
      </c>
      <c r="F99" s="417">
        <f>SUMIF(RawTotals!A$2:A1000, indirect("B99"), RawTotals!D$2:D1000)</f>
        <v>0</v>
      </c>
      <c r="G99" s="417">
        <f>SUMIF(RawTotals!A$2:A1000, indirect("B99"), RawTotals!M$2:M1000)</f>
        <v>0</v>
      </c>
      <c r="H99" s="417">
        <f>SUMIF(RawTotals!A$2:A1000, indirect("B99"), RawTotals!AC$2:AC1000)</f>
        <v>0</v>
      </c>
      <c r="I99" s="333">
        <f>SUMIF(RawTotals!A$2:A1000, indirect("B99"), RawTotals!W$2:W1000)</f>
        <v>0</v>
      </c>
      <c r="J99" s="417">
        <f>SUMIF(RawTotals!A$2:A1000, indirect("B99"), RawTotals!Q$2:Q1000)</f>
        <v>0</v>
      </c>
      <c r="K99" s="194"/>
      <c r="L99" s="194"/>
      <c r="M99" s="194"/>
      <c r="N99" s="194"/>
      <c r="O99" s="194"/>
      <c r="P99" s="194"/>
      <c r="Q99" s="194"/>
      <c r="R99" s="194"/>
      <c r="S99" s="194"/>
      <c r="T99" s="194"/>
      <c r="U99" s="194"/>
      <c r="V99" s="194"/>
      <c r="W99" s="194"/>
      <c r="X99" s="194"/>
      <c r="Y99" s="194"/>
      <c r="Z99" s="194"/>
    </row>
    <row r="100">
      <c r="A100" s="194"/>
      <c r="B100" s="535"/>
      <c r="C100" s="366">
        <f>SUMIF(RawTotals!A$2:A1000, indirect("B100"), RawTotals!AG$2:AG1000)</f>
        <v>0</v>
      </c>
      <c r="D100" s="366">
        <f>SUMIF(RawTotals!A$2:A1000, indirect("B100"), RawTotals!AH$2:AH1000)</f>
        <v>0</v>
      </c>
      <c r="E100" s="333">
        <f>SUMIF(RawTotals!A$2:A1000, indirect("B100"), RawTotals!J$2:J1000)</f>
        <v>0</v>
      </c>
      <c r="F100" s="417">
        <f>SUMIF(RawTotals!A$2:A1000, indirect("B100"), RawTotals!D$2:D1000)</f>
        <v>0</v>
      </c>
      <c r="G100" s="417">
        <f>SUMIF(RawTotals!A$2:A1000, indirect("B100"), RawTotals!M$2:M1000)</f>
        <v>0</v>
      </c>
      <c r="H100" s="417">
        <f>SUMIF(RawTotals!A$2:A1000, indirect("B100"), RawTotals!AC$2:AC1000)</f>
        <v>0</v>
      </c>
      <c r="I100" s="333">
        <f>SUMIF(RawTotals!A$2:A1000, indirect("B100"), RawTotals!W$2:W1000)</f>
        <v>0</v>
      </c>
      <c r="J100" s="417">
        <f>SUMIF(RawTotals!A$2:A1000, indirect("B100"), RawTotals!Q$2:Q1000)</f>
        <v>0</v>
      </c>
      <c r="K100" s="194"/>
      <c r="L100" s="194"/>
      <c r="M100" s="194"/>
      <c r="N100" s="194"/>
      <c r="O100" s="194"/>
      <c r="P100" s="194"/>
      <c r="Q100" s="194"/>
      <c r="R100" s="194"/>
      <c r="S100" s="194"/>
      <c r="T100" s="194"/>
      <c r="U100" s="194"/>
      <c r="V100" s="194"/>
      <c r="W100" s="194"/>
      <c r="X100" s="194"/>
      <c r="Y100" s="194"/>
      <c r="Z100" s="194"/>
    </row>
    <row r="101">
      <c r="A101" s="194"/>
      <c r="B101" s="535"/>
      <c r="C101" s="536"/>
      <c r="D101" s="537"/>
      <c r="E101" s="537"/>
      <c r="F101" s="537"/>
      <c r="G101" s="537"/>
      <c r="H101" s="537"/>
      <c r="I101" s="538"/>
      <c r="J101" s="537"/>
      <c r="K101" s="194"/>
      <c r="L101" s="194"/>
      <c r="M101" s="194"/>
      <c r="N101" s="194"/>
      <c r="O101" s="194"/>
      <c r="P101" s="194"/>
      <c r="Q101" s="194"/>
      <c r="R101" s="194"/>
      <c r="S101" s="194"/>
      <c r="T101" s="194"/>
      <c r="U101" s="194"/>
      <c r="V101" s="194"/>
      <c r="W101" s="194"/>
      <c r="X101" s="194"/>
      <c r="Y101" s="194"/>
      <c r="Z101" s="194"/>
    </row>
    <row r="102">
      <c r="A102" s="194"/>
      <c r="B102" s="535"/>
      <c r="C102" s="536"/>
      <c r="D102" s="537"/>
      <c r="E102" s="537"/>
      <c r="F102" s="537"/>
      <c r="G102" s="537"/>
      <c r="H102" s="537"/>
      <c r="I102" s="538"/>
      <c r="J102" s="537"/>
      <c r="K102" s="194"/>
      <c r="L102" s="194"/>
      <c r="M102" s="194"/>
      <c r="N102" s="194"/>
      <c r="O102" s="194"/>
      <c r="P102" s="194"/>
      <c r="Q102" s="194"/>
      <c r="R102" s="194"/>
      <c r="S102" s="194"/>
      <c r="T102" s="194"/>
      <c r="U102" s="194"/>
      <c r="V102" s="194"/>
      <c r="W102" s="194"/>
      <c r="X102" s="194"/>
      <c r="Y102" s="194"/>
      <c r="Z102" s="194"/>
    </row>
    <row r="103">
      <c r="A103" s="194"/>
      <c r="B103" s="194"/>
      <c r="C103" s="537"/>
      <c r="D103" s="537"/>
      <c r="E103" s="537"/>
      <c r="F103" s="537"/>
      <c r="G103" s="537"/>
      <c r="H103" s="537"/>
      <c r="I103" s="538"/>
      <c r="J103" s="537"/>
      <c r="K103" s="194"/>
      <c r="L103" s="194"/>
      <c r="M103" s="194"/>
      <c r="N103" s="194"/>
      <c r="O103" s="194"/>
      <c r="P103" s="194"/>
      <c r="Q103" s="194"/>
      <c r="R103" s="194"/>
      <c r="S103" s="194"/>
      <c r="T103" s="194"/>
      <c r="U103" s="194"/>
      <c r="V103" s="194"/>
      <c r="W103" s="194"/>
      <c r="X103" s="194"/>
      <c r="Y103" s="194"/>
      <c r="Z103" s="194"/>
    </row>
    <row r="104">
      <c r="A104" s="194"/>
      <c r="B104" s="194"/>
      <c r="C104" s="537"/>
      <c r="D104" s="537"/>
      <c r="E104" s="537"/>
      <c r="F104" s="537"/>
      <c r="G104" s="537"/>
      <c r="H104" s="537"/>
      <c r="I104" s="538"/>
      <c r="J104" s="537"/>
      <c r="K104" s="194"/>
      <c r="L104" s="194"/>
      <c r="M104" s="194"/>
      <c r="N104" s="194"/>
      <c r="O104" s="194"/>
      <c r="P104" s="194"/>
      <c r="Q104" s="194"/>
      <c r="R104" s="194"/>
      <c r="S104" s="194"/>
      <c r="T104" s="194"/>
      <c r="U104" s="194"/>
      <c r="V104" s="194"/>
      <c r="W104" s="194"/>
      <c r="X104" s="194"/>
      <c r="Y104" s="194"/>
      <c r="Z104" s="194"/>
    </row>
    <row r="105">
      <c r="A105" s="194"/>
      <c r="B105" s="194"/>
      <c r="C105" s="537"/>
      <c r="D105" s="537"/>
      <c r="E105" s="537"/>
      <c r="F105" s="537"/>
      <c r="G105" s="537"/>
      <c r="H105" s="537"/>
      <c r="I105" s="538"/>
      <c r="J105" s="537"/>
      <c r="K105" s="194"/>
      <c r="L105" s="194"/>
      <c r="M105" s="194"/>
      <c r="N105" s="194"/>
      <c r="O105" s="194"/>
      <c r="P105" s="194"/>
      <c r="Q105" s="194"/>
      <c r="R105" s="194"/>
      <c r="S105" s="194"/>
      <c r="T105" s="194"/>
      <c r="U105" s="194"/>
      <c r="V105" s="194"/>
      <c r="W105" s="194"/>
      <c r="X105" s="194"/>
      <c r="Y105" s="194"/>
      <c r="Z105" s="194"/>
    </row>
    <row r="106">
      <c r="A106" s="194"/>
      <c r="B106" s="194"/>
      <c r="C106" s="537"/>
      <c r="D106" s="537"/>
      <c r="E106" s="537"/>
      <c r="F106" s="537"/>
      <c r="G106" s="537"/>
      <c r="H106" s="537"/>
      <c r="I106" s="538"/>
      <c r="J106" s="537"/>
      <c r="K106" s="194"/>
      <c r="L106" s="194"/>
      <c r="M106" s="194"/>
      <c r="N106" s="194"/>
      <c r="O106" s="194"/>
      <c r="P106" s="194"/>
      <c r="Q106" s="194"/>
      <c r="R106" s="194"/>
      <c r="S106" s="194"/>
      <c r="T106" s="194"/>
      <c r="U106" s="194"/>
      <c r="V106" s="194"/>
      <c r="W106" s="194"/>
      <c r="X106" s="194"/>
      <c r="Y106" s="194"/>
      <c r="Z106" s="194"/>
    </row>
    <row r="107">
      <c r="A107" s="194"/>
      <c r="B107" s="194"/>
      <c r="C107" s="537"/>
      <c r="D107" s="537"/>
      <c r="E107" s="537"/>
      <c r="F107" s="537"/>
      <c r="G107" s="537"/>
      <c r="H107" s="537"/>
      <c r="I107" s="538"/>
      <c r="J107" s="537"/>
      <c r="K107" s="194"/>
      <c r="L107" s="194"/>
      <c r="M107" s="194"/>
      <c r="N107" s="194"/>
      <c r="O107" s="194"/>
      <c r="P107" s="194"/>
      <c r="Q107" s="194"/>
      <c r="R107" s="194"/>
      <c r="S107" s="194"/>
      <c r="T107" s="194"/>
      <c r="U107" s="194"/>
      <c r="V107" s="194"/>
      <c r="W107" s="194"/>
      <c r="X107" s="194"/>
      <c r="Y107" s="194"/>
      <c r="Z107" s="194"/>
    </row>
    <row r="108">
      <c r="A108" s="194"/>
      <c r="B108" s="194"/>
      <c r="C108" s="537"/>
      <c r="D108" s="537"/>
      <c r="E108" s="537"/>
      <c r="F108" s="537"/>
      <c r="G108" s="537"/>
      <c r="H108" s="537"/>
      <c r="I108" s="538"/>
      <c r="J108" s="537"/>
      <c r="K108" s="194"/>
      <c r="L108" s="194"/>
      <c r="M108" s="194"/>
      <c r="N108" s="194"/>
      <c r="O108" s="194"/>
      <c r="P108" s="194"/>
      <c r="Q108" s="194"/>
      <c r="R108" s="194"/>
      <c r="S108" s="194"/>
      <c r="T108" s="194"/>
      <c r="U108" s="194"/>
      <c r="V108" s="194"/>
      <c r="W108" s="194"/>
      <c r="X108" s="194"/>
      <c r="Y108" s="194"/>
      <c r="Z108" s="194"/>
    </row>
    <row r="109">
      <c r="A109" s="194"/>
      <c r="B109" s="194"/>
      <c r="C109" s="537"/>
      <c r="D109" s="537"/>
      <c r="E109" s="537"/>
      <c r="F109" s="537"/>
      <c r="G109" s="537"/>
      <c r="H109" s="537"/>
      <c r="I109" s="538"/>
      <c r="J109" s="537"/>
      <c r="K109" s="194"/>
      <c r="L109" s="194"/>
      <c r="M109" s="194"/>
      <c r="N109" s="194"/>
      <c r="O109" s="194"/>
      <c r="P109" s="194"/>
      <c r="Q109" s="194"/>
      <c r="R109" s="194"/>
      <c r="S109" s="194"/>
      <c r="T109" s="194"/>
      <c r="U109" s="194"/>
      <c r="V109" s="194"/>
      <c r="W109" s="194"/>
      <c r="X109" s="194"/>
      <c r="Y109" s="194"/>
      <c r="Z109" s="194"/>
    </row>
    <row r="110">
      <c r="A110" s="194"/>
      <c r="B110" s="194"/>
      <c r="C110" s="537"/>
      <c r="D110" s="537"/>
      <c r="E110" s="537"/>
      <c r="F110" s="537"/>
      <c r="G110" s="537"/>
      <c r="H110" s="537"/>
      <c r="I110" s="538"/>
      <c r="J110" s="537"/>
      <c r="K110" s="194"/>
      <c r="L110" s="194"/>
      <c r="M110" s="194"/>
      <c r="N110" s="194"/>
      <c r="O110" s="194"/>
      <c r="P110" s="194"/>
      <c r="Q110" s="194"/>
      <c r="R110" s="194"/>
      <c r="S110" s="194"/>
      <c r="T110" s="194"/>
      <c r="U110" s="194"/>
      <c r="V110" s="194"/>
      <c r="W110" s="194"/>
      <c r="X110" s="194"/>
      <c r="Y110" s="194"/>
      <c r="Z110" s="194"/>
    </row>
    <row r="111">
      <c r="A111" s="194"/>
      <c r="B111" s="194"/>
      <c r="C111" s="537"/>
      <c r="D111" s="537"/>
      <c r="E111" s="537"/>
      <c r="F111" s="537"/>
      <c r="G111" s="537"/>
      <c r="H111" s="537"/>
      <c r="I111" s="538"/>
      <c r="J111" s="537"/>
      <c r="K111" s="194"/>
      <c r="L111" s="194"/>
      <c r="M111" s="194"/>
      <c r="N111" s="194"/>
      <c r="O111" s="194"/>
      <c r="P111" s="194"/>
      <c r="Q111" s="194"/>
      <c r="R111" s="194"/>
      <c r="S111" s="194"/>
      <c r="T111" s="194"/>
      <c r="U111" s="194"/>
      <c r="V111" s="194"/>
      <c r="W111" s="194"/>
      <c r="X111" s="194"/>
      <c r="Y111" s="194"/>
      <c r="Z111" s="194"/>
    </row>
    <row r="112">
      <c r="A112" s="194"/>
      <c r="B112" s="194"/>
      <c r="C112" s="537"/>
      <c r="D112" s="537"/>
      <c r="E112" s="537"/>
      <c r="F112" s="537"/>
      <c r="G112" s="537"/>
      <c r="H112" s="537"/>
      <c r="I112" s="538"/>
      <c r="J112" s="537"/>
      <c r="K112" s="194"/>
      <c r="L112" s="194"/>
      <c r="M112" s="194"/>
      <c r="N112" s="194"/>
      <c r="O112" s="194"/>
      <c r="P112" s="194"/>
      <c r="Q112" s="194"/>
      <c r="R112" s="194"/>
      <c r="S112" s="194"/>
      <c r="T112" s="194"/>
      <c r="U112" s="194"/>
      <c r="V112" s="194"/>
      <c r="W112" s="194"/>
      <c r="X112" s="194"/>
      <c r="Y112" s="194"/>
      <c r="Z112" s="194"/>
    </row>
    <row r="113">
      <c r="A113" s="194"/>
      <c r="B113" s="194"/>
      <c r="C113" s="537"/>
      <c r="D113" s="537"/>
      <c r="E113" s="537"/>
      <c r="F113" s="537"/>
      <c r="G113" s="537"/>
      <c r="H113" s="537"/>
      <c r="I113" s="538"/>
      <c r="J113" s="537"/>
      <c r="K113" s="194"/>
      <c r="L113" s="194"/>
      <c r="M113" s="194"/>
      <c r="N113" s="194"/>
      <c r="O113" s="194"/>
      <c r="P113" s="194"/>
      <c r="Q113" s="194"/>
      <c r="R113" s="194"/>
      <c r="S113" s="194"/>
      <c r="T113" s="194"/>
      <c r="U113" s="194"/>
      <c r="V113" s="194"/>
      <c r="W113" s="194"/>
      <c r="X113" s="194"/>
      <c r="Y113" s="194"/>
      <c r="Z113" s="194"/>
    </row>
    <row r="114">
      <c r="A114" s="194"/>
      <c r="B114" s="194"/>
      <c r="C114" s="537"/>
      <c r="D114" s="537"/>
      <c r="E114" s="537"/>
      <c r="F114" s="537"/>
      <c r="G114" s="537"/>
      <c r="H114" s="537"/>
      <c r="I114" s="538"/>
      <c r="J114" s="537"/>
      <c r="K114" s="194"/>
      <c r="L114" s="194"/>
      <c r="M114" s="194"/>
      <c r="N114" s="194"/>
      <c r="O114" s="194"/>
      <c r="P114" s="194"/>
      <c r="Q114" s="194"/>
      <c r="R114" s="194"/>
      <c r="S114" s="194"/>
      <c r="T114" s="194"/>
      <c r="U114" s="194"/>
      <c r="V114" s="194"/>
      <c r="W114" s="194"/>
      <c r="X114" s="194"/>
      <c r="Y114" s="194"/>
      <c r="Z114" s="194"/>
    </row>
    <row r="115">
      <c r="A115" s="194"/>
      <c r="B115" s="194"/>
      <c r="C115" s="537"/>
      <c r="D115" s="537"/>
      <c r="E115" s="537"/>
      <c r="F115" s="537"/>
      <c r="G115" s="537"/>
      <c r="H115" s="537"/>
      <c r="I115" s="538"/>
      <c r="J115" s="537"/>
      <c r="K115" s="194"/>
      <c r="L115" s="194"/>
      <c r="M115" s="194"/>
      <c r="N115" s="194"/>
      <c r="O115" s="194"/>
      <c r="P115" s="194"/>
      <c r="Q115" s="194"/>
      <c r="R115" s="194"/>
      <c r="S115" s="194"/>
      <c r="T115" s="194"/>
      <c r="U115" s="194"/>
      <c r="V115" s="194"/>
      <c r="W115" s="194"/>
      <c r="X115" s="194"/>
      <c r="Y115" s="194"/>
      <c r="Z115" s="194"/>
    </row>
    <row r="116">
      <c r="A116" s="194"/>
      <c r="B116" s="194"/>
      <c r="C116" s="537"/>
      <c r="D116" s="537"/>
      <c r="E116" s="537"/>
      <c r="F116" s="537"/>
      <c r="G116" s="537"/>
      <c r="H116" s="537"/>
      <c r="I116" s="538"/>
      <c r="J116" s="537"/>
      <c r="K116" s="194"/>
      <c r="L116" s="194"/>
      <c r="M116" s="194"/>
      <c r="N116" s="194"/>
      <c r="O116" s="194"/>
      <c r="P116" s="194"/>
      <c r="Q116" s="194"/>
      <c r="R116" s="194"/>
      <c r="S116" s="194"/>
      <c r="T116" s="194"/>
      <c r="U116" s="194"/>
      <c r="V116" s="194"/>
      <c r="W116" s="194"/>
      <c r="X116" s="194"/>
      <c r="Y116" s="194"/>
      <c r="Z116" s="194"/>
    </row>
    <row r="117">
      <c r="A117" s="194"/>
      <c r="B117" s="194"/>
      <c r="C117" s="537"/>
      <c r="D117" s="537"/>
      <c r="E117" s="537"/>
      <c r="F117" s="537"/>
      <c r="G117" s="537"/>
      <c r="H117" s="537"/>
      <c r="I117" s="538"/>
      <c r="J117" s="537"/>
      <c r="K117" s="194"/>
      <c r="L117" s="194"/>
      <c r="M117" s="194"/>
      <c r="N117" s="194"/>
      <c r="O117" s="194"/>
      <c r="P117" s="194"/>
      <c r="Q117" s="194"/>
      <c r="R117" s="194"/>
      <c r="S117" s="194"/>
      <c r="T117" s="194"/>
      <c r="U117" s="194"/>
      <c r="V117" s="194"/>
      <c r="W117" s="194"/>
      <c r="X117" s="194"/>
      <c r="Y117" s="194"/>
      <c r="Z117" s="194"/>
    </row>
    <row r="118">
      <c r="A118" s="194"/>
      <c r="B118" s="194"/>
      <c r="C118" s="537"/>
      <c r="D118" s="537"/>
      <c r="E118" s="537"/>
      <c r="F118" s="537"/>
      <c r="G118" s="537"/>
      <c r="H118" s="537"/>
      <c r="I118" s="538"/>
      <c r="J118" s="537"/>
      <c r="K118" s="194"/>
      <c r="L118" s="194"/>
      <c r="M118" s="194"/>
      <c r="N118" s="194"/>
      <c r="O118" s="194"/>
      <c r="P118" s="194"/>
      <c r="Q118" s="194"/>
      <c r="R118" s="194"/>
      <c r="S118" s="194"/>
      <c r="T118" s="194"/>
      <c r="U118" s="194"/>
      <c r="V118" s="194"/>
      <c r="W118" s="194"/>
      <c r="X118" s="194"/>
      <c r="Y118" s="194"/>
      <c r="Z118" s="194"/>
    </row>
    <row r="119">
      <c r="A119" s="194"/>
      <c r="B119" s="194"/>
      <c r="C119" s="537"/>
      <c r="D119" s="537"/>
      <c r="E119" s="537"/>
      <c r="F119" s="537"/>
      <c r="G119" s="537"/>
      <c r="H119" s="537"/>
      <c r="I119" s="538"/>
      <c r="J119" s="537"/>
      <c r="K119" s="194"/>
      <c r="L119" s="194"/>
      <c r="M119" s="194"/>
      <c r="N119" s="194"/>
      <c r="O119" s="194"/>
      <c r="P119" s="194"/>
      <c r="Q119" s="194"/>
      <c r="R119" s="194"/>
      <c r="S119" s="194"/>
      <c r="T119" s="194"/>
      <c r="U119" s="194"/>
      <c r="V119" s="194"/>
      <c r="W119" s="194"/>
      <c r="X119" s="194"/>
      <c r="Y119" s="194"/>
      <c r="Z119" s="194"/>
    </row>
    <row r="120">
      <c r="A120" s="194"/>
      <c r="B120" s="194"/>
      <c r="C120" s="537"/>
      <c r="D120" s="537"/>
      <c r="E120" s="537"/>
      <c r="F120" s="537"/>
      <c r="G120" s="537"/>
      <c r="H120" s="537"/>
      <c r="I120" s="538"/>
      <c r="J120" s="537"/>
      <c r="K120" s="194"/>
      <c r="L120" s="194"/>
      <c r="M120" s="194"/>
      <c r="N120" s="194"/>
      <c r="O120" s="194"/>
      <c r="P120" s="194"/>
      <c r="Q120" s="194"/>
      <c r="R120" s="194"/>
      <c r="S120" s="194"/>
      <c r="T120" s="194"/>
      <c r="U120" s="194"/>
      <c r="V120" s="194"/>
      <c r="W120" s="194"/>
      <c r="X120" s="194"/>
      <c r="Y120" s="194"/>
      <c r="Z120" s="194"/>
    </row>
    <row r="121">
      <c r="A121" s="194"/>
      <c r="B121" s="194"/>
      <c r="C121" s="537"/>
      <c r="D121" s="537"/>
      <c r="E121" s="537"/>
      <c r="F121" s="537"/>
      <c r="G121" s="537"/>
      <c r="H121" s="537"/>
      <c r="I121" s="538"/>
      <c r="J121" s="537"/>
      <c r="K121" s="194"/>
      <c r="L121" s="194"/>
      <c r="M121" s="194"/>
      <c r="N121" s="194"/>
      <c r="O121" s="194"/>
      <c r="P121" s="194"/>
      <c r="Q121" s="194"/>
      <c r="R121" s="194"/>
      <c r="S121" s="194"/>
      <c r="T121" s="194"/>
      <c r="U121" s="194"/>
      <c r="V121" s="194"/>
      <c r="W121" s="194"/>
      <c r="X121" s="194"/>
      <c r="Y121" s="194"/>
      <c r="Z121" s="194"/>
    </row>
    <row r="122">
      <c r="A122" s="194"/>
      <c r="B122" s="194"/>
      <c r="C122" s="537"/>
      <c r="D122" s="537"/>
      <c r="E122" s="537"/>
      <c r="F122" s="537"/>
      <c r="G122" s="537"/>
      <c r="H122" s="537"/>
      <c r="I122" s="538"/>
      <c r="J122" s="537"/>
      <c r="K122" s="194"/>
      <c r="L122" s="194"/>
      <c r="M122" s="194"/>
      <c r="N122" s="194"/>
      <c r="O122" s="194"/>
      <c r="P122" s="194"/>
      <c r="Q122" s="194"/>
      <c r="R122" s="194"/>
      <c r="S122" s="194"/>
      <c r="T122" s="194"/>
      <c r="U122" s="194"/>
      <c r="V122" s="194"/>
      <c r="W122" s="194"/>
      <c r="X122" s="194"/>
      <c r="Y122" s="194"/>
      <c r="Z122" s="194"/>
    </row>
    <row r="123">
      <c r="A123" s="194"/>
      <c r="B123" s="194"/>
      <c r="C123" s="537"/>
      <c r="D123" s="537"/>
      <c r="E123" s="537"/>
      <c r="F123" s="537"/>
      <c r="G123" s="537"/>
      <c r="H123" s="537"/>
      <c r="I123" s="538"/>
      <c r="J123" s="537"/>
      <c r="K123" s="194"/>
      <c r="L123" s="194"/>
      <c r="M123" s="194"/>
      <c r="N123" s="194"/>
      <c r="O123" s="194"/>
      <c r="P123" s="194"/>
      <c r="Q123" s="194"/>
      <c r="R123" s="194"/>
      <c r="S123" s="194"/>
      <c r="T123" s="194"/>
      <c r="U123" s="194"/>
      <c r="V123" s="194"/>
      <c r="W123" s="194"/>
      <c r="X123" s="194"/>
      <c r="Y123" s="194"/>
      <c r="Z123" s="194"/>
    </row>
    <row r="124">
      <c r="A124" s="194"/>
      <c r="B124" s="194"/>
      <c r="C124" s="537"/>
      <c r="D124" s="537"/>
      <c r="E124" s="537"/>
      <c r="F124" s="537"/>
      <c r="G124" s="537"/>
      <c r="H124" s="537"/>
      <c r="I124" s="538"/>
      <c r="J124" s="537"/>
      <c r="K124" s="194"/>
      <c r="L124" s="194"/>
      <c r="M124" s="194"/>
      <c r="N124" s="194"/>
      <c r="O124" s="194"/>
      <c r="P124" s="194"/>
      <c r="Q124" s="194"/>
      <c r="R124" s="194"/>
      <c r="S124" s="194"/>
      <c r="T124" s="194"/>
      <c r="U124" s="194"/>
      <c r="V124" s="194"/>
      <c r="W124" s="194"/>
      <c r="X124" s="194"/>
      <c r="Y124" s="194"/>
      <c r="Z124" s="194"/>
    </row>
    <row r="125">
      <c r="A125" s="194"/>
      <c r="B125" s="194"/>
      <c r="C125" s="537"/>
      <c r="D125" s="537"/>
      <c r="E125" s="537"/>
      <c r="F125" s="537"/>
      <c r="G125" s="537"/>
      <c r="H125" s="537"/>
      <c r="I125" s="538"/>
      <c r="J125" s="537"/>
      <c r="K125" s="194"/>
      <c r="L125" s="194"/>
      <c r="M125" s="194"/>
      <c r="N125" s="194"/>
      <c r="O125" s="194"/>
      <c r="P125" s="194"/>
      <c r="Q125" s="194"/>
      <c r="R125" s="194"/>
      <c r="S125" s="194"/>
      <c r="T125" s="194"/>
      <c r="U125" s="194"/>
      <c r="V125" s="194"/>
      <c r="W125" s="194"/>
      <c r="X125" s="194"/>
      <c r="Y125" s="194"/>
      <c r="Z125" s="194"/>
    </row>
    <row r="126">
      <c r="A126" s="194"/>
      <c r="B126" s="194"/>
      <c r="C126" s="537"/>
      <c r="D126" s="537"/>
      <c r="E126" s="537"/>
      <c r="F126" s="537"/>
      <c r="G126" s="537"/>
      <c r="H126" s="537"/>
      <c r="I126" s="538"/>
      <c r="J126" s="537"/>
      <c r="K126" s="194"/>
      <c r="L126" s="194"/>
      <c r="M126" s="194"/>
      <c r="N126" s="194"/>
      <c r="O126" s="194"/>
      <c r="P126" s="194"/>
      <c r="Q126" s="194"/>
      <c r="R126" s="194"/>
      <c r="S126" s="194"/>
      <c r="T126" s="194"/>
      <c r="U126" s="194"/>
      <c r="V126" s="194"/>
      <c r="W126" s="194"/>
      <c r="X126" s="194"/>
      <c r="Y126" s="194"/>
      <c r="Z126" s="194"/>
    </row>
    <row r="127">
      <c r="A127" s="194"/>
      <c r="B127" s="194"/>
      <c r="C127" s="537"/>
      <c r="D127" s="537"/>
      <c r="E127" s="537"/>
      <c r="F127" s="537"/>
      <c r="G127" s="537"/>
      <c r="H127" s="537"/>
      <c r="I127" s="538"/>
      <c r="J127" s="537"/>
      <c r="K127" s="194"/>
      <c r="L127" s="194"/>
      <c r="M127" s="194"/>
      <c r="N127" s="194"/>
      <c r="O127" s="194"/>
      <c r="P127" s="194"/>
      <c r="Q127" s="194"/>
      <c r="R127" s="194"/>
      <c r="S127" s="194"/>
      <c r="T127" s="194"/>
      <c r="U127" s="194"/>
      <c r="V127" s="194"/>
      <c r="W127" s="194"/>
      <c r="X127" s="194"/>
      <c r="Y127" s="194"/>
      <c r="Z127" s="194"/>
    </row>
    <row r="128">
      <c r="A128" s="194"/>
      <c r="B128" s="194"/>
      <c r="C128" s="537"/>
      <c r="D128" s="537"/>
      <c r="E128" s="537"/>
      <c r="F128" s="537"/>
      <c r="G128" s="537"/>
      <c r="H128" s="537"/>
      <c r="I128" s="538"/>
      <c r="J128" s="537"/>
      <c r="K128" s="194"/>
      <c r="L128" s="194"/>
      <c r="M128" s="194"/>
      <c r="N128" s="194"/>
      <c r="O128" s="194"/>
      <c r="P128" s="194"/>
      <c r="Q128" s="194"/>
      <c r="R128" s="194"/>
      <c r="S128" s="194"/>
      <c r="T128" s="194"/>
      <c r="U128" s="194"/>
      <c r="V128" s="194"/>
      <c r="W128" s="194"/>
      <c r="X128" s="194"/>
      <c r="Y128" s="194"/>
      <c r="Z128" s="194"/>
    </row>
    <row r="129">
      <c r="A129" s="194"/>
      <c r="B129" s="194"/>
      <c r="C129" s="537"/>
      <c r="D129" s="537"/>
      <c r="E129" s="537"/>
      <c r="F129" s="537"/>
      <c r="G129" s="537"/>
      <c r="H129" s="537"/>
      <c r="I129" s="538"/>
      <c r="J129" s="537"/>
      <c r="K129" s="194"/>
      <c r="L129" s="194"/>
      <c r="M129" s="194"/>
      <c r="N129" s="194"/>
      <c r="O129" s="194"/>
      <c r="P129" s="194"/>
      <c r="Q129" s="194"/>
      <c r="R129" s="194"/>
      <c r="S129" s="194"/>
      <c r="T129" s="194"/>
      <c r="U129" s="194"/>
      <c r="V129" s="194"/>
      <c r="W129" s="194"/>
      <c r="X129" s="194"/>
      <c r="Y129" s="194"/>
      <c r="Z129" s="194"/>
    </row>
    <row r="130">
      <c r="A130" s="194"/>
      <c r="B130" s="194"/>
      <c r="C130" s="537"/>
      <c r="D130" s="537"/>
      <c r="E130" s="537"/>
      <c r="F130" s="537"/>
      <c r="G130" s="537"/>
      <c r="H130" s="537"/>
      <c r="I130" s="538"/>
      <c r="J130" s="537"/>
      <c r="K130" s="194"/>
      <c r="L130" s="194"/>
      <c r="M130" s="194"/>
      <c r="N130" s="194"/>
      <c r="O130" s="194"/>
      <c r="P130" s="194"/>
      <c r="Q130" s="194"/>
      <c r="R130" s="194"/>
      <c r="S130" s="194"/>
      <c r="T130" s="194"/>
      <c r="U130" s="194"/>
      <c r="V130" s="194"/>
      <c r="W130" s="194"/>
      <c r="X130" s="194"/>
      <c r="Y130" s="194"/>
      <c r="Z130" s="194"/>
    </row>
    <row r="131">
      <c r="A131" s="194"/>
      <c r="B131" s="194"/>
      <c r="C131" s="537"/>
      <c r="D131" s="537"/>
      <c r="E131" s="537"/>
      <c r="F131" s="537"/>
      <c r="G131" s="537"/>
      <c r="H131" s="537"/>
      <c r="I131" s="538"/>
      <c r="J131" s="537"/>
      <c r="K131" s="194"/>
      <c r="L131" s="194"/>
      <c r="M131" s="194"/>
      <c r="N131" s="194"/>
      <c r="O131" s="194"/>
      <c r="P131" s="194"/>
      <c r="Q131" s="194"/>
      <c r="R131" s="194"/>
      <c r="S131" s="194"/>
      <c r="T131" s="194"/>
      <c r="U131" s="194"/>
      <c r="V131" s="194"/>
      <c r="W131" s="194"/>
      <c r="X131" s="194"/>
      <c r="Y131" s="194"/>
      <c r="Z131" s="194"/>
    </row>
    <row r="132">
      <c r="A132" s="194"/>
      <c r="B132" s="194"/>
      <c r="C132" s="537"/>
      <c r="D132" s="537"/>
      <c r="E132" s="537"/>
      <c r="F132" s="537"/>
      <c r="G132" s="537"/>
      <c r="H132" s="537"/>
      <c r="I132" s="538"/>
      <c r="J132" s="537"/>
      <c r="K132" s="194"/>
      <c r="L132" s="194"/>
      <c r="M132" s="194"/>
      <c r="N132" s="194"/>
      <c r="O132" s="194"/>
      <c r="P132" s="194"/>
      <c r="Q132" s="194"/>
      <c r="R132" s="194"/>
      <c r="S132" s="194"/>
      <c r="T132" s="194"/>
      <c r="U132" s="194"/>
      <c r="V132" s="194"/>
      <c r="W132" s="194"/>
      <c r="X132" s="194"/>
      <c r="Y132" s="194"/>
      <c r="Z132" s="194"/>
    </row>
    <row r="133">
      <c r="A133" s="194"/>
      <c r="B133" s="194"/>
      <c r="C133" s="537"/>
      <c r="D133" s="537"/>
      <c r="E133" s="537"/>
      <c r="F133" s="537"/>
      <c r="G133" s="537"/>
      <c r="H133" s="537"/>
      <c r="I133" s="538"/>
      <c r="J133" s="537"/>
      <c r="K133" s="194"/>
      <c r="L133" s="194"/>
      <c r="M133" s="194"/>
      <c r="N133" s="194"/>
      <c r="O133" s="194"/>
      <c r="P133" s="194"/>
      <c r="Q133" s="194"/>
      <c r="R133" s="194"/>
      <c r="S133" s="194"/>
      <c r="T133" s="194"/>
      <c r="U133" s="194"/>
      <c r="V133" s="194"/>
      <c r="W133" s="194"/>
      <c r="X133" s="194"/>
      <c r="Y133" s="194"/>
      <c r="Z133" s="194"/>
    </row>
    <row r="134">
      <c r="A134" s="194"/>
      <c r="B134" s="194"/>
      <c r="C134" s="537"/>
      <c r="D134" s="537"/>
      <c r="E134" s="537"/>
      <c r="F134" s="537"/>
      <c r="G134" s="537"/>
      <c r="H134" s="537"/>
      <c r="I134" s="538"/>
      <c r="J134" s="537"/>
      <c r="K134" s="194"/>
      <c r="L134" s="194"/>
      <c r="M134" s="194"/>
      <c r="N134" s="194"/>
      <c r="O134" s="194"/>
      <c r="P134" s="194"/>
      <c r="Q134" s="194"/>
      <c r="R134" s="194"/>
      <c r="S134" s="194"/>
      <c r="T134" s="194"/>
      <c r="U134" s="194"/>
      <c r="V134" s="194"/>
      <c r="W134" s="194"/>
      <c r="X134" s="194"/>
      <c r="Y134" s="194"/>
      <c r="Z134" s="194"/>
    </row>
    <row r="135">
      <c r="A135" s="194"/>
      <c r="B135" s="194"/>
      <c r="C135" s="537"/>
      <c r="D135" s="537"/>
      <c r="E135" s="537"/>
      <c r="F135" s="537"/>
      <c r="G135" s="537"/>
      <c r="H135" s="537"/>
      <c r="I135" s="538"/>
      <c r="J135" s="537"/>
      <c r="K135" s="194"/>
      <c r="L135" s="194"/>
      <c r="M135" s="194"/>
      <c r="N135" s="194"/>
      <c r="O135" s="194"/>
      <c r="P135" s="194"/>
      <c r="Q135" s="194"/>
      <c r="R135" s="194"/>
      <c r="S135" s="194"/>
      <c r="T135" s="194"/>
      <c r="U135" s="194"/>
      <c r="V135" s="194"/>
      <c r="W135" s="194"/>
      <c r="X135" s="194"/>
      <c r="Y135" s="194"/>
      <c r="Z135" s="194"/>
    </row>
    <row r="136">
      <c r="A136" s="194"/>
      <c r="B136" s="194"/>
      <c r="C136" s="537"/>
      <c r="D136" s="537"/>
      <c r="E136" s="537"/>
      <c r="F136" s="537"/>
      <c r="G136" s="537"/>
      <c r="H136" s="537"/>
      <c r="I136" s="538"/>
      <c r="J136" s="537"/>
      <c r="K136" s="194"/>
      <c r="L136" s="194"/>
      <c r="M136" s="194"/>
      <c r="N136" s="194"/>
      <c r="O136" s="194"/>
      <c r="P136" s="194"/>
      <c r="Q136" s="194"/>
      <c r="R136" s="194"/>
      <c r="S136" s="194"/>
      <c r="T136" s="194"/>
      <c r="U136" s="194"/>
      <c r="V136" s="194"/>
      <c r="W136" s="194"/>
      <c r="X136" s="194"/>
      <c r="Y136" s="194"/>
      <c r="Z136" s="194"/>
    </row>
    <row r="137">
      <c r="A137" s="194"/>
      <c r="B137" s="194"/>
      <c r="C137" s="537"/>
      <c r="D137" s="537"/>
      <c r="E137" s="537"/>
      <c r="F137" s="537"/>
      <c r="G137" s="537"/>
      <c r="H137" s="537"/>
      <c r="I137" s="538"/>
      <c r="J137" s="537"/>
      <c r="K137" s="194"/>
      <c r="L137" s="194"/>
      <c r="M137" s="194"/>
      <c r="N137" s="194"/>
      <c r="O137" s="194"/>
      <c r="P137" s="194"/>
      <c r="Q137" s="194"/>
      <c r="R137" s="194"/>
      <c r="S137" s="194"/>
      <c r="T137" s="194"/>
      <c r="U137" s="194"/>
      <c r="V137" s="194"/>
      <c r="W137" s="194"/>
      <c r="X137" s="194"/>
      <c r="Y137" s="194"/>
      <c r="Z137" s="194"/>
    </row>
    <row r="138">
      <c r="A138" s="194"/>
      <c r="B138" s="194"/>
      <c r="C138" s="537"/>
      <c r="D138" s="537"/>
      <c r="E138" s="537"/>
      <c r="F138" s="537"/>
      <c r="G138" s="537"/>
      <c r="H138" s="537"/>
      <c r="I138" s="538"/>
      <c r="J138" s="537"/>
      <c r="K138" s="194"/>
      <c r="L138" s="194"/>
      <c r="M138" s="194"/>
      <c r="N138" s="194"/>
      <c r="O138" s="194"/>
      <c r="P138" s="194"/>
      <c r="Q138" s="194"/>
      <c r="R138" s="194"/>
      <c r="S138" s="194"/>
      <c r="T138" s="194"/>
      <c r="U138" s="194"/>
      <c r="V138" s="194"/>
      <c r="W138" s="194"/>
      <c r="X138" s="194"/>
      <c r="Y138" s="194"/>
      <c r="Z138" s="194"/>
    </row>
    <row r="139">
      <c r="A139" s="194"/>
      <c r="B139" s="194"/>
      <c r="C139" s="537"/>
      <c r="D139" s="537"/>
      <c r="E139" s="537"/>
      <c r="F139" s="537"/>
      <c r="G139" s="537"/>
      <c r="H139" s="537"/>
      <c r="I139" s="538"/>
      <c r="J139" s="537"/>
      <c r="K139" s="194"/>
      <c r="L139" s="194"/>
      <c r="M139" s="194"/>
      <c r="N139" s="194"/>
      <c r="O139" s="194"/>
      <c r="P139" s="194"/>
      <c r="Q139" s="194"/>
      <c r="R139" s="194"/>
      <c r="S139" s="194"/>
      <c r="T139" s="194"/>
      <c r="U139" s="194"/>
      <c r="V139" s="194"/>
      <c r="W139" s="194"/>
      <c r="X139" s="194"/>
      <c r="Y139" s="194"/>
      <c r="Z139" s="194"/>
    </row>
    <row r="140">
      <c r="A140" s="194"/>
      <c r="B140" s="194"/>
      <c r="C140" s="537"/>
      <c r="D140" s="537"/>
      <c r="E140" s="537"/>
      <c r="F140" s="537"/>
      <c r="G140" s="537"/>
      <c r="H140" s="537"/>
      <c r="I140" s="538"/>
      <c r="J140" s="537"/>
      <c r="K140" s="194"/>
      <c r="L140" s="194"/>
      <c r="M140" s="194"/>
      <c r="N140" s="194"/>
      <c r="O140" s="194"/>
      <c r="P140" s="194"/>
      <c r="Q140" s="194"/>
      <c r="R140" s="194"/>
      <c r="S140" s="194"/>
      <c r="T140" s="194"/>
      <c r="U140" s="194"/>
      <c r="V140" s="194"/>
      <c r="W140" s="194"/>
      <c r="X140" s="194"/>
      <c r="Y140" s="194"/>
      <c r="Z140" s="194"/>
    </row>
    <row r="141">
      <c r="A141" s="194"/>
      <c r="B141" s="194"/>
      <c r="C141" s="537"/>
      <c r="D141" s="537"/>
      <c r="E141" s="537"/>
      <c r="F141" s="537"/>
      <c r="G141" s="537"/>
      <c r="H141" s="537"/>
      <c r="I141" s="538"/>
      <c r="J141" s="537"/>
      <c r="K141" s="194"/>
      <c r="L141" s="194"/>
      <c r="M141" s="194"/>
      <c r="N141" s="194"/>
      <c r="O141" s="194"/>
      <c r="P141" s="194"/>
      <c r="Q141" s="194"/>
      <c r="R141" s="194"/>
      <c r="S141" s="194"/>
      <c r="T141" s="194"/>
      <c r="U141" s="194"/>
      <c r="V141" s="194"/>
      <c r="W141" s="194"/>
      <c r="X141" s="194"/>
      <c r="Y141" s="194"/>
      <c r="Z141" s="194"/>
    </row>
    <row r="142">
      <c r="A142" s="194"/>
      <c r="B142" s="194"/>
      <c r="C142" s="537"/>
      <c r="D142" s="537"/>
      <c r="E142" s="537"/>
      <c r="F142" s="537"/>
      <c r="G142" s="537"/>
      <c r="H142" s="537"/>
      <c r="I142" s="538"/>
      <c r="J142" s="537"/>
      <c r="K142" s="194"/>
      <c r="L142" s="194"/>
      <c r="M142" s="194"/>
      <c r="N142" s="194"/>
      <c r="O142" s="194"/>
      <c r="P142" s="194"/>
      <c r="Q142" s="194"/>
      <c r="R142" s="194"/>
      <c r="S142" s="194"/>
      <c r="T142" s="194"/>
      <c r="U142" s="194"/>
      <c r="V142" s="194"/>
      <c r="W142" s="194"/>
      <c r="X142" s="194"/>
      <c r="Y142" s="194"/>
      <c r="Z142" s="194"/>
    </row>
    <row r="143">
      <c r="A143" s="194"/>
      <c r="B143" s="194"/>
      <c r="C143" s="537"/>
      <c r="D143" s="537"/>
      <c r="E143" s="537"/>
      <c r="F143" s="537"/>
      <c r="G143" s="537"/>
      <c r="H143" s="537"/>
      <c r="I143" s="538"/>
      <c r="J143" s="537"/>
      <c r="K143" s="194"/>
      <c r="L143" s="194"/>
      <c r="M143" s="194"/>
      <c r="N143" s="194"/>
      <c r="O143" s="194"/>
      <c r="P143" s="194"/>
      <c r="Q143" s="194"/>
      <c r="R143" s="194"/>
      <c r="S143" s="194"/>
      <c r="T143" s="194"/>
      <c r="U143" s="194"/>
      <c r="V143" s="194"/>
      <c r="W143" s="194"/>
      <c r="X143" s="194"/>
      <c r="Y143" s="194"/>
      <c r="Z143" s="194"/>
    </row>
    <row r="144">
      <c r="A144" s="194"/>
      <c r="B144" s="194"/>
      <c r="C144" s="537"/>
      <c r="D144" s="537"/>
      <c r="E144" s="537"/>
      <c r="F144" s="537"/>
      <c r="G144" s="537"/>
      <c r="H144" s="537"/>
      <c r="I144" s="538"/>
      <c r="J144" s="537"/>
      <c r="K144" s="194"/>
      <c r="L144" s="194"/>
      <c r="M144" s="194"/>
      <c r="N144" s="194"/>
      <c r="O144" s="194"/>
      <c r="P144" s="194"/>
      <c r="Q144" s="194"/>
      <c r="R144" s="194"/>
      <c r="S144" s="194"/>
      <c r="T144" s="194"/>
      <c r="U144" s="194"/>
      <c r="V144" s="194"/>
      <c r="W144" s="194"/>
      <c r="X144" s="194"/>
      <c r="Y144" s="194"/>
      <c r="Z144" s="194"/>
    </row>
    <row r="145">
      <c r="A145" s="194"/>
      <c r="B145" s="194"/>
      <c r="C145" s="537"/>
      <c r="D145" s="537"/>
      <c r="E145" s="537"/>
      <c r="F145" s="537"/>
      <c r="G145" s="537"/>
      <c r="H145" s="537"/>
      <c r="I145" s="538"/>
      <c r="J145" s="537"/>
      <c r="K145" s="194"/>
      <c r="L145" s="194"/>
      <c r="M145" s="194"/>
      <c r="N145" s="194"/>
      <c r="O145" s="194"/>
      <c r="P145" s="194"/>
      <c r="Q145" s="194"/>
      <c r="R145" s="194"/>
      <c r="S145" s="194"/>
      <c r="T145" s="194"/>
      <c r="U145" s="194"/>
      <c r="V145" s="194"/>
      <c r="W145" s="194"/>
      <c r="X145" s="194"/>
      <c r="Y145" s="194"/>
      <c r="Z145" s="194"/>
    </row>
    <row r="146">
      <c r="A146" s="194"/>
      <c r="B146" s="194"/>
      <c r="C146" s="537"/>
      <c r="D146" s="537"/>
      <c r="E146" s="537"/>
      <c r="F146" s="537"/>
      <c r="G146" s="537"/>
      <c r="H146" s="537"/>
      <c r="I146" s="538"/>
      <c r="J146" s="537"/>
      <c r="K146" s="194"/>
      <c r="L146" s="194"/>
      <c r="M146" s="194"/>
      <c r="N146" s="194"/>
      <c r="O146" s="194"/>
      <c r="P146" s="194"/>
      <c r="Q146" s="194"/>
      <c r="R146" s="194"/>
      <c r="S146" s="194"/>
      <c r="T146" s="194"/>
      <c r="U146" s="194"/>
      <c r="V146" s="194"/>
      <c r="W146" s="194"/>
      <c r="X146" s="194"/>
      <c r="Y146" s="194"/>
      <c r="Z146" s="194"/>
    </row>
    <row r="147">
      <c r="A147" s="194"/>
      <c r="B147" s="194"/>
      <c r="C147" s="537"/>
      <c r="D147" s="537"/>
      <c r="E147" s="537"/>
      <c r="F147" s="537"/>
      <c r="G147" s="537"/>
      <c r="H147" s="537"/>
      <c r="I147" s="538"/>
      <c r="J147" s="537"/>
      <c r="K147" s="194"/>
      <c r="L147" s="194"/>
      <c r="M147" s="194"/>
      <c r="N147" s="194"/>
      <c r="O147" s="194"/>
      <c r="P147" s="194"/>
      <c r="Q147" s="194"/>
      <c r="R147" s="194"/>
      <c r="S147" s="194"/>
      <c r="T147" s="194"/>
      <c r="U147" s="194"/>
      <c r="V147" s="194"/>
      <c r="W147" s="194"/>
      <c r="X147" s="194"/>
      <c r="Y147" s="194"/>
      <c r="Z147" s="194"/>
    </row>
    <row r="148">
      <c r="A148" s="194"/>
      <c r="B148" s="194"/>
      <c r="C148" s="537"/>
      <c r="D148" s="537"/>
      <c r="E148" s="537"/>
      <c r="F148" s="537"/>
      <c r="G148" s="537"/>
      <c r="H148" s="537"/>
      <c r="I148" s="538"/>
      <c r="J148" s="537"/>
      <c r="K148" s="194"/>
      <c r="L148" s="194"/>
      <c r="M148" s="194"/>
      <c r="N148" s="194"/>
      <c r="O148" s="194"/>
      <c r="P148" s="194"/>
      <c r="Q148" s="194"/>
      <c r="R148" s="194"/>
      <c r="S148" s="194"/>
      <c r="T148" s="194"/>
      <c r="U148" s="194"/>
      <c r="V148" s="194"/>
      <c r="W148" s="194"/>
      <c r="X148" s="194"/>
      <c r="Y148" s="194"/>
      <c r="Z148" s="194"/>
    </row>
    <row r="149">
      <c r="A149" s="194"/>
      <c r="B149" s="194"/>
      <c r="C149" s="537"/>
      <c r="D149" s="537"/>
      <c r="E149" s="537"/>
      <c r="F149" s="537"/>
      <c r="G149" s="537"/>
      <c r="H149" s="537"/>
      <c r="I149" s="538"/>
      <c r="J149" s="537"/>
      <c r="K149" s="194"/>
      <c r="L149" s="194"/>
      <c r="M149" s="194"/>
      <c r="N149" s="194"/>
      <c r="O149" s="194"/>
      <c r="P149" s="194"/>
      <c r="Q149" s="194"/>
      <c r="R149" s="194"/>
      <c r="S149" s="194"/>
      <c r="T149" s="194"/>
      <c r="U149" s="194"/>
      <c r="V149" s="194"/>
      <c r="W149" s="194"/>
      <c r="X149" s="194"/>
      <c r="Y149" s="194"/>
      <c r="Z149" s="194"/>
    </row>
    <row r="150">
      <c r="A150" s="194"/>
      <c r="B150" s="194"/>
      <c r="C150" s="537"/>
      <c r="D150" s="537"/>
      <c r="E150" s="537"/>
      <c r="F150" s="537"/>
      <c r="G150" s="537"/>
      <c r="H150" s="537"/>
      <c r="I150" s="538"/>
      <c r="J150" s="537"/>
      <c r="K150" s="194"/>
      <c r="L150" s="194"/>
      <c r="M150" s="194"/>
      <c r="N150" s="194"/>
      <c r="O150" s="194"/>
      <c r="P150" s="194"/>
      <c r="Q150" s="194"/>
      <c r="R150" s="194"/>
      <c r="S150" s="194"/>
      <c r="T150" s="194"/>
      <c r="U150" s="194"/>
      <c r="V150" s="194"/>
      <c r="W150" s="194"/>
      <c r="X150" s="194"/>
      <c r="Y150" s="194"/>
      <c r="Z150" s="194"/>
    </row>
    <row r="151">
      <c r="A151" s="194"/>
      <c r="B151" s="194"/>
      <c r="C151" s="537"/>
      <c r="D151" s="537"/>
      <c r="E151" s="537"/>
      <c r="F151" s="537"/>
      <c r="G151" s="537"/>
      <c r="H151" s="537"/>
      <c r="I151" s="538"/>
      <c r="J151" s="537"/>
      <c r="K151" s="194"/>
      <c r="L151" s="194"/>
      <c r="M151" s="194"/>
      <c r="N151" s="194"/>
      <c r="O151" s="194"/>
      <c r="P151" s="194"/>
      <c r="Q151" s="194"/>
      <c r="R151" s="194"/>
      <c r="S151" s="194"/>
      <c r="T151" s="194"/>
      <c r="U151" s="194"/>
      <c r="V151" s="194"/>
      <c r="W151" s="194"/>
      <c r="X151" s="194"/>
      <c r="Y151" s="194"/>
      <c r="Z151" s="194"/>
    </row>
    <row r="152">
      <c r="A152" s="194"/>
      <c r="B152" s="194"/>
      <c r="C152" s="537"/>
      <c r="D152" s="537"/>
      <c r="E152" s="537"/>
      <c r="F152" s="537"/>
      <c r="G152" s="537"/>
      <c r="H152" s="537"/>
      <c r="I152" s="538"/>
      <c r="J152" s="537"/>
      <c r="K152" s="194"/>
      <c r="L152" s="194"/>
      <c r="M152" s="194"/>
      <c r="N152" s="194"/>
      <c r="O152" s="194"/>
      <c r="P152" s="194"/>
      <c r="Q152" s="194"/>
      <c r="R152" s="194"/>
      <c r="S152" s="194"/>
      <c r="T152" s="194"/>
      <c r="U152" s="194"/>
      <c r="V152" s="194"/>
      <c r="W152" s="194"/>
      <c r="X152" s="194"/>
      <c r="Y152" s="194"/>
      <c r="Z152" s="194"/>
    </row>
    <row r="153">
      <c r="A153" s="194"/>
      <c r="B153" s="194"/>
      <c r="C153" s="537"/>
      <c r="D153" s="537"/>
      <c r="E153" s="537"/>
      <c r="F153" s="537"/>
      <c r="G153" s="537"/>
      <c r="H153" s="537"/>
      <c r="I153" s="538"/>
      <c r="J153" s="537"/>
      <c r="K153" s="194"/>
      <c r="L153" s="194"/>
      <c r="M153" s="194"/>
      <c r="N153" s="194"/>
      <c r="O153" s="194"/>
      <c r="P153" s="194"/>
      <c r="Q153" s="194"/>
      <c r="R153" s="194"/>
      <c r="S153" s="194"/>
      <c r="T153" s="194"/>
      <c r="U153" s="194"/>
      <c r="V153" s="194"/>
      <c r="W153" s="194"/>
      <c r="X153" s="194"/>
      <c r="Y153" s="194"/>
      <c r="Z153" s="194"/>
    </row>
    <row r="154">
      <c r="A154" s="194"/>
      <c r="B154" s="194"/>
      <c r="C154" s="537"/>
      <c r="D154" s="537"/>
      <c r="E154" s="537"/>
      <c r="F154" s="537"/>
      <c r="G154" s="537"/>
      <c r="H154" s="537"/>
      <c r="I154" s="538"/>
      <c r="J154" s="537"/>
      <c r="K154" s="194"/>
      <c r="L154" s="194"/>
      <c r="M154" s="194"/>
      <c r="N154" s="194"/>
      <c r="O154" s="194"/>
      <c r="P154" s="194"/>
      <c r="Q154" s="194"/>
      <c r="R154" s="194"/>
      <c r="S154" s="194"/>
      <c r="T154" s="194"/>
      <c r="U154" s="194"/>
      <c r="V154" s="194"/>
      <c r="W154" s="194"/>
      <c r="X154" s="194"/>
      <c r="Y154" s="194"/>
      <c r="Z154" s="194"/>
    </row>
    <row r="155">
      <c r="A155" s="194"/>
      <c r="B155" s="194"/>
      <c r="C155" s="537"/>
      <c r="D155" s="537"/>
      <c r="E155" s="537"/>
      <c r="F155" s="537"/>
      <c r="G155" s="537"/>
      <c r="H155" s="537"/>
      <c r="I155" s="538"/>
      <c r="J155" s="537"/>
      <c r="K155" s="194"/>
      <c r="L155" s="194"/>
      <c r="M155" s="194"/>
      <c r="N155" s="194"/>
      <c r="O155" s="194"/>
      <c r="P155" s="194"/>
      <c r="Q155" s="194"/>
      <c r="R155" s="194"/>
      <c r="S155" s="194"/>
      <c r="T155" s="194"/>
      <c r="U155" s="194"/>
      <c r="V155" s="194"/>
      <c r="W155" s="194"/>
      <c r="X155" s="194"/>
      <c r="Y155" s="194"/>
      <c r="Z155" s="194"/>
    </row>
    <row r="156">
      <c r="A156" s="194"/>
      <c r="B156" s="194"/>
      <c r="C156" s="537"/>
      <c r="D156" s="537"/>
      <c r="E156" s="537"/>
      <c r="F156" s="537"/>
      <c r="G156" s="537"/>
      <c r="H156" s="537"/>
      <c r="I156" s="538"/>
      <c r="J156" s="537"/>
      <c r="K156" s="194"/>
      <c r="L156" s="194"/>
      <c r="M156" s="194"/>
      <c r="N156" s="194"/>
      <c r="O156" s="194"/>
      <c r="P156" s="194"/>
      <c r="Q156" s="194"/>
      <c r="R156" s="194"/>
      <c r="S156" s="194"/>
      <c r="T156" s="194"/>
      <c r="U156" s="194"/>
      <c r="V156" s="194"/>
      <c r="W156" s="194"/>
      <c r="X156" s="194"/>
      <c r="Y156" s="194"/>
      <c r="Z156" s="194"/>
    </row>
    <row r="157">
      <c r="A157" s="194"/>
      <c r="B157" s="194"/>
      <c r="C157" s="537"/>
      <c r="D157" s="537"/>
      <c r="E157" s="537"/>
      <c r="F157" s="537"/>
      <c r="G157" s="537"/>
      <c r="H157" s="537"/>
      <c r="I157" s="538"/>
      <c r="J157" s="537"/>
      <c r="K157" s="194"/>
      <c r="L157" s="194"/>
      <c r="M157" s="194"/>
      <c r="N157" s="194"/>
      <c r="O157" s="194"/>
      <c r="P157" s="194"/>
      <c r="Q157" s="194"/>
      <c r="R157" s="194"/>
      <c r="S157" s="194"/>
      <c r="T157" s="194"/>
      <c r="U157" s="194"/>
      <c r="V157" s="194"/>
      <c r="W157" s="194"/>
      <c r="X157" s="194"/>
      <c r="Y157" s="194"/>
      <c r="Z157" s="194"/>
    </row>
    <row r="158">
      <c r="A158" s="194"/>
      <c r="B158" s="194"/>
      <c r="C158" s="537"/>
      <c r="D158" s="537"/>
      <c r="E158" s="537"/>
      <c r="F158" s="537"/>
      <c r="G158" s="537"/>
      <c r="H158" s="537"/>
      <c r="I158" s="538"/>
      <c r="J158" s="537"/>
      <c r="K158" s="194"/>
      <c r="L158" s="194"/>
      <c r="M158" s="194"/>
      <c r="N158" s="194"/>
      <c r="O158" s="194"/>
      <c r="P158" s="194"/>
      <c r="Q158" s="194"/>
      <c r="R158" s="194"/>
      <c r="S158" s="194"/>
      <c r="T158" s="194"/>
      <c r="U158" s="194"/>
      <c r="V158" s="194"/>
      <c r="W158" s="194"/>
      <c r="X158" s="194"/>
      <c r="Y158" s="194"/>
      <c r="Z158" s="194"/>
    </row>
    <row r="159">
      <c r="A159" s="194"/>
      <c r="B159" s="194"/>
      <c r="C159" s="537"/>
      <c r="D159" s="537"/>
      <c r="E159" s="537"/>
      <c r="F159" s="537"/>
      <c r="G159" s="537"/>
      <c r="H159" s="537"/>
      <c r="I159" s="538"/>
      <c r="J159" s="537"/>
      <c r="K159" s="194"/>
      <c r="L159" s="194"/>
      <c r="M159" s="194"/>
      <c r="N159" s="194"/>
      <c r="O159" s="194"/>
      <c r="P159" s="194"/>
      <c r="Q159" s="194"/>
      <c r="R159" s="194"/>
      <c r="S159" s="194"/>
      <c r="T159" s="194"/>
      <c r="U159" s="194"/>
      <c r="V159" s="194"/>
      <c r="W159" s="194"/>
      <c r="X159" s="194"/>
      <c r="Y159" s="194"/>
      <c r="Z159" s="194"/>
    </row>
    <row r="160">
      <c r="A160" s="194"/>
      <c r="B160" s="194"/>
      <c r="C160" s="537"/>
      <c r="D160" s="537"/>
      <c r="E160" s="537"/>
      <c r="F160" s="537"/>
      <c r="G160" s="537"/>
      <c r="H160" s="537"/>
      <c r="I160" s="538"/>
      <c r="J160" s="537"/>
      <c r="K160" s="194"/>
      <c r="L160" s="194"/>
      <c r="M160" s="194"/>
      <c r="N160" s="194"/>
      <c r="O160" s="194"/>
      <c r="P160" s="194"/>
      <c r="Q160" s="194"/>
      <c r="R160" s="194"/>
      <c r="S160" s="194"/>
      <c r="T160" s="194"/>
      <c r="U160" s="194"/>
      <c r="V160" s="194"/>
      <c r="W160" s="194"/>
      <c r="X160" s="194"/>
      <c r="Y160" s="194"/>
      <c r="Z160" s="194"/>
    </row>
    <row r="161">
      <c r="A161" s="194"/>
      <c r="B161" s="194"/>
      <c r="C161" s="537"/>
      <c r="D161" s="537"/>
      <c r="E161" s="537"/>
      <c r="F161" s="537"/>
      <c r="G161" s="537"/>
      <c r="H161" s="537"/>
      <c r="I161" s="538"/>
      <c r="J161" s="537"/>
      <c r="K161" s="194"/>
      <c r="L161" s="194"/>
      <c r="M161" s="194"/>
      <c r="N161" s="194"/>
      <c r="O161" s="194"/>
      <c r="P161" s="194"/>
      <c r="Q161" s="194"/>
      <c r="R161" s="194"/>
      <c r="S161" s="194"/>
      <c r="T161" s="194"/>
      <c r="U161" s="194"/>
      <c r="V161" s="194"/>
      <c r="W161" s="194"/>
      <c r="X161" s="194"/>
      <c r="Y161" s="194"/>
      <c r="Z161" s="194"/>
    </row>
    <row r="162">
      <c r="A162" s="194"/>
      <c r="B162" s="194"/>
      <c r="C162" s="537"/>
      <c r="D162" s="537"/>
      <c r="E162" s="537"/>
      <c r="F162" s="537"/>
      <c r="G162" s="537"/>
      <c r="H162" s="537"/>
      <c r="I162" s="538"/>
      <c r="J162" s="537"/>
      <c r="K162" s="194"/>
      <c r="L162" s="194"/>
      <c r="M162" s="194"/>
      <c r="N162" s="194"/>
      <c r="O162" s="194"/>
      <c r="P162" s="194"/>
      <c r="Q162" s="194"/>
      <c r="R162" s="194"/>
      <c r="S162" s="194"/>
      <c r="T162" s="194"/>
      <c r="U162" s="194"/>
      <c r="V162" s="194"/>
      <c r="W162" s="194"/>
      <c r="X162" s="194"/>
      <c r="Y162" s="194"/>
      <c r="Z162" s="194"/>
    </row>
    <row r="163">
      <c r="A163" s="194"/>
      <c r="B163" s="194"/>
      <c r="C163" s="537"/>
      <c r="D163" s="537"/>
      <c r="E163" s="537"/>
      <c r="F163" s="537"/>
      <c r="G163" s="537"/>
      <c r="H163" s="537"/>
      <c r="I163" s="538"/>
      <c r="J163" s="537"/>
      <c r="K163" s="194"/>
      <c r="L163" s="194"/>
      <c r="M163" s="194"/>
      <c r="N163" s="194"/>
      <c r="O163" s="194"/>
      <c r="P163" s="194"/>
      <c r="Q163" s="194"/>
      <c r="R163" s="194"/>
      <c r="S163" s="194"/>
      <c r="T163" s="194"/>
      <c r="U163" s="194"/>
      <c r="V163" s="194"/>
      <c r="W163" s="194"/>
      <c r="X163" s="194"/>
      <c r="Y163" s="194"/>
      <c r="Z163" s="194"/>
    </row>
    <row r="164">
      <c r="A164" s="194"/>
      <c r="B164" s="194"/>
      <c r="C164" s="537"/>
      <c r="D164" s="537"/>
      <c r="E164" s="537"/>
      <c r="F164" s="537"/>
      <c r="G164" s="537"/>
      <c r="H164" s="537"/>
      <c r="I164" s="538"/>
      <c r="J164" s="537"/>
      <c r="K164" s="194"/>
      <c r="L164" s="194"/>
      <c r="M164" s="194"/>
      <c r="N164" s="194"/>
      <c r="O164" s="194"/>
      <c r="P164" s="194"/>
      <c r="Q164" s="194"/>
      <c r="R164" s="194"/>
      <c r="S164" s="194"/>
      <c r="T164" s="194"/>
      <c r="U164" s="194"/>
      <c r="V164" s="194"/>
      <c r="W164" s="194"/>
      <c r="X164" s="194"/>
      <c r="Y164" s="194"/>
      <c r="Z164" s="194"/>
    </row>
    <row r="165">
      <c r="A165" s="194"/>
      <c r="B165" s="194"/>
      <c r="C165" s="537"/>
      <c r="D165" s="537"/>
      <c r="E165" s="537"/>
      <c r="F165" s="537"/>
      <c r="G165" s="537"/>
      <c r="H165" s="537"/>
      <c r="I165" s="538"/>
      <c r="J165" s="537"/>
      <c r="K165" s="194"/>
      <c r="L165" s="194"/>
      <c r="M165" s="194"/>
      <c r="N165" s="194"/>
      <c r="O165" s="194"/>
      <c r="P165" s="194"/>
      <c r="Q165" s="194"/>
      <c r="R165" s="194"/>
      <c r="S165" s="194"/>
      <c r="T165" s="194"/>
      <c r="U165" s="194"/>
      <c r="V165" s="194"/>
      <c r="W165" s="194"/>
      <c r="X165" s="194"/>
      <c r="Y165" s="194"/>
      <c r="Z165" s="194"/>
    </row>
    <row r="166">
      <c r="A166" s="194"/>
      <c r="B166" s="194"/>
      <c r="C166" s="537"/>
      <c r="D166" s="537"/>
      <c r="E166" s="537"/>
      <c r="F166" s="537"/>
      <c r="G166" s="537"/>
      <c r="H166" s="537"/>
      <c r="I166" s="538"/>
      <c r="J166" s="537"/>
      <c r="K166" s="194"/>
      <c r="L166" s="194"/>
      <c r="M166" s="194"/>
      <c r="N166" s="194"/>
      <c r="O166" s="194"/>
      <c r="P166" s="194"/>
      <c r="Q166" s="194"/>
      <c r="R166" s="194"/>
      <c r="S166" s="194"/>
      <c r="T166" s="194"/>
      <c r="U166" s="194"/>
      <c r="V166" s="194"/>
      <c r="W166" s="194"/>
      <c r="X166" s="194"/>
      <c r="Y166" s="194"/>
      <c r="Z166" s="194"/>
    </row>
    <row r="167">
      <c r="A167" s="194"/>
      <c r="B167" s="194"/>
      <c r="C167" s="537"/>
      <c r="D167" s="537"/>
      <c r="E167" s="537"/>
      <c r="F167" s="537"/>
      <c r="G167" s="537"/>
      <c r="H167" s="537"/>
      <c r="I167" s="538"/>
      <c r="J167" s="537"/>
      <c r="K167" s="194"/>
      <c r="L167" s="194"/>
      <c r="M167" s="194"/>
      <c r="N167" s="194"/>
      <c r="O167" s="194"/>
      <c r="P167" s="194"/>
      <c r="Q167" s="194"/>
      <c r="R167" s="194"/>
      <c r="S167" s="194"/>
      <c r="T167" s="194"/>
      <c r="U167" s="194"/>
      <c r="V167" s="194"/>
      <c r="W167" s="194"/>
      <c r="X167" s="194"/>
      <c r="Y167" s="194"/>
      <c r="Z167" s="194"/>
    </row>
    <row r="168">
      <c r="A168" s="194"/>
      <c r="B168" s="194"/>
      <c r="C168" s="537"/>
      <c r="D168" s="537"/>
      <c r="E168" s="537"/>
      <c r="F168" s="537"/>
      <c r="G168" s="537"/>
      <c r="H168" s="537"/>
      <c r="I168" s="538"/>
      <c r="J168" s="537"/>
      <c r="K168" s="194"/>
      <c r="L168" s="194"/>
      <c r="M168" s="194"/>
      <c r="N168" s="194"/>
      <c r="O168" s="194"/>
      <c r="P168" s="194"/>
      <c r="Q168" s="194"/>
      <c r="R168" s="194"/>
      <c r="S168" s="194"/>
      <c r="T168" s="194"/>
      <c r="U168" s="194"/>
      <c r="V168" s="194"/>
      <c r="W168" s="194"/>
      <c r="X168" s="194"/>
      <c r="Y168" s="194"/>
      <c r="Z168" s="194"/>
    </row>
    <row r="169">
      <c r="A169" s="194"/>
      <c r="B169" s="194"/>
      <c r="C169" s="537"/>
      <c r="D169" s="537"/>
      <c r="E169" s="537"/>
      <c r="F169" s="537"/>
      <c r="G169" s="537"/>
      <c r="H169" s="537"/>
      <c r="I169" s="538"/>
      <c r="J169" s="537"/>
      <c r="K169" s="194"/>
      <c r="L169" s="194"/>
      <c r="M169" s="194"/>
      <c r="N169" s="194"/>
      <c r="O169" s="194"/>
      <c r="P169" s="194"/>
      <c r="Q169" s="194"/>
      <c r="R169" s="194"/>
      <c r="S169" s="194"/>
      <c r="T169" s="194"/>
      <c r="U169" s="194"/>
      <c r="V169" s="194"/>
      <c r="W169" s="194"/>
      <c r="X169" s="194"/>
      <c r="Y169" s="194"/>
      <c r="Z169" s="194"/>
    </row>
    <row r="170">
      <c r="A170" s="194"/>
      <c r="B170" s="194"/>
      <c r="C170" s="537"/>
      <c r="D170" s="537"/>
      <c r="E170" s="537"/>
      <c r="F170" s="537"/>
      <c r="G170" s="537"/>
      <c r="H170" s="537"/>
      <c r="I170" s="538"/>
      <c r="J170" s="537"/>
      <c r="K170" s="194"/>
      <c r="L170" s="194"/>
      <c r="M170" s="194"/>
      <c r="N170" s="194"/>
      <c r="O170" s="194"/>
      <c r="P170" s="194"/>
      <c r="Q170" s="194"/>
      <c r="R170" s="194"/>
      <c r="S170" s="194"/>
      <c r="T170" s="194"/>
      <c r="U170" s="194"/>
      <c r="V170" s="194"/>
      <c r="W170" s="194"/>
      <c r="X170" s="194"/>
      <c r="Y170" s="194"/>
      <c r="Z170" s="194"/>
    </row>
    <row r="171">
      <c r="A171" s="194"/>
      <c r="B171" s="194"/>
      <c r="C171" s="537"/>
      <c r="D171" s="537"/>
      <c r="E171" s="537"/>
      <c r="F171" s="537"/>
      <c r="G171" s="537"/>
      <c r="H171" s="537"/>
      <c r="I171" s="538"/>
      <c r="J171" s="537"/>
      <c r="K171" s="194"/>
      <c r="L171" s="194"/>
      <c r="M171" s="194"/>
      <c r="N171" s="194"/>
      <c r="O171" s="194"/>
      <c r="P171" s="194"/>
      <c r="Q171" s="194"/>
      <c r="R171" s="194"/>
      <c r="S171" s="194"/>
      <c r="T171" s="194"/>
      <c r="U171" s="194"/>
      <c r="V171" s="194"/>
      <c r="W171" s="194"/>
      <c r="X171" s="194"/>
      <c r="Y171" s="194"/>
      <c r="Z171" s="194"/>
    </row>
    <row r="172">
      <c r="A172" s="194"/>
      <c r="B172" s="194"/>
      <c r="C172" s="537"/>
      <c r="D172" s="537"/>
      <c r="E172" s="537"/>
      <c r="F172" s="537"/>
      <c r="G172" s="537"/>
      <c r="H172" s="537"/>
      <c r="I172" s="538"/>
      <c r="J172" s="537"/>
      <c r="K172" s="194"/>
      <c r="L172" s="194"/>
      <c r="M172" s="194"/>
      <c r="N172" s="194"/>
      <c r="O172" s="194"/>
      <c r="P172" s="194"/>
      <c r="Q172" s="194"/>
      <c r="R172" s="194"/>
      <c r="S172" s="194"/>
      <c r="T172" s="194"/>
      <c r="U172" s="194"/>
      <c r="V172" s="194"/>
      <c r="W172" s="194"/>
      <c r="X172" s="194"/>
      <c r="Y172" s="194"/>
      <c r="Z172" s="194"/>
    </row>
    <row r="173">
      <c r="A173" s="194"/>
      <c r="B173" s="194"/>
      <c r="C173" s="537"/>
      <c r="D173" s="537"/>
      <c r="E173" s="537"/>
      <c r="F173" s="537"/>
      <c r="G173" s="537"/>
      <c r="H173" s="537"/>
      <c r="I173" s="538"/>
      <c r="J173" s="537"/>
      <c r="K173" s="194"/>
      <c r="L173" s="194"/>
      <c r="M173" s="194"/>
      <c r="N173" s="194"/>
      <c r="O173" s="194"/>
      <c r="P173" s="194"/>
      <c r="Q173" s="194"/>
      <c r="R173" s="194"/>
      <c r="S173" s="194"/>
      <c r="T173" s="194"/>
      <c r="U173" s="194"/>
      <c r="V173" s="194"/>
      <c r="W173" s="194"/>
      <c r="X173" s="194"/>
      <c r="Y173" s="194"/>
      <c r="Z173" s="194"/>
    </row>
    <row r="174">
      <c r="A174" s="194"/>
      <c r="B174" s="194"/>
      <c r="C174" s="537"/>
      <c r="D174" s="537"/>
      <c r="E174" s="537"/>
      <c r="F174" s="537"/>
      <c r="G174" s="537"/>
      <c r="H174" s="537"/>
      <c r="I174" s="538"/>
      <c r="J174" s="537"/>
      <c r="K174" s="194"/>
      <c r="L174" s="194"/>
      <c r="M174" s="194"/>
      <c r="N174" s="194"/>
      <c r="O174" s="194"/>
      <c r="P174" s="194"/>
      <c r="Q174" s="194"/>
      <c r="R174" s="194"/>
      <c r="S174" s="194"/>
      <c r="T174" s="194"/>
      <c r="U174" s="194"/>
      <c r="V174" s="194"/>
      <c r="W174" s="194"/>
      <c r="X174" s="194"/>
      <c r="Y174" s="194"/>
      <c r="Z174" s="194"/>
    </row>
    <row r="175">
      <c r="A175" s="194"/>
      <c r="B175" s="194"/>
      <c r="C175" s="537"/>
      <c r="D175" s="537"/>
      <c r="E175" s="537"/>
      <c r="F175" s="537"/>
      <c r="G175" s="537"/>
      <c r="H175" s="537"/>
      <c r="I175" s="538"/>
      <c r="J175" s="537"/>
      <c r="K175" s="194"/>
      <c r="L175" s="194"/>
      <c r="M175" s="194"/>
      <c r="N175" s="194"/>
      <c r="O175" s="194"/>
      <c r="P175" s="194"/>
      <c r="Q175" s="194"/>
      <c r="R175" s="194"/>
      <c r="S175" s="194"/>
      <c r="T175" s="194"/>
      <c r="U175" s="194"/>
      <c r="V175" s="194"/>
      <c r="W175" s="194"/>
      <c r="X175" s="194"/>
      <c r="Y175" s="194"/>
      <c r="Z175" s="194"/>
    </row>
    <row r="176">
      <c r="A176" s="194"/>
      <c r="B176" s="194"/>
      <c r="C176" s="537"/>
      <c r="D176" s="537"/>
      <c r="E176" s="537"/>
      <c r="F176" s="537"/>
      <c r="G176" s="537"/>
      <c r="H176" s="537"/>
      <c r="I176" s="538"/>
      <c r="J176" s="537"/>
      <c r="K176" s="194"/>
      <c r="L176" s="194"/>
      <c r="M176" s="194"/>
      <c r="N176" s="194"/>
      <c r="O176" s="194"/>
      <c r="P176" s="194"/>
      <c r="Q176" s="194"/>
      <c r="R176" s="194"/>
      <c r="S176" s="194"/>
      <c r="T176" s="194"/>
      <c r="U176" s="194"/>
      <c r="V176" s="194"/>
      <c r="W176" s="194"/>
      <c r="X176" s="194"/>
      <c r="Y176" s="194"/>
      <c r="Z176" s="194"/>
    </row>
    <row r="177">
      <c r="A177" s="194"/>
      <c r="B177" s="194"/>
      <c r="C177" s="537"/>
      <c r="D177" s="537"/>
      <c r="E177" s="537"/>
      <c r="F177" s="537"/>
      <c r="G177" s="537"/>
      <c r="H177" s="537"/>
      <c r="I177" s="538"/>
      <c r="J177" s="537"/>
      <c r="K177" s="194"/>
      <c r="L177" s="194"/>
      <c r="M177" s="194"/>
      <c r="N177" s="194"/>
      <c r="O177" s="194"/>
      <c r="P177" s="194"/>
      <c r="Q177" s="194"/>
      <c r="R177" s="194"/>
      <c r="S177" s="194"/>
      <c r="T177" s="194"/>
      <c r="U177" s="194"/>
      <c r="V177" s="194"/>
      <c r="W177" s="194"/>
      <c r="X177" s="194"/>
      <c r="Y177" s="194"/>
      <c r="Z177" s="194"/>
    </row>
    <row r="178">
      <c r="A178" s="194"/>
      <c r="B178" s="194"/>
      <c r="C178" s="537"/>
      <c r="D178" s="537"/>
      <c r="E178" s="537"/>
      <c r="F178" s="537"/>
      <c r="G178" s="537"/>
      <c r="H178" s="537"/>
      <c r="I178" s="538"/>
      <c r="J178" s="537"/>
      <c r="K178" s="194"/>
      <c r="L178" s="194"/>
      <c r="M178" s="194"/>
      <c r="N178" s="194"/>
      <c r="O178" s="194"/>
      <c r="P178" s="194"/>
      <c r="Q178" s="194"/>
      <c r="R178" s="194"/>
      <c r="S178" s="194"/>
      <c r="T178" s="194"/>
      <c r="U178" s="194"/>
      <c r="V178" s="194"/>
      <c r="W178" s="194"/>
      <c r="X178" s="194"/>
      <c r="Y178" s="194"/>
      <c r="Z178" s="194"/>
    </row>
    <row r="179">
      <c r="A179" s="194"/>
      <c r="B179" s="194"/>
      <c r="C179" s="537"/>
      <c r="D179" s="537"/>
      <c r="E179" s="537"/>
      <c r="F179" s="537"/>
      <c r="G179" s="537"/>
      <c r="H179" s="537"/>
      <c r="I179" s="538"/>
      <c r="J179" s="537"/>
      <c r="K179" s="194"/>
      <c r="L179" s="194"/>
      <c r="M179" s="194"/>
      <c r="N179" s="194"/>
      <c r="O179" s="194"/>
      <c r="P179" s="194"/>
      <c r="Q179" s="194"/>
      <c r="R179" s="194"/>
      <c r="S179" s="194"/>
      <c r="T179" s="194"/>
      <c r="U179" s="194"/>
      <c r="V179" s="194"/>
      <c r="W179" s="194"/>
      <c r="X179" s="194"/>
      <c r="Y179" s="194"/>
      <c r="Z179" s="194"/>
    </row>
    <row r="180">
      <c r="A180" s="194"/>
      <c r="B180" s="194"/>
      <c r="C180" s="537"/>
      <c r="D180" s="537"/>
      <c r="E180" s="537"/>
      <c r="F180" s="537"/>
      <c r="G180" s="537"/>
      <c r="H180" s="537"/>
      <c r="I180" s="538"/>
      <c r="J180" s="537"/>
      <c r="K180" s="194"/>
      <c r="L180" s="194"/>
      <c r="M180" s="194"/>
      <c r="N180" s="194"/>
      <c r="O180" s="194"/>
      <c r="P180" s="194"/>
      <c r="Q180" s="194"/>
      <c r="R180" s="194"/>
      <c r="S180" s="194"/>
      <c r="T180" s="194"/>
      <c r="U180" s="194"/>
      <c r="V180" s="194"/>
      <c r="W180" s="194"/>
      <c r="X180" s="194"/>
      <c r="Y180" s="194"/>
      <c r="Z180" s="194"/>
    </row>
    <row r="181">
      <c r="A181" s="194"/>
      <c r="B181" s="194"/>
      <c r="C181" s="537"/>
      <c r="D181" s="537"/>
      <c r="E181" s="537"/>
      <c r="F181" s="537"/>
      <c r="G181" s="537"/>
      <c r="H181" s="537"/>
      <c r="I181" s="538"/>
      <c r="J181" s="537"/>
      <c r="K181" s="194"/>
      <c r="L181" s="194"/>
      <c r="M181" s="194"/>
      <c r="N181" s="194"/>
      <c r="O181" s="194"/>
      <c r="P181" s="194"/>
      <c r="Q181" s="194"/>
      <c r="R181" s="194"/>
      <c r="S181" s="194"/>
      <c r="T181" s="194"/>
      <c r="U181" s="194"/>
      <c r="V181" s="194"/>
      <c r="W181" s="194"/>
      <c r="X181" s="194"/>
      <c r="Y181" s="194"/>
      <c r="Z181" s="194"/>
    </row>
    <row r="182">
      <c r="A182" s="194"/>
      <c r="B182" s="194"/>
      <c r="C182" s="537"/>
      <c r="D182" s="537"/>
      <c r="E182" s="537"/>
      <c r="F182" s="537"/>
      <c r="G182" s="537"/>
      <c r="H182" s="537"/>
      <c r="I182" s="538"/>
      <c r="J182" s="537"/>
      <c r="K182" s="194"/>
      <c r="L182" s="194"/>
      <c r="M182" s="194"/>
      <c r="N182" s="194"/>
      <c r="O182" s="194"/>
      <c r="P182" s="194"/>
      <c r="Q182" s="194"/>
      <c r="R182" s="194"/>
      <c r="S182" s="194"/>
      <c r="T182" s="194"/>
      <c r="U182" s="194"/>
      <c r="V182" s="194"/>
      <c r="W182" s="194"/>
      <c r="X182" s="194"/>
      <c r="Y182" s="194"/>
      <c r="Z182" s="194"/>
    </row>
    <row r="183">
      <c r="A183" s="194"/>
      <c r="B183" s="194"/>
      <c r="C183" s="537"/>
      <c r="D183" s="537"/>
      <c r="E183" s="537"/>
      <c r="F183" s="537"/>
      <c r="G183" s="537"/>
      <c r="H183" s="537"/>
      <c r="I183" s="538"/>
      <c r="J183" s="537"/>
      <c r="K183" s="194"/>
      <c r="L183" s="194"/>
      <c r="M183" s="194"/>
      <c r="N183" s="194"/>
      <c r="O183" s="194"/>
      <c r="P183" s="194"/>
      <c r="Q183" s="194"/>
      <c r="R183" s="194"/>
      <c r="S183" s="194"/>
      <c r="T183" s="194"/>
      <c r="U183" s="194"/>
      <c r="V183" s="194"/>
      <c r="W183" s="194"/>
      <c r="X183" s="194"/>
      <c r="Y183" s="194"/>
      <c r="Z183" s="194"/>
    </row>
    <row r="184">
      <c r="A184" s="194"/>
      <c r="B184" s="194"/>
      <c r="C184" s="537"/>
      <c r="D184" s="537"/>
      <c r="E184" s="537"/>
      <c r="F184" s="537"/>
      <c r="G184" s="537"/>
      <c r="H184" s="537"/>
      <c r="I184" s="538"/>
      <c r="J184" s="537"/>
      <c r="K184" s="194"/>
      <c r="L184" s="194"/>
      <c r="M184" s="194"/>
      <c r="N184" s="194"/>
      <c r="O184" s="194"/>
      <c r="P184" s="194"/>
      <c r="Q184" s="194"/>
      <c r="R184" s="194"/>
      <c r="S184" s="194"/>
      <c r="T184" s="194"/>
      <c r="U184" s="194"/>
      <c r="V184" s="194"/>
      <c r="W184" s="194"/>
      <c r="X184" s="194"/>
      <c r="Y184" s="194"/>
      <c r="Z184" s="194"/>
    </row>
    <row r="185">
      <c r="A185" s="194"/>
      <c r="B185" s="194"/>
      <c r="C185" s="537"/>
      <c r="D185" s="537"/>
      <c r="E185" s="537"/>
      <c r="F185" s="537"/>
      <c r="G185" s="537"/>
      <c r="H185" s="537"/>
      <c r="I185" s="538"/>
      <c r="J185" s="537"/>
      <c r="K185" s="194"/>
      <c r="L185" s="194"/>
      <c r="M185" s="194"/>
      <c r="N185" s="194"/>
      <c r="O185" s="194"/>
      <c r="P185" s="194"/>
      <c r="Q185" s="194"/>
      <c r="R185" s="194"/>
      <c r="S185" s="194"/>
      <c r="T185" s="194"/>
      <c r="U185" s="194"/>
      <c r="V185" s="194"/>
      <c r="W185" s="194"/>
      <c r="X185" s="194"/>
      <c r="Y185" s="194"/>
      <c r="Z185" s="194"/>
    </row>
    <row r="186">
      <c r="A186" s="194"/>
      <c r="B186" s="194"/>
      <c r="C186" s="537"/>
      <c r="D186" s="537"/>
      <c r="E186" s="537"/>
      <c r="F186" s="537"/>
      <c r="G186" s="537"/>
      <c r="H186" s="537"/>
      <c r="I186" s="538"/>
      <c r="J186" s="537"/>
      <c r="K186" s="194"/>
      <c r="L186" s="194"/>
      <c r="M186" s="194"/>
      <c r="N186" s="194"/>
      <c r="O186" s="194"/>
      <c r="P186" s="194"/>
      <c r="Q186" s="194"/>
      <c r="R186" s="194"/>
      <c r="S186" s="194"/>
      <c r="T186" s="194"/>
      <c r="U186" s="194"/>
      <c r="V186" s="194"/>
      <c r="W186" s="194"/>
      <c r="X186" s="194"/>
      <c r="Y186" s="194"/>
      <c r="Z186" s="194"/>
    </row>
    <row r="187">
      <c r="A187" s="194"/>
      <c r="B187" s="194"/>
      <c r="C187" s="537"/>
      <c r="D187" s="537"/>
      <c r="E187" s="537"/>
      <c r="F187" s="537"/>
      <c r="G187" s="537"/>
      <c r="H187" s="537"/>
      <c r="I187" s="538"/>
      <c r="J187" s="537"/>
      <c r="K187" s="194"/>
      <c r="L187" s="194"/>
      <c r="M187" s="194"/>
      <c r="N187" s="194"/>
      <c r="O187" s="194"/>
      <c r="P187" s="194"/>
      <c r="Q187" s="194"/>
      <c r="R187" s="194"/>
      <c r="S187" s="194"/>
      <c r="T187" s="194"/>
      <c r="U187" s="194"/>
      <c r="V187" s="194"/>
      <c r="W187" s="194"/>
      <c r="X187" s="194"/>
      <c r="Y187" s="194"/>
      <c r="Z187" s="194"/>
    </row>
    <row r="188">
      <c r="A188" s="194"/>
      <c r="B188" s="194"/>
      <c r="C188" s="537"/>
      <c r="D188" s="537"/>
      <c r="E188" s="537"/>
      <c r="F188" s="537"/>
      <c r="G188" s="537"/>
      <c r="H188" s="537"/>
      <c r="I188" s="538"/>
      <c r="J188" s="537"/>
      <c r="K188" s="194"/>
      <c r="L188" s="194"/>
      <c r="M188" s="194"/>
      <c r="N188" s="194"/>
      <c r="O188" s="194"/>
      <c r="P188" s="194"/>
      <c r="Q188" s="194"/>
      <c r="R188" s="194"/>
      <c r="S188" s="194"/>
      <c r="T188" s="194"/>
      <c r="U188" s="194"/>
      <c r="V188" s="194"/>
      <c r="W188" s="194"/>
      <c r="X188" s="194"/>
      <c r="Y188" s="194"/>
      <c r="Z188" s="194"/>
    </row>
    <row r="189">
      <c r="A189" s="194"/>
      <c r="B189" s="194"/>
      <c r="C189" s="537"/>
      <c r="D189" s="537"/>
      <c r="E189" s="537"/>
      <c r="F189" s="537"/>
      <c r="G189" s="537"/>
      <c r="H189" s="537"/>
      <c r="I189" s="538"/>
      <c r="J189" s="537"/>
      <c r="K189" s="194"/>
      <c r="L189" s="194"/>
      <c r="M189" s="194"/>
      <c r="N189" s="194"/>
      <c r="O189" s="194"/>
      <c r="P189" s="194"/>
      <c r="Q189" s="194"/>
      <c r="R189" s="194"/>
      <c r="S189" s="194"/>
      <c r="T189" s="194"/>
      <c r="U189" s="194"/>
      <c r="V189" s="194"/>
      <c r="W189" s="194"/>
      <c r="X189" s="194"/>
      <c r="Y189" s="194"/>
      <c r="Z189" s="194"/>
    </row>
    <row r="190">
      <c r="A190" s="194"/>
      <c r="B190" s="194"/>
      <c r="C190" s="537"/>
      <c r="D190" s="537"/>
      <c r="E190" s="537"/>
      <c r="F190" s="537"/>
      <c r="G190" s="537"/>
      <c r="H190" s="537"/>
      <c r="I190" s="538"/>
      <c r="J190" s="537"/>
      <c r="K190" s="194"/>
      <c r="L190" s="194"/>
      <c r="M190" s="194"/>
      <c r="N190" s="194"/>
      <c r="O190" s="194"/>
      <c r="P190" s="194"/>
      <c r="Q190" s="194"/>
      <c r="R190" s="194"/>
      <c r="S190" s="194"/>
      <c r="T190" s="194"/>
      <c r="U190" s="194"/>
      <c r="V190" s="194"/>
      <c r="W190" s="194"/>
      <c r="X190" s="194"/>
      <c r="Y190" s="194"/>
      <c r="Z190" s="194"/>
    </row>
    <row r="191">
      <c r="A191" s="194"/>
      <c r="B191" s="194"/>
      <c r="C191" s="537"/>
      <c r="D191" s="537"/>
      <c r="E191" s="537"/>
      <c r="F191" s="537"/>
      <c r="G191" s="537"/>
      <c r="H191" s="537"/>
      <c r="I191" s="538"/>
      <c r="J191" s="537"/>
      <c r="K191" s="194"/>
      <c r="L191" s="194"/>
      <c r="M191" s="194"/>
      <c r="N191" s="194"/>
      <c r="O191" s="194"/>
      <c r="P191" s="194"/>
      <c r="Q191" s="194"/>
      <c r="R191" s="194"/>
      <c r="S191" s="194"/>
      <c r="T191" s="194"/>
      <c r="U191" s="194"/>
      <c r="V191" s="194"/>
      <c r="W191" s="194"/>
      <c r="X191" s="194"/>
      <c r="Y191" s="194"/>
      <c r="Z191" s="194"/>
    </row>
    <row r="192">
      <c r="A192" s="194"/>
      <c r="B192" s="194"/>
      <c r="C192" s="537"/>
      <c r="D192" s="537"/>
      <c r="E192" s="537"/>
      <c r="F192" s="537"/>
      <c r="G192" s="537"/>
      <c r="H192" s="537"/>
      <c r="I192" s="538"/>
      <c r="J192" s="537"/>
      <c r="K192" s="194"/>
      <c r="L192" s="194"/>
      <c r="M192" s="194"/>
      <c r="N192" s="194"/>
      <c r="O192" s="194"/>
      <c r="P192" s="194"/>
      <c r="Q192" s="194"/>
      <c r="R192" s="194"/>
      <c r="S192" s="194"/>
      <c r="T192" s="194"/>
      <c r="U192" s="194"/>
      <c r="V192" s="194"/>
      <c r="W192" s="194"/>
      <c r="X192" s="194"/>
      <c r="Y192" s="194"/>
      <c r="Z192" s="194"/>
    </row>
    <row r="193">
      <c r="A193" s="194"/>
      <c r="B193" s="194"/>
      <c r="C193" s="537"/>
      <c r="D193" s="537"/>
      <c r="E193" s="537"/>
      <c r="F193" s="537"/>
      <c r="G193" s="537"/>
      <c r="H193" s="537"/>
      <c r="I193" s="538"/>
      <c r="J193" s="537"/>
      <c r="K193" s="194"/>
      <c r="L193" s="194"/>
      <c r="M193" s="194"/>
      <c r="N193" s="194"/>
      <c r="O193" s="194"/>
      <c r="P193" s="194"/>
      <c r="Q193" s="194"/>
      <c r="R193" s="194"/>
      <c r="S193" s="194"/>
      <c r="T193" s="194"/>
      <c r="U193" s="194"/>
      <c r="V193" s="194"/>
      <c r="W193" s="194"/>
      <c r="X193" s="194"/>
      <c r="Y193" s="194"/>
      <c r="Z193" s="194"/>
    </row>
    <row r="194">
      <c r="A194" s="194"/>
      <c r="B194" s="194"/>
      <c r="C194" s="537"/>
      <c r="D194" s="537"/>
      <c r="E194" s="537"/>
      <c r="F194" s="537"/>
      <c r="G194" s="537"/>
      <c r="H194" s="537"/>
      <c r="I194" s="538"/>
      <c r="J194" s="537"/>
      <c r="K194" s="194"/>
      <c r="L194" s="194"/>
      <c r="M194" s="194"/>
      <c r="N194" s="194"/>
      <c r="O194" s="194"/>
      <c r="P194" s="194"/>
      <c r="Q194" s="194"/>
      <c r="R194" s="194"/>
      <c r="S194" s="194"/>
      <c r="T194" s="194"/>
      <c r="U194" s="194"/>
      <c r="V194" s="194"/>
      <c r="W194" s="194"/>
      <c r="X194" s="194"/>
      <c r="Y194" s="194"/>
      <c r="Z194" s="194"/>
    </row>
    <row r="195">
      <c r="A195" s="194"/>
      <c r="B195" s="194"/>
      <c r="C195" s="537"/>
      <c r="D195" s="537"/>
      <c r="E195" s="537"/>
      <c r="F195" s="537"/>
      <c r="G195" s="537"/>
      <c r="H195" s="537"/>
      <c r="I195" s="538"/>
      <c r="J195" s="537"/>
      <c r="K195" s="194"/>
      <c r="L195" s="194"/>
      <c r="M195" s="194"/>
      <c r="N195" s="194"/>
      <c r="O195" s="194"/>
      <c r="P195" s="194"/>
      <c r="Q195" s="194"/>
      <c r="R195" s="194"/>
      <c r="S195" s="194"/>
      <c r="T195" s="194"/>
      <c r="U195" s="194"/>
      <c r="V195" s="194"/>
      <c r="W195" s="194"/>
      <c r="X195" s="194"/>
      <c r="Y195" s="194"/>
      <c r="Z195" s="194"/>
    </row>
    <row r="196">
      <c r="A196" s="194"/>
      <c r="B196" s="194"/>
      <c r="C196" s="537"/>
      <c r="D196" s="537"/>
      <c r="E196" s="537"/>
      <c r="F196" s="537"/>
      <c r="G196" s="537"/>
      <c r="H196" s="537"/>
      <c r="I196" s="538"/>
      <c r="J196" s="537"/>
      <c r="K196" s="194"/>
      <c r="L196" s="194"/>
      <c r="M196" s="194"/>
      <c r="N196" s="194"/>
      <c r="O196" s="194"/>
      <c r="P196" s="194"/>
      <c r="Q196" s="194"/>
      <c r="R196" s="194"/>
      <c r="S196" s="194"/>
      <c r="T196" s="194"/>
      <c r="U196" s="194"/>
      <c r="V196" s="194"/>
      <c r="W196" s="194"/>
      <c r="X196" s="194"/>
      <c r="Y196" s="194"/>
      <c r="Z196" s="194"/>
    </row>
    <row r="197">
      <c r="A197" s="194"/>
      <c r="B197" s="194"/>
      <c r="C197" s="537"/>
      <c r="D197" s="537"/>
      <c r="E197" s="537"/>
      <c r="F197" s="537"/>
      <c r="G197" s="537"/>
      <c r="H197" s="537"/>
      <c r="I197" s="538"/>
      <c r="J197" s="537"/>
      <c r="K197" s="194"/>
      <c r="L197" s="194"/>
      <c r="M197" s="194"/>
      <c r="N197" s="194"/>
      <c r="O197" s="194"/>
      <c r="P197" s="194"/>
      <c r="Q197" s="194"/>
      <c r="R197" s="194"/>
      <c r="S197" s="194"/>
      <c r="T197" s="194"/>
      <c r="U197" s="194"/>
      <c r="V197" s="194"/>
      <c r="W197" s="194"/>
      <c r="X197" s="194"/>
      <c r="Y197" s="194"/>
      <c r="Z197" s="194"/>
    </row>
    <row r="198">
      <c r="A198" s="194"/>
      <c r="B198" s="194"/>
      <c r="C198" s="537"/>
      <c r="D198" s="537"/>
      <c r="E198" s="537"/>
      <c r="F198" s="537"/>
      <c r="G198" s="537"/>
      <c r="H198" s="537"/>
      <c r="I198" s="538"/>
      <c r="J198" s="537"/>
      <c r="K198" s="194"/>
      <c r="L198" s="194"/>
      <c r="M198" s="194"/>
      <c r="N198" s="194"/>
      <c r="O198" s="194"/>
      <c r="P198" s="194"/>
      <c r="Q198" s="194"/>
      <c r="R198" s="194"/>
      <c r="S198" s="194"/>
      <c r="T198" s="194"/>
      <c r="U198" s="194"/>
      <c r="V198" s="194"/>
      <c r="W198" s="194"/>
      <c r="X198" s="194"/>
      <c r="Y198" s="194"/>
      <c r="Z198" s="194"/>
    </row>
    <row r="199">
      <c r="A199" s="194"/>
      <c r="B199" s="194"/>
      <c r="C199" s="537"/>
      <c r="D199" s="537"/>
      <c r="E199" s="537"/>
      <c r="F199" s="537"/>
      <c r="G199" s="537"/>
      <c r="H199" s="537"/>
      <c r="I199" s="538"/>
      <c r="J199" s="537"/>
      <c r="K199" s="194"/>
      <c r="L199" s="194"/>
      <c r="M199" s="194"/>
      <c r="N199" s="194"/>
      <c r="O199" s="194"/>
      <c r="P199" s="194"/>
      <c r="Q199" s="194"/>
      <c r="R199" s="194"/>
      <c r="S199" s="194"/>
      <c r="T199" s="194"/>
      <c r="U199" s="194"/>
      <c r="V199" s="194"/>
      <c r="W199" s="194"/>
      <c r="X199" s="194"/>
      <c r="Y199" s="194"/>
      <c r="Z199" s="194"/>
    </row>
    <row r="200">
      <c r="A200" s="194"/>
      <c r="B200" s="194"/>
      <c r="C200" s="537"/>
      <c r="D200" s="537"/>
      <c r="E200" s="537"/>
      <c r="F200" s="537"/>
      <c r="G200" s="537"/>
      <c r="H200" s="537"/>
      <c r="I200" s="538"/>
      <c r="J200" s="537"/>
      <c r="K200" s="194"/>
      <c r="L200" s="194"/>
      <c r="M200" s="194"/>
      <c r="N200" s="194"/>
      <c r="O200" s="194"/>
      <c r="P200" s="194"/>
      <c r="Q200" s="194"/>
      <c r="R200" s="194"/>
      <c r="S200" s="194"/>
      <c r="T200" s="194"/>
      <c r="U200" s="194"/>
      <c r="V200" s="194"/>
      <c r="W200" s="194"/>
      <c r="X200" s="194"/>
      <c r="Y200" s="194"/>
      <c r="Z200" s="194"/>
    </row>
    <row r="201">
      <c r="A201" s="194"/>
      <c r="B201" s="194"/>
      <c r="C201" s="537"/>
      <c r="D201" s="537"/>
      <c r="E201" s="537"/>
      <c r="F201" s="537"/>
      <c r="G201" s="537"/>
      <c r="H201" s="537"/>
      <c r="I201" s="538"/>
      <c r="J201" s="537"/>
      <c r="K201" s="194"/>
      <c r="L201" s="194"/>
      <c r="M201" s="194"/>
      <c r="N201" s="194"/>
      <c r="O201" s="194"/>
      <c r="P201" s="194"/>
      <c r="Q201" s="194"/>
      <c r="R201" s="194"/>
      <c r="S201" s="194"/>
      <c r="T201" s="194"/>
      <c r="U201" s="194"/>
      <c r="V201" s="194"/>
      <c r="W201" s="194"/>
      <c r="X201" s="194"/>
      <c r="Y201" s="194"/>
      <c r="Z201" s="194"/>
    </row>
    <row r="202">
      <c r="A202" s="194"/>
      <c r="B202" s="194"/>
      <c r="C202" s="537"/>
      <c r="D202" s="537"/>
      <c r="E202" s="537"/>
      <c r="F202" s="537"/>
      <c r="G202" s="537"/>
      <c r="H202" s="537"/>
      <c r="I202" s="538"/>
      <c r="J202" s="537"/>
      <c r="K202" s="194"/>
      <c r="L202" s="194"/>
      <c r="M202" s="194"/>
      <c r="N202" s="194"/>
      <c r="O202" s="194"/>
      <c r="P202" s="194"/>
      <c r="Q202" s="194"/>
      <c r="R202" s="194"/>
      <c r="S202" s="194"/>
      <c r="T202" s="194"/>
      <c r="U202" s="194"/>
      <c r="V202" s="194"/>
      <c r="W202" s="194"/>
      <c r="X202" s="194"/>
      <c r="Y202" s="194"/>
      <c r="Z202" s="194"/>
    </row>
    <row r="203">
      <c r="A203" s="194"/>
      <c r="B203" s="194"/>
      <c r="C203" s="537"/>
      <c r="D203" s="537"/>
      <c r="E203" s="537"/>
      <c r="F203" s="537"/>
      <c r="G203" s="537"/>
      <c r="H203" s="537"/>
      <c r="I203" s="538"/>
      <c r="J203" s="537"/>
      <c r="K203" s="194"/>
      <c r="L203" s="194"/>
      <c r="M203" s="194"/>
      <c r="N203" s="194"/>
      <c r="O203" s="194"/>
      <c r="P203" s="194"/>
      <c r="Q203" s="194"/>
      <c r="R203" s="194"/>
      <c r="S203" s="194"/>
      <c r="T203" s="194"/>
      <c r="U203" s="194"/>
      <c r="V203" s="194"/>
      <c r="W203" s="194"/>
      <c r="X203" s="194"/>
      <c r="Y203" s="194"/>
      <c r="Z203" s="194"/>
    </row>
    <row r="204">
      <c r="A204" s="194"/>
      <c r="B204" s="194"/>
      <c r="C204" s="537"/>
      <c r="D204" s="537"/>
      <c r="E204" s="537"/>
      <c r="F204" s="537"/>
      <c r="G204" s="537"/>
      <c r="H204" s="537"/>
      <c r="I204" s="538"/>
      <c r="J204" s="537"/>
      <c r="K204" s="194"/>
      <c r="L204" s="194"/>
      <c r="M204" s="194"/>
      <c r="N204" s="194"/>
      <c r="O204" s="194"/>
      <c r="P204" s="194"/>
      <c r="Q204" s="194"/>
      <c r="R204" s="194"/>
      <c r="S204" s="194"/>
      <c r="T204" s="194"/>
      <c r="U204" s="194"/>
      <c r="V204" s="194"/>
      <c r="W204" s="194"/>
      <c r="X204" s="194"/>
      <c r="Y204" s="194"/>
      <c r="Z204" s="194"/>
    </row>
    <row r="205">
      <c r="A205" s="194"/>
      <c r="B205" s="194"/>
      <c r="C205" s="537"/>
      <c r="D205" s="537"/>
      <c r="E205" s="537"/>
      <c r="F205" s="537"/>
      <c r="G205" s="537"/>
      <c r="H205" s="537"/>
      <c r="I205" s="538"/>
      <c r="J205" s="537"/>
      <c r="K205" s="194"/>
      <c r="L205" s="194"/>
      <c r="M205" s="194"/>
      <c r="N205" s="194"/>
      <c r="O205" s="194"/>
      <c r="P205" s="194"/>
      <c r="Q205" s="194"/>
      <c r="R205" s="194"/>
      <c r="S205" s="194"/>
      <c r="T205" s="194"/>
      <c r="U205" s="194"/>
      <c r="V205" s="194"/>
      <c r="W205" s="194"/>
      <c r="X205" s="194"/>
      <c r="Y205" s="194"/>
      <c r="Z205" s="194"/>
    </row>
    <row r="206">
      <c r="A206" s="194"/>
      <c r="B206" s="194"/>
      <c r="C206" s="537"/>
      <c r="D206" s="537"/>
      <c r="E206" s="537"/>
      <c r="F206" s="537"/>
      <c r="G206" s="537"/>
      <c r="H206" s="537"/>
      <c r="I206" s="538"/>
      <c r="J206" s="537"/>
      <c r="K206" s="194"/>
      <c r="L206" s="194"/>
      <c r="M206" s="194"/>
      <c r="N206" s="194"/>
      <c r="O206" s="194"/>
      <c r="P206" s="194"/>
      <c r="Q206" s="194"/>
      <c r="R206" s="194"/>
      <c r="S206" s="194"/>
      <c r="T206" s="194"/>
      <c r="U206" s="194"/>
      <c r="V206" s="194"/>
      <c r="W206" s="194"/>
      <c r="X206" s="194"/>
      <c r="Y206" s="194"/>
      <c r="Z206" s="194"/>
    </row>
    <row r="207">
      <c r="A207" s="194"/>
      <c r="B207" s="194"/>
      <c r="C207" s="537"/>
      <c r="D207" s="537"/>
      <c r="E207" s="537"/>
      <c r="F207" s="537"/>
      <c r="G207" s="537"/>
      <c r="H207" s="537"/>
      <c r="I207" s="538"/>
      <c r="J207" s="537"/>
      <c r="K207" s="194"/>
      <c r="L207" s="194"/>
      <c r="M207" s="194"/>
      <c r="N207" s="194"/>
      <c r="O207" s="194"/>
      <c r="P207" s="194"/>
      <c r="Q207" s="194"/>
      <c r="R207" s="194"/>
      <c r="S207" s="194"/>
      <c r="T207" s="194"/>
      <c r="U207" s="194"/>
      <c r="V207" s="194"/>
      <c r="W207" s="194"/>
      <c r="X207" s="194"/>
      <c r="Y207" s="194"/>
      <c r="Z207" s="194"/>
    </row>
    <row r="208">
      <c r="A208" s="194"/>
      <c r="B208" s="194"/>
      <c r="C208" s="537"/>
      <c r="D208" s="537"/>
      <c r="E208" s="537"/>
      <c r="F208" s="537"/>
      <c r="G208" s="537"/>
      <c r="H208" s="537"/>
      <c r="I208" s="538"/>
      <c r="J208" s="537"/>
      <c r="K208" s="194"/>
      <c r="L208" s="194"/>
      <c r="M208" s="194"/>
      <c r="N208" s="194"/>
      <c r="O208" s="194"/>
      <c r="P208" s="194"/>
      <c r="Q208" s="194"/>
      <c r="R208" s="194"/>
      <c r="S208" s="194"/>
      <c r="T208" s="194"/>
      <c r="U208" s="194"/>
      <c r="V208" s="194"/>
      <c r="W208" s="194"/>
      <c r="X208" s="194"/>
      <c r="Y208" s="194"/>
      <c r="Z208" s="194"/>
    </row>
    <row r="209">
      <c r="A209" s="194"/>
      <c r="B209" s="194"/>
      <c r="C209" s="537"/>
      <c r="D209" s="537"/>
      <c r="E209" s="537"/>
      <c r="F209" s="537"/>
      <c r="G209" s="537"/>
      <c r="H209" s="537"/>
      <c r="I209" s="538"/>
      <c r="J209" s="537"/>
      <c r="K209" s="194"/>
      <c r="L209" s="194"/>
      <c r="M209" s="194"/>
      <c r="N209" s="194"/>
      <c r="O209" s="194"/>
      <c r="P209" s="194"/>
      <c r="Q209" s="194"/>
      <c r="R209" s="194"/>
      <c r="S209" s="194"/>
      <c r="T209" s="194"/>
      <c r="U209" s="194"/>
      <c r="V209" s="194"/>
      <c r="W209" s="194"/>
      <c r="X209" s="194"/>
      <c r="Y209" s="194"/>
      <c r="Z209" s="194"/>
    </row>
    <row r="210">
      <c r="A210" s="194"/>
      <c r="B210" s="194"/>
      <c r="C210" s="537"/>
      <c r="D210" s="537"/>
      <c r="E210" s="537"/>
      <c r="F210" s="537"/>
      <c r="G210" s="537"/>
      <c r="H210" s="537"/>
      <c r="I210" s="538"/>
      <c r="J210" s="537"/>
      <c r="K210" s="194"/>
      <c r="L210" s="194"/>
      <c r="M210" s="194"/>
      <c r="N210" s="194"/>
      <c r="O210" s="194"/>
      <c r="P210" s="194"/>
      <c r="Q210" s="194"/>
      <c r="R210" s="194"/>
      <c r="S210" s="194"/>
      <c r="T210" s="194"/>
      <c r="U210" s="194"/>
      <c r="V210" s="194"/>
      <c r="W210" s="194"/>
      <c r="X210" s="194"/>
      <c r="Y210" s="194"/>
      <c r="Z210" s="194"/>
    </row>
    <row r="211">
      <c r="A211" s="194"/>
      <c r="B211" s="194"/>
      <c r="C211" s="537"/>
      <c r="D211" s="537"/>
      <c r="E211" s="537"/>
      <c r="F211" s="537"/>
      <c r="G211" s="537"/>
      <c r="H211" s="537"/>
      <c r="I211" s="538"/>
      <c r="J211" s="537"/>
      <c r="K211" s="194"/>
      <c r="L211" s="194"/>
      <c r="M211" s="194"/>
      <c r="N211" s="194"/>
      <c r="O211" s="194"/>
      <c r="P211" s="194"/>
      <c r="Q211" s="194"/>
      <c r="R211" s="194"/>
      <c r="S211" s="194"/>
      <c r="T211" s="194"/>
      <c r="U211" s="194"/>
      <c r="V211" s="194"/>
      <c r="W211" s="194"/>
      <c r="X211" s="194"/>
      <c r="Y211" s="194"/>
      <c r="Z211" s="194"/>
    </row>
    <row r="212">
      <c r="A212" s="194"/>
      <c r="B212" s="194"/>
      <c r="C212" s="537"/>
      <c r="D212" s="537"/>
      <c r="E212" s="537"/>
      <c r="F212" s="537"/>
      <c r="G212" s="537"/>
      <c r="H212" s="537"/>
      <c r="I212" s="538"/>
      <c r="J212" s="537"/>
      <c r="K212" s="194"/>
      <c r="L212" s="194"/>
      <c r="M212" s="194"/>
      <c r="N212" s="194"/>
      <c r="O212" s="194"/>
      <c r="P212" s="194"/>
      <c r="Q212" s="194"/>
      <c r="R212" s="194"/>
      <c r="S212" s="194"/>
      <c r="T212" s="194"/>
      <c r="U212" s="194"/>
      <c r="V212" s="194"/>
      <c r="W212" s="194"/>
      <c r="X212" s="194"/>
      <c r="Y212" s="194"/>
      <c r="Z212" s="194"/>
    </row>
    <row r="213">
      <c r="A213" s="194"/>
      <c r="B213" s="194"/>
      <c r="C213" s="537"/>
      <c r="D213" s="537"/>
      <c r="E213" s="537"/>
      <c r="F213" s="537"/>
      <c r="G213" s="537"/>
      <c r="H213" s="537"/>
      <c r="I213" s="538"/>
      <c r="J213" s="537"/>
      <c r="K213" s="194"/>
      <c r="L213" s="194"/>
      <c r="M213" s="194"/>
      <c r="N213" s="194"/>
      <c r="O213" s="194"/>
      <c r="P213" s="194"/>
      <c r="Q213" s="194"/>
      <c r="R213" s="194"/>
      <c r="S213" s="194"/>
      <c r="T213" s="194"/>
      <c r="U213" s="194"/>
      <c r="V213" s="194"/>
      <c r="W213" s="194"/>
      <c r="X213" s="194"/>
      <c r="Y213" s="194"/>
      <c r="Z213" s="194"/>
    </row>
    <row r="214">
      <c r="A214" s="194"/>
      <c r="B214" s="194"/>
      <c r="C214" s="537"/>
      <c r="D214" s="537"/>
      <c r="E214" s="537"/>
      <c r="F214" s="537"/>
      <c r="G214" s="537"/>
      <c r="H214" s="537"/>
      <c r="I214" s="538"/>
      <c r="J214" s="537"/>
      <c r="K214" s="194"/>
      <c r="L214" s="194"/>
      <c r="M214" s="194"/>
      <c r="N214" s="194"/>
      <c r="O214" s="194"/>
      <c r="P214" s="194"/>
      <c r="Q214" s="194"/>
      <c r="R214" s="194"/>
      <c r="S214" s="194"/>
      <c r="T214" s="194"/>
      <c r="U214" s="194"/>
      <c r="V214" s="194"/>
      <c r="W214" s="194"/>
      <c r="X214" s="194"/>
      <c r="Y214" s="194"/>
      <c r="Z214" s="194"/>
    </row>
    <row r="215">
      <c r="A215" s="194"/>
      <c r="B215" s="194"/>
      <c r="C215" s="537"/>
      <c r="D215" s="537"/>
      <c r="E215" s="537"/>
      <c r="F215" s="537"/>
      <c r="G215" s="537"/>
      <c r="H215" s="537"/>
      <c r="I215" s="538"/>
      <c r="J215" s="537"/>
      <c r="K215" s="194"/>
      <c r="L215" s="194"/>
      <c r="M215" s="194"/>
      <c r="N215" s="194"/>
      <c r="O215" s="194"/>
      <c r="P215" s="194"/>
      <c r="Q215" s="194"/>
      <c r="R215" s="194"/>
      <c r="S215" s="194"/>
      <c r="T215" s="194"/>
      <c r="U215" s="194"/>
      <c r="V215" s="194"/>
      <c r="W215" s="194"/>
      <c r="X215" s="194"/>
      <c r="Y215" s="194"/>
      <c r="Z215" s="194"/>
    </row>
    <row r="216">
      <c r="A216" s="194"/>
      <c r="B216" s="194"/>
      <c r="C216" s="537"/>
      <c r="D216" s="537"/>
      <c r="E216" s="537"/>
      <c r="F216" s="537"/>
      <c r="G216" s="537"/>
      <c r="H216" s="537"/>
      <c r="I216" s="538"/>
      <c r="J216" s="537"/>
      <c r="K216" s="194"/>
      <c r="L216" s="194"/>
      <c r="M216" s="194"/>
      <c r="N216" s="194"/>
      <c r="O216" s="194"/>
      <c r="P216" s="194"/>
      <c r="Q216" s="194"/>
      <c r="R216" s="194"/>
      <c r="S216" s="194"/>
      <c r="T216" s="194"/>
      <c r="U216" s="194"/>
      <c r="V216" s="194"/>
      <c r="W216" s="194"/>
      <c r="X216" s="194"/>
      <c r="Y216" s="194"/>
      <c r="Z216" s="194"/>
    </row>
    <row r="217">
      <c r="A217" s="194"/>
      <c r="B217" s="194"/>
      <c r="C217" s="537"/>
      <c r="D217" s="537"/>
      <c r="E217" s="537"/>
      <c r="F217" s="537"/>
      <c r="G217" s="537"/>
      <c r="H217" s="537"/>
      <c r="I217" s="538"/>
      <c r="J217" s="537"/>
      <c r="K217" s="194"/>
      <c r="L217" s="194"/>
      <c r="M217" s="194"/>
      <c r="N217" s="194"/>
      <c r="O217" s="194"/>
      <c r="P217" s="194"/>
      <c r="Q217" s="194"/>
      <c r="R217" s="194"/>
      <c r="S217" s="194"/>
      <c r="T217" s="194"/>
      <c r="U217" s="194"/>
      <c r="V217" s="194"/>
      <c r="W217" s="194"/>
      <c r="X217" s="194"/>
      <c r="Y217" s="194"/>
      <c r="Z217" s="194"/>
    </row>
    <row r="218">
      <c r="A218" s="194"/>
      <c r="B218" s="194"/>
      <c r="C218" s="537"/>
      <c r="D218" s="537"/>
      <c r="E218" s="537"/>
      <c r="F218" s="537"/>
      <c r="G218" s="537"/>
      <c r="H218" s="537"/>
      <c r="I218" s="538"/>
      <c r="J218" s="537"/>
      <c r="K218" s="194"/>
      <c r="L218" s="194"/>
      <c r="M218" s="194"/>
      <c r="N218" s="194"/>
      <c r="O218" s="194"/>
      <c r="P218" s="194"/>
      <c r="Q218" s="194"/>
      <c r="R218" s="194"/>
      <c r="S218" s="194"/>
      <c r="T218" s="194"/>
      <c r="U218" s="194"/>
      <c r="V218" s="194"/>
      <c r="W218" s="194"/>
      <c r="X218" s="194"/>
      <c r="Y218" s="194"/>
      <c r="Z218" s="194"/>
    </row>
    <row r="219">
      <c r="A219" s="194"/>
      <c r="B219" s="194"/>
      <c r="C219" s="537"/>
      <c r="D219" s="537"/>
      <c r="E219" s="537"/>
      <c r="F219" s="537"/>
      <c r="G219" s="537"/>
      <c r="H219" s="537"/>
      <c r="I219" s="538"/>
      <c r="J219" s="537"/>
      <c r="K219" s="194"/>
      <c r="L219" s="194"/>
      <c r="M219" s="194"/>
      <c r="N219" s="194"/>
      <c r="O219" s="194"/>
      <c r="P219" s="194"/>
      <c r="Q219" s="194"/>
      <c r="R219" s="194"/>
      <c r="S219" s="194"/>
      <c r="T219" s="194"/>
      <c r="U219" s="194"/>
      <c r="V219" s="194"/>
      <c r="W219" s="194"/>
      <c r="X219" s="194"/>
      <c r="Y219" s="194"/>
      <c r="Z219" s="194"/>
    </row>
    <row r="220">
      <c r="A220" s="194"/>
      <c r="B220" s="194"/>
      <c r="C220" s="537"/>
      <c r="D220" s="537"/>
      <c r="E220" s="537"/>
      <c r="F220" s="537"/>
      <c r="G220" s="537"/>
      <c r="H220" s="537"/>
      <c r="I220" s="538"/>
      <c r="J220" s="537"/>
      <c r="K220" s="194"/>
      <c r="L220" s="194"/>
      <c r="M220" s="194"/>
      <c r="N220" s="194"/>
      <c r="O220" s="194"/>
      <c r="P220" s="194"/>
      <c r="Q220" s="194"/>
      <c r="R220" s="194"/>
      <c r="S220" s="194"/>
      <c r="T220" s="194"/>
      <c r="U220" s="194"/>
      <c r="V220" s="194"/>
      <c r="W220" s="194"/>
      <c r="X220" s="194"/>
      <c r="Y220" s="194"/>
      <c r="Z220" s="194"/>
    </row>
    <row r="221">
      <c r="A221" s="194"/>
      <c r="B221" s="194"/>
      <c r="C221" s="537"/>
      <c r="D221" s="537"/>
      <c r="E221" s="537"/>
      <c r="F221" s="537"/>
      <c r="G221" s="537"/>
      <c r="H221" s="537"/>
      <c r="I221" s="538"/>
      <c r="J221" s="537"/>
      <c r="K221" s="194"/>
      <c r="L221" s="194"/>
      <c r="M221" s="194"/>
      <c r="N221" s="194"/>
      <c r="O221" s="194"/>
      <c r="P221" s="194"/>
      <c r="Q221" s="194"/>
      <c r="R221" s="194"/>
      <c r="S221" s="194"/>
      <c r="T221" s="194"/>
      <c r="U221" s="194"/>
      <c r="V221" s="194"/>
      <c r="W221" s="194"/>
      <c r="X221" s="194"/>
      <c r="Y221" s="194"/>
      <c r="Z221" s="194"/>
    </row>
    <row r="222">
      <c r="A222" s="194"/>
      <c r="B222" s="194"/>
      <c r="C222" s="537"/>
      <c r="D222" s="537"/>
      <c r="E222" s="537"/>
      <c r="F222" s="537"/>
      <c r="G222" s="537"/>
      <c r="H222" s="537"/>
      <c r="I222" s="538"/>
      <c r="J222" s="537"/>
      <c r="K222" s="194"/>
      <c r="L222" s="194"/>
      <c r="M222" s="194"/>
      <c r="N222" s="194"/>
      <c r="O222" s="194"/>
      <c r="P222" s="194"/>
      <c r="Q222" s="194"/>
      <c r="R222" s="194"/>
      <c r="S222" s="194"/>
      <c r="T222" s="194"/>
      <c r="U222" s="194"/>
      <c r="V222" s="194"/>
      <c r="W222" s="194"/>
      <c r="X222" s="194"/>
      <c r="Y222" s="194"/>
      <c r="Z222" s="194"/>
    </row>
    <row r="223">
      <c r="A223" s="194"/>
      <c r="B223" s="194"/>
      <c r="C223" s="537"/>
      <c r="D223" s="537"/>
      <c r="E223" s="537"/>
      <c r="F223" s="537"/>
      <c r="G223" s="537"/>
      <c r="H223" s="537"/>
      <c r="I223" s="538"/>
      <c r="J223" s="537"/>
      <c r="K223" s="194"/>
      <c r="L223" s="194"/>
      <c r="M223" s="194"/>
      <c r="N223" s="194"/>
      <c r="O223" s="194"/>
      <c r="P223" s="194"/>
      <c r="Q223" s="194"/>
      <c r="R223" s="194"/>
      <c r="S223" s="194"/>
      <c r="T223" s="194"/>
      <c r="U223" s="194"/>
      <c r="V223" s="194"/>
      <c r="W223" s="194"/>
      <c r="X223" s="194"/>
      <c r="Y223" s="194"/>
      <c r="Z223" s="194"/>
    </row>
    <row r="224">
      <c r="A224" s="194"/>
      <c r="B224" s="194"/>
      <c r="C224" s="537"/>
      <c r="D224" s="537"/>
      <c r="E224" s="537"/>
      <c r="F224" s="537"/>
      <c r="G224" s="537"/>
      <c r="H224" s="537"/>
      <c r="I224" s="538"/>
      <c r="J224" s="537"/>
      <c r="K224" s="194"/>
      <c r="L224" s="194"/>
      <c r="M224" s="194"/>
      <c r="N224" s="194"/>
      <c r="O224" s="194"/>
      <c r="P224" s="194"/>
      <c r="Q224" s="194"/>
      <c r="R224" s="194"/>
      <c r="S224" s="194"/>
      <c r="T224" s="194"/>
      <c r="U224" s="194"/>
      <c r="V224" s="194"/>
      <c r="W224" s="194"/>
      <c r="X224" s="194"/>
      <c r="Y224" s="194"/>
      <c r="Z224" s="194"/>
    </row>
    <row r="225">
      <c r="A225" s="194"/>
      <c r="B225" s="194"/>
      <c r="C225" s="537"/>
      <c r="D225" s="537"/>
      <c r="E225" s="537"/>
      <c r="F225" s="537"/>
      <c r="G225" s="537"/>
      <c r="H225" s="537"/>
      <c r="I225" s="538"/>
      <c r="J225" s="537"/>
      <c r="K225" s="194"/>
      <c r="L225" s="194"/>
      <c r="M225" s="194"/>
      <c r="N225" s="194"/>
      <c r="O225" s="194"/>
      <c r="P225" s="194"/>
      <c r="Q225" s="194"/>
      <c r="R225" s="194"/>
      <c r="S225" s="194"/>
      <c r="T225" s="194"/>
      <c r="U225" s="194"/>
      <c r="V225" s="194"/>
      <c r="W225" s="194"/>
      <c r="X225" s="194"/>
      <c r="Y225" s="194"/>
      <c r="Z225" s="194"/>
    </row>
    <row r="226">
      <c r="A226" s="194"/>
      <c r="B226" s="194"/>
      <c r="C226" s="537"/>
      <c r="D226" s="537"/>
      <c r="E226" s="537"/>
      <c r="F226" s="537"/>
      <c r="G226" s="537"/>
      <c r="H226" s="537"/>
      <c r="I226" s="538"/>
      <c r="J226" s="537"/>
      <c r="K226" s="194"/>
      <c r="L226" s="194"/>
      <c r="M226" s="194"/>
      <c r="N226" s="194"/>
      <c r="O226" s="194"/>
      <c r="P226" s="194"/>
      <c r="Q226" s="194"/>
      <c r="R226" s="194"/>
      <c r="S226" s="194"/>
      <c r="T226" s="194"/>
      <c r="U226" s="194"/>
      <c r="V226" s="194"/>
      <c r="W226" s="194"/>
      <c r="X226" s="194"/>
      <c r="Y226" s="194"/>
      <c r="Z226" s="194"/>
    </row>
    <row r="227">
      <c r="A227" s="194"/>
      <c r="B227" s="194"/>
      <c r="C227" s="537"/>
      <c r="D227" s="537"/>
      <c r="E227" s="537"/>
      <c r="F227" s="537"/>
      <c r="G227" s="537"/>
      <c r="H227" s="537"/>
      <c r="I227" s="538"/>
      <c r="J227" s="537"/>
      <c r="K227" s="194"/>
      <c r="L227" s="194"/>
      <c r="M227" s="194"/>
      <c r="N227" s="194"/>
      <c r="O227" s="194"/>
      <c r="P227" s="194"/>
      <c r="Q227" s="194"/>
      <c r="R227" s="194"/>
      <c r="S227" s="194"/>
      <c r="T227" s="194"/>
      <c r="U227" s="194"/>
      <c r="V227" s="194"/>
      <c r="W227" s="194"/>
      <c r="X227" s="194"/>
      <c r="Y227" s="194"/>
      <c r="Z227" s="194"/>
    </row>
    <row r="228">
      <c r="A228" s="194"/>
      <c r="B228" s="194"/>
      <c r="C228" s="537"/>
      <c r="D228" s="537"/>
      <c r="E228" s="537"/>
      <c r="F228" s="537"/>
      <c r="G228" s="537"/>
      <c r="H228" s="537"/>
      <c r="I228" s="538"/>
      <c r="J228" s="537"/>
      <c r="K228" s="194"/>
      <c r="L228" s="194"/>
      <c r="M228" s="194"/>
      <c r="N228" s="194"/>
      <c r="O228" s="194"/>
      <c r="P228" s="194"/>
      <c r="Q228" s="194"/>
      <c r="R228" s="194"/>
      <c r="S228" s="194"/>
      <c r="T228" s="194"/>
      <c r="U228" s="194"/>
      <c r="V228" s="194"/>
      <c r="W228" s="194"/>
      <c r="X228" s="194"/>
      <c r="Y228" s="194"/>
      <c r="Z228" s="194"/>
    </row>
    <row r="229">
      <c r="A229" s="194"/>
      <c r="B229" s="194"/>
      <c r="C229" s="537"/>
      <c r="D229" s="537"/>
      <c r="E229" s="537"/>
      <c r="F229" s="537"/>
      <c r="G229" s="537"/>
      <c r="H229" s="537"/>
      <c r="I229" s="538"/>
      <c r="J229" s="537"/>
      <c r="K229" s="194"/>
      <c r="L229" s="194"/>
      <c r="M229" s="194"/>
      <c r="N229" s="194"/>
      <c r="O229" s="194"/>
      <c r="P229" s="194"/>
      <c r="Q229" s="194"/>
      <c r="R229" s="194"/>
      <c r="S229" s="194"/>
      <c r="T229" s="194"/>
      <c r="U229" s="194"/>
      <c r="V229" s="194"/>
      <c r="W229" s="194"/>
      <c r="X229" s="194"/>
      <c r="Y229" s="194"/>
      <c r="Z229" s="194"/>
    </row>
    <row r="230">
      <c r="A230" s="194"/>
      <c r="B230" s="194"/>
      <c r="C230" s="537"/>
      <c r="D230" s="537"/>
      <c r="E230" s="537"/>
      <c r="F230" s="537"/>
      <c r="G230" s="537"/>
      <c r="H230" s="537"/>
      <c r="I230" s="538"/>
      <c r="J230" s="537"/>
      <c r="K230" s="194"/>
      <c r="L230" s="194"/>
      <c r="M230" s="194"/>
      <c r="N230" s="194"/>
      <c r="O230" s="194"/>
      <c r="P230" s="194"/>
      <c r="Q230" s="194"/>
      <c r="R230" s="194"/>
      <c r="S230" s="194"/>
      <c r="T230" s="194"/>
      <c r="U230" s="194"/>
      <c r="V230" s="194"/>
      <c r="W230" s="194"/>
      <c r="X230" s="194"/>
      <c r="Y230" s="194"/>
      <c r="Z230" s="194"/>
    </row>
    <row r="231">
      <c r="A231" s="194"/>
      <c r="B231" s="194"/>
      <c r="C231" s="537"/>
      <c r="D231" s="537"/>
      <c r="E231" s="537"/>
      <c r="F231" s="537"/>
      <c r="G231" s="537"/>
      <c r="H231" s="537"/>
      <c r="I231" s="538"/>
      <c r="J231" s="537"/>
      <c r="K231" s="194"/>
      <c r="L231" s="194"/>
      <c r="M231" s="194"/>
      <c r="N231" s="194"/>
      <c r="O231" s="194"/>
      <c r="P231" s="194"/>
      <c r="Q231" s="194"/>
      <c r="R231" s="194"/>
      <c r="S231" s="194"/>
      <c r="T231" s="194"/>
      <c r="U231" s="194"/>
      <c r="V231" s="194"/>
      <c r="W231" s="194"/>
      <c r="X231" s="194"/>
      <c r="Y231" s="194"/>
      <c r="Z231" s="194"/>
    </row>
    <row r="232">
      <c r="A232" s="194"/>
      <c r="B232" s="194"/>
      <c r="C232" s="537"/>
      <c r="D232" s="537"/>
      <c r="E232" s="537"/>
      <c r="F232" s="537"/>
      <c r="G232" s="537"/>
      <c r="H232" s="537"/>
      <c r="I232" s="538"/>
      <c r="J232" s="537"/>
      <c r="K232" s="194"/>
      <c r="L232" s="194"/>
      <c r="M232" s="194"/>
      <c r="N232" s="194"/>
      <c r="O232" s="194"/>
      <c r="P232" s="194"/>
      <c r="Q232" s="194"/>
      <c r="R232" s="194"/>
      <c r="S232" s="194"/>
      <c r="T232" s="194"/>
      <c r="U232" s="194"/>
      <c r="V232" s="194"/>
      <c r="W232" s="194"/>
      <c r="X232" s="194"/>
      <c r="Y232" s="194"/>
      <c r="Z232" s="194"/>
    </row>
    <row r="233">
      <c r="A233" s="194"/>
      <c r="B233" s="194"/>
      <c r="C233" s="537"/>
      <c r="D233" s="537"/>
      <c r="E233" s="537"/>
      <c r="F233" s="537"/>
      <c r="G233" s="537"/>
      <c r="H233" s="537"/>
      <c r="I233" s="538"/>
      <c r="J233" s="537"/>
      <c r="K233" s="194"/>
      <c r="L233" s="194"/>
      <c r="M233" s="194"/>
      <c r="N233" s="194"/>
      <c r="O233" s="194"/>
      <c r="P233" s="194"/>
      <c r="Q233" s="194"/>
      <c r="R233" s="194"/>
      <c r="S233" s="194"/>
      <c r="T233" s="194"/>
      <c r="U233" s="194"/>
      <c r="V233" s="194"/>
      <c r="W233" s="194"/>
      <c r="X233" s="194"/>
      <c r="Y233" s="194"/>
      <c r="Z233" s="194"/>
    </row>
    <row r="234">
      <c r="A234" s="194"/>
      <c r="B234" s="194"/>
      <c r="C234" s="537"/>
      <c r="D234" s="537"/>
      <c r="E234" s="537"/>
      <c r="F234" s="537"/>
      <c r="G234" s="537"/>
      <c r="H234" s="537"/>
      <c r="I234" s="538"/>
      <c r="J234" s="537"/>
      <c r="K234" s="194"/>
      <c r="L234" s="194"/>
      <c r="M234" s="194"/>
      <c r="N234" s="194"/>
      <c r="O234" s="194"/>
      <c r="P234" s="194"/>
      <c r="Q234" s="194"/>
      <c r="R234" s="194"/>
      <c r="S234" s="194"/>
      <c r="T234" s="194"/>
      <c r="U234" s="194"/>
      <c r="V234" s="194"/>
      <c r="W234" s="194"/>
      <c r="X234" s="194"/>
      <c r="Y234" s="194"/>
      <c r="Z234" s="194"/>
    </row>
    <row r="235">
      <c r="A235" s="194"/>
      <c r="B235" s="194"/>
      <c r="C235" s="537"/>
      <c r="D235" s="537"/>
      <c r="E235" s="537"/>
      <c r="F235" s="537"/>
      <c r="G235" s="537"/>
      <c r="H235" s="537"/>
      <c r="I235" s="538"/>
      <c r="J235" s="537"/>
      <c r="K235" s="194"/>
      <c r="L235" s="194"/>
      <c r="M235" s="194"/>
      <c r="N235" s="194"/>
      <c r="O235" s="194"/>
      <c r="P235" s="194"/>
      <c r="Q235" s="194"/>
      <c r="R235" s="194"/>
      <c r="S235" s="194"/>
      <c r="T235" s="194"/>
      <c r="U235" s="194"/>
      <c r="V235" s="194"/>
      <c r="W235" s="194"/>
      <c r="X235" s="194"/>
      <c r="Y235" s="194"/>
      <c r="Z235" s="194"/>
    </row>
    <row r="236">
      <c r="A236" s="194"/>
      <c r="B236" s="194"/>
      <c r="C236" s="537"/>
      <c r="D236" s="537"/>
      <c r="E236" s="537"/>
      <c r="F236" s="537"/>
      <c r="G236" s="537"/>
      <c r="H236" s="537"/>
      <c r="I236" s="538"/>
      <c r="J236" s="537"/>
      <c r="K236" s="194"/>
      <c r="L236" s="194"/>
      <c r="M236" s="194"/>
      <c r="N236" s="194"/>
      <c r="O236" s="194"/>
      <c r="P236" s="194"/>
      <c r="Q236" s="194"/>
      <c r="R236" s="194"/>
      <c r="S236" s="194"/>
      <c r="T236" s="194"/>
      <c r="U236" s="194"/>
      <c r="V236" s="194"/>
      <c r="W236" s="194"/>
      <c r="X236" s="194"/>
      <c r="Y236" s="194"/>
      <c r="Z236" s="194"/>
    </row>
    <row r="237">
      <c r="A237" s="194"/>
      <c r="B237" s="194"/>
      <c r="C237" s="537"/>
      <c r="D237" s="537"/>
      <c r="E237" s="537"/>
      <c r="F237" s="537"/>
      <c r="G237" s="537"/>
      <c r="H237" s="537"/>
      <c r="I237" s="538"/>
      <c r="J237" s="537"/>
      <c r="K237" s="194"/>
      <c r="L237" s="194"/>
      <c r="M237" s="194"/>
      <c r="N237" s="194"/>
      <c r="O237" s="194"/>
      <c r="P237" s="194"/>
      <c r="Q237" s="194"/>
      <c r="R237" s="194"/>
      <c r="S237" s="194"/>
      <c r="T237" s="194"/>
      <c r="U237" s="194"/>
      <c r="V237" s="194"/>
      <c r="W237" s="194"/>
      <c r="X237" s="194"/>
      <c r="Y237" s="194"/>
      <c r="Z237" s="194"/>
    </row>
    <row r="238">
      <c r="A238" s="194"/>
      <c r="B238" s="194"/>
      <c r="C238" s="537"/>
      <c r="D238" s="537"/>
      <c r="E238" s="537"/>
      <c r="F238" s="537"/>
      <c r="G238" s="537"/>
      <c r="H238" s="537"/>
      <c r="I238" s="538"/>
      <c r="J238" s="537"/>
      <c r="K238" s="194"/>
      <c r="L238" s="194"/>
      <c r="M238" s="194"/>
      <c r="N238" s="194"/>
      <c r="O238" s="194"/>
      <c r="P238" s="194"/>
      <c r="Q238" s="194"/>
      <c r="R238" s="194"/>
      <c r="S238" s="194"/>
      <c r="T238" s="194"/>
      <c r="U238" s="194"/>
      <c r="V238" s="194"/>
      <c r="W238" s="194"/>
      <c r="X238" s="194"/>
      <c r="Y238" s="194"/>
      <c r="Z238" s="194"/>
    </row>
    <row r="239">
      <c r="A239" s="194"/>
      <c r="B239" s="194"/>
      <c r="C239" s="537"/>
      <c r="D239" s="537"/>
      <c r="E239" s="537"/>
      <c r="F239" s="537"/>
      <c r="G239" s="537"/>
      <c r="H239" s="537"/>
      <c r="I239" s="538"/>
      <c r="J239" s="537"/>
      <c r="K239" s="194"/>
      <c r="L239" s="194"/>
      <c r="M239" s="194"/>
      <c r="N239" s="194"/>
      <c r="O239" s="194"/>
      <c r="P239" s="194"/>
      <c r="Q239" s="194"/>
      <c r="R239" s="194"/>
      <c r="S239" s="194"/>
      <c r="T239" s="194"/>
      <c r="U239" s="194"/>
      <c r="V239" s="194"/>
      <c r="W239" s="194"/>
      <c r="X239" s="194"/>
      <c r="Y239" s="194"/>
      <c r="Z239" s="194"/>
    </row>
    <row r="240">
      <c r="A240" s="194"/>
      <c r="B240" s="194"/>
      <c r="C240" s="537"/>
      <c r="D240" s="537"/>
      <c r="E240" s="537"/>
      <c r="F240" s="537"/>
      <c r="G240" s="537"/>
      <c r="H240" s="537"/>
      <c r="I240" s="538"/>
      <c r="J240" s="537"/>
      <c r="K240" s="194"/>
      <c r="L240" s="194"/>
      <c r="M240" s="194"/>
      <c r="N240" s="194"/>
      <c r="O240" s="194"/>
      <c r="P240" s="194"/>
      <c r="Q240" s="194"/>
      <c r="R240" s="194"/>
      <c r="S240" s="194"/>
      <c r="T240" s="194"/>
      <c r="U240" s="194"/>
      <c r="V240" s="194"/>
      <c r="W240" s="194"/>
      <c r="X240" s="194"/>
      <c r="Y240" s="194"/>
      <c r="Z240" s="194"/>
    </row>
    <row r="241">
      <c r="A241" s="194"/>
      <c r="B241" s="194"/>
      <c r="C241" s="537"/>
      <c r="D241" s="537"/>
      <c r="E241" s="537"/>
      <c r="F241" s="537"/>
      <c r="G241" s="537"/>
      <c r="H241" s="537"/>
      <c r="I241" s="538"/>
      <c r="J241" s="537"/>
      <c r="K241" s="194"/>
      <c r="L241" s="194"/>
      <c r="M241" s="194"/>
      <c r="N241" s="194"/>
      <c r="O241" s="194"/>
      <c r="P241" s="194"/>
      <c r="Q241" s="194"/>
      <c r="R241" s="194"/>
      <c r="S241" s="194"/>
      <c r="T241" s="194"/>
      <c r="U241" s="194"/>
      <c r="V241" s="194"/>
      <c r="W241" s="194"/>
      <c r="X241" s="194"/>
      <c r="Y241" s="194"/>
      <c r="Z241" s="194"/>
    </row>
    <row r="242">
      <c r="A242" s="194"/>
      <c r="B242" s="194"/>
      <c r="C242" s="537"/>
      <c r="D242" s="537"/>
      <c r="E242" s="537"/>
      <c r="F242" s="537"/>
      <c r="G242" s="537"/>
      <c r="H242" s="537"/>
      <c r="I242" s="538"/>
      <c r="J242" s="537"/>
      <c r="K242" s="194"/>
      <c r="L242" s="194"/>
      <c r="M242" s="194"/>
      <c r="N242" s="194"/>
      <c r="O242" s="194"/>
      <c r="P242" s="194"/>
      <c r="Q242" s="194"/>
      <c r="R242" s="194"/>
      <c r="S242" s="194"/>
      <c r="T242" s="194"/>
      <c r="U242" s="194"/>
      <c r="V242" s="194"/>
      <c r="W242" s="194"/>
      <c r="X242" s="194"/>
      <c r="Y242" s="194"/>
      <c r="Z242" s="194"/>
    </row>
    <row r="243">
      <c r="A243" s="194"/>
      <c r="B243" s="194"/>
      <c r="C243" s="537"/>
      <c r="D243" s="537"/>
      <c r="E243" s="537"/>
      <c r="F243" s="537"/>
      <c r="G243" s="537"/>
      <c r="H243" s="537"/>
      <c r="I243" s="538"/>
      <c r="J243" s="537"/>
      <c r="K243" s="194"/>
      <c r="L243" s="194"/>
      <c r="M243" s="194"/>
      <c r="N243" s="194"/>
      <c r="O243" s="194"/>
      <c r="P243" s="194"/>
      <c r="Q243" s="194"/>
      <c r="R243" s="194"/>
      <c r="S243" s="194"/>
      <c r="T243" s="194"/>
      <c r="U243" s="194"/>
      <c r="V243" s="194"/>
      <c r="W243" s="194"/>
      <c r="X243" s="194"/>
      <c r="Y243" s="194"/>
      <c r="Z243" s="194"/>
    </row>
    <row r="244">
      <c r="A244" s="194"/>
      <c r="B244" s="194"/>
      <c r="C244" s="537"/>
      <c r="D244" s="537"/>
      <c r="E244" s="537"/>
      <c r="F244" s="537"/>
      <c r="G244" s="537"/>
      <c r="H244" s="537"/>
      <c r="I244" s="538"/>
      <c r="J244" s="537"/>
      <c r="K244" s="194"/>
      <c r="L244" s="194"/>
      <c r="M244" s="194"/>
      <c r="N244" s="194"/>
      <c r="O244" s="194"/>
      <c r="P244" s="194"/>
      <c r="Q244" s="194"/>
      <c r="R244" s="194"/>
      <c r="S244" s="194"/>
      <c r="T244" s="194"/>
      <c r="U244" s="194"/>
      <c r="V244" s="194"/>
      <c r="W244" s="194"/>
      <c r="X244" s="194"/>
      <c r="Y244" s="194"/>
      <c r="Z244" s="194"/>
    </row>
    <row r="245">
      <c r="A245" s="194"/>
      <c r="B245" s="194"/>
      <c r="C245" s="537"/>
      <c r="D245" s="537"/>
      <c r="E245" s="537"/>
      <c r="F245" s="537"/>
      <c r="G245" s="537"/>
      <c r="H245" s="537"/>
      <c r="I245" s="538"/>
      <c r="J245" s="537"/>
      <c r="K245" s="194"/>
      <c r="L245" s="194"/>
      <c r="M245" s="194"/>
      <c r="N245" s="194"/>
      <c r="O245" s="194"/>
      <c r="P245" s="194"/>
      <c r="Q245" s="194"/>
      <c r="R245" s="194"/>
      <c r="S245" s="194"/>
      <c r="T245" s="194"/>
      <c r="U245" s="194"/>
      <c r="V245" s="194"/>
      <c r="W245" s="194"/>
      <c r="X245" s="194"/>
      <c r="Y245" s="194"/>
      <c r="Z245" s="194"/>
    </row>
    <row r="246">
      <c r="A246" s="194"/>
      <c r="B246" s="194"/>
      <c r="C246" s="537"/>
      <c r="D246" s="537"/>
      <c r="E246" s="537"/>
      <c r="F246" s="537"/>
      <c r="G246" s="537"/>
      <c r="H246" s="537"/>
      <c r="I246" s="538"/>
      <c r="J246" s="537"/>
      <c r="K246" s="194"/>
      <c r="L246" s="194"/>
      <c r="M246" s="194"/>
      <c r="N246" s="194"/>
      <c r="O246" s="194"/>
      <c r="P246" s="194"/>
      <c r="Q246" s="194"/>
      <c r="R246" s="194"/>
      <c r="S246" s="194"/>
      <c r="T246" s="194"/>
      <c r="U246" s="194"/>
      <c r="V246" s="194"/>
      <c r="W246" s="194"/>
      <c r="X246" s="194"/>
      <c r="Y246" s="194"/>
      <c r="Z246" s="194"/>
    </row>
    <row r="247">
      <c r="A247" s="194"/>
      <c r="B247" s="194"/>
      <c r="C247" s="537"/>
      <c r="D247" s="537"/>
      <c r="E247" s="537"/>
      <c r="F247" s="537"/>
      <c r="G247" s="537"/>
      <c r="H247" s="537"/>
      <c r="I247" s="538"/>
      <c r="J247" s="537"/>
      <c r="K247" s="194"/>
      <c r="L247" s="194"/>
      <c r="M247" s="194"/>
      <c r="N247" s="194"/>
      <c r="O247" s="194"/>
      <c r="P247" s="194"/>
      <c r="Q247" s="194"/>
      <c r="R247" s="194"/>
      <c r="S247" s="194"/>
      <c r="T247" s="194"/>
      <c r="U247" s="194"/>
      <c r="V247" s="194"/>
      <c r="W247" s="194"/>
      <c r="X247" s="194"/>
      <c r="Y247" s="194"/>
      <c r="Z247" s="194"/>
    </row>
    <row r="248">
      <c r="A248" s="194"/>
      <c r="B248" s="194"/>
      <c r="C248" s="537"/>
      <c r="D248" s="537"/>
      <c r="E248" s="537"/>
      <c r="F248" s="537"/>
      <c r="G248" s="537"/>
      <c r="H248" s="537"/>
      <c r="I248" s="538"/>
      <c r="J248" s="537"/>
      <c r="K248" s="194"/>
      <c r="L248" s="194"/>
      <c r="M248" s="194"/>
      <c r="N248" s="194"/>
      <c r="O248" s="194"/>
      <c r="P248" s="194"/>
      <c r="Q248" s="194"/>
      <c r="R248" s="194"/>
      <c r="S248" s="194"/>
      <c r="T248" s="194"/>
      <c r="U248" s="194"/>
      <c r="V248" s="194"/>
      <c r="W248" s="194"/>
      <c r="X248" s="194"/>
      <c r="Y248" s="194"/>
      <c r="Z248" s="194"/>
    </row>
    <row r="249">
      <c r="A249" s="194"/>
      <c r="B249" s="194"/>
      <c r="C249" s="537"/>
      <c r="D249" s="537"/>
      <c r="E249" s="537"/>
      <c r="F249" s="537"/>
      <c r="G249" s="537"/>
      <c r="H249" s="537"/>
      <c r="I249" s="538"/>
      <c r="J249" s="537"/>
      <c r="K249" s="194"/>
      <c r="L249" s="194"/>
      <c r="M249" s="194"/>
      <c r="N249" s="194"/>
      <c r="O249" s="194"/>
      <c r="P249" s="194"/>
      <c r="Q249" s="194"/>
      <c r="R249" s="194"/>
      <c r="S249" s="194"/>
      <c r="T249" s="194"/>
      <c r="U249" s="194"/>
      <c r="V249" s="194"/>
      <c r="W249" s="194"/>
      <c r="X249" s="194"/>
      <c r="Y249" s="194"/>
      <c r="Z249" s="194"/>
    </row>
    <row r="250">
      <c r="A250" s="194"/>
      <c r="B250" s="194"/>
      <c r="C250" s="537"/>
      <c r="D250" s="537"/>
      <c r="E250" s="537"/>
      <c r="F250" s="537"/>
      <c r="G250" s="537"/>
      <c r="H250" s="537"/>
      <c r="I250" s="538"/>
      <c r="J250" s="537"/>
      <c r="K250" s="194"/>
      <c r="L250" s="194"/>
      <c r="M250" s="194"/>
      <c r="N250" s="194"/>
      <c r="O250" s="194"/>
      <c r="P250" s="194"/>
      <c r="Q250" s="194"/>
      <c r="R250" s="194"/>
      <c r="S250" s="194"/>
      <c r="T250" s="194"/>
      <c r="U250" s="194"/>
      <c r="V250" s="194"/>
      <c r="W250" s="194"/>
      <c r="X250" s="194"/>
      <c r="Y250" s="194"/>
      <c r="Z250" s="194"/>
    </row>
    <row r="251">
      <c r="A251" s="194"/>
      <c r="B251" s="194"/>
      <c r="C251" s="537"/>
      <c r="D251" s="537"/>
      <c r="E251" s="537"/>
      <c r="F251" s="537"/>
      <c r="G251" s="537"/>
      <c r="H251" s="537"/>
      <c r="I251" s="538"/>
      <c r="J251" s="537"/>
      <c r="K251" s="194"/>
      <c r="L251" s="194"/>
      <c r="M251" s="194"/>
      <c r="N251" s="194"/>
      <c r="O251" s="194"/>
      <c r="P251" s="194"/>
      <c r="Q251" s="194"/>
      <c r="R251" s="194"/>
      <c r="S251" s="194"/>
      <c r="T251" s="194"/>
      <c r="U251" s="194"/>
      <c r="V251" s="194"/>
      <c r="W251" s="194"/>
      <c r="X251" s="194"/>
      <c r="Y251" s="194"/>
      <c r="Z251" s="194"/>
    </row>
    <row r="252">
      <c r="A252" s="194"/>
      <c r="B252" s="194"/>
      <c r="C252" s="537"/>
      <c r="D252" s="537"/>
      <c r="E252" s="537"/>
      <c r="F252" s="537"/>
      <c r="G252" s="537"/>
      <c r="H252" s="537"/>
      <c r="I252" s="538"/>
      <c r="J252" s="537"/>
      <c r="K252" s="194"/>
      <c r="L252" s="194"/>
      <c r="M252" s="194"/>
      <c r="N252" s="194"/>
      <c r="O252" s="194"/>
      <c r="P252" s="194"/>
      <c r="Q252" s="194"/>
      <c r="R252" s="194"/>
      <c r="S252" s="194"/>
      <c r="T252" s="194"/>
      <c r="U252" s="194"/>
      <c r="V252" s="194"/>
      <c r="W252" s="194"/>
      <c r="X252" s="194"/>
      <c r="Y252" s="194"/>
      <c r="Z252" s="194"/>
    </row>
    <row r="253">
      <c r="A253" s="194"/>
      <c r="B253" s="194"/>
      <c r="C253" s="537"/>
      <c r="D253" s="537"/>
      <c r="E253" s="537"/>
      <c r="F253" s="537"/>
      <c r="G253" s="537"/>
      <c r="H253" s="537"/>
      <c r="I253" s="538"/>
      <c r="J253" s="537"/>
      <c r="K253" s="194"/>
      <c r="L253" s="194"/>
      <c r="M253" s="194"/>
      <c r="N253" s="194"/>
      <c r="O253" s="194"/>
      <c r="P253" s="194"/>
      <c r="Q253" s="194"/>
      <c r="R253" s="194"/>
      <c r="S253" s="194"/>
      <c r="T253" s="194"/>
      <c r="U253" s="194"/>
      <c r="V253" s="194"/>
      <c r="W253" s="194"/>
      <c r="X253" s="194"/>
      <c r="Y253" s="194"/>
      <c r="Z253" s="194"/>
    </row>
    <row r="254">
      <c r="A254" s="194"/>
      <c r="B254" s="194"/>
      <c r="C254" s="537"/>
      <c r="D254" s="537"/>
      <c r="E254" s="537"/>
      <c r="F254" s="537"/>
      <c r="G254" s="537"/>
      <c r="H254" s="537"/>
      <c r="I254" s="538"/>
      <c r="J254" s="537"/>
      <c r="K254" s="194"/>
      <c r="L254" s="194"/>
      <c r="M254" s="194"/>
      <c r="N254" s="194"/>
      <c r="O254" s="194"/>
      <c r="P254" s="194"/>
      <c r="Q254" s="194"/>
      <c r="R254" s="194"/>
      <c r="S254" s="194"/>
      <c r="T254" s="194"/>
      <c r="U254" s="194"/>
      <c r="V254" s="194"/>
      <c r="W254" s="194"/>
      <c r="X254" s="194"/>
      <c r="Y254" s="194"/>
      <c r="Z254" s="194"/>
    </row>
    <row r="255">
      <c r="A255" s="194"/>
      <c r="B255" s="194"/>
      <c r="C255" s="537"/>
      <c r="D255" s="537"/>
      <c r="E255" s="537"/>
      <c r="F255" s="537"/>
      <c r="G255" s="537"/>
      <c r="H255" s="537"/>
      <c r="I255" s="538"/>
      <c r="J255" s="537"/>
      <c r="K255" s="194"/>
      <c r="L255" s="194"/>
      <c r="M255" s="194"/>
      <c r="N255" s="194"/>
      <c r="O255" s="194"/>
      <c r="P255" s="194"/>
      <c r="Q255" s="194"/>
      <c r="R255" s="194"/>
      <c r="S255" s="194"/>
      <c r="T255" s="194"/>
      <c r="U255" s="194"/>
      <c r="V255" s="194"/>
      <c r="W255" s="194"/>
      <c r="X255" s="194"/>
      <c r="Y255" s="194"/>
      <c r="Z255" s="194"/>
    </row>
    <row r="256">
      <c r="A256" s="194"/>
      <c r="B256" s="194"/>
      <c r="C256" s="537"/>
      <c r="D256" s="537"/>
      <c r="E256" s="537"/>
      <c r="F256" s="537"/>
      <c r="G256" s="537"/>
      <c r="H256" s="537"/>
      <c r="I256" s="538"/>
      <c r="J256" s="537"/>
      <c r="K256" s="194"/>
      <c r="L256" s="194"/>
      <c r="M256" s="194"/>
      <c r="N256" s="194"/>
      <c r="O256" s="194"/>
      <c r="P256" s="194"/>
      <c r="Q256" s="194"/>
      <c r="R256" s="194"/>
      <c r="S256" s="194"/>
      <c r="T256" s="194"/>
      <c r="U256" s="194"/>
      <c r="V256" s="194"/>
      <c r="W256" s="194"/>
      <c r="X256" s="194"/>
      <c r="Y256" s="194"/>
      <c r="Z256" s="194"/>
    </row>
    <row r="257">
      <c r="A257" s="194"/>
      <c r="B257" s="194"/>
      <c r="C257" s="537"/>
      <c r="D257" s="537"/>
      <c r="E257" s="537"/>
      <c r="F257" s="537"/>
      <c r="G257" s="537"/>
      <c r="H257" s="537"/>
      <c r="I257" s="538"/>
      <c r="J257" s="537"/>
      <c r="K257" s="194"/>
      <c r="L257" s="194"/>
      <c r="M257" s="194"/>
      <c r="N257" s="194"/>
      <c r="O257" s="194"/>
      <c r="P257" s="194"/>
      <c r="Q257" s="194"/>
      <c r="R257" s="194"/>
      <c r="S257" s="194"/>
      <c r="T257" s="194"/>
      <c r="U257" s="194"/>
      <c r="V257" s="194"/>
      <c r="W257" s="194"/>
      <c r="X257" s="194"/>
      <c r="Y257" s="194"/>
      <c r="Z257" s="194"/>
    </row>
    <row r="258">
      <c r="A258" s="194"/>
      <c r="B258" s="194"/>
      <c r="C258" s="537"/>
      <c r="D258" s="537"/>
      <c r="E258" s="537"/>
      <c r="F258" s="537"/>
      <c r="G258" s="537"/>
      <c r="H258" s="537"/>
      <c r="I258" s="538"/>
      <c r="J258" s="537"/>
      <c r="K258" s="194"/>
      <c r="L258" s="194"/>
      <c r="M258" s="194"/>
      <c r="N258" s="194"/>
      <c r="O258" s="194"/>
      <c r="P258" s="194"/>
      <c r="Q258" s="194"/>
      <c r="R258" s="194"/>
      <c r="S258" s="194"/>
      <c r="T258" s="194"/>
      <c r="U258" s="194"/>
      <c r="V258" s="194"/>
      <c r="W258" s="194"/>
      <c r="X258" s="194"/>
      <c r="Y258" s="194"/>
      <c r="Z258" s="194"/>
    </row>
    <row r="259">
      <c r="A259" s="194"/>
      <c r="B259" s="194"/>
      <c r="C259" s="537"/>
      <c r="D259" s="537"/>
      <c r="E259" s="537"/>
      <c r="F259" s="537"/>
      <c r="G259" s="537"/>
      <c r="H259" s="537"/>
      <c r="I259" s="538"/>
      <c r="J259" s="537"/>
      <c r="K259" s="194"/>
      <c r="L259" s="194"/>
      <c r="M259" s="194"/>
      <c r="N259" s="194"/>
      <c r="O259" s="194"/>
      <c r="P259" s="194"/>
      <c r="Q259" s="194"/>
      <c r="R259" s="194"/>
      <c r="S259" s="194"/>
      <c r="T259" s="194"/>
      <c r="U259" s="194"/>
      <c r="V259" s="194"/>
      <c r="W259" s="194"/>
      <c r="X259" s="194"/>
      <c r="Y259" s="194"/>
      <c r="Z259" s="194"/>
    </row>
    <row r="260">
      <c r="A260" s="194"/>
      <c r="B260" s="194"/>
      <c r="C260" s="537"/>
      <c r="D260" s="537"/>
      <c r="E260" s="537"/>
      <c r="F260" s="537"/>
      <c r="G260" s="537"/>
      <c r="H260" s="537"/>
      <c r="I260" s="538"/>
      <c r="J260" s="537"/>
      <c r="K260" s="194"/>
      <c r="L260" s="194"/>
      <c r="M260" s="194"/>
      <c r="N260" s="194"/>
      <c r="O260" s="194"/>
      <c r="P260" s="194"/>
      <c r="Q260" s="194"/>
      <c r="R260" s="194"/>
      <c r="S260" s="194"/>
      <c r="T260" s="194"/>
      <c r="U260" s="194"/>
      <c r="V260" s="194"/>
      <c r="W260" s="194"/>
      <c r="X260" s="194"/>
      <c r="Y260" s="194"/>
      <c r="Z260" s="194"/>
    </row>
    <row r="261">
      <c r="A261" s="194"/>
      <c r="B261" s="194"/>
      <c r="C261" s="537"/>
      <c r="D261" s="537"/>
      <c r="E261" s="537"/>
      <c r="F261" s="537"/>
      <c r="G261" s="537"/>
      <c r="H261" s="537"/>
      <c r="I261" s="538"/>
      <c r="J261" s="537"/>
      <c r="K261" s="194"/>
      <c r="L261" s="194"/>
      <c r="M261" s="194"/>
      <c r="N261" s="194"/>
      <c r="O261" s="194"/>
      <c r="P261" s="194"/>
      <c r="Q261" s="194"/>
      <c r="R261" s="194"/>
      <c r="S261" s="194"/>
      <c r="T261" s="194"/>
      <c r="U261" s="194"/>
      <c r="V261" s="194"/>
      <c r="W261" s="194"/>
      <c r="X261" s="194"/>
      <c r="Y261" s="194"/>
      <c r="Z261" s="194"/>
    </row>
    <row r="262">
      <c r="A262" s="194"/>
      <c r="B262" s="194"/>
      <c r="C262" s="537"/>
      <c r="D262" s="537"/>
      <c r="E262" s="537"/>
      <c r="F262" s="537"/>
      <c r="G262" s="537"/>
      <c r="H262" s="537"/>
      <c r="I262" s="538"/>
      <c r="J262" s="537"/>
      <c r="K262" s="194"/>
      <c r="L262" s="194"/>
      <c r="M262" s="194"/>
      <c r="N262" s="194"/>
      <c r="O262" s="194"/>
      <c r="P262" s="194"/>
      <c r="Q262" s="194"/>
      <c r="R262" s="194"/>
      <c r="S262" s="194"/>
      <c r="T262" s="194"/>
      <c r="U262" s="194"/>
      <c r="V262" s="194"/>
      <c r="W262" s="194"/>
      <c r="X262" s="194"/>
      <c r="Y262" s="194"/>
      <c r="Z262" s="194"/>
    </row>
    <row r="263">
      <c r="A263" s="194"/>
      <c r="B263" s="194"/>
      <c r="C263" s="537"/>
      <c r="D263" s="537"/>
      <c r="E263" s="537"/>
      <c r="F263" s="537"/>
      <c r="G263" s="537"/>
      <c r="H263" s="537"/>
      <c r="I263" s="538"/>
      <c r="J263" s="537"/>
      <c r="K263" s="194"/>
      <c r="L263" s="194"/>
      <c r="M263" s="194"/>
      <c r="N263" s="194"/>
      <c r="O263" s="194"/>
      <c r="P263" s="194"/>
      <c r="Q263" s="194"/>
      <c r="R263" s="194"/>
      <c r="S263" s="194"/>
      <c r="T263" s="194"/>
      <c r="U263" s="194"/>
      <c r="V263" s="194"/>
      <c r="W263" s="194"/>
      <c r="X263" s="194"/>
      <c r="Y263" s="194"/>
      <c r="Z263" s="194"/>
    </row>
    <row r="264">
      <c r="A264" s="194"/>
      <c r="B264" s="194"/>
      <c r="C264" s="537"/>
      <c r="D264" s="537"/>
      <c r="E264" s="537"/>
      <c r="F264" s="537"/>
      <c r="G264" s="537"/>
      <c r="H264" s="537"/>
      <c r="I264" s="538"/>
      <c r="J264" s="537"/>
      <c r="K264" s="194"/>
      <c r="L264" s="194"/>
      <c r="M264" s="194"/>
      <c r="N264" s="194"/>
      <c r="O264" s="194"/>
      <c r="P264" s="194"/>
      <c r="Q264" s="194"/>
      <c r="R264" s="194"/>
      <c r="S264" s="194"/>
      <c r="T264" s="194"/>
      <c r="U264" s="194"/>
      <c r="V264" s="194"/>
      <c r="W264" s="194"/>
      <c r="X264" s="194"/>
      <c r="Y264" s="194"/>
      <c r="Z264" s="194"/>
    </row>
    <row r="265">
      <c r="A265" s="194"/>
      <c r="B265" s="194"/>
      <c r="C265" s="537"/>
      <c r="D265" s="537"/>
      <c r="E265" s="537"/>
      <c r="F265" s="537"/>
      <c r="G265" s="537"/>
      <c r="H265" s="537"/>
      <c r="I265" s="538"/>
      <c r="J265" s="537"/>
      <c r="K265" s="194"/>
      <c r="L265" s="194"/>
      <c r="M265" s="194"/>
      <c r="N265" s="194"/>
      <c r="O265" s="194"/>
      <c r="P265" s="194"/>
      <c r="Q265" s="194"/>
      <c r="R265" s="194"/>
      <c r="S265" s="194"/>
      <c r="T265" s="194"/>
      <c r="U265" s="194"/>
      <c r="V265" s="194"/>
      <c r="W265" s="194"/>
      <c r="X265" s="194"/>
      <c r="Y265" s="194"/>
      <c r="Z265" s="194"/>
    </row>
    <row r="266">
      <c r="A266" s="194"/>
      <c r="B266" s="194"/>
      <c r="C266" s="537"/>
      <c r="D266" s="537"/>
      <c r="E266" s="537"/>
      <c r="F266" s="537"/>
      <c r="G266" s="537"/>
      <c r="H266" s="537"/>
      <c r="I266" s="538"/>
      <c r="J266" s="537"/>
      <c r="K266" s="194"/>
      <c r="L266" s="194"/>
      <c r="M266" s="194"/>
      <c r="N266" s="194"/>
      <c r="O266" s="194"/>
      <c r="P266" s="194"/>
      <c r="Q266" s="194"/>
      <c r="R266" s="194"/>
      <c r="S266" s="194"/>
      <c r="T266" s="194"/>
      <c r="U266" s="194"/>
      <c r="V266" s="194"/>
      <c r="W266" s="194"/>
      <c r="X266" s="194"/>
      <c r="Y266" s="194"/>
      <c r="Z266" s="194"/>
    </row>
    <row r="267">
      <c r="A267" s="194"/>
      <c r="B267" s="194"/>
      <c r="C267" s="537"/>
      <c r="D267" s="537"/>
      <c r="E267" s="537"/>
      <c r="F267" s="537"/>
      <c r="G267" s="537"/>
      <c r="H267" s="537"/>
      <c r="I267" s="538"/>
      <c r="J267" s="537"/>
      <c r="K267" s="194"/>
      <c r="L267" s="194"/>
      <c r="M267" s="194"/>
      <c r="N267" s="194"/>
      <c r="O267" s="194"/>
      <c r="P267" s="194"/>
      <c r="Q267" s="194"/>
      <c r="R267" s="194"/>
      <c r="S267" s="194"/>
      <c r="T267" s="194"/>
      <c r="U267" s="194"/>
      <c r="V267" s="194"/>
      <c r="W267" s="194"/>
      <c r="X267" s="194"/>
      <c r="Y267" s="194"/>
      <c r="Z267" s="194"/>
    </row>
    <row r="268">
      <c r="A268" s="194"/>
      <c r="B268" s="194"/>
      <c r="C268" s="537"/>
      <c r="D268" s="537"/>
      <c r="E268" s="537"/>
      <c r="F268" s="537"/>
      <c r="G268" s="537"/>
      <c r="H268" s="537"/>
      <c r="I268" s="538"/>
      <c r="J268" s="537"/>
      <c r="K268" s="194"/>
      <c r="L268" s="194"/>
      <c r="M268" s="194"/>
      <c r="N268" s="194"/>
      <c r="O268" s="194"/>
      <c r="P268" s="194"/>
      <c r="Q268" s="194"/>
      <c r="R268" s="194"/>
      <c r="S268" s="194"/>
      <c r="T268" s="194"/>
      <c r="U268" s="194"/>
      <c r="V268" s="194"/>
      <c r="W268" s="194"/>
      <c r="X268" s="194"/>
      <c r="Y268" s="194"/>
      <c r="Z268" s="194"/>
    </row>
    <row r="269">
      <c r="A269" s="194"/>
      <c r="B269" s="194"/>
      <c r="C269" s="537"/>
      <c r="D269" s="537"/>
      <c r="E269" s="537"/>
      <c r="F269" s="537"/>
      <c r="G269" s="537"/>
      <c r="H269" s="537"/>
      <c r="I269" s="538"/>
      <c r="J269" s="537"/>
      <c r="K269" s="194"/>
      <c r="L269" s="194"/>
      <c r="M269" s="194"/>
      <c r="N269" s="194"/>
      <c r="O269" s="194"/>
      <c r="P269" s="194"/>
      <c r="Q269" s="194"/>
      <c r="R269" s="194"/>
      <c r="S269" s="194"/>
      <c r="T269" s="194"/>
      <c r="U269" s="194"/>
      <c r="V269" s="194"/>
      <c r="W269" s="194"/>
      <c r="X269" s="194"/>
      <c r="Y269" s="194"/>
      <c r="Z269" s="194"/>
    </row>
    <row r="270">
      <c r="A270" s="194"/>
      <c r="B270" s="194"/>
      <c r="C270" s="537"/>
      <c r="D270" s="537"/>
      <c r="E270" s="537"/>
      <c r="F270" s="537"/>
      <c r="G270" s="537"/>
      <c r="H270" s="537"/>
      <c r="I270" s="538"/>
      <c r="J270" s="537"/>
      <c r="K270" s="194"/>
      <c r="L270" s="194"/>
      <c r="M270" s="194"/>
      <c r="N270" s="194"/>
      <c r="O270" s="194"/>
      <c r="P270" s="194"/>
      <c r="Q270" s="194"/>
      <c r="R270" s="194"/>
      <c r="S270" s="194"/>
      <c r="T270" s="194"/>
      <c r="U270" s="194"/>
      <c r="V270" s="194"/>
      <c r="W270" s="194"/>
      <c r="X270" s="194"/>
      <c r="Y270" s="194"/>
      <c r="Z270" s="194"/>
    </row>
    <row r="271">
      <c r="A271" s="194"/>
      <c r="B271" s="194"/>
      <c r="C271" s="537"/>
      <c r="D271" s="537"/>
      <c r="E271" s="537"/>
      <c r="F271" s="537"/>
      <c r="G271" s="537"/>
      <c r="H271" s="537"/>
      <c r="I271" s="538"/>
      <c r="J271" s="537"/>
      <c r="K271" s="194"/>
      <c r="L271" s="194"/>
      <c r="M271" s="194"/>
      <c r="N271" s="194"/>
      <c r="O271" s="194"/>
      <c r="P271" s="194"/>
      <c r="Q271" s="194"/>
      <c r="R271" s="194"/>
      <c r="S271" s="194"/>
      <c r="T271" s="194"/>
      <c r="U271" s="194"/>
      <c r="V271" s="194"/>
      <c r="W271" s="194"/>
      <c r="X271" s="194"/>
      <c r="Y271" s="194"/>
      <c r="Z271" s="194"/>
    </row>
    <row r="272">
      <c r="A272" s="194"/>
      <c r="B272" s="194"/>
      <c r="C272" s="537"/>
      <c r="D272" s="537"/>
      <c r="E272" s="537"/>
      <c r="F272" s="537"/>
      <c r="G272" s="537"/>
      <c r="H272" s="537"/>
      <c r="I272" s="538"/>
      <c r="J272" s="537"/>
      <c r="K272" s="194"/>
      <c r="L272" s="194"/>
      <c r="M272" s="194"/>
      <c r="N272" s="194"/>
      <c r="O272" s="194"/>
      <c r="P272" s="194"/>
      <c r="Q272" s="194"/>
      <c r="R272" s="194"/>
      <c r="S272" s="194"/>
      <c r="T272" s="194"/>
      <c r="U272" s="194"/>
      <c r="V272" s="194"/>
      <c r="W272" s="194"/>
      <c r="X272" s="194"/>
      <c r="Y272" s="194"/>
      <c r="Z272" s="194"/>
    </row>
    <row r="273">
      <c r="A273" s="194"/>
      <c r="B273" s="194"/>
      <c r="C273" s="537"/>
      <c r="D273" s="537"/>
      <c r="E273" s="537"/>
      <c r="F273" s="537"/>
      <c r="G273" s="537"/>
      <c r="H273" s="537"/>
      <c r="I273" s="538"/>
      <c r="J273" s="537"/>
      <c r="K273" s="194"/>
      <c r="L273" s="194"/>
      <c r="M273" s="194"/>
      <c r="N273" s="194"/>
      <c r="O273" s="194"/>
      <c r="P273" s="194"/>
      <c r="Q273" s="194"/>
      <c r="R273" s="194"/>
      <c r="S273" s="194"/>
      <c r="T273" s="194"/>
      <c r="U273" s="194"/>
      <c r="V273" s="194"/>
      <c r="W273" s="194"/>
      <c r="X273" s="194"/>
      <c r="Y273" s="194"/>
      <c r="Z273" s="194"/>
    </row>
    <row r="274">
      <c r="A274" s="194"/>
      <c r="B274" s="194"/>
      <c r="C274" s="537"/>
      <c r="D274" s="537"/>
      <c r="E274" s="537"/>
      <c r="F274" s="537"/>
      <c r="G274" s="537"/>
      <c r="H274" s="537"/>
      <c r="I274" s="538"/>
      <c r="J274" s="537"/>
      <c r="K274" s="194"/>
      <c r="L274" s="194"/>
      <c r="M274" s="194"/>
      <c r="N274" s="194"/>
      <c r="O274" s="194"/>
      <c r="P274" s="194"/>
      <c r="Q274" s="194"/>
      <c r="R274" s="194"/>
      <c r="S274" s="194"/>
      <c r="T274" s="194"/>
      <c r="U274" s="194"/>
      <c r="V274" s="194"/>
      <c r="W274" s="194"/>
      <c r="X274" s="194"/>
      <c r="Y274" s="194"/>
      <c r="Z274" s="194"/>
    </row>
    <row r="275">
      <c r="A275" s="194"/>
      <c r="B275" s="194"/>
      <c r="C275" s="537"/>
      <c r="D275" s="537"/>
      <c r="E275" s="537"/>
      <c r="F275" s="537"/>
      <c r="G275" s="537"/>
      <c r="H275" s="537"/>
      <c r="I275" s="538"/>
      <c r="J275" s="537"/>
      <c r="K275" s="194"/>
      <c r="L275" s="194"/>
      <c r="M275" s="194"/>
      <c r="N275" s="194"/>
      <c r="O275" s="194"/>
      <c r="P275" s="194"/>
      <c r="Q275" s="194"/>
      <c r="R275" s="194"/>
      <c r="S275" s="194"/>
      <c r="T275" s="194"/>
      <c r="U275" s="194"/>
      <c r="V275" s="194"/>
      <c r="W275" s="194"/>
      <c r="X275" s="194"/>
      <c r="Y275" s="194"/>
      <c r="Z275" s="194"/>
    </row>
    <row r="276">
      <c r="A276" s="194"/>
      <c r="B276" s="194"/>
      <c r="C276" s="537"/>
      <c r="D276" s="537"/>
      <c r="E276" s="537"/>
      <c r="F276" s="537"/>
      <c r="G276" s="537"/>
      <c r="H276" s="537"/>
      <c r="I276" s="538"/>
      <c r="J276" s="537"/>
      <c r="K276" s="194"/>
      <c r="L276" s="194"/>
      <c r="M276" s="194"/>
      <c r="N276" s="194"/>
      <c r="O276" s="194"/>
      <c r="P276" s="194"/>
      <c r="Q276" s="194"/>
      <c r="R276" s="194"/>
      <c r="S276" s="194"/>
      <c r="T276" s="194"/>
      <c r="U276" s="194"/>
      <c r="V276" s="194"/>
      <c r="W276" s="194"/>
      <c r="X276" s="194"/>
      <c r="Y276" s="194"/>
      <c r="Z276" s="194"/>
    </row>
    <row r="277">
      <c r="A277" s="194"/>
      <c r="B277" s="194"/>
      <c r="C277" s="537"/>
      <c r="D277" s="537"/>
      <c r="E277" s="537"/>
      <c r="F277" s="537"/>
      <c r="G277" s="537"/>
      <c r="H277" s="537"/>
      <c r="I277" s="538"/>
      <c r="J277" s="537"/>
      <c r="K277" s="194"/>
      <c r="L277" s="194"/>
      <c r="M277" s="194"/>
      <c r="N277" s="194"/>
      <c r="O277" s="194"/>
      <c r="P277" s="194"/>
      <c r="Q277" s="194"/>
      <c r="R277" s="194"/>
      <c r="S277" s="194"/>
      <c r="T277" s="194"/>
      <c r="U277" s="194"/>
      <c r="V277" s="194"/>
      <c r="W277" s="194"/>
      <c r="X277" s="194"/>
      <c r="Y277" s="194"/>
      <c r="Z277" s="194"/>
    </row>
    <row r="278">
      <c r="A278" s="194"/>
      <c r="B278" s="194"/>
      <c r="C278" s="537"/>
      <c r="D278" s="537"/>
      <c r="E278" s="537"/>
      <c r="F278" s="537"/>
      <c r="G278" s="537"/>
      <c r="H278" s="537"/>
      <c r="I278" s="538"/>
      <c r="J278" s="537"/>
      <c r="K278" s="194"/>
      <c r="L278" s="194"/>
      <c r="M278" s="194"/>
      <c r="N278" s="194"/>
      <c r="O278" s="194"/>
      <c r="P278" s="194"/>
      <c r="Q278" s="194"/>
      <c r="R278" s="194"/>
      <c r="S278" s="194"/>
      <c r="T278" s="194"/>
      <c r="U278" s="194"/>
      <c r="V278" s="194"/>
      <c r="W278" s="194"/>
      <c r="X278" s="194"/>
      <c r="Y278" s="194"/>
      <c r="Z278" s="194"/>
    </row>
    <row r="279">
      <c r="A279" s="194"/>
      <c r="B279" s="194"/>
      <c r="C279" s="537"/>
      <c r="D279" s="537"/>
      <c r="E279" s="537"/>
      <c r="F279" s="537"/>
      <c r="G279" s="537"/>
      <c r="H279" s="537"/>
      <c r="I279" s="538"/>
      <c r="J279" s="537"/>
      <c r="K279" s="194"/>
      <c r="L279" s="194"/>
      <c r="M279" s="194"/>
      <c r="N279" s="194"/>
      <c r="O279" s="194"/>
      <c r="P279" s="194"/>
      <c r="Q279" s="194"/>
      <c r="R279" s="194"/>
      <c r="S279" s="194"/>
      <c r="T279" s="194"/>
      <c r="U279" s="194"/>
      <c r="V279" s="194"/>
      <c r="W279" s="194"/>
      <c r="X279" s="194"/>
      <c r="Y279" s="194"/>
      <c r="Z279" s="194"/>
    </row>
    <row r="280">
      <c r="A280" s="194"/>
      <c r="B280" s="194"/>
      <c r="C280" s="537"/>
      <c r="D280" s="537"/>
      <c r="E280" s="537"/>
      <c r="F280" s="537"/>
      <c r="G280" s="537"/>
      <c r="H280" s="537"/>
      <c r="I280" s="538"/>
      <c r="J280" s="537"/>
      <c r="K280" s="194"/>
      <c r="L280" s="194"/>
      <c r="M280" s="194"/>
      <c r="N280" s="194"/>
      <c r="O280" s="194"/>
      <c r="P280" s="194"/>
      <c r="Q280" s="194"/>
      <c r="R280" s="194"/>
      <c r="S280" s="194"/>
      <c r="T280" s="194"/>
      <c r="U280" s="194"/>
      <c r="V280" s="194"/>
      <c r="W280" s="194"/>
      <c r="X280" s="194"/>
      <c r="Y280" s="194"/>
      <c r="Z280" s="194"/>
    </row>
    <row r="281">
      <c r="A281" s="194"/>
      <c r="B281" s="194"/>
      <c r="C281" s="537"/>
      <c r="D281" s="537"/>
      <c r="E281" s="537"/>
      <c r="F281" s="537"/>
      <c r="G281" s="537"/>
      <c r="H281" s="537"/>
      <c r="I281" s="538"/>
      <c r="J281" s="537"/>
      <c r="K281" s="194"/>
      <c r="L281" s="194"/>
      <c r="M281" s="194"/>
      <c r="N281" s="194"/>
      <c r="O281" s="194"/>
      <c r="P281" s="194"/>
      <c r="Q281" s="194"/>
      <c r="R281" s="194"/>
      <c r="S281" s="194"/>
      <c r="T281" s="194"/>
      <c r="U281" s="194"/>
      <c r="V281" s="194"/>
      <c r="W281" s="194"/>
      <c r="X281" s="194"/>
      <c r="Y281" s="194"/>
      <c r="Z281" s="194"/>
    </row>
    <row r="282">
      <c r="A282" s="194"/>
      <c r="B282" s="194"/>
      <c r="C282" s="537"/>
      <c r="D282" s="537"/>
      <c r="E282" s="537"/>
      <c r="F282" s="537"/>
      <c r="G282" s="537"/>
      <c r="H282" s="537"/>
      <c r="I282" s="538"/>
      <c r="J282" s="537"/>
      <c r="K282" s="194"/>
      <c r="L282" s="194"/>
      <c r="M282" s="194"/>
      <c r="N282" s="194"/>
      <c r="O282" s="194"/>
      <c r="P282" s="194"/>
      <c r="Q282" s="194"/>
      <c r="R282" s="194"/>
      <c r="S282" s="194"/>
      <c r="T282" s="194"/>
      <c r="U282" s="194"/>
      <c r="V282" s="194"/>
      <c r="W282" s="194"/>
      <c r="X282" s="194"/>
      <c r="Y282" s="194"/>
      <c r="Z282" s="194"/>
    </row>
    <row r="283">
      <c r="A283" s="194"/>
      <c r="B283" s="194"/>
      <c r="C283" s="537"/>
      <c r="D283" s="537"/>
      <c r="E283" s="537"/>
      <c r="F283" s="537"/>
      <c r="G283" s="537"/>
      <c r="H283" s="537"/>
      <c r="I283" s="538"/>
      <c r="J283" s="537"/>
      <c r="K283" s="194"/>
      <c r="L283" s="194"/>
      <c r="M283" s="194"/>
      <c r="N283" s="194"/>
      <c r="O283" s="194"/>
      <c r="P283" s="194"/>
      <c r="Q283" s="194"/>
      <c r="R283" s="194"/>
      <c r="S283" s="194"/>
      <c r="T283" s="194"/>
      <c r="U283" s="194"/>
      <c r="V283" s="194"/>
      <c r="W283" s="194"/>
      <c r="X283" s="194"/>
      <c r="Y283" s="194"/>
      <c r="Z283" s="194"/>
    </row>
    <row r="284">
      <c r="A284" s="194"/>
      <c r="B284" s="194"/>
      <c r="C284" s="537"/>
      <c r="D284" s="537"/>
      <c r="E284" s="537"/>
      <c r="F284" s="537"/>
      <c r="G284" s="537"/>
      <c r="H284" s="537"/>
      <c r="I284" s="538"/>
      <c r="J284" s="537"/>
      <c r="K284" s="194"/>
      <c r="L284" s="194"/>
      <c r="M284" s="194"/>
      <c r="N284" s="194"/>
      <c r="O284" s="194"/>
      <c r="P284" s="194"/>
      <c r="Q284" s="194"/>
      <c r="R284" s="194"/>
      <c r="S284" s="194"/>
      <c r="T284" s="194"/>
      <c r="U284" s="194"/>
      <c r="V284" s="194"/>
      <c r="W284" s="194"/>
      <c r="X284" s="194"/>
      <c r="Y284" s="194"/>
      <c r="Z284" s="194"/>
    </row>
    <row r="285">
      <c r="A285" s="194"/>
      <c r="B285" s="194"/>
      <c r="C285" s="537"/>
      <c r="D285" s="537"/>
      <c r="E285" s="537"/>
      <c r="F285" s="537"/>
      <c r="G285" s="537"/>
      <c r="H285" s="537"/>
      <c r="I285" s="538"/>
      <c r="J285" s="537"/>
      <c r="K285" s="194"/>
      <c r="L285" s="194"/>
      <c r="M285" s="194"/>
      <c r="N285" s="194"/>
      <c r="O285" s="194"/>
      <c r="P285" s="194"/>
      <c r="Q285" s="194"/>
      <c r="R285" s="194"/>
      <c r="S285" s="194"/>
      <c r="T285" s="194"/>
      <c r="U285" s="194"/>
      <c r="V285" s="194"/>
      <c r="W285" s="194"/>
      <c r="X285" s="194"/>
      <c r="Y285" s="194"/>
      <c r="Z285" s="194"/>
    </row>
    <row r="286">
      <c r="A286" s="194"/>
      <c r="B286" s="194"/>
      <c r="C286" s="537"/>
      <c r="D286" s="537"/>
      <c r="E286" s="537"/>
      <c r="F286" s="537"/>
      <c r="G286" s="537"/>
      <c r="H286" s="537"/>
      <c r="I286" s="538"/>
      <c r="J286" s="537"/>
      <c r="K286" s="194"/>
      <c r="L286" s="194"/>
      <c r="M286" s="194"/>
      <c r="N286" s="194"/>
      <c r="O286" s="194"/>
      <c r="P286" s="194"/>
      <c r="Q286" s="194"/>
      <c r="R286" s="194"/>
      <c r="S286" s="194"/>
      <c r="T286" s="194"/>
      <c r="U286" s="194"/>
      <c r="V286" s="194"/>
      <c r="W286" s="194"/>
      <c r="X286" s="194"/>
      <c r="Y286" s="194"/>
      <c r="Z286" s="194"/>
    </row>
    <row r="287">
      <c r="A287" s="194"/>
      <c r="B287" s="194"/>
      <c r="C287" s="537"/>
      <c r="D287" s="537"/>
      <c r="E287" s="537"/>
      <c r="F287" s="537"/>
      <c r="G287" s="537"/>
      <c r="H287" s="537"/>
      <c r="I287" s="538"/>
      <c r="J287" s="537"/>
      <c r="K287" s="194"/>
      <c r="L287" s="194"/>
      <c r="M287" s="194"/>
      <c r="N287" s="194"/>
      <c r="O287" s="194"/>
      <c r="P287" s="194"/>
      <c r="Q287" s="194"/>
      <c r="R287" s="194"/>
      <c r="S287" s="194"/>
      <c r="T287" s="194"/>
      <c r="U287" s="194"/>
      <c r="V287" s="194"/>
      <c r="W287" s="194"/>
      <c r="X287" s="194"/>
      <c r="Y287" s="194"/>
      <c r="Z287" s="194"/>
    </row>
    <row r="288">
      <c r="A288" s="194"/>
      <c r="B288" s="194"/>
      <c r="C288" s="537"/>
      <c r="D288" s="537"/>
      <c r="E288" s="537"/>
      <c r="F288" s="537"/>
      <c r="G288" s="537"/>
      <c r="H288" s="537"/>
      <c r="I288" s="538"/>
      <c r="J288" s="537"/>
      <c r="K288" s="194"/>
      <c r="L288" s="194"/>
      <c r="M288" s="194"/>
      <c r="N288" s="194"/>
      <c r="O288" s="194"/>
      <c r="P288" s="194"/>
      <c r="Q288" s="194"/>
      <c r="R288" s="194"/>
      <c r="S288" s="194"/>
      <c r="T288" s="194"/>
      <c r="U288" s="194"/>
      <c r="V288" s="194"/>
      <c r="W288" s="194"/>
      <c r="X288" s="194"/>
      <c r="Y288" s="194"/>
      <c r="Z288" s="194"/>
    </row>
    <row r="289">
      <c r="A289" s="194"/>
      <c r="B289" s="194"/>
      <c r="C289" s="537"/>
      <c r="D289" s="537"/>
      <c r="E289" s="537"/>
      <c r="F289" s="537"/>
      <c r="G289" s="537"/>
      <c r="H289" s="537"/>
      <c r="I289" s="538"/>
      <c r="J289" s="537"/>
      <c r="K289" s="194"/>
      <c r="L289" s="194"/>
      <c r="M289" s="194"/>
      <c r="N289" s="194"/>
      <c r="O289" s="194"/>
      <c r="P289" s="194"/>
      <c r="Q289" s="194"/>
      <c r="R289" s="194"/>
      <c r="S289" s="194"/>
      <c r="T289" s="194"/>
      <c r="U289" s="194"/>
      <c r="V289" s="194"/>
      <c r="W289" s="194"/>
      <c r="X289" s="194"/>
      <c r="Y289" s="194"/>
      <c r="Z289" s="194"/>
    </row>
    <row r="290">
      <c r="A290" s="194"/>
      <c r="B290" s="194"/>
      <c r="C290" s="537"/>
      <c r="D290" s="537"/>
      <c r="E290" s="537"/>
      <c r="F290" s="537"/>
      <c r="G290" s="537"/>
      <c r="H290" s="537"/>
      <c r="I290" s="538"/>
      <c r="J290" s="537"/>
      <c r="K290" s="194"/>
      <c r="L290" s="194"/>
      <c r="M290" s="194"/>
      <c r="N290" s="194"/>
      <c r="O290" s="194"/>
      <c r="P290" s="194"/>
      <c r="Q290" s="194"/>
      <c r="R290" s="194"/>
      <c r="S290" s="194"/>
      <c r="T290" s="194"/>
      <c r="U290" s="194"/>
      <c r="V290" s="194"/>
      <c r="W290" s="194"/>
      <c r="X290" s="194"/>
      <c r="Y290" s="194"/>
      <c r="Z290" s="194"/>
    </row>
    <row r="291">
      <c r="A291" s="194"/>
      <c r="B291" s="194"/>
      <c r="C291" s="537"/>
      <c r="D291" s="537"/>
      <c r="E291" s="537"/>
      <c r="F291" s="537"/>
      <c r="G291" s="537"/>
      <c r="H291" s="537"/>
      <c r="I291" s="538"/>
      <c r="J291" s="537"/>
      <c r="K291" s="194"/>
      <c r="L291" s="194"/>
      <c r="M291" s="194"/>
      <c r="N291" s="194"/>
      <c r="O291" s="194"/>
      <c r="P291" s="194"/>
      <c r="Q291" s="194"/>
      <c r="R291" s="194"/>
      <c r="S291" s="194"/>
      <c r="T291" s="194"/>
      <c r="U291" s="194"/>
      <c r="V291" s="194"/>
      <c r="W291" s="194"/>
      <c r="X291" s="194"/>
      <c r="Y291" s="194"/>
      <c r="Z291" s="194"/>
    </row>
    <row r="292">
      <c r="A292" s="194"/>
      <c r="B292" s="194"/>
      <c r="C292" s="537"/>
      <c r="D292" s="537"/>
      <c r="E292" s="537"/>
      <c r="F292" s="537"/>
      <c r="G292" s="537"/>
      <c r="H292" s="537"/>
      <c r="I292" s="538"/>
      <c r="J292" s="537"/>
      <c r="K292" s="194"/>
      <c r="L292" s="194"/>
      <c r="M292" s="194"/>
      <c r="N292" s="194"/>
      <c r="O292" s="194"/>
      <c r="P292" s="194"/>
      <c r="Q292" s="194"/>
      <c r="R292" s="194"/>
      <c r="S292" s="194"/>
      <c r="T292" s="194"/>
      <c r="U292" s="194"/>
      <c r="V292" s="194"/>
      <c r="W292" s="194"/>
      <c r="X292" s="194"/>
      <c r="Y292" s="194"/>
      <c r="Z292" s="194"/>
    </row>
    <row r="293">
      <c r="A293" s="194"/>
      <c r="B293" s="194"/>
      <c r="C293" s="537"/>
      <c r="D293" s="537"/>
      <c r="E293" s="537"/>
      <c r="F293" s="537"/>
      <c r="G293" s="537"/>
      <c r="H293" s="537"/>
      <c r="I293" s="538"/>
      <c r="J293" s="537"/>
      <c r="K293" s="194"/>
      <c r="L293" s="194"/>
      <c r="M293" s="194"/>
      <c r="N293" s="194"/>
      <c r="O293" s="194"/>
      <c r="P293" s="194"/>
      <c r="Q293" s="194"/>
      <c r="R293" s="194"/>
      <c r="S293" s="194"/>
      <c r="T293" s="194"/>
      <c r="U293" s="194"/>
      <c r="V293" s="194"/>
      <c r="W293" s="194"/>
      <c r="X293" s="194"/>
      <c r="Y293" s="194"/>
      <c r="Z293" s="194"/>
    </row>
    <row r="294">
      <c r="A294" s="194"/>
      <c r="B294" s="194"/>
      <c r="C294" s="537"/>
      <c r="D294" s="537"/>
      <c r="E294" s="537"/>
      <c r="F294" s="537"/>
      <c r="G294" s="537"/>
      <c r="H294" s="537"/>
      <c r="I294" s="538"/>
      <c r="J294" s="537"/>
      <c r="K294" s="194"/>
      <c r="L294" s="194"/>
      <c r="M294" s="194"/>
      <c r="N294" s="194"/>
      <c r="O294" s="194"/>
      <c r="P294" s="194"/>
      <c r="Q294" s="194"/>
      <c r="R294" s="194"/>
      <c r="S294" s="194"/>
      <c r="T294" s="194"/>
      <c r="U294" s="194"/>
      <c r="V294" s="194"/>
      <c r="W294" s="194"/>
      <c r="X294" s="194"/>
      <c r="Y294" s="194"/>
      <c r="Z294" s="194"/>
    </row>
    <row r="295">
      <c r="A295" s="194"/>
      <c r="B295" s="194"/>
      <c r="C295" s="537"/>
      <c r="D295" s="537"/>
      <c r="E295" s="537"/>
      <c r="F295" s="537"/>
      <c r="G295" s="537"/>
      <c r="H295" s="537"/>
      <c r="I295" s="538"/>
      <c r="J295" s="537"/>
      <c r="K295" s="194"/>
      <c r="L295" s="194"/>
      <c r="M295" s="194"/>
      <c r="N295" s="194"/>
      <c r="O295" s="194"/>
      <c r="P295" s="194"/>
      <c r="Q295" s="194"/>
      <c r="R295" s="194"/>
      <c r="S295" s="194"/>
      <c r="T295" s="194"/>
      <c r="U295" s="194"/>
      <c r="V295" s="194"/>
      <c r="W295" s="194"/>
      <c r="X295" s="194"/>
      <c r="Y295" s="194"/>
      <c r="Z295" s="194"/>
    </row>
    <row r="296">
      <c r="A296" s="194"/>
      <c r="B296" s="194"/>
      <c r="C296" s="537"/>
      <c r="D296" s="537"/>
      <c r="E296" s="537"/>
      <c r="F296" s="537"/>
      <c r="G296" s="537"/>
      <c r="H296" s="537"/>
      <c r="I296" s="538"/>
      <c r="J296" s="537"/>
      <c r="K296" s="194"/>
      <c r="L296" s="194"/>
      <c r="M296" s="194"/>
      <c r="N296" s="194"/>
      <c r="O296" s="194"/>
      <c r="P296" s="194"/>
      <c r="Q296" s="194"/>
      <c r="R296" s="194"/>
      <c r="S296" s="194"/>
      <c r="T296" s="194"/>
      <c r="U296" s="194"/>
      <c r="V296" s="194"/>
      <c r="W296" s="194"/>
      <c r="X296" s="194"/>
      <c r="Y296" s="194"/>
      <c r="Z296" s="194"/>
    </row>
    <row r="297">
      <c r="A297" s="194"/>
      <c r="B297" s="194"/>
      <c r="C297" s="537"/>
      <c r="D297" s="537"/>
      <c r="E297" s="537"/>
      <c r="F297" s="537"/>
      <c r="G297" s="537"/>
      <c r="H297" s="537"/>
      <c r="I297" s="538"/>
      <c r="J297" s="537"/>
      <c r="K297" s="194"/>
      <c r="L297" s="194"/>
      <c r="M297" s="194"/>
      <c r="N297" s="194"/>
      <c r="O297" s="194"/>
      <c r="P297" s="194"/>
      <c r="Q297" s="194"/>
      <c r="R297" s="194"/>
      <c r="S297" s="194"/>
      <c r="T297" s="194"/>
      <c r="U297" s="194"/>
      <c r="V297" s="194"/>
      <c r="W297" s="194"/>
      <c r="X297" s="194"/>
      <c r="Y297" s="194"/>
      <c r="Z297" s="194"/>
    </row>
    <row r="298">
      <c r="A298" s="194"/>
      <c r="B298" s="194"/>
      <c r="C298" s="537"/>
      <c r="D298" s="537"/>
      <c r="E298" s="537"/>
      <c r="F298" s="537"/>
      <c r="G298" s="537"/>
      <c r="H298" s="537"/>
      <c r="I298" s="538"/>
      <c r="J298" s="537"/>
      <c r="K298" s="194"/>
      <c r="L298" s="194"/>
      <c r="M298" s="194"/>
      <c r="N298" s="194"/>
      <c r="O298" s="194"/>
      <c r="P298" s="194"/>
      <c r="Q298" s="194"/>
      <c r="R298" s="194"/>
      <c r="S298" s="194"/>
      <c r="T298" s="194"/>
      <c r="U298" s="194"/>
      <c r="V298" s="194"/>
      <c r="W298" s="194"/>
      <c r="X298" s="194"/>
      <c r="Y298" s="194"/>
      <c r="Z298" s="194"/>
    </row>
    <row r="299">
      <c r="A299" s="194"/>
      <c r="B299" s="194"/>
      <c r="C299" s="537"/>
      <c r="D299" s="537"/>
      <c r="E299" s="537"/>
      <c r="F299" s="537"/>
      <c r="G299" s="537"/>
      <c r="H299" s="537"/>
      <c r="I299" s="538"/>
      <c r="J299" s="537"/>
      <c r="K299" s="194"/>
      <c r="L299" s="194"/>
      <c r="M299" s="194"/>
      <c r="N299" s="194"/>
      <c r="O299" s="194"/>
      <c r="P299" s="194"/>
      <c r="Q299" s="194"/>
      <c r="R299" s="194"/>
      <c r="S299" s="194"/>
      <c r="T299" s="194"/>
      <c r="U299" s="194"/>
      <c r="V299" s="194"/>
      <c r="W299" s="194"/>
      <c r="X299" s="194"/>
      <c r="Y299" s="194"/>
      <c r="Z299" s="194"/>
    </row>
    <row r="300">
      <c r="A300" s="194"/>
      <c r="B300" s="194"/>
      <c r="C300" s="537"/>
      <c r="D300" s="537"/>
      <c r="E300" s="537"/>
      <c r="F300" s="537"/>
      <c r="G300" s="537"/>
      <c r="H300" s="537"/>
      <c r="I300" s="538"/>
      <c r="J300" s="537"/>
      <c r="K300" s="194"/>
      <c r="L300" s="194"/>
      <c r="M300" s="194"/>
      <c r="N300" s="194"/>
      <c r="O300" s="194"/>
      <c r="P300" s="194"/>
      <c r="Q300" s="194"/>
      <c r="R300" s="194"/>
      <c r="S300" s="194"/>
      <c r="T300" s="194"/>
      <c r="U300" s="194"/>
      <c r="V300" s="194"/>
      <c r="W300" s="194"/>
      <c r="X300" s="194"/>
      <c r="Y300" s="194"/>
      <c r="Z300" s="194"/>
    </row>
    <row r="301">
      <c r="A301" s="194"/>
      <c r="B301" s="194"/>
      <c r="C301" s="537"/>
      <c r="D301" s="537"/>
      <c r="E301" s="537"/>
      <c r="F301" s="537"/>
      <c r="G301" s="537"/>
      <c r="H301" s="537"/>
      <c r="I301" s="538"/>
      <c r="J301" s="537"/>
      <c r="K301" s="194"/>
      <c r="L301" s="194"/>
      <c r="M301" s="194"/>
      <c r="N301" s="194"/>
      <c r="O301" s="194"/>
      <c r="P301" s="194"/>
      <c r="Q301" s="194"/>
      <c r="R301" s="194"/>
      <c r="S301" s="194"/>
      <c r="T301" s="194"/>
      <c r="U301" s="194"/>
      <c r="V301" s="194"/>
      <c r="W301" s="194"/>
      <c r="X301" s="194"/>
      <c r="Y301" s="194"/>
      <c r="Z301" s="194"/>
    </row>
    <row r="302">
      <c r="A302" s="194"/>
      <c r="B302" s="194"/>
      <c r="C302" s="537"/>
      <c r="D302" s="537"/>
      <c r="E302" s="537"/>
      <c r="F302" s="537"/>
      <c r="G302" s="537"/>
      <c r="H302" s="537"/>
      <c r="I302" s="538"/>
      <c r="J302" s="537"/>
      <c r="K302" s="194"/>
      <c r="L302" s="194"/>
      <c r="M302" s="194"/>
      <c r="N302" s="194"/>
      <c r="O302" s="194"/>
      <c r="P302" s="194"/>
      <c r="Q302" s="194"/>
      <c r="R302" s="194"/>
      <c r="S302" s="194"/>
      <c r="T302" s="194"/>
      <c r="U302" s="194"/>
      <c r="V302" s="194"/>
      <c r="W302" s="194"/>
      <c r="X302" s="194"/>
      <c r="Y302" s="194"/>
      <c r="Z302" s="194"/>
    </row>
    <row r="303">
      <c r="A303" s="194"/>
      <c r="B303" s="194"/>
      <c r="C303" s="537"/>
      <c r="D303" s="537"/>
      <c r="E303" s="537"/>
      <c r="F303" s="537"/>
      <c r="G303" s="537"/>
      <c r="H303" s="537"/>
      <c r="I303" s="538"/>
      <c r="J303" s="537"/>
      <c r="K303" s="194"/>
      <c r="L303" s="194"/>
      <c r="M303" s="194"/>
      <c r="N303" s="194"/>
      <c r="O303" s="194"/>
      <c r="P303" s="194"/>
      <c r="Q303" s="194"/>
      <c r="R303" s="194"/>
      <c r="S303" s="194"/>
      <c r="T303" s="194"/>
      <c r="U303" s="194"/>
      <c r="V303" s="194"/>
      <c r="W303" s="194"/>
      <c r="X303" s="194"/>
      <c r="Y303" s="194"/>
      <c r="Z303" s="194"/>
    </row>
    <row r="304">
      <c r="A304" s="194"/>
      <c r="B304" s="194"/>
      <c r="C304" s="537"/>
      <c r="D304" s="537"/>
      <c r="E304" s="537"/>
      <c r="F304" s="537"/>
      <c r="G304" s="537"/>
      <c r="H304" s="537"/>
      <c r="I304" s="538"/>
      <c r="J304" s="537"/>
      <c r="K304" s="194"/>
      <c r="L304" s="194"/>
      <c r="M304" s="194"/>
      <c r="N304" s="194"/>
      <c r="O304" s="194"/>
      <c r="P304" s="194"/>
      <c r="Q304" s="194"/>
      <c r="R304" s="194"/>
      <c r="S304" s="194"/>
      <c r="T304" s="194"/>
      <c r="U304" s="194"/>
      <c r="V304" s="194"/>
      <c r="W304" s="194"/>
      <c r="X304" s="194"/>
      <c r="Y304" s="194"/>
      <c r="Z304" s="194"/>
    </row>
    <row r="305">
      <c r="A305" s="194"/>
      <c r="B305" s="194"/>
      <c r="C305" s="537"/>
      <c r="D305" s="537"/>
      <c r="E305" s="537"/>
      <c r="F305" s="537"/>
      <c r="G305" s="537"/>
      <c r="H305" s="537"/>
      <c r="I305" s="538"/>
      <c r="J305" s="537"/>
      <c r="K305" s="194"/>
      <c r="L305" s="194"/>
      <c r="M305" s="194"/>
      <c r="N305" s="194"/>
      <c r="O305" s="194"/>
      <c r="P305" s="194"/>
      <c r="Q305" s="194"/>
      <c r="R305" s="194"/>
      <c r="S305" s="194"/>
      <c r="T305" s="194"/>
      <c r="U305" s="194"/>
      <c r="V305" s="194"/>
      <c r="W305" s="194"/>
      <c r="X305" s="194"/>
      <c r="Y305" s="194"/>
      <c r="Z305" s="194"/>
    </row>
    <row r="306">
      <c r="A306" s="194"/>
      <c r="B306" s="194"/>
      <c r="C306" s="537"/>
      <c r="D306" s="537"/>
      <c r="E306" s="537"/>
      <c r="F306" s="537"/>
      <c r="G306" s="537"/>
      <c r="H306" s="537"/>
      <c r="I306" s="538"/>
      <c r="J306" s="537"/>
      <c r="K306" s="194"/>
      <c r="L306" s="194"/>
      <c r="M306" s="194"/>
      <c r="N306" s="194"/>
      <c r="O306" s="194"/>
      <c r="P306" s="194"/>
      <c r="Q306" s="194"/>
      <c r="R306" s="194"/>
      <c r="S306" s="194"/>
      <c r="T306" s="194"/>
      <c r="U306" s="194"/>
      <c r="V306" s="194"/>
      <c r="W306" s="194"/>
      <c r="X306" s="194"/>
      <c r="Y306" s="194"/>
      <c r="Z306" s="194"/>
    </row>
    <row r="307">
      <c r="A307" s="194"/>
      <c r="B307" s="194"/>
      <c r="C307" s="537"/>
      <c r="D307" s="537"/>
      <c r="E307" s="537"/>
      <c r="F307" s="537"/>
      <c r="G307" s="537"/>
      <c r="H307" s="537"/>
      <c r="I307" s="538"/>
      <c r="J307" s="537"/>
      <c r="K307" s="194"/>
      <c r="L307" s="194"/>
      <c r="M307" s="194"/>
      <c r="N307" s="194"/>
      <c r="O307" s="194"/>
      <c r="P307" s="194"/>
      <c r="Q307" s="194"/>
      <c r="R307" s="194"/>
      <c r="S307" s="194"/>
      <c r="T307" s="194"/>
      <c r="U307" s="194"/>
      <c r="V307" s="194"/>
      <c r="W307" s="194"/>
      <c r="X307" s="194"/>
      <c r="Y307" s="194"/>
      <c r="Z307" s="194"/>
    </row>
    <row r="308">
      <c r="A308" s="194"/>
      <c r="B308" s="194"/>
      <c r="C308" s="537"/>
      <c r="D308" s="537"/>
      <c r="E308" s="537"/>
      <c r="F308" s="537"/>
      <c r="G308" s="537"/>
      <c r="H308" s="537"/>
      <c r="I308" s="538"/>
      <c r="J308" s="537"/>
      <c r="K308" s="194"/>
      <c r="L308" s="194"/>
      <c r="M308" s="194"/>
      <c r="N308" s="194"/>
      <c r="O308" s="194"/>
      <c r="P308" s="194"/>
      <c r="Q308" s="194"/>
      <c r="R308" s="194"/>
      <c r="S308" s="194"/>
      <c r="T308" s="194"/>
      <c r="U308" s="194"/>
      <c r="V308" s="194"/>
      <c r="W308" s="194"/>
      <c r="X308" s="194"/>
      <c r="Y308" s="194"/>
      <c r="Z308" s="194"/>
    </row>
    <row r="309">
      <c r="A309" s="194"/>
      <c r="B309" s="194"/>
      <c r="C309" s="537"/>
      <c r="D309" s="537"/>
      <c r="E309" s="537"/>
      <c r="F309" s="537"/>
      <c r="G309" s="537"/>
      <c r="H309" s="537"/>
      <c r="I309" s="538"/>
      <c r="J309" s="537"/>
      <c r="K309" s="194"/>
      <c r="L309" s="194"/>
      <c r="M309" s="194"/>
      <c r="N309" s="194"/>
      <c r="O309" s="194"/>
      <c r="P309" s="194"/>
      <c r="Q309" s="194"/>
      <c r="R309" s="194"/>
      <c r="S309" s="194"/>
      <c r="T309" s="194"/>
      <c r="U309" s="194"/>
      <c r="V309" s="194"/>
      <c r="W309" s="194"/>
      <c r="X309" s="194"/>
      <c r="Y309" s="194"/>
      <c r="Z309" s="194"/>
    </row>
    <row r="310">
      <c r="A310" s="194"/>
      <c r="B310" s="194"/>
      <c r="C310" s="537"/>
      <c r="D310" s="537"/>
      <c r="E310" s="537"/>
      <c r="F310" s="537"/>
      <c r="G310" s="537"/>
      <c r="H310" s="537"/>
      <c r="I310" s="538"/>
      <c r="J310" s="537"/>
      <c r="K310" s="194"/>
      <c r="L310" s="194"/>
      <c r="M310" s="194"/>
      <c r="N310" s="194"/>
      <c r="O310" s="194"/>
      <c r="P310" s="194"/>
      <c r="Q310" s="194"/>
      <c r="R310" s="194"/>
      <c r="S310" s="194"/>
      <c r="T310" s="194"/>
      <c r="U310" s="194"/>
      <c r="V310" s="194"/>
      <c r="W310" s="194"/>
      <c r="X310" s="194"/>
      <c r="Y310" s="194"/>
      <c r="Z310" s="194"/>
    </row>
    <row r="311">
      <c r="A311" s="194"/>
      <c r="B311" s="194"/>
      <c r="C311" s="537"/>
      <c r="D311" s="537"/>
      <c r="E311" s="537"/>
      <c r="F311" s="537"/>
      <c r="G311" s="537"/>
      <c r="H311" s="537"/>
      <c r="I311" s="538"/>
      <c r="J311" s="537"/>
      <c r="K311" s="194"/>
      <c r="L311" s="194"/>
      <c r="M311" s="194"/>
      <c r="N311" s="194"/>
      <c r="O311" s="194"/>
      <c r="P311" s="194"/>
      <c r="Q311" s="194"/>
      <c r="R311" s="194"/>
      <c r="S311" s="194"/>
      <c r="T311" s="194"/>
      <c r="U311" s="194"/>
      <c r="V311" s="194"/>
      <c r="W311" s="194"/>
      <c r="X311" s="194"/>
      <c r="Y311" s="194"/>
      <c r="Z311" s="194"/>
    </row>
    <row r="312">
      <c r="A312" s="194"/>
      <c r="B312" s="194"/>
      <c r="C312" s="537"/>
      <c r="D312" s="537"/>
      <c r="E312" s="537"/>
      <c r="F312" s="537"/>
      <c r="G312" s="537"/>
      <c r="H312" s="537"/>
      <c r="I312" s="538"/>
      <c r="J312" s="537"/>
      <c r="K312" s="194"/>
      <c r="L312" s="194"/>
      <c r="M312" s="194"/>
      <c r="N312" s="194"/>
      <c r="O312" s="194"/>
      <c r="P312" s="194"/>
      <c r="Q312" s="194"/>
      <c r="R312" s="194"/>
      <c r="S312" s="194"/>
      <c r="T312" s="194"/>
      <c r="U312" s="194"/>
      <c r="V312" s="194"/>
      <c r="W312" s="194"/>
      <c r="X312" s="194"/>
      <c r="Y312" s="194"/>
      <c r="Z312" s="194"/>
    </row>
    <row r="313">
      <c r="A313" s="194"/>
      <c r="B313" s="194"/>
      <c r="C313" s="537"/>
      <c r="D313" s="537"/>
      <c r="E313" s="537"/>
      <c r="F313" s="537"/>
      <c r="G313" s="537"/>
      <c r="H313" s="537"/>
      <c r="I313" s="538"/>
      <c r="J313" s="537"/>
      <c r="K313" s="194"/>
      <c r="L313" s="194"/>
      <c r="M313" s="194"/>
      <c r="N313" s="194"/>
      <c r="O313" s="194"/>
      <c r="P313" s="194"/>
      <c r="Q313" s="194"/>
      <c r="R313" s="194"/>
      <c r="S313" s="194"/>
      <c r="T313" s="194"/>
      <c r="U313" s="194"/>
      <c r="V313" s="194"/>
      <c r="W313" s="194"/>
      <c r="X313" s="194"/>
      <c r="Y313" s="194"/>
      <c r="Z313" s="194"/>
    </row>
    <row r="314">
      <c r="A314" s="194"/>
      <c r="B314" s="194"/>
      <c r="C314" s="537"/>
      <c r="D314" s="537"/>
      <c r="E314" s="537"/>
      <c r="F314" s="537"/>
      <c r="G314" s="537"/>
      <c r="H314" s="537"/>
      <c r="I314" s="538"/>
      <c r="J314" s="537"/>
      <c r="K314" s="194"/>
      <c r="L314" s="194"/>
      <c r="M314" s="194"/>
      <c r="N314" s="194"/>
      <c r="O314" s="194"/>
      <c r="P314" s="194"/>
      <c r="Q314" s="194"/>
      <c r="R314" s="194"/>
      <c r="S314" s="194"/>
      <c r="T314" s="194"/>
      <c r="U314" s="194"/>
      <c r="V314" s="194"/>
      <c r="W314" s="194"/>
      <c r="X314" s="194"/>
      <c r="Y314" s="194"/>
      <c r="Z314" s="194"/>
    </row>
    <row r="315">
      <c r="A315" s="194"/>
      <c r="B315" s="194"/>
      <c r="C315" s="537"/>
      <c r="D315" s="537"/>
      <c r="E315" s="537"/>
      <c r="F315" s="537"/>
      <c r="G315" s="537"/>
      <c r="H315" s="537"/>
      <c r="I315" s="538"/>
      <c r="J315" s="537"/>
      <c r="K315" s="194"/>
      <c r="L315" s="194"/>
      <c r="M315" s="194"/>
      <c r="N315" s="194"/>
      <c r="O315" s="194"/>
      <c r="P315" s="194"/>
      <c r="Q315" s="194"/>
      <c r="R315" s="194"/>
      <c r="S315" s="194"/>
      <c r="T315" s="194"/>
      <c r="U315" s="194"/>
      <c r="V315" s="194"/>
      <c r="W315" s="194"/>
      <c r="X315" s="194"/>
      <c r="Y315" s="194"/>
      <c r="Z315" s="194"/>
    </row>
    <row r="316">
      <c r="A316" s="194"/>
      <c r="B316" s="194"/>
      <c r="C316" s="537"/>
      <c r="D316" s="537"/>
      <c r="E316" s="537"/>
      <c r="F316" s="537"/>
      <c r="G316" s="537"/>
      <c r="H316" s="537"/>
      <c r="I316" s="538"/>
      <c r="J316" s="537"/>
      <c r="K316" s="194"/>
      <c r="L316" s="194"/>
      <c r="M316" s="194"/>
      <c r="N316" s="194"/>
      <c r="O316" s="194"/>
      <c r="P316" s="194"/>
      <c r="Q316" s="194"/>
      <c r="R316" s="194"/>
      <c r="S316" s="194"/>
      <c r="T316" s="194"/>
      <c r="U316" s="194"/>
      <c r="V316" s="194"/>
      <c r="W316" s="194"/>
      <c r="X316" s="194"/>
      <c r="Y316" s="194"/>
      <c r="Z316" s="194"/>
    </row>
    <row r="317">
      <c r="A317" s="194"/>
      <c r="B317" s="194"/>
      <c r="C317" s="537"/>
      <c r="D317" s="537"/>
      <c r="E317" s="537"/>
      <c r="F317" s="537"/>
      <c r="G317" s="537"/>
      <c r="H317" s="537"/>
      <c r="I317" s="538"/>
      <c r="J317" s="537"/>
      <c r="K317" s="194"/>
      <c r="L317" s="194"/>
      <c r="M317" s="194"/>
      <c r="N317" s="194"/>
      <c r="O317" s="194"/>
      <c r="P317" s="194"/>
      <c r="Q317" s="194"/>
      <c r="R317" s="194"/>
      <c r="S317" s="194"/>
      <c r="T317" s="194"/>
      <c r="U317" s="194"/>
      <c r="V317" s="194"/>
      <c r="W317" s="194"/>
      <c r="X317" s="194"/>
      <c r="Y317" s="194"/>
      <c r="Z317" s="194"/>
    </row>
    <row r="318">
      <c r="A318" s="194"/>
      <c r="B318" s="194"/>
      <c r="C318" s="537"/>
      <c r="D318" s="537"/>
      <c r="E318" s="537"/>
      <c r="F318" s="537"/>
      <c r="G318" s="537"/>
      <c r="H318" s="537"/>
      <c r="I318" s="538"/>
      <c r="J318" s="537"/>
      <c r="K318" s="194"/>
      <c r="L318" s="194"/>
      <c r="M318" s="194"/>
      <c r="N318" s="194"/>
      <c r="O318" s="194"/>
      <c r="P318" s="194"/>
      <c r="Q318" s="194"/>
      <c r="R318" s="194"/>
      <c r="S318" s="194"/>
      <c r="T318" s="194"/>
      <c r="U318" s="194"/>
      <c r="V318" s="194"/>
      <c r="W318" s="194"/>
      <c r="X318" s="194"/>
      <c r="Y318" s="194"/>
      <c r="Z318" s="194"/>
    </row>
    <row r="319">
      <c r="A319" s="194"/>
      <c r="B319" s="194"/>
      <c r="C319" s="537"/>
      <c r="D319" s="537"/>
      <c r="E319" s="537"/>
      <c r="F319" s="537"/>
      <c r="G319" s="537"/>
      <c r="H319" s="537"/>
      <c r="I319" s="538"/>
      <c r="J319" s="537"/>
      <c r="K319" s="194"/>
      <c r="L319" s="194"/>
      <c r="M319" s="194"/>
      <c r="N319" s="194"/>
      <c r="O319" s="194"/>
      <c r="P319" s="194"/>
      <c r="Q319" s="194"/>
      <c r="R319" s="194"/>
      <c r="S319" s="194"/>
      <c r="T319" s="194"/>
      <c r="U319" s="194"/>
      <c r="V319" s="194"/>
      <c r="W319" s="194"/>
      <c r="X319" s="194"/>
      <c r="Y319" s="194"/>
      <c r="Z319" s="194"/>
    </row>
    <row r="320">
      <c r="A320" s="194"/>
      <c r="B320" s="194"/>
      <c r="C320" s="537"/>
      <c r="D320" s="537"/>
      <c r="E320" s="537"/>
      <c r="F320" s="537"/>
      <c r="G320" s="537"/>
      <c r="H320" s="537"/>
      <c r="I320" s="538"/>
      <c r="J320" s="537"/>
      <c r="K320" s="194"/>
      <c r="L320" s="194"/>
      <c r="M320" s="194"/>
      <c r="N320" s="194"/>
      <c r="O320" s="194"/>
      <c r="P320" s="194"/>
      <c r="Q320" s="194"/>
      <c r="R320" s="194"/>
      <c r="S320" s="194"/>
      <c r="T320" s="194"/>
      <c r="U320" s="194"/>
      <c r="V320" s="194"/>
      <c r="W320" s="194"/>
      <c r="X320" s="194"/>
      <c r="Y320" s="194"/>
      <c r="Z320" s="194"/>
    </row>
    <row r="321">
      <c r="A321" s="194"/>
      <c r="B321" s="194"/>
      <c r="C321" s="537"/>
      <c r="D321" s="537"/>
      <c r="E321" s="537"/>
      <c r="F321" s="537"/>
      <c r="G321" s="537"/>
      <c r="H321" s="537"/>
      <c r="I321" s="538"/>
      <c r="J321" s="537"/>
      <c r="K321" s="194"/>
      <c r="L321" s="194"/>
      <c r="M321" s="194"/>
      <c r="N321" s="194"/>
      <c r="O321" s="194"/>
      <c r="P321" s="194"/>
      <c r="Q321" s="194"/>
      <c r="R321" s="194"/>
      <c r="S321" s="194"/>
      <c r="T321" s="194"/>
      <c r="U321" s="194"/>
      <c r="V321" s="194"/>
      <c r="W321" s="194"/>
      <c r="X321" s="194"/>
      <c r="Y321" s="194"/>
      <c r="Z321" s="194"/>
    </row>
    <row r="322">
      <c r="A322" s="194"/>
      <c r="B322" s="194"/>
      <c r="C322" s="537"/>
      <c r="D322" s="537"/>
      <c r="E322" s="537"/>
      <c r="F322" s="537"/>
      <c r="G322" s="537"/>
      <c r="H322" s="537"/>
      <c r="I322" s="538"/>
      <c r="J322" s="537"/>
      <c r="K322" s="194"/>
      <c r="L322" s="194"/>
      <c r="M322" s="194"/>
      <c r="N322" s="194"/>
      <c r="O322" s="194"/>
      <c r="P322" s="194"/>
      <c r="Q322" s="194"/>
      <c r="R322" s="194"/>
      <c r="S322" s="194"/>
      <c r="T322" s="194"/>
      <c r="U322" s="194"/>
      <c r="V322" s="194"/>
      <c r="W322" s="194"/>
      <c r="X322" s="194"/>
      <c r="Y322" s="194"/>
      <c r="Z322" s="194"/>
    </row>
    <row r="323">
      <c r="A323" s="194"/>
      <c r="B323" s="194"/>
      <c r="C323" s="537"/>
      <c r="D323" s="537"/>
      <c r="E323" s="537"/>
      <c r="F323" s="537"/>
      <c r="G323" s="537"/>
      <c r="H323" s="537"/>
      <c r="I323" s="538"/>
      <c r="J323" s="537"/>
      <c r="K323" s="194"/>
      <c r="L323" s="194"/>
      <c r="M323" s="194"/>
      <c r="N323" s="194"/>
      <c r="O323" s="194"/>
      <c r="P323" s="194"/>
      <c r="Q323" s="194"/>
      <c r="R323" s="194"/>
      <c r="S323" s="194"/>
      <c r="T323" s="194"/>
      <c r="U323" s="194"/>
      <c r="V323" s="194"/>
      <c r="W323" s="194"/>
      <c r="X323" s="194"/>
      <c r="Y323" s="194"/>
      <c r="Z323" s="194"/>
    </row>
    <row r="324">
      <c r="A324" s="194"/>
      <c r="B324" s="194"/>
      <c r="C324" s="537"/>
      <c r="D324" s="537"/>
      <c r="E324" s="537"/>
      <c r="F324" s="537"/>
      <c r="G324" s="537"/>
      <c r="H324" s="537"/>
      <c r="I324" s="538"/>
      <c r="J324" s="537"/>
      <c r="K324" s="194"/>
      <c r="L324" s="194"/>
      <c r="M324" s="194"/>
      <c r="N324" s="194"/>
      <c r="O324" s="194"/>
      <c r="P324" s="194"/>
      <c r="Q324" s="194"/>
      <c r="R324" s="194"/>
      <c r="S324" s="194"/>
      <c r="T324" s="194"/>
      <c r="U324" s="194"/>
      <c r="V324" s="194"/>
      <c r="W324" s="194"/>
      <c r="X324" s="194"/>
      <c r="Y324" s="194"/>
      <c r="Z324" s="194"/>
    </row>
    <row r="325">
      <c r="A325" s="194"/>
      <c r="B325" s="194"/>
      <c r="C325" s="537"/>
      <c r="D325" s="537"/>
      <c r="E325" s="537"/>
      <c r="F325" s="537"/>
      <c r="G325" s="537"/>
      <c r="H325" s="537"/>
      <c r="I325" s="538"/>
      <c r="J325" s="537"/>
      <c r="K325" s="194"/>
      <c r="L325" s="194"/>
      <c r="M325" s="194"/>
      <c r="N325" s="194"/>
      <c r="O325" s="194"/>
      <c r="P325" s="194"/>
      <c r="Q325" s="194"/>
      <c r="R325" s="194"/>
      <c r="S325" s="194"/>
      <c r="T325" s="194"/>
      <c r="U325" s="194"/>
      <c r="V325" s="194"/>
      <c r="W325" s="194"/>
      <c r="X325" s="194"/>
      <c r="Y325" s="194"/>
      <c r="Z325" s="194"/>
    </row>
    <row r="326">
      <c r="A326" s="194"/>
      <c r="B326" s="194"/>
      <c r="C326" s="537"/>
      <c r="D326" s="537"/>
      <c r="E326" s="537"/>
      <c r="F326" s="537"/>
      <c r="G326" s="537"/>
      <c r="H326" s="537"/>
      <c r="I326" s="538"/>
      <c r="J326" s="537"/>
      <c r="K326" s="194"/>
      <c r="L326" s="194"/>
      <c r="M326" s="194"/>
      <c r="N326" s="194"/>
      <c r="O326" s="194"/>
      <c r="P326" s="194"/>
      <c r="Q326" s="194"/>
      <c r="R326" s="194"/>
      <c r="S326" s="194"/>
      <c r="T326" s="194"/>
      <c r="U326" s="194"/>
      <c r="V326" s="194"/>
      <c r="W326" s="194"/>
      <c r="X326" s="194"/>
      <c r="Y326" s="194"/>
      <c r="Z326" s="194"/>
    </row>
    <row r="327">
      <c r="A327" s="194"/>
      <c r="B327" s="194"/>
      <c r="C327" s="537"/>
      <c r="D327" s="537"/>
      <c r="E327" s="537"/>
      <c r="F327" s="537"/>
      <c r="G327" s="537"/>
      <c r="H327" s="537"/>
      <c r="I327" s="538"/>
      <c r="J327" s="537"/>
      <c r="K327" s="194"/>
      <c r="L327" s="194"/>
      <c r="M327" s="194"/>
      <c r="N327" s="194"/>
      <c r="O327" s="194"/>
      <c r="P327" s="194"/>
      <c r="Q327" s="194"/>
      <c r="R327" s="194"/>
      <c r="S327" s="194"/>
      <c r="T327" s="194"/>
      <c r="U327" s="194"/>
      <c r="V327" s="194"/>
      <c r="W327" s="194"/>
      <c r="X327" s="194"/>
      <c r="Y327" s="194"/>
      <c r="Z327" s="194"/>
    </row>
    <row r="328">
      <c r="A328" s="194"/>
      <c r="B328" s="194"/>
      <c r="C328" s="537"/>
      <c r="D328" s="537"/>
      <c r="E328" s="537"/>
      <c r="F328" s="537"/>
      <c r="G328" s="537"/>
      <c r="H328" s="537"/>
      <c r="I328" s="538"/>
      <c r="J328" s="537"/>
      <c r="K328" s="194"/>
      <c r="L328" s="194"/>
      <c r="M328" s="194"/>
      <c r="N328" s="194"/>
      <c r="O328" s="194"/>
      <c r="P328" s="194"/>
      <c r="Q328" s="194"/>
      <c r="R328" s="194"/>
      <c r="S328" s="194"/>
      <c r="T328" s="194"/>
      <c r="U328" s="194"/>
      <c r="V328" s="194"/>
      <c r="W328" s="194"/>
      <c r="X328" s="194"/>
      <c r="Y328" s="194"/>
      <c r="Z328" s="194"/>
    </row>
    <row r="329">
      <c r="A329" s="194"/>
      <c r="B329" s="194"/>
      <c r="C329" s="537"/>
      <c r="D329" s="537"/>
      <c r="E329" s="537"/>
      <c r="F329" s="537"/>
      <c r="G329" s="537"/>
      <c r="H329" s="537"/>
      <c r="I329" s="538"/>
      <c r="J329" s="537"/>
      <c r="K329" s="194"/>
      <c r="L329" s="194"/>
      <c r="M329" s="194"/>
      <c r="N329" s="194"/>
      <c r="O329" s="194"/>
      <c r="P329" s="194"/>
      <c r="Q329" s="194"/>
      <c r="R329" s="194"/>
      <c r="S329" s="194"/>
      <c r="T329" s="194"/>
      <c r="U329" s="194"/>
      <c r="V329" s="194"/>
      <c r="W329" s="194"/>
      <c r="X329" s="194"/>
      <c r="Y329" s="194"/>
      <c r="Z329" s="194"/>
    </row>
    <row r="330">
      <c r="A330" s="194"/>
      <c r="B330" s="194"/>
      <c r="C330" s="537"/>
      <c r="D330" s="537"/>
      <c r="E330" s="537"/>
      <c r="F330" s="537"/>
      <c r="G330" s="537"/>
      <c r="H330" s="537"/>
      <c r="I330" s="538"/>
      <c r="J330" s="537"/>
      <c r="K330" s="194"/>
      <c r="L330" s="194"/>
      <c r="M330" s="194"/>
      <c r="N330" s="194"/>
      <c r="O330" s="194"/>
      <c r="P330" s="194"/>
      <c r="Q330" s="194"/>
      <c r="R330" s="194"/>
      <c r="S330" s="194"/>
      <c r="T330" s="194"/>
      <c r="U330" s="194"/>
      <c r="V330" s="194"/>
      <c r="W330" s="194"/>
      <c r="X330" s="194"/>
      <c r="Y330" s="194"/>
      <c r="Z330" s="194"/>
    </row>
    <row r="331">
      <c r="A331" s="194"/>
      <c r="B331" s="194"/>
      <c r="C331" s="537"/>
      <c r="D331" s="537"/>
      <c r="E331" s="537"/>
      <c r="F331" s="537"/>
      <c r="G331" s="537"/>
      <c r="H331" s="537"/>
      <c r="I331" s="538"/>
      <c r="J331" s="537"/>
      <c r="K331" s="194"/>
      <c r="L331" s="194"/>
      <c r="M331" s="194"/>
      <c r="N331" s="194"/>
      <c r="O331" s="194"/>
      <c r="P331" s="194"/>
      <c r="Q331" s="194"/>
      <c r="R331" s="194"/>
      <c r="S331" s="194"/>
      <c r="T331" s="194"/>
      <c r="U331" s="194"/>
      <c r="V331" s="194"/>
      <c r="W331" s="194"/>
      <c r="X331" s="194"/>
      <c r="Y331" s="194"/>
      <c r="Z331" s="194"/>
    </row>
    <row r="332">
      <c r="A332" s="194"/>
      <c r="B332" s="194"/>
      <c r="C332" s="537"/>
      <c r="D332" s="537"/>
      <c r="E332" s="537"/>
      <c r="F332" s="537"/>
      <c r="G332" s="537"/>
      <c r="H332" s="537"/>
      <c r="I332" s="538"/>
      <c r="J332" s="537"/>
      <c r="K332" s="194"/>
      <c r="L332" s="194"/>
      <c r="M332" s="194"/>
      <c r="N332" s="194"/>
      <c r="O332" s="194"/>
      <c r="P332" s="194"/>
      <c r="Q332" s="194"/>
      <c r="R332" s="194"/>
      <c r="S332" s="194"/>
      <c r="T332" s="194"/>
      <c r="U332" s="194"/>
      <c r="V332" s="194"/>
      <c r="W332" s="194"/>
      <c r="X332" s="194"/>
      <c r="Y332" s="194"/>
      <c r="Z332" s="194"/>
    </row>
    <row r="333">
      <c r="A333" s="194"/>
      <c r="B333" s="194"/>
      <c r="C333" s="537"/>
      <c r="D333" s="537"/>
      <c r="E333" s="537"/>
      <c r="F333" s="537"/>
      <c r="G333" s="537"/>
      <c r="H333" s="537"/>
      <c r="I333" s="538"/>
      <c r="J333" s="537"/>
      <c r="K333" s="194"/>
      <c r="L333" s="194"/>
      <c r="M333" s="194"/>
      <c r="N333" s="194"/>
      <c r="O333" s="194"/>
      <c r="P333" s="194"/>
      <c r="Q333" s="194"/>
      <c r="R333" s="194"/>
      <c r="S333" s="194"/>
      <c r="T333" s="194"/>
      <c r="U333" s="194"/>
      <c r="V333" s="194"/>
      <c r="W333" s="194"/>
      <c r="X333" s="194"/>
      <c r="Y333" s="194"/>
      <c r="Z333" s="194"/>
    </row>
    <row r="334">
      <c r="A334" s="194"/>
      <c r="B334" s="194"/>
      <c r="C334" s="537"/>
      <c r="D334" s="537"/>
      <c r="E334" s="537"/>
      <c r="F334" s="537"/>
      <c r="G334" s="537"/>
      <c r="H334" s="537"/>
      <c r="I334" s="538"/>
      <c r="J334" s="537"/>
      <c r="K334" s="194"/>
      <c r="L334" s="194"/>
      <c r="M334" s="194"/>
      <c r="N334" s="194"/>
      <c r="O334" s="194"/>
      <c r="P334" s="194"/>
      <c r="Q334" s="194"/>
      <c r="R334" s="194"/>
      <c r="S334" s="194"/>
      <c r="T334" s="194"/>
      <c r="U334" s="194"/>
      <c r="V334" s="194"/>
      <c r="W334" s="194"/>
      <c r="X334" s="194"/>
      <c r="Y334" s="194"/>
      <c r="Z334" s="194"/>
    </row>
    <row r="335">
      <c r="A335" s="194"/>
      <c r="B335" s="194"/>
      <c r="C335" s="537"/>
      <c r="D335" s="537"/>
      <c r="E335" s="537"/>
      <c r="F335" s="537"/>
      <c r="G335" s="537"/>
      <c r="H335" s="537"/>
      <c r="I335" s="538"/>
      <c r="J335" s="537"/>
      <c r="K335" s="194"/>
      <c r="L335" s="194"/>
      <c r="M335" s="194"/>
      <c r="N335" s="194"/>
      <c r="O335" s="194"/>
      <c r="P335" s="194"/>
      <c r="Q335" s="194"/>
      <c r="R335" s="194"/>
      <c r="S335" s="194"/>
      <c r="T335" s="194"/>
      <c r="U335" s="194"/>
      <c r="V335" s="194"/>
      <c r="W335" s="194"/>
      <c r="X335" s="194"/>
      <c r="Y335" s="194"/>
      <c r="Z335" s="194"/>
    </row>
    <row r="336">
      <c r="A336" s="194"/>
      <c r="B336" s="194"/>
      <c r="C336" s="537"/>
      <c r="D336" s="537"/>
      <c r="E336" s="537"/>
      <c r="F336" s="537"/>
      <c r="G336" s="537"/>
      <c r="H336" s="537"/>
      <c r="I336" s="538"/>
      <c r="J336" s="537"/>
      <c r="K336" s="194"/>
      <c r="L336" s="194"/>
      <c r="M336" s="194"/>
      <c r="N336" s="194"/>
      <c r="O336" s="194"/>
      <c r="P336" s="194"/>
      <c r="Q336" s="194"/>
      <c r="R336" s="194"/>
      <c r="S336" s="194"/>
      <c r="T336" s="194"/>
      <c r="U336" s="194"/>
      <c r="V336" s="194"/>
      <c r="W336" s="194"/>
      <c r="X336" s="194"/>
      <c r="Y336" s="194"/>
      <c r="Z336" s="194"/>
    </row>
    <row r="337">
      <c r="A337" s="194"/>
      <c r="B337" s="194"/>
      <c r="C337" s="537"/>
      <c r="D337" s="537"/>
      <c r="E337" s="537"/>
      <c r="F337" s="537"/>
      <c r="G337" s="537"/>
      <c r="H337" s="537"/>
      <c r="I337" s="538"/>
      <c r="J337" s="537"/>
      <c r="K337" s="194"/>
      <c r="L337" s="194"/>
      <c r="M337" s="194"/>
      <c r="N337" s="194"/>
      <c r="O337" s="194"/>
      <c r="P337" s="194"/>
      <c r="Q337" s="194"/>
      <c r="R337" s="194"/>
      <c r="S337" s="194"/>
      <c r="T337" s="194"/>
      <c r="U337" s="194"/>
      <c r="V337" s="194"/>
      <c r="W337" s="194"/>
      <c r="X337" s="194"/>
      <c r="Y337" s="194"/>
      <c r="Z337" s="194"/>
    </row>
    <row r="338">
      <c r="A338" s="194"/>
      <c r="B338" s="194"/>
      <c r="C338" s="537"/>
      <c r="D338" s="537"/>
      <c r="E338" s="537"/>
      <c r="F338" s="537"/>
      <c r="G338" s="537"/>
      <c r="H338" s="537"/>
      <c r="I338" s="538"/>
      <c r="J338" s="537"/>
      <c r="K338" s="194"/>
      <c r="L338" s="194"/>
      <c r="M338" s="194"/>
      <c r="N338" s="194"/>
      <c r="O338" s="194"/>
      <c r="P338" s="194"/>
      <c r="Q338" s="194"/>
      <c r="R338" s="194"/>
      <c r="S338" s="194"/>
      <c r="T338" s="194"/>
      <c r="U338" s="194"/>
      <c r="V338" s="194"/>
      <c r="W338" s="194"/>
      <c r="X338" s="194"/>
      <c r="Y338" s="194"/>
      <c r="Z338" s="194"/>
    </row>
    <row r="339">
      <c r="A339" s="194"/>
      <c r="B339" s="194"/>
      <c r="C339" s="537"/>
      <c r="D339" s="537"/>
      <c r="E339" s="537"/>
      <c r="F339" s="537"/>
      <c r="G339" s="537"/>
      <c r="H339" s="537"/>
      <c r="I339" s="538"/>
      <c r="J339" s="537"/>
      <c r="K339" s="194"/>
      <c r="L339" s="194"/>
      <c r="M339" s="194"/>
      <c r="N339" s="194"/>
      <c r="O339" s="194"/>
      <c r="P339" s="194"/>
      <c r="Q339" s="194"/>
      <c r="R339" s="194"/>
      <c r="S339" s="194"/>
      <c r="T339" s="194"/>
      <c r="U339" s="194"/>
      <c r="V339" s="194"/>
      <c r="W339" s="194"/>
      <c r="X339" s="194"/>
      <c r="Y339" s="194"/>
      <c r="Z339" s="194"/>
    </row>
    <row r="340">
      <c r="A340" s="194"/>
      <c r="B340" s="194"/>
      <c r="C340" s="537"/>
      <c r="D340" s="537"/>
      <c r="E340" s="537"/>
      <c r="F340" s="537"/>
      <c r="G340" s="537"/>
      <c r="H340" s="537"/>
      <c r="I340" s="538"/>
      <c r="J340" s="537"/>
      <c r="K340" s="194"/>
      <c r="L340" s="194"/>
      <c r="M340" s="194"/>
      <c r="N340" s="194"/>
      <c r="O340" s="194"/>
      <c r="P340" s="194"/>
      <c r="Q340" s="194"/>
      <c r="R340" s="194"/>
      <c r="S340" s="194"/>
      <c r="T340" s="194"/>
      <c r="U340" s="194"/>
      <c r="V340" s="194"/>
      <c r="W340" s="194"/>
      <c r="X340" s="194"/>
      <c r="Y340" s="194"/>
      <c r="Z340" s="194"/>
    </row>
    <row r="341">
      <c r="A341" s="194"/>
      <c r="B341" s="194"/>
      <c r="C341" s="537"/>
      <c r="D341" s="537"/>
      <c r="E341" s="537"/>
      <c r="F341" s="537"/>
      <c r="G341" s="537"/>
      <c r="H341" s="537"/>
      <c r="I341" s="538"/>
      <c r="J341" s="537"/>
      <c r="K341" s="194"/>
      <c r="L341" s="194"/>
      <c r="M341" s="194"/>
      <c r="N341" s="194"/>
      <c r="O341" s="194"/>
      <c r="P341" s="194"/>
      <c r="Q341" s="194"/>
      <c r="R341" s="194"/>
      <c r="S341" s="194"/>
      <c r="T341" s="194"/>
      <c r="U341" s="194"/>
      <c r="V341" s="194"/>
      <c r="W341" s="194"/>
      <c r="X341" s="194"/>
      <c r="Y341" s="194"/>
      <c r="Z341" s="194"/>
    </row>
    <row r="342">
      <c r="A342" s="194"/>
      <c r="B342" s="194"/>
      <c r="C342" s="537"/>
      <c r="D342" s="537"/>
      <c r="E342" s="537"/>
      <c r="F342" s="537"/>
      <c r="G342" s="537"/>
      <c r="H342" s="537"/>
      <c r="I342" s="538"/>
      <c r="J342" s="537"/>
      <c r="K342" s="194"/>
      <c r="L342" s="194"/>
      <c r="M342" s="194"/>
      <c r="N342" s="194"/>
      <c r="O342" s="194"/>
      <c r="P342" s="194"/>
      <c r="Q342" s="194"/>
      <c r="R342" s="194"/>
      <c r="S342" s="194"/>
      <c r="T342" s="194"/>
      <c r="U342" s="194"/>
      <c r="V342" s="194"/>
      <c r="W342" s="194"/>
      <c r="X342" s="194"/>
      <c r="Y342" s="194"/>
      <c r="Z342" s="194"/>
    </row>
    <row r="343">
      <c r="A343" s="194"/>
      <c r="B343" s="194"/>
      <c r="C343" s="537"/>
      <c r="D343" s="537"/>
      <c r="E343" s="537"/>
      <c r="F343" s="537"/>
      <c r="G343" s="537"/>
      <c r="H343" s="537"/>
      <c r="I343" s="538"/>
      <c r="J343" s="537"/>
      <c r="K343" s="194"/>
      <c r="L343" s="194"/>
      <c r="M343" s="194"/>
      <c r="N343" s="194"/>
      <c r="O343" s="194"/>
      <c r="P343" s="194"/>
      <c r="Q343" s="194"/>
      <c r="R343" s="194"/>
      <c r="S343" s="194"/>
      <c r="T343" s="194"/>
      <c r="U343" s="194"/>
      <c r="V343" s="194"/>
      <c r="W343" s="194"/>
      <c r="X343" s="194"/>
      <c r="Y343" s="194"/>
      <c r="Z343" s="194"/>
    </row>
    <row r="344">
      <c r="A344" s="194"/>
      <c r="B344" s="194"/>
      <c r="C344" s="537"/>
      <c r="D344" s="537"/>
      <c r="E344" s="537"/>
      <c r="F344" s="537"/>
      <c r="G344" s="537"/>
      <c r="H344" s="537"/>
      <c r="I344" s="538"/>
      <c r="J344" s="537"/>
      <c r="K344" s="194"/>
      <c r="L344" s="194"/>
      <c r="M344" s="194"/>
      <c r="N344" s="194"/>
      <c r="O344" s="194"/>
      <c r="P344" s="194"/>
      <c r="Q344" s="194"/>
      <c r="R344" s="194"/>
      <c r="S344" s="194"/>
      <c r="T344" s="194"/>
      <c r="U344" s="194"/>
      <c r="V344" s="194"/>
      <c r="W344" s="194"/>
      <c r="X344" s="194"/>
      <c r="Y344" s="194"/>
      <c r="Z344" s="194"/>
    </row>
    <row r="345">
      <c r="A345" s="194"/>
      <c r="B345" s="194"/>
      <c r="C345" s="537"/>
      <c r="D345" s="537"/>
      <c r="E345" s="537"/>
      <c r="F345" s="537"/>
      <c r="G345" s="537"/>
      <c r="H345" s="537"/>
      <c r="I345" s="538"/>
      <c r="J345" s="537"/>
      <c r="K345" s="194"/>
      <c r="L345" s="194"/>
      <c r="M345" s="194"/>
      <c r="N345" s="194"/>
      <c r="O345" s="194"/>
      <c r="P345" s="194"/>
      <c r="Q345" s="194"/>
      <c r="R345" s="194"/>
      <c r="S345" s="194"/>
      <c r="T345" s="194"/>
      <c r="U345" s="194"/>
      <c r="V345" s="194"/>
      <c r="W345" s="194"/>
      <c r="X345" s="194"/>
      <c r="Y345" s="194"/>
      <c r="Z345" s="194"/>
    </row>
    <row r="346">
      <c r="A346" s="194"/>
      <c r="B346" s="194"/>
      <c r="C346" s="537"/>
      <c r="D346" s="537"/>
      <c r="E346" s="537"/>
      <c r="F346" s="537"/>
      <c r="G346" s="537"/>
      <c r="H346" s="537"/>
      <c r="I346" s="538"/>
      <c r="J346" s="537"/>
      <c r="K346" s="194"/>
      <c r="L346" s="194"/>
      <c r="M346" s="194"/>
      <c r="N346" s="194"/>
      <c r="O346" s="194"/>
      <c r="P346" s="194"/>
      <c r="Q346" s="194"/>
      <c r="R346" s="194"/>
      <c r="S346" s="194"/>
      <c r="T346" s="194"/>
      <c r="U346" s="194"/>
      <c r="V346" s="194"/>
      <c r="W346" s="194"/>
      <c r="X346" s="194"/>
      <c r="Y346" s="194"/>
      <c r="Z346" s="194"/>
    </row>
    <row r="347">
      <c r="A347" s="194"/>
      <c r="B347" s="194"/>
      <c r="C347" s="537"/>
      <c r="D347" s="537"/>
      <c r="E347" s="537"/>
      <c r="F347" s="537"/>
      <c r="G347" s="537"/>
      <c r="H347" s="537"/>
      <c r="I347" s="538"/>
      <c r="J347" s="537"/>
      <c r="K347" s="194"/>
      <c r="L347" s="194"/>
      <c r="M347" s="194"/>
      <c r="N347" s="194"/>
      <c r="O347" s="194"/>
      <c r="P347" s="194"/>
      <c r="Q347" s="194"/>
      <c r="R347" s="194"/>
      <c r="S347" s="194"/>
      <c r="T347" s="194"/>
      <c r="U347" s="194"/>
      <c r="V347" s="194"/>
      <c r="W347" s="194"/>
      <c r="X347" s="194"/>
      <c r="Y347" s="194"/>
      <c r="Z347" s="194"/>
    </row>
    <row r="348">
      <c r="A348" s="194"/>
      <c r="B348" s="194"/>
      <c r="C348" s="537"/>
      <c r="D348" s="537"/>
      <c r="E348" s="537"/>
      <c r="F348" s="537"/>
      <c r="G348" s="537"/>
      <c r="H348" s="537"/>
      <c r="I348" s="538"/>
      <c r="J348" s="537"/>
      <c r="K348" s="194"/>
      <c r="L348" s="194"/>
      <c r="M348" s="194"/>
      <c r="N348" s="194"/>
      <c r="O348" s="194"/>
      <c r="P348" s="194"/>
      <c r="Q348" s="194"/>
      <c r="R348" s="194"/>
      <c r="S348" s="194"/>
      <c r="T348" s="194"/>
      <c r="U348" s="194"/>
      <c r="V348" s="194"/>
      <c r="W348" s="194"/>
      <c r="X348" s="194"/>
      <c r="Y348" s="194"/>
      <c r="Z348" s="194"/>
    </row>
    <row r="349">
      <c r="A349" s="194"/>
      <c r="B349" s="194"/>
      <c r="C349" s="537"/>
      <c r="D349" s="537"/>
      <c r="E349" s="537"/>
      <c r="F349" s="537"/>
      <c r="G349" s="537"/>
      <c r="H349" s="537"/>
      <c r="I349" s="538"/>
      <c r="J349" s="537"/>
      <c r="K349" s="194"/>
      <c r="L349" s="194"/>
      <c r="M349" s="194"/>
      <c r="N349" s="194"/>
      <c r="O349" s="194"/>
      <c r="P349" s="194"/>
      <c r="Q349" s="194"/>
      <c r="R349" s="194"/>
      <c r="S349" s="194"/>
      <c r="T349" s="194"/>
      <c r="U349" s="194"/>
      <c r="V349" s="194"/>
      <c r="W349" s="194"/>
      <c r="X349" s="194"/>
      <c r="Y349" s="194"/>
      <c r="Z349" s="194"/>
    </row>
    <row r="350">
      <c r="A350" s="194"/>
      <c r="B350" s="194"/>
      <c r="C350" s="537"/>
      <c r="D350" s="537"/>
      <c r="E350" s="537"/>
      <c r="F350" s="537"/>
      <c r="G350" s="537"/>
      <c r="H350" s="537"/>
      <c r="I350" s="538"/>
      <c r="J350" s="537"/>
      <c r="K350" s="194"/>
      <c r="L350" s="194"/>
      <c r="M350" s="194"/>
      <c r="N350" s="194"/>
      <c r="O350" s="194"/>
      <c r="P350" s="194"/>
      <c r="Q350" s="194"/>
      <c r="R350" s="194"/>
      <c r="S350" s="194"/>
      <c r="T350" s="194"/>
      <c r="U350" s="194"/>
      <c r="V350" s="194"/>
      <c r="W350" s="194"/>
      <c r="X350" s="194"/>
      <c r="Y350" s="194"/>
      <c r="Z350" s="194"/>
    </row>
    <row r="351">
      <c r="A351" s="194"/>
      <c r="B351" s="194"/>
      <c r="C351" s="537"/>
      <c r="D351" s="537"/>
      <c r="E351" s="537"/>
      <c r="F351" s="537"/>
      <c r="G351" s="537"/>
      <c r="H351" s="537"/>
      <c r="I351" s="538"/>
      <c r="J351" s="537"/>
      <c r="K351" s="194"/>
      <c r="L351" s="194"/>
      <c r="M351" s="194"/>
      <c r="N351" s="194"/>
      <c r="O351" s="194"/>
      <c r="P351" s="194"/>
      <c r="Q351" s="194"/>
      <c r="R351" s="194"/>
      <c r="S351" s="194"/>
      <c r="T351" s="194"/>
      <c r="U351" s="194"/>
      <c r="V351" s="194"/>
      <c r="W351" s="194"/>
      <c r="X351" s="194"/>
      <c r="Y351" s="194"/>
      <c r="Z351" s="194"/>
    </row>
    <row r="352">
      <c r="A352" s="194"/>
      <c r="B352" s="194"/>
      <c r="C352" s="537"/>
      <c r="D352" s="537"/>
      <c r="E352" s="537"/>
      <c r="F352" s="537"/>
      <c r="G352" s="537"/>
      <c r="H352" s="537"/>
      <c r="I352" s="538"/>
      <c r="J352" s="537"/>
      <c r="K352" s="194"/>
      <c r="L352" s="194"/>
      <c r="M352" s="194"/>
      <c r="N352" s="194"/>
      <c r="O352" s="194"/>
      <c r="P352" s="194"/>
      <c r="Q352" s="194"/>
      <c r="R352" s="194"/>
      <c r="S352" s="194"/>
      <c r="T352" s="194"/>
      <c r="U352" s="194"/>
      <c r="V352" s="194"/>
      <c r="W352" s="194"/>
      <c r="X352" s="194"/>
      <c r="Y352" s="194"/>
      <c r="Z352" s="194"/>
    </row>
    <row r="353">
      <c r="A353" s="194"/>
      <c r="B353" s="194"/>
      <c r="C353" s="537"/>
      <c r="D353" s="537"/>
      <c r="E353" s="537"/>
      <c r="F353" s="537"/>
      <c r="G353" s="537"/>
      <c r="H353" s="537"/>
      <c r="I353" s="538"/>
      <c r="J353" s="537"/>
      <c r="K353" s="194"/>
      <c r="L353" s="194"/>
      <c r="M353" s="194"/>
      <c r="N353" s="194"/>
      <c r="O353" s="194"/>
      <c r="P353" s="194"/>
      <c r="Q353" s="194"/>
      <c r="R353" s="194"/>
      <c r="S353" s="194"/>
      <c r="T353" s="194"/>
      <c r="U353" s="194"/>
      <c r="V353" s="194"/>
      <c r="W353" s="194"/>
      <c r="X353" s="194"/>
      <c r="Y353" s="194"/>
      <c r="Z353" s="194"/>
    </row>
    <row r="354">
      <c r="A354" s="194"/>
      <c r="B354" s="194"/>
      <c r="C354" s="537"/>
      <c r="D354" s="537"/>
      <c r="E354" s="537"/>
      <c r="F354" s="537"/>
      <c r="G354" s="537"/>
      <c r="H354" s="537"/>
      <c r="I354" s="538"/>
      <c r="J354" s="537"/>
      <c r="K354" s="194"/>
      <c r="L354" s="194"/>
      <c r="M354" s="194"/>
      <c r="N354" s="194"/>
      <c r="O354" s="194"/>
      <c r="P354" s="194"/>
      <c r="Q354" s="194"/>
      <c r="R354" s="194"/>
      <c r="S354" s="194"/>
      <c r="T354" s="194"/>
      <c r="U354" s="194"/>
      <c r="V354" s="194"/>
      <c r="W354" s="194"/>
      <c r="X354" s="194"/>
      <c r="Y354" s="194"/>
      <c r="Z354" s="194"/>
    </row>
    <row r="355">
      <c r="A355" s="194"/>
      <c r="B355" s="194"/>
      <c r="C355" s="537"/>
      <c r="D355" s="537"/>
      <c r="E355" s="537"/>
      <c r="F355" s="537"/>
      <c r="G355" s="537"/>
      <c r="H355" s="537"/>
      <c r="I355" s="538"/>
      <c r="J355" s="537"/>
      <c r="K355" s="194"/>
      <c r="L355" s="194"/>
      <c r="M355" s="194"/>
      <c r="N355" s="194"/>
      <c r="O355" s="194"/>
      <c r="P355" s="194"/>
      <c r="Q355" s="194"/>
      <c r="R355" s="194"/>
      <c r="S355" s="194"/>
      <c r="T355" s="194"/>
      <c r="U355" s="194"/>
      <c r="V355" s="194"/>
      <c r="W355" s="194"/>
      <c r="X355" s="194"/>
      <c r="Y355" s="194"/>
      <c r="Z355" s="194"/>
    </row>
    <row r="356">
      <c r="A356" s="194"/>
      <c r="B356" s="194"/>
      <c r="C356" s="537"/>
      <c r="D356" s="537"/>
      <c r="E356" s="537"/>
      <c r="F356" s="537"/>
      <c r="G356" s="537"/>
      <c r="H356" s="537"/>
      <c r="I356" s="538"/>
      <c r="J356" s="537"/>
      <c r="K356" s="194"/>
      <c r="L356" s="194"/>
      <c r="M356" s="194"/>
      <c r="N356" s="194"/>
      <c r="O356" s="194"/>
      <c r="P356" s="194"/>
      <c r="Q356" s="194"/>
      <c r="R356" s="194"/>
      <c r="S356" s="194"/>
      <c r="T356" s="194"/>
      <c r="U356" s="194"/>
      <c r="V356" s="194"/>
      <c r="W356" s="194"/>
      <c r="X356" s="194"/>
      <c r="Y356" s="194"/>
      <c r="Z356" s="194"/>
    </row>
    <row r="357">
      <c r="A357" s="194"/>
      <c r="B357" s="194"/>
      <c r="C357" s="537"/>
      <c r="D357" s="537"/>
      <c r="E357" s="537"/>
      <c r="F357" s="537"/>
      <c r="G357" s="537"/>
      <c r="H357" s="537"/>
      <c r="I357" s="538"/>
      <c r="J357" s="537"/>
      <c r="K357" s="194"/>
      <c r="L357" s="194"/>
      <c r="M357" s="194"/>
      <c r="N357" s="194"/>
      <c r="O357" s="194"/>
      <c r="P357" s="194"/>
      <c r="Q357" s="194"/>
      <c r="R357" s="194"/>
      <c r="S357" s="194"/>
      <c r="T357" s="194"/>
      <c r="U357" s="194"/>
      <c r="V357" s="194"/>
      <c r="W357" s="194"/>
      <c r="X357" s="194"/>
      <c r="Y357" s="194"/>
      <c r="Z357" s="194"/>
    </row>
    <row r="358">
      <c r="A358" s="194"/>
      <c r="B358" s="194"/>
      <c r="C358" s="537"/>
      <c r="D358" s="537"/>
      <c r="E358" s="537"/>
      <c r="F358" s="537"/>
      <c r="G358" s="537"/>
      <c r="H358" s="537"/>
      <c r="I358" s="538"/>
      <c r="J358" s="537"/>
      <c r="K358" s="194"/>
      <c r="L358" s="194"/>
      <c r="M358" s="194"/>
      <c r="N358" s="194"/>
      <c r="O358" s="194"/>
      <c r="P358" s="194"/>
      <c r="Q358" s="194"/>
      <c r="R358" s="194"/>
      <c r="S358" s="194"/>
      <c r="T358" s="194"/>
      <c r="U358" s="194"/>
      <c r="V358" s="194"/>
      <c r="W358" s="194"/>
      <c r="X358" s="194"/>
      <c r="Y358" s="194"/>
      <c r="Z358" s="194"/>
    </row>
    <row r="359">
      <c r="A359" s="194"/>
      <c r="B359" s="194"/>
      <c r="C359" s="537"/>
      <c r="D359" s="537"/>
      <c r="E359" s="537"/>
      <c r="F359" s="537"/>
      <c r="G359" s="537"/>
      <c r="H359" s="537"/>
      <c r="I359" s="538"/>
      <c r="J359" s="537"/>
      <c r="K359" s="194"/>
      <c r="L359" s="194"/>
      <c r="M359" s="194"/>
      <c r="N359" s="194"/>
      <c r="O359" s="194"/>
      <c r="P359" s="194"/>
      <c r="Q359" s="194"/>
      <c r="R359" s="194"/>
      <c r="S359" s="194"/>
      <c r="T359" s="194"/>
      <c r="U359" s="194"/>
      <c r="V359" s="194"/>
      <c r="W359" s="194"/>
      <c r="X359" s="194"/>
      <c r="Y359" s="194"/>
      <c r="Z359" s="194"/>
    </row>
    <row r="360">
      <c r="A360" s="194"/>
      <c r="B360" s="194"/>
      <c r="C360" s="537"/>
      <c r="D360" s="537"/>
      <c r="E360" s="537"/>
      <c r="F360" s="537"/>
      <c r="G360" s="537"/>
      <c r="H360" s="537"/>
      <c r="I360" s="538"/>
      <c r="J360" s="537"/>
      <c r="K360" s="194"/>
      <c r="L360" s="194"/>
      <c r="M360" s="194"/>
      <c r="N360" s="194"/>
      <c r="O360" s="194"/>
      <c r="P360" s="194"/>
      <c r="Q360" s="194"/>
      <c r="R360" s="194"/>
      <c r="S360" s="194"/>
      <c r="T360" s="194"/>
      <c r="U360" s="194"/>
      <c r="V360" s="194"/>
      <c r="W360" s="194"/>
      <c r="X360" s="194"/>
      <c r="Y360" s="194"/>
      <c r="Z360" s="194"/>
    </row>
    <row r="361">
      <c r="A361" s="194"/>
      <c r="B361" s="194"/>
      <c r="C361" s="537"/>
      <c r="D361" s="537"/>
      <c r="E361" s="537"/>
      <c r="F361" s="537"/>
      <c r="G361" s="537"/>
      <c r="H361" s="537"/>
      <c r="I361" s="538"/>
      <c r="J361" s="537"/>
      <c r="K361" s="194"/>
      <c r="L361" s="194"/>
      <c r="M361" s="194"/>
      <c r="N361" s="194"/>
      <c r="O361" s="194"/>
      <c r="P361" s="194"/>
      <c r="Q361" s="194"/>
      <c r="R361" s="194"/>
      <c r="S361" s="194"/>
      <c r="T361" s="194"/>
      <c r="U361" s="194"/>
      <c r="V361" s="194"/>
      <c r="W361" s="194"/>
      <c r="X361" s="194"/>
      <c r="Y361" s="194"/>
      <c r="Z361" s="194"/>
    </row>
    <row r="362">
      <c r="A362" s="194"/>
      <c r="B362" s="194"/>
      <c r="C362" s="537"/>
      <c r="D362" s="537"/>
      <c r="E362" s="537"/>
      <c r="F362" s="537"/>
      <c r="G362" s="537"/>
      <c r="H362" s="537"/>
      <c r="I362" s="538"/>
      <c r="J362" s="537"/>
      <c r="K362" s="194"/>
      <c r="L362" s="194"/>
      <c r="M362" s="194"/>
      <c r="N362" s="194"/>
      <c r="O362" s="194"/>
      <c r="P362" s="194"/>
      <c r="Q362" s="194"/>
      <c r="R362" s="194"/>
      <c r="S362" s="194"/>
      <c r="T362" s="194"/>
      <c r="U362" s="194"/>
      <c r="V362" s="194"/>
      <c r="W362" s="194"/>
      <c r="X362" s="194"/>
      <c r="Y362" s="194"/>
      <c r="Z362" s="194"/>
    </row>
    <row r="363">
      <c r="A363" s="194"/>
      <c r="B363" s="194"/>
      <c r="C363" s="537"/>
      <c r="D363" s="537"/>
      <c r="E363" s="537"/>
      <c r="F363" s="537"/>
      <c r="G363" s="537"/>
      <c r="H363" s="537"/>
      <c r="I363" s="538"/>
      <c r="J363" s="537"/>
      <c r="K363" s="194"/>
      <c r="L363" s="194"/>
      <c r="M363" s="194"/>
      <c r="N363" s="194"/>
      <c r="O363" s="194"/>
      <c r="P363" s="194"/>
      <c r="Q363" s="194"/>
      <c r="R363" s="194"/>
      <c r="S363" s="194"/>
      <c r="T363" s="194"/>
      <c r="U363" s="194"/>
      <c r="V363" s="194"/>
      <c r="W363" s="194"/>
      <c r="X363" s="194"/>
      <c r="Y363" s="194"/>
      <c r="Z363" s="194"/>
    </row>
    <row r="364">
      <c r="A364" s="194"/>
      <c r="B364" s="194"/>
      <c r="C364" s="537"/>
      <c r="D364" s="537"/>
      <c r="E364" s="537"/>
      <c r="F364" s="537"/>
      <c r="G364" s="537"/>
      <c r="H364" s="537"/>
      <c r="I364" s="538"/>
      <c r="J364" s="537"/>
      <c r="K364" s="194"/>
      <c r="L364" s="194"/>
      <c r="M364" s="194"/>
      <c r="N364" s="194"/>
      <c r="O364" s="194"/>
      <c r="P364" s="194"/>
      <c r="Q364" s="194"/>
      <c r="R364" s="194"/>
      <c r="S364" s="194"/>
      <c r="T364" s="194"/>
      <c r="U364" s="194"/>
      <c r="V364" s="194"/>
      <c r="W364" s="194"/>
      <c r="X364" s="194"/>
      <c r="Y364" s="194"/>
      <c r="Z364" s="194"/>
    </row>
    <row r="365">
      <c r="A365" s="194"/>
      <c r="B365" s="194"/>
      <c r="C365" s="537"/>
      <c r="D365" s="537"/>
      <c r="E365" s="537"/>
      <c r="F365" s="537"/>
      <c r="G365" s="537"/>
      <c r="H365" s="537"/>
      <c r="I365" s="538"/>
      <c r="J365" s="537"/>
      <c r="K365" s="194"/>
      <c r="L365" s="194"/>
      <c r="M365" s="194"/>
      <c r="N365" s="194"/>
      <c r="O365" s="194"/>
      <c r="P365" s="194"/>
      <c r="Q365" s="194"/>
      <c r="R365" s="194"/>
      <c r="S365" s="194"/>
      <c r="T365" s="194"/>
      <c r="U365" s="194"/>
      <c r="V365" s="194"/>
      <c r="W365" s="194"/>
      <c r="X365" s="194"/>
      <c r="Y365" s="194"/>
      <c r="Z365" s="194"/>
    </row>
    <row r="366">
      <c r="A366" s="194"/>
      <c r="B366" s="194"/>
      <c r="C366" s="537"/>
      <c r="D366" s="537"/>
      <c r="E366" s="537"/>
      <c r="F366" s="537"/>
      <c r="G366" s="537"/>
      <c r="H366" s="537"/>
      <c r="I366" s="538"/>
      <c r="J366" s="537"/>
      <c r="K366" s="194"/>
      <c r="L366" s="194"/>
      <c r="M366" s="194"/>
      <c r="N366" s="194"/>
      <c r="O366" s="194"/>
      <c r="P366" s="194"/>
      <c r="Q366" s="194"/>
      <c r="R366" s="194"/>
      <c r="S366" s="194"/>
      <c r="T366" s="194"/>
      <c r="U366" s="194"/>
      <c r="V366" s="194"/>
      <c r="W366" s="194"/>
      <c r="X366" s="194"/>
      <c r="Y366" s="194"/>
      <c r="Z366" s="194"/>
    </row>
    <row r="367">
      <c r="A367" s="194"/>
      <c r="B367" s="194"/>
      <c r="C367" s="537"/>
      <c r="D367" s="537"/>
      <c r="E367" s="537"/>
      <c r="F367" s="537"/>
      <c r="G367" s="537"/>
      <c r="H367" s="537"/>
      <c r="I367" s="538"/>
      <c r="J367" s="537"/>
      <c r="K367" s="194"/>
      <c r="L367" s="194"/>
      <c r="M367" s="194"/>
      <c r="N367" s="194"/>
      <c r="O367" s="194"/>
      <c r="P367" s="194"/>
      <c r="Q367" s="194"/>
      <c r="R367" s="194"/>
      <c r="S367" s="194"/>
      <c r="T367" s="194"/>
      <c r="U367" s="194"/>
      <c r="V367" s="194"/>
      <c r="W367" s="194"/>
      <c r="X367" s="194"/>
      <c r="Y367" s="194"/>
      <c r="Z367" s="194"/>
    </row>
    <row r="368">
      <c r="A368" s="194"/>
      <c r="B368" s="194"/>
      <c r="C368" s="537"/>
      <c r="D368" s="537"/>
      <c r="E368" s="537"/>
      <c r="F368" s="537"/>
      <c r="G368" s="537"/>
      <c r="H368" s="537"/>
      <c r="I368" s="538"/>
      <c r="J368" s="537"/>
      <c r="K368" s="194"/>
      <c r="L368" s="194"/>
      <c r="M368" s="194"/>
      <c r="N368" s="194"/>
      <c r="O368" s="194"/>
      <c r="P368" s="194"/>
      <c r="Q368" s="194"/>
      <c r="R368" s="194"/>
      <c r="S368" s="194"/>
      <c r="T368" s="194"/>
      <c r="U368" s="194"/>
      <c r="V368" s="194"/>
      <c r="W368" s="194"/>
      <c r="X368" s="194"/>
      <c r="Y368" s="194"/>
      <c r="Z368" s="194"/>
    </row>
    <row r="369">
      <c r="A369" s="194"/>
      <c r="B369" s="194"/>
      <c r="C369" s="537"/>
      <c r="D369" s="537"/>
      <c r="E369" s="537"/>
      <c r="F369" s="537"/>
      <c r="G369" s="537"/>
      <c r="H369" s="537"/>
      <c r="I369" s="538"/>
      <c r="J369" s="537"/>
      <c r="K369" s="194"/>
      <c r="L369" s="194"/>
      <c r="M369" s="194"/>
      <c r="N369" s="194"/>
      <c r="O369" s="194"/>
      <c r="P369" s="194"/>
      <c r="Q369" s="194"/>
      <c r="R369" s="194"/>
      <c r="S369" s="194"/>
      <c r="T369" s="194"/>
      <c r="U369" s="194"/>
      <c r="V369" s="194"/>
      <c r="W369" s="194"/>
      <c r="X369" s="194"/>
      <c r="Y369" s="194"/>
      <c r="Z369" s="194"/>
    </row>
    <row r="370">
      <c r="A370" s="194"/>
      <c r="B370" s="194"/>
      <c r="C370" s="537"/>
      <c r="D370" s="537"/>
      <c r="E370" s="537"/>
      <c r="F370" s="537"/>
      <c r="G370" s="537"/>
      <c r="H370" s="537"/>
      <c r="I370" s="538"/>
      <c r="J370" s="537"/>
      <c r="K370" s="194"/>
      <c r="L370" s="194"/>
      <c r="M370" s="194"/>
      <c r="N370" s="194"/>
      <c r="O370" s="194"/>
      <c r="P370" s="194"/>
      <c r="Q370" s="194"/>
      <c r="R370" s="194"/>
      <c r="S370" s="194"/>
      <c r="T370" s="194"/>
      <c r="U370" s="194"/>
      <c r="V370" s="194"/>
      <c r="W370" s="194"/>
      <c r="X370" s="194"/>
      <c r="Y370" s="194"/>
      <c r="Z370" s="194"/>
    </row>
    <row r="371">
      <c r="A371" s="194"/>
      <c r="B371" s="194"/>
      <c r="C371" s="537"/>
      <c r="D371" s="537"/>
      <c r="E371" s="537"/>
      <c r="F371" s="537"/>
      <c r="G371" s="537"/>
      <c r="H371" s="537"/>
      <c r="I371" s="538"/>
      <c r="J371" s="537"/>
      <c r="K371" s="194"/>
      <c r="L371" s="194"/>
      <c r="M371" s="194"/>
      <c r="N371" s="194"/>
      <c r="O371" s="194"/>
      <c r="P371" s="194"/>
      <c r="Q371" s="194"/>
      <c r="R371" s="194"/>
      <c r="S371" s="194"/>
      <c r="T371" s="194"/>
      <c r="U371" s="194"/>
      <c r="V371" s="194"/>
      <c r="W371" s="194"/>
      <c r="X371" s="194"/>
      <c r="Y371" s="194"/>
      <c r="Z371" s="194"/>
    </row>
    <row r="372">
      <c r="A372" s="194"/>
      <c r="B372" s="194"/>
      <c r="C372" s="537"/>
      <c r="D372" s="537"/>
      <c r="E372" s="537"/>
      <c r="F372" s="537"/>
      <c r="G372" s="537"/>
      <c r="H372" s="537"/>
      <c r="I372" s="538"/>
      <c r="J372" s="537"/>
      <c r="K372" s="194"/>
      <c r="L372" s="194"/>
      <c r="M372" s="194"/>
      <c r="N372" s="194"/>
      <c r="O372" s="194"/>
      <c r="P372" s="194"/>
      <c r="Q372" s="194"/>
      <c r="R372" s="194"/>
      <c r="S372" s="194"/>
      <c r="T372" s="194"/>
      <c r="U372" s="194"/>
      <c r="V372" s="194"/>
      <c r="W372" s="194"/>
      <c r="X372" s="194"/>
      <c r="Y372" s="194"/>
      <c r="Z372" s="194"/>
    </row>
    <row r="373">
      <c r="A373" s="194"/>
      <c r="B373" s="194"/>
      <c r="C373" s="537"/>
      <c r="D373" s="537"/>
      <c r="E373" s="537"/>
      <c r="F373" s="537"/>
      <c r="G373" s="537"/>
      <c r="H373" s="537"/>
      <c r="I373" s="538"/>
      <c r="J373" s="537"/>
      <c r="K373" s="194"/>
      <c r="L373" s="194"/>
      <c r="M373" s="194"/>
      <c r="N373" s="194"/>
      <c r="O373" s="194"/>
      <c r="P373" s="194"/>
      <c r="Q373" s="194"/>
      <c r="R373" s="194"/>
      <c r="S373" s="194"/>
      <c r="T373" s="194"/>
      <c r="U373" s="194"/>
      <c r="V373" s="194"/>
      <c r="W373" s="194"/>
      <c r="X373" s="194"/>
      <c r="Y373" s="194"/>
      <c r="Z373" s="194"/>
    </row>
    <row r="374">
      <c r="A374" s="194"/>
      <c r="B374" s="194"/>
      <c r="C374" s="537"/>
      <c r="D374" s="537"/>
      <c r="E374" s="537"/>
      <c r="F374" s="537"/>
      <c r="G374" s="537"/>
      <c r="H374" s="537"/>
      <c r="I374" s="538"/>
      <c r="J374" s="537"/>
      <c r="K374" s="194"/>
      <c r="L374" s="194"/>
      <c r="M374" s="194"/>
      <c r="N374" s="194"/>
      <c r="O374" s="194"/>
      <c r="P374" s="194"/>
      <c r="Q374" s="194"/>
      <c r="R374" s="194"/>
      <c r="S374" s="194"/>
      <c r="T374" s="194"/>
      <c r="U374" s="194"/>
      <c r="V374" s="194"/>
      <c r="W374" s="194"/>
      <c r="X374" s="194"/>
      <c r="Y374" s="194"/>
      <c r="Z374" s="194"/>
    </row>
    <row r="375">
      <c r="A375" s="194"/>
      <c r="B375" s="194"/>
      <c r="C375" s="537"/>
      <c r="D375" s="537"/>
      <c r="E375" s="537"/>
      <c r="F375" s="537"/>
      <c r="G375" s="537"/>
      <c r="H375" s="537"/>
      <c r="I375" s="538"/>
      <c r="J375" s="537"/>
      <c r="K375" s="194"/>
      <c r="L375" s="194"/>
      <c r="M375" s="194"/>
      <c r="N375" s="194"/>
      <c r="O375" s="194"/>
      <c r="P375" s="194"/>
      <c r="Q375" s="194"/>
      <c r="R375" s="194"/>
      <c r="S375" s="194"/>
      <c r="T375" s="194"/>
      <c r="U375" s="194"/>
      <c r="V375" s="194"/>
      <c r="W375" s="194"/>
      <c r="X375" s="194"/>
      <c r="Y375" s="194"/>
      <c r="Z375" s="194"/>
    </row>
    <row r="376">
      <c r="A376" s="194"/>
      <c r="B376" s="194"/>
      <c r="C376" s="537"/>
      <c r="D376" s="537"/>
      <c r="E376" s="537"/>
      <c r="F376" s="537"/>
      <c r="G376" s="537"/>
      <c r="H376" s="537"/>
      <c r="I376" s="538"/>
      <c r="J376" s="537"/>
      <c r="K376" s="194"/>
      <c r="L376" s="194"/>
      <c r="M376" s="194"/>
      <c r="N376" s="194"/>
      <c r="O376" s="194"/>
      <c r="P376" s="194"/>
      <c r="Q376" s="194"/>
      <c r="R376" s="194"/>
      <c r="S376" s="194"/>
      <c r="T376" s="194"/>
      <c r="U376" s="194"/>
      <c r="V376" s="194"/>
      <c r="W376" s="194"/>
      <c r="X376" s="194"/>
      <c r="Y376" s="194"/>
      <c r="Z376" s="194"/>
    </row>
    <row r="377">
      <c r="A377" s="194"/>
      <c r="B377" s="194"/>
      <c r="C377" s="537"/>
      <c r="D377" s="537"/>
      <c r="E377" s="537"/>
      <c r="F377" s="537"/>
      <c r="G377" s="537"/>
      <c r="H377" s="537"/>
      <c r="I377" s="538"/>
      <c r="J377" s="537"/>
      <c r="K377" s="194"/>
      <c r="L377" s="194"/>
      <c r="M377" s="194"/>
      <c r="N377" s="194"/>
      <c r="O377" s="194"/>
      <c r="P377" s="194"/>
      <c r="Q377" s="194"/>
      <c r="R377" s="194"/>
      <c r="S377" s="194"/>
      <c r="T377" s="194"/>
      <c r="U377" s="194"/>
      <c r="V377" s="194"/>
      <c r="W377" s="194"/>
      <c r="X377" s="194"/>
      <c r="Y377" s="194"/>
      <c r="Z377" s="194"/>
    </row>
    <row r="378">
      <c r="A378" s="194"/>
      <c r="B378" s="194"/>
      <c r="C378" s="537"/>
      <c r="D378" s="537"/>
      <c r="E378" s="537"/>
      <c r="F378" s="537"/>
      <c r="G378" s="537"/>
      <c r="H378" s="537"/>
      <c r="I378" s="538"/>
      <c r="J378" s="537"/>
      <c r="K378" s="194"/>
      <c r="L378" s="194"/>
      <c r="M378" s="194"/>
      <c r="N378" s="194"/>
      <c r="O378" s="194"/>
      <c r="P378" s="194"/>
      <c r="Q378" s="194"/>
      <c r="R378" s="194"/>
      <c r="S378" s="194"/>
      <c r="T378" s="194"/>
      <c r="U378" s="194"/>
      <c r="V378" s="194"/>
      <c r="W378" s="194"/>
      <c r="X378" s="194"/>
      <c r="Y378" s="194"/>
      <c r="Z378" s="194"/>
    </row>
    <row r="379">
      <c r="A379" s="194"/>
      <c r="B379" s="194"/>
      <c r="C379" s="537"/>
      <c r="D379" s="537"/>
      <c r="E379" s="537"/>
      <c r="F379" s="537"/>
      <c r="G379" s="537"/>
      <c r="H379" s="537"/>
      <c r="I379" s="538"/>
      <c r="J379" s="537"/>
      <c r="K379" s="194"/>
      <c r="L379" s="194"/>
      <c r="M379" s="194"/>
      <c r="N379" s="194"/>
      <c r="O379" s="194"/>
      <c r="P379" s="194"/>
      <c r="Q379" s="194"/>
      <c r="R379" s="194"/>
      <c r="S379" s="194"/>
      <c r="T379" s="194"/>
      <c r="U379" s="194"/>
      <c r="V379" s="194"/>
      <c r="W379" s="194"/>
      <c r="X379" s="194"/>
      <c r="Y379" s="194"/>
      <c r="Z379" s="194"/>
    </row>
    <row r="380">
      <c r="A380" s="194"/>
      <c r="B380" s="194"/>
      <c r="C380" s="537"/>
      <c r="D380" s="537"/>
      <c r="E380" s="537"/>
      <c r="F380" s="537"/>
      <c r="G380" s="537"/>
      <c r="H380" s="537"/>
      <c r="I380" s="538"/>
      <c r="J380" s="537"/>
      <c r="K380" s="194"/>
      <c r="L380" s="194"/>
      <c r="M380" s="194"/>
      <c r="N380" s="194"/>
      <c r="O380" s="194"/>
      <c r="P380" s="194"/>
      <c r="Q380" s="194"/>
      <c r="R380" s="194"/>
      <c r="S380" s="194"/>
      <c r="T380" s="194"/>
      <c r="U380" s="194"/>
      <c r="V380" s="194"/>
      <c r="W380" s="194"/>
      <c r="X380" s="194"/>
      <c r="Y380" s="194"/>
      <c r="Z380" s="194"/>
    </row>
    <row r="381">
      <c r="A381" s="194"/>
      <c r="B381" s="194"/>
      <c r="C381" s="537"/>
      <c r="D381" s="537"/>
      <c r="E381" s="537"/>
      <c r="F381" s="537"/>
      <c r="G381" s="537"/>
      <c r="H381" s="537"/>
      <c r="I381" s="538"/>
      <c r="J381" s="537"/>
      <c r="K381" s="194"/>
      <c r="L381" s="194"/>
      <c r="M381" s="194"/>
      <c r="N381" s="194"/>
      <c r="O381" s="194"/>
      <c r="P381" s="194"/>
      <c r="Q381" s="194"/>
      <c r="R381" s="194"/>
      <c r="S381" s="194"/>
      <c r="T381" s="194"/>
      <c r="U381" s="194"/>
      <c r="V381" s="194"/>
      <c r="W381" s="194"/>
      <c r="X381" s="194"/>
      <c r="Y381" s="194"/>
      <c r="Z381" s="194"/>
    </row>
    <row r="382">
      <c r="A382" s="194"/>
      <c r="B382" s="194"/>
      <c r="C382" s="537"/>
      <c r="D382" s="537"/>
      <c r="E382" s="537"/>
      <c r="F382" s="537"/>
      <c r="G382" s="537"/>
      <c r="H382" s="537"/>
      <c r="I382" s="538"/>
      <c r="J382" s="537"/>
      <c r="K382" s="194"/>
      <c r="L382" s="194"/>
      <c r="M382" s="194"/>
      <c r="N382" s="194"/>
      <c r="O382" s="194"/>
      <c r="P382" s="194"/>
      <c r="Q382" s="194"/>
      <c r="R382" s="194"/>
      <c r="S382" s="194"/>
      <c r="T382" s="194"/>
      <c r="U382" s="194"/>
      <c r="V382" s="194"/>
      <c r="W382" s="194"/>
      <c r="X382" s="194"/>
      <c r="Y382" s="194"/>
      <c r="Z382" s="194"/>
    </row>
    <row r="383">
      <c r="A383" s="194"/>
      <c r="B383" s="194"/>
      <c r="C383" s="537"/>
      <c r="D383" s="537"/>
      <c r="E383" s="537"/>
      <c r="F383" s="537"/>
      <c r="G383" s="537"/>
      <c r="H383" s="537"/>
      <c r="I383" s="538"/>
      <c r="J383" s="537"/>
      <c r="K383" s="194"/>
      <c r="L383" s="194"/>
      <c r="M383" s="194"/>
      <c r="N383" s="194"/>
      <c r="O383" s="194"/>
      <c r="P383" s="194"/>
      <c r="Q383" s="194"/>
      <c r="R383" s="194"/>
      <c r="S383" s="194"/>
      <c r="T383" s="194"/>
      <c r="U383" s="194"/>
      <c r="V383" s="194"/>
      <c r="W383" s="194"/>
      <c r="X383" s="194"/>
      <c r="Y383" s="194"/>
      <c r="Z383" s="194"/>
    </row>
    <row r="384">
      <c r="A384" s="194"/>
      <c r="B384" s="194"/>
      <c r="C384" s="537"/>
      <c r="D384" s="537"/>
      <c r="E384" s="537"/>
      <c r="F384" s="537"/>
      <c r="G384" s="537"/>
      <c r="H384" s="537"/>
      <c r="I384" s="538"/>
      <c r="J384" s="537"/>
      <c r="K384" s="194"/>
      <c r="L384" s="194"/>
      <c r="M384" s="194"/>
      <c r="N384" s="194"/>
      <c r="O384" s="194"/>
      <c r="P384" s="194"/>
      <c r="Q384" s="194"/>
      <c r="R384" s="194"/>
      <c r="S384" s="194"/>
      <c r="T384" s="194"/>
      <c r="U384" s="194"/>
      <c r="V384" s="194"/>
      <c r="W384" s="194"/>
      <c r="X384" s="194"/>
      <c r="Y384" s="194"/>
      <c r="Z384" s="194"/>
    </row>
    <row r="385">
      <c r="A385" s="194"/>
      <c r="B385" s="194"/>
      <c r="C385" s="537"/>
      <c r="D385" s="537"/>
      <c r="E385" s="537"/>
      <c r="F385" s="537"/>
      <c r="G385" s="537"/>
      <c r="H385" s="537"/>
      <c r="I385" s="538"/>
      <c r="J385" s="537"/>
      <c r="K385" s="194"/>
      <c r="L385" s="194"/>
      <c r="M385" s="194"/>
      <c r="N385" s="194"/>
      <c r="O385" s="194"/>
      <c r="P385" s="194"/>
      <c r="Q385" s="194"/>
      <c r="R385" s="194"/>
      <c r="S385" s="194"/>
      <c r="T385" s="194"/>
      <c r="U385" s="194"/>
      <c r="V385" s="194"/>
      <c r="W385" s="194"/>
      <c r="X385" s="194"/>
      <c r="Y385" s="194"/>
      <c r="Z385" s="194"/>
    </row>
    <row r="386">
      <c r="A386" s="194"/>
      <c r="B386" s="194"/>
      <c r="C386" s="537"/>
      <c r="D386" s="537"/>
      <c r="E386" s="537"/>
      <c r="F386" s="537"/>
      <c r="G386" s="537"/>
      <c r="H386" s="537"/>
      <c r="I386" s="538"/>
      <c r="J386" s="537"/>
      <c r="K386" s="194"/>
      <c r="L386" s="194"/>
      <c r="M386" s="194"/>
      <c r="N386" s="194"/>
      <c r="O386" s="194"/>
      <c r="P386" s="194"/>
      <c r="Q386" s="194"/>
      <c r="R386" s="194"/>
      <c r="S386" s="194"/>
      <c r="T386" s="194"/>
      <c r="U386" s="194"/>
      <c r="V386" s="194"/>
      <c r="W386" s="194"/>
      <c r="X386" s="194"/>
      <c r="Y386" s="194"/>
      <c r="Z386" s="194"/>
    </row>
    <row r="387">
      <c r="A387" s="194"/>
      <c r="B387" s="194"/>
      <c r="C387" s="537"/>
      <c r="D387" s="537"/>
      <c r="E387" s="537"/>
      <c r="F387" s="537"/>
      <c r="G387" s="537"/>
      <c r="H387" s="537"/>
      <c r="I387" s="538"/>
      <c r="J387" s="537"/>
      <c r="K387" s="194"/>
      <c r="L387" s="194"/>
      <c r="M387" s="194"/>
      <c r="N387" s="194"/>
      <c r="O387" s="194"/>
      <c r="P387" s="194"/>
      <c r="Q387" s="194"/>
      <c r="R387" s="194"/>
      <c r="S387" s="194"/>
      <c r="T387" s="194"/>
      <c r="U387" s="194"/>
      <c r="V387" s="194"/>
      <c r="W387" s="194"/>
      <c r="X387" s="194"/>
      <c r="Y387" s="194"/>
      <c r="Z387" s="194"/>
    </row>
    <row r="388">
      <c r="A388" s="194"/>
      <c r="B388" s="194"/>
      <c r="C388" s="537"/>
      <c r="D388" s="537"/>
      <c r="E388" s="537"/>
      <c r="F388" s="537"/>
      <c r="G388" s="537"/>
      <c r="H388" s="537"/>
      <c r="I388" s="538"/>
      <c r="J388" s="537"/>
      <c r="K388" s="194"/>
      <c r="L388" s="194"/>
      <c r="M388" s="194"/>
      <c r="N388" s="194"/>
      <c r="O388" s="194"/>
      <c r="P388" s="194"/>
      <c r="Q388" s="194"/>
      <c r="R388" s="194"/>
      <c r="S388" s="194"/>
      <c r="T388" s="194"/>
      <c r="U388" s="194"/>
      <c r="V388" s="194"/>
      <c r="W388" s="194"/>
      <c r="X388" s="194"/>
      <c r="Y388" s="194"/>
      <c r="Z388" s="194"/>
    </row>
    <row r="389">
      <c r="A389" s="194"/>
      <c r="B389" s="194"/>
      <c r="C389" s="537"/>
      <c r="D389" s="537"/>
      <c r="E389" s="537"/>
      <c r="F389" s="537"/>
      <c r="G389" s="537"/>
      <c r="H389" s="537"/>
      <c r="I389" s="538"/>
      <c r="J389" s="537"/>
      <c r="K389" s="194"/>
      <c r="L389" s="194"/>
      <c r="M389" s="194"/>
      <c r="N389" s="194"/>
      <c r="O389" s="194"/>
      <c r="P389" s="194"/>
      <c r="Q389" s="194"/>
      <c r="R389" s="194"/>
      <c r="S389" s="194"/>
      <c r="T389" s="194"/>
      <c r="U389" s="194"/>
      <c r="V389" s="194"/>
      <c r="W389" s="194"/>
      <c r="X389" s="194"/>
      <c r="Y389" s="194"/>
      <c r="Z389" s="194"/>
    </row>
    <row r="390">
      <c r="A390" s="194"/>
      <c r="B390" s="194"/>
      <c r="C390" s="537"/>
      <c r="D390" s="537"/>
      <c r="E390" s="537"/>
      <c r="F390" s="537"/>
      <c r="G390" s="537"/>
      <c r="H390" s="537"/>
      <c r="I390" s="538"/>
      <c r="J390" s="537"/>
      <c r="K390" s="194"/>
      <c r="L390" s="194"/>
      <c r="M390" s="194"/>
      <c r="N390" s="194"/>
      <c r="O390" s="194"/>
      <c r="P390" s="194"/>
      <c r="Q390" s="194"/>
      <c r="R390" s="194"/>
      <c r="S390" s="194"/>
      <c r="T390" s="194"/>
      <c r="U390" s="194"/>
      <c r="V390" s="194"/>
      <c r="W390" s="194"/>
      <c r="X390" s="194"/>
      <c r="Y390" s="194"/>
      <c r="Z390" s="194"/>
    </row>
    <row r="391">
      <c r="A391" s="194"/>
      <c r="B391" s="194"/>
      <c r="C391" s="537"/>
      <c r="D391" s="537"/>
      <c r="E391" s="537"/>
      <c r="F391" s="537"/>
      <c r="G391" s="537"/>
      <c r="H391" s="537"/>
      <c r="I391" s="538"/>
      <c r="J391" s="537"/>
      <c r="K391" s="194"/>
      <c r="L391" s="194"/>
      <c r="M391" s="194"/>
      <c r="N391" s="194"/>
      <c r="O391" s="194"/>
      <c r="P391" s="194"/>
      <c r="Q391" s="194"/>
      <c r="R391" s="194"/>
      <c r="S391" s="194"/>
      <c r="T391" s="194"/>
      <c r="U391" s="194"/>
      <c r="V391" s="194"/>
      <c r="W391" s="194"/>
      <c r="X391" s="194"/>
      <c r="Y391" s="194"/>
      <c r="Z391" s="194"/>
    </row>
    <row r="392">
      <c r="A392" s="194"/>
      <c r="B392" s="194"/>
      <c r="C392" s="537"/>
      <c r="D392" s="537"/>
      <c r="E392" s="537"/>
      <c r="F392" s="537"/>
      <c r="G392" s="537"/>
      <c r="H392" s="537"/>
      <c r="I392" s="538"/>
      <c r="J392" s="537"/>
      <c r="K392" s="194"/>
      <c r="L392" s="194"/>
      <c r="M392" s="194"/>
      <c r="N392" s="194"/>
      <c r="O392" s="194"/>
      <c r="P392" s="194"/>
      <c r="Q392" s="194"/>
      <c r="R392" s="194"/>
      <c r="S392" s="194"/>
      <c r="T392" s="194"/>
      <c r="U392" s="194"/>
      <c r="V392" s="194"/>
      <c r="W392" s="194"/>
      <c r="X392" s="194"/>
      <c r="Y392" s="194"/>
      <c r="Z392" s="194"/>
    </row>
    <row r="393">
      <c r="A393" s="194"/>
      <c r="B393" s="194"/>
      <c r="C393" s="537"/>
      <c r="D393" s="537"/>
      <c r="E393" s="537"/>
      <c r="F393" s="537"/>
      <c r="G393" s="537"/>
      <c r="H393" s="537"/>
      <c r="I393" s="538"/>
      <c r="J393" s="537"/>
      <c r="K393" s="194"/>
      <c r="L393" s="194"/>
      <c r="M393" s="194"/>
      <c r="N393" s="194"/>
      <c r="O393" s="194"/>
      <c r="P393" s="194"/>
      <c r="Q393" s="194"/>
      <c r="R393" s="194"/>
      <c r="S393" s="194"/>
      <c r="T393" s="194"/>
      <c r="U393" s="194"/>
      <c r="V393" s="194"/>
      <c r="W393" s="194"/>
      <c r="X393" s="194"/>
      <c r="Y393" s="194"/>
      <c r="Z393" s="194"/>
    </row>
    <row r="394">
      <c r="A394" s="194"/>
      <c r="B394" s="194"/>
      <c r="C394" s="537"/>
      <c r="D394" s="537"/>
      <c r="E394" s="537"/>
      <c r="F394" s="537"/>
      <c r="G394" s="537"/>
      <c r="H394" s="537"/>
      <c r="I394" s="538"/>
      <c r="J394" s="537"/>
      <c r="K394" s="194"/>
      <c r="L394" s="194"/>
      <c r="M394" s="194"/>
      <c r="N394" s="194"/>
      <c r="O394" s="194"/>
      <c r="P394" s="194"/>
      <c r="Q394" s="194"/>
      <c r="R394" s="194"/>
      <c r="S394" s="194"/>
      <c r="T394" s="194"/>
      <c r="U394" s="194"/>
      <c r="V394" s="194"/>
      <c r="W394" s="194"/>
      <c r="X394" s="194"/>
      <c r="Y394" s="194"/>
      <c r="Z394" s="194"/>
    </row>
    <row r="395">
      <c r="A395" s="194"/>
      <c r="B395" s="194"/>
      <c r="C395" s="537"/>
      <c r="D395" s="537"/>
      <c r="E395" s="537"/>
      <c r="F395" s="537"/>
      <c r="G395" s="537"/>
      <c r="H395" s="537"/>
      <c r="I395" s="538"/>
      <c r="J395" s="537"/>
      <c r="K395" s="194"/>
      <c r="L395" s="194"/>
      <c r="M395" s="194"/>
      <c r="N395" s="194"/>
      <c r="O395" s="194"/>
      <c r="P395" s="194"/>
      <c r="Q395" s="194"/>
      <c r="R395" s="194"/>
      <c r="S395" s="194"/>
      <c r="T395" s="194"/>
      <c r="U395" s="194"/>
      <c r="V395" s="194"/>
      <c r="W395" s="194"/>
      <c r="X395" s="194"/>
      <c r="Y395" s="194"/>
      <c r="Z395" s="194"/>
    </row>
    <row r="396">
      <c r="A396" s="194"/>
      <c r="B396" s="194"/>
      <c r="C396" s="537"/>
      <c r="D396" s="537"/>
      <c r="E396" s="537"/>
      <c r="F396" s="537"/>
      <c r="G396" s="537"/>
      <c r="H396" s="537"/>
      <c r="I396" s="538"/>
      <c r="J396" s="537"/>
      <c r="K396" s="194"/>
      <c r="L396" s="194"/>
      <c r="M396" s="194"/>
      <c r="N396" s="194"/>
      <c r="O396" s="194"/>
      <c r="P396" s="194"/>
      <c r="Q396" s="194"/>
      <c r="R396" s="194"/>
      <c r="S396" s="194"/>
      <c r="T396" s="194"/>
      <c r="U396" s="194"/>
      <c r="V396" s="194"/>
      <c r="W396" s="194"/>
      <c r="X396" s="194"/>
      <c r="Y396" s="194"/>
      <c r="Z396" s="194"/>
    </row>
    <row r="397">
      <c r="A397" s="194"/>
      <c r="B397" s="194"/>
      <c r="C397" s="537"/>
      <c r="D397" s="537"/>
      <c r="E397" s="537"/>
      <c r="F397" s="537"/>
      <c r="G397" s="537"/>
      <c r="H397" s="537"/>
      <c r="I397" s="538"/>
      <c r="J397" s="537"/>
      <c r="K397" s="194"/>
      <c r="L397" s="194"/>
      <c r="M397" s="194"/>
      <c r="N397" s="194"/>
      <c r="O397" s="194"/>
      <c r="P397" s="194"/>
      <c r="Q397" s="194"/>
      <c r="R397" s="194"/>
      <c r="S397" s="194"/>
      <c r="T397" s="194"/>
      <c r="U397" s="194"/>
      <c r="V397" s="194"/>
      <c r="W397" s="194"/>
      <c r="X397" s="194"/>
      <c r="Y397" s="194"/>
      <c r="Z397" s="194"/>
    </row>
    <row r="398">
      <c r="A398" s="194"/>
      <c r="B398" s="194"/>
      <c r="C398" s="537"/>
      <c r="D398" s="537"/>
      <c r="E398" s="537"/>
      <c r="F398" s="537"/>
      <c r="G398" s="537"/>
      <c r="H398" s="537"/>
      <c r="I398" s="538"/>
      <c r="J398" s="537"/>
      <c r="K398" s="194"/>
      <c r="L398" s="194"/>
      <c r="M398" s="194"/>
      <c r="N398" s="194"/>
      <c r="O398" s="194"/>
      <c r="P398" s="194"/>
      <c r="Q398" s="194"/>
      <c r="R398" s="194"/>
      <c r="S398" s="194"/>
      <c r="T398" s="194"/>
      <c r="U398" s="194"/>
      <c r="V398" s="194"/>
      <c r="W398" s="194"/>
      <c r="X398" s="194"/>
      <c r="Y398" s="194"/>
      <c r="Z398" s="194"/>
    </row>
    <row r="399">
      <c r="A399" s="194"/>
      <c r="B399" s="194"/>
      <c r="C399" s="537"/>
      <c r="D399" s="537"/>
      <c r="E399" s="537"/>
      <c r="F399" s="537"/>
      <c r="G399" s="537"/>
      <c r="H399" s="537"/>
      <c r="I399" s="538"/>
      <c r="J399" s="537"/>
      <c r="K399" s="194"/>
      <c r="L399" s="194"/>
      <c r="M399" s="194"/>
      <c r="N399" s="194"/>
      <c r="O399" s="194"/>
      <c r="P399" s="194"/>
      <c r="Q399" s="194"/>
      <c r="R399" s="194"/>
      <c r="S399" s="194"/>
      <c r="T399" s="194"/>
      <c r="U399" s="194"/>
      <c r="V399" s="194"/>
      <c r="W399" s="194"/>
      <c r="X399" s="194"/>
      <c r="Y399" s="194"/>
      <c r="Z399" s="194"/>
    </row>
    <row r="400">
      <c r="A400" s="194"/>
      <c r="B400" s="194"/>
      <c r="C400" s="537"/>
      <c r="D400" s="537"/>
      <c r="E400" s="537"/>
      <c r="F400" s="537"/>
      <c r="G400" s="537"/>
      <c r="H400" s="537"/>
      <c r="I400" s="538"/>
      <c r="J400" s="537"/>
      <c r="K400" s="194"/>
      <c r="L400" s="194"/>
      <c r="M400" s="194"/>
      <c r="N400" s="194"/>
      <c r="O400" s="194"/>
      <c r="P400" s="194"/>
      <c r="Q400" s="194"/>
      <c r="R400" s="194"/>
      <c r="S400" s="194"/>
      <c r="T400" s="194"/>
      <c r="U400" s="194"/>
      <c r="V400" s="194"/>
      <c r="W400" s="194"/>
      <c r="X400" s="194"/>
      <c r="Y400" s="194"/>
      <c r="Z400" s="194"/>
    </row>
    <row r="401">
      <c r="A401" s="194"/>
      <c r="B401" s="194"/>
      <c r="C401" s="537"/>
      <c r="D401" s="537"/>
      <c r="E401" s="537"/>
      <c r="F401" s="537"/>
      <c r="G401" s="537"/>
      <c r="H401" s="537"/>
      <c r="I401" s="538"/>
      <c r="J401" s="537"/>
      <c r="K401" s="194"/>
      <c r="L401" s="194"/>
      <c r="M401" s="194"/>
      <c r="N401" s="194"/>
      <c r="O401" s="194"/>
      <c r="P401" s="194"/>
      <c r="Q401" s="194"/>
      <c r="R401" s="194"/>
      <c r="S401" s="194"/>
      <c r="T401" s="194"/>
      <c r="U401" s="194"/>
      <c r="V401" s="194"/>
      <c r="W401" s="194"/>
      <c r="X401" s="194"/>
      <c r="Y401" s="194"/>
      <c r="Z401" s="194"/>
    </row>
    <row r="402">
      <c r="A402" s="194"/>
      <c r="B402" s="194"/>
      <c r="C402" s="537"/>
      <c r="D402" s="537"/>
      <c r="E402" s="537"/>
      <c r="F402" s="537"/>
      <c r="G402" s="537"/>
      <c r="H402" s="537"/>
      <c r="I402" s="538"/>
      <c r="J402" s="537"/>
      <c r="K402" s="194"/>
      <c r="L402" s="194"/>
      <c r="M402" s="194"/>
      <c r="N402" s="194"/>
      <c r="O402" s="194"/>
      <c r="P402" s="194"/>
      <c r="Q402" s="194"/>
      <c r="R402" s="194"/>
      <c r="S402" s="194"/>
      <c r="T402" s="194"/>
      <c r="U402" s="194"/>
      <c r="V402" s="194"/>
      <c r="W402" s="194"/>
      <c r="X402" s="194"/>
      <c r="Y402" s="194"/>
      <c r="Z402" s="194"/>
    </row>
    <row r="403">
      <c r="A403" s="194"/>
      <c r="B403" s="194"/>
      <c r="C403" s="537"/>
      <c r="D403" s="537"/>
      <c r="E403" s="537"/>
      <c r="F403" s="537"/>
      <c r="G403" s="537"/>
      <c r="H403" s="537"/>
      <c r="I403" s="538"/>
      <c r="J403" s="537"/>
      <c r="K403" s="194"/>
      <c r="L403" s="194"/>
      <c r="M403" s="194"/>
      <c r="N403" s="194"/>
      <c r="O403" s="194"/>
      <c r="P403" s="194"/>
      <c r="Q403" s="194"/>
      <c r="R403" s="194"/>
      <c r="S403" s="194"/>
      <c r="T403" s="194"/>
      <c r="U403" s="194"/>
      <c r="V403" s="194"/>
      <c r="W403" s="194"/>
      <c r="X403" s="194"/>
      <c r="Y403" s="194"/>
      <c r="Z403" s="194"/>
    </row>
    <row r="404">
      <c r="A404" s="194"/>
      <c r="B404" s="194"/>
      <c r="C404" s="537"/>
      <c r="D404" s="537"/>
      <c r="E404" s="537"/>
      <c r="F404" s="537"/>
      <c r="G404" s="537"/>
      <c r="H404" s="537"/>
      <c r="I404" s="538"/>
      <c r="J404" s="537"/>
      <c r="K404" s="194"/>
      <c r="L404" s="194"/>
      <c r="M404" s="194"/>
      <c r="N404" s="194"/>
      <c r="O404" s="194"/>
      <c r="P404" s="194"/>
      <c r="Q404" s="194"/>
      <c r="R404" s="194"/>
      <c r="S404" s="194"/>
      <c r="T404" s="194"/>
      <c r="U404" s="194"/>
      <c r="V404" s="194"/>
      <c r="W404" s="194"/>
      <c r="X404" s="194"/>
      <c r="Y404" s="194"/>
      <c r="Z404" s="194"/>
    </row>
    <row r="405">
      <c r="A405" s="194"/>
      <c r="B405" s="194"/>
      <c r="C405" s="537"/>
      <c r="D405" s="537"/>
      <c r="E405" s="537"/>
      <c r="F405" s="537"/>
      <c r="G405" s="537"/>
      <c r="H405" s="537"/>
      <c r="I405" s="538"/>
      <c r="J405" s="537"/>
      <c r="K405" s="194"/>
      <c r="L405" s="194"/>
      <c r="M405" s="194"/>
      <c r="N405" s="194"/>
      <c r="O405" s="194"/>
      <c r="P405" s="194"/>
      <c r="Q405" s="194"/>
      <c r="R405" s="194"/>
      <c r="S405" s="194"/>
      <c r="T405" s="194"/>
      <c r="U405" s="194"/>
      <c r="V405" s="194"/>
      <c r="W405" s="194"/>
      <c r="X405" s="194"/>
      <c r="Y405" s="194"/>
      <c r="Z405" s="194"/>
    </row>
    <row r="406">
      <c r="A406" s="194"/>
      <c r="B406" s="194"/>
      <c r="C406" s="537"/>
      <c r="D406" s="537"/>
      <c r="E406" s="537"/>
      <c r="F406" s="537"/>
      <c r="G406" s="537"/>
      <c r="H406" s="537"/>
      <c r="I406" s="538"/>
      <c r="J406" s="537"/>
      <c r="K406" s="194"/>
      <c r="L406" s="194"/>
      <c r="M406" s="194"/>
      <c r="N406" s="194"/>
      <c r="O406" s="194"/>
      <c r="P406" s="194"/>
      <c r="Q406" s="194"/>
      <c r="R406" s="194"/>
      <c r="S406" s="194"/>
      <c r="T406" s="194"/>
      <c r="U406" s="194"/>
      <c r="V406" s="194"/>
      <c r="W406" s="194"/>
      <c r="X406" s="194"/>
      <c r="Y406" s="194"/>
      <c r="Z406" s="194"/>
    </row>
    <row r="407">
      <c r="A407" s="194"/>
      <c r="B407" s="194"/>
      <c r="C407" s="537"/>
      <c r="D407" s="537"/>
      <c r="E407" s="537"/>
      <c r="F407" s="537"/>
      <c r="G407" s="537"/>
      <c r="H407" s="537"/>
      <c r="I407" s="538"/>
      <c r="J407" s="537"/>
      <c r="K407" s="194"/>
      <c r="L407" s="194"/>
      <c r="M407" s="194"/>
      <c r="N407" s="194"/>
      <c r="O407" s="194"/>
      <c r="P407" s="194"/>
      <c r="Q407" s="194"/>
      <c r="R407" s="194"/>
      <c r="S407" s="194"/>
      <c r="T407" s="194"/>
      <c r="U407" s="194"/>
      <c r="V407" s="194"/>
      <c r="W407" s="194"/>
      <c r="X407" s="194"/>
      <c r="Y407" s="194"/>
      <c r="Z407" s="194"/>
    </row>
    <row r="408">
      <c r="A408" s="194"/>
      <c r="B408" s="194"/>
      <c r="C408" s="537"/>
      <c r="D408" s="537"/>
      <c r="E408" s="537"/>
      <c r="F408" s="537"/>
      <c r="G408" s="537"/>
      <c r="H408" s="537"/>
      <c r="I408" s="538"/>
      <c r="J408" s="537"/>
      <c r="K408" s="194"/>
      <c r="L408" s="194"/>
      <c r="M408" s="194"/>
      <c r="N408" s="194"/>
      <c r="O408" s="194"/>
      <c r="P408" s="194"/>
      <c r="Q408" s="194"/>
      <c r="R408" s="194"/>
      <c r="S408" s="194"/>
      <c r="T408" s="194"/>
      <c r="U408" s="194"/>
      <c r="V408" s="194"/>
      <c r="W408" s="194"/>
      <c r="X408" s="194"/>
      <c r="Y408" s="194"/>
      <c r="Z408" s="194"/>
    </row>
    <row r="409">
      <c r="A409" s="194"/>
      <c r="B409" s="194"/>
      <c r="C409" s="537"/>
      <c r="D409" s="537"/>
      <c r="E409" s="537"/>
      <c r="F409" s="537"/>
      <c r="G409" s="537"/>
      <c r="H409" s="537"/>
      <c r="I409" s="538"/>
      <c r="J409" s="537"/>
      <c r="K409" s="194"/>
      <c r="L409" s="194"/>
      <c r="M409" s="194"/>
      <c r="N409" s="194"/>
      <c r="O409" s="194"/>
      <c r="P409" s="194"/>
      <c r="Q409" s="194"/>
      <c r="R409" s="194"/>
      <c r="S409" s="194"/>
      <c r="T409" s="194"/>
      <c r="U409" s="194"/>
      <c r="V409" s="194"/>
      <c r="W409" s="194"/>
      <c r="X409" s="194"/>
      <c r="Y409" s="194"/>
      <c r="Z409" s="194"/>
    </row>
    <row r="410">
      <c r="A410" s="194"/>
      <c r="B410" s="194"/>
      <c r="C410" s="537"/>
      <c r="D410" s="537"/>
      <c r="E410" s="537"/>
      <c r="F410" s="537"/>
      <c r="G410" s="537"/>
      <c r="H410" s="537"/>
      <c r="I410" s="538"/>
      <c r="J410" s="537"/>
      <c r="K410" s="194"/>
      <c r="L410" s="194"/>
      <c r="M410" s="194"/>
      <c r="N410" s="194"/>
      <c r="O410" s="194"/>
      <c r="P410" s="194"/>
      <c r="Q410" s="194"/>
      <c r="R410" s="194"/>
      <c r="S410" s="194"/>
      <c r="T410" s="194"/>
      <c r="U410" s="194"/>
      <c r="V410" s="194"/>
      <c r="W410" s="194"/>
      <c r="X410" s="194"/>
      <c r="Y410" s="194"/>
      <c r="Z410" s="194"/>
    </row>
    <row r="411">
      <c r="A411" s="194"/>
      <c r="B411" s="194"/>
      <c r="C411" s="537"/>
      <c r="D411" s="537"/>
      <c r="E411" s="537"/>
      <c r="F411" s="537"/>
      <c r="G411" s="537"/>
      <c r="H411" s="537"/>
      <c r="I411" s="538"/>
      <c r="J411" s="537"/>
      <c r="K411" s="194"/>
      <c r="L411" s="194"/>
      <c r="M411" s="194"/>
      <c r="N411" s="194"/>
      <c r="O411" s="194"/>
      <c r="P411" s="194"/>
      <c r="Q411" s="194"/>
      <c r="R411" s="194"/>
      <c r="S411" s="194"/>
      <c r="T411" s="194"/>
      <c r="U411" s="194"/>
      <c r="V411" s="194"/>
      <c r="W411" s="194"/>
      <c r="X411" s="194"/>
      <c r="Y411" s="194"/>
      <c r="Z411" s="194"/>
    </row>
    <row r="412">
      <c r="A412" s="194"/>
      <c r="B412" s="194"/>
      <c r="C412" s="537"/>
      <c r="D412" s="537"/>
      <c r="E412" s="537"/>
      <c r="F412" s="537"/>
      <c r="G412" s="537"/>
      <c r="H412" s="537"/>
      <c r="I412" s="538"/>
      <c r="J412" s="537"/>
      <c r="K412" s="194"/>
      <c r="L412" s="194"/>
      <c r="M412" s="194"/>
      <c r="N412" s="194"/>
      <c r="O412" s="194"/>
      <c r="P412" s="194"/>
      <c r="Q412" s="194"/>
      <c r="R412" s="194"/>
      <c r="S412" s="194"/>
      <c r="T412" s="194"/>
      <c r="U412" s="194"/>
      <c r="V412" s="194"/>
      <c r="W412" s="194"/>
      <c r="X412" s="194"/>
      <c r="Y412" s="194"/>
      <c r="Z412" s="194"/>
    </row>
    <row r="413">
      <c r="A413" s="194"/>
      <c r="B413" s="194"/>
      <c r="C413" s="537"/>
      <c r="D413" s="537"/>
      <c r="E413" s="537"/>
      <c r="F413" s="537"/>
      <c r="G413" s="537"/>
      <c r="H413" s="537"/>
      <c r="I413" s="538"/>
      <c r="J413" s="537"/>
      <c r="K413" s="194"/>
      <c r="L413" s="194"/>
      <c r="M413" s="194"/>
      <c r="N413" s="194"/>
      <c r="O413" s="194"/>
      <c r="P413" s="194"/>
      <c r="Q413" s="194"/>
      <c r="R413" s="194"/>
      <c r="S413" s="194"/>
      <c r="T413" s="194"/>
      <c r="U413" s="194"/>
      <c r="V413" s="194"/>
      <c r="W413" s="194"/>
      <c r="X413" s="194"/>
      <c r="Y413" s="194"/>
      <c r="Z413" s="194"/>
    </row>
    <row r="414">
      <c r="A414" s="194"/>
      <c r="B414" s="194"/>
      <c r="C414" s="537"/>
      <c r="D414" s="537"/>
      <c r="E414" s="537"/>
      <c r="F414" s="537"/>
      <c r="G414" s="537"/>
      <c r="H414" s="537"/>
      <c r="I414" s="538"/>
      <c r="J414" s="537"/>
      <c r="K414" s="194"/>
      <c r="L414" s="194"/>
      <c r="M414" s="194"/>
      <c r="N414" s="194"/>
      <c r="O414" s="194"/>
      <c r="P414" s="194"/>
      <c r="Q414" s="194"/>
      <c r="R414" s="194"/>
      <c r="S414" s="194"/>
      <c r="T414" s="194"/>
      <c r="U414" s="194"/>
      <c r="V414" s="194"/>
      <c r="W414" s="194"/>
      <c r="X414" s="194"/>
      <c r="Y414" s="194"/>
      <c r="Z414" s="194"/>
    </row>
    <row r="415">
      <c r="A415" s="194"/>
      <c r="B415" s="194"/>
      <c r="C415" s="537"/>
      <c r="D415" s="537"/>
      <c r="E415" s="537"/>
      <c r="F415" s="537"/>
      <c r="G415" s="537"/>
      <c r="H415" s="537"/>
      <c r="I415" s="538"/>
      <c r="J415" s="537"/>
      <c r="K415" s="194"/>
      <c r="L415" s="194"/>
      <c r="M415" s="194"/>
      <c r="N415" s="194"/>
      <c r="O415" s="194"/>
      <c r="P415" s="194"/>
      <c r="Q415" s="194"/>
      <c r="R415" s="194"/>
      <c r="S415" s="194"/>
      <c r="T415" s="194"/>
      <c r="U415" s="194"/>
      <c r="V415" s="194"/>
      <c r="W415" s="194"/>
      <c r="X415" s="194"/>
      <c r="Y415" s="194"/>
      <c r="Z415" s="194"/>
    </row>
    <row r="416">
      <c r="A416" s="194"/>
      <c r="B416" s="194"/>
      <c r="C416" s="537"/>
      <c r="D416" s="537"/>
      <c r="E416" s="537"/>
      <c r="F416" s="537"/>
      <c r="G416" s="537"/>
      <c r="H416" s="537"/>
      <c r="I416" s="538"/>
      <c r="J416" s="537"/>
      <c r="K416" s="194"/>
      <c r="L416" s="194"/>
      <c r="M416" s="194"/>
      <c r="N416" s="194"/>
      <c r="O416" s="194"/>
      <c r="P416" s="194"/>
      <c r="Q416" s="194"/>
      <c r="R416" s="194"/>
      <c r="S416" s="194"/>
      <c r="T416" s="194"/>
      <c r="U416" s="194"/>
      <c r="V416" s="194"/>
      <c r="W416" s="194"/>
      <c r="X416" s="194"/>
      <c r="Y416" s="194"/>
      <c r="Z416" s="194"/>
    </row>
    <row r="417">
      <c r="A417" s="194"/>
      <c r="B417" s="194"/>
      <c r="C417" s="537"/>
      <c r="D417" s="537"/>
      <c r="E417" s="537"/>
      <c r="F417" s="537"/>
      <c r="G417" s="537"/>
      <c r="H417" s="537"/>
      <c r="I417" s="538"/>
      <c r="J417" s="537"/>
      <c r="K417" s="194"/>
      <c r="L417" s="194"/>
      <c r="M417" s="194"/>
      <c r="N417" s="194"/>
      <c r="O417" s="194"/>
      <c r="P417" s="194"/>
      <c r="Q417" s="194"/>
      <c r="R417" s="194"/>
      <c r="S417" s="194"/>
      <c r="T417" s="194"/>
      <c r="U417" s="194"/>
      <c r="V417" s="194"/>
      <c r="W417" s="194"/>
      <c r="X417" s="194"/>
      <c r="Y417" s="194"/>
      <c r="Z417" s="194"/>
    </row>
    <row r="418">
      <c r="A418" s="194"/>
      <c r="B418" s="194"/>
      <c r="C418" s="537"/>
      <c r="D418" s="537"/>
      <c r="E418" s="537"/>
      <c r="F418" s="537"/>
      <c r="G418" s="537"/>
      <c r="H418" s="537"/>
      <c r="I418" s="538"/>
      <c r="J418" s="537"/>
      <c r="K418" s="194"/>
      <c r="L418" s="194"/>
      <c r="M418" s="194"/>
      <c r="N418" s="194"/>
      <c r="O418" s="194"/>
      <c r="P418" s="194"/>
      <c r="Q418" s="194"/>
      <c r="R418" s="194"/>
      <c r="S418" s="194"/>
      <c r="T418" s="194"/>
      <c r="U418" s="194"/>
      <c r="V418" s="194"/>
      <c r="W418" s="194"/>
      <c r="X418" s="194"/>
      <c r="Y418" s="194"/>
      <c r="Z418" s="194"/>
    </row>
    <row r="419">
      <c r="A419" s="194"/>
      <c r="B419" s="194"/>
      <c r="C419" s="537"/>
      <c r="D419" s="537"/>
      <c r="E419" s="537"/>
      <c r="F419" s="537"/>
      <c r="G419" s="537"/>
      <c r="H419" s="537"/>
      <c r="I419" s="538"/>
      <c r="J419" s="537"/>
      <c r="K419" s="194"/>
      <c r="L419" s="194"/>
      <c r="M419" s="194"/>
      <c r="N419" s="194"/>
      <c r="O419" s="194"/>
      <c r="P419" s="194"/>
      <c r="Q419" s="194"/>
      <c r="R419" s="194"/>
      <c r="S419" s="194"/>
      <c r="T419" s="194"/>
      <c r="U419" s="194"/>
      <c r="V419" s="194"/>
      <c r="W419" s="194"/>
      <c r="X419" s="194"/>
      <c r="Y419" s="194"/>
      <c r="Z419" s="194"/>
    </row>
    <row r="420">
      <c r="A420" s="194"/>
      <c r="B420" s="194"/>
      <c r="C420" s="537"/>
      <c r="D420" s="537"/>
      <c r="E420" s="537"/>
      <c r="F420" s="537"/>
      <c r="G420" s="537"/>
      <c r="H420" s="537"/>
      <c r="I420" s="538"/>
      <c r="J420" s="537"/>
      <c r="K420" s="194"/>
      <c r="L420" s="194"/>
      <c r="M420" s="194"/>
      <c r="N420" s="194"/>
      <c r="O420" s="194"/>
      <c r="P420" s="194"/>
      <c r="Q420" s="194"/>
      <c r="R420" s="194"/>
      <c r="S420" s="194"/>
      <c r="T420" s="194"/>
      <c r="U420" s="194"/>
      <c r="V420" s="194"/>
      <c r="W420" s="194"/>
      <c r="X420" s="194"/>
      <c r="Y420" s="194"/>
      <c r="Z420" s="194"/>
    </row>
    <row r="421">
      <c r="A421" s="194"/>
      <c r="B421" s="194"/>
      <c r="C421" s="537"/>
      <c r="D421" s="537"/>
      <c r="E421" s="537"/>
      <c r="F421" s="537"/>
      <c r="G421" s="537"/>
      <c r="H421" s="537"/>
      <c r="I421" s="538"/>
      <c r="J421" s="537"/>
      <c r="K421" s="194"/>
      <c r="L421" s="194"/>
      <c r="M421" s="194"/>
      <c r="N421" s="194"/>
      <c r="O421" s="194"/>
      <c r="P421" s="194"/>
      <c r="Q421" s="194"/>
      <c r="R421" s="194"/>
      <c r="S421" s="194"/>
      <c r="T421" s="194"/>
      <c r="U421" s="194"/>
      <c r="V421" s="194"/>
      <c r="W421" s="194"/>
      <c r="X421" s="194"/>
      <c r="Y421" s="194"/>
      <c r="Z421" s="194"/>
    </row>
    <row r="422">
      <c r="A422" s="194"/>
      <c r="B422" s="194"/>
      <c r="C422" s="537"/>
      <c r="D422" s="537"/>
      <c r="E422" s="537"/>
      <c r="F422" s="537"/>
      <c r="G422" s="537"/>
      <c r="H422" s="537"/>
      <c r="I422" s="538"/>
      <c r="J422" s="537"/>
      <c r="K422" s="194"/>
      <c r="L422" s="194"/>
      <c r="M422" s="194"/>
      <c r="N422" s="194"/>
      <c r="O422" s="194"/>
      <c r="P422" s="194"/>
      <c r="Q422" s="194"/>
      <c r="R422" s="194"/>
      <c r="S422" s="194"/>
      <c r="T422" s="194"/>
      <c r="U422" s="194"/>
      <c r="V422" s="194"/>
      <c r="W422" s="194"/>
      <c r="X422" s="194"/>
      <c r="Y422" s="194"/>
      <c r="Z422" s="194"/>
    </row>
    <row r="423">
      <c r="A423" s="194"/>
      <c r="B423" s="194"/>
      <c r="C423" s="537"/>
      <c r="D423" s="537"/>
      <c r="E423" s="537"/>
      <c r="F423" s="537"/>
      <c r="G423" s="537"/>
      <c r="H423" s="537"/>
      <c r="I423" s="538"/>
      <c r="J423" s="537"/>
      <c r="K423" s="194"/>
      <c r="L423" s="194"/>
      <c r="M423" s="194"/>
      <c r="N423" s="194"/>
      <c r="O423" s="194"/>
      <c r="P423" s="194"/>
      <c r="Q423" s="194"/>
      <c r="R423" s="194"/>
      <c r="S423" s="194"/>
      <c r="T423" s="194"/>
      <c r="U423" s="194"/>
      <c r="V423" s="194"/>
      <c r="W423" s="194"/>
      <c r="X423" s="194"/>
      <c r="Y423" s="194"/>
      <c r="Z423" s="194"/>
    </row>
    <row r="424">
      <c r="A424" s="194"/>
      <c r="B424" s="194"/>
      <c r="C424" s="537"/>
      <c r="D424" s="537"/>
      <c r="E424" s="537"/>
      <c r="F424" s="537"/>
      <c r="G424" s="537"/>
      <c r="H424" s="537"/>
      <c r="I424" s="538"/>
      <c r="J424" s="537"/>
      <c r="K424" s="194"/>
      <c r="L424" s="194"/>
      <c r="M424" s="194"/>
      <c r="N424" s="194"/>
      <c r="O424" s="194"/>
      <c r="P424" s="194"/>
      <c r="Q424" s="194"/>
      <c r="R424" s="194"/>
      <c r="S424" s="194"/>
      <c r="T424" s="194"/>
      <c r="U424" s="194"/>
      <c r="V424" s="194"/>
      <c r="W424" s="194"/>
      <c r="X424" s="194"/>
      <c r="Y424" s="194"/>
      <c r="Z424" s="194"/>
    </row>
    <row r="425">
      <c r="A425" s="194"/>
      <c r="B425" s="194"/>
      <c r="C425" s="537"/>
      <c r="D425" s="537"/>
      <c r="E425" s="537"/>
      <c r="F425" s="537"/>
      <c r="G425" s="537"/>
      <c r="H425" s="537"/>
      <c r="I425" s="538"/>
      <c r="J425" s="537"/>
      <c r="K425" s="194"/>
      <c r="L425" s="194"/>
      <c r="M425" s="194"/>
      <c r="N425" s="194"/>
      <c r="O425" s="194"/>
      <c r="P425" s="194"/>
      <c r="Q425" s="194"/>
      <c r="R425" s="194"/>
      <c r="S425" s="194"/>
      <c r="T425" s="194"/>
      <c r="U425" s="194"/>
      <c r="V425" s="194"/>
      <c r="W425" s="194"/>
      <c r="X425" s="194"/>
      <c r="Y425" s="194"/>
      <c r="Z425" s="194"/>
    </row>
    <row r="426">
      <c r="A426" s="194"/>
      <c r="B426" s="194"/>
      <c r="C426" s="537"/>
      <c r="D426" s="537"/>
      <c r="E426" s="537"/>
      <c r="F426" s="537"/>
      <c r="G426" s="537"/>
      <c r="H426" s="537"/>
      <c r="I426" s="538"/>
      <c r="J426" s="537"/>
      <c r="K426" s="194"/>
      <c r="L426" s="194"/>
      <c r="M426" s="194"/>
      <c r="N426" s="194"/>
      <c r="O426" s="194"/>
      <c r="P426" s="194"/>
      <c r="Q426" s="194"/>
      <c r="R426" s="194"/>
      <c r="S426" s="194"/>
      <c r="T426" s="194"/>
      <c r="U426" s="194"/>
      <c r="V426" s="194"/>
      <c r="W426" s="194"/>
      <c r="X426" s="194"/>
      <c r="Y426" s="194"/>
      <c r="Z426" s="194"/>
    </row>
    <row r="427">
      <c r="A427" s="194"/>
      <c r="B427" s="194"/>
      <c r="C427" s="537"/>
      <c r="D427" s="537"/>
      <c r="E427" s="537"/>
      <c r="F427" s="537"/>
      <c r="G427" s="537"/>
      <c r="H427" s="537"/>
      <c r="I427" s="538"/>
      <c r="J427" s="537"/>
      <c r="K427" s="194"/>
      <c r="L427" s="194"/>
      <c r="M427" s="194"/>
      <c r="N427" s="194"/>
      <c r="O427" s="194"/>
      <c r="P427" s="194"/>
      <c r="Q427" s="194"/>
      <c r="R427" s="194"/>
      <c r="S427" s="194"/>
      <c r="T427" s="194"/>
      <c r="U427" s="194"/>
      <c r="V427" s="194"/>
      <c r="W427" s="194"/>
      <c r="X427" s="194"/>
      <c r="Y427" s="194"/>
      <c r="Z427" s="194"/>
    </row>
    <row r="428">
      <c r="A428" s="194"/>
      <c r="B428" s="194"/>
      <c r="C428" s="537"/>
      <c r="D428" s="537"/>
      <c r="E428" s="537"/>
      <c r="F428" s="537"/>
      <c r="G428" s="537"/>
      <c r="H428" s="537"/>
      <c r="I428" s="538"/>
      <c r="J428" s="537"/>
      <c r="K428" s="194"/>
      <c r="L428" s="194"/>
      <c r="M428" s="194"/>
      <c r="N428" s="194"/>
      <c r="O428" s="194"/>
      <c r="P428" s="194"/>
      <c r="Q428" s="194"/>
      <c r="R428" s="194"/>
      <c r="S428" s="194"/>
      <c r="T428" s="194"/>
      <c r="U428" s="194"/>
      <c r="V428" s="194"/>
      <c r="W428" s="194"/>
      <c r="X428" s="194"/>
      <c r="Y428" s="194"/>
      <c r="Z428" s="194"/>
    </row>
    <row r="429">
      <c r="A429" s="194"/>
      <c r="B429" s="194"/>
      <c r="C429" s="537"/>
      <c r="D429" s="537"/>
      <c r="E429" s="537"/>
      <c r="F429" s="537"/>
      <c r="G429" s="537"/>
      <c r="H429" s="537"/>
      <c r="I429" s="538"/>
      <c r="J429" s="537"/>
      <c r="K429" s="194"/>
      <c r="L429" s="194"/>
      <c r="M429" s="194"/>
      <c r="N429" s="194"/>
      <c r="O429" s="194"/>
      <c r="P429" s="194"/>
      <c r="Q429" s="194"/>
      <c r="R429" s="194"/>
      <c r="S429" s="194"/>
      <c r="T429" s="194"/>
      <c r="U429" s="194"/>
      <c r="V429" s="194"/>
      <c r="W429" s="194"/>
      <c r="X429" s="194"/>
      <c r="Y429" s="194"/>
      <c r="Z429" s="194"/>
    </row>
    <row r="430">
      <c r="A430" s="194"/>
      <c r="B430" s="194"/>
      <c r="C430" s="537"/>
      <c r="D430" s="537"/>
      <c r="E430" s="537"/>
      <c r="F430" s="537"/>
      <c r="G430" s="537"/>
      <c r="H430" s="537"/>
      <c r="I430" s="538"/>
      <c r="J430" s="537"/>
      <c r="K430" s="194"/>
      <c r="L430" s="194"/>
      <c r="M430" s="194"/>
      <c r="N430" s="194"/>
      <c r="O430" s="194"/>
      <c r="P430" s="194"/>
      <c r="Q430" s="194"/>
      <c r="R430" s="194"/>
      <c r="S430" s="194"/>
      <c r="T430" s="194"/>
      <c r="U430" s="194"/>
      <c r="V430" s="194"/>
      <c r="W430" s="194"/>
      <c r="X430" s="194"/>
      <c r="Y430" s="194"/>
      <c r="Z430" s="194"/>
    </row>
    <row r="431">
      <c r="A431" s="194"/>
      <c r="B431" s="194"/>
      <c r="C431" s="537"/>
      <c r="D431" s="537"/>
      <c r="E431" s="537"/>
      <c r="F431" s="537"/>
      <c r="G431" s="537"/>
      <c r="H431" s="537"/>
      <c r="I431" s="538"/>
      <c r="J431" s="537"/>
      <c r="K431" s="194"/>
      <c r="L431" s="194"/>
      <c r="M431" s="194"/>
      <c r="N431" s="194"/>
      <c r="O431" s="194"/>
      <c r="P431" s="194"/>
      <c r="Q431" s="194"/>
      <c r="R431" s="194"/>
      <c r="S431" s="194"/>
      <c r="T431" s="194"/>
      <c r="U431" s="194"/>
      <c r="V431" s="194"/>
      <c r="W431" s="194"/>
      <c r="X431" s="194"/>
      <c r="Y431" s="194"/>
      <c r="Z431" s="194"/>
    </row>
    <row r="432">
      <c r="A432" s="194"/>
      <c r="B432" s="194"/>
      <c r="C432" s="537"/>
      <c r="D432" s="537"/>
      <c r="E432" s="537"/>
      <c r="F432" s="537"/>
      <c r="G432" s="537"/>
      <c r="H432" s="537"/>
      <c r="I432" s="538"/>
      <c r="J432" s="537"/>
      <c r="K432" s="194"/>
      <c r="L432" s="194"/>
      <c r="M432" s="194"/>
      <c r="N432" s="194"/>
      <c r="O432" s="194"/>
      <c r="P432" s="194"/>
      <c r="Q432" s="194"/>
      <c r="R432" s="194"/>
      <c r="S432" s="194"/>
      <c r="T432" s="194"/>
      <c r="U432" s="194"/>
      <c r="V432" s="194"/>
      <c r="W432" s="194"/>
      <c r="X432" s="194"/>
      <c r="Y432" s="194"/>
      <c r="Z432" s="194"/>
    </row>
    <row r="433">
      <c r="A433" s="194"/>
      <c r="B433" s="194"/>
      <c r="C433" s="537"/>
      <c r="D433" s="537"/>
      <c r="E433" s="537"/>
      <c r="F433" s="537"/>
      <c r="G433" s="537"/>
      <c r="H433" s="537"/>
      <c r="I433" s="538"/>
      <c r="J433" s="537"/>
      <c r="K433" s="194"/>
      <c r="L433" s="194"/>
      <c r="M433" s="194"/>
      <c r="N433" s="194"/>
      <c r="O433" s="194"/>
      <c r="P433" s="194"/>
      <c r="Q433" s="194"/>
      <c r="R433" s="194"/>
      <c r="S433" s="194"/>
      <c r="T433" s="194"/>
      <c r="U433" s="194"/>
      <c r="V433" s="194"/>
      <c r="W433" s="194"/>
      <c r="X433" s="194"/>
      <c r="Y433" s="194"/>
      <c r="Z433" s="194"/>
    </row>
    <row r="434">
      <c r="A434" s="194"/>
      <c r="B434" s="194"/>
      <c r="C434" s="537"/>
      <c r="D434" s="537"/>
      <c r="E434" s="537"/>
      <c r="F434" s="537"/>
      <c r="G434" s="537"/>
      <c r="H434" s="537"/>
      <c r="I434" s="538"/>
      <c r="J434" s="537"/>
      <c r="K434" s="194"/>
      <c r="L434" s="194"/>
      <c r="M434" s="194"/>
      <c r="N434" s="194"/>
      <c r="O434" s="194"/>
      <c r="P434" s="194"/>
      <c r="Q434" s="194"/>
      <c r="R434" s="194"/>
      <c r="S434" s="194"/>
      <c r="T434" s="194"/>
      <c r="U434" s="194"/>
      <c r="V434" s="194"/>
      <c r="W434" s="194"/>
      <c r="X434" s="194"/>
      <c r="Y434" s="194"/>
      <c r="Z434" s="194"/>
    </row>
    <row r="435">
      <c r="A435" s="194"/>
      <c r="B435" s="194"/>
      <c r="C435" s="537"/>
      <c r="D435" s="537"/>
      <c r="E435" s="537"/>
      <c r="F435" s="537"/>
      <c r="G435" s="537"/>
      <c r="H435" s="537"/>
      <c r="I435" s="538"/>
      <c r="J435" s="537"/>
      <c r="K435" s="194"/>
      <c r="L435" s="194"/>
      <c r="M435" s="194"/>
      <c r="N435" s="194"/>
      <c r="O435" s="194"/>
      <c r="P435" s="194"/>
      <c r="Q435" s="194"/>
      <c r="R435" s="194"/>
      <c r="S435" s="194"/>
      <c r="T435" s="194"/>
      <c r="U435" s="194"/>
      <c r="V435" s="194"/>
      <c r="W435" s="194"/>
      <c r="X435" s="194"/>
      <c r="Y435" s="194"/>
      <c r="Z435" s="194"/>
    </row>
    <row r="436">
      <c r="A436" s="194"/>
      <c r="B436" s="194"/>
      <c r="C436" s="537"/>
      <c r="D436" s="537"/>
      <c r="E436" s="537"/>
      <c r="F436" s="537"/>
      <c r="G436" s="537"/>
      <c r="H436" s="537"/>
      <c r="I436" s="538"/>
      <c r="J436" s="537"/>
      <c r="K436" s="194"/>
      <c r="L436" s="194"/>
      <c r="M436" s="194"/>
      <c r="N436" s="194"/>
      <c r="O436" s="194"/>
      <c r="P436" s="194"/>
      <c r="Q436" s="194"/>
      <c r="R436" s="194"/>
      <c r="S436" s="194"/>
      <c r="T436" s="194"/>
      <c r="U436" s="194"/>
      <c r="V436" s="194"/>
      <c r="W436" s="194"/>
      <c r="X436" s="194"/>
      <c r="Y436" s="194"/>
      <c r="Z436" s="194"/>
    </row>
    <row r="437">
      <c r="A437" s="194"/>
      <c r="B437" s="194"/>
      <c r="C437" s="537"/>
      <c r="D437" s="537"/>
      <c r="E437" s="537"/>
      <c r="F437" s="537"/>
      <c r="G437" s="537"/>
      <c r="H437" s="537"/>
      <c r="I437" s="538"/>
      <c r="J437" s="537"/>
      <c r="K437" s="194"/>
      <c r="L437" s="194"/>
      <c r="M437" s="194"/>
      <c r="N437" s="194"/>
      <c r="O437" s="194"/>
      <c r="P437" s="194"/>
      <c r="Q437" s="194"/>
      <c r="R437" s="194"/>
      <c r="S437" s="194"/>
      <c r="T437" s="194"/>
      <c r="U437" s="194"/>
      <c r="V437" s="194"/>
      <c r="W437" s="194"/>
      <c r="X437" s="194"/>
      <c r="Y437" s="194"/>
      <c r="Z437" s="194"/>
    </row>
    <row r="438">
      <c r="A438" s="194"/>
      <c r="B438" s="194"/>
      <c r="C438" s="537"/>
      <c r="D438" s="537"/>
      <c r="E438" s="537"/>
      <c r="F438" s="537"/>
      <c r="G438" s="537"/>
      <c r="H438" s="537"/>
      <c r="I438" s="538"/>
      <c r="J438" s="537"/>
      <c r="K438" s="194"/>
      <c r="L438" s="194"/>
      <c r="M438" s="194"/>
      <c r="N438" s="194"/>
      <c r="O438" s="194"/>
      <c r="P438" s="194"/>
      <c r="Q438" s="194"/>
      <c r="R438" s="194"/>
      <c r="S438" s="194"/>
      <c r="T438" s="194"/>
      <c r="U438" s="194"/>
      <c r="V438" s="194"/>
      <c r="W438" s="194"/>
      <c r="X438" s="194"/>
      <c r="Y438" s="194"/>
      <c r="Z438" s="194"/>
    </row>
    <row r="439">
      <c r="A439" s="194"/>
      <c r="B439" s="194"/>
      <c r="C439" s="537"/>
      <c r="D439" s="537"/>
      <c r="E439" s="537"/>
      <c r="F439" s="537"/>
      <c r="G439" s="537"/>
      <c r="H439" s="537"/>
      <c r="I439" s="538"/>
      <c r="J439" s="537"/>
      <c r="K439" s="194"/>
      <c r="L439" s="194"/>
      <c r="M439" s="194"/>
      <c r="N439" s="194"/>
      <c r="O439" s="194"/>
      <c r="P439" s="194"/>
      <c r="Q439" s="194"/>
      <c r="R439" s="194"/>
      <c r="S439" s="194"/>
      <c r="T439" s="194"/>
      <c r="U439" s="194"/>
      <c r="V439" s="194"/>
      <c r="W439" s="194"/>
      <c r="X439" s="194"/>
      <c r="Y439" s="194"/>
      <c r="Z439" s="194"/>
    </row>
    <row r="440">
      <c r="A440" s="194"/>
      <c r="B440" s="194"/>
      <c r="C440" s="537"/>
      <c r="D440" s="537"/>
      <c r="E440" s="537"/>
      <c r="F440" s="537"/>
      <c r="G440" s="537"/>
      <c r="H440" s="537"/>
      <c r="I440" s="538"/>
      <c r="J440" s="537"/>
      <c r="K440" s="194"/>
      <c r="L440" s="194"/>
      <c r="M440" s="194"/>
      <c r="N440" s="194"/>
      <c r="O440" s="194"/>
      <c r="P440" s="194"/>
      <c r="Q440" s="194"/>
      <c r="R440" s="194"/>
      <c r="S440" s="194"/>
      <c r="T440" s="194"/>
      <c r="U440" s="194"/>
      <c r="V440" s="194"/>
      <c r="W440" s="194"/>
      <c r="X440" s="194"/>
      <c r="Y440" s="194"/>
      <c r="Z440" s="194"/>
    </row>
    <row r="441">
      <c r="A441" s="194"/>
      <c r="B441" s="194"/>
      <c r="C441" s="537"/>
      <c r="D441" s="537"/>
      <c r="E441" s="537"/>
      <c r="F441" s="537"/>
      <c r="G441" s="537"/>
      <c r="H441" s="537"/>
      <c r="I441" s="538"/>
      <c r="J441" s="537"/>
      <c r="K441" s="194"/>
      <c r="L441" s="194"/>
      <c r="M441" s="194"/>
      <c r="N441" s="194"/>
      <c r="O441" s="194"/>
      <c r="P441" s="194"/>
      <c r="Q441" s="194"/>
      <c r="R441" s="194"/>
      <c r="S441" s="194"/>
      <c r="T441" s="194"/>
      <c r="U441" s="194"/>
      <c r="V441" s="194"/>
      <c r="W441" s="194"/>
      <c r="X441" s="194"/>
      <c r="Y441" s="194"/>
      <c r="Z441" s="194"/>
    </row>
    <row r="442">
      <c r="A442" s="194"/>
      <c r="B442" s="194"/>
      <c r="C442" s="537"/>
      <c r="D442" s="537"/>
      <c r="E442" s="537"/>
      <c r="F442" s="537"/>
      <c r="G442" s="537"/>
      <c r="H442" s="537"/>
      <c r="I442" s="538"/>
      <c r="J442" s="537"/>
      <c r="K442" s="194"/>
      <c r="L442" s="194"/>
      <c r="M442" s="194"/>
      <c r="N442" s="194"/>
      <c r="O442" s="194"/>
      <c r="P442" s="194"/>
      <c r="Q442" s="194"/>
      <c r="R442" s="194"/>
      <c r="S442" s="194"/>
      <c r="T442" s="194"/>
      <c r="U442" s="194"/>
      <c r="V442" s="194"/>
      <c r="W442" s="194"/>
      <c r="X442" s="194"/>
      <c r="Y442" s="194"/>
      <c r="Z442" s="194"/>
    </row>
    <row r="443">
      <c r="A443" s="194"/>
      <c r="B443" s="194"/>
      <c r="C443" s="537"/>
      <c r="D443" s="537"/>
      <c r="E443" s="537"/>
      <c r="F443" s="537"/>
      <c r="G443" s="537"/>
      <c r="H443" s="537"/>
      <c r="I443" s="538"/>
      <c r="J443" s="537"/>
      <c r="K443" s="194"/>
      <c r="L443" s="194"/>
      <c r="M443" s="194"/>
      <c r="N443" s="194"/>
      <c r="O443" s="194"/>
      <c r="P443" s="194"/>
      <c r="Q443" s="194"/>
      <c r="R443" s="194"/>
      <c r="S443" s="194"/>
      <c r="T443" s="194"/>
      <c r="U443" s="194"/>
      <c r="V443" s="194"/>
      <c r="W443" s="194"/>
      <c r="X443" s="194"/>
      <c r="Y443" s="194"/>
      <c r="Z443" s="194"/>
    </row>
    <row r="444">
      <c r="A444" s="194"/>
      <c r="B444" s="194"/>
      <c r="C444" s="537"/>
      <c r="D444" s="537"/>
      <c r="E444" s="537"/>
      <c r="F444" s="537"/>
      <c r="G444" s="537"/>
      <c r="H444" s="537"/>
      <c r="I444" s="538"/>
      <c r="J444" s="537"/>
      <c r="K444" s="194"/>
      <c r="L444" s="194"/>
      <c r="M444" s="194"/>
      <c r="N444" s="194"/>
      <c r="O444" s="194"/>
      <c r="P444" s="194"/>
      <c r="Q444" s="194"/>
      <c r="R444" s="194"/>
      <c r="S444" s="194"/>
      <c r="T444" s="194"/>
      <c r="U444" s="194"/>
      <c r="V444" s="194"/>
      <c r="W444" s="194"/>
      <c r="X444" s="194"/>
      <c r="Y444" s="194"/>
      <c r="Z444" s="194"/>
    </row>
    <row r="445">
      <c r="A445" s="194"/>
      <c r="B445" s="194"/>
      <c r="C445" s="537"/>
      <c r="D445" s="537"/>
      <c r="E445" s="537"/>
      <c r="F445" s="537"/>
      <c r="G445" s="537"/>
      <c r="H445" s="537"/>
      <c r="I445" s="538"/>
      <c r="J445" s="537"/>
      <c r="K445" s="194"/>
      <c r="L445" s="194"/>
      <c r="M445" s="194"/>
      <c r="N445" s="194"/>
      <c r="O445" s="194"/>
      <c r="P445" s="194"/>
      <c r="Q445" s="194"/>
      <c r="R445" s="194"/>
      <c r="S445" s="194"/>
      <c r="T445" s="194"/>
      <c r="U445" s="194"/>
      <c r="V445" s="194"/>
      <c r="W445" s="194"/>
      <c r="X445" s="194"/>
      <c r="Y445" s="194"/>
      <c r="Z445" s="194"/>
    </row>
    <row r="446">
      <c r="A446" s="194"/>
      <c r="B446" s="194"/>
      <c r="C446" s="537"/>
      <c r="D446" s="537"/>
      <c r="E446" s="537"/>
      <c r="F446" s="537"/>
      <c r="G446" s="537"/>
      <c r="H446" s="537"/>
      <c r="I446" s="538"/>
      <c r="J446" s="537"/>
      <c r="K446" s="194"/>
      <c r="L446" s="194"/>
      <c r="M446" s="194"/>
      <c r="N446" s="194"/>
      <c r="O446" s="194"/>
      <c r="P446" s="194"/>
      <c r="Q446" s="194"/>
      <c r="R446" s="194"/>
      <c r="S446" s="194"/>
      <c r="T446" s="194"/>
      <c r="U446" s="194"/>
      <c r="V446" s="194"/>
      <c r="W446" s="194"/>
      <c r="X446" s="194"/>
      <c r="Y446" s="194"/>
      <c r="Z446" s="194"/>
    </row>
    <row r="447">
      <c r="A447" s="194"/>
      <c r="B447" s="194"/>
      <c r="C447" s="537"/>
      <c r="D447" s="537"/>
      <c r="E447" s="537"/>
      <c r="F447" s="537"/>
      <c r="G447" s="537"/>
      <c r="H447" s="537"/>
      <c r="I447" s="538"/>
      <c r="J447" s="537"/>
      <c r="K447" s="194"/>
      <c r="L447" s="194"/>
      <c r="M447" s="194"/>
      <c r="N447" s="194"/>
      <c r="O447" s="194"/>
      <c r="P447" s="194"/>
      <c r="Q447" s="194"/>
      <c r="R447" s="194"/>
      <c r="S447" s="194"/>
      <c r="T447" s="194"/>
      <c r="U447" s="194"/>
      <c r="V447" s="194"/>
      <c r="W447" s="194"/>
      <c r="X447" s="194"/>
      <c r="Y447" s="194"/>
      <c r="Z447" s="194"/>
    </row>
    <row r="448">
      <c r="A448" s="194"/>
      <c r="B448" s="194"/>
      <c r="C448" s="537"/>
      <c r="D448" s="537"/>
      <c r="E448" s="537"/>
      <c r="F448" s="537"/>
      <c r="G448" s="537"/>
      <c r="H448" s="537"/>
      <c r="I448" s="538"/>
      <c r="J448" s="537"/>
      <c r="K448" s="194"/>
      <c r="L448" s="194"/>
      <c r="M448" s="194"/>
      <c r="N448" s="194"/>
      <c r="O448" s="194"/>
      <c r="P448" s="194"/>
      <c r="Q448" s="194"/>
      <c r="R448" s="194"/>
      <c r="S448" s="194"/>
      <c r="T448" s="194"/>
      <c r="U448" s="194"/>
      <c r="V448" s="194"/>
      <c r="W448" s="194"/>
      <c r="X448" s="194"/>
      <c r="Y448" s="194"/>
      <c r="Z448" s="194"/>
    </row>
    <row r="449">
      <c r="A449" s="194"/>
      <c r="B449" s="194"/>
      <c r="C449" s="537"/>
      <c r="D449" s="537"/>
      <c r="E449" s="537"/>
      <c r="F449" s="537"/>
      <c r="G449" s="537"/>
      <c r="H449" s="537"/>
      <c r="I449" s="538"/>
      <c r="J449" s="537"/>
      <c r="K449" s="194"/>
      <c r="L449" s="194"/>
      <c r="M449" s="194"/>
      <c r="N449" s="194"/>
      <c r="O449" s="194"/>
      <c r="P449" s="194"/>
      <c r="Q449" s="194"/>
      <c r="R449" s="194"/>
      <c r="S449" s="194"/>
      <c r="T449" s="194"/>
      <c r="U449" s="194"/>
      <c r="V449" s="194"/>
      <c r="W449" s="194"/>
      <c r="X449" s="194"/>
      <c r="Y449" s="194"/>
      <c r="Z449" s="194"/>
    </row>
    <row r="450">
      <c r="A450" s="194"/>
      <c r="B450" s="194"/>
      <c r="C450" s="537"/>
      <c r="D450" s="537"/>
      <c r="E450" s="537"/>
      <c r="F450" s="537"/>
      <c r="G450" s="537"/>
      <c r="H450" s="537"/>
      <c r="I450" s="538"/>
      <c r="J450" s="537"/>
      <c r="K450" s="194"/>
      <c r="L450" s="194"/>
      <c r="M450" s="194"/>
      <c r="N450" s="194"/>
      <c r="O450" s="194"/>
      <c r="P450" s="194"/>
      <c r="Q450" s="194"/>
      <c r="R450" s="194"/>
      <c r="S450" s="194"/>
      <c r="T450" s="194"/>
      <c r="U450" s="194"/>
      <c r="V450" s="194"/>
      <c r="W450" s="194"/>
      <c r="X450" s="194"/>
      <c r="Y450" s="194"/>
      <c r="Z450" s="194"/>
    </row>
    <row r="451">
      <c r="A451" s="194"/>
      <c r="B451" s="194"/>
      <c r="C451" s="537"/>
      <c r="D451" s="537"/>
      <c r="E451" s="537"/>
      <c r="F451" s="537"/>
      <c r="G451" s="537"/>
      <c r="H451" s="537"/>
      <c r="I451" s="538"/>
      <c r="J451" s="537"/>
      <c r="K451" s="194"/>
      <c r="L451" s="194"/>
      <c r="M451" s="194"/>
      <c r="N451" s="194"/>
      <c r="O451" s="194"/>
      <c r="P451" s="194"/>
      <c r="Q451" s="194"/>
      <c r="R451" s="194"/>
      <c r="S451" s="194"/>
      <c r="T451" s="194"/>
      <c r="U451" s="194"/>
      <c r="V451" s="194"/>
      <c r="W451" s="194"/>
      <c r="X451" s="194"/>
      <c r="Y451" s="194"/>
      <c r="Z451" s="194"/>
    </row>
    <row r="452">
      <c r="A452" s="194"/>
      <c r="B452" s="194"/>
      <c r="C452" s="537"/>
      <c r="D452" s="537"/>
      <c r="E452" s="537"/>
      <c r="F452" s="537"/>
      <c r="G452" s="537"/>
      <c r="H452" s="537"/>
      <c r="I452" s="538"/>
      <c r="J452" s="537"/>
      <c r="K452" s="194"/>
      <c r="L452" s="194"/>
      <c r="M452" s="194"/>
      <c r="N452" s="194"/>
      <c r="O452" s="194"/>
      <c r="P452" s="194"/>
      <c r="Q452" s="194"/>
      <c r="R452" s="194"/>
      <c r="S452" s="194"/>
      <c r="T452" s="194"/>
      <c r="U452" s="194"/>
      <c r="V452" s="194"/>
      <c r="W452" s="194"/>
      <c r="X452" s="194"/>
      <c r="Y452" s="194"/>
      <c r="Z452" s="194"/>
    </row>
    <row r="453">
      <c r="A453" s="194"/>
      <c r="B453" s="194"/>
      <c r="C453" s="537"/>
      <c r="D453" s="537"/>
      <c r="E453" s="537"/>
      <c r="F453" s="537"/>
      <c r="G453" s="537"/>
      <c r="H453" s="537"/>
      <c r="I453" s="538"/>
      <c r="J453" s="537"/>
      <c r="K453" s="194"/>
      <c r="L453" s="194"/>
      <c r="M453" s="194"/>
      <c r="N453" s="194"/>
      <c r="O453" s="194"/>
      <c r="P453" s="194"/>
      <c r="Q453" s="194"/>
      <c r="R453" s="194"/>
      <c r="S453" s="194"/>
      <c r="T453" s="194"/>
      <c r="U453" s="194"/>
      <c r="V453" s="194"/>
      <c r="W453" s="194"/>
      <c r="X453" s="194"/>
      <c r="Y453" s="194"/>
      <c r="Z453" s="194"/>
    </row>
    <row r="454">
      <c r="A454" s="194"/>
      <c r="B454" s="194"/>
      <c r="C454" s="537"/>
      <c r="D454" s="537"/>
      <c r="E454" s="537"/>
      <c r="F454" s="537"/>
      <c r="G454" s="537"/>
      <c r="H454" s="537"/>
      <c r="I454" s="538"/>
      <c r="J454" s="537"/>
      <c r="K454" s="194"/>
      <c r="L454" s="194"/>
      <c r="M454" s="194"/>
      <c r="N454" s="194"/>
      <c r="O454" s="194"/>
      <c r="P454" s="194"/>
      <c r="Q454" s="194"/>
      <c r="R454" s="194"/>
      <c r="S454" s="194"/>
      <c r="T454" s="194"/>
      <c r="U454" s="194"/>
      <c r="V454" s="194"/>
      <c r="W454" s="194"/>
      <c r="X454" s="194"/>
      <c r="Y454" s="194"/>
      <c r="Z454" s="194"/>
    </row>
    <row r="455">
      <c r="A455" s="194"/>
      <c r="B455" s="194"/>
      <c r="C455" s="537"/>
      <c r="D455" s="537"/>
      <c r="E455" s="537"/>
      <c r="F455" s="537"/>
      <c r="G455" s="537"/>
      <c r="H455" s="537"/>
      <c r="I455" s="538"/>
      <c r="J455" s="537"/>
      <c r="K455" s="194"/>
      <c r="L455" s="194"/>
      <c r="M455" s="194"/>
      <c r="N455" s="194"/>
      <c r="O455" s="194"/>
      <c r="P455" s="194"/>
      <c r="Q455" s="194"/>
      <c r="R455" s="194"/>
      <c r="S455" s="194"/>
      <c r="T455" s="194"/>
      <c r="U455" s="194"/>
      <c r="V455" s="194"/>
      <c r="W455" s="194"/>
      <c r="X455" s="194"/>
      <c r="Y455" s="194"/>
      <c r="Z455" s="194"/>
    </row>
    <row r="456">
      <c r="A456" s="194"/>
      <c r="B456" s="194"/>
      <c r="C456" s="537"/>
      <c r="D456" s="537"/>
      <c r="E456" s="537"/>
      <c r="F456" s="537"/>
      <c r="G456" s="537"/>
      <c r="H456" s="537"/>
      <c r="I456" s="538"/>
      <c r="J456" s="537"/>
      <c r="K456" s="194"/>
      <c r="L456" s="194"/>
      <c r="M456" s="194"/>
      <c r="N456" s="194"/>
      <c r="O456" s="194"/>
      <c r="P456" s="194"/>
      <c r="Q456" s="194"/>
      <c r="R456" s="194"/>
      <c r="S456" s="194"/>
      <c r="T456" s="194"/>
      <c r="U456" s="194"/>
      <c r="V456" s="194"/>
      <c r="W456" s="194"/>
      <c r="X456" s="194"/>
      <c r="Y456" s="194"/>
      <c r="Z456" s="194"/>
    </row>
    <row r="457">
      <c r="A457" s="194"/>
      <c r="B457" s="194"/>
      <c r="C457" s="537"/>
      <c r="D457" s="537"/>
      <c r="E457" s="537"/>
      <c r="F457" s="537"/>
      <c r="G457" s="537"/>
      <c r="H457" s="537"/>
      <c r="I457" s="538"/>
      <c r="J457" s="537"/>
      <c r="K457" s="194"/>
      <c r="L457" s="194"/>
      <c r="M457" s="194"/>
      <c r="N457" s="194"/>
      <c r="O457" s="194"/>
      <c r="P457" s="194"/>
      <c r="Q457" s="194"/>
      <c r="R457" s="194"/>
      <c r="S457" s="194"/>
      <c r="T457" s="194"/>
      <c r="U457" s="194"/>
      <c r="V457" s="194"/>
      <c r="W457" s="194"/>
      <c r="X457" s="194"/>
      <c r="Y457" s="194"/>
      <c r="Z457" s="194"/>
    </row>
    <row r="458">
      <c r="A458" s="194"/>
      <c r="B458" s="194"/>
      <c r="C458" s="537"/>
      <c r="D458" s="537"/>
      <c r="E458" s="537"/>
      <c r="F458" s="537"/>
      <c r="G458" s="537"/>
      <c r="H458" s="537"/>
      <c r="I458" s="538"/>
      <c r="J458" s="537"/>
      <c r="K458" s="194"/>
      <c r="L458" s="194"/>
      <c r="M458" s="194"/>
      <c r="N458" s="194"/>
      <c r="O458" s="194"/>
      <c r="P458" s="194"/>
      <c r="Q458" s="194"/>
      <c r="R458" s="194"/>
      <c r="S458" s="194"/>
      <c r="T458" s="194"/>
      <c r="U458" s="194"/>
      <c r="V458" s="194"/>
      <c r="W458" s="194"/>
      <c r="X458" s="194"/>
      <c r="Y458" s="194"/>
      <c r="Z458" s="194"/>
    </row>
    <row r="459">
      <c r="A459" s="194"/>
      <c r="B459" s="194"/>
      <c r="C459" s="537"/>
      <c r="D459" s="537"/>
      <c r="E459" s="537"/>
      <c r="F459" s="537"/>
      <c r="G459" s="537"/>
      <c r="H459" s="537"/>
      <c r="I459" s="538"/>
      <c r="J459" s="537"/>
      <c r="K459" s="194"/>
      <c r="L459" s="194"/>
      <c r="M459" s="194"/>
      <c r="N459" s="194"/>
      <c r="O459" s="194"/>
      <c r="P459" s="194"/>
      <c r="Q459" s="194"/>
      <c r="R459" s="194"/>
      <c r="S459" s="194"/>
      <c r="T459" s="194"/>
      <c r="U459" s="194"/>
      <c r="V459" s="194"/>
      <c r="W459" s="194"/>
      <c r="X459" s="194"/>
      <c r="Y459" s="194"/>
      <c r="Z459" s="194"/>
    </row>
    <row r="460">
      <c r="A460" s="194"/>
      <c r="B460" s="194"/>
      <c r="C460" s="537"/>
      <c r="D460" s="537"/>
      <c r="E460" s="537"/>
      <c r="F460" s="537"/>
      <c r="G460" s="537"/>
      <c r="H460" s="537"/>
      <c r="I460" s="538"/>
      <c r="J460" s="537"/>
      <c r="K460" s="194"/>
      <c r="L460" s="194"/>
      <c r="M460" s="194"/>
      <c r="N460" s="194"/>
      <c r="O460" s="194"/>
      <c r="P460" s="194"/>
      <c r="Q460" s="194"/>
      <c r="R460" s="194"/>
      <c r="S460" s="194"/>
      <c r="T460" s="194"/>
      <c r="U460" s="194"/>
      <c r="V460" s="194"/>
      <c r="W460" s="194"/>
      <c r="X460" s="194"/>
      <c r="Y460" s="194"/>
      <c r="Z460" s="194"/>
    </row>
    <row r="461">
      <c r="A461" s="194"/>
      <c r="B461" s="194"/>
      <c r="C461" s="537"/>
      <c r="D461" s="537"/>
      <c r="E461" s="537"/>
      <c r="F461" s="537"/>
      <c r="G461" s="537"/>
      <c r="H461" s="537"/>
      <c r="I461" s="538"/>
      <c r="J461" s="537"/>
      <c r="K461" s="194"/>
      <c r="L461" s="194"/>
      <c r="M461" s="194"/>
      <c r="N461" s="194"/>
      <c r="O461" s="194"/>
      <c r="P461" s="194"/>
      <c r="Q461" s="194"/>
      <c r="R461" s="194"/>
      <c r="S461" s="194"/>
      <c r="T461" s="194"/>
      <c r="U461" s="194"/>
      <c r="V461" s="194"/>
      <c r="W461" s="194"/>
      <c r="X461" s="194"/>
      <c r="Y461" s="194"/>
      <c r="Z461" s="194"/>
    </row>
    <row r="462">
      <c r="A462" s="194"/>
      <c r="B462" s="194"/>
      <c r="C462" s="537"/>
      <c r="D462" s="537"/>
      <c r="E462" s="537"/>
      <c r="F462" s="537"/>
      <c r="G462" s="537"/>
      <c r="H462" s="537"/>
      <c r="I462" s="538"/>
      <c r="J462" s="537"/>
      <c r="K462" s="194"/>
      <c r="L462" s="194"/>
      <c r="M462" s="194"/>
      <c r="N462" s="194"/>
      <c r="O462" s="194"/>
      <c r="P462" s="194"/>
      <c r="Q462" s="194"/>
      <c r="R462" s="194"/>
      <c r="S462" s="194"/>
      <c r="T462" s="194"/>
      <c r="U462" s="194"/>
      <c r="V462" s="194"/>
      <c r="W462" s="194"/>
      <c r="X462" s="194"/>
      <c r="Y462" s="194"/>
      <c r="Z462" s="194"/>
    </row>
    <row r="463">
      <c r="A463" s="194"/>
      <c r="B463" s="194"/>
      <c r="C463" s="537"/>
      <c r="D463" s="537"/>
      <c r="E463" s="537"/>
      <c r="F463" s="537"/>
      <c r="G463" s="537"/>
      <c r="H463" s="537"/>
      <c r="I463" s="538"/>
      <c r="J463" s="537"/>
      <c r="K463" s="194"/>
      <c r="L463" s="194"/>
      <c r="M463" s="194"/>
      <c r="N463" s="194"/>
      <c r="O463" s="194"/>
      <c r="P463" s="194"/>
      <c r="Q463" s="194"/>
      <c r="R463" s="194"/>
      <c r="S463" s="194"/>
      <c r="T463" s="194"/>
      <c r="U463" s="194"/>
      <c r="V463" s="194"/>
      <c r="W463" s="194"/>
      <c r="X463" s="194"/>
      <c r="Y463" s="194"/>
      <c r="Z463" s="194"/>
    </row>
    <row r="464">
      <c r="A464" s="194"/>
      <c r="B464" s="194"/>
      <c r="C464" s="537"/>
      <c r="D464" s="537"/>
      <c r="E464" s="537"/>
      <c r="F464" s="537"/>
      <c r="G464" s="537"/>
      <c r="H464" s="537"/>
      <c r="I464" s="538"/>
      <c r="J464" s="537"/>
      <c r="K464" s="194"/>
      <c r="L464" s="194"/>
      <c r="M464" s="194"/>
      <c r="N464" s="194"/>
      <c r="O464" s="194"/>
      <c r="P464" s="194"/>
      <c r="Q464" s="194"/>
      <c r="R464" s="194"/>
      <c r="S464" s="194"/>
      <c r="T464" s="194"/>
      <c r="U464" s="194"/>
      <c r="V464" s="194"/>
      <c r="W464" s="194"/>
      <c r="X464" s="194"/>
      <c r="Y464" s="194"/>
      <c r="Z464" s="194"/>
    </row>
    <row r="465">
      <c r="A465" s="194"/>
      <c r="B465" s="194"/>
      <c r="C465" s="537"/>
      <c r="D465" s="537"/>
      <c r="E465" s="537"/>
      <c r="F465" s="537"/>
      <c r="G465" s="537"/>
      <c r="H465" s="537"/>
      <c r="I465" s="538"/>
      <c r="J465" s="537"/>
      <c r="K465" s="194"/>
      <c r="L465" s="194"/>
      <c r="M465" s="194"/>
      <c r="N465" s="194"/>
      <c r="O465" s="194"/>
      <c r="P465" s="194"/>
      <c r="Q465" s="194"/>
      <c r="R465" s="194"/>
      <c r="S465" s="194"/>
      <c r="T465" s="194"/>
      <c r="U465" s="194"/>
      <c r="V465" s="194"/>
      <c r="W465" s="194"/>
      <c r="X465" s="194"/>
      <c r="Y465" s="194"/>
      <c r="Z465" s="194"/>
    </row>
    <row r="466">
      <c r="A466" s="194"/>
      <c r="B466" s="194"/>
      <c r="C466" s="537"/>
      <c r="D466" s="537"/>
      <c r="E466" s="537"/>
      <c r="F466" s="537"/>
      <c r="G466" s="537"/>
      <c r="H466" s="537"/>
      <c r="I466" s="538"/>
      <c r="J466" s="537"/>
      <c r="K466" s="194"/>
      <c r="L466" s="194"/>
      <c r="M466" s="194"/>
      <c r="N466" s="194"/>
      <c r="O466" s="194"/>
      <c r="P466" s="194"/>
      <c r="Q466" s="194"/>
      <c r="R466" s="194"/>
      <c r="S466" s="194"/>
      <c r="T466" s="194"/>
      <c r="U466" s="194"/>
      <c r="V466" s="194"/>
      <c r="W466" s="194"/>
      <c r="X466" s="194"/>
      <c r="Y466" s="194"/>
      <c r="Z466" s="194"/>
    </row>
    <row r="467">
      <c r="A467" s="194"/>
      <c r="B467" s="194"/>
      <c r="C467" s="537"/>
      <c r="D467" s="537"/>
      <c r="E467" s="537"/>
      <c r="F467" s="537"/>
      <c r="G467" s="537"/>
      <c r="H467" s="537"/>
      <c r="I467" s="538"/>
      <c r="J467" s="537"/>
      <c r="K467" s="194"/>
      <c r="L467" s="194"/>
      <c r="M467" s="194"/>
      <c r="N467" s="194"/>
      <c r="O467" s="194"/>
      <c r="P467" s="194"/>
      <c r="Q467" s="194"/>
      <c r="R467" s="194"/>
      <c r="S467" s="194"/>
      <c r="T467" s="194"/>
      <c r="U467" s="194"/>
      <c r="V467" s="194"/>
      <c r="W467" s="194"/>
      <c r="X467" s="194"/>
      <c r="Y467" s="194"/>
      <c r="Z467" s="194"/>
    </row>
    <row r="468">
      <c r="A468" s="194"/>
      <c r="B468" s="194"/>
      <c r="C468" s="537"/>
      <c r="D468" s="537"/>
      <c r="E468" s="537"/>
      <c r="F468" s="537"/>
      <c r="G468" s="537"/>
      <c r="H468" s="537"/>
      <c r="I468" s="538"/>
      <c r="J468" s="537"/>
      <c r="K468" s="194"/>
      <c r="L468" s="194"/>
      <c r="M468" s="194"/>
      <c r="N468" s="194"/>
      <c r="O468" s="194"/>
      <c r="P468" s="194"/>
      <c r="Q468" s="194"/>
      <c r="R468" s="194"/>
      <c r="S468" s="194"/>
      <c r="T468" s="194"/>
      <c r="U468" s="194"/>
      <c r="V468" s="194"/>
      <c r="W468" s="194"/>
      <c r="X468" s="194"/>
      <c r="Y468" s="194"/>
      <c r="Z468" s="194"/>
    </row>
    <row r="469">
      <c r="A469" s="194"/>
      <c r="B469" s="194"/>
      <c r="C469" s="537"/>
      <c r="D469" s="537"/>
      <c r="E469" s="537"/>
      <c r="F469" s="537"/>
      <c r="G469" s="537"/>
      <c r="H469" s="537"/>
      <c r="I469" s="538"/>
      <c r="J469" s="537"/>
      <c r="K469" s="194"/>
      <c r="L469" s="194"/>
      <c r="M469" s="194"/>
      <c r="N469" s="194"/>
      <c r="O469" s="194"/>
      <c r="P469" s="194"/>
      <c r="Q469" s="194"/>
      <c r="R469" s="194"/>
      <c r="S469" s="194"/>
      <c r="T469" s="194"/>
      <c r="U469" s="194"/>
      <c r="V469" s="194"/>
      <c r="W469" s="194"/>
      <c r="X469" s="194"/>
      <c r="Y469" s="194"/>
      <c r="Z469" s="194"/>
    </row>
    <row r="470">
      <c r="A470" s="194"/>
      <c r="B470" s="194"/>
      <c r="C470" s="537"/>
      <c r="D470" s="537"/>
      <c r="E470" s="537"/>
      <c r="F470" s="537"/>
      <c r="G470" s="537"/>
      <c r="H470" s="537"/>
      <c r="I470" s="538"/>
      <c r="J470" s="537"/>
      <c r="K470" s="194"/>
      <c r="L470" s="194"/>
      <c r="M470" s="194"/>
      <c r="N470" s="194"/>
      <c r="O470" s="194"/>
      <c r="P470" s="194"/>
      <c r="Q470" s="194"/>
      <c r="R470" s="194"/>
      <c r="S470" s="194"/>
      <c r="T470" s="194"/>
      <c r="U470" s="194"/>
      <c r="V470" s="194"/>
      <c r="W470" s="194"/>
      <c r="X470" s="194"/>
      <c r="Y470" s="194"/>
      <c r="Z470" s="194"/>
    </row>
    <row r="471">
      <c r="A471" s="194"/>
      <c r="B471" s="194"/>
      <c r="C471" s="537"/>
      <c r="D471" s="537"/>
      <c r="E471" s="537"/>
      <c r="F471" s="537"/>
      <c r="G471" s="537"/>
      <c r="H471" s="537"/>
      <c r="I471" s="538"/>
      <c r="J471" s="537"/>
      <c r="K471" s="194"/>
      <c r="L471" s="194"/>
      <c r="M471" s="194"/>
      <c r="N471" s="194"/>
      <c r="O471" s="194"/>
      <c r="P471" s="194"/>
      <c r="Q471" s="194"/>
      <c r="R471" s="194"/>
      <c r="S471" s="194"/>
      <c r="T471" s="194"/>
      <c r="U471" s="194"/>
      <c r="V471" s="194"/>
      <c r="W471" s="194"/>
      <c r="X471" s="194"/>
      <c r="Y471" s="194"/>
      <c r="Z471" s="194"/>
    </row>
    <row r="472">
      <c r="A472" s="194"/>
      <c r="B472" s="194"/>
      <c r="C472" s="537"/>
      <c r="D472" s="537"/>
      <c r="E472" s="537"/>
      <c r="F472" s="537"/>
      <c r="G472" s="537"/>
      <c r="H472" s="537"/>
      <c r="I472" s="538"/>
      <c r="J472" s="537"/>
      <c r="K472" s="194"/>
      <c r="L472" s="194"/>
      <c r="M472" s="194"/>
      <c r="N472" s="194"/>
      <c r="O472" s="194"/>
      <c r="P472" s="194"/>
      <c r="Q472" s="194"/>
      <c r="R472" s="194"/>
      <c r="S472" s="194"/>
      <c r="T472" s="194"/>
      <c r="U472" s="194"/>
      <c r="V472" s="194"/>
      <c r="W472" s="194"/>
      <c r="X472" s="194"/>
      <c r="Y472" s="194"/>
      <c r="Z472" s="194"/>
    </row>
    <row r="473">
      <c r="A473" s="194"/>
      <c r="B473" s="194"/>
      <c r="C473" s="537"/>
      <c r="D473" s="537"/>
      <c r="E473" s="537"/>
      <c r="F473" s="537"/>
      <c r="G473" s="537"/>
      <c r="H473" s="537"/>
      <c r="I473" s="538"/>
      <c r="J473" s="537"/>
      <c r="K473" s="194"/>
      <c r="L473" s="194"/>
      <c r="M473" s="194"/>
      <c r="N473" s="194"/>
      <c r="O473" s="194"/>
      <c r="P473" s="194"/>
      <c r="Q473" s="194"/>
      <c r="R473" s="194"/>
      <c r="S473" s="194"/>
      <c r="T473" s="194"/>
      <c r="U473" s="194"/>
      <c r="V473" s="194"/>
      <c r="W473" s="194"/>
      <c r="X473" s="194"/>
      <c r="Y473" s="194"/>
      <c r="Z473" s="194"/>
    </row>
    <row r="474">
      <c r="A474" s="194"/>
      <c r="B474" s="194"/>
      <c r="C474" s="537"/>
      <c r="D474" s="537"/>
      <c r="E474" s="537"/>
      <c r="F474" s="537"/>
      <c r="G474" s="537"/>
      <c r="H474" s="537"/>
      <c r="I474" s="538"/>
      <c r="J474" s="537"/>
      <c r="K474" s="194"/>
      <c r="L474" s="194"/>
      <c r="M474" s="194"/>
      <c r="N474" s="194"/>
      <c r="O474" s="194"/>
      <c r="P474" s="194"/>
      <c r="Q474" s="194"/>
      <c r="R474" s="194"/>
      <c r="S474" s="194"/>
      <c r="T474" s="194"/>
      <c r="U474" s="194"/>
      <c r="V474" s="194"/>
      <c r="W474" s="194"/>
      <c r="X474" s="194"/>
      <c r="Y474" s="194"/>
      <c r="Z474" s="194"/>
    </row>
    <row r="475">
      <c r="A475" s="194"/>
      <c r="B475" s="194"/>
      <c r="C475" s="537"/>
      <c r="D475" s="537"/>
      <c r="E475" s="537"/>
      <c r="F475" s="537"/>
      <c r="G475" s="537"/>
      <c r="H475" s="537"/>
      <c r="I475" s="538"/>
      <c r="J475" s="537"/>
      <c r="K475" s="194"/>
      <c r="L475" s="194"/>
      <c r="M475" s="194"/>
      <c r="N475" s="194"/>
      <c r="O475" s="194"/>
      <c r="P475" s="194"/>
      <c r="Q475" s="194"/>
      <c r="R475" s="194"/>
      <c r="S475" s="194"/>
      <c r="T475" s="194"/>
      <c r="U475" s="194"/>
      <c r="V475" s="194"/>
      <c r="W475" s="194"/>
      <c r="X475" s="194"/>
      <c r="Y475" s="194"/>
      <c r="Z475" s="194"/>
    </row>
    <row r="476">
      <c r="A476" s="194"/>
      <c r="B476" s="194"/>
      <c r="C476" s="537"/>
      <c r="D476" s="537"/>
      <c r="E476" s="537"/>
      <c r="F476" s="537"/>
      <c r="G476" s="537"/>
      <c r="H476" s="537"/>
      <c r="I476" s="538"/>
      <c r="J476" s="537"/>
      <c r="K476" s="194"/>
      <c r="L476" s="194"/>
      <c r="M476" s="194"/>
      <c r="N476" s="194"/>
      <c r="O476" s="194"/>
      <c r="P476" s="194"/>
      <c r="Q476" s="194"/>
      <c r="R476" s="194"/>
      <c r="S476" s="194"/>
      <c r="T476" s="194"/>
      <c r="U476" s="194"/>
      <c r="V476" s="194"/>
      <c r="W476" s="194"/>
      <c r="X476" s="194"/>
      <c r="Y476" s="194"/>
      <c r="Z476" s="194"/>
    </row>
    <row r="477">
      <c r="A477" s="194"/>
      <c r="B477" s="194"/>
      <c r="C477" s="537"/>
      <c r="D477" s="537"/>
      <c r="E477" s="537"/>
      <c r="F477" s="537"/>
      <c r="G477" s="537"/>
      <c r="H477" s="537"/>
      <c r="I477" s="538"/>
      <c r="J477" s="537"/>
      <c r="K477" s="194"/>
      <c r="L477" s="194"/>
      <c r="M477" s="194"/>
      <c r="N477" s="194"/>
      <c r="O477" s="194"/>
      <c r="P477" s="194"/>
      <c r="Q477" s="194"/>
      <c r="R477" s="194"/>
      <c r="S477" s="194"/>
      <c r="T477" s="194"/>
      <c r="U477" s="194"/>
      <c r="V477" s="194"/>
      <c r="W477" s="194"/>
      <c r="X477" s="194"/>
      <c r="Y477" s="194"/>
      <c r="Z477" s="194"/>
    </row>
    <row r="478">
      <c r="A478" s="194"/>
      <c r="B478" s="194"/>
      <c r="C478" s="537"/>
      <c r="D478" s="537"/>
      <c r="E478" s="537"/>
      <c r="F478" s="537"/>
      <c r="G478" s="537"/>
      <c r="H478" s="537"/>
      <c r="I478" s="538"/>
      <c r="J478" s="537"/>
      <c r="K478" s="194"/>
      <c r="L478" s="194"/>
      <c r="M478" s="194"/>
      <c r="N478" s="194"/>
      <c r="O478" s="194"/>
      <c r="P478" s="194"/>
      <c r="Q478" s="194"/>
      <c r="R478" s="194"/>
      <c r="S478" s="194"/>
      <c r="T478" s="194"/>
      <c r="U478" s="194"/>
      <c r="V478" s="194"/>
      <c r="W478" s="194"/>
      <c r="X478" s="194"/>
      <c r="Y478" s="194"/>
      <c r="Z478" s="194"/>
    </row>
    <row r="479">
      <c r="A479" s="194"/>
      <c r="B479" s="194"/>
      <c r="C479" s="537"/>
      <c r="D479" s="537"/>
      <c r="E479" s="537"/>
      <c r="F479" s="537"/>
      <c r="G479" s="537"/>
      <c r="H479" s="537"/>
      <c r="I479" s="538"/>
      <c r="J479" s="537"/>
      <c r="K479" s="194"/>
      <c r="L479" s="194"/>
      <c r="M479" s="194"/>
      <c r="N479" s="194"/>
      <c r="O479" s="194"/>
      <c r="P479" s="194"/>
      <c r="Q479" s="194"/>
      <c r="R479" s="194"/>
      <c r="S479" s="194"/>
      <c r="T479" s="194"/>
      <c r="U479" s="194"/>
      <c r="V479" s="194"/>
      <c r="W479" s="194"/>
      <c r="X479" s="194"/>
      <c r="Y479" s="194"/>
      <c r="Z479" s="194"/>
    </row>
    <row r="480">
      <c r="A480" s="194"/>
      <c r="B480" s="194"/>
      <c r="C480" s="537"/>
      <c r="D480" s="537"/>
      <c r="E480" s="537"/>
      <c r="F480" s="537"/>
      <c r="G480" s="537"/>
      <c r="H480" s="537"/>
      <c r="I480" s="538"/>
      <c r="J480" s="537"/>
      <c r="K480" s="194"/>
      <c r="L480" s="194"/>
      <c r="M480" s="194"/>
      <c r="N480" s="194"/>
      <c r="O480" s="194"/>
      <c r="P480" s="194"/>
      <c r="Q480" s="194"/>
      <c r="R480" s="194"/>
      <c r="S480" s="194"/>
      <c r="T480" s="194"/>
      <c r="U480" s="194"/>
      <c r="V480" s="194"/>
      <c r="W480" s="194"/>
      <c r="X480" s="194"/>
      <c r="Y480" s="194"/>
      <c r="Z480" s="194"/>
    </row>
    <row r="481">
      <c r="A481" s="194"/>
      <c r="B481" s="194"/>
      <c r="C481" s="537"/>
      <c r="D481" s="537"/>
      <c r="E481" s="537"/>
      <c r="F481" s="537"/>
      <c r="G481" s="537"/>
      <c r="H481" s="537"/>
      <c r="I481" s="538"/>
      <c r="J481" s="537"/>
      <c r="K481" s="194"/>
      <c r="L481" s="194"/>
      <c r="M481" s="194"/>
      <c r="N481" s="194"/>
      <c r="O481" s="194"/>
      <c r="P481" s="194"/>
      <c r="Q481" s="194"/>
      <c r="R481" s="194"/>
      <c r="S481" s="194"/>
      <c r="T481" s="194"/>
      <c r="U481" s="194"/>
      <c r="V481" s="194"/>
      <c r="W481" s="194"/>
      <c r="X481" s="194"/>
      <c r="Y481" s="194"/>
      <c r="Z481" s="194"/>
    </row>
    <row r="482">
      <c r="A482" s="194"/>
      <c r="B482" s="194"/>
      <c r="C482" s="537"/>
      <c r="D482" s="537"/>
      <c r="E482" s="537"/>
      <c r="F482" s="537"/>
      <c r="G482" s="537"/>
      <c r="H482" s="537"/>
      <c r="I482" s="538"/>
      <c r="J482" s="537"/>
      <c r="K482" s="194"/>
      <c r="L482" s="194"/>
      <c r="M482" s="194"/>
      <c r="N482" s="194"/>
      <c r="O482" s="194"/>
      <c r="P482" s="194"/>
      <c r="Q482" s="194"/>
      <c r="R482" s="194"/>
      <c r="S482" s="194"/>
      <c r="T482" s="194"/>
      <c r="U482" s="194"/>
      <c r="V482" s="194"/>
      <c r="W482" s="194"/>
      <c r="X482" s="194"/>
      <c r="Y482" s="194"/>
      <c r="Z482" s="194"/>
    </row>
    <row r="483">
      <c r="A483" s="194"/>
      <c r="B483" s="194"/>
      <c r="C483" s="537"/>
      <c r="D483" s="537"/>
      <c r="E483" s="537"/>
      <c r="F483" s="537"/>
      <c r="G483" s="537"/>
      <c r="H483" s="537"/>
      <c r="I483" s="538"/>
      <c r="J483" s="537"/>
      <c r="K483" s="194"/>
      <c r="L483" s="194"/>
      <c r="M483" s="194"/>
      <c r="N483" s="194"/>
      <c r="O483" s="194"/>
      <c r="P483" s="194"/>
      <c r="Q483" s="194"/>
      <c r="R483" s="194"/>
      <c r="S483" s="194"/>
      <c r="T483" s="194"/>
      <c r="U483" s="194"/>
      <c r="V483" s="194"/>
      <c r="W483" s="194"/>
      <c r="X483" s="194"/>
      <c r="Y483" s="194"/>
      <c r="Z483" s="194"/>
    </row>
    <row r="484">
      <c r="A484" s="194"/>
      <c r="B484" s="194"/>
      <c r="C484" s="537"/>
      <c r="D484" s="537"/>
      <c r="E484" s="537"/>
      <c r="F484" s="537"/>
      <c r="G484" s="537"/>
      <c r="H484" s="537"/>
      <c r="I484" s="538"/>
      <c r="J484" s="537"/>
      <c r="K484" s="194"/>
      <c r="L484" s="194"/>
      <c r="M484" s="194"/>
      <c r="N484" s="194"/>
      <c r="O484" s="194"/>
      <c r="P484" s="194"/>
      <c r="Q484" s="194"/>
      <c r="R484" s="194"/>
      <c r="S484" s="194"/>
      <c r="T484" s="194"/>
      <c r="U484" s="194"/>
      <c r="V484" s="194"/>
      <c r="W484" s="194"/>
      <c r="X484" s="194"/>
      <c r="Y484" s="194"/>
      <c r="Z484" s="194"/>
    </row>
    <row r="485">
      <c r="A485" s="194"/>
      <c r="B485" s="194"/>
      <c r="C485" s="537"/>
      <c r="D485" s="537"/>
      <c r="E485" s="537"/>
      <c r="F485" s="537"/>
      <c r="G485" s="537"/>
      <c r="H485" s="537"/>
      <c r="I485" s="538"/>
      <c r="J485" s="537"/>
      <c r="K485" s="194"/>
      <c r="L485" s="194"/>
      <c r="M485" s="194"/>
      <c r="N485" s="194"/>
      <c r="O485" s="194"/>
      <c r="P485" s="194"/>
      <c r="Q485" s="194"/>
      <c r="R485" s="194"/>
      <c r="S485" s="194"/>
      <c r="T485" s="194"/>
      <c r="U485" s="194"/>
      <c r="V485" s="194"/>
      <c r="W485" s="194"/>
      <c r="X485" s="194"/>
      <c r="Y485" s="194"/>
      <c r="Z485" s="194"/>
    </row>
    <row r="486">
      <c r="A486" s="194"/>
      <c r="B486" s="194"/>
      <c r="C486" s="537"/>
      <c r="D486" s="537"/>
      <c r="E486" s="537"/>
      <c r="F486" s="537"/>
      <c r="G486" s="537"/>
      <c r="H486" s="537"/>
      <c r="I486" s="538"/>
      <c r="J486" s="537"/>
      <c r="K486" s="194"/>
      <c r="L486" s="194"/>
      <c r="M486" s="194"/>
      <c r="N486" s="194"/>
      <c r="O486" s="194"/>
      <c r="P486" s="194"/>
      <c r="Q486" s="194"/>
      <c r="R486" s="194"/>
      <c r="S486" s="194"/>
      <c r="T486" s="194"/>
      <c r="U486" s="194"/>
      <c r="V486" s="194"/>
      <c r="W486" s="194"/>
      <c r="X486" s="194"/>
      <c r="Y486" s="194"/>
      <c r="Z486" s="194"/>
    </row>
    <row r="487">
      <c r="A487" s="194"/>
      <c r="B487" s="194"/>
      <c r="C487" s="537"/>
      <c r="D487" s="537"/>
      <c r="E487" s="537"/>
      <c r="F487" s="537"/>
      <c r="G487" s="537"/>
      <c r="H487" s="537"/>
      <c r="I487" s="538"/>
      <c r="J487" s="537"/>
      <c r="K487" s="194"/>
      <c r="L487" s="194"/>
      <c r="M487" s="194"/>
      <c r="N487" s="194"/>
      <c r="O487" s="194"/>
      <c r="P487" s="194"/>
      <c r="Q487" s="194"/>
      <c r="R487" s="194"/>
      <c r="S487" s="194"/>
      <c r="T487" s="194"/>
      <c r="U487" s="194"/>
      <c r="V487" s="194"/>
      <c r="W487" s="194"/>
      <c r="X487" s="194"/>
      <c r="Y487" s="194"/>
      <c r="Z487" s="194"/>
    </row>
    <row r="488">
      <c r="A488" s="194"/>
      <c r="B488" s="194"/>
      <c r="C488" s="537"/>
      <c r="D488" s="537"/>
      <c r="E488" s="537"/>
      <c r="F488" s="537"/>
      <c r="G488" s="537"/>
      <c r="H488" s="537"/>
      <c r="I488" s="538"/>
      <c r="J488" s="537"/>
      <c r="K488" s="194"/>
      <c r="L488" s="194"/>
      <c r="M488" s="194"/>
      <c r="N488" s="194"/>
      <c r="O488" s="194"/>
      <c r="P488" s="194"/>
      <c r="Q488" s="194"/>
      <c r="R488" s="194"/>
      <c r="S488" s="194"/>
      <c r="T488" s="194"/>
      <c r="U488" s="194"/>
      <c r="V488" s="194"/>
      <c r="W488" s="194"/>
      <c r="X488" s="194"/>
      <c r="Y488" s="194"/>
      <c r="Z488" s="194"/>
    </row>
    <row r="489">
      <c r="A489" s="194"/>
      <c r="B489" s="194"/>
      <c r="C489" s="537"/>
      <c r="D489" s="537"/>
      <c r="E489" s="537"/>
      <c r="F489" s="537"/>
      <c r="G489" s="537"/>
      <c r="H489" s="537"/>
      <c r="I489" s="538"/>
      <c r="J489" s="537"/>
      <c r="K489" s="194"/>
      <c r="L489" s="194"/>
      <c r="M489" s="194"/>
      <c r="N489" s="194"/>
      <c r="O489" s="194"/>
      <c r="P489" s="194"/>
      <c r="Q489" s="194"/>
      <c r="R489" s="194"/>
      <c r="S489" s="194"/>
      <c r="T489" s="194"/>
      <c r="U489" s="194"/>
      <c r="V489" s="194"/>
      <c r="W489" s="194"/>
      <c r="X489" s="194"/>
      <c r="Y489" s="194"/>
      <c r="Z489" s="194"/>
    </row>
    <row r="490">
      <c r="A490" s="194"/>
      <c r="B490" s="194"/>
      <c r="C490" s="537"/>
      <c r="D490" s="537"/>
      <c r="E490" s="537"/>
      <c r="F490" s="537"/>
      <c r="G490" s="537"/>
      <c r="H490" s="537"/>
      <c r="I490" s="538"/>
      <c r="J490" s="537"/>
      <c r="K490" s="194"/>
      <c r="L490" s="194"/>
      <c r="M490" s="194"/>
      <c r="N490" s="194"/>
      <c r="O490" s="194"/>
      <c r="P490" s="194"/>
      <c r="Q490" s="194"/>
      <c r="R490" s="194"/>
      <c r="S490" s="194"/>
      <c r="T490" s="194"/>
      <c r="U490" s="194"/>
      <c r="V490" s="194"/>
      <c r="W490" s="194"/>
      <c r="X490" s="194"/>
      <c r="Y490" s="194"/>
      <c r="Z490" s="194"/>
    </row>
    <row r="491">
      <c r="A491" s="194"/>
      <c r="B491" s="194"/>
      <c r="C491" s="537"/>
      <c r="D491" s="537"/>
      <c r="E491" s="537"/>
      <c r="F491" s="537"/>
      <c r="G491" s="537"/>
      <c r="H491" s="537"/>
      <c r="I491" s="538"/>
      <c r="J491" s="537"/>
      <c r="K491" s="194"/>
      <c r="L491" s="194"/>
      <c r="M491" s="194"/>
      <c r="N491" s="194"/>
      <c r="O491" s="194"/>
      <c r="P491" s="194"/>
      <c r="Q491" s="194"/>
      <c r="R491" s="194"/>
      <c r="S491" s="194"/>
      <c r="T491" s="194"/>
      <c r="U491" s="194"/>
      <c r="V491" s="194"/>
      <c r="W491" s="194"/>
      <c r="X491" s="194"/>
      <c r="Y491" s="194"/>
      <c r="Z491" s="194"/>
    </row>
    <row r="492">
      <c r="A492" s="194"/>
      <c r="B492" s="194"/>
      <c r="C492" s="537"/>
      <c r="D492" s="537"/>
      <c r="E492" s="537"/>
      <c r="F492" s="537"/>
      <c r="G492" s="537"/>
      <c r="H492" s="537"/>
      <c r="I492" s="538"/>
      <c r="J492" s="537"/>
      <c r="K492" s="194"/>
      <c r="L492" s="194"/>
      <c r="M492" s="194"/>
      <c r="N492" s="194"/>
      <c r="O492" s="194"/>
      <c r="P492" s="194"/>
      <c r="Q492" s="194"/>
      <c r="R492" s="194"/>
      <c r="S492" s="194"/>
      <c r="T492" s="194"/>
      <c r="U492" s="194"/>
      <c r="V492" s="194"/>
      <c r="W492" s="194"/>
      <c r="X492" s="194"/>
      <c r="Y492" s="194"/>
      <c r="Z492" s="194"/>
    </row>
    <row r="493">
      <c r="A493" s="194"/>
      <c r="B493" s="194"/>
      <c r="C493" s="537"/>
      <c r="D493" s="537"/>
      <c r="E493" s="537"/>
      <c r="F493" s="537"/>
      <c r="G493" s="537"/>
      <c r="H493" s="537"/>
      <c r="I493" s="538"/>
      <c r="J493" s="537"/>
      <c r="K493" s="194"/>
      <c r="L493" s="194"/>
      <c r="M493" s="194"/>
      <c r="N493" s="194"/>
      <c r="O493" s="194"/>
      <c r="P493" s="194"/>
      <c r="Q493" s="194"/>
      <c r="R493" s="194"/>
      <c r="S493" s="194"/>
      <c r="T493" s="194"/>
      <c r="U493" s="194"/>
      <c r="V493" s="194"/>
      <c r="W493" s="194"/>
      <c r="X493" s="194"/>
      <c r="Y493" s="194"/>
      <c r="Z493" s="194"/>
    </row>
    <row r="494">
      <c r="A494" s="194"/>
      <c r="B494" s="194"/>
      <c r="C494" s="537"/>
      <c r="D494" s="537"/>
      <c r="E494" s="537"/>
      <c r="F494" s="537"/>
      <c r="G494" s="537"/>
      <c r="H494" s="537"/>
      <c r="I494" s="538"/>
      <c r="J494" s="537"/>
      <c r="K494" s="194"/>
      <c r="L494" s="194"/>
      <c r="M494" s="194"/>
      <c r="N494" s="194"/>
      <c r="O494" s="194"/>
      <c r="P494" s="194"/>
      <c r="Q494" s="194"/>
      <c r="R494" s="194"/>
      <c r="S494" s="194"/>
      <c r="T494" s="194"/>
      <c r="U494" s="194"/>
      <c r="V494" s="194"/>
      <c r="W494" s="194"/>
      <c r="X494" s="194"/>
      <c r="Y494" s="194"/>
      <c r="Z494" s="194"/>
    </row>
    <row r="495">
      <c r="A495" s="194"/>
      <c r="B495" s="194"/>
      <c r="C495" s="537"/>
      <c r="D495" s="537"/>
      <c r="E495" s="537"/>
      <c r="F495" s="537"/>
      <c r="G495" s="537"/>
      <c r="H495" s="537"/>
      <c r="I495" s="538"/>
      <c r="J495" s="537"/>
      <c r="K495" s="194"/>
      <c r="L495" s="194"/>
      <c r="M495" s="194"/>
      <c r="N495" s="194"/>
      <c r="O495" s="194"/>
      <c r="P495" s="194"/>
      <c r="Q495" s="194"/>
      <c r="R495" s="194"/>
      <c r="S495" s="194"/>
      <c r="T495" s="194"/>
      <c r="U495" s="194"/>
      <c r="V495" s="194"/>
      <c r="W495" s="194"/>
      <c r="X495" s="194"/>
      <c r="Y495" s="194"/>
      <c r="Z495" s="194"/>
    </row>
    <row r="496">
      <c r="A496" s="194"/>
      <c r="B496" s="194"/>
      <c r="C496" s="537"/>
      <c r="D496" s="537"/>
      <c r="E496" s="537"/>
      <c r="F496" s="537"/>
      <c r="G496" s="537"/>
      <c r="H496" s="537"/>
      <c r="I496" s="538"/>
      <c r="J496" s="537"/>
      <c r="K496" s="194"/>
      <c r="L496" s="194"/>
      <c r="M496" s="194"/>
      <c r="N496" s="194"/>
      <c r="O496" s="194"/>
      <c r="P496" s="194"/>
      <c r="Q496" s="194"/>
      <c r="R496" s="194"/>
      <c r="S496" s="194"/>
      <c r="T496" s="194"/>
      <c r="U496" s="194"/>
      <c r="V496" s="194"/>
      <c r="W496" s="194"/>
      <c r="X496" s="194"/>
      <c r="Y496" s="194"/>
      <c r="Z496" s="194"/>
    </row>
    <row r="497">
      <c r="A497" s="194"/>
      <c r="B497" s="194"/>
      <c r="C497" s="537"/>
      <c r="D497" s="537"/>
      <c r="E497" s="537"/>
      <c r="F497" s="537"/>
      <c r="G497" s="537"/>
      <c r="H497" s="537"/>
      <c r="I497" s="538"/>
      <c r="J497" s="537"/>
      <c r="K497" s="194"/>
      <c r="L497" s="194"/>
      <c r="M497" s="194"/>
      <c r="N497" s="194"/>
      <c r="O497" s="194"/>
      <c r="P497" s="194"/>
      <c r="Q497" s="194"/>
      <c r="R497" s="194"/>
      <c r="S497" s="194"/>
      <c r="T497" s="194"/>
      <c r="U497" s="194"/>
      <c r="V497" s="194"/>
      <c r="W497" s="194"/>
      <c r="X497" s="194"/>
      <c r="Y497" s="194"/>
      <c r="Z497" s="194"/>
    </row>
    <row r="498">
      <c r="A498" s="194"/>
      <c r="B498" s="194"/>
      <c r="C498" s="537"/>
      <c r="D498" s="537"/>
      <c r="E498" s="537"/>
      <c r="F498" s="537"/>
      <c r="G498" s="537"/>
      <c r="H498" s="537"/>
      <c r="I498" s="538"/>
      <c r="J498" s="537"/>
      <c r="K498" s="194"/>
      <c r="L498" s="194"/>
      <c r="M498" s="194"/>
      <c r="N498" s="194"/>
      <c r="O498" s="194"/>
      <c r="P498" s="194"/>
      <c r="Q498" s="194"/>
      <c r="R498" s="194"/>
      <c r="S498" s="194"/>
      <c r="T498" s="194"/>
      <c r="U498" s="194"/>
      <c r="V498" s="194"/>
      <c r="W498" s="194"/>
      <c r="X498" s="194"/>
      <c r="Y498" s="194"/>
      <c r="Z498" s="194"/>
    </row>
    <row r="499">
      <c r="A499" s="194"/>
      <c r="B499" s="194"/>
      <c r="C499" s="537"/>
      <c r="D499" s="537"/>
      <c r="E499" s="537"/>
      <c r="F499" s="537"/>
      <c r="G499" s="537"/>
      <c r="H499" s="537"/>
      <c r="I499" s="538"/>
      <c r="J499" s="537"/>
      <c r="K499" s="194"/>
      <c r="L499" s="194"/>
      <c r="M499" s="194"/>
      <c r="N499" s="194"/>
      <c r="O499" s="194"/>
      <c r="P499" s="194"/>
      <c r="Q499" s="194"/>
      <c r="R499" s="194"/>
      <c r="S499" s="194"/>
      <c r="T499" s="194"/>
      <c r="U499" s="194"/>
      <c r="V499" s="194"/>
      <c r="W499" s="194"/>
      <c r="X499" s="194"/>
      <c r="Y499" s="194"/>
      <c r="Z499" s="194"/>
    </row>
    <row r="500">
      <c r="A500" s="194"/>
      <c r="B500" s="194"/>
      <c r="C500" s="537"/>
      <c r="D500" s="537"/>
      <c r="E500" s="537"/>
      <c r="F500" s="537"/>
      <c r="G500" s="537"/>
      <c r="H500" s="537"/>
      <c r="I500" s="538"/>
      <c r="J500" s="537"/>
      <c r="K500" s="194"/>
      <c r="L500" s="194"/>
      <c r="M500" s="194"/>
      <c r="N500" s="194"/>
      <c r="O500" s="194"/>
      <c r="P500" s="194"/>
      <c r="Q500" s="194"/>
      <c r="R500" s="194"/>
      <c r="S500" s="194"/>
      <c r="T500" s="194"/>
      <c r="U500" s="194"/>
      <c r="V500" s="194"/>
      <c r="W500" s="194"/>
      <c r="X500" s="194"/>
      <c r="Y500" s="194"/>
      <c r="Z500" s="194"/>
    </row>
    <row r="501">
      <c r="A501" s="194"/>
      <c r="B501" s="194"/>
      <c r="C501" s="537"/>
      <c r="D501" s="537"/>
      <c r="E501" s="537"/>
      <c r="F501" s="537"/>
      <c r="G501" s="537"/>
      <c r="H501" s="537"/>
      <c r="I501" s="538"/>
      <c r="J501" s="537"/>
      <c r="K501" s="194"/>
      <c r="L501" s="194"/>
      <c r="M501" s="194"/>
      <c r="N501" s="194"/>
      <c r="O501" s="194"/>
      <c r="P501" s="194"/>
      <c r="Q501" s="194"/>
      <c r="R501" s="194"/>
      <c r="S501" s="194"/>
      <c r="T501" s="194"/>
      <c r="U501" s="194"/>
      <c r="V501" s="194"/>
      <c r="W501" s="194"/>
      <c r="X501" s="194"/>
      <c r="Y501" s="194"/>
      <c r="Z501" s="194"/>
    </row>
    <row r="502">
      <c r="A502" s="194"/>
      <c r="B502" s="194"/>
      <c r="C502" s="537"/>
      <c r="D502" s="537"/>
      <c r="E502" s="537"/>
      <c r="F502" s="537"/>
      <c r="G502" s="537"/>
      <c r="H502" s="537"/>
      <c r="I502" s="538"/>
      <c r="J502" s="537"/>
      <c r="K502" s="194"/>
      <c r="L502" s="194"/>
      <c r="M502" s="194"/>
      <c r="N502" s="194"/>
      <c r="O502" s="194"/>
      <c r="P502" s="194"/>
      <c r="Q502" s="194"/>
      <c r="R502" s="194"/>
      <c r="S502" s="194"/>
      <c r="T502" s="194"/>
      <c r="U502" s="194"/>
      <c r="V502" s="194"/>
      <c r="W502" s="194"/>
      <c r="X502" s="194"/>
      <c r="Y502" s="194"/>
      <c r="Z502" s="194"/>
    </row>
    <row r="503">
      <c r="A503" s="194"/>
      <c r="B503" s="194"/>
      <c r="C503" s="537"/>
      <c r="D503" s="537"/>
      <c r="E503" s="537"/>
      <c r="F503" s="537"/>
      <c r="G503" s="537"/>
      <c r="H503" s="537"/>
      <c r="I503" s="538"/>
      <c r="J503" s="537"/>
      <c r="K503" s="194"/>
      <c r="L503" s="194"/>
      <c r="M503" s="194"/>
      <c r="N503" s="194"/>
      <c r="O503" s="194"/>
      <c r="P503" s="194"/>
      <c r="Q503" s="194"/>
      <c r="R503" s="194"/>
      <c r="S503" s="194"/>
      <c r="T503" s="194"/>
      <c r="U503" s="194"/>
      <c r="V503" s="194"/>
      <c r="W503" s="194"/>
      <c r="X503" s="194"/>
      <c r="Y503" s="194"/>
      <c r="Z503" s="194"/>
    </row>
    <row r="504">
      <c r="A504" s="194"/>
      <c r="B504" s="194"/>
      <c r="C504" s="537"/>
      <c r="D504" s="537"/>
      <c r="E504" s="537"/>
      <c r="F504" s="537"/>
      <c r="G504" s="537"/>
      <c r="H504" s="537"/>
      <c r="I504" s="538"/>
      <c r="J504" s="537"/>
      <c r="K504" s="194"/>
      <c r="L504" s="194"/>
      <c r="M504" s="194"/>
      <c r="N504" s="194"/>
      <c r="O504" s="194"/>
      <c r="P504" s="194"/>
      <c r="Q504" s="194"/>
      <c r="R504" s="194"/>
      <c r="S504" s="194"/>
      <c r="T504" s="194"/>
      <c r="U504" s="194"/>
      <c r="V504" s="194"/>
      <c r="W504" s="194"/>
      <c r="X504" s="194"/>
      <c r="Y504" s="194"/>
      <c r="Z504" s="194"/>
    </row>
    <row r="505">
      <c r="A505" s="194"/>
      <c r="B505" s="194"/>
      <c r="C505" s="537"/>
      <c r="D505" s="537"/>
      <c r="E505" s="537"/>
      <c r="F505" s="537"/>
      <c r="G505" s="537"/>
      <c r="H505" s="537"/>
      <c r="I505" s="538"/>
      <c r="J505" s="537"/>
      <c r="K505" s="194"/>
      <c r="L505" s="194"/>
      <c r="M505" s="194"/>
      <c r="N505" s="194"/>
      <c r="O505" s="194"/>
      <c r="P505" s="194"/>
      <c r="Q505" s="194"/>
      <c r="R505" s="194"/>
      <c r="S505" s="194"/>
      <c r="T505" s="194"/>
      <c r="U505" s="194"/>
      <c r="V505" s="194"/>
      <c r="W505" s="194"/>
      <c r="X505" s="194"/>
      <c r="Y505" s="194"/>
      <c r="Z505" s="194"/>
    </row>
    <row r="506">
      <c r="A506" s="194"/>
      <c r="B506" s="194"/>
      <c r="C506" s="537"/>
      <c r="D506" s="537"/>
      <c r="E506" s="537"/>
      <c r="F506" s="537"/>
      <c r="G506" s="537"/>
      <c r="H506" s="537"/>
      <c r="I506" s="538"/>
      <c r="J506" s="537"/>
      <c r="K506" s="194"/>
      <c r="L506" s="194"/>
      <c r="M506" s="194"/>
      <c r="N506" s="194"/>
      <c r="O506" s="194"/>
      <c r="P506" s="194"/>
      <c r="Q506" s="194"/>
      <c r="R506" s="194"/>
      <c r="S506" s="194"/>
      <c r="T506" s="194"/>
      <c r="U506" s="194"/>
      <c r="V506" s="194"/>
      <c r="W506" s="194"/>
      <c r="X506" s="194"/>
      <c r="Y506" s="194"/>
      <c r="Z506" s="194"/>
    </row>
    <row r="507">
      <c r="A507" s="194"/>
      <c r="B507" s="194"/>
      <c r="C507" s="537"/>
      <c r="D507" s="537"/>
      <c r="E507" s="537"/>
      <c r="F507" s="537"/>
      <c r="G507" s="537"/>
      <c r="H507" s="537"/>
      <c r="I507" s="538"/>
      <c r="J507" s="537"/>
      <c r="K507" s="194"/>
      <c r="L507" s="194"/>
      <c r="M507" s="194"/>
      <c r="N507" s="194"/>
      <c r="O507" s="194"/>
      <c r="P507" s="194"/>
      <c r="Q507" s="194"/>
      <c r="R507" s="194"/>
      <c r="S507" s="194"/>
      <c r="T507" s="194"/>
      <c r="U507" s="194"/>
      <c r="V507" s="194"/>
      <c r="W507" s="194"/>
      <c r="X507" s="194"/>
      <c r="Y507" s="194"/>
      <c r="Z507" s="194"/>
    </row>
    <row r="508">
      <c r="A508" s="194"/>
      <c r="B508" s="194"/>
      <c r="C508" s="537"/>
      <c r="D508" s="537"/>
      <c r="E508" s="537"/>
      <c r="F508" s="537"/>
      <c r="G508" s="537"/>
      <c r="H508" s="537"/>
      <c r="I508" s="538"/>
      <c r="J508" s="537"/>
      <c r="K508" s="194"/>
      <c r="L508" s="194"/>
      <c r="M508" s="194"/>
      <c r="N508" s="194"/>
      <c r="O508" s="194"/>
      <c r="P508" s="194"/>
      <c r="Q508" s="194"/>
      <c r="R508" s="194"/>
      <c r="S508" s="194"/>
      <c r="T508" s="194"/>
      <c r="U508" s="194"/>
      <c r="V508" s="194"/>
      <c r="W508" s="194"/>
      <c r="X508" s="194"/>
      <c r="Y508" s="194"/>
      <c r="Z508" s="194"/>
    </row>
    <row r="509">
      <c r="A509" s="194"/>
      <c r="B509" s="194"/>
      <c r="C509" s="537"/>
      <c r="D509" s="537"/>
      <c r="E509" s="537"/>
      <c r="F509" s="537"/>
      <c r="G509" s="537"/>
      <c r="H509" s="537"/>
      <c r="I509" s="538"/>
      <c r="J509" s="537"/>
      <c r="K509" s="194"/>
      <c r="L509" s="194"/>
      <c r="M509" s="194"/>
      <c r="N509" s="194"/>
      <c r="O509" s="194"/>
      <c r="P509" s="194"/>
      <c r="Q509" s="194"/>
      <c r="R509" s="194"/>
      <c r="S509" s="194"/>
      <c r="T509" s="194"/>
      <c r="U509" s="194"/>
      <c r="V509" s="194"/>
      <c r="W509" s="194"/>
      <c r="X509" s="194"/>
      <c r="Y509" s="194"/>
      <c r="Z509" s="194"/>
    </row>
    <row r="510">
      <c r="A510" s="194"/>
      <c r="B510" s="194"/>
      <c r="C510" s="537"/>
      <c r="D510" s="537"/>
      <c r="E510" s="537"/>
      <c r="F510" s="537"/>
      <c r="G510" s="537"/>
      <c r="H510" s="537"/>
      <c r="I510" s="538"/>
      <c r="J510" s="537"/>
      <c r="K510" s="194"/>
      <c r="L510" s="194"/>
      <c r="M510" s="194"/>
      <c r="N510" s="194"/>
      <c r="O510" s="194"/>
      <c r="P510" s="194"/>
      <c r="Q510" s="194"/>
      <c r="R510" s="194"/>
      <c r="S510" s="194"/>
      <c r="T510" s="194"/>
      <c r="U510" s="194"/>
      <c r="V510" s="194"/>
      <c r="W510" s="194"/>
      <c r="X510" s="194"/>
      <c r="Y510" s="194"/>
      <c r="Z510" s="194"/>
    </row>
    <row r="511">
      <c r="A511" s="194"/>
      <c r="B511" s="194"/>
      <c r="C511" s="537"/>
      <c r="D511" s="537"/>
      <c r="E511" s="537"/>
      <c r="F511" s="537"/>
      <c r="G511" s="537"/>
      <c r="H511" s="537"/>
      <c r="I511" s="538"/>
      <c r="J511" s="537"/>
      <c r="K511" s="194"/>
      <c r="L511" s="194"/>
      <c r="M511" s="194"/>
      <c r="N511" s="194"/>
      <c r="O511" s="194"/>
      <c r="P511" s="194"/>
      <c r="Q511" s="194"/>
      <c r="R511" s="194"/>
      <c r="S511" s="194"/>
      <c r="T511" s="194"/>
      <c r="U511" s="194"/>
      <c r="V511" s="194"/>
      <c r="W511" s="194"/>
      <c r="X511" s="194"/>
      <c r="Y511" s="194"/>
      <c r="Z511" s="194"/>
    </row>
    <row r="512">
      <c r="A512" s="194"/>
      <c r="B512" s="194"/>
      <c r="C512" s="537"/>
      <c r="D512" s="537"/>
      <c r="E512" s="537"/>
      <c r="F512" s="537"/>
      <c r="G512" s="537"/>
      <c r="H512" s="537"/>
      <c r="I512" s="538"/>
      <c r="J512" s="537"/>
      <c r="K512" s="194"/>
      <c r="L512" s="194"/>
      <c r="M512" s="194"/>
      <c r="N512" s="194"/>
      <c r="O512" s="194"/>
      <c r="P512" s="194"/>
      <c r="Q512" s="194"/>
      <c r="R512" s="194"/>
      <c r="S512" s="194"/>
      <c r="T512" s="194"/>
      <c r="U512" s="194"/>
      <c r="V512" s="194"/>
      <c r="W512" s="194"/>
      <c r="X512" s="194"/>
      <c r="Y512" s="194"/>
      <c r="Z512" s="194"/>
    </row>
    <row r="513">
      <c r="A513" s="194"/>
      <c r="B513" s="194"/>
      <c r="C513" s="537"/>
      <c r="D513" s="537"/>
      <c r="E513" s="537"/>
      <c r="F513" s="537"/>
      <c r="G513" s="537"/>
      <c r="H513" s="537"/>
      <c r="I513" s="538"/>
      <c r="J513" s="537"/>
      <c r="K513" s="194"/>
      <c r="L513" s="194"/>
      <c r="M513" s="194"/>
      <c r="N513" s="194"/>
      <c r="O513" s="194"/>
      <c r="P513" s="194"/>
      <c r="Q513" s="194"/>
      <c r="R513" s="194"/>
      <c r="S513" s="194"/>
      <c r="T513" s="194"/>
      <c r="U513" s="194"/>
      <c r="V513" s="194"/>
      <c r="W513" s="194"/>
      <c r="X513" s="194"/>
      <c r="Y513" s="194"/>
      <c r="Z513" s="194"/>
    </row>
    <row r="514">
      <c r="A514" s="194"/>
      <c r="B514" s="194"/>
      <c r="C514" s="537"/>
      <c r="D514" s="537"/>
      <c r="E514" s="537"/>
      <c r="F514" s="537"/>
      <c r="G514" s="537"/>
      <c r="H514" s="537"/>
      <c r="I514" s="538"/>
      <c r="J514" s="537"/>
      <c r="K514" s="194"/>
      <c r="L514" s="194"/>
      <c r="M514" s="194"/>
      <c r="N514" s="194"/>
      <c r="O514" s="194"/>
      <c r="P514" s="194"/>
      <c r="Q514" s="194"/>
      <c r="R514" s="194"/>
      <c r="S514" s="194"/>
      <c r="T514" s="194"/>
      <c r="U514" s="194"/>
      <c r="V514" s="194"/>
      <c r="W514" s="194"/>
      <c r="X514" s="194"/>
      <c r="Y514" s="194"/>
      <c r="Z514" s="194"/>
    </row>
    <row r="515">
      <c r="A515" s="194"/>
      <c r="B515" s="194"/>
      <c r="C515" s="537"/>
      <c r="D515" s="537"/>
      <c r="E515" s="537"/>
      <c r="F515" s="537"/>
      <c r="G515" s="537"/>
      <c r="H515" s="537"/>
      <c r="I515" s="538"/>
      <c r="J515" s="537"/>
      <c r="K515" s="194"/>
      <c r="L515" s="194"/>
      <c r="M515" s="194"/>
      <c r="N515" s="194"/>
      <c r="O515" s="194"/>
      <c r="P515" s="194"/>
      <c r="Q515" s="194"/>
      <c r="R515" s="194"/>
      <c r="S515" s="194"/>
      <c r="T515" s="194"/>
      <c r="U515" s="194"/>
      <c r="V515" s="194"/>
      <c r="W515" s="194"/>
      <c r="X515" s="194"/>
      <c r="Y515" s="194"/>
      <c r="Z515" s="194"/>
    </row>
    <row r="516">
      <c r="A516" s="194"/>
      <c r="B516" s="194"/>
      <c r="C516" s="537"/>
      <c r="D516" s="537"/>
      <c r="E516" s="537"/>
      <c r="F516" s="537"/>
      <c r="G516" s="537"/>
      <c r="H516" s="537"/>
      <c r="I516" s="538"/>
      <c r="J516" s="537"/>
      <c r="K516" s="194"/>
      <c r="L516" s="194"/>
      <c r="M516" s="194"/>
      <c r="N516" s="194"/>
      <c r="O516" s="194"/>
      <c r="P516" s="194"/>
      <c r="Q516" s="194"/>
      <c r="R516" s="194"/>
      <c r="S516" s="194"/>
      <c r="T516" s="194"/>
      <c r="U516" s="194"/>
      <c r="V516" s="194"/>
      <c r="W516" s="194"/>
      <c r="X516" s="194"/>
      <c r="Y516" s="194"/>
      <c r="Z516" s="194"/>
    </row>
    <row r="517">
      <c r="A517" s="194"/>
      <c r="B517" s="194"/>
      <c r="C517" s="537"/>
      <c r="D517" s="537"/>
      <c r="E517" s="537"/>
      <c r="F517" s="537"/>
      <c r="G517" s="537"/>
      <c r="H517" s="537"/>
      <c r="I517" s="538"/>
      <c r="J517" s="537"/>
      <c r="K517" s="194"/>
      <c r="L517" s="194"/>
      <c r="M517" s="194"/>
      <c r="N517" s="194"/>
      <c r="O517" s="194"/>
      <c r="P517" s="194"/>
      <c r="Q517" s="194"/>
      <c r="R517" s="194"/>
      <c r="S517" s="194"/>
      <c r="T517" s="194"/>
      <c r="U517" s="194"/>
      <c r="V517" s="194"/>
      <c r="W517" s="194"/>
      <c r="X517" s="194"/>
      <c r="Y517" s="194"/>
      <c r="Z517" s="194"/>
    </row>
    <row r="518">
      <c r="A518" s="194"/>
      <c r="B518" s="194"/>
      <c r="C518" s="537"/>
      <c r="D518" s="537"/>
      <c r="E518" s="537"/>
      <c r="F518" s="537"/>
      <c r="G518" s="537"/>
      <c r="H518" s="537"/>
      <c r="I518" s="538"/>
      <c r="J518" s="537"/>
      <c r="K518" s="194"/>
      <c r="L518" s="194"/>
      <c r="M518" s="194"/>
      <c r="N518" s="194"/>
      <c r="O518" s="194"/>
      <c r="P518" s="194"/>
      <c r="Q518" s="194"/>
      <c r="R518" s="194"/>
      <c r="S518" s="194"/>
      <c r="T518" s="194"/>
      <c r="U518" s="194"/>
      <c r="V518" s="194"/>
      <c r="W518" s="194"/>
      <c r="X518" s="194"/>
      <c r="Y518" s="194"/>
      <c r="Z518" s="194"/>
    </row>
    <row r="519">
      <c r="A519" s="194"/>
      <c r="B519" s="194"/>
      <c r="C519" s="537"/>
      <c r="D519" s="537"/>
      <c r="E519" s="537"/>
      <c r="F519" s="537"/>
      <c r="G519" s="537"/>
      <c r="H519" s="537"/>
      <c r="I519" s="538"/>
      <c r="J519" s="537"/>
      <c r="K519" s="194"/>
      <c r="L519" s="194"/>
      <c r="M519" s="194"/>
      <c r="N519" s="194"/>
      <c r="O519" s="194"/>
      <c r="P519" s="194"/>
      <c r="Q519" s="194"/>
      <c r="R519" s="194"/>
      <c r="S519" s="194"/>
      <c r="T519" s="194"/>
      <c r="U519" s="194"/>
      <c r="V519" s="194"/>
      <c r="W519" s="194"/>
      <c r="X519" s="194"/>
      <c r="Y519" s="194"/>
      <c r="Z519" s="194"/>
    </row>
    <row r="520">
      <c r="A520" s="194"/>
      <c r="B520" s="194"/>
      <c r="C520" s="537"/>
      <c r="D520" s="537"/>
      <c r="E520" s="537"/>
      <c r="F520" s="537"/>
      <c r="G520" s="537"/>
      <c r="H520" s="537"/>
      <c r="I520" s="538"/>
      <c r="J520" s="537"/>
      <c r="K520" s="194"/>
      <c r="L520" s="194"/>
      <c r="M520" s="194"/>
      <c r="N520" s="194"/>
      <c r="O520" s="194"/>
      <c r="P520" s="194"/>
      <c r="Q520" s="194"/>
      <c r="R520" s="194"/>
      <c r="S520" s="194"/>
      <c r="T520" s="194"/>
      <c r="U520" s="194"/>
      <c r="V520" s="194"/>
      <c r="W520" s="194"/>
      <c r="X520" s="194"/>
      <c r="Y520" s="194"/>
      <c r="Z520" s="194"/>
    </row>
    <row r="521">
      <c r="A521" s="194"/>
      <c r="B521" s="194"/>
      <c r="C521" s="537"/>
      <c r="D521" s="537"/>
      <c r="E521" s="537"/>
      <c r="F521" s="537"/>
      <c r="G521" s="537"/>
      <c r="H521" s="537"/>
      <c r="I521" s="538"/>
      <c r="J521" s="537"/>
      <c r="K521" s="194"/>
      <c r="L521" s="194"/>
      <c r="M521" s="194"/>
      <c r="N521" s="194"/>
      <c r="O521" s="194"/>
      <c r="P521" s="194"/>
      <c r="Q521" s="194"/>
      <c r="R521" s="194"/>
      <c r="S521" s="194"/>
      <c r="T521" s="194"/>
      <c r="U521" s="194"/>
      <c r="V521" s="194"/>
      <c r="W521" s="194"/>
      <c r="X521" s="194"/>
      <c r="Y521" s="194"/>
      <c r="Z521" s="194"/>
    </row>
    <row r="522">
      <c r="A522" s="194"/>
      <c r="B522" s="194"/>
      <c r="C522" s="537"/>
      <c r="D522" s="537"/>
      <c r="E522" s="537"/>
      <c r="F522" s="537"/>
      <c r="G522" s="537"/>
      <c r="H522" s="537"/>
      <c r="I522" s="538"/>
      <c r="J522" s="537"/>
      <c r="K522" s="194"/>
      <c r="L522" s="194"/>
      <c r="M522" s="194"/>
      <c r="N522" s="194"/>
      <c r="O522" s="194"/>
      <c r="P522" s="194"/>
      <c r="Q522" s="194"/>
      <c r="R522" s="194"/>
      <c r="S522" s="194"/>
      <c r="T522" s="194"/>
      <c r="U522" s="194"/>
      <c r="V522" s="194"/>
      <c r="W522" s="194"/>
      <c r="X522" s="194"/>
      <c r="Y522" s="194"/>
      <c r="Z522" s="194"/>
    </row>
    <row r="523">
      <c r="A523" s="194"/>
      <c r="B523" s="194"/>
      <c r="C523" s="537"/>
      <c r="D523" s="537"/>
      <c r="E523" s="537"/>
      <c r="F523" s="537"/>
      <c r="G523" s="537"/>
      <c r="H523" s="537"/>
      <c r="I523" s="538"/>
      <c r="J523" s="537"/>
      <c r="K523" s="194"/>
      <c r="L523" s="194"/>
      <c r="M523" s="194"/>
      <c r="N523" s="194"/>
      <c r="O523" s="194"/>
      <c r="P523" s="194"/>
      <c r="Q523" s="194"/>
      <c r="R523" s="194"/>
      <c r="S523" s="194"/>
      <c r="T523" s="194"/>
      <c r="U523" s="194"/>
      <c r="V523" s="194"/>
      <c r="W523" s="194"/>
      <c r="X523" s="194"/>
      <c r="Y523" s="194"/>
      <c r="Z523" s="194"/>
    </row>
    <row r="524">
      <c r="A524" s="194"/>
      <c r="B524" s="194"/>
      <c r="C524" s="537"/>
      <c r="D524" s="537"/>
      <c r="E524" s="537"/>
      <c r="F524" s="537"/>
      <c r="G524" s="537"/>
      <c r="H524" s="537"/>
      <c r="I524" s="538"/>
      <c r="J524" s="537"/>
      <c r="K524" s="194"/>
      <c r="L524" s="194"/>
      <c r="M524" s="194"/>
      <c r="N524" s="194"/>
      <c r="O524" s="194"/>
      <c r="P524" s="194"/>
      <c r="Q524" s="194"/>
      <c r="R524" s="194"/>
      <c r="S524" s="194"/>
      <c r="T524" s="194"/>
      <c r="U524" s="194"/>
      <c r="V524" s="194"/>
      <c r="W524" s="194"/>
      <c r="X524" s="194"/>
      <c r="Y524" s="194"/>
      <c r="Z524" s="194"/>
    </row>
    <row r="525">
      <c r="A525" s="194"/>
      <c r="B525" s="194"/>
      <c r="C525" s="537"/>
      <c r="D525" s="537"/>
      <c r="E525" s="537"/>
      <c r="F525" s="537"/>
      <c r="G525" s="537"/>
      <c r="H525" s="537"/>
      <c r="I525" s="538"/>
      <c r="J525" s="537"/>
      <c r="K525" s="194"/>
      <c r="L525" s="194"/>
      <c r="M525" s="194"/>
      <c r="N525" s="194"/>
      <c r="O525" s="194"/>
      <c r="P525" s="194"/>
      <c r="Q525" s="194"/>
      <c r="R525" s="194"/>
      <c r="S525" s="194"/>
      <c r="T525" s="194"/>
      <c r="U525" s="194"/>
      <c r="V525" s="194"/>
      <c r="W525" s="194"/>
      <c r="X525" s="194"/>
      <c r="Y525" s="194"/>
      <c r="Z525" s="194"/>
    </row>
    <row r="526">
      <c r="A526" s="194"/>
      <c r="B526" s="194"/>
      <c r="C526" s="537"/>
      <c r="D526" s="537"/>
      <c r="E526" s="537"/>
      <c r="F526" s="537"/>
      <c r="G526" s="537"/>
      <c r="H526" s="537"/>
      <c r="I526" s="538"/>
      <c r="J526" s="537"/>
      <c r="K526" s="194"/>
      <c r="L526" s="194"/>
      <c r="M526" s="194"/>
      <c r="N526" s="194"/>
      <c r="O526" s="194"/>
      <c r="P526" s="194"/>
      <c r="Q526" s="194"/>
      <c r="R526" s="194"/>
      <c r="S526" s="194"/>
      <c r="T526" s="194"/>
      <c r="U526" s="194"/>
      <c r="V526" s="194"/>
      <c r="W526" s="194"/>
      <c r="X526" s="194"/>
      <c r="Y526" s="194"/>
      <c r="Z526" s="194"/>
    </row>
    <row r="527">
      <c r="A527" s="194"/>
      <c r="B527" s="194"/>
      <c r="C527" s="537"/>
      <c r="D527" s="537"/>
      <c r="E527" s="537"/>
      <c r="F527" s="537"/>
      <c r="G527" s="537"/>
      <c r="H527" s="537"/>
      <c r="I527" s="538"/>
      <c r="J527" s="537"/>
      <c r="K527" s="194"/>
      <c r="L527" s="194"/>
      <c r="M527" s="194"/>
      <c r="N527" s="194"/>
      <c r="O527" s="194"/>
      <c r="P527" s="194"/>
      <c r="Q527" s="194"/>
      <c r="R527" s="194"/>
      <c r="S527" s="194"/>
      <c r="T527" s="194"/>
      <c r="U527" s="194"/>
      <c r="V527" s="194"/>
      <c r="W527" s="194"/>
      <c r="X527" s="194"/>
      <c r="Y527" s="194"/>
      <c r="Z527" s="194"/>
    </row>
    <row r="528">
      <c r="A528" s="194"/>
      <c r="B528" s="194"/>
      <c r="C528" s="537"/>
      <c r="D528" s="537"/>
      <c r="E528" s="537"/>
      <c r="F528" s="537"/>
      <c r="G528" s="537"/>
      <c r="H528" s="537"/>
      <c r="I528" s="538"/>
      <c r="J528" s="537"/>
      <c r="K528" s="194"/>
      <c r="L528" s="194"/>
      <c r="M528" s="194"/>
      <c r="N528" s="194"/>
      <c r="O528" s="194"/>
      <c r="P528" s="194"/>
      <c r="Q528" s="194"/>
      <c r="R528" s="194"/>
      <c r="S528" s="194"/>
      <c r="T528" s="194"/>
      <c r="U528" s="194"/>
      <c r="V528" s="194"/>
      <c r="W528" s="194"/>
      <c r="X528" s="194"/>
      <c r="Y528" s="194"/>
      <c r="Z528" s="194"/>
    </row>
    <row r="529">
      <c r="A529" s="194"/>
      <c r="B529" s="194"/>
      <c r="C529" s="537"/>
      <c r="D529" s="537"/>
      <c r="E529" s="537"/>
      <c r="F529" s="537"/>
      <c r="G529" s="537"/>
      <c r="H529" s="537"/>
      <c r="I529" s="538"/>
      <c r="J529" s="537"/>
      <c r="K529" s="194"/>
      <c r="L529" s="194"/>
      <c r="M529" s="194"/>
      <c r="N529" s="194"/>
      <c r="O529" s="194"/>
      <c r="P529" s="194"/>
      <c r="Q529" s="194"/>
      <c r="R529" s="194"/>
      <c r="S529" s="194"/>
      <c r="T529" s="194"/>
      <c r="U529" s="194"/>
      <c r="V529" s="194"/>
      <c r="W529" s="194"/>
      <c r="X529" s="194"/>
      <c r="Y529" s="194"/>
      <c r="Z529" s="194"/>
    </row>
    <row r="530">
      <c r="A530" s="194"/>
      <c r="B530" s="194"/>
      <c r="C530" s="537"/>
      <c r="D530" s="537"/>
      <c r="E530" s="537"/>
      <c r="F530" s="537"/>
      <c r="G530" s="537"/>
      <c r="H530" s="537"/>
      <c r="I530" s="538"/>
      <c r="J530" s="537"/>
      <c r="K530" s="194"/>
      <c r="L530" s="194"/>
      <c r="M530" s="194"/>
      <c r="N530" s="194"/>
      <c r="O530" s="194"/>
      <c r="P530" s="194"/>
      <c r="Q530" s="194"/>
      <c r="R530" s="194"/>
      <c r="S530" s="194"/>
      <c r="T530" s="194"/>
      <c r="U530" s="194"/>
      <c r="V530" s="194"/>
      <c r="W530" s="194"/>
      <c r="X530" s="194"/>
      <c r="Y530" s="194"/>
      <c r="Z530" s="194"/>
    </row>
    <row r="531">
      <c r="A531" s="194"/>
      <c r="B531" s="194"/>
      <c r="C531" s="537"/>
      <c r="D531" s="537"/>
      <c r="E531" s="537"/>
      <c r="F531" s="537"/>
      <c r="G531" s="537"/>
      <c r="H531" s="537"/>
      <c r="I531" s="538"/>
      <c r="J531" s="537"/>
      <c r="K531" s="194"/>
      <c r="L531" s="194"/>
      <c r="M531" s="194"/>
      <c r="N531" s="194"/>
      <c r="O531" s="194"/>
      <c r="P531" s="194"/>
      <c r="Q531" s="194"/>
      <c r="R531" s="194"/>
      <c r="S531" s="194"/>
      <c r="T531" s="194"/>
      <c r="U531" s="194"/>
      <c r="V531" s="194"/>
      <c r="W531" s="194"/>
      <c r="X531" s="194"/>
      <c r="Y531" s="194"/>
      <c r="Z531" s="194"/>
    </row>
    <row r="532">
      <c r="A532" s="194"/>
      <c r="B532" s="194"/>
      <c r="C532" s="537"/>
      <c r="D532" s="537"/>
      <c r="E532" s="537"/>
      <c r="F532" s="537"/>
      <c r="G532" s="537"/>
      <c r="H532" s="537"/>
      <c r="I532" s="538"/>
      <c r="J532" s="537"/>
      <c r="K532" s="194"/>
      <c r="L532" s="194"/>
      <c r="M532" s="194"/>
      <c r="N532" s="194"/>
      <c r="O532" s="194"/>
      <c r="P532" s="194"/>
      <c r="Q532" s="194"/>
      <c r="R532" s="194"/>
      <c r="S532" s="194"/>
      <c r="T532" s="194"/>
      <c r="U532" s="194"/>
      <c r="V532" s="194"/>
      <c r="W532" s="194"/>
      <c r="X532" s="194"/>
      <c r="Y532" s="194"/>
      <c r="Z532" s="194"/>
    </row>
    <row r="533">
      <c r="A533" s="194"/>
      <c r="B533" s="194"/>
      <c r="C533" s="537"/>
      <c r="D533" s="537"/>
      <c r="E533" s="537"/>
      <c r="F533" s="537"/>
      <c r="G533" s="537"/>
      <c r="H533" s="537"/>
      <c r="I533" s="538"/>
      <c r="J533" s="537"/>
      <c r="K533" s="194"/>
      <c r="L533" s="194"/>
      <c r="M533" s="194"/>
      <c r="N533" s="194"/>
      <c r="O533" s="194"/>
      <c r="P533" s="194"/>
      <c r="Q533" s="194"/>
      <c r="R533" s="194"/>
      <c r="S533" s="194"/>
      <c r="T533" s="194"/>
      <c r="U533" s="194"/>
      <c r="V533" s="194"/>
      <c r="W533" s="194"/>
      <c r="X533" s="194"/>
      <c r="Y533" s="194"/>
      <c r="Z533" s="194"/>
    </row>
    <row r="534">
      <c r="A534" s="194"/>
      <c r="B534" s="194"/>
      <c r="C534" s="537"/>
      <c r="D534" s="537"/>
      <c r="E534" s="537"/>
      <c r="F534" s="537"/>
      <c r="G534" s="537"/>
      <c r="H534" s="537"/>
      <c r="I534" s="538"/>
      <c r="J534" s="537"/>
      <c r="K534" s="194"/>
      <c r="L534" s="194"/>
      <c r="M534" s="194"/>
      <c r="N534" s="194"/>
      <c r="O534" s="194"/>
      <c r="P534" s="194"/>
      <c r="Q534" s="194"/>
      <c r="R534" s="194"/>
      <c r="S534" s="194"/>
      <c r="T534" s="194"/>
      <c r="U534" s="194"/>
      <c r="V534" s="194"/>
      <c r="W534" s="194"/>
      <c r="X534" s="194"/>
      <c r="Y534" s="194"/>
      <c r="Z534" s="194"/>
    </row>
    <row r="535">
      <c r="A535" s="194"/>
      <c r="B535" s="194"/>
      <c r="C535" s="537"/>
      <c r="D535" s="537"/>
      <c r="E535" s="537"/>
      <c r="F535" s="537"/>
      <c r="G535" s="537"/>
      <c r="H535" s="537"/>
      <c r="I535" s="538"/>
      <c r="J535" s="537"/>
      <c r="K535" s="194"/>
      <c r="L535" s="194"/>
      <c r="M535" s="194"/>
      <c r="N535" s="194"/>
      <c r="O535" s="194"/>
      <c r="P535" s="194"/>
      <c r="Q535" s="194"/>
      <c r="R535" s="194"/>
      <c r="S535" s="194"/>
      <c r="T535" s="194"/>
      <c r="U535" s="194"/>
      <c r="V535" s="194"/>
      <c r="W535" s="194"/>
      <c r="X535" s="194"/>
      <c r="Y535" s="194"/>
      <c r="Z535" s="194"/>
    </row>
    <row r="536">
      <c r="A536" s="194"/>
      <c r="B536" s="194"/>
      <c r="C536" s="537"/>
      <c r="D536" s="537"/>
      <c r="E536" s="537"/>
      <c r="F536" s="537"/>
      <c r="G536" s="537"/>
      <c r="H536" s="537"/>
      <c r="I536" s="538"/>
      <c r="J536" s="537"/>
      <c r="K536" s="194"/>
      <c r="L536" s="194"/>
      <c r="M536" s="194"/>
      <c r="N536" s="194"/>
      <c r="O536" s="194"/>
      <c r="P536" s="194"/>
      <c r="Q536" s="194"/>
      <c r="R536" s="194"/>
      <c r="S536" s="194"/>
      <c r="T536" s="194"/>
      <c r="U536" s="194"/>
      <c r="V536" s="194"/>
      <c r="W536" s="194"/>
      <c r="X536" s="194"/>
      <c r="Y536" s="194"/>
      <c r="Z536" s="194"/>
    </row>
    <row r="537">
      <c r="A537" s="194"/>
      <c r="B537" s="194"/>
      <c r="C537" s="537"/>
      <c r="D537" s="537"/>
      <c r="E537" s="537"/>
      <c r="F537" s="537"/>
      <c r="G537" s="537"/>
      <c r="H537" s="537"/>
      <c r="I537" s="538"/>
      <c r="J537" s="537"/>
      <c r="K537" s="194"/>
      <c r="L537" s="194"/>
      <c r="M537" s="194"/>
      <c r="N537" s="194"/>
      <c r="O537" s="194"/>
      <c r="P537" s="194"/>
      <c r="Q537" s="194"/>
      <c r="R537" s="194"/>
      <c r="S537" s="194"/>
      <c r="T537" s="194"/>
      <c r="U537" s="194"/>
      <c r="V537" s="194"/>
      <c r="W537" s="194"/>
      <c r="X537" s="194"/>
      <c r="Y537" s="194"/>
      <c r="Z537" s="194"/>
    </row>
    <row r="538">
      <c r="A538" s="194"/>
      <c r="B538" s="194"/>
      <c r="C538" s="537"/>
      <c r="D538" s="537"/>
      <c r="E538" s="537"/>
      <c r="F538" s="537"/>
      <c r="G538" s="537"/>
      <c r="H538" s="537"/>
      <c r="I538" s="538"/>
      <c r="J538" s="537"/>
      <c r="K538" s="194"/>
      <c r="L538" s="194"/>
      <c r="M538" s="194"/>
      <c r="N538" s="194"/>
      <c r="O538" s="194"/>
      <c r="P538" s="194"/>
      <c r="Q538" s="194"/>
      <c r="R538" s="194"/>
      <c r="S538" s="194"/>
      <c r="T538" s="194"/>
      <c r="U538" s="194"/>
      <c r="V538" s="194"/>
      <c r="W538" s="194"/>
      <c r="X538" s="194"/>
      <c r="Y538" s="194"/>
      <c r="Z538" s="194"/>
    </row>
    <row r="539">
      <c r="A539" s="194"/>
      <c r="B539" s="194"/>
      <c r="C539" s="537"/>
      <c r="D539" s="537"/>
      <c r="E539" s="537"/>
      <c r="F539" s="537"/>
      <c r="G539" s="537"/>
      <c r="H539" s="537"/>
      <c r="I539" s="538"/>
      <c r="J539" s="537"/>
      <c r="K539" s="194"/>
      <c r="L539" s="194"/>
      <c r="M539" s="194"/>
      <c r="N539" s="194"/>
      <c r="O539" s="194"/>
      <c r="P539" s="194"/>
      <c r="Q539" s="194"/>
      <c r="R539" s="194"/>
      <c r="S539" s="194"/>
      <c r="T539" s="194"/>
      <c r="U539" s="194"/>
      <c r="V539" s="194"/>
      <c r="W539" s="194"/>
      <c r="X539" s="194"/>
      <c r="Y539" s="194"/>
      <c r="Z539" s="194"/>
    </row>
    <row r="540">
      <c r="A540" s="194"/>
      <c r="B540" s="194"/>
      <c r="C540" s="537"/>
      <c r="D540" s="537"/>
      <c r="E540" s="537"/>
      <c r="F540" s="537"/>
      <c r="G540" s="537"/>
      <c r="H540" s="537"/>
      <c r="I540" s="538"/>
      <c r="J540" s="537"/>
      <c r="K540" s="194"/>
      <c r="L540" s="194"/>
      <c r="M540" s="194"/>
      <c r="N540" s="194"/>
      <c r="O540" s="194"/>
      <c r="P540" s="194"/>
      <c r="Q540" s="194"/>
      <c r="R540" s="194"/>
      <c r="S540" s="194"/>
      <c r="T540" s="194"/>
      <c r="U540" s="194"/>
      <c r="V540" s="194"/>
      <c r="W540" s="194"/>
      <c r="X540" s="194"/>
      <c r="Y540" s="194"/>
      <c r="Z540" s="194"/>
    </row>
    <row r="541">
      <c r="A541" s="194"/>
      <c r="B541" s="194"/>
      <c r="C541" s="537"/>
      <c r="D541" s="537"/>
      <c r="E541" s="537"/>
      <c r="F541" s="537"/>
      <c r="G541" s="537"/>
      <c r="H541" s="537"/>
      <c r="I541" s="538"/>
      <c r="J541" s="537"/>
      <c r="K541" s="194"/>
      <c r="L541" s="194"/>
      <c r="M541" s="194"/>
      <c r="N541" s="194"/>
      <c r="O541" s="194"/>
      <c r="P541" s="194"/>
      <c r="Q541" s="194"/>
      <c r="R541" s="194"/>
      <c r="S541" s="194"/>
      <c r="T541" s="194"/>
      <c r="U541" s="194"/>
      <c r="V541" s="194"/>
      <c r="W541" s="194"/>
      <c r="X541" s="194"/>
      <c r="Y541" s="194"/>
      <c r="Z541" s="194"/>
    </row>
    <row r="542">
      <c r="A542" s="194"/>
      <c r="B542" s="194"/>
      <c r="C542" s="537"/>
      <c r="D542" s="537"/>
      <c r="E542" s="537"/>
      <c r="F542" s="537"/>
      <c r="G542" s="537"/>
      <c r="H542" s="537"/>
      <c r="I542" s="538"/>
      <c r="J542" s="537"/>
      <c r="K542" s="194"/>
      <c r="L542" s="194"/>
      <c r="M542" s="194"/>
      <c r="N542" s="194"/>
      <c r="O542" s="194"/>
      <c r="P542" s="194"/>
      <c r="Q542" s="194"/>
      <c r="R542" s="194"/>
      <c r="S542" s="194"/>
      <c r="T542" s="194"/>
      <c r="U542" s="194"/>
      <c r="V542" s="194"/>
      <c r="W542" s="194"/>
      <c r="X542" s="194"/>
      <c r="Y542" s="194"/>
      <c r="Z542" s="194"/>
    </row>
    <row r="543">
      <c r="A543" s="194"/>
      <c r="B543" s="194"/>
      <c r="C543" s="537"/>
      <c r="D543" s="537"/>
      <c r="E543" s="537"/>
      <c r="F543" s="537"/>
      <c r="G543" s="537"/>
      <c r="H543" s="537"/>
      <c r="I543" s="538"/>
      <c r="J543" s="537"/>
      <c r="K543" s="194"/>
      <c r="L543" s="194"/>
      <c r="M543" s="194"/>
      <c r="N543" s="194"/>
      <c r="O543" s="194"/>
      <c r="P543" s="194"/>
      <c r="Q543" s="194"/>
      <c r="R543" s="194"/>
      <c r="S543" s="194"/>
      <c r="T543" s="194"/>
      <c r="U543" s="194"/>
      <c r="V543" s="194"/>
      <c r="W543" s="194"/>
      <c r="X543" s="194"/>
      <c r="Y543" s="194"/>
      <c r="Z543" s="194"/>
    </row>
    <row r="544">
      <c r="A544" s="194"/>
      <c r="B544" s="194"/>
      <c r="C544" s="537"/>
      <c r="D544" s="537"/>
      <c r="E544" s="537"/>
      <c r="F544" s="537"/>
      <c r="G544" s="537"/>
      <c r="H544" s="537"/>
      <c r="I544" s="538"/>
      <c r="J544" s="537"/>
      <c r="K544" s="194"/>
      <c r="L544" s="194"/>
      <c r="M544" s="194"/>
      <c r="N544" s="194"/>
      <c r="O544" s="194"/>
      <c r="P544" s="194"/>
      <c r="Q544" s="194"/>
      <c r="R544" s="194"/>
      <c r="S544" s="194"/>
      <c r="T544" s="194"/>
      <c r="U544" s="194"/>
      <c r="V544" s="194"/>
      <c r="W544" s="194"/>
      <c r="X544" s="194"/>
      <c r="Y544" s="194"/>
      <c r="Z544" s="194"/>
    </row>
    <row r="545">
      <c r="A545" s="194"/>
      <c r="B545" s="194"/>
      <c r="C545" s="537"/>
      <c r="D545" s="537"/>
      <c r="E545" s="537"/>
      <c r="F545" s="537"/>
      <c r="G545" s="537"/>
      <c r="H545" s="537"/>
      <c r="I545" s="538"/>
      <c r="J545" s="537"/>
      <c r="K545" s="194"/>
      <c r="L545" s="194"/>
      <c r="M545" s="194"/>
      <c r="N545" s="194"/>
      <c r="O545" s="194"/>
      <c r="P545" s="194"/>
      <c r="Q545" s="194"/>
      <c r="R545" s="194"/>
      <c r="S545" s="194"/>
      <c r="T545" s="194"/>
      <c r="U545" s="194"/>
      <c r="V545" s="194"/>
      <c r="W545" s="194"/>
      <c r="X545" s="194"/>
      <c r="Y545" s="194"/>
      <c r="Z545" s="194"/>
    </row>
    <row r="546">
      <c r="A546" s="194"/>
      <c r="B546" s="194"/>
      <c r="C546" s="537"/>
      <c r="D546" s="537"/>
      <c r="E546" s="537"/>
      <c r="F546" s="537"/>
      <c r="G546" s="537"/>
      <c r="H546" s="537"/>
      <c r="I546" s="538"/>
      <c r="J546" s="537"/>
      <c r="K546" s="194"/>
      <c r="L546" s="194"/>
      <c r="M546" s="194"/>
      <c r="N546" s="194"/>
      <c r="O546" s="194"/>
      <c r="P546" s="194"/>
      <c r="Q546" s="194"/>
      <c r="R546" s="194"/>
      <c r="S546" s="194"/>
      <c r="T546" s="194"/>
      <c r="U546" s="194"/>
      <c r="V546" s="194"/>
      <c r="W546" s="194"/>
      <c r="X546" s="194"/>
      <c r="Y546" s="194"/>
      <c r="Z546" s="194"/>
    </row>
    <row r="547">
      <c r="A547" s="194"/>
      <c r="B547" s="194"/>
      <c r="C547" s="537"/>
      <c r="D547" s="537"/>
      <c r="E547" s="537"/>
      <c r="F547" s="537"/>
      <c r="G547" s="537"/>
      <c r="H547" s="537"/>
      <c r="I547" s="538"/>
      <c r="J547" s="537"/>
      <c r="K547" s="194"/>
      <c r="L547" s="194"/>
      <c r="M547" s="194"/>
      <c r="N547" s="194"/>
      <c r="O547" s="194"/>
      <c r="P547" s="194"/>
      <c r="Q547" s="194"/>
      <c r="R547" s="194"/>
      <c r="S547" s="194"/>
      <c r="T547" s="194"/>
      <c r="U547" s="194"/>
      <c r="V547" s="194"/>
      <c r="W547" s="194"/>
      <c r="X547" s="194"/>
      <c r="Y547" s="194"/>
      <c r="Z547" s="194"/>
    </row>
    <row r="548">
      <c r="A548" s="194"/>
      <c r="B548" s="194"/>
      <c r="C548" s="537"/>
      <c r="D548" s="537"/>
      <c r="E548" s="537"/>
      <c r="F548" s="537"/>
      <c r="G548" s="537"/>
      <c r="H548" s="537"/>
      <c r="I548" s="538"/>
      <c r="J548" s="537"/>
      <c r="K548" s="194"/>
      <c r="L548" s="194"/>
      <c r="M548" s="194"/>
      <c r="N548" s="194"/>
      <c r="O548" s="194"/>
      <c r="P548" s="194"/>
      <c r="Q548" s="194"/>
      <c r="R548" s="194"/>
      <c r="S548" s="194"/>
      <c r="T548" s="194"/>
      <c r="U548" s="194"/>
      <c r="V548" s="194"/>
      <c r="W548" s="194"/>
      <c r="X548" s="194"/>
      <c r="Y548" s="194"/>
      <c r="Z548" s="194"/>
    </row>
    <row r="549">
      <c r="A549" s="194"/>
      <c r="B549" s="194"/>
      <c r="C549" s="537"/>
      <c r="D549" s="537"/>
      <c r="E549" s="537"/>
      <c r="F549" s="537"/>
      <c r="G549" s="537"/>
      <c r="H549" s="537"/>
      <c r="I549" s="538"/>
      <c r="J549" s="537"/>
      <c r="K549" s="194"/>
      <c r="L549" s="194"/>
      <c r="M549" s="194"/>
      <c r="N549" s="194"/>
      <c r="O549" s="194"/>
      <c r="P549" s="194"/>
      <c r="Q549" s="194"/>
      <c r="R549" s="194"/>
      <c r="S549" s="194"/>
      <c r="T549" s="194"/>
      <c r="U549" s="194"/>
      <c r="V549" s="194"/>
      <c r="W549" s="194"/>
      <c r="X549" s="194"/>
      <c r="Y549" s="194"/>
      <c r="Z549" s="194"/>
    </row>
    <row r="550">
      <c r="A550" s="194"/>
      <c r="B550" s="194"/>
      <c r="C550" s="537"/>
      <c r="D550" s="537"/>
      <c r="E550" s="537"/>
      <c r="F550" s="537"/>
      <c r="G550" s="537"/>
      <c r="H550" s="537"/>
      <c r="I550" s="538"/>
      <c r="J550" s="537"/>
      <c r="K550" s="194"/>
      <c r="L550" s="194"/>
      <c r="M550" s="194"/>
      <c r="N550" s="194"/>
      <c r="O550" s="194"/>
      <c r="P550" s="194"/>
      <c r="Q550" s="194"/>
      <c r="R550" s="194"/>
      <c r="S550" s="194"/>
      <c r="T550" s="194"/>
      <c r="U550" s="194"/>
      <c r="V550" s="194"/>
      <c r="W550" s="194"/>
      <c r="X550" s="194"/>
      <c r="Y550" s="194"/>
      <c r="Z550" s="194"/>
    </row>
    <row r="551">
      <c r="A551" s="194"/>
      <c r="B551" s="194"/>
      <c r="C551" s="537"/>
      <c r="D551" s="537"/>
      <c r="E551" s="537"/>
      <c r="F551" s="537"/>
      <c r="G551" s="537"/>
      <c r="H551" s="537"/>
      <c r="I551" s="538"/>
      <c r="J551" s="537"/>
      <c r="K551" s="194"/>
      <c r="L551" s="194"/>
      <c r="M551" s="194"/>
      <c r="N551" s="194"/>
      <c r="O551" s="194"/>
      <c r="P551" s="194"/>
      <c r="Q551" s="194"/>
      <c r="R551" s="194"/>
      <c r="S551" s="194"/>
      <c r="T551" s="194"/>
      <c r="U551" s="194"/>
      <c r="V551" s="194"/>
      <c r="W551" s="194"/>
      <c r="X551" s="194"/>
      <c r="Y551" s="194"/>
      <c r="Z551" s="194"/>
    </row>
    <row r="552">
      <c r="A552" s="194"/>
      <c r="B552" s="194"/>
      <c r="C552" s="537"/>
      <c r="D552" s="537"/>
      <c r="E552" s="537"/>
      <c r="F552" s="537"/>
      <c r="G552" s="537"/>
      <c r="H552" s="537"/>
      <c r="I552" s="538"/>
      <c r="J552" s="537"/>
      <c r="K552" s="194"/>
      <c r="L552" s="194"/>
      <c r="M552" s="194"/>
      <c r="N552" s="194"/>
      <c r="O552" s="194"/>
      <c r="P552" s="194"/>
      <c r="Q552" s="194"/>
      <c r="R552" s="194"/>
      <c r="S552" s="194"/>
      <c r="T552" s="194"/>
      <c r="U552" s="194"/>
      <c r="V552" s="194"/>
      <c r="W552" s="194"/>
      <c r="X552" s="194"/>
      <c r="Y552" s="194"/>
      <c r="Z552" s="194"/>
    </row>
    <row r="553">
      <c r="A553" s="194"/>
      <c r="B553" s="194"/>
      <c r="C553" s="537"/>
      <c r="D553" s="537"/>
      <c r="E553" s="537"/>
      <c r="F553" s="537"/>
      <c r="G553" s="537"/>
      <c r="H553" s="537"/>
      <c r="I553" s="538"/>
      <c r="J553" s="537"/>
      <c r="K553" s="194"/>
      <c r="L553" s="194"/>
      <c r="M553" s="194"/>
      <c r="N553" s="194"/>
      <c r="O553" s="194"/>
      <c r="P553" s="194"/>
      <c r="Q553" s="194"/>
      <c r="R553" s="194"/>
      <c r="S553" s="194"/>
      <c r="T553" s="194"/>
      <c r="U553" s="194"/>
      <c r="V553" s="194"/>
      <c r="W553" s="194"/>
      <c r="X553" s="194"/>
      <c r="Y553" s="194"/>
      <c r="Z553" s="194"/>
    </row>
    <row r="554">
      <c r="A554" s="194"/>
      <c r="B554" s="194"/>
      <c r="C554" s="537"/>
      <c r="D554" s="537"/>
      <c r="E554" s="537"/>
      <c r="F554" s="537"/>
      <c r="G554" s="537"/>
      <c r="H554" s="537"/>
      <c r="I554" s="538"/>
      <c r="J554" s="537"/>
      <c r="K554" s="194"/>
      <c r="L554" s="194"/>
      <c r="M554" s="194"/>
      <c r="N554" s="194"/>
      <c r="O554" s="194"/>
      <c r="P554" s="194"/>
      <c r="Q554" s="194"/>
      <c r="R554" s="194"/>
      <c r="S554" s="194"/>
      <c r="T554" s="194"/>
      <c r="U554" s="194"/>
      <c r="V554" s="194"/>
      <c r="W554" s="194"/>
      <c r="X554" s="194"/>
      <c r="Y554" s="194"/>
      <c r="Z554" s="194"/>
    </row>
    <row r="555">
      <c r="A555" s="194"/>
      <c r="B555" s="194"/>
      <c r="C555" s="537"/>
      <c r="D555" s="537"/>
      <c r="E555" s="537"/>
      <c r="F555" s="537"/>
      <c r="G555" s="537"/>
      <c r="H555" s="537"/>
      <c r="I555" s="538"/>
      <c r="J555" s="537"/>
      <c r="K555" s="194"/>
      <c r="L555" s="194"/>
      <c r="M555" s="194"/>
      <c r="N555" s="194"/>
      <c r="O555" s="194"/>
      <c r="P555" s="194"/>
      <c r="Q555" s="194"/>
      <c r="R555" s="194"/>
      <c r="S555" s="194"/>
      <c r="T555" s="194"/>
      <c r="U555" s="194"/>
      <c r="V555" s="194"/>
      <c r="W555" s="194"/>
      <c r="X555" s="194"/>
      <c r="Y555" s="194"/>
      <c r="Z555" s="194"/>
    </row>
    <row r="556">
      <c r="A556" s="194"/>
      <c r="B556" s="194"/>
      <c r="C556" s="537"/>
      <c r="D556" s="537"/>
      <c r="E556" s="537"/>
      <c r="F556" s="537"/>
      <c r="G556" s="537"/>
      <c r="H556" s="537"/>
      <c r="I556" s="538"/>
      <c r="J556" s="537"/>
      <c r="K556" s="194"/>
      <c r="L556" s="194"/>
      <c r="M556" s="194"/>
      <c r="N556" s="194"/>
      <c r="O556" s="194"/>
      <c r="P556" s="194"/>
      <c r="Q556" s="194"/>
      <c r="R556" s="194"/>
      <c r="S556" s="194"/>
      <c r="T556" s="194"/>
      <c r="U556" s="194"/>
      <c r="V556" s="194"/>
      <c r="W556" s="194"/>
      <c r="X556" s="194"/>
      <c r="Y556" s="194"/>
      <c r="Z556" s="194"/>
    </row>
    <row r="557">
      <c r="A557" s="194"/>
      <c r="B557" s="194"/>
      <c r="C557" s="537"/>
      <c r="D557" s="537"/>
      <c r="E557" s="537"/>
      <c r="F557" s="537"/>
      <c r="G557" s="537"/>
      <c r="H557" s="537"/>
      <c r="I557" s="538"/>
      <c r="J557" s="537"/>
      <c r="K557" s="194"/>
      <c r="L557" s="194"/>
      <c r="M557" s="194"/>
      <c r="N557" s="194"/>
      <c r="O557" s="194"/>
      <c r="P557" s="194"/>
      <c r="Q557" s="194"/>
      <c r="R557" s="194"/>
      <c r="S557" s="194"/>
      <c r="T557" s="194"/>
      <c r="U557" s="194"/>
      <c r="V557" s="194"/>
      <c r="W557" s="194"/>
      <c r="X557" s="194"/>
      <c r="Y557" s="194"/>
      <c r="Z557" s="194"/>
    </row>
    <row r="558">
      <c r="A558" s="194"/>
      <c r="B558" s="194"/>
      <c r="C558" s="537"/>
      <c r="D558" s="537"/>
      <c r="E558" s="537"/>
      <c r="F558" s="537"/>
      <c r="G558" s="537"/>
      <c r="H558" s="537"/>
      <c r="I558" s="538"/>
      <c r="J558" s="537"/>
      <c r="K558" s="194"/>
      <c r="L558" s="194"/>
      <c r="M558" s="194"/>
      <c r="N558" s="194"/>
      <c r="O558" s="194"/>
      <c r="P558" s="194"/>
      <c r="Q558" s="194"/>
      <c r="R558" s="194"/>
      <c r="S558" s="194"/>
      <c r="T558" s="194"/>
      <c r="U558" s="194"/>
      <c r="V558" s="194"/>
      <c r="W558" s="194"/>
      <c r="X558" s="194"/>
      <c r="Y558" s="194"/>
      <c r="Z558" s="194"/>
    </row>
    <row r="559">
      <c r="A559" s="194"/>
      <c r="B559" s="194"/>
      <c r="C559" s="537"/>
      <c r="D559" s="537"/>
      <c r="E559" s="537"/>
      <c r="F559" s="537"/>
      <c r="G559" s="537"/>
      <c r="H559" s="537"/>
      <c r="I559" s="538"/>
      <c r="J559" s="537"/>
      <c r="K559" s="194"/>
      <c r="L559" s="194"/>
      <c r="M559" s="194"/>
      <c r="N559" s="194"/>
      <c r="O559" s="194"/>
      <c r="P559" s="194"/>
      <c r="Q559" s="194"/>
      <c r="R559" s="194"/>
      <c r="S559" s="194"/>
      <c r="T559" s="194"/>
      <c r="U559" s="194"/>
      <c r="V559" s="194"/>
      <c r="W559" s="194"/>
      <c r="X559" s="194"/>
      <c r="Y559" s="194"/>
      <c r="Z559" s="194"/>
    </row>
    <row r="560">
      <c r="A560" s="194"/>
      <c r="B560" s="194"/>
      <c r="C560" s="537"/>
      <c r="D560" s="537"/>
      <c r="E560" s="537"/>
      <c r="F560" s="537"/>
      <c r="G560" s="537"/>
      <c r="H560" s="537"/>
      <c r="I560" s="538"/>
      <c r="J560" s="537"/>
      <c r="K560" s="194"/>
      <c r="L560" s="194"/>
      <c r="M560" s="194"/>
      <c r="N560" s="194"/>
      <c r="O560" s="194"/>
      <c r="P560" s="194"/>
      <c r="Q560" s="194"/>
      <c r="R560" s="194"/>
      <c r="S560" s="194"/>
      <c r="T560" s="194"/>
      <c r="U560" s="194"/>
      <c r="V560" s="194"/>
      <c r="W560" s="194"/>
      <c r="X560" s="194"/>
      <c r="Y560" s="194"/>
      <c r="Z560" s="194"/>
    </row>
    <row r="561">
      <c r="A561" s="194"/>
      <c r="B561" s="194"/>
      <c r="C561" s="537"/>
      <c r="D561" s="537"/>
      <c r="E561" s="537"/>
      <c r="F561" s="537"/>
      <c r="G561" s="537"/>
      <c r="H561" s="537"/>
      <c r="I561" s="538"/>
      <c r="J561" s="537"/>
      <c r="K561" s="194"/>
      <c r="L561" s="194"/>
      <c r="M561" s="194"/>
      <c r="N561" s="194"/>
      <c r="O561" s="194"/>
      <c r="P561" s="194"/>
      <c r="Q561" s="194"/>
      <c r="R561" s="194"/>
      <c r="S561" s="194"/>
      <c r="T561" s="194"/>
      <c r="U561" s="194"/>
      <c r="V561" s="194"/>
      <c r="W561" s="194"/>
      <c r="X561" s="194"/>
      <c r="Y561" s="194"/>
      <c r="Z561" s="194"/>
    </row>
    <row r="562">
      <c r="A562" s="194"/>
      <c r="B562" s="194"/>
      <c r="C562" s="537"/>
      <c r="D562" s="537"/>
      <c r="E562" s="537"/>
      <c r="F562" s="537"/>
      <c r="G562" s="537"/>
      <c r="H562" s="537"/>
      <c r="I562" s="538"/>
      <c r="J562" s="537"/>
      <c r="K562" s="194"/>
      <c r="L562" s="194"/>
      <c r="M562" s="194"/>
      <c r="N562" s="194"/>
      <c r="O562" s="194"/>
      <c r="P562" s="194"/>
      <c r="Q562" s="194"/>
      <c r="R562" s="194"/>
      <c r="S562" s="194"/>
      <c r="T562" s="194"/>
      <c r="U562" s="194"/>
      <c r="V562" s="194"/>
      <c r="W562" s="194"/>
      <c r="X562" s="194"/>
      <c r="Y562" s="194"/>
      <c r="Z562" s="194"/>
    </row>
    <row r="563">
      <c r="A563" s="194"/>
      <c r="B563" s="194"/>
      <c r="C563" s="537"/>
      <c r="D563" s="537"/>
      <c r="E563" s="537"/>
      <c r="F563" s="537"/>
      <c r="G563" s="537"/>
      <c r="H563" s="537"/>
      <c r="I563" s="538"/>
      <c r="J563" s="537"/>
      <c r="K563" s="194"/>
      <c r="L563" s="194"/>
      <c r="M563" s="194"/>
      <c r="N563" s="194"/>
      <c r="O563" s="194"/>
      <c r="P563" s="194"/>
      <c r="Q563" s="194"/>
      <c r="R563" s="194"/>
      <c r="S563" s="194"/>
      <c r="T563" s="194"/>
      <c r="U563" s="194"/>
      <c r="V563" s="194"/>
      <c r="W563" s="194"/>
      <c r="X563" s="194"/>
      <c r="Y563" s="194"/>
      <c r="Z563" s="194"/>
    </row>
    <row r="564">
      <c r="A564" s="194"/>
      <c r="B564" s="194"/>
      <c r="C564" s="537"/>
      <c r="D564" s="537"/>
      <c r="E564" s="537"/>
      <c r="F564" s="537"/>
      <c r="G564" s="537"/>
      <c r="H564" s="537"/>
      <c r="I564" s="538"/>
      <c r="J564" s="537"/>
      <c r="K564" s="194"/>
      <c r="L564" s="194"/>
      <c r="M564" s="194"/>
      <c r="N564" s="194"/>
      <c r="O564" s="194"/>
      <c r="P564" s="194"/>
      <c r="Q564" s="194"/>
      <c r="R564" s="194"/>
      <c r="S564" s="194"/>
      <c r="T564" s="194"/>
      <c r="U564" s="194"/>
      <c r="V564" s="194"/>
      <c r="W564" s="194"/>
      <c r="X564" s="194"/>
      <c r="Y564" s="194"/>
      <c r="Z564" s="194"/>
    </row>
    <row r="565">
      <c r="A565" s="194"/>
      <c r="B565" s="194"/>
      <c r="C565" s="537"/>
      <c r="D565" s="537"/>
      <c r="E565" s="537"/>
      <c r="F565" s="537"/>
      <c r="G565" s="537"/>
      <c r="H565" s="537"/>
      <c r="I565" s="538"/>
      <c r="J565" s="537"/>
      <c r="K565" s="194"/>
      <c r="L565" s="194"/>
      <c r="M565" s="194"/>
      <c r="N565" s="194"/>
      <c r="O565" s="194"/>
      <c r="P565" s="194"/>
      <c r="Q565" s="194"/>
      <c r="R565" s="194"/>
      <c r="S565" s="194"/>
      <c r="T565" s="194"/>
      <c r="U565" s="194"/>
      <c r="V565" s="194"/>
      <c r="W565" s="194"/>
      <c r="X565" s="194"/>
      <c r="Y565" s="194"/>
      <c r="Z565" s="194"/>
    </row>
    <row r="566">
      <c r="A566" s="194"/>
      <c r="B566" s="194"/>
      <c r="C566" s="537"/>
      <c r="D566" s="537"/>
      <c r="E566" s="537"/>
      <c r="F566" s="537"/>
      <c r="G566" s="537"/>
      <c r="H566" s="537"/>
      <c r="I566" s="538"/>
      <c r="J566" s="537"/>
      <c r="K566" s="194"/>
      <c r="L566" s="194"/>
      <c r="M566" s="194"/>
      <c r="N566" s="194"/>
      <c r="O566" s="194"/>
      <c r="P566" s="194"/>
      <c r="Q566" s="194"/>
      <c r="R566" s="194"/>
      <c r="S566" s="194"/>
      <c r="T566" s="194"/>
      <c r="U566" s="194"/>
      <c r="V566" s="194"/>
      <c r="W566" s="194"/>
      <c r="X566" s="194"/>
      <c r="Y566" s="194"/>
      <c r="Z566" s="194"/>
    </row>
    <row r="567">
      <c r="A567" s="194"/>
      <c r="B567" s="194"/>
      <c r="C567" s="537"/>
      <c r="D567" s="537"/>
      <c r="E567" s="537"/>
      <c r="F567" s="537"/>
      <c r="G567" s="537"/>
      <c r="H567" s="537"/>
      <c r="I567" s="538"/>
      <c r="J567" s="537"/>
      <c r="K567" s="194"/>
      <c r="L567" s="194"/>
      <c r="M567" s="194"/>
      <c r="N567" s="194"/>
      <c r="O567" s="194"/>
      <c r="P567" s="194"/>
      <c r="Q567" s="194"/>
      <c r="R567" s="194"/>
      <c r="S567" s="194"/>
      <c r="T567" s="194"/>
      <c r="U567" s="194"/>
      <c r="V567" s="194"/>
      <c r="W567" s="194"/>
      <c r="X567" s="194"/>
      <c r="Y567" s="194"/>
      <c r="Z567" s="194"/>
    </row>
    <row r="568">
      <c r="A568" s="194"/>
      <c r="B568" s="194"/>
      <c r="C568" s="537"/>
      <c r="D568" s="537"/>
      <c r="E568" s="537"/>
      <c r="F568" s="537"/>
      <c r="G568" s="537"/>
      <c r="H568" s="537"/>
      <c r="I568" s="538"/>
      <c r="J568" s="537"/>
      <c r="K568" s="194"/>
      <c r="L568" s="194"/>
      <c r="M568" s="194"/>
      <c r="N568" s="194"/>
      <c r="O568" s="194"/>
      <c r="P568" s="194"/>
      <c r="Q568" s="194"/>
      <c r="R568" s="194"/>
      <c r="S568" s="194"/>
      <c r="T568" s="194"/>
      <c r="U568" s="194"/>
      <c r="V568" s="194"/>
      <c r="W568" s="194"/>
      <c r="X568" s="194"/>
      <c r="Y568" s="194"/>
      <c r="Z568" s="194"/>
    </row>
    <row r="569">
      <c r="A569" s="194"/>
      <c r="B569" s="194"/>
      <c r="C569" s="537"/>
      <c r="D569" s="537"/>
      <c r="E569" s="537"/>
      <c r="F569" s="537"/>
      <c r="G569" s="537"/>
      <c r="H569" s="537"/>
      <c r="I569" s="538"/>
      <c r="J569" s="537"/>
      <c r="K569" s="194"/>
      <c r="L569" s="194"/>
      <c r="M569" s="194"/>
      <c r="N569" s="194"/>
      <c r="O569" s="194"/>
      <c r="P569" s="194"/>
      <c r="Q569" s="194"/>
      <c r="R569" s="194"/>
      <c r="S569" s="194"/>
      <c r="T569" s="194"/>
      <c r="U569" s="194"/>
      <c r="V569" s="194"/>
      <c r="W569" s="194"/>
      <c r="X569" s="194"/>
      <c r="Y569" s="194"/>
      <c r="Z569" s="194"/>
    </row>
    <row r="570">
      <c r="A570" s="194"/>
      <c r="B570" s="194"/>
      <c r="C570" s="537"/>
      <c r="D570" s="537"/>
      <c r="E570" s="537"/>
      <c r="F570" s="537"/>
      <c r="G570" s="537"/>
      <c r="H570" s="537"/>
      <c r="I570" s="538"/>
      <c r="J570" s="537"/>
      <c r="K570" s="194"/>
      <c r="L570" s="194"/>
      <c r="M570" s="194"/>
      <c r="N570" s="194"/>
      <c r="O570" s="194"/>
      <c r="P570" s="194"/>
      <c r="Q570" s="194"/>
      <c r="R570" s="194"/>
      <c r="S570" s="194"/>
      <c r="T570" s="194"/>
      <c r="U570" s="194"/>
      <c r="V570" s="194"/>
      <c r="W570" s="194"/>
      <c r="X570" s="194"/>
      <c r="Y570" s="194"/>
      <c r="Z570" s="194"/>
    </row>
    <row r="571">
      <c r="A571" s="194"/>
      <c r="B571" s="194"/>
      <c r="C571" s="537"/>
      <c r="D571" s="537"/>
      <c r="E571" s="537"/>
      <c r="F571" s="537"/>
      <c r="G571" s="537"/>
      <c r="H571" s="537"/>
      <c r="I571" s="538"/>
      <c r="J571" s="537"/>
      <c r="K571" s="194"/>
      <c r="L571" s="194"/>
      <c r="M571" s="194"/>
      <c r="N571" s="194"/>
      <c r="O571" s="194"/>
      <c r="P571" s="194"/>
      <c r="Q571" s="194"/>
      <c r="R571" s="194"/>
      <c r="S571" s="194"/>
      <c r="T571" s="194"/>
      <c r="U571" s="194"/>
      <c r="V571" s="194"/>
      <c r="W571" s="194"/>
      <c r="X571" s="194"/>
      <c r="Y571" s="194"/>
      <c r="Z571" s="194"/>
    </row>
    <row r="572">
      <c r="A572" s="194"/>
      <c r="B572" s="194"/>
      <c r="C572" s="537"/>
      <c r="D572" s="537"/>
      <c r="E572" s="537"/>
      <c r="F572" s="537"/>
      <c r="G572" s="537"/>
      <c r="H572" s="537"/>
      <c r="I572" s="538"/>
      <c r="J572" s="537"/>
      <c r="K572" s="194"/>
      <c r="L572" s="194"/>
      <c r="M572" s="194"/>
      <c r="N572" s="194"/>
      <c r="O572" s="194"/>
      <c r="P572" s="194"/>
      <c r="Q572" s="194"/>
      <c r="R572" s="194"/>
      <c r="S572" s="194"/>
      <c r="T572" s="194"/>
      <c r="U572" s="194"/>
      <c r="V572" s="194"/>
      <c r="W572" s="194"/>
      <c r="X572" s="194"/>
      <c r="Y572" s="194"/>
      <c r="Z572" s="194"/>
    </row>
    <row r="573">
      <c r="A573" s="194"/>
      <c r="B573" s="194"/>
      <c r="C573" s="537"/>
      <c r="D573" s="537"/>
      <c r="E573" s="537"/>
      <c r="F573" s="537"/>
      <c r="G573" s="537"/>
      <c r="H573" s="537"/>
      <c r="I573" s="538"/>
      <c r="J573" s="537"/>
      <c r="K573" s="194"/>
      <c r="L573" s="194"/>
      <c r="M573" s="194"/>
      <c r="N573" s="194"/>
      <c r="O573" s="194"/>
      <c r="P573" s="194"/>
      <c r="Q573" s="194"/>
      <c r="R573" s="194"/>
      <c r="S573" s="194"/>
      <c r="T573" s="194"/>
      <c r="U573" s="194"/>
      <c r="V573" s="194"/>
      <c r="W573" s="194"/>
      <c r="X573" s="194"/>
      <c r="Y573" s="194"/>
      <c r="Z573" s="194"/>
    </row>
    <row r="574">
      <c r="A574" s="194"/>
      <c r="B574" s="194"/>
      <c r="C574" s="537"/>
      <c r="D574" s="537"/>
      <c r="E574" s="537"/>
      <c r="F574" s="537"/>
      <c r="G574" s="537"/>
      <c r="H574" s="537"/>
      <c r="I574" s="538"/>
      <c r="J574" s="537"/>
      <c r="K574" s="194"/>
      <c r="L574" s="194"/>
      <c r="M574" s="194"/>
      <c r="N574" s="194"/>
      <c r="O574" s="194"/>
      <c r="P574" s="194"/>
      <c r="Q574" s="194"/>
      <c r="R574" s="194"/>
      <c r="S574" s="194"/>
      <c r="T574" s="194"/>
      <c r="U574" s="194"/>
      <c r="V574" s="194"/>
      <c r="W574" s="194"/>
      <c r="X574" s="194"/>
      <c r="Y574" s="194"/>
      <c r="Z574" s="194"/>
    </row>
    <row r="575">
      <c r="A575" s="194"/>
      <c r="B575" s="194"/>
      <c r="C575" s="537"/>
      <c r="D575" s="537"/>
      <c r="E575" s="537"/>
      <c r="F575" s="537"/>
      <c r="G575" s="537"/>
      <c r="H575" s="537"/>
      <c r="I575" s="538"/>
      <c r="J575" s="537"/>
      <c r="K575" s="194"/>
      <c r="L575" s="194"/>
      <c r="M575" s="194"/>
      <c r="N575" s="194"/>
      <c r="O575" s="194"/>
      <c r="P575" s="194"/>
      <c r="Q575" s="194"/>
      <c r="R575" s="194"/>
      <c r="S575" s="194"/>
      <c r="T575" s="194"/>
      <c r="U575" s="194"/>
      <c r="V575" s="194"/>
      <c r="W575" s="194"/>
      <c r="X575" s="194"/>
      <c r="Y575" s="194"/>
      <c r="Z575" s="194"/>
    </row>
    <row r="576">
      <c r="A576" s="194"/>
      <c r="B576" s="194"/>
      <c r="C576" s="537"/>
      <c r="D576" s="537"/>
      <c r="E576" s="537"/>
      <c r="F576" s="537"/>
      <c r="G576" s="537"/>
      <c r="H576" s="537"/>
      <c r="I576" s="538"/>
      <c r="J576" s="537"/>
      <c r="K576" s="194"/>
      <c r="L576" s="194"/>
      <c r="M576" s="194"/>
      <c r="N576" s="194"/>
      <c r="O576" s="194"/>
      <c r="P576" s="194"/>
      <c r="Q576" s="194"/>
      <c r="R576" s="194"/>
      <c r="S576" s="194"/>
      <c r="T576" s="194"/>
      <c r="U576" s="194"/>
      <c r="V576" s="194"/>
      <c r="W576" s="194"/>
      <c r="X576" s="194"/>
      <c r="Y576" s="194"/>
      <c r="Z576" s="194"/>
    </row>
    <row r="577">
      <c r="A577" s="194"/>
      <c r="B577" s="194"/>
      <c r="C577" s="537"/>
      <c r="D577" s="537"/>
      <c r="E577" s="537"/>
      <c r="F577" s="537"/>
      <c r="G577" s="537"/>
      <c r="H577" s="537"/>
      <c r="I577" s="538"/>
      <c r="J577" s="537"/>
      <c r="K577" s="194"/>
      <c r="L577" s="194"/>
      <c r="M577" s="194"/>
      <c r="N577" s="194"/>
      <c r="O577" s="194"/>
      <c r="P577" s="194"/>
      <c r="Q577" s="194"/>
      <c r="R577" s="194"/>
      <c r="S577" s="194"/>
      <c r="T577" s="194"/>
      <c r="U577" s="194"/>
      <c r="V577" s="194"/>
      <c r="W577" s="194"/>
      <c r="X577" s="194"/>
      <c r="Y577" s="194"/>
      <c r="Z577" s="194"/>
    </row>
    <row r="578">
      <c r="A578" s="194"/>
      <c r="B578" s="194"/>
      <c r="C578" s="537"/>
      <c r="D578" s="537"/>
      <c r="E578" s="537"/>
      <c r="F578" s="537"/>
      <c r="G578" s="537"/>
      <c r="H578" s="537"/>
      <c r="I578" s="538"/>
      <c r="J578" s="537"/>
      <c r="K578" s="194"/>
      <c r="L578" s="194"/>
      <c r="M578" s="194"/>
      <c r="N578" s="194"/>
      <c r="O578" s="194"/>
      <c r="P578" s="194"/>
      <c r="Q578" s="194"/>
      <c r="R578" s="194"/>
      <c r="S578" s="194"/>
      <c r="T578" s="194"/>
      <c r="U578" s="194"/>
      <c r="V578" s="194"/>
      <c r="W578" s="194"/>
      <c r="X578" s="194"/>
      <c r="Y578" s="194"/>
      <c r="Z578" s="194"/>
    </row>
    <row r="579">
      <c r="A579" s="194"/>
      <c r="B579" s="194"/>
      <c r="C579" s="537"/>
      <c r="D579" s="537"/>
      <c r="E579" s="537"/>
      <c r="F579" s="537"/>
      <c r="G579" s="537"/>
      <c r="H579" s="537"/>
      <c r="I579" s="538"/>
      <c r="J579" s="537"/>
      <c r="K579" s="194"/>
      <c r="L579" s="194"/>
      <c r="M579" s="194"/>
      <c r="N579" s="194"/>
      <c r="O579" s="194"/>
      <c r="P579" s="194"/>
      <c r="Q579" s="194"/>
      <c r="R579" s="194"/>
      <c r="S579" s="194"/>
      <c r="T579" s="194"/>
      <c r="U579" s="194"/>
      <c r="V579" s="194"/>
      <c r="W579" s="194"/>
      <c r="X579" s="194"/>
      <c r="Y579" s="194"/>
      <c r="Z579" s="194"/>
    </row>
    <row r="580">
      <c r="A580" s="194"/>
      <c r="B580" s="194"/>
      <c r="C580" s="537"/>
      <c r="D580" s="537"/>
      <c r="E580" s="537"/>
      <c r="F580" s="537"/>
      <c r="G580" s="537"/>
      <c r="H580" s="537"/>
      <c r="I580" s="538"/>
      <c r="J580" s="537"/>
      <c r="K580" s="194"/>
      <c r="L580" s="194"/>
      <c r="M580" s="194"/>
      <c r="N580" s="194"/>
      <c r="O580" s="194"/>
      <c r="P580" s="194"/>
      <c r="Q580" s="194"/>
      <c r="R580" s="194"/>
      <c r="S580" s="194"/>
      <c r="T580" s="194"/>
      <c r="U580" s="194"/>
      <c r="V580" s="194"/>
      <c r="W580" s="194"/>
      <c r="X580" s="194"/>
      <c r="Y580" s="194"/>
      <c r="Z580" s="194"/>
    </row>
    <row r="581">
      <c r="A581" s="194"/>
      <c r="B581" s="194"/>
      <c r="C581" s="537"/>
      <c r="D581" s="537"/>
      <c r="E581" s="537"/>
      <c r="F581" s="537"/>
      <c r="G581" s="537"/>
      <c r="H581" s="537"/>
      <c r="I581" s="538"/>
      <c r="J581" s="537"/>
      <c r="K581" s="194"/>
      <c r="L581" s="194"/>
      <c r="M581" s="194"/>
      <c r="N581" s="194"/>
      <c r="O581" s="194"/>
      <c r="P581" s="194"/>
      <c r="Q581" s="194"/>
      <c r="R581" s="194"/>
      <c r="S581" s="194"/>
      <c r="T581" s="194"/>
      <c r="U581" s="194"/>
      <c r="V581" s="194"/>
      <c r="W581" s="194"/>
      <c r="X581" s="194"/>
      <c r="Y581" s="194"/>
      <c r="Z581" s="194"/>
    </row>
    <row r="582">
      <c r="A582" s="194"/>
      <c r="B582" s="194"/>
      <c r="C582" s="537"/>
      <c r="D582" s="537"/>
      <c r="E582" s="537"/>
      <c r="F582" s="537"/>
      <c r="G582" s="537"/>
      <c r="H582" s="537"/>
      <c r="I582" s="538"/>
      <c r="J582" s="537"/>
      <c r="K582" s="194"/>
      <c r="L582" s="194"/>
      <c r="M582" s="194"/>
      <c r="N582" s="194"/>
      <c r="O582" s="194"/>
      <c r="P582" s="194"/>
      <c r="Q582" s="194"/>
      <c r="R582" s="194"/>
      <c r="S582" s="194"/>
      <c r="T582" s="194"/>
      <c r="U582" s="194"/>
      <c r="V582" s="194"/>
      <c r="W582" s="194"/>
      <c r="X582" s="194"/>
      <c r="Y582" s="194"/>
      <c r="Z582" s="194"/>
    </row>
    <row r="583">
      <c r="A583" s="194"/>
      <c r="B583" s="194"/>
      <c r="C583" s="537"/>
      <c r="D583" s="537"/>
      <c r="E583" s="537"/>
      <c r="F583" s="537"/>
      <c r="G583" s="537"/>
      <c r="H583" s="537"/>
      <c r="I583" s="538"/>
      <c r="J583" s="537"/>
      <c r="K583" s="194"/>
      <c r="L583" s="194"/>
      <c r="M583" s="194"/>
      <c r="N583" s="194"/>
      <c r="O583" s="194"/>
      <c r="P583" s="194"/>
      <c r="Q583" s="194"/>
      <c r="R583" s="194"/>
      <c r="S583" s="194"/>
      <c r="T583" s="194"/>
      <c r="U583" s="194"/>
      <c r="V583" s="194"/>
      <c r="W583" s="194"/>
      <c r="X583" s="194"/>
      <c r="Y583" s="194"/>
      <c r="Z583" s="194"/>
    </row>
    <row r="584">
      <c r="A584" s="194"/>
      <c r="B584" s="194"/>
      <c r="C584" s="537"/>
      <c r="D584" s="537"/>
      <c r="E584" s="537"/>
      <c r="F584" s="537"/>
      <c r="G584" s="537"/>
      <c r="H584" s="537"/>
      <c r="I584" s="538"/>
      <c r="J584" s="537"/>
      <c r="K584" s="194"/>
      <c r="L584" s="194"/>
      <c r="M584" s="194"/>
      <c r="N584" s="194"/>
      <c r="O584" s="194"/>
      <c r="P584" s="194"/>
      <c r="Q584" s="194"/>
      <c r="R584" s="194"/>
      <c r="S584" s="194"/>
      <c r="T584" s="194"/>
      <c r="U584" s="194"/>
      <c r="V584" s="194"/>
      <c r="W584" s="194"/>
      <c r="X584" s="194"/>
      <c r="Y584" s="194"/>
      <c r="Z584" s="194"/>
    </row>
    <row r="585">
      <c r="A585" s="194"/>
      <c r="B585" s="194"/>
      <c r="C585" s="537"/>
      <c r="D585" s="537"/>
      <c r="E585" s="537"/>
      <c r="F585" s="537"/>
      <c r="G585" s="537"/>
      <c r="H585" s="537"/>
      <c r="I585" s="538"/>
      <c r="J585" s="537"/>
      <c r="K585" s="194"/>
      <c r="L585" s="194"/>
      <c r="M585" s="194"/>
      <c r="N585" s="194"/>
      <c r="O585" s="194"/>
      <c r="P585" s="194"/>
      <c r="Q585" s="194"/>
      <c r="R585" s="194"/>
      <c r="S585" s="194"/>
      <c r="T585" s="194"/>
      <c r="U585" s="194"/>
      <c r="V585" s="194"/>
      <c r="W585" s="194"/>
      <c r="X585" s="194"/>
      <c r="Y585" s="194"/>
      <c r="Z585" s="194"/>
    </row>
    <row r="586">
      <c r="A586" s="194"/>
      <c r="B586" s="194"/>
      <c r="C586" s="537"/>
      <c r="D586" s="537"/>
      <c r="E586" s="537"/>
      <c r="F586" s="537"/>
      <c r="G586" s="537"/>
      <c r="H586" s="537"/>
      <c r="I586" s="538"/>
      <c r="J586" s="537"/>
      <c r="K586" s="194"/>
      <c r="L586" s="194"/>
      <c r="M586" s="194"/>
      <c r="N586" s="194"/>
      <c r="O586" s="194"/>
      <c r="P586" s="194"/>
      <c r="Q586" s="194"/>
      <c r="R586" s="194"/>
      <c r="S586" s="194"/>
      <c r="T586" s="194"/>
      <c r="U586" s="194"/>
      <c r="V586" s="194"/>
      <c r="W586" s="194"/>
      <c r="X586" s="194"/>
      <c r="Y586" s="194"/>
      <c r="Z586" s="194"/>
    </row>
    <row r="587">
      <c r="A587" s="194"/>
      <c r="B587" s="194"/>
      <c r="C587" s="537"/>
      <c r="D587" s="537"/>
      <c r="E587" s="537"/>
      <c r="F587" s="537"/>
      <c r="G587" s="537"/>
      <c r="H587" s="537"/>
      <c r="I587" s="538"/>
      <c r="J587" s="537"/>
      <c r="K587" s="194"/>
      <c r="L587" s="194"/>
      <c r="M587" s="194"/>
      <c r="N587" s="194"/>
      <c r="O587" s="194"/>
      <c r="P587" s="194"/>
      <c r="Q587" s="194"/>
      <c r="R587" s="194"/>
      <c r="S587" s="194"/>
      <c r="T587" s="194"/>
      <c r="U587" s="194"/>
      <c r="V587" s="194"/>
      <c r="W587" s="194"/>
      <c r="X587" s="194"/>
      <c r="Y587" s="194"/>
      <c r="Z587" s="194"/>
    </row>
    <row r="588">
      <c r="A588" s="194"/>
      <c r="B588" s="194"/>
      <c r="C588" s="537"/>
      <c r="D588" s="537"/>
      <c r="E588" s="537"/>
      <c r="F588" s="537"/>
      <c r="G588" s="537"/>
      <c r="H588" s="537"/>
      <c r="I588" s="538"/>
      <c r="J588" s="537"/>
      <c r="K588" s="194"/>
      <c r="L588" s="194"/>
      <c r="M588" s="194"/>
      <c r="N588" s="194"/>
      <c r="O588" s="194"/>
      <c r="P588" s="194"/>
      <c r="Q588" s="194"/>
      <c r="R588" s="194"/>
      <c r="S588" s="194"/>
      <c r="T588" s="194"/>
      <c r="U588" s="194"/>
      <c r="V588" s="194"/>
      <c r="W588" s="194"/>
      <c r="X588" s="194"/>
      <c r="Y588" s="194"/>
      <c r="Z588" s="194"/>
    </row>
    <row r="589">
      <c r="A589" s="194"/>
      <c r="B589" s="194"/>
      <c r="C589" s="537"/>
      <c r="D589" s="537"/>
      <c r="E589" s="537"/>
      <c r="F589" s="537"/>
      <c r="G589" s="537"/>
      <c r="H589" s="537"/>
      <c r="I589" s="538"/>
      <c r="J589" s="537"/>
      <c r="K589" s="194"/>
      <c r="L589" s="194"/>
      <c r="M589" s="194"/>
      <c r="N589" s="194"/>
      <c r="O589" s="194"/>
      <c r="P589" s="194"/>
      <c r="Q589" s="194"/>
      <c r="R589" s="194"/>
      <c r="S589" s="194"/>
      <c r="T589" s="194"/>
      <c r="U589" s="194"/>
      <c r="V589" s="194"/>
      <c r="W589" s="194"/>
      <c r="X589" s="194"/>
      <c r="Y589" s="194"/>
      <c r="Z589" s="194"/>
    </row>
    <row r="590">
      <c r="A590" s="194"/>
      <c r="B590" s="194"/>
      <c r="C590" s="537"/>
      <c r="D590" s="537"/>
      <c r="E590" s="537"/>
      <c r="F590" s="537"/>
      <c r="G590" s="537"/>
      <c r="H590" s="537"/>
      <c r="I590" s="538"/>
      <c r="J590" s="537"/>
      <c r="K590" s="194"/>
      <c r="L590" s="194"/>
      <c r="M590" s="194"/>
      <c r="N590" s="194"/>
      <c r="O590" s="194"/>
      <c r="P590" s="194"/>
      <c r="Q590" s="194"/>
      <c r="R590" s="194"/>
      <c r="S590" s="194"/>
      <c r="T590" s="194"/>
      <c r="U590" s="194"/>
      <c r="V590" s="194"/>
      <c r="W590" s="194"/>
      <c r="X590" s="194"/>
      <c r="Y590" s="194"/>
      <c r="Z590" s="194"/>
    </row>
    <row r="591">
      <c r="A591" s="194"/>
      <c r="B591" s="194"/>
      <c r="C591" s="537"/>
      <c r="D591" s="537"/>
      <c r="E591" s="537"/>
      <c r="F591" s="537"/>
      <c r="G591" s="537"/>
      <c r="H591" s="537"/>
      <c r="I591" s="538"/>
      <c r="J591" s="537"/>
      <c r="K591" s="194"/>
      <c r="L591" s="194"/>
      <c r="M591" s="194"/>
      <c r="N591" s="194"/>
      <c r="O591" s="194"/>
      <c r="P591" s="194"/>
      <c r="Q591" s="194"/>
      <c r="R591" s="194"/>
      <c r="S591" s="194"/>
      <c r="T591" s="194"/>
      <c r="U591" s="194"/>
      <c r="V591" s="194"/>
      <c r="W591" s="194"/>
      <c r="X591" s="194"/>
      <c r="Y591" s="194"/>
      <c r="Z591" s="194"/>
    </row>
    <row r="592">
      <c r="A592" s="194"/>
      <c r="B592" s="194"/>
      <c r="C592" s="537"/>
      <c r="D592" s="537"/>
      <c r="E592" s="537"/>
      <c r="F592" s="537"/>
      <c r="G592" s="537"/>
      <c r="H592" s="537"/>
      <c r="I592" s="538"/>
      <c r="J592" s="537"/>
      <c r="K592" s="194"/>
      <c r="L592" s="194"/>
      <c r="M592" s="194"/>
      <c r="N592" s="194"/>
      <c r="O592" s="194"/>
      <c r="P592" s="194"/>
      <c r="Q592" s="194"/>
      <c r="R592" s="194"/>
      <c r="S592" s="194"/>
      <c r="T592" s="194"/>
      <c r="U592" s="194"/>
      <c r="V592" s="194"/>
      <c r="W592" s="194"/>
      <c r="X592" s="194"/>
      <c r="Y592" s="194"/>
      <c r="Z592" s="194"/>
    </row>
    <row r="593">
      <c r="A593" s="194"/>
      <c r="B593" s="194"/>
      <c r="C593" s="537"/>
      <c r="D593" s="537"/>
      <c r="E593" s="537"/>
      <c r="F593" s="537"/>
      <c r="G593" s="537"/>
      <c r="H593" s="537"/>
      <c r="I593" s="538"/>
      <c r="J593" s="537"/>
      <c r="K593" s="194"/>
      <c r="L593" s="194"/>
      <c r="M593" s="194"/>
      <c r="N593" s="194"/>
      <c r="O593" s="194"/>
      <c r="P593" s="194"/>
      <c r="Q593" s="194"/>
      <c r="R593" s="194"/>
      <c r="S593" s="194"/>
      <c r="T593" s="194"/>
      <c r="U593" s="194"/>
      <c r="V593" s="194"/>
      <c r="W593" s="194"/>
      <c r="X593" s="194"/>
      <c r="Y593" s="194"/>
      <c r="Z593" s="194"/>
    </row>
    <row r="594">
      <c r="A594" s="194"/>
      <c r="B594" s="194"/>
      <c r="C594" s="537"/>
      <c r="D594" s="537"/>
      <c r="E594" s="537"/>
      <c r="F594" s="537"/>
      <c r="G594" s="537"/>
      <c r="H594" s="537"/>
      <c r="I594" s="538"/>
      <c r="J594" s="537"/>
      <c r="K594" s="194"/>
      <c r="L594" s="194"/>
      <c r="M594" s="194"/>
      <c r="N594" s="194"/>
      <c r="O594" s="194"/>
      <c r="P594" s="194"/>
      <c r="Q594" s="194"/>
      <c r="R594" s="194"/>
      <c r="S594" s="194"/>
      <c r="T594" s="194"/>
      <c r="U594" s="194"/>
      <c r="V594" s="194"/>
      <c r="W594" s="194"/>
      <c r="X594" s="194"/>
      <c r="Y594" s="194"/>
      <c r="Z594" s="194"/>
    </row>
    <row r="595">
      <c r="A595" s="194"/>
      <c r="B595" s="194"/>
      <c r="C595" s="537"/>
      <c r="D595" s="537"/>
      <c r="E595" s="537"/>
      <c r="F595" s="537"/>
      <c r="G595" s="537"/>
      <c r="H595" s="537"/>
      <c r="I595" s="538"/>
      <c r="J595" s="537"/>
      <c r="K595" s="194"/>
      <c r="L595" s="194"/>
      <c r="M595" s="194"/>
      <c r="N595" s="194"/>
      <c r="O595" s="194"/>
      <c r="P595" s="194"/>
      <c r="Q595" s="194"/>
      <c r="R595" s="194"/>
      <c r="S595" s="194"/>
      <c r="T595" s="194"/>
      <c r="U595" s="194"/>
      <c r="V595" s="194"/>
      <c r="W595" s="194"/>
      <c r="X595" s="194"/>
      <c r="Y595" s="194"/>
      <c r="Z595" s="194"/>
    </row>
    <row r="596">
      <c r="A596" s="194"/>
      <c r="B596" s="194"/>
      <c r="C596" s="537"/>
      <c r="D596" s="537"/>
      <c r="E596" s="537"/>
      <c r="F596" s="537"/>
      <c r="G596" s="537"/>
      <c r="H596" s="537"/>
      <c r="I596" s="538"/>
      <c r="J596" s="537"/>
      <c r="K596" s="194"/>
      <c r="L596" s="194"/>
      <c r="M596" s="194"/>
      <c r="N596" s="194"/>
      <c r="O596" s="194"/>
      <c r="P596" s="194"/>
      <c r="Q596" s="194"/>
      <c r="R596" s="194"/>
      <c r="S596" s="194"/>
      <c r="T596" s="194"/>
      <c r="U596" s="194"/>
      <c r="V596" s="194"/>
      <c r="W596" s="194"/>
      <c r="X596" s="194"/>
      <c r="Y596" s="194"/>
      <c r="Z596" s="194"/>
    </row>
    <row r="597">
      <c r="A597" s="194"/>
      <c r="B597" s="194"/>
      <c r="C597" s="537"/>
      <c r="D597" s="537"/>
      <c r="E597" s="537"/>
      <c r="F597" s="537"/>
      <c r="G597" s="537"/>
      <c r="H597" s="537"/>
      <c r="I597" s="538"/>
      <c r="J597" s="537"/>
      <c r="K597" s="194"/>
      <c r="L597" s="194"/>
      <c r="M597" s="194"/>
      <c r="N597" s="194"/>
      <c r="O597" s="194"/>
      <c r="P597" s="194"/>
      <c r="Q597" s="194"/>
      <c r="R597" s="194"/>
      <c r="S597" s="194"/>
      <c r="T597" s="194"/>
      <c r="U597" s="194"/>
      <c r="V597" s="194"/>
      <c r="W597" s="194"/>
      <c r="X597" s="194"/>
      <c r="Y597" s="194"/>
      <c r="Z597" s="194"/>
    </row>
    <row r="598">
      <c r="A598" s="194"/>
      <c r="B598" s="194"/>
      <c r="C598" s="537"/>
      <c r="D598" s="537"/>
      <c r="E598" s="537"/>
      <c r="F598" s="537"/>
      <c r="G598" s="537"/>
      <c r="H598" s="537"/>
      <c r="I598" s="538"/>
      <c r="J598" s="537"/>
      <c r="K598" s="194"/>
      <c r="L598" s="194"/>
      <c r="M598" s="194"/>
      <c r="N598" s="194"/>
      <c r="O598" s="194"/>
      <c r="P598" s="194"/>
      <c r="Q598" s="194"/>
      <c r="R598" s="194"/>
      <c r="S598" s="194"/>
      <c r="T598" s="194"/>
      <c r="U598" s="194"/>
      <c r="V598" s="194"/>
      <c r="W598" s="194"/>
      <c r="X598" s="194"/>
      <c r="Y598" s="194"/>
      <c r="Z598" s="194"/>
    </row>
    <row r="599">
      <c r="A599" s="194"/>
      <c r="B599" s="194"/>
      <c r="C599" s="537"/>
      <c r="D599" s="537"/>
      <c r="E599" s="537"/>
      <c r="F599" s="537"/>
      <c r="G599" s="537"/>
      <c r="H599" s="537"/>
      <c r="I599" s="538"/>
      <c r="J599" s="537"/>
      <c r="K599" s="194"/>
      <c r="L599" s="194"/>
      <c r="M599" s="194"/>
      <c r="N599" s="194"/>
      <c r="O599" s="194"/>
      <c r="P599" s="194"/>
      <c r="Q599" s="194"/>
      <c r="R599" s="194"/>
      <c r="S599" s="194"/>
      <c r="T599" s="194"/>
      <c r="U599" s="194"/>
      <c r="V599" s="194"/>
      <c r="W599" s="194"/>
      <c r="X599" s="194"/>
      <c r="Y599" s="194"/>
      <c r="Z599" s="194"/>
    </row>
    <row r="600">
      <c r="A600" s="194"/>
      <c r="B600" s="194"/>
      <c r="C600" s="537"/>
      <c r="D600" s="537"/>
      <c r="E600" s="537"/>
      <c r="F600" s="537"/>
      <c r="G600" s="537"/>
      <c r="H600" s="537"/>
      <c r="I600" s="538"/>
      <c r="J600" s="537"/>
      <c r="K600" s="194"/>
      <c r="L600" s="194"/>
      <c r="M600" s="194"/>
      <c r="N600" s="194"/>
      <c r="O600" s="194"/>
      <c r="P600" s="194"/>
      <c r="Q600" s="194"/>
      <c r="R600" s="194"/>
      <c r="S600" s="194"/>
      <c r="T600" s="194"/>
      <c r="U600" s="194"/>
      <c r="V600" s="194"/>
      <c r="W600" s="194"/>
      <c r="X600" s="194"/>
      <c r="Y600" s="194"/>
      <c r="Z600" s="194"/>
    </row>
    <row r="601">
      <c r="A601" s="194"/>
      <c r="B601" s="194"/>
      <c r="C601" s="537"/>
      <c r="D601" s="537"/>
      <c r="E601" s="537"/>
      <c r="F601" s="537"/>
      <c r="G601" s="537"/>
      <c r="H601" s="537"/>
      <c r="I601" s="538"/>
      <c r="J601" s="537"/>
      <c r="K601" s="194"/>
      <c r="L601" s="194"/>
      <c r="M601" s="194"/>
      <c r="N601" s="194"/>
      <c r="O601" s="194"/>
      <c r="P601" s="194"/>
      <c r="Q601" s="194"/>
      <c r="R601" s="194"/>
      <c r="S601" s="194"/>
      <c r="T601" s="194"/>
      <c r="U601" s="194"/>
      <c r="V601" s="194"/>
      <c r="W601" s="194"/>
      <c r="X601" s="194"/>
      <c r="Y601" s="194"/>
      <c r="Z601" s="194"/>
    </row>
    <row r="602">
      <c r="A602" s="194"/>
      <c r="B602" s="194"/>
      <c r="C602" s="537"/>
      <c r="D602" s="537"/>
      <c r="E602" s="537"/>
      <c r="F602" s="537"/>
      <c r="G602" s="537"/>
      <c r="H602" s="537"/>
      <c r="I602" s="538"/>
      <c r="J602" s="537"/>
      <c r="K602" s="194"/>
      <c r="L602" s="194"/>
      <c r="M602" s="194"/>
      <c r="N602" s="194"/>
      <c r="O602" s="194"/>
      <c r="P602" s="194"/>
      <c r="Q602" s="194"/>
      <c r="R602" s="194"/>
      <c r="S602" s="194"/>
      <c r="T602" s="194"/>
      <c r="U602" s="194"/>
      <c r="V602" s="194"/>
      <c r="W602" s="194"/>
      <c r="X602" s="194"/>
      <c r="Y602" s="194"/>
      <c r="Z602" s="194"/>
    </row>
    <row r="603">
      <c r="A603" s="194"/>
      <c r="B603" s="194"/>
      <c r="C603" s="537"/>
      <c r="D603" s="537"/>
      <c r="E603" s="537"/>
      <c r="F603" s="537"/>
      <c r="G603" s="537"/>
      <c r="H603" s="537"/>
      <c r="I603" s="538"/>
      <c r="J603" s="537"/>
      <c r="K603" s="194"/>
      <c r="L603" s="194"/>
      <c r="M603" s="194"/>
      <c r="N603" s="194"/>
      <c r="O603" s="194"/>
      <c r="P603" s="194"/>
      <c r="Q603" s="194"/>
      <c r="R603" s="194"/>
      <c r="S603" s="194"/>
      <c r="T603" s="194"/>
      <c r="U603" s="194"/>
      <c r="V603" s="194"/>
      <c r="W603" s="194"/>
      <c r="X603" s="194"/>
      <c r="Y603" s="194"/>
      <c r="Z603" s="194"/>
    </row>
    <row r="604">
      <c r="A604" s="194"/>
      <c r="B604" s="194"/>
      <c r="C604" s="537"/>
      <c r="D604" s="537"/>
      <c r="E604" s="537"/>
      <c r="F604" s="537"/>
      <c r="G604" s="537"/>
      <c r="H604" s="537"/>
      <c r="I604" s="538"/>
      <c r="J604" s="537"/>
      <c r="K604" s="194"/>
      <c r="L604" s="194"/>
      <c r="M604" s="194"/>
      <c r="N604" s="194"/>
      <c r="O604" s="194"/>
      <c r="P604" s="194"/>
      <c r="Q604" s="194"/>
      <c r="R604" s="194"/>
      <c r="S604" s="194"/>
      <c r="T604" s="194"/>
      <c r="U604" s="194"/>
      <c r="V604" s="194"/>
      <c r="W604" s="194"/>
      <c r="X604" s="194"/>
      <c r="Y604" s="194"/>
      <c r="Z604" s="194"/>
    </row>
    <row r="605">
      <c r="A605" s="194"/>
      <c r="B605" s="194"/>
      <c r="C605" s="537"/>
      <c r="D605" s="537"/>
      <c r="E605" s="537"/>
      <c r="F605" s="537"/>
      <c r="G605" s="537"/>
      <c r="H605" s="537"/>
      <c r="I605" s="538"/>
      <c r="J605" s="537"/>
      <c r="K605" s="194"/>
      <c r="L605" s="194"/>
      <c r="M605" s="194"/>
      <c r="N605" s="194"/>
      <c r="O605" s="194"/>
      <c r="P605" s="194"/>
      <c r="Q605" s="194"/>
      <c r="R605" s="194"/>
      <c r="S605" s="194"/>
      <c r="T605" s="194"/>
      <c r="U605" s="194"/>
      <c r="V605" s="194"/>
      <c r="W605" s="194"/>
      <c r="X605" s="194"/>
      <c r="Y605" s="194"/>
      <c r="Z605" s="194"/>
    </row>
    <row r="606">
      <c r="A606" s="194"/>
      <c r="B606" s="194"/>
      <c r="C606" s="537"/>
      <c r="D606" s="537"/>
      <c r="E606" s="537"/>
      <c r="F606" s="537"/>
      <c r="G606" s="537"/>
      <c r="H606" s="537"/>
      <c r="I606" s="538"/>
      <c r="J606" s="537"/>
      <c r="K606" s="194"/>
      <c r="L606" s="194"/>
      <c r="M606" s="194"/>
      <c r="N606" s="194"/>
      <c r="O606" s="194"/>
      <c r="P606" s="194"/>
      <c r="Q606" s="194"/>
      <c r="R606" s="194"/>
      <c r="S606" s="194"/>
      <c r="T606" s="194"/>
      <c r="U606" s="194"/>
      <c r="V606" s="194"/>
      <c r="W606" s="194"/>
      <c r="X606" s="194"/>
      <c r="Y606" s="194"/>
      <c r="Z606" s="194"/>
    </row>
    <row r="607">
      <c r="A607" s="194"/>
      <c r="B607" s="194"/>
      <c r="C607" s="537"/>
      <c r="D607" s="537"/>
      <c r="E607" s="537"/>
      <c r="F607" s="537"/>
      <c r="G607" s="537"/>
      <c r="H607" s="537"/>
      <c r="I607" s="538"/>
      <c r="J607" s="537"/>
      <c r="K607" s="194"/>
      <c r="L607" s="194"/>
      <c r="M607" s="194"/>
      <c r="N607" s="194"/>
      <c r="O607" s="194"/>
      <c r="P607" s="194"/>
      <c r="Q607" s="194"/>
      <c r="R607" s="194"/>
      <c r="S607" s="194"/>
      <c r="T607" s="194"/>
      <c r="U607" s="194"/>
      <c r="V607" s="194"/>
      <c r="W607" s="194"/>
      <c r="X607" s="194"/>
      <c r="Y607" s="194"/>
      <c r="Z607" s="194"/>
    </row>
    <row r="608">
      <c r="A608" s="194"/>
      <c r="B608" s="194"/>
      <c r="C608" s="537"/>
      <c r="D608" s="537"/>
      <c r="E608" s="537"/>
      <c r="F608" s="537"/>
      <c r="G608" s="537"/>
      <c r="H608" s="537"/>
      <c r="I608" s="538"/>
      <c r="J608" s="537"/>
      <c r="K608" s="194"/>
      <c r="L608" s="194"/>
      <c r="M608" s="194"/>
      <c r="N608" s="194"/>
      <c r="O608" s="194"/>
      <c r="P608" s="194"/>
      <c r="Q608" s="194"/>
      <c r="R608" s="194"/>
      <c r="S608" s="194"/>
      <c r="T608" s="194"/>
      <c r="U608" s="194"/>
      <c r="V608" s="194"/>
      <c r="W608" s="194"/>
      <c r="X608" s="194"/>
      <c r="Y608" s="194"/>
      <c r="Z608" s="194"/>
    </row>
    <row r="609">
      <c r="A609" s="194"/>
      <c r="B609" s="194"/>
      <c r="C609" s="537"/>
      <c r="D609" s="537"/>
      <c r="E609" s="537"/>
      <c r="F609" s="537"/>
      <c r="G609" s="537"/>
      <c r="H609" s="537"/>
      <c r="I609" s="538"/>
      <c r="J609" s="537"/>
      <c r="K609" s="194"/>
      <c r="L609" s="194"/>
      <c r="M609" s="194"/>
      <c r="N609" s="194"/>
      <c r="O609" s="194"/>
      <c r="P609" s="194"/>
      <c r="Q609" s="194"/>
      <c r="R609" s="194"/>
      <c r="S609" s="194"/>
      <c r="T609" s="194"/>
      <c r="U609" s="194"/>
      <c r="V609" s="194"/>
      <c r="W609" s="194"/>
      <c r="X609" s="194"/>
      <c r="Y609" s="194"/>
      <c r="Z609" s="194"/>
    </row>
    <row r="610">
      <c r="A610" s="194"/>
      <c r="B610" s="194"/>
      <c r="C610" s="537"/>
      <c r="D610" s="537"/>
      <c r="E610" s="537"/>
      <c r="F610" s="537"/>
      <c r="G610" s="537"/>
      <c r="H610" s="537"/>
      <c r="I610" s="538"/>
      <c r="J610" s="537"/>
      <c r="K610" s="194"/>
      <c r="L610" s="194"/>
      <c r="M610" s="194"/>
      <c r="N610" s="194"/>
      <c r="O610" s="194"/>
      <c r="P610" s="194"/>
      <c r="Q610" s="194"/>
      <c r="R610" s="194"/>
      <c r="S610" s="194"/>
      <c r="T610" s="194"/>
      <c r="U610" s="194"/>
      <c r="V610" s="194"/>
      <c r="W610" s="194"/>
      <c r="X610" s="194"/>
      <c r="Y610" s="194"/>
      <c r="Z610" s="194"/>
    </row>
    <row r="611">
      <c r="A611" s="194"/>
      <c r="B611" s="194"/>
      <c r="C611" s="537"/>
      <c r="D611" s="537"/>
      <c r="E611" s="537"/>
      <c r="F611" s="537"/>
      <c r="G611" s="537"/>
      <c r="H611" s="537"/>
      <c r="I611" s="538"/>
      <c r="J611" s="537"/>
      <c r="K611" s="194"/>
      <c r="L611" s="194"/>
      <c r="M611" s="194"/>
      <c r="N611" s="194"/>
      <c r="O611" s="194"/>
      <c r="P611" s="194"/>
      <c r="Q611" s="194"/>
      <c r="R611" s="194"/>
      <c r="S611" s="194"/>
      <c r="T611" s="194"/>
      <c r="U611" s="194"/>
      <c r="V611" s="194"/>
      <c r="W611" s="194"/>
      <c r="X611" s="194"/>
      <c r="Y611" s="194"/>
      <c r="Z611" s="194"/>
    </row>
    <row r="612">
      <c r="A612" s="194"/>
      <c r="B612" s="194"/>
      <c r="C612" s="537"/>
      <c r="D612" s="537"/>
      <c r="E612" s="537"/>
      <c r="F612" s="537"/>
      <c r="G612" s="537"/>
      <c r="H612" s="537"/>
      <c r="I612" s="538"/>
      <c r="J612" s="537"/>
      <c r="K612" s="194"/>
      <c r="L612" s="194"/>
      <c r="M612" s="194"/>
      <c r="N612" s="194"/>
      <c r="O612" s="194"/>
      <c r="P612" s="194"/>
      <c r="Q612" s="194"/>
      <c r="R612" s="194"/>
      <c r="S612" s="194"/>
      <c r="T612" s="194"/>
      <c r="U612" s="194"/>
      <c r="V612" s="194"/>
      <c r="W612" s="194"/>
      <c r="X612" s="194"/>
      <c r="Y612" s="194"/>
      <c r="Z612" s="194"/>
    </row>
    <row r="613">
      <c r="A613" s="194"/>
      <c r="B613" s="194"/>
      <c r="C613" s="537"/>
      <c r="D613" s="537"/>
      <c r="E613" s="537"/>
      <c r="F613" s="537"/>
      <c r="G613" s="537"/>
      <c r="H613" s="537"/>
      <c r="I613" s="538"/>
      <c r="J613" s="537"/>
      <c r="K613" s="194"/>
      <c r="L613" s="194"/>
      <c r="M613" s="194"/>
      <c r="N613" s="194"/>
      <c r="O613" s="194"/>
      <c r="P613" s="194"/>
      <c r="Q613" s="194"/>
      <c r="R613" s="194"/>
      <c r="S613" s="194"/>
      <c r="T613" s="194"/>
      <c r="U613" s="194"/>
      <c r="V613" s="194"/>
      <c r="W613" s="194"/>
      <c r="X613" s="194"/>
      <c r="Y613" s="194"/>
      <c r="Z613" s="194"/>
    </row>
    <row r="614">
      <c r="A614" s="194"/>
      <c r="B614" s="194"/>
      <c r="C614" s="537"/>
      <c r="D614" s="537"/>
      <c r="E614" s="537"/>
      <c r="F614" s="537"/>
      <c r="G614" s="537"/>
      <c r="H614" s="537"/>
      <c r="I614" s="538"/>
      <c r="J614" s="537"/>
      <c r="K614" s="194"/>
      <c r="L614" s="194"/>
      <c r="M614" s="194"/>
      <c r="N614" s="194"/>
      <c r="O614" s="194"/>
      <c r="P614" s="194"/>
      <c r="Q614" s="194"/>
      <c r="R614" s="194"/>
      <c r="S614" s="194"/>
      <c r="T614" s="194"/>
      <c r="U614" s="194"/>
      <c r="V614" s="194"/>
      <c r="W614" s="194"/>
      <c r="X614" s="194"/>
      <c r="Y614" s="194"/>
      <c r="Z614" s="194"/>
    </row>
    <row r="615">
      <c r="A615" s="194"/>
      <c r="B615" s="194"/>
      <c r="C615" s="537"/>
      <c r="D615" s="537"/>
      <c r="E615" s="537"/>
      <c r="F615" s="537"/>
      <c r="G615" s="537"/>
      <c r="H615" s="537"/>
      <c r="I615" s="538"/>
      <c r="J615" s="537"/>
      <c r="K615" s="194"/>
      <c r="L615" s="194"/>
      <c r="M615" s="194"/>
      <c r="N615" s="194"/>
      <c r="O615" s="194"/>
      <c r="P615" s="194"/>
      <c r="Q615" s="194"/>
      <c r="R615" s="194"/>
      <c r="S615" s="194"/>
      <c r="T615" s="194"/>
      <c r="U615" s="194"/>
      <c r="V615" s="194"/>
      <c r="W615" s="194"/>
      <c r="X615" s="194"/>
      <c r="Y615" s="194"/>
      <c r="Z615" s="194"/>
    </row>
    <row r="616">
      <c r="A616" s="194"/>
      <c r="B616" s="194"/>
      <c r="C616" s="537"/>
      <c r="D616" s="537"/>
      <c r="E616" s="537"/>
      <c r="F616" s="537"/>
      <c r="G616" s="537"/>
      <c r="H616" s="537"/>
      <c r="I616" s="538"/>
      <c r="J616" s="537"/>
      <c r="K616" s="194"/>
      <c r="L616" s="194"/>
      <c r="M616" s="194"/>
      <c r="N616" s="194"/>
      <c r="O616" s="194"/>
      <c r="P616" s="194"/>
      <c r="Q616" s="194"/>
      <c r="R616" s="194"/>
      <c r="S616" s="194"/>
      <c r="T616" s="194"/>
      <c r="U616" s="194"/>
      <c r="V616" s="194"/>
      <c r="W616" s="194"/>
      <c r="X616" s="194"/>
      <c r="Y616" s="194"/>
      <c r="Z616" s="194"/>
    </row>
    <row r="617">
      <c r="A617" s="194"/>
      <c r="B617" s="194"/>
      <c r="C617" s="537"/>
      <c r="D617" s="537"/>
      <c r="E617" s="537"/>
      <c r="F617" s="537"/>
      <c r="G617" s="537"/>
      <c r="H617" s="537"/>
      <c r="I617" s="538"/>
      <c r="J617" s="537"/>
      <c r="K617" s="194"/>
      <c r="L617" s="194"/>
      <c r="M617" s="194"/>
      <c r="N617" s="194"/>
      <c r="O617" s="194"/>
      <c r="P617" s="194"/>
      <c r="Q617" s="194"/>
      <c r="R617" s="194"/>
      <c r="S617" s="194"/>
      <c r="T617" s="194"/>
      <c r="U617" s="194"/>
      <c r="V617" s="194"/>
      <c r="W617" s="194"/>
      <c r="X617" s="194"/>
      <c r="Y617" s="194"/>
      <c r="Z617" s="194"/>
    </row>
    <row r="618">
      <c r="A618" s="194"/>
      <c r="B618" s="194"/>
      <c r="C618" s="537"/>
      <c r="D618" s="537"/>
      <c r="E618" s="537"/>
      <c r="F618" s="537"/>
      <c r="G618" s="537"/>
      <c r="H618" s="537"/>
      <c r="I618" s="538"/>
      <c r="J618" s="537"/>
      <c r="K618" s="194"/>
      <c r="L618" s="194"/>
      <c r="M618" s="194"/>
      <c r="N618" s="194"/>
      <c r="O618" s="194"/>
      <c r="P618" s="194"/>
      <c r="Q618" s="194"/>
      <c r="R618" s="194"/>
      <c r="S618" s="194"/>
      <c r="T618" s="194"/>
      <c r="U618" s="194"/>
      <c r="V618" s="194"/>
      <c r="W618" s="194"/>
      <c r="X618" s="194"/>
      <c r="Y618" s="194"/>
      <c r="Z618" s="194"/>
    </row>
    <row r="619">
      <c r="A619" s="194"/>
      <c r="B619" s="194"/>
      <c r="C619" s="537"/>
      <c r="D619" s="537"/>
      <c r="E619" s="537"/>
      <c r="F619" s="537"/>
      <c r="G619" s="537"/>
      <c r="H619" s="537"/>
      <c r="I619" s="538"/>
      <c r="J619" s="537"/>
      <c r="K619" s="194"/>
      <c r="L619" s="194"/>
      <c r="M619" s="194"/>
      <c r="N619" s="194"/>
      <c r="O619" s="194"/>
      <c r="P619" s="194"/>
      <c r="Q619" s="194"/>
      <c r="R619" s="194"/>
      <c r="S619" s="194"/>
      <c r="T619" s="194"/>
      <c r="U619" s="194"/>
      <c r="V619" s="194"/>
      <c r="W619" s="194"/>
      <c r="X619" s="194"/>
      <c r="Y619" s="194"/>
      <c r="Z619" s="194"/>
    </row>
    <row r="620">
      <c r="A620" s="194"/>
      <c r="B620" s="194"/>
      <c r="C620" s="537"/>
      <c r="D620" s="537"/>
      <c r="E620" s="537"/>
      <c r="F620" s="537"/>
      <c r="G620" s="537"/>
      <c r="H620" s="537"/>
      <c r="I620" s="538"/>
      <c r="J620" s="537"/>
      <c r="K620" s="194"/>
      <c r="L620" s="194"/>
      <c r="M620" s="194"/>
      <c r="N620" s="194"/>
      <c r="O620" s="194"/>
      <c r="P620" s="194"/>
      <c r="Q620" s="194"/>
      <c r="R620" s="194"/>
      <c r="S620" s="194"/>
      <c r="T620" s="194"/>
      <c r="U620" s="194"/>
      <c r="V620" s="194"/>
      <c r="W620" s="194"/>
      <c r="X620" s="194"/>
      <c r="Y620" s="194"/>
      <c r="Z620" s="194"/>
    </row>
    <row r="621">
      <c r="A621" s="194"/>
      <c r="B621" s="194"/>
      <c r="C621" s="537"/>
      <c r="D621" s="537"/>
      <c r="E621" s="537"/>
      <c r="F621" s="537"/>
      <c r="G621" s="537"/>
      <c r="H621" s="537"/>
      <c r="I621" s="538"/>
      <c r="J621" s="537"/>
      <c r="K621" s="194"/>
      <c r="L621" s="194"/>
      <c r="M621" s="194"/>
      <c r="N621" s="194"/>
      <c r="O621" s="194"/>
      <c r="P621" s="194"/>
      <c r="Q621" s="194"/>
      <c r="R621" s="194"/>
      <c r="S621" s="194"/>
      <c r="T621" s="194"/>
      <c r="U621" s="194"/>
      <c r="V621" s="194"/>
      <c r="W621" s="194"/>
      <c r="X621" s="194"/>
      <c r="Y621" s="194"/>
      <c r="Z621" s="194"/>
    </row>
    <row r="622">
      <c r="A622" s="194"/>
      <c r="B622" s="194"/>
      <c r="C622" s="537"/>
      <c r="D622" s="537"/>
      <c r="E622" s="537"/>
      <c r="F622" s="537"/>
      <c r="G622" s="537"/>
      <c r="H622" s="537"/>
      <c r="I622" s="538"/>
      <c r="J622" s="537"/>
      <c r="K622" s="194"/>
      <c r="L622" s="194"/>
      <c r="M622" s="194"/>
      <c r="N622" s="194"/>
      <c r="O622" s="194"/>
      <c r="P622" s="194"/>
      <c r="Q622" s="194"/>
      <c r="R622" s="194"/>
      <c r="S622" s="194"/>
      <c r="T622" s="194"/>
      <c r="U622" s="194"/>
      <c r="V622" s="194"/>
      <c r="W622" s="194"/>
      <c r="X622" s="194"/>
      <c r="Y622" s="194"/>
      <c r="Z622" s="194"/>
    </row>
    <row r="623">
      <c r="A623" s="194"/>
      <c r="B623" s="194"/>
      <c r="C623" s="537"/>
      <c r="D623" s="537"/>
      <c r="E623" s="537"/>
      <c r="F623" s="537"/>
      <c r="G623" s="537"/>
      <c r="H623" s="537"/>
      <c r="I623" s="538"/>
      <c r="J623" s="537"/>
      <c r="K623" s="194"/>
      <c r="L623" s="194"/>
      <c r="M623" s="194"/>
      <c r="N623" s="194"/>
      <c r="O623" s="194"/>
      <c r="P623" s="194"/>
      <c r="Q623" s="194"/>
      <c r="R623" s="194"/>
      <c r="S623" s="194"/>
      <c r="T623" s="194"/>
      <c r="U623" s="194"/>
      <c r="V623" s="194"/>
      <c r="W623" s="194"/>
      <c r="X623" s="194"/>
      <c r="Y623" s="194"/>
      <c r="Z623" s="194"/>
    </row>
    <row r="624">
      <c r="A624" s="194"/>
      <c r="B624" s="194"/>
      <c r="C624" s="537"/>
      <c r="D624" s="537"/>
      <c r="E624" s="537"/>
      <c r="F624" s="537"/>
      <c r="G624" s="537"/>
      <c r="H624" s="537"/>
      <c r="I624" s="538"/>
      <c r="J624" s="537"/>
      <c r="K624" s="194"/>
      <c r="L624" s="194"/>
      <c r="M624" s="194"/>
      <c r="N624" s="194"/>
      <c r="O624" s="194"/>
      <c r="P624" s="194"/>
      <c r="Q624" s="194"/>
      <c r="R624" s="194"/>
      <c r="S624" s="194"/>
      <c r="T624" s="194"/>
      <c r="U624" s="194"/>
      <c r="V624" s="194"/>
      <c r="W624" s="194"/>
      <c r="X624" s="194"/>
      <c r="Y624" s="194"/>
      <c r="Z624" s="194"/>
    </row>
    <row r="625">
      <c r="A625" s="194"/>
      <c r="B625" s="194"/>
      <c r="C625" s="537"/>
      <c r="D625" s="537"/>
      <c r="E625" s="537"/>
      <c r="F625" s="537"/>
      <c r="G625" s="537"/>
      <c r="H625" s="537"/>
      <c r="I625" s="538"/>
      <c r="J625" s="537"/>
      <c r="K625" s="194"/>
      <c r="L625" s="194"/>
      <c r="M625" s="194"/>
      <c r="N625" s="194"/>
      <c r="O625" s="194"/>
      <c r="P625" s="194"/>
      <c r="Q625" s="194"/>
      <c r="R625" s="194"/>
      <c r="S625" s="194"/>
      <c r="T625" s="194"/>
      <c r="U625" s="194"/>
      <c r="V625" s="194"/>
      <c r="W625" s="194"/>
      <c r="X625" s="194"/>
      <c r="Y625" s="194"/>
      <c r="Z625" s="194"/>
    </row>
    <row r="626">
      <c r="A626" s="194"/>
      <c r="B626" s="194"/>
      <c r="C626" s="537"/>
      <c r="D626" s="537"/>
      <c r="E626" s="537"/>
      <c r="F626" s="537"/>
      <c r="G626" s="537"/>
      <c r="H626" s="537"/>
      <c r="I626" s="538"/>
      <c r="J626" s="537"/>
      <c r="K626" s="194"/>
      <c r="L626" s="194"/>
      <c r="M626" s="194"/>
      <c r="N626" s="194"/>
      <c r="O626" s="194"/>
      <c r="P626" s="194"/>
      <c r="Q626" s="194"/>
      <c r="R626" s="194"/>
      <c r="S626" s="194"/>
      <c r="T626" s="194"/>
      <c r="U626" s="194"/>
      <c r="V626" s="194"/>
      <c r="W626" s="194"/>
      <c r="X626" s="194"/>
      <c r="Y626" s="194"/>
      <c r="Z626" s="194"/>
    </row>
    <row r="627">
      <c r="A627" s="194"/>
      <c r="B627" s="194"/>
      <c r="C627" s="537"/>
      <c r="D627" s="537"/>
      <c r="E627" s="537"/>
      <c r="F627" s="537"/>
      <c r="G627" s="537"/>
      <c r="H627" s="537"/>
      <c r="I627" s="538"/>
      <c r="J627" s="537"/>
      <c r="K627" s="194"/>
      <c r="L627" s="194"/>
      <c r="M627" s="194"/>
      <c r="N627" s="194"/>
      <c r="O627" s="194"/>
      <c r="P627" s="194"/>
      <c r="Q627" s="194"/>
      <c r="R627" s="194"/>
      <c r="S627" s="194"/>
      <c r="T627" s="194"/>
      <c r="U627" s="194"/>
      <c r="V627" s="194"/>
      <c r="W627" s="194"/>
      <c r="X627" s="194"/>
      <c r="Y627" s="194"/>
      <c r="Z627" s="194"/>
    </row>
    <row r="628">
      <c r="A628" s="194"/>
      <c r="B628" s="194"/>
      <c r="C628" s="537"/>
      <c r="D628" s="537"/>
      <c r="E628" s="537"/>
      <c r="F628" s="537"/>
      <c r="G628" s="537"/>
      <c r="H628" s="537"/>
      <c r="I628" s="538"/>
      <c r="J628" s="537"/>
      <c r="K628" s="194"/>
      <c r="L628" s="194"/>
      <c r="M628" s="194"/>
      <c r="N628" s="194"/>
      <c r="O628" s="194"/>
      <c r="P628" s="194"/>
      <c r="Q628" s="194"/>
      <c r="R628" s="194"/>
      <c r="S628" s="194"/>
      <c r="T628" s="194"/>
      <c r="U628" s="194"/>
      <c r="V628" s="194"/>
      <c r="W628" s="194"/>
      <c r="X628" s="194"/>
      <c r="Y628" s="194"/>
      <c r="Z628" s="194"/>
    </row>
    <row r="629">
      <c r="A629" s="194"/>
      <c r="B629" s="194"/>
      <c r="C629" s="537"/>
      <c r="D629" s="537"/>
      <c r="E629" s="537"/>
      <c r="F629" s="537"/>
      <c r="G629" s="537"/>
      <c r="H629" s="537"/>
      <c r="I629" s="538"/>
      <c r="J629" s="537"/>
      <c r="K629" s="194"/>
      <c r="L629" s="194"/>
      <c r="M629" s="194"/>
      <c r="N629" s="194"/>
      <c r="O629" s="194"/>
      <c r="P629" s="194"/>
      <c r="Q629" s="194"/>
      <c r="R629" s="194"/>
      <c r="S629" s="194"/>
      <c r="T629" s="194"/>
      <c r="U629" s="194"/>
      <c r="V629" s="194"/>
      <c r="W629" s="194"/>
      <c r="X629" s="194"/>
      <c r="Y629" s="194"/>
      <c r="Z629" s="194"/>
    </row>
    <row r="630">
      <c r="A630" s="194"/>
      <c r="B630" s="194"/>
      <c r="C630" s="537"/>
      <c r="D630" s="537"/>
      <c r="E630" s="537"/>
      <c r="F630" s="537"/>
      <c r="G630" s="537"/>
      <c r="H630" s="537"/>
      <c r="I630" s="538"/>
      <c r="J630" s="537"/>
      <c r="K630" s="194"/>
      <c r="L630" s="194"/>
      <c r="M630" s="194"/>
      <c r="N630" s="194"/>
      <c r="O630" s="194"/>
      <c r="P630" s="194"/>
      <c r="Q630" s="194"/>
      <c r="R630" s="194"/>
      <c r="S630" s="194"/>
      <c r="T630" s="194"/>
      <c r="U630" s="194"/>
      <c r="V630" s="194"/>
      <c r="W630" s="194"/>
      <c r="X630" s="194"/>
      <c r="Y630" s="194"/>
      <c r="Z630" s="194"/>
    </row>
    <row r="631">
      <c r="A631" s="194"/>
      <c r="B631" s="194"/>
      <c r="C631" s="537"/>
      <c r="D631" s="537"/>
      <c r="E631" s="537"/>
      <c r="F631" s="537"/>
      <c r="G631" s="537"/>
      <c r="H631" s="537"/>
      <c r="I631" s="538"/>
      <c r="J631" s="537"/>
      <c r="K631" s="194"/>
      <c r="L631" s="194"/>
      <c r="M631" s="194"/>
      <c r="N631" s="194"/>
      <c r="O631" s="194"/>
      <c r="P631" s="194"/>
      <c r="Q631" s="194"/>
      <c r="R631" s="194"/>
      <c r="S631" s="194"/>
      <c r="T631" s="194"/>
      <c r="U631" s="194"/>
      <c r="V631" s="194"/>
      <c r="W631" s="194"/>
      <c r="X631" s="194"/>
      <c r="Y631" s="194"/>
      <c r="Z631" s="194"/>
    </row>
    <row r="632">
      <c r="A632" s="194"/>
      <c r="B632" s="194"/>
      <c r="C632" s="537"/>
      <c r="D632" s="537"/>
      <c r="E632" s="537"/>
      <c r="F632" s="537"/>
      <c r="G632" s="537"/>
      <c r="H632" s="537"/>
      <c r="I632" s="538"/>
      <c r="J632" s="537"/>
      <c r="K632" s="194"/>
      <c r="L632" s="194"/>
      <c r="M632" s="194"/>
      <c r="N632" s="194"/>
      <c r="O632" s="194"/>
      <c r="P632" s="194"/>
      <c r="Q632" s="194"/>
      <c r="R632" s="194"/>
      <c r="S632" s="194"/>
      <c r="T632" s="194"/>
      <c r="U632" s="194"/>
      <c r="V632" s="194"/>
      <c r="W632" s="194"/>
      <c r="X632" s="194"/>
      <c r="Y632" s="194"/>
      <c r="Z632" s="194"/>
    </row>
    <row r="633">
      <c r="A633" s="194"/>
      <c r="B633" s="194"/>
      <c r="C633" s="537"/>
      <c r="D633" s="537"/>
      <c r="E633" s="537"/>
      <c r="F633" s="537"/>
      <c r="G633" s="537"/>
      <c r="H633" s="537"/>
      <c r="I633" s="538"/>
      <c r="J633" s="537"/>
      <c r="K633" s="194"/>
      <c r="L633" s="194"/>
      <c r="M633" s="194"/>
      <c r="N633" s="194"/>
      <c r="O633" s="194"/>
      <c r="P633" s="194"/>
      <c r="Q633" s="194"/>
      <c r="R633" s="194"/>
      <c r="S633" s="194"/>
      <c r="T633" s="194"/>
      <c r="U633" s="194"/>
      <c r="V633" s="194"/>
      <c r="W633" s="194"/>
      <c r="X633" s="194"/>
      <c r="Y633" s="194"/>
      <c r="Z633" s="194"/>
    </row>
    <row r="634">
      <c r="A634" s="194"/>
      <c r="B634" s="194"/>
      <c r="C634" s="537"/>
      <c r="D634" s="537"/>
      <c r="E634" s="537"/>
      <c r="F634" s="537"/>
      <c r="G634" s="537"/>
      <c r="H634" s="537"/>
      <c r="I634" s="538"/>
      <c r="J634" s="537"/>
      <c r="K634" s="194"/>
      <c r="L634" s="194"/>
      <c r="M634" s="194"/>
      <c r="N634" s="194"/>
      <c r="O634" s="194"/>
      <c r="P634" s="194"/>
      <c r="Q634" s="194"/>
      <c r="R634" s="194"/>
      <c r="S634" s="194"/>
      <c r="T634" s="194"/>
      <c r="U634" s="194"/>
      <c r="V634" s="194"/>
      <c r="W634" s="194"/>
      <c r="X634" s="194"/>
      <c r="Y634" s="194"/>
      <c r="Z634" s="194"/>
    </row>
    <row r="635">
      <c r="A635" s="194"/>
      <c r="B635" s="194"/>
      <c r="C635" s="537"/>
      <c r="D635" s="537"/>
      <c r="E635" s="537"/>
      <c r="F635" s="537"/>
      <c r="G635" s="537"/>
      <c r="H635" s="537"/>
      <c r="I635" s="538"/>
      <c r="J635" s="537"/>
      <c r="K635" s="194"/>
      <c r="L635" s="194"/>
      <c r="M635" s="194"/>
      <c r="N635" s="194"/>
      <c r="O635" s="194"/>
      <c r="P635" s="194"/>
      <c r="Q635" s="194"/>
      <c r="R635" s="194"/>
      <c r="S635" s="194"/>
      <c r="T635" s="194"/>
      <c r="U635" s="194"/>
      <c r="V635" s="194"/>
      <c r="W635" s="194"/>
      <c r="X635" s="194"/>
      <c r="Y635" s="194"/>
      <c r="Z635" s="194"/>
    </row>
    <row r="636">
      <c r="A636" s="194"/>
      <c r="B636" s="194"/>
      <c r="C636" s="537"/>
      <c r="D636" s="537"/>
      <c r="E636" s="537"/>
      <c r="F636" s="537"/>
      <c r="G636" s="537"/>
      <c r="H636" s="537"/>
      <c r="I636" s="538"/>
      <c r="J636" s="537"/>
      <c r="K636" s="194"/>
      <c r="L636" s="194"/>
      <c r="M636" s="194"/>
      <c r="N636" s="194"/>
      <c r="O636" s="194"/>
      <c r="P636" s="194"/>
      <c r="Q636" s="194"/>
      <c r="R636" s="194"/>
      <c r="S636" s="194"/>
      <c r="T636" s="194"/>
      <c r="U636" s="194"/>
      <c r="V636" s="194"/>
      <c r="W636" s="194"/>
      <c r="X636" s="194"/>
      <c r="Y636" s="194"/>
      <c r="Z636" s="194"/>
    </row>
    <row r="637">
      <c r="A637" s="194"/>
      <c r="B637" s="194"/>
      <c r="C637" s="537"/>
      <c r="D637" s="537"/>
      <c r="E637" s="537"/>
      <c r="F637" s="537"/>
      <c r="G637" s="537"/>
      <c r="H637" s="537"/>
      <c r="I637" s="538"/>
      <c r="J637" s="537"/>
      <c r="K637" s="194"/>
      <c r="L637" s="194"/>
      <c r="M637" s="194"/>
      <c r="N637" s="194"/>
      <c r="O637" s="194"/>
      <c r="P637" s="194"/>
      <c r="Q637" s="194"/>
      <c r="R637" s="194"/>
      <c r="S637" s="194"/>
      <c r="T637" s="194"/>
      <c r="U637" s="194"/>
      <c r="V637" s="194"/>
      <c r="W637" s="194"/>
      <c r="X637" s="194"/>
      <c r="Y637" s="194"/>
      <c r="Z637" s="194"/>
    </row>
    <row r="638">
      <c r="A638" s="194"/>
      <c r="B638" s="194"/>
      <c r="C638" s="537"/>
      <c r="D638" s="537"/>
      <c r="E638" s="537"/>
      <c r="F638" s="537"/>
      <c r="G638" s="537"/>
      <c r="H638" s="537"/>
      <c r="I638" s="538"/>
      <c r="J638" s="537"/>
      <c r="K638" s="194"/>
      <c r="L638" s="194"/>
      <c r="M638" s="194"/>
      <c r="N638" s="194"/>
      <c r="O638" s="194"/>
      <c r="P638" s="194"/>
      <c r="Q638" s="194"/>
      <c r="R638" s="194"/>
      <c r="S638" s="194"/>
      <c r="T638" s="194"/>
      <c r="U638" s="194"/>
      <c r="V638" s="194"/>
      <c r="W638" s="194"/>
      <c r="X638" s="194"/>
      <c r="Y638" s="194"/>
      <c r="Z638" s="194"/>
    </row>
    <row r="639">
      <c r="A639" s="194"/>
      <c r="B639" s="194"/>
      <c r="C639" s="537"/>
      <c r="D639" s="537"/>
      <c r="E639" s="537"/>
      <c r="F639" s="537"/>
      <c r="G639" s="537"/>
      <c r="H639" s="537"/>
      <c r="I639" s="538"/>
      <c r="J639" s="537"/>
      <c r="K639" s="194"/>
      <c r="L639" s="194"/>
      <c r="M639" s="194"/>
      <c r="N639" s="194"/>
      <c r="O639" s="194"/>
      <c r="P639" s="194"/>
      <c r="Q639" s="194"/>
      <c r="R639" s="194"/>
      <c r="S639" s="194"/>
      <c r="T639" s="194"/>
      <c r="U639" s="194"/>
      <c r="V639" s="194"/>
      <c r="W639" s="194"/>
      <c r="X639" s="194"/>
      <c r="Y639" s="194"/>
      <c r="Z639" s="194"/>
    </row>
    <row r="640">
      <c r="A640" s="194"/>
      <c r="B640" s="194"/>
      <c r="C640" s="537"/>
      <c r="D640" s="537"/>
      <c r="E640" s="537"/>
      <c r="F640" s="537"/>
      <c r="G640" s="537"/>
      <c r="H640" s="537"/>
      <c r="I640" s="538"/>
      <c r="J640" s="537"/>
      <c r="K640" s="194"/>
      <c r="L640" s="194"/>
      <c r="M640" s="194"/>
      <c r="N640" s="194"/>
      <c r="O640" s="194"/>
      <c r="P640" s="194"/>
      <c r="Q640" s="194"/>
      <c r="R640" s="194"/>
      <c r="S640" s="194"/>
      <c r="T640" s="194"/>
      <c r="U640" s="194"/>
      <c r="V640" s="194"/>
      <c r="W640" s="194"/>
      <c r="X640" s="194"/>
      <c r="Y640" s="194"/>
      <c r="Z640" s="194"/>
    </row>
    <row r="641">
      <c r="A641" s="194"/>
      <c r="B641" s="194"/>
      <c r="C641" s="537"/>
      <c r="D641" s="537"/>
      <c r="E641" s="537"/>
      <c r="F641" s="537"/>
      <c r="G641" s="537"/>
      <c r="H641" s="537"/>
      <c r="I641" s="538"/>
      <c r="J641" s="537"/>
      <c r="K641" s="194"/>
      <c r="L641" s="194"/>
      <c r="M641" s="194"/>
      <c r="N641" s="194"/>
      <c r="O641" s="194"/>
      <c r="P641" s="194"/>
      <c r="Q641" s="194"/>
      <c r="R641" s="194"/>
      <c r="S641" s="194"/>
      <c r="T641" s="194"/>
      <c r="U641" s="194"/>
      <c r="V641" s="194"/>
      <c r="W641" s="194"/>
      <c r="X641" s="194"/>
      <c r="Y641" s="194"/>
      <c r="Z641" s="194"/>
    </row>
    <row r="642">
      <c r="A642" s="194"/>
      <c r="B642" s="194"/>
      <c r="C642" s="537"/>
      <c r="D642" s="537"/>
      <c r="E642" s="537"/>
      <c r="F642" s="537"/>
      <c r="G642" s="537"/>
      <c r="H642" s="537"/>
      <c r="I642" s="538"/>
      <c r="J642" s="537"/>
      <c r="K642" s="194"/>
      <c r="L642" s="194"/>
      <c r="M642" s="194"/>
      <c r="N642" s="194"/>
      <c r="O642" s="194"/>
      <c r="P642" s="194"/>
      <c r="Q642" s="194"/>
      <c r="R642" s="194"/>
      <c r="S642" s="194"/>
      <c r="T642" s="194"/>
      <c r="U642" s="194"/>
      <c r="V642" s="194"/>
      <c r="W642" s="194"/>
      <c r="X642" s="194"/>
      <c r="Y642" s="194"/>
      <c r="Z642" s="194"/>
    </row>
    <row r="643">
      <c r="A643" s="194"/>
      <c r="B643" s="194"/>
      <c r="C643" s="537"/>
      <c r="D643" s="537"/>
      <c r="E643" s="537"/>
      <c r="F643" s="537"/>
      <c r="G643" s="537"/>
      <c r="H643" s="537"/>
      <c r="I643" s="538"/>
      <c r="J643" s="537"/>
      <c r="K643" s="194"/>
      <c r="L643" s="194"/>
      <c r="M643" s="194"/>
      <c r="N643" s="194"/>
      <c r="O643" s="194"/>
      <c r="P643" s="194"/>
      <c r="Q643" s="194"/>
      <c r="R643" s="194"/>
      <c r="S643" s="194"/>
      <c r="T643" s="194"/>
      <c r="U643" s="194"/>
      <c r="V643" s="194"/>
      <c r="W643" s="194"/>
      <c r="X643" s="194"/>
      <c r="Y643" s="194"/>
      <c r="Z643" s="194"/>
    </row>
    <row r="644">
      <c r="A644" s="194"/>
      <c r="B644" s="194"/>
      <c r="C644" s="537"/>
      <c r="D644" s="537"/>
      <c r="E644" s="537"/>
      <c r="F644" s="537"/>
      <c r="G644" s="537"/>
      <c r="H644" s="537"/>
      <c r="I644" s="538"/>
      <c r="J644" s="537"/>
      <c r="K644" s="194"/>
      <c r="L644" s="194"/>
      <c r="M644" s="194"/>
      <c r="N644" s="194"/>
      <c r="O644" s="194"/>
      <c r="P644" s="194"/>
      <c r="Q644" s="194"/>
      <c r="R644" s="194"/>
      <c r="S644" s="194"/>
      <c r="T644" s="194"/>
      <c r="U644" s="194"/>
      <c r="V644" s="194"/>
      <c r="W644" s="194"/>
      <c r="X644" s="194"/>
      <c r="Y644" s="194"/>
      <c r="Z644" s="194"/>
    </row>
    <row r="645">
      <c r="A645" s="194"/>
      <c r="B645" s="194"/>
      <c r="C645" s="537"/>
      <c r="D645" s="537"/>
      <c r="E645" s="537"/>
      <c r="F645" s="537"/>
      <c r="G645" s="537"/>
      <c r="H645" s="537"/>
      <c r="I645" s="538"/>
      <c r="J645" s="537"/>
      <c r="K645" s="194"/>
      <c r="L645" s="194"/>
      <c r="M645" s="194"/>
      <c r="N645" s="194"/>
      <c r="O645" s="194"/>
      <c r="P645" s="194"/>
      <c r="Q645" s="194"/>
      <c r="R645" s="194"/>
      <c r="S645" s="194"/>
      <c r="T645" s="194"/>
      <c r="U645" s="194"/>
      <c r="V645" s="194"/>
      <c r="W645" s="194"/>
      <c r="X645" s="194"/>
      <c r="Y645" s="194"/>
      <c r="Z645" s="194"/>
    </row>
    <row r="646">
      <c r="A646" s="194"/>
      <c r="B646" s="194"/>
      <c r="C646" s="537"/>
      <c r="D646" s="537"/>
      <c r="E646" s="537"/>
      <c r="F646" s="537"/>
      <c r="G646" s="537"/>
      <c r="H646" s="537"/>
      <c r="I646" s="538"/>
      <c r="J646" s="537"/>
      <c r="K646" s="194"/>
      <c r="L646" s="194"/>
      <c r="M646" s="194"/>
      <c r="N646" s="194"/>
      <c r="O646" s="194"/>
      <c r="P646" s="194"/>
      <c r="Q646" s="194"/>
      <c r="R646" s="194"/>
      <c r="S646" s="194"/>
      <c r="T646" s="194"/>
      <c r="U646" s="194"/>
      <c r="V646" s="194"/>
      <c r="W646" s="194"/>
      <c r="X646" s="194"/>
      <c r="Y646" s="194"/>
      <c r="Z646" s="194"/>
    </row>
    <row r="647">
      <c r="A647" s="194"/>
      <c r="B647" s="194"/>
      <c r="C647" s="537"/>
      <c r="D647" s="537"/>
      <c r="E647" s="537"/>
      <c r="F647" s="537"/>
      <c r="G647" s="537"/>
      <c r="H647" s="537"/>
      <c r="I647" s="538"/>
      <c r="J647" s="537"/>
      <c r="K647" s="194"/>
      <c r="L647" s="194"/>
      <c r="M647" s="194"/>
      <c r="N647" s="194"/>
      <c r="O647" s="194"/>
      <c r="P647" s="194"/>
      <c r="Q647" s="194"/>
      <c r="R647" s="194"/>
      <c r="S647" s="194"/>
      <c r="T647" s="194"/>
      <c r="U647" s="194"/>
      <c r="V647" s="194"/>
      <c r="W647" s="194"/>
      <c r="X647" s="194"/>
      <c r="Y647" s="194"/>
      <c r="Z647" s="194"/>
    </row>
    <row r="648">
      <c r="A648" s="194"/>
      <c r="B648" s="194"/>
      <c r="C648" s="537"/>
      <c r="D648" s="537"/>
      <c r="E648" s="537"/>
      <c r="F648" s="537"/>
      <c r="G648" s="537"/>
      <c r="H648" s="537"/>
      <c r="I648" s="538"/>
      <c r="J648" s="537"/>
      <c r="K648" s="194"/>
      <c r="L648" s="194"/>
      <c r="M648" s="194"/>
      <c r="N648" s="194"/>
      <c r="O648" s="194"/>
      <c r="P648" s="194"/>
      <c r="Q648" s="194"/>
      <c r="R648" s="194"/>
      <c r="S648" s="194"/>
      <c r="T648" s="194"/>
      <c r="U648" s="194"/>
      <c r="V648" s="194"/>
      <c r="W648" s="194"/>
      <c r="X648" s="194"/>
      <c r="Y648" s="194"/>
      <c r="Z648" s="194"/>
    </row>
    <row r="649">
      <c r="A649" s="194"/>
      <c r="B649" s="194"/>
      <c r="C649" s="537"/>
      <c r="D649" s="537"/>
      <c r="E649" s="537"/>
      <c r="F649" s="537"/>
      <c r="G649" s="537"/>
      <c r="H649" s="537"/>
      <c r="I649" s="538"/>
      <c r="J649" s="537"/>
      <c r="K649" s="194"/>
      <c r="L649" s="194"/>
      <c r="M649" s="194"/>
      <c r="N649" s="194"/>
      <c r="O649" s="194"/>
      <c r="P649" s="194"/>
      <c r="Q649" s="194"/>
      <c r="R649" s="194"/>
      <c r="S649" s="194"/>
      <c r="T649" s="194"/>
      <c r="U649" s="194"/>
      <c r="V649" s="194"/>
      <c r="W649" s="194"/>
      <c r="X649" s="194"/>
      <c r="Y649" s="194"/>
      <c r="Z649" s="194"/>
    </row>
    <row r="650">
      <c r="A650" s="194"/>
      <c r="B650" s="194"/>
      <c r="C650" s="537"/>
      <c r="D650" s="537"/>
      <c r="E650" s="537"/>
      <c r="F650" s="537"/>
      <c r="G650" s="537"/>
      <c r="H650" s="537"/>
      <c r="I650" s="538"/>
      <c r="J650" s="537"/>
      <c r="K650" s="194"/>
      <c r="L650" s="194"/>
      <c r="M650" s="194"/>
      <c r="N650" s="194"/>
      <c r="O650" s="194"/>
      <c r="P650" s="194"/>
      <c r="Q650" s="194"/>
      <c r="R650" s="194"/>
      <c r="S650" s="194"/>
      <c r="T650" s="194"/>
      <c r="U650" s="194"/>
      <c r="V650" s="194"/>
      <c r="W650" s="194"/>
      <c r="X650" s="194"/>
      <c r="Y650" s="194"/>
      <c r="Z650" s="194"/>
    </row>
    <row r="651">
      <c r="A651" s="194"/>
      <c r="B651" s="194"/>
      <c r="C651" s="537"/>
      <c r="D651" s="537"/>
      <c r="E651" s="537"/>
      <c r="F651" s="537"/>
      <c r="G651" s="537"/>
      <c r="H651" s="537"/>
      <c r="I651" s="538"/>
      <c r="J651" s="537"/>
      <c r="K651" s="194"/>
      <c r="L651" s="194"/>
      <c r="M651" s="194"/>
      <c r="N651" s="194"/>
      <c r="O651" s="194"/>
      <c r="P651" s="194"/>
      <c r="Q651" s="194"/>
      <c r="R651" s="194"/>
      <c r="S651" s="194"/>
      <c r="T651" s="194"/>
      <c r="U651" s="194"/>
      <c r="V651" s="194"/>
      <c r="W651" s="194"/>
      <c r="X651" s="194"/>
      <c r="Y651" s="194"/>
      <c r="Z651" s="194"/>
    </row>
    <row r="652">
      <c r="A652" s="194"/>
      <c r="B652" s="194"/>
      <c r="C652" s="537"/>
      <c r="D652" s="537"/>
      <c r="E652" s="537"/>
      <c r="F652" s="537"/>
      <c r="G652" s="537"/>
      <c r="H652" s="537"/>
      <c r="I652" s="538"/>
      <c r="J652" s="537"/>
      <c r="K652" s="194"/>
      <c r="L652" s="194"/>
      <c r="M652" s="194"/>
      <c r="N652" s="194"/>
      <c r="O652" s="194"/>
      <c r="P652" s="194"/>
      <c r="Q652" s="194"/>
      <c r="R652" s="194"/>
      <c r="S652" s="194"/>
      <c r="T652" s="194"/>
      <c r="U652" s="194"/>
      <c r="V652" s="194"/>
      <c r="W652" s="194"/>
      <c r="X652" s="194"/>
      <c r="Y652" s="194"/>
      <c r="Z652" s="194"/>
    </row>
    <row r="653">
      <c r="A653" s="194"/>
      <c r="B653" s="194"/>
      <c r="C653" s="537"/>
      <c r="D653" s="537"/>
      <c r="E653" s="537"/>
      <c r="F653" s="537"/>
      <c r="G653" s="537"/>
      <c r="H653" s="537"/>
      <c r="I653" s="538"/>
      <c r="J653" s="537"/>
      <c r="K653" s="194"/>
      <c r="L653" s="194"/>
      <c r="M653" s="194"/>
      <c r="N653" s="194"/>
      <c r="O653" s="194"/>
      <c r="P653" s="194"/>
      <c r="Q653" s="194"/>
      <c r="R653" s="194"/>
      <c r="S653" s="194"/>
      <c r="T653" s="194"/>
      <c r="U653" s="194"/>
      <c r="V653" s="194"/>
      <c r="W653" s="194"/>
      <c r="X653" s="194"/>
      <c r="Y653" s="194"/>
      <c r="Z653" s="194"/>
    </row>
    <row r="654">
      <c r="A654" s="194"/>
      <c r="B654" s="194"/>
      <c r="C654" s="537"/>
      <c r="D654" s="537"/>
      <c r="E654" s="537"/>
      <c r="F654" s="537"/>
      <c r="G654" s="537"/>
      <c r="H654" s="537"/>
      <c r="I654" s="538"/>
      <c r="J654" s="537"/>
      <c r="K654" s="194"/>
      <c r="L654" s="194"/>
      <c r="M654" s="194"/>
      <c r="N654" s="194"/>
      <c r="O654" s="194"/>
      <c r="P654" s="194"/>
      <c r="Q654" s="194"/>
      <c r="R654" s="194"/>
      <c r="S654" s="194"/>
      <c r="T654" s="194"/>
      <c r="U654" s="194"/>
      <c r="V654" s="194"/>
      <c r="W654" s="194"/>
      <c r="X654" s="194"/>
      <c r="Y654" s="194"/>
      <c r="Z654" s="194"/>
    </row>
    <row r="655">
      <c r="A655" s="194"/>
      <c r="B655" s="194"/>
      <c r="C655" s="537"/>
      <c r="D655" s="537"/>
      <c r="E655" s="537"/>
      <c r="F655" s="537"/>
      <c r="G655" s="537"/>
      <c r="H655" s="537"/>
      <c r="I655" s="538"/>
      <c r="J655" s="537"/>
      <c r="K655" s="194"/>
      <c r="L655" s="194"/>
      <c r="M655" s="194"/>
      <c r="N655" s="194"/>
      <c r="O655" s="194"/>
      <c r="P655" s="194"/>
      <c r="Q655" s="194"/>
      <c r="R655" s="194"/>
      <c r="S655" s="194"/>
      <c r="T655" s="194"/>
      <c r="U655" s="194"/>
      <c r="V655" s="194"/>
      <c r="W655" s="194"/>
      <c r="X655" s="194"/>
      <c r="Y655" s="194"/>
      <c r="Z655" s="194"/>
    </row>
    <row r="656">
      <c r="A656" s="194"/>
      <c r="B656" s="194"/>
      <c r="C656" s="537"/>
      <c r="D656" s="537"/>
      <c r="E656" s="537"/>
      <c r="F656" s="537"/>
      <c r="G656" s="537"/>
      <c r="H656" s="537"/>
      <c r="I656" s="538"/>
      <c r="J656" s="537"/>
      <c r="K656" s="194"/>
      <c r="L656" s="194"/>
      <c r="M656" s="194"/>
      <c r="N656" s="194"/>
      <c r="O656" s="194"/>
      <c r="P656" s="194"/>
      <c r="Q656" s="194"/>
      <c r="R656" s="194"/>
      <c r="S656" s="194"/>
      <c r="T656" s="194"/>
      <c r="U656" s="194"/>
      <c r="V656" s="194"/>
      <c r="W656" s="194"/>
      <c r="X656" s="194"/>
      <c r="Y656" s="194"/>
      <c r="Z656" s="194"/>
    </row>
    <row r="657">
      <c r="A657" s="194"/>
      <c r="B657" s="194"/>
      <c r="C657" s="537"/>
      <c r="D657" s="537"/>
      <c r="E657" s="537"/>
      <c r="F657" s="537"/>
      <c r="G657" s="537"/>
      <c r="H657" s="537"/>
      <c r="I657" s="538"/>
      <c r="J657" s="537"/>
      <c r="K657" s="194"/>
      <c r="L657" s="194"/>
      <c r="M657" s="194"/>
      <c r="N657" s="194"/>
      <c r="O657" s="194"/>
      <c r="P657" s="194"/>
      <c r="Q657" s="194"/>
      <c r="R657" s="194"/>
      <c r="S657" s="194"/>
      <c r="T657" s="194"/>
      <c r="U657" s="194"/>
      <c r="V657" s="194"/>
      <c r="W657" s="194"/>
      <c r="X657" s="194"/>
      <c r="Y657" s="194"/>
      <c r="Z657" s="194"/>
    </row>
    <row r="658">
      <c r="A658" s="194"/>
      <c r="B658" s="194"/>
      <c r="C658" s="537"/>
      <c r="D658" s="537"/>
      <c r="E658" s="537"/>
      <c r="F658" s="537"/>
      <c r="G658" s="537"/>
      <c r="H658" s="537"/>
      <c r="I658" s="538"/>
      <c r="J658" s="537"/>
      <c r="K658" s="194"/>
      <c r="L658" s="194"/>
      <c r="M658" s="194"/>
      <c r="N658" s="194"/>
      <c r="O658" s="194"/>
      <c r="P658" s="194"/>
      <c r="Q658" s="194"/>
      <c r="R658" s="194"/>
      <c r="S658" s="194"/>
      <c r="T658" s="194"/>
      <c r="U658" s="194"/>
      <c r="V658" s="194"/>
      <c r="W658" s="194"/>
      <c r="X658" s="194"/>
      <c r="Y658" s="194"/>
      <c r="Z658" s="194"/>
    </row>
    <row r="659">
      <c r="A659" s="194"/>
      <c r="B659" s="194"/>
      <c r="C659" s="537"/>
      <c r="D659" s="537"/>
      <c r="E659" s="537"/>
      <c r="F659" s="537"/>
      <c r="G659" s="537"/>
      <c r="H659" s="537"/>
      <c r="I659" s="538"/>
      <c r="J659" s="537"/>
      <c r="K659" s="194"/>
      <c r="L659" s="194"/>
      <c r="M659" s="194"/>
      <c r="N659" s="194"/>
      <c r="O659" s="194"/>
      <c r="P659" s="194"/>
      <c r="Q659" s="194"/>
      <c r="R659" s="194"/>
      <c r="S659" s="194"/>
      <c r="T659" s="194"/>
      <c r="U659" s="194"/>
      <c r="V659" s="194"/>
      <c r="W659" s="194"/>
      <c r="X659" s="194"/>
      <c r="Y659" s="194"/>
      <c r="Z659" s="194"/>
    </row>
    <row r="660">
      <c r="A660" s="194"/>
      <c r="B660" s="194"/>
      <c r="C660" s="537"/>
      <c r="D660" s="537"/>
      <c r="E660" s="537"/>
      <c r="F660" s="537"/>
      <c r="G660" s="537"/>
      <c r="H660" s="537"/>
      <c r="I660" s="538"/>
      <c r="J660" s="537"/>
      <c r="K660" s="194"/>
      <c r="L660" s="194"/>
      <c r="M660" s="194"/>
      <c r="N660" s="194"/>
      <c r="O660" s="194"/>
      <c r="P660" s="194"/>
      <c r="Q660" s="194"/>
      <c r="R660" s="194"/>
      <c r="S660" s="194"/>
      <c r="T660" s="194"/>
      <c r="U660" s="194"/>
      <c r="V660" s="194"/>
      <c r="W660" s="194"/>
      <c r="X660" s="194"/>
      <c r="Y660" s="194"/>
      <c r="Z660" s="194"/>
    </row>
    <row r="661">
      <c r="A661" s="194"/>
      <c r="B661" s="194"/>
      <c r="C661" s="537"/>
      <c r="D661" s="537"/>
      <c r="E661" s="537"/>
      <c r="F661" s="537"/>
      <c r="G661" s="537"/>
      <c r="H661" s="537"/>
      <c r="I661" s="538"/>
      <c r="J661" s="537"/>
      <c r="K661" s="194"/>
      <c r="L661" s="194"/>
      <c r="M661" s="194"/>
      <c r="N661" s="194"/>
      <c r="O661" s="194"/>
      <c r="P661" s="194"/>
      <c r="Q661" s="194"/>
      <c r="R661" s="194"/>
      <c r="S661" s="194"/>
      <c r="T661" s="194"/>
      <c r="U661" s="194"/>
      <c r="V661" s="194"/>
      <c r="W661" s="194"/>
      <c r="X661" s="194"/>
      <c r="Y661" s="194"/>
      <c r="Z661" s="194"/>
    </row>
    <row r="662">
      <c r="A662" s="194"/>
      <c r="B662" s="194"/>
      <c r="C662" s="537"/>
      <c r="D662" s="537"/>
      <c r="E662" s="537"/>
      <c r="F662" s="537"/>
      <c r="G662" s="537"/>
      <c r="H662" s="537"/>
      <c r="I662" s="538"/>
      <c r="J662" s="537"/>
      <c r="K662" s="194"/>
      <c r="L662" s="194"/>
      <c r="M662" s="194"/>
      <c r="N662" s="194"/>
      <c r="O662" s="194"/>
      <c r="P662" s="194"/>
      <c r="Q662" s="194"/>
      <c r="R662" s="194"/>
      <c r="S662" s="194"/>
      <c r="T662" s="194"/>
      <c r="U662" s="194"/>
      <c r="V662" s="194"/>
      <c r="W662" s="194"/>
      <c r="X662" s="194"/>
      <c r="Y662" s="194"/>
      <c r="Z662" s="194"/>
    </row>
    <row r="663">
      <c r="A663" s="194"/>
      <c r="B663" s="194"/>
      <c r="C663" s="537"/>
      <c r="D663" s="537"/>
      <c r="E663" s="537"/>
      <c r="F663" s="537"/>
      <c r="G663" s="537"/>
      <c r="H663" s="537"/>
      <c r="I663" s="538"/>
      <c r="J663" s="537"/>
      <c r="K663" s="194"/>
      <c r="L663" s="194"/>
      <c r="M663" s="194"/>
      <c r="N663" s="194"/>
      <c r="O663" s="194"/>
      <c r="P663" s="194"/>
      <c r="Q663" s="194"/>
      <c r="R663" s="194"/>
      <c r="S663" s="194"/>
      <c r="T663" s="194"/>
      <c r="U663" s="194"/>
      <c r="V663" s="194"/>
      <c r="W663" s="194"/>
      <c r="X663" s="194"/>
      <c r="Y663" s="194"/>
      <c r="Z663" s="194"/>
    </row>
    <row r="664">
      <c r="A664" s="194"/>
      <c r="B664" s="194"/>
      <c r="C664" s="537"/>
      <c r="D664" s="537"/>
      <c r="E664" s="537"/>
      <c r="F664" s="537"/>
      <c r="G664" s="537"/>
      <c r="H664" s="537"/>
      <c r="I664" s="538"/>
      <c r="J664" s="537"/>
      <c r="K664" s="194"/>
      <c r="L664" s="194"/>
      <c r="M664" s="194"/>
      <c r="N664" s="194"/>
      <c r="O664" s="194"/>
      <c r="P664" s="194"/>
      <c r="Q664" s="194"/>
      <c r="R664" s="194"/>
      <c r="S664" s="194"/>
      <c r="T664" s="194"/>
      <c r="U664" s="194"/>
      <c r="V664" s="194"/>
      <c r="W664" s="194"/>
      <c r="X664" s="194"/>
      <c r="Y664" s="194"/>
      <c r="Z664" s="194"/>
    </row>
    <row r="665">
      <c r="A665" s="194"/>
      <c r="B665" s="194"/>
      <c r="C665" s="537"/>
      <c r="D665" s="537"/>
      <c r="E665" s="537"/>
      <c r="F665" s="537"/>
      <c r="G665" s="537"/>
      <c r="H665" s="537"/>
      <c r="I665" s="538"/>
      <c r="J665" s="537"/>
      <c r="K665" s="194"/>
      <c r="L665" s="194"/>
      <c r="M665" s="194"/>
      <c r="N665" s="194"/>
      <c r="O665" s="194"/>
      <c r="P665" s="194"/>
      <c r="Q665" s="194"/>
      <c r="R665" s="194"/>
      <c r="S665" s="194"/>
      <c r="T665" s="194"/>
      <c r="U665" s="194"/>
      <c r="V665" s="194"/>
      <c r="W665" s="194"/>
      <c r="X665" s="194"/>
      <c r="Y665" s="194"/>
      <c r="Z665" s="194"/>
    </row>
    <row r="666">
      <c r="A666" s="194"/>
      <c r="B666" s="194"/>
      <c r="C666" s="537"/>
      <c r="D666" s="537"/>
      <c r="E666" s="537"/>
      <c r="F666" s="537"/>
      <c r="G666" s="537"/>
      <c r="H666" s="537"/>
      <c r="I666" s="538"/>
      <c r="J666" s="537"/>
      <c r="K666" s="194"/>
      <c r="L666" s="194"/>
      <c r="M666" s="194"/>
      <c r="N666" s="194"/>
      <c r="O666" s="194"/>
      <c r="P666" s="194"/>
      <c r="Q666" s="194"/>
      <c r="R666" s="194"/>
      <c r="S666" s="194"/>
      <c r="T666" s="194"/>
      <c r="U666" s="194"/>
      <c r="V666" s="194"/>
      <c r="W666" s="194"/>
      <c r="X666" s="194"/>
      <c r="Y666" s="194"/>
      <c r="Z666" s="194"/>
    </row>
    <row r="667">
      <c r="A667" s="194"/>
      <c r="B667" s="194"/>
      <c r="C667" s="537"/>
      <c r="D667" s="537"/>
      <c r="E667" s="537"/>
      <c r="F667" s="537"/>
      <c r="G667" s="537"/>
      <c r="H667" s="537"/>
      <c r="I667" s="538"/>
      <c r="J667" s="537"/>
      <c r="K667" s="194"/>
      <c r="L667" s="194"/>
      <c r="M667" s="194"/>
      <c r="N667" s="194"/>
      <c r="O667" s="194"/>
      <c r="P667" s="194"/>
      <c r="Q667" s="194"/>
      <c r="R667" s="194"/>
      <c r="S667" s="194"/>
      <c r="T667" s="194"/>
      <c r="U667" s="194"/>
      <c r="V667" s="194"/>
      <c r="W667" s="194"/>
      <c r="X667" s="194"/>
      <c r="Y667" s="194"/>
      <c r="Z667" s="194"/>
    </row>
    <row r="668">
      <c r="A668" s="194"/>
      <c r="B668" s="194"/>
      <c r="C668" s="537"/>
      <c r="D668" s="537"/>
      <c r="E668" s="537"/>
      <c r="F668" s="537"/>
      <c r="G668" s="537"/>
      <c r="H668" s="537"/>
      <c r="I668" s="538"/>
      <c r="J668" s="537"/>
      <c r="K668" s="194"/>
      <c r="L668" s="194"/>
      <c r="M668" s="194"/>
      <c r="N668" s="194"/>
      <c r="O668" s="194"/>
      <c r="P668" s="194"/>
      <c r="Q668" s="194"/>
      <c r="R668" s="194"/>
      <c r="S668" s="194"/>
      <c r="T668" s="194"/>
      <c r="U668" s="194"/>
      <c r="V668" s="194"/>
      <c r="W668" s="194"/>
      <c r="X668" s="194"/>
      <c r="Y668" s="194"/>
      <c r="Z668" s="194"/>
    </row>
    <row r="669">
      <c r="A669" s="194"/>
      <c r="B669" s="194"/>
      <c r="C669" s="537"/>
      <c r="D669" s="537"/>
      <c r="E669" s="537"/>
      <c r="F669" s="537"/>
      <c r="G669" s="537"/>
      <c r="H669" s="537"/>
      <c r="I669" s="538"/>
      <c r="J669" s="537"/>
      <c r="K669" s="194"/>
      <c r="L669" s="194"/>
      <c r="M669" s="194"/>
      <c r="N669" s="194"/>
      <c r="O669" s="194"/>
      <c r="P669" s="194"/>
      <c r="Q669" s="194"/>
      <c r="R669" s="194"/>
      <c r="S669" s="194"/>
      <c r="T669" s="194"/>
      <c r="U669" s="194"/>
      <c r="V669" s="194"/>
      <c r="W669" s="194"/>
      <c r="X669" s="194"/>
      <c r="Y669" s="194"/>
      <c r="Z669" s="194"/>
    </row>
    <row r="670">
      <c r="A670" s="194"/>
      <c r="B670" s="194"/>
      <c r="C670" s="537"/>
      <c r="D670" s="537"/>
      <c r="E670" s="537"/>
      <c r="F670" s="537"/>
      <c r="G670" s="537"/>
      <c r="H670" s="537"/>
      <c r="I670" s="538"/>
      <c r="J670" s="537"/>
      <c r="K670" s="194"/>
      <c r="L670" s="194"/>
      <c r="M670" s="194"/>
      <c r="N670" s="194"/>
      <c r="O670" s="194"/>
      <c r="P670" s="194"/>
      <c r="Q670" s="194"/>
      <c r="R670" s="194"/>
      <c r="S670" s="194"/>
      <c r="T670" s="194"/>
      <c r="U670" s="194"/>
      <c r="V670" s="194"/>
      <c r="W670" s="194"/>
      <c r="X670" s="194"/>
      <c r="Y670" s="194"/>
      <c r="Z670" s="194"/>
    </row>
    <row r="671">
      <c r="A671" s="194"/>
      <c r="B671" s="194"/>
      <c r="C671" s="537"/>
      <c r="D671" s="537"/>
      <c r="E671" s="537"/>
      <c r="F671" s="537"/>
      <c r="G671" s="537"/>
      <c r="H671" s="537"/>
      <c r="I671" s="538"/>
      <c r="J671" s="537"/>
      <c r="K671" s="194"/>
      <c r="L671" s="194"/>
      <c r="M671" s="194"/>
      <c r="N671" s="194"/>
      <c r="O671" s="194"/>
      <c r="P671" s="194"/>
      <c r="Q671" s="194"/>
      <c r="R671" s="194"/>
      <c r="S671" s="194"/>
      <c r="T671" s="194"/>
      <c r="U671" s="194"/>
      <c r="V671" s="194"/>
      <c r="W671" s="194"/>
      <c r="X671" s="194"/>
      <c r="Y671" s="194"/>
      <c r="Z671" s="194"/>
    </row>
    <row r="672">
      <c r="A672" s="194"/>
      <c r="B672" s="194"/>
      <c r="C672" s="537"/>
      <c r="D672" s="537"/>
      <c r="E672" s="537"/>
      <c r="F672" s="537"/>
      <c r="G672" s="537"/>
      <c r="H672" s="537"/>
      <c r="I672" s="538"/>
      <c r="J672" s="537"/>
      <c r="K672" s="194"/>
      <c r="L672" s="194"/>
      <c r="M672" s="194"/>
      <c r="N672" s="194"/>
      <c r="O672" s="194"/>
      <c r="P672" s="194"/>
      <c r="Q672" s="194"/>
      <c r="R672" s="194"/>
      <c r="S672" s="194"/>
      <c r="T672" s="194"/>
      <c r="U672" s="194"/>
      <c r="V672" s="194"/>
      <c r="W672" s="194"/>
      <c r="X672" s="194"/>
      <c r="Y672" s="194"/>
      <c r="Z672" s="194"/>
    </row>
    <row r="673">
      <c r="A673" s="194"/>
      <c r="B673" s="194"/>
      <c r="C673" s="537"/>
      <c r="D673" s="537"/>
      <c r="E673" s="537"/>
      <c r="F673" s="537"/>
      <c r="G673" s="537"/>
      <c r="H673" s="537"/>
      <c r="I673" s="538"/>
      <c r="J673" s="537"/>
      <c r="K673" s="194"/>
      <c r="L673" s="194"/>
      <c r="M673" s="194"/>
      <c r="N673" s="194"/>
      <c r="O673" s="194"/>
      <c r="P673" s="194"/>
      <c r="Q673" s="194"/>
      <c r="R673" s="194"/>
      <c r="S673" s="194"/>
      <c r="T673" s="194"/>
      <c r="U673" s="194"/>
      <c r="V673" s="194"/>
      <c r="W673" s="194"/>
      <c r="X673" s="194"/>
      <c r="Y673" s="194"/>
      <c r="Z673" s="194"/>
    </row>
    <row r="674">
      <c r="A674" s="194"/>
      <c r="B674" s="194"/>
      <c r="C674" s="537"/>
      <c r="D674" s="537"/>
      <c r="E674" s="537"/>
      <c r="F674" s="537"/>
      <c r="G674" s="537"/>
      <c r="H674" s="537"/>
      <c r="I674" s="538"/>
      <c r="J674" s="537"/>
      <c r="K674" s="194"/>
      <c r="L674" s="194"/>
      <c r="M674" s="194"/>
      <c r="N674" s="194"/>
      <c r="O674" s="194"/>
      <c r="P674" s="194"/>
      <c r="Q674" s="194"/>
      <c r="R674" s="194"/>
      <c r="S674" s="194"/>
      <c r="T674" s="194"/>
      <c r="U674" s="194"/>
      <c r="V674" s="194"/>
      <c r="W674" s="194"/>
      <c r="X674" s="194"/>
      <c r="Y674" s="194"/>
      <c r="Z674" s="194"/>
    </row>
    <row r="675">
      <c r="A675" s="194"/>
      <c r="B675" s="194"/>
      <c r="C675" s="537"/>
      <c r="D675" s="537"/>
      <c r="E675" s="537"/>
      <c r="F675" s="537"/>
      <c r="G675" s="537"/>
      <c r="H675" s="537"/>
      <c r="I675" s="538"/>
      <c r="J675" s="537"/>
      <c r="K675" s="194"/>
      <c r="L675" s="194"/>
      <c r="M675" s="194"/>
      <c r="N675" s="194"/>
      <c r="O675" s="194"/>
      <c r="P675" s="194"/>
      <c r="Q675" s="194"/>
      <c r="R675" s="194"/>
      <c r="S675" s="194"/>
      <c r="T675" s="194"/>
      <c r="U675" s="194"/>
      <c r="V675" s="194"/>
      <c r="W675" s="194"/>
      <c r="X675" s="194"/>
      <c r="Y675" s="194"/>
      <c r="Z675" s="194"/>
    </row>
    <row r="676">
      <c r="A676" s="194"/>
      <c r="B676" s="194"/>
      <c r="C676" s="537"/>
      <c r="D676" s="537"/>
      <c r="E676" s="537"/>
      <c r="F676" s="537"/>
      <c r="G676" s="537"/>
      <c r="H676" s="537"/>
      <c r="I676" s="538"/>
      <c r="J676" s="537"/>
      <c r="K676" s="194"/>
      <c r="L676" s="194"/>
      <c r="M676" s="194"/>
      <c r="N676" s="194"/>
      <c r="O676" s="194"/>
      <c r="P676" s="194"/>
      <c r="Q676" s="194"/>
      <c r="R676" s="194"/>
      <c r="S676" s="194"/>
      <c r="T676" s="194"/>
      <c r="U676" s="194"/>
      <c r="V676" s="194"/>
      <c r="W676" s="194"/>
      <c r="X676" s="194"/>
      <c r="Y676" s="194"/>
      <c r="Z676" s="194"/>
    </row>
    <row r="677">
      <c r="A677" s="194"/>
      <c r="B677" s="194"/>
      <c r="C677" s="537"/>
      <c r="D677" s="537"/>
      <c r="E677" s="537"/>
      <c r="F677" s="537"/>
      <c r="G677" s="537"/>
      <c r="H677" s="537"/>
      <c r="I677" s="538"/>
      <c r="J677" s="537"/>
      <c r="K677" s="194"/>
      <c r="L677" s="194"/>
      <c r="M677" s="194"/>
      <c r="N677" s="194"/>
      <c r="O677" s="194"/>
      <c r="P677" s="194"/>
      <c r="Q677" s="194"/>
      <c r="R677" s="194"/>
      <c r="S677" s="194"/>
      <c r="T677" s="194"/>
      <c r="U677" s="194"/>
      <c r="V677" s="194"/>
      <c r="W677" s="194"/>
      <c r="X677" s="194"/>
      <c r="Y677" s="194"/>
      <c r="Z677" s="194"/>
    </row>
    <row r="678">
      <c r="A678" s="194"/>
      <c r="B678" s="194"/>
      <c r="C678" s="537"/>
      <c r="D678" s="537"/>
      <c r="E678" s="537"/>
      <c r="F678" s="537"/>
      <c r="G678" s="537"/>
      <c r="H678" s="537"/>
      <c r="I678" s="538"/>
      <c r="J678" s="537"/>
      <c r="K678" s="194"/>
      <c r="L678" s="194"/>
      <c r="M678" s="194"/>
      <c r="N678" s="194"/>
      <c r="O678" s="194"/>
      <c r="P678" s="194"/>
      <c r="Q678" s="194"/>
      <c r="R678" s="194"/>
      <c r="S678" s="194"/>
      <c r="T678" s="194"/>
      <c r="U678" s="194"/>
      <c r="V678" s="194"/>
      <c r="W678" s="194"/>
      <c r="X678" s="194"/>
      <c r="Y678" s="194"/>
      <c r="Z678" s="194"/>
    </row>
    <row r="679">
      <c r="A679" s="194"/>
      <c r="B679" s="194"/>
      <c r="C679" s="537"/>
      <c r="D679" s="537"/>
      <c r="E679" s="537"/>
      <c r="F679" s="537"/>
      <c r="G679" s="537"/>
      <c r="H679" s="537"/>
      <c r="I679" s="538"/>
      <c r="J679" s="537"/>
      <c r="K679" s="194"/>
      <c r="L679" s="194"/>
      <c r="M679" s="194"/>
      <c r="N679" s="194"/>
      <c r="O679" s="194"/>
      <c r="P679" s="194"/>
      <c r="Q679" s="194"/>
      <c r="R679" s="194"/>
      <c r="S679" s="194"/>
      <c r="T679" s="194"/>
      <c r="U679" s="194"/>
      <c r="V679" s="194"/>
      <c r="W679" s="194"/>
      <c r="X679" s="194"/>
      <c r="Y679" s="194"/>
      <c r="Z679" s="194"/>
    </row>
    <row r="680">
      <c r="A680" s="194"/>
      <c r="B680" s="194"/>
      <c r="C680" s="537"/>
      <c r="D680" s="537"/>
      <c r="E680" s="537"/>
      <c r="F680" s="537"/>
      <c r="G680" s="537"/>
      <c r="H680" s="537"/>
      <c r="I680" s="538"/>
      <c r="J680" s="537"/>
      <c r="K680" s="194"/>
      <c r="L680" s="194"/>
      <c r="M680" s="194"/>
      <c r="N680" s="194"/>
      <c r="O680" s="194"/>
      <c r="P680" s="194"/>
      <c r="Q680" s="194"/>
      <c r="R680" s="194"/>
      <c r="S680" s="194"/>
      <c r="T680" s="194"/>
      <c r="U680" s="194"/>
      <c r="V680" s="194"/>
      <c r="W680" s="194"/>
      <c r="X680" s="194"/>
      <c r="Y680" s="194"/>
      <c r="Z680" s="194"/>
    </row>
    <row r="681">
      <c r="A681" s="194"/>
      <c r="B681" s="194"/>
      <c r="C681" s="537"/>
      <c r="D681" s="537"/>
      <c r="E681" s="537"/>
      <c r="F681" s="537"/>
      <c r="G681" s="537"/>
      <c r="H681" s="537"/>
      <c r="I681" s="538"/>
      <c r="J681" s="537"/>
      <c r="K681" s="194"/>
      <c r="L681" s="194"/>
      <c r="M681" s="194"/>
      <c r="N681" s="194"/>
      <c r="O681" s="194"/>
      <c r="P681" s="194"/>
      <c r="Q681" s="194"/>
      <c r="R681" s="194"/>
      <c r="S681" s="194"/>
      <c r="T681" s="194"/>
      <c r="U681" s="194"/>
      <c r="V681" s="194"/>
      <c r="W681" s="194"/>
      <c r="X681" s="194"/>
      <c r="Y681" s="194"/>
      <c r="Z681" s="194"/>
    </row>
    <row r="682">
      <c r="A682" s="194"/>
      <c r="B682" s="194"/>
      <c r="C682" s="537"/>
      <c r="D682" s="537"/>
      <c r="E682" s="537"/>
      <c r="F682" s="537"/>
      <c r="G682" s="537"/>
      <c r="H682" s="537"/>
      <c r="I682" s="538"/>
      <c r="J682" s="537"/>
      <c r="K682" s="194"/>
      <c r="L682" s="194"/>
      <c r="M682" s="194"/>
      <c r="N682" s="194"/>
      <c r="O682" s="194"/>
      <c r="P682" s="194"/>
      <c r="Q682" s="194"/>
      <c r="R682" s="194"/>
      <c r="S682" s="194"/>
      <c r="T682" s="194"/>
      <c r="U682" s="194"/>
      <c r="V682" s="194"/>
      <c r="W682" s="194"/>
      <c r="X682" s="194"/>
      <c r="Y682" s="194"/>
      <c r="Z682" s="194"/>
    </row>
    <row r="683">
      <c r="A683" s="194"/>
      <c r="B683" s="194"/>
      <c r="C683" s="537"/>
      <c r="D683" s="537"/>
      <c r="E683" s="537"/>
      <c r="F683" s="537"/>
      <c r="G683" s="537"/>
      <c r="H683" s="537"/>
      <c r="I683" s="538"/>
      <c r="J683" s="537"/>
      <c r="K683" s="194"/>
      <c r="L683" s="194"/>
      <c r="M683" s="194"/>
      <c r="N683" s="194"/>
      <c r="O683" s="194"/>
      <c r="P683" s="194"/>
      <c r="Q683" s="194"/>
      <c r="R683" s="194"/>
      <c r="S683" s="194"/>
      <c r="T683" s="194"/>
      <c r="U683" s="194"/>
      <c r="V683" s="194"/>
      <c r="W683" s="194"/>
      <c r="X683" s="194"/>
      <c r="Y683" s="194"/>
      <c r="Z683" s="194"/>
    </row>
    <row r="684">
      <c r="A684" s="194"/>
      <c r="B684" s="194"/>
      <c r="C684" s="537"/>
      <c r="D684" s="537"/>
      <c r="E684" s="537"/>
      <c r="F684" s="537"/>
      <c r="G684" s="537"/>
      <c r="H684" s="537"/>
      <c r="I684" s="538"/>
      <c r="J684" s="537"/>
      <c r="K684" s="194"/>
      <c r="L684" s="194"/>
      <c r="M684" s="194"/>
      <c r="N684" s="194"/>
      <c r="O684" s="194"/>
      <c r="P684" s="194"/>
      <c r="Q684" s="194"/>
      <c r="R684" s="194"/>
      <c r="S684" s="194"/>
      <c r="T684" s="194"/>
      <c r="U684" s="194"/>
      <c r="V684" s="194"/>
      <c r="W684" s="194"/>
      <c r="X684" s="194"/>
      <c r="Y684" s="194"/>
      <c r="Z684" s="194"/>
    </row>
    <row r="685">
      <c r="A685" s="194"/>
      <c r="B685" s="194"/>
      <c r="C685" s="537"/>
      <c r="D685" s="537"/>
      <c r="E685" s="537"/>
      <c r="F685" s="537"/>
      <c r="G685" s="537"/>
      <c r="H685" s="537"/>
      <c r="I685" s="538"/>
      <c r="J685" s="537"/>
      <c r="K685" s="194"/>
      <c r="L685" s="194"/>
      <c r="M685" s="194"/>
      <c r="N685" s="194"/>
      <c r="O685" s="194"/>
      <c r="P685" s="194"/>
      <c r="Q685" s="194"/>
      <c r="R685" s="194"/>
      <c r="S685" s="194"/>
      <c r="T685" s="194"/>
      <c r="U685" s="194"/>
      <c r="V685" s="194"/>
      <c r="W685" s="194"/>
      <c r="X685" s="194"/>
      <c r="Y685" s="194"/>
      <c r="Z685" s="194"/>
    </row>
    <row r="686">
      <c r="A686" s="194"/>
      <c r="B686" s="194"/>
      <c r="C686" s="537"/>
      <c r="D686" s="537"/>
      <c r="E686" s="537"/>
      <c r="F686" s="537"/>
      <c r="G686" s="537"/>
      <c r="H686" s="537"/>
      <c r="I686" s="538"/>
      <c r="J686" s="537"/>
      <c r="K686" s="194"/>
      <c r="L686" s="194"/>
      <c r="M686" s="194"/>
      <c r="N686" s="194"/>
      <c r="O686" s="194"/>
      <c r="P686" s="194"/>
      <c r="Q686" s="194"/>
      <c r="R686" s="194"/>
      <c r="S686" s="194"/>
      <c r="T686" s="194"/>
      <c r="U686" s="194"/>
      <c r="V686" s="194"/>
      <c r="W686" s="194"/>
      <c r="X686" s="194"/>
      <c r="Y686" s="194"/>
      <c r="Z686" s="194"/>
    </row>
    <row r="687">
      <c r="A687" s="194"/>
      <c r="B687" s="194"/>
      <c r="C687" s="537"/>
      <c r="D687" s="537"/>
      <c r="E687" s="537"/>
      <c r="F687" s="537"/>
      <c r="G687" s="537"/>
      <c r="H687" s="537"/>
      <c r="I687" s="538"/>
      <c r="J687" s="537"/>
      <c r="K687" s="194"/>
      <c r="L687" s="194"/>
      <c r="M687" s="194"/>
      <c r="N687" s="194"/>
      <c r="O687" s="194"/>
      <c r="P687" s="194"/>
      <c r="Q687" s="194"/>
      <c r="R687" s="194"/>
      <c r="S687" s="194"/>
      <c r="T687" s="194"/>
      <c r="U687" s="194"/>
      <c r="V687" s="194"/>
      <c r="W687" s="194"/>
      <c r="X687" s="194"/>
      <c r="Y687" s="194"/>
      <c r="Z687" s="194"/>
    </row>
    <row r="688">
      <c r="A688" s="194"/>
      <c r="B688" s="194"/>
      <c r="C688" s="537"/>
      <c r="D688" s="537"/>
      <c r="E688" s="537"/>
      <c r="F688" s="537"/>
      <c r="G688" s="537"/>
      <c r="H688" s="537"/>
      <c r="I688" s="538"/>
      <c r="J688" s="537"/>
      <c r="K688" s="194"/>
      <c r="L688" s="194"/>
      <c r="M688" s="194"/>
      <c r="N688" s="194"/>
      <c r="O688" s="194"/>
      <c r="P688" s="194"/>
      <c r="Q688" s="194"/>
      <c r="R688" s="194"/>
      <c r="S688" s="194"/>
      <c r="T688" s="194"/>
      <c r="U688" s="194"/>
      <c r="V688" s="194"/>
      <c r="W688" s="194"/>
      <c r="X688" s="194"/>
      <c r="Y688" s="194"/>
      <c r="Z688" s="194"/>
    </row>
    <row r="689">
      <c r="A689" s="194"/>
      <c r="B689" s="194"/>
      <c r="C689" s="537"/>
      <c r="D689" s="537"/>
      <c r="E689" s="537"/>
      <c r="F689" s="537"/>
      <c r="G689" s="537"/>
      <c r="H689" s="537"/>
      <c r="I689" s="538"/>
      <c r="J689" s="537"/>
      <c r="K689" s="194"/>
      <c r="L689" s="194"/>
      <c r="M689" s="194"/>
      <c r="N689" s="194"/>
      <c r="O689" s="194"/>
      <c r="P689" s="194"/>
      <c r="Q689" s="194"/>
      <c r="R689" s="194"/>
      <c r="S689" s="194"/>
      <c r="T689" s="194"/>
      <c r="U689" s="194"/>
      <c r="V689" s="194"/>
      <c r="W689" s="194"/>
      <c r="X689" s="194"/>
      <c r="Y689" s="194"/>
      <c r="Z689" s="194"/>
    </row>
    <row r="690">
      <c r="A690" s="194"/>
      <c r="B690" s="194"/>
      <c r="C690" s="537"/>
      <c r="D690" s="537"/>
      <c r="E690" s="537"/>
      <c r="F690" s="537"/>
      <c r="G690" s="537"/>
      <c r="H690" s="537"/>
      <c r="I690" s="538"/>
      <c r="J690" s="537"/>
      <c r="K690" s="194"/>
      <c r="L690" s="194"/>
      <c r="M690" s="194"/>
      <c r="N690" s="194"/>
      <c r="O690" s="194"/>
      <c r="P690" s="194"/>
      <c r="Q690" s="194"/>
      <c r="R690" s="194"/>
      <c r="S690" s="194"/>
      <c r="T690" s="194"/>
      <c r="U690" s="194"/>
      <c r="V690" s="194"/>
      <c r="W690" s="194"/>
      <c r="X690" s="194"/>
      <c r="Y690" s="194"/>
      <c r="Z690" s="194"/>
    </row>
    <row r="691">
      <c r="A691" s="194"/>
      <c r="B691" s="194"/>
      <c r="C691" s="537"/>
      <c r="D691" s="537"/>
      <c r="E691" s="537"/>
      <c r="F691" s="537"/>
      <c r="G691" s="537"/>
      <c r="H691" s="537"/>
      <c r="I691" s="538"/>
      <c r="J691" s="537"/>
      <c r="K691" s="194"/>
      <c r="L691" s="194"/>
      <c r="M691" s="194"/>
      <c r="N691" s="194"/>
      <c r="O691" s="194"/>
      <c r="P691" s="194"/>
      <c r="Q691" s="194"/>
      <c r="R691" s="194"/>
      <c r="S691" s="194"/>
      <c r="T691" s="194"/>
      <c r="U691" s="194"/>
      <c r="V691" s="194"/>
      <c r="W691" s="194"/>
      <c r="X691" s="194"/>
      <c r="Y691" s="194"/>
      <c r="Z691" s="194"/>
    </row>
    <row r="692">
      <c r="A692" s="194"/>
      <c r="B692" s="194"/>
      <c r="C692" s="537"/>
      <c r="D692" s="537"/>
      <c r="E692" s="537"/>
      <c r="F692" s="537"/>
      <c r="G692" s="537"/>
      <c r="H692" s="537"/>
      <c r="I692" s="538"/>
      <c r="J692" s="537"/>
      <c r="K692" s="194"/>
      <c r="L692" s="194"/>
      <c r="M692" s="194"/>
      <c r="N692" s="194"/>
      <c r="O692" s="194"/>
      <c r="P692" s="194"/>
      <c r="Q692" s="194"/>
      <c r="R692" s="194"/>
      <c r="S692" s="194"/>
      <c r="T692" s="194"/>
      <c r="U692" s="194"/>
      <c r="V692" s="194"/>
      <c r="W692" s="194"/>
      <c r="X692" s="194"/>
      <c r="Y692" s="194"/>
      <c r="Z692" s="194"/>
    </row>
    <row r="693">
      <c r="A693" s="194"/>
      <c r="B693" s="194"/>
      <c r="C693" s="537"/>
      <c r="D693" s="537"/>
      <c r="E693" s="537"/>
      <c r="F693" s="537"/>
      <c r="G693" s="537"/>
      <c r="H693" s="537"/>
      <c r="I693" s="538"/>
      <c r="J693" s="537"/>
      <c r="K693" s="194"/>
      <c r="L693" s="194"/>
      <c r="M693" s="194"/>
      <c r="N693" s="194"/>
      <c r="O693" s="194"/>
      <c r="P693" s="194"/>
      <c r="Q693" s="194"/>
      <c r="R693" s="194"/>
      <c r="S693" s="194"/>
      <c r="T693" s="194"/>
      <c r="U693" s="194"/>
      <c r="V693" s="194"/>
      <c r="W693" s="194"/>
      <c r="X693" s="194"/>
      <c r="Y693" s="194"/>
      <c r="Z693" s="194"/>
    </row>
    <row r="694">
      <c r="A694" s="194"/>
      <c r="B694" s="194"/>
      <c r="C694" s="537"/>
      <c r="D694" s="537"/>
      <c r="E694" s="537"/>
      <c r="F694" s="537"/>
      <c r="G694" s="537"/>
      <c r="H694" s="537"/>
      <c r="I694" s="538"/>
      <c r="J694" s="537"/>
      <c r="K694" s="194"/>
      <c r="L694" s="194"/>
      <c r="M694" s="194"/>
      <c r="N694" s="194"/>
      <c r="O694" s="194"/>
      <c r="P694" s="194"/>
      <c r="Q694" s="194"/>
      <c r="R694" s="194"/>
      <c r="S694" s="194"/>
      <c r="T694" s="194"/>
      <c r="U694" s="194"/>
      <c r="V694" s="194"/>
      <c r="W694" s="194"/>
      <c r="X694" s="194"/>
      <c r="Y694" s="194"/>
      <c r="Z694" s="194"/>
    </row>
    <row r="695">
      <c r="A695" s="194"/>
      <c r="B695" s="194"/>
      <c r="C695" s="537"/>
      <c r="D695" s="537"/>
      <c r="E695" s="537"/>
      <c r="F695" s="537"/>
      <c r="G695" s="537"/>
      <c r="H695" s="537"/>
      <c r="I695" s="538"/>
      <c r="J695" s="537"/>
      <c r="K695" s="194"/>
      <c r="L695" s="194"/>
      <c r="M695" s="194"/>
      <c r="N695" s="194"/>
      <c r="O695" s="194"/>
      <c r="P695" s="194"/>
      <c r="Q695" s="194"/>
      <c r="R695" s="194"/>
      <c r="S695" s="194"/>
      <c r="T695" s="194"/>
      <c r="U695" s="194"/>
      <c r="V695" s="194"/>
      <c r="W695" s="194"/>
      <c r="X695" s="194"/>
      <c r="Y695" s="194"/>
      <c r="Z695" s="194"/>
    </row>
    <row r="696">
      <c r="A696" s="194"/>
      <c r="B696" s="194"/>
      <c r="C696" s="537"/>
      <c r="D696" s="537"/>
      <c r="E696" s="537"/>
      <c r="F696" s="537"/>
      <c r="G696" s="537"/>
      <c r="H696" s="537"/>
      <c r="I696" s="538"/>
      <c r="J696" s="537"/>
      <c r="K696" s="194"/>
      <c r="L696" s="194"/>
      <c r="M696" s="194"/>
      <c r="N696" s="194"/>
      <c r="O696" s="194"/>
      <c r="P696" s="194"/>
      <c r="Q696" s="194"/>
      <c r="R696" s="194"/>
      <c r="S696" s="194"/>
      <c r="T696" s="194"/>
      <c r="U696" s="194"/>
      <c r="V696" s="194"/>
      <c r="W696" s="194"/>
      <c r="X696" s="194"/>
      <c r="Y696" s="194"/>
      <c r="Z696" s="194"/>
    </row>
    <row r="697">
      <c r="A697" s="194"/>
      <c r="B697" s="194"/>
      <c r="C697" s="537"/>
      <c r="D697" s="537"/>
      <c r="E697" s="537"/>
      <c r="F697" s="537"/>
      <c r="G697" s="537"/>
      <c r="H697" s="537"/>
      <c r="I697" s="538"/>
      <c r="J697" s="537"/>
      <c r="K697" s="194"/>
      <c r="L697" s="194"/>
      <c r="M697" s="194"/>
      <c r="N697" s="194"/>
      <c r="O697" s="194"/>
      <c r="P697" s="194"/>
      <c r="Q697" s="194"/>
      <c r="R697" s="194"/>
      <c r="S697" s="194"/>
      <c r="T697" s="194"/>
      <c r="U697" s="194"/>
      <c r="V697" s="194"/>
      <c r="W697" s="194"/>
      <c r="X697" s="194"/>
      <c r="Y697" s="194"/>
      <c r="Z697" s="194"/>
    </row>
    <row r="698">
      <c r="A698" s="194"/>
      <c r="B698" s="194"/>
      <c r="C698" s="537"/>
      <c r="D698" s="537"/>
      <c r="E698" s="537"/>
      <c r="F698" s="537"/>
      <c r="G698" s="537"/>
      <c r="H698" s="537"/>
      <c r="I698" s="538"/>
      <c r="J698" s="537"/>
      <c r="K698" s="194"/>
      <c r="L698" s="194"/>
      <c r="M698" s="194"/>
      <c r="N698" s="194"/>
      <c r="O698" s="194"/>
      <c r="P698" s="194"/>
      <c r="Q698" s="194"/>
      <c r="R698" s="194"/>
      <c r="S698" s="194"/>
      <c r="T698" s="194"/>
      <c r="U698" s="194"/>
      <c r="V698" s="194"/>
      <c r="W698" s="194"/>
      <c r="X698" s="194"/>
      <c r="Y698" s="194"/>
      <c r="Z698" s="194"/>
    </row>
    <row r="699">
      <c r="A699" s="194"/>
      <c r="B699" s="194"/>
      <c r="C699" s="537"/>
      <c r="D699" s="537"/>
      <c r="E699" s="537"/>
      <c r="F699" s="537"/>
      <c r="G699" s="537"/>
      <c r="H699" s="537"/>
      <c r="I699" s="538"/>
      <c r="J699" s="537"/>
      <c r="K699" s="194"/>
      <c r="L699" s="194"/>
      <c r="M699" s="194"/>
      <c r="N699" s="194"/>
      <c r="O699" s="194"/>
      <c r="P699" s="194"/>
      <c r="Q699" s="194"/>
      <c r="R699" s="194"/>
      <c r="S699" s="194"/>
      <c r="T699" s="194"/>
      <c r="U699" s="194"/>
      <c r="V699" s="194"/>
      <c r="W699" s="194"/>
      <c r="X699" s="194"/>
      <c r="Y699" s="194"/>
      <c r="Z699" s="194"/>
    </row>
    <row r="700">
      <c r="A700" s="194"/>
      <c r="B700" s="194"/>
      <c r="C700" s="537"/>
      <c r="D700" s="537"/>
      <c r="E700" s="537"/>
      <c r="F700" s="537"/>
      <c r="G700" s="537"/>
      <c r="H700" s="537"/>
      <c r="I700" s="538"/>
      <c r="J700" s="537"/>
      <c r="K700" s="194"/>
      <c r="L700" s="194"/>
      <c r="M700" s="194"/>
      <c r="N700" s="194"/>
      <c r="O700" s="194"/>
      <c r="P700" s="194"/>
      <c r="Q700" s="194"/>
      <c r="R700" s="194"/>
      <c r="S700" s="194"/>
      <c r="T700" s="194"/>
      <c r="U700" s="194"/>
      <c r="V700" s="194"/>
      <c r="W700" s="194"/>
      <c r="X700" s="194"/>
      <c r="Y700" s="194"/>
      <c r="Z700" s="194"/>
    </row>
    <row r="701">
      <c r="A701" s="194"/>
      <c r="B701" s="194"/>
      <c r="C701" s="537"/>
      <c r="D701" s="537"/>
      <c r="E701" s="537"/>
      <c r="F701" s="537"/>
      <c r="G701" s="537"/>
      <c r="H701" s="537"/>
      <c r="I701" s="538"/>
      <c r="J701" s="537"/>
      <c r="K701" s="194"/>
      <c r="L701" s="194"/>
      <c r="M701" s="194"/>
      <c r="N701" s="194"/>
      <c r="O701" s="194"/>
      <c r="P701" s="194"/>
      <c r="Q701" s="194"/>
      <c r="R701" s="194"/>
      <c r="S701" s="194"/>
      <c r="T701" s="194"/>
      <c r="U701" s="194"/>
      <c r="V701" s="194"/>
      <c r="W701" s="194"/>
      <c r="X701" s="194"/>
      <c r="Y701" s="194"/>
      <c r="Z701" s="194"/>
    </row>
    <row r="702">
      <c r="A702" s="194"/>
      <c r="B702" s="194"/>
      <c r="C702" s="537"/>
      <c r="D702" s="537"/>
      <c r="E702" s="537"/>
      <c r="F702" s="537"/>
      <c r="G702" s="537"/>
      <c r="H702" s="537"/>
      <c r="I702" s="538"/>
      <c r="J702" s="537"/>
      <c r="K702" s="194"/>
      <c r="L702" s="194"/>
      <c r="M702" s="194"/>
      <c r="N702" s="194"/>
      <c r="O702" s="194"/>
      <c r="P702" s="194"/>
      <c r="Q702" s="194"/>
      <c r="R702" s="194"/>
      <c r="S702" s="194"/>
      <c r="T702" s="194"/>
      <c r="U702" s="194"/>
      <c r="V702" s="194"/>
      <c r="W702" s="194"/>
      <c r="X702" s="194"/>
      <c r="Y702" s="194"/>
      <c r="Z702" s="194"/>
    </row>
    <row r="703">
      <c r="A703" s="194"/>
      <c r="B703" s="194"/>
      <c r="C703" s="537"/>
      <c r="D703" s="537"/>
      <c r="E703" s="537"/>
      <c r="F703" s="537"/>
      <c r="G703" s="537"/>
      <c r="H703" s="537"/>
      <c r="I703" s="538"/>
      <c r="J703" s="537"/>
      <c r="K703" s="194"/>
      <c r="L703" s="194"/>
      <c r="M703" s="194"/>
      <c r="N703" s="194"/>
      <c r="O703" s="194"/>
      <c r="P703" s="194"/>
      <c r="Q703" s="194"/>
      <c r="R703" s="194"/>
      <c r="S703" s="194"/>
      <c r="T703" s="194"/>
      <c r="U703" s="194"/>
      <c r="V703" s="194"/>
      <c r="W703" s="194"/>
      <c r="X703" s="194"/>
      <c r="Y703" s="194"/>
      <c r="Z703" s="194"/>
    </row>
    <row r="704">
      <c r="A704" s="194"/>
      <c r="B704" s="194"/>
      <c r="C704" s="537"/>
      <c r="D704" s="537"/>
      <c r="E704" s="537"/>
      <c r="F704" s="537"/>
      <c r="G704" s="537"/>
      <c r="H704" s="537"/>
      <c r="I704" s="538"/>
      <c r="J704" s="537"/>
      <c r="K704" s="194"/>
      <c r="L704" s="194"/>
      <c r="M704" s="194"/>
      <c r="N704" s="194"/>
      <c r="O704" s="194"/>
      <c r="P704" s="194"/>
      <c r="Q704" s="194"/>
      <c r="R704" s="194"/>
      <c r="S704" s="194"/>
      <c r="T704" s="194"/>
      <c r="U704" s="194"/>
      <c r="V704" s="194"/>
      <c r="W704" s="194"/>
      <c r="X704" s="194"/>
      <c r="Y704" s="194"/>
      <c r="Z704" s="194"/>
    </row>
    <row r="705">
      <c r="A705" s="194"/>
      <c r="B705" s="194"/>
      <c r="C705" s="537"/>
      <c r="D705" s="537"/>
      <c r="E705" s="537"/>
      <c r="F705" s="537"/>
      <c r="G705" s="537"/>
      <c r="H705" s="537"/>
      <c r="I705" s="538"/>
      <c r="J705" s="537"/>
      <c r="K705" s="194"/>
      <c r="L705" s="194"/>
      <c r="M705" s="194"/>
      <c r="N705" s="194"/>
      <c r="O705" s="194"/>
      <c r="P705" s="194"/>
      <c r="Q705" s="194"/>
      <c r="R705" s="194"/>
      <c r="S705" s="194"/>
      <c r="T705" s="194"/>
      <c r="U705" s="194"/>
      <c r="V705" s="194"/>
      <c r="W705" s="194"/>
      <c r="X705" s="194"/>
      <c r="Y705" s="194"/>
      <c r="Z705" s="194"/>
    </row>
    <row r="706">
      <c r="A706" s="194"/>
      <c r="B706" s="194"/>
      <c r="C706" s="537"/>
      <c r="D706" s="537"/>
      <c r="E706" s="537"/>
      <c r="F706" s="537"/>
      <c r="G706" s="537"/>
      <c r="H706" s="537"/>
      <c r="I706" s="538"/>
      <c r="J706" s="537"/>
      <c r="K706" s="194"/>
      <c r="L706" s="194"/>
      <c r="M706" s="194"/>
      <c r="N706" s="194"/>
      <c r="O706" s="194"/>
      <c r="P706" s="194"/>
      <c r="Q706" s="194"/>
      <c r="R706" s="194"/>
      <c r="S706" s="194"/>
      <c r="T706" s="194"/>
      <c r="U706" s="194"/>
      <c r="V706" s="194"/>
      <c r="W706" s="194"/>
      <c r="X706" s="194"/>
      <c r="Y706" s="194"/>
      <c r="Z706" s="194"/>
    </row>
    <row r="707">
      <c r="A707" s="194"/>
      <c r="B707" s="194"/>
      <c r="C707" s="537"/>
      <c r="D707" s="537"/>
      <c r="E707" s="537"/>
      <c r="F707" s="537"/>
      <c r="G707" s="537"/>
      <c r="H707" s="537"/>
      <c r="I707" s="538"/>
      <c r="J707" s="537"/>
      <c r="K707" s="194"/>
      <c r="L707" s="194"/>
      <c r="M707" s="194"/>
      <c r="N707" s="194"/>
      <c r="O707" s="194"/>
      <c r="P707" s="194"/>
      <c r="Q707" s="194"/>
      <c r="R707" s="194"/>
      <c r="S707" s="194"/>
      <c r="T707" s="194"/>
      <c r="U707" s="194"/>
      <c r="V707" s="194"/>
      <c r="W707" s="194"/>
      <c r="X707" s="194"/>
      <c r="Y707" s="194"/>
      <c r="Z707" s="194"/>
    </row>
    <row r="708">
      <c r="A708" s="194"/>
      <c r="B708" s="194"/>
      <c r="C708" s="537"/>
      <c r="D708" s="537"/>
      <c r="E708" s="537"/>
      <c r="F708" s="537"/>
      <c r="G708" s="537"/>
      <c r="H708" s="537"/>
      <c r="I708" s="538"/>
      <c r="J708" s="537"/>
      <c r="K708" s="194"/>
      <c r="L708" s="194"/>
      <c r="M708" s="194"/>
      <c r="N708" s="194"/>
      <c r="O708" s="194"/>
      <c r="P708" s="194"/>
      <c r="Q708" s="194"/>
      <c r="R708" s="194"/>
      <c r="S708" s="194"/>
      <c r="T708" s="194"/>
      <c r="U708" s="194"/>
      <c r="V708" s="194"/>
      <c r="W708" s="194"/>
      <c r="X708" s="194"/>
      <c r="Y708" s="194"/>
      <c r="Z708" s="194"/>
    </row>
    <row r="709">
      <c r="A709" s="194"/>
      <c r="B709" s="194"/>
      <c r="C709" s="537"/>
      <c r="D709" s="537"/>
      <c r="E709" s="537"/>
      <c r="F709" s="537"/>
      <c r="G709" s="537"/>
      <c r="H709" s="537"/>
      <c r="I709" s="538"/>
      <c r="J709" s="537"/>
      <c r="K709" s="194"/>
      <c r="L709" s="194"/>
      <c r="M709" s="194"/>
      <c r="N709" s="194"/>
      <c r="O709" s="194"/>
      <c r="P709" s="194"/>
      <c r="Q709" s="194"/>
      <c r="R709" s="194"/>
      <c r="S709" s="194"/>
      <c r="T709" s="194"/>
      <c r="U709" s="194"/>
      <c r="V709" s="194"/>
      <c r="W709" s="194"/>
      <c r="X709" s="194"/>
      <c r="Y709" s="194"/>
      <c r="Z709" s="194"/>
    </row>
    <row r="710">
      <c r="A710" s="194"/>
      <c r="B710" s="194"/>
      <c r="C710" s="537"/>
      <c r="D710" s="537"/>
      <c r="E710" s="537"/>
      <c r="F710" s="537"/>
      <c r="G710" s="537"/>
      <c r="H710" s="537"/>
      <c r="I710" s="538"/>
      <c r="J710" s="537"/>
      <c r="K710" s="194"/>
      <c r="L710" s="194"/>
      <c r="M710" s="194"/>
      <c r="N710" s="194"/>
      <c r="O710" s="194"/>
      <c r="P710" s="194"/>
      <c r="Q710" s="194"/>
      <c r="R710" s="194"/>
      <c r="S710" s="194"/>
      <c r="T710" s="194"/>
      <c r="U710" s="194"/>
      <c r="V710" s="194"/>
      <c r="W710" s="194"/>
      <c r="X710" s="194"/>
      <c r="Y710" s="194"/>
      <c r="Z710" s="194"/>
    </row>
    <row r="711">
      <c r="A711" s="194"/>
      <c r="B711" s="194"/>
      <c r="C711" s="537"/>
      <c r="D711" s="537"/>
      <c r="E711" s="537"/>
      <c r="F711" s="537"/>
      <c r="G711" s="537"/>
      <c r="H711" s="537"/>
      <c r="I711" s="538"/>
      <c r="J711" s="537"/>
      <c r="K711" s="194"/>
      <c r="L711" s="194"/>
      <c r="M711" s="194"/>
      <c r="N711" s="194"/>
      <c r="O711" s="194"/>
      <c r="P711" s="194"/>
      <c r="Q711" s="194"/>
      <c r="R711" s="194"/>
      <c r="S711" s="194"/>
      <c r="T711" s="194"/>
      <c r="U711" s="194"/>
      <c r="V711" s="194"/>
      <c r="W711" s="194"/>
      <c r="X711" s="194"/>
      <c r="Y711" s="194"/>
      <c r="Z711" s="194"/>
    </row>
    <row r="712">
      <c r="A712" s="194"/>
      <c r="B712" s="194"/>
      <c r="C712" s="537"/>
      <c r="D712" s="537"/>
      <c r="E712" s="537"/>
      <c r="F712" s="537"/>
      <c r="G712" s="537"/>
      <c r="H712" s="537"/>
      <c r="I712" s="538"/>
      <c r="J712" s="537"/>
      <c r="K712" s="194"/>
      <c r="L712" s="194"/>
      <c r="M712" s="194"/>
      <c r="N712" s="194"/>
      <c r="O712" s="194"/>
      <c r="P712" s="194"/>
      <c r="Q712" s="194"/>
      <c r="R712" s="194"/>
      <c r="S712" s="194"/>
      <c r="T712" s="194"/>
      <c r="U712" s="194"/>
      <c r="V712" s="194"/>
      <c r="W712" s="194"/>
      <c r="X712" s="194"/>
      <c r="Y712" s="194"/>
      <c r="Z712" s="194"/>
    </row>
    <row r="713">
      <c r="A713" s="194"/>
      <c r="B713" s="194"/>
      <c r="C713" s="537"/>
      <c r="D713" s="537"/>
      <c r="E713" s="537"/>
      <c r="F713" s="537"/>
      <c r="G713" s="537"/>
      <c r="H713" s="537"/>
      <c r="I713" s="538"/>
      <c r="J713" s="537"/>
      <c r="K713" s="194"/>
      <c r="L713" s="194"/>
      <c r="M713" s="194"/>
      <c r="N713" s="194"/>
      <c r="O713" s="194"/>
      <c r="P713" s="194"/>
      <c r="Q713" s="194"/>
      <c r="R713" s="194"/>
      <c r="S713" s="194"/>
      <c r="T713" s="194"/>
      <c r="U713" s="194"/>
      <c r="V713" s="194"/>
      <c r="W713" s="194"/>
      <c r="X713" s="194"/>
      <c r="Y713" s="194"/>
      <c r="Z713" s="194"/>
    </row>
    <row r="714">
      <c r="A714" s="194"/>
      <c r="B714" s="194"/>
      <c r="C714" s="537"/>
      <c r="D714" s="537"/>
      <c r="E714" s="537"/>
      <c r="F714" s="537"/>
      <c r="G714" s="537"/>
      <c r="H714" s="537"/>
      <c r="I714" s="538"/>
      <c r="J714" s="537"/>
      <c r="K714" s="194"/>
      <c r="L714" s="194"/>
      <c r="M714" s="194"/>
      <c r="N714" s="194"/>
      <c r="O714" s="194"/>
      <c r="P714" s="194"/>
      <c r="Q714" s="194"/>
      <c r="R714" s="194"/>
      <c r="S714" s="194"/>
      <c r="T714" s="194"/>
      <c r="U714" s="194"/>
      <c r="V714" s="194"/>
      <c r="W714" s="194"/>
      <c r="X714" s="194"/>
      <c r="Y714" s="194"/>
      <c r="Z714" s="194"/>
    </row>
    <row r="715">
      <c r="A715" s="194"/>
      <c r="B715" s="194"/>
      <c r="C715" s="537"/>
      <c r="D715" s="537"/>
      <c r="E715" s="537"/>
      <c r="F715" s="537"/>
      <c r="G715" s="537"/>
      <c r="H715" s="537"/>
      <c r="I715" s="538"/>
      <c r="J715" s="537"/>
      <c r="K715" s="194"/>
      <c r="L715" s="194"/>
      <c r="M715" s="194"/>
      <c r="N715" s="194"/>
      <c r="O715" s="194"/>
      <c r="P715" s="194"/>
      <c r="Q715" s="194"/>
      <c r="R715" s="194"/>
      <c r="S715" s="194"/>
      <c r="T715" s="194"/>
      <c r="U715" s="194"/>
      <c r="V715" s="194"/>
      <c r="W715" s="194"/>
      <c r="X715" s="194"/>
      <c r="Y715" s="194"/>
      <c r="Z715" s="194"/>
    </row>
    <row r="716">
      <c r="A716" s="194"/>
      <c r="B716" s="194"/>
      <c r="C716" s="537"/>
      <c r="D716" s="537"/>
      <c r="E716" s="537"/>
      <c r="F716" s="537"/>
      <c r="G716" s="537"/>
      <c r="H716" s="537"/>
      <c r="I716" s="538"/>
      <c r="J716" s="537"/>
      <c r="K716" s="194"/>
      <c r="L716" s="194"/>
      <c r="M716" s="194"/>
      <c r="N716" s="194"/>
      <c r="O716" s="194"/>
      <c r="P716" s="194"/>
      <c r="Q716" s="194"/>
      <c r="R716" s="194"/>
      <c r="S716" s="194"/>
      <c r="T716" s="194"/>
      <c r="U716" s="194"/>
      <c r="V716" s="194"/>
      <c r="W716" s="194"/>
      <c r="X716" s="194"/>
      <c r="Y716" s="194"/>
      <c r="Z716" s="194"/>
    </row>
    <row r="717">
      <c r="A717" s="194"/>
      <c r="B717" s="194"/>
      <c r="C717" s="537"/>
      <c r="D717" s="537"/>
      <c r="E717" s="537"/>
      <c r="F717" s="537"/>
      <c r="G717" s="537"/>
      <c r="H717" s="537"/>
      <c r="I717" s="538"/>
      <c r="J717" s="537"/>
      <c r="K717" s="194"/>
      <c r="L717" s="194"/>
      <c r="M717" s="194"/>
      <c r="N717" s="194"/>
      <c r="O717" s="194"/>
      <c r="P717" s="194"/>
      <c r="Q717" s="194"/>
      <c r="R717" s="194"/>
      <c r="S717" s="194"/>
      <c r="T717" s="194"/>
      <c r="U717" s="194"/>
      <c r="V717" s="194"/>
      <c r="W717" s="194"/>
      <c r="X717" s="194"/>
      <c r="Y717" s="194"/>
      <c r="Z717" s="194"/>
    </row>
    <row r="718">
      <c r="A718" s="194"/>
      <c r="B718" s="194"/>
      <c r="C718" s="537"/>
      <c r="D718" s="537"/>
      <c r="E718" s="537"/>
      <c r="F718" s="537"/>
      <c r="G718" s="537"/>
      <c r="H718" s="537"/>
      <c r="I718" s="538"/>
      <c r="J718" s="537"/>
      <c r="K718" s="194"/>
      <c r="L718" s="194"/>
      <c r="M718" s="194"/>
      <c r="N718" s="194"/>
      <c r="O718" s="194"/>
      <c r="P718" s="194"/>
      <c r="Q718" s="194"/>
      <c r="R718" s="194"/>
      <c r="S718" s="194"/>
      <c r="T718" s="194"/>
      <c r="U718" s="194"/>
      <c r="V718" s="194"/>
      <c r="W718" s="194"/>
      <c r="X718" s="194"/>
      <c r="Y718" s="194"/>
      <c r="Z718" s="194"/>
    </row>
    <row r="719">
      <c r="A719" s="194"/>
      <c r="B719" s="194"/>
      <c r="C719" s="537"/>
      <c r="D719" s="537"/>
      <c r="E719" s="537"/>
      <c r="F719" s="537"/>
      <c r="G719" s="537"/>
      <c r="H719" s="537"/>
      <c r="I719" s="538"/>
      <c r="J719" s="537"/>
      <c r="K719" s="194"/>
      <c r="L719" s="194"/>
      <c r="M719" s="194"/>
      <c r="N719" s="194"/>
      <c r="O719" s="194"/>
      <c r="P719" s="194"/>
      <c r="Q719" s="194"/>
      <c r="R719" s="194"/>
      <c r="S719" s="194"/>
      <c r="T719" s="194"/>
      <c r="U719" s="194"/>
      <c r="V719" s="194"/>
      <c r="W719" s="194"/>
      <c r="X719" s="194"/>
      <c r="Y719" s="194"/>
      <c r="Z719" s="194"/>
    </row>
    <row r="720">
      <c r="A720" s="194"/>
      <c r="B720" s="194"/>
      <c r="C720" s="537"/>
      <c r="D720" s="537"/>
      <c r="E720" s="537"/>
      <c r="F720" s="537"/>
      <c r="G720" s="537"/>
      <c r="H720" s="537"/>
      <c r="I720" s="538"/>
      <c r="J720" s="537"/>
      <c r="K720" s="194"/>
      <c r="L720" s="194"/>
      <c r="M720" s="194"/>
      <c r="N720" s="194"/>
      <c r="O720" s="194"/>
      <c r="P720" s="194"/>
      <c r="Q720" s="194"/>
      <c r="R720" s="194"/>
      <c r="S720" s="194"/>
      <c r="T720" s="194"/>
      <c r="U720" s="194"/>
      <c r="V720" s="194"/>
      <c r="W720" s="194"/>
      <c r="X720" s="194"/>
      <c r="Y720" s="194"/>
      <c r="Z720" s="194"/>
    </row>
    <row r="721">
      <c r="A721" s="194"/>
      <c r="B721" s="194"/>
      <c r="C721" s="537"/>
      <c r="D721" s="537"/>
      <c r="E721" s="537"/>
      <c r="F721" s="537"/>
      <c r="G721" s="537"/>
      <c r="H721" s="537"/>
      <c r="I721" s="538"/>
      <c r="J721" s="537"/>
      <c r="K721" s="194"/>
      <c r="L721" s="194"/>
      <c r="M721" s="194"/>
      <c r="N721" s="194"/>
      <c r="O721" s="194"/>
      <c r="P721" s="194"/>
      <c r="Q721" s="194"/>
      <c r="R721" s="194"/>
      <c r="S721" s="194"/>
      <c r="T721" s="194"/>
      <c r="U721" s="194"/>
      <c r="V721" s="194"/>
      <c r="W721" s="194"/>
      <c r="X721" s="194"/>
      <c r="Y721" s="194"/>
      <c r="Z721" s="194"/>
    </row>
    <row r="722">
      <c r="A722" s="194"/>
      <c r="B722" s="194"/>
      <c r="C722" s="537"/>
      <c r="D722" s="537"/>
      <c r="E722" s="537"/>
      <c r="F722" s="537"/>
      <c r="G722" s="537"/>
      <c r="H722" s="537"/>
      <c r="I722" s="538"/>
      <c r="J722" s="537"/>
      <c r="K722" s="194"/>
      <c r="L722" s="194"/>
      <c r="M722" s="194"/>
      <c r="N722" s="194"/>
      <c r="O722" s="194"/>
      <c r="P722" s="194"/>
      <c r="Q722" s="194"/>
      <c r="R722" s="194"/>
      <c r="S722" s="194"/>
      <c r="T722" s="194"/>
      <c r="U722" s="194"/>
      <c r="V722" s="194"/>
      <c r="W722" s="194"/>
      <c r="X722" s="194"/>
      <c r="Y722" s="194"/>
      <c r="Z722" s="194"/>
    </row>
    <row r="723">
      <c r="A723" s="194"/>
      <c r="B723" s="194"/>
      <c r="C723" s="537"/>
      <c r="D723" s="537"/>
      <c r="E723" s="537"/>
      <c r="F723" s="537"/>
      <c r="G723" s="537"/>
      <c r="H723" s="537"/>
      <c r="I723" s="538"/>
      <c r="J723" s="537"/>
      <c r="K723" s="194"/>
      <c r="L723" s="194"/>
      <c r="M723" s="194"/>
      <c r="N723" s="194"/>
      <c r="O723" s="194"/>
      <c r="P723" s="194"/>
      <c r="Q723" s="194"/>
      <c r="R723" s="194"/>
      <c r="S723" s="194"/>
      <c r="T723" s="194"/>
      <c r="U723" s="194"/>
      <c r="V723" s="194"/>
      <c r="W723" s="194"/>
      <c r="X723" s="194"/>
      <c r="Y723" s="194"/>
      <c r="Z723" s="194"/>
    </row>
    <row r="724">
      <c r="A724" s="194"/>
      <c r="B724" s="194"/>
      <c r="C724" s="537"/>
      <c r="D724" s="537"/>
      <c r="E724" s="537"/>
      <c r="F724" s="537"/>
      <c r="G724" s="537"/>
      <c r="H724" s="537"/>
      <c r="I724" s="538"/>
      <c r="J724" s="537"/>
      <c r="K724" s="194"/>
      <c r="L724" s="194"/>
      <c r="M724" s="194"/>
      <c r="N724" s="194"/>
      <c r="O724" s="194"/>
      <c r="P724" s="194"/>
      <c r="Q724" s="194"/>
      <c r="R724" s="194"/>
      <c r="S724" s="194"/>
      <c r="T724" s="194"/>
      <c r="U724" s="194"/>
      <c r="V724" s="194"/>
      <c r="W724" s="194"/>
      <c r="X724" s="194"/>
      <c r="Y724" s="194"/>
      <c r="Z724" s="194"/>
    </row>
    <row r="725">
      <c r="A725" s="194"/>
      <c r="B725" s="194"/>
      <c r="C725" s="537"/>
      <c r="D725" s="537"/>
      <c r="E725" s="537"/>
      <c r="F725" s="537"/>
      <c r="G725" s="537"/>
      <c r="H725" s="537"/>
      <c r="I725" s="538"/>
      <c r="J725" s="537"/>
      <c r="K725" s="194"/>
      <c r="L725" s="194"/>
      <c r="M725" s="194"/>
      <c r="N725" s="194"/>
      <c r="O725" s="194"/>
      <c r="P725" s="194"/>
      <c r="Q725" s="194"/>
      <c r="R725" s="194"/>
      <c r="S725" s="194"/>
      <c r="T725" s="194"/>
      <c r="U725" s="194"/>
      <c r="V725" s="194"/>
      <c r="W725" s="194"/>
      <c r="X725" s="194"/>
      <c r="Y725" s="194"/>
      <c r="Z725" s="194"/>
    </row>
    <row r="726">
      <c r="A726" s="194"/>
      <c r="B726" s="194"/>
      <c r="C726" s="537"/>
      <c r="D726" s="537"/>
      <c r="E726" s="537"/>
      <c r="F726" s="537"/>
      <c r="G726" s="537"/>
      <c r="H726" s="537"/>
      <c r="I726" s="538"/>
      <c r="J726" s="537"/>
      <c r="K726" s="194"/>
      <c r="L726" s="194"/>
      <c r="M726" s="194"/>
      <c r="N726" s="194"/>
      <c r="O726" s="194"/>
      <c r="P726" s="194"/>
      <c r="Q726" s="194"/>
      <c r="R726" s="194"/>
      <c r="S726" s="194"/>
      <c r="T726" s="194"/>
      <c r="U726" s="194"/>
      <c r="V726" s="194"/>
      <c r="W726" s="194"/>
      <c r="X726" s="194"/>
      <c r="Y726" s="194"/>
      <c r="Z726" s="194"/>
    </row>
    <row r="727">
      <c r="A727" s="194"/>
      <c r="B727" s="194"/>
      <c r="C727" s="537"/>
      <c r="D727" s="537"/>
      <c r="E727" s="537"/>
      <c r="F727" s="537"/>
      <c r="G727" s="537"/>
      <c r="H727" s="537"/>
      <c r="I727" s="538"/>
      <c r="J727" s="537"/>
      <c r="K727" s="194"/>
      <c r="L727" s="194"/>
      <c r="M727" s="194"/>
      <c r="N727" s="194"/>
      <c r="O727" s="194"/>
      <c r="P727" s="194"/>
      <c r="Q727" s="194"/>
      <c r="R727" s="194"/>
      <c r="S727" s="194"/>
      <c r="T727" s="194"/>
      <c r="U727" s="194"/>
      <c r="V727" s="194"/>
      <c r="W727" s="194"/>
      <c r="X727" s="194"/>
      <c r="Y727" s="194"/>
      <c r="Z727" s="194"/>
    </row>
    <row r="728">
      <c r="A728" s="194"/>
      <c r="B728" s="194"/>
      <c r="C728" s="537"/>
      <c r="D728" s="537"/>
      <c r="E728" s="537"/>
      <c r="F728" s="537"/>
      <c r="G728" s="537"/>
      <c r="H728" s="537"/>
      <c r="I728" s="538"/>
      <c r="J728" s="537"/>
      <c r="K728" s="194"/>
      <c r="L728" s="194"/>
      <c r="M728" s="194"/>
      <c r="N728" s="194"/>
      <c r="O728" s="194"/>
      <c r="P728" s="194"/>
      <c r="Q728" s="194"/>
      <c r="R728" s="194"/>
      <c r="S728" s="194"/>
      <c r="T728" s="194"/>
      <c r="U728" s="194"/>
      <c r="V728" s="194"/>
      <c r="W728" s="194"/>
      <c r="X728" s="194"/>
      <c r="Y728" s="194"/>
      <c r="Z728" s="194"/>
    </row>
    <row r="729">
      <c r="A729" s="194"/>
      <c r="B729" s="194"/>
      <c r="C729" s="537"/>
      <c r="D729" s="537"/>
      <c r="E729" s="537"/>
      <c r="F729" s="537"/>
      <c r="G729" s="537"/>
      <c r="H729" s="537"/>
      <c r="I729" s="538"/>
      <c r="J729" s="537"/>
      <c r="K729" s="194"/>
      <c r="L729" s="194"/>
      <c r="M729" s="194"/>
      <c r="N729" s="194"/>
      <c r="O729" s="194"/>
      <c r="P729" s="194"/>
      <c r="Q729" s="194"/>
      <c r="R729" s="194"/>
      <c r="S729" s="194"/>
      <c r="T729" s="194"/>
      <c r="U729" s="194"/>
      <c r="V729" s="194"/>
      <c r="W729" s="194"/>
      <c r="X729" s="194"/>
      <c r="Y729" s="194"/>
      <c r="Z729" s="194"/>
    </row>
    <row r="730">
      <c r="A730" s="194"/>
      <c r="B730" s="194"/>
      <c r="C730" s="537"/>
      <c r="D730" s="537"/>
      <c r="E730" s="537"/>
      <c r="F730" s="537"/>
      <c r="G730" s="537"/>
      <c r="H730" s="537"/>
      <c r="I730" s="538"/>
      <c r="J730" s="537"/>
      <c r="K730" s="194"/>
      <c r="L730" s="194"/>
      <c r="M730" s="194"/>
      <c r="N730" s="194"/>
      <c r="O730" s="194"/>
      <c r="P730" s="194"/>
      <c r="Q730" s="194"/>
      <c r="R730" s="194"/>
      <c r="S730" s="194"/>
      <c r="T730" s="194"/>
      <c r="U730" s="194"/>
      <c r="V730" s="194"/>
      <c r="W730" s="194"/>
      <c r="X730" s="194"/>
      <c r="Y730" s="194"/>
      <c r="Z730" s="194"/>
    </row>
    <row r="731">
      <c r="A731" s="194"/>
      <c r="B731" s="194"/>
      <c r="C731" s="537"/>
      <c r="D731" s="537"/>
      <c r="E731" s="537"/>
      <c r="F731" s="537"/>
      <c r="G731" s="537"/>
      <c r="H731" s="537"/>
      <c r="I731" s="538"/>
      <c r="J731" s="537"/>
      <c r="K731" s="194"/>
      <c r="L731" s="194"/>
      <c r="M731" s="194"/>
      <c r="N731" s="194"/>
      <c r="O731" s="194"/>
      <c r="P731" s="194"/>
      <c r="Q731" s="194"/>
      <c r="R731" s="194"/>
      <c r="S731" s="194"/>
      <c r="T731" s="194"/>
      <c r="U731" s="194"/>
      <c r="V731" s="194"/>
      <c r="W731" s="194"/>
      <c r="X731" s="194"/>
      <c r="Y731" s="194"/>
      <c r="Z731" s="194"/>
    </row>
    <row r="732">
      <c r="A732" s="194"/>
      <c r="B732" s="194"/>
      <c r="C732" s="537"/>
      <c r="D732" s="537"/>
      <c r="E732" s="537"/>
      <c r="F732" s="537"/>
      <c r="G732" s="537"/>
      <c r="H732" s="537"/>
      <c r="I732" s="538"/>
      <c r="J732" s="537"/>
      <c r="K732" s="194"/>
      <c r="L732" s="194"/>
      <c r="M732" s="194"/>
      <c r="N732" s="194"/>
      <c r="O732" s="194"/>
      <c r="P732" s="194"/>
      <c r="Q732" s="194"/>
      <c r="R732" s="194"/>
      <c r="S732" s="194"/>
      <c r="T732" s="194"/>
      <c r="U732" s="194"/>
      <c r="V732" s="194"/>
      <c r="W732" s="194"/>
      <c r="X732" s="194"/>
      <c r="Y732" s="194"/>
      <c r="Z732" s="194"/>
    </row>
    <row r="733">
      <c r="A733" s="194"/>
      <c r="B733" s="194"/>
      <c r="C733" s="537"/>
      <c r="D733" s="537"/>
      <c r="E733" s="537"/>
      <c r="F733" s="537"/>
      <c r="G733" s="537"/>
      <c r="H733" s="537"/>
      <c r="I733" s="538"/>
      <c r="J733" s="537"/>
      <c r="K733" s="194"/>
      <c r="L733" s="194"/>
      <c r="M733" s="194"/>
      <c r="N733" s="194"/>
      <c r="O733" s="194"/>
      <c r="P733" s="194"/>
      <c r="Q733" s="194"/>
      <c r="R733" s="194"/>
      <c r="S733" s="194"/>
      <c r="T733" s="194"/>
      <c r="U733" s="194"/>
      <c r="V733" s="194"/>
      <c r="W733" s="194"/>
      <c r="X733" s="194"/>
      <c r="Y733" s="194"/>
      <c r="Z733" s="194"/>
    </row>
    <row r="734">
      <c r="A734" s="194"/>
      <c r="B734" s="194"/>
      <c r="C734" s="537"/>
      <c r="D734" s="537"/>
      <c r="E734" s="537"/>
      <c r="F734" s="537"/>
      <c r="G734" s="537"/>
      <c r="H734" s="537"/>
      <c r="I734" s="538"/>
      <c r="J734" s="537"/>
      <c r="K734" s="194"/>
      <c r="L734" s="194"/>
      <c r="M734" s="194"/>
      <c r="N734" s="194"/>
      <c r="O734" s="194"/>
      <c r="P734" s="194"/>
      <c r="Q734" s="194"/>
      <c r="R734" s="194"/>
      <c r="S734" s="194"/>
      <c r="T734" s="194"/>
      <c r="U734" s="194"/>
      <c r="V734" s="194"/>
      <c r="W734" s="194"/>
      <c r="X734" s="194"/>
      <c r="Y734" s="194"/>
      <c r="Z734" s="194"/>
    </row>
    <row r="735">
      <c r="A735" s="194"/>
      <c r="B735" s="194"/>
      <c r="C735" s="537"/>
      <c r="D735" s="537"/>
      <c r="E735" s="537"/>
      <c r="F735" s="537"/>
      <c r="G735" s="537"/>
      <c r="H735" s="537"/>
      <c r="I735" s="538"/>
      <c r="J735" s="537"/>
      <c r="K735" s="194"/>
      <c r="L735" s="194"/>
      <c r="M735" s="194"/>
      <c r="N735" s="194"/>
      <c r="O735" s="194"/>
      <c r="P735" s="194"/>
      <c r="Q735" s="194"/>
      <c r="R735" s="194"/>
      <c r="S735" s="194"/>
      <c r="T735" s="194"/>
      <c r="U735" s="194"/>
      <c r="V735" s="194"/>
      <c r="W735" s="194"/>
      <c r="X735" s="194"/>
      <c r="Y735" s="194"/>
      <c r="Z735" s="194"/>
    </row>
    <row r="736">
      <c r="A736" s="194"/>
      <c r="B736" s="194"/>
      <c r="C736" s="537"/>
      <c r="D736" s="537"/>
      <c r="E736" s="537"/>
      <c r="F736" s="537"/>
      <c r="G736" s="537"/>
      <c r="H736" s="537"/>
      <c r="I736" s="538"/>
      <c r="J736" s="537"/>
      <c r="K736" s="194"/>
      <c r="L736" s="194"/>
      <c r="M736" s="194"/>
      <c r="N736" s="194"/>
      <c r="O736" s="194"/>
      <c r="P736" s="194"/>
      <c r="Q736" s="194"/>
      <c r="R736" s="194"/>
      <c r="S736" s="194"/>
      <c r="T736" s="194"/>
      <c r="U736" s="194"/>
      <c r="V736" s="194"/>
      <c r="W736" s="194"/>
      <c r="X736" s="194"/>
      <c r="Y736" s="194"/>
      <c r="Z736" s="194"/>
    </row>
    <row r="737">
      <c r="A737" s="194"/>
      <c r="B737" s="194"/>
      <c r="C737" s="537"/>
      <c r="D737" s="537"/>
      <c r="E737" s="537"/>
      <c r="F737" s="537"/>
      <c r="G737" s="537"/>
      <c r="H737" s="537"/>
      <c r="I737" s="538"/>
      <c r="J737" s="537"/>
      <c r="K737" s="194"/>
      <c r="L737" s="194"/>
      <c r="M737" s="194"/>
      <c r="N737" s="194"/>
      <c r="O737" s="194"/>
      <c r="P737" s="194"/>
      <c r="Q737" s="194"/>
      <c r="R737" s="194"/>
      <c r="S737" s="194"/>
      <c r="T737" s="194"/>
      <c r="U737" s="194"/>
      <c r="V737" s="194"/>
      <c r="W737" s="194"/>
      <c r="X737" s="194"/>
      <c r="Y737" s="194"/>
      <c r="Z737" s="194"/>
    </row>
    <row r="738">
      <c r="A738" s="194"/>
      <c r="B738" s="194"/>
      <c r="C738" s="537"/>
      <c r="D738" s="537"/>
      <c r="E738" s="537"/>
      <c r="F738" s="537"/>
      <c r="G738" s="537"/>
      <c r="H738" s="537"/>
      <c r="I738" s="538"/>
      <c r="J738" s="537"/>
      <c r="K738" s="194"/>
      <c r="L738" s="194"/>
      <c r="M738" s="194"/>
      <c r="N738" s="194"/>
      <c r="O738" s="194"/>
      <c r="P738" s="194"/>
      <c r="Q738" s="194"/>
      <c r="R738" s="194"/>
      <c r="S738" s="194"/>
      <c r="T738" s="194"/>
      <c r="U738" s="194"/>
      <c r="V738" s="194"/>
      <c r="W738" s="194"/>
      <c r="X738" s="194"/>
      <c r="Y738" s="194"/>
      <c r="Z738" s="194"/>
    </row>
    <row r="739">
      <c r="A739" s="194"/>
      <c r="B739" s="194"/>
      <c r="C739" s="537"/>
      <c r="D739" s="537"/>
      <c r="E739" s="537"/>
      <c r="F739" s="537"/>
      <c r="G739" s="537"/>
      <c r="H739" s="537"/>
      <c r="I739" s="538"/>
      <c r="J739" s="537"/>
      <c r="K739" s="194"/>
      <c r="L739" s="194"/>
      <c r="M739" s="194"/>
      <c r="N739" s="194"/>
      <c r="O739" s="194"/>
      <c r="P739" s="194"/>
      <c r="Q739" s="194"/>
      <c r="R739" s="194"/>
      <c r="S739" s="194"/>
      <c r="T739" s="194"/>
      <c r="U739" s="194"/>
      <c r="V739" s="194"/>
      <c r="W739" s="194"/>
      <c r="X739" s="194"/>
      <c r="Y739" s="194"/>
      <c r="Z739" s="194"/>
    </row>
    <row r="740">
      <c r="A740" s="194"/>
      <c r="B740" s="194"/>
      <c r="C740" s="537"/>
      <c r="D740" s="537"/>
      <c r="E740" s="537"/>
      <c r="F740" s="537"/>
      <c r="G740" s="537"/>
      <c r="H740" s="537"/>
      <c r="I740" s="538"/>
      <c r="J740" s="537"/>
      <c r="K740" s="194"/>
      <c r="L740" s="194"/>
      <c r="M740" s="194"/>
      <c r="N740" s="194"/>
      <c r="O740" s="194"/>
      <c r="P740" s="194"/>
      <c r="Q740" s="194"/>
      <c r="R740" s="194"/>
      <c r="S740" s="194"/>
      <c r="T740" s="194"/>
      <c r="U740" s="194"/>
      <c r="V740" s="194"/>
      <c r="W740" s="194"/>
      <c r="X740" s="194"/>
      <c r="Y740" s="194"/>
      <c r="Z740" s="194"/>
    </row>
    <row r="741">
      <c r="A741" s="194"/>
      <c r="B741" s="194"/>
      <c r="C741" s="537"/>
      <c r="D741" s="537"/>
      <c r="E741" s="537"/>
      <c r="F741" s="537"/>
      <c r="G741" s="537"/>
      <c r="H741" s="537"/>
      <c r="I741" s="538"/>
      <c r="J741" s="537"/>
      <c r="K741" s="194"/>
      <c r="L741" s="194"/>
      <c r="M741" s="194"/>
      <c r="N741" s="194"/>
      <c r="O741" s="194"/>
      <c r="P741" s="194"/>
      <c r="Q741" s="194"/>
      <c r="R741" s="194"/>
      <c r="S741" s="194"/>
      <c r="T741" s="194"/>
      <c r="U741" s="194"/>
      <c r="V741" s="194"/>
      <c r="W741" s="194"/>
      <c r="X741" s="194"/>
      <c r="Y741" s="194"/>
      <c r="Z741" s="194"/>
    </row>
    <row r="742">
      <c r="A742" s="194"/>
      <c r="B742" s="194"/>
      <c r="C742" s="537"/>
      <c r="D742" s="537"/>
      <c r="E742" s="537"/>
      <c r="F742" s="537"/>
      <c r="G742" s="537"/>
      <c r="H742" s="537"/>
      <c r="I742" s="538"/>
      <c r="J742" s="537"/>
      <c r="K742" s="194"/>
      <c r="L742" s="194"/>
      <c r="M742" s="194"/>
      <c r="N742" s="194"/>
      <c r="O742" s="194"/>
      <c r="P742" s="194"/>
      <c r="Q742" s="194"/>
      <c r="R742" s="194"/>
      <c r="S742" s="194"/>
      <c r="T742" s="194"/>
      <c r="U742" s="194"/>
      <c r="V742" s="194"/>
      <c r="W742" s="194"/>
      <c r="X742" s="194"/>
      <c r="Y742" s="194"/>
      <c r="Z742" s="194"/>
    </row>
    <row r="743">
      <c r="A743" s="194"/>
      <c r="B743" s="194"/>
      <c r="C743" s="537"/>
      <c r="D743" s="537"/>
      <c r="E743" s="537"/>
      <c r="F743" s="537"/>
      <c r="G743" s="537"/>
      <c r="H743" s="537"/>
      <c r="I743" s="538"/>
      <c r="J743" s="537"/>
      <c r="K743" s="194"/>
      <c r="L743" s="194"/>
      <c r="M743" s="194"/>
      <c r="N743" s="194"/>
      <c r="O743" s="194"/>
      <c r="P743" s="194"/>
      <c r="Q743" s="194"/>
      <c r="R743" s="194"/>
      <c r="S743" s="194"/>
      <c r="T743" s="194"/>
      <c r="U743" s="194"/>
      <c r="V743" s="194"/>
      <c r="W743" s="194"/>
      <c r="X743" s="194"/>
      <c r="Y743" s="194"/>
      <c r="Z743" s="194"/>
    </row>
    <row r="744">
      <c r="A744" s="194"/>
      <c r="B744" s="194"/>
      <c r="C744" s="537"/>
      <c r="D744" s="537"/>
      <c r="E744" s="537"/>
      <c r="F744" s="537"/>
      <c r="G744" s="537"/>
      <c r="H744" s="537"/>
      <c r="I744" s="538"/>
      <c r="J744" s="537"/>
      <c r="K744" s="194"/>
      <c r="L744" s="194"/>
      <c r="M744" s="194"/>
      <c r="N744" s="194"/>
      <c r="O744" s="194"/>
      <c r="P744" s="194"/>
      <c r="Q744" s="194"/>
      <c r="R744" s="194"/>
      <c r="S744" s="194"/>
      <c r="T744" s="194"/>
      <c r="U744" s="194"/>
      <c r="V744" s="194"/>
      <c r="W744" s="194"/>
      <c r="X744" s="194"/>
      <c r="Y744" s="194"/>
      <c r="Z744" s="194"/>
    </row>
    <row r="745">
      <c r="A745" s="194"/>
      <c r="B745" s="194"/>
      <c r="C745" s="537"/>
      <c r="D745" s="537"/>
      <c r="E745" s="537"/>
      <c r="F745" s="537"/>
      <c r="G745" s="537"/>
      <c r="H745" s="537"/>
      <c r="I745" s="538"/>
      <c r="J745" s="537"/>
      <c r="K745" s="194"/>
      <c r="L745" s="194"/>
      <c r="M745" s="194"/>
      <c r="N745" s="194"/>
      <c r="O745" s="194"/>
      <c r="P745" s="194"/>
      <c r="Q745" s="194"/>
      <c r="R745" s="194"/>
      <c r="S745" s="194"/>
      <c r="T745" s="194"/>
      <c r="U745" s="194"/>
      <c r="V745" s="194"/>
      <c r="W745" s="194"/>
      <c r="X745" s="194"/>
      <c r="Y745" s="194"/>
      <c r="Z745" s="194"/>
    </row>
    <row r="746">
      <c r="A746" s="194"/>
      <c r="B746" s="194"/>
      <c r="C746" s="537"/>
      <c r="D746" s="537"/>
      <c r="E746" s="537"/>
      <c r="F746" s="537"/>
      <c r="G746" s="537"/>
      <c r="H746" s="537"/>
      <c r="I746" s="538"/>
      <c r="J746" s="537"/>
      <c r="K746" s="194"/>
      <c r="L746" s="194"/>
      <c r="M746" s="194"/>
      <c r="N746" s="194"/>
      <c r="O746" s="194"/>
      <c r="P746" s="194"/>
      <c r="Q746" s="194"/>
      <c r="R746" s="194"/>
      <c r="S746" s="194"/>
      <c r="T746" s="194"/>
      <c r="U746" s="194"/>
      <c r="V746" s="194"/>
      <c r="W746" s="194"/>
      <c r="X746" s="194"/>
      <c r="Y746" s="194"/>
      <c r="Z746" s="194"/>
    </row>
    <row r="747">
      <c r="A747" s="194"/>
      <c r="B747" s="194"/>
      <c r="C747" s="537"/>
      <c r="D747" s="537"/>
      <c r="E747" s="537"/>
      <c r="F747" s="537"/>
      <c r="G747" s="537"/>
      <c r="H747" s="537"/>
      <c r="I747" s="538"/>
      <c r="J747" s="537"/>
      <c r="K747" s="194"/>
      <c r="L747" s="194"/>
      <c r="M747" s="194"/>
      <c r="N747" s="194"/>
      <c r="O747" s="194"/>
      <c r="P747" s="194"/>
      <c r="Q747" s="194"/>
      <c r="R747" s="194"/>
      <c r="S747" s="194"/>
      <c r="T747" s="194"/>
      <c r="U747" s="194"/>
      <c r="V747" s="194"/>
      <c r="W747" s="194"/>
      <c r="X747" s="194"/>
      <c r="Y747" s="194"/>
      <c r="Z747" s="194"/>
    </row>
    <row r="748">
      <c r="A748" s="194"/>
      <c r="B748" s="194"/>
      <c r="C748" s="537"/>
      <c r="D748" s="537"/>
      <c r="E748" s="537"/>
      <c r="F748" s="537"/>
      <c r="G748" s="537"/>
      <c r="H748" s="537"/>
      <c r="I748" s="538"/>
      <c r="J748" s="537"/>
      <c r="K748" s="194"/>
      <c r="L748" s="194"/>
      <c r="M748" s="194"/>
      <c r="N748" s="194"/>
      <c r="O748" s="194"/>
      <c r="P748" s="194"/>
      <c r="Q748" s="194"/>
      <c r="R748" s="194"/>
      <c r="S748" s="194"/>
      <c r="T748" s="194"/>
      <c r="U748" s="194"/>
      <c r="V748" s="194"/>
      <c r="W748" s="194"/>
      <c r="X748" s="194"/>
      <c r="Y748" s="194"/>
      <c r="Z748" s="194"/>
    </row>
    <row r="749">
      <c r="A749" s="194"/>
      <c r="B749" s="194"/>
      <c r="C749" s="537"/>
      <c r="D749" s="537"/>
      <c r="E749" s="537"/>
      <c r="F749" s="537"/>
      <c r="G749" s="537"/>
      <c r="H749" s="537"/>
      <c r="I749" s="538"/>
      <c r="J749" s="537"/>
      <c r="K749" s="194"/>
      <c r="L749" s="194"/>
      <c r="M749" s="194"/>
      <c r="N749" s="194"/>
      <c r="O749" s="194"/>
      <c r="P749" s="194"/>
      <c r="Q749" s="194"/>
      <c r="R749" s="194"/>
      <c r="S749" s="194"/>
      <c r="T749" s="194"/>
      <c r="U749" s="194"/>
      <c r="V749" s="194"/>
      <c r="W749" s="194"/>
      <c r="X749" s="194"/>
      <c r="Y749" s="194"/>
      <c r="Z749" s="194"/>
    </row>
    <row r="750">
      <c r="A750" s="194"/>
      <c r="B750" s="194"/>
      <c r="C750" s="537"/>
      <c r="D750" s="537"/>
      <c r="E750" s="537"/>
      <c r="F750" s="537"/>
      <c r="G750" s="537"/>
      <c r="H750" s="537"/>
      <c r="I750" s="538"/>
      <c r="J750" s="537"/>
      <c r="K750" s="194"/>
      <c r="L750" s="194"/>
      <c r="M750" s="194"/>
      <c r="N750" s="194"/>
      <c r="O750" s="194"/>
      <c r="P750" s="194"/>
      <c r="Q750" s="194"/>
      <c r="R750" s="194"/>
      <c r="S750" s="194"/>
      <c r="T750" s="194"/>
      <c r="U750" s="194"/>
      <c r="V750" s="194"/>
      <c r="W750" s="194"/>
      <c r="X750" s="194"/>
      <c r="Y750" s="194"/>
      <c r="Z750" s="194"/>
    </row>
    <row r="751">
      <c r="A751" s="194"/>
      <c r="B751" s="194"/>
      <c r="C751" s="537"/>
      <c r="D751" s="537"/>
      <c r="E751" s="537"/>
      <c r="F751" s="537"/>
      <c r="G751" s="537"/>
      <c r="H751" s="537"/>
      <c r="I751" s="538"/>
      <c r="J751" s="537"/>
      <c r="K751" s="194"/>
      <c r="L751" s="194"/>
      <c r="M751" s="194"/>
      <c r="N751" s="194"/>
      <c r="O751" s="194"/>
      <c r="P751" s="194"/>
      <c r="Q751" s="194"/>
      <c r="R751" s="194"/>
      <c r="S751" s="194"/>
      <c r="T751" s="194"/>
      <c r="U751" s="194"/>
      <c r="V751" s="194"/>
      <c r="W751" s="194"/>
      <c r="X751" s="194"/>
      <c r="Y751" s="194"/>
      <c r="Z751" s="194"/>
    </row>
    <row r="752">
      <c r="A752" s="194"/>
      <c r="B752" s="194"/>
      <c r="C752" s="537"/>
      <c r="D752" s="537"/>
      <c r="E752" s="537"/>
      <c r="F752" s="537"/>
      <c r="G752" s="537"/>
      <c r="H752" s="537"/>
      <c r="I752" s="538"/>
      <c r="J752" s="537"/>
      <c r="K752" s="194"/>
      <c r="L752" s="194"/>
      <c r="M752" s="194"/>
      <c r="N752" s="194"/>
      <c r="O752" s="194"/>
      <c r="P752" s="194"/>
      <c r="Q752" s="194"/>
      <c r="R752" s="194"/>
      <c r="S752" s="194"/>
      <c r="T752" s="194"/>
      <c r="U752" s="194"/>
      <c r="V752" s="194"/>
      <c r="W752" s="194"/>
      <c r="X752" s="194"/>
      <c r="Y752" s="194"/>
      <c r="Z752" s="194"/>
    </row>
    <row r="753">
      <c r="A753" s="194"/>
      <c r="B753" s="194"/>
      <c r="C753" s="537"/>
      <c r="D753" s="537"/>
      <c r="E753" s="537"/>
      <c r="F753" s="537"/>
      <c r="G753" s="537"/>
      <c r="H753" s="537"/>
      <c r="I753" s="538"/>
      <c r="J753" s="537"/>
      <c r="K753" s="194"/>
      <c r="L753" s="194"/>
      <c r="M753" s="194"/>
      <c r="N753" s="194"/>
      <c r="O753" s="194"/>
      <c r="P753" s="194"/>
      <c r="Q753" s="194"/>
      <c r="R753" s="194"/>
      <c r="S753" s="194"/>
      <c r="T753" s="194"/>
      <c r="U753" s="194"/>
      <c r="V753" s="194"/>
      <c r="W753" s="194"/>
      <c r="X753" s="194"/>
      <c r="Y753" s="194"/>
      <c r="Z753" s="194"/>
    </row>
    <row r="754">
      <c r="A754" s="194"/>
      <c r="B754" s="194"/>
      <c r="C754" s="537"/>
      <c r="D754" s="537"/>
      <c r="E754" s="537"/>
      <c r="F754" s="537"/>
      <c r="G754" s="537"/>
      <c r="H754" s="537"/>
      <c r="I754" s="538"/>
      <c r="J754" s="537"/>
      <c r="K754" s="194"/>
      <c r="L754" s="194"/>
      <c r="M754" s="194"/>
      <c r="N754" s="194"/>
      <c r="O754" s="194"/>
      <c r="P754" s="194"/>
      <c r="Q754" s="194"/>
      <c r="R754" s="194"/>
      <c r="S754" s="194"/>
      <c r="T754" s="194"/>
      <c r="U754" s="194"/>
      <c r="V754" s="194"/>
      <c r="W754" s="194"/>
      <c r="X754" s="194"/>
      <c r="Y754" s="194"/>
      <c r="Z754" s="194"/>
    </row>
    <row r="755">
      <c r="A755" s="194"/>
      <c r="B755" s="194"/>
      <c r="C755" s="537"/>
      <c r="D755" s="537"/>
      <c r="E755" s="537"/>
      <c r="F755" s="537"/>
      <c r="G755" s="537"/>
      <c r="H755" s="537"/>
      <c r="I755" s="538"/>
      <c r="J755" s="537"/>
      <c r="K755" s="194"/>
      <c r="L755" s="194"/>
      <c r="M755" s="194"/>
      <c r="N755" s="194"/>
      <c r="O755" s="194"/>
      <c r="P755" s="194"/>
      <c r="Q755" s="194"/>
      <c r="R755" s="194"/>
      <c r="S755" s="194"/>
      <c r="T755" s="194"/>
      <c r="U755" s="194"/>
      <c r="V755" s="194"/>
      <c r="W755" s="194"/>
      <c r="X755" s="194"/>
      <c r="Y755" s="194"/>
      <c r="Z755" s="194"/>
    </row>
    <row r="756">
      <c r="A756" s="194"/>
      <c r="B756" s="194"/>
      <c r="C756" s="537"/>
      <c r="D756" s="537"/>
      <c r="E756" s="537"/>
      <c r="F756" s="537"/>
      <c r="G756" s="537"/>
      <c r="H756" s="537"/>
      <c r="I756" s="538"/>
      <c r="J756" s="537"/>
      <c r="K756" s="194"/>
      <c r="L756" s="194"/>
      <c r="M756" s="194"/>
      <c r="N756" s="194"/>
      <c r="O756" s="194"/>
      <c r="P756" s="194"/>
      <c r="Q756" s="194"/>
      <c r="R756" s="194"/>
      <c r="S756" s="194"/>
      <c r="T756" s="194"/>
      <c r="U756" s="194"/>
      <c r="V756" s="194"/>
      <c r="W756" s="194"/>
      <c r="X756" s="194"/>
      <c r="Y756" s="194"/>
      <c r="Z756" s="194"/>
    </row>
    <row r="757">
      <c r="A757" s="194"/>
      <c r="B757" s="194"/>
      <c r="C757" s="537"/>
      <c r="D757" s="537"/>
      <c r="E757" s="537"/>
      <c r="F757" s="537"/>
      <c r="G757" s="537"/>
      <c r="H757" s="537"/>
      <c r="I757" s="538"/>
      <c r="J757" s="537"/>
      <c r="K757" s="194"/>
      <c r="L757" s="194"/>
      <c r="M757" s="194"/>
      <c r="N757" s="194"/>
      <c r="O757" s="194"/>
      <c r="P757" s="194"/>
      <c r="Q757" s="194"/>
      <c r="R757" s="194"/>
      <c r="S757" s="194"/>
      <c r="T757" s="194"/>
      <c r="U757" s="194"/>
      <c r="V757" s="194"/>
      <c r="W757" s="194"/>
      <c r="X757" s="194"/>
      <c r="Y757" s="194"/>
      <c r="Z757" s="194"/>
    </row>
    <row r="758">
      <c r="A758" s="194"/>
      <c r="B758" s="194"/>
      <c r="C758" s="537"/>
      <c r="D758" s="537"/>
      <c r="E758" s="537"/>
      <c r="F758" s="537"/>
      <c r="G758" s="537"/>
      <c r="H758" s="537"/>
      <c r="I758" s="538"/>
      <c r="J758" s="537"/>
      <c r="K758" s="194"/>
      <c r="L758" s="194"/>
      <c r="M758" s="194"/>
      <c r="N758" s="194"/>
      <c r="O758" s="194"/>
      <c r="P758" s="194"/>
      <c r="Q758" s="194"/>
      <c r="R758" s="194"/>
      <c r="S758" s="194"/>
      <c r="T758" s="194"/>
      <c r="U758" s="194"/>
      <c r="V758" s="194"/>
      <c r="W758" s="194"/>
      <c r="X758" s="194"/>
      <c r="Y758" s="194"/>
      <c r="Z758" s="194"/>
    </row>
    <row r="759">
      <c r="A759" s="194"/>
      <c r="B759" s="194"/>
      <c r="C759" s="537"/>
      <c r="D759" s="537"/>
      <c r="E759" s="537"/>
      <c r="F759" s="537"/>
      <c r="G759" s="537"/>
      <c r="H759" s="537"/>
      <c r="I759" s="538"/>
      <c r="J759" s="537"/>
      <c r="K759" s="194"/>
      <c r="L759" s="194"/>
      <c r="M759" s="194"/>
      <c r="N759" s="194"/>
      <c r="O759" s="194"/>
      <c r="P759" s="194"/>
      <c r="Q759" s="194"/>
      <c r="R759" s="194"/>
      <c r="S759" s="194"/>
      <c r="T759" s="194"/>
      <c r="U759" s="194"/>
      <c r="V759" s="194"/>
      <c r="W759" s="194"/>
      <c r="X759" s="194"/>
      <c r="Y759" s="194"/>
      <c r="Z759" s="194"/>
    </row>
    <row r="760">
      <c r="A760" s="194"/>
      <c r="B760" s="194"/>
      <c r="C760" s="537"/>
      <c r="D760" s="537"/>
      <c r="E760" s="537"/>
      <c r="F760" s="537"/>
      <c r="G760" s="537"/>
      <c r="H760" s="537"/>
      <c r="I760" s="538"/>
      <c r="J760" s="537"/>
      <c r="K760" s="194"/>
      <c r="L760" s="194"/>
      <c r="M760" s="194"/>
      <c r="N760" s="194"/>
      <c r="O760" s="194"/>
      <c r="P760" s="194"/>
      <c r="Q760" s="194"/>
      <c r="R760" s="194"/>
      <c r="S760" s="194"/>
      <c r="T760" s="194"/>
      <c r="U760" s="194"/>
      <c r="V760" s="194"/>
      <c r="W760" s="194"/>
      <c r="X760" s="194"/>
      <c r="Y760" s="194"/>
      <c r="Z760" s="194"/>
    </row>
    <row r="761">
      <c r="A761" s="194"/>
      <c r="B761" s="194"/>
      <c r="C761" s="537"/>
      <c r="D761" s="537"/>
      <c r="E761" s="537"/>
      <c r="F761" s="537"/>
      <c r="G761" s="537"/>
      <c r="H761" s="537"/>
      <c r="I761" s="538"/>
      <c r="J761" s="537"/>
      <c r="K761" s="194"/>
      <c r="L761" s="194"/>
      <c r="M761" s="194"/>
      <c r="N761" s="194"/>
      <c r="O761" s="194"/>
      <c r="P761" s="194"/>
      <c r="Q761" s="194"/>
      <c r="R761" s="194"/>
      <c r="S761" s="194"/>
      <c r="T761" s="194"/>
      <c r="U761" s="194"/>
      <c r="V761" s="194"/>
      <c r="W761" s="194"/>
      <c r="X761" s="194"/>
      <c r="Y761" s="194"/>
      <c r="Z761" s="194"/>
    </row>
    <row r="762">
      <c r="A762" s="194"/>
      <c r="B762" s="194"/>
      <c r="C762" s="537"/>
      <c r="D762" s="537"/>
      <c r="E762" s="537"/>
      <c r="F762" s="537"/>
      <c r="G762" s="537"/>
      <c r="H762" s="537"/>
      <c r="I762" s="538"/>
      <c r="J762" s="537"/>
      <c r="K762" s="194"/>
      <c r="L762" s="194"/>
      <c r="M762" s="194"/>
      <c r="N762" s="194"/>
      <c r="O762" s="194"/>
      <c r="P762" s="194"/>
      <c r="Q762" s="194"/>
      <c r="R762" s="194"/>
      <c r="S762" s="194"/>
      <c r="T762" s="194"/>
      <c r="U762" s="194"/>
      <c r="V762" s="194"/>
      <c r="W762" s="194"/>
      <c r="X762" s="194"/>
      <c r="Y762" s="194"/>
      <c r="Z762" s="194"/>
    </row>
    <row r="763">
      <c r="A763" s="194"/>
      <c r="B763" s="194"/>
      <c r="C763" s="537"/>
      <c r="D763" s="537"/>
      <c r="E763" s="537"/>
      <c r="F763" s="537"/>
      <c r="G763" s="537"/>
      <c r="H763" s="537"/>
      <c r="I763" s="538"/>
      <c r="J763" s="537"/>
      <c r="K763" s="194"/>
      <c r="L763" s="194"/>
      <c r="M763" s="194"/>
      <c r="N763" s="194"/>
      <c r="O763" s="194"/>
      <c r="P763" s="194"/>
      <c r="Q763" s="194"/>
      <c r="R763" s="194"/>
      <c r="S763" s="194"/>
      <c r="T763" s="194"/>
      <c r="U763" s="194"/>
      <c r="V763" s="194"/>
      <c r="W763" s="194"/>
      <c r="X763" s="194"/>
      <c r="Y763" s="194"/>
      <c r="Z763" s="194"/>
    </row>
    <row r="764">
      <c r="A764" s="194"/>
      <c r="B764" s="194"/>
      <c r="C764" s="537"/>
      <c r="D764" s="537"/>
      <c r="E764" s="537"/>
      <c r="F764" s="537"/>
      <c r="G764" s="537"/>
      <c r="H764" s="537"/>
      <c r="I764" s="538"/>
      <c r="J764" s="537"/>
      <c r="K764" s="194"/>
      <c r="L764" s="194"/>
      <c r="M764" s="194"/>
      <c r="N764" s="194"/>
      <c r="O764" s="194"/>
      <c r="P764" s="194"/>
      <c r="Q764" s="194"/>
      <c r="R764" s="194"/>
      <c r="S764" s="194"/>
      <c r="T764" s="194"/>
      <c r="U764" s="194"/>
      <c r="V764" s="194"/>
      <c r="W764" s="194"/>
      <c r="X764" s="194"/>
      <c r="Y764" s="194"/>
      <c r="Z764" s="194"/>
    </row>
    <row r="765">
      <c r="A765" s="194"/>
      <c r="B765" s="194"/>
      <c r="C765" s="537"/>
      <c r="D765" s="537"/>
      <c r="E765" s="537"/>
      <c r="F765" s="537"/>
      <c r="G765" s="537"/>
      <c r="H765" s="537"/>
      <c r="I765" s="538"/>
      <c r="J765" s="537"/>
      <c r="K765" s="194"/>
      <c r="L765" s="194"/>
      <c r="M765" s="194"/>
      <c r="N765" s="194"/>
      <c r="O765" s="194"/>
      <c r="P765" s="194"/>
      <c r="Q765" s="194"/>
      <c r="R765" s="194"/>
      <c r="S765" s="194"/>
      <c r="T765" s="194"/>
      <c r="U765" s="194"/>
      <c r="V765" s="194"/>
      <c r="W765" s="194"/>
      <c r="X765" s="194"/>
      <c r="Y765" s="194"/>
      <c r="Z765" s="194"/>
    </row>
    <row r="766">
      <c r="A766" s="194"/>
      <c r="B766" s="194"/>
      <c r="C766" s="537"/>
      <c r="D766" s="537"/>
      <c r="E766" s="537"/>
      <c r="F766" s="537"/>
      <c r="G766" s="537"/>
      <c r="H766" s="537"/>
      <c r="I766" s="538"/>
      <c r="J766" s="537"/>
      <c r="K766" s="194"/>
      <c r="L766" s="194"/>
      <c r="M766" s="194"/>
      <c r="N766" s="194"/>
      <c r="O766" s="194"/>
      <c r="P766" s="194"/>
      <c r="Q766" s="194"/>
      <c r="R766" s="194"/>
      <c r="S766" s="194"/>
      <c r="T766" s="194"/>
      <c r="U766" s="194"/>
      <c r="V766" s="194"/>
      <c r="W766" s="194"/>
      <c r="X766" s="194"/>
      <c r="Y766" s="194"/>
      <c r="Z766" s="194"/>
    </row>
    <row r="767">
      <c r="A767" s="194"/>
      <c r="B767" s="194"/>
      <c r="C767" s="537"/>
      <c r="D767" s="537"/>
      <c r="E767" s="537"/>
      <c r="F767" s="537"/>
      <c r="G767" s="537"/>
      <c r="H767" s="537"/>
      <c r="I767" s="538"/>
      <c r="J767" s="537"/>
      <c r="K767" s="194"/>
      <c r="L767" s="194"/>
      <c r="M767" s="194"/>
      <c r="N767" s="194"/>
      <c r="O767" s="194"/>
      <c r="P767" s="194"/>
      <c r="Q767" s="194"/>
      <c r="R767" s="194"/>
      <c r="S767" s="194"/>
      <c r="T767" s="194"/>
      <c r="U767" s="194"/>
      <c r="V767" s="194"/>
      <c r="W767" s="194"/>
      <c r="X767" s="194"/>
      <c r="Y767" s="194"/>
      <c r="Z767" s="194"/>
    </row>
    <row r="768">
      <c r="A768" s="194"/>
      <c r="B768" s="194"/>
      <c r="C768" s="537"/>
      <c r="D768" s="537"/>
      <c r="E768" s="537"/>
      <c r="F768" s="537"/>
      <c r="G768" s="537"/>
      <c r="H768" s="537"/>
      <c r="I768" s="538"/>
      <c r="J768" s="537"/>
      <c r="K768" s="194"/>
      <c r="L768" s="194"/>
      <c r="M768" s="194"/>
      <c r="N768" s="194"/>
      <c r="O768" s="194"/>
      <c r="P768" s="194"/>
      <c r="Q768" s="194"/>
      <c r="R768" s="194"/>
      <c r="S768" s="194"/>
      <c r="T768" s="194"/>
      <c r="U768" s="194"/>
      <c r="V768" s="194"/>
      <c r="W768" s="194"/>
      <c r="X768" s="194"/>
      <c r="Y768" s="194"/>
      <c r="Z768" s="194"/>
    </row>
    <row r="769">
      <c r="A769" s="194"/>
      <c r="B769" s="194"/>
      <c r="C769" s="537"/>
      <c r="D769" s="537"/>
      <c r="E769" s="537"/>
      <c r="F769" s="537"/>
      <c r="G769" s="537"/>
      <c r="H769" s="537"/>
      <c r="I769" s="538"/>
      <c r="J769" s="537"/>
      <c r="K769" s="194"/>
      <c r="L769" s="194"/>
      <c r="M769" s="194"/>
      <c r="N769" s="194"/>
      <c r="O769" s="194"/>
      <c r="P769" s="194"/>
      <c r="Q769" s="194"/>
      <c r="R769" s="194"/>
      <c r="S769" s="194"/>
      <c r="T769" s="194"/>
      <c r="U769" s="194"/>
      <c r="V769" s="194"/>
      <c r="W769" s="194"/>
      <c r="X769" s="194"/>
      <c r="Y769" s="194"/>
      <c r="Z769" s="194"/>
    </row>
    <row r="770">
      <c r="A770" s="194"/>
      <c r="B770" s="194"/>
      <c r="C770" s="537"/>
      <c r="D770" s="537"/>
      <c r="E770" s="537"/>
      <c r="F770" s="537"/>
      <c r="G770" s="537"/>
      <c r="H770" s="537"/>
      <c r="I770" s="538"/>
      <c r="J770" s="537"/>
      <c r="K770" s="194"/>
      <c r="L770" s="194"/>
      <c r="M770" s="194"/>
      <c r="N770" s="194"/>
      <c r="O770" s="194"/>
      <c r="P770" s="194"/>
      <c r="Q770" s="194"/>
      <c r="R770" s="194"/>
      <c r="S770" s="194"/>
      <c r="T770" s="194"/>
      <c r="U770" s="194"/>
      <c r="V770" s="194"/>
      <c r="W770" s="194"/>
      <c r="X770" s="194"/>
      <c r="Y770" s="194"/>
      <c r="Z770" s="194"/>
    </row>
    <row r="771">
      <c r="A771" s="194"/>
      <c r="B771" s="194"/>
      <c r="C771" s="537"/>
      <c r="D771" s="537"/>
      <c r="E771" s="537"/>
      <c r="F771" s="537"/>
      <c r="G771" s="537"/>
      <c r="H771" s="537"/>
      <c r="I771" s="538"/>
      <c r="J771" s="537"/>
      <c r="K771" s="194"/>
      <c r="L771" s="194"/>
      <c r="M771" s="194"/>
      <c r="N771" s="194"/>
      <c r="O771" s="194"/>
      <c r="P771" s="194"/>
      <c r="Q771" s="194"/>
      <c r="R771" s="194"/>
      <c r="S771" s="194"/>
      <c r="T771" s="194"/>
      <c r="U771" s="194"/>
      <c r="V771" s="194"/>
      <c r="W771" s="194"/>
      <c r="X771" s="194"/>
      <c r="Y771" s="194"/>
      <c r="Z771" s="194"/>
    </row>
    <row r="772">
      <c r="A772" s="194"/>
      <c r="B772" s="194"/>
      <c r="C772" s="537"/>
      <c r="D772" s="537"/>
      <c r="E772" s="537"/>
      <c r="F772" s="537"/>
      <c r="G772" s="537"/>
      <c r="H772" s="537"/>
      <c r="I772" s="538"/>
      <c r="J772" s="537"/>
      <c r="K772" s="194"/>
      <c r="L772" s="194"/>
      <c r="M772" s="194"/>
      <c r="N772" s="194"/>
      <c r="O772" s="194"/>
      <c r="P772" s="194"/>
      <c r="Q772" s="194"/>
      <c r="R772" s="194"/>
      <c r="S772" s="194"/>
      <c r="T772" s="194"/>
      <c r="U772" s="194"/>
      <c r="V772" s="194"/>
      <c r="W772" s="194"/>
      <c r="X772" s="194"/>
      <c r="Y772" s="194"/>
      <c r="Z772" s="194"/>
    </row>
    <row r="773">
      <c r="A773" s="194"/>
      <c r="B773" s="194"/>
      <c r="C773" s="537"/>
      <c r="D773" s="537"/>
      <c r="E773" s="537"/>
      <c r="F773" s="537"/>
      <c r="G773" s="537"/>
      <c r="H773" s="537"/>
      <c r="I773" s="538"/>
      <c r="J773" s="537"/>
      <c r="K773" s="194"/>
      <c r="L773" s="194"/>
      <c r="M773" s="194"/>
      <c r="N773" s="194"/>
      <c r="O773" s="194"/>
      <c r="P773" s="194"/>
      <c r="Q773" s="194"/>
      <c r="R773" s="194"/>
      <c r="S773" s="194"/>
      <c r="T773" s="194"/>
      <c r="U773" s="194"/>
      <c r="V773" s="194"/>
      <c r="W773" s="194"/>
      <c r="X773" s="194"/>
      <c r="Y773" s="194"/>
      <c r="Z773" s="194"/>
    </row>
    <row r="774">
      <c r="A774" s="194"/>
      <c r="B774" s="194"/>
      <c r="C774" s="537"/>
      <c r="D774" s="537"/>
      <c r="E774" s="537"/>
      <c r="F774" s="537"/>
      <c r="G774" s="537"/>
      <c r="H774" s="537"/>
      <c r="I774" s="538"/>
      <c r="J774" s="537"/>
      <c r="K774" s="194"/>
      <c r="L774" s="194"/>
      <c r="M774" s="194"/>
      <c r="N774" s="194"/>
      <c r="O774" s="194"/>
      <c r="P774" s="194"/>
      <c r="Q774" s="194"/>
      <c r="R774" s="194"/>
      <c r="S774" s="194"/>
      <c r="T774" s="194"/>
      <c r="U774" s="194"/>
      <c r="V774" s="194"/>
      <c r="W774" s="194"/>
      <c r="X774" s="194"/>
      <c r="Y774" s="194"/>
      <c r="Z774" s="194"/>
    </row>
    <row r="775">
      <c r="A775" s="194"/>
      <c r="B775" s="194"/>
      <c r="C775" s="537"/>
      <c r="D775" s="537"/>
      <c r="E775" s="537"/>
      <c r="F775" s="537"/>
      <c r="G775" s="537"/>
      <c r="H775" s="537"/>
      <c r="I775" s="538"/>
      <c r="J775" s="537"/>
      <c r="K775" s="194"/>
      <c r="L775" s="194"/>
      <c r="M775" s="194"/>
      <c r="N775" s="194"/>
      <c r="O775" s="194"/>
      <c r="P775" s="194"/>
      <c r="Q775" s="194"/>
      <c r="R775" s="194"/>
      <c r="S775" s="194"/>
      <c r="T775" s="194"/>
      <c r="U775" s="194"/>
      <c r="V775" s="194"/>
      <c r="W775" s="194"/>
      <c r="X775" s="194"/>
      <c r="Y775" s="194"/>
      <c r="Z775" s="194"/>
    </row>
    <row r="776">
      <c r="A776" s="194"/>
      <c r="B776" s="194"/>
      <c r="C776" s="537"/>
      <c r="D776" s="537"/>
      <c r="E776" s="537"/>
      <c r="F776" s="537"/>
      <c r="G776" s="537"/>
      <c r="H776" s="537"/>
      <c r="I776" s="538"/>
      <c r="J776" s="537"/>
      <c r="K776" s="194"/>
      <c r="L776" s="194"/>
      <c r="M776" s="194"/>
      <c r="N776" s="194"/>
      <c r="O776" s="194"/>
      <c r="P776" s="194"/>
      <c r="Q776" s="194"/>
      <c r="R776" s="194"/>
      <c r="S776" s="194"/>
      <c r="T776" s="194"/>
      <c r="U776" s="194"/>
      <c r="V776" s="194"/>
      <c r="W776" s="194"/>
      <c r="X776" s="194"/>
      <c r="Y776" s="194"/>
      <c r="Z776" s="194"/>
    </row>
    <row r="777">
      <c r="A777" s="194"/>
      <c r="B777" s="194"/>
      <c r="C777" s="537"/>
      <c r="D777" s="537"/>
      <c r="E777" s="537"/>
      <c r="F777" s="537"/>
      <c r="G777" s="537"/>
      <c r="H777" s="537"/>
      <c r="I777" s="538"/>
      <c r="J777" s="537"/>
      <c r="K777" s="194"/>
      <c r="L777" s="194"/>
      <c r="M777" s="194"/>
      <c r="N777" s="194"/>
      <c r="O777" s="194"/>
      <c r="P777" s="194"/>
      <c r="Q777" s="194"/>
      <c r="R777" s="194"/>
      <c r="S777" s="194"/>
      <c r="T777" s="194"/>
      <c r="U777" s="194"/>
      <c r="V777" s="194"/>
      <c r="W777" s="194"/>
      <c r="X777" s="194"/>
      <c r="Y777" s="194"/>
      <c r="Z777" s="194"/>
    </row>
    <row r="778">
      <c r="A778" s="194"/>
      <c r="B778" s="194"/>
      <c r="C778" s="537"/>
      <c r="D778" s="537"/>
      <c r="E778" s="537"/>
      <c r="F778" s="537"/>
      <c r="G778" s="537"/>
      <c r="H778" s="537"/>
      <c r="I778" s="538"/>
      <c r="J778" s="537"/>
      <c r="K778" s="194"/>
      <c r="L778" s="194"/>
      <c r="M778" s="194"/>
      <c r="N778" s="194"/>
      <c r="O778" s="194"/>
      <c r="P778" s="194"/>
      <c r="Q778" s="194"/>
      <c r="R778" s="194"/>
      <c r="S778" s="194"/>
      <c r="T778" s="194"/>
      <c r="U778" s="194"/>
      <c r="V778" s="194"/>
      <c r="W778" s="194"/>
      <c r="X778" s="194"/>
      <c r="Y778" s="194"/>
      <c r="Z778" s="194"/>
    </row>
    <row r="779">
      <c r="A779" s="194"/>
      <c r="B779" s="194"/>
      <c r="C779" s="537"/>
      <c r="D779" s="537"/>
      <c r="E779" s="537"/>
      <c r="F779" s="537"/>
      <c r="G779" s="537"/>
      <c r="H779" s="537"/>
      <c r="I779" s="538"/>
      <c r="J779" s="537"/>
      <c r="K779" s="194"/>
      <c r="L779" s="194"/>
      <c r="M779" s="194"/>
      <c r="N779" s="194"/>
      <c r="O779" s="194"/>
      <c r="P779" s="194"/>
      <c r="Q779" s="194"/>
      <c r="R779" s="194"/>
      <c r="S779" s="194"/>
      <c r="T779" s="194"/>
      <c r="U779" s="194"/>
      <c r="V779" s="194"/>
      <c r="W779" s="194"/>
      <c r="X779" s="194"/>
      <c r="Y779" s="194"/>
      <c r="Z779" s="194"/>
    </row>
    <row r="780">
      <c r="A780" s="194"/>
      <c r="B780" s="194"/>
      <c r="C780" s="537"/>
      <c r="D780" s="537"/>
      <c r="E780" s="537"/>
      <c r="F780" s="537"/>
      <c r="G780" s="537"/>
      <c r="H780" s="537"/>
      <c r="I780" s="538"/>
      <c r="J780" s="537"/>
      <c r="K780" s="194"/>
      <c r="L780" s="194"/>
      <c r="M780" s="194"/>
      <c r="N780" s="194"/>
      <c r="O780" s="194"/>
      <c r="P780" s="194"/>
      <c r="Q780" s="194"/>
      <c r="R780" s="194"/>
      <c r="S780" s="194"/>
      <c r="T780" s="194"/>
      <c r="U780" s="194"/>
      <c r="V780" s="194"/>
      <c r="W780" s="194"/>
      <c r="X780" s="194"/>
      <c r="Y780" s="194"/>
      <c r="Z780" s="194"/>
    </row>
    <row r="781">
      <c r="A781" s="194"/>
      <c r="B781" s="194"/>
      <c r="C781" s="537"/>
      <c r="D781" s="537"/>
      <c r="E781" s="537"/>
      <c r="F781" s="537"/>
      <c r="G781" s="537"/>
      <c r="H781" s="537"/>
      <c r="I781" s="538"/>
      <c r="J781" s="537"/>
      <c r="K781" s="194"/>
      <c r="L781" s="194"/>
      <c r="M781" s="194"/>
      <c r="N781" s="194"/>
      <c r="O781" s="194"/>
      <c r="P781" s="194"/>
      <c r="Q781" s="194"/>
      <c r="R781" s="194"/>
      <c r="S781" s="194"/>
      <c r="T781" s="194"/>
      <c r="U781" s="194"/>
      <c r="V781" s="194"/>
      <c r="W781" s="194"/>
      <c r="X781" s="194"/>
      <c r="Y781" s="194"/>
      <c r="Z781" s="194"/>
    </row>
    <row r="782">
      <c r="A782" s="194"/>
      <c r="B782" s="194"/>
      <c r="C782" s="537"/>
      <c r="D782" s="537"/>
      <c r="E782" s="537"/>
      <c r="F782" s="537"/>
      <c r="G782" s="537"/>
      <c r="H782" s="537"/>
      <c r="I782" s="538"/>
      <c r="J782" s="537"/>
      <c r="K782" s="194"/>
      <c r="L782" s="194"/>
      <c r="M782" s="194"/>
      <c r="N782" s="194"/>
      <c r="O782" s="194"/>
      <c r="P782" s="194"/>
      <c r="Q782" s="194"/>
      <c r="R782" s="194"/>
      <c r="S782" s="194"/>
      <c r="T782" s="194"/>
      <c r="U782" s="194"/>
      <c r="V782" s="194"/>
      <c r="W782" s="194"/>
      <c r="X782" s="194"/>
      <c r="Y782" s="194"/>
      <c r="Z782" s="194"/>
    </row>
    <row r="783">
      <c r="A783" s="194"/>
      <c r="B783" s="194"/>
      <c r="C783" s="537"/>
      <c r="D783" s="537"/>
      <c r="E783" s="537"/>
      <c r="F783" s="537"/>
      <c r="G783" s="537"/>
      <c r="H783" s="537"/>
      <c r="I783" s="538"/>
      <c r="J783" s="537"/>
      <c r="K783" s="194"/>
      <c r="L783" s="194"/>
      <c r="M783" s="194"/>
      <c r="N783" s="194"/>
      <c r="O783" s="194"/>
      <c r="P783" s="194"/>
      <c r="Q783" s="194"/>
      <c r="R783" s="194"/>
      <c r="S783" s="194"/>
      <c r="T783" s="194"/>
      <c r="U783" s="194"/>
      <c r="V783" s="194"/>
      <c r="W783" s="194"/>
      <c r="X783" s="194"/>
      <c r="Y783" s="194"/>
      <c r="Z783" s="194"/>
    </row>
    <row r="784">
      <c r="A784" s="194"/>
      <c r="B784" s="194"/>
      <c r="C784" s="537"/>
      <c r="D784" s="537"/>
      <c r="E784" s="537"/>
      <c r="F784" s="537"/>
      <c r="G784" s="537"/>
      <c r="H784" s="537"/>
      <c r="I784" s="538"/>
      <c r="J784" s="537"/>
      <c r="K784" s="194"/>
      <c r="L784" s="194"/>
      <c r="M784" s="194"/>
      <c r="N784" s="194"/>
      <c r="O784" s="194"/>
      <c r="P784" s="194"/>
      <c r="Q784" s="194"/>
      <c r="R784" s="194"/>
      <c r="S784" s="194"/>
      <c r="T784" s="194"/>
      <c r="U784" s="194"/>
      <c r="V784" s="194"/>
      <c r="W784" s="194"/>
      <c r="X784" s="194"/>
      <c r="Y784" s="194"/>
      <c r="Z784" s="194"/>
    </row>
    <row r="785">
      <c r="A785" s="194"/>
      <c r="B785" s="194"/>
      <c r="C785" s="537"/>
      <c r="D785" s="537"/>
      <c r="E785" s="537"/>
      <c r="F785" s="537"/>
      <c r="G785" s="537"/>
      <c r="H785" s="537"/>
      <c r="I785" s="538"/>
      <c r="J785" s="537"/>
      <c r="K785" s="194"/>
      <c r="L785" s="194"/>
      <c r="M785" s="194"/>
      <c r="N785" s="194"/>
      <c r="O785" s="194"/>
      <c r="P785" s="194"/>
      <c r="Q785" s="194"/>
      <c r="R785" s="194"/>
      <c r="S785" s="194"/>
      <c r="T785" s="194"/>
      <c r="U785" s="194"/>
      <c r="V785" s="194"/>
      <c r="W785" s="194"/>
      <c r="X785" s="194"/>
      <c r="Y785" s="194"/>
      <c r="Z785" s="194"/>
    </row>
    <row r="786">
      <c r="A786" s="194"/>
      <c r="B786" s="194"/>
      <c r="C786" s="537"/>
      <c r="D786" s="537"/>
      <c r="E786" s="537"/>
      <c r="F786" s="537"/>
      <c r="G786" s="537"/>
      <c r="H786" s="537"/>
      <c r="I786" s="538"/>
      <c r="J786" s="537"/>
      <c r="K786" s="194"/>
      <c r="L786" s="194"/>
      <c r="M786" s="194"/>
      <c r="N786" s="194"/>
      <c r="O786" s="194"/>
      <c r="P786" s="194"/>
      <c r="Q786" s="194"/>
      <c r="R786" s="194"/>
      <c r="S786" s="194"/>
      <c r="T786" s="194"/>
      <c r="U786" s="194"/>
      <c r="V786" s="194"/>
      <c r="W786" s="194"/>
      <c r="X786" s="194"/>
      <c r="Y786" s="194"/>
      <c r="Z786" s="194"/>
    </row>
    <row r="787">
      <c r="A787" s="194"/>
      <c r="B787" s="194"/>
      <c r="C787" s="537"/>
      <c r="D787" s="537"/>
      <c r="E787" s="537"/>
      <c r="F787" s="537"/>
      <c r="G787" s="537"/>
      <c r="H787" s="537"/>
      <c r="I787" s="538"/>
      <c r="J787" s="537"/>
      <c r="K787" s="194"/>
      <c r="L787" s="194"/>
      <c r="M787" s="194"/>
      <c r="N787" s="194"/>
      <c r="O787" s="194"/>
      <c r="P787" s="194"/>
      <c r="Q787" s="194"/>
      <c r="R787" s="194"/>
      <c r="S787" s="194"/>
      <c r="T787" s="194"/>
      <c r="U787" s="194"/>
      <c r="V787" s="194"/>
      <c r="W787" s="194"/>
      <c r="X787" s="194"/>
      <c r="Y787" s="194"/>
      <c r="Z787" s="194"/>
    </row>
    <row r="788">
      <c r="A788" s="194"/>
      <c r="B788" s="194"/>
      <c r="C788" s="537"/>
      <c r="D788" s="537"/>
      <c r="E788" s="537"/>
      <c r="F788" s="537"/>
      <c r="G788" s="537"/>
      <c r="H788" s="537"/>
      <c r="I788" s="538"/>
      <c r="J788" s="537"/>
      <c r="K788" s="194"/>
      <c r="L788" s="194"/>
      <c r="M788" s="194"/>
      <c r="N788" s="194"/>
      <c r="O788" s="194"/>
      <c r="P788" s="194"/>
      <c r="Q788" s="194"/>
      <c r="R788" s="194"/>
      <c r="S788" s="194"/>
      <c r="T788" s="194"/>
      <c r="U788" s="194"/>
      <c r="V788" s="194"/>
      <c r="W788" s="194"/>
      <c r="X788" s="194"/>
      <c r="Y788" s="194"/>
      <c r="Z788" s="194"/>
    </row>
    <row r="789">
      <c r="A789" s="194"/>
      <c r="B789" s="194"/>
      <c r="C789" s="537"/>
      <c r="D789" s="537"/>
      <c r="E789" s="537"/>
      <c r="F789" s="537"/>
      <c r="G789" s="537"/>
      <c r="H789" s="537"/>
      <c r="I789" s="538"/>
      <c r="J789" s="537"/>
      <c r="K789" s="194"/>
      <c r="L789" s="194"/>
      <c r="M789" s="194"/>
      <c r="N789" s="194"/>
      <c r="O789" s="194"/>
      <c r="P789" s="194"/>
      <c r="Q789" s="194"/>
      <c r="R789" s="194"/>
      <c r="S789" s="194"/>
      <c r="T789" s="194"/>
      <c r="U789" s="194"/>
      <c r="V789" s="194"/>
      <c r="W789" s="194"/>
      <c r="X789" s="194"/>
      <c r="Y789" s="194"/>
      <c r="Z789" s="194"/>
    </row>
    <row r="790">
      <c r="A790" s="194"/>
      <c r="B790" s="194"/>
      <c r="C790" s="537"/>
      <c r="D790" s="537"/>
      <c r="E790" s="537"/>
      <c r="F790" s="537"/>
      <c r="G790" s="537"/>
      <c r="H790" s="537"/>
      <c r="I790" s="538"/>
      <c r="J790" s="537"/>
      <c r="K790" s="194"/>
      <c r="L790" s="194"/>
      <c r="M790" s="194"/>
      <c r="N790" s="194"/>
      <c r="O790" s="194"/>
      <c r="P790" s="194"/>
      <c r="Q790" s="194"/>
      <c r="R790" s="194"/>
      <c r="S790" s="194"/>
      <c r="T790" s="194"/>
      <c r="U790" s="194"/>
      <c r="V790" s="194"/>
      <c r="W790" s="194"/>
      <c r="X790" s="194"/>
      <c r="Y790" s="194"/>
      <c r="Z790" s="194"/>
    </row>
    <row r="791">
      <c r="A791" s="194"/>
      <c r="B791" s="194"/>
      <c r="C791" s="537"/>
      <c r="D791" s="537"/>
      <c r="E791" s="537"/>
      <c r="F791" s="537"/>
      <c r="G791" s="537"/>
      <c r="H791" s="537"/>
      <c r="I791" s="538"/>
      <c r="J791" s="537"/>
      <c r="K791" s="194"/>
      <c r="L791" s="194"/>
      <c r="M791" s="194"/>
      <c r="N791" s="194"/>
      <c r="O791" s="194"/>
      <c r="P791" s="194"/>
      <c r="Q791" s="194"/>
      <c r="R791" s="194"/>
      <c r="S791" s="194"/>
      <c r="T791" s="194"/>
      <c r="U791" s="194"/>
      <c r="V791" s="194"/>
      <c r="W791" s="194"/>
      <c r="X791" s="194"/>
      <c r="Y791" s="194"/>
      <c r="Z791" s="194"/>
    </row>
    <row r="792">
      <c r="A792" s="194"/>
      <c r="B792" s="194"/>
      <c r="C792" s="537"/>
      <c r="D792" s="537"/>
      <c r="E792" s="537"/>
      <c r="F792" s="537"/>
      <c r="G792" s="537"/>
      <c r="H792" s="537"/>
      <c r="I792" s="538"/>
      <c r="J792" s="537"/>
      <c r="K792" s="194"/>
      <c r="L792" s="194"/>
      <c r="M792" s="194"/>
      <c r="N792" s="194"/>
      <c r="O792" s="194"/>
      <c r="P792" s="194"/>
      <c r="Q792" s="194"/>
      <c r="R792" s="194"/>
      <c r="S792" s="194"/>
      <c r="T792" s="194"/>
      <c r="U792" s="194"/>
      <c r="V792" s="194"/>
      <c r="W792" s="194"/>
      <c r="X792" s="194"/>
      <c r="Y792" s="194"/>
      <c r="Z792" s="194"/>
    </row>
    <row r="793">
      <c r="A793" s="194"/>
      <c r="B793" s="194"/>
      <c r="C793" s="537"/>
      <c r="D793" s="537"/>
      <c r="E793" s="537"/>
      <c r="F793" s="537"/>
      <c r="G793" s="537"/>
      <c r="H793" s="537"/>
      <c r="I793" s="538"/>
      <c r="J793" s="537"/>
      <c r="K793" s="194"/>
      <c r="L793" s="194"/>
      <c r="M793" s="194"/>
      <c r="N793" s="194"/>
      <c r="O793" s="194"/>
      <c r="P793" s="194"/>
      <c r="Q793" s="194"/>
      <c r="R793" s="194"/>
      <c r="S793" s="194"/>
      <c r="T793" s="194"/>
      <c r="U793" s="194"/>
      <c r="V793" s="194"/>
      <c r="W793" s="194"/>
      <c r="X793" s="194"/>
      <c r="Y793" s="194"/>
      <c r="Z793" s="194"/>
    </row>
    <row r="794">
      <c r="A794" s="194"/>
      <c r="B794" s="194"/>
      <c r="C794" s="537"/>
      <c r="D794" s="537"/>
      <c r="E794" s="537"/>
      <c r="F794" s="537"/>
      <c r="G794" s="537"/>
      <c r="H794" s="537"/>
      <c r="I794" s="538"/>
      <c r="J794" s="537"/>
      <c r="K794" s="194"/>
      <c r="L794" s="194"/>
      <c r="M794" s="194"/>
      <c r="N794" s="194"/>
      <c r="O794" s="194"/>
      <c r="P794" s="194"/>
      <c r="Q794" s="194"/>
      <c r="R794" s="194"/>
      <c r="S794" s="194"/>
      <c r="T794" s="194"/>
      <c r="U794" s="194"/>
      <c r="V794" s="194"/>
      <c r="W794" s="194"/>
      <c r="X794" s="194"/>
      <c r="Y794" s="194"/>
      <c r="Z794" s="194"/>
    </row>
    <row r="795">
      <c r="A795" s="194"/>
      <c r="B795" s="194"/>
      <c r="C795" s="537"/>
      <c r="D795" s="537"/>
      <c r="E795" s="537"/>
      <c r="F795" s="537"/>
      <c r="G795" s="537"/>
      <c r="H795" s="537"/>
      <c r="I795" s="538"/>
      <c r="J795" s="537"/>
      <c r="K795" s="194"/>
      <c r="L795" s="194"/>
      <c r="M795" s="194"/>
      <c r="N795" s="194"/>
      <c r="O795" s="194"/>
      <c r="P795" s="194"/>
      <c r="Q795" s="194"/>
      <c r="R795" s="194"/>
      <c r="S795" s="194"/>
      <c r="T795" s="194"/>
      <c r="U795" s="194"/>
      <c r="V795" s="194"/>
      <c r="W795" s="194"/>
      <c r="X795" s="194"/>
      <c r="Y795" s="194"/>
      <c r="Z795" s="194"/>
    </row>
    <row r="796">
      <c r="A796" s="194"/>
      <c r="B796" s="194"/>
      <c r="C796" s="537"/>
      <c r="D796" s="537"/>
      <c r="E796" s="537"/>
      <c r="F796" s="537"/>
      <c r="G796" s="537"/>
      <c r="H796" s="537"/>
      <c r="I796" s="538"/>
      <c r="J796" s="537"/>
      <c r="K796" s="194"/>
      <c r="L796" s="194"/>
      <c r="M796" s="194"/>
      <c r="N796" s="194"/>
      <c r="O796" s="194"/>
      <c r="P796" s="194"/>
      <c r="Q796" s="194"/>
      <c r="R796" s="194"/>
      <c r="S796" s="194"/>
      <c r="T796" s="194"/>
      <c r="U796" s="194"/>
      <c r="V796" s="194"/>
      <c r="W796" s="194"/>
      <c r="X796" s="194"/>
      <c r="Y796" s="194"/>
      <c r="Z796" s="194"/>
    </row>
    <row r="797">
      <c r="A797" s="194"/>
      <c r="B797" s="194"/>
      <c r="C797" s="537"/>
      <c r="D797" s="537"/>
      <c r="E797" s="537"/>
      <c r="F797" s="537"/>
      <c r="G797" s="537"/>
      <c r="H797" s="537"/>
      <c r="I797" s="538"/>
      <c r="J797" s="537"/>
      <c r="K797" s="194"/>
      <c r="L797" s="194"/>
      <c r="M797" s="194"/>
      <c r="N797" s="194"/>
      <c r="O797" s="194"/>
      <c r="P797" s="194"/>
      <c r="Q797" s="194"/>
      <c r="R797" s="194"/>
      <c r="S797" s="194"/>
      <c r="T797" s="194"/>
      <c r="U797" s="194"/>
      <c r="V797" s="194"/>
      <c r="W797" s="194"/>
      <c r="X797" s="194"/>
      <c r="Y797" s="194"/>
      <c r="Z797" s="194"/>
    </row>
    <row r="798">
      <c r="A798" s="194"/>
      <c r="B798" s="194"/>
      <c r="C798" s="537"/>
      <c r="D798" s="537"/>
      <c r="E798" s="537"/>
      <c r="F798" s="537"/>
      <c r="G798" s="537"/>
      <c r="H798" s="537"/>
      <c r="I798" s="538"/>
      <c r="J798" s="537"/>
      <c r="K798" s="194"/>
      <c r="L798" s="194"/>
      <c r="M798" s="194"/>
      <c r="N798" s="194"/>
      <c r="O798" s="194"/>
      <c r="P798" s="194"/>
      <c r="Q798" s="194"/>
      <c r="R798" s="194"/>
      <c r="S798" s="194"/>
      <c r="T798" s="194"/>
      <c r="U798" s="194"/>
      <c r="V798" s="194"/>
      <c r="W798" s="194"/>
      <c r="X798" s="194"/>
      <c r="Y798" s="194"/>
      <c r="Z798" s="194"/>
    </row>
    <row r="799">
      <c r="A799" s="194"/>
      <c r="B799" s="194"/>
      <c r="C799" s="537"/>
      <c r="D799" s="537"/>
      <c r="E799" s="537"/>
      <c r="F799" s="537"/>
      <c r="G799" s="537"/>
      <c r="H799" s="537"/>
      <c r="I799" s="538"/>
      <c r="J799" s="537"/>
      <c r="K799" s="194"/>
      <c r="L799" s="194"/>
      <c r="M799" s="194"/>
      <c r="N799" s="194"/>
      <c r="O799" s="194"/>
      <c r="P799" s="194"/>
      <c r="Q799" s="194"/>
      <c r="R799" s="194"/>
      <c r="S799" s="194"/>
      <c r="T799" s="194"/>
      <c r="U799" s="194"/>
      <c r="V799" s="194"/>
      <c r="W799" s="194"/>
      <c r="X799" s="194"/>
      <c r="Y799" s="194"/>
      <c r="Z799" s="194"/>
    </row>
    <row r="800">
      <c r="A800" s="194"/>
      <c r="B800" s="194"/>
      <c r="C800" s="537"/>
      <c r="D800" s="537"/>
      <c r="E800" s="537"/>
      <c r="F800" s="537"/>
      <c r="G800" s="537"/>
      <c r="H800" s="537"/>
      <c r="I800" s="538"/>
      <c r="J800" s="537"/>
      <c r="K800" s="194"/>
      <c r="L800" s="194"/>
      <c r="M800" s="194"/>
      <c r="N800" s="194"/>
      <c r="O800" s="194"/>
      <c r="P800" s="194"/>
      <c r="Q800" s="194"/>
      <c r="R800" s="194"/>
      <c r="S800" s="194"/>
      <c r="T800" s="194"/>
      <c r="U800" s="194"/>
      <c r="V800" s="194"/>
      <c r="W800" s="194"/>
      <c r="X800" s="194"/>
      <c r="Y800" s="194"/>
      <c r="Z800" s="194"/>
    </row>
    <row r="801">
      <c r="A801" s="194"/>
      <c r="B801" s="194"/>
      <c r="C801" s="537"/>
      <c r="D801" s="537"/>
      <c r="E801" s="537"/>
      <c r="F801" s="537"/>
      <c r="G801" s="537"/>
      <c r="H801" s="537"/>
      <c r="I801" s="538"/>
      <c r="J801" s="537"/>
      <c r="K801" s="194"/>
      <c r="L801" s="194"/>
      <c r="M801" s="194"/>
      <c r="N801" s="194"/>
      <c r="O801" s="194"/>
      <c r="P801" s="194"/>
      <c r="Q801" s="194"/>
      <c r="R801" s="194"/>
      <c r="S801" s="194"/>
      <c r="T801" s="194"/>
      <c r="U801" s="194"/>
      <c r="V801" s="194"/>
      <c r="W801" s="194"/>
      <c r="X801" s="194"/>
      <c r="Y801" s="194"/>
      <c r="Z801" s="194"/>
    </row>
    <row r="802">
      <c r="A802" s="194"/>
      <c r="B802" s="194"/>
      <c r="C802" s="537"/>
      <c r="D802" s="537"/>
      <c r="E802" s="537"/>
      <c r="F802" s="537"/>
      <c r="G802" s="537"/>
      <c r="H802" s="537"/>
      <c r="I802" s="538"/>
      <c r="J802" s="537"/>
      <c r="K802" s="194"/>
      <c r="L802" s="194"/>
      <c r="M802" s="194"/>
      <c r="N802" s="194"/>
      <c r="O802" s="194"/>
      <c r="P802" s="194"/>
      <c r="Q802" s="194"/>
      <c r="R802" s="194"/>
      <c r="S802" s="194"/>
      <c r="T802" s="194"/>
      <c r="U802" s="194"/>
      <c r="V802" s="194"/>
      <c r="W802" s="194"/>
      <c r="X802" s="194"/>
      <c r="Y802" s="194"/>
      <c r="Z802" s="194"/>
    </row>
    <row r="803">
      <c r="A803" s="194"/>
      <c r="B803" s="194"/>
      <c r="C803" s="537"/>
      <c r="D803" s="537"/>
      <c r="E803" s="537"/>
      <c r="F803" s="537"/>
      <c r="G803" s="537"/>
      <c r="H803" s="537"/>
      <c r="I803" s="538"/>
      <c r="J803" s="537"/>
      <c r="K803" s="194"/>
      <c r="L803" s="194"/>
      <c r="M803" s="194"/>
      <c r="N803" s="194"/>
      <c r="O803" s="194"/>
      <c r="P803" s="194"/>
      <c r="Q803" s="194"/>
      <c r="R803" s="194"/>
      <c r="S803" s="194"/>
      <c r="T803" s="194"/>
      <c r="U803" s="194"/>
      <c r="V803" s="194"/>
      <c r="W803" s="194"/>
      <c r="X803" s="194"/>
      <c r="Y803" s="194"/>
      <c r="Z803" s="194"/>
    </row>
    <row r="804">
      <c r="A804" s="194"/>
      <c r="B804" s="194"/>
      <c r="C804" s="537"/>
      <c r="D804" s="537"/>
      <c r="E804" s="537"/>
      <c r="F804" s="537"/>
      <c r="G804" s="537"/>
      <c r="H804" s="537"/>
      <c r="I804" s="538"/>
      <c r="J804" s="537"/>
      <c r="K804" s="194"/>
      <c r="L804" s="194"/>
      <c r="M804" s="194"/>
      <c r="N804" s="194"/>
      <c r="O804" s="194"/>
      <c r="P804" s="194"/>
      <c r="Q804" s="194"/>
      <c r="R804" s="194"/>
      <c r="S804" s="194"/>
      <c r="T804" s="194"/>
      <c r="U804" s="194"/>
      <c r="V804" s="194"/>
      <c r="W804" s="194"/>
      <c r="X804" s="194"/>
      <c r="Y804" s="194"/>
      <c r="Z804" s="194"/>
    </row>
    <row r="805">
      <c r="A805" s="194"/>
      <c r="B805" s="194"/>
      <c r="C805" s="537"/>
      <c r="D805" s="537"/>
      <c r="E805" s="537"/>
      <c r="F805" s="537"/>
      <c r="G805" s="537"/>
      <c r="H805" s="537"/>
      <c r="I805" s="538"/>
      <c r="J805" s="537"/>
      <c r="K805" s="194"/>
      <c r="L805" s="194"/>
      <c r="M805" s="194"/>
      <c r="N805" s="194"/>
      <c r="O805" s="194"/>
      <c r="P805" s="194"/>
      <c r="Q805" s="194"/>
      <c r="R805" s="194"/>
      <c r="S805" s="194"/>
      <c r="T805" s="194"/>
      <c r="U805" s="194"/>
      <c r="V805" s="194"/>
      <c r="W805" s="194"/>
      <c r="X805" s="194"/>
      <c r="Y805" s="194"/>
      <c r="Z805" s="194"/>
    </row>
    <row r="806">
      <c r="A806" s="194"/>
      <c r="B806" s="194"/>
      <c r="C806" s="537"/>
      <c r="D806" s="537"/>
      <c r="E806" s="537"/>
      <c r="F806" s="537"/>
      <c r="G806" s="537"/>
      <c r="H806" s="537"/>
      <c r="I806" s="538"/>
      <c r="J806" s="537"/>
      <c r="K806" s="194"/>
      <c r="L806" s="194"/>
      <c r="M806" s="194"/>
      <c r="N806" s="194"/>
      <c r="O806" s="194"/>
      <c r="P806" s="194"/>
      <c r="Q806" s="194"/>
      <c r="R806" s="194"/>
      <c r="S806" s="194"/>
      <c r="T806" s="194"/>
      <c r="U806" s="194"/>
      <c r="V806" s="194"/>
      <c r="W806" s="194"/>
      <c r="X806" s="194"/>
      <c r="Y806" s="194"/>
      <c r="Z806" s="194"/>
    </row>
    <row r="807">
      <c r="A807" s="194"/>
      <c r="B807" s="194"/>
      <c r="C807" s="537"/>
      <c r="D807" s="537"/>
      <c r="E807" s="537"/>
      <c r="F807" s="537"/>
      <c r="G807" s="537"/>
      <c r="H807" s="537"/>
      <c r="I807" s="538"/>
      <c r="J807" s="537"/>
      <c r="K807" s="194"/>
      <c r="L807" s="194"/>
      <c r="M807" s="194"/>
      <c r="N807" s="194"/>
      <c r="O807" s="194"/>
      <c r="P807" s="194"/>
      <c r="Q807" s="194"/>
      <c r="R807" s="194"/>
      <c r="S807" s="194"/>
      <c r="T807" s="194"/>
      <c r="U807" s="194"/>
      <c r="V807" s="194"/>
      <c r="W807" s="194"/>
      <c r="X807" s="194"/>
      <c r="Y807" s="194"/>
      <c r="Z807" s="194"/>
    </row>
    <row r="808">
      <c r="A808" s="194"/>
      <c r="B808" s="194"/>
      <c r="C808" s="537"/>
      <c r="D808" s="537"/>
      <c r="E808" s="537"/>
      <c r="F808" s="537"/>
      <c r="G808" s="537"/>
      <c r="H808" s="537"/>
      <c r="I808" s="538"/>
      <c r="J808" s="537"/>
      <c r="K808" s="194"/>
      <c r="L808" s="194"/>
      <c r="M808" s="194"/>
      <c r="N808" s="194"/>
      <c r="O808" s="194"/>
      <c r="P808" s="194"/>
      <c r="Q808" s="194"/>
      <c r="R808" s="194"/>
      <c r="S808" s="194"/>
      <c r="T808" s="194"/>
      <c r="U808" s="194"/>
      <c r="V808" s="194"/>
      <c r="W808" s="194"/>
      <c r="X808" s="194"/>
      <c r="Y808" s="194"/>
      <c r="Z808" s="194"/>
    </row>
    <row r="809">
      <c r="A809" s="194"/>
      <c r="B809" s="194"/>
      <c r="C809" s="537"/>
      <c r="D809" s="537"/>
      <c r="E809" s="537"/>
      <c r="F809" s="537"/>
      <c r="G809" s="537"/>
      <c r="H809" s="537"/>
      <c r="I809" s="538"/>
      <c r="J809" s="537"/>
      <c r="K809" s="194"/>
      <c r="L809" s="194"/>
      <c r="M809" s="194"/>
      <c r="N809" s="194"/>
      <c r="O809" s="194"/>
      <c r="P809" s="194"/>
      <c r="Q809" s="194"/>
      <c r="R809" s="194"/>
      <c r="S809" s="194"/>
      <c r="T809" s="194"/>
      <c r="U809" s="194"/>
      <c r="V809" s="194"/>
      <c r="W809" s="194"/>
      <c r="X809" s="194"/>
      <c r="Y809" s="194"/>
      <c r="Z809" s="194"/>
    </row>
    <row r="810">
      <c r="A810" s="194"/>
      <c r="B810" s="194"/>
      <c r="C810" s="537"/>
      <c r="D810" s="537"/>
      <c r="E810" s="537"/>
      <c r="F810" s="537"/>
      <c r="G810" s="537"/>
      <c r="H810" s="537"/>
      <c r="I810" s="538"/>
      <c r="J810" s="537"/>
      <c r="K810" s="194"/>
      <c r="L810" s="194"/>
      <c r="M810" s="194"/>
      <c r="N810" s="194"/>
      <c r="O810" s="194"/>
      <c r="P810" s="194"/>
      <c r="Q810" s="194"/>
      <c r="R810" s="194"/>
      <c r="S810" s="194"/>
      <c r="T810" s="194"/>
      <c r="U810" s="194"/>
      <c r="V810" s="194"/>
      <c r="W810" s="194"/>
      <c r="X810" s="194"/>
      <c r="Y810" s="194"/>
      <c r="Z810" s="194"/>
    </row>
    <row r="811">
      <c r="A811" s="194"/>
      <c r="B811" s="194"/>
      <c r="C811" s="537"/>
      <c r="D811" s="537"/>
      <c r="E811" s="537"/>
      <c r="F811" s="537"/>
      <c r="G811" s="537"/>
      <c r="H811" s="537"/>
      <c r="I811" s="538"/>
      <c r="J811" s="537"/>
      <c r="K811" s="194"/>
      <c r="L811" s="194"/>
      <c r="M811" s="194"/>
      <c r="N811" s="194"/>
      <c r="O811" s="194"/>
      <c r="P811" s="194"/>
      <c r="Q811" s="194"/>
      <c r="R811" s="194"/>
      <c r="S811" s="194"/>
      <c r="T811" s="194"/>
      <c r="U811" s="194"/>
      <c r="V811" s="194"/>
      <c r="W811" s="194"/>
      <c r="X811" s="194"/>
      <c r="Y811" s="194"/>
      <c r="Z811" s="194"/>
    </row>
    <row r="812">
      <c r="A812" s="194"/>
      <c r="B812" s="194"/>
      <c r="C812" s="537"/>
      <c r="D812" s="537"/>
      <c r="E812" s="537"/>
      <c r="F812" s="537"/>
      <c r="G812" s="537"/>
      <c r="H812" s="537"/>
      <c r="I812" s="538"/>
      <c r="J812" s="537"/>
      <c r="K812" s="194"/>
      <c r="L812" s="194"/>
      <c r="M812" s="194"/>
      <c r="N812" s="194"/>
      <c r="O812" s="194"/>
      <c r="P812" s="194"/>
      <c r="Q812" s="194"/>
      <c r="R812" s="194"/>
      <c r="S812" s="194"/>
      <c r="T812" s="194"/>
      <c r="U812" s="194"/>
      <c r="V812" s="194"/>
      <c r="W812" s="194"/>
      <c r="X812" s="194"/>
      <c r="Y812" s="194"/>
      <c r="Z812" s="194"/>
    </row>
    <row r="813">
      <c r="A813" s="194"/>
      <c r="B813" s="194"/>
      <c r="C813" s="537"/>
      <c r="D813" s="537"/>
      <c r="E813" s="537"/>
      <c r="F813" s="537"/>
      <c r="G813" s="537"/>
      <c r="H813" s="537"/>
      <c r="I813" s="538"/>
      <c r="J813" s="537"/>
      <c r="K813" s="194"/>
      <c r="L813" s="194"/>
      <c r="M813" s="194"/>
      <c r="N813" s="194"/>
      <c r="O813" s="194"/>
      <c r="P813" s="194"/>
      <c r="Q813" s="194"/>
      <c r="R813" s="194"/>
      <c r="S813" s="194"/>
      <c r="T813" s="194"/>
      <c r="U813" s="194"/>
      <c r="V813" s="194"/>
      <c r="W813" s="194"/>
      <c r="X813" s="194"/>
      <c r="Y813" s="194"/>
      <c r="Z813" s="194"/>
    </row>
    <row r="814">
      <c r="A814" s="194"/>
      <c r="B814" s="194"/>
      <c r="C814" s="537"/>
      <c r="D814" s="537"/>
      <c r="E814" s="537"/>
      <c r="F814" s="537"/>
      <c r="G814" s="537"/>
      <c r="H814" s="537"/>
      <c r="I814" s="538"/>
      <c r="J814" s="537"/>
      <c r="K814" s="194"/>
      <c r="L814" s="194"/>
      <c r="M814" s="194"/>
      <c r="N814" s="194"/>
      <c r="O814" s="194"/>
      <c r="P814" s="194"/>
      <c r="Q814" s="194"/>
      <c r="R814" s="194"/>
      <c r="S814" s="194"/>
      <c r="T814" s="194"/>
      <c r="U814" s="194"/>
      <c r="V814" s="194"/>
      <c r="W814" s="194"/>
      <c r="X814" s="194"/>
      <c r="Y814" s="194"/>
      <c r="Z814" s="194"/>
    </row>
    <row r="815">
      <c r="A815" s="194"/>
      <c r="B815" s="194"/>
      <c r="C815" s="537"/>
      <c r="D815" s="537"/>
      <c r="E815" s="537"/>
      <c r="F815" s="537"/>
      <c r="G815" s="537"/>
      <c r="H815" s="537"/>
      <c r="I815" s="538"/>
      <c r="J815" s="537"/>
      <c r="K815" s="194"/>
      <c r="L815" s="194"/>
      <c r="M815" s="194"/>
      <c r="N815" s="194"/>
      <c r="O815" s="194"/>
      <c r="P815" s="194"/>
      <c r="Q815" s="194"/>
      <c r="R815" s="194"/>
      <c r="S815" s="194"/>
      <c r="T815" s="194"/>
      <c r="U815" s="194"/>
      <c r="V815" s="194"/>
      <c r="W815" s="194"/>
      <c r="X815" s="194"/>
      <c r="Y815" s="194"/>
      <c r="Z815" s="194"/>
    </row>
    <row r="816">
      <c r="A816" s="194"/>
      <c r="B816" s="194"/>
      <c r="C816" s="537"/>
      <c r="D816" s="537"/>
      <c r="E816" s="537"/>
      <c r="F816" s="537"/>
      <c r="G816" s="537"/>
      <c r="H816" s="537"/>
      <c r="I816" s="538"/>
      <c r="J816" s="537"/>
      <c r="K816" s="194"/>
      <c r="L816" s="194"/>
      <c r="M816" s="194"/>
      <c r="N816" s="194"/>
      <c r="O816" s="194"/>
      <c r="P816" s="194"/>
      <c r="Q816" s="194"/>
      <c r="R816" s="194"/>
      <c r="S816" s="194"/>
      <c r="T816" s="194"/>
      <c r="U816" s="194"/>
      <c r="V816" s="194"/>
      <c r="W816" s="194"/>
      <c r="X816" s="194"/>
      <c r="Y816" s="194"/>
      <c r="Z816" s="194"/>
    </row>
    <row r="817">
      <c r="A817" s="194"/>
      <c r="B817" s="194"/>
      <c r="C817" s="537"/>
      <c r="D817" s="537"/>
      <c r="E817" s="537"/>
      <c r="F817" s="537"/>
      <c r="G817" s="537"/>
      <c r="H817" s="537"/>
      <c r="I817" s="538"/>
      <c r="J817" s="537"/>
      <c r="K817" s="194"/>
      <c r="L817" s="194"/>
      <c r="M817" s="194"/>
      <c r="N817" s="194"/>
      <c r="O817" s="194"/>
      <c r="P817" s="194"/>
      <c r="Q817" s="194"/>
      <c r="R817" s="194"/>
      <c r="S817" s="194"/>
      <c r="T817" s="194"/>
      <c r="U817" s="194"/>
      <c r="V817" s="194"/>
      <c r="W817" s="194"/>
      <c r="X817" s="194"/>
      <c r="Y817" s="194"/>
      <c r="Z817" s="194"/>
    </row>
    <row r="818">
      <c r="A818" s="194"/>
      <c r="B818" s="194"/>
      <c r="C818" s="537"/>
      <c r="D818" s="537"/>
      <c r="E818" s="537"/>
      <c r="F818" s="537"/>
      <c r="G818" s="537"/>
      <c r="H818" s="537"/>
      <c r="I818" s="538"/>
      <c r="J818" s="537"/>
      <c r="K818" s="194"/>
      <c r="L818" s="194"/>
      <c r="M818" s="194"/>
      <c r="N818" s="194"/>
      <c r="O818" s="194"/>
      <c r="P818" s="194"/>
      <c r="Q818" s="194"/>
      <c r="R818" s="194"/>
      <c r="S818" s="194"/>
      <c r="T818" s="194"/>
      <c r="U818" s="194"/>
      <c r="V818" s="194"/>
      <c r="W818" s="194"/>
      <c r="X818" s="194"/>
      <c r="Y818" s="194"/>
      <c r="Z818" s="194"/>
    </row>
    <row r="819">
      <c r="A819" s="194"/>
      <c r="B819" s="194"/>
      <c r="C819" s="537"/>
      <c r="D819" s="537"/>
      <c r="E819" s="537"/>
      <c r="F819" s="537"/>
      <c r="G819" s="537"/>
      <c r="H819" s="537"/>
      <c r="I819" s="538"/>
      <c r="J819" s="537"/>
      <c r="K819" s="194"/>
      <c r="L819" s="194"/>
      <c r="M819" s="194"/>
      <c r="N819" s="194"/>
      <c r="O819" s="194"/>
      <c r="P819" s="194"/>
      <c r="Q819" s="194"/>
      <c r="R819" s="194"/>
      <c r="S819" s="194"/>
      <c r="T819" s="194"/>
      <c r="U819" s="194"/>
      <c r="V819" s="194"/>
      <c r="W819" s="194"/>
      <c r="X819" s="194"/>
      <c r="Y819" s="194"/>
      <c r="Z819" s="194"/>
    </row>
    <row r="820">
      <c r="A820" s="194"/>
      <c r="B820" s="194"/>
      <c r="C820" s="537"/>
      <c r="D820" s="537"/>
      <c r="E820" s="537"/>
      <c r="F820" s="537"/>
      <c r="G820" s="537"/>
      <c r="H820" s="537"/>
      <c r="I820" s="538"/>
      <c r="J820" s="537"/>
      <c r="K820" s="194"/>
      <c r="L820" s="194"/>
      <c r="M820" s="194"/>
      <c r="N820" s="194"/>
      <c r="O820" s="194"/>
      <c r="P820" s="194"/>
      <c r="Q820" s="194"/>
      <c r="R820" s="194"/>
      <c r="S820" s="194"/>
      <c r="T820" s="194"/>
      <c r="U820" s="194"/>
      <c r="V820" s="194"/>
      <c r="W820" s="194"/>
      <c r="X820" s="194"/>
      <c r="Y820" s="194"/>
      <c r="Z820" s="194"/>
    </row>
    <row r="821">
      <c r="A821" s="194"/>
      <c r="B821" s="194"/>
      <c r="C821" s="537"/>
      <c r="D821" s="537"/>
      <c r="E821" s="537"/>
      <c r="F821" s="537"/>
      <c r="G821" s="537"/>
      <c r="H821" s="537"/>
      <c r="I821" s="538"/>
      <c r="J821" s="537"/>
      <c r="K821" s="194"/>
      <c r="L821" s="194"/>
      <c r="M821" s="194"/>
      <c r="N821" s="194"/>
      <c r="O821" s="194"/>
      <c r="P821" s="194"/>
      <c r="Q821" s="194"/>
      <c r="R821" s="194"/>
      <c r="S821" s="194"/>
      <c r="T821" s="194"/>
      <c r="U821" s="194"/>
      <c r="V821" s="194"/>
      <c r="W821" s="194"/>
      <c r="X821" s="194"/>
      <c r="Y821" s="194"/>
      <c r="Z821" s="194"/>
    </row>
    <row r="822">
      <c r="A822" s="194"/>
      <c r="B822" s="194"/>
      <c r="C822" s="537"/>
      <c r="D822" s="537"/>
      <c r="E822" s="537"/>
      <c r="F822" s="537"/>
      <c r="G822" s="537"/>
      <c r="H822" s="537"/>
      <c r="I822" s="538"/>
      <c r="J822" s="537"/>
      <c r="K822" s="194"/>
      <c r="L822" s="194"/>
      <c r="M822" s="194"/>
      <c r="N822" s="194"/>
      <c r="O822" s="194"/>
      <c r="P822" s="194"/>
      <c r="Q822" s="194"/>
      <c r="R822" s="194"/>
      <c r="S822" s="194"/>
      <c r="T822" s="194"/>
      <c r="U822" s="194"/>
      <c r="V822" s="194"/>
      <c r="W822" s="194"/>
      <c r="X822" s="194"/>
      <c r="Y822" s="194"/>
      <c r="Z822" s="194"/>
    </row>
    <row r="823">
      <c r="A823" s="194"/>
      <c r="B823" s="194"/>
      <c r="C823" s="537"/>
      <c r="D823" s="537"/>
      <c r="E823" s="537"/>
      <c r="F823" s="537"/>
      <c r="G823" s="537"/>
      <c r="H823" s="537"/>
      <c r="I823" s="538"/>
      <c r="J823" s="537"/>
      <c r="K823" s="194"/>
      <c r="L823" s="194"/>
      <c r="M823" s="194"/>
      <c r="N823" s="194"/>
      <c r="O823" s="194"/>
      <c r="P823" s="194"/>
      <c r="Q823" s="194"/>
      <c r="R823" s="194"/>
      <c r="S823" s="194"/>
      <c r="T823" s="194"/>
      <c r="U823" s="194"/>
      <c r="V823" s="194"/>
      <c r="W823" s="194"/>
      <c r="X823" s="194"/>
      <c r="Y823" s="194"/>
      <c r="Z823" s="194"/>
    </row>
    <row r="824">
      <c r="A824" s="194"/>
      <c r="B824" s="194"/>
      <c r="C824" s="537"/>
      <c r="D824" s="537"/>
      <c r="E824" s="537"/>
      <c r="F824" s="537"/>
      <c r="G824" s="537"/>
      <c r="H824" s="537"/>
      <c r="I824" s="538"/>
      <c r="J824" s="537"/>
      <c r="K824" s="194"/>
      <c r="L824" s="194"/>
      <c r="M824" s="194"/>
      <c r="N824" s="194"/>
      <c r="O824" s="194"/>
      <c r="P824" s="194"/>
      <c r="Q824" s="194"/>
      <c r="R824" s="194"/>
      <c r="S824" s="194"/>
      <c r="T824" s="194"/>
      <c r="U824" s="194"/>
      <c r="V824" s="194"/>
      <c r="W824" s="194"/>
      <c r="X824" s="194"/>
      <c r="Y824" s="194"/>
      <c r="Z824" s="194"/>
    </row>
    <row r="825">
      <c r="A825" s="194"/>
      <c r="B825" s="194"/>
      <c r="C825" s="537"/>
      <c r="D825" s="537"/>
      <c r="E825" s="537"/>
      <c r="F825" s="537"/>
      <c r="G825" s="537"/>
      <c r="H825" s="537"/>
      <c r="I825" s="538"/>
      <c r="J825" s="537"/>
      <c r="K825" s="194"/>
      <c r="L825" s="194"/>
      <c r="M825" s="194"/>
      <c r="N825" s="194"/>
      <c r="O825" s="194"/>
      <c r="P825" s="194"/>
      <c r="Q825" s="194"/>
      <c r="R825" s="194"/>
      <c r="S825" s="194"/>
      <c r="T825" s="194"/>
      <c r="U825" s="194"/>
      <c r="V825" s="194"/>
      <c r="W825" s="194"/>
      <c r="X825" s="194"/>
      <c r="Y825" s="194"/>
      <c r="Z825" s="194"/>
    </row>
    <row r="826">
      <c r="A826" s="194"/>
      <c r="B826" s="194"/>
      <c r="C826" s="537"/>
      <c r="D826" s="537"/>
      <c r="E826" s="537"/>
      <c r="F826" s="537"/>
      <c r="G826" s="537"/>
      <c r="H826" s="537"/>
      <c r="I826" s="538"/>
      <c r="J826" s="537"/>
      <c r="K826" s="194"/>
      <c r="L826" s="194"/>
      <c r="M826" s="194"/>
      <c r="N826" s="194"/>
      <c r="O826" s="194"/>
      <c r="P826" s="194"/>
      <c r="Q826" s="194"/>
      <c r="R826" s="194"/>
      <c r="S826" s="194"/>
      <c r="T826" s="194"/>
      <c r="U826" s="194"/>
      <c r="V826" s="194"/>
      <c r="W826" s="194"/>
      <c r="X826" s="194"/>
      <c r="Y826" s="194"/>
      <c r="Z826" s="194"/>
    </row>
    <row r="827">
      <c r="A827" s="194"/>
      <c r="B827" s="194"/>
      <c r="C827" s="537"/>
      <c r="D827" s="537"/>
      <c r="E827" s="537"/>
      <c r="F827" s="537"/>
      <c r="G827" s="537"/>
      <c r="H827" s="537"/>
      <c r="I827" s="538"/>
      <c r="J827" s="537"/>
      <c r="K827" s="194"/>
      <c r="L827" s="194"/>
      <c r="M827" s="194"/>
      <c r="N827" s="194"/>
      <c r="O827" s="194"/>
      <c r="P827" s="194"/>
      <c r="Q827" s="194"/>
      <c r="R827" s="194"/>
      <c r="S827" s="194"/>
      <c r="T827" s="194"/>
      <c r="U827" s="194"/>
      <c r="V827" s="194"/>
      <c r="W827" s="194"/>
      <c r="X827" s="194"/>
      <c r="Y827" s="194"/>
      <c r="Z827" s="194"/>
    </row>
    <row r="828">
      <c r="A828" s="194"/>
      <c r="B828" s="194"/>
      <c r="C828" s="537"/>
      <c r="D828" s="537"/>
      <c r="E828" s="537"/>
      <c r="F828" s="537"/>
      <c r="G828" s="537"/>
      <c r="H828" s="537"/>
      <c r="I828" s="538"/>
      <c r="J828" s="537"/>
      <c r="K828" s="194"/>
      <c r="L828" s="194"/>
      <c r="M828" s="194"/>
      <c r="N828" s="194"/>
      <c r="O828" s="194"/>
      <c r="P828" s="194"/>
      <c r="Q828" s="194"/>
      <c r="R828" s="194"/>
      <c r="S828" s="194"/>
      <c r="T828" s="194"/>
      <c r="U828" s="194"/>
      <c r="V828" s="194"/>
      <c r="W828" s="194"/>
      <c r="X828" s="194"/>
      <c r="Y828" s="194"/>
      <c r="Z828" s="194"/>
    </row>
    <row r="829">
      <c r="A829" s="194"/>
      <c r="B829" s="194"/>
      <c r="C829" s="537"/>
      <c r="D829" s="537"/>
      <c r="E829" s="537"/>
      <c r="F829" s="537"/>
      <c r="G829" s="537"/>
      <c r="H829" s="537"/>
      <c r="I829" s="538"/>
      <c r="J829" s="537"/>
      <c r="K829" s="194"/>
      <c r="L829" s="194"/>
      <c r="M829" s="194"/>
      <c r="N829" s="194"/>
      <c r="O829" s="194"/>
      <c r="P829" s="194"/>
      <c r="Q829" s="194"/>
      <c r="R829" s="194"/>
      <c r="S829" s="194"/>
      <c r="T829" s="194"/>
      <c r="U829" s="194"/>
      <c r="V829" s="194"/>
      <c r="W829" s="194"/>
      <c r="X829" s="194"/>
      <c r="Y829" s="194"/>
      <c r="Z829" s="194"/>
    </row>
    <row r="830">
      <c r="A830" s="194"/>
      <c r="B830" s="194"/>
      <c r="C830" s="537"/>
      <c r="D830" s="537"/>
      <c r="E830" s="537"/>
      <c r="F830" s="537"/>
      <c r="G830" s="537"/>
      <c r="H830" s="537"/>
      <c r="I830" s="538"/>
      <c r="J830" s="537"/>
      <c r="K830" s="194"/>
      <c r="L830" s="194"/>
      <c r="M830" s="194"/>
      <c r="N830" s="194"/>
      <c r="O830" s="194"/>
      <c r="P830" s="194"/>
      <c r="Q830" s="194"/>
      <c r="R830" s="194"/>
      <c r="S830" s="194"/>
      <c r="T830" s="194"/>
      <c r="U830" s="194"/>
      <c r="V830" s="194"/>
      <c r="W830" s="194"/>
      <c r="X830" s="194"/>
      <c r="Y830" s="194"/>
      <c r="Z830" s="194"/>
    </row>
    <row r="831">
      <c r="A831" s="194"/>
      <c r="B831" s="194"/>
      <c r="C831" s="537"/>
      <c r="D831" s="537"/>
      <c r="E831" s="537"/>
      <c r="F831" s="537"/>
      <c r="G831" s="537"/>
      <c r="H831" s="537"/>
      <c r="I831" s="538"/>
      <c r="J831" s="537"/>
      <c r="K831" s="194"/>
      <c r="L831" s="194"/>
      <c r="M831" s="194"/>
      <c r="N831" s="194"/>
      <c r="O831" s="194"/>
      <c r="P831" s="194"/>
      <c r="Q831" s="194"/>
      <c r="R831" s="194"/>
      <c r="S831" s="194"/>
      <c r="T831" s="194"/>
      <c r="U831" s="194"/>
      <c r="V831" s="194"/>
      <c r="W831" s="194"/>
      <c r="X831" s="194"/>
      <c r="Y831" s="194"/>
      <c r="Z831" s="194"/>
    </row>
    <row r="832">
      <c r="A832" s="194"/>
      <c r="B832" s="194"/>
      <c r="C832" s="537"/>
      <c r="D832" s="537"/>
      <c r="E832" s="537"/>
      <c r="F832" s="537"/>
      <c r="G832" s="537"/>
      <c r="H832" s="537"/>
      <c r="I832" s="538"/>
      <c r="J832" s="537"/>
      <c r="K832" s="194"/>
      <c r="L832" s="194"/>
      <c r="M832" s="194"/>
      <c r="N832" s="194"/>
      <c r="O832" s="194"/>
      <c r="P832" s="194"/>
      <c r="Q832" s="194"/>
      <c r="R832" s="194"/>
      <c r="S832" s="194"/>
      <c r="T832" s="194"/>
      <c r="U832" s="194"/>
      <c r="V832" s="194"/>
      <c r="W832" s="194"/>
      <c r="X832" s="194"/>
      <c r="Y832" s="194"/>
      <c r="Z832" s="194"/>
    </row>
    <row r="833">
      <c r="A833" s="194"/>
      <c r="B833" s="194"/>
      <c r="C833" s="537"/>
      <c r="D833" s="537"/>
      <c r="E833" s="537"/>
      <c r="F833" s="537"/>
      <c r="G833" s="537"/>
      <c r="H833" s="537"/>
      <c r="I833" s="538"/>
      <c r="J833" s="537"/>
      <c r="K833" s="194"/>
      <c r="L833" s="194"/>
      <c r="M833" s="194"/>
      <c r="N833" s="194"/>
      <c r="O833" s="194"/>
      <c r="P833" s="194"/>
      <c r="Q833" s="194"/>
      <c r="R833" s="194"/>
      <c r="S833" s="194"/>
      <c r="T833" s="194"/>
      <c r="U833" s="194"/>
      <c r="V833" s="194"/>
      <c r="W833" s="194"/>
      <c r="X833" s="194"/>
      <c r="Y833" s="194"/>
      <c r="Z833" s="194"/>
    </row>
    <row r="834">
      <c r="A834" s="194"/>
      <c r="B834" s="194"/>
      <c r="C834" s="537"/>
      <c r="D834" s="537"/>
      <c r="E834" s="537"/>
      <c r="F834" s="537"/>
      <c r="G834" s="537"/>
      <c r="H834" s="537"/>
      <c r="I834" s="538"/>
      <c r="J834" s="537"/>
      <c r="K834" s="194"/>
      <c r="L834" s="194"/>
      <c r="M834" s="194"/>
      <c r="N834" s="194"/>
      <c r="O834" s="194"/>
      <c r="P834" s="194"/>
      <c r="Q834" s="194"/>
      <c r="R834" s="194"/>
      <c r="S834" s="194"/>
      <c r="T834" s="194"/>
      <c r="U834" s="194"/>
      <c r="V834" s="194"/>
      <c r="W834" s="194"/>
      <c r="X834" s="194"/>
      <c r="Y834" s="194"/>
      <c r="Z834" s="194"/>
    </row>
    <row r="835">
      <c r="A835" s="194"/>
      <c r="B835" s="194"/>
      <c r="C835" s="537"/>
      <c r="D835" s="537"/>
      <c r="E835" s="537"/>
      <c r="F835" s="537"/>
      <c r="G835" s="537"/>
      <c r="H835" s="537"/>
      <c r="I835" s="538"/>
      <c r="J835" s="537"/>
      <c r="K835" s="194"/>
      <c r="L835" s="194"/>
      <c r="M835" s="194"/>
      <c r="N835" s="194"/>
      <c r="O835" s="194"/>
      <c r="P835" s="194"/>
      <c r="Q835" s="194"/>
      <c r="R835" s="194"/>
      <c r="S835" s="194"/>
      <c r="T835" s="194"/>
      <c r="U835" s="194"/>
      <c r="V835" s="194"/>
      <c r="W835" s="194"/>
      <c r="X835" s="194"/>
      <c r="Y835" s="194"/>
      <c r="Z835" s="194"/>
    </row>
    <row r="836">
      <c r="A836" s="194"/>
      <c r="B836" s="194"/>
      <c r="C836" s="537"/>
      <c r="D836" s="537"/>
      <c r="E836" s="537"/>
      <c r="F836" s="537"/>
      <c r="G836" s="537"/>
      <c r="H836" s="537"/>
      <c r="I836" s="538"/>
      <c r="J836" s="537"/>
      <c r="K836" s="194"/>
      <c r="L836" s="194"/>
      <c r="M836" s="194"/>
      <c r="N836" s="194"/>
      <c r="O836" s="194"/>
      <c r="P836" s="194"/>
      <c r="Q836" s="194"/>
      <c r="R836" s="194"/>
      <c r="S836" s="194"/>
      <c r="T836" s="194"/>
      <c r="U836" s="194"/>
      <c r="V836" s="194"/>
      <c r="W836" s="194"/>
      <c r="X836" s="194"/>
      <c r="Y836" s="194"/>
      <c r="Z836" s="194"/>
    </row>
    <row r="837">
      <c r="A837" s="194"/>
      <c r="B837" s="194"/>
      <c r="C837" s="537"/>
      <c r="D837" s="537"/>
      <c r="E837" s="537"/>
      <c r="F837" s="537"/>
      <c r="G837" s="537"/>
      <c r="H837" s="537"/>
      <c r="I837" s="538"/>
      <c r="J837" s="537"/>
      <c r="K837" s="194"/>
      <c r="L837" s="194"/>
      <c r="M837" s="194"/>
      <c r="N837" s="194"/>
      <c r="O837" s="194"/>
      <c r="P837" s="194"/>
      <c r="Q837" s="194"/>
      <c r="R837" s="194"/>
      <c r="S837" s="194"/>
      <c r="T837" s="194"/>
      <c r="U837" s="194"/>
      <c r="V837" s="194"/>
      <c r="W837" s="194"/>
      <c r="X837" s="194"/>
      <c r="Y837" s="194"/>
      <c r="Z837" s="194"/>
    </row>
    <row r="838">
      <c r="A838" s="194"/>
      <c r="B838" s="194"/>
      <c r="C838" s="537"/>
      <c r="D838" s="537"/>
      <c r="E838" s="537"/>
      <c r="F838" s="537"/>
      <c r="G838" s="537"/>
      <c r="H838" s="537"/>
      <c r="I838" s="538"/>
      <c r="J838" s="537"/>
      <c r="K838" s="194"/>
      <c r="L838" s="194"/>
      <c r="M838" s="194"/>
      <c r="N838" s="194"/>
      <c r="O838" s="194"/>
      <c r="P838" s="194"/>
      <c r="Q838" s="194"/>
      <c r="R838" s="194"/>
      <c r="S838" s="194"/>
      <c r="T838" s="194"/>
      <c r="U838" s="194"/>
      <c r="V838" s="194"/>
      <c r="W838" s="194"/>
      <c r="X838" s="194"/>
      <c r="Y838" s="194"/>
      <c r="Z838" s="194"/>
    </row>
    <row r="839">
      <c r="A839" s="194"/>
      <c r="B839" s="194"/>
      <c r="C839" s="537"/>
      <c r="D839" s="537"/>
      <c r="E839" s="537"/>
      <c r="F839" s="537"/>
      <c r="G839" s="537"/>
      <c r="H839" s="537"/>
      <c r="I839" s="538"/>
      <c r="J839" s="537"/>
      <c r="K839" s="194"/>
      <c r="L839" s="194"/>
      <c r="M839" s="194"/>
      <c r="N839" s="194"/>
      <c r="O839" s="194"/>
      <c r="P839" s="194"/>
      <c r="Q839" s="194"/>
      <c r="R839" s="194"/>
      <c r="S839" s="194"/>
      <c r="T839" s="194"/>
      <c r="U839" s="194"/>
      <c r="V839" s="194"/>
      <c r="W839" s="194"/>
      <c r="X839" s="194"/>
      <c r="Y839" s="194"/>
      <c r="Z839" s="194"/>
    </row>
    <row r="840">
      <c r="A840" s="194"/>
      <c r="B840" s="194"/>
      <c r="C840" s="537"/>
      <c r="D840" s="537"/>
      <c r="E840" s="537"/>
      <c r="F840" s="537"/>
      <c r="G840" s="537"/>
      <c r="H840" s="537"/>
      <c r="I840" s="538"/>
      <c r="J840" s="537"/>
      <c r="K840" s="194"/>
      <c r="L840" s="194"/>
      <c r="M840" s="194"/>
      <c r="N840" s="194"/>
      <c r="O840" s="194"/>
      <c r="P840" s="194"/>
      <c r="Q840" s="194"/>
      <c r="R840" s="194"/>
      <c r="S840" s="194"/>
      <c r="T840" s="194"/>
      <c r="U840" s="194"/>
      <c r="V840" s="194"/>
      <c r="W840" s="194"/>
      <c r="X840" s="194"/>
      <c r="Y840" s="194"/>
      <c r="Z840" s="194"/>
    </row>
    <row r="841">
      <c r="A841" s="194"/>
      <c r="B841" s="194"/>
      <c r="C841" s="537"/>
      <c r="D841" s="537"/>
      <c r="E841" s="537"/>
      <c r="F841" s="537"/>
      <c r="G841" s="537"/>
      <c r="H841" s="537"/>
      <c r="I841" s="538"/>
      <c r="J841" s="537"/>
      <c r="K841" s="194"/>
      <c r="L841" s="194"/>
      <c r="M841" s="194"/>
      <c r="N841" s="194"/>
      <c r="O841" s="194"/>
      <c r="P841" s="194"/>
      <c r="Q841" s="194"/>
      <c r="R841" s="194"/>
      <c r="S841" s="194"/>
      <c r="T841" s="194"/>
      <c r="U841" s="194"/>
      <c r="V841" s="194"/>
      <c r="W841" s="194"/>
      <c r="X841" s="194"/>
      <c r="Y841" s="194"/>
      <c r="Z841" s="194"/>
    </row>
    <row r="842">
      <c r="A842" s="194"/>
      <c r="B842" s="194"/>
      <c r="C842" s="537"/>
      <c r="D842" s="537"/>
      <c r="E842" s="537"/>
      <c r="F842" s="537"/>
      <c r="G842" s="537"/>
      <c r="H842" s="537"/>
      <c r="I842" s="538"/>
      <c r="J842" s="537"/>
      <c r="K842" s="194"/>
      <c r="L842" s="194"/>
      <c r="M842" s="194"/>
      <c r="N842" s="194"/>
      <c r="O842" s="194"/>
      <c r="P842" s="194"/>
      <c r="Q842" s="194"/>
      <c r="R842" s="194"/>
      <c r="S842" s="194"/>
      <c r="T842" s="194"/>
      <c r="U842" s="194"/>
      <c r="V842" s="194"/>
      <c r="W842" s="194"/>
      <c r="X842" s="194"/>
      <c r="Y842" s="194"/>
      <c r="Z842" s="194"/>
    </row>
    <row r="843">
      <c r="A843" s="194"/>
      <c r="B843" s="194"/>
      <c r="C843" s="537"/>
      <c r="D843" s="537"/>
      <c r="E843" s="537"/>
      <c r="F843" s="537"/>
      <c r="G843" s="537"/>
      <c r="H843" s="537"/>
      <c r="I843" s="538"/>
      <c r="J843" s="537"/>
      <c r="K843" s="194"/>
      <c r="L843" s="194"/>
      <c r="M843" s="194"/>
      <c r="N843" s="194"/>
      <c r="O843" s="194"/>
      <c r="P843" s="194"/>
      <c r="Q843" s="194"/>
      <c r="R843" s="194"/>
      <c r="S843" s="194"/>
      <c r="T843" s="194"/>
      <c r="U843" s="194"/>
      <c r="V843" s="194"/>
      <c r="W843" s="194"/>
      <c r="X843" s="194"/>
      <c r="Y843" s="194"/>
      <c r="Z843" s="194"/>
    </row>
    <row r="844">
      <c r="A844" s="194"/>
      <c r="B844" s="194"/>
      <c r="C844" s="537"/>
      <c r="D844" s="537"/>
      <c r="E844" s="537"/>
      <c r="F844" s="537"/>
      <c r="G844" s="537"/>
      <c r="H844" s="537"/>
      <c r="I844" s="538"/>
      <c r="J844" s="537"/>
      <c r="K844" s="194"/>
      <c r="L844" s="194"/>
      <c r="M844" s="194"/>
      <c r="N844" s="194"/>
      <c r="O844" s="194"/>
      <c r="P844" s="194"/>
      <c r="Q844" s="194"/>
      <c r="R844" s="194"/>
      <c r="S844" s="194"/>
      <c r="T844" s="194"/>
      <c r="U844" s="194"/>
      <c r="V844" s="194"/>
      <c r="W844" s="194"/>
      <c r="X844" s="194"/>
      <c r="Y844" s="194"/>
      <c r="Z844" s="194"/>
    </row>
    <row r="845">
      <c r="A845" s="194"/>
      <c r="B845" s="194"/>
      <c r="C845" s="537"/>
      <c r="D845" s="537"/>
      <c r="E845" s="537"/>
      <c r="F845" s="537"/>
      <c r="G845" s="537"/>
      <c r="H845" s="537"/>
      <c r="I845" s="538"/>
      <c r="J845" s="537"/>
      <c r="K845" s="194"/>
      <c r="L845" s="194"/>
      <c r="M845" s="194"/>
      <c r="N845" s="194"/>
      <c r="O845" s="194"/>
      <c r="P845" s="194"/>
      <c r="Q845" s="194"/>
      <c r="R845" s="194"/>
      <c r="S845" s="194"/>
      <c r="T845" s="194"/>
      <c r="U845" s="194"/>
      <c r="V845" s="194"/>
      <c r="W845" s="194"/>
      <c r="X845" s="194"/>
      <c r="Y845" s="194"/>
      <c r="Z845" s="194"/>
    </row>
    <row r="846">
      <c r="A846" s="194"/>
      <c r="B846" s="194"/>
      <c r="C846" s="537"/>
      <c r="D846" s="537"/>
      <c r="E846" s="537"/>
      <c r="F846" s="537"/>
      <c r="G846" s="537"/>
      <c r="H846" s="537"/>
      <c r="I846" s="538"/>
      <c r="J846" s="537"/>
      <c r="K846" s="194"/>
      <c r="L846" s="194"/>
      <c r="M846" s="194"/>
      <c r="N846" s="194"/>
      <c r="O846" s="194"/>
      <c r="P846" s="194"/>
      <c r="Q846" s="194"/>
      <c r="R846" s="194"/>
      <c r="S846" s="194"/>
      <c r="T846" s="194"/>
      <c r="U846" s="194"/>
      <c r="V846" s="194"/>
      <c r="W846" s="194"/>
      <c r="X846" s="194"/>
      <c r="Y846" s="194"/>
      <c r="Z846" s="194"/>
    </row>
    <row r="847">
      <c r="A847" s="194"/>
      <c r="B847" s="194"/>
      <c r="C847" s="537"/>
      <c r="D847" s="537"/>
      <c r="E847" s="537"/>
      <c r="F847" s="537"/>
      <c r="G847" s="537"/>
      <c r="H847" s="537"/>
      <c r="I847" s="538"/>
      <c r="J847" s="537"/>
      <c r="K847" s="194"/>
      <c r="L847" s="194"/>
      <c r="M847" s="194"/>
      <c r="N847" s="194"/>
      <c r="O847" s="194"/>
      <c r="P847" s="194"/>
      <c r="Q847" s="194"/>
      <c r="R847" s="194"/>
      <c r="S847" s="194"/>
      <c r="T847" s="194"/>
      <c r="U847" s="194"/>
      <c r="V847" s="194"/>
      <c r="W847" s="194"/>
      <c r="X847" s="194"/>
      <c r="Y847" s="194"/>
      <c r="Z847" s="194"/>
    </row>
    <row r="848">
      <c r="A848" s="194"/>
      <c r="B848" s="194"/>
      <c r="C848" s="537"/>
      <c r="D848" s="537"/>
      <c r="E848" s="537"/>
      <c r="F848" s="537"/>
      <c r="G848" s="537"/>
      <c r="H848" s="537"/>
      <c r="I848" s="538"/>
      <c r="J848" s="537"/>
      <c r="K848" s="194"/>
      <c r="L848" s="194"/>
      <c r="M848" s="194"/>
      <c r="N848" s="194"/>
      <c r="O848" s="194"/>
      <c r="P848" s="194"/>
      <c r="Q848" s="194"/>
      <c r="R848" s="194"/>
      <c r="S848" s="194"/>
      <c r="T848" s="194"/>
      <c r="U848" s="194"/>
      <c r="V848" s="194"/>
      <c r="W848" s="194"/>
      <c r="X848" s="194"/>
      <c r="Y848" s="194"/>
      <c r="Z848" s="194"/>
    </row>
    <row r="849">
      <c r="A849" s="194"/>
      <c r="B849" s="194"/>
      <c r="C849" s="537"/>
      <c r="D849" s="537"/>
      <c r="E849" s="537"/>
      <c r="F849" s="537"/>
      <c r="G849" s="537"/>
      <c r="H849" s="537"/>
      <c r="I849" s="538"/>
      <c r="J849" s="537"/>
      <c r="K849" s="194"/>
      <c r="L849" s="194"/>
      <c r="M849" s="194"/>
      <c r="N849" s="194"/>
      <c r="O849" s="194"/>
      <c r="P849" s="194"/>
      <c r="Q849" s="194"/>
      <c r="R849" s="194"/>
      <c r="S849" s="194"/>
      <c r="T849" s="194"/>
      <c r="U849" s="194"/>
      <c r="V849" s="194"/>
      <c r="W849" s="194"/>
      <c r="X849" s="194"/>
      <c r="Y849" s="194"/>
      <c r="Z849" s="194"/>
    </row>
    <row r="850">
      <c r="A850" s="194"/>
      <c r="B850" s="194"/>
      <c r="C850" s="537"/>
      <c r="D850" s="537"/>
      <c r="E850" s="537"/>
      <c r="F850" s="537"/>
      <c r="G850" s="537"/>
      <c r="H850" s="537"/>
      <c r="I850" s="538"/>
      <c r="J850" s="537"/>
      <c r="K850" s="194"/>
      <c r="L850" s="194"/>
      <c r="M850" s="194"/>
      <c r="N850" s="194"/>
      <c r="O850" s="194"/>
      <c r="P850" s="194"/>
      <c r="Q850" s="194"/>
      <c r="R850" s="194"/>
      <c r="S850" s="194"/>
      <c r="T850" s="194"/>
      <c r="U850" s="194"/>
      <c r="V850" s="194"/>
      <c r="W850" s="194"/>
      <c r="X850" s="194"/>
      <c r="Y850" s="194"/>
      <c r="Z850" s="194"/>
    </row>
    <row r="851">
      <c r="A851" s="194"/>
      <c r="B851" s="194"/>
      <c r="C851" s="537"/>
      <c r="D851" s="537"/>
      <c r="E851" s="537"/>
      <c r="F851" s="537"/>
      <c r="G851" s="537"/>
      <c r="H851" s="537"/>
      <c r="I851" s="538"/>
      <c r="J851" s="537"/>
      <c r="K851" s="194"/>
      <c r="L851" s="194"/>
      <c r="M851" s="194"/>
      <c r="N851" s="194"/>
      <c r="O851" s="194"/>
      <c r="P851" s="194"/>
      <c r="Q851" s="194"/>
      <c r="R851" s="194"/>
      <c r="S851" s="194"/>
      <c r="T851" s="194"/>
      <c r="U851" s="194"/>
      <c r="V851" s="194"/>
      <c r="W851" s="194"/>
      <c r="X851" s="194"/>
      <c r="Y851" s="194"/>
      <c r="Z851" s="194"/>
    </row>
    <row r="852">
      <c r="A852" s="194"/>
      <c r="B852" s="194"/>
      <c r="C852" s="537"/>
      <c r="D852" s="537"/>
      <c r="E852" s="537"/>
      <c r="F852" s="537"/>
      <c r="G852" s="537"/>
      <c r="H852" s="537"/>
      <c r="I852" s="538"/>
      <c r="J852" s="537"/>
      <c r="K852" s="194"/>
      <c r="L852" s="194"/>
      <c r="M852" s="194"/>
      <c r="N852" s="194"/>
      <c r="O852" s="194"/>
      <c r="P852" s="194"/>
      <c r="Q852" s="194"/>
      <c r="R852" s="194"/>
      <c r="S852" s="194"/>
      <c r="T852" s="194"/>
      <c r="U852" s="194"/>
      <c r="V852" s="194"/>
      <c r="W852" s="194"/>
      <c r="X852" s="194"/>
      <c r="Y852" s="194"/>
      <c r="Z852" s="194"/>
    </row>
    <row r="853">
      <c r="A853" s="194"/>
      <c r="B853" s="194"/>
      <c r="C853" s="537"/>
      <c r="D853" s="537"/>
      <c r="E853" s="537"/>
      <c r="F853" s="537"/>
      <c r="G853" s="537"/>
      <c r="H853" s="537"/>
      <c r="I853" s="538"/>
      <c r="J853" s="537"/>
      <c r="K853" s="194"/>
      <c r="L853" s="194"/>
      <c r="M853" s="194"/>
      <c r="N853" s="194"/>
      <c r="O853" s="194"/>
      <c r="P853" s="194"/>
      <c r="Q853" s="194"/>
      <c r="R853" s="194"/>
      <c r="S853" s="194"/>
      <c r="T853" s="194"/>
      <c r="U853" s="194"/>
      <c r="V853" s="194"/>
      <c r="W853" s="194"/>
      <c r="X853" s="194"/>
      <c r="Y853" s="194"/>
      <c r="Z853" s="194"/>
    </row>
    <row r="854">
      <c r="A854" s="194"/>
      <c r="B854" s="194"/>
      <c r="C854" s="537"/>
      <c r="D854" s="537"/>
      <c r="E854" s="537"/>
      <c r="F854" s="537"/>
      <c r="G854" s="537"/>
      <c r="H854" s="537"/>
      <c r="I854" s="538"/>
      <c r="J854" s="537"/>
      <c r="K854" s="194"/>
      <c r="L854" s="194"/>
      <c r="M854" s="194"/>
      <c r="N854" s="194"/>
      <c r="O854" s="194"/>
      <c r="P854" s="194"/>
      <c r="Q854" s="194"/>
      <c r="R854" s="194"/>
      <c r="S854" s="194"/>
      <c r="T854" s="194"/>
      <c r="U854" s="194"/>
      <c r="V854" s="194"/>
      <c r="W854" s="194"/>
      <c r="X854" s="194"/>
      <c r="Y854" s="194"/>
      <c r="Z854" s="194"/>
    </row>
    <row r="855">
      <c r="A855" s="194"/>
      <c r="B855" s="194"/>
      <c r="C855" s="537"/>
      <c r="D855" s="537"/>
      <c r="E855" s="537"/>
      <c r="F855" s="537"/>
      <c r="G855" s="537"/>
      <c r="H855" s="537"/>
      <c r="I855" s="538"/>
      <c r="J855" s="537"/>
      <c r="K855" s="194"/>
      <c r="L855" s="194"/>
      <c r="M855" s="194"/>
      <c r="N855" s="194"/>
      <c r="O855" s="194"/>
      <c r="P855" s="194"/>
      <c r="Q855" s="194"/>
      <c r="R855" s="194"/>
      <c r="S855" s="194"/>
      <c r="T855" s="194"/>
      <c r="U855" s="194"/>
      <c r="V855" s="194"/>
      <c r="W855" s="194"/>
      <c r="X855" s="194"/>
      <c r="Y855" s="194"/>
      <c r="Z855" s="194"/>
    </row>
    <row r="856">
      <c r="A856" s="194"/>
      <c r="B856" s="194"/>
      <c r="C856" s="537"/>
      <c r="D856" s="537"/>
      <c r="E856" s="537"/>
      <c r="F856" s="537"/>
      <c r="G856" s="537"/>
      <c r="H856" s="537"/>
      <c r="I856" s="538"/>
      <c r="J856" s="537"/>
      <c r="K856" s="194"/>
      <c r="L856" s="194"/>
      <c r="M856" s="194"/>
      <c r="N856" s="194"/>
      <c r="O856" s="194"/>
      <c r="P856" s="194"/>
      <c r="Q856" s="194"/>
      <c r="R856" s="194"/>
      <c r="S856" s="194"/>
      <c r="T856" s="194"/>
      <c r="U856" s="194"/>
      <c r="V856" s="194"/>
      <c r="W856" s="194"/>
      <c r="X856" s="194"/>
      <c r="Y856" s="194"/>
      <c r="Z856" s="194"/>
    </row>
    <row r="857">
      <c r="A857" s="194"/>
      <c r="B857" s="194"/>
      <c r="C857" s="537"/>
      <c r="D857" s="537"/>
      <c r="E857" s="537"/>
      <c r="F857" s="537"/>
      <c r="G857" s="537"/>
      <c r="H857" s="537"/>
      <c r="I857" s="538"/>
      <c r="J857" s="537"/>
      <c r="K857" s="194"/>
      <c r="L857" s="194"/>
      <c r="M857" s="194"/>
      <c r="N857" s="194"/>
      <c r="O857" s="194"/>
      <c r="P857" s="194"/>
      <c r="Q857" s="194"/>
      <c r="R857" s="194"/>
      <c r="S857" s="194"/>
      <c r="T857" s="194"/>
      <c r="U857" s="194"/>
      <c r="V857" s="194"/>
      <c r="W857" s="194"/>
      <c r="X857" s="194"/>
      <c r="Y857" s="194"/>
      <c r="Z857" s="194"/>
    </row>
    <row r="858">
      <c r="A858" s="194"/>
      <c r="B858" s="194"/>
      <c r="C858" s="537"/>
      <c r="D858" s="537"/>
      <c r="E858" s="537"/>
      <c r="F858" s="537"/>
      <c r="G858" s="537"/>
      <c r="H858" s="537"/>
      <c r="I858" s="538"/>
      <c r="J858" s="537"/>
      <c r="K858" s="194"/>
      <c r="L858" s="194"/>
      <c r="M858" s="194"/>
      <c r="N858" s="194"/>
      <c r="O858" s="194"/>
      <c r="P858" s="194"/>
      <c r="Q858" s="194"/>
      <c r="R858" s="194"/>
      <c r="S858" s="194"/>
      <c r="T858" s="194"/>
      <c r="U858" s="194"/>
      <c r="V858" s="194"/>
      <c r="W858" s="194"/>
      <c r="X858" s="194"/>
      <c r="Y858" s="194"/>
      <c r="Z858" s="194"/>
    </row>
    <row r="859">
      <c r="A859" s="194"/>
      <c r="B859" s="194"/>
      <c r="C859" s="537"/>
      <c r="D859" s="537"/>
      <c r="E859" s="537"/>
      <c r="F859" s="537"/>
      <c r="G859" s="537"/>
      <c r="H859" s="537"/>
      <c r="I859" s="538"/>
      <c r="J859" s="537"/>
      <c r="K859" s="194"/>
      <c r="L859" s="194"/>
      <c r="M859" s="194"/>
      <c r="N859" s="194"/>
      <c r="O859" s="194"/>
      <c r="P859" s="194"/>
      <c r="Q859" s="194"/>
      <c r="R859" s="194"/>
      <c r="S859" s="194"/>
      <c r="T859" s="194"/>
      <c r="U859" s="194"/>
      <c r="V859" s="194"/>
      <c r="W859" s="194"/>
      <c r="X859" s="194"/>
      <c r="Y859" s="194"/>
      <c r="Z859" s="194"/>
    </row>
    <row r="860">
      <c r="A860" s="194"/>
      <c r="B860" s="194"/>
      <c r="C860" s="537"/>
      <c r="D860" s="537"/>
      <c r="E860" s="537"/>
      <c r="F860" s="537"/>
      <c r="G860" s="537"/>
      <c r="H860" s="537"/>
      <c r="I860" s="538"/>
      <c r="J860" s="537"/>
      <c r="K860" s="194"/>
      <c r="L860" s="194"/>
      <c r="M860" s="194"/>
      <c r="N860" s="194"/>
      <c r="O860" s="194"/>
      <c r="P860" s="194"/>
      <c r="Q860" s="194"/>
      <c r="R860" s="194"/>
      <c r="S860" s="194"/>
      <c r="T860" s="194"/>
      <c r="U860" s="194"/>
      <c r="V860" s="194"/>
      <c r="W860" s="194"/>
      <c r="X860" s="194"/>
      <c r="Y860" s="194"/>
      <c r="Z860" s="194"/>
    </row>
    <row r="861">
      <c r="A861" s="194"/>
      <c r="B861" s="194"/>
      <c r="C861" s="537"/>
      <c r="D861" s="537"/>
      <c r="E861" s="537"/>
      <c r="F861" s="537"/>
      <c r="G861" s="537"/>
      <c r="H861" s="537"/>
      <c r="I861" s="538"/>
      <c r="J861" s="537"/>
      <c r="K861" s="194"/>
      <c r="L861" s="194"/>
      <c r="M861" s="194"/>
      <c r="N861" s="194"/>
      <c r="O861" s="194"/>
      <c r="P861" s="194"/>
      <c r="Q861" s="194"/>
      <c r="R861" s="194"/>
      <c r="S861" s="194"/>
      <c r="T861" s="194"/>
      <c r="U861" s="194"/>
      <c r="V861" s="194"/>
      <c r="W861" s="194"/>
      <c r="X861" s="194"/>
      <c r="Y861" s="194"/>
      <c r="Z861" s="194"/>
    </row>
    <row r="862">
      <c r="A862" s="194"/>
      <c r="B862" s="194"/>
      <c r="C862" s="537"/>
      <c r="D862" s="537"/>
      <c r="E862" s="537"/>
      <c r="F862" s="537"/>
      <c r="G862" s="537"/>
      <c r="H862" s="537"/>
      <c r="I862" s="538"/>
      <c r="J862" s="537"/>
      <c r="K862" s="194"/>
      <c r="L862" s="194"/>
      <c r="M862" s="194"/>
      <c r="N862" s="194"/>
      <c r="O862" s="194"/>
      <c r="P862" s="194"/>
      <c r="Q862" s="194"/>
      <c r="R862" s="194"/>
      <c r="S862" s="194"/>
      <c r="T862" s="194"/>
      <c r="U862" s="194"/>
      <c r="V862" s="194"/>
      <c r="W862" s="194"/>
      <c r="X862" s="194"/>
      <c r="Y862" s="194"/>
      <c r="Z862" s="194"/>
    </row>
    <row r="863">
      <c r="A863" s="194"/>
      <c r="B863" s="194"/>
      <c r="C863" s="537"/>
      <c r="D863" s="537"/>
      <c r="E863" s="537"/>
      <c r="F863" s="537"/>
      <c r="G863" s="537"/>
      <c r="H863" s="537"/>
      <c r="I863" s="538"/>
      <c r="J863" s="537"/>
      <c r="K863" s="194"/>
      <c r="L863" s="194"/>
      <c r="M863" s="194"/>
      <c r="N863" s="194"/>
      <c r="O863" s="194"/>
      <c r="P863" s="194"/>
      <c r="Q863" s="194"/>
      <c r="R863" s="194"/>
      <c r="S863" s="194"/>
      <c r="T863" s="194"/>
      <c r="U863" s="194"/>
      <c r="V863" s="194"/>
      <c r="W863" s="194"/>
      <c r="X863" s="194"/>
      <c r="Y863" s="194"/>
      <c r="Z863" s="194"/>
    </row>
    <row r="864">
      <c r="A864" s="194"/>
      <c r="B864" s="194"/>
      <c r="C864" s="537"/>
      <c r="D864" s="537"/>
      <c r="E864" s="537"/>
      <c r="F864" s="537"/>
      <c r="G864" s="537"/>
      <c r="H864" s="537"/>
      <c r="I864" s="538"/>
      <c r="J864" s="537"/>
      <c r="K864" s="194"/>
      <c r="L864" s="194"/>
      <c r="M864" s="194"/>
      <c r="N864" s="194"/>
      <c r="O864" s="194"/>
      <c r="P864" s="194"/>
      <c r="Q864" s="194"/>
      <c r="R864" s="194"/>
      <c r="S864" s="194"/>
      <c r="T864" s="194"/>
      <c r="U864" s="194"/>
      <c r="V864" s="194"/>
      <c r="W864" s="194"/>
      <c r="X864" s="194"/>
      <c r="Y864" s="194"/>
      <c r="Z864" s="194"/>
    </row>
    <row r="865">
      <c r="A865" s="194"/>
      <c r="B865" s="194"/>
      <c r="C865" s="537"/>
      <c r="D865" s="537"/>
      <c r="E865" s="537"/>
      <c r="F865" s="537"/>
      <c r="G865" s="537"/>
      <c r="H865" s="537"/>
      <c r="I865" s="538"/>
      <c r="J865" s="537"/>
      <c r="K865" s="194"/>
      <c r="L865" s="194"/>
      <c r="M865" s="194"/>
      <c r="N865" s="194"/>
      <c r="O865" s="194"/>
      <c r="P865" s="194"/>
      <c r="Q865" s="194"/>
      <c r="R865" s="194"/>
      <c r="S865" s="194"/>
      <c r="T865" s="194"/>
      <c r="U865" s="194"/>
      <c r="V865" s="194"/>
      <c r="W865" s="194"/>
      <c r="X865" s="194"/>
      <c r="Y865" s="194"/>
      <c r="Z865" s="194"/>
    </row>
    <row r="866">
      <c r="A866" s="194"/>
      <c r="B866" s="194"/>
      <c r="C866" s="537"/>
      <c r="D866" s="537"/>
      <c r="E866" s="537"/>
      <c r="F866" s="537"/>
      <c r="G866" s="537"/>
      <c r="H866" s="537"/>
      <c r="I866" s="538"/>
      <c r="J866" s="537"/>
      <c r="K866" s="194"/>
      <c r="L866" s="194"/>
      <c r="M866" s="194"/>
      <c r="N866" s="194"/>
      <c r="O866" s="194"/>
      <c r="P866" s="194"/>
      <c r="Q866" s="194"/>
      <c r="R866" s="194"/>
      <c r="S866" s="194"/>
      <c r="T866" s="194"/>
      <c r="U866" s="194"/>
      <c r="V866" s="194"/>
      <c r="W866" s="194"/>
      <c r="X866" s="194"/>
      <c r="Y866" s="194"/>
      <c r="Z866" s="194"/>
    </row>
    <row r="867">
      <c r="A867" s="194"/>
      <c r="B867" s="194"/>
      <c r="C867" s="537"/>
      <c r="D867" s="537"/>
      <c r="E867" s="537"/>
      <c r="F867" s="537"/>
      <c r="G867" s="537"/>
      <c r="H867" s="537"/>
      <c r="I867" s="538"/>
      <c r="J867" s="537"/>
      <c r="K867" s="194"/>
      <c r="L867" s="194"/>
      <c r="M867" s="194"/>
      <c r="N867" s="194"/>
      <c r="O867" s="194"/>
      <c r="P867" s="194"/>
      <c r="Q867" s="194"/>
      <c r="R867" s="194"/>
      <c r="S867" s="194"/>
      <c r="T867" s="194"/>
      <c r="U867" s="194"/>
      <c r="V867" s="194"/>
      <c r="W867" s="194"/>
      <c r="X867" s="194"/>
      <c r="Y867" s="194"/>
      <c r="Z867" s="194"/>
    </row>
    <row r="868">
      <c r="A868" s="194"/>
      <c r="B868" s="194"/>
      <c r="C868" s="537"/>
      <c r="D868" s="537"/>
      <c r="E868" s="537"/>
      <c r="F868" s="537"/>
      <c r="G868" s="537"/>
      <c r="H868" s="537"/>
      <c r="I868" s="538"/>
      <c r="J868" s="537"/>
      <c r="K868" s="194"/>
      <c r="L868" s="194"/>
      <c r="M868" s="194"/>
      <c r="N868" s="194"/>
      <c r="O868" s="194"/>
      <c r="P868" s="194"/>
      <c r="Q868" s="194"/>
      <c r="R868" s="194"/>
      <c r="S868" s="194"/>
      <c r="T868" s="194"/>
      <c r="U868" s="194"/>
      <c r="V868" s="194"/>
      <c r="W868" s="194"/>
      <c r="X868" s="194"/>
      <c r="Y868" s="194"/>
      <c r="Z868" s="194"/>
    </row>
    <row r="869">
      <c r="A869" s="194"/>
      <c r="B869" s="194"/>
      <c r="C869" s="537"/>
      <c r="D869" s="537"/>
      <c r="E869" s="537"/>
      <c r="F869" s="537"/>
      <c r="G869" s="537"/>
      <c r="H869" s="537"/>
      <c r="I869" s="538"/>
      <c r="J869" s="537"/>
      <c r="K869" s="194"/>
      <c r="L869" s="194"/>
      <c r="M869" s="194"/>
      <c r="N869" s="194"/>
      <c r="O869" s="194"/>
      <c r="P869" s="194"/>
      <c r="Q869" s="194"/>
      <c r="R869" s="194"/>
      <c r="S869" s="194"/>
      <c r="T869" s="194"/>
      <c r="U869" s="194"/>
      <c r="V869" s="194"/>
      <c r="W869" s="194"/>
      <c r="X869" s="194"/>
      <c r="Y869" s="194"/>
      <c r="Z869" s="194"/>
    </row>
    <row r="870">
      <c r="A870" s="194"/>
      <c r="B870" s="194"/>
      <c r="C870" s="537"/>
      <c r="D870" s="537"/>
      <c r="E870" s="537"/>
      <c r="F870" s="537"/>
      <c r="G870" s="537"/>
      <c r="H870" s="537"/>
      <c r="I870" s="538"/>
      <c r="J870" s="537"/>
      <c r="K870" s="194"/>
      <c r="L870" s="194"/>
      <c r="M870" s="194"/>
      <c r="N870" s="194"/>
      <c r="O870" s="194"/>
      <c r="P870" s="194"/>
      <c r="Q870" s="194"/>
      <c r="R870" s="194"/>
      <c r="S870" s="194"/>
      <c r="T870" s="194"/>
      <c r="U870" s="194"/>
      <c r="V870" s="194"/>
      <c r="W870" s="194"/>
      <c r="X870" s="194"/>
      <c r="Y870" s="194"/>
      <c r="Z870" s="194"/>
    </row>
    <row r="871">
      <c r="A871" s="194"/>
      <c r="B871" s="194"/>
      <c r="C871" s="537"/>
      <c r="D871" s="537"/>
      <c r="E871" s="537"/>
      <c r="F871" s="537"/>
      <c r="G871" s="537"/>
      <c r="H871" s="537"/>
      <c r="I871" s="538"/>
      <c r="J871" s="537"/>
      <c r="K871" s="194"/>
      <c r="L871" s="194"/>
      <c r="M871" s="194"/>
      <c r="N871" s="194"/>
      <c r="O871" s="194"/>
      <c r="P871" s="194"/>
      <c r="Q871" s="194"/>
      <c r="R871" s="194"/>
      <c r="S871" s="194"/>
      <c r="T871" s="194"/>
      <c r="U871" s="194"/>
      <c r="V871" s="194"/>
      <c r="W871" s="194"/>
      <c r="X871" s="194"/>
      <c r="Y871" s="194"/>
      <c r="Z871" s="194"/>
    </row>
    <row r="872">
      <c r="A872" s="194"/>
      <c r="B872" s="194"/>
      <c r="C872" s="537"/>
      <c r="D872" s="537"/>
      <c r="E872" s="537"/>
      <c r="F872" s="537"/>
      <c r="G872" s="537"/>
      <c r="H872" s="537"/>
      <c r="I872" s="538"/>
      <c r="J872" s="537"/>
      <c r="K872" s="194"/>
      <c r="L872" s="194"/>
      <c r="M872" s="194"/>
      <c r="N872" s="194"/>
      <c r="O872" s="194"/>
      <c r="P872" s="194"/>
      <c r="Q872" s="194"/>
      <c r="R872" s="194"/>
      <c r="S872" s="194"/>
      <c r="T872" s="194"/>
      <c r="U872" s="194"/>
      <c r="V872" s="194"/>
      <c r="W872" s="194"/>
      <c r="X872" s="194"/>
      <c r="Y872" s="194"/>
      <c r="Z872" s="194"/>
    </row>
    <row r="873">
      <c r="A873" s="194"/>
      <c r="B873" s="194"/>
      <c r="C873" s="537"/>
      <c r="D873" s="537"/>
      <c r="E873" s="537"/>
      <c r="F873" s="537"/>
      <c r="G873" s="537"/>
      <c r="H873" s="537"/>
      <c r="I873" s="538"/>
      <c r="J873" s="537"/>
      <c r="K873" s="194"/>
      <c r="L873" s="194"/>
      <c r="M873" s="194"/>
      <c r="N873" s="194"/>
      <c r="O873" s="194"/>
      <c r="P873" s="194"/>
      <c r="Q873" s="194"/>
      <c r="R873" s="194"/>
      <c r="S873" s="194"/>
      <c r="T873" s="194"/>
      <c r="U873" s="194"/>
      <c r="V873" s="194"/>
      <c r="W873" s="194"/>
      <c r="X873" s="194"/>
      <c r="Y873" s="194"/>
      <c r="Z873" s="194"/>
    </row>
    <row r="874">
      <c r="A874" s="194"/>
      <c r="B874" s="194"/>
      <c r="C874" s="537"/>
      <c r="D874" s="537"/>
      <c r="E874" s="537"/>
      <c r="F874" s="537"/>
      <c r="G874" s="537"/>
      <c r="H874" s="537"/>
      <c r="I874" s="538"/>
      <c r="J874" s="537"/>
      <c r="K874" s="194"/>
      <c r="L874" s="194"/>
      <c r="M874" s="194"/>
      <c r="N874" s="194"/>
      <c r="O874" s="194"/>
      <c r="P874" s="194"/>
      <c r="Q874" s="194"/>
      <c r="R874" s="194"/>
      <c r="S874" s="194"/>
      <c r="T874" s="194"/>
      <c r="U874" s="194"/>
      <c r="V874" s="194"/>
      <c r="W874" s="194"/>
      <c r="X874" s="194"/>
      <c r="Y874" s="194"/>
      <c r="Z874" s="194"/>
    </row>
    <row r="875">
      <c r="A875" s="194"/>
      <c r="B875" s="194"/>
      <c r="C875" s="537"/>
      <c r="D875" s="537"/>
      <c r="E875" s="537"/>
      <c r="F875" s="537"/>
      <c r="G875" s="537"/>
      <c r="H875" s="537"/>
      <c r="I875" s="538"/>
      <c r="J875" s="537"/>
      <c r="K875" s="194"/>
      <c r="L875" s="194"/>
      <c r="M875" s="194"/>
      <c r="N875" s="194"/>
      <c r="O875" s="194"/>
      <c r="P875" s="194"/>
      <c r="Q875" s="194"/>
      <c r="R875" s="194"/>
      <c r="S875" s="194"/>
      <c r="T875" s="194"/>
      <c r="U875" s="194"/>
      <c r="V875" s="194"/>
      <c r="W875" s="194"/>
      <c r="X875" s="194"/>
      <c r="Y875" s="194"/>
      <c r="Z875" s="194"/>
    </row>
    <row r="876">
      <c r="A876" s="194"/>
      <c r="B876" s="194"/>
      <c r="C876" s="537"/>
      <c r="D876" s="537"/>
      <c r="E876" s="537"/>
      <c r="F876" s="537"/>
      <c r="G876" s="537"/>
      <c r="H876" s="537"/>
      <c r="I876" s="538"/>
      <c r="J876" s="537"/>
      <c r="K876" s="194"/>
      <c r="L876" s="194"/>
      <c r="M876" s="194"/>
      <c r="N876" s="194"/>
      <c r="O876" s="194"/>
      <c r="P876" s="194"/>
      <c r="Q876" s="194"/>
      <c r="R876" s="194"/>
      <c r="S876" s="194"/>
      <c r="T876" s="194"/>
      <c r="U876" s="194"/>
      <c r="V876" s="194"/>
      <c r="W876" s="194"/>
      <c r="X876" s="194"/>
      <c r="Y876" s="194"/>
      <c r="Z876" s="194"/>
    </row>
    <row r="877">
      <c r="A877" s="194"/>
      <c r="B877" s="194"/>
      <c r="C877" s="537"/>
      <c r="D877" s="537"/>
      <c r="E877" s="537"/>
      <c r="F877" s="537"/>
      <c r="G877" s="537"/>
      <c r="H877" s="537"/>
      <c r="I877" s="538"/>
      <c r="J877" s="537"/>
      <c r="K877" s="194"/>
      <c r="L877" s="194"/>
      <c r="M877" s="194"/>
      <c r="N877" s="194"/>
      <c r="O877" s="194"/>
      <c r="P877" s="194"/>
      <c r="Q877" s="194"/>
      <c r="R877" s="194"/>
      <c r="S877" s="194"/>
      <c r="T877" s="194"/>
      <c r="U877" s="194"/>
      <c r="V877" s="194"/>
      <c r="W877" s="194"/>
      <c r="X877" s="194"/>
      <c r="Y877" s="194"/>
      <c r="Z877" s="194"/>
    </row>
    <row r="878">
      <c r="A878" s="194"/>
      <c r="B878" s="194"/>
      <c r="C878" s="537"/>
      <c r="D878" s="537"/>
      <c r="E878" s="537"/>
      <c r="F878" s="537"/>
      <c r="G878" s="537"/>
      <c r="H878" s="537"/>
      <c r="I878" s="538"/>
      <c r="J878" s="537"/>
      <c r="K878" s="194"/>
      <c r="L878" s="194"/>
      <c r="M878" s="194"/>
      <c r="N878" s="194"/>
      <c r="O878" s="194"/>
      <c r="P878" s="194"/>
      <c r="Q878" s="194"/>
      <c r="R878" s="194"/>
      <c r="S878" s="194"/>
      <c r="T878" s="194"/>
      <c r="U878" s="194"/>
      <c r="V878" s="194"/>
      <c r="W878" s="194"/>
      <c r="X878" s="194"/>
      <c r="Y878" s="194"/>
      <c r="Z878" s="194"/>
    </row>
    <row r="879">
      <c r="A879" s="194"/>
      <c r="B879" s="194"/>
      <c r="C879" s="537"/>
      <c r="D879" s="537"/>
      <c r="E879" s="537"/>
      <c r="F879" s="537"/>
      <c r="G879" s="537"/>
      <c r="H879" s="537"/>
      <c r="I879" s="538"/>
      <c r="J879" s="537"/>
      <c r="K879" s="194"/>
      <c r="L879" s="194"/>
      <c r="M879" s="194"/>
      <c r="N879" s="194"/>
      <c r="O879" s="194"/>
      <c r="P879" s="194"/>
      <c r="Q879" s="194"/>
      <c r="R879" s="194"/>
      <c r="S879" s="194"/>
      <c r="T879" s="194"/>
      <c r="U879" s="194"/>
      <c r="V879" s="194"/>
      <c r="W879" s="194"/>
      <c r="X879" s="194"/>
      <c r="Y879" s="194"/>
      <c r="Z879" s="194"/>
    </row>
    <row r="880">
      <c r="A880" s="194"/>
      <c r="B880" s="194"/>
      <c r="C880" s="537"/>
      <c r="D880" s="537"/>
      <c r="E880" s="537"/>
      <c r="F880" s="537"/>
      <c r="G880" s="537"/>
      <c r="H880" s="537"/>
      <c r="I880" s="538"/>
      <c r="J880" s="537"/>
      <c r="K880" s="194"/>
      <c r="L880" s="194"/>
      <c r="M880" s="194"/>
      <c r="N880" s="194"/>
      <c r="O880" s="194"/>
      <c r="P880" s="194"/>
      <c r="Q880" s="194"/>
      <c r="R880" s="194"/>
      <c r="S880" s="194"/>
      <c r="T880" s="194"/>
      <c r="U880" s="194"/>
      <c r="V880" s="194"/>
      <c r="W880" s="194"/>
      <c r="X880" s="194"/>
      <c r="Y880" s="194"/>
      <c r="Z880" s="194"/>
    </row>
    <row r="881">
      <c r="A881" s="194"/>
      <c r="B881" s="194"/>
      <c r="C881" s="537"/>
      <c r="D881" s="537"/>
      <c r="E881" s="537"/>
      <c r="F881" s="537"/>
      <c r="G881" s="537"/>
      <c r="H881" s="537"/>
      <c r="I881" s="538"/>
      <c r="J881" s="537"/>
      <c r="K881" s="194"/>
      <c r="L881" s="194"/>
      <c r="M881" s="194"/>
      <c r="N881" s="194"/>
      <c r="O881" s="194"/>
      <c r="P881" s="194"/>
      <c r="Q881" s="194"/>
      <c r="R881" s="194"/>
      <c r="S881" s="194"/>
      <c r="T881" s="194"/>
      <c r="U881" s="194"/>
      <c r="V881" s="194"/>
      <c r="W881" s="194"/>
      <c r="X881" s="194"/>
      <c r="Y881" s="194"/>
      <c r="Z881" s="194"/>
    </row>
    <row r="882">
      <c r="A882" s="194"/>
      <c r="B882" s="194"/>
      <c r="C882" s="537"/>
      <c r="D882" s="537"/>
      <c r="E882" s="537"/>
      <c r="F882" s="537"/>
      <c r="G882" s="537"/>
      <c r="H882" s="537"/>
      <c r="I882" s="538"/>
      <c r="J882" s="537"/>
      <c r="K882" s="194"/>
      <c r="L882" s="194"/>
      <c r="M882" s="194"/>
      <c r="N882" s="194"/>
      <c r="O882" s="194"/>
      <c r="P882" s="194"/>
      <c r="Q882" s="194"/>
      <c r="R882" s="194"/>
      <c r="S882" s="194"/>
      <c r="T882" s="194"/>
      <c r="U882" s="194"/>
      <c r="V882" s="194"/>
      <c r="W882" s="194"/>
      <c r="X882" s="194"/>
      <c r="Y882" s="194"/>
      <c r="Z882" s="194"/>
    </row>
    <row r="883">
      <c r="A883" s="194"/>
      <c r="B883" s="194"/>
      <c r="C883" s="537"/>
      <c r="D883" s="537"/>
      <c r="E883" s="537"/>
      <c r="F883" s="537"/>
      <c r="G883" s="537"/>
      <c r="H883" s="537"/>
      <c r="I883" s="538"/>
      <c r="J883" s="537"/>
      <c r="K883" s="194"/>
      <c r="L883" s="194"/>
      <c r="M883" s="194"/>
      <c r="N883" s="194"/>
      <c r="O883" s="194"/>
      <c r="P883" s="194"/>
      <c r="Q883" s="194"/>
      <c r="R883" s="194"/>
      <c r="S883" s="194"/>
      <c r="T883" s="194"/>
      <c r="U883" s="194"/>
      <c r="V883" s="194"/>
      <c r="W883" s="194"/>
      <c r="X883" s="194"/>
      <c r="Y883" s="194"/>
      <c r="Z883" s="194"/>
    </row>
    <row r="884">
      <c r="A884" s="194"/>
      <c r="B884" s="194"/>
      <c r="C884" s="537"/>
      <c r="D884" s="537"/>
      <c r="E884" s="537"/>
      <c r="F884" s="537"/>
      <c r="G884" s="537"/>
      <c r="H884" s="537"/>
      <c r="I884" s="538"/>
      <c r="J884" s="537"/>
      <c r="K884" s="194"/>
      <c r="L884" s="194"/>
      <c r="M884" s="194"/>
      <c r="N884" s="194"/>
      <c r="O884" s="194"/>
      <c r="P884" s="194"/>
      <c r="Q884" s="194"/>
      <c r="R884" s="194"/>
      <c r="S884" s="194"/>
      <c r="T884" s="194"/>
      <c r="U884" s="194"/>
      <c r="V884" s="194"/>
      <c r="W884" s="194"/>
      <c r="X884" s="194"/>
      <c r="Y884" s="194"/>
      <c r="Z884" s="194"/>
    </row>
    <row r="885">
      <c r="A885" s="194"/>
      <c r="B885" s="194"/>
      <c r="C885" s="537"/>
      <c r="D885" s="537"/>
      <c r="E885" s="537"/>
      <c r="F885" s="537"/>
      <c r="G885" s="537"/>
      <c r="H885" s="537"/>
      <c r="I885" s="538"/>
      <c r="J885" s="537"/>
      <c r="K885" s="194"/>
      <c r="L885" s="194"/>
      <c r="M885" s="194"/>
      <c r="N885" s="194"/>
      <c r="O885" s="194"/>
      <c r="P885" s="194"/>
      <c r="Q885" s="194"/>
      <c r="R885" s="194"/>
      <c r="S885" s="194"/>
      <c r="T885" s="194"/>
      <c r="U885" s="194"/>
      <c r="V885" s="194"/>
      <c r="W885" s="194"/>
      <c r="X885" s="194"/>
      <c r="Y885" s="194"/>
      <c r="Z885" s="194"/>
    </row>
    <row r="886">
      <c r="A886" s="194"/>
      <c r="B886" s="194"/>
      <c r="C886" s="537"/>
      <c r="D886" s="537"/>
      <c r="E886" s="537"/>
      <c r="F886" s="537"/>
      <c r="G886" s="537"/>
      <c r="H886" s="537"/>
      <c r="I886" s="538"/>
      <c r="J886" s="537"/>
      <c r="K886" s="194"/>
      <c r="L886" s="194"/>
      <c r="M886" s="194"/>
      <c r="N886" s="194"/>
      <c r="O886" s="194"/>
      <c r="P886" s="194"/>
      <c r="Q886" s="194"/>
      <c r="R886" s="194"/>
      <c r="S886" s="194"/>
      <c r="T886" s="194"/>
      <c r="U886" s="194"/>
      <c r="V886" s="194"/>
      <c r="W886" s="194"/>
      <c r="X886" s="194"/>
      <c r="Y886" s="194"/>
      <c r="Z886" s="194"/>
    </row>
    <row r="887">
      <c r="A887" s="194"/>
      <c r="B887" s="194"/>
      <c r="C887" s="537"/>
      <c r="D887" s="537"/>
      <c r="E887" s="537"/>
      <c r="F887" s="537"/>
      <c r="G887" s="537"/>
      <c r="H887" s="537"/>
      <c r="I887" s="538"/>
      <c r="J887" s="537"/>
      <c r="K887" s="194"/>
      <c r="L887" s="194"/>
      <c r="M887" s="194"/>
      <c r="N887" s="194"/>
      <c r="O887" s="194"/>
      <c r="P887" s="194"/>
      <c r="Q887" s="194"/>
      <c r="R887" s="194"/>
      <c r="S887" s="194"/>
      <c r="T887" s="194"/>
      <c r="U887" s="194"/>
      <c r="V887" s="194"/>
      <c r="W887" s="194"/>
      <c r="X887" s="194"/>
      <c r="Y887" s="194"/>
      <c r="Z887" s="194"/>
    </row>
    <row r="888">
      <c r="A888" s="194"/>
      <c r="B888" s="194"/>
      <c r="C888" s="537"/>
      <c r="D888" s="537"/>
      <c r="E888" s="537"/>
      <c r="F888" s="537"/>
      <c r="G888" s="537"/>
      <c r="H888" s="537"/>
      <c r="I888" s="538"/>
      <c r="J888" s="537"/>
      <c r="K888" s="194"/>
      <c r="L888" s="194"/>
      <c r="M888" s="194"/>
      <c r="N888" s="194"/>
      <c r="O888" s="194"/>
      <c r="P888" s="194"/>
      <c r="Q888" s="194"/>
      <c r="R888" s="194"/>
      <c r="S888" s="194"/>
      <c r="T888" s="194"/>
      <c r="U888" s="194"/>
      <c r="V888" s="194"/>
      <c r="W888" s="194"/>
      <c r="X888" s="194"/>
      <c r="Y888" s="194"/>
      <c r="Z888" s="194"/>
    </row>
    <row r="889">
      <c r="A889" s="194"/>
      <c r="B889" s="194"/>
      <c r="C889" s="537"/>
      <c r="D889" s="537"/>
      <c r="E889" s="537"/>
      <c r="F889" s="537"/>
      <c r="G889" s="537"/>
      <c r="H889" s="537"/>
      <c r="I889" s="538"/>
      <c r="J889" s="537"/>
      <c r="K889" s="194"/>
      <c r="L889" s="194"/>
      <c r="M889" s="194"/>
      <c r="N889" s="194"/>
      <c r="O889" s="194"/>
      <c r="P889" s="194"/>
      <c r="Q889" s="194"/>
      <c r="R889" s="194"/>
      <c r="S889" s="194"/>
      <c r="T889" s="194"/>
      <c r="U889" s="194"/>
      <c r="V889" s="194"/>
      <c r="W889" s="194"/>
      <c r="X889" s="194"/>
      <c r="Y889" s="194"/>
      <c r="Z889" s="194"/>
    </row>
    <row r="890">
      <c r="A890" s="194"/>
      <c r="B890" s="194"/>
      <c r="C890" s="537"/>
      <c r="D890" s="537"/>
      <c r="E890" s="537"/>
      <c r="F890" s="537"/>
      <c r="G890" s="537"/>
      <c r="H890" s="537"/>
      <c r="I890" s="538"/>
      <c r="J890" s="537"/>
      <c r="K890" s="194"/>
      <c r="L890" s="194"/>
      <c r="M890" s="194"/>
      <c r="N890" s="194"/>
      <c r="O890" s="194"/>
      <c r="P890" s="194"/>
      <c r="Q890" s="194"/>
      <c r="R890" s="194"/>
      <c r="S890" s="194"/>
      <c r="T890" s="194"/>
      <c r="U890" s="194"/>
      <c r="V890" s="194"/>
      <c r="W890" s="194"/>
      <c r="X890" s="194"/>
      <c r="Y890" s="194"/>
      <c r="Z890" s="194"/>
    </row>
    <row r="891">
      <c r="A891" s="194"/>
      <c r="B891" s="194"/>
      <c r="C891" s="537"/>
      <c r="D891" s="537"/>
      <c r="E891" s="537"/>
      <c r="F891" s="537"/>
      <c r="G891" s="537"/>
      <c r="H891" s="537"/>
      <c r="I891" s="538"/>
      <c r="J891" s="537"/>
      <c r="K891" s="194"/>
      <c r="L891" s="194"/>
      <c r="M891" s="194"/>
      <c r="N891" s="194"/>
      <c r="O891" s="194"/>
      <c r="P891" s="194"/>
      <c r="Q891" s="194"/>
      <c r="R891" s="194"/>
      <c r="S891" s="194"/>
      <c r="T891" s="194"/>
      <c r="U891" s="194"/>
      <c r="V891" s="194"/>
      <c r="W891" s="194"/>
      <c r="X891" s="194"/>
      <c r="Y891" s="194"/>
      <c r="Z891" s="194"/>
    </row>
    <row r="892">
      <c r="A892" s="194"/>
      <c r="B892" s="194"/>
      <c r="C892" s="537"/>
      <c r="D892" s="537"/>
      <c r="E892" s="537"/>
      <c r="F892" s="537"/>
      <c r="G892" s="537"/>
      <c r="H892" s="537"/>
      <c r="I892" s="538"/>
      <c r="J892" s="537"/>
      <c r="K892" s="194"/>
      <c r="L892" s="194"/>
      <c r="M892" s="194"/>
      <c r="N892" s="194"/>
      <c r="O892" s="194"/>
      <c r="P892" s="194"/>
      <c r="Q892" s="194"/>
      <c r="R892" s="194"/>
      <c r="S892" s="194"/>
      <c r="T892" s="194"/>
      <c r="U892" s="194"/>
      <c r="V892" s="194"/>
      <c r="W892" s="194"/>
      <c r="X892" s="194"/>
      <c r="Y892" s="194"/>
      <c r="Z892" s="194"/>
    </row>
    <row r="893">
      <c r="A893" s="194"/>
      <c r="B893" s="194"/>
      <c r="C893" s="537"/>
      <c r="D893" s="537"/>
      <c r="E893" s="537"/>
      <c r="F893" s="537"/>
      <c r="G893" s="537"/>
      <c r="H893" s="537"/>
      <c r="I893" s="538"/>
      <c r="J893" s="537"/>
      <c r="K893" s="194"/>
      <c r="L893" s="194"/>
      <c r="M893" s="194"/>
      <c r="N893" s="194"/>
      <c r="O893" s="194"/>
      <c r="P893" s="194"/>
      <c r="Q893" s="194"/>
      <c r="R893" s="194"/>
      <c r="S893" s="194"/>
      <c r="T893" s="194"/>
      <c r="U893" s="194"/>
      <c r="V893" s="194"/>
      <c r="W893" s="194"/>
      <c r="X893" s="194"/>
      <c r="Y893" s="194"/>
      <c r="Z893" s="194"/>
    </row>
    <row r="894">
      <c r="A894" s="194"/>
      <c r="B894" s="194"/>
      <c r="C894" s="537"/>
      <c r="D894" s="537"/>
      <c r="E894" s="537"/>
      <c r="F894" s="537"/>
      <c r="G894" s="537"/>
      <c r="H894" s="537"/>
      <c r="I894" s="538"/>
      <c r="J894" s="537"/>
      <c r="K894" s="194"/>
      <c r="L894" s="194"/>
      <c r="M894" s="194"/>
      <c r="N894" s="194"/>
      <c r="O894" s="194"/>
      <c r="P894" s="194"/>
      <c r="Q894" s="194"/>
      <c r="R894" s="194"/>
      <c r="S894" s="194"/>
      <c r="T894" s="194"/>
      <c r="U894" s="194"/>
      <c r="V894" s="194"/>
      <c r="W894" s="194"/>
      <c r="X894" s="194"/>
      <c r="Y894" s="194"/>
      <c r="Z894" s="194"/>
    </row>
    <row r="895">
      <c r="A895" s="194"/>
      <c r="B895" s="194"/>
      <c r="C895" s="537"/>
      <c r="D895" s="537"/>
      <c r="E895" s="537"/>
      <c r="F895" s="537"/>
      <c r="G895" s="537"/>
      <c r="H895" s="537"/>
      <c r="I895" s="538"/>
      <c r="J895" s="537"/>
      <c r="K895" s="194"/>
      <c r="L895" s="194"/>
      <c r="M895" s="194"/>
      <c r="N895" s="194"/>
      <c r="O895" s="194"/>
      <c r="P895" s="194"/>
      <c r="Q895" s="194"/>
      <c r="R895" s="194"/>
      <c r="S895" s="194"/>
      <c r="T895" s="194"/>
      <c r="U895" s="194"/>
      <c r="V895" s="194"/>
      <c r="W895" s="194"/>
      <c r="X895" s="194"/>
      <c r="Y895" s="194"/>
      <c r="Z895" s="194"/>
    </row>
    <row r="896">
      <c r="A896" s="194"/>
      <c r="B896" s="194"/>
      <c r="C896" s="537"/>
      <c r="D896" s="537"/>
      <c r="E896" s="537"/>
      <c r="F896" s="537"/>
      <c r="G896" s="537"/>
      <c r="H896" s="537"/>
      <c r="I896" s="538"/>
      <c r="J896" s="537"/>
      <c r="K896" s="194"/>
      <c r="L896" s="194"/>
      <c r="M896" s="194"/>
      <c r="N896" s="194"/>
      <c r="O896" s="194"/>
      <c r="P896" s="194"/>
      <c r="Q896" s="194"/>
      <c r="R896" s="194"/>
      <c r="S896" s="194"/>
      <c r="T896" s="194"/>
      <c r="U896" s="194"/>
      <c r="V896" s="194"/>
      <c r="W896" s="194"/>
      <c r="X896" s="194"/>
      <c r="Y896" s="194"/>
      <c r="Z896" s="194"/>
    </row>
    <row r="897">
      <c r="A897" s="194"/>
      <c r="B897" s="194"/>
      <c r="C897" s="537"/>
      <c r="D897" s="537"/>
      <c r="E897" s="537"/>
      <c r="F897" s="537"/>
      <c r="G897" s="537"/>
      <c r="H897" s="537"/>
      <c r="I897" s="538"/>
      <c r="J897" s="537"/>
      <c r="K897" s="194"/>
      <c r="L897" s="194"/>
      <c r="M897" s="194"/>
      <c r="N897" s="194"/>
      <c r="O897" s="194"/>
      <c r="P897" s="194"/>
      <c r="Q897" s="194"/>
      <c r="R897" s="194"/>
      <c r="S897" s="194"/>
      <c r="T897" s="194"/>
      <c r="U897" s="194"/>
      <c r="V897" s="194"/>
      <c r="W897" s="194"/>
      <c r="X897" s="194"/>
      <c r="Y897" s="194"/>
      <c r="Z897" s="194"/>
    </row>
    <row r="898">
      <c r="A898" s="194"/>
      <c r="B898" s="194"/>
      <c r="C898" s="537"/>
      <c r="D898" s="537"/>
      <c r="E898" s="537"/>
      <c r="F898" s="537"/>
      <c r="G898" s="537"/>
      <c r="H898" s="537"/>
      <c r="I898" s="538"/>
      <c r="J898" s="537"/>
      <c r="K898" s="194"/>
      <c r="L898" s="194"/>
      <c r="M898" s="194"/>
      <c r="N898" s="194"/>
      <c r="O898" s="194"/>
      <c r="P898" s="194"/>
      <c r="Q898" s="194"/>
      <c r="R898" s="194"/>
      <c r="S898" s="194"/>
      <c r="T898" s="194"/>
      <c r="U898" s="194"/>
      <c r="V898" s="194"/>
      <c r="W898" s="194"/>
      <c r="X898" s="194"/>
      <c r="Y898" s="194"/>
      <c r="Z898" s="194"/>
    </row>
    <row r="899">
      <c r="A899" s="194"/>
      <c r="B899" s="194"/>
      <c r="C899" s="537"/>
      <c r="D899" s="537"/>
      <c r="E899" s="537"/>
      <c r="F899" s="537"/>
      <c r="G899" s="537"/>
      <c r="H899" s="537"/>
      <c r="I899" s="538"/>
      <c r="J899" s="537"/>
      <c r="K899" s="194"/>
      <c r="L899" s="194"/>
      <c r="M899" s="194"/>
      <c r="N899" s="194"/>
      <c r="O899" s="194"/>
      <c r="P899" s="194"/>
      <c r="Q899" s="194"/>
      <c r="R899" s="194"/>
      <c r="S899" s="194"/>
      <c r="T899" s="194"/>
      <c r="U899" s="194"/>
      <c r="V899" s="194"/>
      <c r="W899" s="194"/>
      <c r="X899" s="194"/>
      <c r="Y899" s="194"/>
      <c r="Z899" s="194"/>
    </row>
    <row r="900">
      <c r="A900" s="194"/>
      <c r="B900" s="194"/>
      <c r="C900" s="537"/>
      <c r="D900" s="537"/>
      <c r="E900" s="537"/>
      <c r="F900" s="537"/>
      <c r="G900" s="537"/>
      <c r="H900" s="537"/>
      <c r="I900" s="538"/>
      <c r="J900" s="537"/>
      <c r="K900" s="194"/>
      <c r="L900" s="194"/>
      <c r="M900" s="194"/>
      <c r="N900" s="194"/>
      <c r="O900" s="194"/>
      <c r="P900" s="194"/>
      <c r="Q900" s="194"/>
      <c r="R900" s="194"/>
      <c r="S900" s="194"/>
      <c r="T900" s="194"/>
      <c r="U900" s="194"/>
      <c r="V900" s="194"/>
      <c r="W900" s="194"/>
      <c r="X900" s="194"/>
      <c r="Y900" s="194"/>
      <c r="Z900" s="194"/>
    </row>
    <row r="901">
      <c r="A901" s="194"/>
      <c r="B901" s="194"/>
      <c r="C901" s="537"/>
      <c r="D901" s="537"/>
      <c r="E901" s="537"/>
      <c r="F901" s="537"/>
      <c r="G901" s="537"/>
      <c r="H901" s="537"/>
      <c r="I901" s="538"/>
      <c r="J901" s="537"/>
      <c r="K901" s="194"/>
      <c r="L901" s="194"/>
      <c r="M901" s="194"/>
      <c r="N901" s="194"/>
      <c r="O901" s="194"/>
      <c r="P901" s="194"/>
      <c r="Q901" s="194"/>
      <c r="R901" s="194"/>
      <c r="S901" s="194"/>
      <c r="T901" s="194"/>
      <c r="U901" s="194"/>
      <c r="V901" s="194"/>
      <c r="W901" s="194"/>
      <c r="X901" s="194"/>
      <c r="Y901" s="194"/>
      <c r="Z901" s="194"/>
    </row>
    <row r="902">
      <c r="A902" s="194"/>
      <c r="B902" s="194"/>
      <c r="C902" s="537"/>
      <c r="D902" s="537"/>
      <c r="E902" s="537"/>
      <c r="F902" s="537"/>
      <c r="G902" s="537"/>
      <c r="H902" s="537"/>
      <c r="I902" s="538"/>
      <c r="J902" s="537"/>
      <c r="K902" s="194"/>
      <c r="L902" s="194"/>
      <c r="M902" s="194"/>
      <c r="N902" s="194"/>
      <c r="O902" s="194"/>
      <c r="P902" s="194"/>
      <c r="Q902" s="194"/>
      <c r="R902" s="194"/>
      <c r="S902" s="194"/>
      <c r="T902" s="194"/>
      <c r="U902" s="194"/>
      <c r="V902" s="194"/>
      <c r="W902" s="194"/>
      <c r="X902" s="194"/>
      <c r="Y902" s="194"/>
      <c r="Z902" s="194"/>
    </row>
    <row r="903">
      <c r="A903" s="194"/>
      <c r="B903" s="194"/>
      <c r="C903" s="537"/>
      <c r="D903" s="537"/>
      <c r="E903" s="537"/>
      <c r="F903" s="537"/>
      <c r="G903" s="537"/>
      <c r="H903" s="537"/>
      <c r="I903" s="538"/>
      <c r="J903" s="537"/>
      <c r="K903" s="194"/>
      <c r="L903" s="194"/>
      <c r="M903" s="194"/>
      <c r="N903" s="194"/>
      <c r="O903" s="194"/>
      <c r="P903" s="194"/>
      <c r="Q903" s="194"/>
      <c r="R903" s="194"/>
      <c r="S903" s="194"/>
      <c r="T903" s="194"/>
      <c r="U903" s="194"/>
      <c r="V903" s="194"/>
      <c r="W903" s="194"/>
      <c r="X903" s="194"/>
      <c r="Y903" s="194"/>
      <c r="Z903" s="194"/>
    </row>
    <row r="904">
      <c r="A904" s="194"/>
      <c r="B904" s="194"/>
      <c r="C904" s="537"/>
      <c r="D904" s="537"/>
      <c r="E904" s="537"/>
      <c r="F904" s="537"/>
      <c r="G904" s="537"/>
      <c r="H904" s="537"/>
      <c r="I904" s="538"/>
      <c r="J904" s="537"/>
      <c r="K904" s="194"/>
      <c r="L904" s="194"/>
      <c r="M904" s="194"/>
      <c r="N904" s="194"/>
      <c r="O904" s="194"/>
      <c r="P904" s="194"/>
      <c r="Q904" s="194"/>
      <c r="R904" s="194"/>
      <c r="S904" s="194"/>
      <c r="T904" s="194"/>
      <c r="U904" s="194"/>
      <c r="V904" s="194"/>
      <c r="W904" s="194"/>
      <c r="X904" s="194"/>
      <c r="Y904" s="194"/>
      <c r="Z904" s="194"/>
    </row>
    <row r="905">
      <c r="A905" s="194"/>
      <c r="B905" s="194"/>
      <c r="C905" s="537"/>
      <c r="D905" s="537"/>
      <c r="E905" s="537"/>
      <c r="F905" s="537"/>
      <c r="G905" s="537"/>
      <c r="H905" s="537"/>
      <c r="I905" s="538"/>
      <c r="J905" s="537"/>
      <c r="K905" s="194"/>
      <c r="L905" s="194"/>
      <c r="M905" s="194"/>
      <c r="N905" s="194"/>
      <c r="O905" s="194"/>
      <c r="P905" s="194"/>
      <c r="Q905" s="194"/>
      <c r="R905" s="194"/>
      <c r="S905" s="194"/>
      <c r="T905" s="194"/>
      <c r="U905" s="194"/>
      <c r="V905" s="194"/>
      <c r="W905" s="194"/>
      <c r="X905" s="194"/>
      <c r="Y905" s="194"/>
      <c r="Z905" s="194"/>
    </row>
    <row r="906">
      <c r="A906" s="194"/>
      <c r="B906" s="194"/>
      <c r="C906" s="537"/>
      <c r="D906" s="537"/>
      <c r="E906" s="537"/>
      <c r="F906" s="537"/>
      <c r="G906" s="537"/>
      <c r="H906" s="537"/>
      <c r="I906" s="538"/>
      <c r="J906" s="537"/>
      <c r="K906" s="194"/>
      <c r="L906" s="194"/>
      <c r="M906" s="194"/>
      <c r="N906" s="194"/>
      <c r="O906" s="194"/>
      <c r="P906" s="194"/>
      <c r="Q906" s="194"/>
      <c r="R906" s="194"/>
      <c r="S906" s="194"/>
      <c r="T906" s="194"/>
      <c r="U906" s="194"/>
      <c r="V906" s="194"/>
      <c r="W906" s="194"/>
      <c r="X906" s="194"/>
      <c r="Y906" s="194"/>
      <c r="Z906" s="194"/>
    </row>
    <row r="907">
      <c r="A907" s="194"/>
      <c r="B907" s="194"/>
      <c r="C907" s="537"/>
      <c r="D907" s="537"/>
      <c r="E907" s="537"/>
      <c r="F907" s="537"/>
      <c r="G907" s="537"/>
      <c r="H907" s="537"/>
      <c r="I907" s="538"/>
      <c r="J907" s="537"/>
      <c r="K907" s="194"/>
      <c r="L907" s="194"/>
      <c r="M907" s="194"/>
      <c r="N907" s="194"/>
      <c r="O907" s="194"/>
      <c r="P907" s="194"/>
      <c r="Q907" s="194"/>
      <c r="R907" s="194"/>
      <c r="S907" s="194"/>
      <c r="T907" s="194"/>
      <c r="U907" s="194"/>
      <c r="V907" s="194"/>
      <c r="W907" s="194"/>
      <c r="X907" s="194"/>
      <c r="Y907" s="194"/>
      <c r="Z907" s="194"/>
    </row>
    <row r="908">
      <c r="A908" s="194"/>
      <c r="B908" s="194"/>
      <c r="C908" s="537"/>
      <c r="D908" s="537"/>
      <c r="E908" s="537"/>
      <c r="F908" s="537"/>
      <c r="G908" s="537"/>
      <c r="H908" s="537"/>
      <c r="I908" s="538"/>
      <c r="J908" s="537"/>
      <c r="K908" s="194"/>
      <c r="L908" s="194"/>
      <c r="M908" s="194"/>
      <c r="N908" s="194"/>
      <c r="O908" s="194"/>
      <c r="P908" s="194"/>
      <c r="Q908" s="194"/>
      <c r="R908" s="194"/>
      <c r="S908" s="194"/>
      <c r="T908" s="194"/>
      <c r="U908" s="194"/>
      <c r="V908" s="194"/>
      <c r="W908" s="194"/>
      <c r="X908" s="194"/>
      <c r="Y908" s="194"/>
      <c r="Z908" s="194"/>
    </row>
    <row r="909">
      <c r="A909" s="194"/>
      <c r="B909" s="194"/>
      <c r="C909" s="537"/>
      <c r="D909" s="537"/>
      <c r="E909" s="537"/>
      <c r="F909" s="537"/>
      <c r="G909" s="537"/>
      <c r="H909" s="537"/>
      <c r="I909" s="538"/>
      <c r="J909" s="537"/>
      <c r="K909" s="194"/>
      <c r="L909" s="194"/>
      <c r="M909" s="194"/>
      <c r="N909" s="194"/>
      <c r="O909" s="194"/>
      <c r="P909" s="194"/>
      <c r="Q909" s="194"/>
      <c r="R909" s="194"/>
      <c r="S909" s="194"/>
      <c r="T909" s="194"/>
      <c r="U909" s="194"/>
      <c r="V909" s="194"/>
      <c r="W909" s="194"/>
      <c r="X909" s="194"/>
      <c r="Y909" s="194"/>
      <c r="Z909" s="194"/>
    </row>
    <row r="910">
      <c r="A910" s="194"/>
      <c r="B910" s="194"/>
      <c r="C910" s="537"/>
      <c r="D910" s="537"/>
      <c r="E910" s="537"/>
      <c r="F910" s="537"/>
      <c r="G910" s="537"/>
      <c r="H910" s="537"/>
      <c r="I910" s="538"/>
      <c r="J910" s="537"/>
      <c r="K910" s="194"/>
      <c r="L910" s="194"/>
      <c r="M910" s="194"/>
      <c r="N910" s="194"/>
      <c r="O910" s="194"/>
      <c r="P910" s="194"/>
      <c r="Q910" s="194"/>
      <c r="R910" s="194"/>
      <c r="S910" s="194"/>
      <c r="T910" s="194"/>
      <c r="U910" s="194"/>
      <c r="V910" s="194"/>
      <c r="W910" s="194"/>
      <c r="X910" s="194"/>
      <c r="Y910" s="194"/>
      <c r="Z910" s="194"/>
    </row>
    <row r="911">
      <c r="A911" s="194"/>
      <c r="B911" s="194"/>
      <c r="C911" s="537"/>
      <c r="D911" s="537"/>
      <c r="E911" s="537"/>
      <c r="F911" s="537"/>
      <c r="G911" s="537"/>
      <c r="H911" s="537"/>
      <c r="I911" s="538"/>
      <c r="J911" s="537"/>
      <c r="K911" s="194"/>
      <c r="L911" s="194"/>
      <c r="M911" s="194"/>
      <c r="N911" s="194"/>
      <c r="O911" s="194"/>
      <c r="P911" s="194"/>
      <c r="Q911" s="194"/>
      <c r="R911" s="194"/>
      <c r="S911" s="194"/>
      <c r="T911" s="194"/>
      <c r="U911" s="194"/>
      <c r="V911" s="194"/>
      <c r="W911" s="194"/>
      <c r="X911" s="194"/>
      <c r="Y911" s="194"/>
      <c r="Z911" s="194"/>
    </row>
    <row r="912">
      <c r="A912" s="194"/>
      <c r="B912" s="194"/>
      <c r="C912" s="537"/>
      <c r="D912" s="537"/>
      <c r="E912" s="537"/>
      <c r="F912" s="537"/>
      <c r="G912" s="537"/>
      <c r="H912" s="537"/>
      <c r="I912" s="538"/>
      <c r="J912" s="537"/>
      <c r="K912" s="194"/>
      <c r="L912" s="194"/>
      <c r="M912" s="194"/>
      <c r="N912" s="194"/>
      <c r="O912" s="194"/>
      <c r="P912" s="194"/>
      <c r="Q912" s="194"/>
      <c r="R912" s="194"/>
      <c r="S912" s="194"/>
      <c r="T912" s="194"/>
      <c r="U912" s="194"/>
      <c r="V912" s="194"/>
      <c r="W912" s="194"/>
      <c r="X912" s="194"/>
      <c r="Y912" s="194"/>
      <c r="Z912" s="194"/>
    </row>
    <row r="913">
      <c r="A913" s="194"/>
      <c r="B913" s="194"/>
      <c r="C913" s="537"/>
      <c r="D913" s="537"/>
      <c r="E913" s="537"/>
      <c r="F913" s="537"/>
      <c r="G913" s="537"/>
      <c r="H913" s="537"/>
      <c r="I913" s="538"/>
      <c r="J913" s="537"/>
      <c r="K913" s="194"/>
      <c r="L913" s="194"/>
      <c r="M913" s="194"/>
      <c r="N913" s="194"/>
      <c r="O913" s="194"/>
      <c r="P913" s="194"/>
      <c r="Q913" s="194"/>
      <c r="R913" s="194"/>
      <c r="S913" s="194"/>
      <c r="T913" s="194"/>
      <c r="U913" s="194"/>
      <c r="V913" s="194"/>
      <c r="W913" s="194"/>
      <c r="X913" s="194"/>
      <c r="Y913" s="194"/>
      <c r="Z913" s="194"/>
    </row>
    <row r="914">
      <c r="A914" s="194"/>
      <c r="B914" s="194"/>
      <c r="C914" s="537"/>
      <c r="D914" s="537"/>
      <c r="E914" s="537"/>
      <c r="F914" s="537"/>
      <c r="G914" s="537"/>
      <c r="H914" s="537"/>
      <c r="I914" s="538"/>
      <c r="J914" s="537"/>
      <c r="K914" s="194"/>
      <c r="L914" s="194"/>
      <c r="M914" s="194"/>
      <c r="N914" s="194"/>
      <c r="O914" s="194"/>
      <c r="P914" s="194"/>
      <c r="Q914" s="194"/>
      <c r="R914" s="194"/>
      <c r="S914" s="194"/>
      <c r="T914" s="194"/>
      <c r="U914" s="194"/>
      <c r="V914" s="194"/>
      <c r="W914" s="194"/>
      <c r="X914" s="194"/>
      <c r="Y914" s="194"/>
      <c r="Z914" s="194"/>
    </row>
    <row r="915">
      <c r="A915" s="194"/>
      <c r="B915" s="194"/>
      <c r="C915" s="537"/>
      <c r="D915" s="537"/>
      <c r="E915" s="537"/>
      <c r="F915" s="537"/>
      <c r="G915" s="537"/>
      <c r="H915" s="537"/>
      <c r="I915" s="538"/>
      <c r="J915" s="537"/>
      <c r="K915" s="194"/>
      <c r="L915" s="194"/>
      <c r="M915" s="194"/>
      <c r="N915" s="194"/>
      <c r="O915" s="194"/>
      <c r="P915" s="194"/>
      <c r="Q915" s="194"/>
      <c r="R915" s="194"/>
      <c r="S915" s="194"/>
      <c r="T915" s="194"/>
      <c r="U915" s="194"/>
      <c r="V915" s="194"/>
      <c r="W915" s="194"/>
      <c r="X915" s="194"/>
      <c r="Y915" s="194"/>
      <c r="Z915" s="194"/>
    </row>
    <row r="916">
      <c r="A916" s="194"/>
      <c r="B916" s="194"/>
      <c r="C916" s="537"/>
      <c r="D916" s="537"/>
      <c r="E916" s="537"/>
      <c r="F916" s="537"/>
      <c r="G916" s="537"/>
      <c r="H916" s="537"/>
      <c r="I916" s="538"/>
      <c r="J916" s="537"/>
      <c r="K916" s="194"/>
      <c r="L916" s="194"/>
      <c r="M916" s="194"/>
      <c r="N916" s="194"/>
      <c r="O916" s="194"/>
      <c r="P916" s="194"/>
      <c r="Q916" s="194"/>
      <c r="R916" s="194"/>
      <c r="S916" s="194"/>
      <c r="T916" s="194"/>
      <c r="U916" s="194"/>
      <c r="V916" s="194"/>
      <c r="W916" s="194"/>
      <c r="X916" s="194"/>
      <c r="Y916" s="194"/>
      <c r="Z916" s="194"/>
    </row>
    <row r="917">
      <c r="A917" s="194"/>
      <c r="B917" s="194"/>
      <c r="C917" s="537"/>
      <c r="D917" s="537"/>
      <c r="E917" s="537"/>
      <c r="F917" s="537"/>
      <c r="G917" s="537"/>
      <c r="H917" s="537"/>
      <c r="I917" s="538"/>
      <c r="J917" s="537"/>
      <c r="K917" s="194"/>
      <c r="L917" s="194"/>
      <c r="M917" s="194"/>
      <c r="N917" s="194"/>
      <c r="O917" s="194"/>
      <c r="P917" s="194"/>
      <c r="Q917" s="194"/>
      <c r="R917" s="194"/>
      <c r="S917" s="194"/>
      <c r="T917" s="194"/>
      <c r="U917" s="194"/>
      <c r="V917" s="194"/>
      <c r="W917" s="194"/>
      <c r="X917" s="194"/>
      <c r="Y917" s="194"/>
      <c r="Z917" s="194"/>
    </row>
    <row r="918">
      <c r="A918" s="194"/>
      <c r="B918" s="194"/>
      <c r="C918" s="537"/>
      <c r="D918" s="537"/>
      <c r="E918" s="537"/>
      <c r="F918" s="537"/>
      <c r="G918" s="537"/>
      <c r="H918" s="537"/>
      <c r="I918" s="538"/>
      <c r="J918" s="537"/>
      <c r="K918" s="194"/>
      <c r="L918" s="194"/>
      <c r="M918" s="194"/>
      <c r="N918" s="194"/>
      <c r="O918" s="194"/>
      <c r="P918" s="194"/>
      <c r="Q918" s="194"/>
      <c r="R918" s="194"/>
      <c r="S918" s="194"/>
      <c r="T918" s="194"/>
      <c r="U918" s="194"/>
      <c r="V918" s="194"/>
      <c r="W918" s="194"/>
      <c r="X918" s="194"/>
      <c r="Y918" s="194"/>
      <c r="Z918" s="194"/>
    </row>
    <row r="919">
      <c r="A919" s="194"/>
      <c r="B919" s="194"/>
      <c r="C919" s="537"/>
      <c r="D919" s="537"/>
      <c r="E919" s="537"/>
      <c r="F919" s="537"/>
      <c r="G919" s="537"/>
      <c r="H919" s="537"/>
      <c r="I919" s="538"/>
      <c r="J919" s="537"/>
      <c r="K919" s="194"/>
      <c r="L919" s="194"/>
      <c r="M919" s="194"/>
      <c r="N919" s="194"/>
      <c r="O919" s="194"/>
      <c r="P919" s="194"/>
      <c r="Q919" s="194"/>
      <c r="R919" s="194"/>
      <c r="S919" s="194"/>
      <c r="T919" s="194"/>
      <c r="U919" s="194"/>
      <c r="V919" s="194"/>
      <c r="W919" s="194"/>
      <c r="X919" s="194"/>
      <c r="Y919" s="194"/>
      <c r="Z919" s="194"/>
    </row>
    <row r="920">
      <c r="A920" s="194"/>
      <c r="B920" s="194"/>
      <c r="C920" s="537"/>
      <c r="D920" s="537"/>
      <c r="E920" s="537"/>
      <c r="F920" s="537"/>
      <c r="G920" s="537"/>
      <c r="H920" s="537"/>
      <c r="I920" s="538"/>
      <c r="J920" s="537"/>
      <c r="K920" s="194"/>
      <c r="L920" s="194"/>
      <c r="M920" s="194"/>
      <c r="N920" s="194"/>
      <c r="O920" s="194"/>
      <c r="P920" s="194"/>
      <c r="Q920" s="194"/>
      <c r="R920" s="194"/>
      <c r="S920" s="194"/>
      <c r="T920" s="194"/>
      <c r="U920" s="194"/>
      <c r="V920" s="194"/>
      <c r="W920" s="194"/>
      <c r="X920" s="194"/>
      <c r="Y920" s="194"/>
      <c r="Z920" s="194"/>
    </row>
    <row r="921">
      <c r="A921" s="194"/>
      <c r="B921" s="194"/>
      <c r="C921" s="537"/>
      <c r="D921" s="537"/>
      <c r="E921" s="537"/>
      <c r="F921" s="537"/>
      <c r="G921" s="537"/>
      <c r="H921" s="537"/>
      <c r="I921" s="538"/>
      <c r="J921" s="537"/>
      <c r="K921" s="194"/>
      <c r="L921" s="194"/>
      <c r="M921" s="194"/>
      <c r="N921" s="194"/>
      <c r="O921" s="194"/>
      <c r="P921" s="194"/>
      <c r="Q921" s="194"/>
      <c r="R921" s="194"/>
      <c r="S921" s="194"/>
      <c r="T921" s="194"/>
      <c r="U921" s="194"/>
      <c r="V921" s="194"/>
      <c r="W921" s="194"/>
      <c r="X921" s="194"/>
      <c r="Y921" s="194"/>
      <c r="Z921" s="194"/>
    </row>
    <row r="922">
      <c r="A922" s="194"/>
      <c r="B922" s="194"/>
      <c r="C922" s="537"/>
      <c r="D922" s="537"/>
      <c r="E922" s="537"/>
      <c r="F922" s="537"/>
      <c r="G922" s="537"/>
      <c r="H922" s="537"/>
      <c r="I922" s="538"/>
      <c r="J922" s="537"/>
      <c r="K922" s="194"/>
      <c r="L922" s="194"/>
      <c r="M922" s="194"/>
      <c r="N922" s="194"/>
      <c r="O922" s="194"/>
      <c r="P922" s="194"/>
      <c r="Q922" s="194"/>
      <c r="R922" s="194"/>
      <c r="S922" s="194"/>
      <c r="T922" s="194"/>
      <c r="U922" s="194"/>
      <c r="V922" s="194"/>
      <c r="W922" s="194"/>
      <c r="X922" s="194"/>
      <c r="Y922" s="194"/>
      <c r="Z922" s="194"/>
    </row>
    <row r="923">
      <c r="A923" s="194"/>
      <c r="B923" s="194"/>
      <c r="C923" s="537"/>
      <c r="D923" s="537"/>
      <c r="E923" s="537"/>
      <c r="F923" s="537"/>
      <c r="G923" s="537"/>
      <c r="H923" s="537"/>
      <c r="I923" s="538"/>
      <c r="J923" s="537"/>
      <c r="K923" s="194"/>
      <c r="L923" s="194"/>
      <c r="M923" s="194"/>
      <c r="N923" s="194"/>
      <c r="O923" s="194"/>
      <c r="P923" s="194"/>
      <c r="Q923" s="194"/>
      <c r="R923" s="194"/>
      <c r="S923" s="194"/>
      <c r="T923" s="194"/>
      <c r="U923" s="194"/>
      <c r="V923" s="194"/>
      <c r="W923" s="194"/>
      <c r="X923" s="194"/>
      <c r="Y923" s="194"/>
      <c r="Z923" s="194"/>
    </row>
    <row r="924">
      <c r="A924" s="194"/>
      <c r="B924" s="194"/>
      <c r="C924" s="537"/>
      <c r="D924" s="537"/>
      <c r="E924" s="537"/>
      <c r="F924" s="537"/>
      <c r="G924" s="537"/>
      <c r="H924" s="537"/>
      <c r="I924" s="538"/>
      <c r="J924" s="537"/>
      <c r="K924" s="194"/>
      <c r="L924" s="194"/>
      <c r="M924" s="194"/>
      <c r="N924" s="194"/>
      <c r="O924" s="194"/>
      <c r="P924" s="194"/>
      <c r="Q924" s="194"/>
      <c r="R924" s="194"/>
      <c r="S924" s="194"/>
      <c r="T924" s="194"/>
      <c r="U924" s="194"/>
      <c r="V924" s="194"/>
      <c r="W924" s="194"/>
      <c r="X924" s="194"/>
      <c r="Y924" s="194"/>
      <c r="Z924" s="194"/>
    </row>
    <row r="925">
      <c r="A925" s="194"/>
      <c r="B925" s="194"/>
      <c r="C925" s="537"/>
      <c r="D925" s="537"/>
      <c r="E925" s="537"/>
      <c r="F925" s="537"/>
      <c r="G925" s="537"/>
      <c r="H925" s="537"/>
      <c r="I925" s="538"/>
      <c r="J925" s="537"/>
      <c r="K925" s="194"/>
      <c r="L925" s="194"/>
      <c r="M925" s="194"/>
      <c r="N925" s="194"/>
      <c r="O925" s="194"/>
      <c r="P925" s="194"/>
      <c r="Q925" s="194"/>
      <c r="R925" s="194"/>
      <c r="S925" s="194"/>
      <c r="T925" s="194"/>
      <c r="U925" s="194"/>
      <c r="V925" s="194"/>
      <c r="W925" s="194"/>
      <c r="X925" s="194"/>
      <c r="Y925" s="194"/>
      <c r="Z925" s="194"/>
    </row>
    <row r="926">
      <c r="A926" s="194"/>
      <c r="B926" s="194"/>
      <c r="C926" s="537"/>
      <c r="D926" s="537"/>
      <c r="E926" s="537"/>
      <c r="F926" s="537"/>
      <c r="G926" s="537"/>
      <c r="H926" s="537"/>
      <c r="I926" s="538"/>
      <c r="J926" s="537"/>
      <c r="K926" s="194"/>
      <c r="L926" s="194"/>
      <c r="M926" s="194"/>
      <c r="N926" s="194"/>
      <c r="O926" s="194"/>
      <c r="P926" s="194"/>
      <c r="Q926" s="194"/>
      <c r="R926" s="194"/>
      <c r="S926" s="194"/>
      <c r="T926" s="194"/>
      <c r="U926" s="194"/>
      <c r="V926" s="194"/>
      <c r="W926" s="194"/>
      <c r="X926" s="194"/>
      <c r="Y926" s="194"/>
      <c r="Z926" s="194"/>
    </row>
    <row r="927">
      <c r="A927" s="194"/>
      <c r="B927" s="194"/>
      <c r="C927" s="537"/>
      <c r="D927" s="537"/>
      <c r="E927" s="537"/>
      <c r="F927" s="537"/>
      <c r="G927" s="537"/>
      <c r="H927" s="537"/>
      <c r="I927" s="538"/>
      <c r="J927" s="537"/>
      <c r="K927" s="194"/>
      <c r="L927" s="194"/>
      <c r="M927" s="194"/>
      <c r="N927" s="194"/>
      <c r="O927" s="194"/>
      <c r="P927" s="194"/>
      <c r="Q927" s="194"/>
      <c r="R927" s="194"/>
      <c r="S927" s="194"/>
      <c r="T927" s="194"/>
      <c r="U927" s="194"/>
      <c r="V927" s="194"/>
      <c r="W927" s="194"/>
      <c r="X927" s="194"/>
      <c r="Y927" s="194"/>
      <c r="Z927" s="194"/>
    </row>
    <row r="928">
      <c r="A928" s="194"/>
      <c r="B928" s="194"/>
      <c r="C928" s="537"/>
      <c r="D928" s="537"/>
      <c r="E928" s="537"/>
      <c r="F928" s="537"/>
      <c r="G928" s="537"/>
      <c r="H928" s="537"/>
      <c r="I928" s="538"/>
      <c r="J928" s="537"/>
      <c r="K928" s="194"/>
      <c r="L928" s="194"/>
      <c r="M928" s="194"/>
      <c r="N928" s="194"/>
      <c r="O928" s="194"/>
      <c r="P928" s="194"/>
      <c r="Q928" s="194"/>
      <c r="R928" s="194"/>
      <c r="S928" s="194"/>
      <c r="T928" s="194"/>
      <c r="U928" s="194"/>
      <c r="V928" s="194"/>
      <c r="W928" s="194"/>
      <c r="X928" s="194"/>
      <c r="Y928" s="194"/>
      <c r="Z928" s="194"/>
    </row>
    <row r="929">
      <c r="A929" s="194"/>
      <c r="B929" s="194"/>
      <c r="C929" s="537"/>
      <c r="D929" s="537"/>
      <c r="E929" s="537"/>
      <c r="F929" s="537"/>
      <c r="G929" s="537"/>
      <c r="H929" s="537"/>
      <c r="I929" s="538"/>
      <c r="J929" s="537"/>
      <c r="K929" s="194"/>
      <c r="L929" s="194"/>
      <c r="M929" s="194"/>
      <c r="N929" s="194"/>
      <c r="O929" s="194"/>
      <c r="P929" s="194"/>
      <c r="Q929" s="194"/>
      <c r="R929" s="194"/>
      <c r="S929" s="194"/>
      <c r="T929" s="194"/>
      <c r="U929" s="194"/>
      <c r="V929" s="194"/>
      <c r="W929" s="194"/>
      <c r="X929" s="194"/>
      <c r="Y929" s="194"/>
      <c r="Z929" s="194"/>
    </row>
    <row r="930">
      <c r="A930" s="194"/>
      <c r="B930" s="194"/>
      <c r="C930" s="537"/>
      <c r="D930" s="537"/>
      <c r="E930" s="537"/>
      <c r="F930" s="537"/>
      <c r="G930" s="537"/>
      <c r="H930" s="537"/>
      <c r="I930" s="538"/>
      <c r="J930" s="537"/>
      <c r="K930" s="194"/>
      <c r="L930" s="194"/>
      <c r="M930" s="194"/>
      <c r="N930" s="194"/>
      <c r="O930" s="194"/>
      <c r="P930" s="194"/>
      <c r="Q930" s="194"/>
      <c r="R930" s="194"/>
      <c r="S930" s="194"/>
      <c r="T930" s="194"/>
      <c r="U930" s="194"/>
      <c r="V930" s="194"/>
      <c r="W930" s="194"/>
      <c r="X930" s="194"/>
      <c r="Y930" s="194"/>
      <c r="Z930" s="194"/>
    </row>
    <row r="931">
      <c r="A931" s="194"/>
      <c r="B931" s="194"/>
      <c r="C931" s="537"/>
      <c r="D931" s="537"/>
      <c r="E931" s="537"/>
      <c r="F931" s="537"/>
      <c r="G931" s="537"/>
      <c r="H931" s="537"/>
      <c r="I931" s="538"/>
      <c r="J931" s="537"/>
      <c r="K931" s="194"/>
      <c r="L931" s="194"/>
      <c r="M931" s="194"/>
      <c r="N931" s="194"/>
      <c r="O931" s="194"/>
      <c r="P931" s="194"/>
      <c r="Q931" s="194"/>
      <c r="R931" s="194"/>
      <c r="S931" s="194"/>
      <c r="T931" s="194"/>
      <c r="U931" s="194"/>
      <c r="V931" s="194"/>
      <c r="W931" s="194"/>
      <c r="X931" s="194"/>
      <c r="Y931" s="194"/>
      <c r="Z931" s="194"/>
    </row>
    <row r="932">
      <c r="A932" s="194"/>
      <c r="B932" s="194"/>
      <c r="C932" s="537"/>
      <c r="D932" s="537"/>
      <c r="E932" s="537"/>
      <c r="F932" s="537"/>
      <c r="G932" s="537"/>
      <c r="H932" s="537"/>
      <c r="I932" s="538"/>
      <c r="J932" s="537"/>
      <c r="K932" s="194"/>
      <c r="L932" s="194"/>
      <c r="M932" s="194"/>
      <c r="N932" s="194"/>
      <c r="O932" s="194"/>
      <c r="P932" s="194"/>
      <c r="Q932" s="194"/>
      <c r="R932" s="194"/>
      <c r="S932" s="194"/>
      <c r="T932" s="194"/>
      <c r="U932" s="194"/>
      <c r="V932" s="194"/>
      <c r="W932" s="194"/>
      <c r="X932" s="194"/>
      <c r="Y932" s="194"/>
      <c r="Z932" s="194"/>
    </row>
    <row r="933">
      <c r="A933" s="194"/>
      <c r="B933" s="194"/>
      <c r="C933" s="537"/>
      <c r="D933" s="537"/>
      <c r="E933" s="537"/>
      <c r="F933" s="537"/>
      <c r="G933" s="537"/>
      <c r="H933" s="537"/>
      <c r="I933" s="538"/>
      <c r="J933" s="537"/>
      <c r="K933" s="194"/>
      <c r="L933" s="194"/>
      <c r="M933" s="194"/>
      <c r="N933" s="194"/>
      <c r="O933" s="194"/>
      <c r="P933" s="194"/>
      <c r="Q933" s="194"/>
      <c r="R933" s="194"/>
      <c r="S933" s="194"/>
      <c r="T933" s="194"/>
      <c r="U933" s="194"/>
      <c r="V933" s="194"/>
      <c r="W933" s="194"/>
      <c r="X933" s="194"/>
      <c r="Y933" s="194"/>
      <c r="Z933" s="194"/>
    </row>
    <row r="934">
      <c r="A934" s="194"/>
      <c r="B934" s="194"/>
      <c r="C934" s="537"/>
      <c r="D934" s="537"/>
      <c r="E934" s="537"/>
      <c r="F934" s="537"/>
      <c r="G934" s="537"/>
      <c r="H934" s="537"/>
      <c r="I934" s="538"/>
      <c r="J934" s="537"/>
      <c r="K934" s="194"/>
      <c r="L934" s="194"/>
      <c r="M934" s="194"/>
      <c r="N934" s="194"/>
      <c r="O934" s="194"/>
      <c r="P934" s="194"/>
      <c r="Q934" s="194"/>
      <c r="R934" s="194"/>
      <c r="S934" s="194"/>
      <c r="T934" s="194"/>
      <c r="U934" s="194"/>
      <c r="V934" s="194"/>
      <c r="W934" s="194"/>
      <c r="X934" s="194"/>
      <c r="Y934" s="194"/>
      <c r="Z934" s="194"/>
    </row>
    <row r="935">
      <c r="A935" s="194"/>
      <c r="B935" s="194"/>
      <c r="C935" s="537"/>
      <c r="D935" s="537"/>
      <c r="E935" s="537"/>
      <c r="F935" s="537"/>
      <c r="G935" s="537"/>
      <c r="H935" s="537"/>
      <c r="I935" s="538"/>
      <c r="J935" s="537"/>
      <c r="K935" s="194"/>
      <c r="L935" s="194"/>
      <c r="M935" s="194"/>
      <c r="N935" s="194"/>
      <c r="O935" s="194"/>
      <c r="P935" s="194"/>
      <c r="Q935" s="194"/>
      <c r="R935" s="194"/>
      <c r="S935" s="194"/>
      <c r="T935" s="194"/>
      <c r="U935" s="194"/>
      <c r="V935" s="194"/>
      <c r="W935" s="194"/>
      <c r="X935" s="194"/>
      <c r="Y935" s="194"/>
      <c r="Z935" s="194"/>
    </row>
    <row r="936">
      <c r="A936" s="194"/>
      <c r="B936" s="194"/>
      <c r="C936" s="537"/>
      <c r="D936" s="537"/>
      <c r="E936" s="537"/>
      <c r="F936" s="537"/>
      <c r="G936" s="537"/>
      <c r="H936" s="537"/>
      <c r="I936" s="538"/>
      <c r="J936" s="537"/>
      <c r="K936" s="194"/>
      <c r="L936" s="194"/>
      <c r="M936" s="194"/>
      <c r="N936" s="194"/>
      <c r="O936" s="194"/>
      <c r="P936" s="194"/>
      <c r="Q936" s="194"/>
      <c r="R936" s="194"/>
      <c r="S936" s="194"/>
      <c r="T936" s="194"/>
      <c r="U936" s="194"/>
      <c r="V936" s="194"/>
      <c r="W936" s="194"/>
      <c r="X936" s="194"/>
      <c r="Y936" s="194"/>
      <c r="Z936" s="194"/>
    </row>
    <row r="937">
      <c r="A937" s="194"/>
      <c r="B937" s="194"/>
      <c r="C937" s="537"/>
      <c r="D937" s="537"/>
      <c r="E937" s="537"/>
      <c r="F937" s="537"/>
      <c r="G937" s="537"/>
      <c r="H937" s="537"/>
      <c r="I937" s="538"/>
      <c r="J937" s="537"/>
      <c r="K937" s="194"/>
      <c r="L937" s="194"/>
      <c r="M937" s="194"/>
      <c r="N937" s="194"/>
      <c r="O937" s="194"/>
      <c r="P937" s="194"/>
      <c r="Q937" s="194"/>
      <c r="R937" s="194"/>
      <c r="S937" s="194"/>
      <c r="T937" s="194"/>
      <c r="U937" s="194"/>
      <c r="V937" s="194"/>
      <c r="W937" s="194"/>
      <c r="X937" s="194"/>
      <c r="Y937" s="194"/>
      <c r="Z937" s="194"/>
    </row>
    <row r="938">
      <c r="A938" s="194"/>
      <c r="B938" s="194"/>
      <c r="C938" s="537"/>
      <c r="D938" s="537"/>
      <c r="E938" s="537"/>
      <c r="F938" s="537"/>
      <c r="G938" s="537"/>
      <c r="H938" s="537"/>
      <c r="I938" s="538"/>
      <c r="J938" s="537"/>
      <c r="K938" s="194"/>
      <c r="L938" s="194"/>
      <c r="M938" s="194"/>
      <c r="N938" s="194"/>
      <c r="O938" s="194"/>
      <c r="P938" s="194"/>
      <c r="Q938" s="194"/>
      <c r="R938" s="194"/>
      <c r="S938" s="194"/>
      <c r="T938" s="194"/>
      <c r="U938" s="194"/>
      <c r="V938" s="194"/>
      <c r="W938" s="194"/>
      <c r="X938" s="194"/>
      <c r="Y938" s="194"/>
      <c r="Z938" s="194"/>
    </row>
    <row r="939">
      <c r="A939" s="194"/>
      <c r="B939" s="194"/>
      <c r="C939" s="537"/>
      <c r="D939" s="537"/>
      <c r="E939" s="537"/>
      <c r="F939" s="537"/>
      <c r="G939" s="537"/>
      <c r="H939" s="537"/>
      <c r="I939" s="538"/>
      <c r="J939" s="537"/>
      <c r="K939" s="194"/>
      <c r="L939" s="194"/>
      <c r="M939" s="194"/>
      <c r="N939" s="194"/>
      <c r="O939" s="194"/>
      <c r="P939" s="194"/>
      <c r="Q939" s="194"/>
      <c r="R939" s="194"/>
      <c r="S939" s="194"/>
      <c r="T939" s="194"/>
      <c r="U939" s="194"/>
      <c r="V939" s="194"/>
      <c r="W939" s="194"/>
      <c r="X939" s="194"/>
      <c r="Y939" s="194"/>
      <c r="Z939" s="194"/>
    </row>
    <row r="940">
      <c r="A940" s="194"/>
      <c r="B940" s="194"/>
      <c r="C940" s="537"/>
      <c r="D940" s="537"/>
      <c r="E940" s="537"/>
      <c r="F940" s="537"/>
      <c r="G940" s="537"/>
      <c r="H940" s="537"/>
      <c r="I940" s="538"/>
      <c r="J940" s="537"/>
      <c r="K940" s="194"/>
      <c r="L940" s="194"/>
      <c r="M940" s="194"/>
      <c r="N940" s="194"/>
      <c r="O940" s="194"/>
      <c r="P940" s="194"/>
      <c r="Q940" s="194"/>
      <c r="R940" s="194"/>
      <c r="S940" s="194"/>
      <c r="T940" s="194"/>
      <c r="U940" s="194"/>
      <c r="V940" s="194"/>
      <c r="W940" s="194"/>
      <c r="X940" s="194"/>
      <c r="Y940" s="194"/>
      <c r="Z940" s="194"/>
    </row>
    <row r="941">
      <c r="A941" s="194"/>
      <c r="B941" s="194"/>
      <c r="C941" s="537"/>
      <c r="D941" s="537"/>
      <c r="E941" s="537"/>
      <c r="F941" s="537"/>
      <c r="G941" s="537"/>
      <c r="H941" s="537"/>
      <c r="I941" s="538"/>
      <c r="J941" s="537"/>
      <c r="K941" s="194"/>
      <c r="L941" s="194"/>
      <c r="M941" s="194"/>
      <c r="N941" s="194"/>
      <c r="O941" s="194"/>
      <c r="P941" s="194"/>
      <c r="Q941" s="194"/>
      <c r="R941" s="194"/>
      <c r="S941" s="194"/>
      <c r="T941" s="194"/>
      <c r="U941" s="194"/>
      <c r="V941" s="194"/>
      <c r="W941" s="194"/>
      <c r="X941" s="194"/>
      <c r="Y941" s="194"/>
      <c r="Z941" s="194"/>
    </row>
    <row r="942">
      <c r="A942" s="194"/>
      <c r="B942" s="194"/>
      <c r="C942" s="537"/>
      <c r="D942" s="537"/>
      <c r="E942" s="537"/>
      <c r="F942" s="537"/>
      <c r="G942" s="537"/>
      <c r="H942" s="537"/>
      <c r="I942" s="538"/>
      <c r="J942" s="537"/>
      <c r="K942" s="194"/>
      <c r="L942" s="194"/>
      <c r="M942" s="194"/>
      <c r="N942" s="194"/>
      <c r="O942" s="194"/>
      <c r="P942" s="194"/>
      <c r="Q942" s="194"/>
      <c r="R942" s="194"/>
      <c r="S942" s="194"/>
      <c r="T942" s="194"/>
      <c r="U942" s="194"/>
      <c r="V942" s="194"/>
      <c r="W942" s="194"/>
      <c r="X942" s="194"/>
      <c r="Y942" s="194"/>
      <c r="Z942" s="194"/>
    </row>
    <row r="943">
      <c r="A943" s="194"/>
      <c r="B943" s="194"/>
      <c r="C943" s="537"/>
      <c r="D943" s="537"/>
      <c r="E943" s="537"/>
      <c r="F943" s="537"/>
      <c r="G943" s="537"/>
      <c r="H943" s="537"/>
      <c r="I943" s="538"/>
      <c r="J943" s="537"/>
      <c r="K943" s="194"/>
      <c r="L943" s="194"/>
      <c r="M943" s="194"/>
      <c r="N943" s="194"/>
      <c r="O943" s="194"/>
      <c r="P943" s="194"/>
      <c r="Q943" s="194"/>
      <c r="R943" s="194"/>
      <c r="S943" s="194"/>
      <c r="T943" s="194"/>
      <c r="U943" s="194"/>
      <c r="V943" s="194"/>
      <c r="W943" s="194"/>
      <c r="X943" s="194"/>
      <c r="Y943" s="194"/>
      <c r="Z943" s="194"/>
    </row>
    <row r="944">
      <c r="A944" s="194"/>
      <c r="B944" s="194"/>
      <c r="C944" s="537"/>
      <c r="D944" s="537"/>
      <c r="E944" s="537"/>
      <c r="F944" s="537"/>
      <c r="G944" s="537"/>
      <c r="H944" s="537"/>
      <c r="I944" s="538"/>
      <c r="J944" s="537"/>
      <c r="K944" s="194"/>
      <c r="L944" s="194"/>
      <c r="M944" s="194"/>
      <c r="N944" s="194"/>
      <c r="O944" s="194"/>
      <c r="P944" s="194"/>
      <c r="Q944" s="194"/>
      <c r="R944" s="194"/>
      <c r="S944" s="194"/>
      <c r="T944" s="194"/>
      <c r="U944" s="194"/>
      <c r="V944" s="194"/>
      <c r="W944" s="194"/>
      <c r="X944" s="194"/>
      <c r="Y944" s="194"/>
      <c r="Z944" s="194"/>
    </row>
    <row r="945">
      <c r="A945" s="194"/>
      <c r="B945" s="194"/>
      <c r="C945" s="537"/>
      <c r="D945" s="537"/>
      <c r="E945" s="537"/>
      <c r="F945" s="537"/>
      <c r="G945" s="537"/>
      <c r="H945" s="537"/>
      <c r="I945" s="538"/>
      <c r="J945" s="537"/>
      <c r="K945" s="194"/>
      <c r="L945" s="194"/>
      <c r="M945" s="194"/>
      <c r="N945" s="194"/>
      <c r="O945" s="194"/>
      <c r="P945" s="194"/>
      <c r="Q945" s="194"/>
      <c r="R945" s="194"/>
      <c r="S945" s="194"/>
      <c r="T945" s="194"/>
      <c r="U945" s="194"/>
      <c r="V945" s="194"/>
      <c r="W945" s="194"/>
      <c r="X945" s="194"/>
      <c r="Y945" s="194"/>
      <c r="Z945" s="194"/>
    </row>
    <row r="946">
      <c r="A946" s="194"/>
      <c r="B946" s="194"/>
      <c r="C946" s="537"/>
      <c r="D946" s="537"/>
      <c r="E946" s="537"/>
      <c r="F946" s="537"/>
      <c r="G946" s="537"/>
      <c r="H946" s="537"/>
      <c r="I946" s="538"/>
      <c r="J946" s="537"/>
      <c r="K946" s="194"/>
      <c r="L946" s="194"/>
      <c r="M946" s="194"/>
      <c r="N946" s="194"/>
      <c r="O946" s="194"/>
      <c r="P946" s="194"/>
      <c r="Q946" s="194"/>
      <c r="R946" s="194"/>
      <c r="S946" s="194"/>
      <c r="T946" s="194"/>
      <c r="U946" s="194"/>
      <c r="V946" s="194"/>
      <c r="W946" s="194"/>
      <c r="X946" s="194"/>
      <c r="Y946" s="194"/>
      <c r="Z946" s="194"/>
    </row>
    <row r="947">
      <c r="A947" s="194"/>
      <c r="B947" s="194"/>
      <c r="C947" s="537"/>
      <c r="D947" s="537"/>
      <c r="E947" s="537"/>
      <c r="F947" s="537"/>
      <c r="G947" s="537"/>
      <c r="H947" s="537"/>
      <c r="I947" s="538"/>
      <c r="J947" s="537"/>
      <c r="K947" s="194"/>
      <c r="L947" s="194"/>
      <c r="M947" s="194"/>
      <c r="N947" s="194"/>
      <c r="O947" s="194"/>
      <c r="P947" s="194"/>
      <c r="Q947" s="194"/>
      <c r="R947" s="194"/>
      <c r="S947" s="194"/>
      <c r="T947" s="194"/>
      <c r="U947" s="194"/>
      <c r="V947" s="194"/>
      <c r="W947" s="194"/>
      <c r="X947" s="194"/>
      <c r="Y947" s="194"/>
      <c r="Z947" s="194"/>
    </row>
    <row r="948">
      <c r="A948" s="194"/>
      <c r="B948" s="194"/>
      <c r="C948" s="537"/>
      <c r="D948" s="537"/>
      <c r="E948" s="537"/>
      <c r="F948" s="537"/>
      <c r="G948" s="537"/>
      <c r="H948" s="537"/>
      <c r="I948" s="538"/>
      <c r="J948" s="537"/>
      <c r="K948" s="194"/>
      <c r="L948" s="194"/>
      <c r="M948" s="194"/>
      <c r="N948" s="194"/>
      <c r="O948" s="194"/>
      <c r="P948" s="194"/>
      <c r="Q948" s="194"/>
      <c r="R948" s="194"/>
      <c r="S948" s="194"/>
      <c r="T948" s="194"/>
      <c r="U948" s="194"/>
      <c r="V948" s="194"/>
      <c r="W948" s="194"/>
      <c r="X948" s="194"/>
      <c r="Y948" s="194"/>
      <c r="Z948" s="194"/>
    </row>
    <row r="949">
      <c r="A949" s="194"/>
      <c r="B949" s="194"/>
      <c r="C949" s="537"/>
      <c r="D949" s="537"/>
      <c r="E949" s="537"/>
      <c r="F949" s="537"/>
      <c r="G949" s="537"/>
      <c r="H949" s="537"/>
      <c r="I949" s="538"/>
      <c r="J949" s="537"/>
      <c r="K949" s="194"/>
      <c r="L949" s="194"/>
      <c r="M949" s="194"/>
      <c r="N949" s="194"/>
      <c r="O949" s="194"/>
      <c r="P949" s="194"/>
      <c r="Q949" s="194"/>
      <c r="R949" s="194"/>
      <c r="S949" s="194"/>
      <c r="T949" s="194"/>
      <c r="U949" s="194"/>
      <c r="V949" s="194"/>
      <c r="W949" s="194"/>
      <c r="X949" s="194"/>
      <c r="Y949" s="194"/>
      <c r="Z949" s="194"/>
    </row>
    <row r="950">
      <c r="A950" s="194"/>
      <c r="B950" s="194"/>
      <c r="C950" s="537"/>
      <c r="D950" s="537"/>
      <c r="E950" s="537"/>
      <c r="F950" s="537"/>
      <c r="G950" s="537"/>
      <c r="H950" s="537"/>
      <c r="I950" s="538"/>
      <c r="J950" s="537"/>
      <c r="K950" s="194"/>
      <c r="L950" s="194"/>
      <c r="M950" s="194"/>
      <c r="N950" s="194"/>
      <c r="O950" s="194"/>
      <c r="P950" s="194"/>
      <c r="Q950" s="194"/>
      <c r="R950" s="194"/>
      <c r="S950" s="194"/>
      <c r="T950" s="194"/>
      <c r="U950" s="194"/>
      <c r="V950" s="194"/>
      <c r="W950" s="194"/>
      <c r="X950" s="194"/>
      <c r="Y950" s="194"/>
      <c r="Z950" s="194"/>
    </row>
    <row r="951">
      <c r="A951" s="194"/>
      <c r="B951" s="194"/>
      <c r="C951" s="537"/>
      <c r="D951" s="537"/>
      <c r="E951" s="537"/>
      <c r="F951" s="537"/>
      <c r="G951" s="537"/>
      <c r="H951" s="537"/>
      <c r="I951" s="538"/>
      <c r="J951" s="537"/>
      <c r="K951" s="194"/>
      <c r="L951" s="194"/>
      <c r="M951" s="194"/>
      <c r="N951" s="194"/>
      <c r="O951" s="194"/>
      <c r="P951" s="194"/>
      <c r="Q951" s="194"/>
      <c r="R951" s="194"/>
      <c r="S951" s="194"/>
      <c r="T951" s="194"/>
      <c r="U951" s="194"/>
      <c r="V951" s="194"/>
      <c r="W951" s="194"/>
      <c r="X951" s="194"/>
      <c r="Y951" s="194"/>
      <c r="Z951" s="194"/>
    </row>
    <row r="952">
      <c r="A952" s="194"/>
      <c r="B952" s="194"/>
      <c r="C952" s="537"/>
      <c r="D952" s="537"/>
      <c r="E952" s="537"/>
      <c r="F952" s="537"/>
      <c r="G952" s="537"/>
      <c r="H952" s="537"/>
      <c r="I952" s="538"/>
      <c r="J952" s="537"/>
      <c r="K952" s="194"/>
      <c r="L952" s="194"/>
      <c r="M952" s="194"/>
      <c r="N952" s="194"/>
      <c r="O952" s="194"/>
      <c r="P952" s="194"/>
      <c r="Q952" s="194"/>
      <c r="R952" s="194"/>
      <c r="S952" s="194"/>
      <c r="T952" s="194"/>
      <c r="U952" s="194"/>
      <c r="V952" s="194"/>
      <c r="W952" s="194"/>
      <c r="X952" s="194"/>
      <c r="Y952" s="194"/>
      <c r="Z952" s="194"/>
    </row>
    <row r="953">
      <c r="A953" s="194"/>
      <c r="B953" s="194"/>
      <c r="C953" s="537"/>
      <c r="D953" s="537"/>
      <c r="E953" s="537"/>
      <c r="F953" s="537"/>
      <c r="G953" s="537"/>
      <c r="H953" s="537"/>
      <c r="I953" s="538"/>
      <c r="J953" s="537"/>
      <c r="K953" s="194"/>
      <c r="L953" s="194"/>
      <c r="M953" s="194"/>
      <c r="N953" s="194"/>
      <c r="O953" s="194"/>
      <c r="P953" s="194"/>
      <c r="Q953" s="194"/>
      <c r="R953" s="194"/>
      <c r="S953" s="194"/>
      <c r="T953" s="194"/>
      <c r="U953" s="194"/>
      <c r="V953" s="194"/>
      <c r="W953" s="194"/>
      <c r="X953" s="194"/>
      <c r="Y953" s="194"/>
      <c r="Z953" s="194"/>
    </row>
    <row r="954">
      <c r="A954" s="194"/>
      <c r="B954" s="194"/>
      <c r="C954" s="537"/>
      <c r="D954" s="537"/>
      <c r="E954" s="537"/>
      <c r="F954" s="537"/>
      <c r="G954" s="537"/>
      <c r="H954" s="537"/>
      <c r="I954" s="538"/>
      <c r="J954" s="537"/>
      <c r="K954" s="194"/>
      <c r="L954" s="194"/>
      <c r="M954" s="194"/>
      <c r="N954" s="194"/>
      <c r="O954" s="194"/>
      <c r="P954" s="194"/>
      <c r="Q954" s="194"/>
      <c r="R954" s="194"/>
      <c r="S954" s="194"/>
      <c r="T954" s="194"/>
      <c r="U954" s="194"/>
      <c r="V954" s="194"/>
      <c r="W954" s="194"/>
      <c r="X954" s="194"/>
      <c r="Y954" s="194"/>
      <c r="Z954" s="194"/>
    </row>
    <row r="955">
      <c r="A955" s="194"/>
      <c r="B955" s="194"/>
      <c r="C955" s="537"/>
      <c r="D955" s="537"/>
      <c r="E955" s="537"/>
      <c r="F955" s="537"/>
      <c r="G955" s="537"/>
      <c r="H955" s="537"/>
      <c r="I955" s="538"/>
      <c r="J955" s="537"/>
      <c r="K955" s="194"/>
      <c r="L955" s="194"/>
      <c r="M955" s="194"/>
      <c r="N955" s="194"/>
      <c r="O955" s="194"/>
      <c r="P955" s="194"/>
      <c r="Q955" s="194"/>
      <c r="R955" s="194"/>
      <c r="S955" s="194"/>
      <c r="T955" s="194"/>
      <c r="U955" s="194"/>
      <c r="V955" s="194"/>
      <c r="W955" s="194"/>
      <c r="X955" s="194"/>
      <c r="Y955" s="194"/>
      <c r="Z955" s="194"/>
    </row>
    <row r="956">
      <c r="A956" s="194"/>
      <c r="B956" s="194"/>
      <c r="C956" s="537"/>
      <c r="D956" s="537"/>
      <c r="E956" s="537"/>
      <c r="F956" s="537"/>
      <c r="G956" s="537"/>
      <c r="H956" s="537"/>
      <c r="I956" s="538"/>
      <c r="J956" s="537"/>
      <c r="K956" s="194"/>
      <c r="L956" s="194"/>
      <c r="M956" s="194"/>
      <c r="N956" s="194"/>
      <c r="O956" s="194"/>
      <c r="P956" s="194"/>
      <c r="Q956" s="194"/>
      <c r="R956" s="194"/>
      <c r="S956" s="194"/>
      <c r="T956" s="194"/>
      <c r="U956" s="194"/>
      <c r="V956" s="194"/>
      <c r="W956" s="194"/>
      <c r="X956" s="194"/>
      <c r="Y956" s="194"/>
      <c r="Z956" s="194"/>
    </row>
    <row r="957">
      <c r="A957" s="194"/>
      <c r="B957" s="194"/>
      <c r="C957" s="537"/>
      <c r="D957" s="537"/>
      <c r="E957" s="537"/>
      <c r="F957" s="537"/>
      <c r="G957" s="537"/>
      <c r="H957" s="537"/>
      <c r="I957" s="538"/>
      <c r="J957" s="537"/>
      <c r="K957" s="194"/>
      <c r="L957" s="194"/>
      <c r="M957" s="194"/>
      <c r="N957" s="194"/>
      <c r="O957" s="194"/>
      <c r="P957" s="194"/>
      <c r="Q957" s="194"/>
      <c r="R957" s="194"/>
      <c r="S957" s="194"/>
      <c r="T957" s="194"/>
      <c r="U957" s="194"/>
      <c r="V957" s="194"/>
      <c r="W957" s="194"/>
      <c r="X957" s="194"/>
      <c r="Y957" s="194"/>
      <c r="Z957" s="194"/>
    </row>
    <row r="958">
      <c r="A958" s="194"/>
      <c r="B958" s="194"/>
      <c r="C958" s="537"/>
      <c r="D958" s="537"/>
      <c r="E958" s="537"/>
      <c r="F958" s="537"/>
      <c r="G958" s="537"/>
      <c r="H958" s="537"/>
      <c r="I958" s="538"/>
      <c r="J958" s="537"/>
      <c r="K958" s="194"/>
      <c r="L958" s="194"/>
      <c r="M958" s="194"/>
      <c r="N958" s="194"/>
      <c r="O958" s="194"/>
      <c r="P958" s="194"/>
      <c r="Q958" s="194"/>
      <c r="R958" s="194"/>
      <c r="S958" s="194"/>
      <c r="T958" s="194"/>
      <c r="U958" s="194"/>
      <c r="V958" s="194"/>
      <c r="W958" s="194"/>
      <c r="X958" s="194"/>
      <c r="Y958" s="194"/>
      <c r="Z958" s="194"/>
    </row>
    <row r="959">
      <c r="A959" s="194"/>
      <c r="B959" s="194"/>
      <c r="C959" s="537"/>
      <c r="D959" s="537"/>
      <c r="E959" s="537"/>
      <c r="F959" s="537"/>
      <c r="G959" s="537"/>
      <c r="H959" s="537"/>
      <c r="I959" s="538"/>
      <c r="J959" s="537"/>
      <c r="K959" s="194"/>
      <c r="L959" s="194"/>
      <c r="M959" s="194"/>
      <c r="N959" s="194"/>
      <c r="O959" s="194"/>
      <c r="P959" s="194"/>
      <c r="Q959" s="194"/>
      <c r="R959" s="194"/>
      <c r="S959" s="194"/>
      <c r="T959" s="194"/>
      <c r="U959" s="194"/>
      <c r="V959" s="194"/>
      <c r="W959" s="194"/>
      <c r="X959" s="194"/>
      <c r="Y959" s="194"/>
      <c r="Z959" s="194"/>
    </row>
    <row r="960">
      <c r="A960" s="194"/>
      <c r="B960" s="194"/>
      <c r="C960" s="537"/>
      <c r="D960" s="537"/>
      <c r="E960" s="537"/>
      <c r="F960" s="537"/>
      <c r="G960" s="537"/>
      <c r="H960" s="537"/>
      <c r="I960" s="538"/>
      <c r="J960" s="537"/>
      <c r="K960" s="194"/>
      <c r="L960" s="194"/>
      <c r="M960" s="194"/>
      <c r="N960" s="194"/>
      <c r="O960" s="194"/>
      <c r="P960" s="194"/>
      <c r="Q960" s="194"/>
      <c r="R960" s="194"/>
      <c r="S960" s="194"/>
      <c r="T960" s="194"/>
      <c r="U960" s="194"/>
      <c r="V960" s="194"/>
      <c r="W960" s="194"/>
      <c r="X960" s="194"/>
      <c r="Y960" s="194"/>
      <c r="Z960" s="194"/>
    </row>
    <row r="961">
      <c r="A961" s="194"/>
      <c r="B961" s="194"/>
      <c r="C961" s="537"/>
      <c r="D961" s="537"/>
      <c r="E961" s="537"/>
      <c r="F961" s="537"/>
      <c r="G961" s="537"/>
      <c r="H961" s="537"/>
      <c r="I961" s="538"/>
      <c r="J961" s="537"/>
      <c r="K961" s="194"/>
      <c r="L961" s="194"/>
      <c r="M961" s="194"/>
      <c r="N961" s="194"/>
      <c r="O961" s="194"/>
      <c r="P961" s="194"/>
      <c r="Q961" s="194"/>
      <c r="R961" s="194"/>
      <c r="S961" s="194"/>
      <c r="T961" s="194"/>
      <c r="U961" s="194"/>
      <c r="V961" s="194"/>
      <c r="W961" s="194"/>
      <c r="X961" s="194"/>
      <c r="Y961" s="194"/>
      <c r="Z961" s="194"/>
    </row>
    <row r="962">
      <c r="A962" s="194"/>
      <c r="B962" s="194"/>
      <c r="C962" s="537"/>
      <c r="D962" s="537"/>
      <c r="E962" s="537"/>
      <c r="F962" s="537"/>
      <c r="G962" s="537"/>
      <c r="H962" s="537"/>
      <c r="I962" s="538"/>
      <c r="J962" s="537"/>
      <c r="K962" s="194"/>
      <c r="L962" s="194"/>
      <c r="M962" s="194"/>
      <c r="N962" s="194"/>
      <c r="O962" s="194"/>
      <c r="P962" s="194"/>
      <c r="Q962" s="194"/>
      <c r="R962" s="194"/>
      <c r="S962" s="194"/>
      <c r="T962" s="194"/>
      <c r="U962" s="194"/>
      <c r="V962" s="194"/>
      <c r="W962" s="194"/>
      <c r="X962" s="194"/>
      <c r="Y962" s="194"/>
      <c r="Z962" s="194"/>
    </row>
    <row r="963">
      <c r="A963" s="194"/>
      <c r="B963" s="194"/>
      <c r="C963" s="537"/>
      <c r="D963" s="537"/>
      <c r="E963" s="537"/>
      <c r="F963" s="537"/>
      <c r="G963" s="537"/>
      <c r="H963" s="537"/>
      <c r="I963" s="538"/>
      <c r="J963" s="537"/>
      <c r="K963" s="194"/>
      <c r="L963" s="194"/>
      <c r="M963" s="194"/>
      <c r="N963" s="194"/>
      <c r="O963" s="194"/>
      <c r="P963" s="194"/>
      <c r="Q963" s="194"/>
      <c r="R963" s="194"/>
      <c r="S963" s="194"/>
      <c r="T963" s="194"/>
      <c r="U963" s="194"/>
      <c r="V963" s="194"/>
      <c r="W963" s="194"/>
      <c r="X963" s="194"/>
      <c r="Y963" s="194"/>
      <c r="Z963" s="194"/>
    </row>
    <row r="964">
      <c r="A964" s="194"/>
      <c r="B964" s="194"/>
      <c r="C964" s="537"/>
      <c r="D964" s="537"/>
      <c r="E964" s="537"/>
      <c r="F964" s="537"/>
      <c r="G964" s="537"/>
      <c r="H964" s="537"/>
      <c r="I964" s="538"/>
      <c r="J964" s="537"/>
      <c r="K964" s="194"/>
      <c r="L964" s="194"/>
      <c r="M964" s="194"/>
      <c r="N964" s="194"/>
      <c r="O964" s="194"/>
      <c r="P964" s="194"/>
      <c r="Q964" s="194"/>
      <c r="R964" s="194"/>
      <c r="S964" s="194"/>
      <c r="T964" s="194"/>
      <c r="U964" s="194"/>
      <c r="V964" s="194"/>
      <c r="W964" s="194"/>
      <c r="X964" s="194"/>
      <c r="Y964" s="194"/>
      <c r="Z964" s="194"/>
    </row>
    <row r="965">
      <c r="A965" s="194"/>
      <c r="B965" s="194"/>
      <c r="C965" s="537"/>
      <c r="D965" s="537"/>
      <c r="E965" s="537"/>
      <c r="F965" s="537"/>
      <c r="G965" s="537"/>
      <c r="H965" s="537"/>
      <c r="I965" s="538"/>
      <c r="J965" s="537"/>
      <c r="K965" s="194"/>
      <c r="L965" s="194"/>
      <c r="M965" s="194"/>
      <c r="N965" s="194"/>
      <c r="O965" s="194"/>
      <c r="P965" s="194"/>
      <c r="Q965" s="194"/>
      <c r="R965" s="194"/>
      <c r="S965" s="194"/>
      <c r="T965" s="194"/>
      <c r="U965" s="194"/>
      <c r="V965" s="194"/>
      <c r="W965" s="194"/>
      <c r="X965" s="194"/>
      <c r="Y965" s="194"/>
      <c r="Z965" s="194"/>
    </row>
    <row r="966">
      <c r="A966" s="194"/>
      <c r="B966" s="194"/>
      <c r="C966" s="537"/>
      <c r="D966" s="537"/>
      <c r="E966" s="537"/>
      <c r="F966" s="537"/>
      <c r="G966" s="537"/>
      <c r="H966" s="537"/>
      <c r="I966" s="538"/>
      <c r="J966" s="537"/>
      <c r="K966" s="194"/>
      <c r="L966" s="194"/>
      <c r="M966" s="194"/>
      <c r="N966" s="194"/>
      <c r="O966" s="194"/>
      <c r="P966" s="194"/>
      <c r="Q966" s="194"/>
      <c r="R966" s="194"/>
      <c r="S966" s="194"/>
      <c r="T966" s="194"/>
      <c r="U966" s="194"/>
      <c r="V966" s="194"/>
      <c r="W966" s="194"/>
      <c r="X966" s="194"/>
      <c r="Y966" s="194"/>
      <c r="Z966" s="194"/>
    </row>
    <row r="967">
      <c r="A967" s="194"/>
      <c r="B967" s="194"/>
      <c r="C967" s="537"/>
      <c r="D967" s="537"/>
      <c r="E967" s="537"/>
      <c r="F967" s="537"/>
      <c r="G967" s="537"/>
      <c r="H967" s="537"/>
      <c r="I967" s="538"/>
      <c r="J967" s="537"/>
      <c r="K967" s="194"/>
      <c r="L967" s="194"/>
      <c r="M967" s="194"/>
      <c r="N967" s="194"/>
      <c r="O967" s="194"/>
      <c r="P967" s="194"/>
      <c r="Q967" s="194"/>
      <c r="R967" s="194"/>
      <c r="S967" s="194"/>
      <c r="T967" s="194"/>
      <c r="U967" s="194"/>
      <c r="V967" s="194"/>
      <c r="W967" s="194"/>
      <c r="X967" s="194"/>
      <c r="Y967" s="194"/>
      <c r="Z967" s="194"/>
    </row>
    <row r="968">
      <c r="A968" s="194"/>
      <c r="B968" s="194"/>
      <c r="C968" s="537"/>
      <c r="D968" s="537"/>
      <c r="E968" s="537"/>
      <c r="F968" s="537"/>
      <c r="G968" s="537"/>
      <c r="H968" s="537"/>
      <c r="I968" s="538"/>
      <c r="J968" s="537"/>
      <c r="K968" s="194"/>
      <c r="L968" s="194"/>
      <c r="M968" s="194"/>
      <c r="N968" s="194"/>
      <c r="O968" s="194"/>
      <c r="P968" s="194"/>
      <c r="Q968" s="194"/>
      <c r="R968" s="194"/>
      <c r="S968" s="194"/>
      <c r="T968" s="194"/>
      <c r="U968" s="194"/>
      <c r="V968" s="194"/>
      <c r="W968" s="194"/>
      <c r="X968" s="194"/>
      <c r="Y968" s="194"/>
      <c r="Z968" s="194"/>
    </row>
    <row r="969">
      <c r="A969" s="194"/>
      <c r="B969" s="194"/>
      <c r="C969" s="537"/>
      <c r="D969" s="537"/>
      <c r="E969" s="537"/>
      <c r="F969" s="537"/>
      <c r="G969" s="537"/>
      <c r="H969" s="537"/>
      <c r="I969" s="538"/>
      <c r="J969" s="537"/>
      <c r="K969" s="194"/>
      <c r="L969" s="194"/>
      <c r="M969" s="194"/>
      <c r="N969" s="194"/>
      <c r="O969" s="194"/>
      <c r="P969" s="194"/>
      <c r="Q969" s="194"/>
      <c r="R969" s="194"/>
      <c r="S969" s="194"/>
      <c r="T969" s="194"/>
      <c r="U969" s="194"/>
      <c r="V969" s="194"/>
      <c r="W969" s="194"/>
      <c r="X969" s="194"/>
      <c r="Y969" s="194"/>
      <c r="Z969" s="194"/>
    </row>
    <row r="970">
      <c r="A970" s="194"/>
      <c r="B970" s="194"/>
      <c r="C970" s="537"/>
      <c r="D970" s="537"/>
      <c r="E970" s="537"/>
      <c r="F970" s="537"/>
      <c r="G970" s="537"/>
      <c r="H970" s="537"/>
      <c r="I970" s="538"/>
      <c r="J970" s="537"/>
      <c r="K970" s="194"/>
      <c r="L970" s="194"/>
      <c r="M970" s="194"/>
      <c r="N970" s="194"/>
      <c r="O970" s="194"/>
      <c r="P970" s="194"/>
      <c r="Q970" s="194"/>
      <c r="R970" s="194"/>
      <c r="S970" s="194"/>
      <c r="T970" s="194"/>
      <c r="U970" s="194"/>
      <c r="V970" s="194"/>
      <c r="W970" s="194"/>
      <c r="X970" s="194"/>
      <c r="Y970" s="194"/>
      <c r="Z970" s="194"/>
    </row>
    <row r="971">
      <c r="A971" s="194"/>
      <c r="B971" s="194"/>
      <c r="C971" s="537"/>
      <c r="D971" s="537"/>
      <c r="E971" s="537"/>
      <c r="F971" s="537"/>
      <c r="G971" s="537"/>
      <c r="H971" s="537"/>
      <c r="I971" s="538"/>
      <c r="J971" s="537"/>
      <c r="K971" s="194"/>
      <c r="L971" s="194"/>
      <c r="M971" s="194"/>
      <c r="N971" s="194"/>
      <c r="O971" s="194"/>
      <c r="P971" s="194"/>
      <c r="Q971" s="194"/>
      <c r="R971" s="194"/>
      <c r="S971" s="194"/>
      <c r="T971" s="194"/>
      <c r="U971" s="194"/>
      <c r="V971" s="194"/>
      <c r="W971" s="194"/>
      <c r="X971" s="194"/>
      <c r="Y971" s="194"/>
      <c r="Z971" s="194"/>
    </row>
    <row r="972">
      <c r="A972" s="194"/>
      <c r="B972" s="194"/>
      <c r="C972" s="537"/>
      <c r="D972" s="537"/>
      <c r="E972" s="537"/>
      <c r="F972" s="537"/>
      <c r="G972" s="537"/>
      <c r="H972" s="537"/>
      <c r="I972" s="538"/>
      <c r="J972" s="537"/>
      <c r="K972" s="194"/>
      <c r="L972" s="194"/>
      <c r="M972" s="194"/>
      <c r="N972" s="194"/>
      <c r="O972" s="194"/>
      <c r="P972" s="194"/>
      <c r="Q972" s="194"/>
      <c r="R972" s="194"/>
      <c r="S972" s="194"/>
      <c r="T972" s="194"/>
      <c r="U972" s="194"/>
      <c r="V972" s="194"/>
      <c r="W972" s="194"/>
      <c r="X972" s="194"/>
      <c r="Y972" s="194"/>
      <c r="Z972" s="194"/>
    </row>
    <row r="973">
      <c r="A973" s="194"/>
      <c r="B973" s="194"/>
      <c r="C973" s="537"/>
      <c r="D973" s="537"/>
      <c r="E973" s="537"/>
      <c r="F973" s="537"/>
      <c r="G973" s="537"/>
      <c r="H973" s="537"/>
      <c r="I973" s="538"/>
      <c r="J973" s="537"/>
      <c r="K973" s="194"/>
      <c r="L973" s="194"/>
      <c r="M973" s="194"/>
      <c r="N973" s="194"/>
      <c r="O973" s="194"/>
      <c r="P973" s="194"/>
      <c r="Q973" s="194"/>
      <c r="R973" s="194"/>
      <c r="S973" s="194"/>
      <c r="T973" s="194"/>
      <c r="U973" s="194"/>
      <c r="V973" s="194"/>
      <c r="W973" s="194"/>
      <c r="X973" s="194"/>
      <c r="Y973" s="194"/>
      <c r="Z973" s="194"/>
    </row>
    <row r="974">
      <c r="A974" s="194"/>
      <c r="B974" s="194"/>
      <c r="C974" s="537"/>
      <c r="D974" s="537"/>
      <c r="E974" s="537"/>
      <c r="F974" s="537"/>
      <c r="G974" s="537"/>
      <c r="H974" s="537"/>
      <c r="I974" s="538"/>
      <c r="J974" s="537"/>
      <c r="K974" s="194"/>
      <c r="L974" s="194"/>
      <c r="M974" s="194"/>
      <c r="N974" s="194"/>
      <c r="O974" s="194"/>
      <c r="P974" s="194"/>
      <c r="Q974" s="194"/>
      <c r="R974" s="194"/>
      <c r="S974" s="194"/>
      <c r="T974" s="194"/>
      <c r="U974" s="194"/>
      <c r="V974" s="194"/>
      <c r="W974" s="194"/>
      <c r="X974" s="194"/>
      <c r="Y974" s="194"/>
      <c r="Z974" s="194"/>
    </row>
    <row r="975">
      <c r="A975" s="194"/>
      <c r="B975" s="194"/>
      <c r="C975" s="537"/>
      <c r="D975" s="537"/>
      <c r="E975" s="537"/>
      <c r="F975" s="537"/>
      <c r="G975" s="537"/>
      <c r="H975" s="537"/>
      <c r="I975" s="538"/>
      <c r="J975" s="537"/>
      <c r="K975" s="194"/>
      <c r="L975" s="194"/>
      <c r="M975" s="194"/>
      <c r="N975" s="194"/>
      <c r="O975" s="194"/>
      <c r="P975" s="194"/>
      <c r="Q975" s="194"/>
      <c r="R975" s="194"/>
      <c r="S975" s="194"/>
      <c r="T975" s="194"/>
      <c r="U975" s="194"/>
      <c r="V975" s="194"/>
      <c r="W975" s="194"/>
      <c r="X975" s="194"/>
      <c r="Y975" s="194"/>
      <c r="Z975" s="194"/>
    </row>
    <row r="976">
      <c r="A976" s="194"/>
      <c r="B976" s="194"/>
      <c r="C976" s="537"/>
      <c r="D976" s="537"/>
      <c r="E976" s="537"/>
      <c r="F976" s="537"/>
      <c r="G976" s="537"/>
      <c r="H976" s="537"/>
      <c r="I976" s="538"/>
      <c r="J976" s="537"/>
      <c r="K976" s="194"/>
      <c r="L976" s="194"/>
      <c r="M976" s="194"/>
      <c r="N976" s="194"/>
      <c r="O976" s="194"/>
      <c r="P976" s="194"/>
      <c r="Q976" s="194"/>
      <c r="R976" s="194"/>
      <c r="S976" s="194"/>
      <c r="T976" s="194"/>
      <c r="U976" s="194"/>
      <c r="V976" s="194"/>
      <c r="W976" s="194"/>
      <c r="X976" s="194"/>
      <c r="Y976" s="194"/>
      <c r="Z976" s="194"/>
    </row>
    <row r="977">
      <c r="A977" s="194"/>
      <c r="B977" s="194"/>
      <c r="C977" s="537"/>
      <c r="D977" s="537"/>
      <c r="E977" s="537"/>
      <c r="F977" s="537"/>
      <c r="G977" s="537"/>
      <c r="H977" s="537"/>
      <c r="I977" s="538"/>
      <c r="J977" s="537"/>
      <c r="K977" s="194"/>
      <c r="L977" s="194"/>
      <c r="M977" s="194"/>
      <c r="N977" s="194"/>
      <c r="O977" s="194"/>
      <c r="P977" s="194"/>
      <c r="Q977" s="194"/>
      <c r="R977" s="194"/>
      <c r="S977" s="194"/>
      <c r="T977" s="194"/>
      <c r="U977" s="194"/>
      <c r="V977" s="194"/>
      <c r="W977" s="194"/>
      <c r="X977" s="194"/>
      <c r="Y977" s="194"/>
      <c r="Z977" s="194"/>
    </row>
    <row r="978">
      <c r="A978" s="194"/>
      <c r="B978" s="194"/>
      <c r="C978" s="537"/>
      <c r="D978" s="537"/>
      <c r="E978" s="537"/>
      <c r="F978" s="537"/>
      <c r="G978" s="537"/>
      <c r="H978" s="537"/>
      <c r="I978" s="538"/>
      <c r="J978" s="537"/>
      <c r="K978" s="194"/>
      <c r="L978" s="194"/>
      <c r="M978" s="194"/>
      <c r="N978" s="194"/>
      <c r="O978" s="194"/>
      <c r="P978" s="194"/>
      <c r="Q978" s="194"/>
      <c r="R978" s="194"/>
      <c r="S978" s="194"/>
      <c r="T978" s="194"/>
      <c r="U978" s="194"/>
      <c r="V978" s="194"/>
      <c r="W978" s="194"/>
      <c r="X978" s="194"/>
      <c r="Y978" s="194"/>
      <c r="Z978" s="194"/>
    </row>
    <row r="979">
      <c r="A979" s="194"/>
      <c r="B979" s="194"/>
      <c r="C979" s="537"/>
      <c r="D979" s="537"/>
      <c r="E979" s="537"/>
      <c r="F979" s="537"/>
      <c r="G979" s="537"/>
      <c r="H979" s="537"/>
      <c r="I979" s="538"/>
      <c r="J979" s="537"/>
      <c r="K979" s="194"/>
      <c r="L979" s="194"/>
      <c r="M979" s="194"/>
      <c r="N979" s="194"/>
      <c r="O979" s="194"/>
      <c r="P979" s="194"/>
      <c r="Q979" s="194"/>
      <c r="R979" s="194"/>
      <c r="S979" s="194"/>
      <c r="T979" s="194"/>
      <c r="U979" s="194"/>
      <c r="V979" s="194"/>
      <c r="W979" s="194"/>
      <c r="X979" s="194"/>
      <c r="Y979" s="194"/>
      <c r="Z979" s="194"/>
    </row>
    <row r="980">
      <c r="A980" s="194"/>
      <c r="B980" s="194"/>
      <c r="C980" s="537"/>
      <c r="D980" s="537"/>
      <c r="E980" s="537"/>
      <c r="F980" s="537"/>
      <c r="G980" s="537"/>
      <c r="H980" s="537"/>
      <c r="I980" s="538"/>
      <c r="J980" s="537"/>
      <c r="K980" s="194"/>
      <c r="L980" s="194"/>
      <c r="M980" s="194"/>
      <c r="N980" s="194"/>
      <c r="O980" s="194"/>
      <c r="P980" s="194"/>
      <c r="Q980" s="194"/>
      <c r="R980" s="194"/>
      <c r="S980" s="194"/>
      <c r="T980" s="194"/>
      <c r="U980" s="194"/>
      <c r="V980" s="194"/>
      <c r="W980" s="194"/>
      <c r="X980" s="194"/>
      <c r="Y980" s="194"/>
      <c r="Z980" s="194"/>
    </row>
    <row r="981">
      <c r="A981" s="194"/>
      <c r="B981" s="194"/>
      <c r="C981" s="537"/>
      <c r="D981" s="537"/>
      <c r="E981" s="537"/>
      <c r="F981" s="537"/>
      <c r="G981" s="537"/>
      <c r="H981" s="537"/>
      <c r="I981" s="538"/>
      <c r="J981" s="537"/>
      <c r="K981" s="194"/>
      <c r="L981" s="194"/>
      <c r="M981" s="194"/>
      <c r="N981" s="194"/>
      <c r="O981" s="194"/>
      <c r="P981" s="194"/>
      <c r="Q981" s="194"/>
      <c r="R981" s="194"/>
      <c r="S981" s="194"/>
      <c r="T981" s="194"/>
      <c r="U981" s="194"/>
      <c r="V981" s="194"/>
      <c r="W981" s="194"/>
      <c r="X981" s="194"/>
      <c r="Y981" s="194"/>
      <c r="Z981" s="194"/>
    </row>
    <row r="982">
      <c r="A982" s="194"/>
      <c r="B982" s="194"/>
      <c r="C982" s="537"/>
      <c r="D982" s="537"/>
      <c r="E982" s="537"/>
      <c r="F982" s="537"/>
      <c r="G982" s="537"/>
      <c r="H982" s="537"/>
      <c r="I982" s="538"/>
      <c r="J982" s="537"/>
      <c r="K982" s="194"/>
      <c r="L982" s="194"/>
      <c r="M982" s="194"/>
      <c r="N982" s="194"/>
      <c r="O982" s="194"/>
      <c r="P982" s="194"/>
      <c r="Q982" s="194"/>
      <c r="R982" s="194"/>
      <c r="S982" s="194"/>
      <c r="T982" s="194"/>
      <c r="U982" s="194"/>
      <c r="V982" s="194"/>
      <c r="W982" s="194"/>
      <c r="X982" s="194"/>
      <c r="Y982" s="194"/>
      <c r="Z982" s="194"/>
    </row>
    <row r="983">
      <c r="A983" s="194"/>
      <c r="B983" s="194"/>
      <c r="C983" s="537"/>
      <c r="D983" s="537"/>
      <c r="E983" s="537"/>
      <c r="F983" s="537"/>
      <c r="G983" s="537"/>
      <c r="H983" s="537"/>
      <c r="I983" s="538"/>
      <c r="J983" s="537"/>
      <c r="K983" s="194"/>
      <c r="L983" s="194"/>
      <c r="M983" s="194"/>
      <c r="N983" s="194"/>
      <c r="O983" s="194"/>
      <c r="P983" s="194"/>
      <c r="Q983" s="194"/>
      <c r="R983" s="194"/>
      <c r="S983" s="194"/>
      <c r="T983" s="194"/>
      <c r="U983" s="194"/>
      <c r="V983" s="194"/>
      <c r="W983" s="194"/>
      <c r="X983" s="194"/>
      <c r="Y983" s="194"/>
      <c r="Z983" s="194"/>
    </row>
    <row r="984">
      <c r="A984" s="194"/>
      <c r="B984" s="194"/>
      <c r="C984" s="537"/>
      <c r="D984" s="537"/>
      <c r="E984" s="537"/>
      <c r="F984" s="537"/>
      <c r="G984" s="537"/>
      <c r="H984" s="537"/>
      <c r="I984" s="538"/>
      <c r="J984" s="537"/>
      <c r="K984" s="194"/>
      <c r="L984" s="194"/>
      <c r="M984" s="194"/>
      <c r="N984" s="194"/>
      <c r="O984" s="194"/>
      <c r="P984" s="194"/>
      <c r="Q984" s="194"/>
      <c r="R984" s="194"/>
      <c r="S984" s="194"/>
      <c r="T984" s="194"/>
      <c r="U984" s="194"/>
      <c r="V984" s="194"/>
      <c r="W984" s="194"/>
      <c r="X984" s="194"/>
      <c r="Y984" s="194"/>
      <c r="Z984" s="194"/>
    </row>
    <row r="985">
      <c r="A985" s="194"/>
      <c r="B985" s="194"/>
      <c r="C985" s="537"/>
      <c r="D985" s="537"/>
      <c r="E985" s="537"/>
      <c r="F985" s="537"/>
      <c r="G985" s="537"/>
      <c r="H985" s="537"/>
      <c r="I985" s="538"/>
      <c r="J985" s="537"/>
      <c r="K985" s="194"/>
      <c r="L985" s="194"/>
      <c r="M985" s="194"/>
      <c r="N985" s="194"/>
      <c r="O985" s="194"/>
      <c r="P985" s="194"/>
      <c r="Q985" s="194"/>
      <c r="R985" s="194"/>
      <c r="S985" s="194"/>
      <c r="T985" s="194"/>
      <c r="U985" s="194"/>
      <c r="V985" s="194"/>
      <c r="W985" s="194"/>
      <c r="X985" s="194"/>
      <c r="Y985" s="194"/>
      <c r="Z985" s="194"/>
    </row>
    <row r="986">
      <c r="A986" s="194"/>
      <c r="B986" s="194"/>
      <c r="C986" s="537"/>
      <c r="D986" s="537"/>
      <c r="E986" s="537"/>
      <c r="F986" s="537"/>
      <c r="G986" s="537"/>
      <c r="H986" s="537"/>
      <c r="I986" s="538"/>
      <c r="J986" s="537"/>
      <c r="K986" s="194"/>
      <c r="L986" s="194"/>
      <c r="M986" s="194"/>
      <c r="N986" s="194"/>
      <c r="O986" s="194"/>
      <c r="P986" s="194"/>
      <c r="Q986" s="194"/>
      <c r="R986" s="194"/>
      <c r="S986" s="194"/>
      <c r="T986" s="194"/>
      <c r="U986" s="194"/>
      <c r="V986" s="194"/>
      <c r="W986" s="194"/>
      <c r="X986" s="194"/>
      <c r="Y986" s="194"/>
      <c r="Z986" s="194"/>
    </row>
    <row r="987">
      <c r="A987" s="194"/>
      <c r="B987" s="194"/>
      <c r="C987" s="537"/>
      <c r="D987" s="537"/>
      <c r="E987" s="537"/>
      <c r="F987" s="537"/>
      <c r="G987" s="537"/>
      <c r="H987" s="537"/>
      <c r="I987" s="538"/>
      <c r="J987" s="537"/>
      <c r="K987" s="194"/>
      <c r="L987" s="194"/>
      <c r="M987" s="194"/>
      <c r="N987" s="194"/>
      <c r="O987" s="194"/>
      <c r="P987" s="194"/>
      <c r="Q987" s="194"/>
      <c r="R987" s="194"/>
      <c r="S987" s="194"/>
      <c r="T987" s="194"/>
      <c r="U987" s="194"/>
      <c r="V987" s="194"/>
      <c r="W987" s="194"/>
      <c r="X987" s="194"/>
      <c r="Y987" s="194"/>
      <c r="Z987" s="194"/>
    </row>
    <row r="988">
      <c r="A988" s="194"/>
      <c r="B988" s="194"/>
      <c r="C988" s="537"/>
      <c r="D988" s="537"/>
      <c r="E988" s="537"/>
      <c r="F988" s="537"/>
      <c r="G988" s="537"/>
      <c r="H988" s="537"/>
      <c r="I988" s="538"/>
      <c r="J988" s="537"/>
      <c r="K988" s="194"/>
      <c r="L988" s="194"/>
      <c r="M988" s="194"/>
      <c r="N988" s="194"/>
      <c r="O988" s="194"/>
      <c r="P988" s="194"/>
      <c r="Q988" s="194"/>
      <c r="R988" s="194"/>
      <c r="S988" s="194"/>
      <c r="T988" s="194"/>
      <c r="U988" s="194"/>
      <c r="V988" s="194"/>
      <c r="W988" s="194"/>
      <c r="X988" s="194"/>
      <c r="Y988" s="194"/>
      <c r="Z988" s="194"/>
    </row>
    <row r="989">
      <c r="A989" s="194"/>
      <c r="B989" s="194"/>
      <c r="C989" s="537"/>
      <c r="D989" s="537"/>
      <c r="E989" s="537"/>
      <c r="F989" s="537"/>
      <c r="G989" s="537"/>
      <c r="H989" s="537"/>
      <c r="I989" s="538"/>
      <c r="J989" s="537"/>
      <c r="K989" s="194"/>
      <c r="L989" s="194"/>
      <c r="M989" s="194"/>
      <c r="N989" s="194"/>
      <c r="O989" s="194"/>
      <c r="P989" s="194"/>
      <c r="Q989" s="194"/>
      <c r="R989" s="194"/>
      <c r="S989" s="194"/>
      <c r="T989" s="194"/>
      <c r="U989" s="194"/>
      <c r="V989" s="194"/>
      <c r="W989" s="194"/>
      <c r="X989" s="194"/>
      <c r="Y989" s="194"/>
      <c r="Z989" s="194"/>
    </row>
    <row r="990">
      <c r="A990" s="194"/>
      <c r="B990" s="194"/>
      <c r="C990" s="537"/>
      <c r="D990" s="537"/>
      <c r="E990" s="537"/>
      <c r="F990" s="537"/>
      <c r="G990" s="537"/>
      <c r="H990" s="537"/>
      <c r="I990" s="538"/>
      <c r="J990" s="537"/>
      <c r="K990" s="194"/>
      <c r="L990" s="194"/>
      <c r="M990" s="194"/>
      <c r="N990" s="194"/>
      <c r="O990" s="194"/>
      <c r="P990" s="194"/>
      <c r="Q990" s="194"/>
      <c r="R990" s="194"/>
      <c r="S990" s="194"/>
      <c r="T990" s="194"/>
      <c r="U990" s="194"/>
      <c r="V990" s="194"/>
      <c r="W990" s="194"/>
      <c r="X990" s="194"/>
      <c r="Y990" s="194"/>
      <c r="Z990" s="194"/>
    </row>
    <row r="991">
      <c r="A991" s="194"/>
      <c r="B991" s="194"/>
      <c r="C991" s="537"/>
      <c r="D991" s="537"/>
      <c r="E991" s="537"/>
      <c r="F991" s="537"/>
      <c r="G991" s="537"/>
      <c r="H991" s="537"/>
      <c r="I991" s="538"/>
      <c r="J991" s="537"/>
      <c r="K991" s="194"/>
      <c r="L991" s="194"/>
      <c r="M991" s="194"/>
      <c r="N991" s="194"/>
      <c r="O991" s="194"/>
      <c r="P991" s="194"/>
      <c r="Q991" s="194"/>
      <c r="R991" s="194"/>
      <c r="S991" s="194"/>
      <c r="T991" s="194"/>
      <c r="U991" s="194"/>
      <c r="V991" s="194"/>
      <c r="W991" s="194"/>
      <c r="X991" s="194"/>
      <c r="Y991" s="194"/>
      <c r="Z991" s="194"/>
    </row>
    <row r="992">
      <c r="A992" s="194"/>
      <c r="B992" s="194"/>
      <c r="C992" s="537"/>
      <c r="D992" s="537"/>
      <c r="E992" s="537"/>
      <c r="F992" s="537"/>
      <c r="G992" s="537"/>
      <c r="H992" s="537"/>
      <c r="I992" s="538"/>
      <c r="J992" s="537"/>
      <c r="K992" s="194"/>
      <c r="L992" s="194"/>
      <c r="M992" s="194"/>
      <c r="N992" s="194"/>
      <c r="O992" s="194"/>
      <c r="P992" s="194"/>
      <c r="Q992" s="194"/>
      <c r="R992" s="194"/>
      <c r="S992" s="194"/>
      <c r="T992" s="194"/>
      <c r="U992" s="194"/>
      <c r="V992" s="194"/>
      <c r="W992" s="194"/>
      <c r="X992" s="194"/>
      <c r="Y992" s="194"/>
      <c r="Z992" s="194"/>
    </row>
    <row r="993">
      <c r="A993" s="194"/>
      <c r="B993" s="194"/>
      <c r="C993" s="537"/>
      <c r="D993" s="537"/>
      <c r="E993" s="537"/>
      <c r="F993" s="537"/>
      <c r="G993" s="537"/>
      <c r="H993" s="537"/>
      <c r="I993" s="538"/>
      <c r="J993" s="537"/>
      <c r="K993" s="194"/>
      <c r="L993" s="194"/>
      <c r="M993" s="194"/>
      <c r="N993" s="194"/>
      <c r="O993" s="194"/>
      <c r="P993" s="194"/>
      <c r="Q993" s="194"/>
      <c r="R993" s="194"/>
      <c r="S993" s="194"/>
      <c r="T993" s="194"/>
      <c r="U993" s="194"/>
      <c r="V993" s="194"/>
      <c r="W993" s="194"/>
      <c r="X993" s="194"/>
      <c r="Y993" s="194"/>
      <c r="Z993" s="194"/>
    </row>
    <row r="994">
      <c r="A994" s="194"/>
      <c r="B994" s="194"/>
      <c r="C994" s="537"/>
      <c r="D994" s="537"/>
      <c r="E994" s="537"/>
      <c r="F994" s="537"/>
      <c r="G994" s="537"/>
      <c r="H994" s="537"/>
      <c r="I994" s="538"/>
      <c r="J994" s="537"/>
      <c r="K994" s="194"/>
      <c r="L994" s="194"/>
      <c r="M994" s="194"/>
      <c r="N994" s="194"/>
      <c r="O994" s="194"/>
      <c r="P994" s="194"/>
      <c r="Q994" s="194"/>
      <c r="R994" s="194"/>
      <c r="S994" s="194"/>
      <c r="T994" s="194"/>
      <c r="U994" s="194"/>
      <c r="V994" s="194"/>
      <c r="W994" s="194"/>
      <c r="X994" s="194"/>
      <c r="Y994" s="194"/>
      <c r="Z994" s="194"/>
    </row>
    <row r="995">
      <c r="A995" s="194"/>
      <c r="B995" s="194"/>
      <c r="C995" s="537"/>
      <c r="D995" s="537"/>
      <c r="E995" s="537"/>
      <c r="F995" s="537"/>
      <c r="G995" s="537"/>
      <c r="H995" s="537"/>
      <c r="I995" s="538"/>
      <c r="J995" s="537"/>
      <c r="K995" s="194"/>
      <c r="L995" s="194"/>
      <c r="M995" s="194"/>
      <c r="N995" s="194"/>
      <c r="O995" s="194"/>
      <c r="P995" s="194"/>
      <c r="Q995" s="194"/>
      <c r="R995" s="194"/>
      <c r="S995" s="194"/>
      <c r="T995" s="194"/>
      <c r="U995" s="194"/>
      <c r="V995" s="194"/>
      <c r="W995" s="194"/>
      <c r="X995" s="194"/>
      <c r="Y995" s="194"/>
      <c r="Z995" s="194"/>
    </row>
    <row r="996">
      <c r="A996" s="194"/>
      <c r="B996" s="194"/>
      <c r="C996" s="537"/>
      <c r="D996" s="537"/>
      <c r="E996" s="537"/>
      <c r="F996" s="537"/>
      <c r="G996" s="537"/>
      <c r="H996" s="537"/>
      <c r="I996" s="538"/>
      <c r="J996" s="537"/>
      <c r="K996" s="194"/>
      <c r="L996" s="194"/>
      <c r="M996" s="194"/>
      <c r="N996" s="194"/>
      <c r="O996" s="194"/>
      <c r="P996" s="194"/>
      <c r="Q996" s="194"/>
      <c r="R996" s="194"/>
      <c r="S996" s="194"/>
      <c r="T996" s="194"/>
      <c r="U996" s="194"/>
      <c r="V996" s="194"/>
      <c r="W996" s="194"/>
      <c r="X996" s="194"/>
      <c r="Y996" s="194"/>
      <c r="Z996" s="194"/>
    </row>
    <row r="997">
      <c r="A997" s="194"/>
      <c r="B997" s="194"/>
      <c r="C997" s="537"/>
      <c r="D997" s="537"/>
      <c r="E997" s="537"/>
      <c r="F997" s="537"/>
      <c r="G997" s="537"/>
      <c r="H997" s="537"/>
      <c r="I997" s="538"/>
      <c r="J997" s="537"/>
      <c r="K997" s="194"/>
      <c r="L997" s="194"/>
      <c r="M997" s="194"/>
      <c r="N997" s="194"/>
      <c r="O997" s="194"/>
      <c r="P997" s="194"/>
      <c r="Q997" s="194"/>
      <c r="R997" s="194"/>
      <c r="S997" s="194"/>
      <c r="T997" s="194"/>
      <c r="U997" s="194"/>
      <c r="V997" s="194"/>
      <c r="W997" s="194"/>
      <c r="X997" s="194"/>
      <c r="Y997" s="194"/>
      <c r="Z997" s="194"/>
    </row>
    <row r="998">
      <c r="A998" s="194"/>
      <c r="B998" s="194"/>
      <c r="C998" s="537"/>
      <c r="D998" s="537"/>
      <c r="E998" s="537"/>
      <c r="F998" s="537"/>
      <c r="G998" s="537"/>
      <c r="H998" s="537"/>
      <c r="I998" s="538"/>
      <c r="J998" s="537"/>
      <c r="K998" s="194"/>
      <c r="L998" s="194"/>
      <c r="M998" s="194"/>
      <c r="N998" s="194"/>
      <c r="O998" s="194"/>
      <c r="P998" s="194"/>
      <c r="Q998" s="194"/>
      <c r="R998" s="194"/>
      <c r="S998" s="194"/>
      <c r="T998" s="194"/>
      <c r="U998" s="194"/>
      <c r="V998" s="194"/>
      <c r="W998" s="194"/>
      <c r="X998" s="194"/>
      <c r="Y998" s="194"/>
      <c r="Z998" s="194"/>
    </row>
    <row r="999">
      <c r="A999" s="194"/>
      <c r="B999" s="194"/>
      <c r="C999" s="537"/>
      <c r="D999" s="537"/>
      <c r="E999" s="537"/>
      <c r="F999" s="537"/>
      <c r="G999" s="537"/>
      <c r="H999" s="537"/>
      <c r="I999" s="538"/>
      <c r="J999" s="537"/>
      <c r="K999" s="194"/>
      <c r="L999" s="194"/>
      <c r="M999" s="194"/>
      <c r="N999" s="194"/>
      <c r="O999" s="194"/>
      <c r="P999" s="194"/>
      <c r="Q999" s="194"/>
      <c r="R999" s="194"/>
      <c r="S999" s="194"/>
      <c r="T999" s="194"/>
      <c r="U999" s="194"/>
      <c r="V999" s="194"/>
      <c r="W999" s="194"/>
      <c r="X999" s="194"/>
      <c r="Y999" s="194"/>
      <c r="Z999" s="194"/>
    </row>
    <row r="1000">
      <c r="A1000" s="194"/>
      <c r="B1000" s="194"/>
      <c r="C1000" s="537"/>
      <c r="D1000" s="537"/>
      <c r="E1000" s="537"/>
      <c r="F1000" s="537"/>
      <c r="G1000" s="537"/>
      <c r="H1000" s="537"/>
      <c r="I1000" s="538"/>
      <c r="J1000" s="537"/>
      <c r="K1000" s="194"/>
      <c r="L1000" s="194"/>
      <c r="M1000" s="194"/>
      <c r="N1000" s="194"/>
      <c r="O1000" s="194"/>
      <c r="P1000" s="194"/>
      <c r="Q1000" s="194"/>
      <c r="R1000" s="194"/>
      <c r="S1000" s="194"/>
      <c r="T1000" s="194"/>
      <c r="U1000" s="194"/>
      <c r="V1000" s="194"/>
      <c r="W1000" s="194"/>
      <c r="X1000" s="194"/>
      <c r="Y1000" s="194"/>
      <c r="Z1000" s="194"/>
    </row>
  </sheetData>
  <conditionalFormatting sqref="C2:C102">
    <cfRule type="colorScale" priority="1">
      <colorScale>
        <cfvo type="min"/>
        <cfvo type="percentile" val="50"/>
        <cfvo type="max"/>
        <color rgb="FFE67C73"/>
        <color rgb="FFFFFFFF"/>
        <color rgb="FF57BB8A"/>
      </colorScale>
    </cfRule>
  </conditionalFormatting>
  <conditionalFormatting sqref="F2:F102">
    <cfRule type="colorScale" priority="2">
      <colorScale>
        <cfvo type="min"/>
        <cfvo type="percentile" val="50"/>
        <cfvo type="max"/>
        <color rgb="FFE67C73"/>
        <color rgb="FFFFFFFF"/>
        <color rgb="FF57BB8A"/>
      </colorScale>
    </cfRule>
  </conditionalFormatting>
  <conditionalFormatting sqref="G2:G102">
    <cfRule type="colorScale" priority="3">
      <colorScale>
        <cfvo type="min"/>
        <cfvo type="percentile" val="50"/>
        <cfvo type="max"/>
        <color rgb="FFE67C73"/>
        <color rgb="FFFFFFFF"/>
        <color rgb="FF57BB8A"/>
      </colorScale>
    </cfRule>
  </conditionalFormatting>
  <conditionalFormatting sqref="I1:I102">
    <cfRule type="colorScale" priority="4">
      <colorScale>
        <cfvo type="min"/>
        <cfvo type="percentile" val="50"/>
        <cfvo type="max"/>
        <color rgb="FFE67C73"/>
        <color rgb="FFFFFFFF"/>
        <color rgb="FF57BB8A"/>
      </colorScale>
    </cfRule>
  </conditionalFormatting>
  <conditionalFormatting sqref="J1:J102">
    <cfRule type="colorScale" priority="5">
      <colorScale>
        <cfvo type="min"/>
        <cfvo type="percentile" val="50"/>
        <cfvo type="max"/>
        <color rgb="FFE67C73"/>
        <color rgb="FFFFFFFF"/>
        <color rgb="FF57BB8A"/>
      </colorScale>
    </cfRule>
  </conditionalFormatting>
  <conditionalFormatting sqref="D2:D102">
    <cfRule type="colorScale" priority="6">
      <colorScale>
        <cfvo type="min"/>
        <cfvo type="percentile" val="50"/>
        <cfvo type="max"/>
        <color rgb="FFE67C73"/>
        <color rgb="FFFFFFFF"/>
        <color rgb="FF57BB8A"/>
      </colorScale>
    </cfRule>
  </conditionalFormatting>
  <conditionalFormatting sqref="E2:E102">
    <cfRule type="colorScale" priority="7">
      <colorScale>
        <cfvo type="min"/>
        <cfvo type="percentile" val="50"/>
        <cfvo type="max"/>
        <color rgb="FFE67C73"/>
        <color rgb="FFFFFFFF"/>
        <color rgb="FF57BB8A"/>
      </colorScale>
    </cfRule>
  </conditionalFormatting>
  <conditionalFormatting sqref="H1:H1000">
    <cfRule type="colorScale" priority="8">
      <colorScale>
        <cfvo type="min"/>
        <cfvo type="percentile" val="50"/>
        <cfvo type="max"/>
        <color rgb="FFE67C73"/>
        <color rgb="FFFFFFFF"/>
        <color rgb="FF57BB8A"/>
      </colorScale>
    </cfRule>
  </conditionalFormatting>
  <drawing r:id="rId1"/>
</worksheet>
</file>